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mc:AlternateContent xmlns:mc="http://schemas.openxmlformats.org/markup-compatibility/2006">
    <mc:Choice Requires="x15">
      <x15ac:absPath xmlns:x15ac="http://schemas.microsoft.com/office/spreadsheetml/2010/11/ac" url="https://nanohomevn-my.sharepoint.com/personal/ian_nanohome_vn/Documents/nanoHome/Purchasing/PLANING 2021 - 2025/PURCHASING 2026/4. BÁO CÁO/"/>
    </mc:Choice>
  </mc:AlternateContent>
  <xr:revisionPtr revIDLastSave="0" documentId="8_{31F54067-3A68-40A3-BFF6-BFF00FAF90BE}" xr6:coauthVersionLast="47" xr6:coauthVersionMax="47" xr10:uidLastSave="{00000000-0000-0000-0000-000000000000}"/>
  <bookViews>
    <workbookView xWindow="-108" yWindow="-108" windowWidth="23256" windowHeight="12456" tabRatio="651" xr2:uid="{F7E8ABF3-EE86-49EE-B04B-36B48177E767}"/>
  </bookViews>
  <sheets>
    <sheet name="LDL" sheetId="4" r:id="rId1"/>
    <sheet name="Cost" sheetId="8" r:id="rId2"/>
    <sheet name="Tong hop hop dong" sheetId="3" r:id="rId3"/>
    <sheet name="New Category (2)" sheetId="24" r:id="rId4"/>
    <sheet name="New Category" sheetId="9" r:id="rId5"/>
  </sheets>
  <definedNames>
    <definedName name="_xlnm._FilterDatabase" localSheetId="1" hidden="1">Cost!$B$4:$AL$77</definedName>
    <definedName name="_xlnm._FilterDatabase" localSheetId="0" hidden="1">LDL!$B$4:$CH$2661</definedName>
    <definedName name="_xlnm._FilterDatabase" localSheetId="4" hidden="1">'New Category'!$O$1:$Q$1006</definedName>
    <definedName name="_xlnm._FilterDatabase" localSheetId="3" hidden="1">'New Category (2)'!$N$1:$P$1003</definedName>
    <definedName name="_xlnm._FilterDatabase" localSheetId="2" hidden="1">'Tong hop hop dong'!$B$2:$AD$121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429" i="4" l="1"/>
  <c r="AC2429" i="4"/>
  <c r="AB2430" i="4"/>
  <c r="AC2430" i="4"/>
  <c r="AB2431" i="4"/>
  <c r="AC2431" i="4"/>
  <c r="AB2432" i="4"/>
  <c r="AC2432" i="4"/>
  <c r="AB2433" i="4"/>
  <c r="AC2433" i="4"/>
  <c r="AB2434" i="4"/>
  <c r="AC2434" i="4"/>
  <c r="AB2435" i="4"/>
  <c r="AC2435" i="4"/>
  <c r="AB2436" i="4"/>
  <c r="AC2436" i="4"/>
  <c r="AB2437" i="4"/>
  <c r="AC2437" i="4"/>
  <c r="AB2438" i="4"/>
  <c r="AC2438" i="4"/>
  <c r="AB2439" i="4"/>
  <c r="AC2439" i="4"/>
  <c r="AB2440" i="4"/>
  <c r="AC2440" i="4"/>
  <c r="AB2441" i="4"/>
  <c r="AC2441" i="4"/>
  <c r="AB2442" i="4"/>
  <c r="AC2442" i="4"/>
  <c r="AB2443" i="4"/>
  <c r="AC2443" i="4"/>
  <c r="AB2444" i="4"/>
  <c r="AC2444" i="4"/>
  <c r="AB2445" i="4"/>
  <c r="AC2445" i="4"/>
  <c r="AB2446" i="4"/>
  <c r="AC2446" i="4"/>
  <c r="AB2447" i="4"/>
  <c r="AC2447" i="4"/>
  <c r="AB2448" i="4"/>
  <c r="AC2448" i="4"/>
  <c r="AB2449" i="4"/>
  <c r="AC2449" i="4"/>
  <c r="AB2450" i="4"/>
  <c r="AC2450" i="4"/>
  <c r="AB2451" i="4"/>
  <c r="AC2451" i="4"/>
  <c r="AB2452" i="4"/>
  <c r="AC2452" i="4"/>
  <c r="AB2453" i="4"/>
  <c r="AC2453" i="4"/>
  <c r="AB2454" i="4"/>
  <c r="AC2454" i="4"/>
  <c r="AB2455" i="4"/>
  <c r="AC2455" i="4"/>
  <c r="AB2456" i="4"/>
  <c r="AC2456" i="4"/>
  <c r="AB2457" i="4"/>
  <c r="AC2457" i="4"/>
  <c r="AB2458" i="4"/>
  <c r="AC2458" i="4"/>
  <c r="AB2459" i="4"/>
  <c r="AC2459" i="4"/>
  <c r="AB2460" i="4"/>
  <c r="AC2460" i="4"/>
  <c r="AB2461" i="4"/>
  <c r="AC2461" i="4"/>
  <c r="AB2462" i="4"/>
  <c r="AC2462" i="4"/>
  <c r="AB2463" i="4"/>
  <c r="AC2463" i="4"/>
  <c r="AB2464" i="4"/>
  <c r="AC2464" i="4"/>
  <c r="AB2465" i="4"/>
  <c r="AC2465" i="4"/>
  <c r="AB2466" i="4"/>
  <c r="AC2466" i="4"/>
  <c r="AB2467" i="4"/>
  <c r="AC2467" i="4"/>
  <c r="AB2468" i="4"/>
  <c r="AC2468" i="4"/>
  <c r="AB2469" i="4"/>
  <c r="AC2469" i="4"/>
  <c r="AB2470" i="4"/>
  <c r="AC2470" i="4"/>
  <c r="AB2471" i="4"/>
  <c r="AC2471" i="4"/>
  <c r="AB2472" i="4"/>
  <c r="AC2472" i="4"/>
  <c r="AB2473" i="4"/>
  <c r="AC2473" i="4"/>
  <c r="AB2474" i="4"/>
  <c r="AC2474" i="4"/>
  <c r="AB2475" i="4"/>
  <c r="AC2475" i="4"/>
  <c r="AB2476" i="4"/>
  <c r="AC2476" i="4"/>
  <c r="AB2477" i="4"/>
  <c r="AC2477" i="4"/>
  <c r="AB2478" i="4"/>
  <c r="AC2478" i="4"/>
  <c r="AB2479" i="4"/>
  <c r="AC2479" i="4"/>
  <c r="AC2428" i="4"/>
  <c r="AB2428" i="4"/>
  <c r="X2429" i="4"/>
  <c r="X2430" i="4"/>
  <c r="X2431" i="4"/>
  <c r="X2432" i="4"/>
  <c r="X2433" i="4"/>
  <c r="X2434" i="4"/>
  <c r="X2435" i="4"/>
  <c r="X2436" i="4"/>
  <c r="X2437" i="4"/>
  <c r="X2438" i="4"/>
  <c r="X2439" i="4"/>
  <c r="X2440" i="4"/>
  <c r="X2441" i="4"/>
  <c r="X2442" i="4"/>
  <c r="X2443" i="4"/>
  <c r="X2444" i="4"/>
  <c r="X2445" i="4"/>
  <c r="X2446" i="4"/>
  <c r="X2447" i="4"/>
  <c r="X2448" i="4"/>
  <c r="X2449" i="4"/>
  <c r="X2450" i="4"/>
  <c r="X2451" i="4"/>
  <c r="X2452" i="4"/>
  <c r="X2453" i="4"/>
  <c r="X2454" i="4"/>
  <c r="X2455" i="4"/>
  <c r="X2456" i="4"/>
  <c r="X2457" i="4"/>
  <c r="X2458" i="4"/>
  <c r="X2459" i="4"/>
  <c r="X2460" i="4"/>
  <c r="X2461" i="4"/>
  <c r="X2462" i="4"/>
  <c r="X2463" i="4"/>
  <c r="X2464" i="4"/>
  <c r="X2465" i="4"/>
  <c r="X2466" i="4"/>
  <c r="X2467" i="4"/>
  <c r="X2468" i="4"/>
  <c r="X2469" i="4"/>
  <c r="X2470" i="4"/>
  <c r="X2471" i="4"/>
  <c r="X2472" i="4"/>
  <c r="X2473" i="4"/>
  <c r="X2474" i="4"/>
  <c r="X2475" i="4"/>
  <c r="X2476" i="4"/>
  <c r="X2477" i="4"/>
  <c r="X2478" i="4"/>
  <c r="X2479" i="4"/>
  <c r="X2428" i="4"/>
  <c r="X2614" i="4" l="1"/>
  <c r="AB2614" i="4"/>
  <c r="AC2614" i="4"/>
  <c r="AB2629" i="4" l="1"/>
  <c r="AC2629" i="4"/>
  <c r="AB2630" i="4"/>
  <c r="AC2630" i="4"/>
  <c r="AB2631" i="4"/>
  <c r="AC2631" i="4"/>
  <c r="AB2632" i="4"/>
  <c r="AC2632" i="4"/>
  <c r="AB2633" i="4"/>
  <c r="AC2633" i="4"/>
  <c r="AB2634" i="4"/>
  <c r="AC2634" i="4"/>
  <c r="AB2635" i="4"/>
  <c r="AC2635" i="4"/>
  <c r="AB2636" i="4"/>
  <c r="AC2636" i="4"/>
  <c r="AB2637" i="4"/>
  <c r="AC2637" i="4"/>
  <c r="AC2628" i="4"/>
  <c r="AB2628" i="4"/>
  <c r="X2629" i="4"/>
  <c r="X2630" i="4"/>
  <c r="X2631" i="4"/>
  <c r="X2632" i="4"/>
  <c r="X2633" i="4"/>
  <c r="X2634" i="4"/>
  <c r="X2635" i="4"/>
  <c r="X2636" i="4"/>
  <c r="X2637" i="4"/>
  <c r="X2628" i="4"/>
  <c r="X2621" i="4" l="1"/>
  <c r="X2622" i="4"/>
  <c r="X2623" i="4"/>
  <c r="X2624" i="4"/>
  <c r="X2625" i="4"/>
  <c r="X2626" i="4"/>
  <c r="AB2621" i="4"/>
  <c r="AC2621" i="4"/>
  <c r="AB2622" i="4"/>
  <c r="AC2622" i="4"/>
  <c r="AB2623" i="4"/>
  <c r="AC2623" i="4"/>
  <c r="AB2624" i="4"/>
  <c r="AC2624" i="4"/>
  <c r="AB2625" i="4"/>
  <c r="AC2625" i="4"/>
  <c r="AB2626" i="4"/>
  <c r="AC2626" i="4"/>
  <c r="AB2329" i="4" l="1"/>
  <c r="AC2329" i="4"/>
  <c r="AB2330" i="4"/>
  <c r="AC2330" i="4"/>
  <c r="AB2331" i="4"/>
  <c r="AC2331" i="4"/>
  <c r="AB2332" i="4"/>
  <c r="AC2332" i="4"/>
  <c r="AB2333" i="4"/>
  <c r="AC2333" i="4"/>
  <c r="AB2334" i="4"/>
  <c r="AC2334" i="4"/>
  <c r="AB2335" i="4"/>
  <c r="AC2335" i="4"/>
  <c r="AB2336" i="4"/>
  <c r="AC2336" i="4"/>
  <c r="AB2337" i="4"/>
  <c r="AC2337" i="4"/>
  <c r="AB2338" i="4"/>
  <c r="AC2338" i="4"/>
  <c r="AB2339" i="4"/>
  <c r="AC2339" i="4"/>
  <c r="AB2340" i="4"/>
  <c r="AC2340" i="4"/>
  <c r="AB2341" i="4"/>
  <c r="AC2341" i="4"/>
  <c r="AB2342" i="4"/>
  <c r="AC2342" i="4"/>
  <c r="AB2343" i="4"/>
  <c r="AC2343" i="4"/>
  <c r="AB2344" i="4"/>
  <c r="AC2344" i="4"/>
  <c r="AB2345" i="4"/>
  <c r="AC2345" i="4"/>
  <c r="AB2346" i="4"/>
  <c r="AC2346" i="4"/>
  <c r="AB2347" i="4"/>
  <c r="AC2347" i="4"/>
  <c r="AB2348" i="4"/>
  <c r="AC2348" i="4"/>
  <c r="X2330" i="4"/>
  <c r="X2331" i="4"/>
  <c r="X2332" i="4"/>
  <c r="X2333" i="4"/>
  <c r="X2334" i="4"/>
  <c r="X2335" i="4"/>
  <c r="X2336" i="4"/>
  <c r="X2337" i="4"/>
  <c r="X2338" i="4"/>
  <c r="X2339" i="4"/>
  <c r="X2340" i="4"/>
  <c r="X2341" i="4"/>
  <c r="X2342" i="4"/>
  <c r="X2343" i="4"/>
  <c r="X2344" i="4"/>
  <c r="X2345" i="4"/>
  <c r="X2346" i="4"/>
  <c r="X2347" i="4"/>
  <c r="X2348" i="4"/>
  <c r="X2620" i="4"/>
  <c r="X2651" i="4"/>
  <c r="X2329" i="4"/>
  <c r="BF945" i="4" l="1"/>
  <c r="BI942" i="4"/>
  <c r="BN950" i="4"/>
  <c r="BF1113" i="4"/>
  <c r="BI1058" i="4"/>
  <c r="BI996" i="4"/>
  <c r="BI954" i="4"/>
  <c r="BI547" i="4"/>
  <c r="BL491" i="4"/>
  <c r="BF491" i="4"/>
  <c r="BI1071" i="4"/>
  <c r="BL1071" i="4"/>
  <c r="BI963" i="4"/>
  <c r="BN1017" i="4"/>
  <c r="BI1017" i="4"/>
  <c r="BK1017" i="4"/>
  <c r="BF1017" i="4"/>
  <c r="BI1018" i="4"/>
  <c r="BI1022" i="4"/>
  <c r="BN1022" i="4"/>
  <c r="AB2617" i="4" l="1"/>
  <c r="AC2617" i="4"/>
  <c r="X2617" i="4"/>
  <c r="X2616" i="4"/>
  <c r="AB2616" i="4"/>
  <c r="AC2616" i="4"/>
  <c r="AB2598" i="4" l="1"/>
  <c r="AC2598" i="4"/>
  <c r="AB2599" i="4"/>
  <c r="AC2599" i="4"/>
  <c r="AB2600" i="4"/>
  <c r="AC2600" i="4"/>
  <c r="AB2601" i="4"/>
  <c r="AC2601" i="4"/>
  <c r="AB2602" i="4"/>
  <c r="AC2602" i="4"/>
  <c r="AB2603" i="4"/>
  <c r="AC2603" i="4"/>
  <c r="AB2604" i="4"/>
  <c r="AC2604" i="4"/>
  <c r="AB2605" i="4"/>
  <c r="AC2605" i="4"/>
  <c r="AB2606" i="4"/>
  <c r="AC2606" i="4"/>
  <c r="AB2607" i="4"/>
  <c r="AC2607" i="4"/>
  <c r="AB2608" i="4"/>
  <c r="AC2608" i="4"/>
  <c r="AB2609" i="4"/>
  <c r="AC2609" i="4"/>
  <c r="AB2610" i="4"/>
  <c r="AC2610" i="4"/>
  <c r="AB2611" i="4"/>
  <c r="AC2611" i="4"/>
  <c r="AB2612" i="4"/>
  <c r="AC2612" i="4"/>
  <c r="AB2613" i="4"/>
  <c r="AC2613" i="4"/>
  <c r="X2598" i="4"/>
  <c r="X2599" i="4"/>
  <c r="X2600" i="4"/>
  <c r="X2601" i="4"/>
  <c r="X2602" i="4"/>
  <c r="X2603" i="4"/>
  <c r="X2604" i="4"/>
  <c r="X2605" i="4"/>
  <c r="X2606" i="4"/>
  <c r="X2607" i="4"/>
  <c r="X2608" i="4"/>
  <c r="X2609" i="4"/>
  <c r="X2610" i="4"/>
  <c r="X2611" i="4"/>
  <c r="X2612" i="4"/>
  <c r="X2613" i="4"/>
  <c r="X2589" i="4" l="1"/>
  <c r="AB2589" i="4"/>
  <c r="AC2589" i="4"/>
  <c r="X2590" i="4"/>
  <c r="AB2590" i="4"/>
  <c r="AC2590" i="4"/>
  <c r="X2591" i="4"/>
  <c r="AB2591" i="4"/>
  <c r="AC2591" i="4"/>
  <c r="X2592" i="4"/>
  <c r="AB2592" i="4"/>
  <c r="AC2592" i="4"/>
  <c r="AB2595" i="4" l="1"/>
  <c r="AC2595" i="4"/>
  <c r="AB2596" i="4"/>
  <c r="AC2596" i="4"/>
  <c r="AB2597" i="4"/>
  <c r="AC2597" i="4"/>
  <c r="AB2620" i="4"/>
  <c r="AC2620" i="4"/>
  <c r="AB2651" i="4"/>
  <c r="AC2651" i="4"/>
  <c r="AB2652" i="4"/>
  <c r="AC2652" i="4"/>
  <c r="AB2653" i="4"/>
  <c r="AC2653" i="4"/>
  <c r="AB2654" i="4"/>
  <c r="AC2654" i="4"/>
  <c r="AB2655" i="4"/>
  <c r="AC2655" i="4"/>
  <c r="AC2587" i="4" l="1"/>
  <c r="AB2587" i="4"/>
  <c r="X2587" i="4"/>
  <c r="AC2586" i="4"/>
  <c r="AB2586" i="4"/>
  <c r="X2586" i="4"/>
  <c r="AC2585" i="4"/>
  <c r="AB2585" i="4"/>
  <c r="X2585" i="4"/>
  <c r="AC2584" i="4"/>
  <c r="AB2584" i="4"/>
  <c r="X2584" i="4"/>
  <c r="AC2583" i="4"/>
  <c r="AB2583" i="4"/>
  <c r="X2583" i="4"/>
  <c r="BE2582" i="4" a="1"/>
  <c r="BE2582" i="4" s="1"/>
  <c r="AC2582" i="4"/>
  <c r="AB2582" i="4"/>
  <c r="X2582" i="4"/>
  <c r="AB2422" i="4" l="1"/>
  <c r="AC2422" i="4"/>
  <c r="AB2423" i="4"/>
  <c r="AC2423" i="4"/>
  <c r="AB2424" i="4"/>
  <c r="AC2424" i="4"/>
  <c r="AB2425" i="4"/>
  <c r="AC2425" i="4"/>
  <c r="AB2426" i="4"/>
  <c r="AC2426" i="4"/>
  <c r="X2422" i="4"/>
  <c r="X2423" i="4"/>
  <c r="X2424" i="4"/>
  <c r="X2425" i="4"/>
  <c r="X2426" i="4"/>
  <c r="AB2509" i="4" l="1"/>
  <c r="AC2509" i="4"/>
  <c r="AB2510" i="4"/>
  <c r="AC2510" i="4"/>
  <c r="AB2511" i="4"/>
  <c r="AC2511" i="4"/>
  <c r="AB2512" i="4"/>
  <c r="AC2512" i="4"/>
  <c r="AB2513" i="4"/>
  <c r="AC2513" i="4"/>
  <c r="AB2514" i="4"/>
  <c r="AC2514" i="4"/>
  <c r="AB2515" i="4"/>
  <c r="AC2515" i="4"/>
  <c r="AB2516" i="4"/>
  <c r="AC2516" i="4"/>
  <c r="AB2517" i="4"/>
  <c r="AC2517" i="4"/>
  <c r="AB2518" i="4"/>
  <c r="AC2518" i="4"/>
  <c r="AB2519" i="4"/>
  <c r="AC2519" i="4"/>
  <c r="AB2520" i="4"/>
  <c r="AC2520" i="4"/>
  <c r="AB2521" i="4"/>
  <c r="AC2521" i="4"/>
  <c r="AB2522" i="4"/>
  <c r="AC2522" i="4"/>
  <c r="AB2523" i="4"/>
  <c r="AC2523" i="4"/>
  <c r="AB2524" i="4"/>
  <c r="AC2524" i="4"/>
  <c r="AB2525" i="4"/>
  <c r="AC2525" i="4"/>
  <c r="AB2526" i="4"/>
  <c r="AC2526" i="4"/>
  <c r="AB2527" i="4"/>
  <c r="AC2527" i="4"/>
  <c r="AB2528" i="4"/>
  <c r="AC2528" i="4"/>
  <c r="AB2529" i="4"/>
  <c r="AC2529" i="4"/>
  <c r="AB2530" i="4"/>
  <c r="AC2530" i="4"/>
  <c r="AB2531" i="4"/>
  <c r="AC2531" i="4"/>
  <c r="AB2532" i="4"/>
  <c r="AC2532" i="4"/>
  <c r="AB2533" i="4"/>
  <c r="AC2533" i="4"/>
  <c r="AB2534" i="4"/>
  <c r="AC2534" i="4"/>
  <c r="AB2535" i="4"/>
  <c r="AC2535" i="4"/>
  <c r="AB2536" i="4"/>
  <c r="AC2536" i="4"/>
  <c r="AB2537" i="4"/>
  <c r="AC2537" i="4"/>
  <c r="AB2538" i="4"/>
  <c r="AC2538" i="4"/>
  <c r="AB2539" i="4"/>
  <c r="AC2539" i="4"/>
  <c r="AB2540" i="4"/>
  <c r="AC2540" i="4"/>
  <c r="AB2541" i="4"/>
  <c r="AC2541" i="4"/>
  <c r="AB2542" i="4"/>
  <c r="AC2542" i="4"/>
  <c r="AB2543" i="4"/>
  <c r="AC2543" i="4"/>
  <c r="AB2544" i="4"/>
  <c r="AC2544" i="4"/>
  <c r="AB2545" i="4"/>
  <c r="AC2545" i="4"/>
  <c r="AB2546" i="4"/>
  <c r="AC2546" i="4"/>
  <c r="AB2547" i="4"/>
  <c r="AC2547" i="4"/>
  <c r="AB2548" i="4"/>
  <c r="AC2548" i="4"/>
  <c r="AB2549" i="4"/>
  <c r="AC2549" i="4"/>
  <c r="AB2550" i="4"/>
  <c r="AC2550" i="4"/>
  <c r="AB2551" i="4"/>
  <c r="AC2551" i="4"/>
  <c r="AB2552" i="4"/>
  <c r="AC2552" i="4"/>
  <c r="AB2553" i="4"/>
  <c r="AC2553" i="4"/>
  <c r="AB2554" i="4"/>
  <c r="AC2554" i="4"/>
  <c r="AB2555" i="4"/>
  <c r="AC2555" i="4"/>
  <c r="AB2556" i="4"/>
  <c r="AC2556" i="4"/>
  <c r="AB2557" i="4"/>
  <c r="AC2557" i="4"/>
  <c r="AB2558" i="4"/>
  <c r="AC2558" i="4"/>
  <c r="AB2559" i="4"/>
  <c r="AC2559" i="4"/>
  <c r="AB2560" i="4"/>
  <c r="AC2560" i="4"/>
  <c r="AB2561" i="4"/>
  <c r="AC2561" i="4"/>
  <c r="AB2562" i="4"/>
  <c r="AC2562" i="4"/>
  <c r="AB2563" i="4"/>
  <c r="AC2563" i="4"/>
  <c r="AB2564" i="4"/>
  <c r="AC2564" i="4"/>
  <c r="AB2565" i="4"/>
  <c r="AC2565" i="4"/>
  <c r="AB2566" i="4"/>
  <c r="AC2566" i="4"/>
  <c r="AB2567" i="4"/>
  <c r="AC2567" i="4"/>
  <c r="AB2568" i="4"/>
  <c r="AC2568" i="4"/>
  <c r="AB2569" i="4"/>
  <c r="AC2569" i="4"/>
  <c r="AB2570" i="4"/>
  <c r="AC2570" i="4"/>
  <c r="AB2571" i="4"/>
  <c r="AC2571" i="4"/>
  <c r="AB2572" i="4"/>
  <c r="AC2572" i="4"/>
  <c r="AB2573" i="4"/>
  <c r="AC2573" i="4"/>
  <c r="AB2574" i="4"/>
  <c r="AC2574" i="4"/>
  <c r="AB2575" i="4"/>
  <c r="AC2575" i="4"/>
  <c r="AB2576" i="4"/>
  <c r="AC2576" i="4"/>
  <c r="AB2577" i="4"/>
  <c r="AC2577" i="4"/>
  <c r="AB2579" i="4"/>
  <c r="AC2579" i="4"/>
  <c r="AB2580" i="4"/>
  <c r="AC2580" i="4"/>
  <c r="X2509" i="4"/>
  <c r="X2510" i="4"/>
  <c r="X2511" i="4"/>
  <c r="X2512" i="4"/>
  <c r="X2513" i="4"/>
  <c r="X2514" i="4"/>
  <c r="X2515" i="4"/>
  <c r="X2516" i="4"/>
  <c r="X2517" i="4"/>
  <c r="X2518" i="4"/>
  <c r="X2519" i="4"/>
  <c r="X2520" i="4"/>
  <c r="X2521" i="4"/>
  <c r="X2522" i="4"/>
  <c r="X2523" i="4"/>
  <c r="X2524" i="4"/>
  <c r="X2525" i="4"/>
  <c r="X2526" i="4"/>
  <c r="X2527" i="4"/>
  <c r="X2528" i="4"/>
  <c r="X2529" i="4"/>
  <c r="X2530" i="4"/>
  <c r="X2531" i="4"/>
  <c r="X2532" i="4"/>
  <c r="X2533" i="4"/>
  <c r="X2534" i="4"/>
  <c r="X2535" i="4"/>
  <c r="X2536" i="4"/>
  <c r="X2537" i="4"/>
  <c r="X2538" i="4"/>
  <c r="X2539" i="4"/>
  <c r="X2540" i="4"/>
  <c r="X2541" i="4"/>
  <c r="X2542" i="4"/>
  <c r="X2543" i="4"/>
  <c r="X2544" i="4"/>
  <c r="X2545" i="4"/>
  <c r="X2546" i="4"/>
  <c r="X2547" i="4"/>
  <c r="X2548" i="4"/>
  <c r="X2549" i="4"/>
  <c r="X2550" i="4"/>
  <c r="X2551" i="4"/>
  <c r="X2552" i="4"/>
  <c r="X2553" i="4"/>
  <c r="X2554" i="4"/>
  <c r="X2555" i="4"/>
  <c r="X2556" i="4"/>
  <c r="X2557" i="4"/>
  <c r="X2558" i="4"/>
  <c r="X2559" i="4"/>
  <c r="X2560" i="4"/>
  <c r="X2561" i="4"/>
  <c r="X2562" i="4"/>
  <c r="X2563" i="4"/>
  <c r="X2564" i="4"/>
  <c r="X2565" i="4"/>
  <c r="X2566" i="4"/>
  <c r="X2567" i="4"/>
  <c r="X2568" i="4"/>
  <c r="X2569" i="4"/>
  <c r="X2570" i="4"/>
  <c r="X2571" i="4"/>
  <c r="X2572" i="4"/>
  <c r="X2573" i="4"/>
  <c r="X2574" i="4"/>
  <c r="X2575" i="4"/>
  <c r="X2576" i="4"/>
  <c r="X2577" i="4"/>
  <c r="X2579" i="4"/>
  <c r="X2580"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09" i="4"/>
  <c r="X2503" i="4" l="1"/>
  <c r="X2504" i="4"/>
  <c r="X2506" i="4"/>
  <c r="X2507" i="4"/>
  <c r="X2508" i="4"/>
  <c r="X2594" i="4"/>
  <c r="X2595" i="4"/>
  <c r="X2596" i="4"/>
  <c r="X2597" i="4"/>
  <c r="X2652" i="4"/>
  <c r="X2653" i="4"/>
  <c r="X2654" i="4"/>
  <c r="X2655" i="4"/>
  <c r="X2656" i="4"/>
  <c r="X2657" i="4"/>
  <c r="X2658" i="4"/>
  <c r="X2659" i="4"/>
  <c r="X2660" i="4"/>
  <c r="AB2594" i="4"/>
  <c r="AC2594" i="4"/>
  <c r="AB2656" i="4"/>
  <c r="AC2656" i="4"/>
  <c r="AB2657" i="4"/>
  <c r="AC2657" i="4"/>
  <c r="AB2658" i="4"/>
  <c r="AC2658" i="4"/>
  <c r="AB2659" i="4"/>
  <c r="AC2659" i="4"/>
  <c r="AB2660" i="4"/>
  <c r="AC2660" i="4"/>
  <c r="AB2506" i="4"/>
  <c r="AC2506" i="4"/>
  <c r="AB2507" i="4"/>
  <c r="AC2507" i="4"/>
  <c r="AB2508" i="4"/>
  <c r="AC2508" i="4"/>
  <c r="AB2496" i="4" l="1"/>
  <c r="AC2496" i="4"/>
  <c r="AB2497" i="4"/>
  <c r="AC2497" i="4"/>
  <c r="AB2498" i="4"/>
  <c r="AC2498" i="4"/>
  <c r="AB2499" i="4"/>
  <c r="AC2499" i="4"/>
  <c r="AB2500" i="4"/>
  <c r="AC2500" i="4"/>
  <c r="AB2501" i="4"/>
  <c r="AC2501" i="4"/>
  <c r="AB2502" i="4"/>
  <c r="AC2502" i="4"/>
  <c r="AB2503" i="4"/>
  <c r="AC2503" i="4"/>
  <c r="AB2504" i="4"/>
  <c r="AC2504" i="4"/>
  <c r="X2481" i="4"/>
  <c r="X2482" i="4"/>
  <c r="X2483" i="4"/>
  <c r="X2484" i="4"/>
  <c r="X2485" i="4"/>
  <c r="X2486" i="4"/>
  <c r="X2487" i="4"/>
  <c r="X2488" i="4"/>
  <c r="X2489" i="4"/>
  <c r="X2490" i="4"/>
  <c r="X2491" i="4"/>
  <c r="X2492" i="4"/>
  <c r="X2494" i="4"/>
  <c r="X2495" i="4"/>
  <c r="X2496" i="4"/>
  <c r="X2497" i="4"/>
  <c r="X2498" i="4"/>
  <c r="X2499" i="4"/>
  <c r="X2500" i="4"/>
  <c r="X2501" i="4"/>
  <c r="X2502" i="4"/>
  <c r="AC2495" i="4" l="1"/>
  <c r="AB2495" i="4"/>
  <c r="AC2494" i="4"/>
  <c r="AB2494" i="4"/>
  <c r="AB2482" i="4"/>
  <c r="AC2482" i="4"/>
  <c r="AB2483" i="4"/>
  <c r="AC2483" i="4"/>
  <c r="AB2484" i="4"/>
  <c r="AC2484" i="4"/>
  <c r="AB2485" i="4"/>
  <c r="AC2485" i="4"/>
  <c r="AB2486" i="4"/>
  <c r="AC2486" i="4"/>
  <c r="AB2487" i="4"/>
  <c r="AC2487" i="4"/>
  <c r="AB2488" i="4"/>
  <c r="AC2488" i="4"/>
  <c r="AB2489" i="4"/>
  <c r="AC2489" i="4"/>
  <c r="AB2490" i="4"/>
  <c r="AC2490" i="4"/>
  <c r="AB2491" i="4"/>
  <c r="AC2491" i="4"/>
  <c r="AB2492" i="4"/>
  <c r="AC2492" i="4"/>
  <c r="I64" i="8" l="1"/>
  <c r="AC2481" i="4" l="1"/>
  <c r="I63" i="8"/>
  <c r="AB2481" i="4" l="1"/>
  <c r="I62" i="8"/>
  <c r="I57" i="8"/>
  <c r="AB2394" i="4" l="1"/>
  <c r="AC2394" i="4"/>
  <c r="AB2395" i="4"/>
  <c r="AC2395" i="4"/>
  <c r="AB2396" i="4"/>
  <c r="AC2396" i="4"/>
  <c r="AB2397" i="4"/>
  <c r="AC2397" i="4"/>
  <c r="AB2398" i="4"/>
  <c r="AC2398" i="4"/>
  <c r="AB2399" i="4"/>
  <c r="AC2399" i="4"/>
  <c r="AB2400" i="4"/>
  <c r="AC2400" i="4"/>
  <c r="AB2401" i="4"/>
  <c r="AC2401" i="4"/>
  <c r="AB2402" i="4"/>
  <c r="AC2402" i="4"/>
  <c r="AB2403" i="4"/>
  <c r="AC2403" i="4"/>
  <c r="AB2404" i="4"/>
  <c r="AC2404" i="4"/>
  <c r="AB2405" i="4"/>
  <c r="AC2405" i="4"/>
  <c r="AB2406" i="4"/>
  <c r="AC2406" i="4"/>
  <c r="AB2407" i="4"/>
  <c r="AC2407" i="4"/>
  <c r="AB2408" i="4"/>
  <c r="AC2408" i="4"/>
  <c r="AB2409" i="4"/>
  <c r="AC2409" i="4"/>
  <c r="AB2410" i="4"/>
  <c r="AC2410" i="4"/>
  <c r="AB2411" i="4"/>
  <c r="AC2411" i="4"/>
  <c r="AB2412" i="4"/>
  <c r="AC2412" i="4"/>
  <c r="AB2413" i="4"/>
  <c r="AC2413" i="4"/>
  <c r="AC2420" i="4"/>
  <c r="AC2418" i="4"/>
  <c r="AC2419" i="4"/>
  <c r="AB2418" i="4"/>
  <c r="AB2419" i="4"/>
  <c r="AB2420" i="4"/>
  <c r="W2419" i="4"/>
  <c r="X2419" i="4" s="1"/>
  <c r="W2420" i="4"/>
  <c r="X2420" i="4" s="1"/>
  <c r="W2418" i="4"/>
  <c r="X2418" i="4" s="1"/>
  <c r="AB2350" i="4"/>
  <c r="AC2350" i="4"/>
  <c r="AB2351" i="4"/>
  <c r="AC2351" i="4"/>
  <c r="AB2352" i="4"/>
  <c r="AC2352" i="4"/>
  <c r="AB2353" i="4"/>
  <c r="AC2353" i="4"/>
  <c r="AB2354" i="4"/>
  <c r="AC2354" i="4"/>
  <c r="AB2355" i="4"/>
  <c r="AC2355" i="4"/>
  <c r="AB2356" i="4"/>
  <c r="AC2356" i="4"/>
  <c r="AB2357" i="4"/>
  <c r="AC2357" i="4"/>
  <c r="AB2358" i="4"/>
  <c r="AC2358" i="4"/>
  <c r="AB2359" i="4"/>
  <c r="AC2359" i="4"/>
  <c r="AB2360" i="4"/>
  <c r="AC2360" i="4"/>
  <c r="AB2361" i="4"/>
  <c r="AC2361" i="4"/>
  <c r="AB2362" i="4"/>
  <c r="AC2362" i="4"/>
  <c r="AB2363" i="4"/>
  <c r="AC2363" i="4"/>
  <c r="AB2417" i="4"/>
  <c r="AC2417" i="4"/>
  <c r="AB2364" i="4"/>
  <c r="AC2364" i="4"/>
  <c r="AB2365" i="4"/>
  <c r="AC2365" i="4"/>
  <c r="AB2366" i="4"/>
  <c r="AC2366" i="4"/>
  <c r="AB2367" i="4"/>
  <c r="AC2367" i="4"/>
  <c r="AB2368" i="4"/>
  <c r="AC2368" i="4"/>
  <c r="AB2369" i="4"/>
  <c r="AC2369" i="4"/>
  <c r="AB2370" i="4"/>
  <c r="AC2370" i="4"/>
  <c r="AB2371" i="4"/>
  <c r="AC2371" i="4"/>
  <c r="AB2372" i="4"/>
  <c r="AC2372" i="4"/>
  <c r="AB2373" i="4"/>
  <c r="AC2373" i="4"/>
  <c r="AB2374" i="4"/>
  <c r="AC2374" i="4"/>
  <c r="AB2375" i="4"/>
  <c r="AC2375" i="4"/>
  <c r="AB2376" i="4"/>
  <c r="AC2376" i="4"/>
  <c r="AB2377" i="4"/>
  <c r="AC2377" i="4"/>
  <c r="AB2378" i="4"/>
  <c r="AC2378" i="4"/>
  <c r="AB2379" i="4"/>
  <c r="AC2379" i="4"/>
  <c r="AB2380" i="4"/>
  <c r="AC2380" i="4"/>
  <c r="AB2381" i="4"/>
  <c r="AC2381" i="4"/>
  <c r="AB2382" i="4"/>
  <c r="AC2382" i="4"/>
  <c r="X2312" i="4"/>
  <c r="X2313" i="4"/>
  <c r="X2314" i="4"/>
  <c r="X2315" i="4"/>
  <c r="X2316" i="4"/>
  <c r="X2317" i="4"/>
  <c r="X2318" i="4"/>
  <c r="X2319" i="4"/>
  <c r="X2320" i="4"/>
  <c r="X2321" i="4"/>
  <c r="X2322" i="4"/>
  <c r="X2323" i="4"/>
  <c r="X2324" i="4"/>
  <c r="X2325" i="4"/>
  <c r="X2326" i="4"/>
  <c r="X2327" i="4"/>
  <c r="X2350" i="4"/>
  <c r="X2351" i="4"/>
  <c r="X2352" i="4"/>
  <c r="X2353" i="4"/>
  <c r="X2354" i="4"/>
  <c r="X2355" i="4"/>
  <c r="X2356" i="4"/>
  <c r="X2357" i="4"/>
  <c r="X2358" i="4"/>
  <c r="X2359" i="4"/>
  <c r="X2360" i="4"/>
  <c r="X2394" i="4"/>
  <c r="X2361" i="4"/>
  <c r="X2362" i="4"/>
  <c r="X2395" i="4"/>
  <c r="X2396" i="4"/>
  <c r="X2397" i="4"/>
  <c r="X2398" i="4"/>
  <c r="X2399" i="4"/>
  <c r="X2363" i="4"/>
  <c r="X2400" i="4"/>
  <c r="X2417" i="4"/>
  <c r="X2401" i="4"/>
  <c r="X2364" i="4"/>
  <c r="X2365" i="4"/>
  <c r="X2366" i="4"/>
  <c r="X2367" i="4"/>
  <c r="X2368" i="4"/>
  <c r="X2369" i="4"/>
  <c r="X2370" i="4"/>
  <c r="X2371" i="4"/>
  <c r="X2402" i="4"/>
  <c r="X2372" i="4"/>
  <c r="X2403" i="4"/>
  <c r="X2373" i="4"/>
  <c r="X2374" i="4"/>
  <c r="X2375" i="4"/>
  <c r="X2404" i="4"/>
  <c r="X2376" i="4"/>
  <c r="X2377" i="4"/>
  <c r="X2378" i="4"/>
  <c r="X2379" i="4"/>
  <c r="X2380" i="4"/>
  <c r="X2381" i="4"/>
  <c r="X2382" i="4"/>
  <c r="X2405" i="4"/>
  <c r="X2406" i="4"/>
  <c r="X2407" i="4"/>
  <c r="X2408" i="4"/>
  <c r="X2409" i="4"/>
  <c r="X2410" i="4"/>
  <c r="X2411" i="4"/>
  <c r="X2412" i="4"/>
  <c r="X2413" i="4"/>
  <c r="X2415" i="4" l="1"/>
  <c r="AB2415" i="4"/>
  <c r="AC2415" i="4"/>
  <c r="AB2391" i="4"/>
  <c r="AC2391" i="4"/>
  <c r="AB2392" i="4"/>
  <c r="AC2392" i="4"/>
  <c r="X2391" i="4"/>
  <c r="X2392" i="4"/>
  <c r="AB2315" i="4" l="1"/>
  <c r="AC2315" i="4"/>
  <c r="AB2316" i="4"/>
  <c r="AC2316" i="4"/>
  <c r="AB2317" i="4"/>
  <c r="AC2317" i="4"/>
  <c r="AB2318" i="4"/>
  <c r="AC2318" i="4"/>
  <c r="AB2319" i="4"/>
  <c r="AC2319" i="4"/>
  <c r="AB2320" i="4"/>
  <c r="AC23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AB2321" i="4"/>
  <c r="AC2321" i="4"/>
  <c r="AB2322" i="4"/>
  <c r="AC2322" i="4"/>
  <c r="AB2323" i="4"/>
  <c r="AC2323" i="4"/>
  <c r="AB2324" i="4"/>
  <c r="AC2324" i="4"/>
  <c r="AB2325" i="4"/>
  <c r="AC2325" i="4"/>
  <c r="AB2326" i="4"/>
  <c r="AC2326" i="4"/>
  <c r="AB2327" i="4"/>
  <c r="AC2327" i="4"/>
  <c r="BN2262" i="4" a="1"/>
  <c r="BN2262" i="4" s="1"/>
  <c r="BL2262" i="4" a="1"/>
  <c r="BL2262" i="4" s="1"/>
  <c r="BJ2262" i="4" a="1"/>
  <c r="BJ2262" i="4" s="1"/>
  <c r="BI2262" i="4" a="1"/>
  <c r="BI2262" i="4" s="1"/>
  <c r="BF2262" i="4" a="1"/>
  <c r="BF2262" i="4" s="1"/>
  <c r="M58" i="8"/>
  <c r="L58" i="8"/>
  <c r="I58" i="8"/>
  <c r="AB2306" i="4" l="1"/>
  <c r="AC2306" i="4"/>
  <c r="AB2307" i="4"/>
  <c r="AC2307" i="4"/>
  <c r="AB2308" i="4"/>
  <c r="AC2308" i="4"/>
  <c r="AB2309" i="4"/>
  <c r="AC2309" i="4"/>
  <c r="AB2310" i="4"/>
  <c r="AC2310" i="4"/>
  <c r="AB2311" i="4"/>
  <c r="AC2311" i="4"/>
  <c r="AB2312" i="4"/>
  <c r="AC2312" i="4"/>
  <c r="AB2313" i="4"/>
  <c r="AC2313" i="4"/>
  <c r="AB2314" i="4"/>
  <c r="AC2314" i="4"/>
  <c r="AB2262" i="4"/>
  <c r="AC2262" i="4"/>
  <c r="AB2263" i="4"/>
  <c r="AC2263" i="4"/>
  <c r="AB2264" i="4"/>
  <c r="AC2264" i="4"/>
  <c r="AB2265" i="4"/>
  <c r="AC2265" i="4"/>
  <c r="AB2266" i="4"/>
  <c r="AC2266" i="4"/>
  <c r="AB2267" i="4"/>
  <c r="AC2267" i="4"/>
  <c r="AB2268" i="4"/>
  <c r="AC2268" i="4"/>
  <c r="AB2269" i="4"/>
  <c r="AC2269" i="4"/>
  <c r="AB2270" i="4"/>
  <c r="AC2270" i="4"/>
  <c r="AB2271" i="4"/>
  <c r="AC2271" i="4"/>
  <c r="AB2272" i="4"/>
  <c r="AC2272" i="4"/>
  <c r="AB2273" i="4"/>
  <c r="AC2273" i="4"/>
  <c r="AB2274" i="4"/>
  <c r="AC2274" i="4"/>
  <c r="AB2275" i="4"/>
  <c r="AC2275" i="4"/>
  <c r="AB2276" i="4"/>
  <c r="AC2276" i="4"/>
  <c r="AB2277" i="4"/>
  <c r="AC2277" i="4"/>
  <c r="AB2278" i="4"/>
  <c r="AC2278" i="4"/>
  <c r="AB2279" i="4"/>
  <c r="AC2279" i="4"/>
  <c r="AB2280" i="4"/>
  <c r="AC2280" i="4"/>
  <c r="AB2281" i="4"/>
  <c r="AC2281" i="4"/>
  <c r="AB2282" i="4"/>
  <c r="AC2282" i="4"/>
  <c r="AB2283" i="4"/>
  <c r="AC2283" i="4"/>
  <c r="AB2284" i="4"/>
  <c r="AC2284" i="4"/>
  <c r="AB2384" i="4"/>
  <c r="AC2384" i="4"/>
  <c r="AB2285" i="4"/>
  <c r="AC2285" i="4"/>
  <c r="AB2286" i="4"/>
  <c r="AC2286" i="4"/>
  <c r="AB2287" i="4"/>
  <c r="AC2287" i="4"/>
  <c r="AB2288" i="4"/>
  <c r="AC2288" i="4"/>
  <c r="AB2289" i="4"/>
  <c r="AC2289" i="4"/>
  <c r="AB2290" i="4"/>
  <c r="AC2290" i="4"/>
  <c r="AB2291" i="4"/>
  <c r="AC2291" i="4"/>
  <c r="AB2292" i="4"/>
  <c r="AC2292" i="4"/>
  <c r="AB2293" i="4"/>
  <c r="AC2293" i="4"/>
  <c r="AB2294" i="4"/>
  <c r="AC2294" i="4"/>
  <c r="AB2295" i="4"/>
  <c r="AC2295" i="4"/>
  <c r="AB2385" i="4"/>
  <c r="AC2385" i="4"/>
  <c r="AB2386" i="4"/>
  <c r="AC2386" i="4"/>
  <c r="AB2387" i="4"/>
  <c r="AC2387" i="4"/>
  <c r="AB2388" i="4"/>
  <c r="AC2388" i="4"/>
  <c r="AB2389" i="4"/>
  <c r="AC2389" i="4"/>
  <c r="AB2390" i="4"/>
  <c r="AC2390" i="4"/>
  <c r="AB2296" i="4"/>
  <c r="AC2296" i="4"/>
  <c r="AB2297" i="4"/>
  <c r="AC2297" i="4"/>
  <c r="AB2298" i="4"/>
  <c r="AC2298" i="4"/>
  <c r="AB2299" i="4"/>
  <c r="AC2299" i="4"/>
  <c r="AB2300" i="4"/>
  <c r="AC2300" i="4"/>
  <c r="AB2301" i="4"/>
  <c r="AC2301" i="4"/>
  <c r="AB2302" i="4"/>
  <c r="AC2302" i="4"/>
  <c r="AB2303" i="4"/>
  <c r="AC2303" i="4"/>
  <c r="AB2304" i="4"/>
  <c r="AC2304" i="4"/>
  <c r="AB2305" i="4"/>
  <c r="AC2305" i="4"/>
  <c r="X2384" i="4"/>
  <c r="X2385" i="4"/>
  <c r="X2386" i="4"/>
  <c r="X2387" i="4"/>
  <c r="X2388" i="4"/>
  <c r="X2389" i="4"/>
  <c r="X2390" i="4"/>
  <c r="BN2232" i="4" l="1" a="1"/>
  <c r="BN2232" i="4" s="1"/>
  <c r="BL2232" i="4" a="1"/>
  <c r="BL2232" i="4" s="1"/>
  <c r="BJ2232" i="4" a="1"/>
  <c r="BJ2232" i="4" s="1"/>
  <c r="BI2232" i="4" a="1"/>
  <c r="BI2232" i="4" s="1"/>
  <c r="BF2232" i="4" a="1"/>
  <c r="BF2232" i="4" s="1"/>
  <c r="I51" i="8"/>
  <c r="AD2234" i="4"/>
  <c r="AD2235" i="4"/>
  <c r="AD2236" i="4"/>
  <c r="AD2237" i="4"/>
  <c r="AD2238" i="4"/>
  <c r="AD2239" i="4"/>
  <c r="AD2240" i="4"/>
  <c r="AD2241" i="4"/>
  <c r="AD2242" i="4"/>
  <c r="AD2243" i="4"/>
  <c r="AD2244" i="4"/>
  <c r="AD2245" i="4"/>
  <c r="AB2232" i="4"/>
  <c r="AC2232" i="4"/>
  <c r="AB2233" i="4"/>
  <c r="AC2233" i="4"/>
  <c r="AB2234" i="4"/>
  <c r="AC2234" i="4"/>
  <c r="AB2235" i="4"/>
  <c r="AC2235" i="4"/>
  <c r="AB2236" i="4"/>
  <c r="AC2236" i="4"/>
  <c r="AB2237" i="4"/>
  <c r="AC2237" i="4"/>
  <c r="AB2238" i="4"/>
  <c r="AC2238" i="4"/>
  <c r="AB2239" i="4"/>
  <c r="AC2239" i="4"/>
  <c r="AB2240" i="4"/>
  <c r="AC2240" i="4"/>
  <c r="AB2241" i="4"/>
  <c r="AC2241" i="4"/>
  <c r="AB2242" i="4"/>
  <c r="AC2242" i="4"/>
  <c r="AB2243" i="4"/>
  <c r="AC2243" i="4"/>
  <c r="AB2244" i="4"/>
  <c r="AC2244" i="4"/>
  <c r="AB2245" i="4"/>
  <c r="AC2245" i="4"/>
  <c r="AB2246" i="4"/>
  <c r="AC2246" i="4"/>
  <c r="AB2247" i="4"/>
  <c r="AC2247" i="4"/>
  <c r="AB2248" i="4"/>
  <c r="AC2248" i="4"/>
  <c r="AB2249" i="4"/>
  <c r="AC2249" i="4"/>
  <c r="AB2250" i="4"/>
  <c r="AC2250" i="4"/>
  <c r="AB2251" i="4"/>
  <c r="AC2251" i="4"/>
  <c r="AB2252" i="4"/>
  <c r="AC2252" i="4"/>
  <c r="AB2253" i="4"/>
  <c r="AC2253" i="4"/>
  <c r="AB2254" i="4"/>
  <c r="AC2254" i="4"/>
  <c r="AB2255" i="4"/>
  <c r="AC2255" i="4"/>
  <c r="AB2256" i="4"/>
  <c r="AC2256" i="4"/>
  <c r="AB2257" i="4"/>
  <c r="AC2257" i="4"/>
  <c r="AB2258" i="4"/>
  <c r="AC2258" i="4"/>
  <c r="AB2259" i="4"/>
  <c r="AC2259" i="4"/>
  <c r="AB2260" i="4"/>
  <c r="AC2260" i="4"/>
  <c r="AB2261" i="4"/>
  <c r="AC2261" i="4"/>
  <c r="BN2221" i="4" l="1" a="1"/>
  <c r="BN2221" i="4" s="1"/>
  <c r="BL2221" i="4" a="1"/>
  <c r="BL2221" i="4" s="1"/>
  <c r="BJ2221" i="4" a="1"/>
  <c r="BJ2221" i="4" s="1"/>
  <c r="BI2221" i="4" a="1"/>
  <c r="BI2221" i="4" s="1"/>
  <c r="BF2221" i="4" a="1"/>
  <c r="BF2221" i="4" s="1"/>
  <c r="AB2220" i="4" l="1"/>
  <c r="AC2220" i="4"/>
  <c r="AB2221" i="4"/>
  <c r="AC2221" i="4"/>
  <c r="AB2222" i="4"/>
  <c r="AC2222" i="4"/>
  <c r="AB2223" i="4"/>
  <c r="AC2223" i="4"/>
  <c r="AB2224" i="4"/>
  <c r="AC2224" i="4"/>
  <c r="AB2225" i="4"/>
  <c r="AC2225" i="4"/>
  <c r="AB2226" i="4"/>
  <c r="AC2226" i="4"/>
  <c r="AB2227" i="4"/>
  <c r="AC2227" i="4"/>
  <c r="AB2228" i="4"/>
  <c r="AC2228" i="4"/>
  <c r="AB2229" i="4"/>
  <c r="AC2229" i="4"/>
  <c r="AB2230" i="4"/>
  <c r="AC2230" i="4"/>
  <c r="AB2231" i="4"/>
  <c r="AC2231" i="4"/>
  <c r="AD2222" i="4"/>
  <c r="AD2223" i="4"/>
  <c r="AD2224" i="4"/>
  <c r="AD2225" i="4"/>
  <c r="AD2226" i="4"/>
  <c r="AD2227" i="4"/>
  <c r="AD2228" i="4"/>
  <c r="AD2229" i="4"/>
  <c r="AD2230" i="4"/>
  <c r="AD2231" i="4"/>
  <c r="AD2232" i="4"/>
  <c r="AD2233" i="4"/>
  <c r="AD2221" i="4"/>
  <c r="BN2220" i="4" a="1"/>
  <c r="BN2220" i="4" s="1"/>
  <c r="BL2220" i="4" a="1"/>
  <c r="BL2220" i="4" s="1"/>
  <c r="BJ2220" i="4" a="1"/>
  <c r="BJ2220" i="4" s="1"/>
  <c r="BI2220" i="4" a="1"/>
  <c r="BI2220" i="4" s="1"/>
  <c r="BF2220" i="4" a="1"/>
  <c r="BF2220" i="4" s="1"/>
  <c r="X2215" i="4"/>
  <c r="X2216" i="4"/>
  <c r="X2217" i="4"/>
  <c r="X2218" i="4"/>
  <c r="X2219" i="4"/>
  <c r="X2220" i="4"/>
  <c r="AD2220" i="4"/>
  <c r="BN2207" i="4" l="1" a="1"/>
  <c r="BN2207" i="4" s="1"/>
  <c r="BL2207" i="4" a="1"/>
  <c r="BL2207" i="4" s="1"/>
  <c r="BI2207" i="4" a="1"/>
  <c r="BI2207" i="4" s="1"/>
  <c r="BF2207" i="4" a="1"/>
  <c r="BF2207" i="4" s="1"/>
  <c r="X2206" i="4"/>
  <c r="X2207" i="4"/>
  <c r="X2208" i="4"/>
  <c r="X2209" i="4"/>
  <c r="X2210" i="4"/>
  <c r="X2211" i="4"/>
  <c r="AB2209" i="4"/>
  <c r="AC2209" i="4"/>
  <c r="AB2210" i="4"/>
  <c r="AC2210" i="4"/>
  <c r="AB2211" i="4"/>
  <c r="AC2211" i="4"/>
  <c r="AB2212" i="4"/>
  <c r="AC2212" i="4"/>
  <c r="AB2213" i="4"/>
  <c r="AC2213" i="4"/>
  <c r="AB2214" i="4"/>
  <c r="AC2214" i="4"/>
  <c r="AB2215" i="4"/>
  <c r="AC2215" i="4"/>
  <c r="AB2216" i="4"/>
  <c r="AC2216" i="4"/>
  <c r="AB2217" i="4"/>
  <c r="AC2217" i="4"/>
  <c r="AB2218" i="4"/>
  <c r="AC2218" i="4"/>
  <c r="AB2219" i="4"/>
  <c r="AC2219" i="4"/>
  <c r="AB2207" i="4"/>
  <c r="AC2207" i="4"/>
  <c r="AB2208" i="4"/>
  <c r="AC2208" i="4"/>
  <c r="AD2207" i="4" l="1"/>
  <c r="AD2208" i="4"/>
  <c r="AD2209" i="4"/>
  <c r="AD2210" i="4"/>
  <c r="AD2211" i="4"/>
  <c r="AD2212" i="4"/>
  <c r="AD2213" i="4"/>
  <c r="AD2214" i="4"/>
  <c r="AD2215" i="4"/>
  <c r="AD2216" i="4"/>
  <c r="AD2217" i="4"/>
  <c r="AD2218" i="4"/>
  <c r="AD2219" i="4"/>
  <c r="X2214" i="4" l="1"/>
  <c r="X2213" i="4"/>
  <c r="X2212" i="4"/>
  <c r="BN2202" i="4" a="1"/>
  <c r="BN2202" i="4" s="1"/>
  <c r="BL2202" i="4" a="1"/>
  <c r="BL2202" i="4" s="1"/>
  <c r="BI2202" i="4" a="1"/>
  <c r="BI2202" i="4" s="1"/>
  <c r="BF2202" i="4" a="1"/>
  <c r="BF2202" i="4" s="1"/>
  <c r="BN2201" i="4" a="1"/>
  <c r="BN2201" i="4" s="1"/>
  <c r="BL2201" i="4" a="1"/>
  <c r="BL2201" i="4" s="1"/>
  <c r="BJ2201" i="4" a="1"/>
  <c r="BJ2201" i="4" s="1"/>
  <c r="BI2201" i="4" a="1"/>
  <c r="BI2201" i="4" s="1"/>
  <c r="BF2201" i="4" a="1"/>
  <c r="BF2201" i="4" s="1"/>
  <c r="AB2201" i="4"/>
  <c r="X2201" i="4"/>
  <c r="Z2201" i="4"/>
  <c r="AC2201" i="4" s="1"/>
  <c r="AD2201" i="4"/>
  <c r="BN2190" i="4" a="1"/>
  <c r="BN2190" i="4" s="1"/>
  <c r="BL2190" i="4" a="1"/>
  <c r="BL2190" i="4" s="1"/>
  <c r="BI2190" i="4" a="1"/>
  <c r="BI2190" i="4" s="1"/>
  <c r="BF2190" i="4" a="1"/>
  <c r="BF2190" i="4" s="1"/>
  <c r="AD2191" i="4" l="1"/>
  <c r="AD2192" i="4"/>
  <c r="AD2193" i="4"/>
  <c r="AD2194" i="4"/>
  <c r="AD2195" i="4"/>
  <c r="AD2196" i="4"/>
  <c r="AD2197" i="4"/>
  <c r="AD2198" i="4"/>
  <c r="AD2199" i="4"/>
  <c r="AD2200" i="4"/>
  <c r="AB2199" i="4"/>
  <c r="AB2200" i="4"/>
  <c r="Z2199" i="4"/>
  <c r="AC2199" i="4" s="1"/>
  <c r="Z2200" i="4"/>
  <c r="AC2200" i="4" s="1"/>
  <c r="X2199" i="4"/>
  <c r="X2200" i="4"/>
  <c r="BN2188" i="4" l="1" a="1"/>
  <c r="BN2188" i="4" s="1"/>
  <c r="BL2188" i="4" a="1"/>
  <c r="BL2188" i="4" s="1"/>
  <c r="BI2188" i="4" a="1"/>
  <c r="BI2188" i="4" s="1"/>
  <c r="BF2188" i="4" a="1"/>
  <c r="BF2188" i="4" s="1"/>
  <c r="BN2183" i="4" l="1" a="1"/>
  <c r="BN2183" i="4" s="1"/>
  <c r="BL2183" i="4" a="1"/>
  <c r="BL2183" i="4" s="1"/>
  <c r="BJ2183" i="4" a="1"/>
  <c r="BJ2183" i="4" s="1"/>
  <c r="BI2183" i="4" a="1"/>
  <c r="BI2183" i="4" s="1"/>
  <c r="BF2183" i="4" a="1"/>
  <c r="BF2183" i="4" s="1"/>
  <c r="BF1824" i="4" l="1" a="1"/>
  <c r="BF1824" i="4" s="1"/>
  <c r="BF2093" i="4" a="1"/>
  <c r="BF2093" i="4" s="1"/>
  <c r="I54" i="8"/>
  <c r="BJ2207" i="4" s="1" a="1"/>
  <c r="BJ2207" i="4" s="1"/>
  <c r="BI1165" i="4"/>
  <c r="BI1195" i="4"/>
  <c r="BI746" i="4"/>
  <c r="BI550" i="4"/>
  <c r="BI442" i="4" l="1"/>
  <c r="BF442" i="4"/>
  <c r="BF439" i="4"/>
  <c r="BN2187" i="4" a="1"/>
  <c r="BN2187" i="4" s="1"/>
  <c r="BL2187" i="4" a="1"/>
  <c r="BL2187" i="4" s="1"/>
  <c r="BI2187" i="4" a="1"/>
  <c r="BI2187" i="4" s="1"/>
  <c r="BF2187" i="4" a="1"/>
  <c r="BF2187" i="4" s="1"/>
  <c r="BN2186" i="4" a="1"/>
  <c r="BN2186" i="4" s="1"/>
  <c r="BL2186" i="4" a="1"/>
  <c r="BL2186" i="4" s="1"/>
  <c r="BI2186" i="4" a="1"/>
  <c r="BI2186" i="4" s="1"/>
  <c r="BF2186" i="4" a="1"/>
  <c r="BF2186" i="4" s="1"/>
  <c r="BN2185" i="4" a="1"/>
  <c r="BN2185" i="4" s="1"/>
  <c r="BL2185" i="4" a="1"/>
  <c r="BL2185" i="4" s="1"/>
  <c r="BJ2185" i="4" a="1"/>
  <c r="BJ2185" i="4" s="1"/>
  <c r="BI2185" i="4" a="1"/>
  <c r="BI2185" i="4" s="1"/>
  <c r="BF2185" i="4" a="1"/>
  <c r="BF2185" i="4" s="1"/>
  <c r="BN2181" i="4" a="1"/>
  <c r="BN2181" i="4" s="1"/>
  <c r="BL2181" i="4" a="1"/>
  <c r="BL2181" i="4" s="1"/>
  <c r="BJ2181" i="4" a="1"/>
  <c r="BJ2181" i="4" s="1"/>
  <c r="BI2181" i="4" a="1"/>
  <c r="BI2181" i="4" s="1"/>
  <c r="BF2181" i="4" a="1"/>
  <c r="BF2181" i="4" s="1"/>
  <c r="BN2179" i="4" a="1"/>
  <c r="BN2179" i="4" s="1"/>
  <c r="BL2179" i="4" a="1"/>
  <c r="BL2179" i="4" s="1"/>
  <c r="BJ2179" i="4" a="1"/>
  <c r="BJ2179" i="4" s="1"/>
  <c r="BI2179" i="4" a="1"/>
  <c r="BI2179" i="4" s="1"/>
  <c r="BF2179" i="4" a="1"/>
  <c r="BF2179" i="4" s="1"/>
  <c r="BN2177" i="4" a="1"/>
  <c r="BN2177" i="4" s="1"/>
  <c r="BL2177" i="4" a="1"/>
  <c r="BL2177" i="4" s="1"/>
  <c r="BF2177" i="4" a="1"/>
  <c r="BF2177" i="4" s="1"/>
  <c r="BN2176" i="4" a="1"/>
  <c r="BN2176" i="4" s="1"/>
  <c r="BL2176" i="4" a="1"/>
  <c r="BL2176" i="4" s="1"/>
  <c r="BI2176" i="4" a="1"/>
  <c r="BI2176" i="4" s="1"/>
  <c r="BF2176" i="4" a="1"/>
  <c r="BF2176" i="4" s="1"/>
  <c r="BN2150" i="4" a="1"/>
  <c r="BN2150" i="4" s="1"/>
  <c r="BL2150" i="4" a="1"/>
  <c r="BL2150" i="4" s="1"/>
  <c r="BJ2150" i="4" a="1"/>
  <c r="BJ2150" i="4" s="1"/>
  <c r="BI2150" i="4" a="1"/>
  <c r="BI2150" i="4" s="1"/>
  <c r="BF2150" i="4" a="1"/>
  <c r="BF2150" i="4" s="1"/>
  <c r="BN2149" i="4" a="1"/>
  <c r="BN2149" i="4" s="1"/>
  <c r="BL2149" i="4" a="1"/>
  <c r="BL2149" i="4" s="1"/>
  <c r="BF2149" i="4" a="1"/>
  <c r="BF2149" i="4" s="1"/>
  <c r="BN2144" i="4" a="1"/>
  <c r="BN2144" i="4" s="1"/>
  <c r="BL2144" i="4" a="1"/>
  <c r="BL2144" i="4" s="1"/>
  <c r="BJ2144" i="4" a="1"/>
  <c r="BJ2144" i="4" s="1"/>
  <c r="BI2144" i="4" a="1"/>
  <c r="BI2144" i="4" s="1"/>
  <c r="BF2144" i="4" a="1"/>
  <c r="BF2144" i="4" s="1"/>
  <c r="BN2133" i="4" a="1"/>
  <c r="BN2133" i="4" s="1"/>
  <c r="BL2133" i="4" a="1"/>
  <c r="BL2133" i="4" s="1"/>
  <c r="BI2133" i="4" a="1"/>
  <c r="BI2133" i="4" s="1"/>
  <c r="BF2133" i="4" a="1"/>
  <c r="BF2133" i="4" s="1"/>
  <c r="BN2116" i="4" a="1"/>
  <c r="BN2116" i="4" s="1"/>
  <c r="BL2116" i="4" a="1"/>
  <c r="BL2116" i="4" s="1"/>
  <c r="BI2116" i="4" a="1"/>
  <c r="BI2116" i="4" s="1"/>
  <c r="BF2116" i="4" a="1"/>
  <c r="BF2116" i="4" s="1"/>
  <c r="BN2093" i="4" a="1"/>
  <c r="BN2093" i="4" s="1"/>
  <c r="BL2093" i="4" a="1"/>
  <c r="BL2093" i="4" s="1"/>
  <c r="BJ2093" i="4" a="1"/>
  <c r="BJ2093" i="4" s="1"/>
  <c r="BI2093" i="4" a="1"/>
  <c r="BI2093" i="4" s="1"/>
  <c r="BN2079" i="4" a="1"/>
  <c r="BN2079" i="4" s="1"/>
  <c r="BL2079" i="4" a="1"/>
  <c r="BL2079" i="4" s="1"/>
  <c r="BI2079" i="4" a="1"/>
  <c r="BI2079" i="4" s="1"/>
  <c r="BF2079" i="4" a="1"/>
  <c r="BF2079" i="4" s="1"/>
  <c r="BN2078" i="4" a="1"/>
  <c r="BN2078" i="4" s="1"/>
  <c r="BL2078" i="4" a="1"/>
  <c r="BL2078" i="4" s="1"/>
  <c r="BJ2078" i="4" a="1"/>
  <c r="BJ2078" i="4" s="1"/>
  <c r="BI2078" i="4" a="1"/>
  <c r="BI2078" i="4" s="1"/>
  <c r="BF2078" i="4" a="1"/>
  <c r="BF2078" i="4" s="1"/>
  <c r="BN2058" i="4" a="1"/>
  <c r="BN2058" i="4" s="1"/>
  <c r="BL2058" i="4" a="1"/>
  <c r="BL2058" i="4" s="1"/>
  <c r="BF2058" i="4" a="1"/>
  <c r="BF2058" i="4" s="1"/>
  <c r="BN2030" i="4" a="1"/>
  <c r="BN2030" i="4" s="1"/>
  <c r="BL2030" i="4" a="1"/>
  <c r="BL2030" i="4" s="1"/>
  <c r="BJ2030" i="4" a="1"/>
  <c r="BJ2030" i="4" s="1"/>
  <c r="BI2030" i="4" a="1"/>
  <c r="BI2030" i="4" s="1"/>
  <c r="BF2030" i="4" a="1"/>
  <c r="BF2030" i="4" s="1"/>
  <c r="BN2009" i="4" a="1"/>
  <c r="BN2009" i="4" s="1"/>
  <c r="BL2009" i="4" a="1"/>
  <c r="BL2009" i="4" s="1"/>
  <c r="BI2009" i="4" a="1"/>
  <c r="BI2009" i="4" s="1"/>
  <c r="BF2009" i="4" a="1"/>
  <c r="BF2009" i="4" s="1"/>
  <c r="BN1833" i="4" a="1"/>
  <c r="BN1833" i="4" s="1"/>
  <c r="BL1833" i="4" a="1"/>
  <c r="BL1833" i="4" s="1"/>
  <c r="BI1833" i="4" a="1"/>
  <c r="BI1833" i="4" s="1"/>
  <c r="BF1833" i="4" a="1"/>
  <c r="BF1833" i="4" s="1"/>
  <c r="BN1827" i="4" a="1"/>
  <c r="BN1827" i="4" s="1"/>
  <c r="BL1827" i="4" a="1"/>
  <c r="BL1827" i="4" s="1"/>
  <c r="BJ1827" i="4" a="1"/>
  <c r="BJ1827" i="4" s="1"/>
  <c r="BI1827" i="4" a="1"/>
  <c r="BI1827" i="4" s="1"/>
  <c r="BF1827" i="4" a="1"/>
  <c r="BF1827" i="4" s="1"/>
  <c r="BN1824" i="4" a="1"/>
  <c r="BN1824" i="4" s="1"/>
  <c r="BL1824" i="4" a="1"/>
  <c r="BL1824" i="4" s="1"/>
  <c r="BJ1824" i="4" a="1"/>
  <c r="BJ1824" i="4" s="1"/>
  <c r="BI1824" i="4" a="1"/>
  <c r="BI1824" i="4" s="1"/>
  <c r="BL1690" i="4" a="1"/>
  <c r="BL1690" i="4" s="1"/>
  <c r="BF1690" i="4" a="1"/>
  <c r="BF1690" i="4" s="1"/>
  <c r="BF1675" i="4" a="1"/>
  <c r="BF1675" i="4" s="1"/>
  <c r="BN1675" i="4" a="1"/>
  <c r="BN1675" i="4" s="1"/>
  <c r="BL1675" i="4" a="1"/>
  <c r="BL1675" i="4" s="1"/>
  <c r="BI1675" i="4" a="1"/>
  <c r="BI1675" i="4" s="1"/>
  <c r="BN1623" i="4" a="1"/>
  <c r="BN1623" i="4" s="1"/>
  <c r="BL1623" i="4" a="1"/>
  <c r="BL1623" i="4" s="1"/>
  <c r="BI1623" i="4" a="1"/>
  <c r="BI1623" i="4" s="1"/>
  <c r="BF1623" i="4" a="1"/>
  <c r="BF1623" i="4" s="1"/>
  <c r="BN1618" i="4" a="1"/>
  <c r="BN1618" i="4" s="1"/>
  <c r="BL1618" i="4" a="1"/>
  <c r="BL1618" i="4" s="1"/>
  <c r="BJ1618" i="4" a="1"/>
  <c r="BJ1618" i="4" s="1"/>
  <c r="BI1618" i="4" a="1"/>
  <c r="BI1618" i="4" s="1"/>
  <c r="BF1618" i="4" a="1"/>
  <c r="BF1618" i="4" s="1"/>
  <c r="BN1586" i="4" a="1"/>
  <c r="BN1586" i="4" s="1"/>
  <c r="BL1586" i="4" a="1"/>
  <c r="BL1586" i="4" s="1"/>
  <c r="BI1586" i="4" a="1"/>
  <c r="BI1586" i="4" s="1"/>
  <c r="BF1586" i="4" a="1"/>
  <c r="BF1586" i="4" s="1"/>
  <c r="BN1547" i="4" a="1"/>
  <c r="BN1547" i="4" s="1"/>
  <c r="BL1547" i="4" a="1"/>
  <c r="BL1547" i="4" s="1"/>
  <c r="BI1547" i="4" a="1"/>
  <c r="BI1547" i="4" s="1"/>
  <c r="BF1547" i="4" a="1"/>
  <c r="BF1547" i="4" s="1"/>
  <c r="BN1455" i="4" a="1"/>
  <c r="BN1455" i="4" s="1"/>
  <c r="BL1455" i="4" a="1"/>
  <c r="BL1455" i="4" s="1"/>
  <c r="BI1455" i="4" a="1"/>
  <c r="BI1455" i="4" s="1"/>
  <c r="BF1455" i="4" a="1"/>
  <c r="BF1455" i="4" s="1"/>
  <c r="BN1442" i="4" a="1"/>
  <c r="BN1442" i="4" s="1"/>
  <c r="BL1442" i="4" a="1"/>
  <c r="BL1442" i="4" s="1"/>
  <c r="BI1442" i="4" a="1"/>
  <c r="BI1442" i="4" s="1"/>
  <c r="BF1442" i="4" a="1"/>
  <c r="BF1442" i="4" s="1"/>
  <c r="BF1410" i="4" a="1"/>
  <c r="BF1410" i="4" s="1"/>
  <c r="BN1410" i="4" a="1"/>
  <c r="BN1410" i="4" s="1"/>
  <c r="BL1410" i="4" a="1"/>
  <c r="BL1410" i="4" s="1"/>
  <c r="BI1410" i="4" a="1"/>
  <c r="BI1410" i="4" s="1"/>
  <c r="BN1409" i="4" a="1"/>
  <c r="BN1409" i="4" s="1"/>
  <c r="BL1409" i="4" a="1"/>
  <c r="BL1409" i="4" s="1"/>
  <c r="BJ1409" i="4" a="1"/>
  <c r="BJ1409" i="4" s="1"/>
  <c r="BI1409" i="4" a="1"/>
  <c r="BI1409" i="4" s="1"/>
  <c r="BF1409" i="4" a="1"/>
  <c r="BF1409" i="4" s="1"/>
  <c r="BN1408" i="4" a="1"/>
  <c r="BN1408" i="4" s="1"/>
  <c r="BL1408" i="4" a="1"/>
  <c r="BL1408" i="4" s="1"/>
  <c r="BJ1408" i="4" a="1"/>
  <c r="BJ1408" i="4" s="1"/>
  <c r="BI1408" i="4" a="1"/>
  <c r="BI1408" i="4" s="1"/>
  <c r="BF1408" i="4" a="1"/>
  <c r="BF1408" i="4" s="1"/>
  <c r="BN1407" i="4" a="1"/>
  <c r="BN1407" i="4" s="1"/>
  <c r="BL1407" i="4" a="1"/>
  <c r="BL1407" i="4" s="1"/>
  <c r="BJ1407" i="4" a="1"/>
  <c r="BJ1407" i="4" s="1"/>
  <c r="BI1407" i="4" a="1"/>
  <c r="BI1407" i="4" s="1"/>
  <c r="BF1407" i="4" a="1"/>
  <c r="BF1407" i="4" s="1"/>
  <c r="BN1406" i="4" a="1"/>
  <c r="BN1406" i="4" s="1"/>
  <c r="BL1406" i="4" a="1"/>
  <c r="BL1406" i="4" s="1"/>
  <c r="BJ1406" i="4" a="1"/>
  <c r="BJ1406" i="4" s="1"/>
  <c r="BI1406" i="4" a="1"/>
  <c r="BI1406" i="4" s="1"/>
  <c r="BF1406" i="4" a="1"/>
  <c r="BF1406" i="4" s="1"/>
  <c r="BN1403" i="4" a="1"/>
  <c r="BN1403" i="4" s="1"/>
  <c r="BL1403" i="4" a="1"/>
  <c r="BL1403" i="4" s="1"/>
  <c r="BJ1403" i="4" a="1"/>
  <c r="BJ1403" i="4" s="1"/>
  <c r="BI1403" i="4" a="1"/>
  <c r="BI1403" i="4" s="1"/>
  <c r="BF1403" i="4" a="1"/>
  <c r="BF1403" i="4" s="1"/>
  <c r="BN1399" i="4" a="1"/>
  <c r="BN1399" i="4" s="1"/>
  <c r="BL1399" i="4" a="1"/>
  <c r="BL1399" i="4" s="1"/>
  <c r="BJ1399" i="4" a="1"/>
  <c r="BJ1399" i="4" s="1"/>
  <c r="BF1399" i="4" a="1"/>
  <c r="BF1399" i="4" s="1"/>
  <c r="BN1398" i="4" a="1"/>
  <c r="BN1398" i="4" s="1"/>
  <c r="BL1398" i="4" a="1"/>
  <c r="BL1398" i="4" s="1"/>
  <c r="BJ1398" i="4" a="1"/>
  <c r="BJ1398" i="4" s="1"/>
  <c r="BI1398" i="4" a="1"/>
  <c r="BI1398" i="4" s="1"/>
  <c r="BF1398" i="4" a="1"/>
  <c r="BF1398" i="4" s="1"/>
  <c r="BN1370" i="4" a="1"/>
  <c r="BN1370" i="4" s="1"/>
  <c r="BL1370" i="4" a="1"/>
  <c r="BL1370" i="4" s="1"/>
  <c r="BJ1370" i="4" a="1"/>
  <c r="BJ1370" i="4" s="1"/>
  <c r="BF1370" i="4" a="1"/>
  <c r="BF1370" i="4" s="1"/>
  <c r="BL1355" i="4" a="1"/>
  <c r="BL1355" i="4" s="1"/>
  <c r="BJ1355" i="4" a="1"/>
  <c r="BJ1355" i="4" s="1"/>
  <c r="BF1355" i="4" a="1"/>
  <c r="BF1355" i="4" s="1"/>
  <c r="BN1300" i="4" a="1"/>
  <c r="BN1300" i="4" s="1"/>
  <c r="BL1300" i="4" a="1"/>
  <c r="BL1300" i="4" s="1"/>
  <c r="BJ1300" i="4" a="1"/>
  <c r="BJ1300" i="4" s="1"/>
  <c r="BF1300" i="4" a="1"/>
  <c r="BF1300" i="4" s="1"/>
  <c r="BN1226" i="4" a="1"/>
  <c r="BN1226" i="4" s="1"/>
  <c r="BL1226" i="4" a="1"/>
  <c r="BL1226" i="4" s="1"/>
  <c r="BJ1226" i="4" a="1"/>
  <c r="BJ1226" i="4" s="1"/>
  <c r="BI1226" i="4" a="1"/>
  <c r="BI1226" i="4" s="1"/>
  <c r="BF1226" i="4" a="1"/>
  <c r="BF1226" i="4" s="1"/>
  <c r="BN1223" i="4" a="1"/>
  <c r="BN1223" i="4" s="1"/>
  <c r="BL1223" i="4" a="1"/>
  <c r="BL1223" i="4" s="1"/>
  <c r="BJ1223" i="4" a="1"/>
  <c r="BJ1223" i="4" s="1"/>
  <c r="BF1223" i="4" a="1"/>
  <c r="BF1223" i="4" s="1"/>
  <c r="BN1209" i="4" a="1"/>
  <c r="BN1209" i="4" s="1"/>
  <c r="BL1209" i="4" a="1"/>
  <c r="BL1209" i="4" s="1"/>
  <c r="BJ1209" i="4" a="1"/>
  <c r="BJ1209" i="4" s="1"/>
  <c r="BF1209" i="4" a="1"/>
  <c r="BF1209" i="4" s="1"/>
  <c r="W59" i="8"/>
  <c r="BI373" i="4" l="1"/>
  <c r="BI352" i="4"/>
  <c r="BI349" i="4"/>
  <c r="BI306" i="4"/>
  <c r="BI231" i="4"/>
  <c r="BN227" i="4"/>
  <c r="BI227" i="4" l="1"/>
  <c r="BN136" i="4"/>
  <c r="BN99" i="4"/>
  <c r="BI99" i="4"/>
  <c r="BI45" i="4"/>
  <c r="AB1210" i="4" l="1"/>
  <c r="AD1209" i="4"/>
  <c r="CE1674" i="4"/>
  <c r="CD1674" i="4"/>
  <c r="CC2118" i="4"/>
  <c r="CC1686" i="4"/>
  <c r="CC937" i="4"/>
  <c r="BJ2190" i="4" l="1" a="1"/>
  <c r="BJ2190" i="4" s="1"/>
  <c r="I53" i="8" l="1"/>
  <c r="BJ2202" i="4" s="1" a="1"/>
  <c r="BJ2202" i="4" s="1"/>
  <c r="Z2197" i="4" l="1"/>
  <c r="Z2198" i="4"/>
  <c r="AB2198" i="4" s="1"/>
  <c r="X2198" i="4"/>
  <c r="AC2198" i="4" l="1"/>
  <c r="AD2186" i="4" l="1"/>
  <c r="X2186" i="4"/>
  <c r="AB2185" i="4"/>
  <c r="AC2185" i="4"/>
  <c r="AB2186" i="4"/>
  <c r="AC2186" i="4"/>
  <c r="Z2183" i="4" l="1"/>
  <c r="Z2184" i="4"/>
  <c r="AC2184" i="4" s="1"/>
  <c r="AC2190" i="4"/>
  <c r="Z2191" i="4"/>
  <c r="AC2191" i="4" s="1"/>
  <c r="Z2192" i="4"/>
  <c r="AC2192" i="4" s="1"/>
  <c r="Z2193" i="4"/>
  <c r="AC2193" i="4" s="1"/>
  <c r="Z2194" i="4"/>
  <c r="AC2194" i="4" s="1"/>
  <c r="Z2195" i="4"/>
  <c r="AC2195" i="4" s="1"/>
  <c r="Z2196" i="4"/>
  <c r="AC2196" i="4" s="1"/>
  <c r="AC2197" i="4"/>
  <c r="Z2206" i="4"/>
  <c r="Z2204" i="4"/>
  <c r="Z2202" i="4"/>
  <c r="Z2176" i="4"/>
  <c r="AB2193" i="4" l="1"/>
  <c r="AB2202" i="4"/>
  <c r="Z2177" i="4"/>
  <c r="Z2182" i="4"/>
  <c r="AB2152" i="4"/>
  <c r="X2152" i="4"/>
  <c r="AB2158" i="4"/>
  <c r="X2176" i="4"/>
  <c r="X2193" i="4"/>
  <c r="Z2187" i="4"/>
  <c r="AB2206" i="4"/>
  <c r="AB2196" i="4"/>
  <c r="AB2191" i="4"/>
  <c r="AB2192" i="4"/>
  <c r="AB2194" i="4"/>
  <c r="AB2195" i="4"/>
  <c r="AB2197" i="4"/>
  <c r="AB2190" i="4"/>
  <c r="X2190" i="4" l="1"/>
  <c r="X2191" i="4"/>
  <c r="X2192" i="4"/>
  <c r="X2194" i="4"/>
  <c r="X2195" i="4"/>
  <c r="X2196" i="4"/>
  <c r="X2197" i="4"/>
  <c r="AD2190" i="4"/>
  <c r="X2183" i="4" l="1"/>
  <c r="AD2183" i="4"/>
  <c r="AC2183" i="4" l="1"/>
  <c r="AB2183" i="4"/>
  <c r="I49" i="8"/>
  <c r="BJ2186" i="4" l="1" a="1"/>
  <c r="BJ2186" i="4" s="1"/>
  <c r="X2184" i="4" l="1"/>
  <c r="AD2184" i="4"/>
  <c r="AB2184" i="4" l="1"/>
  <c r="W43" i="8" l="1"/>
  <c r="BE2180" i="4"/>
  <c r="BE2179" i="4"/>
  <c r="BO2179" i="4" s="1"/>
  <c r="BO2180" i="4" l="1"/>
  <c r="BR2180" i="4"/>
  <c r="BU2180" i="4"/>
  <c r="BS2180" i="4"/>
  <c r="BW2180" i="4"/>
  <c r="BX2180" i="4" l="1"/>
  <c r="BR2179" i="4"/>
  <c r="BS2179" i="4"/>
  <c r="BU2179" i="4"/>
  <c r="BW2179" i="4"/>
  <c r="BX2179" i="4" l="1"/>
  <c r="AD2180" i="4"/>
  <c r="AB2180" i="4"/>
  <c r="AC2180" i="4"/>
  <c r="AG2180" i="4" s="1"/>
  <c r="X2180" i="4"/>
  <c r="BY2180" i="4" l="1"/>
  <c r="BZ2180" i="4" s="1"/>
  <c r="CA2180" i="4"/>
  <c r="AI2180" i="4"/>
  <c r="X2079" i="4" l="1"/>
  <c r="I43" i="8" l="1"/>
  <c r="BJ2177" i="4" s="1" a="1"/>
  <c r="BJ2177" i="4" s="1"/>
  <c r="S43" i="8" l="1"/>
  <c r="BI2177" i="4" s="1" a="1"/>
  <c r="BI2177" i="4" s="1"/>
  <c r="I42" i="8" l="1"/>
  <c r="BJ2176" i="4" s="1" a="1"/>
  <c r="BJ2176" i="4" s="1"/>
  <c r="I50" i="8" l="1"/>
  <c r="BJ2187" i="4" l="1" a="1"/>
  <c r="BJ2187" i="4" s="1"/>
  <c r="BJ2188" i="4" a="1"/>
  <c r="BJ2188" i="4" s="1"/>
  <c r="S40" i="8"/>
  <c r="W40" i="8"/>
  <c r="AB2178" i="4" l="1"/>
  <c r="AC2178" i="4"/>
  <c r="X2178" i="4"/>
  <c r="G81" i="3" l="1"/>
  <c r="U40" i="8" l="1"/>
  <c r="BI2149" i="4" s="1" a="1"/>
  <c r="BI2149" i="4" s="1"/>
  <c r="Z2149" i="4"/>
  <c r="AC2149" i="4" s="1"/>
  <c r="X2149" i="4"/>
  <c r="AB2149" i="4" l="1"/>
  <c r="I40" i="8" l="1"/>
  <c r="BJ2149" i="4" s="1" a="1"/>
  <c r="BJ2149" i="4" s="1"/>
  <c r="AD2182" i="4" l="1"/>
  <c r="AD2181" i="4"/>
  <c r="AB2182" i="4"/>
  <c r="Z2181" i="4"/>
  <c r="AB2181" i="4" s="1"/>
  <c r="X2182" i="4"/>
  <c r="X2181" i="4"/>
  <c r="AC2181" i="4" l="1"/>
  <c r="AC2182" i="4"/>
  <c r="AD2175" i="4"/>
  <c r="Z2175" i="4"/>
  <c r="AC2175" i="4" s="1"/>
  <c r="X2175" i="4"/>
  <c r="AB2175" i="4" l="1"/>
  <c r="AD2206" i="4"/>
  <c r="AD2205" i="4"/>
  <c r="AD2204" i="4"/>
  <c r="AD2203" i="4"/>
  <c r="AD2202" i="4"/>
  <c r="AC2206" i="4"/>
  <c r="Z2205" i="4"/>
  <c r="AB2205" i="4" s="1"/>
  <c r="AC2204" i="4"/>
  <c r="Z2203" i="4"/>
  <c r="AC2202" i="4"/>
  <c r="X2205" i="4"/>
  <c r="X2204" i="4"/>
  <c r="X2203" i="4"/>
  <c r="X2202" i="4"/>
  <c r="AC2203" i="4" l="1"/>
  <c r="AB2203" i="4"/>
  <c r="AC2205" i="4"/>
  <c r="AB2204" i="4"/>
  <c r="S32" i="8"/>
  <c r="BI2058" i="4" s="1" a="1"/>
  <c r="BI2058" i="4" s="1"/>
  <c r="I38" i="8" l="1"/>
  <c r="BJ2133" i="4" s="1" a="1"/>
  <c r="BJ2133" i="4" s="1"/>
  <c r="I37" i="8"/>
  <c r="BJ2116" i="4" s="1" a="1"/>
  <c r="BJ2116" i="4" s="1"/>
  <c r="AD2148" i="4" l="1"/>
  <c r="AD2147" i="4"/>
  <c r="AD2146" i="4"/>
  <c r="AD2145" i="4"/>
  <c r="AC2148" i="4"/>
  <c r="AC2147" i="4"/>
  <c r="AC2146" i="4"/>
  <c r="AC2145" i="4"/>
  <c r="AC2144" i="4"/>
  <c r="AB2148" i="4"/>
  <c r="AB2147" i="4"/>
  <c r="AB2146" i="4"/>
  <c r="AB2145" i="4"/>
  <c r="AB2144" i="4"/>
  <c r="AD2144" i="4"/>
  <c r="CF2145" i="4" l="1"/>
  <c r="CF2144" i="4"/>
  <c r="CF2147" i="4"/>
  <c r="CF2148" i="4"/>
  <c r="CF2146" i="4"/>
  <c r="AD2132" i="4"/>
  <c r="AD2131" i="4"/>
  <c r="AC2132" i="4"/>
  <c r="AC2131" i="4"/>
  <c r="AB2132" i="4"/>
  <c r="AB2131" i="4"/>
  <c r="Y2132" i="4"/>
  <c r="Y2131" i="4"/>
  <c r="X2132" i="4"/>
  <c r="X2131" i="4"/>
  <c r="AD2130" i="4"/>
  <c r="AD2129" i="4"/>
  <c r="AD2128" i="4"/>
  <c r="AC2130" i="4"/>
  <c r="AC2129" i="4"/>
  <c r="AC2128" i="4"/>
  <c r="CF2132" i="4" l="1"/>
  <c r="CF2128" i="4"/>
  <c r="CF2129" i="4"/>
  <c r="CF2130" i="4"/>
  <c r="CF2131" i="4"/>
  <c r="Y2127" i="4"/>
  <c r="Y2126" i="4"/>
  <c r="Y2125" i="4"/>
  <c r="Y2124" i="4"/>
  <c r="Y2123" i="4"/>
  <c r="Y2122" i="4"/>
  <c r="Y2121" i="4"/>
  <c r="Y2120" i="4"/>
  <c r="Y2119" i="4"/>
  <c r="Y2118" i="4"/>
  <c r="Y2117" i="4"/>
  <c r="Y2116" i="4"/>
  <c r="AC2177" i="4" l="1"/>
  <c r="X2177" i="4"/>
  <c r="AC2176" i="4"/>
  <c r="AD2174" i="4"/>
  <c r="AD2173" i="4"/>
  <c r="AD2172" i="4"/>
  <c r="Z2174" i="4"/>
  <c r="AC2174" i="4" s="1"/>
  <c r="Z2173" i="4"/>
  <c r="AB2173" i="4" s="1"/>
  <c r="Z2172" i="4"/>
  <c r="AC2172" i="4" s="1"/>
  <c r="X2174" i="4"/>
  <c r="X2173" i="4"/>
  <c r="X2172" i="4"/>
  <c r="AB2187" i="4"/>
  <c r="X2187" i="4"/>
  <c r="AB2176" i="4" l="1"/>
  <c r="AB2177" i="4"/>
  <c r="AB2172" i="4"/>
  <c r="AB2174" i="4"/>
  <c r="AC2187" i="4"/>
  <c r="AC2173" i="4"/>
  <c r="X2030" i="4"/>
  <c r="AB2030" i="4"/>
  <c r="BN2080" i="4" l="1" a="1"/>
  <c r="BN2080" i="4" s="1"/>
  <c r="BL2080" i="4" a="1"/>
  <c r="BL2080" i="4" s="1"/>
  <c r="BJ2080" i="4" a="1"/>
  <c r="BJ2080" i="4" s="1"/>
  <c r="BI2080" i="4" a="1"/>
  <c r="BI2080" i="4" s="1"/>
  <c r="BF2080" i="4" a="1"/>
  <c r="BF2080" i="4" s="1"/>
  <c r="AD2171" i="4" l="1"/>
  <c r="AD2170" i="4"/>
  <c r="AD2169" i="4"/>
  <c r="AD2168" i="4"/>
  <c r="AD2167" i="4"/>
  <c r="AD2166" i="4"/>
  <c r="AD2165" i="4"/>
  <c r="AD2164" i="4"/>
  <c r="AD2163" i="4"/>
  <c r="AD2162" i="4"/>
  <c r="AD2161" i="4"/>
  <c r="AD2160" i="4"/>
  <c r="AD2159" i="4"/>
  <c r="AD2158" i="4"/>
  <c r="AC2171" i="4"/>
  <c r="AC2170" i="4"/>
  <c r="AC2169" i="4"/>
  <c r="AC2168" i="4"/>
  <c r="AC2167" i="4"/>
  <c r="AC2166" i="4"/>
  <c r="AC2165" i="4"/>
  <c r="AC2164" i="4"/>
  <c r="AC2163" i="4"/>
  <c r="AC2162" i="4"/>
  <c r="AC2161" i="4"/>
  <c r="AC2160" i="4"/>
  <c r="AC2159" i="4"/>
  <c r="AC2158" i="4"/>
  <c r="AB2171" i="4"/>
  <c r="AB2170" i="4"/>
  <c r="AB2169" i="4"/>
  <c r="AB2168" i="4"/>
  <c r="AB2167" i="4"/>
  <c r="AB2166" i="4"/>
  <c r="AB2165" i="4"/>
  <c r="AB2164" i="4"/>
  <c r="AB2163" i="4"/>
  <c r="AB2162" i="4"/>
  <c r="AB2161" i="4"/>
  <c r="AB2160" i="4"/>
  <c r="AB2159" i="4"/>
  <c r="X2171" i="4"/>
  <c r="X2170" i="4"/>
  <c r="X2169" i="4"/>
  <c r="X2168" i="4"/>
  <c r="X2167" i="4"/>
  <c r="X2166" i="4"/>
  <c r="X2165" i="4"/>
  <c r="X2164" i="4"/>
  <c r="X2163" i="4"/>
  <c r="X2162" i="4"/>
  <c r="X2161" i="4"/>
  <c r="X2160" i="4"/>
  <c r="X2159" i="4"/>
  <c r="X2158" i="4"/>
  <c r="X2157" i="4" l="1"/>
  <c r="X2179" i="4"/>
  <c r="Z2179" i="4" s="1"/>
  <c r="AB2179" i="4" s="1"/>
  <c r="AD2179" i="4"/>
  <c r="AC2179" i="4" l="1"/>
  <c r="X2150" i="4"/>
  <c r="X2151" i="4"/>
  <c r="X2153" i="4"/>
  <c r="X2154" i="4"/>
  <c r="X2155" i="4"/>
  <c r="X2156" i="4"/>
  <c r="AD2189" i="4"/>
  <c r="AD2150" i="4"/>
  <c r="AD2151" i="4"/>
  <c r="AD2152" i="4"/>
  <c r="AD2153" i="4"/>
  <c r="AD2154" i="4"/>
  <c r="AD2155" i="4"/>
  <c r="AD2156" i="4"/>
  <c r="AD2157" i="4"/>
  <c r="AB2150" i="4"/>
  <c r="AC2150" i="4"/>
  <c r="AB2151" i="4"/>
  <c r="AC2151" i="4"/>
  <c r="AC2152" i="4"/>
  <c r="AB2153" i="4"/>
  <c r="AC2153" i="4"/>
  <c r="AB2154" i="4"/>
  <c r="AC2154" i="4"/>
  <c r="AB2155" i="4"/>
  <c r="AC2155" i="4"/>
  <c r="AB2156" i="4"/>
  <c r="AC2156" i="4"/>
  <c r="AB2157" i="4"/>
  <c r="AC2157" i="4"/>
  <c r="AG2179" i="4" l="1"/>
  <c r="I30" i="8"/>
  <c r="BJ2009" i="4" s="1" a="1"/>
  <c r="BJ2009" i="4" s="1"/>
  <c r="BY2179" i="4" l="1"/>
  <c r="BZ2179" i="4" s="1"/>
  <c r="AI2179" i="4"/>
  <c r="AD2057" i="4"/>
  <c r="AC2030" i="4"/>
  <c r="AB2031" i="4"/>
  <c r="AC2031" i="4"/>
  <c r="AB2032" i="4"/>
  <c r="AC2032" i="4"/>
  <c r="AB2033" i="4"/>
  <c r="AC2033" i="4"/>
  <c r="AB2034" i="4"/>
  <c r="AC2034" i="4"/>
  <c r="AB2035" i="4"/>
  <c r="AC2035" i="4"/>
  <c r="AB2036" i="4"/>
  <c r="AC2036" i="4"/>
  <c r="AB2037" i="4"/>
  <c r="AC2037" i="4"/>
  <c r="AB2038" i="4"/>
  <c r="AC2038" i="4"/>
  <c r="AB2039" i="4"/>
  <c r="AC2039" i="4"/>
  <c r="AB2040" i="4"/>
  <c r="AC2040" i="4"/>
  <c r="AB2041" i="4"/>
  <c r="AC2041" i="4"/>
  <c r="AB2042" i="4"/>
  <c r="AC2042" i="4"/>
  <c r="AB2043" i="4"/>
  <c r="AC2043" i="4"/>
  <c r="AB2044" i="4"/>
  <c r="AC2044" i="4"/>
  <c r="AB2045" i="4"/>
  <c r="AC2045" i="4"/>
  <c r="AB2046" i="4"/>
  <c r="AC2046" i="4"/>
  <c r="AB2047" i="4"/>
  <c r="AC2047" i="4"/>
  <c r="AB2048" i="4"/>
  <c r="AC2048" i="4"/>
  <c r="AB2049" i="4"/>
  <c r="AC2049" i="4"/>
  <c r="AB2050" i="4"/>
  <c r="AC2050" i="4"/>
  <c r="AB2051" i="4"/>
  <c r="AC2051" i="4"/>
  <c r="AB2052" i="4"/>
  <c r="AC2052" i="4"/>
  <c r="AB2053" i="4"/>
  <c r="AC2053" i="4"/>
  <c r="AB2054" i="4"/>
  <c r="AC2054" i="4"/>
  <c r="AB2055" i="4"/>
  <c r="AC2055" i="4"/>
  <c r="AB2056" i="4"/>
  <c r="AC2056" i="4"/>
  <c r="AB2057" i="4"/>
  <c r="AC2057"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CF2057" i="4" l="1"/>
  <c r="AD2078" i="4"/>
  <c r="AD2133" i="4"/>
  <c r="AD2134" i="4"/>
  <c r="AD2135" i="4"/>
  <c r="AD2136" i="4"/>
  <c r="AD2137" i="4"/>
  <c r="AD2138" i="4"/>
  <c r="AD2185" i="4"/>
  <c r="AD2139" i="4"/>
  <c r="AD2140" i="4"/>
  <c r="AD2141" i="4"/>
  <c r="AD2142" i="4"/>
  <c r="AD2143" i="4"/>
  <c r="AD2112" i="4"/>
  <c r="AD2113" i="4"/>
  <c r="AD2114" i="4"/>
  <c r="AD2115" i="4"/>
  <c r="AD2188" i="4"/>
  <c r="AD2030" i="4"/>
  <c r="CF2030" i="4" s="1"/>
  <c r="AD2031" i="4"/>
  <c r="CF2031" i="4" s="1"/>
  <c r="AD2032" i="4"/>
  <c r="CF2032" i="4" s="1"/>
  <c r="AD2033" i="4"/>
  <c r="CF2033" i="4" s="1"/>
  <c r="AD2034" i="4"/>
  <c r="CF2034" i="4" s="1"/>
  <c r="AD2035" i="4"/>
  <c r="CF2035" i="4" s="1"/>
  <c r="AD2036" i="4"/>
  <c r="CF2036" i="4" s="1"/>
  <c r="AD2037" i="4"/>
  <c r="CF2037" i="4" s="1"/>
  <c r="AD2038" i="4"/>
  <c r="CF2038" i="4" s="1"/>
  <c r="AD2039" i="4"/>
  <c r="CF2039" i="4" s="1"/>
  <c r="AD2040" i="4"/>
  <c r="CF2040" i="4" s="1"/>
  <c r="AD2041" i="4"/>
  <c r="CF2041" i="4" s="1"/>
  <c r="AD2042" i="4"/>
  <c r="CF2042" i="4" s="1"/>
  <c r="AD2043" i="4"/>
  <c r="CF2043" i="4" s="1"/>
  <c r="AD2044" i="4"/>
  <c r="CF2044" i="4" s="1"/>
  <c r="AD2045" i="4"/>
  <c r="CF2045" i="4" s="1"/>
  <c r="AD2046" i="4"/>
  <c r="CF2046" i="4" s="1"/>
  <c r="AD2047" i="4"/>
  <c r="CF2047" i="4" s="1"/>
  <c r="AD2048" i="4"/>
  <c r="CF2048" i="4" s="1"/>
  <c r="AD2049" i="4"/>
  <c r="CF2049" i="4" s="1"/>
  <c r="AD2050" i="4"/>
  <c r="CF2050" i="4" s="1"/>
  <c r="AD2051" i="4"/>
  <c r="CF2051" i="4" s="1"/>
  <c r="AD2052" i="4"/>
  <c r="CF2052" i="4" s="1"/>
  <c r="AD2053" i="4"/>
  <c r="CF2053" i="4" s="1"/>
  <c r="AD2054" i="4"/>
  <c r="CF2054" i="4" s="1"/>
  <c r="AD2055" i="4"/>
  <c r="CF2055" i="4" s="1"/>
  <c r="AD2056" i="4"/>
  <c r="CF2056" i="4" s="1"/>
  <c r="Z2115" i="4" l="1"/>
  <c r="AB2115" i="4" s="1"/>
  <c r="X2115" i="4"/>
  <c r="AC2115" i="4" l="1"/>
  <c r="CF2115" i="4" l="1"/>
  <c r="R1973" i="4"/>
  <c r="R1972" i="4"/>
  <c r="R1971" i="4"/>
  <c r="R1970" i="4"/>
  <c r="R1969" i="4"/>
  <c r="R1968" i="4"/>
  <c r="R1966" i="4"/>
  <c r="R1965" i="4"/>
  <c r="R1964" i="4"/>
  <c r="R1963" i="4"/>
  <c r="R1962" i="4"/>
  <c r="R1961" i="4"/>
  <c r="R1960" i="4"/>
  <c r="R1959" i="4"/>
  <c r="R1958" i="4"/>
  <c r="R1957" i="4"/>
  <c r="R1956" i="4"/>
  <c r="R1955" i="4"/>
  <c r="R1954" i="4"/>
  <c r="R1953" i="4"/>
  <c r="R1952" i="4"/>
  <c r="R1951" i="4"/>
  <c r="R1950" i="4"/>
  <c r="R1949" i="4"/>
  <c r="R1948" i="4"/>
  <c r="R1947" i="4"/>
  <c r="R1946" i="4"/>
  <c r="R1945" i="4"/>
  <c r="R1944" i="4"/>
  <c r="R1943" i="4"/>
  <c r="R1942" i="4"/>
  <c r="R1941" i="4"/>
  <c r="R1940" i="4"/>
  <c r="R1939" i="4"/>
  <c r="R1938" i="4"/>
  <c r="R1937" i="4"/>
  <c r="R1936" i="4"/>
  <c r="R1935" i="4"/>
  <c r="R1934" i="4"/>
  <c r="R1933" i="4"/>
  <c r="R1932" i="4"/>
  <c r="R1931" i="4"/>
  <c r="R1930" i="4"/>
  <c r="R1929" i="4"/>
  <c r="R1928" i="4"/>
  <c r="R1927" i="4"/>
  <c r="R1926" i="4"/>
  <c r="R1925" i="4"/>
  <c r="R1924" i="4"/>
  <c r="R1923" i="4"/>
  <c r="R1912" i="4"/>
  <c r="R1910" i="4"/>
  <c r="R1909" i="4"/>
  <c r="R1905" i="4"/>
  <c r="R1904" i="4"/>
  <c r="R1903" i="4"/>
  <c r="R1902" i="4"/>
  <c r="R1901" i="4"/>
  <c r="R1900" i="4"/>
  <c r="R1899" i="4"/>
  <c r="R1898" i="4"/>
  <c r="R1897" i="4"/>
  <c r="R1896" i="4"/>
  <c r="R1895" i="4"/>
  <c r="R1894" i="4"/>
  <c r="R1893" i="4"/>
  <c r="R1892" i="4"/>
  <c r="R1891" i="4"/>
  <c r="R1890" i="4"/>
  <c r="R1889" i="4"/>
  <c r="R1888" i="4"/>
  <c r="R1887" i="4"/>
  <c r="R1886" i="4"/>
  <c r="R1885" i="4"/>
  <c r="R1884" i="4"/>
  <c r="R1883" i="4"/>
  <c r="R1882" i="4"/>
  <c r="R1881" i="4"/>
  <c r="R1880" i="4"/>
  <c r="R1879" i="4"/>
  <c r="R1878" i="4"/>
  <c r="R1877" i="4"/>
  <c r="R1876" i="4"/>
  <c r="R1875" i="4"/>
  <c r="R1874" i="4"/>
  <c r="R1873" i="4"/>
  <c r="R1872" i="4"/>
  <c r="R1871" i="4"/>
  <c r="R1870" i="4"/>
  <c r="R1869" i="4"/>
  <c r="R1868" i="4"/>
  <c r="R1867" i="4"/>
  <c r="R1866" i="4"/>
  <c r="R1865" i="4"/>
  <c r="R1864" i="4"/>
  <c r="R1863" i="4"/>
  <c r="R1862" i="4"/>
  <c r="R1861" i="4"/>
  <c r="R1860" i="4"/>
  <c r="R1859" i="4"/>
  <c r="R1858" i="4"/>
  <c r="R1857" i="4"/>
  <c r="R1856" i="4"/>
  <c r="R1855" i="4"/>
  <c r="R1854" i="4"/>
  <c r="R1853" i="4"/>
  <c r="R1852" i="4"/>
  <c r="R1851" i="4"/>
  <c r="R1850" i="4"/>
  <c r="R1967" i="4"/>
  <c r="R1922" i="4"/>
  <c r="R1921" i="4"/>
  <c r="R1920" i="4"/>
  <c r="R1919" i="4"/>
  <c r="R1918" i="4"/>
  <c r="R1917" i="4"/>
  <c r="R1916" i="4"/>
  <c r="R1915" i="4"/>
  <c r="R1914" i="4"/>
  <c r="R1913" i="4"/>
  <c r="R1911" i="4"/>
  <c r="R1908" i="4"/>
  <c r="R1907" i="4"/>
  <c r="R1906" i="4"/>
  <c r="R1847" i="4"/>
  <c r="R1846" i="4"/>
  <c r="R1845" i="4"/>
  <c r="R1844" i="4"/>
  <c r="R1843" i="4"/>
  <c r="R1842" i="4"/>
  <c r="R1841" i="4"/>
  <c r="R1840" i="4"/>
  <c r="R1839" i="4"/>
  <c r="R1838" i="4"/>
  <c r="R1837" i="4"/>
  <c r="R1836" i="4"/>
  <c r="R1835" i="4"/>
  <c r="R1834" i="4"/>
  <c r="R1833" i="4"/>
  <c r="S26" i="8" l="1"/>
  <c r="BI1690" i="4" l="1" a="1"/>
  <c r="BI1690" i="4" s="1"/>
  <c r="U26" i="8"/>
  <c r="AA26" i="8"/>
  <c r="BN1690" i="4" s="1" a="1"/>
  <c r="BN1690" i="4" s="1"/>
  <c r="AA38" i="3" a="1"/>
  <c r="AA38" i="3" s="1"/>
  <c r="AA37" i="3" a="1"/>
  <c r="AA37" i="3" s="1"/>
  <c r="AD36" i="3" a="1"/>
  <c r="AD36" i="3" s="1"/>
  <c r="AA36" i="3" a="1"/>
  <c r="AA36" i="3" s="1"/>
  <c r="AD35" i="3" a="1"/>
  <c r="AD35" i="3" s="1"/>
  <c r="AA35" i="3" a="1"/>
  <c r="AA35" i="3" s="1"/>
  <c r="AA34" i="3" a="1"/>
  <c r="AA34" i="3" s="1"/>
  <c r="AA32" i="3" a="1"/>
  <c r="AA32" i="3" s="1"/>
  <c r="U32" i="3"/>
  <c r="AA31" i="3" a="1"/>
  <c r="AA31" i="3" s="1"/>
  <c r="U31" i="3"/>
  <c r="AB30" i="3"/>
  <c r="AA30" i="3" a="1"/>
  <c r="AA30" i="3" s="1"/>
  <c r="U30" i="3"/>
  <c r="AA29" i="3" a="1"/>
  <c r="AA29" i="3" s="1"/>
  <c r="U29" i="3"/>
  <c r="X1832" i="4"/>
  <c r="X1831" i="4"/>
  <c r="X1830" i="4"/>
  <c r="X1829" i="4"/>
  <c r="X1828" i="4"/>
  <c r="X1827" i="4"/>
  <c r="AD1832" i="4" l="1"/>
  <c r="AC1832" i="4"/>
  <c r="AB1832" i="4"/>
  <c r="AD1831" i="4"/>
  <c r="AC1831" i="4"/>
  <c r="AB1831" i="4"/>
  <c r="AD1830" i="4"/>
  <c r="AC1830" i="4"/>
  <c r="AB1830" i="4"/>
  <c r="AD1829" i="4"/>
  <c r="AC1829" i="4"/>
  <c r="AB1829" i="4"/>
  <c r="AD1828" i="4"/>
  <c r="AC1828" i="4"/>
  <c r="AB1828" i="4"/>
  <c r="AD1827" i="4"/>
  <c r="AC1827" i="4"/>
  <c r="AB1827" i="4"/>
  <c r="AB2189" i="4"/>
  <c r="AC2189" i="4"/>
  <c r="X2188" i="4"/>
  <c r="X2189" i="4"/>
  <c r="CF1831" i="4" l="1"/>
  <c r="CF1829" i="4"/>
  <c r="CF1832" i="4"/>
  <c r="CF1828" i="4"/>
  <c r="CF1827" i="4"/>
  <c r="CF1830" i="4"/>
  <c r="AB1823" i="4" l="1"/>
  <c r="AC1823" i="4"/>
  <c r="CF1823" i="4" s="1"/>
  <c r="AB2188" i="4" l="1"/>
  <c r="AC2188" i="4"/>
  <c r="Z2113" i="4"/>
  <c r="AB2113" i="4" s="1"/>
  <c r="Z2114" i="4"/>
  <c r="AB2114" i="4" s="1"/>
  <c r="Z2112" i="4"/>
  <c r="AB2112" i="4" s="1"/>
  <c r="X2114" i="4"/>
  <c r="X2113" i="4"/>
  <c r="X2112" i="4"/>
  <c r="AD1687" i="4"/>
  <c r="AD1688" i="4"/>
  <c r="AD1689" i="4"/>
  <c r="AB1687" i="4"/>
  <c r="AC1687" i="4"/>
  <c r="AB1688" i="4"/>
  <c r="AC1688" i="4"/>
  <c r="AB1689" i="4"/>
  <c r="AC1689" i="4"/>
  <c r="CF1688" i="4" l="1"/>
  <c r="CF1689" i="4"/>
  <c r="CF1687" i="4"/>
  <c r="AC2114" i="4"/>
  <c r="AC2113" i="4"/>
  <c r="AC2112" i="4"/>
  <c r="CF2113" i="4" l="1"/>
  <c r="CF2112" i="4"/>
  <c r="CF2114" i="4"/>
  <c r="X1622" i="4" l="1"/>
  <c r="X1621" i="4"/>
  <c r="X1620" i="4"/>
  <c r="X1619" i="4"/>
  <c r="X1618" i="4"/>
  <c r="AD2009" i="4" l="1"/>
  <c r="Z2009" i="4"/>
  <c r="AC2009" i="4" s="1"/>
  <c r="X2009" i="4"/>
  <c r="AB2133" i="4"/>
  <c r="AC2133" i="4"/>
  <c r="AB2134" i="4"/>
  <c r="AC2134" i="4"/>
  <c r="AB2135" i="4"/>
  <c r="AC2135" i="4"/>
  <c r="AB2136" i="4"/>
  <c r="AC2136" i="4"/>
  <c r="AB2137" i="4"/>
  <c r="AC2137" i="4"/>
  <c r="AB2138" i="4"/>
  <c r="AC2138" i="4"/>
  <c r="AB2139" i="4"/>
  <c r="AC2139" i="4"/>
  <c r="AB2140" i="4"/>
  <c r="AC2140" i="4"/>
  <c r="AB2141" i="4"/>
  <c r="AC2141" i="4"/>
  <c r="AB2142" i="4"/>
  <c r="AC2142" i="4"/>
  <c r="AB2143" i="4"/>
  <c r="AC2143" i="4"/>
  <c r="X2133" i="4"/>
  <c r="X2134" i="4"/>
  <c r="X2135" i="4"/>
  <c r="X2136" i="4"/>
  <c r="X2137" i="4"/>
  <c r="X2138" i="4"/>
  <c r="X2185" i="4"/>
  <c r="X2139" i="4"/>
  <c r="X2140" i="4"/>
  <c r="X2141" i="4"/>
  <c r="X2142" i="4"/>
  <c r="X2143" i="4"/>
  <c r="X2078" i="4"/>
  <c r="CF2134" i="4" l="1"/>
  <c r="CF2138" i="4"/>
  <c r="CF2133" i="4"/>
  <c r="CF2143" i="4"/>
  <c r="CF2139" i="4"/>
  <c r="CF2136" i="4"/>
  <c r="CF2141" i="4"/>
  <c r="CF2137" i="4"/>
  <c r="CF2140" i="4"/>
  <c r="CF2142" i="4"/>
  <c r="CF2135" i="4"/>
  <c r="CF2009" i="4"/>
  <c r="AB2009" i="4"/>
  <c r="AB2078" i="4"/>
  <c r="AC2078" i="4"/>
  <c r="CF2078" i="4" l="1"/>
  <c r="M26" i="8"/>
  <c r="L26" i="8"/>
  <c r="I32" i="8" l="1"/>
  <c r="BJ2058" i="4" s="1" a="1"/>
  <c r="BJ2058" i="4" s="1"/>
  <c r="I34" i="8" l="1"/>
  <c r="BJ2079" i="4" s="1" a="1"/>
  <c r="BJ2079" i="4" s="1"/>
  <c r="AD1618" i="4" l="1"/>
  <c r="AD1619" i="4"/>
  <c r="AD1620" i="4"/>
  <c r="AD1621" i="4"/>
  <c r="AD1622" i="4"/>
  <c r="AB1618" i="4"/>
  <c r="AC1618" i="4"/>
  <c r="AB1619" i="4"/>
  <c r="AC1619" i="4"/>
  <c r="AB1620" i="4"/>
  <c r="AC1620" i="4"/>
  <c r="AB1621" i="4"/>
  <c r="AC1621" i="4"/>
  <c r="AB1622" i="4"/>
  <c r="AC1622" i="4"/>
  <c r="CF1620" i="4" l="1"/>
  <c r="CF1618" i="4"/>
  <c r="CF1621" i="4"/>
  <c r="CF1622" i="4"/>
  <c r="CF1619" i="4"/>
  <c r="AD2081" i="4" l="1"/>
  <c r="AD2082" i="4"/>
  <c r="AD2083" i="4"/>
  <c r="AD2084" i="4"/>
  <c r="AD2085" i="4"/>
  <c r="AD2086" i="4"/>
  <c r="AD2087" i="4"/>
  <c r="AD2088" i="4"/>
  <c r="AD2089" i="4"/>
  <c r="AD2090" i="4"/>
  <c r="AD2091" i="4"/>
  <c r="AD2092" i="4"/>
  <c r="AB2080" i="4"/>
  <c r="AC2080" i="4"/>
  <c r="AB2081" i="4"/>
  <c r="AC2081" i="4"/>
  <c r="AB2082" i="4"/>
  <c r="AC2082" i="4"/>
  <c r="AB2083" i="4"/>
  <c r="AC2083" i="4"/>
  <c r="AB2084" i="4"/>
  <c r="AC2084" i="4"/>
  <c r="AB2085" i="4"/>
  <c r="AC2085" i="4"/>
  <c r="AB2086" i="4"/>
  <c r="AC2086" i="4"/>
  <c r="AB2087" i="4"/>
  <c r="AC2087" i="4"/>
  <c r="AB2088" i="4"/>
  <c r="AC2088" i="4"/>
  <c r="AB2089" i="4"/>
  <c r="AC2089" i="4"/>
  <c r="AB2090" i="4"/>
  <c r="AC2090" i="4"/>
  <c r="AB2091" i="4"/>
  <c r="AC2091" i="4"/>
  <c r="AB2092" i="4"/>
  <c r="AC2092" i="4"/>
  <c r="AD2080" i="4"/>
  <c r="CF2084" i="4" l="1"/>
  <c r="CF2088" i="4"/>
  <c r="CF2080" i="4"/>
  <c r="CF2087" i="4"/>
  <c r="CF2086" i="4"/>
  <c r="CF2089" i="4"/>
  <c r="CF2085" i="4"/>
  <c r="CF2081" i="4"/>
  <c r="CF2083" i="4"/>
  <c r="CF2082" i="4"/>
  <c r="CF2091" i="4"/>
  <c r="CF2090" i="4"/>
  <c r="CF2092" i="4"/>
  <c r="AD2125" i="4"/>
  <c r="AD2126" i="4"/>
  <c r="AD2127" i="4"/>
  <c r="AB2125" i="4"/>
  <c r="AC2125" i="4"/>
  <c r="AB2126" i="4"/>
  <c r="AC2126" i="4"/>
  <c r="AB2127" i="4"/>
  <c r="AC2127" i="4"/>
  <c r="X2124" i="4"/>
  <c r="X2125" i="4"/>
  <c r="X2126" i="4"/>
  <c r="X2127" i="4"/>
  <c r="CF2125" i="4" l="1"/>
  <c r="CF2127" i="4"/>
  <c r="CF2126" i="4"/>
  <c r="AD1833" i="4"/>
  <c r="AD1834" i="4"/>
  <c r="AD1835" i="4"/>
  <c r="AD1836" i="4"/>
  <c r="AD1837" i="4"/>
  <c r="AD1838" i="4"/>
  <c r="AD1839" i="4"/>
  <c r="AD1840" i="4"/>
  <c r="AD1841" i="4"/>
  <c r="AD1842" i="4"/>
  <c r="AD1843" i="4"/>
  <c r="AD1844" i="4"/>
  <c r="AD1845" i="4"/>
  <c r="AD1846" i="4"/>
  <c r="AD1847" i="4"/>
  <c r="AD1848" i="4"/>
  <c r="AD1849" i="4"/>
  <c r="AD1850" i="4"/>
  <c r="AD1851" i="4"/>
  <c r="AD1852" i="4"/>
  <c r="AD1853" i="4"/>
  <c r="AD1854" i="4"/>
  <c r="AD1855" i="4"/>
  <c r="AD1856" i="4"/>
  <c r="AD1857" i="4"/>
  <c r="AD1858" i="4"/>
  <c r="AD1859" i="4"/>
  <c r="AD1860" i="4"/>
  <c r="AD1861" i="4"/>
  <c r="AD1862" i="4"/>
  <c r="AD1863" i="4"/>
  <c r="AD1864" i="4"/>
  <c r="AD1865" i="4"/>
  <c r="AD1866" i="4"/>
  <c r="AD1867" i="4"/>
  <c r="AD1868" i="4"/>
  <c r="AD1869" i="4"/>
  <c r="AD1870" i="4"/>
  <c r="AD1871" i="4"/>
  <c r="AD1872" i="4"/>
  <c r="AD1873" i="4"/>
  <c r="AD1874" i="4"/>
  <c r="AD1875" i="4"/>
  <c r="AD1876" i="4"/>
  <c r="AD1877" i="4"/>
  <c r="AD1878" i="4"/>
  <c r="AD1879" i="4"/>
  <c r="AD1880" i="4"/>
  <c r="AD1881" i="4"/>
  <c r="AD1882" i="4"/>
  <c r="AD1883" i="4"/>
  <c r="AD1884" i="4"/>
  <c r="AD1885" i="4"/>
  <c r="AD1886" i="4"/>
  <c r="AD1887" i="4"/>
  <c r="AD1888" i="4"/>
  <c r="AD1889" i="4"/>
  <c r="AD1890" i="4"/>
  <c r="AD1891" i="4"/>
  <c r="AD1892" i="4"/>
  <c r="AD1893" i="4"/>
  <c r="AD1894" i="4"/>
  <c r="AD1895" i="4"/>
  <c r="AD1896" i="4"/>
  <c r="AD1897" i="4"/>
  <c r="AD1898" i="4"/>
  <c r="AD1899" i="4"/>
  <c r="AD1900" i="4"/>
  <c r="AD1901" i="4"/>
  <c r="AD1902" i="4"/>
  <c r="AD1903" i="4"/>
  <c r="AD1904" i="4"/>
  <c r="AD1905" i="4"/>
  <c r="AD1906" i="4"/>
  <c r="AD1907" i="4"/>
  <c r="AD1908" i="4"/>
  <c r="AD1909" i="4"/>
  <c r="AD1910" i="4"/>
  <c r="AD1911" i="4"/>
  <c r="AD1912" i="4"/>
  <c r="AD1913" i="4"/>
  <c r="AD1914" i="4"/>
  <c r="AD1915" i="4"/>
  <c r="AD1916" i="4"/>
  <c r="AD1917" i="4"/>
  <c r="AD1918" i="4"/>
  <c r="AD1919" i="4"/>
  <c r="AD1920" i="4"/>
  <c r="AD1921" i="4"/>
  <c r="AD1922" i="4"/>
  <c r="AD1923" i="4"/>
  <c r="AD1924" i="4"/>
  <c r="AD1925" i="4"/>
  <c r="AD1926" i="4"/>
  <c r="AD1927" i="4"/>
  <c r="AD1928" i="4"/>
  <c r="AD1929" i="4"/>
  <c r="AD1930" i="4"/>
  <c r="AD1931" i="4"/>
  <c r="AD1932" i="4"/>
  <c r="AD1933" i="4"/>
  <c r="AD1934" i="4"/>
  <c r="AD1935" i="4"/>
  <c r="AD1936" i="4"/>
  <c r="AD1937" i="4"/>
  <c r="AD1938" i="4"/>
  <c r="AD1939" i="4"/>
  <c r="AD1940" i="4"/>
  <c r="AD1941" i="4"/>
  <c r="AD1942" i="4"/>
  <c r="AD1943" i="4"/>
  <c r="AD1944" i="4"/>
  <c r="AD1945" i="4"/>
  <c r="AD1946" i="4"/>
  <c r="AD1947" i="4"/>
  <c r="AD1948" i="4"/>
  <c r="AD1949" i="4"/>
  <c r="AD1950" i="4"/>
  <c r="AD1951" i="4"/>
  <c r="AD1952" i="4"/>
  <c r="AD1953" i="4"/>
  <c r="AD1954" i="4"/>
  <c r="AD1955" i="4"/>
  <c r="AD1956" i="4"/>
  <c r="AD1957" i="4"/>
  <c r="AD1958" i="4"/>
  <c r="AD1959" i="4"/>
  <c r="AD1960" i="4"/>
  <c r="AD1961" i="4"/>
  <c r="AD1962" i="4"/>
  <c r="AD1963" i="4"/>
  <c r="AD1964" i="4"/>
  <c r="AD1965" i="4"/>
  <c r="AD1966" i="4"/>
  <c r="AD1967" i="4"/>
  <c r="AD1968" i="4"/>
  <c r="AD1969" i="4"/>
  <c r="AD1970" i="4"/>
  <c r="AD1971" i="4"/>
  <c r="AD1972" i="4"/>
  <c r="AD1973" i="4"/>
  <c r="AD1974" i="4"/>
  <c r="AD1975" i="4"/>
  <c r="AD1976" i="4"/>
  <c r="AD1977" i="4"/>
  <c r="AD1978" i="4"/>
  <c r="AD1979" i="4"/>
  <c r="AD1980" i="4"/>
  <c r="AD1981" i="4"/>
  <c r="AD1982" i="4"/>
  <c r="AD1983" i="4"/>
  <c r="AD1984" i="4"/>
  <c r="AD1985" i="4"/>
  <c r="AD1986" i="4"/>
  <c r="AD1987" i="4"/>
  <c r="AD1988" i="4"/>
  <c r="AD1989" i="4"/>
  <c r="AD1990" i="4"/>
  <c r="AD1991" i="4"/>
  <c r="AD1992" i="4"/>
  <c r="AD1993" i="4"/>
  <c r="AD1994" i="4"/>
  <c r="AD1995" i="4"/>
  <c r="AD1996" i="4"/>
  <c r="AD1997" i="4"/>
  <c r="AD1998" i="4"/>
  <c r="AD1999" i="4"/>
  <c r="AD2000" i="4"/>
  <c r="AD2001" i="4"/>
  <c r="AD2002" i="4"/>
  <c r="AD2003" i="4"/>
  <c r="AD2004" i="4"/>
  <c r="AD2005" i="4"/>
  <c r="AD2006" i="4"/>
  <c r="AD2007" i="4"/>
  <c r="AD2008" i="4"/>
  <c r="AD1675" i="4"/>
  <c r="AD1676" i="4"/>
  <c r="AD1677" i="4"/>
  <c r="AD1678" i="4"/>
  <c r="AD1679" i="4"/>
  <c r="AD1680" i="4"/>
  <c r="AD1681" i="4"/>
  <c r="AD1682" i="4"/>
  <c r="AD1683" i="4"/>
  <c r="AD1684" i="4"/>
  <c r="AD1685" i="4"/>
  <c r="AD1686" i="4"/>
  <c r="AD1690" i="4"/>
  <c r="AD1691" i="4"/>
  <c r="AD1692" i="4"/>
  <c r="AD1693" i="4"/>
  <c r="AD1694" i="4"/>
  <c r="AD1695" i="4"/>
  <c r="AD1696" i="4"/>
  <c r="AD1697" i="4"/>
  <c r="AD1698" i="4"/>
  <c r="AD1699" i="4"/>
  <c r="AD1700" i="4"/>
  <c r="AD1701" i="4"/>
  <c r="AD1702" i="4"/>
  <c r="AD1703" i="4"/>
  <c r="AD1704" i="4"/>
  <c r="AD1705" i="4"/>
  <c r="AD1706" i="4"/>
  <c r="AD1707" i="4"/>
  <c r="AD1708" i="4"/>
  <c r="AD1709" i="4"/>
  <c r="AD1710" i="4"/>
  <c r="AD1711" i="4"/>
  <c r="AD1712" i="4"/>
  <c r="AD1713" i="4"/>
  <c r="AD1714" i="4"/>
  <c r="AD1715" i="4"/>
  <c r="AD1716" i="4"/>
  <c r="AD1717" i="4"/>
  <c r="AD1718" i="4"/>
  <c r="AD1719" i="4"/>
  <c r="AD1720" i="4"/>
  <c r="AD1721" i="4"/>
  <c r="AD1722" i="4"/>
  <c r="AD1723" i="4"/>
  <c r="AD1724" i="4"/>
  <c r="AD1725" i="4"/>
  <c r="AD1726" i="4"/>
  <c r="AD1727" i="4"/>
  <c r="AD1728" i="4"/>
  <c r="AD1729" i="4"/>
  <c r="AD1730" i="4"/>
  <c r="AD1731" i="4"/>
  <c r="AD1732" i="4"/>
  <c r="AD1733" i="4"/>
  <c r="AD1734" i="4"/>
  <c r="AD1735" i="4"/>
  <c r="AD1736" i="4"/>
  <c r="AD1737" i="4"/>
  <c r="AD1738" i="4"/>
  <c r="AD1739" i="4"/>
  <c r="AD1740" i="4"/>
  <c r="AD1741" i="4"/>
  <c r="AD1742" i="4"/>
  <c r="AD1743" i="4"/>
  <c r="AD1744" i="4"/>
  <c r="AD1745" i="4"/>
  <c r="AD1746" i="4"/>
  <c r="AD1747" i="4"/>
  <c r="AD1748" i="4"/>
  <c r="AD1749" i="4"/>
  <c r="AD1750" i="4"/>
  <c r="AD1751" i="4"/>
  <c r="AD1752" i="4"/>
  <c r="AD1753" i="4"/>
  <c r="AD1754" i="4"/>
  <c r="AD1755" i="4"/>
  <c r="AD1756" i="4"/>
  <c r="AD1757" i="4"/>
  <c r="AD1758" i="4"/>
  <c r="AD1759" i="4"/>
  <c r="AD1760" i="4"/>
  <c r="AD1761" i="4"/>
  <c r="AD1762" i="4"/>
  <c r="AD1763" i="4"/>
  <c r="AD1764" i="4"/>
  <c r="AD1765" i="4"/>
  <c r="AD1766" i="4"/>
  <c r="AD1767" i="4"/>
  <c r="AD1768" i="4"/>
  <c r="AD1769" i="4"/>
  <c r="AD1770" i="4"/>
  <c r="AD1771" i="4"/>
  <c r="AD1772" i="4"/>
  <c r="AD1773" i="4"/>
  <c r="AD1774" i="4"/>
  <c r="AD1775" i="4"/>
  <c r="AD1776" i="4"/>
  <c r="AD1777" i="4"/>
  <c r="AD1778" i="4"/>
  <c r="AD1779" i="4"/>
  <c r="AD1780" i="4"/>
  <c r="AD1781" i="4"/>
  <c r="AD1782" i="4"/>
  <c r="AD1783" i="4"/>
  <c r="AD1784" i="4"/>
  <c r="AD1785" i="4"/>
  <c r="AD1786" i="4"/>
  <c r="AD1787" i="4"/>
  <c r="AD1788" i="4"/>
  <c r="AD1789" i="4"/>
  <c r="AD1790" i="4"/>
  <c r="AD1791" i="4"/>
  <c r="AD1792" i="4"/>
  <c r="AD1793" i="4"/>
  <c r="AD1794" i="4"/>
  <c r="AD1795" i="4"/>
  <c r="AD1796" i="4"/>
  <c r="AD1797" i="4"/>
  <c r="AD1798" i="4"/>
  <c r="AD1799" i="4"/>
  <c r="AD1800" i="4"/>
  <c r="AD1801" i="4"/>
  <c r="AD1802" i="4"/>
  <c r="AD1803" i="4"/>
  <c r="AD1804" i="4"/>
  <c r="AD1805" i="4"/>
  <c r="AD1806" i="4"/>
  <c r="AD1807" i="4"/>
  <c r="AD1808" i="4"/>
  <c r="AD1809" i="4"/>
  <c r="AD1810" i="4"/>
  <c r="AD1811" i="4"/>
  <c r="AD1812" i="4"/>
  <c r="AD1813" i="4"/>
  <c r="AD1814" i="4"/>
  <c r="AD1815" i="4"/>
  <c r="AD1816" i="4"/>
  <c r="AD1817" i="4"/>
  <c r="AD1818" i="4"/>
  <c r="AD1819" i="4"/>
  <c r="AD1820" i="4"/>
  <c r="AD1821" i="4"/>
  <c r="AD1822" i="4"/>
  <c r="AD1623" i="4"/>
  <c r="AD1624" i="4"/>
  <c r="AD1625" i="4"/>
  <c r="AD1626" i="4"/>
  <c r="AD1627" i="4"/>
  <c r="AD1628" i="4"/>
  <c r="AD1629" i="4"/>
  <c r="AD1630" i="4"/>
  <c r="AD1631" i="4"/>
  <c r="AD1632" i="4"/>
  <c r="AD1672" i="4"/>
  <c r="AD1633" i="4"/>
  <c r="AD1634" i="4"/>
  <c r="AD1635" i="4"/>
  <c r="AD1636" i="4"/>
  <c r="AD1637" i="4"/>
  <c r="AD1638" i="4"/>
  <c r="AD1639" i="4"/>
  <c r="AD1640" i="4"/>
  <c r="AD1641" i="4"/>
  <c r="AD1642" i="4"/>
  <c r="AD1674" i="4"/>
  <c r="AD1644" i="4"/>
  <c r="AD1645" i="4"/>
  <c r="AD1646" i="4"/>
  <c r="AD1673" i="4"/>
  <c r="AD1647" i="4"/>
  <c r="AD1648" i="4"/>
  <c r="AD1649" i="4"/>
  <c r="AD1650" i="4"/>
  <c r="AD1651" i="4"/>
  <c r="AD1652" i="4"/>
  <c r="AD1653" i="4"/>
  <c r="AD1654" i="4"/>
  <c r="AD1655" i="4"/>
  <c r="AD1656" i="4"/>
  <c r="AD1657" i="4"/>
  <c r="AD1658" i="4"/>
  <c r="AD1659" i="4"/>
  <c r="AD1660" i="4"/>
  <c r="AD1661" i="4"/>
  <c r="AD1662" i="4"/>
  <c r="AD1663" i="4"/>
  <c r="AD1664" i="4"/>
  <c r="AD1665" i="4"/>
  <c r="AD1666" i="4"/>
  <c r="AD1643" i="4"/>
  <c r="AD1667" i="4"/>
  <c r="AD1668" i="4"/>
  <c r="AD1669" i="4"/>
  <c r="AD1670" i="4"/>
  <c r="AD1671" i="4"/>
  <c r="AD2010" i="4"/>
  <c r="AD2011" i="4"/>
  <c r="AD2012" i="4"/>
  <c r="AD2013" i="4"/>
  <c r="AD2014" i="4"/>
  <c r="AD2015" i="4"/>
  <c r="AD2016" i="4"/>
  <c r="AD2017" i="4"/>
  <c r="AD2018" i="4"/>
  <c r="AD2019" i="4"/>
  <c r="AD2020" i="4"/>
  <c r="AD2021" i="4"/>
  <c r="AD2022" i="4"/>
  <c r="AD2023" i="4"/>
  <c r="AD2024" i="4"/>
  <c r="AD2025" i="4"/>
  <c r="AD2026" i="4"/>
  <c r="AD2027" i="4"/>
  <c r="AD2028" i="4"/>
  <c r="AD2029" i="4"/>
  <c r="AD2079" i="4"/>
  <c r="AD2116" i="4"/>
  <c r="AD2117" i="4"/>
  <c r="AD2118" i="4"/>
  <c r="AD2119" i="4"/>
  <c r="AD2120" i="4"/>
  <c r="AD2121" i="4"/>
  <c r="AD2122" i="4"/>
  <c r="AD2123" i="4"/>
  <c r="AD2124" i="4"/>
  <c r="AD2093" i="4"/>
  <c r="AD2094" i="4"/>
  <c r="AD2095" i="4"/>
  <c r="AD2096" i="4"/>
  <c r="AD2097" i="4"/>
  <c r="AD2098" i="4"/>
  <c r="AD2099" i="4"/>
  <c r="AD2100" i="4"/>
  <c r="AD2101" i="4"/>
  <c r="AD2102" i="4"/>
  <c r="AD2103" i="4"/>
  <c r="AD2104" i="4"/>
  <c r="AD2105" i="4"/>
  <c r="AD2106" i="4"/>
  <c r="AD2107" i="4"/>
  <c r="AD2108" i="4"/>
  <c r="AD2109" i="4"/>
  <c r="AD2110" i="4"/>
  <c r="AD2111" i="4"/>
  <c r="AD1824" i="4"/>
  <c r="AD1825" i="4"/>
  <c r="AD1826" i="4"/>
  <c r="AD2058" i="4"/>
  <c r="AD2059" i="4"/>
  <c r="AD2060" i="4"/>
  <c r="AD2061" i="4"/>
  <c r="AD2062" i="4"/>
  <c r="AD2063" i="4"/>
  <c r="AD2064" i="4"/>
  <c r="AD2065" i="4"/>
  <c r="AD2066" i="4"/>
  <c r="AD2067" i="4"/>
  <c r="AD2068" i="4"/>
  <c r="AD2069" i="4"/>
  <c r="AD2070" i="4"/>
  <c r="AD2071" i="4"/>
  <c r="AD2072" i="4"/>
  <c r="AD2073" i="4"/>
  <c r="AD2074" i="4"/>
  <c r="AD2075" i="4"/>
  <c r="AD2076" i="4"/>
  <c r="AD2077" i="4"/>
  <c r="AC2093" i="4"/>
  <c r="AB2093" i="4"/>
  <c r="X2093" i="4"/>
  <c r="AD1617" i="4"/>
  <c r="AB2079" i="4"/>
  <c r="AC2079" i="4"/>
  <c r="AB2116" i="4"/>
  <c r="AC2116" i="4"/>
  <c r="AB2117" i="4"/>
  <c r="AC2117" i="4"/>
  <c r="AB2118" i="4"/>
  <c r="AC2118" i="4"/>
  <c r="AB2119" i="4"/>
  <c r="AC2119" i="4"/>
  <c r="AB2120" i="4"/>
  <c r="AC2120" i="4"/>
  <c r="AB2121" i="4"/>
  <c r="AC2121" i="4"/>
  <c r="AB2122" i="4"/>
  <c r="AC2122" i="4"/>
  <c r="AB2123" i="4"/>
  <c r="AC2123" i="4"/>
  <c r="AB2124" i="4"/>
  <c r="AC2124" i="4"/>
  <c r="AB2094" i="4"/>
  <c r="AC2094" i="4"/>
  <c r="AB2095" i="4"/>
  <c r="AC2095" i="4"/>
  <c r="AB2096" i="4"/>
  <c r="AC2096" i="4"/>
  <c r="AB2097" i="4"/>
  <c r="AC2097" i="4"/>
  <c r="AB2098" i="4"/>
  <c r="AC2098" i="4"/>
  <c r="AB2099" i="4"/>
  <c r="AC2099" i="4"/>
  <c r="AB2100" i="4"/>
  <c r="AC2100" i="4"/>
  <c r="AB2101" i="4"/>
  <c r="AC2101" i="4"/>
  <c r="AB2102" i="4"/>
  <c r="AC2102" i="4"/>
  <c r="AB2103" i="4"/>
  <c r="AC2103" i="4"/>
  <c r="AB2104" i="4"/>
  <c r="AC2104" i="4"/>
  <c r="AB2105" i="4"/>
  <c r="AC2105" i="4"/>
  <c r="AB2106" i="4"/>
  <c r="AC2106" i="4"/>
  <c r="AB2107" i="4"/>
  <c r="AC2107" i="4"/>
  <c r="AB2108" i="4"/>
  <c r="AC2108" i="4"/>
  <c r="AB2109" i="4"/>
  <c r="AC2109" i="4"/>
  <c r="AB2110" i="4"/>
  <c r="AC2110" i="4"/>
  <c r="AB2111" i="4"/>
  <c r="AC2111" i="4"/>
  <c r="AB1824" i="4"/>
  <c r="AC1824" i="4"/>
  <c r="AB1825" i="4"/>
  <c r="AC1825" i="4"/>
  <c r="AB1826" i="4"/>
  <c r="AC1826" i="4"/>
  <c r="AB2058" i="4"/>
  <c r="AC2058" i="4"/>
  <c r="AB2059" i="4"/>
  <c r="AC2059" i="4"/>
  <c r="AB2060" i="4"/>
  <c r="AC2060" i="4"/>
  <c r="AB2061" i="4"/>
  <c r="AC2061" i="4"/>
  <c r="AB2062" i="4"/>
  <c r="AC2062" i="4"/>
  <c r="AB2063" i="4"/>
  <c r="AC2063" i="4"/>
  <c r="AB2064" i="4"/>
  <c r="AC2064" i="4"/>
  <c r="AB2065" i="4"/>
  <c r="AC2065" i="4"/>
  <c r="AB2066" i="4"/>
  <c r="AC2066" i="4"/>
  <c r="AB2067" i="4"/>
  <c r="AC2067" i="4"/>
  <c r="AB2068" i="4"/>
  <c r="AC2068" i="4"/>
  <c r="AB2069" i="4"/>
  <c r="AC2069" i="4"/>
  <c r="AB2070" i="4"/>
  <c r="AC2070" i="4"/>
  <c r="AB2071" i="4"/>
  <c r="AC2071" i="4"/>
  <c r="AB2072" i="4"/>
  <c r="AC2072" i="4"/>
  <c r="AB2073" i="4"/>
  <c r="AC2073" i="4"/>
  <c r="AB2074" i="4"/>
  <c r="AC2074" i="4"/>
  <c r="AB2075" i="4"/>
  <c r="AC2075" i="4"/>
  <c r="AB2076" i="4"/>
  <c r="AC2076" i="4"/>
  <c r="AB2077" i="4"/>
  <c r="AC2077" i="4"/>
  <c r="CF2120" i="4" l="1"/>
  <c r="CF2121" i="4"/>
  <c r="CF2119" i="4"/>
  <c r="CF2118" i="4"/>
  <c r="CF2117" i="4"/>
  <c r="CF2122" i="4"/>
  <c r="CF2124" i="4"/>
  <c r="CF2123" i="4"/>
  <c r="CF2116" i="4"/>
  <c r="CF2072" i="4"/>
  <c r="CF2059" i="4"/>
  <c r="CF2100" i="4"/>
  <c r="CF2104" i="4"/>
  <c r="CF2076" i="4"/>
  <c r="CF2063" i="4"/>
  <c r="CF2064" i="4"/>
  <c r="CF2077" i="4"/>
  <c r="CF2105" i="4"/>
  <c r="CF2066" i="4"/>
  <c r="CF2107" i="4"/>
  <c r="CF2093" i="4"/>
  <c r="CF2097" i="4"/>
  <c r="CF1825" i="4"/>
  <c r="CF2065" i="4"/>
  <c r="CF2106" i="4"/>
  <c r="CF2073" i="4"/>
  <c r="CF2068" i="4"/>
  <c r="CF2060" i="4"/>
  <c r="CF2109" i="4"/>
  <c r="CF2101" i="4"/>
  <c r="CF2079" i="4"/>
  <c r="CF2058" i="4"/>
  <c r="CF2098" i="4"/>
  <c r="CF2070" i="4"/>
  <c r="CF2099" i="4"/>
  <c r="CF2071" i="4"/>
  <c r="CF1826" i="4"/>
  <c r="CF1824" i="4"/>
  <c r="CF2096" i="4"/>
  <c r="CF2074" i="4"/>
  <c r="CF2069" i="4"/>
  <c r="CF2061" i="4"/>
  <c r="CF2110" i="4"/>
  <c r="CF2102" i="4"/>
  <c r="CF2094" i="4"/>
  <c r="CF2067" i="4"/>
  <c r="CF2108" i="4"/>
  <c r="CF2075" i="4"/>
  <c r="CF2062" i="4"/>
  <c r="CF2111" i="4"/>
  <c r="CF2103" i="4"/>
  <c r="CF2095" i="4"/>
  <c r="AB1834" i="4"/>
  <c r="AC1834" i="4"/>
  <c r="AB1835" i="4"/>
  <c r="AC1835" i="4"/>
  <c r="AB1836" i="4"/>
  <c r="AC1836" i="4"/>
  <c r="AB1837" i="4"/>
  <c r="AC1837" i="4"/>
  <c r="AB1838" i="4"/>
  <c r="AC1838" i="4"/>
  <c r="AB1839" i="4"/>
  <c r="AC1839" i="4"/>
  <c r="AB1840" i="4"/>
  <c r="AC1840" i="4"/>
  <c r="AB1841" i="4"/>
  <c r="AC1841" i="4"/>
  <c r="AB1842" i="4"/>
  <c r="AC1842" i="4"/>
  <c r="AB1843" i="4"/>
  <c r="AC1843" i="4"/>
  <c r="AB1844" i="4"/>
  <c r="AC1844" i="4"/>
  <c r="AB1845" i="4"/>
  <c r="AC1845" i="4"/>
  <c r="AB1846" i="4"/>
  <c r="AC1846" i="4"/>
  <c r="AB1847" i="4"/>
  <c r="AC1847" i="4"/>
  <c r="AB1848" i="4"/>
  <c r="AC1848" i="4"/>
  <c r="AB1849" i="4"/>
  <c r="AC1849" i="4"/>
  <c r="AB1850" i="4"/>
  <c r="AC1850" i="4"/>
  <c r="AB1851" i="4"/>
  <c r="AC1851" i="4"/>
  <c r="AB1852" i="4"/>
  <c r="AC1852" i="4"/>
  <c r="AB1853" i="4"/>
  <c r="AC1853" i="4"/>
  <c r="AB1854" i="4"/>
  <c r="AC1854" i="4"/>
  <c r="AB1855" i="4"/>
  <c r="AC1855" i="4"/>
  <c r="AB1856" i="4"/>
  <c r="AC1856" i="4"/>
  <c r="AB1857" i="4"/>
  <c r="AC1857" i="4"/>
  <c r="AB1858" i="4"/>
  <c r="AC1858" i="4"/>
  <c r="AB1859" i="4"/>
  <c r="AC1859" i="4"/>
  <c r="AB1860" i="4"/>
  <c r="AC1860" i="4"/>
  <c r="AB1861" i="4"/>
  <c r="AC1861" i="4"/>
  <c r="AB1862" i="4"/>
  <c r="AC1862" i="4"/>
  <c r="AB1863" i="4"/>
  <c r="AC1863" i="4"/>
  <c r="AB1864" i="4"/>
  <c r="AC1864" i="4"/>
  <c r="AB1865" i="4"/>
  <c r="AC1865" i="4"/>
  <c r="AB1866" i="4"/>
  <c r="AC1866" i="4"/>
  <c r="AB1867" i="4"/>
  <c r="AC1867" i="4"/>
  <c r="AB1868" i="4"/>
  <c r="AC1868" i="4"/>
  <c r="AB1869" i="4"/>
  <c r="AC1869" i="4"/>
  <c r="AB1870" i="4"/>
  <c r="AC1870" i="4"/>
  <c r="AB1871" i="4"/>
  <c r="AC1871" i="4"/>
  <c r="AB1872" i="4"/>
  <c r="AC1872" i="4"/>
  <c r="AB1873" i="4"/>
  <c r="AC1873" i="4"/>
  <c r="AB1874" i="4"/>
  <c r="AC1874" i="4"/>
  <c r="AB1875" i="4"/>
  <c r="AC1875" i="4"/>
  <c r="AB1876" i="4"/>
  <c r="AC1876" i="4"/>
  <c r="AB1877" i="4"/>
  <c r="AC1877" i="4"/>
  <c r="AB1878" i="4"/>
  <c r="AC1878" i="4"/>
  <c r="AB1879" i="4"/>
  <c r="AC1879" i="4"/>
  <c r="AB1880" i="4"/>
  <c r="AC1880" i="4"/>
  <c r="AB1881" i="4"/>
  <c r="AC1881" i="4"/>
  <c r="AB1882" i="4"/>
  <c r="AC1882" i="4"/>
  <c r="AB1883" i="4"/>
  <c r="AC1883" i="4"/>
  <c r="AB1884" i="4"/>
  <c r="AC1884" i="4"/>
  <c r="AB1885" i="4"/>
  <c r="AC1885" i="4"/>
  <c r="AB1886" i="4"/>
  <c r="AC1886" i="4"/>
  <c r="AB1887" i="4"/>
  <c r="AC1887" i="4"/>
  <c r="AB1888" i="4"/>
  <c r="AC1888" i="4"/>
  <c r="AB1889" i="4"/>
  <c r="AC1889" i="4"/>
  <c r="AB1890" i="4"/>
  <c r="AC1890" i="4"/>
  <c r="AB1891" i="4"/>
  <c r="AC1891" i="4"/>
  <c r="AB1892" i="4"/>
  <c r="AC1892" i="4"/>
  <c r="AB1893" i="4"/>
  <c r="AC1893" i="4"/>
  <c r="AB1894" i="4"/>
  <c r="AC1894" i="4"/>
  <c r="AB1895" i="4"/>
  <c r="AC1895" i="4"/>
  <c r="AB1896" i="4"/>
  <c r="AC1896" i="4"/>
  <c r="AB1897" i="4"/>
  <c r="AC1897" i="4"/>
  <c r="AB1898" i="4"/>
  <c r="AC1898" i="4"/>
  <c r="AB1899" i="4"/>
  <c r="AC1899" i="4"/>
  <c r="AB1900" i="4"/>
  <c r="AC1900" i="4"/>
  <c r="AB1901" i="4"/>
  <c r="AC1901" i="4"/>
  <c r="AB1902" i="4"/>
  <c r="AC1902" i="4"/>
  <c r="AB1903" i="4"/>
  <c r="AC1903" i="4"/>
  <c r="AB1904" i="4"/>
  <c r="AC1904" i="4"/>
  <c r="AB1905" i="4"/>
  <c r="AC1905" i="4"/>
  <c r="AB1906" i="4"/>
  <c r="AC1906" i="4"/>
  <c r="AB1907" i="4"/>
  <c r="AC1907" i="4"/>
  <c r="AB1908" i="4"/>
  <c r="AC1908" i="4"/>
  <c r="AB1909" i="4"/>
  <c r="AC1909" i="4"/>
  <c r="AB1910" i="4"/>
  <c r="AC1910" i="4"/>
  <c r="AB1911" i="4"/>
  <c r="AC1911" i="4"/>
  <c r="AB1912" i="4"/>
  <c r="AC1912" i="4"/>
  <c r="AB1913" i="4"/>
  <c r="AC1913" i="4"/>
  <c r="AB1914" i="4"/>
  <c r="AC1914" i="4"/>
  <c r="AB1915" i="4"/>
  <c r="AC1915" i="4"/>
  <c r="AB1916" i="4"/>
  <c r="AC1916" i="4"/>
  <c r="AB1917" i="4"/>
  <c r="AC1917" i="4"/>
  <c r="AB1918" i="4"/>
  <c r="AC1918" i="4"/>
  <c r="AB1919" i="4"/>
  <c r="AC1919" i="4"/>
  <c r="AB1920" i="4"/>
  <c r="AC1920" i="4"/>
  <c r="AB1921" i="4"/>
  <c r="AC1921" i="4"/>
  <c r="AB1922" i="4"/>
  <c r="AC1922" i="4"/>
  <c r="AB1923" i="4"/>
  <c r="AC1923" i="4"/>
  <c r="AB1924" i="4"/>
  <c r="AC1924" i="4"/>
  <c r="AB1925" i="4"/>
  <c r="AC1925" i="4"/>
  <c r="AB1926" i="4"/>
  <c r="AC1926" i="4"/>
  <c r="AB1927" i="4"/>
  <c r="AC1927" i="4"/>
  <c r="AB1928" i="4"/>
  <c r="AC1928" i="4"/>
  <c r="AB1929" i="4"/>
  <c r="AC1929" i="4"/>
  <c r="AB1930" i="4"/>
  <c r="AC1930" i="4"/>
  <c r="AB1931" i="4"/>
  <c r="AC1931" i="4"/>
  <c r="AB1932" i="4"/>
  <c r="AC1932" i="4"/>
  <c r="AB1933" i="4"/>
  <c r="AC1933" i="4"/>
  <c r="AB1934" i="4"/>
  <c r="AC1934" i="4"/>
  <c r="AB1935" i="4"/>
  <c r="AC1935" i="4"/>
  <c r="AB1936" i="4"/>
  <c r="AC1936" i="4"/>
  <c r="AB1937" i="4"/>
  <c r="AC1937" i="4"/>
  <c r="AB1938" i="4"/>
  <c r="AC1938" i="4"/>
  <c r="AB1939" i="4"/>
  <c r="AC1939" i="4"/>
  <c r="AB1940" i="4"/>
  <c r="AC1940" i="4"/>
  <c r="AB1941" i="4"/>
  <c r="AC1941" i="4"/>
  <c r="AB1942" i="4"/>
  <c r="AC1942" i="4"/>
  <c r="AB1943" i="4"/>
  <c r="AC1943" i="4"/>
  <c r="AB1944" i="4"/>
  <c r="AC1944" i="4"/>
  <c r="AB1945" i="4"/>
  <c r="AC1945" i="4"/>
  <c r="AB1946" i="4"/>
  <c r="AC1946" i="4"/>
  <c r="AB1947" i="4"/>
  <c r="AC1947" i="4"/>
  <c r="AB1948" i="4"/>
  <c r="AC1948" i="4"/>
  <c r="AB1949" i="4"/>
  <c r="AC1949" i="4"/>
  <c r="AB1950" i="4"/>
  <c r="AC1950" i="4"/>
  <c r="AB1951" i="4"/>
  <c r="AC1951" i="4"/>
  <c r="AB1952" i="4"/>
  <c r="AC1952" i="4"/>
  <c r="AB1953" i="4"/>
  <c r="AC1953" i="4"/>
  <c r="AB1954" i="4"/>
  <c r="AC1954" i="4"/>
  <c r="AB1955" i="4"/>
  <c r="AC1955" i="4"/>
  <c r="AB1956" i="4"/>
  <c r="AC1956" i="4"/>
  <c r="AB1957" i="4"/>
  <c r="AC1957" i="4"/>
  <c r="AB1958" i="4"/>
  <c r="AC1958" i="4"/>
  <c r="AB1959" i="4"/>
  <c r="AC1959" i="4"/>
  <c r="AB1960" i="4"/>
  <c r="AC1960" i="4"/>
  <c r="AB1961" i="4"/>
  <c r="AC1961" i="4"/>
  <c r="AB1962" i="4"/>
  <c r="AC1962" i="4"/>
  <c r="AB1963" i="4"/>
  <c r="AC1963" i="4"/>
  <c r="AB1964" i="4"/>
  <c r="AC1964" i="4"/>
  <c r="AB1965" i="4"/>
  <c r="AC1965" i="4"/>
  <c r="AB1966" i="4"/>
  <c r="AC1966" i="4"/>
  <c r="AB1967" i="4"/>
  <c r="AC1967" i="4"/>
  <c r="AB1968" i="4"/>
  <c r="AC1968" i="4"/>
  <c r="AB1969" i="4"/>
  <c r="AC1969" i="4"/>
  <c r="AB1970" i="4"/>
  <c r="AC1970" i="4"/>
  <c r="AB1971" i="4"/>
  <c r="AC1971" i="4"/>
  <c r="AB1972" i="4"/>
  <c r="AC1972" i="4"/>
  <c r="AB1973" i="4"/>
  <c r="AC1973" i="4"/>
  <c r="AB1974" i="4"/>
  <c r="AC1974" i="4"/>
  <c r="AB1975" i="4"/>
  <c r="AC1975" i="4"/>
  <c r="AB1976" i="4"/>
  <c r="AC1976" i="4"/>
  <c r="AB1977" i="4"/>
  <c r="AC1977" i="4"/>
  <c r="AB1978" i="4"/>
  <c r="AC1978" i="4"/>
  <c r="AB1979" i="4"/>
  <c r="AC1979" i="4"/>
  <c r="AB1980" i="4"/>
  <c r="AC1980" i="4"/>
  <c r="AB1981" i="4"/>
  <c r="AC1981" i="4"/>
  <c r="AB1982" i="4"/>
  <c r="AC1982" i="4"/>
  <c r="AB1983" i="4"/>
  <c r="AC1983" i="4"/>
  <c r="AB1984" i="4"/>
  <c r="AC1984" i="4"/>
  <c r="AB1985" i="4"/>
  <c r="AC1985" i="4"/>
  <c r="AB1986" i="4"/>
  <c r="AC1986" i="4"/>
  <c r="AB1987" i="4"/>
  <c r="AC1987" i="4"/>
  <c r="AB1988" i="4"/>
  <c r="AC1988" i="4"/>
  <c r="AB1989" i="4"/>
  <c r="AC1989" i="4"/>
  <c r="AB1990" i="4"/>
  <c r="AC1990" i="4"/>
  <c r="AB1991" i="4"/>
  <c r="AC1991" i="4"/>
  <c r="AB1992" i="4"/>
  <c r="AC1992" i="4"/>
  <c r="AB1993" i="4"/>
  <c r="AC1993" i="4"/>
  <c r="AB1994" i="4"/>
  <c r="AC1994" i="4"/>
  <c r="AB1995" i="4"/>
  <c r="AC1995" i="4"/>
  <c r="AB1996" i="4"/>
  <c r="AC1996" i="4"/>
  <c r="AB1997" i="4"/>
  <c r="AC1997" i="4"/>
  <c r="AB1998" i="4"/>
  <c r="AC1998" i="4"/>
  <c r="AB1999" i="4"/>
  <c r="AC1999" i="4"/>
  <c r="AB2000" i="4"/>
  <c r="AC2000" i="4"/>
  <c r="AB2001" i="4"/>
  <c r="AC2001" i="4"/>
  <c r="AB2002" i="4"/>
  <c r="AC2002" i="4"/>
  <c r="AB2003" i="4"/>
  <c r="AC2003" i="4"/>
  <c r="AB2004" i="4"/>
  <c r="AC2004" i="4"/>
  <c r="AB2005" i="4"/>
  <c r="AC2005" i="4"/>
  <c r="AB2006" i="4"/>
  <c r="AC2006" i="4"/>
  <c r="AB2007" i="4"/>
  <c r="AC2007" i="4"/>
  <c r="AB2008" i="4"/>
  <c r="AC2008" i="4"/>
  <c r="AB1675" i="4"/>
  <c r="AC1675" i="4"/>
  <c r="AB1676" i="4"/>
  <c r="AC1676" i="4"/>
  <c r="AB1677" i="4"/>
  <c r="AC1677" i="4"/>
  <c r="AB1678" i="4"/>
  <c r="AC1678" i="4"/>
  <c r="AB1679" i="4"/>
  <c r="AC1679" i="4"/>
  <c r="AB1680" i="4"/>
  <c r="AC1680" i="4"/>
  <c r="AB1681" i="4"/>
  <c r="AC1681" i="4"/>
  <c r="AB1682" i="4"/>
  <c r="AC1682" i="4"/>
  <c r="AB1683" i="4"/>
  <c r="AC1683" i="4"/>
  <c r="AB1684" i="4"/>
  <c r="AC1684" i="4"/>
  <c r="AB1685" i="4"/>
  <c r="AC1685" i="4"/>
  <c r="AB1686" i="4"/>
  <c r="AC1686" i="4"/>
  <c r="AB1690" i="4"/>
  <c r="AC1690" i="4"/>
  <c r="AB1691" i="4"/>
  <c r="AC1691" i="4"/>
  <c r="AB1692" i="4"/>
  <c r="AC1692" i="4"/>
  <c r="AB1693" i="4"/>
  <c r="AC1693" i="4"/>
  <c r="AB1694" i="4"/>
  <c r="AC1694" i="4"/>
  <c r="AB1695" i="4"/>
  <c r="AC1695" i="4"/>
  <c r="AB1696" i="4"/>
  <c r="AC1696" i="4"/>
  <c r="AB1697" i="4"/>
  <c r="AC1697" i="4"/>
  <c r="AB1698" i="4"/>
  <c r="AC1698" i="4"/>
  <c r="AB1699" i="4"/>
  <c r="AC1699" i="4"/>
  <c r="AB1700" i="4"/>
  <c r="AC1700" i="4"/>
  <c r="AB1701" i="4"/>
  <c r="AC1701" i="4"/>
  <c r="AB1702" i="4"/>
  <c r="AC1702" i="4"/>
  <c r="AB1703" i="4"/>
  <c r="AC1703" i="4"/>
  <c r="AB1704" i="4"/>
  <c r="AC1704" i="4"/>
  <c r="AB1705" i="4"/>
  <c r="AC1705" i="4"/>
  <c r="AB1706" i="4"/>
  <c r="AC1706" i="4"/>
  <c r="AB1707" i="4"/>
  <c r="AC1707" i="4"/>
  <c r="AB1708" i="4"/>
  <c r="AC1708" i="4"/>
  <c r="AB1709" i="4"/>
  <c r="AC1709" i="4"/>
  <c r="AB1710" i="4"/>
  <c r="AC1710" i="4"/>
  <c r="AB1711" i="4"/>
  <c r="AC1711" i="4"/>
  <c r="AB1712" i="4"/>
  <c r="AC1712" i="4"/>
  <c r="AB1713" i="4"/>
  <c r="AC1713" i="4"/>
  <c r="AB1714" i="4"/>
  <c r="AC1714" i="4"/>
  <c r="AB1715" i="4"/>
  <c r="AC1715" i="4"/>
  <c r="AB1716" i="4"/>
  <c r="AC1716" i="4"/>
  <c r="AB1717" i="4"/>
  <c r="AC1717" i="4"/>
  <c r="AB1718" i="4"/>
  <c r="AC1718" i="4"/>
  <c r="AB1719" i="4"/>
  <c r="AC1719" i="4"/>
  <c r="AB1720" i="4"/>
  <c r="AC1720" i="4"/>
  <c r="AB1721" i="4"/>
  <c r="AC1721" i="4"/>
  <c r="AB1722" i="4"/>
  <c r="AC1722" i="4"/>
  <c r="AB1723" i="4"/>
  <c r="AC1723" i="4"/>
  <c r="AB1724" i="4"/>
  <c r="AC1724" i="4"/>
  <c r="AB1725" i="4"/>
  <c r="AC1725" i="4"/>
  <c r="AB1726" i="4"/>
  <c r="AC1726" i="4"/>
  <c r="AB1727" i="4"/>
  <c r="AC1727" i="4"/>
  <c r="AB1728" i="4"/>
  <c r="AC1728" i="4"/>
  <c r="AB1729" i="4"/>
  <c r="AC1729" i="4"/>
  <c r="AB1730" i="4"/>
  <c r="AC1730" i="4"/>
  <c r="AB1731" i="4"/>
  <c r="AC1731" i="4"/>
  <c r="AB1732" i="4"/>
  <c r="AC1732" i="4"/>
  <c r="AB1733" i="4"/>
  <c r="AC1733" i="4"/>
  <c r="AB1734" i="4"/>
  <c r="AC1734" i="4"/>
  <c r="AB1735" i="4"/>
  <c r="AC1735" i="4"/>
  <c r="AB1736" i="4"/>
  <c r="AC1736" i="4"/>
  <c r="AB1737" i="4"/>
  <c r="AC1737" i="4"/>
  <c r="AB1738" i="4"/>
  <c r="AC1738" i="4"/>
  <c r="AB1739" i="4"/>
  <c r="AC1739" i="4"/>
  <c r="AB1740" i="4"/>
  <c r="AC1740" i="4"/>
  <c r="AB1741" i="4"/>
  <c r="AC1741" i="4"/>
  <c r="AB1742" i="4"/>
  <c r="AC1742" i="4"/>
  <c r="AB1743" i="4"/>
  <c r="AC1743" i="4"/>
  <c r="AB1744" i="4"/>
  <c r="AC1744" i="4"/>
  <c r="AB1745" i="4"/>
  <c r="AC1745" i="4"/>
  <c r="AB1746" i="4"/>
  <c r="AC1746" i="4"/>
  <c r="AB1747" i="4"/>
  <c r="AC1747" i="4"/>
  <c r="AB1748" i="4"/>
  <c r="AC1748" i="4"/>
  <c r="AB1749" i="4"/>
  <c r="AC1749" i="4"/>
  <c r="AB1750" i="4"/>
  <c r="AC1750" i="4"/>
  <c r="AB1751" i="4"/>
  <c r="AC1751" i="4"/>
  <c r="AB1752" i="4"/>
  <c r="AC1752" i="4"/>
  <c r="AB1753" i="4"/>
  <c r="AC1753" i="4"/>
  <c r="AB1754" i="4"/>
  <c r="AC1754" i="4"/>
  <c r="AB1755" i="4"/>
  <c r="AC1755" i="4"/>
  <c r="AB1756" i="4"/>
  <c r="AC1756" i="4"/>
  <c r="AB1757" i="4"/>
  <c r="AC1757" i="4"/>
  <c r="AB1758" i="4"/>
  <c r="AC1758" i="4"/>
  <c r="AB1759" i="4"/>
  <c r="AC1759" i="4"/>
  <c r="AB1760" i="4"/>
  <c r="AC1760" i="4"/>
  <c r="AB1761" i="4"/>
  <c r="AC1761" i="4"/>
  <c r="AB1762" i="4"/>
  <c r="AC1762" i="4"/>
  <c r="AB1763" i="4"/>
  <c r="AC1763" i="4"/>
  <c r="AB1764" i="4"/>
  <c r="AC1764" i="4"/>
  <c r="AB1765" i="4"/>
  <c r="AC1765" i="4"/>
  <c r="AB1766" i="4"/>
  <c r="AC1766" i="4"/>
  <c r="AB1767" i="4"/>
  <c r="AC1767" i="4"/>
  <c r="AB1768" i="4"/>
  <c r="AC1768" i="4"/>
  <c r="AB1769" i="4"/>
  <c r="AC1769" i="4"/>
  <c r="AB1770" i="4"/>
  <c r="AC1770" i="4"/>
  <c r="AB1771" i="4"/>
  <c r="AC1771" i="4"/>
  <c r="AB1772" i="4"/>
  <c r="AC1772" i="4"/>
  <c r="AB1773" i="4"/>
  <c r="AC1773" i="4"/>
  <c r="AB1774" i="4"/>
  <c r="AC1774" i="4"/>
  <c r="AB1775" i="4"/>
  <c r="AC1775" i="4"/>
  <c r="AB1776" i="4"/>
  <c r="AC1776" i="4"/>
  <c r="AB1777" i="4"/>
  <c r="AC1777" i="4"/>
  <c r="AB1778" i="4"/>
  <c r="AC1778" i="4"/>
  <c r="AB1779" i="4"/>
  <c r="AC1779" i="4"/>
  <c r="AB1780" i="4"/>
  <c r="AC1780" i="4"/>
  <c r="AB1781" i="4"/>
  <c r="AC1781" i="4"/>
  <c r="AB1782" i="4"/>
  <c r="AC1782" i="4"/>
  <c r="AB1783" i="4"/>
  <c r="AC1783" i="4"/>
  <c r="AB1784" i="4"/>
  <c r="AC1784" i="4"/>
  <c r="AB1785" i="4"/>
  <c r="AC1785" i="4"/>
  <c r="AB1786" i="4"/>
  <c r="AC1786" i="4"/>
  <c r="AB1787" i="4"/>
  <c r="AC1787" i="4"/>
  <c r="AB1788" i="4"/>
  <c r="AC1788" i="4"/>
  <c r="AB1789" i="4"/>
  <c r="AC1789" i="4"/>
  <c r="AB1790" i="4"/>
  <c r="AC1790" i="4"/>
  <c r="AB1791" i="4"/>
  <c r="AC1791" i="4"/>
  <c r="AB1792" i="4"/>
  <c r="AC1792" i="4"/>
  <c r="AB1793" i="4"/>
  <c r="AC1793" i="4"/>
  <c r="AB1794" i="4"/>
  <c r="AC1794" i="4"/>
  <c r="AB1795" i="4"/>
  <c r="AC1795" i="4"/>
  <c r="AB1796" i="4"/>
  <c r="AC1796" i="4"/>
  <c r="AB1797" i="4"/>
  <c r="AC1797" i="4"/>
  <c r="AB1798" i="4"/>
  <c r="AC1798" i="4"/>
  <c r="AB1799" i="4"/>
  <c r="AC1799" i="4"/>
  <c r="AB1800" i="4"/>
  <c r="AC1800" i="4"/>
  <c r="AB1801" i="4"/>
  <c r="AC1801" i="4"/>
  <c r="AB1802" i="4"/>
  <c r="AC1802" i="4"/>
  <c r="AB1803" i="4"/>
  <c r="AC1803" i="4"/>
  <c r="AB1804" i="4"/>
  <c r="AC1804" i="4"/>
  <c r="AB1805" i="4"/>
  <c r="AC1805" i="4"/>
  <c r="AB1806" i="4"/>
  <c r="AC1806" i="4"/>
  <c r="AB1807" i="4"/>
  <c r="AC1807" i="4"/>
  <c r="AB1808" i="4"/>
  <c r="AC1808" i="4"/>
  <c r="AB1809" i="4"/>
  <c r="AC1809" i="4"/>
  <c r="AB1810" i="4"/>
  <c r="AC1810" i="4"/>
  <c r="AB1811" i="4"/>
  <c r="AC1811" i="4"/>
  <c r="AB1812" i="4"/>
  <c r="AC1812" i="4"/>
  <c r="AB1813" i="4"/>
  <c r="AC1813" i="4"/>
  <c r="AB1814" i="4"/>
  <c r="AC1814" i="4"/>
  <c r="AB1815" i="4"/>
  <c r="AC1815" i="4"/>
  <c r="AB1816" i="4"/>
  <c r="AC1816" i="4"/>
  <c r="AB1817" i="4"/>
  <c r="AC1817" i="4"/>
  <c r="AB1818" i="4"/>
  <c r="AC1818" i="4"/>
  <c r="AB1819" i="4"/>
  <c r="AC1819" i="4"/>
  <c r="AB1820" i="4"/>
  <c r="AC1820" i="4"/>
  <c r="AB1821" i="4"/>
  <c r="AC1821" i="4"/>
  <c r="AB1822" i="4"/>
  <c r="AC1822" i="4"/>
  <c r="AB1623" i="4"/>
  <c r="AC1623" i="4"/>
  <c r="CF1623" i="4" s="1"/>
  <c r="AB1624" i="4"/>
  <c r="AC1624" i="4"/>
  <c r="CF1624" i="4" s="1"/>
  <c r="AB1625" i="4"/>
  <c r="AC1625" i="4"/>
  <c r="CF1625" i="4" s="1"/>
  <c r="AB1626" i="4"/>
  <c r="AC1626" i="4"/>
  <c r="CF1626" i="4" s="1"/>
  <c r="AB1627" i="4"/>
  <c r="AC1627" i="4"/>
  <c r="CF1627" i="4" s="1"/>
  <c r="AB1628" i="4"/>
  <c r="AC1628" i="4"/>
  <c r="CF1628" i="4" s="1"/>
  <c r="AB1629" i="4"/>
  <c r="AC1629" i="4"/>
  <c r="CF1629" i="4" s="1"/>
  <c r="AB1630" i="4"/>
  <c r="AC1630" i="4"/>
  <c r="CF1630" i="4" s="1"/>
  <c r="AB1631" i="4"/>
  <c r="AC1631" i="4"/>
  <c r="CF1631" i="4" s="1"/>
  <c r="AB1632" i="4"/>
  <c r="AC1632" i="4"/>
  <c r="CF1632" i="4" s="1"/>
  <c r="AB1672" i="4"/>
  <c r="AC1672" i="4"/>
  <c r="CF1672" i="4" s="1"/>
  <c r="AB1633" i="4"/>
  <c r="AC1633" i="4"/>
  <c r="CF1633" i="4" s="1"/>
  <c r="AB1634" i="4"/>
  <c r="AC1634" i="4"/>
  <c r="CF1634" i="4" s="1"/>
  <c r="AB1635" i="4"/>
  <c r="AC1635" i="4"/>
  <c r="CF1635" i="4" s="1"/>
  <c r="AB1636" i="4"/>
  <c r="AC1636" i="4"/>
  <c r="CF1636" i="4" s="1"/>
  <c r="AB1637" i="4"/>
  <c r="AC1637" i="4"/>
  <c r="CF1637" i="4" s="1"/>
  <c r="AB1638" i="4"/>
  <c r="AC1638" i="4"/>
  <c r="CF1638" i="4" s="1"/>
  <c r="AB1639" i="4"/>
  <c r="AC1639" i="4"/>
  <c r="CF1639" i="4" s="1"/>
  <c r="AB1640" i="4"/>
  <c r="AC1640" i="4"/>
  <c r="CF1640" i="4" s="1"/>
  <c r="AB1641" i="4"/>
  <c r="AC1641" i="4"/>
  <c r="CF1641" i="4" s="1"/>
  <c r="AB1642" i="4"/>
  <c r="AC1642" i="4"/>
  <c r="CF1642" i="4" s="1"/>
  <c r="AB1674" i="4"/>
  <c r="AC1674" i="4"/>
  <c r="CF1674" i="4" s="1"/>
  <c r="AB1644" i="4"/>
  <c r="AC1644" i="4"/>
  <c r="CF1644" i="4" s="1"/>
  <c r="AB1645" i="4"/>
  <c r="AC1645" i="4"/>
  <c r="CF1645" i="4" s="1"/>
  <c r="AB1646" i="4"/>
  <c r="AC1646" i="4"/>
  <c r="CF1646" i="4" s="1"/>
  <c r="AB1673" i="4"/>
  <c r="AC1673" i="4"/>
  <c r="AB1647" i="4"/>
  <c r="AC1647" i="4"/>
  <c r="CF1647" i="4" s="1"/>
  <c r="AB1648" i="4"/>
  <c r="AC1648" i="4"/>
  <c r="CF1648" i="4" s="1"/>
  <c r="AB1649" i="4"/>
  <c r="AC1649" i="4"/>
  <c r="CF1649" i="4" s="1"/>
  <c r="AB1650" i="4"/>
  <c r="AC1650" i="4"/>
  <c r="CF1650" i="4" s="1"/>
  <c r="AB1651" i="4"/>
  <c r="AC1651" i="4"/>
  <c r="CF1651" i="4" s="1"/>
  <c r="AB1652" i="4"/>
  <c r="AC1652" i="4"/>
  <c r="CF1652" i="4" s="1"/>
  <c r="AB1653" i="4"/>
  <c r="AC1653" i="4"/>
  <c r="CF1653" i="4" s="1"/>
  <c r="AB1654" i="4"/>
  <c r="AC1654" i="4"/>
  <c r="CF1654" i="4" s="1"/>
  <c r="AB1655" i="4"/>
  <c r="AC1655" i="4"/>
  <c r="CF1655" i="4" s="1"/>
  <c r="AB1656" i="4"/>
  <c r="AC1656" i="4"/>
  <c r="CF1656" i="4" s="1"/>
  <c r="AB1657" i="4"/>
  <c r="AC1657" i="4"/>
  <c r="CF1657" i="4" s="1"/>
  <c r="AB1658" i="4"/>
  <c r="AC1658" i="4"/>
  <c r="CF1658" i="4" s="1"/>
  <c r="AB1659" i="4"/>
  <c r="AC1659" i="4"/>
  <c r="CF1659" i="4" s="1"/>
  <c r="AB1660" i="4"/>
  <c r="AC1660" i="4"/>
  <c r="CF1660" i="4" s="1"/>
  <c r="AB1661" i="4"/>
  <c r="AC1661" i="4"/>
  <c r="CF1661" i="4" s="1"/>
  <c r="AB1662" i="4"/>
  <c r="AC1662" i="4"/>
  <c r="CF1662" i="4" s="1"/>
  <c r="AB1663" i="4"/>
  <c r="AC1663" i="4"/>
  <c r="CF1663" i="4" s="1"/>
  <c r="AB1664" i="4"/>
  <c r="AC1664" i="4"/>
  <c r="CF1664" i="4" s="1"/>
  <c r="AB1665" i="4"/>
  <c r="AC1665" i="4"/>
  <c r="CF1665" i="4" s="1"/>
  <c r="AB1666" i="4"/>
  <c r="AC1666" i="4"/>
  <c r="CF1666" i="4" s="1"/>
  <c r="AB1643" i="4"/>
  <c r="AC1643" i="4"/>
  <c r="CF1643" i="4" s="1"/>
  <c r="AB1667" i="4"/>
  <c r="AC1667" i="4"/>
  <c r="CF1667" i="4" s="1"/>
  <c r="AB1668" i="4"/>
  <c r="AC1668" i="4"/>
  <c r="CF1668" i="4" s="1"/>
  <c r="AB1669" i="4"/>
  <c r="AC1669" i="4"/>
  <c r="CF1669" i="4" s="1"/>
  <c r="AB1670" i="4"/>
  <c r="AC1670" i="4"/>
  <c r="CF1670" i="4" s="1"/>
  <c r="AB1671" i="4"/>
  <c r="AC1671" i="4"/>
  <c r="CF1671" i="4" s="1"/>
  <c r="AC1833" i="4"/>
  <c r="AB1833" i="4"/>
  <c r="X2123" i="4"/>
  <c r="CF1673" i="4" l="1"/>
  <c r="CF2007" i="4"/>
  <c r="CF1987" i="4"/>
  <c r="CF1967" i="4"/>
  <c r="CF1955" i="4"/>
  <c r="CF1939" i="4"/>
  <c r="CF1919" i="4"/>
  <c r="CF1895" i="4"/>
  <c r="CF1879" i="4"/>
  <c r="CF1855" i="4"/>
  <c r="CF2008" i="4"/>
  <c r="CF2004" i="4"/>
  <c r="CF2000" i="4"/>
  <c r="CF1996" i="4"/>
  <c r="CF1992" i="4"/>
  <c r="CF1988" i="4"/>
  <c r="CF1984" i="4"/>
  <c r="CF1980" i="4"/>
  <c r="CF1976" i="4"/>
  <c r="CF1972" i="4"/>
  <c r="CF1968" i="4"/>
  <c r="CF1964" i="4"/>
  <c r="CF1960" i="4"/>
  <c r="CF1956" i="4"/>
  <c r="CF1952" i="4"/>
  <c r="CF1948" i="4"/>
  <c r="CF1944" i="4"/>
  <c r="CF1940" i="4"/>
  <c r="CF1936" i="4"/>
  <c r="CF1932" i="4"/>
  <c r="CF1928" i="4"/>
  <c r="CF1924" i="4"/>
  <c r="CF1920" i="4"/>
  <c r="CF1916" i="4"/>
  <c r="CF1912" i="4"/>
  <c r="CF1908" i="4"/>
  <c r="CF1904" i="4"/>
  <c r="CF1900" i="4"/>
  <c r="CF1896" i="4"/>
  <c r="CF1892" i="4"/>
  <c r="CF1888" i="4"/>
  <c r="CF1884" i="4"/>
  <c r="CF1880" i="4"/>
  <c r="CF1876" i="4"/>
  <c r="CF1872" i="4"/>
  <c r="CF1868" i="4"/>
  <c r="CF1864" i="4"/>
  <c r="CF1860" i="4"/>
  <c r="CF1856" i="4"/>
  <c r="CF1852" i="4"/>
  <c r="CF1848" i="4"/>
  <c r="CF1844" i="4"/>
  <c r="CF1840" i="4"/>
  <c r="CF1836" i="4"/>
  <c r="CF2003" i="4"/>
  <c r="CF1991" i="4"/>
  <c r="CF1979" i="4"/>
  <c r="CF1963" i="4"/>
  <c r="CF1951" i="4"/>
  <c r="CF1943" i="4"/>
  <c r="CF1931" i="4"/>
  <c r="CF1915" i="4"/>
  <c r="CF1903" i="4"/>
  <c r="CF1891" i="4"/>
  <c r="CF1883" i="4"/>
  <c r="CF1871" i="4"/>
  <c r="CF1863" i="4"/>
  <c r="CF1851" i="4"/>
  <c r="CF1843" i="4"/>
  <c r="CF1835" i="4"/>
  <c r="CF1907" i="4"/>
  <c r="CF2006" i="4"/>
  <c r="CF2002" i="4"/>
  <c r="CF1998" i="4"/>
  <c r="CF1994" i="4"/>
  <c r="CF1990" i="4"/>
  <c r="CF1986" i="4"/>
  <c r="CF1982" i="4"/>
  <c r="CF1978" i="4"/>
  <c r="CF1974" i="4"/>
  <c r="CF1970" i="4"/>
  <c r="CF1966" i="4"/>
  <c r="CF1962" i="4"/>
  <c r="CF1958" i="4"/>
  <c r="CF1954" i="4"/>
  <c r="CF1950" i="4"/>
  <c r="CF1946" i="4"/>
  <c r="CF1942" i="4"/>
  <c r="CF1938" i="4"/>
  <c r="CF1934" i="4"/>
  <c r="CF1930" i="4"/>
  <c r="CF1926" i="4"/>
  <c r="CF1922" i="4"/>
  <c r="CF1918" i="4"/>
  <c r="CF1914" i="4"/>
  <c r="CF1910" i="4"/>
  <c r="CF1906" i="4"/>
  <c r="CF1902" i="4"/>
  <c r="CF1898" i="4"/>
  <c r="CF1894" i="4"/>
  <c r="CF1890" i="4"/>
  <c r="CF1886" i="4"/>
  <c r="CF1882" i="4"/>
  <c r="CF1878" i="4"/>
  <c r="CF1874" i="4"/>
  <c r="CF1870" i="4"/>
  <c r="CF1866" i="4"/>
  <c r="CF1862" i="4"/>
  <c r="CF1858" i="4"/>
  <c r="CF1854" i="4"/>
  <c r="CF1850" i="4"/>
  <c r="CF1846" i="4"/>
  <c r="CF1842" i="4"/>
  <c r="CF1838" i="4"/>
  <c r="CF1834" i="4"/>
  <c r="CF1995" i="4"/>
  <c r="CF1983" i="4"/>
  <c r="CF1975" i="4"/>
  <c r="CF1959" i="4"/>
  <c r="CF1947" i="4"/>
  <c r="CF1935" i="4"/>
  <c r="CF1927" i="4"/>
  <c r="CF1911" i="4"/>
  <c r="CF1899" i="4"/>
  <c r="CF1887" i="4"/>
  <c r="CF1875" i="4"/>
  <c r="CF1867" i="4"/>
  <c r="CF1859" i="4"/>
  <c r="CF1847" i="4"/>
  <c r="CF1839" i="4"/>
  <c r="CF1833" i="4"/>
  <c r="CF1999" i="4"/>
  <c r="CF1971" i="4"/>
  <c r="CF1923" i="4"/>
  <c r="CF2005" i="4"/>
  <c r="CF2001" i="4"/>
  <c r="CF1997" i="4"/>
  <c r="CF1993" i="4"/>
  <c r="CF1989" i="4"/>
  <c r="CF1985" i="4"/>
  <c r="CF1981" i="4"/>
  <c r="CF1977" i="4"/>
  <c r="CF1973" i="4"/>
  <c r="CF1969" i="4"/>
  <c r="CF1965" i="4"/>
  <c r="CF1961" i="4"/>
  <c r="CF1957" i="4"/>
  <c r="CF1953" i="4"/>
  <c r="CF1949" i="4"/>
  <c r="CF1945" i="4"/>
  <c r="CF1941" i="4"/>
  <c r="CF1937" i="4"/>
  <c r="CF1933" i="4"/>
  <c r="CF1929" i="4"/>
  <c r="CF1925" i="4"/>
  <c r="CF1921" i="4"/>
  <c r="CF1917" i="4"/>
  <c r="CF1913" i="4"/>
  <c r="CF1909" i="4"/>
  <c r="CF1905" i="4"/>
  <c r="CF1901" i="4"/>
  <c r="CF1897" i="4"/>
  <c r="CF1893" i="4"/>
  <c r="CF1889" i="4"/>
  <c r="CF1885" i="4"/>
  <c r="CF1881" i="4"/>
  <c r="CF1877" i="4"/>
  <c r="CF1873" i="4"/>
  <c r="CF1869" i="4"/>
  <c r="CF1865" i="4"/>
  <c r="CF1861" i="4"/>
  <c r="CF1857" i="4"/>
  <c r="CF1853" i="4"/>
  <c r="CF1849" i="4"/>
  <c r="CF1845" i="4"/>
  <c r="CF1841" i="4"/>
  <c r="CF1837" i="4"/>
  <c r="CF1779" i="4"/>
  <c r="CF1739" i="4"/>
  <c r="CF1723" i="4"/>
  <c r="CF1715" i="4"/>
  <c r="CF1707" i="4"/>
  <c r="CF1699" i="4"/>
  <c r="CF1691" i="4"/>
  <c r="CF1731" i="4"/>
  <c r="CF1730" i="4"/>
  <c r="CF1755" i="4"/>
  <c r="CF1747" i="4"/>
  <c r="CF1690" i="4"/>
  <c r="CF1785" i="4"/>
  <c r="CF1761" i="4"/>
  <c r="CF1753" i="4"/>
  <c r="CF1745" i="4"/>
  <c r="CF1737" i="4"/>
  <c r="CF1729" i="4"/>
  <c r="CF1721" i="4"/>
  <c r="CF1713" i="4"/>
  <c r="CF1705" i="4"/>
  <c r="CF1697" i="4"/>
  <c r="CF1762" i="4"/>
  <c r="CF1787" i="4"/>
  <c r="CF1698" i="4"/>
  <c r="CF1777" i="4"/>
  <c r="CF1816" i="4"/>
  <c r="CF1768" i="4"/>
  <c r="CF1760" i="4"/>
  <c r="CF1752" i="4"/>
  <c r="CF1744" i="4"/>
  <c r="CF1736" i="4"/>
  <c r="CF1728" i="4"/>
  <c r="CF1720" i="4"/>
  <c r="CF1712" i="4"/>
  <c r="CF1704" i="4"/>
  <c r="CF1696" i="4"/>
  <c r="CF1811" i="4"/>
  <c r="CF1810" i="4"/>
  <c r="CF1786" i="4"/>
  <c r="CF1770" i="4"/>
  <c r="CF1754" i="4"/>
  <c r="CF1793" i="4"/>
  <c r="CF1808" i="4"/>
  <c r="CF1800" i="4"/>
  <c r="CF1792" i="4"/>
  <c r="CF1784" i="4"/>
  <c r="CF1776" i="4"/>
  <c r="CF1802" i="4"/>
  <c r="CF1807" i="4"/>
  <c r="CF1775" i="4"/>
  <c r="CF1767" i="4"/>
  <c r="CF1759" i="4"/>
  <c r="CF1751" i="4"/>
  <c r="CF1743" i="4"/>
  <c r="CF1735" i="4"/>
  <c r="CF1727" i="4"/>
  <c r="CF1719" i="4"/>
  <c r="CF1711" i="4"/>
  <c r="CF1703" i="4"/>
  <c r="CF1695" i="4"/>
  <c r="CF1794" i="4"/>
  <c r="CF1738" i="4"/>
  <c r="CF1769" i="4"/>
  <c r="CF1815" i="4"/>
  <c r="CF1822" i="4"/>
  <c r="CF1814" i="4"/>
  <c r="CF1806" i="4"/>
  <c r="CF1798" i="4"/>
  <c r="CF1790" i="4"/>
  <c r="CF1782" i="4"/>
  <c r="CF1774" i="4"/>
  <c r="CF1766" i="4"/>
  <c r="CF1758" i="4"/>
  <c r="CF1750" i="4"/>
  <c r="CF1742" i="4"/>
  <c r="CF1734" i="4"/>
  <c r="CF1726" i="4"/>
  <c r="CF1718" i="4"/>
  <c r="CF1710" i="4"/>
  <c r="CF1702" i="4"/>
  <c r="CF1694" i="4"/>
  <c r="CF1763" i="4"/>
  <c r="CF1746" i="4"/>
  <c r="CF1809" i="4"/>
  <c r="CF1819" i="4"/>
  <c r="CF1778" i="4"/>
  <c r="CF1817" i="4"/>
  <c r="CF1799" i="4"/>
  <c r="CF1821" i="4"/>
  <c r="CF1813" i="4"/>
  <c r="CF1805" i="4"/>
  <c r="CF1797" i="4"/>
  <c r="CF1789" i="4"/>
  <c r="CF1781" i="4"/>
  <c r="CF1773" i="4"/>
  <c r="CF1765" i="4"/>
  <c r="CF1757" i="4"/>
  <c r="CF1749" i="4"/>
  <c r="CF1741" i="4"/>
  <c r="CF1733" i="4"/>
  <c r="CF1725" i="4"/>
  <c r="CF1717" i="4"/>
  <c r="CF1709" i="4"/>
  <c r="CF1701" i="4"/>
  <c r="CF1693" i="4"/>
  <c r="CF1795" i="4"/>
  <c r="CF1714" i="4"/>
  <c r="CF1801" i="4"/>
  <c r="CF1803" i="4"/>
  <c r="CF1818" i="4"/>
  <c r="CF1722" i="4"/>
  <c r="CF1783" i="4"/>
  <c r="CF1820" i="4"/>
  <c r="CF1812" i="4"/>
  <c r="CF1804" i="4"/>
  <c r="CF1796" i="4"/>
  <c r="CF1788" i="4"/>
  <c r="CF1780" i="4"/>
  <c r="CF1772" i="4"/>
  <c r="CF1764" i="4"/>
  <c r="CF1756" i="4"/>
  <c r="CF1748" i="4"/>
  <c r="CF1740" i="4"/>
  <c r="CF1732" i="4"/>
  <c r="CF1724" i="4"/>
  <c r="CF1716" i="4"/>
  <c r="CF1708" i="4"/>
  <c r="CF1700" i="4"/>
  <c r="CF1692" i="4"/>
  <c r="CF1771" i="4"/>
  <c r="CF1706" i="4"/>
  <c r="CF1791" i="4"/>
  <c r="CF1681" i="4"/>
  <c r="CF1680" i="4"/>
  <c r="CF1679" i="4"/>
  <c r="CF1686" i="4"/>
  <c r="CF1678" i="4"/>
  <c r="CF1685" i="4"/>
  <c r="CF1684" i="4"/>
  <c r="CF1677" i="4"/>
  <c r="CF1683" i="4"/>
  <c r="CF1676" i="4"/>
  <c r="CF1682" i="4"/>
  <c r="CF1675" i="4"/>
  <c r="X2122" i="4"/>
  <c r="X2121" i="4"/>
  <c r="AD1586" i="4" l="1"/>
  <c r="AD1587" i="4"/>
  <c r="AD1588" i="4"/>
  <c r="AD1589" i="4"/>
  <c r="AD1590" i="4"/>
  <c r="AD1591" i="4"/>
  <c r="AD1592" i="4"/>
  <c r="AD1593" i="4"/>
  <c r="AD1594" i="4"/>
  <c r="AD1595" i="4"/>
  <c r="AD1596" i="4"/>
  <c r="AD1597" i="4"/>
  <c r="AD1598" i="4"/>
  <c r="AD1599" i="4"/>
  <c r="AD1600" i="4"/>
  <c r="AD1601" i="4"/>
  <c r="AD1602" i="4"/>
  <c r="AD1603" i="4"/>
  <c r="AD1604" i="4"/>
  <c r="AD1605" i="4"/>
  <c r="AD1606" i="4"/>
  <c r="AD1607" i="4"/>
  <c r="AD1608" i="4"/>
  <c r="AD1609" i="4"/>
  <c r="AD1610" i="4"/>
  <c r="AD1611" i="4"/>
  <c r="AD1612" i="4"/>
  <c r="AD1613" i="4"/>
  <c r="AD1614" i="4"/>
  <c r="AD1615" i="4"/>
  <c r="AD1616" i="4"/>
  <c r="AB1586" i="4"/>
  <c r="AC1586" i="4"/>
  <c r="CF1586" i="4" s="1"/>
  <c r="AB1587" i="4"/>
  <c r="AC1587" i="4"/>
  <c r="CF1587" i="4" s="1"/>
  <c r="AB1588" i="4"/>
  <c r="AC1588" i="4"/>
  <c r="CF1588" i="4" s="1"/>
  <c r="AB1589" i="4"/>
  <c r="AC1589" i="4"/>
  <c r="CF1589" i="4" s="1"/>
  <c r="AB1590" i="4"/>
  <c r="AC1590" i="4"/>
  <c r="CF1590" i="4" s="1"/>
  <c r="AB1591" i="4"/>
  <c r="AC1591" i="4"/>
  <c r="CF1591" i="4" s="1"/>
  <c r="AB1592" i="4"/>
  <c r="AC1592" i="4"/>
  <c r="CF1592" i="4" s="1"/>
  <c r="AB1593" i="4"/>
  <c r="AC1593" i="4"/>
  <c r="CF1593" i="4" s="1"/>
  <c r="AB1594" i="4"/>
  <c r="AC1594" i="4"/>
  <c r="CF1594" i="4" s="1"/>
  <c r="AB1595" i="4"/>
  <c r="AC1595" i="4"/>
  <c r="CF1595" i="4" s="1"/>
  <c r="AB1596" i="4"/>
  <c r="AC1596" i="4"/>
  <c r="CF1596" i="4" s="1"/>
  <c r="AB1597" i="4"/>
  <c r="AC1597" i="4"/>
  <c r="CF1597" i="4" s="1"/>
  <c r="AB1598" i="4"/>
  <c r="AC1598" i="4"/>
  <c r="CF1598" i="4" s="1"/>
  <c r="AB1599" i="4"/>
  <c r="AC1599" i="4"/>
  <c r="CF1599" i="4" s="1"/>
  <c r="AB1600" i="4"/>
  <c r="AC1600" i="4"/>
  <c r="CF1600" i="4" s="1"/>
  <c r="AB1601" i="4"/>
  <c r="AC1601" i="4"/>
  <c r="CF1601" i="4" s="1"/>
  <c r="AB1602" i="4"/>
  <c r="AC1602" i="4"/>
  <c r="CF1602" i="4" s="1"/>
  <c r="AB1603" i="4"/>
  <c r="AC1603" i="4"/>
  <c r="CF1603" i="4" s="1"/>
  <c r="AB1604" i="4"/>
  <c r="AC1604" i="4"/>
  <c r="CF1604" i="4" s="1"/>
  <c r="AB1605" i="4"/>
  <c r="AC1605" i="4"/>
  <c r="CF1605" i="4" s="1"/>
  <c r="AB1606" i="4"/>
  <c r="AC1606" i="4"/>
  <c r="CF1606" i="4" s="1"/>
  <c r="AB1607" i="4"/>
  <c r="AC1607" i="4"/>
  <c r="CF1607" i="4" s="1"/>
  <c r="AB1608" i="4"/>
  <c r="AC1608" i="4"/>
  <c r="CF1608" i="4" s="1"/>
  <c r="AB1609" i="4"/>
  <c r="AC1609" i="4"/>
  <c r="CF1609" i="4" s="1"/>
  <c r="AB1610" i="4"/>
  <c r="AC1610" i="4"/>
  <c r="CF1610" i="4" s="1"/>
  <c r="AB1611" i="4"/>
  <c r="AC1611" i="4"/>
  <c r="CF1611" i="4" s="1"/>
  <c r="AB1612" i="4"/>
  <c r="AC1612" i="4"/>
  <c r="CF1612" i="4" s="1"/>
  <c r="AB1613" i="4"/>
  <c r="AC1613" i="4"/>
  <c r="CF1613" i="4" s="1"/>
  <c r="AB1614" i="4"/>
  <c r="AC1614" i="4"/>
  <c r="CF1614" i="4" s="1"/>
  <c r="AB1615" i="4"/>
  <c r="AC1615" i="4"/>
  <c r="CF1615" i="4" s="1"/>
  <c r="AB1616" i="4"/>
  <c r="AC1616" i="4"/>
  <c r="CF1616" i="4" s="1"/>
  <c r="AB1617" i="4"/>
  <c r="AC1617" i="4"/>
  <c r="CF1617" i="4" s="1"/>
  <c r="AD1455" i="4" l="1"/>
  <c r="AD1456" i="4"/>
  <c r="AD1457" i="4"/>
  <c r="AD1458" i="4"/>
  <c r="AD1459" i="4"/>
  <c r="AD1460" i="4"/>
  <c r="AD1461" i="4"/>
  <c r="AD1462" i="4"/>
  <c r="AD1463" i="4"/>
  <c r="AD1464" i="4"/>
  <c r="AD1465" i="4"/>
  <c r="AD1466" i="4"/>
  <c r="AD1467" i="4"/>
  <c r="AD1468" i="4"/>
  <c r="AD1469" i="4"/>
  <c r="AD1470" i="4"/>
  <c r="AD1471" i="4"/>
  <c r="AD1472" i="4"/>
  <c r="AD1473" i="4"/>
  <c r="AD1474" i="4"/>
  <c r="AD1475" i="4"/>
  <c r="AD1476" i="4"/>
  <c r="AD1477" i="4"/>
  <c r="AD1478" i="4"/>
  <c r="AD1479" i="4"/>
  <c r="AD1480" i="4"/>
  <c r="AD1481" i="4"/>
  <c r="AD1482" i="4"/>
  <c r="AD1483" i="4"/>
  <c r="AD1484" i="4"/>
  <c r="AD1485" i="4"/>
  <c r="AD1486" i="4"/>
  <c r="AD1487" i="4"/>
  <c r="AD1488" i="4"/>
  <c r="AD1489" i="4"/>
  <c r="AD1490" i="4"/>
  <c r="AD1491" i="4"/>
  <c r="AD1492" i="4"/>
  <c r="AD1493" i="4"/>
  <c r="AD1494" i="4"/>
  <c r="AD1495" i="4"/>
  <c r="AD1496" i="4"/>
  <c r="AD1497" i="4"/>
  <c r="AD1498" i="4"/>
  <c r="AD1499" i="4"/>
  <c r="AD1500" i="4"/>
  <c r="AD1501" i="4"/>
  <c r="AD1502" i="4"/>
  <c r="AD1503" i="4"/>
  <c r="AD1504" i="4"/>
  <c r="AD1505" i="4"/>
  <c r="AD1506" i="4"/>
  <c r="AD1507" i="4"/>
  <c r="AD1508" i="4"/>
  <c r="AD1509" i="4"/>
  <c r="AD1510" i="4"/>
  <c r="AD1511" i="4"/>
  <c r="AD1512" i="4"/>
  <c r="AD1513" i="4"/>
  <c r="AD1514" i="4"/>
  <c r="AD1515" i="4"/>
  <c r="AD1516" i="4"/>
  <c r="AD1517" i="4"/>
  <c r="AD1518" i="4"/>
  <c r="AD1519" i="4"/>
  <c r="AD1520" i="4"/>
  <c r="AD1521" i="4"/>
  <c r="AD1522" i="4"/>
  <c r="AD1523" i="4"/>
  <c r="AD1524" i="4"/>
  <c r="AD1525" i="4"/>
  <c r="AD1526" i="4"/>
  <c r="AD1527" i="4"/>
  <c r="AD1528" i="4"/>
  <c r="AD1529" i="4"/>
  <c r="AD1530" i="4"/>
  <c r="AD1531" i="4"/>
  <c r="AD1532" i="4"/>
  <c r="AD1533" i="4"/>
  <c r="AD1534" i="4"/>
  <c r="AD1535" i="4"/>
  <c r="AD1536" i="4"/>
  <c r="AD1537" i="4"/>
  <c r="AD1538" i="4"/>
  <c r="AD1539" i="4"/>
  <c r="AD1540" i="4"/>
  <c r="AD1541" i="4"/>
  <c r="AD1542" i="4"/>
  <c r="AD1543" i="4"/>
  <c r="AD1544" i="4"/>
  <c r="AD1545" i="4"/>
  <c r="AD1546" i="4"/>
  <c r="AD1547" i="4"/>
  <c r="AD1548" i="4"/>
  <c r="AD1549" i="4"/>
  <c r="AD1550" i="4"/>
  <c r="AD1551" i="4"/>
  <c r="AD1552" i="4"/>
  <c r="AD1553" i="4"/>
  <c r="AD1554" i="4"/>
  <c r="AD1555" i="4"/>
  <c r="AD1556" i="4"/>
  <c r="AD1557" i="4"/>
  <c r="AD1558" i="4"/>
  <c r="AD1559" i="4"/>
  <c r="AD1560" i="4"/>
  <c r="AD1561" i="4"/>
  <c r="AD1562" i="4"/>
  <c r="AD1563" i="4"/>
  <c r="AD1564" i="4"/>
  <c r="AD1565" i="4"/>
  <c r="AD1566" i="4"/>
  <c r="AD1567" i="4"/>
  <c r="AD1568" i="4"/>
  <c r="AD1569" i="4"/>
  <c r="AD1570" i="4"/>
  <c r="AD1571" i="4"/>
  <c r="AD1572" i="4"/>
  <c r="AD1573" i="4"/>
  <c r="AD1574" i="4"/>
  <c r="AD1575" i="4"/>
  <c r="AD1576" i="4"/>
  <c r="AD1577" i="4"/>
  <c r="AD1578" i="4"/>
  <c r="AD1579" i="4"/>
  <c r="AD1580" i="4"/>
  <c r="AD1581" i="4"/>
  <c r="AD1582" i="4"/>
  <c r="AD1583" i="4"/>
  <c r="AD1584" i="4"/>
  <c r="AD1585" i="4"/>
  <c r="AB1547" i="4" l="1"/>
  <c r="AC1547" i="4"/>
  <c r="CF1547" i="4" s="1"/>
  <c r="AB1548" i="4"/>
  <c r="AC1548" i="4"/>
  <c r="CF1548" i="4" s="1"/>
  <c r="AB1549" i="4"/>
  <c r="AC1549" i="4"/>
  <c r="CF1549" i="4" s="1"/>
  <c r="AB1550" i="4"/>
  <c r="AC1550" i="4"/>
  <c r="CF1550" i="4" s="1"/>
  <c r="AB1551" i="4"/>
  <c r="AC1551" i="4"/>
  <c r="CF1551" i="4" s="1"/>
  <c r="AB1552" i="4"/>
  <c r="AC1552" i="4"/>
  <c r="CF1552" i="4" s="1"/>
  <c r="AB1553" i="4"/>
  <c r="AC1553" i="4"/>
  <c r="CF1553" i="4" s="1"/>
  <c r="AB1554" i="4"/>
  <c r="AC1554" i="4"/>
  <c r="CF1554" i="4" s="1"/>
  <c r="AB1555" i="4"/>
  <c r="AC1555" i="4"/>
  <c r="CF1555" i="4" s="1"/>
  <c r="AB1556" i="4"/>
  <c r="AC1556" i="4"/>
  <c r="CF1556" i="4" s="1"/>
  <c r="AB1557" i="4"/>
  <c r="AC1557" i="4"/>
  <c r="CF1557" i="4" s="1"/>
  <c r="AB1558" i="4"/>
  <c r="AC1558" i="4"/>
  <c r="CF1558" i="4" s="1"/>
  <c r="AB1559" i="4"/>
  <c r="AC1559" i="4"/>
  <c r="CF1559" i="4" s="1"/>
  <c r="AB1560" i="4"/>
  <c r="AC1560" i="4"/>
  <c r="CF1560" i="4" s="1"/>
  <c r="AB1561" i="4"/>
  <c r="AC1561" i="4"/>
  <c r="CF1561" i="4" s="1"/>
  <c r="AB1562" i="4"/>
  <c r="AC1562" i="4"/>
  <c r="CF1562" i="4" s="1"/>
  <c r="AB1563" i="4"/>
  <c r="AC1563" i="4"/>
  <c r="CF1563" i="4" s="1"/>
  <c r="AB1564" i="4"/>
  <c r="AC1564" i="4"/>
  <c r="CF1564" i="4" s="1"/>
  <c r="AB1565" i="4"/>
  <c r="AC1565" i="4"/>
  <c r="CF1565" i="4" s="1"/>
  <c r="AB1566" i="4"/>
  <c r="AC1566" i="4"/>
  <c r="CF1566" i="4" s="1"/>
  <c r="AB1567" i="4"/>
  <c r="AC1567" i="4"/>
  <c r="CF1567" i="4" s="1"/>
  <c r="AB1568" i="4"/>
  <c r="AC1568" i="4"/>
  <c r="CF1568" i="4" s="1"/>
  <c r="AB1569" i="4"/>
  <c r="AC1569" i="4"/>
  <c r="CF1569" i="4" s="1"/>
  <c r="AB1570" i="4"/>
  <c r="AC1570" i="4"/>
  <c r="CF1570" i="4" s="1"/>
  <c r="AB1571" i="4"/>
  <c r="AC1571" i="4"/>
  <c r="CF1571" i="4" s="1"/>
  <c r="AB1572" i="4"/>
  <c r="AC1572" i="4"/>
  <c r="CF1572" i="4" s="1"/>
  <c r="AB1573" i="4"/>
  <c r="AC1573" i="4"/>
  <c r="CF1573" i="4" s="1"/>
  <c r="AB1574" i="4"/>
  <c r="AC1574" i="4"/>
  <c r="CF1574" i="4" s="1"/>
  <c r="AB1575" i="4"/>
  <c r="AC1575" i="4"/>
  <c r="CF1575" i="4" s="1"/>
  <c r="AB1576" i="4"/>
  <c r="AC1576" i="4"/>
  <c r="CF1576" i="4" s="1"/>
  <c r="AB1577" i="4"/>
  <c r="AC1577" i="4"/>
  <c r="CF1577" i="4" s="1"/>
  <c r="AB1578" i="4"/>
  <c r="AC1578" i="4"/>
  <c r="CF1578" i="4" s="1"/>
  <c r="AB1579" i="4"/>
  <c r="AC1579" i="4"/>
  <c r="CF1579" i="4" s="1"/>
  <c r="AB1580" i="4"/>
  <c r="AC1580" i="4"/>
  <c r="CF1580" i="4" s="1"/>
  <c r="AB1581" i="4"/>
  <c r="AC1581" i="4"/>
  <c r="CF1581" i="4" s="1"/>
  <c r="AB1582" i="4"/>
  <c r="AC1582" i="4"/>
  <c r="CF1582" i="4" s="1"/>
  <c r="AB1583" i="4"/>
  <c r="AC1583" i="4"/>
  <c r="CF1583" i="4" s="1"/>
  <c r="AB1584" i="4"/>
  <c r="AC1584" i="4"/>
  <c r="CF1584" i="4" s="1"/>
  <c r="AB1585" i="4"/>
  <c r="AC1585" i="4"/>
  <c r="CF1585" i="4" s="1"/>
  <c r="AB6" i="4" l="1"/>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B634" i="4"/>
  <c r="AB635" i="4"/>
  <c r="AB636" i="4"/>
  <c r="AB637" i="4"/>
  <c r="AB638" i="4"/>
  <c r="AB639" i="4"/>
  <c r="AB640" i="4"/>
  <c r="AB641" i="4"/>
  <c r="AB642" i="4"/>
  <c r="AB643"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AB671" i="4"/>
  <c r="AB672" i="4"/>
  <c r="AB673" i="4"/>
  <c r="AB674" i="4"/>
  <c r="AB675" i="4"/>
  <c r="AB676" i="4"/>
  <c r="AB677" i="4"/>
  <c r="AB678" i="4"/>
  <c r="AB679" i="4"/>
  <c r="AB680" i="4"/>
  <c r="AB681" i="4"/>
  <c r="AB682" i="4"/>
  <c r="AB683" i="4"/>
  <c r="AB684" i="4"/>
  <c r="AB685" i="4"/>
  <c r="AB686" i="4"/>
  <c r="AB687" i="4"/>
  <c r="AB688" i="4"/>
  <c r="AB689" i="4"/>
  <c r="AB690" i="4"/>
  <c r="AB691" i="4"/>
  <c r="AB692" i="4"/>
  <c r="AB693" i="4"/>
  <c r="AB694" i="4"/>
  <c r="AB695" i="4"/>
  <c r="AB696" i="4"/>
  <c r="AB697" i="4"/>
  <c r="AB698" i="4"/>
  <c r="AB699" i="4"/>
  <c r="AB700" i="4"/>
  <c r="AB701" i="4"/>
  <c r="AB702" i="4"/>
  <c r="AB703" i="4"/>
  <c r="AB704" i="4"/>
  <c r="AB705" i="4"/>
  <c r="AB706" i="4"/>
  <c r="AB707" i="4"/>
  <c r="AB708" i="4"/>
  <c r="AB709" i="4"/>
  <c r="AB710" i="4"/>
  <c r="AB711" i="4"/>
  <c r="AB712" i="4"/>
  <c r="AB713" i="4"/>
  <c r="AB714" i="4"/>
  <c r="AB715" i="4"/>
  <c r="AB716" i="4"/>
  <c r="AB717" i="4"/>
  <c r="AB718" i="4"/>
  <c r="AB719" i="4"/>
  <c r="AB720" i="4"/>
  <c r="AB721" i="4"/>
  <c r="AB722" i="4"/>
  <c r="AB723" i="4"/>
  <c r="AB724" i="4"/>
  <c r="AB725" i="4"/>
  <c r="AB726" i="4"/>
  <c r="AB727" i="4"/>
  <c r="AB728" i="4"/>
  <c r="AB729" i="4"/>
  <c r="AB730" i="4"/>
  <c r="AB731" i="4"/>
  <c r="AB732" i="4"/>
  <c r="AB733" i="4"/>
  <c r="AB734" i="4"/>
  <c r="AB735" i="4"/>
  <c r="AB736" i="4"/>
  <c r="AB737" i="4"/>
  <c r="AB738" i="4"/>
  <c r="AB739" i="4"/>
  <c r="AB740" i="4"/>
  <c r="AB741" i="4"/>
  <c r="AB742" i="4"/>
  <c r="AB743" i="4"/>
  <c r="AB744" i="4"/>
  <c r="AB745" i="4"/>
  <c r="AB746" i="4"/>
  <c r="AB747" i="4"/>
  <c r="AB748" i="4"/>
  <c r="AB749" i="4"/>
  <c r="AB750" i="4"/>
  <c r="AB751" i="4"/>
  <c r="AB752" i="4"/>
  <c r="AB753" i="4"/>
  <c r="AB754" i="4"/>
  <c r="AB755" i="4"/>
  <c r="AB756" i="4"/>
  <c r="AB757" i="4"/>
  <c r="AB758" i="4"/>
  <c r="AB759" i="4"/>
  <c r="AB760" i="4"/>
  <c r="AB761" i="4"/>
  <c r="AB762" i="4"/>
  <c r="AB763" i="4"/>
  <c r="AB764" i="4"/>
  <c r="AB765" i="4"/>
  <c r="AB766" i="4"/>
  <c r="AB767" i="4"/>
  <c r="AB768" i="4"/>
  <c r="AB769" i="4"/>
  <c r="AB770" i="4"/>
  <c r="AB771" i="4"/>
  <c r="AB772" i="4"/>
  <c r="AB773" i="4"/>
  <c r="AB774" i="4"/>
  <c r="AB775" i="4"/>
  <c r="AB776" i="4"/>
  <c r="AB777" i="4"/>
  <c r="AB778" i="4"/>
  <c r="AB779" i="4"/>
  <c r="AB780" i="4"/>
  <c r="AB781" i="4"/>
  <c r="AB782" i="4"/>
  <c r="AB783" i="4"/>
  <c r="AB784" i="4"/>
  <c r="AB785" i="4"/>
  <c r="AB786" i="4"/>
  <c r="AB787" i="4"/>
  <c r="AB788" i="4"/>
  <c r="AB789" i="4"/>
  <c r="AB790" i="4"/>
  <c r="AB791" i="4"/>
  <c r="AB792" i="4"/>
  <c r="AB793" i="4"/>
  <c r="AB794" i="4"/>
  <c r="AB795" i="4"/>
  <c r="AB796" i="4"/>
  <c r="AB797" i="4"/>
  <c r="AB798" i="4"/>
  <c r="AB799" i="4"/>
  <c r="AB800" i="4"/>
  <c r="AB801" i="4"/>
  <c r="AB802" i="4"/>
  <c r="AB803" i="4"/>
  <c r="AB804" i="4"/>
  <c r="AB805" i="4"/>
  <c r="AB806" i="4"/>
  <c r="AB807" i="4"/>
  <c r="AB808" i="4"/>
  <c r="AB809" i="4"/>
  <c r="AB810" i="4"/>
  <c r="AB811" i="4"/>
  <c r="AB812" i="4"/>
  <c r="AB813" i="4"/>
  <c r="AB814" i="4"/>
  <c r="AB815" i="4"/>
  <c r="AB816" i="4"/>
  <c r="AB817" i="4"/>
  <c r="AB818" i="4"/>
  <c r="AB819" i="4"/>
  <c r="AB820" i="4"/>
  <c r="AB821" i="4"/>
  <c r="AB822" i="4"/>
  <c r="AB823" i="4"/>
  <c r="AB824" i="4"/>
  <c r="AB825" i="4"/>
  <c r="AB826" i="4"/>
  <c r="AB827" i="4"/>
  <c r="AB828" i="4"/>
  <c r="AB829" i="4"/>
  <c r="AB830" i="4"/>
  <c r="AB831" i="4"/>
  <c r="AB832" i="4"/>
  <c r="AB833" i="4"/>
  <c r="AB834" i="4"/>
  <c r="AB835" i="4"/>
  <c r="AB836" i="4"/>
  <c r="AB837" i="4"/>
  <c r="AB838" i="4"/>
  <c r="AB839" i="4"/>
  <c r="AB840" i="4"/>
  <c r="AB841" i="4"/>
  <c r="AB842" i="4"/>
  <c r="AB843" i="4"/>
  <c r="AB844" i="4"/>
  <c r="AB845" i="4"/>
  <c r="AB846" i="4"/>
  <c r="AB847" i="4"/>
  <c r="AB848" i="4"/>
  <c r="AB849" i="4"/>
  <c r="AB850" i="4"/>
  <c r="AB851" i="4"/>
  <c r="AB852" i="4"/>
  <c r="AB853" i="4"/>
  <c r="AB854" i="4"/>
  <c r="AB855" i="4"/>
  <c r="AB856" i="4"/>
  <c r="AB857" i="4"/>
  <c r="AB858" i="4"/>
  <c r="AB859" i="4"/>
  <c r="AB860" i="4"/>
  <c r="AB861" i="4"/>
  <c r="AB862" i="4"/>
  <c r="AB863" i="4"/>
  <c r="AB864" i="4"/>
  <c r="AB865" i="4"/>
  <c r="AB866" i="4"/>
  <c r="AB867" i="4"/>
  <c r="AB868" i="4"/>
  <c r="AB869" i="4"/>
  <c r="AB870" i="4"/>
  <c r="AB871" i="4"/>
  <c r="AB872" i="4"/>
  <c r="AB873" i="4"/>
  <c r="AB874" i="4"/>
  <c r="AB875" i="4"/>
  <c r="AB876" i="4"/>
  <c r="AB877" i="4"/>
  <c r="AB878" i="4"/>
  <c r="AB879" i="4"/>
  <c r="AB880" i="4"/>
  <c r="AB881" i="4"/>
  <c r="AB882" i="4"/>
  <c r="AB883" i="4"/>
  <c r="AB884" i="4"/>
  <c r="AB885" i="4"/>
  <c r="AB886" i="4"/>
  <c r="AB887" i="4"/>
  <c r="AB888" i="4"/>
  <c r="AB889" i="4"/>
  <c r="AB890" i="4"/>
  <c r="AB891" i="4"/>
  <c r="AB892" i="4"/>
  <c r="AB893" i="4"/>
  <c r="AB894" i="4"/>
  <c r="AB895" i="4"/>
  <c r="AB896" i="4"/>
  <c r="AB897" i="4"/>
  <c r="AB898" i="4"/>
  <c r="AB899" i="4"/>
  <c r="AB900" i="4"/>
  <c r="AB901" i="4"/>
  <c r="AB902" i="4"/>
  <c r="AB903" i="4"/>
  <c r="AB904" i="4"/>
  <c r="AB905" i="4"/>
  <c r="AB906" i="4"/>
  <c r="AB907" i="4"/>
  <c r="AB908" i="4"/>
  <c r="AB909" i="4"/>
  <c r="AB910" i="4"/>
  <c r="AB911" i="4"/>
  <c r="AB912" i="4"/>
  <c r="AB913" i="4"/>
  <c r="AB914" i="4"/>
  <c r="AB915" i="4"/>
  <c r="AB916" i="4"/>
  <c r="AB917" i="4"/>
  <c r="AB918" i="4"/>
  <c r="AB919" i="4"/>
  <c r="AB920" i="4"/>
  <c r="AB921" i="4"/>
  <c r="AB922" i="4"/>
  <c r="AB923" i="4"/>
  <c r="AB924" i="4"/>
  <c r="AB925" i="4"/>
  <c r="AB926" i="4"/>
  <c r="AB927" i="4"/>
  <c r="AB928" i="4"/>
  <c r="AB929" i="4"/>
  <c r="AB930" i="4"/>
  <c r="AB931" i="4"/>
  <c r="AB932" i="4"/>
  <c r="AB933" i="4"/>
  <c r="AB934" i="4"/>
  <c r="AB935" i="4"/>
  <c r="AB936" i="4"/>
  <c r="AB937" i="4"/>
  <c r="AB938" i="4"/>
  <c r="AB939" i="4"/>
  <c r="AB940" i="4"/>
  <c r="AB941" i="4"/>
  <c r="AB942" i="4"/>
  <c r="AB943" i="4"/>
  <c r="AB944" i="4"/>
  <c r="AB945" i="4"/>
  <c r="AB946" i="4"/>
  <c r="AB947" i="4"/>
  <c r="AB948" i="4"/>
  <c r="AB949" i="4"/>
  <c r="AB950" i="4"/>
  <c r="AB951" i="4"/>
  <c r="AB952" i="4"/>
  <c r="AB953" i="4"/>
  <c r="AB954" i="4"/>
  <c r="AB955" i="4"/>
  <c r="AB956" i="4"/>
  <c r="AB957" i="4"/>
  <c r="AB958" i="4"/>
  <c r="AB959" i="4"/>
  <c r="AB960" i="4"/>
  <c r="AB961" i="4"/>
  <c r="AB962" i="4"/>
  <c r="AB963" i="4"/>
  <c r="AB964" i="4"/>
  <c r="AB965" i="4"/>
  <c r="AB966" i="4"/>
  <c r="AB967" i="4"/>
  <c r="AB968" i="4"/>
  <c r="AB969" i="4"/>
  <c r="AB970" i="4"/>
  <c r="AB971" i="4"/>
  <c r="AB972" i="4"/>
  <c r="AB973" i="4"/>
  <c r="AB974" i="4"/>
  <c r="AB975" i="4"/>
  <c r="AB976" i="4"/>
  <c r="AB977" i="4"/>
  <c r="AB978" i="4"/>
  <c r="AB979" i="4"/>
  <c r="AB980" i="4"/>
  <c r="AB981" i="4"/>
  <c r="AB982" i="4"/>
  <c r="AB983" i="4"/>
  <c r="AB984" i="4"/>
  <c r="AB985" i="4"/>
  <c r="AB986" i="4"/>
  <c r="AB987" i="4"/>
  <c r="AB988" i="4"/>
  <c r="AB989" i="4"/>
  <c r="AB990" i="4"/>
  <c r="AB991" i="4"/>
  <c r="AB992" i="4"/>
  <c r="AB993" i="4"/>
  <c r="AB994" i="4"/>
  <c r="AB995" i="4"/>
  <c r="AB996" i="4"/>
  <c r="AB997" i="4"/>
  <c r="AB998" i="4"/>
  <c r="AB999" i="4"/>
  <c r="AB1000" i="4"/>
  <c r="AB1001" i="4"/>
  <c r="AB1002" i="4"/>
  <c r="AB1003" i="4"/>
  <c r="AB1004" i="4"/>
  <c r="AB1005" i="4"/>
  <c r="AB1006" i="4"/>
  <c r="AB1007" i="4"/>
  <c r="AB1008" i="4"/>
  <c r="AB1009" i="4"/>
  <c r="AB1010" i="4"/>
  <c r="AB1011" i="4"/>
  <c r="AB1012" i="4"/>
  <c r="AB1013" i="4"/>
  <c r="AB1014" i="4"/>
  <c r="AB1015" i="4"/>
  <c r="AB1016" i="4"/>
  <c r="AB1017" i="4"/>
  <c r="AB1018" i="4"/>
  <c r="AB1019" i="4"/>
  <c r="AB1020" i="4"/>
  <c r="AB1021" i="4"/>
  <c r="AB1022" i="4"/>
  <c r="AB1023" i="4"/>
  <c r="AB1024" i="4"/>
  <c r="AB1025" i="4"/>
  <c r="AB1026" i="4"/>
  <c r="AB1027" i="4"/>
  <c r="AB1028" i="4"/>
  <c r="AB1029" i="4"/>
  <c r="AB1030" i="4"/>
  <c r="AB1031" i="4"/>
  <c r="AB1032" i="4"/>
  <c r="AB1033" i="4"/>
  <c r="AB1034" i="4"/>
  <c r="AB1035" i="4"/>
  <c r="AB1036" i="4"/>
  <c r="AB1037" i="4"/>
  <c r="AB1038" i="4"/>
  <c r="AB1039" i="4"/>
  <c r="AB1040" i="4"/>
  <c r="AB1041" i="4"/>
  <c r="AB1042" i="4"/>
  <c r="AB1043" i="4"/>
  <c r="AB1044" i="4"/>
  <c r="AB1045" i="4"/>
  <c r="AB1046" i="4"/>
  <c r="AB1047" i="4"/>
  <c r="AB1048" i="4"/>
  <c r="AB1049" i="4"/>
  <c r="AB1050" i="4"/>
  <c r="AB1051" i="4"/>
  <c r="AB1052" i="4"/>
  <c r="AB1053" i="4"/>
  <c r="AB1054" i="4"/>
  <c r="AB1055" i="4"/>
  <c r="AB1056" i="4"/>
  <c r="AB1057" i="4"/>
  <c r="AB1058" i="4"/>
  <c r="AB1059" i="4"/>
  <c r="AB1060" i="4"/>
  <c r="AB1061" i="4"/>
  <c r="AB1062" i="4"/>
  <c r="AB1063" i="4"/>
  <c r="AB1064" i="4"/>
  <c r="AB1065" i="4"/>
  <c r="AB1066" i="4"/>
  <c r="AB1067" i="4"/>
  <c r="AB1068" i="4"/>
  <c r="AB1069" i="4"/>
  <c r="AB1070" i="4"/>
  <c r="AB1071" i="4"/>
  <c r="AB1072" i="4"/>
  <c r="AB1073" i="4"/>
  <c r="AB1074" i="4"/>
  <c r="AB1075" i="4"/>
  <c r="AB1076" i="4"/>
  <c r="AB1077" i="4"/>
  <c r="AB1078" i="4"/>
  <c r="AB1079" i="4"/>
  <c r="AB1080" i="4"/>
  <c r="AB1081" i="4"/>
  <c r="AB1082" i="4"/>
  <c r="AB1083" i="4"/>
  <c r="AB1084" i="4"/>
  <c r="AB1085" i="4"/>
  <c r="AB1086" i="4"/>
  <c r="AB1087" i="4"/>
  <c r="AB1088" i="4"/>
  <c r="AB1089" i="4"/>
  <c r="AB1090" i="4"/>
  <c r="AB1091" i="4"/>
  <c r="AB1092" i="4"/>
  <c r="AB1093" i="4"/>
  <c r="AB1094" i="4"/>
  <c r="AB1095" i="4"/>
  <c r="AB1096" i="4"/>
  <c r="AB1097" i="4"/>
  <c r="AB1098" i="4"/>
  <c r="AB1099" i="4"/>
  <c r="AB1100" i="4"/>
  <c r="AB1101" i="4"/>
  <c r="AB1102" i="4"/>
  <c r="AB1103" i="4"/>
  <c r="AB1104" i="4"/>
  <c r="AB1105" i="4"/>
  <c r="AB1106" i="4"/>
  <c r="AB1107" i="4"/>
  <c r="AB1108" i="4"/>
  <c r="AB1109" i="4"/>
  <c r="AB1110" i="4"/>
  <c r="AB1111" i="4"/>
  <c r="AB1112" i="4"/>
  <c r="AB1113" i="4"/>
  <c r="AB1114" i="4"/>
  <c r="AB1115" i="4"/>
  <c r="AB1116" i="4"/>
  <c r="AB1117" i="4"/>
  <c r="AB1118" i="4"/>
  <c r="AB1119" i="4"/>
  <c r="AB1120" i="4"/>
  <c r="AB1121" i="4"/>
  <c r="AB1122" i="4"/>
  <c r="AB1123" i="4"/>
  <c r="AB1124" i="4"/>
  <c r="AB1125" i="4"/>
  <c r="AB1126" i="4"/>
  <c r="AB1127" i="4"/>
  <c r="AB1128" i="4"/>
  <c r="AB1129" i="4"/>
  <c r="AB1130" i="4"/>
  <c r="AB1131" i="4"/>
  <c r="AB1132" i="4"/>
  <c r="AB1133" i="4"/>
  <c r="AB1134" i="4"/>
  <c r="AB1135" i="4"/>
  <c r="AB1136" i="4"/>
  <c r="AB1137" i="4"/>
  <c r="AB1138" i="4"/>
  <c r="AB1139" i="4"/>
  <c r="AB1140" i="4"/>
  <c r="AB1141" i="4"/>
  <c r="AB1142" i="4"/>
  <c r="AB1143" i="4"/>
  <c r="AB1144" i="4"/>
  <c r="AB1145" i="4"/>
  <c r="AB1146" i="4"/>
  <c r="AB1147" i="4"/>
  <c r="AB1148" i="4"/>
  <c r="AB1149" i="4"/>
  <c r="AB1150" i="4"/>
  <c r="AB1151" i="4"/>
  <c r="AB1152" i="4"/>
  <c r="AB1153" i="4"/>
  <c r="AB1154" i="4"/>
  <c r="AB1155" i="4"/>
  <c r="AB1156" i="4"/>
  <c r="AB1157" i="4"/>
  <c r="AB1158" i="4"/>
  <c r="AB1159" i="4"/>
  <c r="AB1160" i="4"/>
  <c r="AB1161" i="4"/>
  <c r="AB1162" i="4"/>
  <c r="AB1163" i="4"/>
  <c r="AB1164" i="4"/>
  <c r="AB1165" i="4"/>
  <c r="AB1166" i="4"/>
  <c r="AB1167" i="4"/>
  <c r="AB1168" i="4"/>
  <c r="AB1169" i="4"/>
  <c r="AB1170" i="4"/>
  <c r="AB1171" i="4"/>
  <c r="AB1172" i="4"/>
  <c r="AB1173" i="4"/>
  <c r="AB1174" i="4"/>
  <c r="AB1175" i="4"/>
  <c r="AB1176" i="4"/>
  <c r="AB1177" i="4"/>
  <c r="AB1178" i="4"/>
  <c r="AB1179" i="4"/>
  <c r="AB1180" i="4"/>
  <c r="AB1181" i="4"/>
  <c r="AB1182" i="4"/>
  <c r="AB1183" i="4"/>
  <c r="AB1184" i="4"/>
  <c r="AB1185" i="4"/>
  <c r="AB1186" i="4"/>
  <c r="AB1187" i="4"/>
  <c r="AB1188" i="4"/>
  <c r="AB1189" i="4"/>
  <c r="AB1190" i="4"/>
  <c r="AB1191" i="4"/>
  <c r="AB1192" i="4"/>
  <c r="AB1193" i="4"/>
  <c r="AB1195" i="4"/>
  <c r="AB1196" i="4"/>
  <c r="AB1197" i="4"/>
  <c r="AB1198" i="4"/>
  <c r="AB1199" i="4"/>
  <c r="AB1200" i="4"/>
  <c r="AB1201" i="4"/>
  <c r="AB1202" i="4"/>
  <c r="AB1203" i="4"/>
  <c r="AB1204" i="4"/>
  <c r="AB1205" i="4"/>
  <c r="AB1206" i="4"/>
  <c r="AB1207" i="4"/>
  <c r="AB1208" i="4"/>
  <c r="AB1209" i="4"/>
  <c r="AB1211" i="4"/>
  <c r="AB1212" i="4"/>
  <c r="AB1213" i="4"/>
  <c r="AB1214" i="4"/>
  <c r="AB1215" i="4"/>
  <c r="AB1216" i="4"/>
  <c r="AB1217" i="4"/>
  <c r="AB1218" i="4"/>
  <c r="AB1219" i="4"/>
  <c r="AB1220" i="4"/>
  <c r="AB1221" i="4"/>
  <c r="AB1222" i="4"/>
  <c r="AB1223" i="4"/>
  <c r="AB1224" i="4"/>
  <c r="AB1225" i="4"/>
  <c r="AB1226" i="4"/>
  <c r="AB1227" i="4"/>
  <c r="AB1228" i="4"/>
  <c r="AB1229" i="4"/>
  <c r="AB1230" i="4"/>
  <c r="AB1231" i="4"/>
  <c r="AB1232" i="4"/>
  <c r="AB1233" i="4"/>
  <c r="AB1234" i="4"/>
  <c r="AB1235" i="4"/>
  <c r="AB1236" i="4"/>
  <c r="AB1237" i="4"/>
  <c r="AB1238" i="4"/>
  <c r="AB1239" i="4"/>
  <c r="AB1240" i="4"/>
  <c r="AB1241" i="4"/>
  <c r="AB1242" i="4"/>
  <c r="AB1243" i="4"/>
  <c r="AB1244" i="4"/>
  <c r="AB1245" i="4"/>
  <c r="AB1246" i="4"/>
  <c r="AB1247" i="4"/>
  <c r="AB1248" i="4"/>
  <c r="AB1249" i="4"/>
  <c r="AB1250" i="4"/>
  <c r="AB1251" i="4"/>
  <c r="AB1252" i="4"/>
  <c r="AB1253" i="4"/>
  <c r="AB1254" i="4"/>
  <c r="AB1255" i="4"/>
  <c r="AB1256" i="4"/>
  <c r="AB1257" i="4"/>
  <c r="AB1258" i="4"/>
  <c r="AB1259" i="4"/>
  <c r="AB1260" i="4"/>
  <c r="AB1261" i="4"/>
  <c r="AB1262" i="4"/>
  <c r="AB1263" i="4"/>
  <c r="AB1264" i="4"/>
  <c r="AB1265" i="4"/>
  <c r="AB1266" i="4"/>
  <c r="AB1267" i="4"/>
  <c r="AB1268" i="4"/>
  <c r="AB1269" i="4"/>
  <c r="AB1270" i="4"/>
  <c r="AB1271" i="4"/>
  <c r="AB1272" i="4"/>
  <c r="AB1273" i="4"/>
  <c r="AB1274" i="4"/>
  <c r="AB1275" i="4"/>
  <c r="AB1276" i="4"/>
  <c r="AB1277" i="4"/>
  <c r="AB1278" i="4"/>
  <c r="AB1279" i="4"/>
  <c r="AB1280" i="4"/>
  <c r="AB1281" i="4"/>
  <c r="AB1282" i="4"/>
  <c r="AB1283" i="4"/>
  <c r="AB1284" i="4"/>
  <c r="AB1285" i="4"/>
  <c r="AB1286" i="4"/>
  <c r="AB1287" i="4"/>
  <c r="AB1288" i="4"/>
  <c r="AB1289" i="4"/>
  <c r="AB1290" i="4"/>
  <c r="AB1291" i="4"/>
  <c r="AB1292" i="4"/>
  <c r="AB1293" i="4"/>
  <c r="AB1294" i="4"/>
  <c r="AB1295" i="4"/>
  <c r="AB1296" i="4"/>
  <c r="AB1297" i="4"/>
  <c r="AB1298" i="4"/>
  <c r="AB1299" i="4"/>
  <c r="AB1300" i="4"/>
  <c r="AB1301" i="4"/>
  <c r="AB1302" i="4"/>
  <c r="AB1303" i="4"/>
  <c r="AB1304" i="4"/>
  <c r="AB1305" i="4"/>
  <c r="AB1306" i="4"/>
  <c r="AB1307" i="4"/>
  <c r="AB1308" i="4"/>
  <c r="AB1309" i="4"/>
  <c r="AB1310" i="4"/>
  <c r="AB1311" i="4"/>
  <c r="AB1312" i="4"/>
  <c r="AB1313" i="4"/>
  <c r="AB1314" i="4"/>
  <c r="AB1315" i="4"/>
  <c r="AB1316" i="4"/>
  <c r="AB1317" i="4"/>
  <c r="AB1318" i="4"/>
  <c r="AB1319" i="4"/>
  <c r="AB1320" i="4"/>
  <c r="AB1321" i="4"/>
  <c r="AB1322" i="4"/>
  <c r="AB1323" i="4"/>
  <c r="AB1324" i="4"/>
  <c r="AB1325" i="4"/>
  <c r="AB1326" i="4"/>
  <c r="AB1327" i="4"/>
  <c r="AB1328" i="4"/>
  <c r="AB1329" i="4"/>
  <c r="AB1330" i="4"/>
  <c r="AB1331" i="4"/>
  <c r="AB1332" i="4"/>
  <c r="AB1333" i="4"/>
  <c r="AB1334" i="4"/>
  <c r="AB1335" i="4"/>
  <c r="AB1336" i="4"/>
  <c r="AB1337" i="4"/>
  <c r="AB1338" i="4"/>
  <c r="AB1339" i="4"/>
  <c r="AB1340" i="4"/>
  <c r="AB1341" i="4"/>
  <c r="AB1342" i="4"/>
  <c r="AB1343" i="4"/>
  <c r="AB1344" i="4"/>
  <c r="AB1345" i="4"/>
  <c r="AB1346" i="4"/>
  <c r="AB1347" i="4"/>
  <c r="AB1348" i="4"/>
  <c r="AB1349" i="4"/>
  <c r="AB1350" i="4"/>
  <c r="AB1351" i="4"/>
  <c r="AB1352" i="4"/>
  <c r="AB1353" i="4"/>
  <c r="AB1354" i="4"/>
  <c r="AB1355" i="4"/>
  <c r="AB1356" i="4"/>
  <c r="AB1357" i="4"/>
  <c r="AB1358" i="4"/>
  <c r="AB1359" i="4"/>
  <c r="AB1360" i="4"/>
  <c r="AB1361" i="4"/>
  <c r="AB1362" i="4"/>
  <c r="AB1363" i="4"/>
  <c r="AB1364" i="4"/>
  <c r="AB1365" i="4"/>
  <c r="AB1366" i="4"/>
  <c r="AB1367" i="4"/>
  <c r="AB1368" i="4"/>
  <c r="AB1369" i="4"/>
  <c r="AB1370" i="4"/>
  <c r="AB1371" i="4"/>
  <c r="AB1372" i="4"/>
  <c r="AB1373" i="4"/>
  <c r="AB1374" i="4"/>
  <c r="AB1375" i="4"/>
  <c r="AB1376" i="4"/>
  <c r="AB1377" i="4"/>
  <c r="AB1378" i="4"/>
  <c r="AB1379" i="4"/>
  <c r="AB1380" i="4"/>
  <c r="AB1381" i="4"/>
  <c r="AB1382" i="4"/>
  <c r="AB1383" i="4"/>
  <c r="AB1384" i="4"/>
  <c r="AB1385" i="4"/>
  <c r="AB1386" i="4"/>
  <c r="AB1387" i="4"/>
  <c r="AB1388" i="4"/>
  <c r="AB1389" i="4"/>
  <c r="AB1390" i="4"/>
  <c r="AB1391" i="4"/>
  <c r="AB1392" i="4"/>
  <c r="AB1393" i="4"/>
  <c r="AB1394" i="4"/>
  <c r="AB1395" i="4"/>
  <c r="AB1396" i="4"/>
  <c r="AB1397" i="4"/>
  <c r="AB1398" i="4"/>
  <c r="AB1399" i="4"/>
  <c r="AB1400" i="4"/>
  <c r="AB1401" i="4"/>
  <c r="AB1402" i="4"/>
  <c r="AB1403" i="4"/>
  <c r="AB1404" i="4"/>
  <c r="AB1405" i="4"/>
  <c r="AB1406" i="4"/>
  <c r="AB1407" i="4"/>
  <c r="AB1408" i="4"/>
  <c r="AB1409" i="4"/>
  <c r="AB1410" i="4"/>
  <c r="AB1411" i="4"/>
  <c r="AB1412" i="4"/>
  <c r="AB1413" i="4"/>
  <c r="AB1414" i="4"/>
  <c r="AB1415" i="4"/>
  <c r="AB1416" i="4"/>
  <c r="AB1417" i="4"/>
  <c r="AB1418" i="4"/>
  <c r="AB1419" i="4"/>
  <c r="AB1420" i="4"/>
  <c r="AB1421" i="4"/>
  <c r="AB1422" i="4"/>
  <c r="AB1423" i="4"/>
  <c r="AB1424" i="4"/>
  <c r="AB1425" i="4"/>
  <c r="AB1426" i="4"/>
  <c r="AB1427" i="4"/>
  <c r="AB1428" i="4"/>
  <c r="AB1429" i="4"/>
  <c r="AB1430" i="4"/>
  <c r="AB1431" i="4"/>
  <c r="AB1432" i="4"/>
  <c r="AB1433" i="4"/>
  <c r="AB1434" i="4"/>
  <c r="AB1435" i="4"/>
  <c r="AB1436" i="4"/>
  <c r="AB1437" i="4"/>
  <c r="AB1438" i="4"/>
  <c r="AB1439" i="4"/>
  <c r="AB1440" i="4"/>
  <c r="AB1441" i="4"/>
  <c r="AB1442" i="4"/>
  <c r="AB1443" i="4"/>
  <c r="AB1444" i="4"/>
  <c r="AB1445" i="4"/>
  <c r="AB1446" i="4"/>
  <c r="AB1447" i="4"/>
  <c r="AB1448" i="4"/>
  <c r="AB1449" i="4"/>
  <c r="AB1450" i="4"/>
  <c r="AB1451" i="4"/>
  <c r="AB1452" i="4"/>
  <c r="AB1453" i="4"/>
  <c r="AB1454" i="4"/>
  <c r="AB1455" i="4"/>
  <c r="AB1456" i="4"/>
  <c r="AB1457" i="4"/>
  <c r="AB1458" i="4"/>
  <c r="AB1459" i="4"/>
  <c r="AB1460" i="4"/>
  <c r="AB1461" i="4"/>
  <c r="AB1462" i="4"/>
  <c r="AB1463" i="4"/>
  <c r="AB1464" i="4"/>
  <c r="AB1465" i="4"/>
  <c r="AB1466" i="4"/>
  <c r="AB1467" i="4"/>
  <c r="AB1468" i="4"/>
  <c r="AB1469" i="4"/>
  <c r="AB1470" i="4"/>
  <c r="AB1471" i="4"/>
  <c r="AB1472" i="4"/>
  <c r="AB1473" i="4"/>
  <c r="AB1474" i="4"/>
  <c r="AB1475" i="4"/>
  <c r="AB1476" i="4"/>
  <c r="AB1477" i="4"/>
  <c r="AB1478" i="4"/>
  <c r="AB1479" i="4"/>
  <c r="AB1480" i="4"/>
  <c r="AB1481" i="4"/>
  <c r="AB1482" i="4"/>
  <c r="AB1483" i="4"/>
  <c r="AB1484" i="4"/>
  <c r="AB1485" i="4"/>
  <c r="AB1486" i="4"/>
  <c r="AB1487" i="4"/>
  <c r="AB1488" i="4"/>
  <c r="AB1489" i="4"/>
  <c r="AB1490" i="4"/>
  <c r="AB1491" i="4"/>
  <c r="AB1492" i="4"/>
  <c r="AB1493" i="4"/>
  <c r="AB1494" i="4"/>
  <c r="AB1495" i="4"/>
  <c r="AB1496" i="4"/>
  <c r="AB1497" i="4"/>
  <c r="AB1498" i="4"/>
  <c r="AB1499" i="4"/>
  <c r="AB1500" i="4"/>
  <c r="AB1501" i="4"/>
  <c r="AB1502" i="4"/>
  <c r="AB1503" i="4"/>
  <c r="AB1504" i="4"/>
  <c r="AB1505" i="4"/>
  <c r="AB1506" i="4"/>
  <c r="AB1507" i="4"/>
  <c r="AB1508" i="4"/>
  <c r="AB1509" i="4"/>
  <c r="AB1510" i="4"/>
  <c r="AB1511" i="4"/>
  <c r="AB1512" i="4"/>
  <c r="AB1513" i="4"/>
  <c r="AB1514" i="4"/>
  <c r="AB1515" i="4"/>
  <c r="AB1516" i="4"/>
  <c r="AB1517" i="4"/>
  <c r="AB1518" i="4"/>
  <c r="AB1519" i="4"/>
  <c r="AB1520" i="4"/>
  <c r="AB1521" i="4"/>
  <c r="AB1522" i="4"/>
  <c r="AB1523" i="4"/>
  <c r="AB1524" i="4"/>
  <c r="AB1525" i="4"/>
  <c r="AB1526" i="4"/>
  <c r="AB1527" i="4"/>
  <c r="AB1528" i="4"/>
  <c r="AB1529" i="4"/>
  <c r="AB1530" i="4"/>
  <c r="AB1531" i="4"/>
  <c r="AB1532" i="4"/>
  <c r="AB1533" i="4"/>
  <c r="AB1534" i="4"/>
  <c r="AB1535" i="4"/>
  <c r="AB1536" i="4"/>
  <c r="AB1537" i="4"/>
  <c r="AB1538" i="4"/>
  <c r="AB1539" i="4"/>
  <c r="AB1540" i="4"/>
  <c r="AB1541" i="4"/>
  <c r="AB1542" i="4"/>
  <c r="AB1543" i="4"/>
  <c r="AB1544" i="4"/>
  <c r="AB1545" i="4"/>
  <c r="AB1546" i="4"/>
  <c r="AB5" i="4"/>
  <c r="AC6" i="4"/>
  <c r="CF6" i="4" s="1"/>
  <c r="AC7" i="4"/>
  <c r="CF7" i="4" s="1"/>
  <c r="AC8" i="4"/>
  <c r="CF8" i="4" s="1"/>
  <c r="AC9" i="4"/>
  <c r="CF9" i="4" s="1"/>
  <c r="AC10" i="4"/>
  <c r="CF10" i="4" s="1"/>
  <c r="AC11" i="4"/>
  <c r="CF11" i="4" s="1"/>
  <c r="AC12" i="4"/>
  <c r="CF12" i="4" s="1"/>
  <c r="AC13" i="4"/>
  <c r="CF13" i="4" s="1"/>
  <c r="AC14" i="4"/>
  <c r="CF14" i="4" s="1"/>
  <c r="AC15" i="4"/>
  <c r="CF15" i="4" s="1"/>
  <c r="AC16" i="4"/>
  <c r="CF16" i="4" s="1"/>
  <c r="AC17" i="4"/>
  <c r="CF17" i="4" s="1"/>
  <c r="AC18" i="4"/>
  <c r="CF18" i="4" s="1"/>
  <c r="AC19" i="4"/>
  <c r="CF19" i="4" s="1"/>
  <c r="AC20" i="4"/>
  <c r="CF20" i="4" s="1"/>
  <c r="AC21" i="4"/>
  <c r="CF21" i="4" s="1"/>
  <c r="AC22" i="4"/>
  <c r="CF22" i="4" s="1"/>
  <c r="AC23" i="4"/>
  <c r="CF23" i="4" s="1"/>
  <c r="AC24" i="4"/>
  <c r="CF24" i="4" s="1"/>
  <c r="AC25" i="4"/>
  <c r="CF25" i="4" s="1"/>
  <c r="AC26" i="4"/>
  <c r="CF26" i="4" s="1"/>
  <c r="AC27" i="4"/>
  <c r="CF27" i="4" s="1"/>
  <c r="AC28" i="4"/>
  <c r="CF28" i="4" s="1"/>
  <c r="AC29" i="4"/>
  <c r="CF29" i="4" s="1"/>
  <c r="AC30" i="4"/>
  <c r="CF30" i="4" s="1"/>
  <c r="AC31" i="4"/>
  <c r="CF31" i="4" s="1"/>
  <c r="AC32" i="4"/>
  <c r="CF32" i="4" s="1"/>
  <c r="AC33" i="4"/>
  <c r="CF33" i="4" s="1"/>
  <c r="AC34" i="4"/>
  <c r="CF34" i="4" s="1"/>
  <c r="AC35" i="4"/>
  <c r="CF35" i="4" s="1"/>
  <c r="AC36" i="4"/>
  <c r="CF36" i="4" s="1"/>
  <c r="AC37" i="4"/>
  <c r="CF37" i="4" s="1"/>
  <c r="AC38" i="4"/>
  <c r="CF38" i="4" s="1"/>
  <c r="AC39" i="4"/>
  <c r="CF39" i="4" s="1"/>
  <c r="AC40" i="4"/>
  <c r="AC41" i="4"/>
  <c r="AC42" i="4"/>
  <c r="CF42" i="4" s="1"/>
  <c r="AC43" i="4"/>
  <c r="CF43" i="4" s="1"/>
  <c r="AC44" i="4"/>
  <c r="AC45" i="4"/>
  <c r="CF45" i="4" s="1"/>
  <c r="AC46" i="4"/>
  <c r="CF46" i="4" s="1"/>
  <c r="AC47" i="4"/>
  <c r="CF47" i="4" s="1"/>
  <c r="AC48" i="4"/>
  <c r="CF48" i="4" s="1"/>
  <c r="AC49" i="4"/>
  <c r="AC50" i="4"/>
  <c r="CF50" i="4" s="1"/>
  <c r="AC51" i="4"/>
  <c r="CF51" i="4" s="1"/>
  <c r="AC52" i="4"/>
  <c r="CF52" i="4" s="1"/>
  <c r="AC53" i="4"/>
  <c r="CF53" i="4" s="1"/>
  <c r="AC54" i="4"/>
  <c r="CF54" i="4" s="1"/>
  <c r="AC55" i="4"/>
  <c r="CF55" i="4" s="1"/>
  <c r="AC56" i="4"/>
  <c r="CF56" i="4" s="1"/>
  <c r="AC57" i="4"/>
  <c r="CF57" i="4" s="1"/>
  <c r="AC58" i="4"/>
  <c r="CF58" i="4" s="1"/>
  <c r="AC59" i="4"/>
  <c r="CF59" i="4" s="1"/>
  <c r="AC60" i="4"/>
  <c r="CF60" i="4" s="1"/>
  <c r="AC61" i="4"/>
  <c r="CF61" i="4" s="1"/>
  <c r="AC62" i="4"/>
  <c r="CF62" i="4" s="1"/>
  <c r="AC63" i="4"/>
  <c r="CF63" i="4" s="1"/>
  <c r="AC64" i="4"/>
  <c r="CF64" i="4" s="1"/>
  <c r="AC65" i="4"/>
  <c r="CF65" i="4" s="1"/>
  <c r="AC66" i="4"/>
  <c r="CF66" i="4" s="1"/>
  <c r="AC67" i="4"/>
  <c r="CF67" i="4" s="1"/>
  <c r="AC68" i="4"/>
  <c r="CF68" i="4" s="1"/>
  <c r="AC69" i="4"/>
  <c r="CF69" i="4" s="1"/>
  <c r="AC70" i="4"/>
  <c r="CF70" i="4" s="1"/>
  <c r="AC71" i="4"/>
  <c r="CF71" i="4" s="1"/>
  <c r="AC72" i="4"/>
  <c r="CF72" i="4" s="1"/>
  <c r="AC73" i="4"/>
  <c r="CF73" i="4" s="1"/>
  <c r="AC74" i="4"/>
  <c r="CF74" i="4" s="1"/>
  <c r="AC75" i="4"/>
  <c r="CF75" i="4" s="1"/>
  <c r="AC76" i="4"/>
  <c r="CF76" i="4" s="1"/>
  <c r="AC77" i="4"/>
  <c r="CF77" i="4" s="1"/>
  <c r="AC78" i="4"/>
  <c r="CF78" i="4" s="1"/>
  <c r="AC79" i="4"/>
  <c r="CF79" i="4" s="1"/>
  <c r="AC80" i="4"/>
  <c r="CF80" i="4" s="1"/>
  <c r="AC81" i="4"/>
  <c r="CF81" i="4" s="1"/>
  <c r="AC82" i="4"/>
  <c r="CF82" i="4" s="1"/>
  <c r="AC83" i="4"/>
  <c r="CF83" i="4" s="1"/>
  <c r="AC84" i="4"/>
  <c r="CF84" i="4" s="1"/>
  <c r="AC85" i="4"/>
  <c r="CF85" i="4" s="1"/>
  <c r="AC86" i="4"/>
  <c r="CF86" i="4" s="1"/>
  <c r="AC87" i="4"/>
  <c r="AC88" i="4"/>
  <c r="CF88" i="4" s="1"/>
  <c r="AC89" i="4"/>
  <c r="CF89" i="4" s="1"/>
  <c r="AC90" i="4"/>
  <c r="CF90" i="4" s="1"/>
  <c r="AC91" i="4"/>
  <c r="CF91" i="4" s="1"/>
  <c r="AC92" i="4"/>
  <c r="CF92" i="4" s="1"/>
  <c r="AC93" i="4"/>
  <c r="CF93" i="4" s="1"/>
  <c r="AC94" i="4"/>
  <c r="CF94" i="4" s="1"/>
  <c r="AC95" i="4"/>
  <c r="CF95" i="4" s="1"/>
  <c r="AC96" i="4"/>
  <c r="CF96" i="4" s="1"/>
  <c r="AC97" i="4"/>
  <c r="CF97" i="4" s="1"/>
  <c r="AC98" i="4"/>
  <c r="CF98" i="4" s="1"/>
  <c r="AC99" i="4"/>
  <c r="CF99" i="4" s="1"/>
  <c r="AC100" i="4"/>
  <c r="CF100" i="4" s="1"/>
  <c r="AC101" i="4"/>
  <c r="CF101" i="4" s="1"/>
  <c r="AC102" i="4"/>
  <c r="CF102" i="4" s="1"/>
  <c r="AC103" i="4"/>
  <c r="CF103" i="4" s="1"/>
  <c r="AC104" i="4"/>
  <c r="CF104" i="4" s="1"/>
  <c r="AC105" i="4"/>
  <c r="CF105" i="4" s="1"/>
  <c r="AC106" i="4"/>
  <c r="CF106" i="4" s="1"/>
  <c r="AC107" i="4"/>
  <c r="CF107" i="4" s="1"/>
  <c r="AC108" i="4"/>
  <c r="CF108" i="4" s="1"/>
  <c r="AC109" i="4"/>
  <c r="CF109" i="4" s="1"/>
  <c r="AC110" i="4"/>
  <c r="CF110" i="4" s="1"/>
  <c r="AC111" i="4"/>
  <c r="CF111" i="4" s="1"/>
  <c r="AC112" i="4"/>
  <c r="CF112" i="4" s="1"/>
  <c r="AC113" i="4"/>
  <c r="CF113" i="4" s="1"/>
  <c r="AC114" i="4"/>
  <c r="CF114" i="4" s="1"/>
  <c r="AC115" i="4"/>
  <c r="CF115" i="4" s="1"/>
  <c r="AC116" i="4"/>
  <c r="CF116" i="4" s="1"/>
  <c r="AC117" i="4"/>
  <c r="CF117" i="4" s="1"/>
  <c r="AC118" i="4"/>
  <c r="CF118" i="4" s="1"/>
  <c r="AC119" i="4"/>
  <c r="CF119" i="4" s="1"/>
  <c r="AC120" i="4"/>
  <c r="CF120" i="4" s="1"/>
  <c r="AC121" i="4"/>
  <c r="CF121" i="4" s="1"/>
  <c r="AC122" i="4"/>
  <c r="CF122" i="4" s="1"/>
  <c r="AC123" i="4"/>
  <c r="CF123" i="4" s="1"/>
  <c r="AC124" i="4"/>
  <c r="CF124" i="4" s="1"/>
  <c r="AC125" i="4"/>
  <c r="CF125" i="4" s="1"/>
  <c r="AC126" i="4"/>
  <c r="CF126" i="4" s="1"/>
  <c r="AC127" i="4"/>
  <c r="CF127" i="4" s="1"/>
  <c r="AC128" i="4"/>
  <c r="CF128" i="4" s="1"/>
  <c r="AC129" i="4"/>
  <c r="CF129" i="4" s="1"/>
  <c r="AC130" i="4"/>
  <c r="CF130" i="4" s="1"/>
  <c r="AC131" i="4"/>
  <c r="CF131" i="4" s="1"/>
  <c r="AC132" i="4"/>
  <c r="CF132" i="4" s="1"/>
  <c r="AC133" i="4"/>
  <c r="AC134" i="4"/>
  <c r="CF134" i="4" s="1"/>
  <c r="AC135" i="4"/>
  <c r="CF135" i="4" s="1"/>
  <c r="AC136" i="4"/>
  <c r="CF136" i="4" s="1"/>
  <c r="AC137" i="4"/>
  <c r="CF137" i="4" s="1"/>
  <c r="AC138" i="4"/>
  <c r="CF138" i="4" s="1"/>
  <c r="AC139" i="4"/>
  <c r="CF139" i="4" s="1"/>
  <c r="AC140" i="4"/>
  <c r="CF140" i="4" s="1"/>
  <c r="AC141" i="4"/>
  <c r="CF141" i="4" s="1"/>
  <c r="AC142" i="4"/>
  <c r="CF142" i="4" s="1"/>
  <c r="AC143" i="4"/>
  <c r="CF143" i="4" s="1"/>
  <c r="AC144" i="4"/>
  <c r="CF144" i="4" s="1"/>
  <c r="AC145" i="4"/>
  <c r="CF145" i="4" s="1"/>
  <c r="AC146" i="4"/>
  <c r="CF146" i="4" s="1"/>
  <c r="AC147" i="4"/>
  <c r="CF147" i="4" s="1"/>
  <c r="AC148" i="4"/>
  <c r="CF148" i="4" s="1"/>
  <c r="AC149" i="4"/>
  <c r="CF149" i="4" s="1"/>
  <c r="AC150" i="4"/>
  <c r="CF150" i="4" s="1"/>
  <c r="AC151" i="4"/>
  <c r="CF151" i="4" s="1"/>
  <c r="AC152" i="4"/>
  <c r="CF152" i="4" s="1"/>
  <c r="AC153" i="4"/>
  <c r="CF153" i="4" s="1"/>
  <c r="AC154" i="4"/>
  <c r="CF154" i="4" s="1"/>
  <c r="AC155" i="4"/>
  <c r="CF155" i="4" s="1"/>
  <c r="AC156" i="4"/>
  <c r="CF156" i="4" s="1"/>
  <c r="AC157" i="4"/>
  <c r="CF157" i="4" s="1"/>
  <c r="AC158" i="4"/>
  <c r="CF158" i="4" s="1"/>
  <c r="AC159" i="4"/>
  <c r="CF159" i="4" s="1"/>
  <c r="AC160" i="4"/>
  <c r="CF160" i="4" s="1"/>
  <c r="AC161" i="4"/>
  <c r="CF161" i="4" s="1"/>
  <c r="AC162" i="4"/>
  <c r="CF162" i="4" s="1"/>
  <c r="AC163" i="4"/>
  <c r="CF163" i="4" s="1"/>
  <c r="AC164" i="4"/>
  <c r="CF164" i="4" s="1"/>
  <c r="AC165" i="4"/>
  <c r="CF165" i="4" s="1"/>
  <c r="AC166" i="4"/>
  <c r="CF166" i="4" s="1"/>
  <c r="AC167" i="4"/>
  <c r="CF167" i="4" s="1"/>
  <c r="AC168" i="4"/>
  <c r="CF168" i="4" s="1"/>
  <c r="AC169" i="4"/>
  <c r="CF169" i="4" s="1"/>
  <c r="AC170" i="4"/>
  <c r="CF170" i="4" s="1"/>
  <c r="AC171" i="4"/>
  <c r="CF171" i="4" s="1"/>
  <c r="AC172" i="4"/>
  <c r="CF172" i="4" s="1"/>
  <c r="AC173" i="4"/>
  <c r="CF173" i="4" s="1"/>
  <c r="AC174" i="4"/>
  <c r="CF174" i="4" s="1"/>
  <c r="AC175" i="4"/>
  <c r="CF175" i="4" s="1"/>
  <c r="AC176" i="4"/>
  <c r="CF176" i="4" s="1"/>
  <c r="AC177" i="4"/>
  <c r="CF177" i="4" s="1"/>
  <c r="AC178" i="4"/>
  <c r="CF178" i="4" s="1"/>
  <c r="AC179" i="4"/>
  <c r="CF179" i="4" s="1"/>
  <c r="AC180" i="4"/>
  <c r="CF180" i="4" s="1"/>
  <c r="AC181" i="4"/>
  <c r="CF181" i="4" s="1"/>
  <c r="AC182" i="4"/>
  <c r="CF182" i="4" s="1"/>
  <c r="AC183" i="4"/>
  <c r="CF183" i="4" s="1"/>
  <c r="AC184" i="4"/>
  <c r="CF184" i="4" s="1"/>
  <c r="AC185" i="4"/>
  <c r="CF185" i="4" s="1"/>
  <c r="AC186" i="4"/>
  <c r="CF186" i="4" s="1"/>
  <c r="AC187" i="4"/>
  <c r="CF187" i="4" s="1"/>
  <c r="AC188" i="4"/>
  <c r="CF188" i="4" s="1"/>
  <c r="AC189" i="4"/>
  <c r="CF189" i="4" s="1"/>
  <c r="AC190" i="4"/>
  <c r="CF190" i="4" s="1"/>
  <c r="AC191" i="4"/>
  <c r="CF191" i="4" s="1"/>
  <c r="AC192" i="4"/>
  <c r="CF192" i="4" s="1"/>
  <c r="AC193" i="4"/>
  <c r="CF193" i="4" s="1"/>
  <c r="AC194" i="4"/>
  <c r="CF194" i="4" s="1"/>
  <c r="AC195" i="4"/>
  <c r="CF195" i="4" s="1"/>
  <c r="AC196" i="4"/>
  <c r="CF196" i="4" s="1"/>
  <c r="AC197" i="4"/>
  <c r="CF197" i="4" s="1"/>
  <c r="AC198" i="4"/>
  <c r="CF198" i="4" s="1"/>
  <c r="AC199" i="4"/>
  <c r="CF199" i="4" s="1"/>
  <c r="AC200" i="4"/>
  <c r="CF200" i="4" s="1"/>
  <c r="AC201" i="4"/>
  <c r="CF201" i="4" s="1"/>
  <c r="AC202" i="4"/>
  <c r="CF202" i="4" s="1"/>
  <c r="AC203" i="4"/>
  <c r="CF203" i="4" s="1"/>
  <c r="AC204" i="4"/>
  <c r="CF204" i="4" s="1"/>
  <c r="AC205" i="4"/>
  <c r="CF205" i="4" s="1"/>
  <c r="AC206" i="4"/>
  <c r="CF206" i="4" s="1"/>
  <c r="AC207" i="4"/>
  <c r="CF207" i="4" s="1"/>
  <c r="AC208" i="4"/>
  <c r="CF208" i="4" s="1"/>
  <c r="AC209" i="4"/>
  <c r="CF209" i="4" s="1"/>
  <c r="AC210" i="4"/>
  <c r="CF210" i="4" s="1"/>
  <c r="AC211" i="4"/>
  <c r="CF211" i="4" s="1"/>
  <c r="AC212" i="4"/>
  <c r="CF212" i="4" s="1"/>
  <c r="AC213" i="4"/>
  <c r="CF213" i="4" s="1"/>
  <c r="AC214" i="4"/>
  <c r="CF214" i="4" s="1"/>
  <c r="AC215" i="4"/>
  <c r="CF215" i="4" s="1"/>
  <c r="AC216" i="4"/>
  <c r="CF216" i="4" s="1"/>
  <c r="AC217" i="4"/>
  <c r="CF217" i="4" s="1"/>
  <c r="AC218" i="4"/>
  <c r="CF218" i="4" s="1"/>
  <c r="AC219" i="4"/>
  <c r="CF219" i="4" s="1"/>
  <c r="AC220" i="4"/>
  <c r="CF220" i="4" s="1"/>
  <c r="AC221" i="4"/>
  <c r="CF221" i="4" s="1"/>
  <c r="AC222" i="4"/>
  <c r="CF222" i="4" s="1"/>
  <c r="AC223" i="4"/>
  <c r="CF223" i="4" s="1"/>
  <c r="AC224" i="4"/>
  <c r="CF224" i="4" s="1"/>
  <c r="AC225" i="4"/>
  <c r="CF225" i="4" s="1"/>
  <c r="AC226" i="4"/>
  <c r="CF226" i="4" s="1"/>
  <c r="AC227" i="4"/>
  <c r="AC228" i="4"/>
  <c r="CF228" i="4" s="1"/>
  <c r="AC229" i="4"/>
  <c r="CF229" i="4" s="1"/>
  <c r="AC230" i="4"/>
  <c r="CF230" i="4" s="1"/>
  <c r="AC231" i="4"/>
  <c r="CF231" i="4" s="1"/>
  <c r="AC232" i="4"/>
  <c r="CF232" i="4" s="1"/>
  <c r="AC233" i="4"/>
  <c r="CF233" i="4" s="1"/>
  <c r="AC234" i="4"/>
  <c r="CF234" i="4" s="1"/>
  <c r="AC235" i="4"/>
  <c r="CF235" i="4" s="1"/>
  <c r="AC236" i="4"/>
  <c r="CF236" i="4" s="1"/>
  <c r="AC237" i="4"/>
  <c r="CF237" i="4" s="1"/>
  <c r="AC238" i="4"/>
  <c r="CF238" i="4" s="1"/>
  <c r="AC239" i="4"/>
  <c r="CF239" i="4" s="1"/>
  <c r="AC240" i="4"/>
  <c r="CF240" i="4" s="1"/>
  <c r="AC241" i="4"/>
  <c r="CF241" i="4" s="1"/>
  <c r="AC242" i="4"/>
  <c r="CF242" i="4" s="1"/>
  <c r="AC243" i="4"/>
  <c r="CF243" i="4" s="1"/>
  <c r="AC244" i="4"/>
  <c r="CF244" i="4" s="1"/>
  <c r="AC245" i="4"/>
  <c r="CF245" i="4" s="1"/>
  <c r="AC246" i="4"/>
  <c r="CF246" i="4" s="1"/>
  <c r="AC247" i="4"/>
  <c r="CF247" i="4" s="1"/>
  <c r="AC248" i="4"/>
  <c r="CF248" i="4" s="1"/>
  <c r="AC249" i="4"/>
  <c r="CF249" i="4" s="1"/>
  <c r="AC250" i="4"/>
  <c r="CF250" i="4" s="1"/>
  <c r="AC251" i="4"/>
  <c r="CF251" i="4" s="1"/>
  <c r="AC252" i="4"/>
  <c r="CF252" i="4" s="1"/>
  <c r="AC253" i="4"/>
  <c r="CF253" i="4" s="1"/>
  <c r="AC254" i="4"/>
  <c r="CF254" i="4" s="1"/>
  <c r="AC255" i="4"/>
  <c r="CF255" i="4" s="1"/>
  <c r="AC256" i="4"/>
  <c r="CF256" i="4" s="1"/>
  <c r="AC257" i="4"/>
  <c r="CF257" i="4" s="1"/>
  <c r="AC258" i="4"/>
  <c r="CF258" i="4" s="1"/>
  <c r="AC259" i="4"/>
  <c r="CF259" i="4" s="1"/>
  <c r="AC260" i="4"/>
  <c r="CF260" i="4" s="1"/>
  <c r="AC261" i="4"/>
  <c r="CF261" i="4" s="1"/>
  <c r="AC262" i="4"/>
  <c r="CF262" i="4" s="1"/>
  <c r="AC263" i="4"/>
  <c r="CF263" i="4" s="1"/>
  <c r="AC264" i="4"/>
  <c r="CF264" i="4" s="1"/>
  <c r="AC265" i="4"/>
  <c r="CF265" i="4" s="1"/>
  <c r="AC266" i="4"/>
  <c r="CF266" i="4" s="1"/>
  <c r="AC267" i="4"/>
  <c r="CF267" i="4" s="1"/>
  <c r="AC268" i="4"/>
  <c r="CF268" i="4" s="1"/>
  <c r="AC269" i="4"/>
  <c r="CF269" i="4" s="1"/>
  <c r="AC270" i="4"/>
  <c r="CF270" i="4" s="1"/>
  <c r="AC271" i="4"/>
  <c r="CF271" i="4" s="1"/>
  <c r="AC272" i="4"/>
  <c r="CF272" i="4" s="1"/>
  <c r="AC273" i="4"/>
  <c r="CF273" i="4" s="1"/>
  <c r="AC274" i="4"/>
  <c r="CF274" i="4" s="1"/>
  <c r="AC275" i="4"/>
  <c r="CF275" i="4" s="1"/>
  <c r="AC276" i="4"/>
  <c r="CF276" i="4" s="1"/>
  <c r="AC277" i="4"/>
  <c r="CF277" i="4" s="1"/>
  <c r="AC278" i="4"/>
  <c r="CF278" i="4" s="1"/>
  <c r="AC279" i="4"/>
  <c r="CF279" i="4" s="1"/>
  <c r="AC280" i="4"/>
  <c r="CF280" i="4" s="1"/>
  <c r="AC281" i="4"/>
  <c r="CF281" i="4" s="1"/>
  <c r="AC282" i="4"/>
  <c r="CF282" i="4" s="1"/>
  <c r="AC283" i="4"/>
  <c r="CF283" i="4" s="1"/>
  <c r="AC284" i="4"/>
  <c r="CF284" i="4" s="1"/>
  <c r="AC285" i="4"/>
  <c r="AC286" i="4"/>
  <c r="CF286" i="4" s="1"/>
  <c r="AC287" i="4"/>
  <c r="CF287" i="4" s="1"/>
  <c r="AC288" i="4"/>
  <c r="CF288" i="4" s="1"/>
  <c r="AC289" i="4"/>
  <c r="CF289" i="4" s="1"/>
  <c r="AC290" i="4"/>
  <c r="CF290" i="4" s="1"/>
  <c r="AC291" i="4"/>
  <c r="CF291" i="4" s="1"/>
  <c r="AC292" i="4"/>
  <c r="CF292" i="4" s="1"/>
  <c r="AC293" i="4"/>
  <c r="CF293" i="4" s="1"/>
  <c r="AC294" i="4"/>
  <c r="CF294" i="4" s="1"/>
  <c r="AC295" i="4"/>
  <c r="CF295" i="4" s="1"/>
  <c r="AC296" i="4"/>
  <c r="CF296" i="4" s="1"/>
  <c r="AC297" i="4"/>
  <c r="CF297" i="4" s="1"/>
  <c r="AC298" i="4"/>
  <c r="CF298" i="4" s="1"/>
  <c r="AC299" i="4"/>
  <c r="CF299" i="4" s="1"/>
  <c r="AC300" i="4"/>
  <c r="CF300" i="4" s="1"/>
  <c r="AC301" i="4"/>
  <c r="CF301" i="4" s="1"/>
  <c r="AC302" i="4"/>
  <c r="CF302" i="4" s="1"/>
  <c r="AC303" i="4"/>
  <c r="CF303" i="4" s="1"/>
  <c r="AC304" i="4"/>
  <c r="CF304" i="4" s="1"/>
  <c r="AC305" i="4"/>
  <c r="CF305" i="4" s="1"/>
  <c r="AC306" i="4"/>
  <c r="CF306" i="4" s="1"/>
  <c r="AC307" i="4"/>
  <c r="CF307" i="4" s="1"/>
  <c r="AC308" i="4"/>
  <c r="CF308" i="4" s="1"/>
  <c r="AC309" i="4"/>
  <c r="CF309" i="4" s="1"/>
  <c r="AC310" i="4"/>
  <c r="CF310" i="4" s="1"/>
  <c r="AC311" i="4"/>
  <c r="CF311" i="4" s="1"/>
  <c r="AC312" i="4"/>
  <c r="CF312" i="4" s="1"/>
  <c r="AC313" i="4"/>
  <c r="CF313" i="4" s="1"/>
  <c r="AC314" i="4"/>
  <c r="CF314" i="4" s="1"/>
  <c r="AC315" i="4"/>
  <c r="CF315" i="4" s="1"/>
  <c r="AC316" i="4"/>
  <c r="CF316" i="4" s="1"/>
  <c r="AC317" i="4"/>
  <c r="CF317" i="4" s="1"/>
  <c r="AC318" i="4"/>
  <c r="CF318" i="4" s="1"/>
  <c r="AC319" i="4"/>
  <c r="CF319" i="4" s="1"/>
  <c r="AC320" i="4"/>
  <c r="CF320" i="4" s="1"/>
  <c r="AC321" i="4"/>
  <c r="CF321" i="4" s="1"/>
  <c r="AC322" i="4"/>
  <c r="CF322" i="4" s="1"/>
  <c r="AC323" i="4"/>
  <c r="CF323" i="4" s="1"/>
  <c r="AC324" i="4"/>
  <c r="CF324" i="4" s="1"/>
  <c r="AC325" i="4"/>
  <c r="CF325" i="4" s="1"/>
  <c r="AC326" i="4"/>
  <c r="CF326" i="4" s="1"/>
  <c r="AC327" i="4"/>
  <c r="CF327" i="4" s="1"/>
  <c r="AC328" i="4"/>
  <c r="CF328" i="4" s="1"/>
  <c r="AC329" i="4"/>
  <c r="CF329" i="4" s="1"/>
  <c r="AC330" i="4"/>
  <c r="CF330" i="4" s="1"/>
  <c r="AC331" i="4"/>
  <c r="CF331" i="4" s="1"/>
  <c r="AC332" i="4"/>
  <c r="CF332" i="4" s="1"/>
  <c r="AC333" i="4"/>
  <c r="CF333" i="4" s="1"/>
  <c r="AC334" i="4"/>
  <c r="CF334" i="4" s="1"/>
  <c r="AC335" i="4"/>
  <c r="CF335" i="4" s="1"/>
  <c r="AC336" i="4"/>
  <c r="CF336" i="4" s="1"/>
  <c r="AC337" i="4"/>
  <c r="CF337" i="4" s="1"/>
  <c r="AC338" i="4"/>
  <c r="CF338" i="4" s="1"/>
  <c r="AC339" i="4"/>
  <c r="CF339" i="4" s="1"/>
  <c r="AC340" i="4"/>
  <c r="CF340" i="4" s="1"/>
  <c r="AC341" i="4"/>
  <c r="CF341" i="4" s="1"/>
  <c r="AC342" i="4"/>
  <c r="CF342" i="4" s="1"/>
  <c r="AC343" i="4"/>
  <c r="CF343" i="4" s="1"/>
  <c r="AC344" i="4"/>
  <c r="CF344" i="4" s="1"/>
  <c r="AC345" i="4"/>
  <c r="CF345" i="4" s="1"/>
  <c r="AC346" i="4"/>
  <c r="CF346" i="4" s="1"/>
  <c r="AC347" i="4"/>
  <c r="CF347" i="4" s="1"/>
  <c r="AC348" i="4"/>
  <c r="CF348" i="4" s="1"/>
  <c r="AC349" i="4"/>
  <c r="CF349" i="4" s="1"/>
  <c r="AC350" i="4"/>
  <c r="CF350" i="4" s="1"/>
  <c r="AC351" i="4"/>
  <c r="CF351" i="4" s="1"/>
  <c r="AC352" i="4"/>
  <c r="CF352" i="4" s="1"/>
  <c r="AC353" i="4"/>
  <c r="CF353" i="4" s="1"/>
  <c r="AC354" i="4"/>
  <c r="CF354" i="4" s="1"/>
  <c r="AC355" i="4"/>
  <c r="AC356" i="4"/>
  <c r="CF356" i="4" s="1"/>
  <c r="AC357" i="4"/>
  <c r="CF357" i="4" s="1"/>
  <c r="AC358" i="4"/>
  <c r="CF358" i="4" s="1"/>
  <c r="AC359" i="4"/>
  <c r="CF359" i="4" s="1"/>
  <c r="AC360" i="4"/>
  <c r="CF360" i="4" s="1"/>
  <c r="AC361" i="4"/>
  <c r="CF361" i="4" s="1"/>
  <c r="AC362" i="4"/>
  <c r="CF362" i="4" s="1"/>
  <c r="AC363" i="4"/>
  <c r="CF363" i="4" s="1"/>
  <c r="AC364" i="4"/>
  <c r="CF364" i="4" s="1"/>
  <c r="AC365" i="4"/>
  <c r="CF365" i="4" s="1"/>
  <c r="AC366" i="4"/>
  <c r="CF366" i="4" s="1"/>
  <c r="AC367" i="4"/>
  <c r="CF367" i="4" s="1"/>
  <c r="AC368" i="4"/>
  <c r="AC369" i="4"/>
  <c r="CF369" i="4" s="1"/>
  <c r="AC370" i="4"/>
  <c r="CF370" i="4" s="1"/>
  <c r="AC371" i="4"/>
  <c r="CF371" i="4" s="1"/>
  <c r="AC372" i="4"/>
  <c r="AC373" i="4"/>
  <c r="CF373" i="4" s="1"/>
  <c r="AC374" i="4"/>
  <c r="CF374" i="4" s="1"/>
  <c r="AC375" i="4"/>
  <c r="CF375" i="4" s="1"/>
  <c r="AC376" i="4"/>
  <c r="CF376" i="4" s="1"/>
  <c r="AC377" i="4"/>
  <c r="CF377" i="4" s="1"/>
  <c r="AC378" i="4"/>
  <c r="CF378" i="4" s="1"/>
  <c r="AC379" i="4"/>
  <c r="CF379" i="4" s="1"/>
  <c r="AC380" i="4"/>
  <c r="CF380" i="4" s="1"/>
  <c r="AC381" i="4"/>
  <c r="CF381" i="4" s="1"/>
  <c r="AC382" i="4"/>
  <c r="CF382" i="4" s="1"/>
  <c r="AC383" i="4"/>
  <c r="CF383" i="4" s="1"/>
  <c r="AC384" i="4"/>
  <c r="CF384" i="4" s="1"/>
  <c r="AC385" i="4"/>
  <c r="CF385" i="4" s="1"/>
  <c r="AC386" i="4"/>
  <c r="CF386" i="4" s="1"/>
  <c r="AC387" i="4"/>
  <c r="CF387" i="4" s="1"/>
  <c r="AC388" i="4"/>
  <c r="CF388" i="4" s="1"/>
  <c r="AC389" i="4"/>
  <c r="CF389" i="4" s="1"/>
  <c r="AC390" i="4"/>
  <c r="CF390" i="4" s="1"/>
  <c r="AC391" i="4"/>
  <c r="CF391" i="4" s="1"/>
  <c r="AC392" i="4"/>
  <c r="CF392" i="4" s="1"/>
  <c r="AC393" i="4"/>
  <c r="CF393" i="4" s="1"/>
  <c r="AC394" i="4"/>
  <c r="CF394" i="4" s="1"/>
  <c r="AC395" i="4"/>
  <c r="CF395" i="4" s="1"/>
  <c r="AC396" i="4"/>
  <c r="CF396" i="4" s="1"/>
  <c r="AC397" i="4"/>
  <c r="CF397" i="4" s="1"/>
  <c r="AC398" i="4"/>
  <c r="CF398" i="4" s="1"/>
  <c r="AC399" i="4"/>
  <c r="CF399" i="4" s="1"/>
  <c r="AC400" i="4"/>
  <c r="CF400" i="4" s="1"/>
  <c r="AC401" i="4"/>
  <c r="CF401" i="4" s="1"/>
  <c r="AC402" i="4"/>
  <c r="CF402" i="4" s="1"/>
  <c r="AC403" i="4"/>
  <c r="CF403" i="4" s="1"/>
  <c r="AC404" i="4"/>
  <c r="CF404" i="4" s="1"/>
  <c r="AC405" i="4"/>
  <c r="CF405" i="4" s="1"/>
  <c r="AC406" i="4"/>
  <c r="CF406" i="4" s="1"/>
  <c r="AC407" i="4"/>
  <c r="CF407" i="4" s="1"/>
  <c r="AC408" i="4"/>
  <c r="CF408" i="4" s="1"/>
  <c r="AC409" i="4"/>
  <c r="CF409" i="4" s="1"/>
  <c r="AC410" i="4"/>
  <c r="CF410" i="4" s="1"/>
  <c r="AC411" i="4"/>
  <c r="CF411" i="4" s="1"/>
  <c r="AC412" i="4"/>
  <c r="CF412" i="4" s="1"/>
  <c r="AC413" i="4"/>
  <c r="CF413" i="4" s="1"/>
  <c r="AC414" i="4"/>
  <c r="CF414" i="4" s="1"/>
  <c r="AC415" i="4"/>
  <c r="CF415" i="4" s="1"/>
  <c r="AC416" i="4"/>
  <c r="CF416" i="4" s="1"/>
  <c r="AC417" i="4"/>
  <c r="CF417" i="4" s="1"/>
  <c r="AC418" i="4"/>
  <c r="CF418" i="4" s="1"/>
  <c r="AC419" i="4"/>
  <c r="CF419" i="4" s="1"/>
  <c r="AC420" i="4"/>
  <c r="CF420" i="4" s="1"/>
  <c r="AC421" i="4"/>
  <c r="CF421" i="4" s="1"/>
  <c r="AC422" i="4"/>
  <c r="CF422" i="4" s="1"/>
  <c r="AC423" i="4"/>
  <c r="CF423" i="4" s="1"/>
  <c r="AC424" i="4"/>
  <c r="CF424" i="4" s="1"/>
  <c r="AC425" i="4"/>
  <c r="CF425" i="4" s="1"/>
  <c r="AC426" i="4"/>
  <c r="CF426" i="4" s="1"/>
  <c r="AC427" i="4"/>
  <c r="CF427" i="4" s="1"/>
  <c r="AC428" i="4"/>
  <c r="CF428" i="4" s="1"/>
  <c r="AC429" i="4"/>
  <c r="CF429" i="4" s="1"/>
  <c r="AC430" i="4"/>
  <c r="CF430" i="4" s="1"/>
  <c r="AC431" i="4"/>
  <c r="CF431" i="4" s="1"/>
  <c r="AC432" i="4"/>
  <c r="CF432" i="4" s="1"/>
  <c r="AC433" i="4"/>
  <c r="CF433" i="4" s="1"/>
  <c r="AC434" i="4"/>
  <c r="CF434" i="4" s="1"/>
  <c r="AC435" i="4"/>
  <c r="CF435" i="4" s="1"/>
  <c r="AC436" i="4"/>
  <c r="CF436" i="4" s="1"/>
  <c r="AC437" i="4"/>
  <c r="CF437" i="4" s="1"/>
  <c r="AC438" i="4"/>
  <c r="CF438" i="4" s="1"/>
  <c r="AC439" i="4"/>
  <c r="CF439" i="4" s="1"/>
  <c r="AC440" i="4"/>
  <c r="CF440" i="4" s="1"/>
  <c r="AC441" i="4"/>
  <c r="CF441" i="4" s="1"/>
  <c r="AC442" i="4"/>
  <c r="CF442" i="4" s="1"/>
  <c r="AC443" i="4"/>
  <c r="CF443" i="4" s="1"/>
  <c r="AC444" i="4"/>
  <c r="CF444" i="4" s="1"/>
  <c r="AC445" i="4"/>
  <c r="CF445" i="4" s="1"/>
  <c r="AC446" i="4"/>
  <c r="CF446" i="4" s="1"/>
  <c r="AC447" i="4"/>
  <c r="CF447" i="4" s="1"/>
  <c r="AC448" i="4"/>
  <c r="CF448" i="4" s="1"/>
  <c r="AC449" i="4"/>
  <c r="CF449" i="4" s="1"/>
  <c r="AC450" i="4"/>
  <c r="CF450" i="4" s="1"/>
  <c r="AC451" i="4"/>
  <c r="CF451" i="4" s="1"/>
  <c r="AC452" i="4"/>
  <c r="CF452" i="4" s="1"/>
  <c r="AC453" i="4"/>
  <c r="CF453" i="4" s="1"/>
  <c r="AC454" i="4"/>
  <c r="CF454" i="4" s="1"/>
  <c r="AC455" i="4"/>
  <c r="CF455" i="4" s="1"/>
  <c r="AC456" i="4"/>
  <c r="CF456" i="4" s="1"/>
  <c r="AC457" i="4"/>
  <c r="CF457" i="4" s="1"/>
  <c r="AC458" i="4"/>
  <c r="CF458" i="4" s="1"/>
  <c r="AC459" i="4"/>
  <c r="CF459" i="4" s="1"/>
  <c r="AC460" i="4"/>
  <c r="CF460" i="4" s="1"/>
  <c r="AC461" i="4"/>
  <c r="CF461" i="4" s="1"/>
  <c r="AC462" i="4"/>
  <c r="CF462" i="4" s="1"/>
  <c r="AC463" i="4"/>
  <c r="CF463" i="4" s="1"/>
  <c r="AC464" i="4"/>
  <c r="CF464" i="4" s="1"/>
  <c r="AC465" i="4"/>
  <c r="CF465" i="4" s="1"/>
  <c r="AC466" i="4"/>
  <c r="CF466" i="4" s="1"/>
  <c r="AC467" i="4"/>
  <c r="CF467" i="4" s="1"/>
  <c r="AC468" i="4"/>
  <c r="CF468" i="4" s="1"/>
  <c r="AC469" i="4"/>
  <c r="CF469" i="4" s="1"/>
  <c r="AC470" i="4"/>
  <c r="CF470" i="4" s="1"/>
  <c r="AC471" i="4"/>
  <c r="CF471" i="4" s="1"/>
  <c r="AC472" i="4"/>
  <c r="CF472" i="4" s="1"/>
  <c r="AC473" i="4"/>
  <c r="CF473" i="4" s="1"/>
  <c r="AC474" i="4"/>
  <c r="CF474" i="4" s="1"/>
  <c r="AC475" i="4"/>
  <c r="CF475" i="4" s="1"/>
  <c r="AC476" i="4"/>
  <c r="CF476" i="4" s="1"/>
  <c r="AC477" i="4"/>
  <c r="CF477" i="4" s="1"/>
  <c r="AC478" i="4"/>
  <c r="CF478" i="4" s="1"/>
  <c r="AC479" i="4"/>
  <c r="CF479" i="4" s="1"/>
  <c r="AC480" i="4"/>
  <c r="CF480" i="4" s="1"/>
  <c r="AC481" i="4"/>
  <c r="CF481" i="4" s="1"/>
  <c r="AC482" i="4"/>
  <c r="CF482" i="4" s="1"/>
  <c r="AC483" i="4"/>
  <c r="CF483" i="4" s="1"/>
  <c r="AC484" i="4"/>
  <c r="CF484" i="4" s="1"/>
  <c r="AC485" i="4"/>
  <c r="CF485" i="4" s="1"/>
  <c r="AC486" i="4"/>
  <c r="CF486" i="4" s="1"/>
  <c r="AC487" i="4"/>
  <c r="CF487" i="4" s="1"/>
  <c r="AC488" i="4"/>
  <c r="CF488" i="4" s="1"/>
  <c r="AC489" i="4"/>
  <c r="CF489" i="4" s="1"/>
  <c r="AC490" i="4"/>
  <c r="CF490" i="4" s="1"/>
  <c r="AC491" i="4"/>
  <c r="CF491" i="4" s="1"/>
  <c r="AC492" i="4"/>
  <c r="CF492" i="4" s="1"/>
  <c r="AC493" i="4"/>
  <c r="CF493" i="4" s="1"/>
  <c r="AC494" i="4"/>
  <c r="CF494" i="4" s="1"/>
  <c r="AC495" i="4"/>
  <c r="CF495" i="4" s="1"/>
  <c r="AC496" i="4"/>
  <c r="CF496" i="4" s="1"/>
  <c r="AC497" i="4"/>
  <c r="CF497" i="4" s="1"/>
  <c r="AC498" i="4"/>
  <c r="CF498" i="4" s="1"/>
  <c r="AC499" i="4"/>
  <c r="CF499" i="4" s="1"/>
  <c r="AC500" i="4"/>
  <c r="CF500" i="4" s="1"/>
  <c r="AC501" i="4"/>
  <c r="CF501" i="4" s="1"/>
  <c r="AC502" i="4"/>
  <c r="CF502" i="4" s="1"/>
  <c r="AC503" i="4"/>
  <c r="CF503" i="4" s="1"/>
  <c r="AC504" i="4"/>
  <c r="CF504" i="4" s="1"/>
  <c r="AC505" i="4"/>
  <c r="CF505" i="4" s="1"/>
  <c r="AC506" i="4"/>
  <c r="CF506" i="4" s="1"/>
  <c r="AC507" i="4"/>
  <c r="CF507" i="4" s="1"/>
  <c r="AC508" i="4"/>
  <c r="CF508" i="4" s="1"/>
  <c r="AC509" i="4"/>
  <c r="CF509" i="4" s="1"/>
  <c r="AC510" i="4"/>
  <c r="CF510" i="4" s="1"/>
  <c r="AC511" i="4"/>
  <c r="CF511" i="4" s="1"/>
  <c r="AC512" i="4"/>
  <c r="CF512" i="4" s="1"/>
  <c r="AC513" i="4"/>
  <c r="CF513" i="4" s="1"/>
  <c r="AC514" i="4"/>
  <c r="CF514" i="4" s="1"/>
  <c r="AC515" i="4"/>
  <c r="CF515" i="4" s="1"/>
  <c r="AC516" i="4"/>
  <c r="CF516" i="4" s="1"/>
  <c r="AC517" i="4"/>
  <c r="CF517" i="4" s="1"/>
  <c r="AC518" i="4"/>
  <c r="CF518" i="4" s="1"/>
  <c r="AC519" i="4"/>
  <c r="CF519" i="4" s="1"/>
  <c r="AC520" i="4"/>
  <c r="CF520" i="4" s="1"/>
  <c r="AC521" i="4"/>
  <c r="CF521" i="4" s="1"/>
  <c r="AC522" i="4"/>
  <c r="CF522" i="4" s="1"/>
  <c r="AC523" i="4"/>
  <c r="CF523" i="4" s="1"/>
  <c r="AC524" i="4"/>
  <c r="CF524" i="4" s="1"/>
  <c r="AC525" i="4"/>
  <c r="CF525" i="4" s="1"/>
  <c r="AC526" i="4"/>
  <c r="CF526" i="4" s="1"/>
  <c r="AC527" i="4"/>
  <c r="CF527" i="4" s="1"/>
  <c r="AC528" i="4"/>
  <c r="CF528" i="4" s="1"/>
  <c r="AC529" i="4"/>
  <c r="CF529" i="4" s="1"/>
  <c r="AC530" i="4"/>
  <c r="CF530" i="4" s="1"/>
  <c r="AC531" i="4"/>
  <c r="CF531" i="4" s="1"/>
  <c r="AC532" i="4"/>
  <c r="CF532" i="4" s="1"/>
  <c r="AC533" i="4"/>
  <c r="CF533" i="4" s="1"/>
  <c r="AC534" i="4"/>
  <c r="CF534" i="4" s="1"/>
  <c r="AC535" i="4"/>
  <c r="CF535" i="4" s="1"/>
  <c r="AC536" i="4"/>
  <c r="CF536" i="4" s="1"/>
  <c r="AC537" i="4"/>
  <c r="CF537" i="4" s="1"/>
  <c r="AC538" i="4"/>
  <c r="CF538" i="4" s="1"/>
  <c r="AC539" i="4"/>
  <c r="CF539" i="4" s="1"/>
  <c r="AC540" i="4"/>
  <c r="CF540" i="4" s="1"/>
  <c r="AC541" i="4"/>
  <c r="CF541" i="4" s="1"/>
  <c r="AC542" i="4"/>
  <c r="CF542" i="4" s="1"/>
  <c r="AC543" i="4"/>
  <c r="CF543" i="4" s="1"/>
  <c r="AC544" i="4"/>
  <c r="CF544" i="4" s="1"/>
  <c r="AC545" i="4"/>
  <c r="CF545" i="4" s="1"/>
  <c r="AC546" i="4"/>
  <c r="CF546" i="4" s="1"/>
  <c r="AC547" i="4"/>
  <c r="CF547" i="4" s="1"/>
  <c r="AC548" i="4"/>
  <c r="CF548" i="4" s="1"/>
  <c r="AC549" i="4"/>
  <c r="CF549" i="4" s="1"/>
  <c r="AC550" i="4"/>
  <c r="CF550" i="4" s="1"/>
  <c r="AC551" i="4"/>
  <c r="CF551" i="4" s="1"/>
  <c r="AC552" i="4"/>
  <c r="CF552" i="4" s="1"/>
  <c r="AC553" i="4"/>
  <c r="CF553" i="4" s="1"/>
  <c r="AC554" i="4"/>
  <c r="CF554" i="4" s="1"/>
  <c r="AC555" i="4"/>
  <c r="CF555" i="4" s="1"/>
  <c r="AC556" i="4"/>
  <c r="CF556" i="4" s="1"/>
  <c r="AC557" i="4"/>
  <c r="CF557" i="4" s="1"/>
  <c r="AC558" i="4"/>
  <c r="CF558" i="4" s="1"/>
  <c r="AC559" i="4"/>
  <c r="CF559" i="4" s="1"/>
  <c r="AC560" i="4"/>
  <c r="CF560" i="4" s="1"/>
  <c r="AC561" i="4"/>
  <c r="CF561" i="4" s="1"/>
  <c r="AC562" i="4"/>
  <c r="CF562" i="4" s="1"/>
  <c r="AC563" i="4"/>
  <c r="CF563" i="4" s="1"/>
  <c r="AC564" i="4"/>
  <c r="CF564" i="4" s="1"/>
  <c r="AC565" i="4"/>
  <c r="CF565" i="4" s="1"/>
  <c r="AC566" i="4"/>
  <c r="CF566" i="4" s="1"/>
  <c r="AC567" i="4"/>
  <c r="CF567" i="4" s="1"/>
  <c r="AC568" i="4"/>
  <c r="CF568" i="4" s="1"/>
  <c r="AC569" i="4"/>
  <c r="CF569" i="4" s="1"/>
  <c r="AC570" i="4"/>
  <c r="CF570" i="4" s="1"/>
  <c r="AC571" i="4"/>
  <c r="CF571" i="4" s="1"/>
  <c r="AC572" i="4"/>
  <c r="CF572" i="4" s="1"/>
  <c r="AC573" i="4"/>
  <c r="CF573" i="4" s="1"/>
  <c r="AC574" i="4"/>
  <c r="CF574" i="4" s="1"/>
  <c r="AC575" i="4"/>
  <c r="CF575" i="4" s="1"/>
  <c r="AC576" i="4"/>
  <c r="CF576" i="4" s="1"/>
  <c r="AC577" i="4"/>
  <c r="CF577" i="4" s="1"/>
  <c r="AC578" i="4"/>
  <c r="CF578" i="4" s="1"/>
  <c r="AC579" i="4"/>
  <c r="CF579" i="4" s="1"/>
  <c r="AC580" i="4"/>
  <c r="CF580" i="4" s="1"/>
  <c r="AC581" i="4"/>
  <c r="CF581" i="4" s="1"/>
  <c r="AC582" i="4"/>
  <c r="CF582" i="4" s="1"/>
  <c r="AC583" i="4"/>
  <c r="CF583" i="4" s="1"/>
  <c r="AC584" i="4"/>
  <c r="CF584" i="4" s="1"/>
  <c r="AC585" i="4"/>
  <c r="CF585" i="4" s="1"/>
  <c r="AC586" i="4"/>
  <c r="CF586" i="4" s="1"/>
  <c r="AC587" i="4"/>
  <c r="CF587" i="4" s="1"/>
  <c r="AC588" i="4"/>
  <c r="CF588" i="4" s="1"/>
  <c r="AC589" i="4"/>
  <c r="CF589" i="4" s="1"/>
  <c r="AC590" i="4"/>
  <c r="CF590" i="4" s="1"/>
  <c r="AC591" i="4"/>
  <c r="CF591" i="4" s="1"/>
  <c r="AC592" i="4"/>
  <c r="CF592" i="4" s="1"/>
  <c r="AC593" i="4"/>
  <c r="CF593" i="4" s="1"/>
  <c r="AC594" i="4"/>
  <c r="CF594" i="4" s="1"/>
  <c r="AC595" i="4"/>
  <c r="CF595" i="4" s="1"/>
  <c r="AC596" i="4"/>
  <c r="CF596" i="4" s="1"/>
  <c r="AC597" i="4"/>
  <c r="CF597" i="4" s="1"/>
  <c r="AC598" i="4"/>
  <c r="CF598" i="4" s="1"/>
  <c r="AC599" i="4"/>
  <c r="CF599" i="4" s="1"/>
  <c r="AC600" i="4"/>
  <c r="CF600" i="4" s="1"/>
  <c r="AC601" i="4"/>
  <c r="CF601" i="4" s="1"/>
  <c r="AC602" i="4"/>
  <c r="CF602" i="4" s="1"/>
  <c r="AC603" i="4"/>
  <c r="CF603" i="4" s="1"/>
  <c r="AC604" i="4"/>
  <c r="CF604" i="4" s="1"/>
  <c r="AC605" i="4"/>
  <c r="CF605" i="4" s="1"/>
  <c r="AC606" i="4"/>
  <c r="CF606" i="4" s="1"/>
  <c r="AC607" i="4"/>
  <c r="CF607" i="4" s="1"/>
  <c r="AC608" i="4"/>
  <c r="CF608" i="4" s="1"/>
  <c r="AC609" i="4"/>
  <c r="CF609" i="4" s="1"/>
  <c r="AC610" i="4"/>
  <c r="CF610" i="4" s="1"/>
  <c r="AC611" i="4"/>
  <c r="CF611" i="4" s="1"/>
  <c r="AC612" i="4"/>
  <c r="CF612" i="4" s="1"/>
  <c r="AC613" i="4"/>
  <c r="CF613" i="4" s="1"/>
  <c r="AC614" i="4"/>
  <c r="CF614" i="4" s="1"/>
  <c r="AC615" i="4"/>
  <c r="CF615" i="4" s="1"/>
  <c r="AC616" i="4"/>
  <c r="CF616" i="4" s="1"/>
  <c r="AC617" i="4"/>
  <c r="CF617" i="4" s="1"/>
  <c r="AC618" i="4"/>
  <c r="CF618" i="4" s="1"/>
  <c r="AC619" i="4"/>
  <c r="CF619" i="4" s="1"/>
  <c r="AC620" i="4"/>
  <c r="CF620" i="4" s="1"/>
  <c r="AC621" i="4"/>
  <c r="CF621" i="4" s="1"/>
  <c r="AC622" i="4"/>
  <c r="CF622" i="4" s="1"/>
  <c r="AC623" i="4"/>
  <c r="CF623" i="4" s="1"/>
  <c r="AC624" i="4"/>
  <c r="CF624" i="4" s="1"/>
  <c r="AC625" i="4"/>
  <c r="CF625" i="4" s="1"/>
  <c r="AC626" i="4"/>
  <c r="CF626" i="4" s="1"/>
  <c r="AC627" i="4"/>
  <c r="CF627" i="4" s="1"/>
  <c r="AC628" i="4"/>
  <c r="CF628" i="4" s="1"/>
  <c r="AC629" i="4"/>
  <c r="CF629" i="4" s="1"/>
  <c r="AC630" i="4"/>
  <c r="CF630" i="4" s="1"/>
  <c r="AC631" i="4"/>
  <c r="CF631" i="4" s="1"/>
  <c r="AC632" i="4"/>
  <c r="CF632" i="4" s="1"/>
  <c r="AC633" i="4"/>
  <c r="CF633" i="4" s="1"/>
  <c r="AC634" i="4"/>
  <c r="CF634" i="4" s="1"/>
  <c r="AC635" i="4"/>
  <c r="CF635" i="4" s="1"/>
  <c r="AC636" i="4"/>
  <c r="CF636" i="4" s="1"/>
  <c r="AC637" i="4"/>
  <c r="CF637" i="4" s="1"/>
  <c r="AC638" i="4"/>
  <c r="CF638" i="4" s="1"/>
  <c r="AC639" i="4"/>
  <c r="CF639" i="4" s="1"/>
  <c r="AC640" i="4"/>
  <c r="CF640" i="4" s="1"/>
  <c r="AC641" i="4"/>
  <c r="CF641" i="4" s="1"/>
  <c r="AC642" i="4"/>
  <c r="CF642" i="4" s="1"/>
  <c r="AC643" i="4"/>
  <c r="CF643" i="4" s="1"/>
  <c r="AC644" i="4"/>
  <c r="CF644" i="4" s="1"/>
  <c r="AC645" i="4"/>
  <c r="CF645" i="4" s="1"/>
  <c r="AC646" i="4"/>
  <c r="CF646" i="4" s="1"/>
  <c r="AC647" i="4"/>
  <c r="CF647" i="4" s="1"/>
  <c r="AC648" i="4"/>
  <c r="CF648" i="4" s="1"/>
  <c r="AC649" i="4"/>
  <c r="CF649" i="4" s="1"/>
  <c r="AC650" i="4"/>
  <c r="CF650" i="4" s="1"/>
  <c r="AC651" i="4"/>
  <c r="CF651" i="4" s="1"/>
  <c r="AC652" i="4"/>
  <c r="CF652" i="4" s="1"/>
  <c r="AC653" i="4"/>
  <c r="CF653" i="4" s="1"/>
  <c r="AC654" i="4"/>
  <c r="CF654" i="4" s="1"/>
  <c r="AC655" i="4"/>
  <c r="CF655" i="4" s="1"/>
  <c r="AC656" i="4"/>
  <c r="CF656" i="4" s="1"/>
  <c r="AC657" i="4"/>
  <c r="CF657" i="4" s="1"/>
  <c r="AC658" i="4"/>
  <c r="CF658" i="4" s="1"/>
  <c r="AC659" i="4"/>
  <c r="CF659" i="4" s="1"/>
  <c r="AC660" i="4"/>
  <c r="CF660" i="4" s="1"/>
  <c r="AC661" i="4"/>
  <c r="CF661" i="4" s="1"/>
  <c r="AC662" i="4"/>
  <c r="CF662" i="4" s="1"/>
  <c r="AC663" i="4"/>
  <c r="CF663" i="4" s="1"/>
  <c r="AC664" i="4"/>
  <c r="CF664" i="4" s="1"/>
  <c r="AC665" i="4"/>
  <c r="CF665" i="4" s="1"/>
  <c r="AC666" i="4"/>
  <c r="CF666" i="4" s="1"/>
  <c r="AC667" i="4"/>
  <c r="CF667" i="4" s="1"/>
  <c r="AC668" i="4"/>
  <c r="CF668" i="4" s="1"/>
  <c r="AC669" i="4"/>
  <c r="CF669" i="4" s="1"/>
  <c r="AC670" i="4"/>
  <c r="CF670" i="4" s="1"/>
  <c r="AC671" i="4"/>
  <c r="CF671" i="4" s="1"/>
  <c r="AC672" i="4"/>
  <c r="CF672" i="4" s="1"/>
  <c r="AC673" i="4"/>
  <c r="CF673" i="4" s="1"/>
  <c r="AC674" i="4"/>
  <c r="CF674" i="4" s="1"/>
  <c r="AC675" i="4"/>
  <c r="CF675" i="4" s="1"/>
  <c r="AC676" i="4"/>
  <c r="CF676" i="4" s="1"/>
  <c r="AC677" i="4"/>
  <c r="CF677" i="4" s="1"/>
  <c r="AC678" i="4"/>
  <c r="CF678" i="4" s="1"/>
  <c r="AC679" i="4"/>
  <c r="CF679" i="4" s="1"/>
  <c r="AC680" i="4"/>
  <c r="AC681" i="4"/>
  <c r="CF681" i="4" s="1"/>
  <c r="AC682" i="4"/>
  <c r="CF682" i="4" s="1"/>
  <c r="AC683" i="4"/>
  <c r="CF683" i="4" s="1"/>
  <c r="AC684" i="4"/>
  <c r="CF684" i="4" s="1"/>
  <c r="AC685" i="4"/>
  <c r="CF685" i="4" s="1"/>
  <c r="AC686" i="4"/>
  <c r="CF686" i="4" s="1"/>
  <c r="AC687" i="4"/>
  <c r="CF687" i="4" s="1"/>
  <c r="AC688" i="4"/>
  <c r="AC689" i="4"/>
  <c r="AC690" i="4"/>
  <c r="AC691" i="4"/>
  <c r="AC692" i="4"/>
  <c r="AC693" i="4"/>
  <c r="AC694" i="4"/>
  <c r="AC695" i="4"/>
  <c r="AC696" i="4"/>
  <c r="AC697" i="4"/>
  <c r="AC698" i="4"/>
  <c r="AC699" i="4"/>
  <c r="AC700" i="4"/>
  <c r="CF700" i="4" s="1"/>
  <c r="AC701" i="4"/>
  <c r="CF701" i="4" s="1"/>
  <c r="AC702" i="4"/>
  <c r="CF702" i="4" s="1"/>
  <c r="AC703" i="4"/>
  <c r="CF703" i="4" s="1"/>
  <c r="AC704" i="4"/>
  <c r="CF704" i="4" s="1"/>
  <c r="AC705" i="4"/>
  <c r="CF705" i="4" s="1"/>
  <c r="AC706" i="4"/>
  <c r="CF706" i="4" s="1"/>
  <c r="AC707" i="4"/>
  <c r="CF707" i="4" s="1"/>
  <c r="AC708" i="4"/>
  <c r="CF708" i="4" s="1"/>
  <c r="AC709" i="4"/>
  <c r="CF709" i="4" s="1"/>
  <c r="AC710" i="4"/>
  <c r="CF710" i="4" s="1"/>
  <c r="AC711" i="4"/>
  <c r="CF711" i="4" s="1"/>
  <c r="AC712" i="4"/>
  <c r="CF712" i="4" s="1"/>
  <c r="AC713" i="4"/>
  <c r="CF713" i="4" s="1"/>
  <c r="AC714" i="4"/>
  <c r="CF714" i="4" s="1"/>
  <c r="AC715" i="4"/>
  <c r="CF715" i="4" s="1"/>
  <c r="AC716" i="4"/>
  <c r="CF716" i="4" s="1"/>
  <c r="AC717" i="4"/>
  <c r="CF717" i="4" s="1"/>
  <c r="AC718" i="4"/>
  <c r="CF718" i="4" s="1"/>
  <c r="AC719" i="4"/>
  <c r="CF719" i="4" s="1"/>
  <c r="AC720" i="4"/>
  <c r="CF720" i="4" s="1"/>
  <c r="AC721" i="4"/>
  <c r="CF721" i="4" s="1"/>
  <c r="AC722" i="4"/>
  <c r="CF722" i="4" s="1"/>
  <c r="AC723" i="4"/>
  <c r="CF723" i="4" s="1"/>
  <c r="AC724" i="4"/>
  <c r="CF724" i="4" s="1"/>
  <c r="AC725" i="4"/>
  <c r="CF725" i="4" s="1"/>
  <c r="AC726" i="4"/>
  <c r="CF726" i="4" s="1"/>
  <c r="AC727" i="4"/>
  <c r="CF727" i="4" s="1"/>
  <c r="AC728" i="4"/>
  <c r="CF728" i="4" s="1"/>
  <c r="AC729" i="4"/>
  <c r="CF729" i="4" s="1"/>
  <c r="AC730" i="4"/>
  <c r="CF730" i="4" s="1"/>
  <c r="AC731" i="4"/>
  <c r="CF731" i="4" s="1"/>
  <c r="AC732" i="4"/>
  <c r="CF732" i="4" s="1"/>
  <c r="AC733" i="4"/>
  <c r="CF733" i="4" s="1"/>
  <c r="AC734" i="4"/>
  <c r="CF734" i="4" s="1"/>
  <c r="AC735" i="4"/>
  <c r="CF735" i="4" s="1"/>
  <c r="AC736" i="4"/>
  <c r="CF736" i="4" s="1"/>
  <c r="AC737" i="4"/>
  <c r="CF737" i="4" s="1"/>
  <c r="AC738" i="4"/>
  <c r="CF738" i="4" s="1"/>
  <c r="AC739" i="4"/>
  <c r="CF739" i="4" s="1"/>
  <c r="AC740" i="4"/>
  <c r="CF740" i="4" s="1"/>
  <c r="AC741" i="4"/>
  <c r="CF741" i="4" s="1"/>
  <c r="AC742" i="4"/>
  <c r="CF742" i="4" s="1"/>
  <c r="AC743" i="4"/>
  <c r="CF743" i="4" s="1"/>
  <c r="AC744" i="4"/>
  <c r="CF744" i="4" s="1"/>
  <c r="AC745" i="4"/>
  <c r="CF745" i="4" s="1"/>
  <c r="AC746" i="4"/>
  <c r="CF746" i="4" s="1"/>
  <c r="AC747" i="4"/>
  <c r="CF747" i="4" s="1"/>
  <c r="AC748" i="4"/>
  <c r="CF748" i="4" s="1"/>
  <c r="AC749" i="4"/>
  <c r="CF749" i="4" s="1"/>
  <c r="AC750" i="4"/>
  <c r="CF750" i="4" s="1"/>
  <c r="AC751" i="4"/>
  <c r="CF751" i="4" s="1"/>
  <c r="AC752" i="4"/>
  <c r="CF752" i="4" s="1"/>
  <c r="AC753" i="4"/>
  <c r="CF753" i="4" s="1"/>
  <c r="AC754" i="4"/>
  <c r="CF754" i="4" s="1"/>
  <c r="AC755" i="4"/>
  <c r="CF755" i="4" s="1"/>
  <c r="AC756" i="4"/>
  <c r="CF756" i="4" s="1"/>
  <c r="AC757" i="4"/>
  <c r="CF757" i="4" s="1"/>
  <c r="AC758" i="4"/>
  <c r="CF758" i="4" s="1"/>
  <c r="AC759" i="4"/>
  <c r="CF759" i="4" s="1"/>
  <c r="AC760" i="4"/>
  <c r="CF760" i="4" s="1"/>
  <c r="AC761" i="4"/>
  <c r="CF761" i="4" s="1"/>
  <c r="AC762" i="4"/>
  <c r="CF762" i="4" s="1"/>
  <c r="AC763" i="4"/>
  <c r="CF763" i="4" s="1"/>
  <c r="AC764" i="4"/>
  <c r="CF764" i="4" s="1"/>
  <c r="AC765" i="4"/>
  <c r="CF765" i="4" s="1"/>
  <c r="AC766" i="4"/>
  <c r="CF766" i="4" s="1"/>
  <c r="AC767" i="4"/>
  <c r="CF767" i="4" s="1"/>
  <c r="AC768" i="4"/>
  <c r="CF768" i="4" s="1"/>
  <c r="AC769" i="4"/>
  <c r="CF769" i="4" s="1"/>
  <c r="AC770" i="4"/>
  <c r="CF770" i="4" s="1"/>
  <c r="AC771" i="4"/>
  <c r="CF771" i="4" s="1"/>
  <c r="AC772" i="4"/>
  <c r="CF772" i="4" s="1"/>
  <c r="AC773" i="4"/>
  <c r="CF773" i="4" s="1"/>
  <c r="AC774" i="4"/>
  <c r="CF774" i="4" s="1"/>
  <c r="AC775" i="4"/>
  <c r="CF775" i="4" s="1"/>
  <c r="AC776" i="4"/>
  <c r="CF776" i="4" s="1"/>
  <c r="AC777" i="4"/>
  <c r="CF777" i="4" s="1"/>
  <c r="AC778" i="4"/>
  <c r="CF778" i="4" s="1"/>
  <c r="AC779" i="4"/>
  <c r="CF779" i="4" s="1"/>
  <c r="AC780" i="4"/>
  <c r="CF780" i="4" s="1"/>
  <c r="AC781" i="4"/>
  <c r="CF781" i="4" s="1"/>
  <c r="AC782" i="4"/>
  <c r="CF782" i="4" s="1"/>
  <c r="AC783" i="4"/>
  <c r="CF783" i="4" s="1"/>
  <c r="AC784" i="4"/>
  <c r="CF784" i="4" s="1"/>
  <c r="AC785" i="4"/>
  <c r="CF785" i="4" s="1"/>
  <c r="AC786" i="4"/>
  <c r="CF786" i="4" s="1"/>
  <c r="AC787" i="4"/>
  <c r="CF787" i="4" s="1"/>
  <c r="AC788" i="4"/>
  <c r="CF788" i="4" s="1"/>
  <c r="AC789" i="4"/>
  <c r="CF789" i="4" s="1"/>
  <c r="AC790" i="4"/>
  <c r="CF790" i="4" s="1"/>
  <c r="AC791" i="4"/>
  <c r="CF791" i="4" s="1"/>
  <c r="AC792" i="4"/>
  <c r="CF792" i="4" s="1"/>
  <c r="AC793" i="4"/>
  <c r="CF793" i="4" s="1"/>
  <c r="AC794" i="4"/>
  <c r="CF794" i="4" s="1"/>
  <c r="AC795" i="4"/>
  <c r="CF795" i="4" s="1"/>
  <c r="AC796" i="4"/>
  <c r="CF796" i="4" s="1"/>
  <c r="AC797" i="4"/>
  <c r="CF797" i="4" s="1"/>
  <c r="AC798" i="4"/>
  <c r="CF798" i="4" s="1"/>
  <c r="AC799" i="4"/>
  <c r="CF799" i="4" s="1"/>
  <c r="AC800" i="4"/>
  <c r="CF800" i="4" s="1"/>
  <c r="AC801" i="4"/>
  <c r="CF801" i="4" s="1"/>
  <c r="AC802" i="4"/>
  <c r="CF802" i="4" s="1"/>
  <c r="AC803" i="4"/>
  <c r="CF803" i="4" s="1"/>
  <c r="AC804" i="4"/>
  <c r="CF804" i="4" s="1"/>
  <c r="AC805" i="4"/>
  <c r="CF805" i="4" s="1"/>
  <c r="AC806" i="4"/>
  <c r="CF806" i="4" s="1"/>
  <c r="AC807" i="4"/>
  <c r="CF807" i="4" s="1"/>
  <c r="AC808" i="4"/>
  <c r="CF808" i="4" s="1"/>
  <c r="AC809" i="4"/>
  <c r="CF809" i="4" s="1"/>
  <c r="AC810" i="4"/>
  <c r="CF810" i="4" s="1"/>
  <c r="AC811" i="4"/>
  <c r="CF811" i="4" s="1"/>
  <c r="AC812" i="4"/>
  <c r="CF812" i="4" s="1"/>
  <c r="AC813" i="4"/>
  <c r="CF813" i="4" s="1"/>
  <c r="AC814" i="4"/>
  <c r="CF814" i="4" s="1"/>
  <c r="AC815" i="4"/>
  <c r="CF815" i="4" s="1"/>
  <c r="AC816" i="4"/>
  <c r="CF816" i="4" s="1"/>
  <c r="AC817" i="4"/>
  <c r="CF817" i="4" s="1"/>
  <c r="AC818" i="4"/>
  <c r="CF818" i="4" s="1"/>
  <c r="AC819" i="4"/>
  <c r="CF819" i="4" s="1"/>
  <c r="AC820" i="4"/>
  <c r="CF820" i="4" s="1"/>
  <c r="AC821" i="4"/>
  <c r="CF821" i="4" s="1"/>
  <c r="AC822" i="4"/>
  <c r="CF822" i="4" s="1"/>
  <c r="AC823" i="4"/>
  <c r="CF823" i="4" s="1"/>
  <c r="AC824" i="4"/>
  <c r="CF824" i="4" s="1"/>
  <c r="AC825" i="4"/>
  <c r="CF825" i="4" s="1"/>
  <c r="AC826" i="4"/>
  <c r="CF826" i="4" s="1"/>
  <c r="AC827" i="4"/>
  <c r="CF827" i="4" s="1"/>
  <c r="AC828" i="4"/>
  <c r="CF828" i="4" s="1"/>
  <c r="AC829" i="4"/>
  <c r="CF829" i="4" s="1"/>
  <c r="AC830" i="4"/>
  <c r="CF830" i="4" s="1"/>
  <c r="AC831" i="4"/>
  <c r="CF831" i="4" s="1"/>
  <c r="AC832" i="4"/>
  <c r="CF832" i="4" s="1"/>
  <c r="AC833" i="4"/>
  <c r="CF833" i="4" s="1"/>
  <c r="AC834" i="4"/>
  <c r="CF834" i="4" s="1"/>
  <c r="AC835" i="4"/>
  <c r="CF835" i="4" s="1"/>
  <c r="AC836" i="4"/>
  <c r="CF836" i="4" s="1"/>
  <c r="AC837" i="4"/>
  <c r="CF837" i="4" s="1"/>
  <c r="AC838" i="4"/>
  <c r="CF838" i="4" s="1"/>
  <c r="AC839" i="4"/>
  <c r="CF839" i="4" s="1"/>
  <c r="AC840" i="4"/>
  <c r="CF840" i="4" s="1"/>
  <c r="AC841" i="4"/>
  <c r="CF841" i="4" s="1"/>
  <c r="AC842" i="4"/>
  <c r="CF842" i="4" s="1"/>
  <c r="AC843" i="4"/>
  <c r="CF843" i="4" s="1"/>
  <c r="AC844" i="4"/>
  <c r="CF844" i="4" s="1"/>
  <c r="AC845" i="4"/>
  <c r="CF845" i="4" s="1"/>
  <c r="AC846" i="4"/>
  <c r="CF846" i="4" s="1"/>
  <c r="AC847" i="4"/>
  <c r="CF847" i="4" s="1"/>
  <c r="AC848" i="4"/>
  <c r="CF848" i="4" s="1"/>
  <c r="AC849" i="4"/>
  <c r="CF849" i="4" s="1"/>
  <c r="AC850" i="4"/>
  <c r="CF850" i="4" s="1"/>
  <c r="AC851" i="4"/>
  <c r="CF851" i="4" s="1"/>
  <c r="AC852" i="4"/>
  <c r="CF852" i="4" s="1"/>
  <c r="AC853" i="4"/>
  <c r="CF853" i="4" s="1"/>
  <c r="AC854" i="4"/>
  <c r="CF854" i="4" s="1"/>
  <c r="AC855" i="4"/>
  <c r="CF855" i="4" s="1"/>
  <c r="AC856" i="4"/>
  <c r="CF856" i="4" s="1"/>
  <c r="AC857" i="4"/>
  <c r="CF857" i="4" s="1"/>
  <c r="AC858" i="4"/>
  <c r="CF858" i="4" s="1"/>
  <c r="AC859" i="4"/>
  <c r="CF859" i="4" s="1"/>
  <c r="AC860" i="4"/>
  <c r="CF860" i="4" s="1"/>
  <c r="AC861" i="4"/>
  <c r="CF861" i="4" s="1"/>
  <c r="AC862" i="4"/>
  <c r="CF862" i="4" s="1"/>
  <c r="AC863" i="4"/>
  <c r="CF863" i="4" s="1"/>
  <c r="AC864" i="4"/>
  <c r="CF864" i="4" s="1"/>
  <c r="AC865" i="4"/>
  <c r="CF865" i="4" s="1"/>
  <c r="AC866" i="4"/>
  <c r="CF866" i="4" s="1"/>
  <c r="AC867" i="4"/>
  <c r="CF867" i="4" s="1"/>
  <c r="AC868" i="4"/>
  <c r="CF868" i="4" s="1"/>
  <c r="AC869" i="4"/>
  <c r="CF869" i="4" s="1"/>
  <c r="AC870" i="4"/>
  <c r="CF870" i="4" s="1"/>
  <c r="AC871" i="4"/>
  <c r="CF871" i="4" s="1"/>
  <c r="AC872" i="4"/>
  <c r="CF872" i="4" s="1"/>
  <c r="AC873" i="4"/>
  <c r="CF873" i="4" s="1"/>
  <c r="AC874" i="4"/>
  <c r="CF874" i="4" s="1"/>
  <c r="AC875" i="4"/>
  <c r="CF875" i="4" s="1"/>
  <c r="AC876" i="4"/>
  <c r="CF876" i="4" s="1"/>
  <c r="AC877" i="4"/>
  <c r="CF877" i="4" s="1"/>
  <c r="AC878" i="4"/>
  <c r="CF878" i="4" s="1"/>
  <c r="AC879" i="4"/>
  <c r="CF879" i="4" s="1"/>
  <c r="AC880" i="4"/>
  <c r="CF880" i="4" s="1"/>
  <c r="AC881" i="4"/>
  <c r="CF881" i="4" s="1"/>
  <c r="AC882" i="4"/>
  <c r="CF882" i="4" s="1"/>
  <c r="AC883" i="4"/>
  <c r="CF883" i="4" s="1"/>
  <c r="AC884" i="4"/>
  <c r="CF884" i="4" s="1"/>
  <c r="AC885" i="4"/>
  <c r="CF885" i="4" s="1"/>
  <c r="AC886" i="4"/>
  <c r="CF886" i="4" s="1"/>
  <c r="AC887" i="4"/>
  <c r="CF887" i="4" s="1"/>
  <c r="AC888" i="4"/>
  <c r="CF888" i="4" s="1"/>
  <c r="AC889" i="4"/>
  <c r="CF889" i="4" s="1"/>
  <c r="AC890" i="4"/>
  <c r="CF890" i="4" s="1"/>
  <c r="AC891" i="4"/>
  <c r="CF891" i="4" s="1"/>
  <c r="AC892" i="4"/>
  <c r="CF892" i="4" s="1"/>
  <c r="AC893" i="4"/>
  <c r="CF893" i="4" s="1"/>
  <c r="AC894" i="4"/>
  <c r="CF894" i="4" s="1"/>
  <c r="AC895" i="4"/>
  <c r="CF895" i="4" s="1"/>
  <c r="AC896" i="4"/>
  <c r="CF896" i="4" s="1"/>
  <c r="AC897" i="4"/>
  <c r="CF897" i="4" s="1"/>
  <c r="AC898" i="4"/>
  <c r="CF898" i="4" s="1"/>
  <c r="AC899" i="4"/>
  <c r="CF899" i="4" s="1"/>
  <c r="AC900" i="4"/>
  <c r="CF900" i="4" s="1"/>
  <c r="AC901" i="4"/>
  <c r="CF901" i="4" s="1"/>
  <c r="AC902" i="4"/>
  <c r="CF902" i="4" s="1"/>
  <c r="AC903" i="4"/>
  <c r="CF903" i="4" s="1"/>
  <c r="AC904" i="4"/>
  <c r="CF904" i="4" s="1"/>
  <c r="AC905" i="4"/>
  <c r="CF905" i="4" s="1"/>
  <c r="AC906" i="4"/>
  <c r="CF906" i="4" s="1"/>
  <c r="AC907" i="4"/>
  <c r="CF907" i="4" s="1"/>
  <c r="AC908" i="4"/>
  <c r="CF908" i="4" s="1"/>
  <c r="AC909" i="4"/>
  <c r="CF909" i="4" s="1"/>
  <c r="AC910" i="4"/>
  <c r="CF910" i="4" s="1"/>
  <c r="AC911" i="4"/>
  <c r="CF911" i="4" s="1"/>
  <c r="AC912" i="4"/>
  <c r="CF912" i="4" s="1"/>
  <c r="AC913" i="4"/>
  <c r="CF913" i="4" s="1"/>
  <c r="AC914" i="4"/>
  <c r="CF914" i="4" s="1"/>
  <c r="AC915" i="4"/>
  <c r="CF915" i="4" s="1"/>
  <c r="AC916" i="4"/>
  <c r="CF916" i="4" s="1"/>
  <c r="AC917" i="4"/>
  <c r="CF917" i="4" s="1"/>
  <c r="AC918" i="4"/>
  <c r="CF918" i="4" s="1"/>
  <c r="AC919" i="4"/>
  <c r="CF919" i="4" s="1"/>
  <c r="AC920" i="4"/>
  <c r="CF920" i="4" s="1"/>
  <c r="AC921" i="4"/>
  <c r="CF921" i="4" s="1"/>
  <c r="AC922" i="4"/>
  <c r="CF922" i="4" s="1"/>
  <c r="AC923" i="4"/>
  <c r="CF923" i="4" s="1"/>
  <c r="AC924" i="4"/>
  <c r="CF924" i="4" s="1"/>
  <c r="AC925" i="4"/>
  <c r="CF925" i="4" s="1"/>
  <c r="AC926" i="4"/>
  <c r="CF926" i="4" s="1"/>
  <c r="AC927" i="4"/>
  <c r="CF927" i="4" s="1"/>
  <c r="AC928" i="4"/>
  <c r="CF928" i="4" s="1"/>
  <c r="AC929" i="4"/>
  <c r="CF929" i="4" s="1"/>
  <c r="AC930" i="4"/>
  <c r="CF930" i="4" s="1"/>
  <c r="AC931" i="4"/>
  <c r="CF931" i="4" s="1"/>
  <c r="AC932" i="4"/>
  <c r="AC933" i="4"/>
  <c r="AC934" i="4"/>
  <c r="AC935" i="4"/>
  <c r="AC936" i="4"/>
  <c r="CF936" i="4" s="1"/>
  <c r="AC937" i="4"/>
  <c r="AC938" i="4"/>
  <c r="CF938" i="4" s="1"/>
  <c r="AC939" i="4"/>
  <c r="CF939" i="4" s="1"/>
  <c r="AC940" i="4"/>
  <c r="CF940" i="4" s="1"/>
  <c r="AC941" i="4"/>
  <c r="CF941" i="4" s="1"/>
  <c r="AC942" i="4"/>
  <c r="AC943" i="4"/>
  <c r="CF943" i="4" s="1"/>
  <c r="AC944" i="4"/>
  <c r="CF944" i="4" s="1"/>
  <c r="AC945" i="4"/>
  <c r="CF945" i="4" s="1"/>
  <c r="AC946" i="4"/>
  <c r="CF946" i="4" s="1"/>
  <c r="AC947" i="4"/>
  <c r="CF947" i="4" s="1"/>
  <c r="AC948" i="4"/>
  <c r="CF948" i="4" s="1"/>
  <c r="AC949" i="4"/>
  <c r="CF949" i="4" s="1"/>
  <c r="AC950" i="4"/>
  <c r="AC951" i="4"/>
  <c r="CF951" i="4" s="1"/>
  <c r="AC952" i="4"/>
  <c r="CF952" i="4" s="1"/>
  <c r="AC953" i="4"/>
  <c r="CF953" i="4" s="1"/>
  <c r="AC954" i="4"/>
  <c r="CF954" i="4" s="1"/>
  <c r="AC955" i="4"/>
  <c r="CF955" i="4" s="1"/>
  <c r="AC956" i="4"/>
  <c r="CF956" i="4" s="1"/>
  <c r="AC957" i="4"/>
  <c r="CF957" i="4" s="1"/>
  <c r="AC958" i="4"/>
  <c r="CF958" i="4" s="1"/>
  <c r="AC959" i="4"/>
  <c r="CF959" i="4" s="1"/>
  <c r="AC960" i="4"/>
  <c r="CF960" i="4" s="1"/>
  <c r="AC961" i="4"/>
  <c r="CF961" i="4" s="1"/>
  <c r="AC962" i="4"/>
  <c r="CF962" i="4" s="1"/>
  <c r="AC963" i="4"/>
  <c r="CF963" i="4" s="1"/>
  <c r="AC964" i="4"/>
  <c r="CF964" i="4" s="1"/>
  <c r="AC965" i="4"/>
  <c r="CF965" i="4" s="1"/>
  <c r="AC966" i="4"/>
  <c r="CF966" i="4" s="1"/>
  <c r="AC967" i="4"/>
  <c r="CF967" i="4" s="1"/>
  <c r="AC968" i="4"/>
  <c r="CF968" i="4" s="1"/>
  <c r="AC969" i="4"/>
  <c r="CF969" i="4" s="1"/>
  <c r="AC970" i="4"/>
  <c r="CF970" i="4" s="1"/>
  <c r="AC971" i="4"/>
  <c r="CF971" i="4" s="1"/>
  <c r="AC972" i="4"/>
  <c r="CF972" i="4" s="1"/>
  <c r="AC973" i="4"/>
  <c r="CF973" i="4" s="1"/>
  <c r="AC974" i="4"/>
  <c r="CF974" i="4" s="1"/>
  <c r="AC975" i="4"/>
  <c r="CF975" i="4" s="1"/>
  <c r="AC976" i="4"/>
  <c r="CF976" i="4" s="1"/>
  <c r="AC977" i="4"/>
  <c r="CF977" i="4" s="1"/>
  <c r="AC978" i="4"/>
  <c r="CF978" i="4" s="1"/>
  <c r="AC979" i="4"/>
  <c r="CF979" i="4" s="1"/>
  <c r="AC980" i="4"/>
  <c r="CF980" i="4" s="1"/>
  <c r="AC981" i="4"/>
  <c r="CF981" i="4" s="1"/>
  <c r="AC982" i="4"/>
  <c r="CF982" i="4" s="1"/>
  <c r="AC983" i="4"/>
  <c r="CF983" i="4" s="1"/>
  <c r="AC984" i="4"/>
  <c r="CF984" i="4" s="1"/>
  <c r="AC985" i="4"/>
  <c r="CF985" i="4" s="1"/>
  <c r="AC986" i="4"/>
  <c r="CF986" i="4" s="1"/>
  <c r="AC987" i="4"/>
  <c r="CF987" i="4" s="1"/>
  <c r="AC988" i="4"/>
  <c r="CF988" i="4" s="1"/>
  <c r="AC989" i="4"/>
  <c r="CF989" i="4" s="1"/>
  <c r="AC990" i="4"/>
  <c r="CF990" i="4" s="1"/>
  <c r="AC991" i="4"/>
  <c r="CF991" i="4" s="1"/>
  <c r="AC992" i="4"/>
  <c r="CF992" i="4" s="1"/>
  <c r="AC993" i="4"/>
  <c r="CF993" i="4" s="1"/>
  <c r="AC994" i="4"/>
  <c r="CF994" i="4" s="1"/>
  <c r="AC995" i="4"/>
  <c r="CF995" i="4" s="1"/>
  <c r="AC996" i="4"/>
  <c r="CF996" i="4" s="1"/>
  <c r="AC997" i="4"/>
  <c r="CF997" i="4" s="1"/>
  <c r="AC998" i="4"/>
  <c r="CF998" i="4" s="1"/>
  <c r="AC999" i="4"/>
  <c r="CF999" i="4" s="1"/>
  <c r="AC1000" i="4"/>
  <c r="CF1000" i="4" s="1"/>
  <c r="AC1001" i="4"/>
  <c r="CF1001" i="4" s="1"/>
  <c r="AC1002" i="4"/>
  <c r="CF1002" i="4" s="1"/>
  <c r="AC1003" i="4"/>
  <c r="CF1003" i="4" s="1"/>
  <c r="AC1004" i="4"/>
  <c r="CF1004" i="4" s="1"/>
  <c r="AC1005" i="4"/>
  <c r="CF1005" i="4" s="1"/>
  <c r="AC1006" i="4"/>
  <c r="CF1006" i="4" s="1"/>
  <c r="AC1007" i="4"/>
  <c r="CF1007" i="4" s="1"/>
  <c r="AC1008" i="4"/>
  <c r="CF1008" i="4" s="1"/>
  <c r="AC1009" i="4"/>
  <c r="CF1009" i="4" s="1"/>
  <c r="AC1010" i="4"/>
  <c r="CF1010" i="4" s="1"/>
  <c r="AC1011" i="4"/>
  <c r="CF1011" i="4" s="1"/>
  <c r="AC1012" i="4"/>
  <c r="CF1012" i="4" s="1"/>
  <c r="AC1013" i="4"/>
  <c r="CF1013" i="4" s="1"/>
  <c r="AC1014" i="4"/>
  <c r="CF1014" i="4" s="1"/>
  <c r="AC1015" i="4"/>
  <c r="AC1016" i="4"/>
  <c r="CF1016" i="4" s="1"/>
  <c r="AC1017" i="4"/>
  <c r="CF1017" i="4" s="1"/>
  <c r="AC1018" i="4"/>
  <c r="CF1018" i="4" s="1"/>
  <c r="AC1019" i="4"/>
  <c r="CF1019" i="4" s="1"/>
  <c r="AC1020" i="4"/>
  <c r="CF1020" i="4" s="1"/>
  <c r="AC1021" i="4"/>
  <c r="CF1021" i="4" s="1"/>
  <c r="AC1022" i="4"/>
  <c r="AC1023" i="4"/>
  <c r="CF1023" i="4" s="1"/>
  <c r="AC1024" i="4"/>
  <c r="CF1024" i="4" s="1"/>
  <c r="AC1025" i="4"/>
  <c r="CF1025" i="4" s="1"/>
  <c r="AC1026" i="4"/>
  <c r="CF1026" i="4" s="1"/>
  <c r="AC1027" i="4"/>
  <c r="CF1027" i="4" s="1"/>
  <c r="AC1028" i="4"/>
  <c r="CF1028" i="4" s="1"/>
  <c r="AC1029" i="4"/>
  <c r="CF1029" i="4" s="1"/>
  <c r="AC1030" i="4"/>
  <c r="CF1030" i="4" s="1"/>
  <c r="AC1031" i="4"/>
  <c r="CF1031" i="4" s="1"/>
  <c r="AC1032" i="4"/>
  <c r="AC1033" i="4"/>
  <c r="CF1033" i="4" s="1"/>
  <c r="AC1034" i="4"/>
  <c r="CF1034" i="4" s="1"/>
  <c r="AC1035" i="4"/>
  <c r="CF1035" i="4" s="1"/>
  <c r="AC1036" i="4"/>
  <c r="CF1036" i="4" s="1"/>
  <c r="AC1037" i="4"/>
  <c r="CF1037" i="4" s="1"/>
  <c r="AC1038" i="4"/>
  <c r="CF1038" i="4" s="1"/>
  <c r="AC1039" i="4"/>
  <c r="CF1039" i="4" s="1"/>
  <c r="AC1040" i="4"/>
  <c r="CF1040" i="4" s="1"/>
  <c r="AC1041" i="4"/>
  <c r="CF1041" i="4" s="1"/>
  <c r="AC1042" i="4"/>
  <c r="CF1042" i="4" s="1"/>
  <c r="AC1043" i="4"/>
  <c r="CF1043" i="4" s="1"/>
  <c r="AC1044" i="4"/>
  <c r="CF1044" i="4" s="1"/>
  <c r="AC1045" i="4"/>
  <c r="CF1045" i="4" s="1"/>
  <c r="AC1046" i="4"/>
  <c r="CF1046" i="4" s="1"/>
  <c r="AC1047" i="4"/>
  <c r="CF1047" i="4" s="1"/>
  <c r="AC1048" i="4"/>
  <c r="CF1048" i="4" s="1"/>
  <c r="AC1049" i="4"/>
  <c r="CF1049" i="4" s="1"/>
  <c r="AC1050" i="4"/>
  <c r="CF1050" i="4" s="1"/>
  <c r="AC1051" i="4"/>
  <c r="CF1051" i="4" s="1"/>
  <c r="AC1052" i="4"/>
  <c r="CF1052" i="4" s="1"/>
  <c r="AC1053" i="4"/>
  <c r="CF1053" i="4" s="1"/>
  <c r="AC1054" i="4"/>
  <c r="AC1055" i="4"/>
  <c r="AC1056" i="4"/>
  <c r="CF1056" i="4" s="1"/>
  <c r="AC1057" i="4"/>
  <c r="CF1057" i="4" s="1"/>
  <c r="AC1058" i="4"/>
  <c r="CF1058" i="4" s="1"/>
  <c r="AC1059" i="4"/>
  <c r="CF1059" i="4" s="1"/>
  <c r="AC1060" i="4"/>
  <c r="CF1060" i="4" s="1"/>
  <c r="AC1061" i="4"/>
  <c r="CF1061" i="4" s="1"/>
  <c r="AC1062" i="4"/>
  <c r="CF1062" i="4" s="1"/>
  <c r="AC1063" i="4"/>
  <c r="CF1063" i="4" s="1"/>
  <c r="AC1064" i="4"/>
  <c r="CF1064" i="4" s="1"/>
  <c r="AC1065" i="4"/>
  <c r="CF1065" i="4" s="1"/>
  <c r="AC1066" i="4"/>
  <c r="CF1066" i="4" s="1"/>
  <c r="AC1067" i="4"/>
  <c r="CF1067" i="4" s="1"/>
  <c r="AC1068" i="4"/>
  <c r="CF1068" i="4" s="1"/>
  <c r="AC1069" i="4"/>
  <c r="CF1069" i="4" s="1"/>
  <c r="AC1070" i="4"/>
  <c r="CF1070" i="4" s="1"/>
  <c r="AC1071" i="4"/>
  <c r="CF1071" i="4" s="1"/>
  <c r="AC1072" i="4"/>
  <c r="CF1072" i="4" s="1"/>
  <c r="AC1073" i="4"/>
  <c r="CF1073" i="4" s="1"/>
  <c r="AC1074" i="4"/>
  <c r="CF1074" i="4" s="1"/>
  <c r="AC1075" i="4"/>
  <c r="CF1075" i="4" s="1"/>
  <c r="AC1076" i="4"/>
  <c r="CF1076" i="4" s="1"/>
  <c r="AC1077" i="4"/>
  <c r="CF1077" i="4" s="1"/>
  <c r="AC1078" i="4"/>
  <c r="CF1078" i="4" s="1"/>
  <c r="AC1079" i="4"/>
  <c r="CF1079" i="4" s="1"/>
  <c r="AC1080" i="4"/>
  <c r="CF1080" i="4" s="1"/>
  <c r="AC1081" i="4"/>
  <c r="CF1081" i="4" s="1"/>
  <c r="AC1082" i="4"/>
  <c r="CF1082" i="4" s="1"/>
  <c r="AC1083" i="4"/>
  <c r="CF1083" i="4" s="1"/>
  <c r="AC1084" i="4"/>
  <c r="CF1084" i="4" s="1"/>
  <c r="AC1085" i="4"/>
  <c r="CF1085" i="4" s="1"/>
  <c r="AC1086" i="4"/>
  <c r="CF1086" i="4" s="1"/>
  <c r="AC1087" i="4"/>
  <c r="CF1087" i="4" s="1"/>
  <c r="AC1088" i="4"/>
  <c r="CF1088" i="4" s="1"/>
  <c r="AC1089" i="4"/>
  <c r="CF1089" i="4" s="1"/>
  <c r="AC1090" i="4"/>
  <c r="CF1090" i="4" s="1"/>
  <c r="AC1091" i="4"/>
  <c r="CF1091" i="4" s="1"/>
  <c r="AC1092" i="4"/>
  <c r="CF1092" i="4" s="1"/>
  <c r="AC1093" i="4"/>
  <c r="CF1093" i="4" s="1"/>
  <c r="AC1094" i="4"/>
  <c r="CF1094" i="4" s="1"/>
  <c r="AC1095" i="4"/>
  <c r="CF1095" i="4" s="1"/>
  <c r="AC1096" i="4"/>
  <c r="CF1096" i="4" s="1"/>
  <c r="AC1097" i="4"/>
  <c r="CF1097" i="4" s="1"/>
  <c r="AC1098" i="4"/>
  <c r="CF1098" i="4" s="1"/>
  <c r="AC1099" i="4"/>
  <c r="CF1099" i="4" s="1"/>
  <c r="AC1100" i="4"/>
  <c r="CF1100" i="4" s="1"/>
  <c r="AC1101" i="4"/>
  <c r="CF1101" i="4" s="1"/>
  <c r="AC1102" i="4"/>
  <c r="CF1102" i="4" s="1"/>
  <c r="AC1103" i="4"/>
  <c r="CF1103" i="4" s="1"/>
  <c r="AC1104" i="4"/>
  <c r="AC1105" i="4"/>
  <c r="CF1105" i="4" s="1"/>
  <c r="AC1106" i="4"/>
  <c r="CF1106" i="4" s="1"/>
  <c r="AC1107" i="4"/>
  <c r="CF1107" i="4" s="1"/>
  <c r="AC1108" i="4"/>
  <c r="CF1108" i="4" s="1"/>
  <c r="AC1109" i="4"/>
  <c r="CF1109" i="4" s="1"/>
  <c r="AC1110" i="4"/>
  <c r="CF1110" i="4" s="1"/>
  <c r="AC1111" i="4"/>
  <c r="CF1111" i="4" s="1"/>
  <c r="AC1112" i="4"/>
  <c r="CF1112" i="4" s="1"/>
  <c r="AC1113" i="4"/>
  <c r="CF1113" i="4" s="1"/>
  <c r="AC1114" i="4"/>
  <c r="CF1114" i="4" s="1"/>
  <c r="AC1115" i="4"/>
  <c r="CF1115" i="4" s="1"/>
  <c r="AC1116" i="4"/>
  <c r="CF1116" i="4" s="1"/>
  <c r="AC1117" i="4"/>
  <c r="CF1117" i="4" s="1"/>
  <c r="AC1118" i="4"/>
  <c r="CF1118" i="4" s="1"/>
  <c r="AC1119" i="4"/>
  <c r="CF1119" i="4" s="1"/>
  <c r="AC1120" i="4"/>
  <c r="CF1120" i="4" s="1"/>
  <c r="AC1121" i="4"/>
  <c r="CF1121" i="4" s="1"/>
  <c r="AC1122" i="4"/>
  <c r="CF1122" i="4" s="1"/>
  <c r="AC1123" i="4"/>
  <c r="CF1123" i="4" s="1"/>
  <c r="AC1124" i="4"/>
  <c r="CF1124" i="4" s="1"/>
  <c r="AC1125" i="4"/>
  <c r="CF1125" i="4" s="1"/>
  <c r="AC1126" i="4"/>
  <c r="CF1126" i="4" s="1"/>
  <c r="AC1127" i="4"/>
  <c r="CF1127" i="4" s="1"/>
  <c r="AC1128" i="4"/>
  <c r="CF1128" i="4" s="1"/>
  <c r="AC1129" i="4"/>
  <c r="CF1129" i="4" s="1"/>
  <c r="AC1130" i="4"/>
  <c r="CF1130" i="4" s="1"/>
  <c r="AC1131" i="4"/>
  <c r="CF1131" i="4" s="1"/>
  <c r="AC1132" i="4"/>
  <c r="CF1132" i="4" s="1"/>
  <c r="AC1133" i="4"/>
  <c r="CF1133" i="4" s="1"/>
  <c r="AC1134" i="4"/>
  <c r="CF1134" i="4" s="1"/>
  <c r="AC1135" i="4"/>
  <c r="CF1135" i="4" s="1"/>
  <c r="AC1136" i="4"/>
  <c r="CF1136" i="4" s="1"/>
  <c r="AC1137" i="4"/>
  <c r="CF1137" i="4" s="1"/>
  <c r="AC1138" i="4"/>
  <c r="CF1138" i="4" s="1"/>
  <c r="AC1139" i="4"/>
  <c r="CF1139" i="4" s="1"/>
  <c r="AC1140" i="4"/>
  <c r="CF1140" i="4" s="1"/>
  <c r="AC1141" i="4"/>
  <c r="CF1141" i="4" s="1"/>
  <c r="AC1142" i="4"/>
  <c r="CF1142" i="4" s="1"/>
  <c r="AC1143" i="4"/>
  <c r="CF1143" i="4" s="1"/>
  <c r="AC1144" i="4"/>
  <c r="CF1144" i="4" s="1"/>
  <c r="AC1145" i="4"/>
  <c r="CF1145" i="4" s="1"/>
  <c r="AC1146" i="4"/>
  <c r="CF1146" i="4" s="1"/>
  <c r="AC1147" i="4"/>
  <c r="CF1147" i="4" s="1"/>
  <c r="AC1148" i="4"/>
  <c r="CF1148" i="4" s="1"/>
  <c r="AC1149" i="4"/>
  <c r="CF1149" i="4" s="1"/>
  <c r="AC1150" i="4"/>
  <c r="CF1150" i="4" s="1"/>
  <c r="AC1151" i="4"/>
  <c r="CF1151" i="4" s="1"/>
  <c r="AC1152" i="4"/>
  <c r="CF1152" i="4" s="1"/>
  <c r="AC1153" i="4"/>
  <c r="CF1153" i="4" s="1"/>
  <c r="AC1154" i="4"/>
  <c r="CF1154" i="4" s="1"/>
  <c r="AC1155" i="4"/>
  <c r="CF1155" i="4" s="1"/>
  <c r="AC1156" i="4"/>
  <c r="CF1156" i="4" s="1"/>
  <c r="AC1157" i="4"/>
  <c r="CF1157" i="4" s="1"/>
  <c r="AC1158" i="4"/>
  <c r="CF1158" i="4" s="1"/>
  <c r="AC1159" i="4"/>
  <c r="CF1159" i="4" s="1"/>
  <c r="AC1160" i="4"/>
  <c r="CF1160" i="4" s="1"/>
  <c r="AC1161" i="4"/>
  <c r="CF1161" i="4" s="1"/>
  <c r="AC1162" i="4"/>
  <c r="CF1162" i="4" s="1"/>
  <c r="AC1163" i="4"/>
  <c r="CF1163" i="4" s="1"/>
  <c r="AC1164" i="4"/>
  <c r="CF1164" i="4" s="1"/>
  <c r="AC1165" i="4"/>
  <c r="CF1165" i="4" s="1"/>
  <c r="AC1166" i="4"/>
  <c r="CF1166" i="4" s="1"/>
  <c r="AC1167" i="4"/>
  <c r="CF1167" i="4" s="1"/>
  <c r="AC1168" i="4"/>
  <c r="CF1168" i="4" s="1"/>
  <c r="AC1169" i="4"/>
  <c r="CF1169" i="4" s="1"/>
  <c r="AC1170" i="4"/>
  <c r="CF1170" i="4" s="1"/>
  <c r="AC1171" i="4"/>
  <c r="CF1171" i="4" s="1"/>
  <c r="AC1172" i="4"/>
  <c r="CF1172" i="4" s="1"/>
  <c r="AC1173" i="4"/>
  <c r="CF1173" i="4" s="1"/>
  <c r="AC1174" i="4"/>
  <c r="CF1174" i="4" s="1"/>
  <c r="AC1175" i="4"/>
  <c r="CF1175" i="4" s="1"/>
  <c r="AC1176" i="4"/>
  <c r="CF1176" i="4" s="1"/>
  <c r="AC1177" i="4"/>
  <c r="CF1177" i="4" s="1"/>
  <c r="AC1178" i="4"/>
  <c r="CF1178" i="4" s="1"/>
  <c r="AC1179" i="4"/>
  <c r="CF1179" i="4" s="1"/>
  <c r="AC1180" i="4"/>
  <c r="CF1180" i="4" s="1"/>
  <c r="AC1181" i="4"/>
  <c r="CF1181" i="4" s="1"/>
  <c r="AC1182" i="4"/>
  <c r="CF1182" i="4" s="1"/>
  <c r="AC1183" i="4"/>
  <c r="CF1183" i="4" s="1"/>
  <c r="AC1184" i="4"/>
  <c r="CF1184" i="4" s="1"/>
  <c r="AC1185" i="4"/>
  <c r="CF1185" i="4" s="1"/>
  <c r="AC1186" i="4"/>
  <c r="CF1186" i="4" s="1"/>
  <c r="AC1187" i="4"/>
  <c r="CF1187" i="4" s="1"/>
  <c r="AC1188" i="4"/>
  <c r="CF1188" i="4" s="1"/>
  <c r="AC1189" i="4"/>
  <c r="CF1189" i="4" s="1"/>
  <c r="AC1190" i="4"/>
  <c r="CF1190" i="4" s="1"/>
  <c r="AC1191" i="4"/>
  <c r="CF1191" i="4" s="1"/>
  <c r="AC1192" i="4"/>
  <c r="CF1192" i="4" s="1"/>
  <c r="AC1193" i="4"/>
  <c r="CF1193" i="4" s="1"/>
  <c r="AC1195" i="4"/>
  <c r="CF1195" i="4" s="1"/>
  <c r="AC1196" i="4"/>
  <c r="CF1196" i="4" s="1"/>
  <c r="AC1197" i="4"/>
  <c r="CF1197" i="4" s="1"/>
  <c r="AC1198" i="4"/>
  <c r="CF1198" i="4" s="1"/>
  <c r="AC1199" i="4"/>
  <c r="CF1199" i="4" s="1"/>
  <c r="AC1200" i="4"/>
  <c r="CF1200" i="4" s="1"/>
  <c r="AC1201" i="4"/>
  <c r="CF1201" i="4" s="1"/>
  <c r="AC1202" i="4"/>
  <c r="CF1202" i="4" s="1"/>
  <c r="AC1203" i="4"/>
  <c r="CF1203" i="4" s="1"/>
  <c r="AC1204" i="4"/>
  <c r="CF1204" i="4" s="1"/>
  <c r="AC1205" i="4"/>
  <c r="CF1205" i="4" s="1"/>
  <c r="AC1206" i="4"/>
  <c r="CF1206" i="4" s="1"/>
  <c r="AC1207" i="4"/>
  <c r="CF1207" i="4" s="1"/>
  <c r="AC1208" i="4"/>
  <c r="CF1208" i="4" s="1"/>
  <c r="AC1209" i="4"/>
  <c r="AC1210" i="4"/>
  <c r="CF1210" i="4" s="1"/>
  <c r="AC1211" i="4"/>
  <c r="CF1211" i="4" s="1"/>
  <c r="AC1212" i="4"/>
  <c r="CF1212" i="4" s="1"/>
  <c r="AC1213" i="4"/>
  <c r="CF1213" i="4" s="1"/>
  <c r="AC1214" i="4"/>
  <c r="CF1214" i="4" s="1"/>
  <c r="AC1215" i="4"/>
  <c r="CF1215" i="4" s="1"/>
  <c r="AC1216" i="4"/>
  <c r="CF1216" i="4" s="1"/>
  <c r="AC1217" i="4"/>
  <c r="CF1217" i="4" s="1"/>
  <c r="AC1218" i="4"/>
  <c r="CF1218" i="4" s="1"/>
  <c r="AC1219" i="4"/>
  <c r="CF1219" i="4" s="1"/>
  <c r="AC1220" i="4"/>
  <c r="CF1220" i="4" s="1"/>
  <c r="AC1221" i="4"/>
  <c r="CF1221" i="4" s="1"/>
  <c r="AC1222" i="4"/>
  <c r="CF1222" i="4" s="1"/>
  <c r="AC1223" i="4"/>
  <c r="CF1223" i="4" s="1"/>
  <c r="AC1224" i="4"/>
  <c r="CF1224" i="4" s="1"/>
  <c r="AC1225" i="4"/>
  <c r="CF1225" i="4" s="1"/>
  <c r="AC1226" i="4"/>
  <c r="CF1226" i="4" s="1"/>
  <c r="AC1227" i="4"/>
  <c r="CF1227" i="4" s="1"/>
  <c r="AC1228" i="4"/>
  <c r="CF1228" i="4" s="1"/>
  <c r="AC1229" i="4"/>
  <c r="CF1229" i="4" s="1"/>
  <c r="AC1230" i="4"/>
  <c r="CF1230" i="4" s="1"/>
  <c r="AC1231" i="4"/>
  <c r="CF1231" i="4" s="1"/>
  <c r="AC1232" i="4"/>
  <c r="CF1232" i="4" s="1"/>
  <c r="AC1233" i="4"/>
  <c r="CF1233" i="4" s="1"/>
  <c r="AC1234" i="4"/>
  <c r="CF1234" i="4" s="1"/>
  <c r="AC1235" i="4"/>
  <c r="CF1235" i="4" s="1"/>
  <c r="AC1236" i="4"/>
  <c r="CF1236" i="4" s="1"/>
  <c r="AC1237" i="4"/>
  <c r="CF1237" i="4" s="1"/>
  <c r="AC1238" i="4"/>
  <c r="CF1238" i="4" s="1"/>
  <c r="AC1239" i="4"/>
  <c r="CF1239" i="4" s="1"/>
  <c r="AC1240" i="4"/>
  <c r="CF1240" i="4" s="1"/>
  <c r="AC1241" i="4"/>
  <c r="CF1241" i="4" s="1"/>
  <c r="AC1242" i="4"/>
  <c r="CF1242" i="4" s="1"/>
  <c r="AC1243" i="4"/>
  <c r="CF1243" i="4" s="1"/>
  <c r="AC1244" i="4"/>
  <c r="CF1244" i="4" s="1"/>
  <c r="AC1245" i="4"/>
  <c r="CF1245" i="4" s="1"/>
  <c r="AC1246" i="4"/>
  <c r="CF1246" i="4" s="1"/>
  <c r="AC1247" i="4"/>
  <c r="CF1247" i="4" s="1"/>
  <c r="AC1248" i="4"/>
  <c r="CF1248" i="4" s="1"/>
  <c r="AC1249" i="4"/>
  <c r="CF1249" i="4" s="1"/>
  <c r="AC1250" i="4"/>
  <c r="CF1250" i="4" s="1"/>
  <c r="AC1251" i="4"/>
  <c r="CF1251" i="4" s="1"/>
  <c r="AC1252" i="4"/>
  <c r="CF1252" i="4" s="1"/>
  <c r="AC1253" i="4"/>
  <c r="CF1253" i="4" s="1"/>
  <c r="AC1254" i="4"/>
  <c r="CF1254" i="4" s="1"/>
  <c r="AC1255" i="4"/>
  <c r="CF1255" i="4" s="1"/>
  <c r="AC1256" i="4"/>
  <c r="CF1256" i="4" s="1"/>
  <c r="AC1257" i="4"/>
  <c r="CF1257" i="4" s="1"/>
  <c r="AC1258" i="4"/>
  <c r="CF1258" i="4" s="1"/>
  <c r="AC1259" i="4"/>
  <c r="CF1259" i="4" s="1"/>
  <c r="AC1260" i="4"/>
  <c r="CF1260" i="4" s="1"/>
  <c r="AC1261" i="4"/>
  <c r="CF1261" i="4" s="1"/>
  <c r="AC1262" i="4"/>
  <c r="CF1262" i="4" s="1"/>
  <c r="AC1263" i="4"/>
  <c r="CF1263" i="4" s="1"/>
  <c r="AC1264" i="4"/>
  <c r="CF1264" i="4" s="1"/>
  <c r="AC1265" i="4"/>
  <c r="CF1265" i="4" s="1"/>
  <c r="AC1266" i="4"/>
  <c r="CF1266" i="4" s="1"/>
  <c r="AC1267" i="4"/>
  <c r="CF1267" i="4" s="1"/>
  <c r="AC1268" i="4"/>
  <c r="CF1268" i="4" s="1"/>
  <c r="AC1269" i="4"/>
  <c r="CF1269" i="4" s="1"/>
  <c r="AC1270" i="4"/>
  <c r="CF1270" i="4" s="1"/>
  <c r="AC1271" i="4"/>
  <c r="CF1271" i="4" s="1"/>
  <c r="AC1272" i="4"/>
  <c r="CF1272" i="4" s="1"/>
  <c r="AC1273" i="4"/>
  <c r="CF1273" i="4" s="1"/>
  <c r="AC1274" i="4"/>
  <c r="CF1274" i="4" s="1"/>
  <c r="AC1275" i="4"/>
  <c r="CF1275" i="4" s="1"/>
  <c r="AC1276" i="4"/>
  <c r="CF1276" i="4" s="1"/>
  <c r="AC1277" i="4"/>
  <c r="CF1277" i="4" s="1"/>
  <c r="AC1278" i="4"/>
  <c r="CF1278" i="4" s="1"/>
  <c r="AC1279" i="4"/>
  <c r="CF1279" i="4" s="1"/>
  <c r="AC1280" i="4"/>
  <c r="CF1280" i="4" s="1"/>
  <c r="AC1281" i="4"/>
  <c r="CF1281" i="4" s="1"/>
  <c r="AC1282" i="4"/>
  <c r="CF1282" i="4" s="1"/>
  <c r="AC1283" i="4"/>
  <c r="CF1283" i="4" s="1"/>
  <c r="AC1284" i="4"/>
  <c r="CF1284" i="4" s="1"/>
  <c r="AC1285" i="4"/>
  <c r="CF1285" i="4" s="1"/>
  <c r="AC1286" i="4"/>
  <c r="CF1286" i="4" s="1"/>
  <c r="AC1287" i="4"/>
  <c r="CF1287" i="4" s="1"/>
  <c r="AC1288" i="4"/>
  <c r="CF1288" i="4" s="1"/>
  <c r="AC1289" i="4"/>
  <c r="CF1289" i="4" s="1"/>
  <c r="AC1290" i="4"/>
  <c r="CF1290" i="4" s="1"/>
  <c r="AC1291" i="4"/>
  <c r="CF1291" i="4" s="1"/>
  <c r="AC1292" i="4"/>
  <c r="CF1292" i="4" s="1"/>
  <c r="AC1293" i="4"/>
  <c r="CF1293" i="4" s="1"/>
  <c r="AC1294" i="4"/>
  <c r="CF1294" i="4" s="1"/>
  <c r="AC1295" i="4"/>
  <c r="CF1295" i="4" s="1"/>
  <c r="AC1296" i="4"/>
  <c r="CF1296" i="4" s="1"/>
  <c r="AC1297" i="4"/>
  <c r="CF1297" i="4" s="1"/>
  <c r="AC1298" i="4"/>
  <c r="CF1298" i="4" s="1"/>
  <c r="AC1299" i="4"/>
  <c r="CF1299" i="4" s="1"/>
  <c r="AC1300" i="4"/>
  <c r="CF1300" i="4" s="1"/>
  <c r="AC1301" i="4"/>
  <c r="CF1301" i="4" s="1"/>
  <c r="AC1302" i="4"/>
  <c r="CF1302" i="4" s="1"/>
  <c r="AC1303" i="4"/>
  <c r="CF1303" i="4" s="1"/>
  <c r="AC1304" i="4"/>
  <c r="CF1304" i="4" s="1"/>
  <c r="AC1305" i="4"/>
  <c r="CF1305" i="4" s="1"/>
  <c r="AC1306" i="4"/>
  <c r="CF1306" i="4" s="1"/>
  <c r="AC1307" i="4"/>
  <c r="CF1307" i="4" s="1"/>
  <c r="AC1308" i="4"/>
  <c r="CF1308" i="4" s="1"/>
  <c r="AC1309" i="4"/>
  <c r="CF1309" i="4" s="1"/>
  <c r="AC1310" i="4"/>
  <c r="CF1310" i="4" s="1"/>
  <c r="AC1311" i="4"/>
  <c r="CF1311" i="4" s="1"/>
  <c r="AC1312" i="4"/>
  <c r="CF1312" i="4" s="1"/>
  <c r="AC1313" i="4"/>
  <c r="CF1313" i="4" s="1"/>
  <c r="AC1314" i="4"/>
  <c r="CF1314" i="4" s="1"/>
  <c r="AC1315" i="4"/>
  <c r="CF1315" i="4" s="1"/>
  <c r="AC1316" i="4"/>
  <c r="CF1316" i="4" s="1"/>
  <c r="AC1317" i="4"/>
  <c r="CF1317" i="4" s="1"/>
  <c r="AC1318" i="4"/>
  <c r="CF1318" i="4" s="1"/>
  <c r="AC1319" i="4"/>
  <c r="CF1319" i="4" s="1"/>
  <c r="AC1320" i="4"/>
  <c r="CF1320" i="4" s="1"/>
  <c r="AC1321" i="4"/>
  <c r="CF1321" i="4" s="1"/>
  <c r="AC1322" i="4"/>
  <c r="CF1322" i="4" s="1"/>
  <c r="AC1323" i="4"/>
  <c r="CF1323" i="4" s="1"/>
  <c r="AC1324" i="4"/>
  <c r="CF1324" i="4" s="1"/>
  <c r="AC1325" i="4"/>
  <c r="CF1325" i="4" s="1"/>
  <c r="AC1326" i="4"/>
  <c r="CF1326" i="4" s="1"/>
  <c r="AC1327" i="4"/>
  <c r="CF1327" i="4" s="1"/>
  <c r="AC1328" i="4"/>
  <c r="CF1328" i="4" s="1"/>
  <c r="AC1329" i="4"/>
  <c r="CF1329" i="4" s="1"/>
  <c r="AC1330" i="4"/>
  <c r="CF1330" i="4" s="1"/>
  <c r="AC1331" i="4"/>
  <c r="CF1331" i="4" s="1"/>
  <c r="AC1332" i="4"/>
  <c r="CF1332" i="4" s="1"/>
  <c r="AC1333" i="4"/>
  <c r="CF1333" i="4" s="1"/>
  <c r="AC1334" i="4"/>
  <c r="CF1334" i="4" s="1"/>
  <c r="AC1335" i="4"/>
  <c r="CF1335" i="4" s="1"/>
  <c r="AC1336" i="4"/>
  <c r="CF1336" i="4" s="1"/>
  <c r="AC1337" i="4"/>
  <c r="CF1337" i="4" s="1"/>
  <c r="AC1338" i="4"/>
  <c r="CF1338" i="4" s="1"/>
  <c r="AC1339" i="4"/>
  <c r="CF1339" i="4" s="1"/>
  <c r="AC1340" i="4"/>
  <c r="CF1340" i="4" s="1"/>
  <c r="AC1341" i="4"/>
  <c r="CF1341" i="4" s="1"/>
  <c r="AC1342" i="4"/>
  <c r="CF1342" i="4" s="1"/>
  <c r="AC1343" i="4"/>
  <c r="CF1343" i="4" s="1"/>
  <c r="AC1344" i="4"/>
  <c r="CF1344" i="4" s="1"/>
  <c r="AC1345" i="4"/>
  <c r="CF1345" i="4" s="1"/>
  <c r="AC1346" i="4"/>
  <c r="CF1346" i="4" s="1"/>
  <c r="AC1347" i="4"/>
  <c r="CF1347" i="4" s="1"/>
  <c r="AC1348" i="4"/>
  <c r="CF1348" i="4" s="1"/>
  <c r="AC1349" i="4"/>
  <c r="CF1349" i="4" s="1"/>
  <c r="AC1350" i="4"/>
  <c r="CF1350" i="4" s="1"/>
  <c r="AC1351" i="4"/>
  <c r="CF1351" i="4" s="1"/>
  <c r="AC1352" i="4"/>
  <c r="CF1352" i="4" s="1"/>
  <c r="AC1353" i="4"/>
  <c r="CF1353" i="4" s="1"/>
  <c r="AC1354" i="4"/>
  <c r="CF1354" i="4" s="1"/>
  <c r="AC1355" i="4"/>
  <c r="CF1355" i="4" s="1"/>
  <c r="AC1356" i="4"/>
  <c r="CF1356" i="4" s="1"/>
  <c r="AC1357" i="4"/>
  <c r="CF1357" i="4" s="1"/>
  <c r="AC1358" i="4"/>
  <c r="CF1358" i="4" s="1"/>
  <c r="AC1359" i="4"/>
  <c r="CF1359" i="4" s="1"/>
  <c r="AC1360" i="4"/>
  <c r="CF1360" i="4" s="1"/>
  <c r="AC1361" i="4"/>
  <c r="CF1361" i="4" s="1"/>
  <c r="AC1362" i="4"/>
  <c r="CF1362" i="4" s="1"/>
  <c r="AC1363" i="4"/>
  <c r="CF1363" i="4" s="1"/>
  <c r="AC1364" i="4"/>
  <c r="CF1364" i="4" s="1"/>
  <c r="AC1365" i="4"/>
  <c r="CF1365" i="4" s="1"/>
  <c r="AC1366" i="4"/>
  <c r="CF1366" i="4" s="1"/>
  <c r="AC1367" i="4"/>
  <c r="CF1367" i="4" s="1"/>
  <c r="AC1368" i="4"/>
  <c r="CF1368" i="4" s="1"/>
  <c r="AC1369" i="4"/>
  <c r="CF1369" i="4" s="1"/>
  <c r="AC1370" i="4"/>
  <c r="CF1370" i="4" s="1"/>
  <c r="AC1371" i="4"/>
  <c r="CF1371" i="4" s="1"/>
  <c r="AC1372" i="4"/>
  <c r="CF1372" i="4" s="1"/>
  <c r="AC1373" i="4"/>
  <c r="CF1373" i="4" s="1"/>
  <c r="AC1374" i="4"/>
  <c r="CF1374" i="4" s="1"/>
  <c r="AC1375" i="4"/>
  <c r="CF1375" i="4" s="1"/>
  <c r="AC1376" i="4"/>
  <c r="CF1376" i="4" s="1"/>
  <c r="AC1377" i="4"/>
  <c r="CF1377" i="4" s="1"/>
  <c r="AC1378" i="4"/>
  <c r="CF1378" i="4" s="1"/>
  <c r="AC1379" i="4"/>
  <c r="CF1379" i="4" s="1"/>
  <c r="AC1380" i="4"/>
  <c r="CF1380" i="4" s="1"/>
  <c r="AC1381" i="4"/>
  <c r="CF1381" i="4" s="1"/>
  <c r="AC1382" i="4"/>
  <c r="CF1382" i="4" s="1"/>
  <c r="AC1383" i="4"/>
  <c r="CF1383" i="4" s="1"/>
  <c r="AC1384" i="4"/>
  <c r="CF1384" i="4" s="1"/>
  <c r="AC1385" i="4"/>
  <c r="CF1385" i="4" s="1"/>
  <c r="AC1386" i="4"/>
  <c r="CF1386" i="4" s="1"/>
  <c r="AC1387" i="4"/>
  <c r="CF1387" i="4" s="1"/>
  <c r="AC1388" i="4"/>
  <c r="CF1388" i="4" s="1"/>
  <c r="AC1389" i="4"/>
  <c r="CF1389" i="4" s="1"/>
  <c r="AC1390" i="4"/>
  <c r="CF1390" i="4" s="1"/>
  <c r="AC1391" i="4"/>
  <c r="CF1391" i="4" s="1"/>
  <c r="AC1392" i="4"/>
  <c r="CF1392" i="4" s="1"/>
  <c r="AC1393" i="4"/>
  <c r="CF1393" i="4" s="1"/>
  <c r="AC1394" i="4"/>
  <c r="CF1394" i="4" s="1"/>
  <c r="AC1395" i="4"/>
  <c r="CF1395" i="4" s="1"/>
  <c r="AC1396" i="4"/>
  <c r="CF1396" i="4" s="1"/>
  <c r="AC1397" i="4"/>
  <c r="CF1397" i="4" s="1"/>
  <c r="AC1398" i="4"/>
  <c r="CF1398" i="4" s="1"/>
  <c r="AC1399" i="4"/>
  <c r="CF1399" i="4" s="1"/>
  <c r="AC1400" i="4"/>
  <c r="CF1400" i="4" s="1"/>
  <c r="AC1401" i="4"/>
  <c r="CF1401" i="4" s="1"/>
  <c r="AC1402" i="4"/>
  <c r="CF1402" i="4" s="1"/>
  <c r="AC1403" i="4"/>
  <c r="CF1403" i="4" s="1"/>
  <c r="AC1404" i="4"/>
  <c r="CF1404" i="4" s="1"/>
  <c r="AC1405" i="4"/>
  <c r="CF1405" i="4" s="1"/>
  <c r="AC1406" i="4"/>
  <c r="CF1406" i="4" s="1"/>
  <c r="AC1407" i="4"/>
  <c r="CF1407" i="4" s="1"/>
  <c r="AC1408" i="4"/>
  <c r="CF1408" i="4" s="1"/>
  <c r="AC1409" i="4"/>
  <c r="CF1409" i="4" s="1"/>
  <c r="AC1410" i="4"/>
  <c r="AC1411" i="4"/>
  <c r="CF1411" i="4" s="1"/>
  <c r="AC1412" i="4"/>
  <c r="CF1412" i="4" s="1"/>
  <c r="AC1413" i="4"/>
  <c r="CF1413" i="4" s="1"/>
  <c r="AC1414" i="4"/>
  <c r="CF1414" i="4" s="1"/>
  <c r="AC1415" i="4"/>
  <c r="CF1415" i="4" s="1"/>
  <c r="AC1416" i="4"/>
  <c r="CF1416" i="4" s="1"/>
  <c r="AC1417" i="4"/>
  <c r="CF1417" i="4" s="1"/>
  <c r="AC1418" i="4"/>
  <c r="CF1418" i="4" s="1"/>
  <c r="AC1419" i="4"/>
  <c r="CF1419" i="4" s="1"/>
  <c r="AC1420" i="4"/>
  <c r="CF1420" i="4" s="1"/>
  <c r="AC1421" i="4"/>
  <c r="CF1421" i="4" s="1"/>
  <c r="AC1422" i="4"/>
  <c r="CF1422" i="4" s="1"/>
  <c r="AC1423" i="4"/>
  <c r="CF1423" i="4" s="1"/>
  <c r="AC1424" i="4"/>
  <c r="CF1424" i="4" s="1"/>
  <c r="AC1425" i="4"/>
  <c r="CF1425" i="4" s="1"/>
  <c r="AC1426" i="4"/>
  <c r="CF1426" i="4" s="1"/>
  <c r="AC1427" i="4"/>
  <c r="CF1427" i="4" s="1"/>
  <c r="AC1428" i="4"/>
  <c r="CF1428" i="4" s="1"/>
  <c r="AC1429" i="4"/>
  <c r="CF1429" i="4" s="1"/>
  <c r="AC1430" i="4"/>
  <c r="CF1430" i="4" s="1"/>
  <c r="AC1431" i="4"/>
  <c r="CF1431" i="4" s="1"/>
  <c r="AC1432" i="4"/>
  <c r="CF1432" i="4" s="1"/>
  <c r="AC1433" i="4"/>
  <c r="CF1433" i="4" s="1"/>
  <c r="AC1434" i="4"/>
  <c r="CF1434" i="4" s="1"/>
  <c r="AC1435" i="4"/>
  <c r="CF1435" i="4" s="1"/>
  <c r="AC1436" i="4"/>
  <c r="CF1436" i="4" s="1"/>
  <c r="AC1437" i="4"/>
  <c r="CF1437" i="4" s="1"/>
  <c r="AC1438" i="4"/>
  <c r="CF1438" i="4" s="1"/>
  <c r="AC1439" i="4"/>
  <c r="CF1439" i="4" s="1"/>
  <c r="AC1440" i="4"/>
  <c r="CF1440" i="4" s="1"/>
  <c r="AC1441" i="4"/>
  <c r="CF1441" i="4" s="1"/>
  <c r="AC1442" i="4"/>
  <c r="CF1442" i="4" s="1"/>
  <c r="AC1443" i="4"/>
  <c r="CF1443" i="4" s="1"/>
  <c r="AC1444" i="4"/>
  <c r="CF1444" i="4" s="1"/>
  <c r="AC1445" i="4"/>
  <c r="CF1445" i="4" s="1"/>
  <c r="AC1446" i="4"/>
  <c r="CF1446" i="4" s="1"/>
  <c r="AC1447" i="4"/>
  <c r="CF1447" i="4" s="1"/>
  <c r="AC1448" i="4"/>
  <c r="CF1448" i="4" s="1"/>
  <c r="AC1449" i="4"/>
  <c r="CF1449" i="4" s="1"/>
  <c r="AC1450" i="4"/>
  <c r="CF1450" i="4" s="1"/>
  <c r="AC1451" i="4"/>
  <c r="CF1451" i="4" s="1"/>
  <c r="AC1452" i="4"/>
  <c r="CF1452" i="4" s="1"/>
  <c r="AC1453" i="4"/>
  <c r="CF1453" i="4" s="1"/>
  <c r="AC1454" i="4"/>
  <c r="CF1454" i="4" s="1"/>
  <c r="AC1455" i="4"/>
  <c r="CF1455" i="4" s="1"/>
  <c r="AC1456" i="4"/>
  <c r="CF1456" i="4" s="1"/>
  <c r="AC1457" i="4"/>
  <c r="CF1457" i="4" s="1"/>
  <c r="AC1458" i="4"/>
  <c r="CF1458" i="4" s="1"/>
  <c r="AC1459" i="4"/>
  <c r="CF1459" i="4" s="1"/>
  <c r="AC1460" i="4"/>
  <c r="CF1460" i="4" s="1"/>
  <c r="AC1461" i="4"/>
  <c r="CF1461" i="4" s="1"/>
  <c r="AC1462" i="4"/>
  <c r="CF1462" i="4" s="1"/>
  <c r="AC1463" i="4"/>
  <c r="CF1463" i="4" s="1"/>
  <c r="AC1464" i="4"/>
  <c r="CF1464" i="4" s="1"/>
  <c r="AC1465" i="4"/>
  <c r="CF1465" i="4" s="1"/>
  <c r="AC1466" i="4"/>
  <c r="CF1466" i="4" s="1"/>
  <c r="AC1467" i="4"/>
  <c r="CF1467" i="4" s="1"/>
  <c r="AC1468" i="4"/>
  <c r="CF1468" i="4" s="1"/>
  <c r="AC1469" i="4"/>
  <c r="CF1469" i="4" s="1"/>
  <c r="AC1470" i="4"/>
  <c r="CF1470" i="4" s="1"/>
  <c r="AC1471" i="4"/>
  <c r="CF1471" i="4" s="1"/>
  <c r="AC1472" i="4"/>
  <c r="CF1472" i="4" s="1"/>
  <c r="AC1473" i="4"/>
  <c r="CF1473" i="4" s="1"/>
  <c r="AC1474" i="4"/>
  <c r="CF1474" i="4" s="1"/>
  <c r="AC1475" i="4"/>
  <c r="CF1475" i="4" s="1"/>
  <c r="AC1476" i="4"/>
  <c r="CF1476" i="4" s="1"/>
  <c r="AC1477" i="4"/>
  <c r="CF1477" i="4" s="1"/>
  <c r="AC1478" i="4"/>
  <c r="CF1478" i="4" s="1"/>
  <c r="AC1479" i="4"/>
  <c r="CF1479" i="4" s="1"/>
  <c r="AC1480" i="4"/>
  <c r="CF1480" i="4" s="1"/>
  <c r="AC1481" i="4"/>
  <c r="CF1481" i="4" s="1"/>
  <c r="AC1482" i="4"/>
  <c r="CF1482" i="4" s="1"/>
  <c r="AC1483" i="4"/>
  <c r="CF1483" i="4" s="1"/>
  <c r="AC1484" i="4"/>
  <c r="CF1484" i="4" s="1"/>
  <c r="AC1485" i="4"/>
  <c r="CF1485" i="4" s="1"/>
  <c r="AC1486" i="4"/>
  <c r="CF1486" i="4" s="1"/>
  <c r="AC1487" i="4"/>
  <c r="CF1487" i="4" s="1"/>
  <c r="AC1488" i="4"/>
  <c r="CF1488" i="4" s="1"/>
  <c r="AC1489" i="4"/>
  <c r="CF1489" i="4" s="1"/>
  <c r="AC1490" i="4"/>
  <c r="CF1490" i="4" s="1"/>
  <c r="AC1491" i="4"/>
  <c r="CF1491" i="4" s="1"/>
  <c r="AC1492" i="4"/>
  <c r="CF1492" i="4" s="1"/>
  <c r="AC1493" i="4"/>
  <c r="CF1493" i="4" s="1"/>
  <c r="AC1494" i="4"/>
  <c r="CF1494" i="4" s="1"/>
  <c r="AC1495" i="4"/>
  <c r="CF1495" i="4" s="1"/>
  <c r="AC1496" i="4"/>
  <c r="CF1496" i="4" s="1"/>
  <c r="AC1497" i="4"/>
  <c r="CF1497" i="4" s="1"/>
  <c r="AC1498" i="4"/>
  <c r="CF1498" i="4" s="1"/>
  <c r="AC1499" i="4"/>
  <c r="CF1499" i="4" s="1"/>
  <c r="AC1500" i="4"/>
  <c r="CF1500" i="4" s="1"/>
  <c r="AC1501" i="4"/>
  <c r="CF1501" i="4" s="1"/>
  <c r="AC1502" i="4"/>
  <c r="CF1502" i="4" s="1"/>
  <c r="AC1503" i="4"/>
  <c r="CF1503" i="4" s="1"/>
  <c r="AC1504" i="4"/>
  <c r="CF1504" i="4" s="1"/>
  <c r="AC1505" i="4"/>
  <c r="CF1505" i="4" s="1"/>
  <c r="AC1506" i="4"/>
  <c r="CF1506" i="4" s="1"/>
  <c r="AC1507" i="4"/>
  <c r="CF1507" i="4" s="1"/>
  <c r="AC1508" i="4"/>
  <c r="CF1508" i="4" s="1"/>
  <c r="AC1509" i="4"/>
  <c r="CF1509" i="4" s="1"/>
  <c r="AC1510" i="4"/>
  <c r="CF1510" i="4" s="1"/>
  <c r="AC1511" i="4"/>
  <c r="CF1511" i="4" s="1"/>
  <c r="AC1512" i="4"/>
  <c r="CF1512" i="4" s="1"/>
  <c r="AC1513" i="4"/>
  <c r="CF1513" i="4" s="1"/>
  <c r="AC1514" i="4"/>
  <c r="CF1514" i="4" s="1"/>
  <c r="AC1515" i="4"/>
  <c r="CF1515" i="4" s="1"/>
  <c r="AC1516" i="4"/>
  <c r="CF1516" i="4" s="1"/>
  <c r="AC1517" i="4"/>
  <c r="CF1517" i="4" s="1"/>
  <c r="AC1518" i="4"/>
  <c r="CF1518" i="4" s="1"/>
  <c r="AC1519" i="4"/>
  <c r="CF1519" i="4" s="1"/>
  <c r="AC1520" i="4"/>
  <c r="CF1520" i="4" s="1"/>
  <c r="AC1521" i="4"/>
  <c r="CF1521" i="4" s="1"/>
  <c r="AC1522" i="4"/>
  <c r="CF1522" i="4" s="1"/>
  <c r="AC1523" i="4"/>
  <c r="CF1523" i="4" s="1"/>
  <c r="AC1524" i="4"/>
  <c r="CF1524" i="4" s="1"/>
  <c r="AC1525" i="4"/>
  <c r="CF1525" i="4" s="1"/>
  <c r="AC1526" i="4"/>
  <c r="CF1526" i="4" s="1"/>
  <c r="AC1527" i="4"/>
  <c r="CF1527" i="4" s="1"/>
  <c r="AC1528" i="4"/>
  <c r="CF1528" i="4" s="1"/>
  <c r="AC1529" i="4"/>
  <c r="CF1529" i="4" s="1"/>
  <c r="AC1530" i="4"/>
  <c r="CF1530" i="4" s="1"/>
  <c r="AC1531" i="4"/>
  <c r="CF1531" i="4" s="1"/>
  <c r="AC1532" i="4"/>
  <c r="CF1532" i="4" s="1"/>
  <c r="AC1533" i="4"/>
  <c r="CF1533" i="4" s="1"/>
  <c r="AC1534" i="4"/>
  <c r="CF1534" i="4" s="1"/>
  <c r="AC1535" i="4"/>
  <c r="CF1535" i="4" s="1"/>
  <c r="AC1536" i="4"/>
  <c r="CF1536" i="4" s="1"/>
  <c r="AC1537" i="4"/>
  <c r="CF1537" i="4" s="1"/>
  <c r="AC1538" i="4"/>
  <c r="CF1538" i="4" s="1"/>
  <c r="AC1539" i="4"/>
  <c r="CF1539" i="4" s="1"/>
  <c r="AC1540" i="4"/>
  <c r="CF1540" i="4" s="1"/>
  <c r="AC1541" i="4"/>
  <c r="CF1541" i="4" s="1"/>
  <c r="AC1542" i="4"/>
  <c r="CF1542" i="4" s="1"/>
  <c r="AC1543" i="4"/>
  <c r="CF1543" i="4" s="1"/>
  <c r="AC1544" i="4"/>
  <c r="CF1544" i="4" s="1"/>
  <c r="AC1545" i="4"/>
  <c r="CF1545" i="4" s="1"/>
  <c r="AC1546" i="4"/>
  <c r="CF1546" i="4" s="1"/>
  <c r="AD1454" i="4"/>
  <c r="AD1453" i="4"/>
  <c r="AD1452" i="4"/>
  <c r="AD1451" i="4"/>
  <c r="AD1450" i="4"/>
  <c r="AD1449" i="4"/>
  <c r="AD1448" i="4"/>
  <c r="AD1447" i="4"/>
  <c r="AD1446" i="4"/>
  <c r="AD1445" i="4"/>
  <c r="AD1444" i="4"/>
  <c r="AD1443" i="4"/>
  <c r="AD1442" i="4"/>
  <c r="CF942" i="4" l="1"/>
  <c r="CF1104" i="4"/>
  <c r="CF950" i="4"/>
  <c r="CF937" i="4"/>
  <c r="CF1055" i="4"/>
  <c r="CF1015" i="4"/>
  <c r="CF1410" i="4"/>
  <c r="CF688" i="4"/>
  <c r="CF699" i="4"/>
  <c r="CF698" i="4"/>
  <c r="CF697" i="4"/>
  <c r="CF696" i="4"/>
  <c r="CF689" i="4"/>
  <c r="CF935" i="4"/>
  <c r="CF695" i="4"/>
  <c r="CF934" i="4"/>
  <c r="CF694" i="4"/>
  <c r="CF933" i="4"/>
  <c r="CF693" i="4"/>
  <c r="CF932" i="4"/>
  <c r="CF692" i="4"/>
  <c r="CF691" i="4"/>
  <c r="CF690" i="4"/>
  <c r="CF41" i="4"/>
  <c r="CF87" i="4"/>
  <c r="CF40" i="4"/>
  <c r="CF133" i="4"/>
  <c r="CF49" i="4"/>
  <c r="CF44" i="4"/>
  <c r="CF1209" i="4"/>
  <c r="CF1022" i="4"/>
  <c r="CF1032" i="4"/>
  <c r="CF1054" i="4"/>
  <c r="CF355" i="4"/>
  <c r="CF285" i="4"/>
  <c r="CF368" i="4"/>
  <c r="CF680" i="4"/>
  <c r="CF372" i="4"/>
  <c r="CF227" i="4"/>
  <c r="X1409" i="4"/>
  <c r="X1407" i="4"/>
  <c r="AD1410" i="4" l="1"/>
  <c r="AD1411" i="4"/>
  <c r="AD1412" i="4"/>
  <c r="AD1413" i="4"/>
  <c r="AD1414" i="4"/>
  <c r="AD1415" i="4"/>
  <c r="AD1416" i="4"/>
  <c r="AD1417" i="4"/>
  <c r="AD1418" i="4"/>
  <c r="AD1419" i="4"/>
  <c r="AD1420" i="4"/>
  <c r="AD1421" i="4"/>
  <c r="AD1422" i="4"/>
  <c r="AD1423" i="4"/>
  <c r="AD1424" i="4"/>
  <c r="AD1425" i="4"/>
  <c r="AD1426" i="4"/>
  <c r="AD1427" i="4"/>
  <c r="AD1428" i="4"/>
  <c r="AD1429" i="4"/>
  <c r="AD1430" i="4"/>
  <c r="AD1431" i="4"/>
  <c r="AD1432" i="4"/>
  <c r="AD1433" i="4"/>
  <c r="AD1434" i="4"/>
  <c r="AD1435" i="4"/>
  <c r="AD1436" i="4"/>
  <c r="AD1437" i="4"/>
  <c r="AD1438" i="4"/>
  <c r="AD1439" i="4"/>
  <c r="AD1440" i="4"/>
  <c r="AD1441" i="4"/>
  <c r="X1436" i="4"/>
  <c r="X1433" i="4"/>
  <c r="X1424" i="4"/>
  <c r="X1419" i="4"/>
  <c r="I22" i="8"/>
  <c r="BJ1586" i="4" s="1" a="1"/>
  <c r="BJ1586" i="4" s="1"/>
  <c r="I21" i="8" l="1"/>
  <c r="BJ1547" i="4" s="1" a="1"/>
  <c r="BJ1547" i="4" s="1"/>
  <c r="I29" i="8" l="1"/>
  <c r="BJ1833" i="4" s="1" a="1"/>
  <c r="BJ1833" i="4" s="1"/>
  <c r="X1454" i="4" l="1"/>
  <c r="X1453" i="4"/>
  <c r="X1452" i="4"/>
  <c r="X1451" i="4"/>
  <c r="X1450" i="4"/>
  <c r="X1449" i="4"/>
  <c r="X1448" i="4"/>
  <c r="X1447" i="4"/>
  <c r="X1446" i="4"/>
  <c r="X1445" i="4"/>
  <c r="X1444" i="4"/>
  <c r="X1443" i="4"/>
  <c r="X1442" i="4"/>
  <c r="X1441" i="4"/>
  <c r="X1440" i="4"/>
  <c r="X1439" i="4"/>
  <c r="X1438" i="4"/>
  <c r="X1437" i="4"/>
  <c r="X1435" i="4"/>
  <c r="X1434" i="4"/>
  <c r="X1432" i="4"/>
  <c r="X1431" i="4"/>
  <c r="X1430" i="4"/>
  <c r="X1429" i="4"/>
  <c r="X1428" i="4"/>
  <c r="X1427" i="4"/>
  <c r="X1426" i="4"/>
  <c r="X1425" i="4"/>
  <c r="X1423" i="4"/>
  <c r="X1422" i="4"/>
  <c r="X1421" i="4"/>
  <c r="X1420" i="4"/>
  <c r="X1418" i="4"/>
  <c r="X1417" i="4"/>
  <c r="X1416" i="4"/>
  <c r="X1415" i="4"/>
  <c r="X1414" i="4"/>
  <c r="X1413" i="4"/>
  <c r="X1412" i="4"/>
  <c r="X1411" i="4"/>
  <c r="X1410" i="4"/>
  <c r="BT1430" i="4" l="1"/>
  <c r="BT1431" i="4"/>
  <c r="BT1429" i="4"/>
  <c r="BT1422" i="4"/>
  <c r="BT1425" i="4"/>
  <c r="BT1421" i="4"/>
  <c r="BT1417" i="4"/>
  <c r="BT1419" i="4"/>
  <c r="BT1424" i="4"/>
  <c r="BT1420" i="4"/>
  <c r="BT1423" i="4"/>
  <c r="BT1426" i="4"/>
  <c r="BT1427" i="4"/>
  <c r="BT1418" i="4"/>
  <c r="BT1428" i="4"/>
  <c r="I20" i="8" l="1"/>
  <c r="BJ1455" i="4" s="1" a="1"/>
  <c r="BJ1455" i="4" s="1"/>
  <c r="I24" i="8"/>
  <c r="BJ1623" i="4" s="1" a="1"/>
  <c r="BJ1623" i="4" s="1"/>
  <c r="I26" i="8"/>
  <c r="BJ1690" i="4" s="1" a="1"/>
  <c r="BJ1690" i="4" s="1"/>
  <c r="I25" i="8"/>
  <c r="BJ1675" i="4" s="1" a="1"/>
  <c r="BJ1675" i="4" s="1"/>
  <c r="I19" i="8" l="1"/>
  <c r="BJ1410" i="4" s="1" a="1"/>
  <c r="BJ1410" i="4" s="1"/>
  <c r="I18" i="8"/>
  <c r="BJ1442" i="4" s="1" a="1"/>
  <c r="BJ1442" i="4" s="1"/>
  <c r="X1547" i="4"/>
  <c r="X2105" i="4" l="1"/>
  <c r="X2106" i="4"/>
  <c r="X2107" i="4"/>
  <c r="X2108" i="4"/>
  <c r="X2109" i="4"/>
  <c r="X2110" i="4"/>
  <c r="X2111"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2" i="4"/>
  <c r="X1813" i="4"/>
  <c r="X1814" i="4"/>
  <c r="X1815" i="4"/>
  <c r="X1816" i="4"/>
  <c r="X1817" i="4"/>
  <c r="X1818" i="4"/>
  <c r="X1819" i="4"/>
  <c r="X1820" i="4"/>
  <c r="X1821" i="4"/>
  <c r="X1822" i="4"/>
  <c r="X1811" i="4"/>
  <c r="X1702" i="4" l="1"/>
  <c r="X1701" i="4"/>
  <c r="X1700" i="4"/>
  <c r="X1699" i="4"/>
  <c r="X1698" i="4"/>
  <c r="X1697" i="4"/>
  <c r="X1696" i="4"/>
  <c r="X1695" i="4"/>
  <c r="X1694" i="4"/>
  <c r="X1693" i="4"/>
  <c r="X1692" i="4"/>
  <c r="X1691" i="4"/>
  <c r="X1690" i="4"/>
  <c r="X2104" i="4" l="1"/>
  <c r="X2103" i="4"/>
  <c r="X2102" i="4"/>
  <c r="X2101" i="4"/>
  <c r="X2100" i="4"/>
  <c r="X2099" i="4"/>
  <c r="X2098" i="4"/>
  <c r="X2097" i="4"/>
  <c r="X2096" i="4"/>
  <c r="X2095" i="4"/>
  <c r="X2094" i="4"/>
  <c r="AD1407" i="4" l="1"/>
  <c r="AD1408" i="4"/>
  <c r="AD1409" i="4"/>
  <c r="CC1074" i="4" l="1"/>
  <c r="CC1402" i="4"/>
  <c r="AD1406" i="4" l="1"/>
  <c r="AD1405" i="4"/>
  <c r="AD1404" i="4"/>
  <c r="AD1403" i="4"/>
  <c r="AD1402" i="4"/>
  <c r="AD1401" i="4"/>
  <c r="AD1400" i="4"/>
  <c r="AD1399" i="4"/>
  <c r="AD1398" i="4"/>
  <c r="AD1397" i="4"/>
  <c r="AD1396" i="4"/>
  <c r="AD1395" i="4"/>
  <c r="AD1394" i="4"/>
  <c r="AD1393" i="4"/>
  <c r="AD1392" i="4"/>
  <c r="AD1391" i="4"/>
  <c r="AD1390" i="4"/>
  <c r="AD1389" i="4"/>
  <c r="AD1388" i="4"/>
  <c r="AD1387" i="4"/>
  <c r="AD1386" i="4"/>
  <c r="AD1385" i="4"/>
  <c r="AD1384" i="4"/>
  <c r="AD1383" i="4"/>
  <c r="AD1382" i="4"/>
  <c r="AD1381" i="4"/>
  <c r="AD1380" i="4"/>
  <c r="AD1379" i="4"/>
  <c r="AD1378" i="4"/>
  <c r="AD1377" i="4"/>
  <c r="AD1376" i="4"/>
  <c r="AD1375" i="4"/>
  <c r="AD1374" i="4"/>
  <c r="AD1373" i="4"/>
  <c r="AD1372" i="4"/>
  <c r="AD1371" i="4"/>
  <c r="AD1370" i="4"/>
  <c r="AD1369" i="4"/>
  <c r="AD1368" i="4"/>
  <c r="AD1367" i="4"/>
  <c r="AD1366" i="4"/>
  <c r="AD1365" i="4"/>
  <c r="AD1364" i="4"/>
  <c r="AD1363" i="4"/>
  <c r="AD1362" i="4"/>
  <c r="AD1361" i="4"/>
  <c r="AD1360" i="4"/>
  <c r="AD1359" i="4"/>
  <c r="AD1358" i="4"/>
  <c r="AD1357" i="4"/>
  <c r="AD1356" i="4"/>
  <c r="AD1355" i="4"/>
  <c r="AD1354" i="4"/>
  <c r="AD1353" i="4"/>
  <c r="AD1352" i="4"/>
  <c r="AD1351" i="4"/>
  <c r="AD1350" i="4"/>
  <c r="AD1349" i="4"/>
  <c r="AD1348" i="4"/>
  <c r="AD1347" i="4"/>
  <c r="AD1346" i="4"/>
  <c r="AD1345" i="4"/>
  <c r="AD1344" i="4"/>
  <c r="AD1343" i="4"/>
  <c r="AD1342" i="4"/>
  <c r="AD1341" i="4"/>
  <c r="AD1340" i="4"/>
  <c r="AD1339" i="4"/>
  <c r="AD1338" i="4"/>
  <c r="AD1337" i="4"/>
  <c r="AD1336" i="4"/>
  <c r="AD1335" i="4"/>
  <c r="AD1334" i="4"/>
  <c r="AD1333" i="4"/>
  <c r="AD1332" i="4"/>
  <c r="AD1331" i="4"/>
  <c r="AD1330" i="4"/>
  <c r="AD1329" i="4"/>
  <c r="AD1328" i="4"/>
  <c r="AD1327" i="4"/>
  <c r="AD1326" i="4"/>
  <c r="AD1325" i="4"/>
  <c r="AD1324" i="4"/>
  <c r="AD1323" i="4"/>
  <c r="AD1322" i="4"/>
  <c r="AD1321" i="4"/>
  <c r="AD1320" i="4"/>
  <c r="AD1319" i="4"/>
  <c r="AD1318" i="4"/>
  <c r="AD1317" i="4"/>
  <c r="AD1316" i="4"/>
  <c r="AD1315" i="4"/>
  <c r="AD1314" i="4"/>
  <c r="AD1313" i="4"/>
  <c r="AD1312" i="4"/>
  <c r="AD1311" i="4"/>
  <c r="AD1310" i="4"/>
  <c r="AD1309" i="4"/>
  <c r="AD1308" i="4"/>
  <c r="AD1307" i="4"/>
  <c r="AD1306" i="4"/>
  <c r="AD1305" i="4"/>
  <c r="AD1304" i="4"/>
  <c r="AD1303" i="4"/>
  <c r="AD1302" i="4"/>
  <c r="AD1301" i="4"/>
  <c r="AD1300" i="4"/>
  <c r="AD1299" i="4"/>
  <c r="AD1298" i="4"/>
  <c r="AD1297" i="4"/>
  <c r="AD1296" i="4"/>
  <c r="AD1295" i="4"/>
  <c r="AD1294" i="4"/>
  <c r="AD1293" i="4"/>
  <c r="AD1292" i="4"/>
  <c r="AD1291" i="4"/>
  <c r="AD1290" i="4"/>
  <c r="AD1289" i="4"/>
  <c r="AD1288" i="4"/>
  <c r="AD1287" i="4"/>
  <c r="AD1286" i="4"/>
  <c r="AD1285" i="4"/>
  <c r="AD1284" i="4"/>
  <c r="AD1283" i="4"/>
  <c r="AD1282" i="4"/>
  <c r="AD1281" i="4"/>
  <c r="AD1280" i="4"/>
  <c r="AD1279" i="4"/>
  <c r="AD1278" i="4"/>
  <c r="AD1277" i="4"/>
  <c r="AD1276" i="4"/>
  <c r="AD1275" i="4"/>
  <c r="AD1274" i="4"/>
  <c r="AD1273" i="4"/>
  <c r="AD1272" i="4"/>
  <c r="AD1271" i="4"/>
  <c r="AD1270" i="4"/>
  <c r="AD1269" i="4"/>
  <c r="AD1268" i="4"/>
  <c r="AD1267" i="4"/>
  <c r="AD1266" i="4"/>
  <c r="AD1265" i="4"/>
  <c r="AD1264" i="4"/>
  <c r="AD1263" i="4"/>
  <c r="AD1262" i="4"/>
  <c r="AD1261" i="4"/>
  <c r="AD1260" i="4"/>
  <c r="AD1259" i="4"/>
  <c r="AD1258" i="4"/>
  <c r="AD1257" i="4"/>
  <c r="AD1256" i="4"/>
  <c r="AD1255" i="4"/>
  <c r="AD1254" i="4"/>
  <c r="AD1253" i="4"/>
  <c r="AD1252" i="4"/>
  <c r="AD1251" i="4"/>
  <c r="AD1250" i="4"/>
  <c r="AD1249" i="4"/>
  <c r="AD1248" i="4"/>
  <c r="AD1247" i="4"/>
  <c r="AD1246" i="4"/>
  <c r="AD1245" i="4"/>
  <c r="AD1244" i="4"/>
  <c r="AD1243" i="4"/>
  <c r="AD1242" i="4"/>
  <c r="AD1241" i="4"/>
  <c r="AD1240" i="4"/>
  <c r="AD1239" i="4"/>
  <c r="AD1238" i="4"/>
  <c r="AD1237" i="4"/>
  <c r="AD1236" i="4"/>
  <c r="AD1235" i="4"/>
  <c r="AD1234" i="4"/>
  <c r="AD1233" i="4"/>
  <c r="AD1232" i="4"/>
  <c r="AD1231" i="4"/>
  <c r="AD1230" i="4"/>
  <c r="AD1229" i="4"/>
  <c r="AD1228" i="4"/>
  <c r="AD1227" i="4"/>
  <c r="AD1226" i="4"/>
  <c r="AD1225" i="4"/>
  <c r="AD1224" i="4"/>
  <c r="AD1223" i="4"/>
  <c r="AD1222" i="4"/>
  <c r="AD1221" i="4"/>
  <c r="AD1220" i="4"/>
  <c r="AD1219" i="4"/>
  <c r="AD1218" i="4"/>
  <c r="AD1217" i="4"/>
  <c r="AD1216" i="4"/>
  <c r="AD1215" i="4"/>
  <c r="AD1214" i="4"/>
  <c r="AD1213" i="4"/>
  <c r="AD1212" i="4"/>
  <c r="AD1211" i="4"/>
  <c r="AD1210" i="4"/>
  <c r="AD1194" i="4"/>
  <c r="AD1193" i="4"/>
  <c r="AD1192" i="4"/>
  <c r="AD1191" i="4"/>
  <c r="AD1190" i="4"/>
  <c r="AD1189" i="4"/>
  <c r="AD1188" i="4"/>
  <c r="AD1187" i="4"/>
  <c r="AD1186" i="4"/>
  <c r="AD1185" i="4"/>
  <c r="AD1184" i="4"/>
  <c r="AD1183" i="4"/>
  <c r="AD1182" i="4"/>
  <c r="AD1181" i="4"/>
  <c r="AD1180" i="4"/>
  <c r="AD1179" i="4"/>
  <c r="AD1178" i="4"/>
  <c r="AD1177" i="4"/>
  <c r="AD1176" i="4"/>
  <c r="AD1175" i="4"/>
  <c r="AD1174" i="4"/>
  <c r="AD1173" i="4"/>
  <c r="AD1172" i="4"/>
  <c r="AD1171" i="4"/>
  <c r="AD1170" i="4"/>
  <c r="AD1169" i="4"/>
  <c r="AD1168" i="4"/>
  <c r="AD1167" i="4"/>
  <c r="AD1166" i="4"/>
  <c r="AD1165" i="4"/>
  <c r="AD1164" i="4"/>
  <c r="AD1163" i="4"/>
  <c r="AD1162" i="4"/>
  <c r="AD1161" i="4"/>
  <c r="AD1160" i="4"/>
  <c r="AD1159" i="4"/>
  <c r="AD1158" i="4"/>
  <c r="AD1157" i="4"/>
  <c r="AD1156" i="4"/>
  <c r="AD1155" i="4"/>
  <c r="AD1154" i="4"/>
  <c r="AD1153" i="4"/>
  <c r="AD1152" i="4"/>
  <c r="AD1151" i="4"/>
  <c r="AD1150" i="4"/>
  <c r="AD1149" i="4"/>
  <c r="AD1148" i="4"/>
  <c r="AD1147" i="4"/>
  <c r="AD1146" i="4"/>
  <c r="AD1145" i="4"/>
  <c r="AD1144" i="4"/>
  <c r="AD1143" i="4"/>
  <c r="AD1142" i="4"/>
  <c r="AD1141" i="4"/>
  <c r="AD1140" i="4"/>
  <c r="AD1139" i="4"/>
  <c r="AD1138" i="4"/>
  <c r="AD1137" i="4"/>
  <c r="AD1136" i="4"/>
  <c r="AD1135" i="4"/>
  <c r="AD1134" i="4"/>
  <c r="AD1133" i="4"/>
  <c r="AD1132" i="4"/>
  <c r="AD1131" i="4"/>
  <c r="AD1130" i="4"/>
  <c r="AD1129" i="4"/>
  <c r="AD1128" i="4"/>
  <c r="AD1127" i="4"/>
  <c r="AD1126" i="4"/>
  <c r="AD1125" i="4"/>
  <c r="AD1124" i="4"/>
  <c r="AD1123" i="4"/>
  <c r="AD1122" i="4"/>
  <c r="AD1121" i="4"/>
  <c r="AD1120" i="4"/>
  <c r="AD1119" i="4"/>
  <c r="AD1118" i="4"/>
  <c r="AD1117" i="4"/>
  <c r="AD1116" i="4"/>
  <c r="AD1115" i="4"/>
  <c r="AD1114" i="4"/>
  <c r="AD1113" i="4"/>
  <c r="BI774" i="4" l="1"/>
  <c r="Z2010" i="4" l="1"/>
  <c r="Z2011" i="4"/>
  <c r="Z2012" i="4"/>
  <c r="Z2013" i="4"/>
  <c r="Z2014" i="4"/>
  <c r="Z2015" i="4"/>
  <c r="Z2016" i="4"/>
  <c r="Z2017" i="4"/>
  <c r="Z2018" i="4"/>
  <c r="Z2019" i="4"/>
  <c r="Z2020" i="4"/>
  <c r="Z2021" i="4"/>
  <c r="Z2022" i="4"/>
  <c r="Z2023" i="4"/>
  <c r="Z2024" i="4"/>
  <c r="Z2025" i="4"/>
  <c r="Z2026" i="4"/>
  <c r="Z2027" i="4"/>
  <c r="Z2028" i="4"/>
  <c r="Z2029" i="4"/>
  <c r="AB2029" i="4" s="1"/>
  <c r="X2010" i="4"/>
  <c r="X2011" i="4"/>
  <c r="X2012" i="4"/>
  <c r="X2013" i="4"/>
  <c r="X2014" i="4"/>
  <c r="X2015" i="4"/>
  <c r="X2016" i="4"/>
  <c r="X2017" i="4"/>
  <c r="X2018" i="4"/>
  <c r="X2019" i="4"/>
  <c r="X2020" i="4"/>
  <c r="X2021" i="4"/>
  <c r="X2022" i="4"/>
  <c r="X2023" i="4"/>
  <c r="X2024" i="4"/>
  <c r="X2025" i="4"/>
  <c r="X2026" i="4"/>
  <c r="X2027" i="4"/>
  <c r="X2028" i="4"/>
  <c r="X2029" i="4"/>
  <c r="AB2023" i="4" l="1"/>
  <c r="AC2023" i="4"/>
  <c r="AC2018" i="4"/>
  <c r="AB2018" i="4"/>
  <c r="AB2017" i="4"/>
  <c r="AC2017" i="4"/>
  <c r="AB2025" i="4"/>
  <c r="AC2025" i="4"/>
  <c r="AC2022" i="4"/>
  <c r="AB2022" i="4"/>
  <c r="AB2019" i="4"/>
  <c r="AC2019" i="4"/>
  <c r="AB2015" i="4"/>
  <c r="AC2015" i="4"/>
  <c r="AC2029" i="4"/>
  <c r="AC2027" i="4"/>
  <c r="AB2027" i="4"/>
  <c r="AB2024" i="4"/>
  <c r="AC2024" i="4"/>
  <c r="AB2021" i="4"/>
  <c r="AC2021" i="4"/>
  <c r="AB2020" i="4"/>
  <c r="AC2020" i="4"/>
  <c r="AB2016" i="4"/>
  <c r="AC2016" i="4"/>
  <c r="AB2014" i="4"/>
  <c r="AC2014" i="4"/>
  <c r="AB2013" i="4"/>
  <c r="AC2013" i="4"/>
  <c r="AB2028" i="4"/>
  <c r="AC2028" i="4"/>
  <c r="AB2012" i="4"/>
  <c r="AC2012" i="4"/>
  <c r="AC2011" i="4"/>
  <c r="AB2011" i="4"/>
  <c r="AB2026" i="4"/>
  <c r="AC2026" i="4"/>
  <c r="AB2010" i="4"/>
  <c r="AC2010" i="4"/>
  <c r="X1606" i="4"/>
  <c r="X1607" i="4"/>
  <c r="X1608" i="4"/>
  <c r="X1609" i="4"/>
  <c r="X1610" i="4"/>
  <c r="X1611" i="4"/>
  <c r="X1612" i="4"/>
  <c r="X1613" i="4"/>
  <c r="X1614" i="4"/>
  <c r="X1615" i="4"/>
  <c r="X1616" i="4"/>
  <c r="X1617" i="4"/>
  <c r="CF2025" i="4" l="1"/>
  <c r="CF2010" i="4"/>
  <c r="CF2017" i="4"/>
  <c r="CF2026" i="4"/>
  <c r="CF2021" i="4"/>
  <c r="CF2014" i="4"/>
  <c r="CF2024" i="4"/>
  <c r="CF2019" i="4"/>
  <c r="CF2015" i="4"/>
  <c r="CF2018" i="4"/>
  <c r="CF2028" i="4"/>
  <c r="CF2029" i="4"/>
  <c r="CF2012" i="4"/>
  <c r="CF2023" i="4"/>
  <c r="CF2020" i="4"/>
  <c r="CF2013" i="4"/>
  <c r="CF2011" i="4"/>
  <c r="CF2016" i="4"/>
  <c r="CF2027" i="4"/>
  <c r="CF2022" i="4"/>
  <c r="X1586" i="4"/>
  <c r="X1587" i="4"/>
  <c r="X1588" i="4"/>
  <c r="X1589" i="4"/>
  <c r="X1590" i="4"/>
  <c r="X1591" i="4"/>
  <c r="X1592" i="4"/>
  <c r="X1593" i="4"/>
  <c r="X1594" i="4"/>
  <c r="X1595" i="4"/>
  <c r="X1596" i="4"/>
  <c r="X1597" i="4"/>
  <c r="X1598" i="4"/>
  <c r="X1599" i="4"/>
  <c r="X1600" i="4"/>
  <c r="X1601" i="4"/>
  <c r="X1602" i="4"/>
  <c r="X1603" i="4"/>
  <c r="X1604" i="4"/>
  <c r="X1605" i="4"/>
  <c r="X1548" i="4" l="1"/>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H58" i="9" l="1"/>
  <c r="H57" i="9"/>
  <c r="H56" i="9"/>
  <c r="H55" i="9"/>
  <c r="H54" i="9"/>
  <c r="H53" i="9"/>
  <c r="H52" i="9"/>
  <c r="H51" i="9"/>
  <c r="H50" i="9"/>
  <c r="H49" i="9"/>
  <c r="H48" i="9"/>
  <c r="H47" i="9"/>
  <c r="H46" i="9"/>
  <c r="H45" i="9"/>
  <c r="H44" i="9"/>
  <c r="H43" i="9"/>
  <c r="H42" i="9"/>
  <c r="H41"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W12" i="8" l="1"/>
  <c r="BI1399" i="4" s="1" a="1"/>
  <c r="BI1399" i="4" s="1"/>
  <c r="X1624" i="4" l="1"/>
  <c r="X1625" i="4"/>
  <c r="X1626" i="4"/>
  <c r="X1627" i="4"/>
  <c r="X1628" i="4"/>
  <c r="X1629" i="4"/>
  <c r="X1630" i="4"/>
  <c r="X1631" i="4"/>
  <c r="X1632" i="4"/>
  <c r="X1672" i="4"/>
  <c r="X1633" i="4"/>
  <c r="X1634" i="4"/>
  <c r="X1635" i="4"/>
  <c r="X1636" i="4"/>
  <c r="X1637" i="4"/>
  <c r="X1638" i="4"/>
  <c r="X1639" i="4"/>
  <c r="X1640" i="4"/>
  <c r="X1641" i="4"/>
  <c r="X1642" i="4"/>
  <c r="X1674" i="4"/>
  <c r="X1644" i="4"/>
  <c r="X1645" i="4"/>
  <c r="X1646" i="4"/>
  <c r="X1673" i="4"/>
  <c r="X1647" i="4"/>
  <c r="X1648" i="4"/>
  <c r="X1649" i="4"/>
  <c r="X1650" i="4"/>
  <c r="X1651" i="4"/>
  <c r="X1652" i="4"/>
  <c r="X1653" i="4"/>
  <c r="X1654" i="4"/>
  <c r="X1655" i="4"/>
  <c r="X1656" i="4"/>
  <c r="X1657" i="4"/>
  <c r="X1658" i="4"/>
  <c r="X1659" i="4"/>
  <c r="X1660" i="4"/>
  <c r="X1661" i="4"/>
  <c r="X1662" i="4"/>
  <c r="X1663" i="4"/>
  <c r="X1664" i="4"/>
  <c r="X1665" i="4"/>
  <c r="X1666" i="4"/>
  <c r="X1643" i="4"/>
  <c r="X1667" i="4"/>
  <c r="X1668" i="4"/>
  <c r="X1669" i="4"/>
  <c r="X1670" i="4"/>
  <c r="X1671" i="4"/>
  <c r="X1623" i="4"/>
  <c r="X1408" i="4" l="1"/>
  <c r="X1834" i="4" l="1"/>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833" i="4"/>
  <c r="X1974" i="4"/>
  <c r="X1975" i="4"/>
  <c r="X1976" i="4"/>
  <c r="X1977" i="4"/>
  <c r="X1978" i="4"/>
  <c r="X1979" i="4"/>
  <c r="X1980" i="4"/>
  <c r="X1981" i="4"/>
  <c r="X1406" i="4" l="1"/>
  <c r="X1825" i="4" l="1"/>
  <c r="X1826" i="4"/>
  <c r="U9" i="8" l="1"/>
  <c r="BI1355" i="4" s="1" a="1"/>
  <c r="BI1355" i="4" s="1"/>
  <c r="X1824" i="4" l="1"/>
  <c r="X2008" i="4" l="1"/>
  <c r="W10" i="8" l="1"/>
  <c r="S10" i="8" s="1"/>
  <c r="BI1370" i="4" s="1" a="1"/>
  <c r="BI1370" i="4" s="1"/>
  <c r="X1999" i="4" l="1"/>
  <c r="X2000" i="4"/>
  <c r="X2001" i="4"/>
  <c r="X2002" i="4"/>
  <c r="X2003" i="4"/>
  <c r="X2004" i="4"/>
  <c r="X2005" i="4"/>
  <c r="X2006" i="4"/>
  <c r="X2007" i="4"/>
  <c r="X1998" i="4"/>
  <c r="AA19" i="3" l="1" a="1"/>
  <c r="AA19" i="3" s="1"/>
  <c r="AA49" i="3" a="1"/>
  <c r="AA49" i="3" s="1"/>
  <c r="AA52" i="3" a="1"/>
  <c r="AA52" i="3" s="1"/>
  <c r="AA63" i="3" a="1"/>
  <c r="AA63" i="3" s="1"/>
  <c r="AA46" i="3" a="1"/>
  <c r="AA46" i="3" s="1"/>
  <c r="AA45" i="3" a="1"/>
  <c r="AA45" i="3" s="1"/>
  <c r="AA44" i="3" a="1"/>
  <c r="AA44" i="3" s="1"/>
  <c r="S5" i="8" l="1"/>
  <c r="BI1209" i="4" s="1" a="1"/>
  <c r="BI1209" i="4" s="1"/>
  <c r="AA9" i="8"/>
  <c r="BN1355" i="4" s="1" a="1"/>
  <c r="BN1355" i="4" s="1"/>
  <c r="M7" i="8"/>
  <c r="L7" i="8"/>
  <c r="U8" i="8"/>
  <c r="S8" i="8"/>
  <c r="BI1300" i="4" s="1" a="1"/>
  <c r="BI1300" i="4" s="1"/>
  <c r="W6" i="8"/>
  <c r="S6" i="8" s="1"/>
  <c r="BI1223" i="4" s="1" a="1"/>
  <c r="BI1223" i="4" s="1"/>
  <c r="U6" i="8"/>
  <c r="F1" i="3" l="1"/>
  <c r="S14" i="3" l="1"/>
  <c r="U14" i="3" s="1"/>
  <c r="Y616" i="4"/>
  <c r="Y618" i="4"/>
  <c r="Y617" i="4"/>
  <c r="Y1187" i="4"/>
  <c r="Y1186" i="4"/>
  <c r="Y1185" i="4"/>
  <c r="Y1184" i="4"/>
  <c r="Y1183" i="4"/>
  <c r="Y1182" i="4"/>
  <c r="Y1181" i="4"/>
  <c r="Y1180" i="4"/>
  <c r="Y1179" i="4"/>
  <c r="Y1178" i="4"/>
  <c r="Y1177" i="4"/>
  <c r="Y1176" i="4"/>
  <c r="Y1175" i="4"/>
  <c r="Y1174" i="4"/>
  <c r="Y1171" i="4"/>
  <c r="Y1170" i="4"/>
  <c r="Y1169" i="4"/>
  <c r="Y1168" i="4"/>
  <c r="Y1167" i="4"/>
  <c r="Y1166" i="4"/>
  <c r="Y1165" i="4"/>
  <c r="Y1032" i="4"/>
  <c r="Y1031" i="4"/>
  <c r="Y1027" i="4"/>
  <c r="Y1026" i="4"/>
  <c r="Y1025" i="4"/>
  <c r="Y1024" i="4"/>
  <c r="Y1023" i="4"/>
  <c r="Y1022" i="4"/>
  <c r="X658" i="4"/>
  <c r="BD3" i="4" l="1" a="1"/>
  <c r="BD3" i="4" s="1"/>
  <c r="BD2" i="4" a="1"/>
  <c r="BD2" i="4" s="1"/>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227" i="4"/>
  <c r="X1990" i="4" l="1"/>
  <c r="X1991" i="4"/>
  <c r="X1992" i="4"/>
  <c r="X1993" i="4"/>
  <c r="X1994" i="4"/>
  <c r="X1995" i="4"/>
  <c r="X1996" i="4"/>
  <c r="X1997" i="4"/>
  <c r="X1983" i="4" l="1"/>
  <c r="X1984" i="4"/>
  <c r="X1985" i="4"/>
  <c r="X1986" i="4"/>
  <c r="X1987" i="4"/>
  <c r="X1988" i="4"/>
  <c r="X1989" i="4"/>
  <c r="X1982" i="4"/>
  <c r="X1320" i="4" l="1"/>
  <c r="X1321" i="4"/>
  <c r="X1322" i="4"/>
  <c r="X1392" i="4"/>
  <c r="X1397"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Y1028" i="4" s="1"/>
  <c r="X1029" i="4"/>
  <c r="Y1029" i="4" s="1"/>
  <c r="X1030" i="4"/>
  <c r="Y1030" i="4" s="1"/>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Y1172" i="4" s="1"/>
  <c r="X1173" i="4"/>
  <c r="Y1173" i="4" s="1"/>
  <c r="X1174" i="4"/>
  <c r="X1175" i="4"/>
  <c r="X1176" i="4"/>
  <c r="X1177" i="4"/>
  <c r="X1178" i="4"/>
  <c r="X1179" i="4"/>
  <c r="X1180" i="4"/>
  <c r="X1181" i="4"/>
  <c r="X1182" i="4"/>
  <c r="X1183" i="4"/>
  <c r="X1184" i="4"/>
  <c r="X1185" i="4"/>
  <c r="X1186" i="4"/>
  <c r="X1187" i="4"/>
  <c r="X1188" i="4"/>
  <c r="Y1188" i="4" s="1"/>
  <c r="X1189" i="4"/>
  <c r="X1190" i="4"/>
  <c r="X1191" i="4"/>
  <c r="X1192" i="4"/>
  <c r="X1193" i="4"/>
  <c r="X1194" i="4"/>
  <c r="Z1194" i="4" s="1"/>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403" i="4"/>
  <c r="X1404" i="4"/>
  <c r="X1405" i="4"/>
  <c r="X1370" i="4"/>
  <c r="X1371" i="4"/>
  <c r="X1372" i="4"/>
  <c r="X1373" i="4"/>
  <c r="X1374" i="4"/>
  <c r="X1375" i="4"/>
  <c r="X1376" i="4"/>
  <c r="X1377" i="4"/>
  <c r="X1378" i="4"/>
  <c r="X1379" i="4"/>
  <c r="X1380" i="4"/>
  <c r="X1381" i="4"/>
  <c r="X1382" i="4"/>
  <c r="X1383" i="4"/>
  <c r="X1384" i="4"/>
  <c r="X1385" i="4"/>
  <c r="X1386" i="4"/>
  <c r="X1387" i="4"/>
  <c r="X1388" i="4"/>
  <c r="X1389" i="4"/>
  <c r="X1390" i="4"/>
  <c r="X1391" i="4"/>
  <c r="X1393" i="4"/>
  <c r="X1394" i="4"/>
  <c r="X1395" i="4"/>
  <c r="X1396"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98" i="4"/>
  <c r="X1399" i="4"/>
  <c r="X1400" i="4"/>
  <c r="X1401" i="4"/>
  <c r="X1402" i="4"/>
  <c r="X1223" i="4"/>
  <c r="X1224" i="4"/>
  <c r="X1225" i="4"/>
  <c r="X1300" i="4"/>
  <c r="X1301" i="4"/>
  <c r="X1302" i="4"/>
  <c r="X1303" i="4"/>
  <c r="X1304" i="4"/>
  <c r="X1305" i="4"/>
  <c r="X1306" i="4"/>
  <c r="X1307" i="4"/>
  <c r="X1308" i="4"/>
  <c r="X1309" i="4"/>
  <c r="X1310" i="4"/>
  <c r="X1311" i="4"/>
  <c r="X1312" i="4"/>
  <c r="X1313" i="4"/>
  <c r="X1314" i="4"/>
  <c r="X1315" i="4"/>
  <c r="X1316" i="4"/>
  <c r="X1317" i="4"/>
  <c r="X1318" i="4"/>
  <c r="X1319"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675" i="4"/>
  <c r="X1676" i="4"/>
  <c r="X1677" i="4"/>
  <c r="X1678" i="4"/>
  <c r="X1679" i="4"/>
  <c r="X1680" i="4"/>
  <c r="X1681" i="4"/>
  <c r="X1682" i="4"/>
  <c r="X1683" i="4"/>
  <c r="X1684" i="4"/>
  <c r="X1685" i="4"/>
  <c r="X1686" i="4"/>
  <c r="X2116" i="4"/>
  <c r="X2117" i="4"/>
  <c r="X2118" i="4"/>
  <c r="X2119" i="4"/>
  <c r="X2120" i="4"/>
  <c r="U3" i="4"/>
  <c r="X5" i="4"/>
  <c r="CA222" i="4"/>
  <c r="CA223" i="4"/>
  <c r="AC5" i="4"/>
  <c r="Y1099" i="4"/>
  <c r="Y1098" i="4"/>
  <c r="Y1097" i="4"/>
  <c r="Y1096" i="4"/>
  <c r="Y1095" i="4"/>
  <c r="Y1094" i="4"/>
  <c r="Y1093" i="4"/>
  <c r="Y1092" i="4"/>
  <c r="Y1091" i="4"/>
  <c r="Y1090" i="4"/>
  <c r="Y1089" i="4"/>
  <c r="Y1088" i="4"/>
  <c r="Y1087" i="4"/>
  <c r="Y1086" i="4"/>
  <c r="Y1085" i="4"/>
  <c r="Y1084" i="4"/>
  <c r="Y1083" i="4"/>
  <c r="Y1082" i="4"/>
  <c r="Y1081" i="4"/>
  <c r="Y1080" i="4"/>
  <c r="Y1079" i="4"/>
  <c r="Y1078" i="4"/>
  <c r="Y1077" i="4"/>
  <c r="Y1076" i="4"/>
  <c r="Y1075" i="4"/>
  <c r="Y1074" i="4"/>
  <c r="Y1073" i="4"/>
  <c r="Y1072" i="4"/>
  <c r="Y1071" i="4"/>
  <c r="Y1057" i="4"/>
  <c r="Y1056" i="4"/>
  <c r="Y1055" i="4"/>
  <c r="Y1054" i="4"/>
  <c r="Y1053" i="4"/>
  <c r="Y1052" i="4"/>
  <c r="Y1051" i="4"/>
  <c r="Y1050" i="4"/>
  <c r="Y1049" i="4"/>
  <c r="Y1048" i="4"/>
  <c r="Y1047" i="4"/>
  <c r="Y1046" i="4"/>
  <c r="Y1045" i="4"/>
  <c r="Y1044" i="4"/>
  <c r="Y1043" i="4"/>
  <c r="Y1042" i="4"/>
  <c r="Y1041" i="4"/>
  <c r="Y1040" i="4"/>
  <c r="Y1039" i="4"/>
  <c r="Y1038" i="4"/>
  <c r="Y1037" i="4"/>
  <c r="Y1036" i="4"/>
  <c r="Y1035" i="4"/>
  <c r="Y1034" i="4"/>
  <c r="Y1033" i="4"/>
  <c r="Y1021" i="4"/>
  <c r="E1021" i="4"/>
  <c r="Y1020" i="4"/>
  <c r="E1020" i="4"/>
  <c r="Y1019" i="4"/>
  <c r="E1019" i="4"/>
  <c r="E1018" i="4"/>
  <c r="Y1017" i="4"/>
  <c r="Y962" i="4"/>
  <c r="Y961" i="4"/>
  <c r="Y960" i="4"/>
  <c r="Y959" i="4"/>
  <c r="Y958" i="4"/>
  <c r="Y957" i="4"/>
  <c r="Y956" i="4"/>
  <c r="Y954" i="4"/>
  <c r="Y953" i="4"/>
  <c r="Y952" i="4"/>
  <c r="Y951" i="4"/>
  <c r="Y950" i="4"/>
  <c r="Y949" i="4"/>
  <c r="Y948" i="4"/>
  <c r="Y947" i="4"/>
  <c r="Y946" i="4"/>
  <c r="Y945" i="4"/>
  <c r="Y944" i="4"/>
  <c r="Y943" i="4"/>
  <c r="Y942" i="4"/>
  <c r="Y941" i="4"/>
  <c r="E941" i="4"/>
  <c r="Y940" i="4"/>
  <c r="E940" i="4"/>
  <c r="Y939" i="4"/>
  <c r="Y938" i="4"/>
  <c r="Y937" i="4"/>
  <c r="Y936" i="4"/>
  <c r="Y935" i="4"/>
  <c r="Y934" i="4"/>
  <c r="Y933" i="4"/>
  <c r="Y932" i="4"/>
  <c r="Y931" i="4"/>
  <c r="Y930" i="4"/>
  <c r="Y929" i="4"/>
  <c r="Y928" i="4"/>
  <c r="Y927" i="4"/>
  <c r="Y926" i="4"/>
  <c r="Y925" i="4"/>
  <c r="Y924" i="4"/>
  <c r="Y923" i="4"/>
  <c r="Y922" i="4"/>
  <c r="Y744" i="4"/>
  <c r="Y743" i="4"/>
  <c r="Y742" i="4"/>
  <c r="Y741" i="4"/>
  <c r="Y740" i="4"/>
  <c r="Y739" i="4"/>
  <c r="Y738" i="4"/>
  <c r="Y737" i="4"/>
  <c r="Y736" i="4"/>
  <c r="Y735" i="4"/>
  <c r="Y734" i="4"/>
  <c r="Y733" i="4"/>
  <c r="Y732" i="4"/>
  <c r="Y731" i="4"/>
  <c r="Y730" i="4"/>
  <c r="Y686" i="4"/>
  <c r="Y685" i="4"/>
  <c r="Y679" i="4"/>
  <c r="Y678" i="4"/>
  <c r="Y677" i="4"/>
  <c r="Y676" i="4"/>
  <c r="Y675" i="4"/>
  <c r="Y674" i="4"/>
  <c r="Y673" i="4"/>
  <c r="Y672" i="4"/>
  <c r="Y671" i="4"/>
  <c r="Y670" i="4"/>
  <c r="Y669" i="4"/>
  <c r="Y668" i="4"/>
  <c r="Y667" i="4"/>
  <c r="Y666" i="4"/>
  <c r="Y665" i="4"/>
  <c r="Y664" i="4"/>
  <c r="Y663" i="4"/>
  <c r="Y662" i="4"/>
  <c r="Y661" i="4"/>
  <c r="Y660" i="4"/>
  <c r="Y659" i="4"/>
  <c r="Y657" i="4"/>
  <c r="Y656" i="4"/>
  <c r="Y655" i="4"/>
  <c r="Y654" i="4"/>
  <c r="Y653" i="4"/>
  <c r="Y652" i="4"/>
  <c r="Y651" i="4"/>
  <c r="Y650" i="4"/>
  <c r="Y649" i="4"/>
  <c r="Y648" i="4"/>
  <c r="Y647" i="4"/>
  <c r="Y646" i="4"/>
  <c r="Y645" i="4"/>
  <c r="Y644" i="4"/>
  <c r="Y643" i="4"/>
  <c r="Y642" i="4"/>
  <c r="Y641" i="4"/>
  <c r="Y640" i="4"/>
  <c r="Y639" i="4"/>
  <c r="Y638" i="4"/>
  <c r="Y637" i="4"/>
  <c r="Y636" i="4"/>
  <c r="Y635" i="4"/>
  <c r="Y634" i="4"/>
  <c r="Y633" i="4"/>
  <c r="Y632" i="4"/>
  <c r="Y631" i="4"/>
  <c r="Y630" i="4"/>
  <c r="Y629" i="4"/>
  <c r="Y628" i="4"/>
  <c r="Y627" i="4"/>
  <c r="Y626" i="4"/>
  <c r="Y625" i="4"/>
  <c r="Y624" i="4"/>
  <c r="Y623" i="4"/>
  <c r="Y622" i="4"/>
  <c r="Y621" i="4"/>
  <c r="Y620" i="4"/>
  <c r="Y615" i="4"/>
  <c r="Y614" i="4"/>
  <c r="Y613" i="4"/>
  <c r="Y612" i="4"/>
  <c r="Y611" i="4"/>
  <c r="Y610" i="4"/>
  <c r="Y609" i="4"/>
  <c r="Y608" i="4"/>
  <c r="Y607" i="4"/>
  <c r="Y606" i="4"/>
  <c r="Y605" i="4"/>
  <c r="Y604" i="4"/>
  <c r="Y603" i="4"/>
  <c r="Y602" i="4"/>
  <c r="Y601" i="4"/>
  <c r="Y600" i="4"/>
  <c r="Y599" i="4"/>
  <c r="Y598" i="4"/>
  <c r="Y597" i="4"/>
  <c r="Y596" i="4"/>
  <c r="Y595" i="4"/>
  <c r="Y594" i="4"/>
  <c r="Y593" i="4"/>
  <c r="Y592" i="4"/>
  <c r="Y591" i="4"/>
  <c r="Y590" i="4"/>
  <c r="Y589" i="4"/>
  <c r="Y588" i="4"/>
  <c r="Y587" i="4"/>
  <c r="Y586" i="4"/>
  <c r="Y585" i="4"/>
  <c r="Y584" i="4"/>
  <c r="Y583" i="4"/>
  <c r="Y582" i="4"/>
  <c r="Y581" i="4"/>
  <c r="Y580" i="4"/>
  <c r="Y579" i="4"/>
  <c r="Y578" i="4"/>
  <c r="Y577" i="4"/>
  <c r="Y576" i="4"/>
  <c r="Y575" i="4"/>
  <c r="Y574" i="4"/>
  <c r="Y573" i="4"/>
  <c r="Y572" i="4"/>
  <c r="Y571" i="4"/>
  <c r="Y570" i="4"/>
  <c r="Y569" i="4"/>
  <c r="Y568" i="4"/>
  <c r="Y567" i="4"/>
  <c r="Y566" i="4"/>
  <c r="Y565" i="4"/>
  <c r="Y563" i="4"/>
  <c r="Y559" i="4"/>
  <c r="Y557" i="4"/>
  <c r="Y555" i="4"/>
  <c r="Y554" i="4"/>
  <c r="Y553" i="4"/>
  <c r="Y552" i="4"/>
  <c r="Y551" i="4"/>
  <c r="Y550" i="4"/>
  <c r="Y549" i="4"/>
  <c r="Y547" i="4"/>
  <c r="Y545" i="4"/>
  <c r="Y544" i="4"/>
  <c r="Y543" i="4"/>
  <c r="Y542" i="4"/>
  <c r="Y541" i="4"/>
  <c r="Y540" i="4"/>
  <c r="Y539" i="4"/>
  <c r="Y538" i="4"/>
  <c r="Y537" i="4"/>
  <c r="Y536" i="4"/>
  <c r="Y535" i="4"/>
  <c r="Y534" i="4"/>
  <c r="Y533" i="4"/>
  <c r="Y532" i="4"/>
  <c r="Y531" i="4"/>
  <c r="Y530" i="4"/>
  <c r="Y529" i="4"/>
  <c r="Y528" i="4"/>
  <c r="Y527" i="4"/>
  <c r="Y526" i="4"/>
  <c r="Y525" i="4"/>
  <c r="Y524" i="4"/>
  <c r="Y523" i="4"/>
  <c r="Y522" i="4"/>
  <c r="Y521" i="4"/>
  <c r="Y520" i="4"/>
  <c r="Y519" i="4"/>
  <c r="Y518" i="4"/>
  <c r="Y517" i="4"/>
  <c r="Y516" i="4"/>
  <c r="Y515" i="4"/>
  <c r="Y514" i="4"/>
  <c r="Y513" i="4"/>
  <c r="Y512" i="4"/>
  <c r="Y511" i="4"/>
  <c r="Y510" i="4"/>
  <c r="Y509" i="4"/>
  <c r="Y508" i="4"/>
  <c r="Y507" i="4"/>
  <c r="Y506" i="4"/>
  <c r="Y505" i="4"/>
  <c r="Y504" i="4"/>
  <c r="Y503" i="4"/>
  <c r="Y502" i="4"/>
  <c r="Y501" i="4"/>
  <c r="Y500" i="4"/>
  <c r="Y499" i="4"/>
  <c r="Y498" i="4"/>
  <c r="Y497" i="4"/>
  <c r="Y496" i="4"/>
  <c r="Y495" i="4"/>
  <c r="Y494" i="4"/>
  <c r="Y493" i="4"/>
  <c r="Y492" i="4"/>
  <c r="Y491" i="4"/>
  <c r="Y490" i="4"/>
  <c r="Y489" i="4"/>
  <c r="Y488" i="4"/>
  <c r="Y487" i="4"/>
  <c r="Y486" i="4"/>
  <c r="Y485" i="4"/>
  <c r="Y484" i="4"/>
  <c r="Y483" i="4"/>
  <c r="Y482" i="4"/>
  <c r="Y481" i="4"/>
  <c r="Y480" i="4"/>
  <c r="Y479" i="4"/>
  <c r="Y478" i="4"/>
  <c r="Y477" i="4"/>
  <c r="Y476" i="4"/>
  <c r="Y475" i="4"/>
  <c r="Y474" i="4"/>
  <c r="Y473" i="4"/>
  <c r="Y472" i="4"/>
  <c r="Y471" i="4"/>
  <c r="Y470" i="4"/>
  <c r="Y469" i="4"/>
  <c r="Y468" i="4"/>
  <c r="Y467" i="4"/>
  <c r="Y466" i="4"/>
  <c r="Y465" i="4"/>
  <c r="Y464" i="4"/>
  <c r="Y463" i="4"/>
  <c r="Y462" i="4"/>
  <c r="Y461" i="4"/>
  <c r="Y460" i="4"/>
  <c r="Y459" i="4"/>
  <c r="Y458" i="4"/>
  <c r="Y457" i="4"/>
  <c r="Y456" i="4"/>
  <c r="Y455" i="4"/>
  <c r="Y454" i="4"/>
  <c r="Y453" i="4"/>
  <c r="Y452" i="4"/>
  <c r="Y451" i="4"/>
  <c r="Y450" i="4"/>
  <c r="Y449" i="4"/>
  <c r="Y448" i="4"/>
  <c r="Y447" i="4"/>
  <c r="Y446" i="4"/>
  <c r="Y445" i="4"/>
  <c r="Y444" i="4"/>
  <c r="Y443" i="4"/>
  <c r="Y442" i="4"/>
  <c r="Y440" i="4"/>
  <c r="Y439" i="4"/>
  <c r="Y438" i="4"/>
  <c r="Y437" i="4"/>
  <c r="Y436" i="4"/>
  <c r="Y434" i="4"/>
  <c r="Y433" i="4"/>
  <c r="Y432" i="4"/>
  <c r="Y431" i="4"/>
  <c r="Y430" i="4"/>
  <c r="Y429" i="4"/>
  <c r="Y428" i="4"/>
  <c r="Y427" i="4"/>
  <c r="Y426" i="4"/>
  <c r="Y425" i="4"/>
  <c r="Y424" i="4"/>
  <c r="Y423" i="4"/>
  <c r="Y422" i="4"/>
  <c r="Y421" i="4"/>
  <c r="Y420" i="4"/>
  <c r="Y419" i="4"/>
  <c r="Y418" i="4"/>
  <c r="Y417" i="4"/>
  <c r="Y416" i="4"/>
  <c r="Y415" i="4"/>
  <c r="Y414" i="4"/>
  <c r="Y413" i="4"/>
  <c r="Y412" i="4"/>
  <c r="Y411" i="4"/>
  <c r="Y410" i="4"/>
  <c r="Y409" i="4"/>
  <c r="Y408" i="4"/>
  <c r="Y407" i="4"/>
  <c r="Y406" i="4"/>
  <c r="Y405" i="4"/>
  <c r="Y404" i="4"/>
  <c r="Y403" i="4"/>
  <c r="Y402" i="4"/>
  <c r="Y401" i="4"/>
  <c r="Y400" i="4"/>
  <c r="Y399" i="4"/>
  <c r="Y398" i="4"/>
  <c r="Y397" i="4"/>
  <c r="Y396" i="4"/>
  <c r="Y395" i="4"/>
  <c r="Y394" i="4"/>
  <c r="Y393" i="4"/>
  <c r="Y392" i="4"/>
  <c r="Y391" i="4"/>
  <c r="Y390" i="4"/>
  <c r="Y389" i="4"/>
  <c r="Y388" i="4"/>
  <c r="Y387" i="4"/>
  <c r="Y386" i="4"/>
  <c r="Y385" i="4"/>
  <c r="Y384" i="4"/>
  <c r="Y383" i="4"/>
  <c r="Y382" i="4"/>
  <c r="Y381" i="4"/>
  <c r="Y380" i="4"/>
  <c r="Y379" i="4"/>
  <c r="Y378" i="4"/>
  <c r="Y377" i="4"/>
  <c r="Y376" i="4"/>
  <c r="Y375" i="4"/>
  <c r="Y374" i="4"/>
  <c r="Y373" i="4"/>
  <c r="Y372" i="4"/>
  <c r="Y371" i="4"/>
  <c r="Y370" i="4"/>
  <c r="Y369" i="4"/>
  <c r="Y368" i="4"/>
  <c r="Y367" i="4"/>
  <c r="Y363" i="4"/>
  <c r="Y362" i="4"/>
  <c r="Y361" i="4"/>
  <c r="Y360" i="4"/>
  <c r="Y359" i="4"/>
  <c r="Y358" i="4"/>
  <c r="Y357" i="4"/>
  <c r="Y356" i="4"/>
  <c r="Y355" i="4"/>
  <c r="Y352" i="4"/>
  <c r="Y351" i="4"/>
  <c r="Y350" i="4"/>
  <c r="Y349" i="4"/>
  <c r="Y348" i="4"/>
  <c r="Y347" i="4"/>
  <c r="Y346" i="4"/>
  <c r="Y345" i="4"/>
  <c r="Y344" i="4"/>
  <c r="Y343" i="4"/>
  <c r="Y342" i="4"/>
  <c r="Y341" i="4"/>
  <c r="Y340" i="4"/>
  <c r="Y339" i="4"/>
  <c r="Y338" i="4"/>
  <c r="Y337" i="4"/>
  <c r="Y336" i="4"/>
  <c r="Y335" i="4"/>
  <c r="Y334" i="4"/>
  <c r="Y333" i="4"/>
  <c r="Y332" i="4"/>
  <c r="Y331" i="4"/>
  <c r="Y330" i="4"/>
  <c r="Y329" i="4"/>
  <c r="E136"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BE2309" i="4" l="1" a="1"/>
  <c r="BE2309" i="4" s="1"/>
  <c r="CF5" i="4"/>
  <c r="AB1194" i="4"/>
  <c r="AC1194" i="4"/>
  <c r="CF1194" i="4" s="1"/>
  <c r="CC2" i="4" s="1"/>
  <c r="Y1018" i="4"/>
  <c r="Y955" i="4"/>
  <c r="Y546" i="4"/>
  <c r="Y560" i="4"/>
  <c r="Y548" i="4"/>
  <c r="Y561" i="4"/>
  <c r="Y556" i="4"/>
  <c r="Y564" i="4"/>
  <c r="Y558" i="4"/>
  <c r="Y562" i="4"/>
  <c r="Y619" i="4"/>
  <c r="Y1191" i="4"/>
  <c r="Y1190" i="4"/>
  <c r="Y1189" i="4"/>
  <c r="BE2207" i="4" l="1" a="1"/>
  <c r="BE2207" i="4" s="1"/>
  <c r="BW2207" i="4" s="1"/>
  <c r="BE2221" i="4" a="1"/>
  <c r="BE2221" i="4" s="1"/>
  <c r="BS2221" i="4" s="1"/>
  <c r="BE2222" i="4" a="1"/>
  <c r="BE2222" i="4" s="1"/>
  <c r="BE2223" i="4" a="1"/>
  <c r="BE2223" i="4" s="1"/>
  <c r="BU2223" i="4" s="1"/>
  <c r="BE2308" i="4" a="1"/>
  <c r="BE2308" i="4" s="1"/>
  <c r="BO2308" i="4" s="1"/>
  <c r="BE2303" i="4" a="1"/>
  <c r="BE2303" i="4" s="1"/>
  <c r="BO2303" i="4" s="1"/>
  <c r="BE2314" i="4" a="1"/>
  <c r="BE2314" i="4" s="1"/>
  <c r="BO2314" i="4" s="1"/>
  <c r="BE2319" i="4" a="1"/>
  <c r="BE2319" i="4" s="1"/>
  <c r="BO2319" i="4" s="1"/>
  <c r="BE2317" i="4" a="1"/>
  <c r="BE2317" i="4" s="1"/>
  <c r="BS2317" i="4" s="1"/>
  <c r="BE2320" i="4" a="1"/>
  <c r="BE2320" i="4" s="1"/>
  <c r="BS2320" i="4" s="1"/>
  <c r="BE2316" i="4" a="1"/>
  <c r="BE2316" i="4" s="1"/>
  <c r="BR2316" i="4" s="1"/>
  <c r="BE2315" i="4" a="1"/>
  <c r="BE2315" i="4" s="1"/>
  <c r="BS2315" i="4" s="1"/>
  <c r="BE2318" i="4" a="1"/>
  <c r="BE2318" i="4" s="1"/>
  <c r="BU2318" i="4" s="1"/>
  <c r="BO2309" i="4"/>
  <c r="BR2309" i="4"/>
  <c r="BS2309" i="4"/>
  <c r="BU2309" i="4"/>
  <c r="BW2309" i="4"/>
  <c r="BE2311" i="4" a="1"/>
  <c r="BE2311" i="4" s="1"/>
  <c r="BE2302" i="4" a="1"/>
  <c r="BE2302" i="4" s="1"/>
  <c r="BE2215" i="4" a="1"/>
  <c r="BE2215" i="4" s="1"/>
  <c r="BU2215" i="4" s="1"/>
  <c r="BE2306" i="4" a="1"/>
  <c r="BE2306" i="4" s="1"/>
  <c r="BE2304" i="4" a="1"/>
  <c r="BE2304" i="4" s="1"/>
  <c r="BE2230" i="4" a="1"/>
  <c r="BE2230" i="4" s="1"/>
  <c r="BR2230" i="4" s="1"/>
  <c r="BE2312" i="4" a="1"/>
  <c r="BE2312" i="4" s="1"/>
  <c r="BE2228" i="4" a="1"/>
  <c r="BE2228" i="4" s="1"/>
  <c r="BR2228" i="4" s="1"/>
  <c r="BE2307" i="4" a="1"/>
  <c r="BE2307" i="4" s="1"/>
  <c r="BE2313" i="4" a="1"/>
  <c r="BE2313" i="4" s="1"/>
  <c r="BE2305" i="4" a="1"/>
  <c r="BE2305" i="4" s="1"/>
  <c r="BE2231" i="4" a="1"/>
  <c r="BE2231" i="4" s="1"/>
  <c r="BU2231" i="4" s="1"/>
  <c r="BE2326" i="4" a="1"/>
  <c r="BE2326" i="4" s="1"/>
  <c r="BE2267" i="4" a="1"/>
  <c r="BE2267" i="4" s="1"/>
  <c r="BE2324" i="4" a="1"/>
  <c r="BE2324" i="4" s="1"/>
  <c r="BE2281" i="4" a="1"/>
  <c r="BE2281" i="4" s="1"/>
  <c r="BE2325" i="4" a="1"/>
  <c r="BE2325" i="4" s="1"/>
  <c r="BE2322" i="4" a="1"/>
  <c r="BE2322" i="4" s="1"/>
  <c r="BE2310" i="4" a="1"/>
  <c r="BE2310" i="4" s="1"/>
  <c r="BE2321" i="4" a="1"/>
  <c r="BE2321" i="4" s="1"/>
  <c r="BE2323" i="4" a="1"/>
  <c r="BE2323" i="4" s="1"/>
  <c r="BE2327" i="4" a="1"/>
  <c r="BE2327" i="4" s="1"/>
  <c r="BE2224" i="4" a="1"/>
  <c r="BE2224" i="4" s="1"/>
  <c r="BW2224" i="4" s="1"/>
  <c r="BE2225" i="4" a="1"/>
  <c r="BE2225" i="4" s="1"/>
  <c r="BO2225" i="4" s="1"/>
  <c r="BE2254" i="4" a="1"/>
  <c r="BE2254" i="4" s="1"/>
  <c r="BR2254" i="4" s="1"/>
  <c r="BE2299" i="4" a="1"/>
  <c r="BE2299" i="4" s="1"/>
  <c r="BE2269" i="4" a="1"/>
  <c r="BE2269" i="4" s="1"/>
  <c r="BE2290" i="4" a="1"/>
  <c r="BE2290" i="4" s="1"/>
  <c r="BE2297" i="4" a="1"/>
  <c r="BE2297" i="4" s="1"/>
  <c r="BE2296" i="4" a="1"/>
  <c r="BE2296" i="4" s="1"/>
  <c r="BE2229" i="4" a="1"/>
  <c r="BE2229" i="4" s="1"/>
  <c r="BR2229" i="4" s="1"/>
  <c r="BE2300" i="4" a="1"/>
  <c r="BE2300" i="4" s="1"/>
  <c r="BE2280" i="4" a="1"/>
  <c r="BE2280" i="4" s="1"/>
  <c r="BE2274" i="4" a="1"/>
  <c r="BE2274" i="4" s="1"/>
  <c r="BE2298" i="4" a="1"/>
  <c r="BE2298" i="4" s="1"/>
  <c r="BE2266" i="4" a="1"/>
  <c r="BE2266" i="4" s="1"/>
  <c r="BE2271" i="4" a="1"/>
  <c r="BE2271" i="4" s="1"/>
  <c r="BE2283" i="4" a="1"/>
  <c r="BE2283" i="4" s="1"/>
  <c r="BE2288" i="4" a="1"/>
  <c r="BE2288" i="4" s="1"/>
  <c r="BE2292" i="4" a="1"/>
  <c r="BE2292" i="4" s="1"/>
  <c r="BE2295" i="4" a="1"/>
  <c r="BE2295" i="4" s="1"/>
  <c r="BE2286" i="4" a="1"/>
  <c r="BE2286" i="4" s="1"/>
  <c r="BE2287" i="4" a="1"/>
  <c r="BE2287" i="4" s="1"/>
  <c r="BE2278" i="4" a="1"/>
  <c r="BE2278" i="4" s="1"/>
  <c r="BE2272" i="4" a="1"/>
  <c r="BE2272" i="4" s="1"/>
  <c r="BE2262" i="4" a="1"/>
  <c r="BE2262" i="4" s="1"/>
  <c r="BE2264" i="4" a="1"/>
  <c r="BE2264" i="4" s="1"/>
  <c r="BE2294" i="4" a="1"/>
  <c r="BE2294" i="4" s="1"/>
  <c r="BE2285" i="4" a="1"/>
  <c r="BE2285" i="4" s="1"/>
  <c r="BE2233" i="4" a="1"/>
  <c r="BE2233" i="4" s="1"/>
  <c r="BU2233" i="4" s="1"/>
  <c r="BE2263" i="4" a="1"/>
  <c r="BE2263" i="4" s="1"/>
  <c r="BE2248" i="4" a="1"/>
  <c r="BE2248" i="4" s="1"/>
  <c r="BR2248" i="4" s="1"/>
  <c r="BE2284" i="4" a="1"/>
  <c r="BE2284" i="4" s="1"/>
  <c r="BE2279" i="4" a="1"/>
  <c r="BE2279" i="4" s="1"/>
  <c r="BE2268" i="4" a="1"/>
  <c r="BE2268" i="4" s="1"/>
  <c r="BE2273" i="4" a="1"/>
  <c r="BE2273" i="4" s="1"/>
  <c r="BE2275" i="4" a="1"/>
  <c r="BE2275" i="4" s="1"/>
  <c r="BE2270" i="4" a="1"/>
  <c r="BE2270" i="4" s="1"/>
  <c r="BE2289" i="4" a="1"/>
  <c r="BE2289" i="4" s="1"/>
  <c r="BE2293" i="4" a="1"/>
  <c r="BE2293" i="4" s="1"/>
  <c r="BE2291" i="4" a="1"/>
  <c r="BE2291" i="4" s="1"/>
  <c r="BE2282" i="4" a="1"/>
  <c r="BE2282" i="4" s="1"/>
  <c r="BE2277" i="4" a="1"/>
  <c r="BE2277" i="4" s="1"/>
  <c r="BE2276" i="4" a="1"/>
  <c r="BE2276" i="4" s="1"/>
  <c r="BE2265" i="4" a="1"/>
  <c r="BE2265" i="4" s="1"/>
  <c r="BE2301" i="4" a="1"/>
  <c r="BE2301" i="4" s="1"/>
  <c r="BE2227" i="4" a="1"/>
  <c r="BE2227" i="4" s="1"/>
  <c r="BR2227" i="4" s="1"/>
  <c r="BE2255" i="4" a="1"/>
  <c r="BE2255" i="4" s="1"/>
  <c r="BE2226" i="4" a="1"/>
  <c r="BE2226" i="4" s="1"/>
  <c r="BU2226" i="4" s="1"/>
  <c r="BE2246" i="4" a="1"/>
  <c r="BE2246" i="4" s="1"/>
  <c r="BE2239" i="4" a="1"/>
  <c r="BE2239" i="4" s="1"/>
  <c r="BE2256" i="4" a="1"/>
  <c r="BE2256" i="4" s="1"/>
  <c r="BE2247" i="4" a="1"/>
  <c r="BE2247" i="4" s="1"/>
  <c r="BE2258" i="4" a="1"/>
  <c r="BE2258" i="4" s="1"/>
  <c r="BE2238" i="4" a="1"/>
  <c r="BE2238" i="4" s="1"/>
  <c r="BE2242" i="4" a="1"/>
  <c r="BE2242" i="4" s="1"/>
  <c r="BE2240" i="4" a="1"/>
  <c r="BE2240" i="4" s="1"/>
  <c r="BE2244" i="4" a="1"/>
  <c r="BE2244" i="4" s="1"/>
  <c r="BE2232" i="4" a="1"/>
  <c r="BE2232" i="4" s="1"/>
  <c r="BE2243" i="4" a="1"/>
  <c r="BE2243" i="4" s="1"/>
  <c r="BE2259" i="4" a="1"/>
  <c r="BE2259" i="4" s="1"/>
  <c r="BE2236" i="4" a="1"/>
  <c r="BE2236" i="4" s="1"/>
  <c r="BE2250" i="4" a="1"/>
  <c r="BE2250" i="4" s="1"/>
  <c r="BE2235" i="4" a="1"/>
  <c r="BE2235" i="4" s="1"/>
  <c r="BE2249" i="4" a="1"/>
  <c r="BE2249" i="4" s="1"/>
  <c r="BE2234" i="4" a="1"/>
  <c r="BE2234" i="4" s="1"/>
  <c r="BE2241" i="4" a="1"/>
  <c r="BE2241" i="4" s="1"/>
  <c r="BE2252" i="4" a="1"/>
  <c r="BE2252" i="4" s="1"/>
  <c r="BE2251" i="4" a="1"/>
  <c r="BE2251" i="4" s="1"/>
  <c r="BE2237" i="4" a="1"/>
  <c r="BE2237" i="4" s="1"/>
  <c r="BE2257" i="4" a="1"/>
  <c r="BE2257" i="4" s="1"/>
  <c r="BE2253" i="4" a="1"/>
  <c r="BE2253" i="4" s="1"/>
  <c r="BE2245" i="4" a="1"/>
  <c r="BE2245" i="4" s="1"/>
  <c r="BE2260" i="4" a="1"/>
  <c r="BE2260" i="4" s="1"/>
  <c r="BE2261" i="4" a="1"/>
  <c r="BE2261" i="4" s="1"/>
  <c r="BW2221" i="4"/>
  <c r="BO2222" i="4"/>
  <c r="BW2222" i="4"/>
  <c r="BU2222" i="4"/>
  <c r="BS2222" i="4"/>
  <c r="BR2222" i="4"/>
  <c r="BE2205" i="4" a="1"/>
  <c r="BE2205" i="4" s="1"/>
  <c r="BU2205" i="4" s="1"/>
  <c r="BE2201" i="4" a="1"/>
  <c r="BE2201" i="4" s="1"/>
  <c r="BU2201" i="4" s="1"/>
  <c r="BE2217" i="4" a="1"/>
  <c r="BE2217" i="4" s="1"/>
  <c r="BE2216" i="4" a="1"/>
  <c r="BE2216" i="4" s="1"/>
  <c r="BE2214" i="4" a="1"/>
  <c r="BE2214" i="4" s="1"/>
  <c r="BE2213" i="4" a="1"/>
  <c r="BE2213" i="4" s="1"/>
  <c r="BE2212" i="4" a="1"/>
  <c r="BE2212" i="4" s="1"/>
  <c r="BE2218" i="4" a="1"/>
  <c r="BE2218" i="4" s="1"/>
  <c r="BE2211" i="4" a="1"/>
  <c r="BE2211" i="4" s="1"/>
  <c r="BE2210" i="4" a="1"/>
  <c r="BE2210" i="4" s="1"/>
  <c r="BE2209" i="4" a="1"/>
  <c r="BE2209" i="4" s="1"/>
  <c r="BE2219" i="4" a="1"/>
  <c r="BE2219" i="4" s="1"/>
  <c r="BE2208" i="4" a="1"/>
  <c r="BE2208" i="4" s="1"/>
  <c r="BE2220" i="4" a="1"/>
  <c r="BE2220" i="4" s="1"/>
  <c r="BE2190" i="4" a="1"/>
  <c r="BE2190" i="4" s="1"/>
  <c r="BR2190" i="4" s="1"/>
  <c r="BE2192" i="4" a="1"/>
  <c r="BE2192" i="4" s="1"/>
  <c r="BO2192" i="4" s="1"/>
  <c r="BE2193" i="4" a="1"/>
  <c r="BE2193" i="4" s="1"/>
  <c r="BW2193" i="4" s="1"/>
  <c r="BE2194" i="4" a="1"/>
  <c r="BE2194" i="4" s="1"/>
  <c r="BW2194" i="4" s="1"/>
  <c r="BE2199" i="4" a="1"/>
  <c r="BE2199" i="4" s="1"/>
  <c r="BU2199" i="4" s="1"/>
  <c r="BE2203" i="4" a="1"/>
  <c r="BE2203" i="4" s="1"/>
  <c r="BE2206" i="4" a="1"/>
  <c r="BE2206" i="4" s="1"/>
  <c r="BE2204" i="4" a="1"/>
  <c r="BE2204" i="4" s="1"/>
  <c r="BE2202" i="4" a="1"/>
  <c r="BE2202" i="4" s="1"/>
  <c r="BE2191" i="4" a="1"/>
  <c r="BE2191" i="4" s="1"/>
  <c r="BS2191" i="4" s="1"/>
  <c r="BE2195" i="4" a="1"/>
  <c r="BE2195" i="4" s="1"/>
  <c r="BO2195" i="4" s="1"/>
  <c r="BE2196" i="4" a="1"/>
  <c r="BE2196" i="4" s="1"/>
  <c r="BO2196" i="4" s="1"/>
  <c r="BE2197" i="4" a="1"/>
  <c r="BE2197" i="4" s="1"/>
  <c r="BR2197" i="4" s="1"/>
  <c r="BE2198" i="4" a="1"/>
  <c r="BE2198" i="4" s="1"/>
  <c r="BR2198" i="4" s="1"/>
  <c r="BE2200" i="4" a="1"/>
  <c r="BE2200" i="4" s="1"/>
  <c r="BO2200" i="4" s="1"/>
  <c r="BE40" i="4" a="1"/>
  <c r="BE40" i="4" s="1"/>
  <c r="BU40" i="4" s="1"/>
  <c r="BE49" i="4" a="1"/>
  <c r="BE49" i="4" s="1"/>
  <c r="BU49" i="4" s="1"/>
  <c r="BE41" i="4" a="1"/>
  <c r="BE41" i="4" s="1"/>
  <c r="BO41" i="4" s="1"/>
  <c r="BE44" i="4" a="1"/>
  <c r="BE44" i="4" s="1"/>
  <c r="BO44" i="4" s="1"/>
  <c r="BE690" i="4" a="1"/>
  <c r="BE690" i="4" s="1"/>
  <c r="BW690" i="4" s="1"/>
  <c r="BE693" i="4" a="1"/>
  <c r="BE693" i="4" s="1"/>
  <c r="BW693" i="4" s="1"/>
  <c r="BE696" i="4" a="1"/>
  <c r="BE696" i="4" s="1"/>
  <c r="BO696" i="4" s="1"/>
  <c r="BE688" i="4" a="1"/>
  <c r="BE688" i="4" s="1"/>
  <c r="BO688" i="4" s="1"/>
  <c r="BE1410" i="4" a="1"/>
  <c r="BE1410" i="4" s="1"/>
  <c r="BE2183" i="4" a="1"/>
  <c r="BE2183" i="4" s="1"/>
  <c r="BS2183" i="4" s="1"/>
  <c r="BE2187" i="4" a="1"/>
  <c r="BE2187" i="4" s="1"/>
  <c r="BU2187" i="4" s="1"/>
  <c r="BE2184" i="4" a="1"/>
  <c r="BE2184" i="4" s="1"/>
  <c r="BS2184" i="4" s="1"/>
  <c r="BE2186" i="4" a="1"/>
  <c r="BE2186" i="4" s="1"/>
  <c r="BS2186" i="4" s="1"/>
  <c r="BE2185" i="4" a="1"/>
  <c r="BE2185" i="4" s="1"/>
  <c r="BS2185" i="4" s="1"/>
  <c r="BE2188" i="4" a="1"/>
  <c r="BE2188" i="4" s="1"/>
  <c r="BE2189" i="4" a="1"/>
  <c r="BE2189" i="4" s="1"/>
  <c r="BE5" i="4" a="1"/>
  <c r="BE5" i="4" s="1"/>
  <c r="BW5" i="4" s="1"/>
  <c r="BE689" i="4" a="1"/>
  <c r="BE689" i="4" s="1"/>
  <c r="BE697" i="4" a="1"/>
  <c r="BE697" i="4" s="1"/>
  <c r="BE694" i="4" a="1"/>
  <c r="BE694" i="4" s="1"/>
  <c r="BE698" i="4" a="1"/>
  <c r="BE698" i="4" s="1"/>
  <c r="BE691" i="4" a="1"/>
  <c r="BE691" i="4" s="1"/>
  <c r="BE699" i="4" a="1"/>
  <c r="BE699" i="4" s="1"/>
  <c r="BE692" i="4" a="1"/>
  <c r="BE692" i="4" s="1"/>
  <c r="BE695" i="4" a="1"/>
  <c r="BE695" i="4" s="1"/>
  <c r="BE2181" i="4" a="1"/>
  <c r="BE2181" i="4" s="1"/>
  <c r="BS2181" i="4" s="1"/>
  <c r="BE2182" i="4" a="1"/>
  <c r="BE2182" i="4" s="1"/>
  <c r="BU2182" i="4" s="1"/>
  <c r="BE2079" i="4" a="1"/>
  <c r="BE2079" i="4" s="1"/>
  <c r="BO2079" i="4" s="1"/>
  <c r="BE2176" i="4" a="1"/>
  <c r="BE2176" i="4" s="1"/>
  <c r="BW2176" i="4" s="1"/>
  <c r="BE2177" i="4" a="1"/>
  <c r="BE2177" i="4" s="1"/>
  <c r="BE2178" i="4" a="1"/>
  <c r="BE2178" i="4" s="1"/>
  <c r="BE2143" i="4" a="1"/>
  <c r="BE2143" i="4" s="1"/>
  <c r="BO2143" i="4" s="1"/>
  <c r="BE2155" i="4" a="1"/>
  <c r="BE2155" i="4" s="1"/>
  <c r="BR2155" i="4" s="1"/>
  <c r="BE2156" i="4" a="1"/>
  <c r="BE2156" i="4" s="1"/>
  <c r="BR2156" i="4" s="1"/>
  <c r="BE2150" i="4" a="1"/>
  <c r="BE2150" i="4" s="1"/>
  <c r="BE2165" i="4" a="1"/>
  <c r="BE2165" i="4" s="1"/>
  <c r="BU2165" i="4" s="1"/>
  <c r="BE2163" i="4" a="1"/>
  <c r="BE2163" i="4" s="1"/>
  <c r="BE2159" i="4" a="1"/>
  <c r="BE2159" i="4" s="1"/>
  <c r="BE2161" i="4" a="1"/>
  <c r="BE2161" i="4" s="1"/>
  <c r="BE2158" i="4" a="1"/>
  <c r="BE2158" i="4" s="1"/>
  <c r="BE2160" i="4" a="1"/>
  <c r="BE2160" i="4" s="1"/>
  <c r="BE2149" i="4" a="1"/>
  <c r="BE2149" i="4" s="1"/>
  <c r="BE2169" i="4" a="1"/>
  <c r="BE2169" i="4" s="1"/>
  <c r="BE2164" i="4" a="1"/>
  <c r="BE2164" i="4" s="1"/>
  <c r="BE2168" i="4" a="1"/>
  <c r="BE2168" i="4" s="1"/>
  <c r="BE2157" i="4" a="1"/>
  <c r="BE2157" i="4" s="1"/>
  <c r="BE2170" i="4" a="1"/>
  <c r="BE2170" i="4" s="1"/>
  <c r="BE2166" i="4" a="1"/>
  <c r="BE2166" i="4" s="1"/>
  <c r="BE2151" i="4" a="1"/>
  <c r="BE2151" i="4" s="1"/>
  <c r="BE2167" i="4" a="1"/>
  <c r="BE2167" i="4" s="1"/>
  <c r="BE2153" i="4" a="1"/>
  <c r="BE2153" i="4" s="1"/>
  <c r="BE2171" i="4" a="1"/>
  <c r="BE2171" i="4" s="1"/>
  <c r="BE2154" i="4" a="1"/>
  <c r="BE2154" i="4" s="1"/>
  <c r="BE2173" i="4" a="1"/>
  <c r="BE2173" i="4" s="1"/>
  <c r="BE2152" i="4" a="1"/>
  <c r="BE2152" i="4" s="1"/>
  <c r="BE2172" i="4" a="1"/>
  <c r="BE2172" i="4" s="1"/>
  <c r="BE2174" i="4" a="1"/>
  <c r="BE2174" i="4" s="1"/>
  <c r="BE2162" i="4" a="1"/>
  <c r="BE2162" i="4" s="1"/>
  <c r="BE2175" i="4" a="1"/>
  <c r="BE2175" i="4" s="1"/>
  <c r="BE2138" i="4" a="1"/>
  <c r="BE2138" i="4" s="1"/>
  <c r="BE2135" i="4" a="1"/>
  <c r="BE2135" i="4" s="1"/>
  <c r="BE2141" i="4" a="1"/>
  <c r="BE2141" i="4" s="1"/>
  <c r="BE2140" i="4" a="1"/>
  <c r="BE2140" i="4" s="1"/>
  <c r="BE2119" i="4" a="1"/>
  <c r="BE2119" i="4" s="1"/>
  <c r="BO2119" i="4" s="1"/>
  <c r="BE2137" i="4" a="1"/>
  <c r="BE2137" i="4" s="1"/>
  <c r="BE2134" i="4" a="1"/>
  <c r="BE2134" i="4" s="1"/>
  <c r="BE2118" i="4" a="1"/>
  <c r="BE2118" i="4" s="1"/>
  <c r="BU2118" i="4" s="1"/>
  <c r="BE2136" i="4" a="1"/>
  <c r="BE2136" i="4" s="1"/>
  <c r="BE2139" i="4" a="1"/>
  <c r="BE2139" i="4" s="1"/>
  <c r="BE2117" i="4" a="1"/>
  <c r="BE2117" i="4" s="1"/>
  <c r="BW2117" i="4" s="1"/>
  <c r="BE2142" i="4" a="1"/>
  <c r="BE2142" i="4" s="1"/>
  <c r="BE2133" i="4" a="1"/>
  <c r="BE2133" i="4" s="1"/>
  <c r="BE2127" i="4" a="1"/>
  <c r="BE2127" i="4" s="1"/>
  <c r="BE2126" i="4" a="1"/>
  <c r="BE2126" i="4" s="1"/>
  <c r="BE2120" i="4" a="1"/>
  <c r="BE2120" i="4" s="1"/>
  <c r="BR2120" i="4" s="1"/>
  <c r="BE2125" i="4" a="1"/>
  <c r="BE2125" i="4" s="1"/>
  <c r="BE2116" i="4" a="1"/>
  <c r="BE2116" i="4" s="1"/>
  <c r="BU2116" i="4" s="1"/>
  <c r="BE2132" i="4" a="1"/>
  <c r="BE2132" i="4" s="1"/>
  <c r="BE2121" i="4" a="1"/>
  <c r="BE2121" i="4" s="1"/>
  <c r="BE2128" i="4" a="1"/>
  <c r="BE2128" i="4" s="1"/>
  <c r="BE2124" i="4" a="1"/>
  <c r="BE2124" i="4" s="1"/>
  <c r="BE2131" i="4" a="1"/>
  <c r="BE2131" i="4" s="1"/>
  <c r="BE2123" i="4" a="1"/>
  <c r="BE2123" i="4" s="1"/>
  <c r="BE2129" i="4" a="1"/>
  <c r="BE2129" i="4" s="1"/>
  <c r="BE2122" i="4" a="1"/>
  <c r="BE2122" i="4" s="1"/>
  <c r="BE2130" i="4" a="1"/>
  <c r="BE2130" i="4" s="1"/>
  <c r="BE2096" i="4" a="1"/>
  <c r="BE2096" i="4" s="1"/>
  <c r="BW2096" i="4" s="1"/>
  <c r="BE2106" i="4" a="1"/>
  <c r="BE2106" i="4" s="1"/>
  <c r="BO2106" i="4" s="1"/>
  <c r="BE2095" i="4" a="1"/>
  <c r="BE2095" i="4" s="1"/>
  <c r="BR2095" i="4" s="1"/>
  <c r="BE2108" i="4" a="1"/>
  <c r="BE2108" i="4" s="1"/>
  <c r="BW2108" i="4" s="1"/>
  <c r="BE2094" i="4" a="1"/>
  <c r="BE2094" i="4" s="1"/>
  <c r="BS2094" i="4" s="1"/>
  <c r="BE2110" i="4" a="1"/>
  <c r="BE2110" i="4" s="1"/>
  <c r="BR2110" i="4" s="1"/>
  <c r="BE2104" i="4" a="1"/>
  <c r="BE2104" i="4" s="1"/>
  <c r="BO2104" i="4" s="1"/>
  <c r="BE2098" i="4" a="1"/>
  <c r="BE2098" i="4" s="1"/>
  <c r="BW2098" i="4" s="1"/>
  <c r="BE2097" i="4" a="1"/>
  <c r="BE2097" i="4" s="1"/>
  <c r="BE2109" i="4" a="1"/>
  <c r="BE2109" i="4" s="1"/>
  <c r="BE2100" i="4" a="1"/>
  <c r="BE2100" i="4" s="1"/>
  <c r="BE2099" i="4" a="1"/>
  <c r="BE2099" i="4" s="1"/>
  <c r="BE2103" i="4" a="1"/>
  <c r="BE2103" i="4" s="1"/>
  <c r="BE2107" i="4" a="1"/>
  <c r="BE2107" i="4" s="1"/>
  <c r="BE2093" i="4" a="1"/>
  <c r="BE2093" i="4" s="1"/>
  <c r="BE2102" i="4" a="1"/>
  <c r="BE2102" i="4" s="1"/>
  <c r="BE2101" i="4" a="1"/>
  <c r="BE2101" i="4" s="1"/>
  <c r="BE2112" i="4" a="1"/>
  <c r="BE2112" i="4" s="1"/>
  <c r="BE2105" i="4" a="1"/>
  <c r="BE2105" i="4" s="1"/>
  <c r="BE2113" i="4" a="1"/>
  <c r="BE2113" i="4" s="1"/>
  <c r="BE2111" i="4" a="1"/>
  <c r="BE2111" i="4" s="1"/>
  <c r="BE2114" i="4" a="1"/>
  <c r="BE2114" i="4" s="1"/>
  <c r="BE2115" i="4" a="1"/>
  <c r="BE2115" i="4" s="1"/>
  <c r="BE2146" i="4" a="1"/>
  <c r="BE2146" i="4" s="1"/>
  <c r="BE2148" i="4" a="1"/>
  <c r="BE2148" i="4" s="1"/>
  <c r="BE2147" i="4" a="1"/>
  <c r="BE2147" i="4" s="1"/>
  <c r="BE2144" i="4" a="1"/>
  <c r="BE2144" i="4" s="1"/>
  <c r="BE2145" i="4" a="1"/>
  <c r="BE2145" i="4" s="1"/>
  <c r="BE2081" i="4" a="1"/>
  <c r="BE2081" i="4" s="1"/>
  <c r="BE2092" i="4" a="1"/>
  <c r="BE2092" i="4" s="1"/>
  <c r="BE2088" i="4" a="1"/>
  <c r="BE2088" i="4" s="1"/>
  <c r="BE2087" i="4" a="1"/>
  <c r="BE2087" i="4" s="1"/>
  <c r="BE2083" i="4" a="1"/>
  <c r="BE2083" i="4" s="1"/>
  <c r="BE2082" i="4" a="1"/>
  <c r="BE2082" i="4" s="1"/>
  <c r="BE2084" i="4" a="1"/>
  <c r="BE2084" i="4" s="1"/>
  <c r="BE2089" i="4" a="1"/>
  <c r="BE2089" i="4" s="1"/>
  <c r="BE2086" i="4" a="1"/>
  <c r="BE2086" i="4" s="1"/>
  <c r="BE2090" i="4" a="1"/>
  <c r="BE2090" i="4" s="1"/>
  <c r="BE2091" i="4" a="1"/>
  <c r="BE2091" i="4" s="1"/>
  <c r="BE2085" i="4" a="1"/>
  <c r="BE2085" i="4" s="1"/>
  <c r="BE2078" i="4" a="1"/>
  <c r="BE2078" i="4" s="1"/>
  <c r="BO2078" i="4" s="1"/>
  <c r="BE2080" i="4" a="1"/>
  <c r="BE2080" i="4" s="1"/>
  <c r="BE2067" i="4" a="1"/>
  <c r="BE2067" i="4" s="1"/>
  <c r="BE2059" i="4" a="1"/>
  <c r="BE2059" i="4" s="1"/>
  <c r="BE2066" i="4" a="1"/>
  <c r="BE2066" i="4" s="1"/>
  <c r="BE2068" i="4" a="1"/>
  <c r="BE2068" i="4" s="1"/>
  <c r="BE2060" i="4" a="1"/>
  <c r="BE2060" i="4" s="1"/>
  <c r="BE2061" i="4" a="1"/>
  <c r="BE2061" i="4" s="1"/>
  <c r="BE2070" i="4" a="1"/>
  <c r="BE2070" i="4" s="1"/>
  <c r="BE2062" i="4" a="1"/>
  <c r="BE2062" i="4" s="1"/>
  <c r="BE2063" i="4" a="1"/>
  <c r="BE2063" i="4" s="1"/>
  <c r="BE2065" i="4" a="1"/>
  <c r="BE2065" i="4" s="1"/>
  <c r="BE2072" i="4" a="1"/>
  <c r="BE2072" i="4" s="1"/>
  <c r="BE2074" i="4" a="1"/>
  <c r="BE2074" i="4" s="1"/>
  <c r="BE2076" i="4" a="1"/>
  <c r="BE2076" i="4" s="1"/>
  <c r="BE2058" i="4" a="1"/>
  <c r="BE2058" i="4" s="1"/>
  <c r="BE2075" i="4" a="1"/>
  <c r="BE2075" i="4" s="1"/>
  <c r="BE2069" i="4" a="1"/>
  <c r="BE2069" i="4" s="1"/>
  <c r="BE2071" i="4" a="1"/>
  <c r="BE2071" i="4" s="1"/>
  <c r="BE2073" i="4" a="1"/>
  <c r="BE2073" i="4" s="1"/>
  <c r="BE2064" i="4" a="1"/>
  <c r="BE2064" i="4" s="1"/>
  <c r="BE2077" i="4" a="1"/>
  <c r="BE2077" i="4" s="1"/>
  <c r="BE2051" i="4" a="1"/>
  <c r="BE2051" i="4" s="1"/>
  <c r="BU2051" i="4" s="1"/>
  <c r="BE2055" i="4" a="1"/>
  <c r="BE2055" i="4" s="1"/>
  <c r="BW2055" i="4" s="1"/>
  <c r="BE2052" i="4" a="1"/>
  <c r="BE2052" i="4" s="1"/>
  <c r="BU2052" i="4" s="1"/>
  <c r="BE2030" i="4" a="1"/>
  <c r="BE2030" i="4" s="1"/>
  <c r="BO2030" i="4" s="1"/>
  <c r="BE2034" i="4" a="1"/>
  <c r="BE2034" i="4" s="1"/>
  <c r="BW2034" i="4" s="1"/>
  <c r="BE2046" i="4" a="1"/>
  <c r="BE2046" i="4" s="1"/>
  <c r="BS2046" i="4" s="1"/>
  <c r="BE2039" i="4" a="1"/>
  <c r="BE2039" i="4" s="1"/>
  <c r="BS2039" i="4" s="1"/>
  <c r="BE2050" i="4" a="1"/>
  <c r="BE2050" i="4" s="1"/>
  <c r="BU2050" i="4" s="1"/>
  <c r="BE2048" i="4" a="1"/>
  <c r="BE2048" i="4" s="1"/>
  <c r="BR2048" i="4" s="1"/>
  <c r="BE2054" i="4" a="1"/>
  <c r="BE2054" i="4" s="1"/>
  <c r="BE2056" i="4" a="1"/>
  <c r="BE2056" i="4" s="1"/>
  <c r="BE2043" i="4" a="1"/>
  <c r="BE2043" i="4" s="1"/>
  <c r="BE2047" i="4" a="1"/>
  <c r="BE2047" i="4" s="1"/>
  <c r="BE2035" i="4" a="1"/>
  <c r="BE2035" i="4" s="1"/>
  <c r="BE2053" i="4" a="1"/>
  <c r="BE2053" i="4" s="1"/>
  <c r="BE2031" i="4" a="1"/>
  <c r="BE2031" i="4" s="1"/>
  <c r="BE2044" i="4" a="1"/>
  <c r="BE2044" i="4" s="1"/>
  <c r="BE2037" i="4" a="1"/>
  <c r="BE2037" i="4" s="1"/>
  <c r="BE2040" i="4" a="1"/>
  <c r="BE2040" i="4" s="1"/>
  <c r="BE2045" i="4" a="1"/>
  <c r="BE2045" i="4" s="1"/>
  <c r="BE2036" i="4" a="1"/>
  <c r="BE2036" i="4" s="1"/>
  <c r="BE2032" i="4" a="1"/>
  <c r="BE2032" i="4" s="1"/>
  <c r="BE2042" i="4" a="1"/>
  <c r="BE2042" i="4" s="1"/>
  <c r="BE2049" i="4" a="1"/>
  <c r="BE2049" i="4" s="1"/>
  <c r="AA25" i="3" a="1"/>
  <c r="AA25" i="3" s="1"/>
  <c r="BE2057" i="4" a="1"/>
  <c r="BE2057" i="4" s="1"/>
  <c r="BE2033" i="4" a="1"/>
  <c r="BE2033" i="4" s="1"/>
  <c r="BE2038" i="4" a="1"/>
  <c r="BE2038" i="4" s="1"/>
  <c r="BE2041" i="4" a="1"/>
  <c r="BE2041" i="4" s="1"/>
  <c r="BE2026" i="4" a="1"/>
  <c r="BE2026" i="4" s="1"/>
  <c r="BE2017" i="4" a="1"/>
  <c r="BE2017" i="4" s="1"/>
  <c r="AA9" i="3" a="1"/>
  <c r="AA9" i="3" s="1"/>
  <c r="BE2022" i="4" a="1"/>
  <c r="BE2022" i="4" s="1"/>
  <c r="BE2025" i="4" a="1"/>
  <c r="BE2025" i="4" s="1"/>
  <c r="G60" i="3" a="1"/>
  <c r="G60" i="3" s="1"/>
  <c r="BE2028" i="4" a="1"/>
  <c r="BE2028" i="4" s="1"/>
  <c r="BE2015" i="4" a="1"/>
  <c r="BE2015" i="4" s="1"/>
  <c r="BE2016" i="4" a="1"/>
  <c r="BE2016" i="4" s="1"/>
  <c r="BE2020" i="4" a="1"/>
  <c r="BE2020" i="4" s="1"/>
  <c r="BE2021" i="4" a="1"/>
  <c r="BE2021" i="4" s="1"/>
  <c r="BE2023" i="4" a="1"/>
  <c r="BE2023" i="4" s="1"/>
  <c r="BE2012" i="4" a="1"/>
  <c r="BE2012" i="4" s="1"/>
  <c r="BE2029" i="4" a="1"/>
  <c r="BE2029" i="4" s="1"/>
  <c r="BE2018" i="4" a="1"/>
  <c r="BE2018" i="4" s="1"/>
  <c r="BE2027" i="4" a="1"/>
  <c r="BE2027" i="4" s="1"/>
  <c r="BE2019" i="4" a="1"/>
  <c r="BE2019" i="4" s="1"/>
  <c r="BE2013" i="4" a="1"/>
  <c r="BE2013" i="4" s="1"/>
  <c r="BE2011" i="4" a="1"/>
  <c r="BE2011" i="4" s="1"/>
  <c r="BE2014" i="4" a="1"/>
  <c r="BE2014" i="4" s="1"/>
  <c r="BE2010" i="4" a="1"/>
  <c r="BE2010" i="4" s="1"/>
  <c r="BE2024" i="4" a="1"/>
  <c r="BE2024" i="4" s="1"/>
  <c r="BE2009" i="4" a="1"/>
  <c r="BE2009" i="4" s="1"/>
  <c r="G44" i="3" a="1"/>
  <c r="G44" i="3" s="1"/>
  <c r="G61" i="3" a="1"/>
  <c r="G61" i="3" s="1"/>
  <c r="AA13" i="3" a="1"/>
  <c r="AA13" i="3" s="1"/>
  <c r="BE1824" i="4" a="1"/>
  <c r="BE1824" i="4" s="1"/>
  <c r="BO1824" i="4" s="1"/>
  <c r="AA10" i="3" a="1"/>
  <c r="AA10" i="3" s="1"/>
  <c r="BE1826" i="4" a="1"/>
  <c r="BE1826" i="4" s="1"/>
  <c r="BR1826" i="4" s="1"/>
  <c r="G45" i="3" a="1"/>
  <c r="G45" i="3" s="1"/>
  <c r="AA24" i="3" a="1"/>
  <c r="AA24" i="3" s="1"/>
  <c r="G34" i="3" a="1"/>
  <c r="G34" i="3" s="1"/>
  <c r="G35" i="3" a="1"/>
  <c r="G35" i="3" s="1"/>
  <c r="G25" i="3" a="1"/>
  <c r="G25" i="3" s="1"/>
  <c r="G12" i="3" a="1"/>
  <c r="G12" i="3" s="1"/>
  <c r="BE1825" i="4" a="1"/>
  <c r="BE1825" i="4" s="1"/>
  <c r="BS1825" i="4" s="1"/>
  <c r="BE1689" i="4" a="1"/>
  <c r="BE1689" i="4" s="1"/>
  <c r="BU1689" i="4" s="1"/>
  <c r="G13" i="3" a="1"/>
  <c r="G13" i="3" s="1"/>
  <c r="G9" i="3" a="1"/>
  <c r="G9" i="3" s="1"/>
  <c r="G36" i="3" a="1"/>
  <c r="G36" i="3" s="1"/>
  <c r="G37" i="3" a="1"/>
  <c r="G37" i="3" s="1"/>
  <c r="G38" i="3" a="1"/>
  <c r="G38" i="3" s="1"/>
  <c r="AA33" i="3" a="1"/>
  <c r="AA33" i="3" s="1"/>
  <c r="AA28" i="3" a="1"/>
  <c r="AA28" i="3" s="1"/>
  <c r="AA26" i="3" a="1"/>
  <c r="AA26" i="3" s="1"/>
  <c r="G27" i="3" a="1"/>
  <c r="G27" i="3" s="1"/>
  <c r="G39" i="3" a="1"/>
  <c r="G39" i="3" s="1"/>
  <c r="G40" i="3" a="1"/>
  <c r="G40" i="3" s="1"/>
  <c r="G41" i="3" a="1"/>
  <c r="G41" i="3" s="1"/>
  <c r="G28" i="3" a="1"/>
  <c r="G28" i="3" s="1"/>
  <c r="G29" i="3" a="1"/>
  <c r="G29" i="3" s="1"/>
  <c r="G30" i="3" a="1"/>
  <c r="G30" i="3" s="1"/>
  <c r="G33" i="3" a="1"/>
  <c r="G33" i="3" s="1"/>
  <c r="G31" i="3" a="1"/>
  <c r="G31" i="3" s="1"/>
  <c r="G32" i="3" a="1"/>
  <c r="G32" i="3" s="1"/>
  <c r="G26" i="3" a="1"/>
  <c r="G26" i="3" s="1"/>
  <c r="BE1830" i="4" a="1"/>
  <c r="BE1830" i="4" s="1"/>
  <c r="BE1829" i="4" a="1"/>
  <c r="BE1829" i="4" s="1"/>
  <c r="BE1828" i="4" a="1"/>
  <c r="BE1828" i="4" s="1"/>
  <c r="BE1832" i="4" a="1"/>
  <c r="BE1832" i="4" s="1"/>
  <c r="BE1831" i="4" a="1"/>
  <c r="BE1831" i="4" s="1"/>
  <c r="BE1827" i="4" a="1"/>
  <c r="BE1827" i="4" s="1"/>
  <c r="BR1827" i="4" s="1"/>
  <c r="G19" i="3" a="1"/>
  <c r="G19" i="3" s="1"/>
  <c r="AA43" i="3" a="1"/>
  <c r="AA43" i="3" s="1"/>
  <c r="AA16" i="3" a="1"/>
  <c r="AA16" i="3" s="1"/>
  <c r="BE1688" i="4" a="1"/>
  <c r="BE1688" i="4" s="1"/>
  <c r="BS1688" i="4" s="1"/>
  <c r="BE1687" i="4" a="1"/>
  <c r="BE1687" i="4" s="1"/>
  <c r="BO1687" i="4" s="1"/>
  <c r="BE1823" i="4" a="1"/>
  <c r="BE1823" i="4" s="1"/>
  <c r="BR1823" i="4" s="1"/>
  <c r="G64" i="3" a="1"/>
  <c r="G64" i="3" s="1"/>
  <c r="G58" i="3" a="1"/>
  <c r="G58" i="3" s="1"/>
  <c r="G56" i="3" a="1"/>
  <c r="G56" i="3" s="1"/>
  <c r="BE1620" i="4" a="1"/>
  <c r="BE1620" i="4" s="1"/>
  <c r="BE1618" i="4" a="1"/>
  <c r="BE1618" i="4" s="1"/>
  <c r="BE1619" i="4" a="1"/>
  <c r="BE1619" i="4" s="1"/>
  <c r="BE1622" i="4" a="1"/>
  <c r="BE1622" i="4" s="1"/>
  <c r="BE1621" i="4" a="1"/>
  <c r="BE1621" i="4" s="1"/>
  <c r="AB3" i="4"/>
  <c r="G6" i="3" a="1"/>
  <c r="G6" i="3" s="1"/>
  <c r="G15" i="3" a="1"/>
  <c r="G15" i="3" s="1"/>
  <c r="G47" i="3" a="1"/>
  <c r="G47" i="3" s="1"/>
  <c r="G48" i="3" a="1"/>
  <c r="G48" i="3" s="1"/>
  <c r="G68" i="3" a="1"/>
  <c r="G68" i="3" s="1"/>
  <c r="AA11" i="3" a="1"/>
  <c r="AA11" i="3" s="1"/>
  <c r="G21" i="3" a="1"/>
  <c r="G21" i="3" s="1"/>
  <c r="G57" i="3" a="1"/>
  <c r="G57" i="3" s="1"/>
  <c r="G46" i="3" a="1"/>
  <c r="G46" i="3" s="1"/>
  <c r="G10" i="3" a="1"/>
  <c r="G10" i="3" s="1"/>
  <c r="G14" i="3" a="1"/>
  <c r="G14" i="3" s="1"/>
  <c r="G8" i="3" a="1"/>
  <c r="G8" i="3" s="1"/>
  <c r="G20" i="3" a="1"/>
  <c r="G20" i="3" s="1"/>
  <c r="AA12" i="3" a="1"/>
  <c r="AA12" i="3" s="1"/>
  <c r="G51" i="3" a="1"/>
  <c r="G51" i="3" s="1"/>
  <c r="G17" i="3" a="1"/>
  <c r="G17" i="3" s="1"/>
  <c r="AA6" i="3" a="1"/>
  <c r="AA6" i="3" s="1"/>
  <c r="G16" i="3" a="1"/>
  <c r="G16" i="3" s="1"/>
  <c r="G22" i="3" a="1"/>
  <c r="G22" i="3" s="1"/>
  <c r="G53" i="3" a="1"/>
  <c r="G53" i="3" s="1"/>
  <c r="AA8" i="3" a="1"/>
  <c r="AA8" i="3" s="1"/>
  <c r="G24" i="3" a="1"/>
  <c r="G24" i="3" s="1"/>
  <c r="G18" i="3" a="1"/>
  <c r="G18" i="3" s="1"/>
  <c r="G52" i="3" a="1"/>
  <c r="G52" i="3" s="1"/>
  <c r="AA14" i="3" a="1"/>
  <c r="AA14" i="3" s="1"/>
  <c r="AA7" i="3" a="1"/>
  <c r="AA7" i="3" s="1"/>
  <c r="AA51" i="3" a="1"/>
  <c r="AA51" i="3" s="1"/>
  <c r="G49" i="3" a="1"/>
  <c r="G49" i="3" s="1"/>
  <c r="G59" i="3" a="1"/>
  <c r="G59" i="3" s="1"/>
  <c r="G67" i="3" a="1"/>
  <c r="G67" i="3" s="1"/>
  <c r="G65" i="3" a="1"/>
  <c r="G65" i="3" s="1"/>
  <c r="G66" i="3" a="1"/>
  <c r="G66" i="3" s="1"/>
  <c r="BS2207" i="4" l="1"/>
  <c r="BO2207" i="4"/>
  <c r="BU2207" i="4"/>
  <c r="BR2207" i="4"/>
  <c r="BO2221" i="4"/>
  <c r="BR2221" i="4"/>
  <c r="BU2221" i="4"/>
  <c r="BS2223" i="4"/>
  <c r="BW2223" i="4"/>
  <c r="BO2223" i="4"/>
  <c r="BR2223" i="4"/>
  <c r="BS2215" i="4"/>
  <c r="BO2228" i="4"/>
  <c r="BS2225" i="4"/>
  <c r="AG2225" i="4" s="1"/>
  <c r="BW2228" i="4"/>
  <c r="BU2228" i="4"/>
  <c r="BO2201" i="4"/>
  <c r="BS2228" i="4"/>
  <c r="BR2215" i="4"/>
  <c r="BW2215" i="4"/>
  <c r="BO2215" i="4"/>
  <c r="BW2303" i="4"/>
  <c r="BR2308" i="4"/>
  <c r="BW2314" i="4"/>
  <c r="BU2303" i="4"/>
  <c r="BU2225" i="4"/>
  <c r="BW2225" i="4"/>
  <c r="BR2225" i="4"/>
  <c r="BW2318" i="4"/>
  <c r="BR2314" i="4"/>
  <c r="BW2308" i="4"/>
  <c r="BO2318" i="4"/>
  <c r="BW2316" i="4"/>
  <c r="BU2316" i="4"/>
  <c r="BS2303" i="4"/>
  <c r="BR2320" i="4"/>
  <c r="BR2303" i="4"/>
  <c r="BW2320" i="4"/>
  <c r="BU2320" i="4"/>
  <c r="BU2308" i="4"/>
  <c r="BR2317" i="4"/>
  <c r="BS2308" i="4"/>
  <c r="AG2308" i="4" s="1"/>
  <c r="BU2314" i="4"/>
  <c r="BW2319" i="4"/>
  <c r="BS2314" i="4"/>
  <c r="BU2319" i="4"/>
  <c r="BS2319" i="4"/>
  <c r="AG2319" i="4" s="1"/>
  <c r="BS2318" i="4"/>
  <c r="BO2320" i="4"/>
  <c r="AG2320" i="4" s="1"/>
  <c r="BU2317" i="4"/>
  <c r="BW2317" i="4"/>
  <c r="BU2315" i="4"/>
  <c r="BR2318" i="4"/>
  <c r="BO2316" i="4"/>
  <c r="BR2319" i="4"/>
  <c r="BS2316" i="4"/>
  <c r="BO2317" i="4"/>
  <c r="BO2315" i="4"/>
  <c r="AG2315" i="4" s="1"/>
  <c r="BR2315" i="4"/>
  <c r="BW2315" i="4"/>
  <c r="BS2230" i="4"/>
  <c r="BU2230" i="4"/>
  <c r="BW2230" i="4"/>
  <c r="BO2230" i="4"/>
  <c r="BS2229" i="4"/>
  <c r="BO2254" i="4"/>
  <c r="BW2254" i="4"/>
  <c r="BU2254" i="4"/>
  <c r="BS2254" i="4"/>
  <c r="BR2224" i="4"/>
  <c r="BS2224" i="4"/>
  <c r="BU2224" i="4"/>
  <c r="BO2224" i="4"/>
  <c r="BO2231" i="4"/>
  <c r="BR2231" i="4"/>
  <c r="BS2231" i="4"/>
  <c r="BW2231" i="4"/>
  <c r="BU2229" i="4"/>
  <c r="BW2229" i="4"/>
  <c r="BO2229" i="4"/>
  <c r="BS2226" i="4"/>
  <c r="BW2233" i="4"/>
  <c r="BS2293" i="4"/>
  <c r="BU2293" i="4"/>
  <c r="BW2293" i="4"/>
  <c r="BR2293" i="4"/>
  <c r="BO2293" i="4"/>
  <c r="BO2278" i="4"/>
  <c r="BR2278" i="4"/>
  <c r="BS2278" i="4"/>
  <c r="BU2278" i="4"/>
  <c r="BW2278" i="4"/>
  <c r="BR2290" i="4"/>
  <c r="BS2290" i="4"/>
  <c r="BU2290" i="4"/>
  <c r="BW2290" i="4"/>
  <c r="BO2290" i="4"/>
  <c r="BO2289" i="4"/>
  <c r="BR2289" i="4"/>
  <c r="BS2289" i="4"/>
  <c r="BU2289" i="4"/>
  <c r="BW2289" i="4"/>
  <c r="BS2287" i="4"/>
  <c r="BU2287" i="4"/>
  <c r="BW2287" i="4"/>
  <c r="BO2287" i="4"/>
  <c r="BR2287" i="4"/>
  <c r="BO2269" i="4"/>
  <c r="BR2269" i="4"/>
  <c r="BS2269" i="4"/>
  <c r="BU2269" i="4"/>
  <c r="BW2269" i="4"/>
  <c r="BW2305" i="4"/>
  <c r="BU2305" i="4"/>
  <c r="BO2305" i="4"/>
  <c r="BR2305" i="4"/>
  <c r="BS2305" i="4"/>
  <c r="BO2270" i="4"/>
  <c r="BR2270" i="4"/>
  <c r="BS2270" i="4"/>
  <c r="BU2270" i="4"/>
  <c r="BW2270" i="4"/>
  <c r="BO2286" i="4"/>
  <c r="BR2286" i="4"/>
  <c r="BS2286" i="4"/>
  <c r="BU2286" i="4"/>
  <c r="BW2286" i="4"/>
  <c r="BW2299" i="4"/>
  <c r="BU2299" i="4"/>
  <c r="BO2299" i="4"/>
  <c r="BR2299" i="4"/>
  <c r="BS2299" i="4"/>
  <c r="BO2313" i="4"/>
  <c r="BR2313" i="4"/>
  <c r="BS2313" i="4"/>
  <c r="BW2313" i="4"/>
  <c r="BU2313" i="4"/>
  <c r="BO2275" i="4"/>
  <c r="BR2275" i="4"/>
  <c r="BS2275" i="4"/>
  <c r="BU2275" i="4"/>
  <c r="BW2275" i="4"/>
  <c r="BO2295" i="4"/>
  <c r="BR2295" i="4"/>
  <c r="BS2295" i="4"/>
  <c r="BU2295" i="4"/>
  <c r="BW2295" i="4"/>
  <c r="BO2307" i="4"/>
  <c r="BR2307" i="4"/>
  <c r="BS2307" i="4"/>
  <c r="BU2307" i="4"/>
  <c r="BW2307" i="4"/>
  <c r="BO2273" i="4"/>
  <c r="BR2273" i="4"/>
  <c r="BS2273" i="4"/>
  <c r="BU2273" i="4"/>
  <c r="BW2273" i="4"/>
  <c r="BO2292" i="4"/>
  <c r="BR2292" i="4"/>
  <c r="BS2292" i="4"/>
  <c r="BU2292" i="4"/>
  <c r="BW2292" i="4"/>
  <c r="BS2268" i="4"/>
  <c r="BU2268" i="4"/>
  <c r="BW2268" i="4"/>
  <c r="BO2268" i="4"/>
  <c r="BR2268" i="4"/>
  <c r="BO2288" i="4"/>
  <c r="BR2288" i="4"/>
  <c r="BS2288" i="4"/>
  <c r="BU2288" i="4"/>
  <c r="BW2288" i="4"/>
  <c r="BS2312" i="4"/>
  <c r="BU2312" i="4"/>
  <c r="BW2312" i="4"/>
  <c r="BO2312" i="4"/>
  <c r="BR2312" i="4"/>
  <c r="BO2279" i="4"/>
  <c r="BR2279" i="4"/>
  <c r="BS2279" i="4"/>
  <c r="BU2279" i="4"/>
  <c r="BW2279" i="4"/>
  <c r="BO2283" i="4"/>
  <c r="BR2283" i="4"/>
  <c r="BS2283" i="4"/>
  <c r="BU2283" i="4"/>
  <c r="BW2283" i="4"/>
  <c r="BO2327" i="4"/>
  <c r="BR2327" i="4"/>
  <c r="BS2327" i="4"/>
  <c r="BU2327" i="4"/>
  <c r="BW2327" i="4"/>
  <c r="BR2284" i="4"/>
  <c r="BS2284" i="4"/>
  <c r="BU2284" i="4"/>
  <c r="BW2284" i="4"/>
  <c r="BO2284" i="4"/>
  <c r="BU2271" i="4"/>
  <c r="BW2271" i="4"/>
  <c r="BO2271" i="4"/>
  <c r="BR2271" i="4"/>
  <c r="BS2271" i="4"/>
  <c r="BW2323" i="4"/>
  <c r="BO2323" i="4"/>
  <c r="BS2323" i="4"/>
  <c r="BU2323" i="4"/>
  <c r="BR2323" i="4"/>
  <c r="BO2304" i="4"/>
  <c r="BR2304" i="4"/>
  <c r="BS2304" i="4"/>
  <c r="BU2304" i="4"/>
  <c r="BW2304" i="4"/>
  <c r="BO2266" i="4"/>
  <c r="BR2266" i="4"/>
  <c r="BS2266" i="4"/>
  <c r="BU2266" i="4"/>
  <c r="BW2266" i="4"/>
  <c r="BO2321" i="4"/>
  <c r="BR2321" i="4"/>
  <c r="BS2321" i="4"/>
  <c r="BU2321" i="4"/>
  <c r="BW2321" i="4"/>
  <c r="BO2306" i="4"/>
  <c r="BR2306" i="4"/>
  <c r="BS2306" i="4"/>
  <c r="BU2306" i="4"/>
  <c r="BW2306" i="4"/>
  <c r="BO2263" i="4"/>
  <c r="BR2263" i="4"/>
  <c r="BS2263" i="4"/>
  <c r="BU2263" i="4"/>
  <c r="BW2263" i="4"/>
  <c r="BO2298" i="4"/>
  <c r="BR2298" i="4"/>
  <c r="BS2298" i="4"/>
  <c r="BU2298" i="4"/>
  <c r="BW2298" i="4"/>
  <c r="BO2310" i="4"/>
  <c r="BR2310" i="4"/>
  <c r="BS2310" i="4"/>
  <c r="BU2310" i="4"/>
  <c r="BW2310" i="4"/>
  <c r="BO2301" i="4"/>
  <c r="BR2301" i="4"/>
  <c r="BS2301" i="4"/>
  <c r="BU2301" i="4"/>
  <c r="BW2301" i="4"/>
  <c r="BU2274" i="4"/>
  <c r="BW2274" i="4"/>
  <c r="BO2274" i="4"/>
  <c r="BR2274" i="4"/>
  <c r="BS2274" i="4"/>
  <c r="BO2322" i="4"/>
  <c r="BR2322" i="4"/>
  <c r="BS2322" i="4"/>
  <c r="BU2322" i="4"/>
  <c r="BW2322" i="4"/>
  <c r="BW2302" i="4"/>
  <c r="BO2302" i="4"/>
  <c r="BR2302" i="4"/>
  <c r="BS2302" i="4"/>
  <c r="BU2302" i="4"/>
  <c r="BR2265" i="4"/>
  <c r="BS2265" i="4"/>
  <c r="BU2265" i="4"/>
  <c r="BW2265" i="4"/>
  <c r="BO2265" i="4"/>
  <c r="BO2285" i="4"/>
  <c r="BR2285" i="4"/>
  <c r="BS2285" i="4"/>
  <c r="BU2285" i="4"/>
  <c r="BW2285" i="4"/>
  <c r="BO2280" i="4"/>
  <c r="BR2280" i="4"/>
  <c r="BS2280" i="4"/>
  <c r="BU2280" i="4"/>
  <c r="BW2280" i="4"/>
  <c r="BW2325" i="4"/>
  <c r="BO2325" i="4"/>
  <c r="BR2325" i="4"/>
  <c r="BS2325" i="4"/>
  <c r="BU2325" i="4"/>
  <c r="BO2311" i="4"/>
  <c r="BR2311" i="4"/>
  <c r="BS2311" i="4"/>
  <c r="BU2311" i="4"/>
  <c r="BW2311" i="4"/>
  <c r="BW2248" i="4"/>
  <c r="BO2276" i="4"/>
  <c r="BR2276" i="4"/>
  <c r="BS2276" i="4"/>
  <c r="BU2276" i="4"/>
  <c r="BW2276" i="4"/>
  <c r="BO2294" i="4"/>
  <c r="BR2294" i="4"/>
  <c r="BS2294" i="4"/>
  <c r="BU2294" i="4"/>
  <c r="BW2294" i="4"/>
  <c r="BO2300" i="4"/>
  <c r="BR2300" i="4"/>
  <c r="BS2300" i="4"/>
  <c r="BU2300" i="4"/>
  <c r="BW2300" i="4"/>
  <c r="BO2281" i="4"/>
  <c r="BR2281" i="4"/>
  <c r="BS2281" i="4"/>
  <c r="BU2281" i="4"/>
  <c r="BW2281" i="4"/>
  <c r="BU2248" i="4"/>
  <c r="BW2277" i="4"/>
  <c r="BO2277" i="4"/>
  <c r="BR2277" i="4"/>
  <c r="BS2277" i="4"/>
  <c r="BU2277" i="4"/>
  <c r="BO2264" i="4"/>
  <c r="BR2264" i="4"/>
  <c r="BS2264" i="4"/>
  <c r="BU2264" i="4"/>
  <c r="BW2264" i="4"/>
  <c r="BO2324" i="4"/>
  <c r="BR2324" i="4"/>
  <c r="BS2324" i="4"/>
  <c r="BU2324" i="4"/>
  <c r="BW2324" i="4"/>
  <c r="BO2282" i="4"/>
  <c r="BR2282" i="4"/>
  <c r="BS2282" i="4"/>
  <c r="BU2282" i="4"/>
  <c r="BW2282" i="4"/>
  <c r="BO2262" i="4"/>
  <c r="BR2262" i="4"/>
  <c r="BS2262" i="4"/>
  <c r="BU2262" i="4"/>
  <c r="BW2262" i="4"/>
  <c r="BU2296" i="4"/>
  <c r="BW2296" i="4"/>
  <c r="BS2296" i="4"/>
  <c r="BO2296" i="4"/>
  <c r="BR2296" i="4"/>
  <c r="BO2267" i="4"/>
  <c r="BR2267" i="4"/>
  <c r="BS2267" i="4"/>
  <c r="BU2267" i="4"/>
  <c r="BW2267" i="4"/>
  <c r="BX2309" i="4"/>
  <c r="BO2291" i="4"/>
  <c r="BR2291" i="4"/>
  <c r="BS2291" i="4"/>
  <c r="BU2291" i="4"/>
  <c r="BW2291" i="4"/>
  <c r="BO2272" i="4"/>
  <c r="BR2272" i="4"/>
  <c r="BS2272" i="4"/>
  <c r="BU2272" i="4"/>
  <c r="BW2272" i="4"/>
  <c r="BO2297" i="4"/>
  <c r="BR2297" i="4"/>
  <c r="BS2297" i="4"/>
  <c r="BU2297" i="4"/>
  <c r="BW2297" i="4"/>
  <c r="BS2326" i="4"/>
  <c r="BW2326" i="4"/>
  <c r="BO2326" i="4"/>
  <c r="BR2326" i="4"/>
  <c r="BU2326" i="4"/>
  <c r="BS2248" i="4"/>
  <c r="BS2233" i="4"/>
  <c r="BO2248" i="4"/>
  <c r="BW2226" i="4"/>
  <c r="BO2226" i="4"/>
  <c r="BR2233" i="4"/>
  <c r="BO2233" i="4"/>
  <c r="BR2226" i="4"/>
  <c r="BS2227" i="4"/>
  <c r="BU2227" i="4"/>
  <c r="BW2227" i="4"/>
  <c r="BO2227" i="4"/>
  <c r="BO2245" i="4"/>
  <c r="BR2245" i="4"/>
  <c r="BS2245" i="4"/>
  <c r="BU2245" i="4"/>
  <c r="BW2245" i="4"/>
  <c r="BO2253" i="4"/>
  <c r="BR2253" i="4"/>
  <c r="BS2253" i="4"/>
  <c r="BU2253" i="4"/>
  <c r="BW2253" i="4"/>
  <c r="BW2257" i="4"/>
  <c r="BR2257" i="4"/>
  <c r="BU2257" i="4"/>
  <c r="BO2257" i="4"/>
  <c r="BS2257" i="4"/>
  <c r="BO2243" i="4"/>
  <c r="BR2243" i="4"/>
  <c r="BS2243" i="4"/>
  <c r="BU2243" i="4"/>
  <c r="BW2243" i="4"/>
  <c r="BO2237" i="4"/>
  <c r="BR2237" i="4"/>
  <c r="BS2237" i="4"/>
  <c r="BU2237" i="4"/>
  <c r="BW2237" i="4"/>
  <c r="BO2232" i="4"/>
  <c r="BR2232" i="4"/>
  <c r="BS2232" i="4"/>
  <c r="BU2232" i="4"/>
  <c r="BW2232" i="4"/>
  <c r="BW2261" i="4"/>
  <c r="BR2261" i="4"/>
  <c r="BO2261" i="4"/>
  <c r="BU2261" i="4"/>
  <c r="BS2261" i="4"/>
  <c r="BO2251" i="4"/>
  <c r="BR2251" i="4"/>
  <c r="BS2251" i="4"/>
  <c r="BU2251" i="4"/>
  <c r="BW2251" i="4"/>
  <c r="BS2244" i="4"/>
  <c r="BU2244" i="4"/>
  <c r="BW2244" i="4"/>
  <c r="BO2244" i="4"/>
  <c r="BR2244" i="4"/>
  <c r="BW2252" i="4"/>
  <c r="BU2252" i="4"/>
  <c r="BS2252" i="4"/>
  <c r="BO2252" i="4"/>
  <c r="BR2252" i="4"/>
  <c r="BR2240" i="4"/>
  <c r="BU2240" i="4"/>
  <c r="BO2240" i="4"/>
  <c r="BW2240" i="4"/>
  <c r="BS2240" i="4"/>
  <c r="BS2241" i="4"/>
  <c r="BU2241" i="4"/>
  <c r="BW2241" i="4"/>
  <c r="BO2241" i="4"/>
  <c r="BR2241" i="4"/>
  <c r="BO2242" i="4"/>
  <c r="BR2242" i="4"/>
  <c r="BS2242" i="4"/>
  <c r="BU2242" i="4"/>
  <c r="BW2242" i="4"/>
  <c r="BR2234" i="4"/>
  <c r="BS2234" i="4"/>
  <c r="BU2234" i="4"/>
  <c r="BW2234" i="4"/>
  <c r="BO2234" i="4"/>
  <c r="BS2238" i="4"/>
  <c r="BU2238" i="4"/>
  <c r="BW2238" i="4"/>
  <c r="BR2238" i="4"/>
  <c r="BO2238" i="4"/>
  <c r="BW2249" i="4"/>
  <c r="BO2249" i="4"/>
  <c r="BU2249" i="4"/>
  <c r="BR2249" i="4"/>
  <c r="BS2249" i="4"/>
  <c r="BW2258" i="4"/>
  <c r="BO2258" i="4"/>
  <c r="BR2258" i="4"/>
  <c r="BS2258" i="4"/>
  <c r="BU2258" i="4"/>
  <c r="BR2235" i="4"/>
  <c r="BO2235" i="4"/>
  <c r="BS2235" i="4"/>
  <c r="BU2235" i="4"/>
  <c r="BW2235" i="4"/>
  <c r="BW2247" i="4"/>
  <c r="BO2247" i="4"/>
  <c r="BR2247" i="4"/>
  <c r="BU2247" i="4"/>
  <c r="BS2247" i="4"/>
  <c r="BR2260" i="4"/>
  <c r="BU2260" i="4"/>
  <c r="BS2260" i="4"/>
  <c r="BO2260" i="4"/>
  <c r="BW2260" i="4"/>
  <c r="BW2250" i="4"/>
  <c r="BO2250" i="4"/>
  <c r="BR2250" i="4"/>
  <c r="BS2250" i="4"/>
  <c r="BU2250" i="4"/>
  <c r="BR2256" i="4"/>
  <c r="BS2256" i="4"/>
  <c r="BU2256" i="4"/>
  <c r="BW2256" i="4"/>
  <c r="BO2256" i="4"/>
  <c r="BW2236" i="4"/>
  <c r="BO2236" i="4"/>
  <c r="BR2236" i="4"/>
  <c r="BS2236" i="4"/>
  <c r="BU2236" i="4"/>
  <c r="BU2239" i="4"/>
  <c r="BR2239" i="4"/>
  <c r="BW2239" i="4"/>
  <c r="BS2239" i="4"/>
  <c r="BO2239" i="4"/>
  <c r="BO2259" i="4"/>
  <c r="BR2259" i="4"/>
  <c r="BS2259" i="4"/>
  <c r="BU2259" i="4"/>
  <c r="BW2259" i="4"/>
  <c r="BO2246" i="4"/>
  <c r="BR2246" i="4"/>
  <c r="BS2246" i="4"/>
  <c r="BU2246" i="4"/>
  <c r="BW2246" i="4"/>
  <c r="BO2255" i="4"/>
  <c r="BR2255" i="4"/>
  <c r="BU2255" i="4"/>
  <c r="BS2255" i="4"/>
  <c r="BW2255" i="4"/>
  <c r="BR2201" i="4"/>
  <c r="BS2205" i="4"/>
  <c r="BW2201" i="4"/>
  <c r="BS2201" i="4"/>
  <c r="BO2205" i="4"/>
  <c r="BW2205" i="4"/>
  <c r="BR2205" i="4"/>
  <c r="BX2222" i="4"/>
  <c r="AG2222" i="4"/>
  <c r="AG2221" i="4"/>
  <c r="BR2209" i="4"/>
  <c r="BO2209" i="4"/>
  <c r="BW2209" i="4"/>
  <c r="BU2209" i="4"/>
  <c r="BS2209" i="4"/>
  <c r="BR2210" i="4"/>
  <c r="BO2210" i="4"/>
  <c r="BW2210" i="4"/>
  <c r="BU2210" i="4"/>
  <c r="BS2210" i="4"/>
  <c r="BR2211" i="4"/>
  <c r="BO2211" i="4"/>
  <c r="BW2211" i="4"/>
  <c r="BU2211" i="4"/>
  <c r="BS2211" i="4"/>
  <c r="BO2218" i="4"/>
  <c r="BR2218" i="4"/>
  <c r="BU2218" i="4"/>
  <c r="BW2218" i="4"/>
  <c r="BS2218" i="4"/>
  <c r="BO2212" i="4"/>
  <c r="BR2212" i="4"/>
  <c r="BW2212" i="4"/>
  <c r="BU2212" i="4"/>
  <c r="BS2212" i="4"/>
  <c r="BR2213" i="4"/>
  <c r="BO2213" i="4"/>
  <c r="BW2213" i="4"/>
  <c r="BU2213" i="4"/>
  <c r="BS2213" i="4"/>
  <c r="BR2214" i="4"/>
  <c r="BU2214" i="4"/>
  <c r="BW2214" i="4"/>
  <c r="BO2214" i="4"/>
  <c r="BS2214" i="4"/>
  <c r="BR2220" i="4"/>
  <c r="BS2220" i="4"/>
  <c r="BU2220" i="4"/>
  <c r="BW2220" i="4"/>
  <c r="BO2220" i="4"/>
  <c r="BO2208" i="4"/>
  <c r="BW2208" i="4"/>
  <c r="BU2208" i="4"/>
  <c r="BR2208" i="4"/>
  <c r="BS2208" i="4"/>
  <c r="BU2219" i="4"/>
  <c r="BW2219" i="4"/>
  <c r="BR2219" i="4"/>
  <c r="BO2219" i="4"/>
  <c r="BS2219" i="4"/>
  <c r="BX2207" i="4"/>
  <c r="AG2207" i="4"/>
  <c r="BR2216" i="4"/>
  <c r="BO2216" i="4"/>
  <c r="BW2216" i="4"/>
  <c r="BU2216" i="4"/>
  <c r="BS2216" i="4"/>
  <c r="BU2217" i="4"/>
  <c r="BW2217" i="4"/>
  <c r="BR2217" i="4"/>
  <c r="BO2217" i="4"/>
  <c r="BS2217" i="4"/>
  <c r="BU2193" i="4"/>
  <c r="BS2194" i="4"/>
  <c r="BS2193" i="4"/>
  <c r="BO2194" i="4"/>
  <c r="BR2193" i="4"/>
  <c r="BO2193" i="4"/>
  <c r="BU2190" i="4"/>
  <c r="BR2192" i="4"/>
  <c r="BS2190" i="4"/>
  <c r="BR693" i="4"/>
  <c r="BR2199" i="4"/>
  <c r="BO2199" i="4"/>
  <c r="BW2190" i="4"/>
  <c r="BO2190" i="4"/>
  <c r="BS2196" i="4"/>
  <c r="AG2196" i="4" s="1"/>
  <c r="AI2196" i="4" s="1"/>
  <c r="BS2199" i="4"/>
  <c r="BS2195" i="4"/>
  <c r="AG2195" i="4" s="1"/>
  <c r="BU2197" i="4"/>
  <c r="BW2197" i="4"/>
  <c r="BR2194" i="4"/>
  <c r="BW2199" i="4"/>
  <c r="BU2194" i="4"/>
  <c r="BW2198" i="4"/>
  <c r="BS2198" i="4"/>
  <c r="BO2198" i="4"/>
  <c r="BS2197" i="4"/>
  <c r="BU2202" i="4"/>
  <c r="BO2202" i="4"/>
  <c r="BS2202" i="4"/>
  <c r="BW2202" i="4"/>
  <c r="BR2202" i="4"/>
  <c r="BO2204" i="4"/>
  <c r="BS2204" i="4"/>
  <c r="BW2204" i="4"/>
  <c r="BU2204" i="4"/>
  <c r="BR2204" i="4"/>
  <c r="BO2206" i="4"/>
  <c r="BW2206" i="4"/>
  <c r="BR2206" i="4"/>
  <c r="BU2206" i="4"/>
  <c r="BS2206" i="4"/>
  <c r="BW2203" i="4"/>
  <c r="BS2203" i="4"/>
  <c r="BR2203" i="4"/>
  <c r="BU2203" i="4"/>
  <c r="BO2203" i="4"/>
  <c r="BW2192" i="4"/>
  <c r="BU2192" i="4"/>
  <c r="BS2192" i="4"/>
  <c r="AG2192" i="4" s="1"/>
  <c r="BR2195" i="4"/>
  <c r="BW2200" i="4"/>
  <c r="BS2200" i="4"/>
  <c r="AG2200" i="4" s="1"/>
  <c r="AI2200" i="4" s="1"/>
  <c r="BR2200" i="4"/>
  <c r="BU2200" i="4"/>
  <c r="BO2197" i="4"/>
  <c r="BW2196" i="4"/>
  <c r="BU2196" i="4"/>
  <c r="BR2196" i="4"/>
  <c r="BW2195" i="4"/>
  <c r="BU2183" i="4"/>
  <c r="BW2191" i="4"/>
  <c r="BO2183" i="4"/>
  <c r="AG2183" i="4" s="1"/>
  <c r="BR2191" i="4"/>
  <c r="BR44" i="4"/>
  <c r="BR2183" i="4"/>
  <c r="BU2195" i="4"/>
  <c r="BU2198" i="4"/>
  <c r="BU2191" i="4"/>
  <c r="BO2191" i="4"/>
  <c r="AG2191" i="4" s="1"/>
  <c r="BW41" i="4"/>
  <c r="BW2183" i="4"/>
  <c r="BR696" i="4"/>
  <c r="BU2184" i="4"/>
  <c r="BS44" i="4"/>
  <c r="AG44" i="4" s="1"/>
  <c r="BU44" i="4"/>
  <c r="BR688" i="4"/>
  <c r="BU688" i="4"/>
  <c r="BW688" i="4"/>
  <c r="BW44" i="4"/>
  <c r="BS40" i="4"/>
  <c r="BU696" i="4"/>
  <c r="BR40" i="4"/>
  <c r="BU690" i="4"/>
  <c r="BU41" i="4"/>
  <c r="BS690" i="4"/>
  <c r="BS41" i="4"/>
  <c r="AG41" i="4" s="1"/>
  <c r="BR690" i="4"/>
  <c r="BR41" i="4"/>
  <c r="BO690" i="4"/>
  <c r="BW49" i="4"/>
  <c r="BS49" i="4"/>
  <c r="BR49" i="4"/>
  <c r="BO49" i="4"/>
  <c r="BS688" i="4"/>
  <c r="BO40" i="4"/>
  <c r="BW40" i="4"/>
  <c r="BS696" i="4"/>
  <c r="AG696" i="4" s="1"/>
  <c r="BW696" i="4"/>
  <c r="BR2184" i="4"/>
  <c r="BO2184" i="4"/>
  <c r="AG2184" i="4" s="1"/>
  <c r="BO2189" i="4"/>
  <c r="BR2189" i="4"/>
  <c r="BS2189" i="4"/>
  <c r="BU2189" i="4"/>
  <c r="BW2189" i="4"/>
  <c r="BO2188" i="4"/>
  <c r="BR2188" i="4"/>
  <c r="BS2188" i="4"/>
  <c r="BU2188" i="4"/>
  <c r="BW2188" i="4"/>
  <c r="BW2184" i="4"/>
  <c r="BO693" i="4"/>
  <c r="BU693" i="4"/>
  <c r="BS693" i="4"/>
  <c r="BU5" i="4"/>
  <c r="BU695" i="4"/>
  <c r="BO695" i="4"/>
  <c r="BR695" i="4"/>
  <c r="BS695" i="4"/>
  <c r="BW695" i="4"/>
  <c r="BS697" i="4"/>
  <c r="BR697" i="4"/>
  <c r="BU697" i="4"/>
  <c r="BO697" i="4"/>
  <c r="BW697" i="4"/>
  <c r="BO5" i="4"/>
  <c r="BS5" i="4"/>
  <c r="BR5" i="4"/>
  <c r="BU692" i="4"/>
  <c r="BW692" i="4"/>
  <c r="BR692" i="4"/>
  <c r="BS692" i="4"/>
  <c r="BO692" i="4"/>
  <c r="BO689" i="4"/>
  <c r="BU689" i="4"/>
  <c r="BR689" i="4"/>
  <c r="BS689" i="4"/>
  <c r="BW689" i="4"/>
  <c r="BO699" i="4"/>
  <c r="BW699" i="4"/>
  <c r="BS699" i="4"/>
  <c r="BR699" i="4"/>
  <c r="BU699" i="4"/>
  <c r="BU691" i="4"/>
  <c r="BR691" i="4"/>
  <c r="BO691" i="4"/>
  <c r="BS691" i="4"/>
  <c r="BW691" i="4"/>
  <c r="BO698" i="4"/>
  <c r="BS698" i="4"/>
  <c r="BR698" i="4"/>
  <c r="BU698" i="4"/>
  <c r="BW698" i="4"/>
  <c r="BO694" i="4"/>
  <c r="BS694" i="4"/>
  <c r="BW694" i="4"/>
  <c r="BR694" i="4"/>
  <c r="BU694" i="4"/>
  <c r="BU2079" i="4"/>
  <c r="BW2079" i="4"/>
  <c r="BS2079" i="4"/>
  <c r="AG2079" i="4" s="1"/>
  <c r="BR2079" i="4"/>
  <c r="BU2186" i="4"/>
  <c r="BW2186" i="4"/>
  <c r="BO2186" i="4"/>
  <c r="AG2186" i="4" s="1"/>
  <c r="BW2187" i="4"/>
  <c r="BR2187" i="4"/>
  <c r="BO2187" i="4"/>
  <c r="BR2186" i="4"/>
  <c r="BS2187" i="4"/>
  <c r="BU2150" i="4"/>
  <c r="BO2150" i="4"/>
  <c r="BO2182" i="4"/>
  <c r="BW2182" i="4"/>
  <c r="BU2181" i="4"/>
  <c r="BR2181" i="4"/>
  <c r="BW2181" i="4"/>
  <c r="BR2182" i="4"/>
  <c r="BR2185" i="4"/>
  <c r="BS2182" i="4"/>
  <c r="BW2185" i="4"/>
  <c r="BO2185" i="4"/>
  <c r="BO2181" i="4"/>
  <c r="AG2181" i="4" s="1"/>
  <c r="BU2185" i="4"/>
  <c r="BW2143" i="4"/>
  <c r="BU2143" i="4"/>
  <c r="BS2143" i="4"/>
  <c r="BO2165" i="4"/>
  <c r="BU2176" i="4"/>
  <c r="BS2176" i="4"/>
  <c r="BR2176" i="4"/>
  <c r="BO2176" i="4"/>
  <c r="BU2178" i="4"/>
  <c r="BO2178" i="4"/>
  <c r="BS2178" i="4"/>
  <c r="BR2178" i="4"/>
  <c r="BW2178" i="4"/>
  <c r="BO2177" i="4"/>
  <c r="BR2177" i="4"/>
  <c r="BS2177" i="4"/>
  <c r="BU2177" i="4"/>
  <c r="BW2177" i="4"/>
  <c r="BR2143" i="4"/>
  <c r="BW2165" i="4"/>
  <c r="BR2175" i="4"/>
  <c r="BW2175" i="4"/>
  <c r="BS2175" i="4"/>
  <c r="BU2175" i="4"/>
  <c r="BO2175" i="4"/>
  <c r="BS2165" i="4"/>
  <c r="BR2150" i="4"/>
  <c r="BR2165" i="4"/>
  <c r="BO2156" i="4"/>
  <c r="BU2156" i="4"/>
  <c r="BS2156" i="4"/>
  <c r="BU2155" i="4"/>
  <c r="BW2155" i="4"/>
  <c r="BW2150" i="4"/>
  <c r="BS2155" i="4"/>
  <c r="BS2150" i="4"/>
  <c r="BO2155" i="4"/>
  <c r="BW2156" i="4"/>
  <c r="BR2171" i="4"/>
  <c r="BU2171" i="4"/>
  <c r="BO2171" i="4"/>
  <c r="BW2171" i="4"/>
  <c r="BS2171" i="4"/>
  <c r="BR2153" i="4"/>
  <c r="BU2153" i="4"/>
  <c r="BS2153" i="4"/>
  <c r="BW2153" i="4"/>
  <c r="BO2153" i="4"/>
  <c r="BW2145" i="4"/>
  <c r="BU2145" i="4"/>
  <c r="BO2145" i="4"/>
  <c r="BR2145" i="4"/>
  <c r="BS2145" i="4"/>
  <c r="BS2167" i="4"/>
  <c r="BW2167" i="4"/>
  <c r="BU2167" i="4"/>
  <c r="BO2167" i="4"/>
  <c r="BR2167" i="4"/>
  <c r="BR2164" i="4"/>
  <c r="BU2164" i="4"/>
  <c r="BS2164" i="4"/>
  <c r="BO2164" i="4"/>
  <c r="BW2164" i="4"/>
  <c r="BO2144" i="4"/>
  <c r="BW2144" i="4"/>
  <c r="BR2144" i="4"/>
  <c r="BS2144" i="4"/>
  <c r="BU2144" i="4"/>
  <c r="BS2151" i="4"/>
  <c r="BR2151" i="4"/>
  <c r="BU2151" i="4"/>
  <c r="BO2151" i="4"/>
  <c r="BW2151" i="4"/>
  <c r="BO2147" i="4"/>
  <c r="BW2147" i="4"/>
  <c r="BR2147" i="4"/>
  <c r="BS2147" i="4"/>
  <c r="BU2147" i="4"/>
  <c r="BO2166" i="4"/>
  <c r="BS2166" i="4"/>
  <c r="BW2166" i="4"/>
  <c r="BU2166" i="4"/>
  <c r="BR2166" i="4"/>
  <c r="BU2148" i="4"/>
  <c r="BO2148" i="4"/>
  <c r="BW2148" i="4"/>
  <c r="BR2148" i="4"/>
  <c r="BS2148" i="4"/>
  <c r="BW2162" i="4"/>
  <c r="BS2162" i="4"/>
  <c r="BO2162" i="4"/>
  <c r="BR2162" i="4"/>
  <c r="BU2162" i="4"/>
  <c r="BU2146" i="4"/>
  <c r="BO2146" i="4"/>
  <c r="BW2146" i="4"/>
  <c r="BR2146" i="4"/>
  <c r="BS2146" i="4"/>
  <c r="BU2174" i="4"/>
  <c r="BS2174" i="4"/>
  <c r="BR2174" i="4"/>
  <c r="BW2174" i="4"/>
  <c r="BO2174" i="4"/>
  <c r="BS2169" i="4"/>
  <c r="BU2169" i="4"/>
  <c r="BO2169" i="4"/>
  <c r="BW2169" i="4"/>
  <c r="BR2169" i="4"/>
  <c r="BO2149" i="4"/>
  <c r="BR2149" i="4"/>
  <c r="BS2149" i="4"/>
  <c r="BU2149" i="4"/>
  <c r="BW2149" i="4"/>
  <c r="BS2170" i="4"/>
  <c r="BU2170" i="4"/>
  <c r="BO2170" i="4"/>
  <c r="BW2170" i="4"/>
  <c r="BR2170" i="4"/>
  <c r="BU2160" i="4"/>
  <c r="BO2160" i="4"/>
  <c r="BS2160" i="4"/>
  <c r="BW2160" i="4"/>
  <c r="BR2160" i="4"/>
  <c r="BR2157" i="4"/>
  <c r="BS2157" i="4"/>
  <c r="BU2157" i="4"/>
  <c r="BO2157" i="4"/>
  <c r="BW2157" i="4"/>
  <c r="BU2158" i="4"/>
  <c r="BO2158" i="4"/>
  <c r="BS2158" i="4"/>
  <c r="BW2158" i="4"/>
  <c r="BR2158" i="4"/>
  <c r="BR2172" i="4"/>
  <c r="BW2172" i="4"/>
  <c r="BS2172" i="4"/>
  <c r="BU2172" i="4"/>
  <c r="BO2172" i="4"/>
  <c r="BW2168" i="4"/>
  <c r="BS2168" i="4"/>
  <c r="BR2168" i="4"/>
  <c r="BO2168" i="4"/>
  <c r="BU2168" i="4"/>
  <c r="BW2152" i="4"/>
  <c r="BR2152" i="4"/>
  <c r="BU2152" i="4"/>
  <c r="BO2152" i="4"/>
  <c r="BS2152" i="4"/>
  <c r="BU2161" i="4"/>
  <c r="BO2161" i="4"/>
  <c r="BS2161" i="4"/>
  <c r="BW2161" i="4"/>
  <c r="BR2161" i="4"/>
  <c r="BU2173" i="4"/>
  <c r="BS2173" i="4"/>
  <c r="BR2173" i="4"/>
  <c r="BW2173" i="4"/>
  <c r="BO2173" i="4"/>
  <c r="BW2159" i="4"/>
  <c r="BS2159" i="4"/>
  <c r="BO2159" i="4"/>
  <c r="BR2159" i="4"/>
  <c r="BU2159" i="4"/>
  <c r="BO2154" i="4"/>
  <c r="BS2154" i="4"/>
  <c r="BW2154" i="4"/>
  <c r="BR2154" i="4"/>
  <c r="BU2154" i="4"/>
  <c r="BW2163" i="4"/>
  <c r="BR2163" i="4"/>
  <c r="BU2163" i="4"/>
  <c r="BO2163" i="4"/>
  <c r="BS2163" i="4"/>
  <c r="BS2120" i="4"/>
  <c r="BO2120" i="4"/>
  <c r="BU2120" i="4"/>
  <c r="BW2120" i="4"/>
  <c r="BS2118" i="4"/>
  <c r="BW2118" i="4"/>
  <c r="BO2118" i="4"/>
  <c r="BR2118" i="4"/>
  <c r="BU2108" i="4"/>
  <c r="BR2108" i="4"/>
  <c r="BR2119" i="4"/>
  <c r="BO2108" i="4"/>
  <c r="BO2116" i="4"/>
  <c r="BW2119" i="4"/>
  <c r="BW2116" i="4"/>
  <c r="BS2119" i="4"/>
  <c r="AG2119" i="4" s="1"/>
  <c r="BR2116" i="4"/>
  <c r="BS2116" i="4"/>
  <c r="BU2104" i="4"/>
  <c r="BU2142" i="4"/>
  <c r="BS2142" i="4"/>
  <c r="BR2142" i="4"/>
  <c r="BW2142" i="4"/>
  <c r="BO2142" i="4"/>
  <c r="BS2137" i="4"/>
  <c r="BW2137" i="4"/>
  <c r="BR2137" i="4"/>
  <c r="BU2137" i="4"/>
  <c r="BO2137" i="4"/>
  <c r="BU2117" i="4"/>
  <c r="BR2140" i="4"/>
  <c r="BU2140" i="4"/>
  <c r="BW2140" i="4"/>
  <c r="BS2140" i="4"/>
  <c r="BO2140" i="4"/>
  <c r="BW2138" i="4"/>
  <c r="BR2138" i="4"/>
  <c r="BS2138" i="4"/>
  <c r="BU2138" i="4"/>
  <c r="BO2138" i="4"/>
  <c r="BO2117" i="4"/>
  <c r="BU2141" i="4"/>
  <c r="BW2141" i="4"/>
  <c r="BR2141" i="4"/>
  <c r="BS2141" i="4"/>
  <c r="BO2141" i="4"/>
  <c r="BR2104" i="4"/>
  <c r="BR2117" i="4"/>
  <c r="BU2119" i="4"/>
  <c r="BR2139" i="4"/>
  <c r="BW2139" i="4"/>
  <c r="BU2139" i="4"/>
  <c r="BS2139" i="4"/>
  <c r="BO2139" i="4"/>
  <c r="BS2117" i="4"/>
  <c r="BS2136" i="4"/>
  <c r="BW2136" i="4"/>
  <c r="BO2136" i="4"/>
  <c r="BR2136" i="4"/>
  <c r="BU2136" i="4"/>
  <c r="BS2104" i="4"/>
  <c r="AG2104" i="4" s="1"/>
  <c r="BS2135" i="4"/>
  <c r="BU2135" i="4"/>
  <c r="BW2135" i="4"/>
  <c r="BR2135" i="4"/>
  <c r="BO2135" i="4"/>
  <c r="BU2133" i="4"/>
  <c r="BR2133" i="4"/>
  <c r="BS2133" i="4"/>
  <c r="BW2133" i="4"/>
  <c r="BO2133" i="4"/>
  <c r="BO2134" i="4"/>
  <c r="BU2134" i="4"/>
  <c r="BS2134" i="4"/>
  <c r="BR2134" i="4"/>
  <c r="BW2134" i="4"/>
  <c r="BW2106" i="4"/>
  <c r="BR2106" i="4"/>
  <c r="BU2106" i="4"/>
  <c r="BO2095" i="4"/>
  <c r="BO2094" i="4"/>
  <c r="AG2094" i="4" s="1"/>
  <c r="BW2094" i="4"/>
  <c r="BR2094" i="4"/>
  <c r="BU2094" i="4"/>
  <c r="BU2095" i="4"/>
  <c r="BW2104" i="4"/>
  <c r="BS2108" i="4"/>
  <c r="BW2095" i="4"/>
  <c r="BS2110" i="4"/>
  <c r="BS2095" i="4"/>
  <c r="BW2110" i="4"/>
  <c r="BU2130" i="4"/>
  <c r="BS2130" i="4"/>
  <c r="BR2130" i="4"/>
  <c r="BO2130" i="4"/>
  <c r="BW2130" i="4"/>
  <c r="BO2132" i="4"/>
  <c r="BU2132" i="4"/>
  <c r="BS2132" i="4"/>
  <c r="BR2132" i="4"/>
  <c r="BW2132" i="4"/>
  <c r="BU2122" i="4"/>
  <c r="BS2122" i="4"/>
  <c r="BR2122" i="4"/>
  <c r="BO2122" i="4"/>
  <c r="BW2122" i="4"/>
  <c r="BO2129" i="4"/>
  <c r="BW2129" i="4"/>
  <c r="BS2129" i="4"/>
  <c r="BU2129" i="4"/>
  <c r="BR2129" i="4"/>
  <c r="BU2125" i="4"/>
  <c r="BO2125" i="4"/>
  <c r="BW2125" i="4"/>
  <c r="BS2125" i="4"/>
  <c r="BR2125" i="4"/>
  <c r="BO2110" i="4"/>
  <c r="BS2096" i="4"/>
  <c r="BW2123" i="4"/>
  <c r="BR2123" i="4"/>
  <c r="BU2123" i="4"/>
  <c r="BS2123" i="4"/>
  <c r="BO2123" i="4"/>
  <c r="BU2110" i="4"/>
  <c r="BO2096" i="4"/>
  <c r="BO2131" i="4"/>
  <c r="BS2131" i="4"/>
  <c r="BW2131" i="4"/>
  <c r="BU2131" i="4"/>
  <c r="BR2131" i="4"/>
  <c r="BO2124" i="4"/>
  <c r="BR2124" i="4"/>
  <c r="BW2124" i="4"/>
  <c r="BU2124" i="4"/>
  <c r="BS2124" i="4"/>
  <c r="BW2128" i="4"/>
  <c r="BR2128" i="4"/>
  <c r="BU2128" i="4"/>
  <c r="BS2128" i="4"/>
  <c r="BO2128" i="4"/>
  <c r="BU2126" i="4"/>
  <c r="BR2126" i="4"/>
  <c r="BS2126" i="4"/>
  <c r="BO2126" i="4"/>
  <c r="BW2126" i="4"/>
  <c r="BO2121" i="4"/>
  <c r="BW2121" i="4"/>
  <c r="BU2121" i="4"/>
  <c r="BS2121" i="4"/>
  <c r="BR2121" i="4"/>
  <c r="BW2127" i="4"/>
  <c r="BO2127" i="4"/>
  <c r="BR2127" i="4"/>
  <c r="BU2127" i="4"/>
  <c r="BS2127" i="4"/>
  <c r="BU2096" i="4"/>
  <c r="BS2106" i="4"/>
  <c r="BR2096" i="4"/>
  <c r="BR2098" i="4"/>
  <c r="BS2098" i="4"/>
  <c r="BU2098" i="4"/>
  <c r="BO2098" i="4"/>
  <c r="BO2100" i="4"/>
  <c r="BW2100" i="4"/>
  <c r="BS2100" i="4"/>
  <c r="BU2100" i="4"/>
  <c r="BR2100" i="4"/>
  <c r="BR2115" i="4"/>
  <c r="BS2115" i="4"/>
  <c r="BW2115" i="4"/>
  <c r="BU2115" i="4"/>
  <c r="BO2115" i="4"/>
  <c r="BS2112" i="4"/>
  <c r="BR2112" i="4"/>
  <c r="BW2112" i="4"/>
  <c r="BU2112" i="4"/>
  <c r="BO2112" i="4"/>
  <c r="BS2113" i="4"/>
  <c r="BW2113" i="4"/>
  <c r="BR2113" i="4"/>
  <c r="BU2113" i="4"/>
  <c r="BO2113" i="4"/>
  <c r="BS2101" i="4"/>
  <c r="BR2101" i="4"/>
  <c r="BO2101" i="4"/>
  <c r="BU2101" i="4"/>
  <c r="BW2101" i="4"/>
  <c r="BO2114" i="4"/>
  <c r="BS2114" i="4"/>
  <c r="BW2114" i="4"/>
  <c r="BR2114" i="4"/>
  <c r="BU2114" i="4"/>
  <c r="BR2105" i="4"/>
  <c r="BW2105" i="4"/>
  <c r="BO2105" i="4"/>
  <c r="BS2105" i="4"/>
  <c r="BU2105" i="4"/>
  <c r="BO2102" i="4"/>
  <c r="BS2102" i="4"/>
  <c r="BW2102" i="4"/>
  <c r="BU2102" i="4"/>
  <c r="BR2102" i="4"/>
  <c r="BW2111" i="4"/>
  <c r="BU2111" i="4"/>
  <c r="BS2111" i="4"/>
  <c r="BO2111" i="4"/>
  <c r="BR2111" i="4"/>
  <c r="BO2093" i="4"/>
  <c r="BW2093" i="4"/>
  <c r="BS2093" i="4"/>
  <c r="BU2093" i="4"/>
  <c r="BR2093" i="4"/>
  <c r="BW2107" i="4"/>
  <c r="BO2107" i="4"/>
  <c r="BR2107" i="4"/>
  <c r="BU2107" i="4"/>
  <c r="BS2107" i="4"/>
  <c r="BO2109" i="4"/>
  <c r="BU2109" i="4"/>
  <c r="BW2109" i="4"/>
  <c r="BR2109" i="4"/>
  <c r="BS2109" i="4"/>
  <c r="BO2103" i="4"/>
  <c r="BR2103" i="4"/>
  <c r="BU2103" i="4"/>
  <c r="BS2103" i="4"/>
  <c r="BW2103" i="4"/>
  <c r="BO2099" i="4"/>
  <c r="BR2099" i="4"/>
  <c r="BU2099" i="4"/>
  <c r="BW2099" i="4"/>
  <c r="BS2099" i="4"/>
  <c r="BO2097" i="4"/>
  <c r="BR2097" i="4"/>
  <c r="BS2097" i="4"/>
  <c r="BW2097" i="4"/>
  <c r="BU2097" i="4"/>
  <c r="BS2089" i="4"/>
  <c r="BO2089" i="4"/>
  <c r="BR2089" i="4"/>
  <c r="BW2089" i="4"/>
  <c r="BU2089" i="4"/>
  <c r="BU2084" i="4"/>
  <c r="BW2084" i="4"/>
  <c r="BR2084" i="4"/>
  <c r="BS2084" i="4"/>
  <c r="BO2084" i="4"/>
  <c r="BR2082" i="4"/>
  <c r="BO2082" i="4"/>
  <c r="BW2082" i="4"/>
  <c r="BS2082" i="4"/>
  <c r="BU2082" i="4"/>
  <c r="BW2083" i="4"/>
  <c r="BO2083" i="4"/>
  <c r="BU2083" i="4"/>
  <c r="BR2083" i="4"/>
  <c r="BS2083" i="4"/>
  <c r="BU2085" i="4"/>
  <c r="BO2085" i="4"/>
  <c r="BW2085" i="4"/>
  <c r="BR2085" i="4"/>
  <c r="BS2085" i="4"/>
  <c r="BR2087" i="4"/>
  <c r="BW2087" i="4"/>
  <c r="BU2087" i="4"/>
  <c r="BO2087" i="4"/>
  <c r="BS2087" i="4"/>
  <c r="BR2091" i="4"/>
  <c r="BO2091" i="4"/>
  <c r="BW2091" i="4"/>
  <c r="BS2091" i="4"/>
  <c r="BU2091" i="4"/>
  <c r="BR2088" i="4"/>
  <c r="BS2088" i="4"/>
  <c r="BO2088" i="4"/>
  <c r="BW2088" i="4"/>
  <c r="BU2088" i="4"/>
  <c r="BR2090" i="4"/>
  <c r="BW2090" i="4"/>
  <c r="BO2090" i="4"/>
  <c r="BU2090" i="4"/>
  <c r="BS2090" i="4"/>
  <c r="BR2092" i="4"/>
  <c r="BS2092" i="4"/>
  <c r="BU2092" i="4"/>
  <c r="BO2092" i="4"/>
  <c r="BW2092" i="4"/>
  <c r="BO2086" i="4"/>
  <c r="BR2086" i="4"/>
  <c r="BW2086" i="4"/>
  <c r="BS2086" i="4"/>
  <c r="BU2086" i="4"/>
  <c r="BO2081" i="4"/>
  <c r="BR2081" i="4"/>
  <c r="BU2081" i="4"/>
  <c r="BW2081" i="4"/>
  <c r="BS2081" i="4"/>
  <c r="BU2080" i="4"/>
  <c r="BS2080" i="4"/>
  <c r="BW2080" i="4"/>
  <c r="BO2080" i="4"/>
  <c r="BR2080" i="4"/>
  <c r="BW2078" i="4"/>
  <c r="BU2078" i="4"/>
  <c r="BS2078" i="4"/>
  <c r="AG2078" i="4" s="1"/>
  <c r="BR2078" i="4"/>
  <c r="BU2058" i="4"/>
  <c r="BO2058" i="4"/>
  <c r="BW2058" i="4"/>
  <c r="BR2058" i="4"/>
  <c r="BS2058" i="4"/>
  <c r="BW2061" i="4"/>
  <c r="BU2061" i="4"/>
  <c r="BO2061" i="4"/>
  <c r="BR2061" i="4"/>
  <c r="BS2061" i="4"/>
  <c r="BW2076" i="4"/>
  <c r="BO2076" i="4"/>
  <c r="BU2076" i="4"/>
  <c r="BR2076" i="4"/>
  <c r="BS2076" i="4"/>
  <c r="BW2060" i="4"/>
  <c r="BO2060" i="4"/>
  <c r="BU2060" i="4"/>
  <c r="BR2060" i="4"/>
  <c r="BS2060" i="4"/>
  <c r="BW2077" i="4"/>
  <c r="BU2077" i="4"/>
  <c r="BO2077" i="4"/>
  <c r="BR2077" i="4"/>
  <c r="BS2077" i="4"/>
  <c r="BO2074" i="4"/>
  <c r="BU2074" i="4"/>
  <c r="BW2074" i="4"/>
  <c r="BR2074" i="4"/>
  <c r="BS2074" i="4"/>
  <c r="BU2068" i="4"/>
  <c r="BW2068" i="4"/>
  <c r="BO2068" i="4"/>
  <c r="BR2068" i="4"/>
  <c r="BS2068" i="4"/>
  <c r="BO2064" i="4"/>
  <c r="BW2064" i="4"/>
  <c r="BU2064" i="4"/>
  <c r="BR2064" i="4"/>
  <c r="BS2064" i="4"/>
  <c r="BO2072" i="4"/>
  <c r="BU2072" i="4"/>
  <c r="BW2072" i="4"/>
  <c r="BR2072" i="4"/>
  <c r="BS2072" i="4"/>
  <c r="BW2066" i="4"/>
  <c r="BU2066" i="4"/>
  <c r="BO2066" i="4"/>
  <c r="BR2066" i="4"/>
  <c r="BS2066" i="4"/>
  <c r="BW2073" i="4"/>
  <c r="BO2073" i="4"/>
  <c r="BU2073" i="4"/>
  <c r="BR2073" i="4"/>
  <c r="BS2073" i="4"/>
  <c r="BO2065" i="4"/>
  <c r="BU2065" i="4"/>
  <c r="BW2065" i="4"/>
  <c r="BR2065" i="4"/>
  <c r="BS2065" i="4"/>
  <c r="BU2059" i="4"/>
  <c r="BO2059" i="4"/>
  <c r="BW2059" i="4"/>
  <c r="BR2059" i="4"/>
  <c r="BS2059" i="4"/>
  <c r="BW2071" i="4"/>
  <c r="BO2071" i="4"/>
  <c r="BU2071" i="4"/>
  <c r="BR2071" i="4"/>
  <c r="BS2071" i="4"/>
  <c r="BW2063" i="4"/>
  <c r="BO2063" i="4"/>
  <c r="BU2063" i="4"/>
  <c r="BR2063" i="4"/>
  <c r="BS2063" i="4"/>
  <c r="BW2067" i="4"/>
  <c r="BU2067" i="4"/>
  <c r="BO2067" i="4"/>
  <c r="BR2067" i="4"/>
  <c r="BS2067" i="4"/>
  <c r="BW2069" i="4"/>
  <c r="BU2069" i="4"/>
  <c r="BO2069" i="4"/>
  <c r="BR2069" i="4"/>
  <c r="BS2069" i="4"/>
  <c r="BW2062" i="4"/>
  <c r="BO2062" i="4"/>
  <c r="BU2062" i="4"/>
  <c r="BR2062" i="4"/>
  <c r="BS2062" i="4"/>
  <c r="BO2075" i="4"/>
  <c r="BU2075" i="4"/>
  <c r="BW2075" i="4"/>
  <c r="BR2075" i="4"/>
  <c r="BS2075" i="4"/>
  <c r="BO2070" i="4"/>
  <c r="BW2070" i="4"/>
  <c r="BU2070" i="4"/>
  <c r="BR2070" i="4"/>
  <c r="BS2070" i="4"/>
  <c r="BW2030" i="4"/>
  <c r="BW2051" i="4"/>
  <c r="BS2051" i="4"/>
  <c r="BO2051" i="4"/>
  <c r="BU2030" i="4"/>
  <c r="BR2051" i="4"/>
  <c r="BS2050" i="4"/>
  <c r="BW2050" i="4"/>
  <c r="BO2034" i="4"/>
  <c r="BR2050" i="4"/>
  <c r="BR2039" i="4"/>
  <c r="BR2034" i="4"/>
  <c r="BO2050" i="4"/>
  <c r="BS2034" i="4"/>
  <c r="BU2034" i="4"/>
  <c r="BW2052" i="4"/>
  <c r="BR2052" i="4"/>
  <c r="BS2052" i="4"/>
  <c r="BR2055" i="4"/>
  <c r="BO2055" i="4"/>
  <c r="BW2048" i="4"/>
  <c r="BS2055" i="4"/>
  <c r="BU2039" i="4"/>
  <c r="BO2052" i="4"/>
  <c r="BW2039" i="4"/>
  <c r="BO2039" i="4"/>
  <c r="AG2039" i="4" s="1"/>
  <c r="BW2046" i="4"/>
  <c r="BS2048" i="4"/>
  <c r="BO2046" i="4"/>
  <c r="BS2030" i="4"/>
  <c r="AG2030" i="4" s="1"/>
  <c r="BU2048" i="4"/>
  <c r="BU2046" i="4"/>
  <c r="BU2055" i="4"/>
  <c r="BR2030" i="4"/>
  <c r="BO2048" i="4"/>
  <c r="BR2046" i="4"/>
  <c r="BO2035" i="4"/>
  <c r="BW2035" i="4"/>
  <c r="BU2035" i="4"/>
  <c r="BR2035" i="4"/>
  <c r="BS2035" i="4"/>
  <c r="BO2043" i="4"/>
  <c r="BS2043" i="4"/>
  <c r="BR2043" i="4"/>
  <c r="BU2043" i="4"/>
  <c r="BW2043" i="4"/>
  <c r="BS2056" i="4"/>
  <c r="BU2056" i="4"/>
  <c r="BW2056" i="4"/>
  <c r="BO2056" i="4"/>
  <c r="BR2056" i="4"/>
  <c r="BR2045" i="4"/>
  <c r="BU2045" i="4"/>
  <c r="BO2045" i="4"/>
  <c r="BW2045" i="4"/>
  <c r="BS2045" i="4"/>
  <c r="BR2054" i="4"/>
  <c r="BU2054" i="4"/>
  <c r="BO2054" i="4"/>
  <c r="BW2054" i="4"/>
  <c r="BS2054" i="4"/>
  <c r="BS2041" i="4"/>
  <c r="BW2041" i="4"/>
  <c r="BU2041" i="4"/>
  <c r="BR2041" i="4"/>
  <c r="BO2041" i="4"/>
  <c r="BW2047" i="4"/>
  <c r="BU2047" i="4"/>
  <c r="BR2047" i="4"/>
  <c r="BS2047" i="4"/>
  <c r="BO2047" i="4"/>
  <c r="BO2038" i="4"/>
  <c r="BW2038" i="4"/>
  <c r="BS2038" i="4"/>
  <c r="BU2038" i="4"/>
  <c r="BR2038" i="4"/>
  <c r="BU2036" i="4"/>
  <c r="BS2036" i="4"/>
  <c r="BO2036" i="4"/>
  <c r="BR2036" i="4"/>
  <c r="BW2036" i="4"/>
  <c r="BU2033" i="4"/>
  <c r="BS2033" i="4"/>
  <c r="BR2033" i="4"/>
  <c r="BO2033" i="4"/>
  <c r="BW2033" i="4"/>
  <c r="BR2032" i="4"/>
  <c r="BW2032" i="4"/>
  <c r="BU2032" i="4"/>
  <c r="BS2032" i="4"/>
  <c r="BO2032" i="4"/>
  <c r="BS2057" i="4"/>
  <c r="BR2057" i="4"/>
  <c r="BO2057" i="4"/>
  <c r="BU2057" i="4"/>
  <c r="BW2057" i="4"/>
  <c r="BS2040" i="4"/>
  <c r="BO2040" i="4"/>
  <c r="BW2040" i="4"/>
  <c r="BR2040" i="4"/>
  <c r="BU2040" i="4"/>
  <c r="BW2031" i="4"/>
  <c r="BU2031" i="4"/>
  <c r="BR2031" i="4"/>
  <c r="BS2031" i="4"/>
  <c r="BO2031" i="4"/>
  <c r="BU2053" i="4"/>
  <c r="BO2053" i="4"/>
  <c r="BW2053" i="4"/>
  <c r="BS2053" i="4"/>
  <c r="BR2053" i="4"/>
  <c r="BR2049" i="4"/>
  <c r="BU2049" i="4"/>
  <c r="BS2049" i="4"/>
  <c r="BO2049" i="4"/>
  <c r="BW2049" i="4"/>
  <c r="BU2037" i="4"/>
  <c r="BW2037" i="4"/>
  <c r="BS2037" i="4"/>
  <c r="BR2037" i="4"/>
  <c r="BO2037" i="4"/>
  <c r="BW2042" i="4"/>
  <c r="BS2042" i="4"/>
  <c r="BU2042" i="4"/>
  <c r="BR2042" i="4"/>
  <c r="BO2042" i="4"/>
  <c r="BO2044" i="4"/>
  <c r="BW2044" i="4"/>
  <c r="BS2044" i="4"/>
  <c r="BR2044" i="4"/>
  <c r="BU2044" i="4"/>
  <c r="BO1826" i="4"/>
  <c r="BW1824" i="4"/>
  <c r="BU1824" i="4"/>
  <c r="BW1689" i="4"/>
  <c r="BR1689" i="4"/>
  <c r="BO1689" i="4"/>
  <c r="BR1824" i="4"/>
  <c r="BS1689" i="4"/>
  <c r="BS1824" i="4"/>
  <c r="AG1824" i="4" s="1"/>
  <c r="BW2024" i="4"/>
  <c r="BS2024" i="4"/>
  <c r="BU2024" i="4"/>
  <c r="BR2024" i="4"/>
  <c r="BO2024" i="4"/>
  <c r="BW2029" i="4"/>
  <c r="BS2029" i="4"/>
  <c r="BO2029" i="4"/>
  <c r="BU2029" i="4"/>
  <c r="BR2029" i="4"/>
  <c r="BW2028" i="4"/>
  <c r="BS2028" i="4"/>
  <c r="BO2028" i="4"/>
  <c r="BR2028" i="4"/>
  <c r="BU2028" i="4"/>
  <c r="BU2010" i="4"/>
  <c r="BR2010" i="4"/>
  <c r="BW2010" i="4"/>
  <c r="BS2010" i="4"/>
  <c r="BO2010" i="4"/>
  <c r="BR2012" i="4"/>
  <c r="BW2012" i="4"/>
  <c r="BS2012" i="4"/>
  <c r="BO2012" i="4"/>
  <c r="BU2012" i="4"/>
  <c r="BW2014" i="4"/>
  <c r="BS2014" i="4"/>
  <c r="BO2014" i="4"/>
  <c r="BR2014" i="4"/>
  <c r="BU2014" i="4"/>
  <c r="BU2023" i="4"/>
  <c r="BR2023" i="4"/>
  <c r="BW2023" i="4"/>
  <c r="BS2023" i="4"/>
  <c r="BO2023" i="4"/>
  <c r="BU2025" i="4"/>
  <c r="BR2025" i="4"/>
  <c r="BW2025" i="4"/>
  <c r="BS2025" i="4"/>
  <c r="BO2025" i="4"/>
  <c r="BW2011" i="4"/>
  <c r="BS2011" i="4"/>
  <c r="BO2011" i="4"/>
  <c r="BR2011" i="4"/>
  <c r="BU2011" i="4"/>
  <c r="BW2022" i="4"/>
  <c r="BS2022" i="4"/>
  <c r="BO2022" i="4"/>
  <c r="BU2022" i="4"/>
  <c r="BR2022" i="4"/>
  <c r="BW2013" i="4"/>
  <c r="BS2013" i="4"/>
  <c r="BO2013" i="4"/>
  <c r="BU2013" i="4"/>
  <c r="BR2013" i="4"/>
  <c r="BW2021" i="4"/>
  <c r="BS2021" i="4"/>
  <c r="BO2021" i="4"/>
  <c r="BU2021" i="4"/>
  <c r="BR2021" i="4"/>
  <c r="BS2019" i="4"/>
  <c r="BO2019" i="4"/>
  <c r="BU2019" i="4"/>
  <c r="BW2019" i="4"/>
  <c r="BR2019" i="4"/>
  <c r="BU2020" i="4"/>
  <c r="BW2020" i="4"/>
  <c r="BS2020" i="4"/>
  <c r="BO2020" i="4"/>
  <c r="BR2020" i="4"/>
  <c r="BU2017" i="4"/>
  <c r="BR2017" i="4"/>
  <c r="BW2017" i="4"/>
  <c r="BS2017" i="4"/>
  <c r="BO2017" i="4"/>
  <c r="BW2027" i="4"/>
  <c r="BS2027" i="4"/>
  <c r="BO2027" i="4"/>
  <c r="BU2027" i="4"/>
  <c r="BR2027" i="4"/>
  <c r="BU2016" i="4"/>
  <c r="BR2016" i="4"/>
  <c r="BW2016" i="4"/>
  <c r="BO2016" i="4"/>
  <c r="BS2016" i="4"/>
  <c r="BU2026" i="4"/>
  <c r="BR2026" i="4"/>
  <c r="BO2026" i="4"/>
  <c r="BW2026" i="4"/>
  <c r="BS2026" i="4"/>
  <c r="BO2009" i="4"/>
  <c r="BR2009" i="4"/>
  <c r="BS2009" i="4"/>
  <c r="BU2009" i="4"/>
  <c r="BW2009" i="4"/>
  <c r="BU2018" i="4"/>
  <c r="BR2018" i="4"/>
  <c r="BS2018" i="4"/>
  <c r="BW2018" i="4"/>
  <c r="BO2018" i="4"/>
  <c r="BU2015" i="4"/>
  <c r="BR2015" i="4"/>
  <c r="BW2015" i="4"/>
  <c r="BS2015" i="4"/>
  <c r="BO2015" i="4"/>
  <c r="BW1826" i="4"/>
  <c r="BU1826" i="4"/>
  <c r="BS1826" i="4"/>
  <c r="G63" i="3" a="1"/>
  <c r="G63" i="3" s="1"/>
  <c r="G43" i="3" a="1"/>
  <c r="G43" i="3" s="1"/>
  <c r="BW1825" i="4"/>
  <c r="BR1825" i="4"/>
  <c r="BO1825" i="4"/>
  <c r="AG1825" i="4" s="1"/>
  <c r="BU1825" i="4"/>
  <c r="BO1823" i="4"/>
  <c r="BW1823" i="4"/>
  <c r="BU1823" i="4"/>
  <c r="BW1687" i="4"/>
  <c r="BS1687" i="4"/>
  <c r="AG1687" i="4" s="1"/>
  <c r="BW1827" i="4"/>
  <c r="BS1827" i="4"/>
  <c r="BO1827" i="4"/>
  <c r="BU1827" i="4"/>
  <c r="BO1831" i="4"/>
  <c r="BW1831" i="4"/>
  <c r="BR1831" i="4"/>
  <c r="BU1831" i="4"/>
  <c r="BS1831" i="4"/>
  <c r="BR1832" i="4"/>
  <c r="BO1832" i="4"/>
  <c r="BS1832" i="4"/>
  <c r="BU1832" i="4"/>
  <c r="BW1832" i="4"/>
  <c r="BR1828" i="4"/>
  <c r="BU1828" i="4"/>
  <c r="BO1828" i="4"/>
  <c r="BS1828" i="4"/>
  <c r="BW1828" i="4"/>
  <c r="BR1829" i="4"/>
  <c r="BO1829" i="4"/>
  <c r="BS1829" i="4"/>
  <c r="BU1829" i="4"/>
  <c r="BW1829" i="4"/>
  <c r="BR1830" i="4"/>
  <c r="BW1830" i="4"/>
  <c r="BS1830" i="4"/>
  <c r="BU1830" i="4"/>
  <c r="BO1830" i="4"/>
  <c r="BU1687" i="4"/>
  <c r="BW1688" i="4"/>
  <c r="BR1687" i="4"/>
  <c r="BU1688" i="4"/>
  <c r="BO1688" i="4"/>
  <c r="AG1688" i="4" s="1"/>
  <c r="BS1823" i="4"/>
  <c r="BR1688" i="4"/>
  <c r="BO1621" i="4"/>
  <c r="BS1621" i="4"/>
  <c r="BR1621" i="4"/>
  <c r="BW1621" i="4"/>
  <c r="BU1621" i="4"/>
  <c r="BO1622" i="4"/>
  <c r="BU1622" i="4"/>
  <c r="BR1622" i="4"/>
  <c r="BW1622" i="4"/>
  <c r="BS1622" i="4"/>
  <c r="BO1619" i="4"/>
  <c r="BS1619" i="4"/>
  <c r="BU1619" i="4"/>
  <c r="BW1619" i="4"/>
  <c r="BR1619" i="4"/>
  <c r="BW1618" i="4"/>
  <c r="BS1618" i="4"/>
  <c r="BU1618" i="4"/>
  <c r="BO1618" i="4"/>
  <c r="BR1618" i="4"/>
  <c r="BO1620" i="4"/>
  <c r="BS1620" i="4"/>
  <c r="BU1620" i="4"/>
  <c r="BW1620" i="4"/>
  <c r="BR1620" i="4"/>
  <c r="AG2223" i="4" l="1"/>
  <c r="BX2223" i="4"/>
  <c r="BX2221" i="4"/>
  <c r="BY2221" i="4" s="1"/>
  <c r="AG2215" i="4"/>
  <c r="BX2228" i="4"/>
  <c r="AG2228" i="4"/>
  <c r="BX2215" i="4"/>
  <c r="AG2230" i="4"/>
  <c r="AI2230" i="4" s="1"/>
  <c r="BX2303" i="4"/>
  <c r="BX2230" i="4"/>
  <c r="BX2225" i="4"/>
  <c r="BY2225" i="4" s="1"/>
  <c r="AG2318" i="4"/>
  <c r="BX2308" i="4"/>
  <c r="BY2308" i="4" s="1"/>
  <c r="AG2316" i="4"/>
  <c r="AI2316" i="4" s="1"/>
  <c r="BX2314" i="4"/>
  <c r="BX2317" i="4"/>
  <c r="AG2317" i="4"/>
  <c r="AI2317" i="4" s="1"/>
  <c r="BX2318" i="4"/>
  <c r="BX2320" i="4"/>
  <c r="BY2320" i="4" s="1"/>
  <c r="BX2316" i="4"/>
  <c r="BX2319" i="4"/>
  <c r="BY2319" i="4" s="1"/>
  <c r="BX2315" i="4"/>
  <c r="BY2315" i="4" s="1"/>
  <c r="AG2229" i="4"/>
  <c r="AI2229" i="4" s="1"/>
  <c r="AG2254" i="4"/>
  <c r="AI2254" i="4" s="1"/>
  <c r="BX2254" i="4"/>
  <c r="AG2224" i="4"/>
  <c r="AI2224" i="4" s="1"/>
  <c r="BX2224" i="4"/>
  <c r="BX2231" i="4"/>
  <c r="AG2231" i="4"/>
  <c r="AI2231" i="4" s="1"/>
  <c r="BX2229" i="4"/>
  <c r="AG2278" i="4"/>
  <c r="AI2278" i="4" s="1"/>
  <c r="AG2269" i="4"/>
  <c r="AI2269" i="4" s="1"/>
  <c r="AG2226" i="4"/>
  <c r="AI2226" i="4" s="1"/>
  <c r="AG2290" i="4"/>
  <c r="AI2290" i="4" s="1"/>
  <c r="AG2267" i="4"/>
  <c r="AI2267" i="4" s="1"/>
  <c r="AI2319" i="4"/>
  <c r="AI2315" i="4"/>
  <c r="AI2320" i="4"/>
  <c r="BX2248" i="4"/>
  <c r="BX2226" i="4"/>
  <c r="AG2291" i="4"/>
  <c r="AI2291" i="4" s="1"/>
  <c r="AG2279" i="4"/>
  <c r="AI2279" i="4" s="1"/>
  <c r="AG2299" i="4"/>
  <c r="AI2299" i="4" s="1"/>
  <c r="BX2233" i="4"/>
  <c r="BX2272" i="4"/>
  <c r="BX2304" i="4"/>
  <c r="AG2297" i="4"/>
  <c r="AI2297" i="4" s="1"/>
  <c r="AG2284" i="4"/>
  <c r="AI2284" i="4" s="1"/>
  <c r="AG2256" i="4"/>
  <c r="AI2256" i="4" s="1"/>
  <c r="AG2280" i="4"/>
  <c r="AI2280" i="4" s="1"/>
  <c r="BX2290" i="4"/>
  <c r="BX2277" i="4"/>
  <c r="BX2287" i="4"/>
  <c r="BX2293" i="4"/>
  <c r="BX2268" i="4"/>
  <c r="AG2248" i="4"/>
  <c r="AI2248" i="4" s="1"/>
  <c r="BX2324" i="4"/>
  <c r="BX2281" i="4"/>
  <c r="BX2289" i="4"/>
  <c r="BX2299" i="4"/>
  <c r="BX2310" i="4"/>
  <c r="BX2306" i="4"/>
  <c r="BX2312" i="4"/>
  <c r="BX2322" i="4"/>
  <c r="BX2292" i="4"/>
  <c r="BX2295" i="4"/>
  <c r="BX2285" i="4"/>
  <c r="BX2326" i="4"/>
  <c r="BX2291" i="4"/>
  <c r="BX2264" i="4"/>
  <c r="BX2300" i="4"/>
  <c r="BX2311" i="4"/>
  <c r="BX2265" i="4"/>
  <c r="BX2323" i="4"/>
  <c r="BX2327" i="4"/>
  <c r="BX2262" i="4"/>
  <c r="BX2274" i="4"/>
  <c r="BX2269" i="4"/>
  <c r="AG2281" i="4"/>
  <c r="AI2281" i="4" s="1"/>
  <c r="BX2298" i="4"/>
  <c r="BX2321" i="4"/>
  <c r="BX2286" i="4"/>
  <c r="BX2275" i="4"/>
  <c r="BX2325" i="4"/>
  <c r="BX2271" i="4"/>
  <c r="BX2273" i="4"/>
  <c r="BX2294" i="4"/>
  <c r="BX2283" i="4"/>
  <c r="BX2288" i="4"/>
  <c r="BX2278" i="4"/>
  <c r="BX2282" i="4"/>
  <c r="AG2233" i="4"/>
  <c r="AI2233" i="4" s="1"/>
  <c r="BX2297" i="4"/>
  <c r="BX2267" i="4"/>
  <c r="BX2263" i="4"/>
  <c r="BX2266" i="4"/>
  <c r="BX2284" i="4"/>
  <c r="BX2270" i="4"/>
  <c r="AG2304" i="4"/>
  <c r="AI2304" i="4" s="1"/>
  <c r="BX2302" i="4"/>
  <c r="BX2301" i="4"/>
  <c r="BX2307" i="4"/>
  <c r="BX2313" i="4"/>
  <c r="BX2296" i="4"/>
  <c r="BX2276" i="4"/>
  <c r="AG2272" i="4"/>
  <c r="AI2272" i="4" s="1"/>
  <c r="BX2280" i="4"/>
  <c r="BX2279" i="4"/>
  <c r="BX2305" i="4"/>
  <c r="AI2308" i="4"/>
  <c r="AG2322" i="4"/>
  <c r="AG2325" i="4"/>
  <c r="AG2321" i="4"/>
  <c r="AG2326" i="4"/>
  <c r="AG2282" i="4"/>
  <c r="AG2323" i="4"/>
  <c r="AG2324" i="4"/>
  <c r="AG2265" i="4"/>
  <c r="AG2298" i="4"/>
  <c r="AG2327" i="4"/>
  <c r="AG2283" i="4"/>
  <c r="AG2275" i="4"/>
  <c r="AG2273" i="4"/>
  <c r="AG2295" i="4"/>
  <c r="AG2311" i="4"/>
  <c r="AG2286" i="4"/>
  <c r="AG2287" i="4"/>
  <c r="AG2276" i="4"/>
  <c r="AG2260" i="4"/>
  <c r="AI2260" i="4" s="1"/>
  <c r="AG2274" i="4"/>
  <c r="AG2293" i="4"/>
  <c r="AG2241" i="4"/>
  <c r="AI2241" i="4" s="1"/>
  <c r="AG2244" i="4"/>
  <c r="AI2244" i="4" s="1"/>
  <c r="AG2302" i="4"/>
  <c r="AG2294" i="4"/>
  <c r="AG2306" i="4"/>
  <c r="AG2255" i="4"/>
  <c r="AI2255" i="4" s="1"/>
  <c r="AG2292" i="4"/>
  <c r="AG2252" i="4"/>
  <c r="AI2252" i="4" s="1"/>
  <c r="AG2305" i="4"/>
  <c r="AG2309" i="4"/>
  <c r="AG2289" i="4"/>
  <c r="AG2264" i="4"/>
  <c r="AG2277" i="4"/>
  <c r="AG2313" i="4"/>
  <c r="AG2261" i="4"/>
  <c r="AG2243" i="4"/>
  <c r="AI2243" i="4" s="1"/>
  <c r="AG2246" i="4"/>
  <c r="AI2246" i="4" s="1"/>
  <c r="AG2245" i="4"/>
  <c r="AI2245" i="4" s="1"/>
  <c r="AG2242" i="4"/>
  <c r="AI2242" i="4" s="1"/>
  <c r="AG2257" i="4"/>
  <c r="AI2257" i="4" s="1"/>
  <c r="AG2247" i="4"/>
  <c r="AI2247" i="4" s="1"/>
  <c r="AG2296" i="4"/>
  <c r="AG2301" i="4"/>
  <c r="AG2310" i="4"/>
  <c r="AG2288" i="4"/>
  <c r="AG2263" i="4"/>
  <c r="AG2268" i="4"/>
  <c r="AG2251" i="4"/>
  <c r="AI2251" i="4" s="1"/>
  <c r="AG2253" i="4"/>
  <c r="AI2253" i="4" s="1"/>
  <c r="AG2258" i="4"/>
  <c r="AI2258" i="4" s="1"/>
  <c r="AG2300" i="4"/>
  <c r="AG2262" i="4"/>
  <c r="AG2249" i="4"/>
  <c r="AI2249" i="4" s="1"/>
  <c r="AG2312" i="4"/>
  <c r="AG2307" i="4"/>
  <c r="AG2259" i="4"/>
  <c r="AI2259" i="4" s="1"/>
  <c r="AG2266" i="4"/>
  <c r="AG2303" i="4"/>
  <c r="AG2250" i="4"/>
  <c r="AI2250" i="4" s="1"/>
  <c r="AG2271" i="4"/>
  <c r="AG2285" i="4"/>
  <c r="AG2270" i="4"/>
  <c r="AG2314" i="4"/>
  <c r="BX2227" i="4"/>
  <c r="AG2227" i="4"/>
  <c r="AI2227" i="4" s="1"/>
  <c r="BX2247" i="4"/>
  <c r="BX2257" i="4"/>
  <c r="BX2242" i="4"/>
  <c r="AG2238" i="4"/>
  <c r="AI2238" i="4" s="1"/>
  <c r="BX2238" i="4"/>
  <c r="BX2241" i="4"/>
  <c r="BX2244" i="4"/>
  <c r="BX2259" i="4"/>
  <c r="BX2239" i="4"/>
  <c r="AG2239" i="4"/>
  <c r="AI2239" i="4" s="1"/>
  <c r="AG2232" i="4"/>
  <c r="BX2232" i="4"/>
  <c r="BX2235" i="4"/>
  <c r="AG2235" i="4"/>
  <c r="BX2250" i="4"/>
  <c r="BX2234" i="4"/>
  <c r="AG2234" i="4"/>
  <c r="BX2240" i="4"/>
  <c r="AG2240" i="4"/>
  <c r="AI2240" i="4" s="1"/>
  <c r="BX2255" i="4"/>
  <c r="BX2260" i="4"/>
  <c r="BX2237" i="4"/>
  <c r="AG2237" i="4"/>
  <c r="AI2237" i="4" s="1"/>
  <c r="BX2249" i="4"/>
  <c r="BX2258" i="4"/>
  <c r="BX2251" i="4"/>
  <c r="BX2253" i="4"/>
  <c r="BX2252" i="4"/>
  <c r="BX2236" i="4"/>
  <c r="AG2236" i="4"/>
  <c r="BX2261" i="4"/>
  <c r="BX2246" i="4"/>
  <c r="BX2256" i="4"/>
  <c r="BX2243" i="4"/>
  <c r="BX2245" i="4"/>
  <c r="AG2205" i="4"/>
  <c r="AI2205" i="4" s="1"/>
  <c r="BX2205" i="4"/>
  <c r="BX2201" i="4"/>
  <c r="AG2201" i="4"/>
  <c r="AI2222" i="4"/>
  <c r="BY2222" i="4"/>
  <c r="AI2225" i="4"/>
  <c r="BY2223" i="4"/>
  <c r="AI2223" i="4"/>
  <c r="AI2221" i="4"/>
  <c r="AG2194" i="4"/>
  <c r="AI2194" i="4" s="1"/>
  <c r="AG2218" i="4"/>
  <c r="BX2218" i="4"/>
  <c r="BX2217" i="4"/>
  <c r="AG2217" i="4"/>
  <c r="BX2211" i="4"/>
  <c r="AG2211" i="4"/>
  <c r="AG2213" i="4"/>
  <c r="BX2213" i="4"/>
  <c r="AG2208" i="4"/>
  <c r="BX2208" i="4"/>
  <c r="BX2216" i="4"/>
  <c r="AG2216" i="4"/>
  <c r="BX2220" i="4"/>
  <c r="AG2220" i="4"/>
  <c r="BX2210" i="4"/>
  <c r="AG2210" i="4"/>
  <c r="BY2207" i="4"/>
  <c r="BZ2207" i="4" s="1"/>
  <c r="AI2207" i="4"/>
  <c r="BX2212" i="4"/>
  <c r="AG2212" i="4"/>
  <c r="AI2215" i="4"/>
  <c r="BX2214" i="4"/>
  <c r="AG2214" i="4"/>
  <c r="BX2209" i="4"/>
  <c r="AG2209" i="4"/>
  <c r="AG2219" i="4"/>
  <c r="BX2219" i="4"/>
  <c r="AG2193" i="4"/>
  <c r="AI2193" i="4" s="1"/>
  <c r="BX2193" i="4"/>
  <c r="AG2199" i="4"/>
  <c r="AI2199" i="4" s="1"/>
  <c r="AG2190" i="4"/>
  <c r="AI2190" i="4" s="1"/>
  <c r="BX2190" i="4"/>
  <c r="BX2199" i="4"/>
  <c r="AG2197" i="4"/>
  <c r="AI2197" i="4" s="1"/>
  <c r="BX2194" i="4"/>
  <c r="AG2198" i="4"/>
  <c r="AI2198" i="4" s="1"/>
  <c r="BX2197" i="4"/>
  <c r="BX2192" i="4"/>
  <c r="BY2192" i="4" s="1"/>
  <c r="BZ2192" i="4" s="1"/>
  <c r="BX2200" i="4"/>
  <c r="BY2200" i="4" s="1"/>
  <c r="BZ2200" i="4" s="1"/>
  <c r="BX2198" i="4"/>
  <c r="BX2195" i="4"/>
  <c r="BY2195" i="4" s="1"/>
  <c r="BZ2195" i="4" s="1"/>
  <c r="BX2206" i="4"/>
  <c r="BX2203" i="4"/>
  <c r="AG2203" i="4"/>
  <c r="BX2202" i="4"/>
  <c r="AG2202" i="4"/>
  <c r="BX2204" i="4"/>
  <c r="AG2204" i="4"/>
  <c r="AG2206" i="4"/>
  <c r="BX2196" i="4"/>
  <c r="BY2196" i="4" s="1"/>
  <c r="BX2191" i="4"/>
  <c r="BY2191" i="4" s="1"/>
  <c r="CA2191" i="4" s="1"/>
  <c r="BX2183" i="4"/>
  <c r="BY2183" i="4" s="1"/>
  <c r="BX44" i="4"/>
  <c r="BY44" i="4" s="1"/>
  <c r="BZ44" i="4" s="1"/>
  <c r="BX696" i="4"/>
  <c r="BY696" i="4" s="1"/>
  <c r="BX688" i="4"/>
  <c r="AG40" i="4"/>
  <c r="AI40" i="4" s="1"/>
  <c r="AG688" i="4"/>
  <c r="BX690" i="4"/>
  <c r="BX41" i="4"/>
  <c r="BY41" i="4" s="1"/>
  <c r="BZ41" i="4" s="1"/>
  <c r="AI2195" i="4"/>
  <c r="AI2192" i="4"/>
  <c r="AI2191" i="4"/>
  <c r="AG690" i="4"/>
  <c r="AG49" i="4"/>
  <c r="AI49" i="4" s="1"/>
  <c r="BX40" i="4"/>
  <c r="BX49" i="4"/>
  <c r="BX2184" i="4"/>
  <c r="BY2184" i="4" s="1"/>
  <c r="BX693" i="4"/>
  <c r="BX2188" i="4"/>
  <c r="AG2188" i="4"/>
  <c r="BX2189" i="4"/>
  <c r="AG2189" i="4"/>
  <c r="AG693" i="4"/>
  <c r="AI693" i="4" s="1"/>
  <c r="AI2184" i="4"/>
  <c r="AI2183" i="4"/>
  <c r="AG5" i="4"/>
  <c r="AI5" i="4" s="1"/>
  <c r="BX5" i="4"/>
  <c r="BX694" i="4"/>
  <c r="AG694" i="4"/>
  <c r="BX697" i="4"/>
  <c r="AG697" i="4"/>
  <c r="BX689" i="4"/>
  <c r="AG689" i="4"/>
  <c r="BX698" i="4"/>
  <c r="AG698" i="4"/>
  <c r="BX692" i="4"/>
  <c r="AG692" i="4"/>
  <c r="BX691" i="4"/>
  <c r="AG691" i="4"/>
  <c r="BX695" i="4"/>
  <c r="AG695" i="4"/>
  <c r="AI696" i="4"/>
  <c r="BX699" i="4"/>
  <c r="AG699" i="4"/>
  <c r="AI1688" i="4"/>
  <c r="AI2186" i="4"/>
  <c r="AI44" i="4"/>
  <c r="AI2181" i="4"/>
  <c r="AI1687" i="4"/>
  <c r="AI41" i="4"/>
  <c r="BX2079" i="4"/>
  <c r="BY2079" i="4" s="1"/>
  <c r="AG2187" i="4"/>
  <c r="BX2187" i="4"/>
  <c r="BX2186" i="4"/>
  <c r="BY2186" i="4" s="1"/>
  <c r="AG2182" i="4"/>
  <c r="BX2185" i="4"/>
  <c r="AG2185" i="4"/>
  <c r="BX2182" i="4"/>
  <c r="BX2181" i="4"/>
  <c r="BY2181" i="4" s="1"/>
  <c r="BX2143" i="4"/>
  <c r="AG2143" i="4"/>
  <c r="AG2176" i="4"/>
  <c r="BX2176" i="4"/>
  <c r="AG2178" i="4"/>
  <c r="BX2178" i="4"/>
  <c r="AG2177" i="4"/>
  <c r="BX2177" i="4"/>
  <c r="BX2175" i="4"/>
  <c r="BX2165" i="4"/>
  <c r="AG2165" i="4"/>
  <c r="AG2150" i="4"/>
  <c r="AG2155" i="4"/>
  <c r="AG2156" i="4"/>
  <c r="BX2150" i="4"/>
  <c r="BX2156" i="4"/>
  <c r="BX2155" i="4"/>
  <c r="AG2149" i="4"/>
  <c r="AG2167" i="4"/>
  <c r="AG2146" i="4"/>
  <c r="BX2145" i="4"/>
  <c r="BX2147" i="4"/>
  <c r="AG2166" i="4"/>
  <c r="BX2166" i="4"/>
  <c r="BX2162" i="4"/>
  <c r="AG2162" i="4"/>
  <c r="BX2144" i="4"/>
  <c r="BX2153" i="4"/>
  <c r="AG2153" i="4"/>
  <c r="BX2161" i="4"/>
  <c r="AG2161" i="4"/>
  <c r="BX2170" i="4"/>
  <c r="AG2170" i="4"/>
  <c r="BX2159" i="4"/>
  <c r="AG2159" i="4"/>
  <c r="BX2152" i="4"/>
  <c r="AG2152" i="4"/>
  <c r="BX2164" i="4"/>
  <c r="AG2164" i="4"/>
  <c r="BX2169" i="4"/>
  <c r="AG2169" i="4"/>
  <c r="BX2158" i="4"/>
  <c r="AG2158" i="4"/>
  <c r="BX2172" i="4"/>
  <c r="AG2172" i="4"/>
  <c r="BX2160" i="4"/>
  <c r="AG2160" i="4"/>
  <c r="AG2145" i="4"/>
  <c r="BX2173" i="4"/>
  <c r="AG2173" i="4"/>
  <c r="BX2157" i="4"/>
  <c r="AG2157" i="4"/>
  <c r="BX2148" i="4"/>
  <c r="BX2163" i="4"/>
  <c r="AG2163" i="4"/>
  <c r="BX2168" i="4"/>
  <c r="AG2168" i="4"/>
  <c r="BX2167" i="4"/>
  <c r="BX2171" i="4"/>
  <c r="AG2171" i="4"/>
  <c r="BX2146" i="4"/>
  <c r="BX2149" i="4"/>
  <c r="BX2151" i="4"/>
  <c r="AG2151" i="4"/>
  <c r="AG2175" i="4"/>
  <c r="BX2154" i="4"/>
  <c r="AG2154" i="4"/>
  <c r="AG2174" i="4"/>
  <c r="BX2174" i="4"/>
  <c r="BX2120" i="4"/>
  <c r="AG2120" i="4"/>
  <c r="BX2118" i="4"/>
  <c r="AG2108" i="4"/>
  <c r="AG2118" i="4"/>
  <c r="BX2117" i="4"/>
  <c r="AG2117" i="4"/>
  <c r="BX2116" i="4"/>
  <c r="BX2119" i="4"/>
  <c r="BY2119" i="4" s="1"/>
  <c r="AG2116" i="4"/>
  <c r="BX2108" i="4"/>
  <c r="BX2104" i="4"/>
  <c r="AG2095" i="4"/>
  <c r="BX2094" i="4"/>
  <c r="BY2094" i="4" s="1"/>
  <c r="BX2095" i="4"/>
  <c r="BX2106" i="4"/>
  <c r="BX2140" i="4"/>
  <c r="AG2140" i="4"/>
  <c r="BX2135" i="4"/>
  <c r="AG2135" i="4"/>
  <c r="BX2136" i="4"/>
  <c r="AG2136" i="4"/>
  <c r="BX2134" i="4"/>
  <c r="AG2134" i="4"/>
  <c r="BX2138" i="4"/>
  <c r="AG2138" i="4"/>
  <c r="BX2142" i="4"/>
  <c r="AG2142" i="4"/>
  <c r="BX2133" i="4"/>
  <c r="AG2133" i="4"/>
  <c r="BX2139" i="4"/>
  <c r="AG2139" i="4"/>
  <c r="BX2141" i="4"/>
  <c r="AG2141" i="4"/>
  <c r="BX2137" i="4"/>
  <c r="AG2137" i="4"/>
  <c r="BX2110" i="4"/>
  <c r="AG2110" i="4"/>
  <c r="AG2096" i="4"/>
  <c r="AG2106" i="4"/>
  <c r="AG2098" i="4"/>
  <c r="BX2124" i="4"/>
  <c r="AG2124" i="4"/>
  <c r="BX2123" i="4"/>
  <c r="AG2123" i="4"/>
  <c r="BX2129" i="4"/>
  <c r="AG2129" i="4"/>
  <c r="BX2121" i="4"/>
  <c r="AG2121" i="4"/>
  <c r="BX2125" i="4"/>
  <c r="AG2125" i="4"/>
  <c r="BX2122" i="4"/>
  <c r="AG2122" i="4"/>
  <c r="BX2132" i="4"/>
  <c r="AG2132" i="4"/>
  <c r="BX2127" i="4"/>
  <c r="AG2127" i="4"/>
  <c r="BX2126" i="4"/>
  <c r="AG2126" i="4"/>
  <c r="BX2130" i="4"/>
  <c r="AG2130" i="4"/>
  <c r="BX2131" i="4"/>
  <c r="AG2131" i="4"/>
  <c r="BX2128" i="4"/>
  <c r="AG2128" i="4"/>
  <c r="BX2096" i="4"/>
  <c r="AI2119" i="4"/>
  <c r="BX2098" i="4"/>
  <c r="AG2109" i="4"/>
  <c r="AG2147" i="4"/>
  <c r="AG2100" i="4"/>
  <c r="BX2102" i="4"/>
  <c r="BX2100" i="4"/>
  <c r="AG2101" i="4"/>
  <c r="BX2107" i="4"/>
  <c r="AG2107" i="4"/>
  <c r="BX2105" i="4"/>
  <c r="AG2105" i="4"/>
  <c r="BX2097" i="4"/>
  <c r="AG2097" i="4"/>
  <c r="BX2109" i="4"/>
  <c r="AI2104" i="4"/>
  <c r="BX2103" i="4"/>
  <c r="AG2103" i="4"/>
  <c r="AG2111" i="4"/>
  <c r="BX2111" i="4"/>
  <c r="AI2094" i="4"/>
  <c r="AG2102" i="4"/>
  <c r="BX2101" i="4"/>
  <c r="BX2115" i="4"/>
  <c r="AG2115" i="4"/>
  <c r="BX2112" i="4"/>
  <c r="AG2112" i="4"/>
  <c r="BX2099" i="4"/>
  <c r="AG2099" i="4"/>
  <c r="BX2093" i="4"/>
  <c r="AG2093" i="4"/>
  <c r="BX2114" i="4"/>
  <c r="AG2114" i="4"/>
  <c r="BX2113" i="4"/>
  <c r="AG2113" i="4"/>
  <c r="AG2148" i="4"/>
  <c r="AG2144" i="4"/>
  <c r="BX2081" i="4"/>
  <c r="AG2081" i="4"/>
  <c r="BX2091" i="4"/>
  <c r="AG2091" i="4"/>
  <c r="BX2088" i="4"/>
  <c r="AG2088" i="4"/>
  <c r="BX2085" i="4"/>
  <c r="AG2085" i="4"/>
  <c r="BX2087" i="4"/>
  <c r="AG2087" i="4"/>
  <c r="BX2082" i="4"/>
  <c r="AG2082" i="4"/>
  <c r="BX2086" i="4"/>
  <c r="AG2086" i="4"/>
  <c r="BX2090" i="4"/>
  <c r="AG2090" i="4"/>
  <c r="BX2084" i="4"/>
  <c r="AG2084" i="4"/>
  <c r="BX2089" i="4"/>
  <c r="AG2089" i="4"/>
  <c r="BX2092" i="4"/>
  <c r="AG2092" i="4"/>
  <c r="BX2083" i="4"/>
  <c r="AG2083" i="4"/>
  <c r="AI2030" i="4"/>
  <c r="BX2078" i="4"/>
  <c r="BX2080" i="4"/>
  <c r="AG2080" i="4"/>
  <c r="AI2078" i="4"/>
  <c r="AI2079" i="4"/>
  <c r="BX2070" i="4"/>
  <c r="AG2070" i="4"/>
  <c r="BX2063" i="4"/>
  <c r="AG2063" i="4"/>
  <c r="BX2065" i="4"/>
  <c r="AG2065" i="4"/>
  <c r="BX2066" i="4"/>
  <c r="AG2066" i="4"/>
  <c r="BX2061" i="4"/>
  <c r="AG2061" i="4"/>
  <c r="BX2062" i="4"/>
  <c r="AG2062" i="4"/>
  <c r="BX2077" i="4"/>
  <c r="AG2077" i="4"/>
  <c r="BX2067" i="4"/>
  <c r="AG2067" i="4"/>
  <c r="BX2059" i="4"/>
  <c r="AG2059" i="4"/>
  <c r="BX2073" i="4"/>
  <c r="AG2073" i="4"/>
  <c r="BX2064" i="4"/>
  <c r="AG2064" i="4"/>
  <c r="BX2076" i="4"/>
  <c r="AG2076" i="4"/>
  <c r="BX2074" i="4"/>
  <c r="AG2074" i="4"/>
  <c r="BX2058" i="4"/>
  <c r="AG2058" i="4"/>
  <c r="BX2075" i="4"/>
  <c r="AG2075" i="4"/>
  <c r="BX2069" i="4"/>
  <c r="AG2069" i="4"/>
  <c r="BX2071" i="4"/>
  <c r="AG2071" i="4"/>
  <c r="BX2072" i="4"/>
  <c r="AG2072" i="4"/>
  <c r="BX2068" i="4"/>
  <c r="AG2068" i="4"/>
  <c r="BX2060" i="4"/>
  <c r="AG2060" i="4"/>
  <c r="AG2051" i="4"/>
  <c r="BX2051" i="4"/>
  <c r="AG2048" i="4"/>
  <c r="BX2034" i="4"/>
  <c r="AG2034" i="4"/>
  <c r="BX2050" i="4"/>
  <c r="BX2039" i="4"/>
  <c r="BY2039" i="4" s="1"/>
  <c r="AG2050" i="4"/>
  <c r="BX2055" i="4"/>
  <c r="BX2052" i="4"/>
  <c r="AG2055" i="4"/>
  <c r="BX2046" i="4"/>
  <c r="AG2052" i="4"/>
  <c r="BX2030" i="4"/>
  <c r="BY2030" i="4" s="1"/>
  <c r="AG2046" i="4"/>
  <c r="BX2048" i="4"/>
  <c r="BX2049" i="4"/>
  <c r="AG2049" i="4"/>
  <c r="BX2047" i="4"/>
  <c r="AG2047" i="4"/>
  <c r="BX2041" i="4"/>
  <c r="AG2041" i="4"/>
  <c r="BX2045" i="4"/>
  <c r="AG2045" i="4"/>
  <c r="BX2043" i="4"/>
  <c r="AG2043" i="4"/>
  <c r="BX2036" i="4"/>
  <c r="AG2036" i="4"/>
  <c r="BX2033" i="4"/>
  <c r="AG2033" i="4"/>
  <c r="BX2053" i="4"/>
  <c r="AG2053" i="4"/>
  <c r="AI2039" i="4"/>
  <c r="BX2044" i="4"/>
  <c r="AG2044" i="4"/>
  <c r="BX2042" i="4"/>
  <c r="AG2042" i="4"/>
  <c r="BX2057" i="4"/>
  <c r="AG2057" i="4"/>
  <c r="BX2031" i="4"/>
  <c r="AG2031" i="4"/>
  <c r="BX2038" i="4"/>
  <c r="AG2038" i="4"/>
  <c r="BX2054" i="4"/>
  <c r="AG2054" i="4"/>
  <c r="BX2037" i="4"/>
  <c r="AG2037" i="4"/>
  <c r="BX2056" i="4"/>
  <c r="AG2056" i="4"/>
  <c r="BX2040" i="4"/>
  <c r="AG2040" i="4"/>
  <c r="BX2032" i="4"/>
  <c r="AG2032" i="4"/>
  <c r="BX2035" i="4"/>
  <c r="AG2035" i="4"/>
  <c r="AG1826" i="4"/>
  <c r="AG1823" i="4"/>
  <c r="AG1689" i="4"/>
  <c r="BX1689" i="4"/>
  <c r="BX1824" i="4"/>
  <c r="AG2020" i="4"/>
  <c r="BX2026" i="4"/>
  <c r="AG2026" i="4"/>
  <c r="BX2022" i="4"/>
  <c r="BX2025" i="4"/>
  <c r="AG2025" i="4"/>
  <c r="BX2012" i="4"/>
  <c r="AG2012" i="4"/>
  <c r="BX2029" i="4"/>
  <c r="AG2029" i="4"/>
  <c r="BX2018" i="4"/>
  <c r="AG2022" i="4"/>
  <c r="BX2009" i="4"/>
  <c r="AG2009" i="4"/>
  <c r="AG2027" i="4"/>
  <c r="BX2027" i="4"/>
  <c r="AG2019" i="4"/>
  <c r="BX2019" i="4"/>
  <c r="AG2018" i="4"/>
  <c r="BX2020" i="4"/>
  <c r="BX2013" i="4"/>
  <c r="AG2013" i="4"/>
  <c r="BX2028" i="4"/>
  <c r="AG2028" i="4"/>
  <c r="BX2024" i="4"/>
  <c r="AG2024" i="4"/>
  <c r="BX2015" i="4"/>
  <c r="AG2015" i="4"/>
  <c r="BX2016" i="4"/>
  <c r="AG2016" i="4"/>
  <c r="BX2014" i="4"/>
  <c r="AG2014" i="4"/>
  <c r="BX2010" i="4"/>
  <c r="AG2010" i="4"/>
  <c r="BX2017" i="4"/>
  <c r="AG2017" i="4"/>
  <c r="BX2011" i="4"/>
  <c r="AG2011" i="4"/>
  <c r="BX2023" i="4"/>
  <c r="AG2023" i="4"/>
  <c r="BX2021" i="4"/>
  <c r="AG2021" i="4"/>
  <c r="BX1826" i="4"/>
  <c r="BX1825" i="4"/>
  <c r="BY1825" i="4" s="1"/>
  <c r="BX1823" i="4"/>
  <c r="BX1830" i="4"/>
  <c r="AG1830" i="4"/>
  <c r="BX1829" i="4"/>
  <c r="AG1829" i="4"/>
  <c r="BX1831" i="4"/>
  <c r="AG1831" i="4"/>
  <c r="BX1832" i="4"/>
  <c r="AG1832" i="4"/>
  <c r="BX1827" i="4"/>
  <c r="AG1827" i="4"/>
  <c r="BX1828" i="4"/>
  <c r="AG1828" i="4"/>
  <c r="BX1687" i="4"/>
  <c r="BX1688" i="4"/>
  <c r="BY1688" i="4" s="1"/>
  <c r="AI1825" i="4"/>
  <c r="AI1824" i="4"/>
  <c r="AG1620" i="4"/>
  <c r="BX1620" i="4"/>
  <c r="BX1622" i="4"/>
  <c r="AG1622" i="4"/>
  <c r="BX1618" i="4"/>
  <c r="AG1618" i="4"/>
  <c r="BX1619" i="4"/>
  <c r="AG1619" i="4"/>
  <c r="BX1621" i="4"/>
  <c r="AG1621" i="4"/>
  <c r="BY2215" i="4" l="1"/>
  <c r="BZ2215" i="4" s="1"/>
  <c r="BY2228" i="4"/>
  <c r="AI2228" i="4"/>
  <c r="BY2230" i="4"/>
  <c r="BY2316" i="4"/>
  <c r="BY2317" i="4"/>
  <c r="BZ2317" i="4" s="1"/>
  <c r="BY2318" i="4"/>
  <c r="BZ2318" i="4" s="1"/>
  <c r="AI2318" i="4"/>
  <c r="AI2261" i="4"/>
  <c r="BY2261" i="4"/>
  <c r="BZ2261" i="4" s="1"/>
  <c r="BY2229" i="4"/>
  <c r="CA2229" i="4" s="1"/>
  <c r="BY2254" i="4"/>
  <c r="BZ2254" i="4" s="1"/>
  <c r="BY2224" i="4"/>
  <c r="BZ2224" i="4" s="1"/>
  <c r="BY2231" i="4"/>
  <c r="CA2231" i="4" s="1"/>
  <c r="BY2226" i="4"/>
  <c r="BZ2226" i="4" s="1"/>
  <c r="BY2290" i="4"/>
  <c r="BZ2290" i="4" s="1"/>
  <c r="BY2278" i="4"/>
  <c r="BZ2278" i="4" s="1"/>
  <c r="BY2267" i="4"/>
  <c r="BZ2267" i="4" s="1"/>
  <c r="BY2269" i="4"/>
  <c r="BZ2269" i="4" s="1"/>
  <c r="BY2284" i="4"/>
  <c r="BZ2284" i="4" s="1"/>
  <c r="BY2299" i="4"/>
  <c r="BZ2299" i="4" s="1"/>
  <c r="BY2291" i="4"/>
  <c r="BZ2291" i="4" s="1"/>
  <c r="BY2279" i="4"/>
  <c r="CA2279" i="4" s="1"/>
  <c r="BZ2320" i="4"/>
  <c r="CA2320" i="4"/>
  <c r="CA2317" i="4"/>
  <c r="BZ2315" i="4"/>
  <c r="CA2315" i="4"/>
  <c r="CA2316" i="4"/>
  <c r="BZ2316" i="4"/>
  <c r="CA2319" i="4"/>
  <c r="BZ2319" i="4"/>
  <c r="BY2248" i="4"/>
  <c r="BZ2248" i="4" s="1"/>
  <c r="BY2297" i="4"/>
  <c r="BZ2297" i="4" s="1"/>
  <c r="BY2280" i="4"/>
  <c r="BZ2280" i="4" s="1"/>
  <c r="BY2325" i="4"/>
  <c r="CA2325" i="4" s="1"/>
  <c r="BY2324" i="4"/>
  <c r="CA2324" i="4" s="1"/>
  <c r="BY2233" i="4"/>
  <c r="BZ2233" i="4" s="1"/>
  <c r="BY2281" i="4"/>
  <c r="BZ2281" i="4" s="1"/>
  <c r="BY2322" i="4"/>
  <c r="BZ2322" i="4" s="1"/>
  <c r="BY2327" i="4"/>
  <c r="CA2327" i="4" s="1"/>
  <c r="BY2272" i="4"/>
  <c r="BZ2272" i="4" s="1"/>
  <c r="BY2323" i="4"/>
  <c r="BZ2323" i="4" s="1"/>
  <c r="BY2304" i="4"/>
  <c r="BZ2304" i="4" s="1"/>
  <c r="BY2326" i="4"/>
  <c r="BZ2326" i="4" s="1"/>
  <c r="BY2321" i="4"/>
  <c r="BZ2321" i="4" s="1"/>
  <c r="AI2300" i="4"/>
  <c r="BY2300" i="4"/>
  <c r="AI2274" i="4"/>
  <c r="BY2274" i="4"/>
  <c r="CA2280" i="4"/>
  <c r="AI2313" i="4"/>
  <c r="BY2313" i="4"/>
  <c r="AI2277" i="4"/>
  <c r="BY2277" i="4"/>
  <c r="AI2276" i="4"/>
  <c r="BY2276" i="4"/>
  <c r="AI2264" i="4"/>
  <c r="BY2264" i="4"/>
  <c r="AI2287" i="4"/>
  <c r="BY2287" i="4"/>
  <c r="AI2314" i="4"/>
  <c r="BY2314" i="4"/>
  <c r="AI2268" i="4"/>
  <c r="BY2268" i="4"/>
  <c r="AI2289" i="4"/>
  <c r="BY2289" i="4"/>
  <c r="AI2286" i="4"/>
  <c r="BY2286" i="4"/>
  <c r="AI2270" i="4"/>
  <c r="BY2270" i="4"/>
  <c r="AI2263" i="4"/>
  <c r="BY2263" i="4"/>
  <c r="AI2309" i="4"/>
  <c r="BY2309" i="4"/>
  <c r="AI2311" i="4"/>
  <c r="BY2311" i="4"/>
  <c r="AI2285" i="4"/>
  <c r="BY2285" i="4"/>
  <c r="AI2288" i="4"/>
  <c r="BY2288" i="4"/>
  <c r="AI2305" i="4"/>
  <c r="BY2305" i="4"/>
  <c r="AI2295" i="4"/>
  <c r="BY2295" i="4"/>
  <c r="AI2271" i="4"/>
  <c r="BY2271" i="4"/>
  <c r="AI2310" i="4"/>
  <c r="BY2310" i="4"/>
  <c r="AI2273" i="4"/>
  <c r="BY2273" i="4"/>
  <c r="AI2301" i="4"/>
  <c r="BY2301" i="4"/>
  <c r="AI2292" i="4"/>
  <c r="BY2292" i="4"/>
  <c r="AI2275" i="4"/>
  <c r="BY2275" i="4"/>
  <c r="AI2303" i="4"/>
  <c r="BY2303" i="4"/>
  <c r="AI2296" i="4"/>
  <c r="BY2296" i="4"/>
  <c r="AI2283" i="4"/>
  <c r="BY2283" i="4"/>
  <c r="AI2266" i="4"/>
  <c r="BY2266" i="4"/>
  <c r="AI2306" i="4"/>
  <c r="BY2306" i="4"/>
  <c r="BZ2308" i="4"/>
  <c r="CA2308" i="4"/>
  <c r="AI2294" i="4"/>
  <c r="BY2294" i="4"/>
  <c r="AI2298" i="4"/>
  <c r="BY2298" i="4"/>
  <c r="AI2307" i="4"/>
  <c r="BY2307" i="4"/>
  <c r="AI2302" i="4"/>
  <c r="BY2302" i="4"/>
  <c r="AI2265" i="4"/>
  <c r="BY2265" i="4"/>
  <c r="AI2312" i="4"/>
  <c r="BY2312" i="4"/>
  <c r="AI2262" i="4"/>
  <c r="BY2262" i="4"/>
  <c r="AI2293" i="4"/>
  <c r="BY2293" i="4"/>
  <c r="AI2282" i="4"/>
  <c r="BY2282" i="4"/>
  <c r="BY2227" i="4"/>
  <c r="BZ2227" i="4" s="1"/>
  <c r="AI2324" i="4"/>
  <c r="AI2323" i="4"/>
  <c r="AI2326" i="4"/>
  <c r="AI2321" i="4"/>
  <c r="AI2325" i="4"/>
  <c r="AI2327" i="4"/>
  <c r="AI2322" i="4"/>
  <c r="BY2194" i="4"/>
  <c r="BZ2194" i="4" s="1"/>
  <c r="BY2241" i="4"/>
  <c r="BZ2241" i="4" s="1"/>
  <c r="BY2258" i="4"/>
  <c r="BZ2258" i="4" s="1"/>
  <c r="BY2201" i="4"/>
  <c r="BZ2201" i="4" s="1"/>
  <c r="BY2259" i="4"/>
  <c r="BZ2259" i="4" s="1"/>
  <c r="BY2236" i="4"/>
  <c r="BZ2236" i="4" s="1"/>
  <c r="AI2236" i="4"/>
  <c r="BY2255" i="4"/>
  <c r="BZ2255" i="4" s="1"/>
  <c r="BY2252" i="4"/>
  <c r="BZ2252" i="4" s="1"/>
  <c r="BY2240" i="4"/>
  <c r="BZ2240" i="4" s="1"/>
  <c r="BY2234" i="4"/>
  <c r="AI2234" i="4"/>
  <c r="BY2253" i="4"/>
  <c r="BZ2253" i="4" s="1"/>
  <c r="BY2244" i="4"/>
  <c r="AI2201" i="4"/>
  <c r="BY2251" i="4"/>
  <c r="BZ2251" i="4" s="1"/>
  <c r="BY2245" i="4"/>
  <c r="BZ2245" i="4" s="1"/>
  <c r="BY2250" i="4"/>
  <c r="BZ2250" i="4" s="1"/>
  <c r="BY2243" i="4"/>
  <c r="AI2235" i="4"/>
  <c r="BY2235" i="4"/>
  <c r="BY2238" i="4"/>
  <c r="BY2205" i="4"/>
  <c r="BZ2205" i="4" s="1"/>
  <c r="BY2256" i="4"/>
  <c r="BZ2256" i="4" s="1"/>
  <c r="BY2249" i="4"/>
  <c r="BY2242" i="4"/>
  <c r="BY2246" i="4"/>
  <c r="BZ2246" i="4" s="1"/>
  <c r="BY2237" i="4"/>
  <c r="AI2232" i="4"/>
  <c r="BY2232" i="4"/>
  <c r="BY2257" i="4"/>
  <c r="BZ2257" i="4" s="1"/>
  <c r="BY2260" i="4"/>
  <c r="BZ2260" i="4" s="1"/>
  <c r="BY2239" i="4"/>
  <c r="BY2247" i="4"/>
  <c r="BZ2223" i="4"/>
  <c r="CA2223" i="4"/>
  <c r="CA2230" i="4"/>
  <c r="BZ2230" i="4"/>
  <c r="BZ2228" i="4"/>
  <c r="CA2228" i="4"/>
  <c r="BZ2225" i="4"/>
  <c r="CA2225" i="4"/>
  <c r="BZ2222" i="4"/>
  <c r="CA2222" i="4"/>
  <c r="BZ2221" i="4"/>
  <c r="CA2221" i="4"/>
  <c r="BY2190" i="4"/>
  <c r="BZ2190" i="4" s="1"/>
  <c r="BY2210" i="4"/>
  <c r="AI2210" i="4"/>
  <c r="BY2220" i="4"/>
  <c r="AI2220" i="4"/>
  <c r="BY2216" i="4"/>
  <c r="BZ2216" i="4" s="1"/>
  <c r="AI2216" i="4"/>
  <c r="BY2219" i="4"/>
  <c r="AI2219" i="4"/>
  <c r="AI2209" i="4"/>
  <c r="BY2209" i="4"/>
  <c r="AI2208" i="4"/>
  <c r="BY2208" i="4"/>
  <c r="BY2214" i="4"/>
  <c r="AI2214" i="4"/>
  <c r="BY2213" i="4"/>
  <c r="BZ2213" i="4" s="1"/>
  <c r="AI2213" i="4"/>
  <c r="BY2193" i="4"/>
  <c r="BZ2193" i="4" s="1"/>
  <c r="AI2211" i="4"/>
  <c r="BY2211" i="4"/>
  <c r="BY2212" i="4"/>
  <c r="AI2212" i="4"/>
  <c r="AI2217" i="4"/>
  <c r="BY2217" i="4"/>
  <c r="BZ2217" i="4" s="1"/>
  <c r="AI2218" i="4"/>
  <c r="BY2218" i="4"/>
  <c r="BZ2218" i="4" s="1"/>
  <c r="BY2197" i="4"/>
  <c r="CA2197" i="4" s="1"/>
  <c r="BY2199" i="4"/>
  <c r="BZ2199" i="4" s="1"/>
  <c r="BY2198" i="4"/>
  <c r="BZ2198" i="4" s="1"/>
  <c r="CA2200" i="4"/>
  <c r="BZ2196" i="4"/>
  <c r="CA2196" i="4"/>
  <c r="AI2204" i="4"/>
  <c r="BY2204" i="4"/>
  <c r="AI2206" i="4"/>
  <c r="BY2206" i="4"/>
  <c r="AI2202" i="4"/>
  <c r="BY2202" i="4"/>
  <c r="AI2203" i="4"/>
  <c r="BY2203" i="4"/>
  <c r="BY690" i="4"/>
  <c r="BZ690" i="4" s="1"/>
  <c r="BY688" i="4"/>
  <c r="AI688" i="4"/>
  <c r="BY40" i="4"/>
  <c r="CA40" i="4" s="1"/>
  <c r="BZ2191" i="4"/>
  <c r="CA2195" i="4"/>
  <c r="AI690" i="4"/>
  <c r="BY49" i="4"/>
  <c r="CA49" i="4" s="1"/>
  <c r="BY693" i="4"/>
  <c r="BZ693" i="4" s="1"/>
  <c r="AI2189" i="4"/>
  <c r="BY2189" i="4"/>
  <c r="BZ2189" i="4" s="1"/>
  <c r="AI2188" i="4"/>
  <c r="BY2188" i="4"/>
  <c r="BZ2188" i="4" s="1"/>
  <c r="CA2184" i="4"/>
  <c r="BZ2184" i="4"/>
  <c r="BZ2183" i="4"/>
  <c r="CA2183" i="4"/>
  <c r="BY5" i="4"/>
  <c r="BZ5" i="4" s="1"/>
  <c r="BY695" i="4"/>
  <c r="AI695" i="4"/>
  <c r="BY691" i="4"/>
  <c r="BZ691" i="4" s="1"/>
  <c r="AI691" i="4"/>
  <c r="BY692" i="4"/>
  <c r="AI692" i="4"/>
  <c r="BY698" i="4"/>
  <c r="AI698" i="4"/>
  <c r="BY699" i="4"/>
  <c r="AI699" i="4"/>
  <c r="BY689" i="4"/>
  <c r="BZ689" i="4" s="1"/>
  <c r="AI689" i="4"/>
  <c r="BY697" i="4"/>
  <c r="AI697" i="4"/>
  <c r="CA696" i="4"/>
  <c r="BZ696" i="4"/>
  <c r="BY694" i="4"/>
  <c r="AI694" i="4"/>
  <c r="BY2071" i="4"/>
  <c r="BY2059" i="4"/>
  <c r="BY2070" i="4"/>
  <c r="BZ2070" i="4" s="1"/>
  <c r="BY2060" i="4"/>
  <c r="BY2076" i="4"/>
  <c r="BY2066" i="4"/>
  <c r="BY2083" i="4"/>
  <c r="BY2085" i="4"/>
  <c r="BY2099" i="4"/>
  <c r="BZ2099" i="4" s="1"/>
  <c r="BY2131" i="4"/>
  <c r="BZ2131" i="4" s="1"/>
  <c r="BY2157" i="4"/>
  <c r="BY2089" i="4"/>
  <c r="BY2091" i="4"/>
  <c r="BY2115" i="4"/>
  <c r="BY2126" i="4"/>
  <c r="BY2124" i="4"/>
  <c r="BZ2124" i="4" s="1"/>
  <c r="BY2151" i="4"/>
  <c r="BY2036" i="4"/>
  <c r="BY2041" i="4"/>
  <c r="BY2141" i="4"/>
  <c r="BY2140" i="4"/>
  <c r="BY2072" i="4"/>
  <c r="BY2073" i="4"/>
  <c r="BY2063" i="4"/>
  <c r="BY2045" i="4"/>
  <c r="BY2019" i="4"/>
  <c r="BY2047" i="4"/>
  <c r="BY2069" i="4"/>
  <c r="BY2067" i="4"/>
  <c r="BY2134" i="4"/>
  <c r="BY2172" i="4"/>
  <c r="BY2163" i="4"/>
  <c r="BY2153" i="4"/>
  <c r="BY2164" i="4"/>
  <c r="BY2133" i="4"/>
  <c r="BY2159" i="4"/>
  <c r="BY2016" i="4"/>
  <c r="BY2009" i="4"/>
  <c r="BY2054" i="4"/>
  <c r="BY2097" i="4"/>
  <c r="BZ2097" i="4" s="1"/>
  <c r="BY2139" i="4"/>
  <c r="BY2152" i="4"/>
  <c r="BY2055" i="4"/>
  <c r="BZ2055" i="4" s="1"/>
  <c r="BY1619" i="4"/>
  <c r="BY1832" i="4"/>
  <c r="BZ1832" i="4" s="1"/>
  <c r="BY2023" i="4"/>
  <c r="BY2028" i="4"/>
  <c r="BZ2028" i="4" s="1"/>
  <c r="BY2012" i="4"/>
  <c r="BY2035" i="4"/>
  <c r="BY2138" i="4"/>
  <c r="BY2160" i="4"/>
  <c r="BY2161" i="4"/>
  <c r="BY2103" i="4"/>
  <c r="BZ2103" i="4" s="1"/>
  <c r="BY2137" i="4"/>
  <c r="BY2135" i="4"/>
  <c r="BY2168" i="4"/>
  <c r="BY2169" i="4"/>
  <c r="BY2033" i="4"/>
  <c r="BY2074" i="4"/>
  <c r="BZ2074" i="4" s="1"/>
  <c r="BY2061" i="4"/>
  <c r="BY2057" i="4"/>
  <c r="BY2084" i="4"/>
  <c r="BY2081" i="4"/>
  <c r="BY2127" i="4"/>
  <c r="BY2090" i="4"/>
  <c r="BY2144" i="4"/>
  <c r="BY2132" i="4"/>
  <c r="BY2171" i="4"/>
  <c r="BZ2171" i="4" s="1"/>
  <c r="BY2026" i="4"/>
  <c r="BZ2026" i="4" s="1"/>
  <c r="BY2049" i="4"/>
  <c r="BY2075" i="4"/>
  <c r="BY2077" i="4"/>
  <c r="BZ2077" i="4" s="1"/>
  <c r="BY2086" i="4"/>
  <c r="BY2122" i="4"/>
  <c r="BY2162" i="4"/>
  <c r="BY2014" i="4"/>
  <c r="BY2037" i="4"/>
  <c r="BY2087" i="4"/>
  <c r="BY2093" i="4"/>
  <c r="BY2128" i="4"/>
  <c r="BY2121" i="4"/>
  <c r="BY2052" i="4"/>
  <c r="BZ2052" i="4" s="1"/>
  <c r="BY2129" i="4"/>
  <c r="BZ2129" i="4" s="1"/>
  <c r="BY1828" i="4"/>
  <c r="BY2015" i="4"/>
  <c r="BY2022" i="4"/>
  <c r="BY2038" i="4"/>
  <c r="BY2105" i="4"/>
  <c r="BY2154" i="4"/>
  <c r="BY2043" i="4"/>
  <c r="BY2068" i="4"/>
  <c r="BY2064" i="4"/>
  <c r="BY2065" i="4"/>
  <c r="BY2092" i="4"/>
  <c r="BZ2092" i="4" s="1"/>
  <c r="BY2088" i="4"/>
  <c r="BY2112" i="4"/>
  <c r="BY2130" i="4"/>
  <c r="BY2123" i="4"/>
  <c r="BZ2123" i="4" s="1"/>
  <c r="BY2173" i="4"/>
  <c r="BY2143" i="4"/>
  <c r="BZ2143" i="4" s="1"/>
  <c r="BY2027" i="4"/>
  <c r="BZ2027" i="4" s="1"/>
  <c r="AI2046" i="4"/>
  <c r="BY2046" i="4"/>
  <c r="BZ2046" i="4" s="1"/>
  <c r="AI2167" i="4"/>
  <c r="BY2167" i="4"/>
  <c r="CA2167" i="4" s="1"/>
  <c r="AI2176" i="4"/>
  <c r="BY2176" i="4"/>
  <c r="BZ2176" i="4" s="1"/>
  <c r="AI2174" i="4"/>
  <c r="BY2174" i="4"/>
  <c r="BZ2174" i="4" s="1"/>
  <c r="AI2146" i="4"/>
  <c r="BY2146" i="4"/>
  <c r="BZ2146" i="4" s="1"/>
  <c r="AI2095" i="4"/>
  <c r="BY2095" i="4"/>
  <c r="CA2095" i="4" s="1"/>
  <c r="AI2149" i="4"/>
  <c r="BY2149" i="4"/>
  <c r="BZ2149" i="4" s="1"/>
  <c r="BY2078" i="4"/>
  <c r="BZ2078" i="4" s="1"/>
  <c r="BY1621" i="4"/>
  <c r="BY1827" i="4"/>
  <c r="BY2021" i="4"/>
  <c r="BY2024" i="4"/>
  <c r="BY2029" i="4"/>
  <c r="BZ2029" i="4" s="1"/>
  <c r="BY2031" i="4"/>
  <c r="BY2107" i="4"/>
  <c r="BY2142" i="4"/>
  <c r="BY2175" i="4"/>
  <c r="AI2170" i="4"/>
  <c r="BY2170" i="4"/>
  <c r="AI2098" i="4"/>
  <c r="BY2098" i="4"/>
  <c r="BZ2098" i="4" s="1"/>
  <c r="AI2156" i="4"/>
  <c r="BY2156" i="4"/>
  <c r="BZ2156" i="4" s="1"/>
  <c r="AI2120" i="4"/>
  <c r="BY2120" i="4"/>
  <c r="BZ2120" i="4" s="1"/>
  <c r="AI2166" i="4"/>
  <c r="BY2166" i="4"/>
  <c r="CA2166" i="4" s="1"/>
  <c r="AI2177" i="4"/>
  <c r="BY2177" i="4"/>
  <c r="BY2145" i="4"/>
  <c r="BZ2145" i="4" s="1"/>
  <c r="AI2101" i="4"/>
  <c r="BY2101" i="4"/>
  <c r="BZ2101" i="4" s="1"/>
  <c r="BY1618" i="4"/>
  <c r="BY1831" i="4"/>
  <c r="BY2011" i="4"/>
  <c r="BY2013" i="4"/>
  <c r="BY2025" i="4"/>
  <c r="BY2032" i="4"/>
  <c r="BY2042" i="4"/>
  <c r="AI2050" i="4"/>
  <c r="BY2050" i="4"/>
  <c r="BZ2050" i="4" s="1"/>
  <c r="AI2102" i="4"/>
  <c r="BY2102" i="4"/>
  <c r="BZ2102" i="4" s="1"/>
  <c r="AI2106" i="4"/>
  <c r="BY2106" i="4"/>
  <c r="AI2155" i="4"/>
  <c r="BY2155" i="4"/>
  <c r="CA2155" i="4" s="1"/>
  <c r="AI2185" i="4"/>
  <c r="BY2185" i="4"/>
  <c r="BZ2185" i="4" s="1"/>
  <c r="BY1687" i="4"/>
  <c r="BZ1687" i="4" s="1"/>
  <c r="AI2100" i="4"/>
  <c r="BY2100" i="4"/>
  <c r="BZ2100" i="4" s="1"/>
  <c r="AI2096" i="4"/>
  <c r="BY2096" i="4"/>
  <c r="BZ2096" i="4" s="1"/>
  <c r="AI2117" i="4"/>
  <c r="BY2117" i="4"/>
  <c r="BZ2117" i="4" s="1"/>
  <c r="AI2150" i="4"/>
  <c r="BY2150" i="4"/>
  <c r="BZ2150" i="4" s="1"/>
  <c r="BY1622" i="4"/>
  <c r="BY1829" i="4"/>
  <c r="BY2017" i="4"/>
  <c r="BY2040" i="4"/>
  <c r="BY2044" i="4"/>
  <c r="BY2148" i="4"/>
  <c r="BY2147" i="4"/>
  <c r="AI2110" i="4"/>
  <c r="BY2110" i="4"/>
  <c r="CA2110" i="4" s="1"/>
  <c r="BY2136" i="4"/>
  <c r="BY2158" i="4"/>
  <c r="AI2165" i="4"/>
  <c r="BY2165" i="4"/>
  <c r="CA2165" i="4" s="1"/>
  <c r="AI2182" i="4"/>
  <c r="BY2182" i="4"/>
  <c r="BZ2182" i="4" s="1"/>
  <c r="AI1826" i="4"/>
  <c r="BY1826" i="4"/>
  <c r="BZ1826" i="4" s="1"/>
  <c r="AI2116" i="4"/>
  <c r="BY2116" i="4"/>
  <c r="BZ2116" i="4" s="1"/>
  <c r="BZ2181" i="4"/>
  <c r="BY1824" i="4"/>
  <c r="BZ1824" i="4" s="1"/>
  <c r="BY2018" i="4"/>
  <c r="AI2034" i="4"/>
  <c r="BY2034" i="4"/>
  <c r="CA2034" i="4" s="1"/>
  <c r="AI2113" i="4"/>
  <c r="BY2113" i="4"/>
  <c r="BZ2113" i="4" s="1"/>
  <c r="AI2111" i="4"/>
  <c r="BY2111" i="4"/>
  <c r="BZ2111" i="4" s="1"/>
  <c r="AI2109" i="4"/>
  <c r="BY2109" i="4"/>
  <c r="AI2118" i="4"/>
  <c r="BY2118" i="4"/>
  <c r="CA2118" i="4" s="1"/>
  <c r="CA2186" i="4"/>
  <c r="BY2104" i="4"/>
  <c r="BZ2104" i="4" s="1"/>
  <c r="AI1689" i="4"/>
  <c r="BY1689" i="4"/>
  <c r="BZ1689" i="4" s="1"/>
  <c r="AI2051" i="4"/>
  <c r="BY2051" i="4"/>
  <c r="BZ2051" i="4" s="1"/>
  <c r="AI2178" i="4"/>
  <c r="BY2178" i="4"/>
  <c r="BZ2178" i="4" s="1"/>
  <c r="AI1823" i="4"/>
  <c r="BY1823" i="4"/>
  <c r="BZ1823" i="4" s="1"/>
  <c r="BY1830" i="4"/>
  <c r="BY2010" i="4"/>
  <c r="BY2056" i="4"/>
  <c r="AI2108" i="4"/>
  <c r="BY2108" i="4"/>
  <c r="AI1620" i="4"/>
  <c r="BY1620" i="4"/>
  <c r="BZ1620" i="4" s="1"/>
  <c r="AI2020" i="4"/>
  <c r="BY2020" i="4"/>
  <c r="BZ2020" i="4" s="1"/>
  <c r="BY2053" i="4"/>
  <c r="AI2048" i="4"/>
  <c r="BY2048" i="4"/>
  <c r="BZ2048" i="4" s="1"/>
  <c r="BY2058" i="4"/>
  <c r="BY2062" i="4"/>
  <c r="BY2080" i="4"/>
  <c r="BY2082" i="4"/>
  <c r="BY2114" i="4"/>
  <c r="BZ2114" i="4" s="1"/>
  <c r="BY2125" i="4"/>
  <c r="AI2187" i="4"/>
  <c r="BY2187" i="4"/>
  <c r="BZ2186" i="4"/>
  <c r="CA2181" i="4"/>
  <c r="AI2143" i="4"/>
  <c r="AI2175" i="4"/>
  <c r="AI2145" i="4"/>
  <c r="AI2172" i="4"/>
  <c r="AI2161" i="4"/>
  <c r="AI2168" i="4"/>
  <c r="AI2153" i="4"/>
  <c r="AI2163" i="4"/>
  <c r="AI2169" i="4"/>
  <c r="AI2162" i="4"/>
  <c r="AI2154" i="4"/>
  <c r="AI2157" i="4"/>
  <c r="AI2164" i="4"/>
  <c r="AI2158" i="4"/>
  <c r="AI2173" i="4"/>
  <c r="AI2171" i="4"/>
  <c r="AI2151" i="4"/>
  <c r="AI2152" i="4"/>
  <c r="AI2160" i="4"/>
  <c r="AI2159" i="4"/>
  <c r="AI2144" i="4"/>
  <c r="AI2148" i="4"/>
  <c r="AI2147" i="4"/>
  <c r="AI2134" i="4"/>
  <c r="AI2137" i="4"/>
  <c r="AI2133" i="4"/>
  <c r="AI2136" i="4"/>
  <c r="AI2141" i="4"/>
  <c r="AI2142" i="4"/>
  <c r="AI2135" i="4"/>
  <c r="AI2139" i="4"/>
  <c r="AI2138" i="4"/>
  <c r="AI2140" i="4"/>
  <c r="AI2128" i="4"/>
  <c r="AI2127" i="4"/>
  <c r="AI2121" i="4"/>
  <c r="AI2131" i="4"/>
  <c r="AI2132" i="4"/>
  <c r="AI2129" i="4"/>
  <c r="AI2130" i="4"/>
  <c r="AI2122" i="4"/>
  <c r="AI2123" i="4"/>
  <c r="AI2126" i="4"/>
  <c r="AI2125" i="4"/>
  <c r="AI2124" i="4"/>
  <c r="BZ2119" i="4"/>
  <c r="CA2119" i="4"/>
  <c r="AI2114" i="4"/>
  <c r="CA2094" i="4"/>
  <c r="BZ2094" i="4"/>
  <c r="AI2105" i="4"/>
  <c r="AI2112" i="4"/>
  <c r="AI2093" i="4"/>
  <c r="AI2099" i="4"/>
  <c r="AI2115" i="4"/>
  <c r="AI2107" i="4"/>
  <c r="AI2103" i="4"/>
  <c r="AI2097" i="4"/>
  <c r="AI2083" i="4"/>
  <c r="AI2090" i="4"/>
  <c r="AI2085" i="4"/>
  <c r="AI2092" i="4"/>
  <c r="AI2086" i="4"/>
  <c r="AI2088" i="4"/>
  <c r="AI2089" i="4"/>
  <c r="AI2082" i="4"/>
  <c r="AI2091" i="4"/>
  <c r="AI2084" i="4"/>
  <c r="AI2087" i="4"/>
  <c r="AI2081" i="4"/>
  <c r="BZ2030" i="4"/>
  <c r="AI2080" i="4"/>
  <c r="BZ2079" i="4"/>
  <c r="CA2079" i="4"/>
  <c r="AI2060" i="4"/>
  <c r="AI2069" i="4"/>
  <c r="AI2076" i="4"/>
  <c r="AI2067" i="4"/>
  <c r="AI2066" i="4"/>
  <c r="AI2068" i="4"/>
  <c r="AI2075" i="4"/>
  <c r="AI2064" i="4"/>
  <c r="AI2077" i="4"/>
  <c r="AI2065" i="4"/>
  <c r="AI2072" i="4"/>
  <c r="AI2058" i="4"/>
  <c r="AI2073" i="4"/>
  <c r="AI2062" i="4"/>
  <c r="AI2063" i="4"/>
  <c r="AI2071" i="4"/>
  <c r="AI2074" i="4"/>
  <c r="AI2059" i="4"/>
  <c r="AI2061" i="4"/>
  <c r="AI2070" i="4"/>
  <c r="AI2055" i="4"/>
  <c r="AI2052" i="4"/>
  <c r="AI2040" i="4"/>
  <c r="AI2045" i="4"/>
  <c r="AI2035" i="4"/>
  <c r="AI2044" i="4"/>
  <c r="AI2057" i="4"/>
  <c r="AI2056" i="4"/>
  <c r="AI2041" i="4"/>
  <c r="AI2037" i="4"/>
  <c r="BZ2039" i="4"/>
  <c r="CA2039" i="4"/>
  <c r="AI2047" i="4"/>
  <c r="AI2033" i="4"/>
  <c r="AI2036" i="4"/>
  <c r="AI2042" i="4"/>
  <c r="AI2038" i="4"/>
  <c r="AI2031" i="4"/>
  <c r="AI2032" i="4"/>
  <c r="AI2054" i="4"/>
  <c r="AI2053" i="4"/>
  <c r="AI2049" i="4"/>
  <c r="AI2043" i="4"/>
  <c r="AI2019" i="4"/>
  <c r="AI2021" i="4"/>
  <c r="AI2017" i="4"/>
  <c r="AI2016" i="4"/>
  <c r="AI2028" i="4"/>
  <c r="AI2012" i="4"/>
  <c r="AI2027" i="4"/>
  <c r="AI2010" i="4"/>
  <c r="AI2015" i="4"/>
  <c r="AI2013" i="4"/>
  <c r="AI2009" i="4"/>
  <c r="AI2025" i="4"/>
  <c r="AI2023" i="4"/>
  <c r="AI2014" i="4"/>
  <c r="AI2022" i="4"/>
  <c r="AI2018" i="4"/>
  <c r="AI2026" i="4"/>
  <c r="AI2011" i="4"/>
  <c r="AI2024" i="4"/>
  <c r="AI2029" i="4"/>
  <c r="AI1832" i="4"/>
  <c r="AI1831" i="4"/>
  <c r="AI1828" i="4"/>
  <c r="AI1829" i="4"/>
  <c r="AI1827" i="4"/>
  <c r="AI1830" i="4"/>
  <c r="BZ1825" i="4"/>
  <c r="BZ1688" i="4"/>
  <c r="CA1688" i="4"/>
  <c r="AI1618" i="4"/>
  <c r="AI1621" i="4"/>
  <c r="AI1622" i="4"/>
  <c r="AI1619" i="4"/>
  <c r="CA2248" i="4" l="1"/>
  <c r="CA2318" i="4"/>
  <c r="CA2224" i="4"/>
  <c r="BZ2229" i="4"/>
  <c r="BZ2231" i="4"/>
  <c r="CA2284" i="4"/>
  <c r="CA2226" i="4"/>
  <c r="CA2290" i="4"/>
  <c r="CA2299" i="4"/>
  <c r="CA2269" i="4"/>
  <c r="BZ2325" i="4"/>
  <c r="BZ2279" i="4"/>
  <c r="CA2291" i="4"/>
  <c r="BZ2324" i="4"/>
  <c r="CA2278" i="4"/>
  <c r="CA2258" i="4"/>
  <c r="BZ2327" i="4"/>
  <c r="CA2267" i="4"/>
  <c r="CA2272" i="4"/>
  <c r="CA2281" i="4"/>
  <c r="CA2323" i="4"/>
  <c r="CA2297" i="4"/>
  <c r="CA2322" i="4"/>
  <c r="CA2304" i="4"/>
  <c r="CA2326" i="4"/>
  <c r="CA2321" i="4"/>
  <c r="CA2227" i="4"/>
  <c r="CA2302" i="4"/>
  <c r="BZ2302" i="4"/>
  <c r="BZ2283" i="4"/>
  <c r="CA2283" i="4"/>
  <c r="BZ2273" i="4"/>
  <c r="CA2273" i="4"/>
  <c r="BZ2285" i="4"/>
  <c r="CA2285" i="4"/>
  <c r="BZ2289" i="4"/>
  <c r="CA2289" i="4"/>
  <c r="BZ2276" i="4"/>
  <c r="CA2276" i="4"/>
  <c r="BZ2307" i="4"/>
  <c r="CA2307" i="4"/>
  <c r="BZ2296" i="4"/>
  <c r="CA2296" i="4"/>
  <c r="BZ2310" i="4"/>
  <c r="CA2310" i="4"/>
  <c r="BZ2311" i="4"/>
  <c r="CA2311" i="4"/>
  <c r="BZ2268" i="4"/>
  <c r="CA2268" i="4"/>
  <c r="BZ2277" i="4"/>
  <c r="CA2277" i="4"/>
  <c r="BZ2298" i="4"/>
  <c r="CA2298" i="4"/>
  <c r="BZ2303" i="4"/>
  <c r="CA2303" i="4"/>
  <c r="BZ2271" i="4"/>
  <c r="CA2271" i="4"/>
  <c r="BZ2309" i="4"/>
  <c r="CA2309" i="4"/>
  <c r="BZ2314" i="4"/>
  <c r="CA2314" i="4"/>
  <c r="BZ2294" i="4"/>
  <c r="CA2294" i="4"/>
  <c r="BZ2263" i="4"/>
  <c r="CA2263" i="4"/>
  <c r="BZ2313" i="4"/>
  <c r="CA2313" i="4"/>
  <c r="BZ2312" i="4"/>
  <c r="CA2312" i="4"/>
  <c r="CA2270" i="4"/>
  <c r="BZ2270" i="4"/>
  <c r="BZ2287" i="4"/>
  <c r="CA2287" i="4"/>
  <c r="BZ2282" i="4"/>
  <c r="CA2282" i="4"/>
  <c r="BZ2275" i="4"/>
  <c r="CA2275" i="4"/>
  <c r="BZ2295" i="4"/>
  <c r="CA2295" i="4"/>
  <c r="BZ2264" i="4"/>
  <c r="CA2264" i="4"/>
  <c r="BZ2293" i="4"/>
  <c r="CA2293" i="4"/>
  <c r="BZ2306" i="4"/>
  <c r="CA2306" i="4"/>
  <c r="BZ2292" i="4"/>
  <c r="CA2292" i="4"/>
  <c r="BZ2305" i="4"/>
  <c r="CA2305" i="4"/>
  <c r="BZ2274" i="4"/>
  <c r="CA2274" i="4"/>
  <c r="BZ2262" i="4"/>
  <c r="CA2262" i="4"/>
  <c r="BZ2265" i="4"/>
  <c r="CA2265" i="4"/>
  <c r="BZ2266" i="4"/>
  <c r="CA2266" i="4"/>
  <c r="CA2301" i="4"/>
  <c r="BZ2301" i="4"/>
  <c r="BZ2288" i="4"/>
  <c r="CA2288" i="4"/>
  <c r="CA2286" i="4"/>
  <c r="BZ2286" i="4"/>
  <c r="BZ2300" i="4"/>
  <c r="CA2300" i="4"/>
  <c r="CA2256" i="4"/>
  <c r="CA2205" i="4"/>
  <c r="CA2194" i="4"/>
  <c r="CA2201" i="4"/>
  <c r="CA2241" i="4"/>
  <c r="CA2190" i="4"/>
  <c r="BZ2244" i="4"/>
  <c r="CA2244" i="4"/>
  <c r="BZ2238" i="4"/>
  <c r="CA2238" i="4"/>
  <c r="BZ2235" i="4"/>
  <c r="CA2235" i="4"/>
  <c r="BZ2232" i="4"/>
  <c r="CA2232" i="4"/>
  <c r="CA2243" i="4"/>
  <c r="BZ2243" i="4"/>
  <c r="CA2234" i="4"/>
  <c r="BZ2234" i="4"/>
  <c r="BZ2237" i="4"/>
  <c r="CA2237" i="4"/>
  <c r="CA2242" i="4"/>
  <c r="BZ2242" i="4"/>
  <c r="BZ2247" i="4"/>
  <c r="CA2247" i="4"/>
  <c r="BZ2249" i="4"/>
  <c r="CA2249" i="4"/>
  <c r="BZ2239" i="4"/>
  <c r="CA2239" i="4"/>
  <c r="CA2193" i="4"/>
  <c r="BZ2108" i="4"/>
  <c r="CA2259" i="4"/>
  <c r="BZ2109" i="4"/>
  <c r="CA2260" i="4"/>
  <c r="CA2106" i="4"/>
  <c r="CA2257" i="4"/>
  <c r="BZ688" i="4"/>
  <c r="BZ2214" i="4"/>
  <c r="CA2214" i="4"/>
  <c r="BZ2208" i="4"/>
  <c r="CA2208" i="4"/>
  <c r="CA2209" i="4"/>
  <c r="BZ2209" i="4"/>
  <c r="BZ40" i="4"/>
  <c r="BZ2219" i="4"/>
  <c r="CA2219" i="4"/>
  <c r="BZ2197" i="4"/>
  <c r="CA2213" i="4"/>
  <c r="BZ2212" i="4"/>
  <c r="CA2212" i="4"/>
  <c r="BZ2211" i="4"/>
  <c r="CA2211" i="4"/>
  <c r="CA2220" i="4"/>
  <c r="BZ2220" i="4"/>
  <c r="BZ2210" i="4"/>
  <c r="CA2210" i="4"/>
  <c r="BZ2202" i="4"/>
  <c r="CA2202" i="4"/>
  <c r="BZ2206" i="4"/>
  <c r="CA2206" i="4"/>
  <c r="BZ2203" i="4"/>
  <c r="CA2203" i="4"/>
  <c r="CA2204" i="4"/>
  <c r="BZ2204" i="4"/>
  <c r="BZ49" i="4"/>
  <c r="CA5" i="4"/>
  <c r="CA693" i="4"/>
  <c r="BZ2136" i="4"/>
  <c r="CA699" i="4"/>
  <c r="BZ699" i="4"/>
  <c r="CA698" i="4"/>
  <c r="BZ698" i="4"/>
  <c r="CA692" i="4"/>
  <c r="BZ692" i="4"/>
  <c r="CA697" i="4"/>
  <c r="BZ697" i="4"/>
  <c r="CA694" i="4"/>
  <c r="BZ694" i="4"/>
  <c r="CA695" i="4"/>
  <c r="BZ695" i="4"/>
  <c r="CA2187" i="4"/>
  <c r="BZ2187" i="4"/>
  <c r="CD2118" i="4"/>
  <c r="CE2118" i="4"/>
  <c r="CA2182" i="4"/>
  <c r="CA2185" i="4"/>
  <c r="CA2143" i="4"/>
  <c r="CA2176" i="4"/>
  <c r="BZ2155" i="4"/>
  <c r="CA2178" i="4"/>
  <c r="CA2149" i="4"/>
  <c r="CA2150" i="4"/>
  <c r="CA2156" i="4"/>
  <c r="CA2174" i="4"/>
  <c r="BZ2165" i="4"/>
  <c r="BZ2177" i="4"/>
  <c r="BZ2167" i="4"/>
  <c r="BZ2175" i="4"/>
  <c r="CA2175" i="4"/>
  <c r="CA2146" i="4"/>
  <c r="CA2145" i="4"/>
  <c r="BZ2118" i="4"/>
  <c r="BZ2166" i="4"/>
  <c r="CA2120" i="4"/>
  <c r="CA2171" i="4"/>
  <c r="CA2108" i="4"/>
  <c r="BZ2158" i="4"/>
  <c r="CA2158" i="4"/>
  <c r="BZ2153" i="4"/>
  <c r="CA2153" i="4"/>
  <c r="BZ2152" i="4"/>
  <c r="CA2152" i="4"/>
  <c r="BZ2164" i="4"/>
  <c r="CA2164" i="4"/>
  <c r="CA2160" i="4"/>
  <c r="BZ2160" i="4"/>
  <c r="CA2151" i="4"/>
  <c r="BZ2151" i="4"/>
  <c r="CA2157" i="4"/>
  <c r="BZ2157" i="4"/>
  <c r="BZ2154" i="4"/>
  <c r="CA2154" i="4"/>
  <c r="BZ2170" i="4"/>
  <c r="CA2170" i="4"/>
  <c r="BZ2168" i="4"/>
  <c r="CA2168" i="4"/>
  <c r="BZ2162" i="4"/>
  <c r="CA2162" i="4"/>
  <c r="BZ2161" i="4"/>
  <c r="CA2161" i="4"/>
  <c r="BZ2169" i="4"/>
  <c r="CA2169" i="4"/>
  <c r="CA2172" i="4"/>
  <c r="BZ2172" i="4"/>
  <c r="BZ2173" i="4"/>
  <c r="CA2173" i="4"/>
  <c r="BZ2159" i="4"/>
  <c r="CA2159" i="4"/>
  <c r="BZ2163" i="4"/>
  <c r="CA2163" i="4"/>
  <c r="CA2117" i="4"/>
  <c r="CA2116" i="4"/>
  <c r="BZ2147" i="4"/>
  <c r="CA2147" i="4"/>
  <c r="BZ2148" i="4"/>
  <c r="CA2148" i="4"/>
  <c r="BZ2144" i="4"/>
  <c r="CA2144" i="4"/>
  <c r="BZ2106" i="4"/>
  <c r="BZ2110" i="4"/>
  <c r="BZ2095" i="4"/>
  <c r="BZ2135" i="4"/>
  <c r="CA2135" i="4"/>
  <c r="BZ2133" i="4"/>
  <c r="CA2133" i="4"/>
  <c r="BZ2140" i="4"/>
  <c r="CA2140" i="4"/>
  <c r="CA2142" i="4"/>
  <c r="BZ2142" i="4"/>
  <c r="BZ2137" i="4"/>
  <c r="CA2137" i="4"/>
  <c r="CA2138" i="4"/>
  <c r="BZ2138" i="4"/>
  <c r="BZ2141" i="4"/>
  <c r="CA2141" i="4"/>
  <c r="BZ2139" i="4"/>
  <c r="CA2139" i="4"/>
  <c r="BZ2134" i="4"/>
  <c r="CA2134" i="4"/>
  <c r="CA2096" i="4"/>
  <c r="CA2098" i="4"/>
  <c r="CA2130" i="4"/>
  <c r="BZ2130" i="4"/>
  <c r="BZ2121" i="4"/>
  <c r="CA2121" i="4"/>
  <c r="BZ2132" i="4"/>
  <c r="CA2132" i="4"/>
  <c r="CA2127" i="4"/>
  <c r="BZ2127" i="4"/>
  <c r="BZ2125" i="4"/>
  <c r="CA2125" i="4"/>
  <c r="CA2122" i="4"/>
  <c r="BZ2122" i="4"/>
  <c r="BZ2128" i="4"/>
  <c r="CA2128" i="4"/>
  <c r="CA2126" i="4"/>
  <c r="BZ2126" i="4"/>
  <c r="CA2100" i="4"/>
  <c r="CA2109" i="4"/>
  <c r="BZ2107" i="4"/>
  <c r="CA2107" i="4"/>
  <c r="BZ2115" i="4"/>
  <c r="CA2115" i="4"/>
  <c r="BZ2093" i="4"/>
  <c r="CA2093" i="4"/>
  <c r="CA2112" i="4"/>
  <c r="BZ2112" i="4"/>
  <c r="BZ2105" i="4"/>
  <c r="CA2105" i="4"/>
  <c r="CA2030" i="4"/>
  <c r="CA2092" i="4"/>
  <c r="BZ2081" i="4"/>
  <c r="CA2081" i="4"/>
  <c r="CA2082" i="4"/>
  <c r="BZ2082" i="4"/>
  <c r="BZ2087" i="4"/>
  <c r="CA2087" i="4"/>
  <c r="CA2085" i="4"/>
  <c r="BZ2085" i="4"/>
  <c r="BZ2089" i="4"/>
  <c r="CA2089" i="4"/>
  <c r="CA2088" i="4"/>
  <c r="BZ2088" i="4"/>
  <c r="BZ2090" i="4"/>
  <c r="CA2090" i="4"/>
  <c r="BZ2084" i="4"/>
  <c r="CA2084" i="4"/>
  <c r="BZ2086" i="4"/>
  <c r="CA2086" i="4"/>
  <c r="BZ2091" i="4"/>
  <c r="CA2091" i="4"/>
  <c r="BZ2083" i="4"/>
  <c r="CA2083" i="4"/>
  <c r="CA2078" i="4"/>
  <c r="BZ2080" i="4"/>
  <c r="CA2080" i="4"/>
  <c r="CA2051" i="4"/>
  <c r="BZ2071" i="4"/>
  <c r="CA2071" i="4"/>
  <c r="CA2064" i="4"/>
  <c r="BZ2064" i="4"/>
  <c r="BZ2058" i="4"/>
  <c r="CA2058" i="4"/>
  <c r="BZ2067" i="4"/>
  <c r="CA2067" i="4"/>
  <c r="BZ2063" i="4"/>
  <c r="CA2063" i="4"/>
  <c r="BZ2075" i="4"/>
  <c r="CA2075" i="4"/>
  <c r="BZ2076" i="4"/>
  <c r="CA2076" i="4"/>
  <c r="BZ2061" i="4"/>
  <c r="CA2061" i="4"/>
  <c r="CA2072" i="4"/>
  <c r="BZ2072" i="4"/>
  <c r="BZ2065" i="4"/>
  <c r="CA2065" i="4"/>
  <c r="CA2069" i="4"/>
  <c r="BZ2069" i="4"/>
  <c r="BZ2059" i="4"/>
  <c r="CA2059" i="4"/>
  <c r="BZ2062" i="4"/>
  <c r="CA2062" i="4"/>
  <c r="BZ2068" i="4"/>
  <c r="CA2068" i="4"/>
  <c r="CA2073" i="4"/>
  <c r="BZ2073" i="4"/>
  <c r="BZ2066" i="4"/>
  <c r="CA2066" i="4"/>
  <c r="BZ2060" i="4"/>
  <c r="CA2060" i="4"/>
  <c r="CA2046" i="4"/>
  <c r="CA2050" i="4"/>
  <c r="CA2055" i="4"/>
  <c r="BZ2034" i="4"/>
  <c r="CA2048" i="4"/>
  <c r="CA2052" i="4"/>
  <c r="CA1689" i="4"/>
  <c r="BZ2033" i="4"/>
  <c r="CA2033" i="4"/>
  <c r="CA2032" i="4"/>
  <c r="BZ2032" i="4"/>
  <c r="CA2031" i="4"/>
  <c r="BZ2031" i="4"/>
  <c r="CA2037" i="4"/>
  <c r="BZ2037" i="4"/>
  <c r="CA2057" i="4"/>
  <c r="BZ2057" i="4"/>
  <c r="BZ2054" i="4"/>
  <c r="CA2054" i="4"/>
  <c r="CA2044" i="4"/>
  <c r="BZ2044" i="4"/>
  <c r="CA1823" i="4"/>
  <c r="CA2043" i="4"/>
  <c r="BZ2043" i="4"/>
  <c r="BZ2047" i="4"/>
  <c r="CA2047" i="4"/>
  <c r="BZ2035" i="4"/>
  <c r="CA2035" i="4"/>
  <c r="BZ2045" i="4"/>
  <c r="CA2045" i="4"/>
  <c r="BZ2053" i="4"/>
  <c r="CA2053" i="4"/>
  <c r="BZ2056" i="4"/>
  <c r="CA2056" i="4"/>
  <c r="CA2042" i="4"/>
  <c r="BZ2042" i="4"/>
  <c r="BZ2049" i="4"/>
  <c r="CA2049" i="4"/>
  <c r="BZ2038" i="4"/>
  <c r="CA2038" i="4"/>
  <c r="CA2041" i="4"/>
  <c r="BZ2041" i="4"/>
  <c r="BZ2036" i="4"/>
  <c r="CA2036" i="4"/>
  <c r="BZ2040" i="4"/>
  <c r="CA2040" i="4"/>
  <c r="CA2020" i="4"/>
  <c r="BZ2024" i="4"/>
  <c r="BZ2018" i="4"/>
  <c r="CA2018" i="4"/>
  <c r="BZ2025" i="4"/>
  <c r="BZ2010" i="4"/>
  <c r="CA2010" i="4"/>
  <c r="BZ2016" i="4"/>
  <c r="CA2016" i="4"/>
  <c r="CA2026" i="4"/>
  <c r="CA2022" i="4"/>
  <c r="BZ2022" i="4"/>
  <c r="BZ2009" i="4"/>
  <c r="CA2009" i="4"/>
  <c r="BZ2017" i="4"/>
  <c r="CA2017" i="4"/>
  <c r="BZ2011" i="4"/>
  <c r="CA2011" i="4"/>
  <c r="CA2014" i="4"/>
  <c r="BZ2014" i="4"/>
  <c r="BZ2013" i="4"/>
  <c r="CA2013" i="4"/>
  <c r="BZ2012" i="4"/>
  <c r="CA2012" i="4"/>
  <c r="CA2021" i="4"/>
  <c r="BZ2021" i="4"/>
  <c r="BZ2023" i="4"/>
  <c r="BZ2015" i="4"/>
  <c r="CA2019" i="4"/>
  <c r="BZ2019" i="4"/>
  <c r="BZ1829" i="4"/>
  <c r="CA1829" i="4"/>
  <c r="BZ1828" i="4"/>
  <c r="CA1828" i="4"/>
  <c r="BZ1830" i="4"/>
  <c r="CA1830" i="4"/>
  <c r="BZ1831" i="4"/>
  <c r="CA1831" i="4"/>
  <c r="BZ1827" i="4"/>
  <c r="CA1827" i="4"/>
  <c r="CA1620" i="4"/>
  <c r="BZ1622" i="4"/>
  <c r="CA1622" i="4"/>
  <c r="BZ1621" i="4"/>
  <c r="CA1621" i="4"/>
  <c r="BZ1618" i="4"/>
  <c r="CA1618" i="4"/>
  <c r="CA1619" i="4"/>
  <c r="BZ1619" i="4"/>
  <c r="U5" i="3"/>
  <c r="AD7" i="3" a="1"/>
  <c r="AD7" i="3" s="1"/>
  <c r="U11" i="3"/>
  <c r="U7" i="3"/>
  <c r="U8" i="3"/>
  <c r="U3" i="3"/>
  <c r="U4" i="3"/>
  <c r="U12" i="3"/>
  <c r="U13" i="3"/>
  <c r="U63" i="3"/>
  <c r="AA5" i="3" l="1" a="1"/>
  <c r="AA5" i="3" s="1"/>
  <c r="AA4" i="3" a="1"/>
  <c r="AA4" i="3" s="1"/>
  <c r="AA3" i="3" a="1"/>
  <c r="AA3" i="3" s="1"/>
  <c r="AD5" i="3" l="1" a="1"/>
  <c r="AD5" i="3" s="1"/>
  <c r="AD3" i="3" a="1"/>
  <c r="AD3" i="3" s="1"/>
  <c r="AD4" i="3" a="1"/>
  <c r="AD4" i="3" s="1"/>
  <c r="BE1556" i="4" l="1" a="1"/>
  <c r="BE1556" i="4" s="1"/>
  <c r="BE1097" i="4" a="1"/>
  <c r="BE1097" i="4" s="1"/>
  <c r="BE1583" i="4" a="1"/>
  <c r="BE1583" i="4" s="1"/>
  <c r="BS1583" i="4" s="1"/>
  <c r="BE1316" i="4" a="1"/>
  <c r="BE1316" i="4" s="1"/>
  <c r="BO1316" i="4" s="1"/>
  <c r="BE1222" i="4" a="1"/>
  <c r="BE1222" i="4" s="1"/>
  <c r="BE1461" i="4" a="1"/>
  <c r="BE1461" i="4" s="1"/>
  <c r="BE1381" i="4" a="1"/>
  <c r="BE1381" i="4" s="1"/>
  <c r="BE1272" i="4" a="1"/>
  <c r="BE1272" i="4" s="1"/>
  <c r="BO1272" i="4" s="1"/>
  <c r="BE1549" i="4" a="1"/>
  <c r="BE1549" i="4" s="1"/>
  <c r="BR1549" i="4" s="1"/>
  <c r="BE1557" i="4" a="1"/>
  <c r="BE1557" i="4" s="1"/>
  <c r="BE1098" i="4" a="1"/>
  <c r="BE1098" i="4" s="1"/>
  <c r="BE1565" i="4" a="1"/>
  <c r="BE1565" i="4" s="1"/>
  <c r="BU1565" i="4" s="1"/>
  <c r="BE1083" i="4" a="1"/>
  <c r="BE1083" i="4" s="1"/>
  <c r="BE1082" i="4" a="1"/>
  <c r="BE1082" i="4" s="1"/>
  <c r="BE1084" i="4" a="1"/>
  <c r="BE1084" i="4" s="1"/>
  <c r="BE1362" i="4" a="1"/>
  <c r="BE1362" i="4" s="1"/>
  <c r="BO1362" i="4" s="1"/>
  <c r="BE1302" i="4" a="1"/>
  <c r="BE1302" i="4" s="1"/>
  <c r="BO1302" i="4" s="1"/>
  <c r="BE1608" i="4" a="1"/>
  <c r="BE1608" i="4" s="1"/>
  <c r="BW1608" i="4" s="1"/>
  <c r="BE1559" i="4" a="1"/>
  <c r="BE1559" i="4" s="1"/>
  <c r="BO1559" i="4" s="1"/>
  <c r="BE1277" i="4" a="1"/>
  <c r="BE1277" i="4" s="1"/>
  <c r="BE1500" i="4" a="1"/>
  <c r="BE1500" i="4" s="1"/>
  <c r="BO1500" i="4" s="1"/>
  <c r="BE1473" i="4" a="1"/>
  <c r="BE1473" i="4" s="1"/>
  <c r="BO1473" i="4" s="1"/>
  <c r="BE1348" i="4" a="1"/>
  <c r="BE1348" i="4" s="1"/>
  <c r="BS1348" i="4" s="1"/>
  <c r="BE1443" i="4" a="1"/>
  <c r="BE1443" i="4" s="1"/>
  <c r="BS1443" i="4" s="1"/>
  <c r="BE1506" i="4" a="1"/>
  <c r="BE1506" i="4" s="1"/>
  <c r="BE1210" i="4" a="1"/>
  <c r="BE1210" i="4" s="1"/>
  <c r="BE1460" i="4" a="1"/>
  <c r="BE1460" i="4" s="1"/>
  <c r="BW1460" i="4" s="1"/>
  <c r="BE1541" i="4" a="1"/>
  <c r="BE1541" i="4" s="1"/>
  <c r="BE1416" i="4" a="1"/>
  <c r="BE1416" i="4" s="1"/>
  <c r="BR1416" i="4" s="1"/>
  <c r="BE1496" i="4" a="1"/>
  <c r="BE1496" i="4" s="1"/>
  <c r="BE1389" i="4" a="1"/>
  <c r="BE1389" i="4" s="1"/>
  <c r="BO1389" i="4" s="1"/>
  <c r="BE1093" i="4" a="1"/>
  <c r="BE1093" i="4" s="1"/>
  <c r="BE1413" i="4" a="1"/>
  <c r="BE1413" i="4" s="1"/>
  <c r="BO1413" i="4" s="1"/>
  <c r="BE1409" i="4" a="1"/>
  <c r="BE1409" i="4" s="1"/>
  <c r="BU1409" i="4" s="1"/>
  <c r="BE1590" i="4" a="1"/>
  <c r="BE1590" i="4" s="1"/>
  <c r="BU1590" i="4" s="1"/>
  <c r="BE1573" i="4" a="1"/>
  <c r="BE1573" i="4" s="1"/>
  <c r="BE1266" i="4" a="1"/>
  <c r="BE1266" i="4" s="1"/>
  <c r="BW1266" i="4" s="1"/>
  <c r="BE1606" i="4" a="1"/>
  <c r="BE1606" i="4" s="1"/>
  <c r="BE1426" i="4" a="1"/>
  <c r="BE1426" i="4" s="1"/>
  <c r="BO1426" i="4" s="1"/>
  <c r="BE1614" i="4" a="1"/>
  <c r="BE1614" i="4" s="1"/>
  <c r="BR1614" i="4" s="1"/>
  <c r="BE1449" i="4" a="1"/>
  <c r="BE1449" i="4" s="1"/>
  <c r="BO1449" i="4" s="1"/>
  <c r="BE1077" i="4" a="1"/>
  <c r="BE1077" i="4" s="1"/>
  <c r="BE1224" i="4" a="1"/>
  <c r="BE1224" i="4" s="1"/>
  <c r="BE1096" i="4" a="1"/>
  <c r="BE1096" i="4" s="1"/>
  <c r="BE1248" i="4" a="1"/>
  <c r="BE1248" i="4" s="1"/>
  <c r="BO1248" i="4" s="1"/>
  <c r="BE1274" i="4" a="1"/>
  <c r="BE1274" i="4" s="1"/>
  <c r="BS1274" i="4" s="1"/>
  <c r="BE1598" i="4" a="1"/>
  <c r="BE1598" i="4" s="1"/>
  <c r="BS1598" i="4" s="1"/>
  <c r="BE1280" i="4" a="1"/>
  <c r="BE1280" i="4" s="1"/>
  <c r="BW1280" i="4" s="1"/>
  <c r="BE1314" i="4" a="1"/>
  <c r="BE1314" i="4" s="1"/>
  <c r="BW1314" i="4" s="1"/>
  <c r="BE1552" i="4" a="1"/>
  <c r="BE1552" i="4" s="1"/>
  <c r="BO1552" i="4" s="1"/>
  <c r="BE1244" i="4" a="1"/>
  <c r="BE1244" i="4" s="1"/>
  <c r="BS1244" i="4" s="1"/>
  <c r="BE1528" i="4" a="1"/>
  <c r="BE1528" i="4" s="1"/>
  <c r="BS1528" i="4" s="1"/>
  <c r="BE1288" i="4" a="1"/>
  <c r="BE1288" i="4" s="1"/>
  <c r="BR1288" i="4" s="1"/>
  <c r="BE1487" i="4" a="1"/>
  <c r="BE1487" i="4" s="1"/>
  <c r="BS1487" i="4" s="1"/>
  <c r="BE1286" i="4" a="1"/>
  <c r="BE1286" i="4" s="1"/>
  <c r="BE1386" i="4" a="1"/>
  <c r="BE1386" i="4" s="1"/>
  <c r="BO1386" i="4" s="1"/>
  <c r="BE1074" i="4" a="1"/>
  <c r="BE1074" i="4" s="1"/>
  <c r="BE1209" i="4" a="1"/>
  <c r="BE1209" i="4" s="1"/>
  <c r="BE1455" i="4" a="1"/>
  <c r="BE1455" i="4" s="1"/>
  <c r="BO1455" i="4" s="1"/>
  <c r="BE1537" i="4" a="1"/>
  <c r="BE1537" i="4" s="1"/>
  <c r="BE1345" i="4" a="1"/>
  <c r="BE1345" i="4" s="1"/>
  <c r="BE1086" i="4" a="1"/>
  <c r="BE1086" i="4" s="1"/>
  <c r="BE1521" i="4" a="1"/>
  <c r="BE1521" i="4" s="1"/>
  <c r="BW1521" i="4" s="1"/>
  <c r="BE1072" i="4" a="1"/>
  <c r="BE1072" i="4" s="1"/>
  <c r="BE1303" i="4" a="1"/>
  <c r="BE1303" i="4" s="1"/>
  <c r="BR1303" i="4" s="1"/>
  <c r="BE1252" i="4" a="1"/>
  <c r="BE1252" i="4" s="1"/>
  <c r="BE1328" i="4" a="1"/>
  <c r="BE1328" i="4" s="1"/>
  <c r="BR1328" i="4" s="1"/>
  <c r="BE1304" i="4" a="1"/>
  <c r="BE1304" i="4" s="1"/>
  <c r="BR1304" i="4" s="1"/>
  <c r="BE1538" i="4" a="1"/>
  <c r="BE1538" i="4" s="1"/>
  <c r="BW1538" i="4" s="1"/>
  <c r="BE1544" i="4" a="1"/>
  <c r="BE1544" i="4" s="1"/>
  <c r="BE1281" i="4" a="1"/>
  <c r="BE1281" i="4" s="1"/>
  <c r="BE1087" i="4" a="1"/>
  <c r="BE1087" i="4" s="1"/>
  <c r="BE1604" i="4" a="1"/>
  <c r="BE1604" i="4" s="1"/>
  <c r="BE1480" i="4" a="1"/>
  <c r="BE1480" i="4" s="1"/>
  <c r="BU1480" i="4" s="1"/>
  <c r="BE1570" i="4" a="1"/>
  <c r="BE1570" i="4" s="1"/>
  <c r="BO1570" i="4" s="1"/>
  <c r="BE1313" i="4" a="1"/>
  <c r="BE1313" i="4" s="1"/>
  <c r="BS1313" i="4" s="1"/>
  <c r="BE1099" i="4" a="1"/>
  <c r="BE1099" i="4" s="1"/>
  <c r="BE1359" i="4" a="1"/>
  <c r="BE1359" i="4" s="1"/>
  <c r="BE1246" i="4" a="1"/>
  <c r="BE1246" i="4" s="1"/>
  <c r="BU1246" i="4" s="1"/>
  <c r="BE1276" i="4" a="1"/>
  <c r="BE1276" i="4" s="1"/>
  <c r="BW1276" i="4" s="1"/>
  <c r="BE1382" i="4" a="1"/>
  <c r="BE1382" i="4" s="1"/>
  <c r="BE1324" i="4" a="1"/>
  <c r="BE1324" i="4" s="1"/>
  <c r="BE1548" i="4" a="1"/>
  <c r="BE1548" i="4" s="1"/>
  <c r="BU1548" i="4" s="1"/>
  <c r="BE1254" i="4" a="1"/>
  <c r="BE1254" i="4" s="1"/>
  <c r="BO1254" i="4" s="1"/>
  <c r="BE1085" i="4" a="1"/>
  <c r="BE1085" i="4" s="1"/>
  <c r="BE1262" i="4" a="1"/>
  <c r="BE1262" i="4" s="1"/>
  <c r="BO1262" i="4" s="1"/>
  <c r="BE1539" i="4" a="1"/>
  <c r="BE1539" i="4" s="1"/>
  <c r="BO1539" i="4" s="1"/>
  <c r="BE1415" i="4" a="1"/>
  <c r="BE1415" i="4" s="1"/>
  <c r="BE1400" i="4" a="1"/>
  <c r="BE1400" i="4" s="1"/>
  <c r="BS1400" i="4" s="1"/>
  <c r="BE1315" i="4" a="1"/>
  <c r="BE1315" i="4" s="1"/>
  <c r="BU1315" i="4" s="1"/>
  <c r="BE1245" i="4" a="1"/>
  <c r="BE1245" i="4" s="1"/>
  <c r="BW1245" i="4" s="1"/>
  <c r="BE1532" i="4" a="1"/>
  <c r="BE1532" i="4" s="1"/>
  <c r="BO1532" i="4" s="1"/>
  <c r="BE1575" i="4" a="1"/>
  <c r="BE1575" i="4" s="1"/>
  <c r="BR1575" i="4" s="1"/>
  <c r="BE1523" i="4" a="1"/>
  <c r="BE1523" i="4" s="1"/>
  <c r="BE1308" i="4" a="1"/>
  <c r="BE1308" i="4" s="1"/>
  <c r="BS1308" i="4" s="1"/>
  <c r="BE1493" i="4" a="1"/>
  <c r="BE1493" i="4" s="1"/>
  <c r="BE1228" i="4" a="1"/>
  <c r="BE1228" i="4" s="1"/>
  <c r="BU1228" i="4" s="1"/>
  <c r="BE1372" i="4" a="1"/>
  <c r="BE1372" i="4" s="1"/>
  <c r="BO1372" i="4" s="1"/>
  <c r="BE1367" i="4" a="1"/>
  <c r="BE1367" i="4" s="1"/>
  <c r="BR1367" i="4" s="1"/>
  <c r="BE1394" i="4" a="1"/>
  <c r="BE1394" i="4" s="1"/>
  <c r="BO1394" i="4" s="1"/>
  <c r="BE1251" i="4" a="1"/>
  <c r="BE1251" i="4" s="1"/>
  <c r="BW1251" i="4" s="1"/>
  <c r="BE1334" i="4" a="1"/>
  <c r="BE1334" i="4" s="1"/>
  <c r="BE1403" i="4" a="1"/>
  <c r="BE1403" i="4" s="1"/>
  <c r="BW1403" i="4" s="1"/>
  <c r="BE1585" i="4" a="1"/>
  <c r="BE1585" i="4" s="1"/>
  <c r="BS1585" i="4" s="1"/>
  <c r="BE1566" i="4" a="1"/>
  <c r="BE1566" i="4" s="1"/>
  <c r="BE1571" i="4" a="1"/>
  <c r="BE1571" i="4" s="1"/>
  <c r="BR1571" i="4" s="1"/>
  <c r="BE1594" i="4" a="1"/>
  <c r="BE1594" i="4" s="1"/>
  <c r="BO1594" i="4" s="1"/>
  <c r="BE1230" i="4" a="1"/>
  <c r="BE1230" i="4" s="1"/>
  <c r="BW1230" i="4" s="1"/>
  <c r="BE1253" i="4" a="1"/>
  <c r="BE1253" i="4" s="1"/>
  <c r="BE1470" i="4" a="1"/>
  <c r="BE1470" i="4" s="1"/>
  <c r="BS1470" i="4" s="1"/>
  <c r="BE1080" i="4" a="1"/>
  <c r="BE1080" i="4" s="1"/>
  <c r="BE1090" i="4" a="1"/>
  <c r="BE1090" i="4" s="1"/>
  <c r="BE1466" i="4" a="1"/>
  <c r="BE1466" i="4" s="1"/>
  <c r="BE1514" i="4" a="1"/>
  <c r="BE1514" i="4" s="1"/>
  <c r="BS1514" i="4" s="1"/>
  <c r="BE1579" i="4" a="1"/>
  <c r="BE1579" i="4" s="1"/>
  <c r="BE1561" i="4" a="1"/>
  <c r="BE1561" i="4" s="1"/>
  <c r="BU1561" i="4" s="1"/>
  <c r="BE1456" i="4" a="1"/>
  <c r="BE1456" i="4" s="1"/>
  <c r="BR1456" i="4" s="1"/>
  <c r="BE1388" i="4" a="1"/>
  <c r="BE1388" i="4" s="1"/>
  <c r="BE1582" i="4" a="1"/>
  <c r="BE1582" i="4" s="1"/>
  <c r="BU1582" i="4" s="1"/>
  <c r="BE1287" i="4" a="1"/>
  <c r="BE1287" i="4" s="1"/>
  <c r="BE1250" i="4" a="1"/>
  <c r="BE1250" i="4" s="1"/>
  <c r="BR1250" i="4" s="1"/>
  <c r="BE1366" i="4" a="1"/>
  <c r="BE1366" i="4" s="1"/>
  <c r="BO1366" i="4" s="1"/>
  <c r="BE1305" i="4" a="1"/>
  <c r="BE1305" i="4" s="1"/>
  <c r="BE1217" i="4" a="1"/>
  <c r="BE1217" i="4" s="1"/>
  <c r="BR1217" i="4" s="1"/>
  <c r="BE1457" i="4" a="1"/>
  <c r="BE1457" i="4" s="1"/>
  <c r="BU1457" i="4" s="1"/>
  <c r="BE1257" i="4" a="1"/>
  <c r="BE1257" i="4" s="1"/>
  <c r="BE1393" i="4" a="1"/>
  <c r="BE1393" i="4" s="1"/>
  <c r="BW1393" i="4" s="1"/>
  <c r="BE1360" i="4" a="1"/>
  <c r="BE1360" i="4" s="1"/>
  <c r="BO1360" i="4" s="1"/>
  <c r="BE1502" i="4" a="1"/>
  <c r="BE1502" i="4" s="1"/>
  <c r="BS1502" i="4" s="1"/>
  <c r="BE1489" i="4" a="1"/>
  <c r="BE1489" i="4" s="1"/>
  <c r="BS1489" i="4" s="1"/>
  <c r="BE1580" i="4" a="1"/>
  <c r="BE1580" i="4" s="1"/>
  <c r="BO1580" i="4" s="1"/>
  <c r="BE1596" i="4" a="1"/>
  <c r="BE1596" i="4" s="1"/>
  <c r="BR1596" i="4" s="1"/>
  <c r="BE1421" i="4" a="1"/>
  <c r="BE1421" i="4" s="1"/>
  <c r="BE1503" i="4" a="1"/>
  <c r="BE1503" i="4" s="1"/>
  <c r="BE1292" i="4" a="1"/>
  <c r="BE1292" i="4" s="1"/>
  <c r="BW1292" i="4" s="1"/>
  <c r="BE1378" i="4" a="1"/>
  <c r="BE1378" i="4" s="1"/>
  <c r="BO1378" i="4" s="1"/>
  <c r="BE1236" i="4" a="1"/>
  <c r="BE1236" i="4" s="1"/>
  <c r="BS1236" i="4" s="1"/>
  <c r="BE1232" i="4" a="1"/>
  <c r="BE1232" i="4" s="1"/>
  <c r="BU1232" i="4" s="1"/>
  <c r="BE1560" i="4" a="1"/>
  <c r="BE1560" i="4" s="1"/>
  <c r="BE1299" i="4" a="1"/>
  <c r="BE1299" i="4" s="1"/>
  <c r="BW1299" i="4" s="1"/>
  <c r="BE1325" i="4" a="1"/>
  <c r="BE1325" i="4" s="1"/>
  <c r="BO1325" i="4" s="1"/>
  <c r="BE1258" i="4" a="1"/>
  <c r="BE1258" i="4" s="1"/>
  <c r="BE1512" i="4" a="1"/>
  <c r="BE1512" i="4" s="1"/>
  <c r="BO1512" i="4" s="1"/>
  <c r="BE1091" i="4" a="1"/>
  <c r="BE1091" i="4" s="1"/>
  <c r="BE1284" i="4" a="1"/>
  <c r="BE1284" i="4" s="1"/>
  <c r="BW1284" i="4" s="1"/>
  <c r="BE1440" i="4" a="1"/>
  <c r="BE1440" i="4" s="1"/>
  <c r="BO1440" i="4" s="1"/>
  <c r="BE1283" i="4" a="1"/>
  <c r="BE1283" i="4" s="1"/>
  <c r="BE1361" i="4" a="1"/>
  <c r="BE1361" i="4" s="1"/>
  <c r="BR1361" i="4" s="1"/>
  <c r="BE1417" i="4" a="1"/>
  <c r="BE1417" i="4" s="1"/>
  <c r="BS1417" i="4" s="1"/>
  <c r="BE1609" i="4" a="1"/>
  <c r="BE1609" i="4" s="1"/>
  <c r="BE1508" i="4" a="1"/>
  <c r="BE1508" i="4" s="1"/>
  <c r="BU1508" i="4" s="1"/>
  <c r="BE1526" i="4" a="1"/>
  <c r="BE1526" i="4" s="1"/>
  <c r="BO1526" i="4" s="1"/>
  <c r="BE1358" i="4" a="1"/>
  <c r="BE1358" i="4" s="1"/>
  <c r="BW1358" i="4" s="1"/>
  <c r="BE1568" i="4" a="1"/>
  <c r="BE1568" i="4" s="1"/>
  <c r="BW1568" i="4" s="1"/>
  <c r="BE1451" i="4" a="1"/>
  <c r="BE1451" i="4" s="1"/>
  <c r="BW1451" i="4" s="1"/>
  <c r="BE1576" i="4" a="1"/>
  <c r="BE1576" i="4" s="1"/>
  <c r="BE1073" i="4" a="1"/>
  <c r="BE1073" i="4" s="1"/>
  <c r="BE1295" i="4" a="1"/>
  <c r="BE1295" i="4" s="1"/>
  <c r="BS1295" i="4" s="1"/>
  <c r="BE1285" i="4" a="1"/>
  <c r="BE1285" i="4" s="1"/>
  <c r="BE1484" i="4" a="1"/>
  <c r="BE1484" i="4" s="1"/>
  <c r="BO1484" i="4" s="1"/>
  <c r="BE1418" i="4" a="1"/>
  <c r="BE1418" i="4" s="1"/>
  <c r="BU1418" i="4" s="1"/>
  <c r="BE1550" i="4" a="1"/>
  <c r="BE1550" i="4" s="1"/>
  <c r="BE1534" i="4" a="1"/>
  <c r="BE1534" i="4" s="1"/>
  <c r="BE1581" i="4" a="1"/>
  <c r="BE1581" i="4" s="1"/>
  <c r="BO1581" i="4" s="1"/>
  <c r="BE1428" i="4" a="1"/>
  <c r="BE1428" i="4" s="1"/>
  <c r="BO1428" i="4" s="1"/>
  <c r="BE1390" i="4" a="1"/>
  <c r="BE1390" i="4" s="1"/>
  <c r="BO1390" i="4" s="1"/>
  <c r="BE1444" i="4" a="1"/>
  <c r="BE1444" i="4" s="1"/>
  <c r="BO1444" i="4" s="1"/>
  <c r="BE1354" i="4" a="1"/>
  <c r="BE1354" i="4" s="1"/>
  <c r="BO1354" i="4" s="1"/>
  <c r="BE1584" i="4" a="1"/>
  <c r="BE1584" i="4" s="1"/>
  <c r="BO1584" i="4" s="1"/>
  <c r="BE1089" i="4" a="1"/>
  <c r="BE1089" i="4" s="1"/>
  <c r="BE1071" i="4" a="1"/>
  <c r="BE1071" i="4" s="1"/>
  <c r="BE1373" i="4" a="1"/>
  <c r="BE1373" i="4" s="1"/>
  <c r="BO1373" i="4" s="1"/>
  <c r="BE1450" i="4" a="1"/>
  <c r="BE1450" i="4" s="1"/>
  <c r="BO1450" i="4" s="1"/>
  <c r="BE1438" i="4" a="1"/>
  <c r="BE1438" i="4" s="1"/>
  <c r="BE1454" i="4" a="1"/>
  <c r="BE1454" i="4" s="1"/>
  <c r="BW1454" i="4" s="1"/>
  <c r="BE1530" i="4" a="1"/>
  <c r="BE1530" i="4" s="1"/>
  <c r="BE1518" i="4" a="1"/>
  <c r="BE1518" i="4" s="1"/>
  <c r="BO1518" i="4" s="1"/>
  <c r="BE1237" i="4" a="1"/>
  <c r="BE1237" i="4" s="1"/>
  <c r="BO1237" i="4" s="1"/>
  <c r="BE1223" i="4" a="1"/>
  <c r="BE1223" i="4" s="1"/>
  <c r="BS1223" i="4" s="1"/>
  <c r="BE1572" i="4" a="1"/>
  <c r="BE1572" i="4" s="1"/>
  <c r="BO1572" i="4" s="1"/>
  <c r="BE1364" i="4" a="1"/>
  <c r="BE1364" i="4" s="1"/>
  <c r="BE1578" i="4" a="1"/>
  <c r="BE1578" i="4" s="1"/>
  <c r="BS1578" i="4" s="1"/>
  <c r="BE1589" i="4" a="1"/>
  <c r="BE1589" i="4" s="1"/>
  <c r="BO1589" i="4" s="1"/>
  <c r="BE1429" i="4" a="1"/>
  <c r="BE1429" i="4" s="1"/>
  <c r="BE1249" i="4" a="1"/>
  <c r="BE1249" i="4" s="1"/>
  <c r="BO1249" i="4" s="1"/>
  <c r="BE1267" i="4" a="1"/>
  <c r="BE1267" i="4" s="1"/>
  <c r="BE1326" i="4" a="1"/>
  <c r="BE1326" i="4" s="1"/>
  <c r="BW1326" i="4" s="1"/>
  <c r="BE1492" i="4" a="1"/>
  <c r="BE1492" i="4" s="1"/>
  <c r="BU1492" i="4" s="1"/>
  <c r="BE1075" i="4" a="1"/>
  <c r="BE1075" i="4" s="1"/>
  <c r="BE1567" i="4" a="1"/>
  <c r="BE1567" i="4" s="1"/>
  <c r="BR1567" i="4" s="1"/>
  <c r="BE1427" i="4" a="1"/>
  <c r="BE1427" i="4" s="1"/>
  <c r="BS1427" i="4" s="1"/>
  <c r="BE1234" i="4" a="1"/>
  <c r="BE1234" i="4" s="1"/>
  <c r="BO1234" i="4" s="1"/>
  <c r="BE1509" i="4" a="1"/>
  <c r="BE1509" i="4" s="1"/>
  <c r="BE1279" i="4" a="1"/>
  <c r="BE1279" i="4" s="1"/>
  <c r="BO1279" i="4" s="1"/>
  <c r="BE1607" i="4" a="1"/>
  <c r="BE1607" i="4" s="1"/>
  <c r="BW1607" i="4" s="1"/>
  <c r="BE1494" i="4" a="1"/>
  <c r="BE1494" i="4" s="1"/>
  <c r="BE1268" i="4" a="1"/>
  <c r="BE1268" i="4" s="1"/>
  <c r="BO1268" i="4" s="1"/>
  <c r="BE1332" i="4" a="1"/>
  <c r="BE1332" i="4" s="1"/>
  <c r="BS1332" i="4" s="1"/>
  <c r="BE1599" i="4" a="1"/>
  <c r="BE1599" i="4" s="1"/>
  <c r="BE1591" i="4" a="1"/>
  <c r="BE1591" i="4" s="1"/>
  <c r="BO1591" i="4" s="1"/>
  <c r="BE1339" i="4" a="1"/>
  <c r="BE1339" i="4" s="1"/>
  <c r="BW1339" i="4" s="1"/>
  <c r="BE1353" i="4" a="1"/>
  <c r="BE1353" i="4" s="1"/>
  <c r="BS1353" i="4" s="1"/>
  <c r="BE1350" i="4" a="1"/>
  <c r="BE1350" i="4" s="1"/>
  <c r="BR1350" i="4" s="1"/>
  <c r="BE1309" i="4" a="1"/>
  <c r="BE1309" i="4" s="1"/>
  <c r="BS1309" i="4" s="1"/>
  <c r="BE1546" i="4" a="1"/>
  <c r="BE1546" i="4" s="1"/>
  <c r="BO1546" i="4" s="1"/>
  <c r="BE1551" i="4" a="1"/>
  <c r="BE1551" i="4" s="1"/>
  <c r="BR1551" i="4" s="1"/>
  <c r="BE1225" i="4" a="1"/>
  <c r="BE1225" i="4" s="1"/>
  <c r="BE1329" i="4" a="1"/>
  <c r="BE1329" i="4" s="1"/>
  <c r="BE1612" i="4" a="1"/>
  <c r="BE1612" i="4" s="1"/>
  <c r="BU1612" i="4" s="1"/>
  <c r="BE1347" i="4" a="1"/>
  <c r="BE1347" i="4" s="1"/>
  <c r="BW1347" i="4" s="1"/>
  <c r="BE1613" i="4" a="1"/>
  <c r="BE1613" i="4" s="1"/>
  <c r="BS1613" i="4" s="1"/>
  <c r="BE1380" i="4" a="1"/>
  <c r="BE1380" i="4" s="1"/>
  <c r="BO1380" i="4" s="1"/>
  <c r="BE1375" i="4" a="1"/>
  <c r="BE1375" i="4" s="1"/>
  <c r="BU1375" i="4" s="1"/>
  <c r="BE1214" i="4" a="1"/>
  <c r="BE1214" i="4" s="1"/>
  <c r="BS1214" i="4" s="1"/>
  <c r="BE1517" i="4" a="1"/>
  <c r="BE1517" i="4" s="1"/>
  <c r="BS1517" i="4" s="1"/>
  <c r="BE1601" i="4" a="1"/>
  <c r="BE1601" i="4" s="1"/>
  <c r="BO1601" i="4" s="1"/>
  <c r="BE1369" i="4" a="1"/>
  <c r="BE1369" i="4" s="1"/>
  <c r="BR1369" i="4" s="1"/>
  <c r="BE1261" i="4" a="1"/>
  <c r="BE1261" i="4" s="1"/>
  <c r="BO1261" i="4" s="1"/>
  <c r="BE1219" i="4" a="1"/>
  <c r="BE1219" i="4" s="1"/>
  <c r="BW1219" i="4" s="1"/>
  <c r="BE1331" i="4" a="1"/>
  <c r="BE1331" i="4" s="1"/>
  <c r="BR1331" i="4" s="1"/>
  <c r="BE1221" i="4" a="1"/>
  <c r="BE1221" i="4" s="1"/>
  <c r="BE1220" i="4" a="1"/>
  <c r="BE1220" i="4" s="1"/>
  <c r="BW1220" i="4" s="1"/>
  <c r="BE1592" i="4" a="1"/>
  <c r="BE1592" i="4" s="1"/>
  <c r="BW1592" i="4" s="1"/>
  <c r="BE1569" i="4" a="1"/>
  <c r="BE1569" i="4" s="1"/>
  <c r="BO1569" i="4" s="1"/>
  <c r="BE1351" i="4" a="1"/>
  <c r="BE1351" i="4" s="1"/>
  <c r="BO1351" i="4" s="1"/>
  <c r="BE1597" i="4" a="1"/>
  <c r="BE1597" i="4" s="1"/>
  <c r="BW1597" i="4" s="1"/>
  <c r="BE1218" i="4" a="1"/>
  <c r="BE1218" i="4" s="1"/>
  <c r="BO1218" i="4" s="1"/>
  <c r="BE1477" i="4" a="1"/>
  <c r="BE1477" i="4" s="1"/>
  <c r="BE1593" i="4" a="1"/>
  <c r="BE1593" i="4" s="1"/>
  <c r="BO1593" i="4" s="1"/>
  <c r="BE1256" i="4" a="1"/>
  <c r="BE1256" i="4" s="1"/>
  <c r="BO1256" i="4" s="1"/>
  <c r="BE1335" i="4" a="1"/>
  <c r="BE1335" i="4" s="1"/>
  <c r="BW1335" i="4" s="1"/>
  <c r="BE1247" i="4" a="1"/>
  <c r="BE1247" i="4" s="1"/>
  <c r="BE1553" i="4" a="1"/>
  <c r="BE1553" i="4" s="1"/>
  <c r="BE1357" i="4" a="1"/>
  <c r="BE1357" i="4" s="1"/>
  <c r="BE1211" i="4" a="1"/>
  <c r="BE1211" i="4" s="1"/>
  <c r="BR1211" i="4" s="1"/>
  <c r="BE1499" i="4" a="1"/>
  <c r="BE1499" i="4" s="1"/>
  <c r="BO1499" i="4" s="1"/>
  <c r="BE1467" i="4" a="1"/>
  <c r="BE1467" i="4" s="1"/>
  <c r="BO1467" i="4" s="1"/>
  <c r="BE1395" i="4" a="1"/>
  <c r="BE1395" i="4" s="1"/>
  <c r="BO1395" i="4" s="1"/>
  <c r="BE1501" i="4" a="1"/>
  <c r="BE1501" i="4" s="1"/>
  <c r="BE1294" i="4" a="1"/>
  <c r="BE1294" i="4" s="1"/>
  <c r="BO1294" i="4" s="1"/>
  <c r="BE1519" i="4" a="1"/>
  <c r="BE1519" i="4" s="1"/>
  <c r="BO1519" i="4" s="1"/>
  <c r="BE1511" i="4" a="1"/>
  <c r="BE1511" i="4" s="1"/>
  <c r="BO1511" i="4" s="1"/>
  <c r="BE1322" i="4" a="1"/>
  <c r="BE1322" i="4" s="1"/>
  <c r="BO1322" i="4" s="1"/>
  <c r="BE1337" i="4" a="1"/>
  <c r="BE1337" i="4" s="1"/>
  <c r="BO1337" i="4" s="1"/>
  <c r="BE1370" i="4" a="1"/>
  <c r="BE1370" i="4" s="1"/>
  <c r="BE1547" i="4" a="1"/>
  <c r="BE1547" i="4" s="1"/>
  <c r="BE1368" i="4" a="1"/>
  <c r="BE1368" i="4" s="1"/>
  <c r="BO1368" i="4" s="1"/>
  <c r="BE1491" i="4" a="1"/>
  <c r="BE1491" i="4" s="1"/>
  <c r="BO1491" i="4" s="1"/>
  <c r="BE1291" i="4" a="1"/>
  <c r="BE1291" i="4" s="1"/>
  <c r="BE1320" i="4" a="1"/>
  <c r="BE1320" i="4" s="1"/>
  <c r="BW1320" i="4" s="1"/>
  <c r="BE1333" i="4" a="1"/>
  <c r="BE1333" i="4" s="1"/>
  <c r="BE1226" i="4" a="1"/>
  <c r="BE1226" i="4" s="1"/>
  <c r="BS1226" i="4" s="1"/>
  <c r="BE1481" i="4" a="1"/>
  <c r="BE1481" i="4" s="1"/>
  <c r="BO1481" i="4" s="1"/>
  <c r="BE1404" i="4" a="1"/>
  <c r="BE1404" i="4" s="1"/>
  <c r="BE1536" i="4" a="1"/>
  <c r="BE1536" i="4" s="1"/>
  <c r="BE1095" i="4" a="1"/>
  <c r="BE1095" i="4" s="1"/>
  <c r="BE1441" i="4" a="1"/>
  <c r="BE1441" i="4" s="1"/>
  <c r="BO1441" i="4" s="1"/>
  <c r="BE1498" i="4" a="1"/>
  <c r="BE1498" i="4" s="1"/>
  <c r="BS1498" i="4" s="1"/>
  <c r="BE1595" i="4" a="1"/>
  <c r="BE1595" i="4" s="1"/>
  <c r="BO1595" i="4" s="1"/>
  <c r="BE1241" i="4" a="1"/>
  <c r="BE1241" i="4" s="1"/>
  <c r="BO1241" i="4" s="1"/>
  <c r="BE1255" i="4" a="1"/>
  <c r="BE1255" i="4" s="1"/>
  <c r="BO1255" i="4" s="1"/>
  <c r="BE1602" i="4" a="1"/>
  <c r="BE1602" i="4" s="1"/>
  <c r="BO1602" i="4" s="1"/>
  <c r="BE1094" i="4" a="1"/>
  <c r="BE1094" i="4" s="1"/>
  <c r="BE1558" i="4" a="1"/>
  <c r="BE1558" i="4" s="1"/>
  <c r="BO1558" i="4" s="1"/>
  <c r="BE1433" i="4" a="1"/>
  <c r="BE1433" i="4" s="1"/>
  <c r="BR1433" i="4" s="1"/>
  <c r="BE1235" i="4" a="1"/>
  <c r="BE1235" i="4" s="1"/>
  <c r="BE1296" i="4" a="1"/>
  <c r="BE1296" i="4" s="1"/>
  <c r="BU1296" i="4" s="1"/>
  <c r="BE1352" i="4" a="1"/>
  <c r="BE1352" i="4" s="1"/>
  <c r="BO1352" i="4" s="1"/>
  <c r="BE1242" i="4" a="1"/>
  <c r="BE1242" i="4" s="1"/>
  <c r="BO1242" i="4" s="1"/>
  <c r="BE1522" i="4" a="1"/>
  <c r="BE1522" i="4" s="1"/>
  <c r="BE1384" i="4" a="1"/>
  <c r="BE1384" i="4" s="1"/>
  <c r="BW1384" i="4" s="1"/>
  <c r="BE1497" i="4" a="1"/>
  <c r="BE1497" i="4" s="1"/>
  <c r="BO1497" i="4" s="1"/>
  <c r="BE1377" i="4" a="1"/>
  <c r="BE1377" i="4" s="1"/>
  <c r="BE1391" i="4" a="1"/>
  <c r="BE1391" i="4" s="1"/>
  <c r="BW1391" i="4" s="1"/>
  <c r="BE1535" i="4" a="1"/>
  <c r="BE1535" i="4" s="1"/>
  <c r="BO1535" i="4" s="1"/>
  <c r="BE1212" i="4" a="1"/>
  <c r="BE1212" i="4" s="1"/>
  <c r="BU1212" i="4" s="1"/>
  <c r="BE1462" i="4" a="1"/>
  <c r="BE1462" i="4" s="1"/>
  <c r="BO1462" i="4" s="1"/>
  <c r="BE1587" i="4" a="1"/>
  <c r="BE1587" i="4" s="1"/>
  <c r="BE1341" i="4" a="1"/>
  <c r="BE1341" i="4" s="1"/>
  <c r="BE1321" i="4" a="1"/>
  <c r="BE1321" i="4" s="1"/>
  <c r="BE1231" i="4" a="1"/>
  <c r="BE1231" i="4" s="1"/>
  <c r="BE1349" i="4" a="1"/>
  <c r="BE1349" i="4" s="1"/>
  <c r="BR1349" i="4" s="1"/>
  <c r="BE1327" i="4" a="1"/>
  <c r="BE1327" i="4" s="1"/>
  <c r="BR1327" i="4" s="1"/>
  <c r="BE1472" i="4" a="1"/>
  <c r="BE1472" i="4" s="1"/>
  <c r="BO1472" i="4" s="1"/>
  <c r="BE1468" i="4" a="1"/>
  <c r="BE1468" i="4" s="1"/>
  <c r="BO1468" i="4" s="1"/>
  <c r="BE1525" i="4" a="1"/>
  <c r="BE1525" i="4" s="1"/>
  <c r="BR1525" i="4" s="1"/>
  <c r="BE1239" i="4" a="1"/>
  <c r="BE1239" i="4" s="1"/>
  <c r="BO1239" i="4" s="1"/>
  <c r="BE1465" i="4" a="1"/>
  <c r="BE1465" i="4" s="1"/>
  <c r="BO1465" i="4" s="1"/>
  <c r="BE1340" i="4" a="1"/>
  <c r="BE1340" i="4" s="1"/>
  <c r="BE1564" i="4" a="1"/>
  <c r="BE1564" i="4" s="1"/>
  <c r="BE1310" i="4" a="1"/>
  <c r="BE1310" i="4" s="1"/>
  <c r="BE1385" i="4" a="1"/>
  <c r="BE1385" i="4" s="1"/>
  <c r="BR1385" i="4" s="1"/>
  <c r="BE1392" i="4" a="1"/>
  <c r="BE1392" i="4" s="1"/>
  <c r="BO1392" i="4" s="1"/>
  <c r="BE1213" i="4" a="1"/>
  <c r="BE1213" i="4" s="1"/>
  <c r="BE1419" i="4" a="1"/>
  <c r="BE1419" i="4" s="1"/>
  <c r="BO1419" i="4" s="1"/>
  <c r="BE1323" i="4" a="1"/>
  <c r="BE1323" i="4" s="1"/>
  <c r="BS1323" i="4" s="1"/>
  <c r="BE1229" i="4" a="1"/>
  <c r="BE1229" i="4" s="1"/>
  <c r="BO1229" i="4" s="1"/>
  <c r="BE1343" i="4" a="1"/>
  <c r="BE1343" i="4" s="1"/>
  <c r="BO1343" i="4" s="1"/>
  <c r="BE1088" i="4" a="1"/>
  <c r="BE1088" i="4" s="1"/>
  <c r="BE1447" i="4" a="1"/>
  <c r="BE1447" i="4" s="1"/>
  <c r="BO1447" i="4" s="1"/>
  <c r="BE1263" i="4" a="1"/>
  <c r="BE1263" i="4" s="1"/>
  <c r="BO1263" i="4" s="1"/>
  <c r="BE1471" i="4" a="1"/>
  <c r="BE1471" i="4" s="1"/>
  <c r="BO1471" i="4" s="1"/>
  <c r="BE1243" i="4" a="1"/>
  <c r="BE1243" i="4" s="1"/>
  <c r="BO1243" i="4" s="1"/>
  <c r="BE1554" i="4" a="1"/>
  <c r="BE1554" i="4" s="1"/>
  <c r="BO1554" i="4" s="1"/>
  <c r="BE1265" i="4" a="1"/>
  <c r="BE1265" i="4" s="1"/>
  <c r="BO1265" i="4" s="1"/>
  <c r="BE1486" i="4" a="1"/>
  <c r="BE1486" i="4" s="1"/>
  <c r="BO1486" i="4" s="1"/>
  <c r="BE1293" i="4" a="1"/>
  <c r="BE1293" i="4" s="1"/>
  <c r="BW1293" i="4" s="1"/>
  <c r="BE1336" i="4" a="1"/>
  <c r="BE1336" i="4" s="1"/>
  <c r="BO1336" i="4" s="1"/>
  <c r="BE1078" i="4" a="1"/>
  <c r="BE1078" i="4" s="1"/>
  <c r="BE1540" i="4" a="1"/>
  <c r="BE1540" i="4" s="1"/>
  <c r="BS1540" i="4" s="1"/>
  <c r="BE1507" i="4" a="1"/>
  <c r="BE1507" i="4" s="1"/>
  <c r="BO1507" i="4" s="1"/>
  <c r="BE1488" i="4" a="1"/>
  <c r="BE1488" i="4" s="1"/>
  <c r="BO1488" i="4" s="1"/>
  <c r="BE1379" i="4" a="1"/>
  <c r="BE1379" i="4" s="1"/>
  <c r="BO1379" i="4" s="1"/>
  <c r="BE1453" i="4" a="1"/>
  <c r="BE1453" i="4" s="1"/>
  <c r="BO1453" i="4" s="1"/>
  <c r="BE1297" i="4" a="1"/>
  <c r="BE1297" i="4" s="1"/>
  <c r="BO1297" i="4" s="1"/>
  <c r="BE1383" i="4" a="1"/>
  <c r="BE1383" i="4" s="1"/>
  <c r="BO1383" i="4" s="1"/>
  <c r="BE1240" i="4" a="1"/>
  <c r="BE1240" i="4" s="1"/>
  <c r="BO1240" i="4" s="1"/>
  <c r="BE1586" i="4" a="1"/>
  <c r="BE1586" i="4" s="1"/>
  <c r="BO1586" i="4" s="1"/>
  <c r="BE1338" i="4" a="1"/>
  <c r="BE1338" i="4" s="1"/>
  <c r="BE1264" i="4" a="1"/>
  <c r="BE1264" i="4" s="1"/>
  <c r="BO1264" i="4" s="1"/>
  <c r="BE1273" i="4" a="1"/>
  <c r="BE1273" i="4" s="1"/>
  <c r="BO1273" i="4" s="1"/>
  <c r="BE1344" i="4" a="1"/>
  <c r="BE1344" i="4" s="1"/>
  <c r="BO1344" i="4" s="1"/>
  <c r="BE1439" i="4" a="1"/>
  <c r="BE1439" i="4" s="1"/>
  <c r="BO1439" i="4" s="1"/>
  <c r="BE1081" i="4" a="1"/>
  <c r="BE1081" i="4" s="1"/>
  <c r="BE1437" i="4" a="1"/>
  <c r="BE1437" i="4" s="1"/>
  <c r="BO1437" i="4" s="1"/>
  <c r="BE1505" i="4" a="1"/>
  <c r="BE1505" i="4" s="1"/>
  <c r="BO1505" i="4" s="1"/>
  <c r="BE1442" i="4" a="1"/>
  <c r="BE1442" i="4" s="1"/>
  <c r="BO1442" i="4" s="1"/>
  <c r="BE1574" i="4" a="1"/>
  <c r="BE1574" i="4" s="1"/>
  <c r="BE1458" i="4" a="1"/>
  <c r="BE1458" i="4" s="1"/>
  <c r="BO1458" i="4" s="1"/>
  <c r="BE1092" i="4" a="1"/>
  <c r="BE1092" i="4" s="1"/>
  <c r="BE1278" i="4" a="1"/>
  <c r="BE1278" i="4" s="1"/>
  <c r="BO1278" i="4" s="1"/>
  <c r="BE1513" i="4" a="1"/>
  <c r="BE1513" i="4" s="1"/>
  <c r="BO1513" i="4" s="1"/>
  <c r="BE1216" i="4" a="1"/>
  <c r="BE1216" i="4" s="1"/>
  <c r="BE1424" i="4" a="1"/>
  <c r="BE1424" i="4" s="1"/>
  <c r="BS1424" i="4" s="1"/>
  <c r="BE1483" i="4" a="1"/>
  <c r="BE1483" i="4" s="1"/>
  <c r="BO1483" i="4" s="1"/>
  <c r="BE1445" i="4" a="1"/>
  <c r="BE1445" i="4" s="1"/>
  <c r="BO1445" i="4" s="1"/>
  <c r="BE1319" i="4" a="1"/>
  <c r="BE1319" i="4" s="1"/>
  <c r="BE1425" i="4" a="1"/>
  <c r="BE1425" i="4" s="1"/>
  <c r="BS1425" i="4" s="1"/>
  <c r="BE1376" i="4" a="1"/>
  <c r="BE1376" i="4" s="1"/>
  <c r="BO1376" i="4" s="1"/>
  <c r="BE1605" i="4" a="1"/>
  <c r="BE1605" i="4" s="1"/>
  <c r="BS1605" i="4" s="1"/>
  <c r="BE1616" i="4" a="1"/>
  <c r="BE1616" i="4" s="1"/>
  <c r="BE1520" i="4" a="1"/>
  <c r="BE1520" i="4" s="1"/>
  <c r="BE1479" i="4" a="1"/>
  <c r="BE1479" i="4" s="1"/>
  <c r="BO1479" i="4" s="1"/>
  <c r="BE1615" i="4" a="1"/>
  <c r="BE1615" i="4" s="1"/>
  <c r="BO1615" i="4" s="1"/>
  <c r="BE1356" i="4" a="1"/>
  <c r="BE1356" i="4" s="1"/>
  <c r="BE1611" i="4" a="1"/>
  <c r="BE1611" i="4" s="1"/>
  <c r="BU1611" i="4" s="1"/>
  <c r="BE1275" i="4" a="1"/>
  <c r="BE1275" i="4" s="1"/>
  <c r="BO1275" i="4" s="1"/>
  <c r="BE1603" i="4" a="1"/>
  <c r="BE1603" i="4" s="1"/>
  <c r="BO1603" i="4" s="1"/>
  <c r="BE1485" i="4" a="1"/>
  <c r="BE1485" i="4" s="1"/>
  <c r="BO1485" i="4" s="1"/>
  <c r="BE1079" i="4" a="1"/>
  <c r="BE1079" i="4" s="1"/>
  <c r="BE1282" i="4" a="1"/>
  <c r="BE1282" i="4" s="1"/>
  <c r="BE1436" i="4" a="1"/>
  <c r="BE1436" i="4" s="1"/>
  <c r="BS1436" i="4" s="1"/>
  <c r="BE1371" i="4" a="1"/>
  <c r="BE1371" i="4" s="1"/>
  <c r="BO1371" i="4" s="1"/>
  <c r="BE1524" i="4" a="1"/>
  <c r="BE1524" i="4" s="1"/>
  <c r="BE1233" i="4" a="1"/>
  <c r="BE1233" i="4" s="1"/>
  <c r="BU1233" i="4" s="1"/>
  <c r="BE1588" i="4" a="1"/>
  <c r="BE1588" i="4" s="1"/>
  <c r="BO1588" i="4" s="1"/>
  <c r="BE1432" i="4" a="1"/>
  <c r="BE1432" i="4" s="1"/>
  <c r="BU1432" i="4" s="1"/>
  <c r="BE1459" i="4" a="1"/>
  <c r="BE1459" i="4" s="1"/>
  <c r="BO1459" i="4" s="1"/>
  <c r="BE1318" i="4" a="1"/>
  <c r="BE1318" i="4" s="1"/>
  <c r="BO1318" i="4" s="1"/>
  <c r="BE1312" i="4" a="1"/>
  <c r="BE1312" i="4" s="1"/>
  <c r="BO1312" i="4" s="1"/>
  <c r="BE1270" i="4" a="1"/>
  <c r="BE1270" i="4" s="1"/>
  <c r="BO1270" i="4" s="1"/>
  <c r="BE1474" i="4" a="1"/>
  <c r="BE1474" i="4" s="1"/>
  <c r="BO1474" i="4" s="1"/>
  <c r="BE1464" i="4" a="1"/>
  <c r="BE1464" i="4" s="1"/>
  <c r="BO1464" i="4" s="1"/>
  <c r="BE1260" i="4" a="1"/>
  <c r="BE1260" i="4" s="1"/>
  <c r="BE1271" i="4" a="1"/>
  <c r="BE1271" i="4" s="1"/>
  <c r="BO1271" i="4" s="1"/>
  <c r="BE1527" i="4" a="1"/>
  <c r="BE1527" i="4" s="1"/>
  <c r="BE1435" i="4" a="1"/>
  <c r="BE1435" i="4" s="1"/>
  <c r="BO1435" i="4" s="1"/>
  <c r="BE1543" i="4" a="1"/>
  <c r="BE1543" i="4" s="1"/>
  <c r="BO1543" i="4" s="1"/>
  <c r="BE1555" i="4" a="1"/>
  <c r="BE1555" i="4" s="1"/>
  <c r="BO1555" i="4" s="1"/>
  <c r="BE1600" i="4" a="1"/>
  <c r="BE1600" i="4" s="1"/>
  <c r="BO1600" i="4" s="1"/>
  <c r="BE1411" i="4" a="1"/>
  <c r="BE1411" i="4" s="1"/>
  <c r="BO1411" i="4" s="1"/>
  <c r="BE1542" i="4" a="1"/>
  <c r="BE1542" i="4" s="1"/>
  <c r="BO1542" i="4" s="1"/>
  <c r="BE1396" i="4" a="1"/>
  <c r="BE1396" i="4" s="1"/>
  <c r="BU1396" i="4" s="1"/>
  <c r="BE1617" i="4" a="1"/>
  <c r="BE1617" i="4" s="1"/>
  <c r="BE1269" i="4" a="1"/>
  <c r="BE1269" i="4" s="1"/>
  <c r="BE1238" i="4" a="1"/>
  <c r="BE1238" i="4" s="1"/>
  <c r="BS1238" i="4" s="1"/>
  <c r="BE1290" i="4" a="1"/>
  <c r="BE1290" i="4" s="1"/>
  <c r="BO1290" i="4" s="1"/>
  <c r="BE1448" i="4" a="1"/>
  <c r="BE1448" i="4" s="1"/>
  <c r="BE1422" i="4" a="1"/>
  <c r="BE1422" i="4" s="1"/>
  <c r="BE1414" i="4" a="1"/>
  <c r="BE1414" i="4" s="1"/>
  <c r="BO1414" i="4" s="1"/>
  <c r="BE1215" i="4" a="1"/>
  <c r="BE1215" i="4" s="1"/>
  <c r="BU1215" i="4" s="1"/>
  <c r="BE1298" i="4" a="1"/>
  <c r="BE1298" i="4" s="1"/>
  <c r="BO1298" i="4" s="1"/>
  <c r="BE1490" i="4" a="1"/>
  <c r="BE1490" i="4" s="1"/>
  <c r="BE1300" i="4" a="1"/>
  <c r="BE1300" i="4" s="1"/>
  <c r="BO1300" i="4" s="1"/>
  <c r="BE1529" i="4" a="1"/>
  <c r="BE1529" i="4" s="1"/>
  <c r="BE1387" i="4" a="1"/>
  <c r="BE1387" i="4" s="1"/>
  <c r="BS1387" i="4" s="1"/>
  <c r="BE1342" i="4" a="1"/>
  <c r="BE1342" i="4" s="1"/>
  <c r="BR1342" i="4" s="1"/>
  <c r="BE1504" i="4" a="1"/>
  <c r="BE1504" i="4" s="1"/>
  <c r="BE1401" i="4" a="1"/>
  <c r="BE1401" i="4" s="1"/>
  <c r="BO1401" i="4" s="1"/>
  <c r="BE1475" i="4" a="1"/>
  <c r="BE1475" i="4" s="1"/>
  <c r="BU1475" i="4" s="1"/>
  <c r="BE1330" i="4" a="1"/>
  <c r="BE1330" i="4" s="1"/>
  <c r="BO1330" i="4" s="1"/>
  <c r="BE1431" i="4" a="1"/>
  <c r="BE1431" i="4" s="1"/>
  <c r="BO1431" i="4" s="1"/>
  <c r="BE1469" i="4" a="1"/>
  <c r="BE1469" i="4" s="1"/>
  <c r="BE1406" i="4" a="1"/>
  <c r="BE1406" i="4" s="1"/>
  <c r="BW1406" i="4" s="1"/>
  <c r="BE1399" i="4" a="1"/>
  <c r="BE1399" i="4" s="1"/>
  <c r="BS1399" i="4" s="1"/>
  <c r="BE1408" i="4" a="1"/>
  <c r="BE1408" i="4" s="1"/>
  <c r="BU1408" i="4" s="1"/>
  <c r="BE1306" i="4" a="1"/>
  <c r="BE1306" i="4" s="1"/>
  <c r="BO1306" i="4" s="1"/>
  <c r="BE1510" i="4" a="1"/>
  <c r="BE1510" i="4" s="1"/>
  <c r="BO1510" i="4" s="1"/>
  <c r="BE1365" i="4" a="1"/>
  <c r="BE1365" i="4" s="1"/>
  <c r="BO1365" i="4" s="1"/>
  <c r="BE1317" i="4" a="1"/>
  <c r="BE1317" i="4" s="1"/>
  <c r="BO1317" i="4" s="1"/>
  <c r="BE1577" i="4" a="1"/>
  <c r="BE1577" i="4" s="1"/>
  <c r="BU1577" i="4" s="1"/>
  <c r="BE1227" i="4" a="1"/>
  <c r="BE1227" i="4" s="1"/>
  <c r="BW1227" i="4" s="1"/>
  <c r="BE1610" i="4" a="1"/>
  <c r="BE1610" i="4" s="1"/>
  <c r="BO1610" i="4" s="1"/>
  <c r="BE1476" i="4" a="1"/>
  <c r="BE1476" i="4" s="1"/>
  <c r="BS1476" i="4" s="1"/>
  <c r="BE1259" i="4" a="1"/>
  <c r="BE1259" i="4" s="1"/>
  <c r="BO1259" i="4" s="1"/>
  <c r="BE1301" i="4" a="1"/>
  <c r="BE1301" i="4" s="1"/>
  <c r="BE1434" i="4" a="1"/>
  <c r="BE1434" i="4" s="1"/>
  <c r="BO1434" i="4" s="1"/>
  <c r="BE1482" i="4" a="1"/>
  <c r="BE1482" i="4" s="1"/>
  <c r="BE1463" i="4" a="1"/>
  <c r="BE1463" i="4" s="1"/>
  <c r="BO1463" i="4" s="1"/>
  <c r="BE1402" i="4" a="1"/>
  <c r="BE1402" i="4" s="1"/>
  <c r="BE1289" i="4" a="1"/>
  <c r="BE1289" i="4" s="1"/>
  <c r="BR1289" i="4" s="1"/>
  <c r="BE1515" i="4" a="1"/>
  <c r="BE1515" i="4" s="1"/>
  <c r="BO1515" i="4" s="1"/>
  <c r="BE1562" i="4" a="1"/>
  <c r="BE1562" i="4" s="1"/>
  <c r="BO1562" i="4" s="1"/>
  <c r="BE1346" i="4" a="1"/>
  <c r="BE1346" i="4" s="1"/>
  <c r="BO1346" i="4" s="1"/>
  <c r="BE1533" i="4" a="1"/>
  <c r="BE1533" i="4" s="1"/>
  <c r="BO1533" i="4" s="1"/>
  <c r="BE1412" i="4" a="1"/>
  <c r="BE1412" i="4" s="1"/>
  <c r="BE1423" i="4" a="1"/>
  <c r="BE1423" i="4" s="1"/>
  <c r="BW1423" i="4" s="1"/>
  <c r="BE1355" i="4" a="1"/>
  <c r="BE1355" i="4" s="1"/>
  <c r="BE1311" i="4" a="1"/>
  <c r="BE1311" i="4" s="1"/>
  <c r="BO1311" i="4" s="1"/>
  <c r="BE1545" i="4" a="1"/>
  <c r="BE1545" i="4" s="1"/>
  <c r="BW1545" i="4" s="1"/>
  <c r="BE1076" i="4" a="1"/>
  <c r="BE1076" i="4" s="1"/>
  <c r="BE1495" i="4" a="1"/>
  <c r="BE1495" i="4" s="1"/>
  <c r="BE1363" i="4" a="1"/>
  <c r="BE1363" i="4" s="1"/>
  <c r="BW1363" i="4" s="1"/>
  <c r="BE1397" i="4" a="1"/>
  <c r="BE1397" i="4" s="1"/>
  <c r="BU1397" i="4" s="1"/>
  <c r="BE1374" i="4" a="1"/>
  <c r="BE1374" i="4" s="1"/>
  <c r="BS1374" i="4" s="1"/>
  <c r="BE1430" i="4" a="1"/>
  <c r="BE1430" i="4" s="1"/>
  <c r="BE1452" i="4" a="1"/>
  <c r="BE1452" i="4" s="1"/>
  <c r="BR1452" i="4" s="1"/>
  <c r="BE1407" i="4" a="1"/>
  <c r="BE1407" i="4" s="1"/>
  <c r="BE1405" i="4" a="1"/>
  <c r="BE1405" i="4" s="1"/>
  <c r="BU1405" i="4" s="1"/>
  <c r="BE1446" i="4" a="1"/>
  <c r="BE1446" i="4" s="1"/>
  <c r="BO1446" i="4" s="1"/>
  <c r="BE1307" i="4" a="1"/>
  <c r="BE1307" i="4" s="1"/>
  <c r="BO1307" i="4" s="1"/>
  <c r="BE1531" i="4" a="1"/>
  <c r="BE1531" i="4" s="1"/>
  <c r="BW1531" i="4" s="1"/>
  <c r="BE1563" i="4" a="1"/>
  <c r="BE1563" i="4" s="1"/>
  <c r="BR1563" i="4" s="1"/>
  <c r="BE1420" i="4" a="1"/>
  <c r="BE1420" i="4" s="1"/>
  <c r="BS1420" i="4" s="1"/>
  <c r="BE1516" i="4" a="1"/>
  <c r="BE1516" i="4" s="1"/>
  <c r="BO1516" i="4" s="1"/>
  <c r="BE1478" i="4" a="1"/>
  <c r="BE1478" i="4" s="1"/>
  <c r="BS1478" i="4" s="1"/>
  <c r="BE1739" i="4" a="1"/>
  <c r="BE1739" i="4" s="1"/>
  <c r="BE681" i="4" a="1"/>
  <c r="BE681" i="4" s="1"/>
  <c r="BE1638" i="4" a="1"/>
  <c r="BE1638" i="4" s="1"/>
  <c r="BE1763" i="4" a="1"/>
  <c r="BE1763" i="4" s="1"/>
  <c r="BE724" i="4" a="1"/>
  <c r="BE724" i="4" s="1"/>
  <c r="BE89" i="4" a="1"/>
  <c r="BE89" i="4" s="1"/>
  <c r="BE241" i="4" a="1"/>
  <c r="BE241" i="4" s="1"/>
  <c r="BE136" i="4" a="1"/>
  <c r="BE136" i="4" s="1"/>
  <c r="BE453" i="4" a="1"/>
  <c r="BE453" i="4" s="1"/>
  <c r="BE527" i="4" a="1"/>
  <c r="BE527" i="4" s="1"/>
  <c r="BE750" i="4" a="1"/>
  <c r="BE750" i="4" s="1"/>
  <c r="BE1791" i="4" a="1"/>
  <c r="BE1791" i="4" s="1"/>
  <c r="BE1778" i="4" a="1"/>
  <c r="BE1778" i="4" s="1"/>
  <c r="BE1853" i="4" a="1"/>
  <c r="BE1853" i="4" s="1"/>
  <c r="BE1645" i="4" a="1"/>
  <c r="BE1645" i="4" s="1"/>
  <c r="BE1780" i="4" a="1"/>
  <c r="BE1780" i="4" s="1"/>
  <c r="BE16" i="4" a="1"/>
  <c r="BE16" i="4" s="1"/>
  <c r="BE96" i="4" a="1"/>
  <c r="BE96" i="4" s="1"/>
  <c r="BE543" i="4" a="1"/>
  <c r="BE543" i="4" s="1"/>
  <c r="BE1772" i="4" a="1"/>
  <c r="BE1772" i="4" s="1"/>
  <c r="BE872" i="4" a="1"/>
  <c r="BE872" i="4" s="1"/>
  <c r="BE383" i="4" a="1"/>
  <c r="BE383" i="4" s="1"/>
  <c r="BE486" i="4" a="1"/>
  <c r="BE486" i="4" s="1"/>
  <c r="BE1786" i="4" a="1"/>
  <c r="BE1786" i="4" s="1"/>
  <c r="BE414" i="4" a="1"/>
  <c r="BE414" i="4" s="1"/>
  <c r="BE1905" i="4" a="1"/>
  <c r="BE1905" i="4" s="1"/>
  <c r="BE1913" i="4" a="1"/>
  <c r="BE1913" i="4" s="1"/>
  <c r="BE161" i="4" a="1"/>
  <c r="BE161" i="4" s="1"/>
  <c r="BE1675" i="4" a="1"/>
  <c r="BE1675" i="4" s="1"/>
  <c r="BE262" i="4" a="1"/>
  <c r="BE262" i="4" s="1"/>
  <c r="BE504" i="4" a="1"/>
  <c r="BE504" i="4" s="1"/>
  <c r="BE1844" i="4" a="1"/>
  <c r="BE1844" i="4" s="1"/>
  <c r="BE1851" i="4" a="1"/>
  <c r="BE1851" i="4" s="1"/>
  <c r="BE1910" i="4" a="1"/>
  <c r="BE1910" i="4" s="1"/>
  <c r="BE1928" i="4" a="1"/>
  <c r="BE1928" i="4" s="1"/>
  <c r="BE270" i="4" a="1"/>
  <c r="BE270" i="4" s="1"/>
  <c r="BE233" i="4" a="1"/>
  <c r="BE233" i="4" s="1"/>
  <c r="BE658" i="4" a="1"/>
  <c r="BE658" i="4" s="1"/>
  <c r="BE1704" i="4" a="1"/>
  <c r="BE1704" i="4" s="1"/>
  <c r="BE1664" i="4" a="1"/>
  <c r="BE1664" i="4" s="1"/>
  <c r="BE22" i="4" a="1"/>
  <c r="BE22" i="4" s="1"/>
  <c r="BE1857" i="4" a="1"/>
  <c r="BE1857" i="4" s="1"/>
  <c r="BE214" i="4" a="1"/>
  <c r="BE214" i="4" s="1"/>
  <c r="BE873" i="4" a="1"/>
  <c r="BE873" i="4" s="1"/>
  <c r="BE1731" i="4" a="1"/>
  <c r="BE1731" i="4" s="1"/>
  <c r="BE1856" i="4" a="1"/>
  <c r="BE1856" i="4" s="1"/>
  <c r="BE203" i="4" a="1"/>
  <c r="BE203" i="4" s="1"/>
  <c r="BE680" i="4" a="1"/>
  <c r="BE680" i="4" s="1"/>
  <c r="BE1815" i="4" a="1"/>
  <c r="BE1815" i="4" s="1"/>
  <c r="BE1957" i="4" a="1"/>
  <c r="BE1957" i="4" s="1"/>
  <c r="BE1887" i="4" a="1"/>
  <c r="BE1887" i="4" s="1"/>
  <c r="BE1771" i="4" a="1"/>
  <c r="BE1771" i="4" s="1"/>
  <c r="BE1932" i="4" a="1"/>
  <c r="BE1932" i="4" s="1"/>
  <c r="BE506" i="4" a="1"/>
  <c r="BE506" i="4" s="1"/>
  <c r="BE105" i="4" a="1"/>
  <c r="BE105" i="4" s="1"/>
  <c r="BE1927" i="4" a="1"/>
  <c r="BE1927" i="4" s="1"/>
  <c r="BE181" i="4" a="1"/>
  <c r="BE181" i="4" s="1"/>
  <c r="BE276" i="4" a="1"/>
  <c r="BE276" i="4" s="1"/>
  <c r="BE1717" i="4" a="1"/>
  <c r="BE1717" i="4" s="1"/>
  <c r="BE1790" i="4" a="1"/>
  <c r="BE1790" i="4" s="1"/>
  <c r="BE171" i="4" a="1"/>
  <c r="BE171" i="4" s="1"/>
  <c r="BE1903" i="4" a="1"/>
  <c r="BE1903" i="4" s="1"/>
  <c r="BE1662" i="4" a="1"/>
  <c r="BE1662" i="4" s="1"/>
  <c r="BE210" i="4" a="1"/>
  <c r="BE210" i="4" s="1"/>
  <c r="BE11" i="4" a="1"/>
  <c r="BE11" i="4" s="1"/>
  <c r="BE1918" i="4" a="1"/>
  <c r="BE1918" i="4" s="1"/>
  <c r="BE392" i="4" a="1"/>
  <c r="BE392" i="4" s="1"/>
  <c r="BE1787" i="4" a="1"/>
  <c r="BE1787" i="4" s="1"/>
  <c r="BE154" i="4" a="1"/>
  <c r="BE154" i="4" s="1"/>
  <c r="BE1184" i="4" a="1"/>
  <c r="BE1184" i="4" s="1"/>
  <c r="BE1051" i="4" a="1"/>
  <c r="BE1051" i="4" s="1"/>
  <c r="BE412" i="4" a="1"/>
  <c r="BE412" i="4" s="1"/>
  <c r="BE996" i="4" a="1"/>
  <c r="BE996" i="4" s="1"/>
  <c r="BE86" i="4" a="1"/>
  <c r="BE86" i="4" s="1"/>
  <c r="BE318" i="4" a="1"/>
  <c r="BE318" i="4" s="1"/>
  <c r="BE487" i="4" a="1"/>
  <c r="BE487" i="4" s="1"/>
  <c r="BE138" i="4" a="1"/>
  <c r="BE138" i="4" s="1"/>
  <c r="BE153" i="4" a="1"/>
  <c r="BE153" i="4" s="1"/>
  <c r="BE1963" i="4" a="1"/>
  <c r="BE1963" i="4" s="1"/>
  <c r="BE1889" i="4" a="1"/>
  <c r="BE1889" i="4" s="1"/>
  <c r="BE140" i="4" a="1"/>
  <c r="BE140" i="4" s="1"/>
  <c r="BE1021" i="4" a="1"/>
  <c r="BE1021" i="4" s="1"/>
  <c r="BE481" i="4" a="1"/>
  <c r="BE481" i="4" s="1"/>
  <c r="BE1725" i="4" a="1"/>
  <c r="BE1725" i="4" s="1"/>
  <c r="BE1874" i="4" a="1"/>
  <c r="BE1874" i="4" s="1"/>
  <c r="BE2000" i="4" a="1"/>
  <c r="BE2000" i="4" s="1"/>
  <c r="BE119" i="4" a="1"/>
  <c r="BE119" i="4" s="1"/>
  <c r="BE1877" i="4" a="1"/>
  <c r="BE1877" i="4" s="1"/>
  <c r="BE1976" i="4" a="1"/>
  <c r="BE1976" i="4" s="1"/>
  <c r="BE124" i="4" a="1"/>
  <c r="BE124" i="4" s="1"/>
  <c r="BE1840" i="4" a="1"/>
  <c r="BE1840" i="4" s="1"/>
  <c r="BE28" i="4" a="1"/>
  <c r="BE28" i="4" s="1"/>
  <c r="BE1745" i="4" a="1"/>
  <c r="BE1745" i="4" s="1"/>
  <c r="BE1796" i="4" a="1"/>
  <c r="BE1796" i="4" s="1"/>
  <c r="BE1193" i="4" a="1"/>
  <c r="BE1193" i="4" s="1"/>
  <c r="BE1951" i="4" a="1"/>
  <c r="BE1951" i="4" s="1"/>
  <c r="BE225" i="4" a="1"/>
  <c r="BE225" i="4" s="1"/>
  <c r="BE387" i="4" a="1"/>
  <c r="BE387" i="4" s="1"/>
  <c r="BE148" i="4" a="1"/>
  <c r="BE148" i="4" s="1"/>
  <c r="BE306" i="4" a="1"/>
  <c r="BE306" i="4" s="1"/>
  <c r="BE588" i="4" a="1"/>
  <c r="BE588" i="4" s="1"/>
  <c r="BE1994" i="4" a="1"/>
  <c r="BE1994" i="4" s="1"/>
  <c r="BE15" i="4" a="1"/>
  <c r="BE15" i="4" s="1"/>
  <c r="BE439" i="4" a="1"/>
  <c r="BE439" i="4" s="1"/>
  <c r="BE1955" i="4" a="1"/>
  <c r="BE1955" i="4" s="1"/>
  <c r="BE291" i="4" a="1"/>
  <c r="BE291" i="4" s="1"/>
  <c r="BE1972" i="4" a="1"/>
  <c r="BE1972" i="4" s="1"/>
  <c r="BE587" i="4" a="1"/>
  <c r="BE587" i="4" s="1"/>
  <c r="BE286" i="4" a="1"/>
  <c r="BE286" i="4" s="1"/>
  <c r="BE163" i="4" a="1"/>
  <c r="BE163" i="4" s="1"/>
  <c r="BE38" i="4" a="1"/>
  <c r="BE38" i="4" s="1"/>
  <c r="BE269" i="4" a="1"/>
  <c r="BE269" i="4" s="1"/>
  <c r="BE1871" i="4" a="1"/>
  <c r="BE1871" i="4" s="1"/>
  <c r="BE284" i="4" a="1"/>
  <c r="BE284" i="4" s="1"/>
  <c r="BE1973" i="4" a="1"/>
  <c r="BE1973" i="4" s="1"/>
  <c r="BE1719" i="4" a="1"/>
  <c r="BE1719" i="4" s="1"/>
  <c r="BE772" i="4" a="1"/>
  <c r="BE772" i="4" s="1"/>
  <c r="BE78" i="4" a="1"/>
  <c r="BE78" i="4" s="1"/>
  <c r="BE577" i="4" a="1"/>
  <c r="BE577" i="4" s="1"/>
  <c r="BE1733" i="4" a="1"/>
  <c r="BE1733" i="4" s="1"/>
  <c r="BE1629" i="4" a="1"/>
  <c r="BE1629" i="4" s="1"/>
  <c r="BE322" i="4" a="1"/>
  <c r="BE322" i="4" s="1"/>
  <c r="BE1817" i="4" a="1"/>
  <c r="BE1817" i="4" s="1"/>
  <c r="BE654" i="4" a="1"/>
  <c r="BE654" i="4" s="1"/>
  <c r="BE175" i="4" a="1"/>
  <c r="BE175" i="4" s="1"/>
  <c r="BE977" i="4" a="1"/>
  <c r="BE977" i="4" s="1"/>
  <c r="BE1023" i="4" a="1"/>
  <c r="BE1023" i="4" s="1"/>
  <c r="BE1915" i="4" a="1"/>
  <c r="BE1915" i="4" s="1"/>
  <c r="BE402" i="4" a="1"/>
  <c r="BE402" i="4" s="1"/>
  <c r="BE1992" i="4" a="1"/>
  <c r="BE1992" i="4" s="1"/>
  <c r="BE271" i="4" a="1"/>
  <c r="BE271" i="4" s="1"/>
  <c r="BE1104" i="4" a="1"/>
  <c r="BE1104" i="4" s="1"/>
  <c r="BE1789" i="4" a="1"/>
  <c r="BE1789" i="4" s="1"/>
  <c r="BE213" i="4" a="1"/>
  <c r="BE213" i="4" s="1"/>
  <c r="BE170" i="4" a="1"/>
  <c r="BE170" i="4" s="1"/>
  <c r="BE810" i="4" a="1"/>
  <c r="BE810" i="4" s="1"/>
  <c r="BE484" i="4" a="1"/>
  <c r="BE484" i="4" s="1"/>
  <c r="BE1953" i="4" a="1"/>
  <c r="BE1953" i="4" s="1"/>
  <c r="BE1862" i="4" a="1"/>
  <c r="BE1862" i="4" s="1"/>
  <c r="BE202" i="4" a="1"/>
  <c r="BE202" i="4" s="1"/>
  <c r="BE1816" i="4" a="1"/>
  <c r="BE1816" i="4" s="1"/>
  <c r="BE445" i="4" a="1"/>
  <c r="BE445" i="4" s="1"/>
  <c r="BE405" i="4" a="1"/>
  <c r="BE405" i="4" s="1"/>
  <c r="BE1984" i="4" a="1"/>
  <c r="BE1984" i="4" s="1"/>
  <c r="BE641" i="4" a="1"/>
  <c r="BE641" i="4" s="1"/>
  <c r="BE1756" i="4" a="1"/>
  <c r="BE1756" i="4" s="1"/>
  <c r="BE456" i="4" a="1"/>
  <c r="BE456" i="4" s="1"/>
  <c r="BE92" i="4" a="1"/>
  <c r="BE92" i="4" s="1"/>
  <c r="BE36" i="4" a="1"/>
  <c r="BE36" i="4" s="1"/>
  <c r="BE164" i="4" a="1"/>
  <c r="BE164" i="4" s="1"/>
  <c r="BE1985" i="4" a="1"/>
  <c r="BE1985" i="4" s="1"/>
  <c r="BE1920" i="4" a="1"/>
  <c r="BE1920" i="4" s="1"/>
  <c r="BE51" i="4" a="1"/>
  <c r="BE51" i="4" s="1"/>
  <c r="BE83" i="4" a="1"/>
  <c r="BE83" i="4" s="1"/>
  <c r="BE1916" i="4" a="1"/>
  <c r="BE1916" i="4" s="1"/>
  <c r="BE368" i="4" a="1"/>
  <c r="BE368" i="4" s="1"/>
  <c r="BE99" i="4" a="1"/>
  <c r="BE99" i="4" s="1"/>
  <c r="BE1776" i="4" a="1"/>
  <c r="BE1776" i="4" s="1"/>
  <c r="BE1965" i="4" a="1"/>
  <c r="BE1965" i="4" s="1"/>
  <c r="BE1807" i="4" a="1"/>
  <c r="BE1807" i="4" s="1"/>
  <c r="BE1757" i="4" a="1"/>
  <c r="BE1757" i="4" s="1"/>
  <c r="BE251" i="4" a="1"/>
  <c r="BE251" i="4" s="1"/>
  <c r="BE1634" i="4" a="1"/>
  <c r="BE1634" i="4" s="1"/>
  <c r="BE165" i="4" a="1"/>
  <c r="BE165" i="4" s="1"/>
  <c r="BE1805" i="4" a="1"/>
  <c r="BE1805" i="4" s="1"/>
  <c r="BE150" i="4" a="1"/>
  <c r="BE150" i="4" s="1"/>
  <c r="BE1682" i="4" a="1"/>
  <c r="BE1682" i="4" s="1"/>
  <c r="BE252" i="4" a="1"/>
  <c r="BE252" i="4" s="1"/>
  <c r="BE748" i="4" a="1"/>
  <c r="BE748" i="4" s="1"/>
  <c r="BE1833" i="4" a="1"/>
  <c r="BE1833" i="4" s="1"/>
  <c r="BE1166" i="4" a="1"/>
  <c r="BE1166" i="4" s="1"/>
  <c r="BE1999" i="4" a="1"/>
  <c r="BE1999" i="4" s="1"/>
  <c r="BE1665" i="4" a="1"/>
  <c r="BE1665" i="4" s="1"/>
  <c r="BE1806" i="4" a="1"/>
  <c r="BE1806" i="4" s="1"/>
  <c r="BE435" i="4" a="1"/>
  <c r="BE435" i="4" s="1"/>
  <c r="BE145" i="4" a="1"/>
  <c r="BE145" i="4" s="1"/>
  <c r="BE869" i="4" a="1"/>
  <c r="BE869" i="4" s="1"/>
  <c r="BE1631" i="4" a="1"/>
  <c r="BE1631" i="4" s="1"/>
  <c r="BE274" i="4" a="1"/>
  <c r="BE274" i="4" s="1"/>
  <c r="BE1968" i="4" a="1"/>
  <c r="BE1968" i="4" s="1"/>
  <c r="BE795" i="4" a="1"/>
  <c r="BE795" i="4" s="1"/>
  <c r="BE674" i="4" a="1"/>
  <c r="BE674" i="4" s="1"/>
  <c r="BE404" i="4" a="1"/>
  <c r="BE404" i="4" s="1"/>
  <c r="BE595" i="4" a="1"/>
  <c r="BE595" i="4" s="1"/>
  <c r="BE118" i="4" a="1"/>
  <c r="BE118" i="4" s="1"/>
  <c r="BE122" i="4" a="1"/>
  <c r="BE122" i="4" s="1"/>
  <c r="BE1933" i="4" a="1"/>
  <c r="BE1933" i="4" s="1"/>
  <c r="BE1143" i="4" a="1"/>
  <c r="BE1143" i="4" s="1"/>
  <c r="BE1060" i="4" a="1"/>
  <c r="BE1060" i="4" s="1"/>
  <c r="BE517" i="4" a="1"/>
  <c r="BE517" i="4" s="1"/>
  <c r="BE815" i="4" a="1"/>
  <c r="BE815" i="4" s="1"/>
  <c r="BE1720" i="4" a="1"/>
  <c r="BE1720" i="4" s="1"/>
  <c r="BE1724" i="4" a="1"/>
  <c r="BE1724" i="4" s="1"/>
  <c r="BE208" i="4" a="1"/>
  <c r="BE208" i="4" s="1"/>
  <c r="BE146" i="4" a="1"/>
  <c r="BE146" i="4" s="1"/>
  <c r="BE1698" i="4" a="1"/>
  <c r="BE1698" i="4" s="1"/>
  <c r="BE1709" i="4" a="1"/>
  <c r="BE1709" i="4" s="1"/>
  <c r="BE1991" i="4" a="1"/>
  <c r="BE1991" i="4" s="1"/>
  <c r="BE1696" i="4" a="1"/>
  <c r="BE1696" i="4" s="1"/>
  <c r="BE652" i="4" a="1"/>
  <c r="BE652" i="4" s="1"/>
  <c r="BE1795" i="4" a="1"/>
  <c r="BE1795" i="4" s="1"/>
  <c r="BE31" i="4" a="1"/>
  <c r="BE31" i="4" s="1"/>
  <c r="BE700" i="4" a="1"/>
  <c r="BE700" i="4" s="1"/>
  <c r="BE67" i="4" a="1"/>
  <c r="BE67" i="4" s="1"/>
  <c r="BE825" i="4" a="1"/>
  <c r="BE825" i="4" s="1"/>
  <c r="BE1705" i="4" a="1"/>
  <c r="BE1705" i="4" s="1"/>
  <c r="BE1839" i="4" a="1"/>
  <c r="BE1839" i="4" s="1"/>
  <c r="BE1868" i="4" a="1"/>
  <c r="BE1868" i="4" s="1"/>
  <c r="BE443" i="4" a="1"/>
  <c r="BE443" i="4" s="1"/>
  <c r="BE934" i="4" a="1"/>
  <c r="BE934" i="4" s="1"/>
  <c r="BE199" i="4" a="1"/>
  <c r="BE199" i="4" s="1"/>
  <c r="BE1902" i="4" a="1"/>
  <c r="BE1902" i="4" s="1"/>
  <c r="BE649" i="4" a="1"/>
  <c r="BE649" i="4" s="1"/>
  <c r="BE25" i="4" a="1"/>
  <c r="BE25" i="4" s="1"/>
  <c r="BE61" i="4" a="1"/>
  <c r="BE61" i="4" s="1"/>
  <c r="BE188" i="4" a="1"/>
  <c r="BE188" i="4" s="1"/>
  <c r="BE321" i="4" a="1"/>
  <c r="BE321" i="4" s="1"/>
  <c r="BE279" i="4" a="1"/>
  <c r="BE279" i="4" s="1"/>
  <c r="BE1626" i="4" a="1"/>
  <c r="BE1626" i="4" s="1"/>
  <c r="BE1750" i="4" a="1"/>
  <c r="BE1750" i="4" s="1"/>
  <c r="BE137" i="4" a="1"/>
  <c r="BE137" i="4" s="1"/>
  <c r="BE1775" i="4" a="1"/>
  <c r="BE1775" i="4" s="1"/>
  <c r="BE1989" i="4" a="1"/>
  <c r="BE1989" i="4" s="1"/>
  <c r="BE1702" i="4" a="1"/>
  <c r="BE1702" i="4" s="1"/>
  <c r="BE218" i="4" a="1"/>
  <c r="BE218" i="4" s="1"/>
  <c r="BE296" i="4" a="1"/>
  <c r="BE296" i="4" s="1"/>
  <c r="BE1835" i="4" a="1"/>
  <c r="BE1835" i="4" s="1"/>
  <c r="BE575" i="4" a="1"/>
  <c r="BE575" i="4" s="1"/>
  <c r="BE1013" i="4" a="1"/>
  <c r="BE1013" i="4" s="1"/>
  <c r="BE248" i="4" a="1"/>
  <c r="BE248" i="4" s="1"/>
  <c r="BE555" i="4" a="1"/>
  <c r="BE555" i="4" s="1"/>
  <c r="BE1748" i="4" a="1"/>
  <c r="BE1748" i="4" s="1"/>
  <c r="BE559" i="4" a="1"/>
  <c r="BE559" i="4" s="1"/>
  <c r="BE209" i="4" a="1"/>
  <c r="BE209" i="4" s="1"/>
  <c r="BE312" i="4" a="1"/>
  <c r="BE312" i="4" s="1"/>
  <c r="BE1667" i="4" a="1"/>
  <c r="BE1667" i="4" s="1"/>
  <c r="BE1814" i="4" a="1"/>
  <c r="BE1814" i="4" s="1"/>
  <c r="BE1681" i="4" a="1"/>
  <c r="BE1681" i="4" s="1"/>
  <c r="BE194" i="4" a="1"/>
  <c r="BE194" i="4" s="1"/>
  <c r="BE1162" i="4" a="1"/>
  <c r="BE1162" i="4" s="1"/>
  <c r="BE1625" i="4" a="1"/>
  <c r="BE1625" i="4" s="1"/>
  <c r="BE970" i="4" a="1"/>
  <c r="BE970" i="4" s="1"/>
  <c r="BE1937" i="4" a="1"/>
  <c r="BE1937" i="4" s="1"/>
  <c r="BE235" i="4" a="1"/>
  <c r="BE235" i="4" s="1"/>
  <c r="BE1784" i="4" a="1"/>
  <c r="BE1784" i="4" s="1"/>
  <c r="BE1842" i="4" a="1"/>
  <c r="BE1842" i="4" s="1"/>
  <c r="BE829" i="4" a="1"/>
  <c r="BE829" i="4" s="1"/>
  <c r="BE1680" i="4" a="1"/>
  <c r="BE1680" i="4" s="1"/>
  <c r="BE101" i="4" a="1"/>
  <c r="BE101" i="4" s="1"/>
  <c r="BE55" i="4" a="1"/>
  <c r="BE55" i="4" s="1"/>
  <c r="BE1707" i="4" a="1"/>
  <c r="BE1707" i="4" s="1"/>
  <c r="BE282" i="4" a="1"/>
  <c r="BE282" i="4" s="1"/>
  <c r="BE120" i="4" a="1"/>
  <c r="BE120" i="4" s="1"/>
  <c r="BE1005" i="4" a="1"/>
  <c r="BE1005" i="4" s="1"/>
  <c r="BE1734" i="4" a="1"/>
  <c r="BE1734" i="4" s="1"/>
  <c r="BE244" i="4" a="1"/>
  <c r="BE244" i="4" s="1"/>
  <c r="BE1869" i="4" a="1"/>
  <c r="BE1869" i="4" s="1"/>
  <c r="BE999" i="4" a="1"/>
  <c r="BE999" i="4" s="1"/>
  <c r="BE1870" i="4" a="1"/>
  <c r="BE1870" i="4" s="1"/>
  <c r="BE921" i="4" a="1"/>
  <c r="BE921" i="4" s="1"/>
  <c r="BE703" i="4" a="1"/>
  <c r="BE703" i="4" s="1"/>
  <c r="BE976" i="4" a="1"/>
  <c r="BE976" i="4" s="1"/>
  <c r="BE604" i="4" a="1"/>
  <c r="BE604" i="4" s="1"/>
  <c r="BE178" i="4" a="1"/>
  <c r="BE178" i="4" s="1"/>
  <c r="BE1658" i="4" a="1"/>
  <c r="BE1658" i="4" s="1"/>
  <c r="BE256" i="4" a="1"/>
  <c r="BE256" i="4" s="1"/>
  <c r="BE800" i="4" a="1"/>
  <c r="BE800" i="4" s="1"/>
  <c r="BE156" i="4" a="1"/>
  <c r="BE156" i="4" s="1"/>
  <c r="BE1923" i="4" a="1"/>
  <c r="BE1923" i="4" s="1"/>
  <c r="BE317" i="4" a="1"/>
  <c r="BE317" i="4" s="1"/>
  <c r="BE1623" i="4" a="1"/>
  <c r="BE1623" i="4" s="1"/>
  <c r="BE227" i="4" a="1"/>
  <c r="BE227" i="4" s="1"/>
  <c r="BE1804" i="4" a="1"/>
  <c r="BE1804" i="4" s="1"/>
  <c r="BE442" i="4" a="1"/>
  <c r="BE442" i="4" s="1"/>
  <c r="BE406" i="4" a="1"/>
  <c r="BE406" i="4" s="1"/>
  <c r="BE1744" i="4" a="1"/>
  <c r="BE1744" i="4" s="1"/>
  <c r="BE1812" i="4" a="1"/>
  <c r="BE1812" i="4" s="1"/>
  <c r="BE1897" i="4" a="1"/>
  <c r="BE1897" i="4" s="1"/>
  <c r="BE185" i="4" a="1"/>
  <c r="BE185" i="4" s="1"/>
  <c r="BE1942" i="4" a="1"/>
  <c r="BE1942" i="4" s="1"/>
  <c r="BE651" i="4" a="1"/>
  <c r="BE651" i="4" s="1"/>
  <c r="BE377" i="4" a="1"/>
  <c r="BE377" i="4" s="1"/>
  <c r="BE1930" i="4" a="1"/>
  <c r="BE1930" i="4" s="1"/>
  <c r="BE1866" i="4" a="1"/>
  <c r="BE1866" i="4" s="1"/>
  <c r="BE1636" i="4" a="1"/>
  <c r="BE1636" i="4" s="1"/>
  <c r="BE1967" i="4" a="1"/>
  <c r="BE1967" i="4" s="1"/>
  <c r="BE255" i="4" a="1"/>
  <c r="BE255" i="4" s="1"/>
  <c r="BE1958" i="4" a="1"/>
  <c r="BE1958" i="4" s="1"/>
  <c r="BE62" i="4" a="1"/>
  <c r="BE62" i="4" s="1"/>
  <c r="BE470" i="4" a="1"/>
  <c r="BE470" i="4" s="1"/>
  <c r="BE1647" i="4" a="1"/>
  <c r="BE1647" i="4" s="1"/>
  <c r="BE583" i="4" a="1"/>
  <c r="BE583" i="4" s="1"/>
  <c r="BE157" i="4" a="1"/>
  <c r="BE157" i="4" s="1"/>
  <c r="BE216" i="4" a="1"/>
  <c r="BE216" i="4" s="1"/>
  <c r="BE193" i="4" a="1"/>
  <c r="BE193" i="4" s="1"/>
  <c r="BE1977" i="4" a="1"/>
  <c r="BE1977" i="4" s="1"/>
  <c r="BE881" i="4" a="1"/>
  <c r="BE881" i="4" s="1"/>
  <c r="BE656" i="4" a="1"/>
  <c r="BE656" i="4" s="1"/>
  <c r="BE1654" i="4" a="1"/>
  <c r="BE1654" i="4" s="1"/>
  <c r="BE72" i="4" a="1"/>
  <c r="BE72" i="4" s="1"/>
  <c r="BE620" i="4" a="1"/>
  <c r="BE620" i="4" s="1"/>
  <c r="BE485" i="4" a="1"/>
  <c r="BE485" i="4" s="1"/>
  <c r="BE348" i="4" a="1"/>
  <c r="BE348" i="4" s="1"/>
  <c r="BE550" i="4" a="1"/>
  <c r="BE550" i="4" s="1"/>
  <c r="BE1810" i="4" a="1"/>
  <c r="BE1810" i="4" s="1"/>
  <c r="BE1708" i="4" a="1"/>
  <c r="BE1708" i="4" s="1"/>
  <c r="BE1854" i="4" a="1"/>
  <c r="BE1854" i="4" s="1"/>
  <c r="BE1921" i="4" a="1"/>
  <c r="BE1921" i="4" s="1"/>
  <c r="BE488" i="4" a="1"/>
  <c r="BE488" i="4" s="1"/>
  <c r="BE1908" i="4" a="1"/>
  <c r="BE1908" i="4" s="1"/>
  <c r="BE1690" i="4" a="1"/>
  <c r="BE1690" i="4" s="1"/>
  <c r="BE1794" i="4" a="1"/>
  <c r="BE1794" i="4" s="1"/>
  <c r="BE310" i="4" a="1"/>
  <c r="BE310" i="4" s="1"/>
  <c r="BE1820" i="4" a="1"/>
  <c r="BE1820" i="4" s="1"/>
  <c r="BE48" i="4" a="1"/>
  <c r="BE48" i="4" s="1"/>
  <c r="BE1727" i="4" a="1"/>
  <c r="BE1727" i="4" s="1"/>
  <c r="BE1635" i="4" a="1"/>
  <c r="BE1635" i="4" s="1"/>
  <c r="BE880" i="4" a="1"/>
  <c r="BE880" i="4" s="1"/>
  <c r="BE1711" i="4" a="1"/>
  <c r="BE1711" i="4" s="1"/>
  <c r="BE1872" i="4" a="1"/>
  <c r="BE1872" i="4" s="1"/>
  <c r="BE745" i="4" a="1"/>
  <c r="BE745" i="4" s="1"/>
  <c r="BE1735" i="4" a="1"/>
  <c r="BE1735" i="4" s="1"/>
  <c r="BE1738" i="4" a="1"/>
  <c r="BE1738" i="4" s="1"/>
  <c r="BE1624" i="4" a="1"/>
  <c r="BE1624" i="4" s="1"/>
  <c r="BE1891" i="4" a="1"/>
  <c r="BE1891" i="4" s="1"/>
  <c r="BE1788" i="4" a="1"/>
  <c r="BE1788" i="4" s="1"/>
  <c r="BE222" i="4" a="1"/>
  <c r="BE222" i="4" s="1"/>
  <c r="BE1056" i="4" a="1"/>
  <c r="BE1056" i="4" s="1"/>
  <c r="BE665" i="4" a="1"/>
  <c r="BE665" i="4" s="1"/>
  <c r="BE1699" i="4" a="1"/>
  <c r="BE1699" i="4" s="1"/>
  <c r="BE472" i="4" a="1"/>
  <c r="BE472" i="4" s="1"/>
  <c r="BE281" i="4" a="1"/>
  <c r="BE281" i="4" s="1"/>
  <c r="BE102" i="4" a="1"/>
  <c r="BE102" i="4" s="1"/>
  <c r="BE1996" i="4" a="1"/>
  <c r="BE1996" i="4" s="1"/>
  <c r="BE1118" i="4" a="1"/>
  <c r="BE1118" i="4" s="1"/>
  <c r="BE1111" i="4" a="1"/>
  <c r="BE1111" i="4" s="1"/>
  <c r="BE77" i="4" a="1"/>
  <c r="BE77" i="4" s="1"/>
  <c r="BE1655" i="4" a="1"/>
  <c r="BE1655" i="4" s="1"/>
  <c r="BE862" i="4" a="1"/>
  <c r="BE862" i="4" s="1"/>
  <c r="BE1715" i="4" a="1"/>
  <c r="BE1715" i="4" s="1"/>
  <c r="BE344" i="4" a="1"/>
  <c r="BE344" i="4" s="1"/>
  <c r="BE1987" i="4" a="1"/>
  <c r="BE1987" i="4" s="1"/>
  <c r="BE323" i="4" a="1"/>
  <c r="BE323" i="4" s="1"/>
  <c r="BE207" i="4" a="1"/>
  <c r="BE207" i="4" s="1"/>
  <c r="BE664" i="4" a="1"/>
  <c r="BE664" i="4" s="1"/>
  <c r="BE1848" i="4" a="1"/>
  <c r="BE1848" i="4" s="1"/>
  <c r="BE640" i="4" a="1"/>
  <c r="BE640" i="4" s="1"/>
  <c r="BE313" i="4" a="1"/>
  <c r="BE313" i="4" s="1"/>
  <c r="BE98" i="4" a="1"/>
  <c r="BE98" i="4" s="1"/>
  <c r="BE173" i="4" a="1"/>
  <c r="BE173" i="4" s="1"/>
  <c r="BE420" i="4" a="1"/>
  <c r="BE420" i="4" s="1"/>
  <c r="BE789" i="4" a="1"/>
  <c r="BE789" i="4" s="1"/>
  <c r="BE1865" i="4" a="1"/>
  <c r="BE1865" i="4" s="1"/>
  <c r="BE1718" i="4" a="1"/>
  <c r="BE1718" i="4" s="1"/>
  <c r="BE1774" i="4" a="1"/>
  <c r="BE1774" i="4" s="1"/>
  <c r="BE19" i="4" a="1"/>
  <c r="BE19" i="4" s="1"/>
  <c r="BE866" i="4" a="1"/>
  <c r="BE866" i="4" s="1"/>
  <c r="BE311" i="4" a="1"/>
  <c r="BE311" i="4" s="1"/>
  <c r="BE592" i="4" a="1"/>
  <c r="BE592" i="4" s="1"/>
  <c r="BE624" i="4" a="1"/>
  <c r="BE624" i="4" s="1"/>
  <c r="BE1019" i="4" a="1"/>
  <c r="BE1019" i="4" s="1"/>
  <c r="BE350" i="4" a="1"/>
  <c r="BE350" i="4" s="1"/>
  <c r="BE626" i="4" a="1"/>
  <c r="BE626" i="4" s="1"/>
  <c r="BE1643" i="4" a="1"/>
  <c r="BE1643" i="4" s="1"/>
  <c r="BE920" i="4" a="1"/>
  <c r="BE920" i="4" s="1"/>
  <c r="BE191" i="4" a="1"/>
  <c r="BE191" i="4" s="1"/>
  <c r="BE243" i="4" a="1"/>
  <c r="BE243" i="4" s="1"/>
  <c r="BE1701" i="4" a="1"/>
  <c r="BE1701" i="4" s="1"/>
  <c r="BE1766" i="4" a="1"/>
  <c r="BE1766" i="4" s="1"/>
  <c r="BE492" i="4" a="1"/>
  <c r="BE492" i="4" s="1"/>
  <c r="BE449" i="4" a="1"/>
  <c r="BE449" i="4" s="1"/>
  <c r="BE954" i="4" a="1"/>
  <c r="BE954" i="4" s="1"/>
  <c r="BE1030" i="4" a="1"/>
  <c r="BE1030" i="4" s="1"/>
  <c r="BE1962" i="4" a="1"/>
  <c r="BE1962" i="4" s="1"/>
  <c r="BE1151" i="4" a="1"/>
  <c r="BE1151" i="4" s="1"/>
  <c r="BE701" i="4" a="1"/>
  <c r="BE701" i="4" s="1"/>
  <c r="BE353" i="4" a="1"/>
  <c r="BE353" i="4" s="1"/>
  <c r="BE677" i="4" a="1"/>
  <c r="BE677" i="4" s="1"/>
  <c r="BE850" i="4" a="1"/>
  <c r="BE850" i="4" s="1"/>
  <c r="BE1809" i="4" a="1"/>
  <c r="BE1809" i="4" s="1"/>
  <c r="BE518" i="4" a="1"/>
  <c r="BE518" i="4" s="1"/>
  <c r="BE2002" i="4" a="1"/>
  <c r="BE2002" i="4" s="1"/>
  <c r="BE1642" i="4" a="1"/>
  <c r="BE1642" i="4" s="1"/>
  <c r="BE549" i="4" a="1"/>
  <c r="BE549" i="4" s="1"/>
  <c r="BE1948" i="4" a="1"/>
  <c r="BE1948" i="4" s="1"/>
  <c r="BE152" i="4" a="1"/>
  <c r="BE152" i="4" s="1"/>
  <c r="BE1190" i="4" a="1"/>
  <c r="BE1190" i="4" s="1"/>
  <c r="BE854" i="4" a="1"/>
  <c r="BE854" i="4" s="1"/>
  <c r="BE892" i="4" a="1"/>
  <c r="BE892" i="4" s="1"/>
  <c r="BE871" i="4" a="1"/>
  <c r="BE871" i="4" s="1"/>
  <c r="BE1029" i="4" a="1"/>
  <c r="BE1029" i="4" s="1"/>
  <c r="BE978" i="4" a="1"/>
  <c r="BE978" i="4" s="1"/>
  <c r="BE1674" i="4" a="1"/>
  <c r="BE1674" i="4" s="1"/>
  <c r="BE803" i="4" a="1"/>
  <c r="BE803" i="4" s="1"/>
  <c r="BE1064" i="4" a="1"/>
  <c r="BE1064" i="4" s="1"/>
  <c r="BE1202" i="4" a="1"/>
  <c r="BE1202" i="4" s="1"/>
  <c r="BE159" i="4" a="1"/>
  <c r="BE159" i="4" s="1"/>
  <c r="BE826" i="4" a="1"/>
  <c r="BE826" i="4" s="1"/>
  <c r="BE476" i="4" a="1"/>
  <c r="BE476" i="4" s="1"/>
  <c r="BE400" i="4" a="1"/>
  <c r="BE400" i="4" s="1"/>
  <c r="BE646" i="4" a="1"/>
  <c r="BE646" i="4" s="1"/>
  <c r="BE93" i="4" a="1"/>
  <c r="BE93" i="4" s="1"/>
  <c r="BE612" i="4" a="1"/>
  <c r="BE612" i="4" s="1"/>
  <c r="BE990" i="4" a="1"/>
  <c r="BE990" i="4" s="1"/>
  <c r="BE771" i="4" a="1"/>
  <c r="BE771" i="4" s="1"/>
  <c r="BE434" i="4" a="1"/>
  <c r="BE434" i="4" s="1"/>
  <c r="BE139" i="4" a="1"/>
  <c r="BE139" i="4" s="1"/>
  <c r="BE339" i="4" a="1"/>
  <c r="BE339" i="4" s="1"/>
  <c r="BE509" i="4" a="1"/>
  <c r="BE509" i="4" s="1"/>
  <c r="BE558" i="4" a="1"/>
  <c r="BE558" i="4" s="1"/>
  <c r="BE1850" i="4" a="1"/>
  <c r="BE1850" i="4" s="1"/>
  <c r="BE1101" i="4" a="1"/>
  <c r="BE1101" i="4" s="1"/>
  <c r="BE410" i="4" a="1"/>
  <c r="BE410" i="4" s="1"/>
  <c r="BE912" i="4" a="1"/>
  <c r="BE912" i="4" s="1"/>
  <c r="BE113" i="4" a="1"/>
  <c r="BE113" i="4" s="1"/>
  <c r="BE1659" i="4" a="1"/>
  <c r="BE1659" i="4" s="1"/>
  <c r="BE179" i="4" a="1"/>
  <c r="BE179" i="4" s="1"/>
  <c r="BE980" i="4" a="1"/>
  <c r="BE980" i="4" s="1"/>
  <c r="BE1939" i="4" a="1"/>
  <c r="BE1939" i="4" s="1"/>
  <c r="BE1952" i="4" a="1"/>
  <c r="BE1952" i="4" s="1"/>
  <c r="BE462" i="4" a="1"/>
  <c r="BE462" i="4" s="1"/>
  <c r="BE655" i="4" a="1"/>
  <c r="BE655" i="4" s="1"/>
  <c r="BE756" i="4" a="1"/>
  <c r="BE756" i="4" s="1"/>
  <c r="BE1892" i="4" a="1"/>
  <c r="BE1892" i="4" s="1"/>
  <c r="BE204" i="4" a="1"/>
  <c r="BE204" i="4" s="1"/>
  <c r="BE217" i="4" a="1"/>
  <c r="BE217" i="4" s="1"/>
  <c r="BE753" i="4" a="1"/>
  <c r="BE753" i="4" s="1"/>
  <c r="BE1785" i="4" a="1"/>
  <c r="BE1785" i="4" s="1"/>
  <c r="BE364" i="4" a="1"/>
  <c r="BE364" i="4" s="1"/>
  <c r="BE60" i="4" a="1"/>
  <c r="BE60" i="4" s="1"/>
  <c r="BE1668" i="4" a="1"/>
  <c r="BE1668" i="4" s="1"/>
  <c r="BE1028" i="4" a="1"/>
  <c r="BE1028" i="4" s="1"/>
  <c r="BE831" i="4" a="1"/>
  <c r="BE831" i="4" s="1"/>
  <c r="BE941" i="4" a="1"/>
  <c r="BE941" i="4" s="1"/>
  <c r="BE1132" i="4" a="1"/>
  <c r="BE1132" i="4" s="1"/>
  <c r="BE226" i="4" a="1"/>
  <c r="BE226" i="4" s="1"/>
  <c r="BE836" i="4" a="1"/>
  <c r="BE836" i="4" s="1"/>
  <c r="BE567" i="4" a="1"/>
  <c r="BE567" i="4" s="1"/>
  <c r="BE85" i="4" a="1"/>
  <c r="BE85" i="4" s="1"/>
  <c r="BE1761" i="4" a="1"/>
  <c r="BE1761" i="4" s="1"/>
  <c r="BE162" i="4" a="1"/>
  <c r="BE162" i="4" s="1"/>
  <c r="BE1943" i="4" a="1"/>
  <c r="BE1943" i="4" s="1"/>
  <c r="BE68" i="4" a="1"/>
  <c r="BE68" i="4" s="1"/>
  <c r="BE1683" i="4" a="1"/>
  <c r="BE1683" i="4" s="1"/>
  <c r="BE366" i="4" a="1"/>
  <c r="BE366" i="4" s="1"/>
  <c r="BE876" i="4" a="1"/>
  <c r="BE876" i="4" s="1"/>
  <c r="BE1672" i="4" a="1"/>
  <c r="BE1672" i="4" s="1"/>
  <c r="BE708" i="4" a="1"/>
  <c r="BE708" i="4" s="1"/>
  <c r="BE432" i="4" a="1"/>
  <c r="BE432" i="4" s="1"/>
  <c r="BE900" i="4" a="1"/>
  <c r="BE900" i="4" s="1"/>
  <c r="BE90" i="4" a="1"/>
  <c r="BE90" i="4" s="1"/>
  <c r="BE794" i="4" a="1"/>
  <c r="BE794" i="4" s="1"/>
  <c r="BE263" i="4" a="1"/>
  <c r="BE263" i="4" s="1"/>
  <c r="BE557" i="4" a="1"/>
  <c r="BE557" i="4" s="1"/>
  <c r="BE64" i="4" a="1"/>
  <c r="BE64" i="4" s="1"/>
  <c r="BE787" i="4" a="1"/>
  <c r="BE787" i="4" s="1"/>
  <c r="BE198" i="4" a="1"/>
  <c r="BE198" i="4" s="1"/>
  <c r="BE1946" i="4" a="1"/>
  <c r="BE1946" i="4" s="1"/>
  <c r="BE1801" i="4" a="1"/>
  <c r="BE1801" i="4" s="1"/>
  <c r="BE1941" i="4" a="1"/>
  <c r="BE1941" i="4" s="1"/>
  <c r="BE1637" i="4" a="1"/>
  <c r="BE1637" i="4" s="1"/>
  <c r="BE985" i="4" a="1"/>
  <c r="BE985" i="4" s="1"/>
  <c r="BE1135" i="4" a="1"/>
  <c r="BE1135" i="4" s="1"/>
  <c r="BE762" i="4" a="1"/>
  <c r="BE762" i="4" s="1"/>
  <c r="BE1045" i="4" a="1"/>
  <c r="BE1045" i="4" s="1"/>
  <c r="BE436" i="4" a="1"/>
  <c r="BE436" i="4" s="1"/>
  <c r="BE1133" i="4" a="1"/>
  <c r="BE1133" i="4" s="1"/>
  <c r="BE1663" i="4" a="1"/>
  <c r="BE1663" i="4" s="1"/>
  <c r="BE1651" i="4" a="1"/>
  <c r="BE1651" i="4" s="1"/>
  <c r="BE80" i="4" a="1"/>
  <c r="BE80" i="4" s="1"/>
  <c r="BE823" i="4" a="1"/>
  <c r="BE823" i="4" s="1"/>
  <c r="BE2008" i="4" a="1"/>
  <c r="BE2008" i="4" s="1"/>
  <c r="BE106" i="4" a="1"/>
  <c r="BE106" i="4" s="1"/>
  <c r="BE1912" i="4" a="1"/>
  <c r="BE1912" i="4" s="1"/>
  <c r="BE1781" i="4" a="1"/>
  <c r="BE1781" i="4" s="1"/>
  <c r="BE254" i="4" a="1"/>
  <c r="BE254" i="4" s="1"/>
  <c r="BE1666" i="4" a="1"/>
  <c r="BE1666" i="4" s="1"/>
  <c r="BE1742" i="4" a="1"/>
  <c r="BE1742" i="4" s="1"/>
  <c r="BE1993" i="4" a="1"/>
  <c r="BE1993" i="4" s="1"/>
  <c r="BE437" i="4" a="1"/>
  <c r="BE437" i="4" s="1"/>
  <c r="BE265" i="4" a="1"/>
  <c r="BE265" i="4" s="1"/>
  <c r="BE293" i="4" a="1"/>
  <c r="BE293" i="4" s="1"/>
  <c r="BE723" i="4" a="1"/>
  <c r="BE723" i="4" s="1"/>
  <c r="BE1863" i="4" a="1"/>
  <c r="BE1863" i="4" s="1"/>
  <c r="BE1650" i="4" a="1"/>
  <c r="BE1650" i="4" s="1"/>
  <c r="BE1767" i="4" a="1"/>
  <c r="BE1767" i="4" s="1"/>
  <c r="BE840" i="4" a="1"/>
  <c r="BE840" i="4" s="1"/>
  <c r="BE1697" i="4" a="1"/>
  <c r="BE1697" i="4" s="1"/>
  <c r="BE1759" i="4" a="1"/>
  <c r="BE1759" i="4" s="1"/>
  <c r="BE1194" i="4" a="1"/>
  <c r="BE1194" i="4" s="1"/>
  <c r="BE464" i="4" a="1"/>
  <c r="BE464" i="4" s="1"/>
  <c r="BE987" i="4" a="1"/>
  <c r="BE987" i="4" s="1"/>
  <c r="BE1148" i="4" a="1"/>
  <c r="BE1148" i="4" s="1"/>
  <c r="BE635" i="4" a="1"/>
  <c r="BE635" i="4" s="1"/>
  <c r="BE1843" i="4" a="1"/>
  <c r="BE1843" i="4" s="1"/>
  <c r="BE257" i="4" a="1"/>
  <c r="BE257" i="4" s="1"/>
  <c r="BE884" i="4" a="1"/>
  <c r="BE884" i="4" s="1"/>
  <c r="BE785" i="4" a="1"/>
  <c r="BE785" i="4" s="1"/>
  <c r="BE586" i="4" a="1"/>
  <c r="BE586" i="4" s="1"/>
  <c r="BE1997" i="4" a="1"/>
  <c r="BE1997" i="4" s="1"/>
  <c r="BE362" i="4" a="1"/>
  <c r="BE362" i="4" s="1"/>
  <c r="BE1846" i="4" a="1"/>
  <c r="BE1846" i="4" s="1"/>
  <c r="BE147" i="4" a="1"/>
  <c r="BE147" i="4" s="1"/>
  <c r="BE448" i="4" a="1"/>
  <c r="BE448" i="4" s="1"/>
  <c r="BE702" i="4" a="1"/>
  <c r="BE702" i="4" s="1"/>
  <c r="BE1822" i="4" a="1"/>
  <c r="BE1822" i="4" s="1"/>
  <c r="BE1649" i="4" a="1"/>
  <c r="BE1649" i="4" s="1"/>
  <c r="BE205" i="4" a="1"/>
  <c r="BE205" i="4" s="1"/>
  <c r="BE571" i="4" a="1"/>
  <c r="BE571" i="4" s="1"/>
  <c r="BE1641" i="4" a="1"/>
  <c r="BE1641" i="4" s="1"/>
  <c r="BE502" i="4" a="1"/>
  <c r="BE502" i="4" s="1"/>
  <c r="BE1770" i="4" a="1"/>
  <c r="BE1770" i="4" s="1"/>
  <c r="BE1192" i="4" a="1"/>
  <c r="BE1192" i="4" s="1"/>
  <c r="BE668" i="4" a="1"/>
  <c r="BE668" i="4" s="1"/>
  <c r="BE413" i="4" a="1"/>
  <c r="BE413" i="4" s="1"/>
  <c r="BE838" i="4" a="1"/>
  <c r="BE838" i="4" s="1"/>
  <c r="BE1684" i="4" a="1"/>
  <c r="BE1684" i="4" s="1"/>
  <c r="BE598" i="4" a="1"/>
  <c r="BE598" i="4" s="1"/>
  <c r="BE739" i="4" a="1"/>
  <c r="BE739" i="4" s="1"/>
  <c r="BE33" i="4" a="1"/>
  <c r="BE33" i="4" s="1"/>
  <c r="BE1177" i="4" a="1"/>
  <c r="BE1177" i="4" s="1"/>
  <c r="BE1692" i="4" a="1"/>
  <c r="BE1692" i="4" s="1"/>
  <c r="BE272" i="4" a="1"/>
  <c r="BE272" i="4" s="1"/>
  <c r="BE1956" i="4" a="1"/>
  <c r="BE1956" i="4" s="1"/>
  <c r="BE1836" i="4" a="1"/>
  <c r="BE1836" i="4" s="1"/>
  <c r="BE422" i="4" a="1"/>
  <c r="BE422" i="4" s="1"/>
  <c r="BE316" i="4" a="1"/>
  <c r="BE316" i="4" s="1"/>
  <c r="BE109" i="4" a="1"/>
  <c r="BE109" i="4" s="1"/>
  <c r="BE634" i="4" a="1"/>
  <c r="BE634" i="4" s="1"/>
  <c r="BE1123" i="4" a="1"/>
  <c r="BE1123" i="4" s="1"/>
  <c r="BE877" i="4" a="1"/>
  <c r="BE877" i="4" s="1"/>
  <c r="BE1779" i="4" a="1"/>
  <c r="BE1779" i="4" s="1"/>
  <c r="BE1034" i="4" a="1"/>
  <c r="BE1034" i="4" s="1"/>
  <c r="BE606" i="4" a="1"/>
  <c r="BE606" i="4" s="1"/>
  <c r="BE1063" i="4" a="1"/>
  <c r="BE1063" i="4" s="1"/>
  <c r="BE331" i="4" a="1"/>
  <c r="BE331" i="4" s="1"/>
  <c r="BE232" i="4" a="1"/>
  <c r="BE232" i="4" s="1"/>
  <c r="BE196" i="4" a="1"/>
  <c r="BE196" i="4" s="1"/>
  <c r="BE628" i="4" a="1"/>
  <c r="BE628" i="4" s="1"/>
  <c r="BE403" i="4" a="1"/>
  <c r="BE403" i="4" s="1"/>
  <c r="BE489" i="4" a="1"/>
  <c r="BE489" i="4" s="1"/>
  <c r="BE879" i="4" a="1"/>
  <c r="BE879" i="4" s="1"/>
  <c r="BE100" i="4" a="1"/>
  <c r="BE100" i="4" s="1"/>
  <c r="BE1732" i="4" a="1"/>
  <c r="BE1732" i="4" s="1"/>
  <c r="BE495" i="4" a="1"/>
  <c r="BE495" i="4" s="1"/>
  <c r="BE1208" i="4" a="1"/>
  <c r="BE1208" i="4" s="1"/>
  <c r="BE117" i="4" a="1"/>
  <c r="BE117" i="4" s="1"/>
  <c r="BE1627" i="4" a="1"/>
  <c r="BE1627" i="4" s="1"/>
  <c r="BE1159" i="4" a="1"/>
  <c r="BE1159" i="4" s="1"/>
  <c r="BE491" i="4" a="1"/>
  <c r="BE491" i="4" s="1"/>
  <c r="BE752" i="4" a="1"/>
  <c r="BE752" i="4" s="1"/>
  <c r="BE1990" i="4" a="1"/>
  <c r="BE1990" i="4" s="1"/>
  <c r="BE419" i="4" a="1"/>
  <c r="BE419" i="4" s="1"/>
  <c r="BE186" i="4" a="1"/>
  <c r="BE186" i="4" s="1"/>
  <c r="BE253" i="4" a="1"/>
  <c r="BE253" i="4" s="1"/>
  <c r="BE268" i="4" a="1"/>
  <c r="BE268" i="4" s="1"/>
  <c r="BE1940" i="4" a="1"/>
  <c r="BE1940" i="4" s="1"/>
  <c r="BE669" i="4" a="1"/>
  <c r="BE669" i="4" s="1"/>
  <c r="BE1042" i="4" a="1"/>
  <c r="BE1042" i="4" s="1"/>
  <c r="BE1852" i="4" a="1"/>
  <c r="BE1852" i="4" s="1"/>
  <c r="BE295" i="4" a="1"/>
  <c r="BE295" i="4" s="1"/>
  <c r="BE1922" i="4" a="1"/>
  <c r="BE1922" i="4" s="1"/>
  <c r="BE609" i="4" a="1"/>
  <c r="BE609" i="4" s="1"/>
  <c r="BE734" i="4" a="1"/>
  <c r="BE734" i="4" s="1"/>
  <c r="BE13" i="4" a="1"/>
  <c r="BE13" i="4" s="1"/>
  <c r="BE769" i="4" a="1"/>
  <c r="BE769" i="4" s="1"/>
  <c r="BE528" i="4" a="1"/>
  <c r="BE528" i="4" s="1"/>
  <c r="BE314" i="4" a="1"/>
  <c r="BE314" i="4" s="1"/>
  <c r="BE292" i="4" a="1"/>
  <c r="BE292" i="4" s="1"/>
  <c r="BE1710" i="4" a="1"/>
  <c r="BE1710" i="4" s="1"/>
  <c r="BE617" i="4" a="1"/>
  <c r="BE617" i="4" s="1"/>
  <c r="BE461" i="4" a="1"/>
  <c r="BE461" i="4" s="1"/>
  <c r="BE630" i="4" a="1"/>
  <c r="BE630" i="4" s="1"/>
  <c r="BE672" i="4" a="1"/>
  <c r="BE672" i="4" s="1"/>
  <c r="BE111" i="4" a="1"/>
  <c r="BE111" i="4" s="1"/>
  <c r="BE579" i="4" a="1"/>
  <c r="BE579" i="4" s="1"/>
  <c r="BE308" i="4" a="1"/>
  <c r="BE308" i="4" s="1"/>
  <c r="BE497" i="4" a="1"/>
  <c r="BE497" i="4" s="1"/>
  <c r="BE1630" i="4" a="1"/>
  <c r="BE1630" i="4" s="1"/>
  <c r="BE1661" i="4" a="1"/>
  <c r="BE1661" i="4" s="1"/>
  <c r="BE275" i="4" a="1"/>
  <c r="BE275" i="4" s="1"/>
  <c r="BE236" i="4" a="1"/>
  <c r="BE236" i="4" s="1"/>
  <c r="BE1935" i="4" a="1"/>
  <c r="BE1935" i="4" s="1"/>
  <c r="BE1025" i="4" a="1"/>
  <c r="BE1025" i="4" s="1"/>
  <c r="BE426" i="4" a="1"/>
  <c r="BE426" i="4" s="1"/>
  <c r="BE219" i="4" a="1"/>
  <c r="BE219" i="4" s="1"/>
  <c r="BE300" i="4" a="1"/>
  <c r="BE300" i="4" s="1"/>
  <c r="BE1670" i="4" a="1"/>
  <c r="BE1670" i="4" s="1"/>
  <c r="BE761" i="4" a="1"/>
  <c r="BE761" i="4" s="1"/>
  <c r="BE508" i="4" a="1"/>
  <c r="BE508" i="4" s="1"/>
  <c r="BE91" i="4" a="1"/>
  <c r="BE91" i="4" s="1"/>
  <c r="BE1834" i="4" a="1"/>
  <c r="BE1834" i="4" s="1"/>
  <c r="BE960" i="4" a="1"/>
  <c r="BE960" i="4" s="1"/>
  <c r="BE842" i="4" a="1"/>
  <c r="BE842" i="4" s="1"/>
  <c r="BE1653" i="4" a="1"/>
  <c r="BE1653" i="4" s="1"/>
  <c r="BE736" i="4" a="1"/>
  <c r="BE736" i="4" s="1"/>
  <c r="BE2007" i="4" a="1"/>
  <c r="BE2007" i="4" s="1"/>
  <c r="BE1169" i="4" a="1"/>
  <c r="BE1169" i="4" s="1"/>
  <c r="BE1995" i="4" a="1"/>
  <c r="BE1995" i="4" s="1"/>
  <c r="BE663" i="4" a="1"/>
  <c r="BE663" i="4" s="1"/>
  <c r="BE855" i="4" a="1"/>
  <c r="BE855" i="4" s="1"/>
  <c r="BE128" i="4" a="1"/>
  <c r="BE128" i="4" s="1"/>
  <c r="BE172" i="4" a="1"/>
  <c r="BE172" i="4" s="1"/>
  <c r="BE430" i="4" a="1"/>
  <c r="BE430" i="4" s="1"/>
  <c r="BE32" i="4" a="1"/>
  <c r="BE32" i="4" s="1"/>
  <c r="BE1758" i="4" a="1"/>
  <c r="BE1758" i="4" s="1"/>
  <c r="BE1163" i="4" a="1"/>
  <c r="BE1163" i="4" s="1"/>
  <c r="BE59" i="4" a="1"/>
  <c r="BE59" i="4" s="1"/>
  <c r="BE42" i="4" a="1"/>
  <c r="BE42" i="4" s="1"/>
  <c r="BE245" i="4" a="1"/>
  <c r="BE245" i="4" s="1"/>
  <c r="BE493" i="4" a="1"/>
  <c r="BE493" i="4" s="1"/>
  <c r="BE386" i="4" a="1"/>
  <c r="BE386" i="4" s="1"/>
  <c r="BE704" i="4" a="1"/>
  <c r="BE704" i="4" s="1"/>
  <c r="BE1769" i="4" a="1"/>
  <c r="BE1769" i="4" s="1"/>
  <c r="BE409" i="4" a="1"/>
  <c r="BE409" i="4" s="1"/>
  <c r="BE297" i="4" a="1"/>
  <c r="BE297" i="4" s="1"/>
  <c r="BE744" i="4" a="1"/>
  <c r="BE744" i="4" s="1"/>
  <c r="BE1883" i="4" a="1"/>
  <c r="BE1883" i="4" s="1"/>
  <c r="BE1737" i="4" a="1"/>
  <c r="BE1737" i="4" s="1"/>
  <c r="BE144" i="4" a="1"/>
  <c r="BE144" i="4" s="1"/>
  <c r="BE706" i="4" a="1"/>
  <c r="BE706" i="4" s="1"/>
  <c r="BE211" i="4" a="1"/>
  <c r="BE211" i="4" s="1"/>
  <c r="BE1036" i="4" a="1"/>
  <c r="BE1036" i="4" s="1"/>
  <c r="BE389" i="4" a="1"/>
  <c r="BE389" i="4" s="1"/>
  <c r="BE2003" i="4" a="1"/>
  <c r="BE2003" i="4" s="1"/>
  <c r="BE857" i="4" a="1"/>
  <c r="BE857" i="4" s="1"/>
  <c r="BE1864" i="4" a="1"/>
  <c r="BE1864" i="4" s="1"/>
  <c r="BE671" i="4" a="1"/>
  <c r="BE671" i="4" s="1"/>
  <c r="BE438" i="4" a="1"/>
  <c r="BE438" i="4" s="1"/>
  <c r="BE720" i="4" a="1"/>
  <c r="BE720" i="4" s="1"/>
  <c r="BE988" i="4" a="1"/>
  <c r="BE988" i="4" s="1"/>
  <c r="BE894" i="4" a="1"/>
  <c r="BE894" i="4" s="1"/>
  <c r="BE1046" i="4" a="1"/>
  <c r="BE1046" i="4" s="1"/>
  <c r="BE12" i="4" a="1"/>
  <c r="BE12" i="4" s="1"/>
  <c r="BE742" i="4" a="1"/>
  <c r="BE742" i="4" s="1"/>
  <c r="BE395" i="4" a="1"/>
  <c r="BE395" i="4" s="1"/>
  <c r="BE1043" i="4" a="1"/>
  <c r="BE1043" i="4" s="1"/>
  <c r="BE195" i="4" a="1"/>
  <c r="BE195" i="4" s="1"/>
  <c r="BE808" i="4" a="1"/>
  <c r="BE808" i="4" s="1"/>
  <c r="BE963" i="4" a="1"/>
  <c r="BE963" i="4" s="1"/>
  <c r="BE1917" i="4" a="1"/>
  <c r="BE1917" i="4" s="1"/>
  <c r="BE908" i="4" a="1"/>
  <c r="BE908" i="4" s="1"/>
  <c r="BE1201" i="4" a="1"/>
  <c r="BE1201" i="4" s="1"/>
  <c r="BE141" i="4" a="1"/>
  <c r="BE141" i="4" s="1"/>
  <c r="BE135" i="4" a="1"/>
  <c r="BE135" i="4" s="1"/>
  <c r="BE993" i="4" a="1"/>
  <c r="BE993" i="4" s="1"/>
  <c r="BE1067" i="4" a="1"/>
  <c r="BE1067" i="4" s="1"/>
  <c r="BE707" i="4" a="1"/>
  <c r="BE707" i="4" s="1"/>
  <c r="BE1849" i="4" a="1"/>
  <c r="BE1849" i="4" s="1"/>
  <c r="BE544" i="4" a="1"/>
  <c r="BE544" i="4" s="1"/>
  <c r="BE180" i="4" a="1"/>
  <c r="BE180" i="4" s="1"/>
  <c r="BE843" i="4" a="1"/>
  <c r="BE843" i="4" s="1"/>
  <c r="BE1886" i="4" a="1"/>
  <c r="BE1886" i="4" s="1"/>
  <c r="BE375" i="4" a="1"/>
  <c r="BE375" i="4" s="1"/>
  <c r="BE1950" i="4" a="1"/>
  <c r="BE1950" i="4" s="1"/>
  <c r="BE465" i="4" a="1"/>
  <c r="BE465" i="4" s="1"/>
  <c r="BE1914" i="4" a="1"/>
  <c r="BE1914" i="4" s="1"/>
  <c r="BE9" i="4" a="1"/>
  <c r="BE9" i="4" s="1"/>
  <c r="BE1970" i="4" a="1"/>
  <c r="BE1970" i="4" s="1"/>
  <c r="BE418" i="4" a="1"/>
  <c r="BE418" i="4" s="1"/>
  <c r="BE2006" i="4" a="1"/>
  <c r="BE2006" i="4" s="1"/>
  <c r="BE1808" i="4" a="1"/>
  <c r="BE1808" i="4" s="1"/>
  <c r="BE7" i="4" a="1"/>
  <c r="BE7" i="4" s="1"/>
  <c r="BE75" i="4" a="1"/>
  <c r="BE75" i="4" s="1"/>
  <c r="BE399" i="4" a="1"/>
  <c r="BE399" i="4" s="1"/>
  <c r="BE824" i="4" a="1"/>
  <c r="BE824" i="4" s="1"/>
  <c r="BE882" i="4" a="1"/>
  <c r="BE882" i="4" s="1"/>
  <c r="BE1881" i="4" a="1"/>
  <c r="BE1881" i="4" s="1"/>
  <c r="BE594" i="4" a="1"/>
  <c r="BE594" i="4" s="1"/>
  <c r="BE354" i="4" a="1"/>
  <c r="BE354" i="4" s="1"/>
  <c r="BE1793" i="4" a="1"/>
  <c r="BE1793" i="4" s="1"/>
  <c r="BE933" i="4" a="1"/>
  <c r="BE933" i="4" s="1"/>
  <c r="BE1730" i="4" a="1"/>
  <c r="BE1730" i="4" s="1"/>
  <c r="BE526" i="4" a="1"/>
  <c r="BE526" i="4" s="1"/>
  <c r="BE561" i="4" a="1"/>
  <c r="BE561" i="4" s="1"/>
  <c r="BE450" i="4" a="1"/>
  <c r="BE450" i="4" s="1"/>
  <c r="BE740" i="4" a="1"/>
  <c r="BE740" i="4" s="1"/>
  <c r="BE1747" i="4" a="1"/>
  <c r="BE1747" i="4" s="1"/>
  <c r="BE531" i="4" a="1"/>
  <c r="BE531" i="4" s="1"/>
  <c r="BE1818" i="4" a="1"/>
  <c r="BE1818" i="4" s="1"/>
  <c r="BE359" i="4" a="1"/>
  <c r="BE359" i="4" s="1"/>
  <c r="BE582" i="4" a="1"/>
  <c r="BE582" i="4" s="1"/>
  <c r="BE58" i="4" a="1"/>
  <c r="BE58" i="4" s="1"/>
  <c r="BE1205" i="4" a="1"/>
  <c r="BE1205" i="4" s="1"/>
  <c r="BE266" i="4" a="1"/>
  <c r="BE266" i="4" s="1"/>
  <c r="BE533" i="4" a="1"/>
  <c r="BE533" i="4" s="1"/>
  <c r="BE926" i="4" a="1"/>
  <c r="BE926" i="4" s="1"/>
  <c r="BE981" i="4" a="1"/>
  <c r="BE981" i="4" s="1"/>
  <c r="BE597" i="4" a="1"/>
  <c r="BE597" i="4" s="1"/>
  <c r="BE864" i="4" a="1"/>
  <c r="BE864" i="4" s="1"/>
  <c r="BE498" i="4" a="1"/>
  <c r="BE498" i="4" s="1"/>
  <c r="BE629" i="4" a="1"/>
  <c r="BE629" i="4" s="1"/>
  <c r="BE458" i="4" a="1"/>
  <c r="BE458" i="4" s="1"/>
  <c r="BE336" i="4" a="1"/>
  <c r="BE336" i="4" s="1"/>
  <c r="BE1894" i="4" a="1"/>
  <c r="BE1894" i="4" s="1"/>
  <c r="BE969" i="4" a="1"/>
  <c r="BE969" i="4" s="1"/>
  <c r="BE499" i="4" a="1"/>
  <c r="BE499" i="4" s="1"/>
  <c r="BE1139" i="4" a="1"/>
  <c r="BE1139" i="4" s="1"/>
  <c r="BE374" i="4" a="1"/>
  <c r="BE374" i="4" s="1"/>
  <c r="BE475" i="4" a="1"/>
  <c r="BE475" i="4" s="1"/>
  <c r="BE572" i="4" a="1"/>
  <c r="BE572" i="4" s="1"/>
  <c r="BE1156" i="4" a="1"/>
  <c r="BE1156" i="4" s="1"/>
  <c r="BE915" i="4" a="1"/>
  <c r="BE915" i="4" s="1"/>
  <c r="BE396" i="4" a="1"/>
  <c r="BE396" i="4" s="1"/>
  <c r="BE411" i="4" a="1"/>
  <c r="BE411" i="4" s="1"/>
  <c r="BE573" i="4" a="1"/>
  <c r="BE573" i="4" s="1"/>
  <c r="BE503" i="4" a="1"/>
  <c r="BE503" i="4" s="1"/>
  <c r="BE1947" i="4" a="1"/>
  <c r="BE1947" i="4" s="1"/>
  <c r="BE1685" i="4" a="1"/>
  <c r="BE1685" i="4" s="1"/>
  <c r="BE973" i="4" a="1"/>
  <c r="BE973" i="4" s="1"/>
  <c r="BE1888" i="4" a="1"/>
  <c r="BE1888" i="4" s="1"/>
  <c r="BE1147" i="4" a="1"/>
  <c r="BE1147" i="4" s="1"/>
  <c r="BE8" i="4" a="1"/>
  <c r="BE8" i="4" s="1"/>
  <c r="BE799" i="4" a="1"/>
  <c r="BE799" i="4" s="1"/>
  <c r="BE1186" i="4" a="1"/>
  <c r="BE1186" i="4" s="1"/>
  <c r="BE716" i="4" a="1"/>
  <c r="BE716" i="4" s="1"/>
  <c r="BE309" i="4" a="1"/>
  <c r="BE309" i="4" s="1"/>
  <c r="BE424" i="4" a="1"/>
  <c r="BE424" i="4" s="1"/>
  <c r="BE18" i="4" a="1"/>
  <c r="BE18" i="4" s="1"/>
  <c r="BE553" i="4" a="1"/>
  <c r="BE553" i="4" s="1"/>
  <c r="BE1160" i="4" a="1"/>
  <c r="BE1160" i="4" s="1"/>
  <c r="BE574" i="4" a="1"/>
  <c r="BE574" i="4" s="1"/>
  <c r="BE1986" i="4" a="1"/>
  <c r="BE1986" i="4" s="1"/>
  <c r="BE1027" i="4" a="1"/>
  <c r="BE1027" i="4" s="1"/>
  <c r="BE342" i="4" a="1"/>
  <c r="BE342" i="4" s="1"/>
  <c r="BE474" i="4" a="1"/>
  <c r="BE474" i="4" s="1"/>
  <c r="BE835" i="4" a="1"/>
  <c r="BE835" i="4" s="1"/>
  <c r="BE1172" i="4" a="1"/>
  <c r="BE1172" i="4" s="1"/>
  <c r="BE717" i="4" a="1"/>
  <c r="BE717" i="4" s="1"/>
  <c r="BE545" i="4" a="1"/>
  <c r="BE545" i="4" s="1"/>
  <c r="BE581" i="4" a="1"/>
  <c r="BE581" i="4" s="1"/>
  <c r="BE948" i="4" a="1"/>
  <c r="BE948" i="4" s="1"/>
  <c r="BE355" i="4" a="1"/>
  <c r="BE355" i="4" s="1"/>
  <c r="BE1052" i="4" a="1"/>
  <c r="BE1052" i="4" s="1"/>
  <c r="BE510" i="4" a="1"/>
  <c r="BE510" i="4" s="1"/>
  <c r="BE1867" i="4" a="1"/>
  <c r="BE1867" i="4" s="1"/>
  <c r="BE1648" i="4" a="1"/>
  <c r="BE1648" i="4" s="1"/>
  <c r="BE638" i="4" a="1"/>
  <c r="BE638" i="4" s="1"/>
  <c r="BE182" i="4" a="1"/>
  <c r="BE182" i="4" s="1"/>
  <c r="BE1049" i="4" a="1"/>
  <c r="BE1049" i="4" s="1"/>
  <c r="BE57" i="4" a="1"/>
  <c r="BE57" i="4" s="1"/>
  <c r="BE1136" i="4" a="1"/>
  <c r="BE1136" i="4" s="1"/>
  <c r="BE1646" i="4" a="1"/>
  <c r="BE1646" i="4" s="1"/>
  <c r="BE501" i="4" a="1"/>
  <c r="BE501" i="4" s="1"/>
  <c r="BE1880" i="4" a="1"/>
  <c r="BE1880" i="4" s="1"/>
  <c r="BE1811" i="4" a="1"/>
  <c r="BE1811" i="4" s="1"/>
  <c r="BE1035" i="4" a="1"/>
  <c r="BE1035" i="4" s="1"/>
  <c r="BE294" i="4" a="1"/>
  <c r="BE294" i="4" s="1"/>
  <c r="BE568" i="4" a="1"/>
  <c r="BE568" i="4" s="1"/>
  <c r="BE242" i="4" a="1"/>
  <c r="BE242" i="4" s="1"/>
  <c r="BE1100" i="4" a="1"/>
  <c r="BE1100" i="4" s="1"/>
  <c r="BE1751" i="4" a="1"/>
  <c r="BE1751" i="4" s="1"/>
  <c r="BE429" i="4" a="1"/>
  <c r="BE429" i="4" s="1"/>
  <c r="BE946" i="4" a="1"/>
  <c r="BE946" i="4" s="1"/>
  <c r="BE183" i="4" a="1"/>
  <c r="BE183" i="4" s="1"/>
  <c r="BE519" i="4" a="1"/>
  <c r="BE519" i="4" s="1"/>
  <c r="BE1821" i="4" a="1"/>
  <c r="BE1821" i="4" s="1"/>
  <c r="BE589" i="4" a="1"/>
  <c r="BE589" i="4" s="1"/>
  <c r="BE125" i="4" a="1"/>
  <c r="BE125" i="4" s="1"/>
  <c r="BE1170" i="4" a="1"/>
  <c r="BE1170" i="4" s="1"/>
  <c r="BE327" i="4" a="1"/>
  <c r="BE327" i="4" s="1"/>
  <c r="BE1142" i="4" a="1"/>
  <c r="BE1142" i="4" s="1"/>
  <c r="BE749" i="4" a="1"/>
  <c r="BE749" i="4" s="1"/>
  <c r="BE1714" i="4" a="1"/>
  <c r="BE1714" i="4" s="1"/>
  <c r="BE648" i="4" a="1"/>
  <c r="BE648" i="4" s="1"/>
  <c r="BE1158" i="4" a="1"/>
  <c r="BE1158" i="4" s="1"/>
  <c r="BE264" i="4" a="1"/>
  <c r="BE264" i="4" s="1"/>
  <c r="BE1068" i="4" a="1"/>
  <c r="BE1068" i="4" s="1"/>
  <c r="BE39" i="4" a="1"/>
  <c r="BE39" i="4" s="1"/>
  <c r="BE479" i="4" a="1"/>
  <c r="BE479" i="4" s="1"/>
  <c r="BE788" i="4" a="1"/>
  <c r="BE788" i="4" s="1"/>
  <c r="BE899" i="4" a="1"/>
  <c r="BE899" i="4" s="1"/>
  <c r="BE909" i="4" a="1"/>
  <c r="BE909" i="4" s="1"/>
  <c r="BE1695" i="4" a="1"/>
  <c r="BE1695" i="4" s="1"/>
  <c r="BE809" i="4" a="1"/>
  <c r="BE809" i="4" s="1"/>
  <c r="BE931" i="4" a="1"/>
  <c r="BE931" i="4" s="1"/>
  <c r="BE421" i="4" a="1"/>
  <c r="BE421" i="4" s="1"/>
  <c r="BE97" i="4" a="1"/>
  <c r="BE97" i="4" s="1"/>
  <c r="BE844" i="4" a="1"/>
  <c r="BE844" i="4" s="1"/>
  <c r="BE846" i="4" a="1"/>
  <c r="BE846" i="4" s="1"/>
  <c r="BE29" i="4" a="1"/>
  <c r="BE29" i="4" s="1"/>
  <c r="BE514" i="4" a="1"/>
  <c r="BE514" i="4" s="1"/>
  <c r="BE446" i="4" a="1"/>
  <c r="BE446" i="4" s="1"/>
  <c r="BE863" i="4" a="1"/>
  <c r="BE863" i="4" s="1"/>
  <c r="BE569" i="4" a="1"/>
  <c r="BE569" i="4" s="1"/>
  <c r="BE679" i="4" a="1"/>
  <c r="BE679" i="4" s="1"/>
  <c r="BE1114" i="4" a="1"/>
  <c r="BE1114" i="4" s="1"/>
  <c r="BE444" i="4" a="1"/>
  <c r="BE444" i="4" s="1"/>
  <c r="BE852" i="4" a="1"/>
  <c r="BE852" i="4" s="1"/>
  <c r="BE249" i="4" a="1"/>
  <c r="BE249" i="4" s="1"/>
  <c r="BE53" i="4" a="1"/>
  <c r="BE53" i="4" s="1"/>
  <c r="BE1777" i="4" a="1"/>
  <c r="BE1777" i="4" s="1"/>
  <c r="BE343" i="4" a="1"/>
  <c r="BE343" i="4" s="1"/>
  <c r="BE605" i="4" a="1"/>
  <c r="BE605" i="4" s="1"/>
  <c r="BE1124" i="4" a="1"/>
  <c r="BE1124" i="4" s="1"/>
  <c r="BE1119" i="4" a="1"/>
  <c r="BE1119" i="4" s="1"/>
  <c r="BE84" i="4" a="1"/>
  <c r="BE84" i="4" s="1"/>
  <c r="BE730" i="4" a="1"/>
  <c r="BE730" i="4" s="1"/>
  <c r="BE955" i="4" a="1"/>
  <c r="BE955" i="4" s="1"/>
  <c r="BE878" i="4" a="1"/>
  <c r="BE878" i="4" s="1"/>
  <c r="BE1015" i="4" a="1"/>
  <c r="BE1015" i="4" s="1"/>
  <c r="BE127" i="4" a="1"/>
  <c r="BE127" i="4" s="1"/>
  <c r="BE1703" i="4" a="1"/>
  <c r="BE1703" i="4" s="1"/>
  <c r="BE1873" i="4" a="1"/>
  <c r="BE1873" i="4" s="1"/>
  <c r="BE513" i="4" a="1"/>
  <c r="BE513" i="4" s="1"/>
  <c r="BE1768" i="4" a="1"/>
  <c r="BE1768" i="4" s="1"/>
  <c r="BE1191" i="4" a="1"/>
  <c r="BE1191" i="4" s="1"/>
  <c r="BE792" i="4" a="1"/>
  <c r="BE792" i="4" s="1"/>
  <c r="BE1712" i="4" a="1"/>
  <c r="BE1712" i="4" s="1"/>
  <c r="BE1765" i="4" a="1"/>
  <c r="BE1765" i="4" s="1"/>
  <c r="BE565" i="4" a="1"/>
  <c r="BE565" i="4" s="1"/>
  <c r="BE1039" i="4" a="1"/>
  <c r="BE1039" i="4" s="1"/>
  <c r="BE727" i="4" a="1"/>
  <c r="BE727" i="4" s="1"/>
  <c r="BE974" i="4" a="1"/>
  <c r="BE974" i="4" s="1"/>
  <c r="BE104" i="4" a="1"/>
  <c r="BE104" i="4" s="1"/>
  <c r="BE942" i="4" a="1"/>
  <c r="BE942" i="4" s="1"/>
  <c r="BE610" i="4" a="1"/>
  <c r="BE610" i="4" s="1"/>
  <c r="BE998" i="4" a="1"/>
  <c r="BE998" i="4" s="1"/>
  <c r="BE781" i="4" a="1"/>
  <c r="BE781" i="4" s="1"/>
  <c r="BE500" i="4" a="1"/>
  <c r="BE500" i="4" s="1"/>
  <c r="BE376" i="4" a="1"/>
  <c r="BE376" i="4" s="1"/>
  <c r="BE1155" i="4" a="1"/>
  <c r="BE1155" i="4" s="1"/>
  <c r="BE949" i="4" a="1"/>
  <c r="BE949" i="4" s="1"/>
  <c r="BE678" i="4" a="1"/>
  <c r="BE678" i="4" s="1"/>
  <c r="BE928" i="4" a="1"/>
  <c r="BE928" i="4" s="1"/>
  <c r="BE1207" i="4" a="1"/>
  <c r="BE1207" i="4" s="1"/>
  <c r="BE847" i="4" a="1"/>
  <c r="BE847" i="4" s="1"/>
  <c r="BE913" i="4" a="1"/>
  <c r="BE913" i="4" s="1"/>
  <c r="BE1141" i="4" a="1"/>
  <c r="BE1141" i="4" s="1"/>
  <c r="BE328" i="4" a="1"/>
  <c r="BE328" i="4" s="1"/>
  <c r="BE566" i="4" a="1"/>
  <c r="BE566" i="4" s="1"/>
  <c r="BE1058" i="4" a="1"/>
  <c r="BE1058" i="4" s="1"/>
  <c r="BE1206" i="4" a="1"/>
  <c r="BE1206" i="4" s="1"/>
  <c r="BE564" i="4" a="1"/>
  <c r="BE564" i="4" s="1"/>
  <c r="BE995" i="4" a="1"/>
  <c r="BE995" i="4" s="1"/>
  <c r="BE385" i="4" a="1"/>
  <c r="BE385" i="4" s="1"/>
  <c r="BE830" i="4" a="1"/>
  <c r="BE830" i="4" s="1"/>
  <c r="BE482" i="4" a="1"/>
  <c r="BE482" i="4" s="1"/>
  <c r="BE584" i="4" a="1"/>
  <c r="BE584" i="4" s="1"/>
  <c r="BE1773" i="4" a="1"/>
  <c r="BE1773" i="4" s="1"/>
  <c r="BE1893" i="4" a="1"/>
  <c r="BE1893" i="4" s="1"/>
  <c r="BE224" i="4" a="1"/>
  <c r="BE224" i="4" s="1"/>
  <c r="BE304" i="4" a="1"/>
  <c r="BE304" i="4" s="1"/>
  <c r="BE675" i="4" a="1"/>
  <c r="BE675" i="4" s="1"/>
  <c r="BE260" i="4" a="1"/>
  <c r="BE260" i="4" s="1"/>
  <c r="BE1764" i="4" a="1"/>
  <c r="BE1764" i="4" s="1"/>
  <c r="BE121" i="4" a="1"/>
  <c r="BE121" i="4" s="1"/>
  <c r="BE812" i="4" a="1"/>
  <c r="BE812" i="4" s="1"/>
  <c r="BE1901" i="4" a="1"/>
  <c r="BE1901" i="4" s="1"/>
  <c r="BE916" i="4" a="1"/>
  <c r="BE916" i="4" s="1"/>
  <c r="BE1799" i="4" a="1"/>
  <c r="BE1799" i="4" s="1"/>
  <c r="BE929" i="4" a="1"/>
  <c r="BE929" i="4" s="1"/>
  <c r="BE642" i="4" a="1"/>
  <c r="BE642" i="4" s="1"/>
  <c r="BE319" i="4" a="1"/>
  <c r="BE319" i="4" s="1"/>
  <c r="BE670" i="4" a="1"/>
  <c r="BE670" i="4" s="1"/>
  <c r="BE1174" i="4" a="1"/>
  <c r="BE1174" i="4" s="1"/>
  <c r="BE425" i="4" a="1"/>
  <c r="BE425" i="4" s="1"/>
  <c r="BE853" i="4" a="1"/>
  <c r="BE853" i="4" s="1"/>
  <c r="BE79" i="4" a="1"/>
  <c r="BE79" i="4" s="1"/>
  <c r="BE947" i="4" a="1"/>
  <c r="BE947" i="4" s="1"/>
  <c r="BE622" i="4" a="1"/>
  <c r="BE622" i="4" s="1"/>
  <c r="BE631" i="4" a="1"/>
  <c r="BE631" i="4" s="1"/>
  <c r="BE94" i="4" a="1"/>
  <c r="BE94" i="4" s="1"/>
  <c r="BE229" i="4" a="1"/>
  <c r="BE229" i="4" s="1"/>
  <c r="BE1037" i="4" a="1"/>
  <c r="BE1037" i="4" s="1"/>
  <c r="BE1838" i="4" a="1"/>
  <c r="BE1838" i="4" s="1"/>
  <c r="BE1924" i="4" a="1"/>
  <c r="BE1924" i="4" s="1"/>
  <c r="BE1860" i="4" a="1"/>
  <c r="BE1860" i="4" s="1"/>
  <c r="BE129" i="4" a="1"/>
  <c r="BE129" i="4" s="1"/>
  <c r="BE24" i="4" a="1"/>
  <c r="BE24" i="4" s="1"/>
  <c r="BE1126" i="4" a="1"/>
  <c r="BE1126" i="4" s="1"/>
  <c r="BE1178" i="4" a="1"/>
  <c r="BE1178" i="4" s="1"/>
  <c r="BE466" i="4" a="1"/>
  <c r="BE466" i="4" s="1"/>
  <c r="BE340" i="4" a="1"/>
  <c r="BE340" i="4" s="1"/>
  <c r="BE277" i="4" a="1"/>
  <c r="BE277" i="4" s="1"/>
  <c r="BE1134" i="4" a="1"/>
  <c r="BE1134" i="4" s="1"/>
  <c r="BE280" i="4" a="1"/>
  <c r="BE280" i="4" s="1"/>
  <c r="BE607" i="4" a="1"/>
  <c r="BE607" i="4" s="1"/>
  <c r="BE725" i="4" a="1"/>
  <c r="BE725" i="4" s="1"/>
  <c r="BE346" i="4" a="1"/>
  <c r="BE346" i="4" s="1"/>
  <c r="BE780" i="4" a="1"/>
  <c r="BE780" i="4" s="1"/>
  <c r="BE653" i="4" a="1"/>
  <c r="BE653" i="4" s="1"/>
  <c r="BE302" i="4" a="1"/>
  <c r="BE302" i="4" s="1"/>
  <c r="BE659" i="4" a="1"/>
  <c r="BE659" i="4" s="1"/>
  <c r="BE1837" i="4" a="1"/>
  <c r="BE1837" i="4" s="1"/>
  <c r="BE735" i="4" a="1"/>
  <c r="BE735" i="4" s="1"/>
  <c r="BE190" i="4" a="1"/>
  <c r="BE190" i="4" s="1"/>
  <c r="BE1054" i="4" a="1"/>
  <c r="BE1054" i="4" s="1"/>
  <c r="BE1925" i="4" a="1"/>
  <c r="BE1925" i="4" s="1"/>
  <c r="BE329" i="4" a="1"/>
  <c r="BE329" i="4" s="1"/>
  <c r="BE384" i="4" a="1"/>
  <c r="BE384" i="4" s="1"/>
  <c r="BE315" i="4" a="1"/>
  <c r="BE315" i="4" s="1"/>
  <c r="BE765" i="4" a="1"/>
  <c r="BE765" i="4" s="1"/>
  <c r="BE441" i="4" a="1"/>
  <c r="BE441" i="4" s="1"/>
  <c r="BE965" i="4" a="1"/>
  <c r="BE965" i="4" s="1"/>
  <c r="BE719" i="4" a="1"/>
  <c r="BE719" i="4" s="1"/>
  <c r="BE562" i="4" a="1"/>
  <c r="BE562" i="4" s="1"/>
  <c r="BE729" i="4" a="1"/>
  <c r="BE729" i="4" s="1"/>
  <c r="BE538" i="4" a="1"/>
  <c r="BE538" i="4" s="1"/>
  <c r="BE71" i="4" a="1"/>
  <c r="BE71" i="4" s="1"/>
  <c r="BE578" i="4" a="1"/>
  <c r="BE578" i="4" s="1"/>
  <c r="BE991" i="4" a="1"/>
  <c r="BE991" i="4" s="1"/>
  <c r="BE924" i="4" a="1"/>
  <c r="BE924" i="4" s="1"/>
  <c r="BE710" i="4" a="1"/>
  <c r="BE710" i="4" s="1"/>
  <c r="BE563" i="4" a="1"/>
  <c r="BE563" i="4" s="1"/>
  <c r="BE1679" i="4" a="1"/>
  <c r="BE1679" i="4" s="1"/>
  <c r="BE644" i="4" a="1"/>
  <c r="BE644" i="4" s="1"/>
  <c r="BE1047" i="4" a="1"/>
  <c r="BE1047" i="4" s="1"/>
  <c r="BE289" i="4" a="1"/>
  <c r="BE289" i="4" s="1"/>
  <c r="BE50" i="4" a="1"/>
  <c r="BE50" i="4" s="1"/>
  <c r="BE940" i="4" a="1"/>
  <c r="BE940" i="4" s="1"/>
  <c r="BE1803" i="4" a="1"/>
  <c r="BE1803" i="4" s="1"/>
  <c r="BE1938" i="4" a="1"/>
  <c r="BE1938" i="4" s="1"/>
  <c r="BE1185" i="4" a="1"/>
  <c r="BE1185" i="4" s="1"/>
  <c r="BE52" i="4" a="1"/>
  <c r="BE52" i="4" s="1"/>
  <c r="BE888" i="4" a="1"/>
  <c r="BE888" i="4" s="1"/>
  <c r="BE747" i="4" a="1"/>
  <c r="BE747" i="4" s="1"/>
  <c r="BE1018" i="4" a="1"/>
  <c r="BE1018" i="4" s="1"/>
  <c r="BE542" i="4" a="1"/>
  <c r="BE542" i="4" s="1"/>
  <c r="BE1106" i="4" a="1"/>
  <c r="BE1106" i="4" s="1"/>
  <c r="BE1783" i="4" a="1"/>
  <c r="BE1783" i="4" s="1"/>
  <c r="BE819" i="4" a="1"/>
  <c r="BE819" i="4" s="1"/>
  <c r="BE883" i="4" a="1"/>
  <c r="BE883" i="4" s="1"/>
  <c r="BE1858" i="4" a="1"/>
  <c r="BE1858" i="4" s="1"/>
  <c r="BE73" i="4" a="1"/>
  <c r="BE73" i="4" s="1"/>
  <c r="BE822" i="4" a="1"/>
  <c r="BE822" i="4" s="1"/>
  <c r="BE541" i="4" a="1"/>
  <c r="BE541" i="4" s="1"/>
  <c r="BE349" i="4" a="1"/>
  <c r="BE349" i="4" s="1"/>
  <c r="BE299" i="4" a="1"/>
  <c r="BE299" i="4" s="1"/>
  <c r="BE169" i="4" a="1"/>
  <c r="BE169" i="4" s="1"/>
  <c r="BE657" i="4" a="1"/>
  <c r="BE657" i="4" s="1"/>
  <c r="BE307" i="4" a="1"/>
  <c r="BE307" i="4" s="1"/>
  <c r="BE81" i="4" a="1"/>
  <c r="BE81" i="4" s="1"/>
  <c r="BE440" i="4" a="1"/>
  <c r="BE440" i="4" s="1"/>
  <c r="BE480" i="4" a="1"/>
  <c r="BE480" i="4" s="1"/>
  <c r="BE721" i="4" a="1"/>
  <c r="BE721" i="4" s="1"/>
  <c r="BE220" i="4" a="1"/>
  <c r="BE220" i="4" s="1"/>
  <c r="BE951" i="4" a="1"/>
  <c r="BE951" i="4" s="1"/>
  <c r="BE891" i="4" a="1"/>
  <c r="BE891" i="4" s="1"/>
  <c r="BE1059" i="4" a="1"/>
  <c r="BE1059" i="4" s="1"/>
  <c r="BE818" i="4" a="1"/>
  <c r="BE818" i="4" s="1"/>
  <c r="BE1109" i="4" a="1"/>
  <c r="BE1109" i="4" s="1"/>
  <c r="BE372" i="4" a="1"/>
  <c r="BE372" i="4" s="1"/>
  <c r="BE1008" i="4" a="1"/>
  <c r="BE1008" i="4" s="1"/>
  <c r="BE796" i="4" a="1"/>
  <c r="BE796" i="4" s="1"/>
  <c r="BE1131" i="4" a="1"/>
  <c r="BE1131" i="4" s="1"/>
  <c r="BE151" i="4" a="1"/>
  <c r="BE151" i="4" s="1"/>
  <c r="BE250" i="4" a="1"/>
  <c r="BE250" i="4" s="1"/>
  <c r="BE1998" i="4" a="1"/>
  <c r="BE1998" i="4" s="1"/>
  <c r="BE972" i="4" a="1"/>
  <c r="BE972" i="4" s="1"/>
  <c r="BE784" i="4" a="1"/>
  <c r="BE784" i="4" s="1"/>
  <c r="BE1971" i="4" a="1"/>
  <c r="BE1971" i="4" s="1"/>
  <c r="BE168" i="4" a="1"/>
  <c r="BE168" i="4" s="1"/>
  <c r="BE23" i="4" a="1"/>
  <c r="BE23" i="4" s="1"/>
  <c r="BE1884" i="4" a="1"/>
  <c r="BE1884" i="4" s="1"/>
  <c r="BE1182" i="4" a="1"/>
  <c r="BE1182" i="4" s="1"/>
  <c r="BE726" i="4" a="1"/>
  <c r="BE726" i="4" s="1"/>
  <c r="BE776" i="4" a="1"/>
  <c r="BE776" i="4" s="1"/>
  <c r="BE576" i="4" a="1"/>
  <c r="BE576" i="4" s="1"/>
  <c r="BE591" i="4" a="1"/>
  <c r="BE591" i="4" s="1"/>
  <c r="BE1754" i="4" a="1"/>
  <c r="BE1754" i="4" s="1"/>
  <c r="BE905" i="4" a="1"/>
  <c r="BE905" i="4" s="1"/>
  <c r="BE158" i="4" a="1"/>
  <c r="BE158" i="4" s="1"/>
  <c r="BE1936" i="4" a="1"/>
  <c r="BE1936" i="4" s="1"/>
  <c r="BE259" i="4" a="1"/>
  <c r="BE259" i="4" s="1"/>
  <c r="BE177" i="4" a="1"/>
  <c r="BE177" i="4" s="1"/>
  <c r="BE1112" i="4" a="1"/>
  <c r="BE1112" i="4" s="1"/>
  <c r="BE932" i="4" a="1"/>
  <c r="BE932" i="4" s="1"/>
  <c r="BE123" i="4" a="1"/>
  <c r="BE123" i="4" s="1"/>
  <c r="BE10" i="4" a="1"/>
  <c r="BE10" i="4" s="1"/>
  <c r="BE524" i="4" a="1"/>
  <c r="BE524" i="4" s="1"/>
  <c r="BE1741" i="4" a="1"/>
  <c r="BE1741" i="4" s="1"/>
  <c r="BE1907" i="4" a="1"/>
  <c r="BE1907" i="4" s="1"/>
  <c r="BE43" i="4" a="1"/>
  <c r="BE43" i="4" s="1"/>
  <c r="BE984" i="4" a="1"/>
  <c r="BE984" i="4" s="1"/>
  <c r="BE925" i="4" a="1"/>
  <c r="BE925" i="4" s="1"/>
  <c r="BE230" i="4" a="1"/>
  <c r="BE230" i="4" s="1"/>
  <c r="BE911" i="4" a="1"/>
  <c r="BE911" i="4" s="1"/>
  <c r="BE337" i="4" a="1"/>
  <c r="BE337" i="4" s="1"/>
  <c r="BE1105" i="4" a="1"/>
  <c r="BE1105" i="4" s="1"/>
  <c r="BE919" i="4" a="1"/>
  <c r="BE919" i="4" s="1"/>
  <c r="BE1800" i="4" a="1"/>
  <c r="BE1800" i="4" s="1"/>
  <c r="BE851" i="4" a="1"/>
  <c r="BE851" i="4" s="1"/>
  <c r="BE1859" i="4" a="1"/>
  <c r="BE1859" i="4" s="1"/>
  <c r="BE1694" i="4" a="1"/>
  <c r="BE1694" i="4" s="1"/>
  <c r="BE1181" i="4" a="1"/>
  <c r="BE1181" i="4" s="1"/>
  <c r="BE1743" i="4" a="1"/>
  <c r="BE1743" i="4" s="1"/>
  <c r="BE770" i="4" a="1"/>
  <c r="BE770" i="4" s="1"/>
  <c r="BE423" i="4" a="1"/>
  <c r="BE423" i="4" s="1"/>
  <c r="BE1070" i="4" a="1"/>
  <c r="BE1070" i="4" s="1"/>
  <c r="BE1721" i="4" a="1"/>
  <c r="BE1721" i="4" s="1"/>
  <c r="BE596" i="4" a="1"/>
  <c r="BE596" i="4" s="1"/>
  <c r="BE17" i="4" a="1"/>
  <c r="BE17" i="4" s="1"/>
  <c r="BE821" i="4" a="1"/>
  <c r="BE821" i="4" s="1"/>
  <c r="BE1740" i="4" a="1"/>
  <c r="BE1740" i="4" s="1"/>
  <c r="BE1855" i="4" a="1"/>
  <c r="BE1855" i="4" s="1"/>
  <c r="BE525" i="4" a="1"/>
  <c r="BE525" i="4" s="1"/>
  <c r="BE943" i="4" a="1"/>
  <c r="BE943" i="4" s="1"/>
  <c r="BE1007" i="4" a="1"/>
  <c r="BE1007" i="4" s="1"/>
  <c r="BE539" i="4" a="1"/>
  <c r="BE539" i="4" s="1"/>
  <c r="BE76" i="4" a="1"/>
  <c r="BE76" i="4" s="1"/>
  <c r="BE754" i="4" a="1"/>
  <c r="BE754" i="4" s="1"/>
  <c r="BE967" i="4" a="1"/>
  <c r="BE967" i="4" s="1"/>
  <c r="BE791" i="4" a="1"/>
  <c r="BE791" i="4" s="1"/>
  <c r="BE1038" i="4" a="1"/>
  <c r="BE1038" i="4" s="1"/>
  <c r="BE237" i="4" a="1"/>
  <c r="BE237" i="4" s="1"/>
  <c r="BE107" i="4" a="1"/>
  <c r="BE107" i="4" s="1"/>
  <c r="BE2005" i="4" a="1"/>
  <c r="BE2005" i="4" s="1"/>
  <c r="BE1116" i="4" a="1"/>
  <c r="BE1116" i="4" s="1"/>
  <c r="BE774" i="4" a="1"/>
  <c r="BE774" i="4" s="1"/>
  <c r="BE910" i="4" a="1"/>
  <c r="BE910" i="4" s="1"/>
  <c r="BE1673" i="4" a="1"/>
  <c r="BE1673" i="4" s="1"/>
  <c r="BE1020" i="4" a="1"/>
  <c r="BE1020" i="4" s="1"/>
  <c r="BE483" i="4" a="1"/>
  <c r="BE483" i="4" s="1"/>
  <c r="BE223" i="4" a="1"/>
  <c r="BE223" i="4" s="1"/>
  <c r="BE477" i="4" a="1"/>
  <c r="BE477" i="4" s="1"/>
  <c r="BE1102" i="4" a="1"/>
  <c r="BE1102" i="4" s="1"/>
  <c r="BE1189" i="4" a="1"/>
  <c r="BE1189" i="4" s="1"/>
  <c r="BE966" i="4" a="1"/>
  <c r="BE966" i="4" s="1"/>
  <c r="BE907" i="4" a="1"/>
  <c r="BE907" i="4" s="1"/>
  <c r="BE378" i="4" a="1"/>
  <c r="BE378" i="4" s="1"/>
  <c r="BE515" i="4" a="1"/>
  <c r="BE515" i="4" s="1"/>
  <c r="BE21" i="4" a="1"/>
  <c r="BE21" i="4" s="1"/>
  <c r="BE875" i="4" a="1"/>
  <c r="BE875" i="4" s="1"/>
  <c r="BE982" i="4" a="1"/>
  <c r="BE982" i="4" s="1"/>
  <c r="BE238" i="4" a="1"/>
  <c r="BE238" i="4" s="1"/>
  <c r="BE325" i="4" a="1"/>
  <c r="BE325" i="4" s="1"/>
  <c r="BE88" i="4" a="1"/>
  <c r="BE88" i="4" s="1"/>
  <c r="BE176" i="4" a="1"/>
  <c r="BE176" i="4" s="1"/>
  <c r="BE463" i="4" a="1"/>
  <c r="BE463" i="4" s="1"/>
  <c r="BE1150" i="4" a="1"/>
  <c r="BE1150" i="4" s="1"/>
  <c r="BE1879" i="4" a="1"/>
  <c r="BE1879" i="4" s="1"/>
  <c r="BE520" i="4" a="1"/>
  <c r="BE520" i="4" s="1"/>
  <c r="BE898" i="4" a="1"/>
  <c r="BE898" i="4" s="1"/>
  <c r="BE737" i="4" a="1"/>
  <c r="BE737" i="4" s="1"/>
  <c r="BE1847" i="4" a="1"/>
  <c r="BE1847" i="4" s="1"/>
  <c r="BE1137" i="4" a="1"/>
  <c r="BE1137" i="4" s="1"/>
  <c r="BE906" i="4" a="1"/>
  <c r="BE906" i="4" s="1"/>
  <c r="BE415" i="4" a="1"/>
  <c r="BE415" i="4" s="1"/>
  <c r="BE212" i="4" a="1"/>
  <c r="BE212" i="4" s="1"/>
  <c r="BE619" i="4" a="1"/>
  <c r="BE619" i="4" s="1"/>
  <c r="BE615" i="4" a="1"/>
  <c r="BE615" i="4" s="1"/>
  <c r="BE451" i="4" a="1"/>
  <c r="BE451" i="4" s="1"/>
  <c r="BE793" i="4" a="1"/>
  <c r="BE793" i="4" s="1"/>
  <c r="BE367" i="4" a="1"/>
  <c r="BE367" i="4" s="1"/>
  <c r="BE1975" i="4" a="1"/>
  <c r="BE1975" i="4" s="1"/>
  <c r="BE110" i="4" a="1"/>
  <c r="BE110" i="4" s="1"/>
  <c r="BE184" i="4" a="1"/>
  <c r="BE184" i="4" s="1"/>
  <c r="BE460" i="4" a="1"/>
  <c r="BE460" i="4" s="1"/>
  <c r="BE455" i="4" a="1"/>
  <c r="BE455" i="4" s="1"/>
  <c r="BE534" i="4" a="1"/>
  <c r="BE534" i="4" s="1"/>
  <c r="BE757" i="4" a="1"/>
  <c r="BE757" i="4" s="1"/>
  <c r="BE130" i="4" a="1"/>
  <c r="BE130" i="4" s="1"/>
  <c r="BE468" i="4" a="1"/>
  <c r="BE468" i="4" s="1"/>
  <c r="BE959" i="4" a="1"/>
  <c r="BE959" i="4" s="1"/>
  <c r="BE945" i="4" a="1"/>
  <c r="BE945" i="4" s="1"/>
  <c r="BE1032" i="4" a="1"/>
  <c r="BE1032" i="4" s="1"/>
  <c r="BE650" i="4" a="1"/>
  <c r="BE650" i="4" s="1"/>
  <c r="BE611" i="4" a="1"/>
  <c r="BE611" i="4" s="1"/>
  <c r="BE1061" i="4" a="1"/>
  <c r="BE1061" i="4" s="1"/>
  <c r="BE246" i="4" a="1"/>
  <c r="BE246" i="4" s="1"/>
  <c r="BE189" i="4" a="1"/>
  <c r="BE189" i="4" s="1"/>
  <c r="BE1686" i="4" a="1"/>
  <c r="BE1686" i="4" s="1"/>
  <c r="BE623" i="4" a="1"/>
  <c r="BE623" i="4" s="1"/>
  <c r="BE682" i="4" a="1"/>
  <c r="BE682" i="4" s="1"/>
  <c r="BE1115" i="4" a="1"/>
  <c r="BE1115" i="4" s="1"/>
  <c r="BE1969" i="4" a="1"/>
  <c r="BE1969" i="4" s="1"/>
  <c r="BE1900" i="4" a="1"/>
  <c r="BE1900" i="4" s="1"/>
  <c r="BE267" i="4" a="1"/>
  <c r="BE267" i="4" s="1"/>
  <c r="BE1048" i="4" a="1"/>
  <c r="BE1048" i="4" s="1"/>
  <c r="BE1802" i="4" a="1"/>
  <c r="BE1802" i="4" s="1"/>
  <c r="BE134" i="4" a="1"/>
  <c r="BE134" i="4" s="1"/>
  <c r="BE1165" i="4" a="1"/>
  <c r="BE1165" i="4" s="1"/>
  <c r="BE957" i="4" a="1"/>
  <c r="BE957" i="4" s="1"/>
  <c r="BE1657" i="4" a="1"/>
  <c r="BE1657" i="4" s="1"/>
  <c r="BE797" i="4" a="1"/>
  <c r="BE797" i="4" s="1"/>
  <c r="BE814" i="4" a="1"/>
  <c r="BE814" i="4" s="1"/>
  <c r="BE662" i="4" a="1"/>
  <c r="BE662" i="4" s="1"/>
  <c r="BE1753" i="4" a="1"/>
  <c r="BE1753" i="4" s="1"/>
  <c r="BE326" i="4" a="1"/>
  <c r="BE326" i="4" s="1"/>
  <c r="BE1144" i="4" a="1"/>
  <c r="BE1144" i="4" s="1"/>
  <c r="BE994" i="4" a="1"/>
  <c r="BE994" i="4" s="1"/>
  <c r="BE856" i="4" a="1"/>
  <c r="BE856" i="4" s="1"/>
  <c r="BE358" i="4" a="1"/>
  <c r="BE358" i="4" s="1"/>
  <c r="BE1929" i="4" a="1"/>
  <c r="BE1929" i="4" s="1"/>
  <c r="BE848" i="4" a="1"/>
  <c r="BE848" i="4" s="1"/>
  <c r="BE1204" i="4" a="1"/>
  <c r="BE1204" i="4" s="1"/>
  <c r="BE1127" i="4" a="1"/>
  <c r="BE1127" i="4" s="1"/>
  <c r="BE45" i="4" a="1"/>
  <c r="BE45" i="4" s="1"/>
  <c r="BE160" i="4" a="1"/>
  <c r="BE160" i="4" s="1"/>
  <c r="BE922" i="4" a="1"/>
  <c r="BE922" i="4" s="1"/>
  <c r="BE1982" i="4" a="1"/>
  <c r="BE1982" i="4" s="1"/>
  <c r="BE338" i="4" a="1"/>
  <c r="BE338" i="4" s="1"/>
  <c r="BE1949" i="4" a="1"/>
  <c r="BE1949" i="4" s="1"/>
  <c r="BE930" i="4" a="1"/>
  <c r="BE930" i="4" s="1"/>
  <c r="BE494" i="4" a="1"/>
  <c r="BE494" i="4" s="1"/>
  <c r="BE979" i="4" a="1"/>
  <c r="BE979" i="4" s="1"/>
  <c r="BE1782" i="4" a="1"/>
  <c r="BE1782" i="4" s="1"/>
  <c r="BE1200" i="4" a="1"/>
  <c r="BE1200" i="4" s="1"/>
  <c r="BE1195" i="4" a="1"/>
  <c r="BE1195" i="4" s="1"/>
  <c r="BE1755" i="4" a="1"/>
  <c r="BE1755" i="4" s="1"/>
  <c r="BE352" i="4" a="1"/>
  <c r="BE352" i="4" s="1"/>
  <c r="BE936" i="4" a="1"/>
  <c r="BE936" i="4" s="1"/>
  <c r="BE1031" i="4" a="1"/>
  <c r="BE1031" i="4" s="1"/>
  <c r="BE65" i="4" a="1"/>
  <c r="BE65" i="4" s="1"/>
  <c r="BE807" i="4" a="1"/>
  <c r="BE807" i="4" s="1"/>
  <c r="BE783" i="4" a="1"/>
  <c r="BE783" i="4" s="1"/>
  <c r="BE1632" i="4" a="1"/>
  <c r="BE1632" i="4" s="1"/>
  <c r="BE1161" i="4" a="1"/>
  <c r="BE1161" i="4" s="1"/>
  <c r="BE643" i="4" a="1"/>
  <c r="BE643" i="4" s="1"/>
  <c r="BE369" i="4" a="1"/>
  <c r="BE369" i="4" s="1"/>
  <c r="BE1919" i="4" a="1"/>
  <c r="BE1919" i="4" s="1"/>
  <c r="BE397" i="4" a="1"/>
  <c r="BE397" i="4" s="1"/>
  <c r="BE1890" i="4" a="1"/>
  <c r="BE1890" i="4" s="1"/>
  <c r="BE593" i="4" a="1"/>
  <c r="BE593" i="4" s="1"/>
  <c r="BE834" i="4" a="1"/>
  <c r="BE834" i="4" s="1"/>
  <c r="BE817" i="4" a="1"/>
  <c r="BE817" i="4" s="1"/>
  <c r="BE370" i="4" a="1"/>
  <c r="BE370" i="4" s="1"/>
  <c r="BE201" i="4" a="1"/>
  <c r="BE201" i="4" s="1"/>
  <c r="BE1729" i="4" a="1"/>
  <c r="BE1729" i="4" s="1"/>
  <c r="BE1926" i="4" a="1"/>
  <c r="BE1926" i="4" s="1"/>
  <c r="BE1878" i="4" a="1"/>
  <c r="BE1878" i="4" s="1"/>
  <c r="BE1819" i="4" a="1"/>
  <c r="BE1819" i="4" s="1"/>
  <c r="BE301" i="4" a="1"/>
  <c r="BE301" i="4" s="1"/>
  <c r="BE1140" i="4" a="1"/>
  <c r="BE1140" i="4" s="1"/>
  <c r="BE816" i="4" a="1"/>
  <c r="BE816" i="4" s="1"/>
  <c r="BE535" i="4" a="1"/>
  <c r="BE535" i="4" s="1"/>
  <c r="BE2001" i="4" a="1"/>
  <c r="BE2001" i="4" s="1"/>
  <c r="BE944" i="4" a="1"/>
  <c r="BE944" i="4" s="1"/>
  <c r="BE718" i="4" a="1"/>
  <c r="BE718" i="4" s="1"/>
  <c r="BE1676" i="4" a="1"/>
  <c r="BE1676" i="4" s="1"/>
  <c r="BE373" i="4" a="1"/>
  <c r="BE373" i="4" s="1"/>
  <c r="BE283" i="4" a="1"/>
  <c r="BE283" i="4" s="1"/>
  <c r="BE1129" i="4" a="1"/>
  <c r="BE1129" i="4" s="1"/>
  <c r="BE1736" i="4" a="1"/>
  <c r="BE1736" i="4" s="1"/>
  <c r="BE1693" i="4" a="1"/>
  <c r="BE1693" i="4" s="1"/>
  <c r="BE1752" i="4" a="1"/>
  <c r="BE1752" i="4" s="1"/>
  <c r="BE839" i="4" a="1"/>
  <c r="BE839" i="4" s="1"/>
  <c r="BE360" i="4" a="1"/>
  <c r="BE360" i="4" s="1"/>
  <c r="BE1944" i="4" a="1"/>
  <c r="BE1944" i="4" s="1"/>
  <c r="BE709" i="4" a="1"/>
  <c r="BE709" i="4" s="1"/>
  <c r="BE167" i="4" a="1"/>
  <c r="BE167" i="4" s="1"/>
  <c r="AC3" i="4"/>
  <c r="BE133" i="4" a="1"/>
  <c r="BE133" i="4" s="1"/>
  <c r="BE1628" i="4" a="1"/>
  <c r="BE1628" i="4" s="1"/>
  <c r="BE149" i="4" a="1"/>
  <c r="BE149" i="4" s="1"/>
  <c r="BE992" i="4" a="1"/>
  <c r="BE992" i="4" s="1"/>
  <c r="BE1728" i="4" a="1"/>
  <c r="BE1728" i="4" s="1"/>
  <c r="BE1069" i="4" a="1"/>
  <c r="BE1069" i="4" s="1"/>
  <c r="BE728" i="4" a="1"/>
  <c r="BE728" i="4" s="1"/>
  <c r="BE1006" i="4" a="1"/>
  <c r="BE1006" i="4" s="1"/>
  <c r="BE1122" i="4" a="1"/>
  <c r="BE1122" i="4" s="1"/>
  <c r="BE1187" i="4" a="1"/>
  <c r="BE1187" i="4" s="1"/>
  <c r="BE69" i="4" a="1"/>
  <c r="BE69" i="4" s="1"/>
  <c r="BE365" i="4" a="1"/>
  <c r="BE365" i="4" s="1"/>
  <c r="BE1145" i="4" a="1"/>
  <c r="BE1145" i="4" s="1"/>
  <c r="BE529" i="4" a="1"/>
  <c r="BE529" i="4" s="1"/>
  <c r="BE381" i="4" a="1"/>
  <c r="BE381" i="4" s="1"/>
  <c r="BE356" i="4" a="1"/>
  <c r="BE356" i="4" s="1"/>
  <c r="BE1026" i="4" a="1"/>
  <c r="BE1026" i="4" s="1"/>
  <c r="BE47" i="4" a="1"/>
  <c r="BE47" i="4" s="1"/>
  <c r="BE1128" i="4" a="1"/>
  <c r="BE1128" i="4" s="1"/>
  <c r="BE625" i="4" a="1"/>
  <c r="BE625" i="4" s="1"/>
  <c r="BE87" i="4" a="1"/>
  <c r="BE87" i="4" s="1"/>
  <c r="BE1909" i="4" a="1"/>
  <c r="BE1909" i="4" s="1"/>
  <c r="BE684" i="4" a="1"/>
  <c r="BE684" i="4" s="1"/>
  <c r="BE407" i="4" a="1"/>
  <c r="BE407" i="4" s="1"/>
  <c r="BE521" i="4" a="1"/>
  <c r="BE521" i="4" s="1"/>
  <c r="BE782" i="4" a="1"/>
  <c r="BE782" i="4" s="1"/>
  <c r="BE523" i="4" a="1"/>
  <c r="BE523" i="4" s="1"/>
  <c r="BE320" i="4" a="1"/>
  <c r="BE320" i="4" s="1"/>
  <c r="BE1203" i="4" a="1"/>
  <c r="BE1203" i="4" s="1"/>
  <c r="BE417" i="4" a="1"/>
  <c r="BE417" i="4" s="1"/>
  <c r="BE258" i="4" a="1"/>
  <c r="BE258" i="4" s="1"/>
  <c r="BE614" i="4" a="1"/>
  <c r="BE614" i="4" s="1"/>
  <c r="BE187" i="4" a="1"/>
  <c r="BE187" i="4" s="1"/>
  <c r="BE469" i="4" a="1"/>
  <c r="BE469" i="4" s="1"/>
  <c r="BE530" i="4" a="1"/>
  <c r="BE530" i="4" s="1"/>
  <c r="BE556" i="4" a="1"/>
  <c r="BE556" i="4" s="1"/>
  <c r="BE330" i="4" a="1"/>
  <c r="BE330" i="4" s="1"/>
  <c r="BE767" i="4" a="1"/>
  <c r="BE767" i="4" s="1"/>
  <c r="BE613" i="4" a="1"/>
  <c r="BE613" i="4" s="1"/>
  <c r="BE197" i="4" a="1"/>
  <c r="BE197" i="4" s="1"/>
  <c r="BE962" i="4" a="1"/>
  <c r="BE962" i="4" s="1"/>
  <c r="BE683" i="4" a="1"/>
  <c r="BE683" i="4" s="1"/>
  <c r="BE351" i="4" a="1"/>
  <c r="BE351" i="4" s="1"/>
  <c r="BE394" i="4" a="1"/>
  <c r="BE394" i="4" s="1"/>
  <c r="BE902" i="4" a="1"/>
  <c r="BE902" i="4" s="1"/>
  <c r="BE1640" i="4" a="1"/>
  <c r="BE1640" i="4" s="1"/>
  <c r="BE1016" i="4" a="1"/>
  <c r="BE1016" i="4" s="1"/>
  <c r="BE1050" i="4" a="1"/>
  <c r="BE1050" i="4" s="1"/>
  <c r="BE548" i="4" a="1"/>
  <c r="BE548" i="4" s="1"/>
  <c r="BE885" i="4" a="1"/>
  <c r="BE885" i="4" s="1"/>
  <c r="BE1861" i="4" a="1"/>
  <c r="BE1861" i="4" s="1"/>
  <c r="BE1012" i="4" a="1"/>
  <c r="BE1012" i="4" s="1"/>
  <c r="BE986" i="4" a="1"/>
  <c r="BE986" i="4" s="1"/>
  <c r="BE1762" i="4" a="1"/>
  <c r="BE1762" i="4" s="1"/>
  <c r="BE1199" i="4" a="1"/>
  <c r="BE1199" i="4" s="1"/>
  <c r="BE893" i="4" a="1"/>
  <c r="BE893" i="4" s="1"/>
  <c r="BE363" i="4" a="1"/>
  <c r="BE363" i="4" s="1"/>
  <c r="BE1671" i="4" a="1"/>
  <c r="BE1671" i="4" s="1"/>
  <c r="BE505" i="4" a="1"/>
  <c r="BE505" i="4" s="1"/>
  <c r="BE914" i="4" a="1"/>
  <c r="BE914" i="4" s="1"/>
  <c r="BE741" i="4" a="1"/>
  <c r="BE741" i="4" s="1"/>
  <c r="BE1656" i="4" a="1"/>
  <c r="BE1656" i="4" s="1"/>
  <c r="BE401" i="4" a="1"/>
  <c r="BE401" i="4" s="1"/>
  <c r="BE811" i="4" a="1"/>
  <c r="BE811" i="4" s="1"/>
  <c r="BE1792" i="4" a="1"/>
  <c r="BE1792" i="4" s="1"/>
  <c r="BE600" i="4" a="1"/>
  <c r="BE600" i="4" s="1"/>
  <c r="BE779" i="4" a="1"/>
  <c r="BE779" i="4" s="1"/>
  <c r="BE398" i="4" a="1"/>
  <c r="BE398" i="4" s="1"/>
  <c r="BE1009" i="4" a="1"/>
  <c r="BE1009" i="4" s="1"/>
  <c r="BE416" i="4" a="1"/>
  <c r="BE416" i="4" s="1"/>
  <c r="BE938" i="4" a="1"/>
  <c r="BE938" i="4" s="1"/>
  <c r="BE971" i="4" a="1"/>
  <c r="BE971" i="4" s="1"/>
  <c r="BE608" i="4" a="1"/>
  <c r="BE608" i="4" s="1"/>
  <c r="BE1153" i="4" a="1"/>
  <c r="BE1153" i="4" s="1"/>
  <c r="BE490" i="4" a="1"/>
  <c r="BE490" i="4" s="1"/>
  <c r="BE1746" i="4" a="1"/>
  <c r="BE1746" i="4" s="1"/>
  <c r="BE1198" i="4" a="1"/>
  <c r="BE1198" i="4" s="1"/>
  <c r="BE393" i="4" a="1"/>
  <c r="BE393" i="4" s="1"/>
  <c r="BE1934" i="4" a="1"/>
  <c r="BE1934" i="4" s="1"/>
  <c r="BE522" i="4" a="1"/>
  <c r="BE522" i="4" s="1"/>
  <c r="BE1652" i="4" a="1"/>
  <c r="BE1652" i="4" s="1"/>
  <c r="BE861" i="4" a="1"/>
  <c r="BE861" i="4" s="1"/>
  <c r="BE347" i="4" a="1"/>
  <c r="BE347" i="4" s="1"/>
  <c r="BE685" i="4" a="1"/>
  <c r="BE685" i="4" s="1"/>
  <c r="BE1954" i="4" a="1"/>
  <c r="BE1954" i="4" s="1"/>
  <c r="BE1062" i="4" a="1"/>
  <c r="BE1062" i="4" s="1"/>
  <c r="BE647" i="4" a="1"/>
  <c r="BE647" i="4" s="1"/>
  <c r="BE763" i="4" a="1"/>
  <c r="BE763" i="4" s="1"/>
  <c r="BE867" i="4" a="1"/>
  <c r="BE867" i="4" s="1"/>
  <c r="BE1797" i="4" a="1"/>
  <c r="BE1797" i="4" s="1"/>
  <c r="BE131" i="4" a="1"/>
  <c r="BE131" i="4" s="1"/>
  <c r="BE26" i="4" a="1"/>
  <c r="BE26" i="4" s="1"/>
  <c r="BE859" i="4" a="1"/>
  <c r="BE859" i="4" s="1"/>
  <c r="BE560" i="4" a="1"/>
  <c r="BE560" i="4" s="1"/>
  <c r="BE155" i="4" a="1"/>
  <c r="BE155" i="4" s="1"/>
  <c r="BE751" i="4" a="1"/>
  <c r="BE751" i="4" s="1"/>
  <c r="BE1011" i="4" a="1"/>
  <c r="BE1011" i="4" s="1"/>
  <c r="BE200" i="4" a="1"/>
  <c r="BE200" i="4" s="1"/>
  <c r="BE713" i="4" a="1"/>
  <c r="BE713" i="4" s="1"/>
  <c r="BE478" i="4" a="1"/>
  <c r="BE478" i="4" s="1"/>
  <c r="BE731" i="4" a="1"/>
  <c r="BE731" i="4" s="1"/>
  <c r="BE968" i="4" a="1"/>
  <c r="BE968" i="4" s="1"/>
  <c r="BE758" i="4" a="1"/>
  <c r="BE758" i="4" s="1"/>
  <c r="BE278" i="4" a="1"/>
  <c r="BE278" i="4" s="1"/>
  <c r="BE1033" i="4" a="1"/>
  <c r="BE1033" i="4" s="1"/>
  <c r="BE1981" i="4" a="1"/>
  <c r="BE1981" i="4" s="1"/>
  <c r="BE447" i="4" a="1"/>
  <c r="BE447" i="4" s="1"/>
  <c r="BE633" i="4" a="1"/>
  <c r="BE633" i="4" s="1"/>
  <c r="BE1010" i="4" a="1"/>
  <c r="BE1010" i="4" s="1"/>
  <c r="BE454" i="4" a="1"/>
  <c r="BE454" i="4" s="1"/>
  <c r="BE1882" i="4" a="1"/>
  <c r="BE1882" i="4" s="1"/>
  <c r="BE1055" i="4" a="1"/>
  <c r="BE1055" i="4" s="1"/>
  <c r="BE273" i="4" a="1"/>
  <c r="BE273" i="4" s="1"/>
  <c r="BE927" i="4" a="1"/>
  <c r="BE927" i="4" s="1"/>
  <c r="BE1171" i="4" a="1"/>
  <c r="BE1171" i="4" s="1"/>
  <c r="BE108" i="4" a="1"/>
  <c r="BE108" i="4" s="1"/>
  <c r="BE126" i="4" a="1"/>
  <c r="BE126" i="4" s="1"/>
  <c r="BE35" i="4" a="1"/>
  <c r="BE35" i="4" s="1"/>
  <c r="BE1121" i="4" a="1"/>
  <c r="BE1121" i="4" s="1"/>
  <c r="BE874" i="4" a="1"/>
  <c r="BE874" i="4" s="1"/>
  <c r="BE715" i="4" a="1"/>
  <c r="BE715" i="4" s="1"/>
  <c r="BE46" i="4" a="1"/>
  <c r="BE46" i="4" s="1"/>
  <c r="BE166" i="4" a="1"/>
  <c r="BE166" i="4" s="1"/>
  <c r="BE570" i="4" a="1"/>
  <c r="BE570" i="4" s="1"/>
  <c r="BE849" i="4" a="1"/>
  <c r="BE849" i="4" s="1"/>
  <c r="BE798" i="4" a="1"/>
  <c r="BE798" i="4" s="1"/>
  <c r="BE1196" i="4" a="1"/>
  <c r="BE1196" i="4" s="1"/>
  <c r="BE459" i="4" a="1"/>
  <c r="BE459" i="4" s="1"/>
  <c r="BE1065" i="4" a="1"/>
  <c r="BE1065" i="4" s="1"/>
  <c r="BE766" i="4" a="1"/>
  <c r="BE766" i="4" s="1"/>
  <c r="BE391" i="4" a="1"/>
  <c r="BE391" i="4" s="1"/>
  <c r="BE627" i="4" a="1"/>
  <c r="BE627" i="4" s="1"/>
  <c r="BE923" i="4" a="1"/>
  <c r="BE923" i="4" s="1"/>
  <c r="BE832" i="4" a="1"/>
  <c r="BE832" i="4" s="1"/>
  <c r="BE114" i="4" a="1"/>
  <c r="BE114" i="4" s="1"/>
  <c r="BE983" i="4" a="1"/>
  <c r="BE983" i="4" s="1"/>
  <c r="BE116" i="4" a="1"/>
  <c r="BE116" i="4" s="1"/>
  <c r="BE621" i="4" a="1"/>
  <c r="BE621" i="4" s="1"/>
  <c r="BE382" i="4" a="1"/>
  <c r="BE382" i="4" s="1"/>
  <c r="BE1057" i="4" a="1"/>
  <c r="BE1057" i="4" s="1"/>
  <c r="BE711" i="4" a="1"/>
  <c r="BE711" i="4" s="1"/>
  <c r="BE1959" i="4" a="1"/>
  <c r="BE1959" i="4" s="1"/>
  <c r="BE1004" i="4" a="1"/>
  <c r="BE1004" i="4" s="1"/>
  <c r="BE687" i="4" a="1"/>
  <c r="BE687" i="4" s="1"/>
  <c r="BE335" i="4" a="1"/>
  <c r="BE335" i="4" s="1"/>
  <c r="BE890" i="4" a="1"/>
  <c r="BE890" i="4" s="1"/>
  <c r="BE939" i="4" a="1"/>
  <c r="BE939" i="4" s="1"/>
  <c r="BE777" i="4" a="1"/>
  <c r="BE777" i="4" s="1"/>
  <c r="BE74" i="4" a="1"/>
  <c r="BE74" i="4" s="1"/>
  <c r="BE247" i="4" a="1"/>
  <c r="BE247" i="4" s="1"/>
  <c r="BE1931" i="4" a="1"/>
  <c r="BE1931" i="4" s="1"/>
  <c r="BE95" i="4" a="1"/>
  <c r="BE95" i="4" s="1"/>
  <c r="BE732" i="4" a="1"/>
  <c r="BE732" i="4" s="1"/>
  <c r="BE841" i="4" a="1"/>
  <c r="BE841" i="4" s="1"/>
  <c r="BE1117" i="4" a="1"/>
  <c r="BE1117" i="4" s="1"/>
  <c r="BE1149" i="4" a="1"/>
  <c r="BE1149" i="4" s="1"/>
  <c r="BE1700" i="4" a="1"/>
  <c r="BE1700" i="4" s="1"/>
  <c r="BE997" i="4" a="1"/>
  <c r="BE997" i="4" s="1"/>
  <c r="BE602" i="4" a="1"/>
  <c r="BE602" i="4" s="1"/>
  <c r="BE1173" i="4" a="1"/>
  <c r="BE1173" i="4" s="1"/>
  <c r="BE1130" i="4" a="1"/>
  <c r="BE1130" i="4" s="1"/>
  <c r="BE547" i="4" a="1"/>
  <c r="BE547" i="4" s="1"/>
  <c r="BE390" i="4" a="1"/>
  <c r="BE390" i="4" s="1"/>
  <c r="BE989" i="4" a="1"/>
  <c r="BE989" i="4" s="1"/>
  <c r="BE427" i="4" a="1"/>
  <c r="BE427" i="4" s="1"/>
  <c r="BE1644" i="4" a="1"/>
  <c r="BE1644" i="4" s="1"/>
  <c r="BE1000" i="4" a="1"/>
  <c r="BE1000" i="4" s="1"/>
  <c r="BE755" i="4" a="1"/>
  <c r="BE755" i="4" s="1"/>
  <c r="BE746" i="4" a="1"/>
  <c r="BE746" i="4" s="1"/>
  <c r="BE639" i="4" a="1"/>
  <c r="BE639" i="4" s="1"/>
  <c r="BE865" i="4" a="1"/>
  <c r="BE865" i="4" s="1"/>
  <c r="BE775" i="4" a="1"/>
  <c r="BE775" i="4" s="1"/>
  <c r="BE1713" i="4" a="1"/>
  <c r="BE1713" i="4" s="1"/>
  <c r="BE778" i="4" a="1"/>
  <c r="BE778" i="4" s="1"/>
  <c r="BE802" i="4" a="1"/>
  <c r="BE802" i="4" s="1"/>
  <c r="BE142" i="4" a="1"/>
  <c r="BE142" i="4" s="1"/>
  <c r="BE546" i="4" a="1"/>
  <c r="BE546" i="4" s="1"/>
  <c r="BE132" i="4" a="1"/>
  <c r="BE132" i="4" s="1"/>
  <c r="BE1183" i="4" a="1"/>
  <c r="BE1183" i="4" s="1"/>
  <c r="BE820" i="4" a="1"/>
  <c r="BE820" i="4" s="1"/>
  <c r="BE345" i="4" a="1"/>
  <c r="BE345" i="4" s="1"/>
  <c r="BE1726" i="4" a="1"/>
  <c r="BE1726" i="4" s="1"/>
  <c r="BE1113" i="4" a="1"/>
  <c r="BE1113" i="4" s="1"/>
  <c r="BE1633" i="4" a="1"/>
  <c r="BE1633" i="4" s="1"/>
  <c r="BE1906" i="4" a="1"/>
  <c r="BE1906" i="4" s="1"/>
  <c r="BE712" i="4" a="1"/>
  <c r="BE712" i="4" s="1"/>
  <c r="BE261" i="4" a="1"/>
  <c r="BE261" i="4" s="1"/>
  <c r="BE616" i="4" a="1"/>
  <c r="BE616" i="4" s="1"/>
  <c r="BE1152" i="4" a="1"/>
  <c r="BE1152" i="4" s="1"/>
  <c r="BE341" i="4" a="1"/>
  <c r="BE341" i="4" s="1"/>
  <c r="BE1188" i="4" a="1"/>
  <c r="BE1188" i="4" s="1"/>
  <c r="BE536" i="4" a="1"/>
  <c r="BE536" i="4" s="1"/>
  <c r="BE917" i="4" a="1"/>
  <c r="BE917" i="4" s="1"/>
  <c r="BE334" i="4" a="1"/>
  <c r="BE334" i="4" s="1"/>
  <c r="BE950" i="4" a="1"/>
  <c r="BE950" i="4" s="1"/>
  <c r="BE1983" i="4" a="1"/>
  <c r="BE1983" i="4" s="1"/>
  <c r="BE554" i="4" a="1"/>
  <c r="BE554" i="4" s="1"/>
  <c r="BE1022" i="4" a="1"/>
  <c r="BE1022" i="4" s="1"/>
  <c r="BE1168" i="4" a="1"/>
  <c r="BE1168" i="4" s="1"/>
  <c r="BE1197" i="4" a="1"/>
  <c r="BE1197" i="4" s="1"/>
  <c r="BE452" i="4" a="1"/>
  <c r="BE452" i="4" s="1"/>
  <c r="BE20" i="4" a="1"/>
  <c r="BE20" i="4" s="1"/>
  <c r="BE1103" i="4" a="1"/>
  <c r="BE1103" i="4" s="1"/>
  <c r="BE206" i="4" a="1"/>
  <c r="BE206" i="4" s="1"/>
  <c r="BE1895" i="4" a="1"/>
  <c r="BE1895" i="4" s="1"/>
  <c r="BE1120" i="4" a="1"/>
  <c r="BE1120" i="4" s="1"/>
  <c r="BE1164" i="4" a="1"/>
  <c r="BE1164" i="4" s="1"/>
  <c r="BE1988" i="4" a="1"/>
  <c r="BE1988" i="4" s="1"/>
  <c r="BE467" i="4" a="1"/>
  <c r="BE467" i="4" s="1"/>
  <c r="BE1146" i="4" a="1"/>
  <c r="BE1146" i="4" s="1"/>
  <c r="BE457" i="4" a="1"/>
  <c r="BE457" i="4" s="1"/>
  <c r="BE1945" i="4" a="1"/>
  <c r="BE1945" i="4" s="1"/>
  <c r="BE661" i="4" a="1"/>
  <c r="BE661" i="4" s="1"/>
  <c r="BE897" i="4" a="1"/>
  <c r="BE897" i="4" s="1"/>
  <c r="BE673" i="4" a="1"/>
  <c r="BE673" i="4" s="1"/>
  <c r="BE904" i="4" a="1"/>
  <c r="BE904" i="4" s="1"/>
  <c r="BE858" i="4" a="1"/>
  <c r="BE858" i="4" s="1"/>
  <c r="BE1014" i="4" a="1"/>
  <c r="BE1014" i="4" s="1"/>
  <c r="BE1669" i="4" a="1"/>
  <c r="BE1669" i="4" s="1"/>
  <c r="BE636" i="4" a="1"/>
  <c r="BE636" i="4" s="1"/>
  <c r="BE388" i="4" a="1"/>
  <c r="BE388" i="4" s="1"/>
  <c r="BE511" i="4" a="1"/>
  <c r="BE511" i="4" s="1"/>
  <c r="BE1639" i="4" a="1"/>
  <c r="BE1639" i="4" s="1"/>
  <c r="BE552" i="4" a="1"/>
  <c r="BE552" i="4" s="1"/>
  <c r="BE599" i="4" a="1"/>
  <c r="BE599" i="4" s="1"/>
  <c r="BE56" i="4" a="1"/>
  <c r="BE56" i="4" s="1"/>
  <c r="BE1760" i="4" a="1"/>
  <c r="BE1760" i="4" s="1"/>
  <c r="BE889" i="4" a="1"/>
  <c r="BE889" i="4" s="1"/>
  <c r="BE837" i="4" a="1"/>
  <c r="BE837" i="4" s="1"/>
  <c r="BE760" i="4" a="1"/>
  <c r="BE760" i="4" s="1"/>
  <c r="BE228" i="4" a="1"/>
  <c r="BE228" i="4" s="1"/>
  <c r="BE290" i="4" a="1"/>
  <c r="BE290" i="4" s="1"/>
  <c r="BE1154" i="4" a="1"/>
  <c r="BE1154" i="4" s="1"/>
  <c r="BE14" i="4" a="1"/>
  <c r="BE14" i="4" s="1"/>
  <c r="BE786" i="4" a="1"/>
  <c r="BE786" i="4" s="1"/>
  <c r="BE738" i="4" a="1"/>
  <c r="BE738" i="4" s="1"/>
  <c r="BE580" i="4" a="1"/>
  <c r="BE580" i="4" s="1"/>
  <c r="BE1175" i="4" a="1"/>
  <c r="BE1175" i="4" s="1"/>
  <c r="BE918" i="4" a="1"/>
  <c r="BE918" i="4" s="1"/>
  <c r="BE1678" i="4" a="1"/>
  <c r="BE1678" i="4" s="1"/>
  <c r="BE901" i="4" a="1"/>
  <c r="BE901" i="4" s="1"/>
  <c r="BE240" i="4" a="1"/>
  <c r="BE240" i="4" s="1"/>
  <c r="BE1722" i="4" a="1"/>
  <c r="BE1722" i="4" s="1"/>
  <c r="BE1110" i="4" a="1"/>
  <c r="BE1110" i="4" s="1"/>
  <c r="BE961" i="4" a="1"/>
  <c r="BE961" i="4" s="1"/>
  <c r="BE603" i="4" a="1"/>
  <c r="BE603" i="4" s="1"/>
  <c r="BE103" i="4" a="1"/>
  <c r="BE103" i="4" s="1"/>
  <c r="BE1044" i="4" a="1"/>
  <c r="BE1044" i="4" s="1"/>
  <c r="BE516" i="4" a="1"/>
  <c r="BE516" i="4" s="1"/>
  <c r="BE2004" i="4" a="1"/>
  <c r="BE2004" i="4" s="1"/>
  <c r="BE357" i="4" a="1"/>
  <c r="BE357" i="4" s="1"/>
  <c r="BE953" i="4" a="1"/>
  <c r="BE953" i="4" s="1"/>
  <c r="BE632" i="4" a="1"/>
  <c r="BE632" i="4" s="1"/>
  <c r="BE804" i="4" a="1"/>
  <c r="BE804" i="4" s="1"/>
  <c r="BE6" i="4" a="1"/>
  <c r="BE6" i="4" s="1"/>
  <c r="BE215" i="4" a="1"/>
  <c r="BE215" i="4" s="1"/>
  <c r="BE1904" i="4" a="1"/>
  <c r="BE1904" i="4" s="1"/>
  <c r="BE705" i="4" a="1"/>
  <c r="BE705" i="4" s="1"/>
  <c r="BE870" i="4" a="1"/>
  <c r="BE870" i="4" s="1"/>
  <c r="BE1001" i="4" a="1"/>
  <c r="BE1001" i="4" s="1"/>
  <c r="BE952" i="4" a="1"/>
  <c r="BE952" i="4" s="1"/>
  <c r="BE956" i="4" a="1"/>
  <c r="BE956" i="4" s="1"/>
  <c r="BE1691" i="4" a="1"/>
  <c r="BE1691" i="4" s="1"/>
  <c r="BE590" i="4" a="1"/>
  <c r="BE590" i="4" s="1"/>
  <c r="BE431" i="4" a="1"/>
  <c r="BE431" i="4" s="1"/>
  <c r="BE324" i="4" a="1"/>
  <c r="BE324" i="4" s="1"/>
  <c r="BE471" i="4" a="1"/>
  <c r="BE471" i="4" s="1"/>
  <c r="BE618" i="4" a="1"/>
  <c r="BE618" i="4" s="1"/>
  <c r="BE676" i="4" a="1"/>
  <c r="BE676" i="4" s="1"/>
  <c r="BE231" i="4" a="1"/>
  <c r="BE231" i="4" s="1"/>
  <c r="BE1677" i="4" a="1"/>
  <c r="BE1677" i="4" s="1"/>
  <c r="BE1167" i="4" a="1"/>
  <c r="BE1167" i="4" s="1"/>
  <c r="BE1066" i="4" a="1"/>
  <c r="BE1066" i="4" s="1"/>
  <c r="BE768" i="4" a="1"/>
  <c r="BE768" i="4" s="1"/>
  <c r="BE507" i="4" a="1"/>
  <c r="BE507" i="4" s="1"/>
  <c r="BE1885" i="4" a="1"/>
  <c r="BE1885" i="4" s="1"/>
  <c r="BE686" i="4" a="1"/>
  <c r="BE686" i="4" s="1"/>
  <c r="BE1911" i="4" a="1"/>
  <c r="BE1911" i="4" s="1"/>
  <c r="BE361" i="4" a="1"/>
  <c r="BE361" i="4" s="1"/>
  <c r="BE637" i="4" a="1"/>
  <c r="BE637" i="4" s="1"/>
  <c r="BE115" i="4" a="1"/>
  <c r="BE115" i="4" s="1"/>
  <c r="BE1813" i="4" a="1"/>
  <c r="BE1813" i="4" s="1"/>
  <c r="BE667" i="4" a="1"/>
  <c r="BE667" i="4" s="1"/>
  <c r="BE833" i="4" a="1"/>
  <c r="BE833" i="4" s="1"/>
  <c r="BE143" i="4" a="1"/>
  <c r="BE143" i="4" s="1"/>
  <c r="BE1841" i="4" a="1"/>
  <c r="BE1841" i="4" s="1"/>
  <c r="BE887" i="4" a="1"/>
  <c r="BE887" i="4" s="1"/>
  <c r="BE1053" i="4" a="1"/>
  <c r="BE1053" i="4" s="1"/>
  <c r="BE192" i="4" a="1"/>
  <c r="BE192" i="4" s="1"/>
  <c r="BE333" i="4" a="1"/>
  <c r="BE333" i="4" s="1"/>
  <c r="BE1980" i="4" a="1"/>
  <c r="BE1980" i="4" s="1"/>
  <c r="BE1749" i="4" a="1"/>
  <c r="BE1749" i="4" s="1"/>
  <c r="BE288" i="4" a="1"/>
  <c r="BE288" i="4" s="1"/>
  <c r="BE773" i="4" a="1"/>
  <c r="BE773" i="4" s="1"/>
  <c r="BE496" i="4" a="1"/>
  <c r="BE496" i="4" s="1"/>
  <c r="BE380" i="4" a="1"/>
  <c r="BE380" i="4" s="1"/>
  <c r="BE801" i="4" a="1"/>
  <c r="BE801" i="4" s="1"/>
  <c r="BE428" i="4" a="1"/>
  <c r="BE428" i="4" s="1"/>
  <c r="BE645" i="4" a="1"/>
  <c r="BE645" i="4" s="1"/>
  <c r="BE1017" i="4" a="1"/>
  <c r="BE1017" i="4" s="1"/>
  <c r="BE82" i="4" a="1"/>
  <c r="BE82" i="4" s="1"/>
  <c r="BE805" i="4" a="1"/>
  <c r="BE805" i="4" s="1"/>
  <c r="BE551" i="4" a="1"/>
  <c r="BE551" i="4" s="1"/>
  <c r="BE298" i="4" a="1"/>
  <c r="BE298" i="4" s="1"/>
  <c r="BE532" i="4" a="1"/>
  <c r="BE532" i="4" s="1"/>
  <c r="BE27" i="4" a="1"/>
  <c r="BE27" i="4" s="1"/>
  <c r="BE1040" i="4" a="1"/>
  <c r="BE1040" i="4" s="1"/>
  <c r="BE845" i="4" a="1"/>
  <c r="BE845" i="4" s="1"/>
  <c r="BE1961" i="4" a="1"/>
  <c r="BE1961" i="4" s="1"/>
  <c r="BE37" i="4" a="1"/>
  <c r="BE37" i="4" s="1"/>
  <c r="BE1176" i="4" a="1"/>
  <c r="BE1176" i="4" s="1"/>
  <c r="BE54" i="4" a="1"/>
  <c r="BE54" i="4" s="1"/>
  <c r="BE221" i="4" a="1"/>
  <c r="BE221" i="4" s="1"/>
  <c r="BE585" i="4" a="1"/>
  <c r="BE585" i="4" s="1"/>
  <c r="BE1041" i="4" a="1"/>
  <c r="BE1041" i="4" s="1"/>
  <c r="BE601" i="4" a="1"/>
  <c r="BE601" i="4" s="1"/>
  <c r="BE1107" i="4" a="1"/>
  <c r="BE1107" i="4" s="1"/>
  <c r="BE1125" i="4" a="1"/>
  <c r="BE1125" i="4" s="1"/>
  <c r="BE860" i="4" a="1"/>
  <c r="BE860" i="4" s="1"/>
  <c r="BE1964" i="4" a="1"/>
  <c r="BE1964" i="4" s="1"/>
  <c r="BE1179" i="4" a="1"/>
  <c r="BE1179" i="4" s="1"/>
  <c r="BE733" i="4" a="1"/>
  <c r="BE733" i="4" s="1"/>
  <c r="BE1003" i="4" a="1"/>
  <c r="BE1003" i="4" s="1"/>
  <c r="BE1723" i="4" a="1"/>
  <c r="BE1723" i="4" s="1"/>
  <c r="BE1966" i="4" a="1"/>
  <c r="BE1966" i="4" s="1"/>
  <c r="BE303" i="4" a="1"/>
  <c r="BE303" i="4" s="1"/>
  <c r="BE239" i="4" a="1"/>
  <c r="BE239" i="4" s="1"/>
  <c r="BE813" i="4" a="1"/>
  <c r="BE813" i="4" s="1"/>
  <c r="BE903" i="4" a="1"/>
  <c r="BE903" i="4" s="1"/>
  <c r="BE305" i="4" a="1"/>
  <c r="BE305" i="4" s="1"/>
  <c r="BE1002" i="4" a="1"/>
  <c r="BE1002" i="4" s="1"/>
  <c r="BE666" i="4" a="1"/>
  <c r="BE666" i="4" s="1"/>
  <c r="BE287" i="4" a="1"/>
  <c r="BE287" i="4" s="1"/>
  <c r="BE1706" i="4" a="1"/>
  <c r="BE1706" i="4" s="1"/>
  <c r="BE1978" i="4" a="1"/>
  <c r="BE1978" i="4" s="1"/>
  <c r="BE937" i="4" a="1"/>
  <c r="BE937" i="4" s="1"/>
  <c r="BE540" i="4" a="1"/>
  <c r="BE540" i="4" s="1"/>
  <c r="BE1898" i="4" a="1"/>
  <c r="BE1898" i="4" s="1"/>
  <c r="BE975" i="4" a="1"/>
  <c r="BE975" i="4" s="1"/>
  <c r="BE759" i="4" a="1"/>
  <c r="BE759" i="4" s="1"/>
  <c r="BE828" i="4" a="1"/>
  <c r="BE828" i="4" s="1"/>
  <c r="BE1845" i="4" a="1"/>
  <c r="BE1845" i="4" s="1"/>
  <c r="BE743" i="4" a="1"/>
  <c r="BE743" i="4" s="1"/>
  <c r="BE1896" i="4" a="1"/>
  <c r="BE1896" i="4" s="1"/>
  <c r="BE30" i="4" a="1"/>
  <c r="BE30" i="4" s="1"/>
  <c r="BE868" i="4" a="1"/>
  <c r="BE868" i="4" s="1"/>
  <c r="BE935" i="4" a="1"/>
  <c r="BE935" i="4" s="1"/>
  <c r="BE1960" i="4" a="1"/>
  <c r="BE1960" i="4" s="1"/>
  <c r="BE537" i="4" a="1"/>
  <c r="BE537" i="4" s="1"/>
  <c r="BE408" i="4" a="1"/>
  <c r="BE408" i="4" s="1"/>
  <c r="BE70" i="4" a="1"/>
  <c r="BE70" i="4" s="1"/>
  <c r="BE1875" i="4" a="1"/>
  <c r="BE1875" i="4" s="1"/>
  <c r="BE806" i="4" a="1"/>
  <c r="BE806" i="4" s="1"/>
  <c r="BE1899" i="4" a="1"/>
  <c r="BE1899" i="4" s="1"/>
  <c r="BE1157" i="4" a="1"/>
  <c r="BE1157" i="4" s="1"/>
  <c r="BE714" i="4" a="1"/>
  <c r="BE714" i="4" s="1"/>
  <c r="BE234" i="4" a="1"/>
  <c r="BE234" i="4" s="1"/>
  <c r="BE722" i="4" a="1"/>
  <c r="BE722" i="4" s="1"/>
  <c r="BE886" i="4" a="1"/>
  <c r="BE886" i="4" s="1"/>
  <c r="BE1660" i="4" a="1"/>
  <c r="BE1660" i="4" s="1"/>
  <c r="BE790" i="4" a="1"/>
  <c r="BE790" i="4" s="1"/>
  <c r="BE1024" i="4" a="1"/>
  <c r="BE1024" i="4" s="1"/>
  <c r="BE112" i="4" a="1"/>
  <c r="BE112" i="4" s="1"/>
  <c r="BE473" i="4" a="1"/>
  <c r="BE473" i="4" s="1"/>
  <c r="BE371" i="4" a="1"/>
  <c r="BE371" i="4" s="1"/>
  <c r="BE1974" i="4" a="1"/>
  <c r="BE1974" i="4" s="1"/>
  <c r="BE1180" i="4" a="1"/>
  <c r="BE1180" i="4" s="1"/>
  <c r="BE66" i="4" a="1"/>
  <c r="BE66" i="4" s="1"/>
  <c r="BE1798" i="4" a="1"/>
  <c r="BE1798" i="4" s="1"/>
  <c r="BE1138" i="4" a="1"/>
  <c r="BE1138" i="4" s="1"/>
  <c r="BE1979" i="4" a="1"/>
  <c r="BE1979" i="4" s="1"/>
  <c r="BE1876" i="4" a="1"/>
  <c r="BE1876" i="4" s="1"/>
  <c r="BE1716" i="4" a="1"/>
  <c r="BE1716" i="4" s="1"/>
  <c r="BE764" i="4" a="1"/>
  <c r="BE764" i="4" s="1"/>
  <c r="BE285" i="4" a="1"/>
  <c r="BE285" i="4" s="1"/>
  <c r="BE512" i="4" a="1"/>
  <c r="BE512" i="4" s="1"/>
  <c r="BE660" i="4" a="1"/>
  <c r="BE660" i="4" s="1"/>
  <c r="BE958" i="4" a="1"/>
  <c r="BE958" i="4" s="1"/>
  <c r="BE174" i="4" a="1"/>
  <c r="BE174" i="4" s="1"/>
  <c r="BE63" i="4" a="1"/>
  <c r="BE63" i="4" s="1"/>
  <c r="BE896" i="4" a="1"/>
  <c r="BE896" i="4" s="1"/>
  <c r="BE827" i="4" a="1"/>
  <c r="BE827" i="4" s="1"/>
  <c r="BE332" i="4" a="1"/>
  <c r="BE332" i="4" s="1"/>
  <c r="BE1108" i="4" a="1"/>
  <c r="BE1108" i="4" s="1"/>
  <c r="BE964" i="4" a="1"/>
  <c r="BE964" i="4" s="1"/>
  <c r="BE34" i="4" a="1"/>
  <c r="BE34" i="4" s="1"/>
  <c r="BE433" i="4" a="1"/>
  <c r="BE433" i="4" s="1"/>
  <c r="BE895" i="4" a="1"/>
  <c r="BE895" i="4" s="1"/>
  <c r="BE1398" i="4" a="1"/>
  <c r="BE1398" i="4" s="1"/>
  <c r="BO1398" i="4" s="1"/>
  <c r="BE379" i="4" a="1"/>
  <c r="BE379" i="4" s="1"/>
  <c r="BR945" i="4" l="1"/>
  <c r="BO945" i="4"/>
  <c r="BS945" i="4"/>
  <c r="BU945" i="4"/>
  <c r="BW945" i="4"/>
  <c r="BO947" i="4"/>
  <c r="BR947" i="4"/>
  <c r="BS947" i="4"/>
  <c r="BU947" i="4"/>
  <c r="BW947" i="4"/>
  <c r="BO949" i="4"/>
  <c r="BR949" i="4"/>
  <c r="BS949" i="4"/>
  <c r="BW949" i="4"/>
  <c r="BU949" i="4"/>
  <c r="BW946" i="4"/>
  <c r="BO946" i="4"/>
  <c r="BU946" i="4"/>
  <c r="BR946" i="4"/>
  <c r="BS946" i="4"/>
  <c r="BW948" i="4"/>
  <c r="BO948" i="4"/>
  <c r="BU948" i="4"/>
  <c r="BR948" i="4"/>
  <c r="BS948" i="4"/>
  <c r="BO952" i="4"/>
  <c r="BR952" i="4"/>
  <c r="BS952" i="4"/>
  <c r="BU952" i="4"/>
  <c r="BW952" i="4"/>
  <c r="BR1101" i="4"/>
  <c r="BU1101" i="4"/>
  <c r="BS1101" i="4"/>
  <c r="BO1101" i="4"/>
  <c r="BW1101" i="4"/>
  <c r="BO950" i="4"/>
  <c r="BS950" i="4"/>
  <c r="BR950" i="4"/>
  <c r="BW950" i="4"/>
  <c r="BU950" i="4"/>
  <c r="BR939" i="4"/>
  <c r="BO939" i="4"/>
  <c r="BS939" i="4"/>
  <c r="BU939" i="4"/>
  <c r="BW939" i="4"/>
  <c r="BU951" i="4"/>
  <c r="BR951" i="4"/>
  <c r="BS951" i="4"/>
  <c r="BW951" i="4"/>
  <c r="BO951" i="4"/>
  <c r="BO944" i="4"/>
  <c r="BR944" i="4"/>
  <c r="BW944" i="4"/>
  <c r="BS944" i="4"/>
  <c r="BU944" i="4"/>
  <c r="BW1102" i="4"/>
  <c r="BU1102" i="4"/>
  <c r="BS1102" i="4"/>
  <c r="BO1102" i="4"/>
  <c r="BR1102" i="4"/>
  <c r="BS1106" i="4"/>
  <c r="BU1106" i="4"/>
  <c r="BO1106" i="4"/>
  <c r="BR1106" i="4"/>
  <c r="BW1106" i="4"/>
  <c r="BW1108" i="4"/>
  <c r="BO1108" i="4"/>
  <c r="BR1108" i="4"/>
  <c r="BS1108" i="4"/>
  <c r="BU1108" i="4"/>
  <c r="BW1112" i="4"/>
  <c r="BS1112" i="4"/>
  <c r="BO1112" i="4"/>
  <c r="BR1112" i="4"/>
  <c r="BU1112" i="4"/>
  <c r="BS943" i="4"/>
  <c r="BO943" i="4"/>
  <c r="BU943" i="4"/>
  <c r="BW943" i="4"/>
  <c r="BR943" i="4"/>
  <c r="BU1110" i="4"/>
  <c r="BW1110" i="4"/>
  <c r="BO1110" i="4"/>
  <c r="BR1110" i="4"/>
  <c r="BS1110" i="4"/>
  <c r="BS1107" i="4"/>
  <c r="BO1107" i="4"/>
  <c r="BU1107" i="4"/>
  <c r="BR1107" i="4"/>
  <c r="BW1107" i="4"/>
  <c r="BO1105" i="4"/>
  <c r="BW1105" i="4"/>
  <c r="BU1105" i="4"/>
  <c r="BR1105" i="4"/>
  <c r="BS1105" i="4"/>
  <c r="BW1104" i="4"/>
  <c r="BU1104" i="4"/>
  <c r="BR1104" i="4"/>
  <c r="BO1104" i="4"/>
  <c r="BS1104" i="4"/>
  <c r="BU953" i="4"/>
  <c r="BS953" i="4"/>
  <c r="BW953" i="4"/>
  <c r="BO953" i="4"/>
  <c r="BR953" i="4"/>
  <c r="BR1114" i="4"/>
  <c r="BO1114" i="4"/>
  <c r="BS1114" i="4"/>
  <c r="BU1114" i="4"/>
  <c r="BW1114" i="4"/>
  <c r="BR1103" i="4"/>
  <c r="BS1103" i="4"/>
  <c r="BU1103" i="4"/>
  <c r="BW1103" i="4"/>
  <c r="BO1103" i="4"/>
  <c r="BU941" i="4"/>
  <c r="BW941" i="4"/>
  <c r="BO941" i="4"/>
  <c r="BR941" i="4"/>
  <c r="BS941" i="4"/>
  <c r="BS942" i="4"/>
  <c r="BU942" i="4"/>
  <c r="BW942" i="4"/>
  <c r="BR942" i="4"/>
  <c r="BO942" i="4"/>
  <c r="BS1111" i="4"/>
  <c r="BU1111" i="4"/>
  <c r="BO1111" i="4"/>
  <c r="BR1111" i="4"/>
  <c r="BW1111" i="4"/>
  <c r="BS940" i="4"/>
  <c r="BW940" i="4"/>
  <c r="BR940" i="4"/>
  <c r="BO940" i="4"/>
  <c r="BU940" i="4"/>
  <c r="BO1100" i="4"/>
  <c r="BR1100" i="4"/>
  <c r="BS1100" i="4"/>
  <c r="BU1100" i="4"/>
  <c r="BW1100" i="4"/>
  <c r="BO1113" i="4"/>
  <c r="BR1113" i="4"/>
  <c r="BW1113" i="4"/>
  <c r="BS1113" i="4"/>
  <c r="BU1113" i="4"/>
  <c r="BU1109" i="4"/>
  <c r="BS1109" i="4"/>
  <c r="BW1109" i="4"/>
  <c r="BO1109" i="4"/>
  <c r="BR1109" i="4"/>
  <c r="BO958" i="4"/>
  <c r="BS958" i="4"/>
  <c r="BU958" i="4"/>
  <c r="BR958" i="4"/>
  <c r="BW958" i="4"/>
  <c r="BO935" i="4"/>
  <c r="BR935" i="4"/>
  <c r="BS935" i="4"/>
  <c r="BU935" i="4"/>
  <c r="BW935" i="4"/>
  <c r="BS743" i="4"/>
  <c r="BU743" i="4"/>
  <c r="BO743" i="4"/>
  <c r="BR743" i="4"/>
  <c r="BW743" i="4"/>
  <c r="BU937" i="4"/>
  <c r="BS937" i="4"/>
  <c r="BR937" i="4"/>
  <c r="BO937" i="4"/>
  <c r="BW937" i="4"/>
  <c r="BW1002" i="4"/>
  <c r="BS1002" i="4"/>
  <c r="BO1002" i="4"/>
  <c r="BR1002" i="4"/>
  <c r="BU1002" i="4"/>
  <c r="BO733" i="4"/>
  <c r="BR733" i="4"/>
  <c r="BS733" i="4"/>
  <c r="BU733" i="4"/>
  <c r="BW733" i="4"/>
  <c r="BS1066" i="4"/>
  <c r="BU1066" i="4"/>
  <c r="BW1066" i="4"/>
  <c r="BO1066" i="4"/>
  <c r="BR1066" i="4"/>
  <c r="BW956" i="4"/>
  <c r="BR956" i="4"/>
  <c r="BS956" i="4"/>
  <c r="BO956" i="4"/>
  <c r="BU956" i="4"/>
  <c r="BR1001" i="4"/>
  <c r="BS1001" i="4"/>
  <c r="BO1001" i="4"/>
  <c r="BU1001" i="4"/>
  <c r="BW1001" i="4"/>
  <c r="BR961" i="4"/>
  <c r="BU961" i="4"/>
  <c r="BW961" i="4"/>
  <c r="BO961" i="4"/>
  <c r="BS961" i="4"/>
  <c r="BO738" i="4"/>
  <c r="BR738" i="4"/>
  <c r="BS738" i="4"/>
  <c r="BU738" i="4"/>
  <c r="BW738" i="4"/>
  <c r="BO1000" i="4"/>
  <c r="BR1000" i="4"/>
  <c r="BS1000" i="4"/>
  <c r="BW1000" i="4"/>
  <c r="BU1000" i="4"/>
  <c r="BO997" i="4"/>
  <c r="BR997" i="4"/>
  <c r="BU997" i="4"/>
  <c r="BS997" i="4"/>
  <c r="BW997" i="4"/>
  <c r="BO732" i="4"/>
  <c r="BR732" i="4"/>
  <c r="BU732" i="4"/>
  <c r="BS732" i="4"/>
  <c r="BW732" i="4"/>
  <c r="BO1065" i="4"/>
  <c r="BW1065" i="4"/>
  <c r="BR1065" i="4"/>
  <c r="BS1065" i="4"/>
  <c r="BU1065" i="4"/>
  <c r="BS731" i="4"/>
  <c r="BU731" i="4"/>
  <c r="BW731" i="4"/>
  <c r="BR731" i="4"/>
  <c r="BO731" i="4"/>
  <c r="BO1062" i="4"/>
  <c r="BR1062" i="4"/>
  <c r="BS1062" i="4"/>
  <c r="BU1062" i="4"/>
  <c r="BW1062" i="4"/>
  <c r="BO938" i="4"/>
  <c r="BR938" i="4"/>
  <c r="BS938" i="4"/>
  <c r="BU938" i="4"/>
  <c r="BW938" i="4"/>
  <c r="BO741" i="4"/>
  <c r="BR741" i="4"/>
  <c r="BS741" i="4"/>
  <c r="BU741" i="4"/>
  <c r="BW741" i="4"/>
  <c r="BS962" i="4"/>
  <c r="BU962" i="4"/>
  <c r="BW962" i="4"/>
  <c r="BO962" i="4"/>
  <c r="BR962" i="4"/>
  <c r="BU1069" i="4"/>
  <c r="BW1069" i="4"/>
  <c r="BO1069" i="4"/>
  <c r="BR1069" i="4"/>
  <c r="BS1069" i="4"/>
  <c r="BW936" i="4"/>
  <c r="BS936" i="4"/>
  <c r="BO936" i="4"/>
  <c r="BU936" i="4"/>
  <c r="BR936" i="4"/>
  <c r="BO957" i="4"/>
  <c r="BR957" i="4"/>
  <c r="BS957" i="4"/>
  <c r="BU957" i="4"/>
  <c r="BW957" i="4"/>
  <c r="BR1061" i="4"/>
  <c r="BU1061" i="4"/>
  <c r="BW1061" i="4"/>
  <c r="BO1061" i="4"/>
  <c r="BS1061" i="4"/>
  <c r="BU959" i="4"/>
  <c r="BO959" i="4"/>
  <c r="BR959" i="4"/>
  <c r="BS959" i="4"/>
  <c r="BW959" i="4"/>
  <c r="BW737" i="4"/>
  <c r="BO737" i="4"/>
  <c r="BR737" i="4"/>
  <c r="BS737" i="4"/>
  <c r="BU737" i="4"/>
  <c r="BO932" i="4"/>
  <c r="BU932" i="4"/>
  <c r="BR932" i="4"/>
  <c r="BS932" i="4"/>
  <c r="BW932" i="4"/>
  <c r="BS1059" i="4"/>
  <c r="BU1059" i="4"/>
  <c r="BO1059" i="4"/>
  <c r="BR1059" i="4"/>
  <c r="BW1059" i="4"/>
  <c r="BO735" i="4"/>
  <c r="BR735" i="4"/>
  <c r="BS735" i="4"/>
  <c r="BW735" i="4"/>
  <c r="BU735" i="4"/>
  <c r="BO1058" i="4"/>
  <c r="BS1058" i="4"/>
  <c r="BU1058" i="4"/>
  <c r="BR1058" i="4"/>
  <c r="BW1058" i="4"/>
  <c r="BO998" i="4"/>
  <c r="BR998" i="4"/>
  <c r="BS998" i="4"/>
  <c r="BU998" i="4"/>
  <c r="BW998" i="4"/>
  <c r="BR955" i="4"/>
  <c r="BS955" i="4"/>
  <c r="BO955" i="4"/>
  <c r="BU955" i="4"/>
  <c r="BW955" i="4"/>
  <c r="BO730" i="4"/>
  <c r="BU730" i="4"/>
  <c r="BW730" i="4"/>
  <c r="BR730" i="4"/>
  <c r="BS730" i="4"/>
  <c r="BO1068" i="4"/>
  <c r="BR1068" i="4"/>
  <c r="BS1068" i="4"/>
  <c r="BU1068" i="4"/>
  <c r="BW1068" i="4"/>
  <c r="BO740" i="4"/>
  <c r="BR740" i="4"/>
  <c r="BS740" i="4"/>
  <c r="BW740" i="4"/>
  <c r="BU740" i="4"/>
  <c r="BW933" i="4"/>
  <c r="BR933" i="4"/>
  <c r="BO933" i="4"/>
  <c r="BS933" i="4"/>
  <c r="BU933" i="4"/>
  <c r="BO1067" i="4"/>
  <c r="BR1067" i="4"/>
  <c r="BU1067" i="4"/>
  <c r="BS1067" i="4"/>
  <c r="BW1067" i="4"/>
  <c r="BR742" i="4"/>
  <c r="BU742" i="4"/>
  <c r="BW742" i="4"/>
  <c r="BO742" i="4"/>
  <c r="BS742" i="4"/>
  <c r="BR744" i="4"/>
  <c r="BS744" i="4"/>
  <c r="BU744" i="4"/>
  <c r="BW744" i="4"/>
  <c r="BO744" i="4"/>
  <c r="BR736" i="4"/>
  <c r="BS736" i="4"/>
  <c r="BO736" i="4"/>
  <c r="BU736" i="4"/>
  <c r="BW736" i="4"/>
  <c r="BO960" i="4"/>
  <c r="BR960" i="4"/>
  <c r="BS960" i="4"/>
  <c r="BU960" i="4"/>
  <c r="BW960" i="4"/>
  <c r="BU734" i="4"/>
  <c r="BW734" i="4"/>
  <c r="BO734" i="4"/>
  <c r="BR734" i="4"/>
  <c r="BS734" i="4"/>
  <c r="BR1063" i="4"/>
  <c r="BS1063" i="4"/>
  <c r="BU1063" i="4"/>
  <c r="BW1063" i="4"/>
  <c r="BO1063" i="4"/>
  <c r="BO739" i="4"/>
  <c r="BS739" i="4"/>
  <c r="BU739" i="4"/>
  <c r="BR739" i="4"/>
  <c r="BW739" i="4"/>
  <c r="BO1064" i="4"/>
  <c r="BS1064" i="4"/>
  <c r="BW1064" i="4"/>
  <c r="BR1064" i="4"/>
  <c r="BU1064" i="4"/>
  <c r="BU954" i="4"/>
  <c r="BS954" i="4"/>
  <c r="BR954" i="4"/>
  <c r="BO954" i="4"/>
  <c r="BW954" i="4"/>
  <c r="BO745" i="4"/>
  <c r="BS745" i="4"/>
  <c r="BW745" i="4"/>
  <c r="BR745" i="4"/>
  <c r="BU745" i="4"/>
  <c r="BU999" i="4"/>
  <c r="BW999" i="4"/>
  <c r="BO999" i="4"/>
  <c r="BR999" i="4"/>
  <c r="BS999" i="4"/>
  <c r="BO934" i="4"/>
  <c r="BR934" i="4"/>
  <c r="BU934" i="4"/>
  <c r="BW934" i="4"/>
  <c r="BS934" i="4"/>
  <c r="BO1060" i="4"/>
  <c r="BR1060" i="4"/>
  <c r="BS1060" i="4"/>
  <c r="BU1060" i="4"/>
  <c r="BW1060" i="4"/>
  <c r="BW996" i="4"/>
  <c r="BU996" i="4"/>
  <c r="BS996" i="4"/>
  <c r="BR996" i="4"/>
  <c r="BO996" i="4"/>
  <c r="BS722" i="4"/>
  <c r="BU722" i="4"/>
  <c r="BW722" i="4"/>
  <c r="BR722" i="4"/>
  <c r="BO722" i="4"/>
  <c r="BO714" i="4"/>
  <c r="BR714" i="4"/>
  <c r="BS714" i="4"/>
  <c r="BU714" i="4"/>
  <c r="BW714" i="4"/>
  <c r="BO705" i="4"/>
  <c r="BR705" i="4"/>
  <c r="BS705" i="4"/>
  <c r="BU705" i="4"/>
  <c r="BW705" i="4"/>
  <c r="BW712" i="4"/>
  <c r="BO712" i="4"/>
  <c r="BR712" i="4"/>
  <c r="BU712" i="4"/>
  <c r="BS712" i="4"/>
  <c r="BO546" i="4"/>
  <c r="BU546" i="4"/>
  <c r="BW546" i="4"/>
  <c r="BR546" i="4"/>
  <c r="BS546" i="4"/>
  <c r="BO547" i="4"/>
  <c r="BR547" i="4"/>
  <c r="BU547" i="4"/>
  <c r="BS547" i="4"/>
  <c r="BW547" i="4"/>
  <c r="BO711" i="4"/>
  <c r="BR711" i="4"/>
  <c r="BS711" i="4"/>
  <c r="BU711" i="4"/>
  <c r="BW711" i="4"/>
  <c r="BW715" i="4"/>
  <c r="BO715" i="4"/>
  <c r="BR715" i="4"/>
  <c r="BS715" i="4"/>
  <c r="BU715" i="4"/>
  <c r="BO713" i="4"/>
  <c r="BR713" i="4"/>
  <c r="BS713" i="4"/>
  <c r="BU713" i="4"/>
  <c r="BW713" i="4"/>
  <c r="BW548" i="4"/>
  <c r="BO548" i="4"/>
  <c r="BU548" i="4"/>
  <c r="BR548" i="4"/>
  <c r="BS548" i="4"/>
  <c r="BW728" i="4"/>
  <c r="BU728" i="4"/>
  <c r="BO728" i="4"/>
  <c r="BR728" i="4"/>
  <c r="BS728" i="4"/>
  <c r="BU709" i="4"/>
  <c r="BW709" i="4"/>
  <c r="BO709" i="4"/>
  <c r="BR709" i="4"/>
  <c r="BS709" i="4"/>
  <c r="BO718" i="4"/>
  <c r="BR718" i="4"/>
  <c r="BS718" i="4"/>
  <c r="BU718" i="4"/>
  <c r="BW718" i="4"/>
  <c r="BO726" i="4"/>
  <c r="BR726" i="4"/>
  <c r="BS726" i="4"/>
  <c r="BU726" i="4"/>
  <c r="BW726" i="4"/>
  <c r="BO721" i="4"/>
  <c r="BR721" i="4"/>
  <c r="BS721" i="4"/>
  <c r="BU721" i="4"/>
  <c r="BW721" i="4"/>
  <c r="BO710" i="4"/>
  <c r="BR710" i="4"/>
  <c r="BS710" i="4"/>
  <c r="BU710" i="4"/>
  <c r="BW710" i="4"/>
  <c r="BO729" i="4"/>
  <c r="BR729" i="4"/>
  <c r="BS729" i="4"/>
  <c r="BU729" i="4"/>
  <c r="BW729" i="4"/>
  <c r="BR719" i="4"/>
  <c r="BS719" i="4"/>
  <c r="BU719" i="4"/>
  <c r="BW719" i="4"/>
  <c r="BO719" i="4"/>
  <c r="BU725" i="4"/>
  <c r="BW725" i="4"/>
  <c r="BO725" i="4"/>
  <c r="BR725" i="4"/>
  <c r="BS725" i="4"/>
  <c r="BO727" i="4"/>
  <c r="BR727" i="4"/>
  <c r="BS727" i="4"/>
  <c r="BU727" i="4"/>
  <c r="BW727" i="4"/>
  <c r="BO717" i="4"/>
  <c r="BR717" i="4"/>
  <c r="BS717" i="4"/>
  <c r="BU717" i="4"/>
  <c r="BW717" i="4"/>
  <c r="BO716" i="4"/>
  <c r="BR716" i="4"/>
  <c r="BS716" i="4"/>
  <c r="BU716" i="4"/>
  <c r="BW716" i="4"/>
  <c r="BO707" i="4"/>
  <c r="BR707" i="4"/>
  <c r="BS707" i="4"/>
  <c r="BU707" i="4"/>
  <c r="BW707" i="4"/>
  <c r="BO720" i="4"/>
  <c r="BR720" i="4"/>
  <c r="BS720" i="4"/>
  <c r="BU720" i="4"/>
  <c r="BW720" i="4"/>
  <c r="BS706" i="4"/>
  <c r="BU706" i="4"/>
  <c r="BW706" i="4"/>
  <c r="BR706" i="4"/>
  <c r="BO706" i="4"/>
  <c r="BO704" i="4"/>
  <c r="BR704" i="4"/>
  <c r="BS704" i="4"/>
  <c r="BU704" i="4"/>
  <c r="BW704" i="4"/>
  <c r="BO702" i="4"/>
  <c r="BR702" i="4"/>
  <c r="BS702" i="4"/>
  <c r="BU702" i="4"/>
  <c r="BW702" i="4"/>
  <c r="BO723" i="4"/>
  <c r="BR723" i="4"/>
  <c r="BS723" i="4"/>
  <c r="BU723" i="4"/>
  <c r="BW723" i="4"/>
  <c r="BO708" i="4"/>
  <c r="BR708" i="4"/>
  <c r="BS708" i="4"/>
  <c r="BU708" i="4"/>
  <c r="BW708" i="4"/>
  <c r="BU549" i="4"/>
  <c r="BW549" i="4"/>
  <c r="BS549" i="4"/>
  <c r="BO549" i="4"/>
  <c r="BR549" i="4"/>
  <c r="BO701" i="4"/>
  <c r="BR701" i="4"/>
  <c r="BS701" i="4"/>
  <c r="BU701" i="4"/>
  <c r="BW701" i="4"/>
  <c r="BR703" i="4"/>
  <c r="BS703" i="4"/>
  <c r="BU703" i="4"/>
  <c r="BW703" i="4"/>
  <c r="BO703" i="4"/>
  <c r="BO700" i="4"/>
  <c r="BR700" i="4"/>
  <c r="BS700" i="4"/>
  <c r="BU700" i="4"/>
  <c r="BW700" i="4"/>
  <c r="BO724" i="4"/>
  <c r="BR724" i="4"/>
  <c r="BS724" i="4"/>
  <c r="BU724" i="4"/>
  <c r="BW724" i="4"/>
  <c r="BW1009" i="4"/>
  <c r="BO1009" i="4"/>
  <c r="BR1009" i="4"/>
  <c r="BS1009" i="4"/>
  <c r="BU1009" i="4"/>
  <c r="BR986" i="4"/>
  <c r="BO986" i="4"/>
  <c r="BS986" i="4"/>
  <c r="BU986" i="4"/>
  <c r="BW986" i="4"/>
  <c r="BO987" i="4"/>
  <c r="BR987" i="4"/>
  <c r="BS987" i="4"/>
  <c r="BU987" i="4"/>
  <c r="BW987" i="4"/>
  <c r="BU1095" i="4"/>
  <c r="BW1095" i="4"/>
  <c r="BO1095" i="4"/>
  <c r="BR1095" i="4"/>
  <c r="BS1095" i="4"/>
  <c r="BU1091" i="4"/>
  <c r="BO1091" i="4"/>
  <c r="BR1091" i="4"/>
  <c r="BS1091" i="4"/>
  <c r="BW1091" i="4"/>
  <c r="BS1090" i="4"/>
  <c r="BO1090" i="4"/>
  <c r="BR1090" i="4"/>
  <c r="BU1090" i="4"/>
  <c r="BW1090" i="4"/>
  <c r="BS1072" i="4"/>
  <c r="BO1072" i="4"/>
  <c r="BR1072" i="4"/>
  <c r="BU1072" i="4"/>
  <c r="BW1072" i="4"/>
  <c r="BO1093" i="4"/>
  <c r="BR1093" i="4"/>
  <c r="BU1093" i="4"/>
  <c r="BS1093" i="4"/>
  <c r="BW1093" i="4"/>
  <c r="BS1012" i="4"/>
  <c r="BO1012" i="4"/>
  <c r="BR1012" i="4"/>
  <c r="BU1012" i="4"/>
  <c r="BW1012" i="4"/>
  <c r="BU992" i="4"/>
  <c r="BW992" i="4"/>
  <c r="BR992" i="4"/>
  <c r="BS992" i="4"/>
  <c r="BO992" i="4"/>
  <c r="BR534" i="4"/>
  <c r="BS534" i="4"/>
  <c r="BU534" i="4"/>
  <c r="BW534" i="4"/>
  <c r="BO534" i="4"/>
  <c r="BR966" i="4"/>
  <c r="BW966" i="4"/>
  <c r="BO966" i="4"/>
  <c r="BS966" i="4"/>
  <c r="BU966" i="4"/>
  <c r="BW967" i="4"/>
  <c r="BO967" i="4"/>
  <c r="BR967" i="4"/>
  <c r="BS967" i="4"/>
  <c r="BU967" i="4"/>
  <c r="BR524" i="4"/>
  <c r="BS524" i="4"/>
  <c r="BU524" i="4"/>
  <c r="BW524" i="4"/>
  <c r="BO524" i="4"/>
  <c r="BO1080" i="4"/>
  <c r="BW1080" i="4"/>
  <c r="BR1080" i="4"/>
  <c r="BS1080" i="4"/>
  <c r="BU1080" i="4"/>
  <c r="BO1084" i="4"/>
  <c r="BR1084" i="4"/>
  <c r="BS1084" i="4"/>
  <c r="BU1084" i="4"/>
  <c r="BW1084" i="4"/>
  <c r="BS975" i="4"/>
  <c r="BW975" i="4"/>
  <c r="BO975" i="4"/>
  <c r="BR975" i="4"/>
  <c r="BU975" i="4"/>
  <c r="BS1003" i="4"/>
  <c r="BU1003" i="4"/>
  <c r="BW1003" i="4"/>
  <c r="BO1003" i="4"/>
  <c r="BR1003" i="4"/>
  <c r="BR507" i="4"/>
  <c r="BS507" i="4"/>
  <c r="BU507" i="4"/>
  <c r="BW507" i="4"/>
  <c r="BO507" i="4"/>
  <c r="BU530" i="4"/>
  <c r="BW530" i="4"/>
  <c r="BO530" i="4"/>
  <c r="BR530" i="4"/>
  <c r="BS530" i="4"/>
  <c r="BS994" i="4"/>
  <c r="BO994" i="4"/>
  <c r="BU994" i="4"/>
  <c r="BR994" i="4"/>
  <c r="BW994" i="4"/>
  <c r="BO545" i="4"/>
  <c r="BR545" i="4"/>
  <c r="BS545" i="4"/>
  <c r="BU545" i="4"/>
  <c r="BW545" i="4"/>
  <c r="BR544" i="4"/>
  <c r="BS544" i="4"/>
  <c r="BU544" i="4"/>
  <c r="BW544" i="4"/>
  <c r="BO544" i="4"/>
  <c r="BR527" i="4"/>
  <c r="BS527" i="4"/>
  <c r="BU527" i="4"/>
  <c r="BW527" i="4"/>
  <c r="BO527" i="4"/>
  <c r="BU1079" i="4"/>
  <c r="BW1079" i="4"/>
  <c r="BO1079" i="4"/>
  <c r="BR1079" i="4"/>
  <c r="BS1079" i="4"/>
  <c r="BO1086" i="4"/>
  <c r="BR1086" i="4"/>
  <c r="BS1086" i="4"/>
  <c r="BU1086" i="4"/>
  <c r="BW1086" i="4"/>
  <c r="BW1082" i="4"/>
  <c r="BR1082" i="4"/>
  <c r="BO1082" i="4"/>
  <c r="BS1082" i="4"/>
  <c r="BU1082" i="4"/>
  <c r="BO979" i="4"/>
  <c r="BS979" i="4"/>
  <c r="BU979" i="4"/>
  <c r="BW979" i="4"/>
  <c r="BR979" i="4"/>
  <c r="BR520" i="4"/>
  <c r="BS520" i="4"/>
  <c r="BU520" i="4"/>
  <c r="BW520" i="4"/>
  <c r="BO520" i="4"/>
  <c r="BR499" i="4"/>
  <c r="BS499" i="4"/>
  <c r="BU499" i="4"/>
  <c r="BW499" i="4"/>
  <c r="BO499" i="4"/>
  <c r="BR509" i="4"/>
  <c r="BS509" i="4"/>
  <c r="BU509" i="4"/>
  <c r="BW509" i="4"/>
  <c r="BO509" i="4"/>
  <c r="BO1019" i="4"/>
  <c r="BR1019" i="4"/>
  <c r="BW1019" i="4"/>
  <c r="BS1019" i="4"/>
  <c r="BU1019" i="4"/>
  <c r="BU1075" i="4"/>
  <c r="BW1075" i="4"/>
  <c r="BS1075" i="4"/>
  <c r="BO1075" i="4"/>
  <c r="BR1075" i="4"/>
  <c r="BR1073" i="4"/>
  <c r="BS1073" i="4"/>
  <c r="BU1073" i="4"/>
  <c r="BW1073" i="4"/>
  <c r="BO1073" i="4"/>
  <c r="BO1099" i="4"/>
  <c r="BR1099" i="4"/>
  <c r="BS1099" i="4"/>
  <c r="BU1099" i="4"/>
  <c r="BW1099" i="4"/>
  <c r="BO1083" i="4"/>
  <c r="BR1083" i="4"/>
  <c r="BS1083" i="4"/>
  <c r="BU1083" i="4"/>
  <c r="BW1083" i="4"/>
  <c r="BO989" i="4"/>
  <c r="BR989" i="4"/>
  <c r="BS989" i="4"/>
  <c r="BU989" i="4"/>
  <c r="BW989" i="4"/>
  <c r="BU964" i="4"/>
  <c r="BW964" i="4"/>
  <c r="BO964" i="4"/>
  <c r="BR964" i="4"/>
  <c r="BS964" i="4"/>
  <c r="BR532" i="4"/>
  <c r="BS532" i="4"/>
  <c r="BU532" i="4"/>
  <c r="BW532" i="4"/>
  <c r="BO532" i="4"/>
  <c r="BW1011" i="4"/>
  <c r="BO1011" i="4"/>
  <c r="BR1011" i="4"/>
  <c r="BS1011" i="4"/>
  <c r="BU1011" i="4"/>
  <c r="BS494" i="4"/>
  <c r="BR494" i="4"/>
  <c r="BU494" i="4"/>
  <c r="BW494" i="4"/>
  <c r="BO494" i="4"/>
  <c r="BR539" i="4"/>
  <c r="BS539" i="4"/>
  <c r="BU539" i="4"/>
  <c r="BW539" i="4"/>
  <c r="BO539" i="4"/>
  <c r="BR501" i="4"/>
  <c r="BS501" i="4"/>
  <c r="BU501" i="4"/>
  <c r="BW501" i="4"/>
  <c r="BO501" i="4"/>
  <c r="BO969" i="4"/>
  <c r="BR969" i="4"/>
  <c r="BS969" i="4"/>
  <c r="BU969" i="4"/>
  <c r="BW969" i="4"/>
  <c r="BO978" i="4"/>
  <c r="BR978" i="4"/>
  <c r="BU978" i="4"/>
  <c r="BS978" i="4"/>
  <c r="BW978" i="4"/>
  <c r="BS1056" i="4"/>
  <c r="BO1056" i="4"/>
  <c r="BR1056" i="4"/>
  <c r="BU1056" i="4"/>
  <c r="BW1056" i="4"/>
  <c r="BO1096" i="4"/>
  <c r="BR1096" i="4"/>
  <c r="BS1096" i="4"/>
  <c r="BU1096" i="4"/>
  <c r="BW1096" i="4"/>
  <c r="BS540" i="4"/>
  <c r="BR540" i="4"/>
  <c r="BU540" i="4"/>
  <c r="BW540" i="4"/>
  <c r="BO540" i="4"/>
  <c r="BW536" i="4"/>
  <c r="BO536" i="4"/>
  <c r="BR536" i="4"/>
  <c r="BS536" i="4"/>
  <c r="BU536" i="4"/>
  <c r="BS522" i="4"/>
  <c r="BR522" i="4"/>
  <c r="BU522" i="4"/>
  <c r="BW522" i="4"/>
  <c r="BO522" i="4"/>
  <c r="BO535" i="4"/>
  <c r="BR535" i="4"/>
  <c r="BS535" i="4"/>
  <c r="BU535" i="4"/>
  <c r="BW535" i="4"/>
  <c r="BO1007" i="4"/>
  <c r="BR1007" i="4"/>
  <c r="BU1007" i="4"/>
  <c r="BS1007" i="4"/>
  <c r="BW1007" i="4"/>
  <c r="BO542" i="4"/>
  <c r="BR542" i="4"/>
  <c r="BS542" i="4"/>
  <c r="BU542" i="4"/>
  <c r="BW542" i="4"/>
  <c r="BR531" i="4"/>
  <c r="BS531" i="4"/>
  <c r="BU531" i="4"/>
  <c r="BW531" i="4"/>
  <c r="BO531" i="4"/>
  <c r="BO988" i="4"/>
  <c r="BU988" i="4"/>
  <c r="BR988" i="4"/>
  <c r="BS988" i="4"/>
  <c r="BW988" i="4"/>
  <c r="BO528" i="4"/>
  <c r="BR528" i="4"/>
  <c r="BS528" i="4"/>
  <c r="BU528" i="4"/>
  <c r="BW528" i="4"/>
  <c r="BS1088" i="4"/>
  <c r="BU1088" i="4"/>
  <c r="BR1088" i="4"/>
  <c r="BO1088" i="4"/>
  <c r="BW1088" i="4"/>
  <c r="BW1071" i="4"/>
  <c r="BU1071" i="4"/>
  <c r="BS1071" i="4"/>
  <c r="BR1071" i="4"/>
  <c r="BO1071" i="4"/>
  <c r="BW1098" i="4"/>
  <c r="BR1098" i="4"/>
  <c r="BO1098" i="4"/>
  <c r="BS1098" i="4"/>
  <c r="BU1098" i="4"/>
  <c r="BU1004" i="4"/>
  <c r="BO1004" i="4"/>
  <c r="BR1004" i="4"/>
  <c r="BS1004" i="4"/>
  <c r="BW1004" i="4"/>
  <c r="BR1016" i="4"/>
  <c r="BS1016" i="4"/>
  <c r="BU1016" i="4"/>
  <c r="BW1016" i="4"/>
  <c r="BO1016" i="4"/>
  <c r="BO972" i="4"/>
  <c r="BR972" i="4"/>
  <c r="BU972" i="4"/>
  <c r="BS972" i="4"/>
  <c r="BW972" i="4"/>
  <c r="BW1018" i="4"/>
  <c r="BU1018" i="4"/>
  <c r="BO1018" i="4"/>
  <c r="BS1018" i="4"/>
  <c r="BR1018" i="4"/>
  <c r="BO991" i="4"/>
  <c r="BS991" i="4"/>
  <c r="BR991" i="4"/>
  <c r="BW991" i="4"/>
  <c r="BU991" i="4"/>
  <c r="BU973" i="4"/>
  <c r="BR973" i="4"/>
  <c r="BO973" i="4"/>
  <c r="BS973" i="4"/>
  <c r="BW973" i="4"/>
  <c r="BS993" i="4"/>
  <c r="BU993" i="4"/>
  <c r="BW993" i="4"/>
  <c r="BO993" i="4"/>
  <c r="BR993" i="4"/>
  <c r="BR491" i="4"/>
  <c r="BS491" i="4"/>
  <c r="BU491" i="4"/>
  <c r="BW491" i="4"/>
  <c r="BO491" i="4"/>
  <c r="BU976" i="4"/>
  <c r="BO976" i="4"/>
  <c r="BR976" i="4"/>
  <c r="BS976" i="4"/>
  <c r="BW976" i="4"/>
  <c r="BS506" i="4"/>
  <c r="BR506" i="4"/>
  <c r="BU506" i="4"/>
  <c r="BW506" i="4"/>
  <c r="BO506" i="4"/>
  <c r="BS1092" i="4"/>
  <c r="BU1092" i="4"/>
  <c r="BW1092" i="4"/>
  <c r="BO1092" i="4"/>
  <c r="BR1092" i="4"/>
  <c r="BR1089" i="4"/>
  <c r="BS1089" i="4"/>
  <c r="BU1089" i="4"/>
  <c r="BW1089" i="4"/>
  <c r="BO1089" i="4"/>
  <c r="BO1077" i="4"/>
  <c r="BR1077" i="4"/>
  <c r="BU1077" i="4"/>
  <c r="BS1077" i="4"/>
  <c r="BW1077" i="4"/>
  <c r="BR511" i="4"/>
  <c r="BS511" i="4"/>
  <c r="BU511" i="4"/>
  <c r="BW511" i="4"/>
  <c r="BO511" i="4"/>
  <c r="BR529" i="4"/>
  <c r="BS529" i="4"/>
  <c r="BU529" i="4"/>
  <c r="BW529" i="4"/>
  <c r="BO529" i="4"/>
  <c r="BR1020" i="4"/>
  <c r="BW1020" i="4"/>
  <c r="BO1020" i="4"/>
  <c r="BS1020" i="4"/>
  <c r="BU1020" i="4"/>
  <c r="BR525" i="4"/>
  <c r="BS525" i="4"/>
  <c r="BU525" i="4"/>
  <c r="BW525" i="4"/>
  <c r="BO525" i="4"/>
  <c r="BR513" i="4"/>
  <c r="BS513" i="4"/>
  <c r="BU513" i="4"/>
  <c r="BW513" i="4"/>
  <c r="BO513" i="4"/>
  <c r="BO1013" i="4"/>
  <c r="BR1013" i="4"/>
  <c r="BS1013" i="4"/>
  <c r="BU1013" i="4"/>
  <c r="BW1013" i="4"/>
  <c r="BS1074" i="4"/>
  <c r="BO1074" i="4"/>
  <c r="BR1074" i="4"/>
  <c r="BU1074" i="4"/>
  <c r="BW1074" i="4"/>
  <c r="BO1010" i="4"/>
  <c r="BR1010" i="4"/>
  <c r="BW1010" i="4"/>
  <c r="BS1010" i="4"/>
  <c r="BU1010" i="4"/>
  <c r="BR500" i="4"/>
  <c r="BS500" i="4"/>
  <c r="BU500" i="4"/>
  <c r="BW500" i="4"/>
  <c r="BO500" i="4"/>
  <c r="BR519" i="4"/>
  <c r="BS519" i="4"/>
  <c r="BU519" i="4"/>
  <c r="BW519" i="4"/>
  <c r="BO519" i="4"/>
  <c r="BR990" i="4"/>
  <c r="BS990" i="4"/>
  <c r="BU990" i="4"/>
  <c r="BW990" i="4"/>
  <c r="BO990" i="4"/>
  <c r="BR1087" i="4"/>
  <c r="BO1087" i="4"/>
  <c r="BS1087" i="4"/>
  <c r="BU1087" i="4"/>
  <c r="BW1087" i="4"/>
  <c r="BS1017" i="4"/>
  <c r="BU1017" i="4"/>
  <c r="BR1017" i="4"/>
  <c r="BO1017" i="4"/>
  <c r="BW1017" i="4"/>
  <c r="BO1057" i="4"/>
  <c r="BR1057" i="4"/>
  <c r="BS1057" i="4"/>
  <c r="BU1057" i="4"/>
  <c r="BW1057" i="4"/>
  <c r="BO538" i="4"/>
  <c r="BR538" i="4"/>
  <c r="BS538" i="4"/>
  <c r="BU538" i="4"/>
  <c r="BW538" i="4"/>
  <c r="BO995" i="4"/>
  <c r="BU995" i="4"/>
  <c r="BR995" i="4"/>
  <c r="BS995" i="4"/>
  <c r="BW995" i="4"/>
  <c r="BR503" i="4"/>
  <c r="BS503" i="4"/>
  <c r="BU503" i="4"/>
  <c r="BW503" i="4"/>
  <c r="BO503" i="4"/>
  <c r="BS498" i="4"/>
  <c r="BR498" i="4"/>
  <c r="BU498" i="4"/>
  <c r="BW498" i="4"/>
  <c r="BO498" i="4"/>
  <c r="BR493" i="4"/>
  <c r="BS493" i="4"/>
  <c r="BU493" i="4"/>
  <c r="BW493" i="4"/>
  <c r="BO493" i="4"/>
  <c r="BO543" i="4"/>
  <c r="BU543" i="4"/>
  <c r="BR543" i="4"/>
  <c r="BS543" i="4"/>
  <c r="BW543" i="4"/>
  <c r="BU1094" i="4"/>
  <c r="BO1094" i="4"/>
  <c r="BW1094" i="4"/>
  <c r="BR1094" i="4"/>
  <c r="BS1094" i="4"/>
  <c r="BR505" i="4"/>
  <c r="BS505" i="4"/>
  <c r="BU505" i="4"/>
  <c r="BW505" i="4"/>
  <c r="BO505" i="4"/>
  <c r="BR523" i="4"/>
  <c r="BS523" i="4"/>
  <c r="BU523" i="4"/>
  <c r="BW523" i="4"/>
  <c r="BO523" i="4"/>
  <c r="BS526" i="4"/>
  <c r="BR526" i="4"/>
  <c r="BU526" i="4"/>
  <c r="BW526" i="4"/>
  <c r="BO526" i="4"/>
  <c r="BR497" i="4"/>
  <c r="BS497" i="4"/>
  <c r="BU497" i="4"/>
  <c r="BW497" i="4"/>
  <c r="BO497" i="4"/>
  <c r="BU980" i="4"/>
  <c r="BW980" i="4"/>
  <c r="BO980" i="4"/>
  <c r="BR980" i="4"/>
  <c r="BS980" i="4"/>
  <c r="BR492" i="4"/>
  <c r="BS492" i="4"/>
  <c r="BU492" i="4"/>
  <c r="BW492" i="4"/>
  <c r="BO492" i="4"/>
  <c r="BR970" i="4"/>
  <c r="BO970" i="4"/>
  <c r="BS970" i="4"/>
  <c r="BU970" i="4"/>
  <c r="BW970" i="4"/>
  <c r="BW1021" i="4"/>
  <c r="BR1021" i="4"/>
  <c r="BO1021" i="4"/>
  <c r="BS1021" i="4"/>
  <c r="BU1021" i="4"/>
  <c r="BS537" i="4"/>
  <c r="BU537" i="4"/>
  <c r="BW537" i="4"/>
  <c r="BO537" i="4"/>
  <c r="BR537" i="4"/>
  <c r="BU1014" i="4"/>
  <c r="BO1014" i="4"/>
  <c r="BR1014" i="4"/>
  <c r="BS1014" i="4"/>
  <c r="BW1014" i="4"/>
  <c r="BW982" i="4"/>
  <c r="BU982" i="4"/>
  <c r="BO982" i="4"/>
  <c r="BR982" i="4"/>
  <c r="BS982" i="4"/>
  <c r="BR1015" i="4"/>
  <c r="BS1015" i="4"/>
  <c r="BU1015" i="4"/>
  <c r="BO1015" i="4"/>
  <c r="BW1015" i="4"/>
  <c r="BR495" i="4"/>
  <c r="BS495" i="4"/>
  <c r="BU495" i="4"/>
  <c r="BW495" i="4"/>
  <c r="BO495" i="4"/>
  <c r="BS1076" i="4"/>
  <c r="BU1076" i="4"/>
  <c r="BW1076" i="4"/>
  <c r="BO1076" i="4"/>
  <c r="BR1076" i="4"/>
  <c r="BU1078" i="4"/>
  <c r="BW1078" i="4"/>
  <c r="BO1078" i="4"/>
  <c r="BR1078" i="4"/>
  <c r="BS1078" i="4"/>
  <c r="BO1085" i="4"/>
  <c r="BS1085" i="4"/>
  <c r="BR1085" i="4"/>
  <c r="BU1085" i="4"/>
  <c r="BW1085" i="4"/>
  <c r="BR516" i="4"/>
  <c r="BS516" i="4"/>
  <c r="BU516" i="4"/>
  <c r="BW516" i="4"/>
  <c r="BO516" i="4"/>
  <c r="BR521" i="4"/>
  <c r="BS521" i="4"/>
  <c r="BU521" i="4"/>
  <c r="BW521" i="4"/>
  <c r="BO521" i="4"/>
  <c r="BW1008" i="4"/>
  <c r="BR1008" i="4"/>
  <c r="BU1008" i="4"/>
  <c r="BO1008" i="4"/>
  <c r="BS1008" i="4"/>
  <c r="BO981" i="4"/>
  <c r="BR981" i="4"/>
  <c r="BW981" i="4"/>
  <c r="BS981" i="4"/>
  <c r="BU981" i="4"/>
  <c r="BR963" i="4"/>
  <c r="BO963" i="4"/>
  <c r="BW963" i="4"/>
  <c r="BU963" i="4"/>
  <c r="BS963" i="4"/>
  <c r="BW1081" i="4"/>
  <c r="BO1081" i="4"/>
  <c r="BR1081" i="4"/>
  <c r="BS1081" i="4"/>
  <c r="BU1081" i="4"/>
  <c r="BW983" i="4"/>
  <c r="BR983" i="4"/>
  <c r="BO983" i="4"/>
  <c r="BS983" i="4"/>
  <c r="BU983" i="4"/>
  <c r="BO971" i="4"/>
  <c r="BR971" i="4"/>
  <c r="BS971" i="4"/>
  <c r="BU971" i="4"/>
  <c r="BW971" i="4"/>
  <c r="BU1006" i="4"/>
  <c r="BW1006" i="4"/>
  <c r="BO1006" i="4"/>
  <c r="BR1006" i="4"/>
  <c r="BS1006" i="4"/>
  <c r="BO984" i="4"/>
  <c r="BR984" i="4"/>
  <c r="BW984" i="4"/>
  <c r="BS984" i="4"/>
  <c r="BU984" i="4"/>
  <c r="BO541" i="4"/>
  <c r="BR541" i="4"/>
  <c r="BS541" i="4"/>
  <c r="BU541" i="4"/>
  <c r="BW541" i="4"/>
  <c r="BO965" i="4"/>
  <c r="BW965" i="4"/>
  <c r="BR965" i="4"/>
  <c r="BS965" i="4"/>
  <c r="BU965" i="4"/>
  <c r="BS510" i="4"/>
  <c r="BR510" i="4"/>
  <c r="BU510" i="4"/>
  <c r="BW510" i="4"/>
  <c r="BO510" i="4"/>
  <c r="BS502" i="4"/>
  <c r="BR502" i="4"/>
  <c r="BU502" i="4"/>
  <c r="BW502" i="4"/>
  <c r="BO502" i="4"/>
  <c r="BR504" i="4"/>
  <c r="BS504" i="4"/>
  <c r="BU504" i="4"/>
  <c r="BW504" i="4"/>
  <c r="BO504" i="4"/>
  <c r="BR496" i="4"/>
  <c r="BS496" i="4"/>
  <c r="BU496" i="4"/>
  <c r="BW496" i="4"/>
  <c r="BO496" i="4"/>
  <c r="BR515" i="4"/>
  <c r="BS515" i="4"/>
  <c r="BU515" i="4"/>
  <c r="BW515" i="4"/>
  <c r="BO515" i="4"/>
  <c r="BW1070" i="4"/>
  <c r="BU1070" i="4"/>
  <c r="BS1070" i="4"/>
  <c r="BR1070" i="4"/>
  <c r="BO1070" i="4"/>
  <c r="BR974" i="4"/>
  <c r="BS974" i="4"/>
  <c r="BU974" i="4"/>
  <c r="BW974" i="4"/>
  <c r="BO974" i="4"/>
  <c r="BS514" i="4"/>
  <c r="BR514" i="4"/>
  <c r="BU514" i="4"/>
  <c r="BW514" i="4"/>
  <c r="BO514" i="4"/>
  <c r="BU533" i="4"/>
  <c r="BO533" i="4"/>
  <c r="BR533" i="4"/>
  <c r="BS533" i="4"/>
  <c r="BW533" i="4"/>
  <c r="BR508" i="4"/>
  <c r="BS508" i="4"/>
  <c r="BU508" i="4"/>
  <c r="BW508" i="4"/>
  <c r="BO508" i="4"/>
  <c r="BO985" i="4"/>
  <c r="BS985" i="4"/>
  <c r="BR985" i="4"/>
  <c r="BW985" i="4"/>
  <c r="BU985" i="4"/>
  <c r="BO1005" i="4"/>
  <c r="BS1005" i="4"/>
  <c r="BW1005" i="4"/>
  <c r="BR1005" i="4"/>
  <c r="BU1005" i="4"/>
  <c r="BR517" i="4"/>
  <c r="BS517" i="4"/>
  <c r="BU517" i="4"/>
  <c r="BW517" i="4"/>
  <c r="BO517" i="4"/>
  <c r="BS977" i="4"/>
  <c r="BU977" i="4"/>
  <c r="BW977" i="4"/>
  <c r="BO977" i="4"/>
  <c r="BR977" i="4"/>
  <c r="BW1097" i="4"/>
  <c r="BO1097" i="4"/>
  <c r="BR1097" i="4"/>
  <c r="BS1097" i="4"/>
  <c r="BU1097" i="4"/>
  <c r="BR512" i="4"/>
  <c r="BS512" i="4"/>
  <c r="BU512" i="4"/>
  <c r="BW512" i="4"/>
  <c r="BO512" i="4"/>
  <c r="BO968" i="4"/>
  <c r="BR968" i="4"/>
  <c r="BS968" i="4"/>
  <c r="BU968" i="4"/>
  <c r="BW968" i="4"/>
  <c r="BS518" i="4"/>
  <c r="BR518" i="4"/>
  <c r="BU518" i="4"/>
  <c r="BW518" i="4"/>
  <c r="BO518" i="4"/>
  <c r="BU1047" i="4"/>
  <c r="BW1047" i="4"/>
  <c r="BS1047" i="4"/>
  <c r="BO1047" i="4"/>
  <c r="BR1047" i="4"/>
  <c r="BO1039" i="4"/>
  <c r="BR1039" i="4"/>
  <c r="BS1039" i="4"/>
  <c r="BU1039" i="4"/>
  <c r="BW1039" i="4"/>
  <c r="BO1035" i="4"/>
  <c r="BR1035" i="4"/>
  <c r="BS1035" i="4"/>
  <c r="BU1035" i="4"/>
  <c r="BW1035" i="4"/>
  <c r="BO1040" i="4"/>
  <c r="BR1040" i="4"/>
  <c r="BS1040" i="4"/>
  <c r="BU1040" i="4"/>
  <c r="BW1040" i="4"/>
  <c r="BU1053" i="4"/>
  <c r="BS1053" i="4"/>
  <c r="BO1053" i="4"/>
  <c r="BR1053" i="4"/>
  <c r="BW1053" i="4"/>
  <c r="BO1046" i="4"/>
  <c r="BR1046" i="4"/>
  <c r="BS1046" i="4"/>
  <c r="BU1046" i="4"/>
  <c r="BW1046" i="4"/>
  <c r="BO1026" i="4"/>
  <c r="BR1026" i="4"/>
  <c r="BS1026" i="4"/>
  <c r="BU1026" i="4"/>
  <c r="BW1026" i="4"/>
  <c r="BO1054" i="4"/>
  <c r="BR1054" i="4"/>
  <c r="BU1054" i="4"/>
  <c r="BW1054" i="4"/>
  <c r="BS1054" i="4"/>
  <c r="BW1025" i="4"/>
  <c r="BO1025" i="4"/>
  <c r="BR1025" i="4"/>
  <c r="BS1025" i="4"/>
  <c r="BU1025" i="4"/>
  <c r="BU1055" i="4"/>
  <c r="BO1055" i="4"/>
  <c r="BR1055" i="4"/>
  <c r="BW1055" i="4"/>
  <c r="BS1055" i="4"/>
  <c r="BU1050" i="4"/>
  <c r="BW1050" i="4"/>
  <c r="BS1050" i="4"/>
  <c r="BO1050" i="4"/>
  <c r="BR1050" i="4"/>
  <c r="BO1029" i="4"/>
  <c r="BR1029" i="4"/>
  <c r="BS1029" i="4"/>
  <c r="BU1029" i="4"/>
  <c r="BW1029" i="4"/>
  <c r="BO1051" i="4"/>
  <c r="BR1051" i="4"/>
  <c r="BS1051" i="4"/>
  <c r="BU1051" i="4"/>
  <c r="BW1051" i="4"/>
  <c r="BO1034" i="4"/>
  <c r="BR1034" i="4"/>
  <c r="BS1034" i="4"/>
  <c r="BU1034" i="4"/>
  <c r="BW1034" i="4"/>
  <c r="BO1030" i="4"/>
  <c r="BR1030" i="4"/>
  <c r="BS1030" i="4"/>
  <c r="BU1030" i="4"/>
  <c r="BW1030" i="4"/>
  <c r="BO1049" i="4"/>
  <c r="BR1049" i="4"/>
  <c r="BU1049" i="4"/>
  <c r="BS1049" i="4"/>
  <c r="BW1049" i="4"/>
  <c r="BO1027" i="4"/>
  <c r="BR1027" i="4"/>
  <c r="BS1027" i="4"/>
  <c r="BU1027" i="4"/>
  <c r="BW1027" i="4"/>
  <c r="BS1041" i="4"/>
  <c r="BU1041" i="4"/>
  <c r="BW1041" i="4"/>
  <c r="BO1041" i="4"/>
  <c r="BR1041" i="4"/>
  <c r="BR1032" i="4"/>
  <c r="BS1032" i="4"/>
  <c r="BU1032" i="4"/>
  <c r="BW1032" i="4"/>
  <c r="BO1032" i="4"/>
  <c r="BO1037" i="4"/>
  <c r="BR1037" i="4"/>
  <c r="BS1037" i="4"/>
  <c r="BU1037" i="4"/>
  <c r="BW1037" i="4"/>
  <c r="BO1045" i="4"/>
  <c r="BR1045" i="4"/>
  <c r="BS1045" i="4"/>
  <c r="BU1045" i="4"/>
  <c r="BW1045" i="4"/>
  <c r="BO1024" i="4"/>
  <c r="BR1024" i="4"/>
  <c r="BS1024" i="4"/>
  <c r="BU1024" i="4"/>
  <c r="BW1024" i="4"/>
  <c r="BO1033" i="4"/>
  <c r="BR1033" i="4"/>
  <c r="BS1033" i="4"/>
  <c r="BU1033" i="4"/>
  <c r="BW1033" i="4"/>
  <c r="BO1031" i="4"/>
  <c r="BR1031" i="4"/>
  <c r="BS1031" i="4"/>
  <c r="BU1031" i="4"/>
  <c r="BW1031" i="4"/>
  <c r="BO1028" i="4"/>
  <c r="BR1028" i="4"/>
  <c r="BS1028" i="4"/>
  <c r="BU1028" i="4"/>
  <c r="BW1028" i="4"/>
  <c r="BU1044" i="4"/>
  <c r="BW1044" i="4"/>
  <c r="BO1044" i="4"/>
  <c r="BR1044" i="4"/>
  <c r="BS1044" i="4"/>
  <c r="BO1036" i="4"/>
  <c r="BR1036" i="4"/>
  <c r="BS1036" i="4"/>
  <c r="BU1036" i="4"/>
  <c r="BW1036" i="4"/>
  <c r="BO1042" i="4"/>
  <c r="BR1042" i="4"/>
  <c r="BS1042" i="4"/>
  <c r="BU1042" i="4"/>
  <c r="BW1042" i="4"/>
  <c r="BO1023" i="4"/>
  <c r="BR1023" i="4"/>
  <c r="BS1023" i="4"/>
  <c r="BU1023" i="4"/>
  <c r="BW1023" i="4"/>
  <c r="BO1048" i="4"/>
  <c r="BR1048" i="4"/>
  <c r="BS1048" i="4"/>
  <c r="BU1048" i="4"/>
  <c r="BW1048" i="4"/>
  <c r="BR1052" i="4"/>
  <c r="BS1052" i="4"/>
  <c r="BO1052" i="4"/>
  <c r="BU1052" i="4"/>
  <c r="BW1052" i="4"/>
  <c r="BO1022" i="4"/>
  <c r="BR1022" i="4"/>
  <c r="BW1022" i="4"/>
  <c r="BU1022" i="4"/>
  <c r="BS1022" i="4"/>
  <c r="BR1038" i="4"/>
  <c r="BS1038" i="4"/>
  <c r="BU1038" i="4"/>
  <c r="BW1038" i="4"/>
  <c r="BO1038" i="4"/>
  <c r="BO1043" i="4"/>
  <c r="BR1043" i="4"/>
  <c r="BS1043" i="4"/>
  <c r="BU1043" i="4"/>
  <c r="BW1043" i="4"/>
  <c r="BR782" i="4"/>
  <c r="BU782" i="4"/>
  <c r="BW782" i="4"/>
  <c r="BO782" i="4"/>
  <c r="BS782" i="4"/>
  <c r="BU686" i="4"/>
  <c r="BS686" i="4"/>
  <c r="BO686" i="4"/>
  <c r="BR686" i="4"/>
  <c r="BW686" i="4"/>
  <c r="BR759" i="4"/>
  <c r="BS759" i="4"/>
  <c r="BU759" i="4"/>
  <c r="BW759" i="4"/>
  <c r="BO759" i="4"/>
  <c r="BS1183" i="4"/>
  <c r="BU1183" i="4"/>
  <c r="BW1183" i="4"/>
  <c r="BO1183" i="4"/>
  <c r="BR1183" i="4"/>
  <c r="BO1171" i="4"/>
  <c r="BU1171" i="4"/>
  <c r="BW1171" i="4"/>
  <c r="BS1171" i="4"/>
  <c r="BR1171" i="4"/>
  <c r="BO779" i="4"/>
  <c r="BS779" i="4"/>
  <c r="BU779" i="4"/>
  <c r="BW779" i="4"/>
  <c r="BR779" i="4"/>
  <c r="BS1128" i="4"/>
  <c r="BU1128" i="4"/>
  <c r="BO1128" i="4"/>
  <c r="BR1128" i="4"/>
  <c r="BW1128" i="4"/>
  <c r="BO1115" i="4"/>
  <c r="BR1115" i="4"/>
  <c r="BS1115" i="4"/>
  <c r="BU1115" i="4"/>
  <c r="BW1115" i="4"/>
  <c r="BW898" i="4"/>
  <c r="BO898" i="4"/>
  <c r="BR898" i="4"/>
  <c r="BS898" i="4"/>
  <c r="BU898" i="4"/>
  <c r="BW1189" i="4"/>
  <c r="BU1189" i="4"/>
  <c r="BR1189" i="4"/>
  <c r="BS1189" i="4"/>
  <c r="BO1189" i="4"/>
  <c r="BU754" i="4"/>
  <c r="BS754" i="4"/>
  <c r="BW754" i="4"/>
  <c r="BO754" i="4"/>
  <c r="BR754" i="4"/>
  <c r="BU1181" i="4"/>
  <c r="BW1181" i="4"/>
  <c r="BO1181" i="4"/>
  <c r="BS1181" i="4"/>
  <c r="BR1181" i="4"/>
  <c r="BR819" i="4"/>
  <c r="BS819" i="4"/>
  <c r="BO819" i="4"/>
  <c r="BU819" i="4"/>
  <c r="BW819" i="4"/>
  <c r="BS853" i="4"/>
  <c r="BW853" i="4"/>
  <c r="BO853" i="4"/>
  <c r="BR853" i="4"/>
  <c r="BU853" i="4"/>
  <c r="BS1207" i="4"/>
  <c r="BU1207" i="4"/>
  <c r="BO1207" i="4"/>
  <c r="BW1207" i="4"/>
  <c r="BR1207" i="4"/>
  <c r="BO605" i="4"/>
  <c r="BU605" i="4"/>
  <c r="BW605" i="4"/>
  <c r="BR605" i="4"/>
  <c r="BS605" i="4"/>
  <c r="BS1142" i="4"/>
  <c r="BU1142" i="4"/>
  <c r="BW1142" i="4"/>
  <c r="BO1142" i="4"/>
  <c r="BR1142" i="4"/>
  <c r="BS799" i="4"/>
  <c r="BU799" i="4"/>
  <c r="BW799" i="4"/>
  <c r="BR799" i="4"/>
  <c r="BO799" i="4"/>
  <c r="BO1139" i="4"/>
  <c r="BR1139" i="4"/>
  <c r="BS1139" i="4"/>
  <c r="BU1139" i="4"/>
  <c r="BW1139" i="4"/>
  <c r="BO582" i="4"/>
  <c r="BU582" i="4"/>
  <c r="BW582" i="4"/>
  <c r="BR582" i="4"/>
  <c r="BS582" i="4"/>
  <c r="BR824" i="4"/>
  <c r="BS824" i="4"/>
  <c r="BU824" i="4"/>
  <c r="BW824" i="4"/>
  <c r="BO824" i="4"/>
  <c r="BW1194" i="4"/>
  <c r="BO1194" i="4"/>
  <c r="BR1194" i="4"/>
  <c r="BS1194" i="4"/>
  <c r="BU1194" i="4"/>
  <c r="BU558" i="4"/>
  <c r="BO558" i="4"/>
  <c r="BR558" i="4"/>
  <c r="BS558" i="4"/>
  <c r="BW558" i="4"/>
  <c r="BR803" i="4"/>
  <c r="BS803" i="4"/>
  <c r="BO803" i="4"/>
  <c r="BU803" i="4"/>
  <c r="BW803" i="4"/>
  <c r="BO677" i="4"/>
  <c r="BR677" i="4"/>
  <c r="BS677" i="4"/>
  <c r="BU677" i="4"/>
  <c r="BW677" i="4"/>
  <c r="BO656" i="4"/>
  <c r="BW656" i="4"/>
  <c r="BS656" i="4"/>
  <c r="BU656" i="4"/>
  <c r="BR656" i="4"/>
  <c r="BO554" i="4"/>
  <c r="BU554" i="4"/>
  <c r="BW554" i="4"/>
  <c r="BR554" i="4"/>
  <c r="BS554" i="4"/>
  <c r="BO845" i="4"/>
  <c r="BU845" i="4"/>
  <c r="BR845" i="4"/>
  <c r="BS845" i="4"/>
  <c r="BW845" i="4"/>
  <c r="BU820" i="4"/>
  <c r="BR820" i="4"/>
  <c r="BS820" i="4"/>
  <c r="BW820" i="4"/>
  <c r="BO820" i="4"/>
  <c r="BS870" i="4"/>
  <c r="BU870" i="4"/>
  <c r="BW870" i="4"/>
  <c r="BO870" i="4"/>
  <c r="BR870" i="4"/>
  <c r="BU1138" i="4"/>
  <c r="BS1138" i="4"/>
  <c r="BW1138" i="4"/>
  <c r="BO1138" i="4"/>
  <c r="BR1138" i="4"/>
  <c r="BO768" i="4"/>
  <c r="BW768" i="4"/>
  <c r="BR768" i="4"/>
  <c r="BS768" i="4"/>
  <c r="BU768" i="4"/>
  <c r="BW1146" i="4"/>
  <c r="BR1146" i="4"/>
  <c r="BS1146" i="4"/>
  <c r="BU1146" i="4"/>
  <c r="BO1146" i="4"/>
  <c r="BS890" i="4"/>
  <c r="BO890" i="4"/>
  <c r="BR890" i="4"/>
  <c r="BU890" i="4"/>
  <c r="BW890" i="4"/>
  <c r="BW766" i="4"/>
  <c r="BS766" i="4"/>
  <c r="BU766" i="4"/>
  <c r="BO766" i="4"/>
  <c r="BR766" i="4"/>
  <c r="BO927" i="4"/>
  <c r="BR927" i="4"/>
  <c r="BS927" i="4"/>
  <c r="BU927" i="4"/>
  <c r="BW927" i="4"/>
  <c r="BO861" i="4"/>
  <c r="BS861" i="4"/>
  <c r="BU861" i="4"/>
  <c r="BW861" i="4"/>
  <c r="BR861" i="4"/>
  <c r="BO600" i="4"/>
  <c r="BW600" i="4"/>
  <c r="BU600" i="4"/>
  <c r="BR600" i="4"/>
  <c r="BS600" i="4"/>
  <c r="BO885" i="4"/>
  <c r="BR885" i="4"/>
  <c r="BW885" i="4"/>
  <c r="BS885" i="4"/>
  <c r="BU885" i="4"/>
  <c r="BR1144" i="4"/>
  <c r="BS1144" i="4"/>
  <c r="BO1144" i="4"/>
  <c r="BW1144" i="4"/>
  <c r="BU1144" i="4"/>
  <c r="BO682" i="4"/>
  <c r="BR682" i="4"/>
  <c r="BS682" i="4"/>
  <c r="BW682" i="4"/>
  <c r="BU682" i="4"/>
  <c r="BS563" i="4"/>
  <c r="BU563" i="4"/>
  <c r="BW563" i="4"/>
  <c r="BO563" i="4"/>
  <c r="BR563" i="4"/>
  <c r="BO928" i="4"/>
  <c r="BR928" i="4"/>
  <c r="BS928" i="4"/>
  <c r="BU928" i="4"/>
  <c r="BW928" i="4"/>
  <c r="BW855" i="4"/>
  <c r="BU855" i="4"/>
  <c r="BO855" i="4"/>
  <c r="BR855" i="4"/>
  <c r="BS855" i="4"/>
  <c r="BO1177" i="4"/>
  <c r="BW1177" i="4"/>
  <c r="BU1177" i="4"/>
  <c r="BR1177" i="4"/>
  <c r="BS1177" i="4"/>
  <c r="BO664" i="4"/>
  <c r="BR664" i="4"/>
  <c r="BS664" i="4"/>
  <c r="BU664" i="4"/>
  <c r="BW664" i="4"/>
  <c r="BO665" i="4"/>
  <c r="BR665" i="4"/>
  <c r="BW665" i="4"/>
  <c r="BS665" i="4"/>
  <c r="BU665" i="4"/>
  <c r="BS881" i="4"/>
  <c r="BO881" i="4"/>
  <c r="BR881" i="4"/>
  <c r="BU881" i="4"/>
  <c r="BW881" i="4"/>
  <c r="BR651" i="4"/>
  <c r="BO651" i="4"/>
  <c r="BS651" i="4"/>
  <c r="BU651" i="4"/>
  <c r="BW651" i="4"/>
  <c r="BU559" i="4"/>
  <c r="BW559" i="4"/>
  <c r="BR559" i="4"/>
  <c r="BS559" i="4"/>
  <c r="BO559" i="4"/>
  <c r="BU748" i="4"/>
  <c r="BW748" i="4"/>
  <c r="BO748" i="4"/>
  <c r="BR748" i="4"/>
  <c r="BS748" i="4"/>
  <c r="BW828" i="4"/>
  <c r="BO828" i="4"/>
  <c r="BR828" i="4"/>
  <c r="BS828" i="4"/>
  <c r="BU828" i="4"/>
  <c r="BO1179" i="4"/>
  <c r="BU1179" i="4"/>
  <c r="BW1179" i="4"/>
  <c r="BR1179" i="4"/>
  <c r="BS1179" i="4"/>
  <c r="BW1130" i="4"/>
  <c r="BS1130" i="4"/>
  <c r="BU1130" i="4"/>
  <c r="BO1130" i="4"/>
  <c r="BR1130" i="4"/>
  <c r="BO663" i="4"/>
  <c r="BR663" i="4"/>
  <c r="BS663" i="4"/>
  <c r="BW663" i="4"/>
  <c r="BU663" i="4"/>
  <c r="BR787" i="4"/>
  <c r="BS787" i="4"/>
  <c r="BO787" i="4"/>
  <c r="BW787" i="4"/>
  <c r="BU787" i="4"/>
  <c r="BO624" i="4"/>
  <c r="BR624" i="4"/>
  <c r="BS624" i="4"/>
  <c r="BU624" i="4"/>
  <c r="BW624" i="4"/>
  <c r="BS652" i="4"/>
  <c r="BO652" i="4"/>
  <c r="BR652" i="4"/>
  <c r="BW652" i="4"/>
  <c r="BU652" i="4"/>
  <c r="BR595" i="4"/>
  <c r="BS595" i="4"/>
  <c r="BU595" i="4"/>
  <c r="BW595" i="4"/>
  <c r="BO595" i="4"/>
  <c r="BR810" i="4"/>
  <c r="BU810" i="4"/>
  <c r="BO810" i="4"/>
  <c r="BS810" i="4"/>
  <c r="BW810" i="4"/>
  <c r="BU889" i="4"/>
  <c r="BW889" i="4"/>
  <c r="BS889" i="4"/>
  <c r="BO889" i="4"/>
  <c r="BR889" i="4"/>
  <c r="BO627" i="4"/>
  <c r="BR627" i="4"/>
  <c r="BU627" i="4"/>
  <c r="BW627" i="4"/>
  <c r="BS627" i="4"/>
  <c r="BU625" i="4"/>
  <c r="BO625" i="4"/>
  <c r="BR625" i="4"/>
  <c r="BS625" i="4"/>
  <c r="BW625" i="4"/>
  <c r="BW901" i="4"/>
  <c r="BO901" i="4"/>
  <c r="BR901" i="4"/>
  <c r="BS901" i="4"/>
  <c r="BU901" i="4"/>
  <c r="BO1174" i="4"/>
  <c r="BR1174" i="4"/>
  <c r="BS1174" i="4"/>
  <c r="BU1174" i="4"/>
  <c r="BW1174" i="4"/>
  <c r="BR894" i="4"/>
  <c r="BO894" i="4"/>
  <c r="BW894" i="4"/>
  <c r="BS894" i="4"/>
  <c r="BU894" i="4"/>
  <c r="BO751" i="4"/>
  <c r="BS751" i="4"/>
  <c r="BR751" i="4"/>
  <c r="BW751" i="4"/>
  <c r="BU751" i="4"/>
  <c r="BO811" i="4"/>
  <c r="BU811" i="4"/>
  <c r="BW811" i="4"/>
  <c r="BR811" i="4"/>
  <c r="BS811" i="4"/>
  <c r="BO1150" i="4"/>
  <c r="BR1150" i="4"/>
  <c r="BS1150" i="4"/>
  <c r="BU1150" i="4"/>
  <c r="BW1150" i="4"/>
  <c r="BR851" i="4"/>
  <c r="BS851" i="4"/>
  <c r="BW851" i="4"/>
  <c r="BO851" i="4"/>
  <c r="BU851" i="4"/>
  <c r="BO784" i="4"/>
  <c r="BR784" i="4"/>
  <c r="BW784" i="4"/>
  <c r="BS784" i="4"/>
  <c r="BU784" i="4"/>
  <c r="BW924" i="4"/>
  <c r="BR924" i="4"/>
  <c r="BU924" i="4"/>
  <c r="BO924" i="4"/>
  <c r="BS924" i="4"/>
  <c r="BU1126" i="4"/>
  <c r="BW1126" i="4"/>
  <c r="BO1126" i="4"/>
  <c r="BR1126" i="4"/>
  <c r="BS1126" i="4"/>
  <c r="BS670" i="4"/>
  <c r="BO670" i="4"/>
  <c r="BR670" i="4"/>
  <c r="BW670" i="4"/>
  <c r="BU670" i="4"/>
  <c r="BO584" i="4"/>
  <c r="BS584" i="4"/>
  <c r="BR584" i="4"/>
  <c r="BU584" i="4"/>
  <c r="BW584" i="4"/>
  <c r="BU1191" i="4"/>
  <c r="BW1191" i="4"/>
  <c r="BR1191" i="4"/>
  <c r="BS1191" i="4"/>
  <c r="BO1191" i="4"/>
  <c r="BU809" i="4"/>
  <c r="BW809" i="4"/>
  <c r="BO809" i="4"/>
  <c r="BR809" i="4"/>
  <c r="BS809" i="4"/>
  <c r="BR835" i="4"/>
  <c r="BS835" i="4"/>
  <c r="BO835" i="4"/>
  <c r="BU835" i="4"/>
  <c r="BW835" i="4"/>
  <c r="BW752" i="4"/>
  <c r="BU752" i="4"/>
  <c r="BO752" i="4"/>
  <c r="BR752" i="4"/>
  <c r="BS752" i="4"/>
  <c r="BO840" i="4"/>
  <c r="BR840" i="4"/>
  <c r="BS840" i="4"/>
  <c r="BU840" i="4"/>
  <c r="BW840" i="4"/>
  <c r="BW823" i="4"/>
  <c r="BO823" i="4"/>
  <c r="BR823" i="4"/>
  <c r="BU823" i="4"/>
  <c r="BS823" i="4"/>
  <c r="BO756" i="4"/>
  <c r="BR756" i="4"/>
  <c r="BW756" i="4"/>
  <c r="BS756" i="4"/>
  <c r="BU756" i="4"/>
  <c r="BS1151" i="4"/>
  <c r="BO1151" i="4"/>
  <c r="BR1151" i="4"/>
  <c r="BU1151" i="4"/>
  <c r="BW1151" i="4"/>
  <c r="BO592" i="4"/>
  <c r="BR592" i="4"/>
  <c r="BS592" i="4"/>
  <c r="BW592" i="4"/>
  <c r="BU592" i="4"/>
  <c r="BS604" i="4"/>
  <c r="BU604" i="4"/>
  <c r="BW604" i="4"/>
  <c r="BO604" i="4"/>
  <c r="BR604" i="4"/>
  <c r="BO829" i="4"/>
  <c r="BW829" i="4"/>
  <c r="BR829" i="4"/>
  <c r="BU829" i="4"/>
  <c r="BS829" i="4"/>
  <c r="BR555" i="4"/>
  <c r="BW555" i="4"/>
  <c r="BU555" i="4"/>
  <c r="BS555" i="4"/>
  <c r="BO555" i="4"/>
  <c r="BU577" i="4"/>
  <c r="BO577" i="4"/>
  <c r="BR577" i="4"/>
  <c r="BS577" i="4"/>
  <c r="BW577" i="4"/>
  <c r="BO661" i="4"/>
  <c r="BR661" i="4"/>
  <c r="BU661" i="4"/>
  <c r="BW661" i="4"/>
  <c r="BS661" i="4"/>
  <c r="BU777" i="4"/>
  <c r="BW777" i="4"/>
  <c r="BO777" i="4"/>
  <c r="BR777" i="4"/>
  <c r="BS777" i="4"/>
  <c r="BU792" i="4"/>
  <c r="BW792" i="4"/>
  <c r="BO792" i="4"/>
  <c r="BR792" i="4"/>
  <c r="BS792" i="4"/>
  <c r="BU1170" i="4"/>
  <c r="BO1170" i="4"/>
  <c r="BR1170" i="4"/>
  <c r="BS1170" i="4"/>
  <c r="BW1170" i="4"/>
  <c r="BO552" i="4"/>
  <c r="BR552" i="4"/>
  <c r="BS552" i="4"/>
  <c r="BU552" i="4"/>
  <c r="BW552" i="4"/>
  <c r="BW1173" i="4"/>
  <c r="BU1173" i="4"/>
  <c r="BO1173" i="4"/>
  <c r="BR1173" i="4"/>
  <c r="BS1173" i="4"/>
  <c r="BO687" i="4"/>
  <c r="BR687" i="4"/>
  <c r="BS687" i="4"/>
  <c r="BU687" i="4"/>
  <c r="BW687" i="4"/>
  <c r="BO614" i="4"/>
  <c r="BS614" i="4"/>
  <c r="BU614" i="4"/>
  <c r="BR614" i="4"/>
  <c r="BW614" i="4"/>
  <c r="BS930" i="4"/>
  <c r="BU930" i="4"/>
  <c r="BW930" i="4"/>
  <c r="BR930" i="4"/>
  <c r="BO930" i="4"/>
  <c r="BW860" i="4"/>
  <c r="BO860" i="4"/>
  <c r="BR860" i="4"/>
  <c r="BS860" i="4"/>
  <c r="BU860" i="4"/>
  <c r="BW551" i="4"/>
  <c r="BO551" i="4"/>
  <c r="BR551" i="4"/>
  <c r="BU551" i="4"/>
  <c r="BS551" i="4"/>
  <c r="BS918" i="4"/>
  <c r="BU918" i="4"/>
  <c r="BW918" i="4"/>
  <c r="BO918" i="4"/>
  <c r="BR918" i="4"/>
  <c r="BR1164" i="4"/>
  <c r="BO1164" i="4"/>
  <c r="BU1164" i="4"/>
  <c r="BW1164" i="4"/>
  <c r="BS1164" i="4"/>
  <c r="BS1188" i="4"/>
  <c r="BU1188" i="4"/>
  <c r="BR1188" i="4"/>
  <c r="BO1188" i="4"/>
  <c r="BW1188" i="4"/>
  <c r="BR802" i="4"/>
  <c r="BS802" i="4"/>
  <c r="BO802" i="4"/>
  <c r="BU802" i="4"/>
  <c r="BW802" i="4"/>
  <c r="BW602" i="4"/>
  <c r="BU602" i="4"/>
  <c r="BO602" i="4"/>
  <c r="BR602" i="4"/>
  <c r="BS602" i="4"/>
  <c r="BO1196" i="4"/>
  <c r="BS1196" i="4"/>
  <c r="BU1196" i="4"/>
  <c r="BW1196" i="4"/>
  <c r="BR1196" i="4"/>
  <c r="BO816" i="4"/>
  <c r="BR816" i="4"/>
  <c r="BS816" i="4"/>
  <c r="BU816" i="4"/>
  <c r="BW816" i="4"/>
  <c r="BO643" i="4"/>
  <c r="BR643" i="4"/>
  <c r="BS643" i="4"/>
  <c r="BU643" i="4"/>
  <c r="BW643" i="4"/>
  <c r="BO662" i="4"/>
  <c r="BR662" i="4"/>
  <c r="BS662" i="4"/>
  <c r="BU662" i="4"/>
  <c r="BW662" i="4"/>
  <c r="BO1155" i="4"/>
  <c r="BR1155" i="4"/>
  <c r="BW1155" i="4"/>
  <c r="BS1155" i="4"/>
  <c r="BU1155" i="4"/>
  <c r="BW589" i="4"/>
  <c r="BS589" i="4"/>
  <c r="BU589" i="4"/>
  <c r="BO589" i="4"/>
  <c r="BR589" i="4"/>
  <c r="BR1136" i="4"/>
  <c r="BS1136" i="4"/>
  <c r="BU1136" i="4"/>
  <c r="BW1136" i="4"/>
  <c r="BO1136" i="4"/>
  <c r="BR1169" i="4"/>
  <c r="BS1169" i="4"/>
  <c r="BO1169" i="4"/>
  <c r="BU1169" i="4"/>
  <c r="BW1169" i="4"/>
  <c r="BU769" i="4"/>
  <c r="BW769" i="4"/>
  <c r="BS769" i="4"/>
  <c r="BO769" i="4"/>
  <c r="BR769" i="4"/>
  <c r="BS606" i="4"/>
  <c r="BR606" i="4"/>
  <c r="BU606" i="4"/>
  <c r="BW606" i="4"/>
  <c r="BO606" i="4"/>
  <c r="BO598" i="4"/>
  <c r="BR598" i="4"/>
  <c r="BS598" i="4"/>
  <c r="BU598" i="4"/>
  <c r="BW598" i="4"/>
  <c r="BO557" i="4"/>
  <c r="BS557" i="4"/>
  <c r="BR557" i="4"/>
  <c r="BU557" i="4"/>
  <c r="BW557" i="4"/>
  <c r="BU567" i="4"/>
  <c r="BS567" i="4"/>
  <c r="BW567" i="4"/>
  <c r="BR567" i="4"/>
  <c r="BO567" i="4"/>
  <c r="BU655" i="4"/>
  <c r="BW655" i="4"/>
  <c r="BO655" i="4"/>
  <c r="BR655" i="4"/>
  <c r="BS655" i="4"/>
  <c r="BW871" i="4"/>
  <c r="BS871" i="4"/>
  <c r="BU871" i="4"/>
  <c r="BO871" i="4"/>
  <c r="BR871" i="4"/>
  <c r="BR674" i="4"/>
  <c r="BO674" i="4"/>
  <c r="BS674" i="4"/>
  <c r="BU674" i="4"/>
  <c r="BW674" i="4"/>
  <c r="BW1184" i="4"/>
  <c r="BR1184" i="4"/>
  <c r="BS1184" i="4"/>
  <c r="BU1184" i="4"/>
  <c r="BO1184" i="4"/>
  <c r="BW658" i="4"/>
  <c r="BO658" i="4"/>
  <c r="BR658" i="4"/>
  <c r="BU658" i="4"/>
  <c r="BS658" i="4"/>
  <c r="BW1157" i="4"/>
  <c r="BR1157" i="4"/>
  <c r="BS1157" i="4"/>
  <c r="BO1157" i="4"/>
  <c r="BU1157" i="4"/>
  <c r="BS599" i="4"/>
  <c r="BU599" i="4"/>
  <c r="BW599" i="4"/>
  <c r="BO599" i="4"/>
  <c r="BR599" i="4"/>
  <c r="BO678" i="4"/>
  <c r="BS678" i="4"/>
  <c r="BU678" i="4"/>
  <c r="BW678" i="4"/>
  <c r="BR678" i="4"/>
  <c r="BR931" i="4"/>
  <c r="BS931" i="4"/>
  <c r="BO931" i="4"/>
  <c r="BU931" i="4"/>
  <c r="BW931" i="4"/>
  <c r="BS1172" i="4"/>
  <c r="BU1172" i="4"/>
  <c r="BO1172" i="4"/>
  <c r="BR1172" i="4"/>
  <c r="BW1172" i="4"/>
  <c r="BO1147" i="4"/>
  <c r="BR1147" i="4"/>
  <c r="BS1147" i="4"/>
  <c r="BU1147" i="4"/>
  <c r="BW1147" i="4"/>
  <c r="BS1167" i="4"/>
  <c r="BO1167" i="4"/>
  <c r="BW1167" i="4"/>
  <c r="BU1167" i="4"/>
  <c r="BR1167" i="4"/>
  <c r="BR1180" i="4"/>
  <c r="BO1180" i="4"/>
  <c r="BS1180" i="4"/>
  <c r="BU1180" i="4"/>
  <c r="BW1180" i="4"/>
  <c r="BW887" i="4"/>
  <c r="BR887" i="4"/>
  <c r="BS887" i="4"/>
  <c r="BU887" i="4"/>
  <c r="BO887" i="4"/>
  <c r="BO827" i="4"/>
  <c r="BS827" i="4"/>
  <c r="BR827" i="4"/>
  <c r="BU827" i="4"/>
  <c r="BW827" i="4"/>
  <c r="BW1125" i="4"/>
  <c r="BS1125" i="4"/>
  <c r="BO1125" i="4"/>
  <c r="BR1125" i="4"/>
  <c r="BU1125" i="4"/>
  <c r="BO805" i="4"/>
  <c r="BR805" i="4"/>
  <c r="BS805" i="4"/>
  <c r="BU805" i="4"/>
  <c r="BW805" i="4"/>
  <c r="BU804" i="4"/>
  <c r="BS804" i="4"/>
  <c r="BW804" i="4"/>
  <c r="BO804" i="4"/>
  <c r="BR804" i="4"/>
  <c r="BU1175" i="4"/>
  <c r="BW1175" i="4"/>
  <c r="BS1175" i="4"/>
  <c r="BO1175" i="4"/>
  <c r="BR1175" i="4"/>
  <c r="BS1120" i="4"/>
  <c r="BU1120" i="4"/>
  <c r="BW1120" i="4"/>
  <c r="BO1120" i="4"/>
  <c r="BR1120" i="4"/>
  <c r="BU778" i="4"/>
  <c r="BW778" i="4"/>
  <c r="BO778" i="4"/>
  <c r="BR778" i="4"/>
  <c r="BS778" i="4"/>
  <c r="BR798" i="4"/>
  <c r="BS798" i="4"/>
  <c r="BU798" i="4"/>
  <c r="BO798" i="4"/>
  <c r="BW798" i="4"/>
  <c r="BR560" i="4"/>
  <c r="BW560" i="4"/>
  <c r="BO560" i="4"/>
  <c r="BS560" i="4"/>
  <c r="BU560" i="4"/>
  <c r="BS1140" i="4"/>
  <c r="BU1140" i="4"/>
  <c r="BO1140" i="4"/>
  <c r="BR1140" i="4"/>
  <c r="BW1140" i="4"/>
  <c r="BO1161" i="4"/>
  <c r="BU1161" i="4"/>
  <c r="BW1161" i="4"/>
  <c r="BR1161" i="4"/>
  <c r="BS1161" i="4"/>
  <c r="BR814" i="4"/>
  <c r="BO814" i="4"/>
  <c r="BS814" i="4"/>
  <c r="BU814" i="4"/>
  <c r="BW814" i="4"/>
  <c r="BW919" i="4"/>
  <c r="BO919" i="4"/>
  <c r="BR919" i="4"/>
  <c r="BS919" i="4"/>
  <c r="BU919" i="4"/>
  <c r="BS747" i="4"/>
  <c r="BR747" i="4"/>
  <c r="BU747" i="4"/>
  <c r="BW747" i="4"/>
  <c r="BO747" i="4"/>
  <c r="BW578" i="4"/>
  <c r="BR578" i="4"/>
  <c r="BS578" i="4"/>
  <c r="BO578" i="4"/>
  <c r="BU578" i="4"/>
  <c r="BW642" i="4"/>
  <c r="BO642" i="4"/>
  <c r="BR642" i="4"/>
  <c r="BS642" i="4"/>
  <c r="BU642" i="4"/>
  <c r="BR830" i="4"/>
  <c r="BW830" i="4"/>
  <c r="BS830" i="4"/>
  <c r="BU830" i="4"/>
  <c r="BO830" i="4"/>
  <c r="BU852" i="4"/>
  <c r="BO852" i="4"/>
  <c r="BR852" i="4"/>
  <c r="BS852" i="4"/>
  <c r="BW852" i="4"/>
  <c r="BO909" i="4"/>
  <c r="BS909" i="4"/>
  <c r="BU909" i="4"/>
  <c r="BR909" i="4"/>
  <c r="BW909" i="4"/>
  <c r="BU1159" i="4"/>
  <c r="BW1159" i="4"/>
  <c r="BO1159" i="4"/>
  <c r="BR1159" i="4"/>
  <c r="BS1159" i="4"/>
  <c r="BU836" i="4"/>
  <c r="BO836" i="4"/>
  <c r="BR836" i="4"/>
  <c r="BS836" i="4"/>
  <c r="BW836" i="4"/>
  <c r="BO771" i="4"/>
  <c r="BR771" i="4"/>
  <c r="BW771" i="4"/>
  <c r="BS771" i="4"/>
  <c r="BU771" i="4"/>
  <c r="BW892" i="4"/>
  <c r="BU892" i="4"/>
  <c r="BO892" i="4"/>
  <c r="BR892" i="4"/>
  <c r="BS892" i="4"/>
  <c r="BW866" i="4"/>
  <c r="BR866" i="4"/>
  <c r="BU866" i="4"/>
  <c r="BS866" i="4"/>
  <c r="BO866" i="4"/>
  <c r="BR649" i="4"/>
  <c r="BW649" i="4"/>
  <c r="BO649" i="4"/>
  <c r="BS649" i="4"/>
  <c r="BU649" i="4"/>
  <c r="BO795" i="4"/>
  <c r="BS795" i="4"/>
  <c r="BU795" i="4"/>
  <c r="BR795" i="4"/>
  <c r="BW795" i="4"/>
  <c r="BO772" i="4"/>
  <c r="BS772" i="4"/>
  <c r="BU772" i="4"/>
  <c r="BW772" i="4"/>
  <c r="BR772" i="4"/>
  <c r="BS588" i="4"/>
  <c r="BO588" i="4"/>
  <c r="BR588" i="4"/>
  <c r="BW588" i="4"/>
  <c r="BU588" i="4"/>
  <c r="BO872" i="4"/>
  <c r="BR872" i="4"/>
  <c r="BU872" i="4"/>
  <c r="BW872" i="4"/>
  <c r="BS872" i="4"/>
  <c r="BR1153" i="4"/>
  <c r="BS1153" i="4"/>
  <c r="BO1153" i="4"/>
  <c r="BU1153" i="4"/>
  <c r="BW1153" i="4"/>
  <c r="BO923" i="4"/>
  <c r="BR923" i="4"/>
  <c r="BS923" i="4"/>
  <c r="BU923" i="4"/>
  <c r="BW923" i="4"/>
  <c r="BO556" i="4"/>
  <c r="BR556" i="4"/>
  <c r="BS556" i="4"/>
  <c r="BU556" i="4"/>
  <c r="BW556" i="4"/>
  <c r="BS806" i="4"/>
  <c r="BU806" i="4"/>
  <c r="BO806" i="4"/>
  <c r="BR806" i="4"/>
  <c r="BW806" i="4"/>
  <c r="BO896" i="4"/>
  <c r="BR896" i="4"/>
  <c r="BW896" i="4"/>
  <c r="BU896" i="4"/>
  <c r="BS896" i="4"/>
  <c r="BW676" i="4"/>
  <c r="BU676" i="4"/>
  <c r="BS676" i="4"/>
  <c r="BR676" i="4"/>
  <c r="BO676" i="4"/>
  <c r="BO632" i="4"/>
  <c r="BS632" i="4"/>
  <c r="BU632" i="4"/>
  <c r="BR632" i="4"/>
  <c r="BW632" i="4"/>
  <c r="BW580" i="4"/>
  <c r="BO580" i="4"/>
  <c r="BR580" i="4"/>
  <c r="BS580" i="4"/>
  <c r="BU580" i="4"/>
  <c r="BO1152" i="4"/>
  <c r="BR1152" i="4"/>
  <c r="BS1152" i="4"/>
  <c r="BU1152" i="4"/>
  <c r="BW1152" i="4"/>
  <c r="BS849" i="4"/>
  <c r="BU849" i="4"/>
  <c r="BO849" i="4"/>
  <c r="BW849" i="4"/>
  <c r="BR849" i="4"/>
  <c r="BO859" i="4"/>
  <c r="BU859" i="4"/>
  <c r="BW859" i="4"/>
  <c r="BR859" i="4"/>
  <c r="BS859" i="4"/>
  <c r="BO1198" i="4"/>
  <c r="BR1198" i="4"/>
  <c r="BS1198" i="4"/>
  <c r="BU1198" i="4"/>
  <c r="BW1198" i="4"/>
  <c r="BS902" i="4"/>
  <c r="BU902" i="4"/>
  <c r="BO902" i="4"/>
  <c r="BR902" i="4"/>
  <c r="BW902" i="4"/>
  <c r="BO1203" i="4"/>
  <c r="BR1203" i="4"/>
  <c r="BS1203" i="4"/>
  <c r="BW1203" i="4"/>
  <c r="BU1203" i="4"/>
  <c r="BO1145" i="4"/>
  <c r="BW1145" i="4"/>
  <c r="BR1145" i="4"/>
  <c r="BS1145" i="4"/>
  <c r="BU1145" i="4"/>
  <c r="BO797" i="4"/>
  <c r="BR797" i="4"/>
  <c r="BS797" i="4"/>
  <c r="BU797" i="4"/>
  <c r="BW797" i="4"/>
  <c r="BU793" i="4"/>
  <c r="BW793" i="4"/>
  <c r="BO793" i="4"/>
  <c r="BR793" i="4"/>
  <c r="BS793" i="4"/>
  <c r="BO888" i="4"/>
  <c r="BW888" i="4"/>
  <c r="BS888" i="4"/>
  <c r="BU888" i="4"/>
  <c r="BR888" i="4"/>
  <c r="BS659" i="4"/>
  <c r="BU659" i="4"/>
  <c r="BO659" i="4"/>
  <c r="BR659" i="4"/>
  <c r="BW659" i="4"/>
  <c r="BS929" i="4"/>
  <c r="BO929" i="4"/>
  <c r="BR929" i="4"/>
  <c r="BW929" i="4"/>
  <c r="BU929" i="4"/>
  <c r="BR899" i="4"/>
  <c r="BS899" i="4"/>
  <c r="BO899" i="4"/>
  <c r="BU899" i="4"/>
  <c r="BW899" i="4"/>
  <c r="BS629" i="4"/>
  <c r="BO629" i="4"/>
  <c r="BR629" i="4"/>
  <c r="BU629" i="4"/>
  <c r="BW629" i="4"/>
  <c r="BS671" i="4"/>
  <c r="BU671" i="4"/>
  <c r="BW671" i="4"/>
  <c r="BO671" i="4"/>
  <c r="BR671" i="4"/>
  <c r="BS838" i="4"/>
  <c r="BU838" i="4"/>
  <c r="BO838" i="4"/>
  <c r="BW838" i="4"/>
  <c r="BR838" i="4"/>
  <c r="BS794" i="4"/>
  <c r="BU794" i="4"/>
  <c r="BO794" i="4"/>
  <c r="BR794" i="4"/>
  <c r="BW794" i="4"/>
  <c r="BS854" i="4"/>
  <c r="BU854" i="4"/>
  <c r="BO854" i="4"/>
  <c r="BR854" i="4"/>
  <c r="BW854" i="4"/>
  <c r="BO583" i="4"/>
  <c r="BR583" i="4"/>
  <c r="BS583" i="4"/>
  <c r="BW583" i="4"/>
  <c r="BU583" i="4"/>
  <c r="BU921" i="4"/>
  <c r="BW921" i="4"/>
  <c r="BO921" i="4"/>
  <c r="BR921" i="4"/>
  <c r="BS921" i="4"/>
  <c r="BU575" i="4"/>
  <c r="BR575" i="4"/>
  <c r="BS575" i="4"/>
  <c r="BW575" i="4"/>
  <c r="BO575" i="4"/>
  <c r="BR683" i="4"/>
  <c r="BU683" i="4"/>
  <c r="BW683" i="4"/>
  <c r="BO683" i="4"/>
  <c r="BS683" i="4"/>
  <c r="BO917" i="4"/>
  <c r="BR917" i="4"/>
  <c r="BU917" i="4"/>
  <c r="BW917" i="4"/>
  <c r="BS917" i="4"/>
  <c r="BU623" i="4"/>
  <c r="BO623" i="4"/>
  <c r="BR623" i="4"/>
  <c r="BW623" i="4"/>
  <c r="BS623" i="4"/>
  <c r="BW1178" i="4"/>
  <c r="BO1178" i="4"/>
  <c r="BR1178" i="4"/>
  <c r="BS1178" i="4"/>
  <c r="BU1178" i="4"/>
  <c r="BS666" i="4"/>
  <c r="BU666" i="4"/>
  <c r="BO666" i="4"/>
  <c r="BW666" i="4"/>
  <c r="BR666" i="4"/>
  <c r="BR601" i="4"/>
  <c r="BO601" i="4"/>
  <c r="BS601" i="4"/>
  <c r="BU601" i="4"/>
  <c r="BW601" i="4"/>
  <c r="BS833" i="4"/>
  <c r="BW833" i="4"/>
  <c r="BU833" i="4"/>
  <c r="BR833" i="4"/>
  <c r="BO833" i="4"/>
  <c r="BO618" i="4"/>
  <c r="BU618" i="4"/>
  <c r="BW618" i="4"/>
  <c r="BR618" i="4"/>
  <c r="BS618" i="4"/>
  <c r="BS636" i="4"/>
  <c r="BW636" i="4"/>
  <c r="BO636" i="4"/>
  <c r="BR636" i="4"/>
  <c r="BU636" i="4"/>
  <c r="BO616" i="4"/>
  <c r="BS616" i="4"/>
  <c r="BU616" i="4"/>
  <c r="BW616" i="4"/>
  <c r="BR616" i="4"/>
  <c r="BW775" i="4"/>
  <c r="BO775" i="4"/>
  <c r="BR775" i="4"/>
  <c r="BU775" i="4"/>
  <c r="BS775" i="4"/>
  <c r="BU1149" i="4"/>
  <c r="BW1149" i="4"/>
  <c r="BR1149" i="4"/>
  <c r="BS1149" i="4"/>
  <c r="BO1149" i="4"/>
  <c r="BR570" i="4"/>
  <c r="BU570" i="4"/>
  <c r="BS570" i="4"/>
  <c r="BW570" i="4"/>
  <c r="BO570" i="4"/>
  <c r="BR633" i="4"/>
  <c r="BW633" i="4"/>
  <c r="BO633" i="4"/>
  <c r="BS633" i="4"/>
  <c r="BU633" i="4"/>
  <c r="BU914" i="4"/>
  <c r="BW914" i="4"/>
  <c r="BS914" i="4"/>
  <c r="BO914" i="4"/>
  <c r="BR914" i="4"/>
  <c r="BO783" i="4"/>
  <c r="BR783" i="4"/>
  <c r="BS783" i="4"/>
  <c r="BU783" i="4"/>
  <c r="BW783" i="4"/>
  <c r="BU922" i="4"/>
  <c r="BW922" i="4"/>
  <c r="BR922" i="4"/>
  <c r="BS922" i="4"/>
  <c r="BO922" i="4"/>
  <c r="BW611" i="4"/>
  <c r="BO611" i="4"/>
  <c r="BR611" i="4"/>
  <c r="BS611" i="4"/>
  <c r="BU611" i="4"/>
  <c r="BR910" i="4"/>
  <c r="BW910" i="4"/>
  <c r="BU910" i="4"/>
  <c r="BO910" i="4"/>
  <c r="BS910" i="4"/>
  <c r="BU657" i="4"/>
  <c r="BO657" i="4"/>
  <c r="BR657" i="4"/>
  <c r="BS657" i="4"/>
  <c r="BW657" i="4"/>
  <c r="BO781" i="4"/>
  <c r="BR781" i="4"/>
  <c r="BS781" i="4"/>
  <c r="BU781" i="4"/>
  <c r="BW781" i="4"/>
  <c r="BU788" i="4"/>
  <c r="BW788" i="4"/>
  <c r="BS788" i="4"/>
  <c r="BR788" i="4"/>
  <c r="BO788" i="4"/>
  <c r="BO561" i="4"/>
  <c r="BS561" i="4"/>
  <c r="BU561" i="4"/>
  <c r="BW561" i="4"/>
  <c r="BR561" i="4"/>
  <c r="BO1201" i="4"/>
  <c r="BR1201" i="4"/>
  <c r="BS1201" i="4"/>
  <c r="BU1201" i="4"/>
  <c r="BW1201" i="4"/>
  <c r="BU609" i="4"/>
  <c r="BO609" i="4"/>
  <c r="BR609" i="4"/>
  <c r="BW609" i="4"/>
  <c r="BS609" i="4"/>
  <c r="BO877" i="4"/>
  <c r="BR877" i="4"/>
  <c r="BS877" i="4"/>
  <c r="BU877" i="4"/>
  <c r="BW877" i="4"/>
  <c r="BR586" i="4"/>
  <c r="BS586" i="4"/>
  <c r="BU586" i="4"/>
  <c r="BO586" i="4"/>
  <c r="BW586" i="4"/>
  <c r="BO1133" i="4"/>
  <c r="BR1133" i="4"/>
  <c r="BS1133" i="4"/>
  <c r="BU1133" i="4"/>
  <c r="BW1133" i="4"/>
  <c r="BR1132" i="4"/>
  <c r="BS1132" i="4"/>
  <c r="BU1132" i="4"/>
  <c r="BW1132" i="4"/>
  <c r="BO1132" i="4"/>
  <c r="BW612" i="4"/>
  <c r="BO612" i="4"/>
  <c r="BR612" i="4"/>
  <c r="BS612" i="4"/>
  <c r="BU612" i="4"/>
  <c r="BO1190" i="4"/>
  <c r="BR1190" i="4"/>
  <c r="BS1190" i="4"/>
  <c r="BU1190" i="4"/>
  <c r="BW1190" i="4"/>
  <c r="BR862" i="4"/>
  <c r="BO862" i="4"/>
  <c r="BS862" i="4"/>
  <c r="BU862" i="4"/>
  <c r="BW862" i="4"/>
  <c r="BO645" i="4"/>
  <c r="BU645" i="4"/>
  <c r="BW645" i="4"/>
  <c r="BR645" i="4"/>
  <c r="BS645" i="4"/>
  <c r="BR667" i="4"/>
  <c r="BS667" i="4"/>
  <c r="BU667" i="4"/>
  <c r="BO667" i="4"/>
  <c r="BW667" i="4"/>
  <c r="BS786" i="4"/>
  <c r="BU786" i="4"/>
  <c r="BO786" i="4"/>
  <c r="BR786" i="4"/>
  <c r="BW786" i="4"/>
  <c r="BS865" i="4"/>
  <c r="BR865" i="4"/>
  <c r="BU865" i="4"/>
  <c r="BW865" i="4"/>
  <c r="BO865" i="4"/>
  <c r="BW1117" i="4"/>
  <c r="BO1117" i="4"/>
  <c r="BR1117" i="4"/>
  <c r="BS1117" i="4"/>
  <c r="BU1117" i="4"/>
  <c r="BW839" i="4"/>
  <c r="BO839" i="4"/>
  <c r="BU839" i="4"/>
  <c r="BR839" i="4"/>
  <c r="BS839" i="4"/>
  <c r="BW807" i="4"/>
  <c r="BU807" i="4"/>
  <c r="BO807" i="4"/>
  <c r="BR807" i="4"/>
  <c r="BS807" i="4"/>
  <c r="BO650" i="4"/>
  <c r="BW650" i="4"/>
  <c r="BR650" i="4"/>
  <c r="BS650" i="4"/>
  <c r="BU650" i="4"/>
  <c r="BS615" i="4"/>
  <c r="BU615" i="4"/>
  <c r="BW615" i="4"/>
  <c r="BO615" i="4"/>
  <c r="BR615" i="4"/>
  <c r="BS774" i="4"/>
  <c r="BU774" i="4"/>
  <c r="BW774" i="4"/>
  <c r="BO774" i="4"/>
  <c r="BR774" i="4"/>
  <c r="BO821" i="4"/>
  <c r="BW821" i="4"/>
  <c r="BU821" i="4"/>
  <c r="BR821" i="4"/>
  <c r="BS821" i="4"/>
  <c r="BO911" i="4"/>
  <c r="BR911" i="4"/>
  <c r="BS911" i="4"/>
  <c r="BU911" i="4"/>
  <c r="BW911" i="4"/>
  <c r="BU905" i="4"/>
  <c r="BW905" i="4"/>
  <c r="BR905" i="4"/>
  <c r="BS905" i="4"/>
  <c r="BO905" i="4"/>
  <c r="BO1131" i="4"/>
  <c r="BR1131" i="4"/>
  <c r="BS1131" i="4"/>
  <c r="BU1131" i="4"/>
  <c r="BW1131" i="4"/>
  <c r="BR1185" i="4"/>
  <c r="BS1185" i="4"/>
  <c r="BW1185" i="4"/>
  <c r="BO1185" i="4"/>
  <c r="BU1185" i="4"/>
  <c r="BO653" i="4"/>
  <c r="BW653" i="4"/>
  <c r="BR653" i="4"/>
  <c r="BU653" i="4"/>
  <c r="BS653" i="4"/>
  <c r="BU916" i="4"/>
  <c r="BS916" i="4"/>
  <c r="BO916" i="4"/>
  <c r="BR916" i="4"/>
  <c r="BW916" i="4"/>
  <c r="BR564" i="4"/>
  <c r="BO564" i="4"/>
  <c r="BU564" i="4"/>
  <c r="BW564" i="4"/>
  <c r="BS564" i="4"/>
  <c r="BO679" i="4"/>
  <c r="BR679" i="4"/>
  <c r="BU679" i="4"/>
  <c r="BW679" i="4"/>
  <c r="BS679" i="4"/>
  <c r="BS638" i="4"/>
  <c r="BO638" i="4"/>
  <c r="BR638" i="4"/>
  <c r="BU638" i="4"/>
  <c r="BW638" i="4"/>
  <c r="BS574" i="4"/>
  <c r="BO574" i="4"/>
  <c r="BR574" i="4"/>
  <c r="BU574" i="4"/>
  <c r="BW574" i="4"/>
  <c r="BO573" i="4"/>
  <c r="BR573" i="4"/>
  <c r="BW573" i="4"/>
  <c r="BS573" i="4"/>
  <c r="BU573" i="4"/>
  <c r="BO864" i="4"/>
  <c r="BR864" i="4"/>
  <c r="BS864" i="4"/>
  <c r="BU864" i="4"/>
  <c r="BW864" i="4"/>
  <c r="BW908" i="4"/>
  <c r="BS908" i="4"/>
  <c r="BO908" i="4"/>
  <c r="BR908" i="4"/>
  <c r="BU908" i="4"/>
  <c r="BU857" i="4"/>
  <c r="BW857" i="4"/>
  <c r="BR857" i="4"/>
  <c r="BS857" i="4"/>
  <c r="BO857" i="4"/>
  <c r="BS842" i="4"/>
  <c r="BU842" i="4"/>
  <c r="BO842" i="4"/>
  <c r="BR842" i="4"/>
  <c r="BW842" i="4"/>
  <c r="BW1208" i="4"/>
  <c r="BU1208" i="4"/>
  <c r="BO1208" i="4"/>
  <c r="BR1208" i="4"/>
  <c r="BS1208" i="4"/>
  <c r="BO1123" i="4"/>
  <c r="BR1123" i="4"/>
  <c r="BS1123" i="4"/>
  <c r="BU1123" i="4"/>
  <c r="BW1123" i="4"/>
  <c r="BW668" i="4"/>
  <c r="BO668" i="4"/>
  <c r="BS668" i="4"/>
  <c r="BU668" i="4"/>
  <c r="BR668" i="4"/>
  <c r="BS785" i="4"/>
  <c r="BO785" i="4"/>
  <c r="BR785" i="4"/>
  <c r="BU785" i="4"/>
  <c r="BW785" i="4"/>
  <c r="BU900" i="4"/>
  <c r="BW900" i="4"/>
  <c r="BO900" i="4"/>
  <c r="BR900" i="4"/>
  <c r="BS900" i="4"/>
  <c r="BO681" i="4"/>
  <c r="BW681" i="4"/>
  <c r="BR681" i="4"/>
  <c r="BS681" i="4"/>
  <c r="BU681" i="4"/>
  <c r="BU868" i="4"/>
  <c r="BO868" i="4"/>
  <c r="BR868" i="4"/>
  <c r="BW868" i="4"/>
  <c r="BS868" i="4"/>
  <c r="BU841" i="4"/>
  <c r="BW841" i="4"/>
  <c r="BS841" i="4"/>
  <c r="BO841" i="4"/>
  <c r="BR841" i="4"/>
  <c r="BR619" i="4"/>
  <c r="BO619" i="4"/>
  <c r="BS619" i="4"/>
  <c r="BU619" i="4"/>
  <c r="BW619" i="4"/>
  <c r="BR1116" i="4"/>
  <c r="BU1116" i="4"/>
  <c r="BW1116" i="4"/>
  <c r="BO1116" i="4"/>
  <c r="BS1116" i="4"/>
  <c r="BW796" i="4"/>
  <c r="BS796" i="4"/>
  <c r="BU796" i="4"/>
  <c r="BR796" i="4"/>
  <c r="BO796" i="4"/>
  <c r="BO562" i="4"/>
  <c r="BU562" i="4"/>
  <c r="BW562" i="4"/>
  <c r="BS562" i="4"/>
  <c r="BR562" i="4"/>
  <c r="BW780" i="4"/>
  <c r="BU780" i="4"/>
  <c r="BS780" i="4"/>
  <c r="BO780" i="4"/>
  <c r="BR780" i="4"/>
  <c r="BO1206" i="4"/>
  <c r="BR1206" i="4"/>
  <c r="BW1206" i="4"/>
  <c r="BS1206" i="4"/>
  <c r="BU1206" i="4"/>
  <c r="BW610" i="4"/>
  <c r="BO610" i="4"/>
  <c r="BR610" i="4"/>
  <c r="BU610" i="4"/>
  <c r="BS610" i="4"/>
  <c r="BW569" i="4"/>
  <c r="BR569" i="4"/>
  <c r="BS569" i="4"/>
  <c r="BO569" i="4"/>
  <c r="BU569" i="4"/>
  <c r="BO1160" i="4"/>
  <c r="BR1160" i="4"/>
  <c r="BU1160" i="4"/>
  <c r="BS1160" i="4"/>
  <c r="BW1160" i="4"/>
  <c r="BR597" i="4"/>
  <c r="BS597" i="4"/>
  <c r="BU597" i="4"/>
  <c r="BW597" i="4"/>
  <c r="BO597" i="4"/>
  <c r="BO634" i="4"/>
  <c r="BR634" i="4"/>
  <c r="BU634" i="4"/>
  <c r="BW634" i="4"/>
  <c r="BS634" i="4"/>
  <c r="BS1192" i="4"/>
  <c r="BU1192" i="4"/>
  <c r="BW1192" i="4"/>
  <c r="BO1192" i="4"/>
  <c r="BR1192" i="4"/>
  <c r="BU884" i="4"/>
  <c r="BO884" i="4"/>
  <c r="BR884" i="4"/>
  <c r="BW884" i="4"/>
  <c r="BS884" i="4"/>
  <c r="BW831" i="4"/>
  <c r="BO831" i="4"/>
  <c r="BR831" i="4"/>
  <c r="BS831" i="4"/>
  <c r="BU831" i="4"/>
  <c r="BO646" i="4"/>
  <c r="BS646" i="4"/>
  <c r="BW646" i="4"/>
  <c r="BU646" i="4"/>
  <c r="BR646" i="4"/>
  <c r="BR869" i="4"/>
  <c r="BO869" i="4"/>
  <c r="BS869" i="4"/>
  <c r="BU869" i="4"/>
  <c r="BW869" i="4"/>
  <c r="BU641" i="4"/>
  <c r="BO641" i="4"/>
  <c r="BR641" i="4"/>
  <c r="BS641" i="4"/>
  <c r="BW641" i="4"/>
  <c r="BR608" i="4"/>
  <c r="BS608" i="4"/>
  <c r="BU608" i="4"/>
  <c r="BW608" i="4"/>
  <c r="BO608" i="4"/>
  <c r="BO875" i="4"/>
  <c r="BS875" i="4"/>
  <c r="BU875" i="4"/>
  <c r="BW875" i="4"/>
  <c r="BR875" i="4"/>
  <c r="BU591" i="4"/>
  <c r="BO591" i="4"/>
  <c r="BR591" i="4"/>
  <c r="BS591" i="4"/>
  <c r="BW591" i="4"/>
  <c r="BR878" i="4"/>
  <c r="BW878" i="4"/>
  <c r="BO878" i="4"/>
  <c r="BS878" i="4"/>
  <c r="BU878" i="4"/>
  <c r="BO579" i="4"/>
  <c r="BR579" i="4"/>
  <c r="BS579" i="4"/>
  <c r="BU579" i="4"/>
  <c r="BW579" i="4"/>
  <c r="BS762" i="4"/>
  <c r="BU762" i="4"/>
  <c r="BO762" i="4"/>
  <c r="BR762" i="4"/>
  <c r="BW762" i="4"/>
  <c r="BO789" i="4"/>
  <c r="BR789" i="4"/>
  <c r="BS789" i="4"/>
  <c r="BU789" i="4"/>
  <c r="BW789" i="4"/>
  <c r="BR550" i="4"/>
  <c r="BO550" i="4"/>
  <c r="BW550" i="4"/>
  <c r="BS550" i="4"/>
  <c r="BU550" i="4"/>
  <c r="BW1162" i="4"/>
  <c r="BO1162" i="4"/>
  <c r="BR1162" i="4"/>
  <c r="BS1162" i="4"/>
  <c r="BU1162" i="4"/>
  <c r="BO680" i="4"/>
  <c r="BR680" i="4"/>
  <c r="BS680" i="4"/>
  <c r="BW680" i="4"/>
  <c r="BU680" i="4"/>
  <c r="BR585" i="4"/>
  <c r="BW585" i="4"/>
  <c r="BO585" i="4"/>
  <c r="BU585" i="4"/>
  <c r="BS585" i="4"/>
  <c r="BW621" i="4"/>
  <c r="BR621" i="4"/>
  <c r="BU621" i="4"/>
  <c r="BO621" i="4"/>
  <c r="BS621" i="4"/>
  <c r="BW660" i="4"/>
  <c r="BO660" i="4"/>
  <c r="BS660" i="4"/>
  <c r="BU660" i="4"/>
  <c r="BR660" i="4"/>
  <c r="BW903" i="4"/>
  <c r="BO903" i="4"/>
  <c r="BR903" i="4"/>
  <c r="BS903" i="4"/>
  <c r="BU903" i="4"/>
  <c r="BS858" i="4"/>
  <c r="BU858" i="4"/>
  <c r="BW858" i="4"/>
  <c r="BO858" i="4"/>
  <c r="BR858" i="4"/>
  <c r="BO925" i="4"/>
  <c r="BR925" i="4"/>
  <c r="BS925" i="4"/>
  <c r="BU925" i="4"/>
  <c r="BW925" i="4"/>
  <c r="BW812" i="4"/>
  <c r="BR812" i="4"/>
  <c r="BS812" i="4"/>
  <c r="BU812" i="4"/>
  <c r="BO812" i="4"/>
  <c r="BW553" i="4"/>
  <c r="BR553" i="4"/>
  <c r="BS553" i="4"/>
  <c r="BU553" i="4"/>
  <c r="BO553" i="4"/>
  <c r="BO813" i="4"/>
  <c r="BR813" i="4"/>
  <c r="BW813" i="4"/>
  <c r="BS813" i="4"/>
  <c r="BU813" i="4"/>
  <c r="BS590" i="4"/>
  <c r="BO590" i="4"/>
  <c r="BR590" i="4"/>
  <c r="BW590" i="4"/>
  <c r="BU590" i="4"/>
  <c r="BU904" i="4"/>
  <c r="BO904" i="4"/>
  <c r="BR904" i="4"/>
  <c r="BS904" i="4"/>
  <c r="BW904" i="4"/>
  <c r="BW1197" i="4"/>
  <c r="BR1197" i="4"/>
  <c r="BS1197" i="4"/>
  <c r="BU1197" i="4"/>
  <c r="BO1197" i="4"/>
  <c r="BO755" i="4"/>
  <c r="BR755" i="4"/>
  <c r="BU755" i="4"/>
  <c r="BW755" i="4"/>
  <c r="BS755" i="4"/>
  <c r="BO893" i="4"/>
  <c r="BW893" i="4"/>
  <c r="BR893" i="4"/>
  <c r="BS893" i="4"/>
  <c r="BU893" i="4"/>
  <c r="BR1204" i="4"/>
  <c r="BS1204" i="4"/>
  <c r="BO1204" i="4"/>
  <c r="BU1204" i="4"/>
  <c r="BW1204" i="4"/>
  <c r="BR926" i="4"/>
  <c r="BU926" i="4"/>
  <c r="BW926" i="4"/>
  <c r="BO926" i="4"/>
  <c r="BS926" i="4"/>
  <c r="BS808" i="4"/>
  <c r="BU808" i="4"/>
  <c r="BW808" i="4"/>
  <c r="BO808" i="4"/>
  <c r="BR808" i="4"/>
  <c r="BS1135" i="4"/>
  <c r="BO1135" i="4"/>
  <c r="BR1135" i="4"/>
  <c r="BU1135" i="4"/>
  <c r="BW1135" i="4"/>
  <c r="BO1118" i="4"/>
  <c r="BR1118" i="4"/>
  <c r="BW1118" i="4"/>
  <c r="BS1118" i="4"/>
  <c r="BU1118" i="4"/>
  <c r="BU815" i="4"/>
  <c r="BS815" i="4"/>
  <c r="BW815" i="4"/>
  <c r="BO815" i="4"/>
  <c r="BR815" i="4"/>
  <c r="BO1193" i="4"/>
  <c r="BU1193" i="4"/>
  <c r="BW1193" i="4"/>
  <c r="BR1193" i="4"/>
  <c r="BS1193" i="4"/>
  <c r="BS1187" i="4"/>
  <c r="BU1187" i="4"/>
  <c r="BO1187" i="4"/>
  <c r="BR1187" i="4"/>
  <c r="BW1187" i="4"/>
  <c r="BW1165" i="4"/>
  <c r="BS1165" i="4"/>
  <c r="BR1165" i="4"/>
  <c r="BO1165" i="4"/>
  <c r="BU1165" i="4"/>
  <c r="BS790" i="4"/>
  <c r="BU790" i="4"/>
  <c r="BR790" i="4"/>
  <c r="BW790" i="4"/>
  <c r="BO790" i="4"/>
  <c r="BS801" i="4"/>
  <c r="BO801" i="4"/>
  <c r="BR801" i="4"/>
  <c r="BW801" i="4"/>
  <c r="BU801" i="4"/>
  <c r="BU1154" i="4"/>
  <c r="BR1154" i="4"/>
  <c r="BS1154" i="4"/>
  <c r="BW1154" i="4"/>
  <c r="BO1154" i="4"/>
  <c r="BW746" i="4"/>
  <c r="BU746" i="4"/>
  <c r="BS746" i="4"/>
  <c r="BR746" i="4"/>
  <c r="BO746" i="4"/>
  <c r="BR867" i="4"/>
  <c r="BS867" i="4"/>
  <c r="BU867" i="4"/>
  <c r="BW867" i="4"/>
  <c r="BO867" i="4"/>
  <c r="BU1122" i="4"/>
  <c r="BW1122" i="4"/>
  <c r="BO1122" i="4"/>
  <c r="BR1122" i="4"/>
  <c r="BS1122" i="4"/>
  <c r="BW596" i="4"/>
  <c r="BR596" i="4"/>
  <c r="BS596" i="4"/>
  <c r="BU596" i="4"/>
  <c r="BO596" i="4"/>
  <c r="BS637" i="4"/>
  <c r="BU637" i="4"/>
  <c r="BW637" i="4"/>
  <c r="BO637" i="4"/>
  <c r="BR637" i="4"/>
  <c r="BU763" i="4"/>
  <c r="BW763" i="4"/>
  <c r="BS763" i="4"/>
  <c r="BO763" i="4"/>
  <c r="BR763" i="4"/>
  <c r="BU576" i="4"/>
  <c r="BW576" i="4"/>
  <c r="BO576" i="4"/>
  <c r="BS576" i="4"/>
  <c r="BR576" i="4"/>
  <c r="BR915" i="4"/>
  <c r="BS915" i="4"/>
  <c r="BO915" i="4"/>
  <c r="BU915" i="4"/>
  <c r="BW915" i="4"/>
  <c r="BO1163" i="4"/>
  <c r="BR1163" i="4"/>
  <c r="BW1163" i="4"/>
  <c r="BS1163" i="4"/>
  <c r="BU1163" i="4"/>
  <c r="BS886" i="4"/>
  <c r="BU886" i="4"/>
  <c r="BR886" i="4"/>
  <c r="BW886" i="4"/>
  <c r="BO886" i="4"/>
  <c r="BO1176" i="4"/>
  <c r="BR1176" i="4"/>
  <c r="BS1176" i="4"/>
  <c r="BU1176" i="4"/>
  <c r="BW1176" i="4"/>
  <c r="BU673" i="4"/>
  <c r="BR673" i="4"/>
  <c r="BS673" i="4"/>
  <c r="BW673" i="4"/>
  <c r="BO673" i="4"/>
  <c r="BO1168" i="4"/>
  <c r="BR1168" i="4"/>
  <c r="BS1168" i="4"/>
  <c r="BU1168" i="4"/>
  <c r="BW1168" i="4"/>
  <c r="BR1121" i="4"/>
  <c r="BS1121" i="4"/>
  <c r="BO1121" i="4"/>
  <c r="BU1121" i="4"/>
  <c r="BW1121" i="4"/>
  <c r="BR758" i="4"/>
  <c r="BO758" i="4"/>
  <c r="BS758" i="4"/>
  <c r="BU758" i="4"/>
  <c r="BW758" i="4"/>
  <c r="BO647" i="4"/>
  <c r="BR647" i="4"/>
  <c r="BS647" i="4"/>
  <c r="BW647" i="4"/>
  <c r="BU647" i="4"/>
  <c r="BR1199" i="4"/>
  <c r="BO1199" i="4"/>
  <c r="BS1199" i="4"/>
  <c r="BU1199" i="4"/>
  <c r="BW1199" i="4"/>
  <c r="BR613" i="4"/>
  <c r="BS613" i="4"/>
  <c r="BU613" i="4"/>
  <c r="BO613" i="4"/>
  <c r="BW613" i="4"/>
  <c r="BU684" i="4"/>
  <c r="BW684" i="4"/>
  <c r="BO684" i="4"/>
  <c r="BR684" i="4"/>
  <c r="BS684" i="4"/>
  <c r="BO1129" i="4"/>
  <c r="BS1129" i="4"/>
  <c r="BU1129" i="4"/>
  <c r="BR1129" i="4"/>
  <c r="BW1129" i="4"/>
  <c r="BO848" i="4"/>
  <c r="BR848" i="4"/>
  <c r="BS848" i="4"/>
  <c r="BU848" i="4"/>
  <c r="BW848" i="4"/>
  <c r="BW906" i="4"/>
  <c r="BR906" i="4"/>
  <c r="BS906" i="4"/>
  <c r="BU906" i="4"/>
  <c r="BO906" i="4"/>
  <c r="BW776" i="4"/>
  <c r="BR776" i="4"/>
  <c r="BS776" i="4"/>
  <c r="BO776" i="4"/>
  <c r="BU776" i="4"/>
  <c r="BS822" i="4"/>
  <c r="BU822" i="4"/>
  <c r="BO822" i="4"/>
  <c r="BR822" i="4"/>
  <c r="BW822" i="4"/>
  <c r="BU607" i="4"/>
  <c r="BO607" i="4"/>
  <c r="BW607" i="4"/>
  <c r="BR607" i="4"/>
  <c r="BS607" i="4"/>
  <c r="BR631" i="4"/>
  <c r="BS631" i="4"/>
  <c r="BO631" i="4"/>
  <c r="BU631" i="4"/>
  <c r="BW631" i="4"/>
  <c r="BR1158" i="4"/>
  <c r="BS1158" i="4"/>
  <c r="BU1158" i="4"/>
  <c r="BW1158" i="4"/>
  <c r="BO1158" i="4"/>
  <c r="BS1156" i="4"/>
  <c r="BU1156" i="4"/>
  <c r="BO1156" i="4"/>
  <c r="BR1156" i="4"/>
  <c r="BW1156" i="4"/>
  <c r="BU672" i="4"/>
  <c r="BW672" i="4"/>
  <c r="BO672" i="4"/>
  <c r="BR672" i="4"/>
  <c r="BS672" i="4"/>
  <c r="BW669" i="4"/>
  <c r="BO669" i="4"/>
  <c r="BR669" i="4"/>
  <c r="BS669" i="4"/>
  <c r="BU669" i="4"/>
  <c r="BR879" i="4"/>
  <c r="BS879" i="4"/>
  <c r="BU879" i="4"/>
  <c r="BW879" i="4"/>
  <c r="BO879" i="4"/>
  <c r="BR635" i="4"/>
  <c r="BU635" i="4"/>
  <c r="BW635" i="4"/>
  <c r="BO635" i="4"/>
  <c r="BS635" i="4"/>
  <c r="BW876" i="4"/>
  <c r="BO876" i="4"/>
  <c r="BU876" i="4"/>
  <c r="BR876" i="4"/>
  <c r="BS876" i="4"/>
  <c r="BO912" i="4"/>
  <c r="BR912" i="4"/>
  <c r="BU912" i="4"/>
  <c r="BS912" i="4"/>
  <c r="BW912" i="4"/>
  <c r="BO826" i="4"/>
  <c r="BS826" i="4"/>
  <c r="BU826" i="4"/>
  <c r="BW826" i="4"/>
  <c r="BR826" i="4"/>
  <c r="BO880" i="4"/>
  <c r="BR880" i="4"/>
  <c r="BS880" i="4"/>
  <c r="BW880" i="4"/>
  <c r="BU880" i="4"/>
  <c r="BU1127" i="4"/>
  <c r="BW1127" i="4"/>
  <c r="BO1127" i="4"/>
  <c r="BR1127" i="4"/>
  <c r="BS1127" i="4"/>
  <c r="BS863" i="4"/>
  <c r="BU863" i="4"/>
  <c r="BW863" i="4"/>
  <c r="BO863" i="4"/>
  <c r="BR863" i="4"/>
  <c r="BW874" i="4"/>
  <c r="BR874" i="4"/>
  <c r="BS874" i="4"/>
  <c r="BU874" i="4"/>
  <c r="BO874" i="4"/>
  <c r="BU566" i="4"/>
  <c r="BO566" i="4"/>
  <c r="BR566" i="4"/>
  <c r="BS566" i="4"/>
  <c r="BW566" i="4"/>
  <c r="BO764" i="4"/>
  <c r="BR764" i="4"/>
  <c r="BS764" i="4"/>
  <c r="BU764" i="4"/>
  <c r="BW764" i="4"/>
  <c r="BW773" i="4"/>
  <c r="BO773" i="4"/>
  <c r="BU773" i="4"/>
  <c r="BR773" i="4"/>
  <c r="BS773" i="4"/>
  <c r="BR603" i="4"/>
  <c r="BW603" i="4"/>
  <c r="BO603" i="4"/>
  <c r="BS603" i="4"/>
  <c r="BU603" i="4"/>
  <c r="BS760" i="4"/>
  <c r="BU760" i="4"/>
  <c r="BW760" i="4"/>
  <c r="BO760" i="4"/>
  <c r="BR760" i="4"/>
  <c r="BS897" i="4"/>
  <c r="BO897" i="4"/>
  <c r="BR897" i="4"/>
  <c r="BU897" i="4"/>
  <c r="BW897" i="4"/>
  <c r="BO832" i="4"/>
  <c r="BR832" i="4"/>
  <c r="BS832" i="4"/>
  <c r="BU832" i="4"/>
  <c r="BW832" i="4"/>
  <c r="BS767" i="4"/>
  <c r="BU767" i="4"/>
  <c r="BW767" i="4"/>
  <c r="BO767" i="4"/>
  <c r="BR767" i="4"/>
  <c r="BS817" i="4"/>
  <c r="BO817" i="4"/>
  <c r="BU817" i="4"/>
  <c r="BW817" i="4"/>
  <c r="BR817" i="4"/>
  <c r="BR1137" i="4"/>
  <c r="BS1137" i="4"/>
  <c r="BO1137" i="4"/>
  <c r="BW1137" i="4"/>
  <c r="BU1137" i="4"/>
  <c r="BO818" i="4"/>
  <c r="BU818" i="4"/>
  <c r="BW818" i="4"/>
  <c r="BR818" i="4"/>
  <c r="BS818" i="4"/>
  <c r="BU765" i="4"/>
  <c r="BS765" i="4"/>
  <c r="BO765" i="4"/>
  <c r="BR765" i="4"/>
  <c r="BW765" i="4"/>
  <c r="BS622" i="4"/>
  <c r="BW622" i="4"/>
  <c r="BO622" i="4"/>
  <c r="BR622" i="4"/>
  <c r="BU622" i="4"/>
  <c r="BW1141" i="4"/>
  <c r="BR1141" i="4"/>
  <c r="BS1141" i="4"/>
  <c r="BU1141" i="4"/>
  <c r="BO1141" i="4"/>
  <c r="BO648" i="4"/>
  <c r="BS648" i="4"/>
  <c r="BU648" i="4"/>
  <c r="BR648" i="4"/>
  <c r="BW648" i="4"/>
  <c r="BW568" i="4"/>
  <c r="BO568" i="4"/>
  <c r="BR568" i="4"/>
  <c r="BS568" i="4"/>
  <c r="BU568" i="4"/>
  <c r="BR572" i="4"/>
  <c r="BU572" i="4"/>
  <c r="BW572" i="4"/>
  <c r="BO572" i="4"/>
  <c r="BS572" i="4"/>
  <c r="BW594" i="4"/>
  <c r="BO594" i="4"/>
  <c r="BR594" i="4"/>
  <c r="BS594" i="4"/>
  <c r="BU594" i="4"/>
  <c r="BO761" i="4"/>
  <c r="BW761" i="4"/>
  <c r="BR761" i="4"/>
  <c r="BS761" i="4"/>
  <c r="BU761" i="4"/>
  <c r="BO630" i="4"/>
  <c r="BR630" i="4"/>
  <c r="BS630" i="4"/>
  <c r="BU630" i="4"/>
  <c r="BW630" i="4"/>
  <c r="BO571" i="4"/>
  <c r="BS571" i="4"/>
  <c r="BU571" i="4"/>
  <c r="BW571" i="4"/>
  <c r="BR571" i="4"/>
  <c r="BR1148" i="4"/>
  <c r="BO1148" i="4"/>
  <c r="BS1148" i="4"/>
  <c r="BU1148" i="4"/>
  <c r="BW1148" i="4"/>
  <c r="BS920" i="4"/>
  <c r="BR920" i="4"/>
  <c r="BU920" i="4"/>
  <c r="BO920" i="4"/>
  <c r="BW920" i="4"/>
  <c r="BS620" i="4"/>
  <c r="BO620" i="4"/>
  <c r="BR620" i="4"/>
  <c r="BU620" i="4"/>
  <c r="BW620" i="4"/>
  <c r="BU825" i="4"/>
  <c r="BW825" i="4"/>
  <c r="BR825" i="4"/>
  <c r="BS825" i="4"/>
  <c r="BO825" i="4"/>
  <c r="BU837" i="4"/>
  <c r="BO837" i="4"/>
  <c r="BR837" i="4"/>
  <c r="BS837" i="4"/>
  <c r="BW837" i="4"/>
  <c r="BO834" i="4"/>
  <c r="BR834" i="4"/>
  <c r="BS834" i="4"/>
  <c r="BW834" i="4"/>
  <c r="BU834" i="4"/>
  <c r="BU1195" i="4"/>
  <c r="BS1195" i="4"/>
  <c r="BR1195" i="4"/>
  <c r="BO1195" i="4"/>
  <c r="BW1195" i="4"/>
  <c r="BO757" i="4"/>
  <c r="BR757" i="4"/>
  <c r="BS757" i="4"/>
  <c r="BW757" i="4"/>
  <c r="BU757" i="4"/>
  <c r="BO907" i="4"/>
  <c r="BR907" i="4"/>
  <c r="BS907" i="4"/>
  <c r="BU907" i="4"/>
  <c r="BW907" i="4"/>
  <c r="BW791" i="4"/>
  <c r="BU791" i="4"/>
  <c r="BO791" i="4"/>
  <c r="BR791" i="4"/>
  <c r="BS791" i="4"/>
  <c r="BU770" i="4"/>
  <c r="BW770" i="4"/>
  <c r="BO770" i="4"/>
  <c r="BS770" i="4"/>
  <c r="BR770" i="4"/>
  <c r="BO1182" i="4"/>
  <c r="BR1182" i="4"/>
  <c r="BS1182" i="4"/>
  <c r="BU1182" i="4"/>
  <c r="BW1182" i="4"/>
  <c r="BO1134" i="4"/>
  <c r="BR1134" i="4"/>
  <c r="BU1134" i="4"/>
  <c r="BW1134" i="4"/>
  <c r="BS1134" i="4"/>
  <c r="BW675" i="4"/>
  <c r="BO675" i="4"/>
  <c r="BR675" i="4"/>
  <c r="BS675" i="4"/>
  <c r="BU675" i="4"/>
  <c r="BS913" i="4"/>
  <c r="BU913" i="4"/>
  <c r="BW913" i="4"/>
  <c r="BR913" i="4"/>
  <c r="BO913" i="4"/>
  <c r="BS1119" i="4"/>
  <c r="BO1119" i="4"/>
  <c r="BR1119" i="4"/>
  <c r="BU1119" i="4"/>
  <c r="BW1119" i="4"/>
  <c r="BR846" i="4"/>
  <c r="BW846" i="4"/>
  <c r="BO846" i="4"/>
  <c r="BS846" i="4"/>
  <c r="BU846" i="4"/>
  <c r="BU1205" i="4"/>
  <c r="BR1205" i="4"/>
  <c r="BS1205" i="4"/>
  <c r="BW1205" i="4"/>
  <c r="BO1205" i="4"/>
  <c r="BO843" i="4"/>
  <c r="BW843" i="4"/>
  <c r="BU843" i="4"/>
  <c r="BR843" i="4"/>
  <c r="BS843" i="4"/>
  <c r="BS1202" i="4"/>
  <c r="BO1202" i="4"/>
  <c r="BR1202" i="4"/>
  <c r="BU1202" i="4"/>
  <c r="BW1202" i="4"/>
  <c r="BU1143" i="4"/>
  <c r="BW1143" i="4"/>
  <c r="BO1143" i="4"/>
  <c r="BR1143" i="4"/>
  <c r="BS1143" i="4"/>
  <c r="BS654" i="4"/>
  <c r="BO654" i="4"/>
  <c r="BR654" i="4"/>
  <c r="BU654" i="4"/>
  <c r="BW654" i="4"/>
  <c r="BR587" i="4"/>
  <c r="BU587" i="4"/>
  <c r="BW587" i="4"/>
  <c r="BO587" i="4"/>
  <c r="BS587" i="4"/>
  <c r="BU873" i="4"/>
  <c r="BW873" i="4"/>
  <c r="BO873" i="4"/>
  <c r="BS873" i="4"/>
  <c r="BR873" i="4"/>
  <c r="BU639" i="4"/>
  <c r="BO639" i="4"/>
  <c r="BW639" i="4"/>
  <c r="BR639" i="4"/>
  <c r="BS639" i="4"/>
  <c r="BO895" i="4"/>
  <c r="BR895" i="4"/>
  <c r="BS895" i="4"/>
  <c r="BU895" i="4"/>
  <c r="BW895" i="4"/>
  <c r="BO685" i="4"/>
  <c r="BR685" i="4"/>
  <c r="BW685" i="4"/>
  <c r="BS685" i="4"/>
  <c r="BU685" i="4"/>
  <c r="BU593" i="4"/>
  <c r="BS593" i="4"/>
  <c r="BW593" i="4"/>
  <c r="BO593" i="4"/>
  <c r="BR593" i="4"/>
  <c r="BU1200" i="4"/>
  <c r="BW1200" i="4"/>
  <c r="BR1200" i="4"/>
  <c r="BS1200" i="4"/>
  <c r="BO1200" i="4"/>
  <c r="BO856" i="4"/>
  <c r="BR856" i="4"/>
  <c r="BS856" i="4"/>
  <c r="BU856" i="4"/>
  <c r="BW856" i="4"/>
  <c r="BO891" i="4"/>
  <c r="BR891" i="4"/>
  <c r="BS891" i="4"/>
  <c r="BU891" i="4"/>
  <c r="BW891" i="4"/>
  <c r="BR883" i="4"/>
  <c r="BS883" i="4"/>
  <c r="BO883" i="4"/>
  <c r="BU883" i="4"/>
  <c r="BW883" i="4"/>
  <c r="BW644" i="4"/>
  <c r="BU644" i="4"/>
  <c r="BO644" i="4"/>
  <c r="BR644" i="4"/>
  <c r="BS644" i="4"/>
  <c r="BU847" i="4"/>
  <c r="BW847" i="4"/>
  <c r="BS847" i="4"/>
  <c r="BO847" i="4"/>
  <c r="BR847" i="4"/>
  <c r="BS565" i="4"/>
  <c r="BO565" i="4"/>
  <c r="BR565" i="4"/>
  <c r="BU565" i="4"/>
  <c r="BW565" i="4"/>
  <c r="BS1124" i="4"/>
  <c r="BU1124" i="4"/>
  <c r="BR1124" i="4"/>
  <c r="BW1124" i="4"/>
  <c r="BO1124" i="4"/>
  <c r="BW844" i="4"/>
  <c r="BO844" i="4"/>
  <c r="BR844" i="4"/>
  <c r="BS844" i="4"/>
  <c r="BU844" i="4"/>
  <c r="BU749" i="4"/>
  <c r="BW749" i="4"/>
  <c r="BR749" i="4"/>
  <c r="BS749" i="4"/>
  <c r="BO749" i="4"/>
  <c r="BS581" i="4"/>
  <c r="BU581" i="4"/>
  <c r="BW581" i="4"/>
  <c r="BO581" i="4"/>
  <c r="BR581" i="4"/>
  <c r="BU1186" i="4"/>
  <c r="BO1186" i="4"/>
  <c r="BR1186" i="4"/>
  <c r="BS1186" i="4"/>
  <c r="BW1186" i="4"/>
  <c r="BR882" i="4"/>
  <c r="BS882" i="4"/>
  <c r="BO882" i="4"/>
  <c r="BU882" i="4"/>
  <c r="BW882" i="4"/>
  <c r="BR617" i="4"/>
  <c r="BU617" i="4"/>
  <c r="BW617" i="4"/>
  <c r="BO617" i="4"/>
  <c r="BS617" i="4"/>
  <c r="BW628" i="4"/>
  <c r="BO628" i="4"/>
  <c r="BR628" i="4"/>
  <c r="BU628" i="4"/>
  <c r="BS628" i="4"/>
  <c r="BO753" i="4"/>
  <c r="BR753" i="4"/>
  <c r="BS753" i="4"/>
  <c r="BU753" i="4"/>
  <c r="BW753" i="4"/>
  <c r="BS850" i="4"/>
  <c r="BO850" i="4"/>
  <c r="BR850" i="4"/>
  <c r="BU850" i="4"/>
  <c r="BW850" i="4"/>
  <c r="BW626" i="4"/>
  <c r="BS626" i="4"/>
  <c r="BU626" i="4"/>
  <c r="BR626" i="4"/>
  <c r="BO626" i="4"/>
  <c r="BO640" i="4"/>
  <c r="BR640" i="4"/>
  <c r="BS640" i="4"/>
  <c r="BU640" i="4"/>
  <c r="BW640" i="4"/>
  <c r="BO800" i="4"/>
  <c r="BR800" i="4"/>
  <c r="BU800" i="4"/>
  <c r="BW800" i="4"/>
  <c r="BS800" i="4"/>
  <c r="BO1166" i="4"/>
  <c r="BR1166" i="4"/>
  <c r="BS1166" i="4"/>
  <c r="BU1166" i="4"/>
  <c r="BW1166" i="4"/>
  <c r="BO750" i="4"/>
  <c r="BR750" i="4"/>
  <c r="BS750" i="4"/>
  <c r="BU750" i="4"/>
  <c r="BW750" i="4"/>
  <c r="BR433" i="4"/>
  <c r="BO433" i="4"/>
  <c r="BS433" i="4"/>
  <c r="BU433" i="4"/>
  <c r="BW433" i="4"/>
  <c r="BR457" i="4"/>
  <c r="BO457" i="4"/>
  <c r="BW457" i="4"/>
  <c r="BU457" i="4"/>
  <c r="BS457" i="4"/>
  <c r="BS390" i="4"/>
  <c r="BU390" i="4"/>
  <c r="BO390" i="4"/>
  <c r="BW390" i="4"/>
  <c r="BR390" i="4"/>
  <c r="BR391" i="4"/>
  <c r="BU391" i="4"/>
  <c r="BO391" i="4"/>
  <c r="BS391" i="4"/>
  <c r="BW391" i="4"/>
  <c r="BR455" i="4"/>
  <c r="BS455" i="4"/>
  <c r="BO455" i="4"/>
  <c r="BU455" i="4"/>
  <c r="BW455" i="4"/>
  <c r="BU377" i="4"/>
  <c r="BW377" i="4"/>
  <c r="BO377" i="4"/>
  <c r="BS377" i="4"/>
  <c r="BR377" i="4"/>
  <c r="BO469" i="4"/>
  <c r="BS469" i="4"/>
  <c r="BR469" i="4"/>
  <c r="BU469" i="4"/>
  <c r="BW469" i="4"/>
  <c r="BO397" i="4"/>
  <c r="BW397" i="4"/>
  <c r="BR397" i="4"/>
  <c r="BS397" i="4"/>
  <c r="BU397" i="4"/>
  <c r="BS460" i="4"/>
  <c r="BW460" i="4"/>
  <c r="BR460" i="4"/>
  <c r="BU460" i="4"/>
  <c r="BO460" i="4"/>
  <c r="BO466" i="4"/>
  <c r="BR466" i="4"/>
  <c r="BS466" i="4"/>
  <c r="BU466" i="4"/>
  <c r="BW466" i="4"/>
  <c r="BU425" i="4"/>
  <c r="BW425" i="4"/>
  <c r="BR425" i="4"/>
  <c r="BO425" i="4"/>
  <c r="BS425" i="4"/>
  <c r="BR421" i="4"/>
  <c r="BU421" i="4"/>
  <c r="BS421" i="4"/>
  <c r="BO421" i="4"/>
  <c r="BW421" i="4"/>
  <c r="BR399" i="4"/>
  <c r="BU399" i="4"/>
  <c r="BW399" i="4"/>
  <c r="BS399" i="4"/>
  <c r="BO399" i="4"/>
  <c r="BU426" i="4"/>
  <c r="BO426" i="4"/>
  <c r="BS426" i="4"/>
  <c r="BR426" i="4"/>
  <c r="BW426" i="4"/>
  <c r="BR419" i="4"/>
  <c r="BO419" i="4"/>
  <c r="BS419" i="4"/>
  <c r="BU419" i="4"/>
  <c r="BW419" i="4"/>
  <c r="BR484" i="4"/>
  <c r="BU484" i="4"/>
  <c r="BS484" i="4"/>
  <c r="BO484" i="4"/>
  <c r="BW484" i="4"/>
  <c r="BO414" i="4"/>
  <c r="BR414" i="4"/>
  <c r="BW414" i="4"/>
  <c r="BS414" i="4"/>
  <c r="BU414" i="4"/>
  <c r="BS453" i="4"/>
  <c r="BU453" i="4"/>
  <c r="BW453" i="4"/>
  <c r="BO453" i="4"/>
  <c r="BR453" i="4"/>
  <c r="BR477" i="4"/>
  <c r="BS477" i="4"/>
  <c r="BU477" i="4"/>
  <c r="BW477" i="4"/>
  <c r="BO477" i="4"/>
  <c r="BR448" i="4"/>
  <c r="BU448" i="4"/>
  <c r="BW448" i="4"/>
  <c r="BO448" i="4"/>
  <c r="BS448" i="4"/>
  <c r="BO439" i="4"/>
  <c r="BR439" i="4"/>
  <c r="BS439" i="4"/>
  <c r="BU439" i="4"/>
  <c r="BW439" i="4"/>
  <c r="BW412" i="4"/>
  <c r="BU412" i="4"/>
  <c r="BR412" i="4"/>
  <c r="BO412" i="4"/>
  <c r="BS412" i="4"/>
  <c r="BR467" i="4"/>
  <c r="BU467" i="4"/>
  <c r="BW467" i="4"/>
  <c r="BO467" i="4"/>
  <c r="BS467" i="4"/>
  <c r="BR459" i="4"/>
  <c r="BS459" i="4"/>
  <c r="BU459" i="4"/>
  <c r="BW459" i="4"/>
  <c r="BO459" i="4"/>
  <c r="BO369" i="4"/>
  <c r="BR369" i="4"/>
  <c r="BS369" i="4"/>
  <c r="BU369" i="4"/>
  <c r="BW369" i="4"/>
  <c r="BR480" i="4"/>
  <c r="BS480" i="4"/>
  <c r="BU480" i="4"/>
  <c r="BW480" i="4"/>
  <c r="BO480" i="4"/>
  <c r="BU409" i="4"/>
  <c r="BO409" i="4"/>
  <c r="BW409" i="4"/>
  <c r="BR409" i="4"/>
  <c r="BS409" i="4"/>
  <c r="BO404" i="4"/>
  <c r="BS404" i="4"/>
  <c r="BR404" i="4"/>
  <c r="BU404" i="4"/>
  <c r="BW404" i="4"/>
  <c r="BO486" i="4"/>
  <c r="BS486" i="4"/>
  <c r="BR486" i="4"/>
  <c r="BU486" i="4"/>
  <c r="BW486" i="4"/>
  <c r="BS463" i="4"/>
  <c r="BW463" i="4"/>
  <c r="BU463" i="4"/>
  <c r="BO463" i="4"/>
  <c r="BR463" i="4"/>
  <c r="BO483" i="4"/>
  <c r="BR483" i="4"/>
  <c r="BS483" i="4"/>
  <c r="BU483" i="4"/>
  <c r="BW483" i="4"/>
  <c r="BS440" i="4"/>
  <c r="BW440" i="4"/>
  <c r="BR440" i="4"/>
  <c r="BU440" i="4"/>
  <c r="BO440" i="4"/>
  <c r="BO482" i="4"/>
  <c r="BS482" i="4"/>
  <c r="BR482" i="4"/>
  <c r="BU482" i="4"/>
  <c r="BW482" i="4"/>
  <c r="BU474" i="4"/>
  <c r="BW474" i="4"/>
  <c r="BO474" i="4"/>
  <c r="BS474" i="4"/>
  <c r="BR474" i="4"/>
  <c r="BU434" i="4"/>
  <c r="BO434" i="4"/>
  <c r="BS434" i="4"/>
  <c r="BW434" i="4"/>
  <c r="BR434" i="4"/>
  <c r="BR383" i="4"/>
  <c r="BU383" i="4"/>
  <c r="BO383" i="4"/>
  <c r="BS383" i="4"/>
  <c r="BW383" i="4"/>
  <c r="BR454" i="4"/>
  <c r="BO454" i="4"/>
  <c r="BW454" i="4"/>
  <c r="BS454" i="4"/>
  <c r="BU454" i="4"/>
  <c r="BU393" i="4"/>
  <c r="BW393" i="4"/>
  <c r="BS393" i="4"/>
  <c r="BO393" i="4"/>
  <c r="BR393" i="4"/>
  <c r="BR417" i="4"/>
  <c r="BO417" i="4"/>
  <c r="BS417" i="4"/>
  <c r="BU417" i="4"/>
  <c r="BW417" i="4"/>
  <c r="BU376" i="4"/>
  <c r="BW376" i="4"/>
  <c r="BS376" i="4"/>
  <c r="BO376" i="4"/>
  <c r="BR376" i="4"/>
  <c r="BO458" i="4"/>
  <c r="BR458" i="4"/>
  <c r="BS458" i="4"/>
  <c r="BU458" i="4"/>
  <c r="BW458" i="4"/>
  <c r="BS438" i="4"/>
  <c r="BW438" i="4"/>
  <c r="BO438" i="4"/>
  <c r="BR438" i="4"/>
  <c r="BU438" i="4"/>
  <c r="BO462" i="4"/>
  <c r="BR462" i="4"/>
  <c r="BW462" i="4"/>
  <c r="BS462" i="4"/>
  <c r="BU462" i="4"/>
  <c r="BW488" i="4"/>
  <c r="BR488" i="4"/>
  <c r="BS488" i="4"/>
  <c r="BO488" i="4"/>
  <c r="BU488" i="4"/>
  <c r="BO385" i="4"/>
  <c r="BR385" i="4"/>
  <c r="BS385" i="4"/>
  <c r="BW385" i="4"/>
  <c r="BU385" i="4"/>
  <c r="BO444" i="4"/>
  <c r="BU444" i="4"/>
  <c r="BR444" i="4"/>
  <c r="BS444" i="4"/>
  <c r="BW444" i="4"/>
  <c r="BR450" i="4"/>
  <c r="BO450" i="4"/>
  <c r="BW450" i="4"/>
  <c r="BU450" i="4"/>
  <c r="BS450" i="4"/>
  <c r="BS418" i="4"/>
  <c r="BO418" i="4"/>
  <c r="BU418" i="4"/>
  <c r="BR418" i="4"/>
  <c r="BW418" i="4"/>
  <c r="BS386" i="4"/>
  <c r="BW386" i="4"/>
  <c r="BR386" i="4"/>
  <c r="BU386" i="4"/>
  <c r="BO386" i="4"/>
  <c r="BS394" i="4"/>
  <c r="BW394" i="4"/>
  <c r="BO394" i="4"/>
  <c r="BU394" i="4"/>
  <c r="BR394" i="4"/>
  <c r="BO451" i="4"/>
  <c r="BR451" i="4"/>
  <c r="BS451" i="4"/>
  <c r="BU451" i="4"/>
  <c r="BW451" i="4"/>
  <c r="BW413" i="4"/>
  <c r="BO413" i="4"/>
  <c r="BR413" i="4"/>
  <c r="BU413" i="4"/>
  <c r="BS413" i="4"/>
  <c r="BW449" i="4"/>
  <c r="BO449" i="4"/>
  <c r="BR449" i="4"/>
  <c r="BS449" i="4"/>
  <c r="BU449" i="4"/>
  <c r="BS406" i="4"/>
  <c r="BU406" i="4"/>
  <c r="BW406" i="4"/>
  <c r="BO406" i="4"/>
  <c r="BR406" i="4"/>
  <c r="BS456" i="4"/>
  <c r="BU456" i="4"/>
  <c r="BW456" i="4"/>
  <c r="BR456" i="4"/>
  <c r="BO456" i="4"/>
  <c r="BS481" i="4"/>
  <c r="BW481" i="4"/>
  <c r="BO481" i="4"/>
  <c r="BR481" i="4"/>
  <c r="BU481" i="4"/>
  <c r="BU392" i="4"/>
  <c r="BS392" i="4"/>
  <c r="BR392" i="4"/>
  <c r="BO392" i="4"/>
  <c r="BW392" i="4"/>
  <c r="BR371" i="4"/>
  <c r="BS371" i="4"/>
  <c r="BU371" i="4"/>
  <c r="BW371" i="4"/>
  <c r="BO371" i="4"/>
  <c r="BR479" i="4"/>
  <c r="BO479" i="4"/>
  <c r="BS479" i="4"/>
  <c r="BU479" i="4"/>
  <c r="BW479" i="4"/>
  <c r="BU436" i="4"/>
  <c r="BW436" i="4"/>
  <c r="BO436" i="4"/>
  <c r="BR436" i="4"/>
  <c r="BS436" i="4"/>
  <c r="BR470" i="4"/>
  <c r="BS470" i="4"/>
  <c r="BU470" i="4"/>
  <c r="BW470" i="4"/>
  <c r="BO470" i="4"/>
  <c r="BS442" i="4"/>
  <c r="BW442" i="4"/>
  <c r="BR442" i="4"/>
  <c r="BO442" i="4"/>
  <c r="BU442" i="4"/>
  <c r="BR387" i="4"/>
  <c r="BS387" i="4"/>
  <c r="BU387" i="4"/>
  <c r="BW387" i="4"/>
  <c r="BO387" i="4"/>
  <c r="BO401" i="4"/>
  <c r="BR401" i="4"/>
  <c r="BS401" i="4"/>
  <c r="BU401" i="4"/>
  <c r="BW401" i="4"/>
  <c r="BU408" i="4"/>
  <c r="BW408" i="4"/>
  <c r="BS408" i="4"/>
  <c r="BO408" i="4"/>
  <c r="BR408" i="4"/>
  <c r="BR388" i="4"/>
  <c r="BO388" i="4"/>
  <c r="BS388" i="4"/>
  <c r="BU388" i="4"/>
  <c r="BW388" i="4"/>
  <c r="BR473" i="4"/>
  <c r="BU473" i="4"/>
  <c r="BW473" i="4"/>
  <c r="BO473" i="4"/>
  <c r="BS473" i="4"/>
  <c r="BU471" i="4"/>
  <c r="BW471" i="4"/>
  <c r="BO471" i="4"/>
  <c r="BR471" i="4"/>
  <c r="BS471" i="4"/>
  <c r="BO490" i="4"/>
  <c r="BS490" i="4"/>
  <c r="BW490" i="4"/>
  <c r="BR490" i="4"/>
  <c r="BU490" i="4"/>
  <c r="BW428" i="4"/>
  <c r="BR428" i="4"/>
  <c r="BS428" i="4"/>
  <c r="BO428" i="4"/>
  <c r="BU428" i="4"/>
  <c r="BO429" i="4"/>
  <c r="BU429" i="4"/>
  <c r="BR429" i="4"/>
  <c r="BS429" i="4"/>
  <c r="BW429" i="4"/>
  <c r="BW411" i="4"/>
  <c r="BU411" i="4"/>
  <c r="BO411" i="4"/>
  <c r="BS411" i="4"/>
  <c r="BR411" i="4"/>
  <c r="BO432" i="4"/>
  <c r="BW432" i="4"/>
  <c r="BR432" i="4"/>
  <c r="BS432" i="4"/>
  <c r="BU432" i="4"/>
  <c r="BR443" i="4"/>
  <c r="BS443" i="4"/>
  <c r="BW443" i="4"/>
  <c r="BO443" i="4"/>
  <c r="BU443" i="4"/>
  <c r="BO402" i="4"/>
  <c r="BS402" i="4"/>
  <c r="BW402" i="4"/>
  <c r="BR402" i="4"/>
  <c r="BU402" i="4"/>
  <c r="BU381" i="4"/>
  <c r="BO381" i="4"/>
  <c r="BR381" i="4"/>
  <c r="BW381" i="4"/>
  <c r="BS381" i="4"/>
  <c r="BO382" i="4"/>
  <c r="BW382" i="4"/>
  <c r="BR382" i="4"/>
  <c r="BS382" i="4"/>
  <c r="BU382" i="4"/>
  <c r="BW396" i="4"/>
  <c r="BR396" i="4"/>
  <c r="BU396" i="4"/>
  <c r="BO396" i="4"/>
  <c r="BS396" i="4"/>
  <c r="BO465" i="4"/>
  <c r="BR465" i="4"/>
  <c r="BS465" i="4"/>
  <c r="BU465" i="4"/>
  <c r="BW465" i="4"/>
  <c r="BW389" i="4"/>
  <c r="BS389" i="4"/>
  <c r="BR389" i="4"/>
  <c r="BU389" i="4"/>
  <c r="BO389" i="4"/>
  <c r="BO437" i="4"/>
  <c r="BR437" i="4"/>
  <c r="BS437" i="4"/>
  <c r="BW437" i="4"/>
  <c r="BU437" i="4"/>
  <c r="BO400" i="4"/>
  <c r="BR400" i="4"/>
  <c r="BS400" i="4"/>
  <c r="BW400" i="4"/>
  <c r="BU400" i="4"/>
  <c r="BO447" i="4"/>
  <c r="BR447" i="4"/>
  <c r="BU447" i="4"/>
  <c r="BS447" i="4"/>
  <c r="BW447" i="4"/>
  <c r="BO431" i="4"/>
  <c r="BW431" i="4"/>
  <c r="BS431" i="4"/>
  <c r="BR431" i="4"/>
  <c r="BU431" i="4"/>
  <c r="BR452" i="4"/>
  <c r="BS452" i="4"/>
  <c r="BU452" i="4"/>
  <c r="BW452" i="4"/>
  <c r="BO452" i="4"/>
  <c r="BW380" i="4"/>
  <c r="BS380" i="4"/>
  <c r="BU380" i="4"/>
  <c r="BR380" i="4"/>
  <c r="BO380" i="4"/>
  <c r="BR407" i="4"/>
  <c r="BU407" i="4"/>
  <c r="BS407" i="4"/>
  <c r="BO407" i="4"/>
  <c r="BW407" i="4"/>
  <c r="BS415" i="4"/>
  <c r="BW415" i="4"/>
  <c r="BR415" i="4"/>
  <c r="BU415" i="4"/>
  <c r="BO415" i="4"/>
  <c r="BR372" i="4"/>
  <c r="BO372" i="4"/>
  <c r="BS372" i="4"/>
  <c r="BU372" i="4"/>
  <c r="BW372" i="4"/>
  <c r="BO446" i="4"/>
  <c r="BR446" i="4"/>
  <c r="BS446" i="4"/>
  <c r="BU446" i="4"/>
  <c r="BW446" i="4"/>
  <c r="BO476" i="4"/>
  <c r="BR476" i="4"/>
  <c r="BS476" i="4"/>
  <c r="BU476" i="4"/>
  <c r="BW476" i="4"/>
  <c r="BO420" i="4"/>
  <c r="BS420" i="4"/>
  <c r="BR420" i="4"/>
  <c r="BU420" i="4"/>
  <c r="BW420" i="4"/>
  <c r="BO435" i="4"/>
  <c r="BR435" i="4"/>
  <c r="BS435" i="4"/>
  <c r="BU435" i="4"/>
  <c r="BW435" i="4"/>
  <c r="BU405" i="4"/>
  <c r="BO405" i="4"/>
  <c r="BS405" i="4"/>
  <c r="BW405" i="4"/>
  <c r="BR405" i="4"/>
  <c r="BS370" i="4"/>
  <c r="BO370" i="4"/>
  <c r="BU370" i="4"/>
  <c r="BR370" i="4"/>
  <c r="BW370" i="4"/>
  <c r="BW468" i="4"/>
  <c r="BO468" i="4"/>
  <c r="BS468" i="4"/>
  <c r="BR468" i="4"/>
  <c r="BU468" i="4"/>
  <c r="BR441" i="4"/>
  <c r="BO441" i="4"/>
  <c r="BS441" i="4"/>
  <c r="BU441" i="4"/>
  <c r="BW441" i="4"/>
  <c r="BW424" i="4"/>
  <c r="BO424" i="4"/>
  <c r="BR424" i="4"/>
  <c r="BU424" i="4"/>
  <c r="BS424" i="4"/>
  <c r="BS375" i="4"/>
  <c r="BR375" i="4"/>
  <c r="BU375" i="4"/>
  <c r="BO375" i="4"/>
  <c r="BW375" i="4"/>
  <c r="BS422" i="4"/>
  <c r="BU422" i="4"/>
  <c r="BO422" i="4"/>
  <c r="BW422" i="4"/>
  <c r="BR422" i="4"/>
  <c r="BW485" i="4"/>
  <c r="BR485" i="4"/>
  <c r="BS485" i="4"/>
  <c r="BU485" i="4"/>
  <c r="BO485" i="4"/>
  <c r="BR445" i="4"/>
  <c r="BU445" i="4"/>
  <c r="BW445" i="4"/>
  <c r="BS445" i="4"/>
  <c r="BO445" i="4"/>
  <c r="BU379" i="4"/>
  <c r="BW379" i="4"/>
  <c r="BO379" i="4"/>
  <c r="BS379" i="4"/>
  <c r="BR379" i="4"/>
  <c r="BS489" i="4"/>
  <c r="BO489" i="4"/>
  <c r="BR489" i="4"/>
  <c r="BU489" i="4"/>
  <c r="BW489" i="4"/>
  <c r="BU410" i="4"/>
  <c r="BO410" i="4"/>
  <c r="BW410" i="4"/>
  <c r="BR410" i="4"/>
  <c r="BS410" i="4"/>
  <c r="BO416" i="4"/>
  <c r="BR416" i="4"/>
  <c r="BW416" i="4"/>
  <c r="BS416" i="4"/>
  <c r="BU416" i="4"/>
  <c r="BW378" i="4"/>
  <c r="BO378" i="4"/>
  <c r="BR378" i="4"/>
  <c r="BS378" i="4"/>
  <c r="BU378" i="4"/>
  <c r="BR475" i="4"/>
  <c r="BO475" i="4"/>
  <c r="BW475" i="4"/>
  <c r="BU475" i="4"/>
  <c r="BS475" i="4"/>
  <c r="BO395" i="4"/>
  <c r="BU395" i="4"/>
  <c r="BR395" i="4"/>
  <c r="BS395" i="4"/>
  <c r="BW395" i="4"/>
  <c r="BO430" i="4"/>
  <c r="BW430" i="4"/>
  <c r="BR430" i="4"/>
  <c r="BS430" i="4"/>
  <c r="BU430" i="4"/>
  <c r="BO461" i="4"/>
  <c r="BU461" i="4"/>
  <c r="BW461" i="4"/>
  <c r="BR461" i="4"/>
  <c r="BS461" i="4"/>
  <c r="BR403" i="4"/>
  <c r="BS403" i="4"/>
  <c r="BU403" i="4"/>
  <c r="BW403" i="4"/>
  <c r="BO403" i="4"/>
  <c r="BO368" i="4"/>
  <c r="BR368" i="4"/>
  <c r="BS368" i="4"/>
  <c r="BU368" i="4"/>
  <c r="BW368" i="4"/>
  <c r="BO487" i="4"/>
  <c r="BS487" i="4"/>
  <c r="BW487" i="4"/>
  <c r="BR487" i="4"/>
  <c r="BU487" i="4"/>
  <c r="BS423" i="4"/>
  <c r="BU423" i="4"/>
  <c r="BO423" i="4"/>
  <c r="BR423" i="4"/>
  <c r="BW423" i="4"/>
  <c r="BW427" i="4"/>
  <c r="BU427" i="4"/>
  <c r="BO427" i="4"/>
  <c r="BR427" i="4"/>
  <c r="BS427" i="4"/>
  <c r="BW373" i="4"/>
  <c r="BU373" i="4"/>
  <c r="BO373" i="4"/>
  <c r="BR373" i="4"/>
  <c r="BS373" i="4"/>
  <c r="BS478" i="4"/>
  <c r="BW478" i="4"/>
  <c r="BO478" i="4"/>
  <c r="BR478" i="4"/>
  <c r="BU478" i="4"/>
  <c r="BW398" i="4"/>
  <c r="BO398" i="4"/>
  <c r="BR398" i="4"/>
  <c r="BU398" i="4"/>
  <c r="BS398" i="4"/>
  <c r="BO384" i="4"/>
  <c r="BR384" i="4"/>
  <c r="BS384" i="4"/>
  <c r="BU384" i="4"/>
  <c r="BW384" i="4"/>
  <c r="BS374" i="4"/>
  <c r="BU374" i="4"/>
  <c r="BR374" i="4"/>
  <c r="BW374" i="4"/>
  <c r="BO374" i="4"/>
  <c r="BU464" i="4"/>
  <c r="BW464" i="4"/>
  <c r="BO464" i="4"/>
  <c r="BR464" i="4"/>
  <c r="BS464" i="4"/>
  <c r="BS472" i="4"/>
  <c r="BO472" i="4"/>
  <c r="BR472" i="4"/>
  <c r="BW472" i="4"/>
  <c r="BU472" i="4"/>
  <c r="BO347" i="4"/>
  <c r="BR347" i="4"/>
  <c r="BS347" i="4"/>
  <c r="BU347" i="4"/>
  <c r="BW347" i="4"/>
  <c r="BO329" i="4"/>
  <c r="BR329" i="4"/>
  <c r="BS329" i="4"/>
  <c r="BU329" i="4"/>
  <c r="BW329" i="4"/>
  <c r="BO340" i="4"/>
  <c r="BR340" i="4"/>
  <c r="BS340" i="4"/>
  <c r="BW340" i="4"/>
  <c r="BU340" i="4"/>
  <c r="BO350" i="4"/>
  <c r="BR350" i="4"/>
  <c r="BS350" i="4"/>
  <c r="BU350" i="4"/>
  <c r="BW350" i="4"/>
  <c r="BR256" i="4"/>
  <c r="BS256" i="4"/>
  <c r="BU256" i="4"/>
  <c r="BW256" i="4"/>
  <c r="BO256" i="4"/>
  <c r="BO279" i="4"/>
  <c r="BR279" i="4"/>
  <c r="BU279" i="4"/>
  <c r="BS279" i="4"/>
  <c r="BW279" i="4"/>
  <c r="BO322" i="4"/>
  <c r="BR322" i="4"/>
  <c r="BS322" i="4"/>
  <c r="BU322" i="4"/>
  <c r="BW322" i="4"/>
  <c r="BO291" i="4"/>
  <c r="BR291" i="4"/>
  <c r="BS291" i="4"/>
  <c r="BU291" i="4"/>
  <c r="BW291" i="4"/>
  <c r="BS276" i="4"/>
  <c r="BU276" i="4"/>
  <c r="BW276" i="4"/>
  <c r="BR276" i="4"/>
  <c r="BO276" i="4"/>
  <c r="BO333" i="4"/>
  <c r="BR333" i="4"/>
  <c r="BS333" i="4"/>
  <c r="BU333" i="4"/>
  <c r="BW333" i="4"/>
  <c r="BR240" i="4"/>
  <c r="BS240" i="4"/>
  <c r="BU240" i="4"/>
  <c r="BW240" i="4"/>
  <c r="BO240" i="4"/>
  <c r="BU334" i="4"/>
  <c r="BW334" i="4"/>
  <c r="BO334" i="4"/>
  <c r="BR334" i="4"/>
  <c r="BS334" i="4"/>
  <c r="BO343" i="4"/>
  <c r="BR343" i="4"/>
  <c r="BS343" i="4"/>
  <c r="BU343" i="4"/>
  <c r="BW343" i="4"/>
  <c r="BR327" i="4"/>
  <c r="BS327" i="4"/>
  <c r="BU327" i="4"/>
  <c r="BW327" i="4"/>
  <c r="BO327" i="4"/>
  <c r="BU359" i="4"/>
  <c r="BW359" i="4"/>
  <c r="BO359" i="4"/>
  <c r="BR359" i="4"/>
  <c r="BS359" i="4"/>
  <c r="BR292" i="4"/>
  <c r="BS292" i="4"/>
  <c r="BU292" i="4"/>
  <c r="BW292" i="4"/>
  <c r="BO292" i="4"/>
  <c r="BO232" i="4"/>
  <c r="BU232" i="4"/>
  <c r="BR232" i="4"/>
  <c r="BS232" i="4"/>
  <c r="BW232" i="4"/>
  <c r="BR353" i="4"/>
  <c r="BS353" i="4"/>
  <c r="BU353" i="4"/>
  <c r="BW353" i="4"/>
  <c r="BO353" i="4"/>
  <c r="BU310" i="4"/>
  <c r="BW310" i="4"/>
  <c r="BO310" i="4"/>
  <c r="BR310" i="4"/>
  <c r="BS310" i="4"/>
  <c r="BO321" i="4"/>
  <c r="BR321" i="4"/>
  <c r="BS321" i="4"/>
  <c r="BU321" i="4"/>
  <c r="BW321" i="4"/>
  <c r="BO335" i="4"/>
  <c r="BR335" i="4"/>
  <c r="BS335" i="4"/>
  <c r="BU335" i="4"/>
  <c r="BW335" i="4"/>
  <c r="BO273" i="4"/>
  <c r="BR273" i="4"/>
  <c r="BS273" i="4"/>
  <c r="BU273" i="4"/>
  <c r="BW273" i="4"/>
  <c r="BO326" i="4"/>
  <c r="BR326" i="4"/>
  <c r="BS326" i="4"/>
  <c r="BU326" i="4"/>
  <c r="BW326" i="4"/>
  <c r="BO297" i="4"/>
  <c r="BR297" i="4"/>
  <c r="BS297" i="4"/>
  <c r="BU297" i="4"/>
  <c r="BW297" i="4"/>
  <c r="BO314" i="4"/>
  <c r="BR314" i="4"/>
  <c r="BS314" i="4"/>
  <c r="BU314" i="4"/>
  <c r="BW314" i="4"/>
  <c r="BS331" i="4"/>
  <c r="BU331" i="4"/>
  <c r="BW331" i="4"/>
  <c r="BO331" i="4"/>
  <c r="BR331" i="4"/>
  <c r="BO339" i="4"/>
  <c r="BR339" i="4"/>
  <c r="BS339" i="4"/>
  <c r="BU339" i="4"/>
  <c r="BW339" i="4"/>
  <c r="BR252" i="4"/>
  <c r="BO252" i="4"/>
  <c r="BW252" i="4"/>
  <c r="BS252" i="4"/>
  <c r="BU252" i="4"/>
  <c r="BU298" i="4"/>
  <c r="BW298" i="4"/>
  <c r="BO298" i="4"/>
  <c r="BS298" i="4"/>
  <c r="BR298" i="4"/>
  <c r="BS356" i="4"/>
  <c r="BU356" i="4"/>
  <c r="BW356" i="4"/>
  <c r="BO356" i="4"/>
  <c r="BR356" i="4"/>
  <c r="BS323" i="4"/>
  <c r="BU323" i="4"/>
  <c r="BW323" i="4"/>
  <c r="BR323" i="4"/>
  <c r="BO323" i="4"/>
  <c r="BO241" i="4"/>
  <c r="BR241" i="4"/>
  <c r="BS241" i="4"/>
  <c r="BU241" i="4"/>
  <c r="BW241" i="4"/>
  <c r="BO332" i="4"/>
  <c r="BR332" i="4"/>
  <c r="BS332" i="4"/>
  <c r="BU332" i="4"/>
  <c r="BW332" i="4"/>
  <c r="BR258" i="4"/>
  <c r="BO258" i="4"/>
  <c r="BS258" i="4"/>
  <c r="BU258" i="4"/>
  <c r="BW258" i="4"/>
  <c r="BO319" i="4"/>
  <c r="BR319" i="4"/>
  <c r="BS319" i="4"/>
  <c r="BU319" i="4"/>
  <c r="BW319" i="4"/>
  <c r="BW249" i="4"/>
  <c r="BU249" i="4"/>
  <c r="BO249" i="4"/>
  <c r="BR249" i="4"/>
  <c r="BS249" i="4"/>
  <c r="BO336" i="4"/>
  <c r="BR336" i="4"/>
  <c r="BS336" i="4"/>
  <c r="BU336" i="4"/>
  <c r="BW336" i="4"/>
  <c r="BO236" i="4"/>
  <c r="BR236" i="4"/>
  <c r="BS236" i="4"/>
  <c r="BU236" i="4"/>
  <c r="BW236" i="4"/>
  <c r="BO311" i="4"/>
  <c r="BR311" i="4"/>
  <c r="BS311" i="4"/>
  <c r="BU311" i="4"/>
  <c r="BW311" i="4"/>
  <c r="BO248" i="4"/>
  <c r="BS248" i="4"/>
  <c r="BU248" i="4"/>
  <c r="BR248" i="4"/>
  <c r="BW248" i="4"/>
  <c r="BO231" i="4"/>
  <c r="BR231" i="4"/>
  <c r="BS231" i="4"/>
  <c r="BU231" i="4"/>
  <c r="BW231" i="4"/>
  <c r="BO341" i="4"/>
  <c r="BR341" i="4"/>
  <c r="BS341" i="4"/>
  <c r="BU341" i="4"/>
  <c r="BW341" i="4"/>
  <c r="BO338" i="4"/>
  <c r="BR338" i="4"/>
  <c r="BS338" i="4"/>
  <c r="BU338" i="4"/>
  <c r="BW338" i="4"/>
  <c r="BU246" i="4"/>
  <c r="BW246" i="4"/>
  <c r="BS246" i="4"/>
  <c r="BO246" i="4"/>
  <c r="BR246" i="4"/>
  <c r="BR367" i="4"/>
  <c r="BS367" i="4"/>
  <c r="BU367" i="4"/>
  <c r="BW367" i="4"/>
  <c r="BO367" i="4"/>
  <c r="BS259" i="4"/>
  <c r="BU259" i="4"/>
  <c r="BW259" i="4"/>
  <c r="BR259" i="4"/>
  <c r="BO259" i="4"/>
  <c r="BO342" i="4"/>
  <c r="BR342" i="4"/>
  <c r="BS342" i="4"/>
  <c r="BU342" i="4"/>
  <c r="BW342" i="4"/>
  <c r="BR275" i="4"/>
  <c r="BU275" i="4"/>
  <c r="BS275" i="4"/>
  <c r="BO275" i="4"/>
  <c r="BW275" i="4"/>
  <c r="BW362" i="4"/>
  <c r="BO362" i="4"/>
  <c r="BR362" i="4"/>
  <c r="BS362" i="4"/>
  <c r="BU362" i="4"/>
  <c r="BO263" i="4"/>
  <c r="BR263" i="4"/>
  <c r="BS263" i="4"/>
  <c r="BU263" i="4"/>
  <c r="BW263" i="4"/>
  <c r="BO344" i="4"/>
  <c r="BR344" i="4"/>
  <c r="BS344" i="4"/>
  <c r="BU344" i="4"/>
  <c r="BW344" i="4"/>
  <c r="BW233" i="4"/>
  <c r="BU233" i="4"/>
  <c r="BO233" i="4"/>
  <c r="BR233" i="4"/>
  <c r="BS233" i="4"/>
  <c r="BO287" i="4"/>
  <c r="BR287" i="4"/>
  <c r="BS287" i="4"/>
  <c r="BU287" i="4"/>
  <c r="BW287" i="4"/>
  <c r="BO301" i="4"/>
  <c r="BR301" i="4"/>
  <c r="BS301" i="4"/>
  <c r="BU301" i="4"/>
  <c r="BW301" i="4"/>
  <c r="BO250" i="4"/>
  <c r="BR250" i="4"/>
  <c r="BS250" i="4"/>
  <c r="BU250" i="4"/>
  <c r="BW250" i="4"/>
  <c r="BS307" i="4"/>
  <c r="BU307" i="4"/>
  <c r="BW307" i="4"/>
  <c r="BR307" i="4"/>
  <c r="BO307" i="4"/>
  <c r="BO235" i="4"/>
  <c r="BR235" i="4"/>
  <c r="BU235" i="4"/>
  <c r="BS235" i="4"/>
  <c r="BW235" i="4"/>
  <c r="BO306" i="4"/>
  <c r="BR306" i="4"/>
  <c r="BS306" i="4"/>
  <c r="BU306" i="4"/>
  <c r="BW306" i="4"/>
  <c r="BO270" i="4"/>
  <c r="BR270" i="4"/>
  <c r="BS270" i="4"/>
  <c r="BU270" i="4"/>
  <c r="BW270" i="4"/>
  <c r="BR320" i="4"/>
  <c r="BS320" i="4"/>
  <c r="BU320" i="4"/>
  <c r="BW320" i="4"/>
  <c r="BO320" i="4"/>
  <c r="BO365" i="4"/>
  <c r="BR365" i="4"/>
  <c r="BS365" i="4"/>
  <c r="BU365" i="4"/>
  <c r="BW365" i="4"/>
  <c r="BO360" i="4"/>
  <c r="BR360" i="4"/>
  <c r="BS360" i="4"/>
  <c r="BU360" i="4"/>
  <c r="BW360" i="4"/>
  <c r="BO325" i="4"/>
  <c r="BR325" i="4"/>
  <c r="BS325" i="4"/>
  <c r="BU325" i="4"/>
  <c r="BW325" i="4"/>
  <c r="BW337" i="4"/>
  <c r="BO337" i="4"/>
  <c r="BR337" i="4"/>
  <c r="BS337" i="4"/>
  <c r="BU337" i="4"/>
  <c r="BO302" i="4"/>
  <c r="BR302" i="4"/>
  <c r="BS302" i="4"/>
  <c r="BU302" i="4"/>
  <c r="BW302" i="4"/>
  <c r="BU274" i="4"/>
  <c r="BR274" i="4"/>
  <c r="BS274" i="4"/>
  <c r="BO274" i="4"/>
  <c r="BW274" i="4"/>
  <c r="BR271" i="4"/>
  <c r="BS271" i="4"/>
  <c r="BO271" i="4"/>
  <c r="BU271" i="4"/>
  <c r="BW271" i="4"/>
  <c r="BO357" i="4"/>
  <c r="BR357" i="4"/>
  <c r="BS357" i="4"/>
  <c r="BU357" i="4"/>
  <c r="BW357" i="4"/>
  <c r="BU261" i="4"/>
  <c r="BR261" i="4"/>
  <c r="BO261" i="4"/>
  <c r="BS261" i="4"/>
  <c r="BW261" i="4"/>
  <c r="BO351" i="4"/>
  <c r="BR351" i="4"/>
  <c r="BS351" i="4"/>
  <c r="BU351" i="4"/>
  <c r="BW351" i="4"/>
  <c r="BO238" i="4"/>
  <c r="BR238" i="4"/>
  <c r="BW238" i="4"/>
  <c r="BS238" i="4"/>
  <c r="BU238" i="4"/>
  <c r="BO245" i="4"/>
  <c r="BR245" i="4"/>
  <c r="BS245" i="4"/>
  <c r="BU245" i="4"/>
  <c r="BW245" i="4"/>
  <c r="BO293" i="4"/>
  <c r="BR293" i="4"/>
  <c r="BS293" i="4"/>
  <c r="BU293" i="4"/>
  <c r="BW293" i="4"/>
  <c r="BO296" i="4"/>
  <c r="BR296" i="4"/>
  <c r="BS296" i="4"/>
  <c r="BU296" i="4"/>
  <c r="BW296" i="4"/>
  <c r="BO251" i="4"/>
  <c r="BR251" i="4"/>
  <c r="BU251" i="4"/>
  <c r="BW251" i="4"/>
  <c r="BS251" i="4"/>
  <c r="BO284" i="4"/>
  <c r="BR284" i="4"/>
  <c r="BW284" i="4"/>
  <c r="BS284" i="4"/>
  <c r="BU284" i="4"/>
  <c r="BO305" i="4"/>
  <c r="BR305" i="4"/>
  <c r="BS305" i="4"/>
  <c r="BU305" i="4"/>
  <c r="BW305" i="4"/>
  <c r="BO324" i="4"/>
  <c r="BR324" i="4"/>
  <c r="BS324" i="4"/>
  <c r="BU324" i="4"/>
  <c r="BW324" i="4"/>
  <c r="BO230" i="4"/>
  <c r="BW230" i="4"/>
  <c r="BR230" i="4"/>
  <c r="BU230" i="4"/>
  <c r="BS230" i="4"/>
  <c r="BO299" i="4"/>
  <c r="BR299" i="4"/>
  <c r="BS299" i="4"/>
  <c r="BU299" i="4"/>
  <c r="BW299" i="4"/>
  <c r="BO308" i="4"/>
  <c r="BR308" i="4"/>
  <c r="BS308" i="4"/>
  <c r="BU308" i="4"/>
  <c r="BW308" i="4"/>
  <c r="BS295" i="4"/>
  <c r="BU295" i="4"/>
  <c r="BW295" i="4"/>
  <c r="BO295" i="4"/>
  <c r="BR295" i="4"/>
  <c r="BO265" i="4"/>
  <c r="BR265" i="4"/>
  <c r="BW265" i="4"/>
  <c r="BS265" i="4"/>
  <c r="BU265" i="4"/>
  <c r="BO363" i="4"/>
  <c r="BR363" i="4"/>
  <c r="BS363" i="4"/>
  <c r="BU363" i="4"/>
  <c r="BW363" i="4"/>
  <c r="BO349" i="4"/>
  <c r="BR349" i="4"/>
  <c r="BS349" i="4"/>
  <c r="BU349" i="4"/>
  <c r="BW349" i="4"/>
  <c r="BO346" i="4"/>
  <c r="BR346" i="4"/>
  <c r="BS346" i="4"/>
  <c r="BU346" i="4"/>
  <c r="BW346" i="4"/>
  <c r="BO257" i="4"/>
  <c r="BR257" i="4"/>
  <c r="BS257" i="4"/>
  <c r="BU257" i="4"/>
  <c r="BW257" i="4"/>
  <c r="BO244" i="4"/>
  <c r="BR244" i="4"/>
  <c r="BS244" i="4"/>
  <c r="BU244" i="4"/>
  <c r="BW244" i="4"/>
  <c r="BS269" i="4"/>
  <c r="BR269" i="4"/>
  <c r="BU269" i="4"/>
  <c r="BW269" i="4"/>
  <c r="BO269" i="4"/>
  <c r="BO290" i="4"/>
  <c r="BR290" i="4"/>
  <c r="BS290" i="4"/>
  <c r="BU290" i="4"/>
  <c r="BW290" i="4"/>
  <c r="BS278" i="4"/>
  <c r="BU278" i="4"/>
  <c r="BO278" i="4"/>
  <c r="BW278" i="4"/>
  <c r="BR278" i="4"/>
  <c r="BR264" i="4"/>
  <c r="BS264" i="4"/>
  <c r="BO264" i="4"/>
  <c r="BW264" i="4"/>
  <c r="BU264" i="4"/>
  <c r="BO316" i="4"/>
  <c r="BR316" i="4"/>
  <c r="BS316" i="4"/>
  <c r="BU316" i="4"/>
  <c r="BW316" i="4"/>
  <c r="BS243" i="4"/>
  <c r="BU243" i="4"/>
  <c r="BW243" i="4"/>
  <c r="BR243" i="4"/>
  <c r="BO243" i="4"/>
  <c r="BR348" i="4"/>
  <c r="BS348" i="4"/>
  <c r="BU348" i="4"/>
  <c r="BW348" i="4"/>
  <c r="BO348" i="4"/>
  <c r="BS255" i="4"/>
  <c r="BO255" i="4"/>
  <c r="BR255" i="4"/>
  <c r="BU255" i="4"/>
  <c r="BW255" i="4"/>
  <c r="BW285" i="4"/>
  <c r="BU285" i="4"/>
  <c r="BO285" i="4"/>
  <c r="BR285" i="4"/>
  <c r="BS285" i="4"/>
  <c r="BO239" i="4"/>
  <c r="BR239" i="4"/>
  <c r="BS239" i="4"/>
  <c r="BU239" i="4"/>
  <c r="BW239" i="4"/>
  <c r="BO361" i="4"/>
  <c r="BR361" i="4"/>
  <c r="BS361" i="4"/>
  <c r="BU361" i="4"/>
  <c r="BW361" i="4"/>
  <c r="BO352" i="4"/>
  <c r="BR352" i="4"/>
  <c r="BS352" i="4"/>
  <c r="BU352" i="4"/>
  <c r="BW352" i="4"/>
  <c r="BO237" i="4"/>
  <c r="BR237" i="4"/>
  <c r="BS237" i="4"/>
  <c r="BU237" i="4"/>
  <c r="BW237" i="4"/>
  <c r="BO328" i="4"/>
  <c r="BR328" i="4"/>
  <c r="BS328" i="4"/>
  <c r="BU328" i="4"/>
  <c r="BW328" i="4"/>
  <c r="BO242" i="4"/>
  <c r="BR242" i="4"/>
  <c r="BS242" i="4"/>
  <c r="BU242" i="4"/>
  <c r="BW242" i="4"/>
  <c r="BR354" i="4"/>
  <c r="BS354" i="4"/>
  <c r="BU354" i="4"/>
  <c r="BW354" i="4"/>
  <c r="BO354" i="4"/>
  <c r="BO317" i="4"/>
  <c r="BR317" i="4"/>
  <c r="BS317" i="4"/>
  <c r="BU317" i="4"/>
  <c r="BW317" i="4"/>
  <c r="BU262" i="4"/>
  <c r="BW262" i="4"/>
  <c r="BS262" i="4"/>
  <c r="BO262" i="4"/>
  <c r="BR262" i="4"/>
  <c r="BU303" i="4"/>
  <c r="BW303" i="4"/>
  <c r="BS303" i="4"/>
  <c r="BO303" i="4"/>
  <c r="BR303" i="4"/>
  <c r="BO247" i="4"/>
  <c r="BR247" i="4"/>
  <c r="BS247" i="4"/>
  <c r="BU247" i="4"/>
  <c r="BW247" i="4"/>
  <c r="BO283" i="4"/>
  <c r="BR283" i="4"/>
  <c r="BS283" i="4"/>
  <c r="BU283" i="4"/>
  <c r="BW283" i="4"/>
  <c r="BO267" i="4"/>
  <c r="BR267" i="4"/>
  <c r="BS267" i="4"/>
  <c r="BU267" i="4"/>
  <c r="BW267" i="4"/>
  <c r="BO289" i="4"/>
  <c r="BR289" i="4"/>
  <c r="BS289" i="4"/>
  <c r="BU289" i="4"/>
  <c r="BW289" i="4"/>
  <c r="BW280" i="4"/>
  <c r="BU280" i="4"/>
  <c r="BO280" i="4"/>
  <c r="BR280" i="4"/>
  <c r="BS280" i="4"/>
  <c r="BO260" i="4"/>
  <c r="BR260" i="4"/>
  <c r="BS260" i="4"/>
  <c r="BU260" i="4"/>
  <c r="BW260" i="4"/>
  <c r="BO355" i="4"/>
  <c r="BR355" i="4"/>
  <c r="BS355" i="4"/>
  <c r="BU355" i="4"/>
  <c r="BW355" i="4"/>
  <c r="BO309" i="4"/>
  <c r="BR309" i="4"/>
  <c r="BS309" i="4"/>
  <c r="BU309" i="4"/>
  <c r="BW309" i="4"/>
  <c r="BS266" i="4"/>
  <c r="BW266" i="4"/>
  <c r="BR266" i="4"/>
  <c r="BO266" i="4"/>
  <c r="BU266" i="4"/>
  <c r="BO366" i="4"/>
  <c r="BR366" i="4"/>
  <c r="BS366" i="4"/>
  <c r="BU366" i="4"/>
  <c r="BW366" i="4"/>
  <c r="BO364" i="4"/>
  <c r="BR364" i="4"/>
  <c r="BS364" i="4"/>
  <c r="BU364" i="4"/>
  <c r="BW364" i="4"/>
  <c r="BO286" i="4"/>
  <c r="BR286" i="4"/>
  <c r="BS286" i="4"/>
  <c r="BU286" i="4"/>
  <c r="BW286" i="4"/>
  <c r="BO234" i="4"/>
  <c r="BR234" i="4"/>
  <c r="BS234" i="4"/>
  <c r="BU234" i="4"/>
  <c r="BW234" i="4"/>
  <c r="BW288" i="4"/>
  <c r="BO288" i="4"/>
  <c r="BR288" i="4"/>
  <c r="BS288" i="4"/>
  <c r="BU288" i="4"/>
  <c r="BO345" i="4"/>
  <c r="BR345" i="4"/>
  <c r="BS345" i="4"/>
  <c r="BU345" i="4"/>
  <c r="BW345" i="4"/>
  <c r="BO330" i="4"/>
  <c r="BR330" i="4"/>
  <c r="BS330" i="4"/>
  <c r="BU330" i="4"/>
  <c r="BW330" i="4"/>
  <c r="BO358" i="4"/>
  <c r="BR358" i="4"/>
  <c r="BS358" i="4"/>
  <c r="BU358" i="4"/>
  <c r="BW358" i="4"/>
  <c r="BO315" i="4"/>
  <c r="BR315" i="4"/>
  <c r="BS315" i="4"/>
  <c r="BU315" i="4"/>
  <c r="BW315" i="4"/>
  <c r="BO294" i="4"/>
  <c r="BR294" i="4"/>
  <c r="BS294" i="4"/>
  <c r="BU294" i="4"/>
  <c r="BW294" i="4"/>
  <c r="BW268" i="4"/>
  <c r="BR268" i="4"/>
  <c r="BO268" i="4"/>
  <c r="BS268" i="4"/>
  <c r="BU268" i="4"/>
  <c r="BO254" i="4"/>
  <c r="BR254" i="4"/>
  <c r="BS254" i="4"/>
  <c r="BU254" i="4"/>
  <c r="BW254" i="4"/>
  <c r="BW313" i="4"/>
  <c r="BO313" i="4"/>
  <c r="BR313" i="4"/>
  <c r="BU313" i="4"/>
  <c r="BS313" i="4"/>
  <c r="BO281" i="4"/>
  <c r="BU281" i="4"/>
  <c r="BW281" i="4"/>
  <c r="BR281" i="4"/>
  <c r="BS281" i="4"/>
  <c r="BW282" i="4"/>
  <c r="BO282" i="4"/>
  <c r="BR282" i="4"/>
  <c r="BU282" i="4"/>
  <c r="BS282" i="4"/>
  <c r="BO277" i="4"/>
  <c r="BR277" i="4"/>
  <c r="BW277" i="4"/>
  <c r="BS277" i="4"/>
  <c r="BU277" i="4"/>
  <c r="BO304" i="4"/>
  <c r="BR304" i="4"/>
  <c r="BS304" i="4"/>
  <c r="BU304" i="4"/>
  <c r="BW304" i="4"/>
  <c r="BS300" i="4"/>
  <c r="BU300" i="4"/>
  <c r="BW300" i="4"/>
  <c r="BR300" i="4"/>
  <c r="BO300" i="4"/>
  <c r="BO253" i="4"/>
  <c r="BR253" i="4"/>
  <c r="BS253" i="4"/>
  <c r="BU253" i="4"/>
  <c r="BW253" i="4"/>
  <c r="BW272" i="4"/>
  <c r="BO272" i="4"/>
  <c r="BR272" i="4"/>
  <c r="BU272" i="4"/>
  <c r="BS272" i="4"/>
  <c r="BO312" i="4"/>
  <c r="BR312" i="4"/>
  <c r="BS312" i="4"/>
  <c r="BU312" i="4"/>
  <c r="BW312" i="4"/>
  <c r="BO318" i="4"/>
  <c r="BR318" i="4"/>
  <c r="BS318" i="4"/>
  <c r="BU318" i="4"/>
  <c r="BW318" i="4"/>
  <c r="BS149" i="4"/>
  <c r="BO149" i="4"/>
  <c r="BR149" i="4"/>
  <c r="BU149" i="4"/>
  <c r="BW149" i="4"/>
  <c r="BU224" i="4"/>
  <c r="BW224" i="4"/>
  <c r="BO224" i="4"/>
  <c r="BR224" i="4"/>
  <c r="BS224" i="4"/>
  <c r="BO97" i="4"/>
  <c r="BR97" i="4"/>
  <c r="BS97" i="4"/>
  <c r="BU97" i="4"/>
  <c r="BW97" i="4"/>
  <c r="BS128" i="4"/>
  <c r="BO128" i="4"/>
  <c r="BR128" i="4"/>
  <c r="BU128" i="4"/>
  <c r="BW128" i="4"/>
  <c r="BO219" i="4"/>
  <c r="BR219" i="4"/>
  <c r="BS219" i="4"/>
  <c r="BU219" i="4"/>
  <c r="BW219" i="4"/>
  <c r="BO186" i="4"/>
  <c r="BR186" i="4"/>
  <c r="BS186" i="4"/>
  <c r="BU186" i="4"/>
  <c r="BW186" i="4"/>
  <c r="BU196" i="4"/>
  <c r="BW196" i="4"/>
  <c r="BS196" i="4"/>
  <c r="BO196" i="4"/>
  <c r="BR196" i="4"/>
  <c r="BO217" i="4"/>
  <c r="BR217" i="4"/>
  <c r="BS217" i="4"/>
  <c r="BU217" i="4"/>
  <c r="BW217" i="4"/>
  <c r="BS209" i="4"/>
  <c r="BU209" i="4"/>
  <c r="BW209" i="4"/>
  <c r="BR209" i="4"/>
  <c r="BO209" i="4"/>
  <c r="BO122" i="4"/>
  <c r="BW122" i="4"/>
  <c r="BR122" i="4"/>
  <c r="BS122" i="4"/>
  <c r="BU122" i="4"/>
  <c r="BO124" i="4"/>
  <c r="BR124" i="4"/>
  <c r="BS124" i="4"/>
  <c r="BU124" i="4"/>
  <c r="BW124" i="4"/>
  <c r="BW132" i="4"/>
  <c r="BO132" i="4"/>
  <c r="BU132" i="4"/>
  <c r="BR132" i="4"/>
  <c r="BS132" i="4"/>
  <c r="BO200" i="4"/>
  <c r="BR200" i="4"/>
  <c r="BS200" i="4"/>
  <c r="BU200" i="4"/>
  <c r="BW200" i="4"/>
  <c r="BR123" i="4"/>
  <c r="BS123" i="4"/>
  <c r="BU123" i="4"/>
  <c r="BW123" i="4"/>
  <c r="BO123" i="4"/>
  <c r="BU168" i="4"/>
  <c r="BS168" i="4"/>
  <c r="BO168" i="4"/>
  <c r="BR168" i="4"/>
  <c r="BW168" i="4"/>
  <c r="BO220" i="4"/>
  <c r="BR220" i="4"/>
  <c r="BS220" i="4"/>
  <c r="BU220" i="4"/>
  <c r="BW220" i="4"/>
  <c r="BO106" i="4"/>
  <c r="BR106" i="4"/>
  <c r="BS106" i="4"/>
  <c r="BU106" i="4"/>
  <c r="BW106" i="4"/>
  <c r="BO198" i="4"/>
  <c r="BR198" i="4"/>
  <c r="BS198" i="4"/>
  <c r="BU198" i="4"/>
  <c r="BW198" i="4"/>
  <c r="BO162" i="4"/>
  <c r="BR162" i="4"/>
  <c r="BS162" i="4"/>
  <c r="BU162" i="4"/>
  <c r="BW162" i="4"/>
  <c r="BO204" i="4"/>
  <c r="BR204" i="4"/>
  <c r="BS204" i="4"/>
  <c r="BU204" i="4"/>
  <c r="BW204" i="4"/>
  <c r="BO101" i="4"/>
  <c r="BR101" i="4"/>
  <c r="BS101" i="4"/>
  <c r="BU101" i="4"/>
  <c r="BW101" i="4"/>
  <c r="BO118" i="4"/>
  <c r="BU118" i="4"/>
  <c r="BW118" i="4"/>
  <c r="BR118" i="4"/>
  <c r="BS118" i="4"/>
  <c r="BO181" i="4"/>
  <c r="BR181" i="4"/>
  <c r="BS181" i="4"/>
  <c r="BU181" i="4"/>
  <c r="BW181" i="4"/>
  <c r="BO192" i="4"/>
  <c r="BR192" i="4"/>
  <c r="BS192" i="4"/>
  <c r="BU192" i="4"/>
  <c r="BW192" i="4"/>
  <c r="BO187" i="4"/>
  <c r="BR187" i="4"/>
  <c r="BS187" i="4"/>
  <c r="BU187" i="4"/>
  <c r="BW187" i="4"/>
  <c r="BO133" i="4"/>
  <c r="BR133" i="4"/>
  <c r="BS133" i="4"/>
  <c r="BU133" i="4"/>
  <c r="BW133" i="4"/>
  <c r="BO184" i="4"/>
  <c r="BR184" i="4"/>
  <c r="BS184" i="4"/>
  <c r="BU184" i="4"/>
  <c r="BW184" i="4"/>
  <c r="BO207" i="4"/>
  <c r="BR207" i="4"/>
  <c r="BS207" i="4"/>
  <c r="BU207" i="4"/>
  <c r="BW207" i="4"/>
  <c r="BO178" i="4"/>
  <c r="BR178" i="4"/>
  <c r="BS178" i="4"/>
  <c r="BU178" i="4"/>
  <c r="BW178" i="4"/>
  <c r="BO188" i="4"/>
  <c r="BR188" i="4"/>
  <c r="BS188" i="4"/>
  <c r="BU188" i="4"/>
  <c r="BW188" i="4"/>
  <c r="BO136" i="4"/>
  <c r="BR136" i="4"/>
  <c r="BS136" i="4"/>
  <c r="BU136" i="4"/>
  <c r="BW136" i="4"/>
  <c r="BO215" i="4"/>
  <c r="BR215" i="4"/>
  <c r="BS215" i="4"/>
  <c r="BU215" i="4"/>
  <c r="BW215" i="4"/>
  <c r="BO142" i="4"/>
  <c r="BR142" i="4"/>
  <c r="BS142" i="4"/>
  <c r="BU142" i="4"/>
  <c r="BW142" i="4"/>
  <c r="BS110" i="4"/>
  <c r="BU110" i="4"/>
  <c r="BW110" i="4"/>
  <c r="BR110" i="4"/>
  <c r="BO110" i="4"/>
  <c r="BO223" i="4"/>
  <c r="BR223" i="4"/>
  <c r="BS223" i="4"/>
  <c r="BU223" i="4"/>
  <c r="BW223" i="4"/>
  <c r="BR190" i="4"/>
  <c r="BS190" i="4"/>
  <c r="BU190" i="4"/>
  <c r="BW190" i="4"/>
  <c r="BO190" i="4"/>
  <c r="BR125" i="4"/>
  <c r="BO125" i="4"/>
  <c r="BS125" i="4"/>
  <c r="BU125" i="4"/>
  <c r="BW125" i="4"/>
  <c r="BS147" i="4"/>
  <c r="BU147" i="4"/>
  <c r="BR147" i="4"/>
  <c r="BW147" i="4"/>
  <c r="BO147" i="4"/>
  <c r="BO139" i="4"/>
  <c r="BR139" i="4"/>
  <c r="BS139" i="4"/>
  <c r="BU139" i="4"/>
  <c r="BW139" i="4"/>
  <c r="BO222" i="4"/>
  <c r="BR222" i="4"/>
  <c r="BS222" i="4"/>
  <c r="BU222" i="4"/>
  <c r="BW222" i="4"/>
  <c r="BS193" i="4"/>
  <c r="BU193" i="4"/>
  <c r="BW193" i="4"/>
  <c r="BR193" i="4"/>
  <c r="BO193" i="4"/>
  <c r="BO185" i="4"/>
  <c r="BR185" i="4"/>
  <c r="BS185" i="4"/>
  <c r="BU185" i="4"/>
  <c r="BW185" i="4"/>
  <c r="BO170" i="4"/>
  <c r="BR170" i="4"/>
  <c r="BS170" i="4"/>
  <c r="BU170" i="4"/>
  <c r="BW170" i="4"/>
  <c r="BW119" i="4"/>
  <c r="BO119" i="4"/>
  <c r="BR119" i="4"/>
  <c r="BS119" i="4"/>
  <c r="BU119" i="4"/>
  <c r="BO105" i="4"/>
  <c r="BU105" i="4"/>
  <c r="BR105" i="4"/>
  <c r="BS105" i="4"/>
  <c r="BW105" i="4"/>
  <c r="BU155" i="4"/>
  <c r="BO155" i="4"/>
  <c r="BW155" i="4"/>
  <c r="BR155" i="4"/>
  <c r="BS155" i="4"/>
  <c r="BO167" i="4"/>
  <c r="BR167" i="4"/>
  <c r="BS167" i="4"/>
  <c r="BU167" i="4"/>
  <c r="BW167" i="4"/>
  <c r="BO189" i="4"/>
  <c r="BR189" i="4"/>
  <c r="BS189" i="4"/>
  <c r="BU189" i="4"/>
  <c r="BW189" i="4"/>
  <c r="BS177" i="4"/>
  <c r="BU177" i="4"/>
  <c r="BW177" i="4"/>
  <c r="BO177" i="4"/>
  <c r="BR177" i="4"/>
  <c r="BO216" i="4"/>
  <c r="BR216" i="4"/>
  <c r="BS216" i="4"/>
  <c r="BU216" i="4"/>
  <c r="BW216" i="4"/>
  <c r="BU150" i="4"/>
  <c r="BW150" i="4"/>
  <c r="BS150" i="4"/>
  <c r="BO150" i="4"/>
  <c r="BR150" i="4"/>
  <c r="BO164" i="4"/>
  <c r="BR164" i="4"/>
  <c r="BS164" i="4"/>
  <c r="BU164" i="4"/>
  <c r="BW164" i="4"/>
  <c r="BO213" i="4"/>
  <c r="BR213" i="4"/>
  <c r="BS213" i="4"/>
  <c r="BU213" i="4"/>
  <c r="BW213" i="4"/>
  <c r="BO176" i="4"/>
  <c r="BR176" i="4"/>
  <c r="BS176" i="4"/>
  <c r="BU176" i="4"/>
  <c r="BW176" i="4"/>
  <c r="BU129" i="4"/>
  <c r="BW129" i="4"/>
  <c r="BR129" i="4"/>
  <c r="BO129" i="4"/>
  <c r="BS129" i="4"/>
  <c r="BU135" i="4"/>
  <c r="BO135" i="4"/>
  <c r="BW135" i="4"/>
  <c r="BR135" i="4"/>
  <c r="BS135" i="4"/>
  <c r="BO157" i="4"/>
  <c r="BR157" i="4"/>
  <c r="BS157" i="4"/>
  <c r="BU157" i="4"/>
  <c r="BW157" i="4"/>
  <c r="BO154" i="4"/>
  <c r="BR154" i="4"/>
  <c r="BS154" i="4"/>
  <c r="BU154" i="4"/>
  <c r="BW154" i="4"/>
  <c r="BO141" i="4"/>
  <c r="BR141" i="4"/>
  <c r="BS141" i="4"/>
  <c r="BU141" i="4"/>
  <c r="BW141" i="4"/>
  <c r="BO226" i="4"/>
  <c r="BR226" i="4"/>
  <c r="BS226" i="4"/>
  <c r="BU226" i="4"/>
  <c r="BW226" i="4"/>
  <c r="BS165" i="4"/>
  <c r="BR165" i="4"/>
  <c r="BO165" i="4"/>
  <c r="BU165" i="4"/>
  <c r="BW165" i="4"/>
  <c r="BW92" i="4"/>
  <c r="BR92" i="4"/>
  <c r="BS92" i="4"/>
  <c r="BO92" i="4"/>
  <c r="BU92" i="4"/>
  <c r="BR206" i="4"/>
  <c r="BO206" i="4"/>
  <c r="BS206" i="4"/>
  <c r="BU206" i="4"/>
  <c r="BW206" i="4"/>
  <c r="BO158" i="4"/>
  <c r="BR158" i="4"/>
  <c r="BS158" i="4"/>
  <c r="BW158" i="4"/>
  <c r="BU158" i="4"/>
  <c r="BO151" i="4"/>
  <c r="BR151" i="4"/>
  <c r="BS151" i="4"/>
  <c r="BU151" i="4"/>
  <c r="BW151" i="4"/>
  <c r="BW183" i="4"/>
  <c r="BO183" i="4"/>
  <c r="BR183" i="4"/>
  <c r="BS183" i="4"/>
  <c r="BU183" i="4"/>
  <c r="BO182" i="4"/>
  <c r="BR182" i="4"/>
  <c r="BS182" i="4"/>
  <c r="BU182" i="4"/>
  <c r="BW182" i="4"/>
  <c r="BO117" i="4"/>
  <c r="BR117" i="4"/>
  <c r="BS117" i="4"/>
  <c r="BU117" i="4"/>
  <c r="BW117" i="4"/>
  <c r="BU90" i="4"/>
  <c r="BW90" i="4"/>
  <c r="BW199" i="4"/>
  <c r="BU199" i="4"/>
  <c r="BO199" i="4"/>
  <c r="BR199" i="4"/>
  <c r="BS199" i="4"/>
  <c r="BR146" i="4"/>
  <c r="BO146" i="4"/>
  <c r="BS146" i="4"/>
  <c r="BU146" i="4"/>
  <c r="BW146" i="4"/>
  <c r="BO148" i="4"/>
  <c r="BR148" i="4"/>
  <c r="BS148" i="4"/>
  <c r="BU148" i="4"/>
  <c r="BW148" i="4"/>
  <c r="BO143" i="4"/>
  <c r="BR143" i="4"/>
  <c r="BS143" i="4"/>
  <c r="BU143" i="4"/>
  <c r="BW143" i="4"/>
  <c r="BR174" i="4"/>
  <c r="BS174" i="4"/>
  <c r="BU174" i="4"/>
  <c r="BW174" i="4"/>
  <c r="BO174" i="4"/>
  <c r="BS112" i="4"/>
  <c r="BR112" i="4"/>
  <c r="BO112" i="4"/>
  <c r="BU112" i="4"/>
  <c r="BW112" i="4"/>
  <c r="BU166" i="4"/>
  <c r="BS166" i="4"/>
  <c r="BW166" i="4"/>
  <c r="BO166" i="4"/>
  <c r="BR166" i="4"/>
  <c r="BS131" i="4"/>
  <c r="BU131" i="4"/>
  <c r="BO131" i="4"/>
  <c r="BW131" i="4"/>
  <c r="BR131" i="4"/>
  <c r="BR160" i="4"/>
  <c r="BS160" i="4"/>
  <c r="BU160" i="4"/>
  <c r="BW160" i="4"/>
  <c r="BO160" i="4"/>
  <c r="BW169" i="4"/>
  <c r="BU169" i="4"/>
  <c r="BO169" i="4"/>
  <c r="BR169" i="4"/>
  <c r="BS169" i="4"/>
  <c r="BO127" i="4"/>
  <c r="BR127" i="4"/>
  <c r="BS127" i="4"/>
  <c r="BU127" i="4"/>
  <c r="BW127" i="4"/>
  <c r="BW93" i="4"/>
  <c r="BO93" i="4"/>
  <c r="BU93" i="4"/>
  <c r="BS93" i="4"/>
  <c r="BR93" i="4"/>
  <c r="BU152" i="4"/>
  <c r="BO152" i="4"/>
  <c r="BR152" i="4"/>
  <c r="BS152" i="4"/>
  <c r="BW152" i="4"/>
  <c r="BO208" i="4"/>
  <c r="BR208" i="4"/>
  <c r="BS208" i="4"/>
  <c r="BU208" i="4"/>
  <c r="BW208" i="4"/>
  <c r="BW96" i="4"/>
  <c r="BU96" i="4"/>
  <c r="BR96" i="4"/>
  <c r="BO96" i="4"/>
  <c r="BS96" i="4"/>
  <c r="BO179" i="4"/>
  <c r="BR179" i="4"/>
  <c r="BS179" i="4"/>
  <c r="BU179" i="4"/>
  <c r="BW179" i="4"/>
  <c r="BR218" i="4"/>
  <c r="BS218" i="4"/>
  <c r="BU218" i="4"/>
  <c r="BW218" i="4"/>
  <c r="BO218" i="4"/>
  <c r="BO225" i="4"/>
  <c r="BR225" i="4"/>
  <c r="BS225" i="4"/>
  <c r="BU225" i="4"/>
  <c r="BW225" i="4"/>
  <c r="BW140" i="4"/>
  <c r="BO140" i="4"/>
  <c r="BR140" i="4"/>
  <c r="BS140" i="4"/>
  <c r="BU140" i="4"/>
  <c r="BS221" i="4"/>
  <c r="BU221" i="4"/>
  <c r="BW221" i="4"/>
  <c r="BO221" i="4"/>
  <c r="BR221" i="4"/>
  <c r="BR115" i="4"/>
  <c r="BO115" i="4"/>
  <c r="BS115" i="4"/>
  <c r="BU115" i="4"/>
  <c r="BW115" i="4"/>
  <c r="BW116" i="4"/>
  <c r="BO116" i="4"/>
  <c r="BR116" i="4"/>
  <c r="BS116" i="4"/>
  <c r="BU116" i="4"/>
  <c r="BO134" i="4"/>
  <c r="BR134" i="4"/>
  <c r="BS134" i="4"/>
  <c r="BU134" i="4"/>
  <c r="BW134" i="4"/>
  <c r="BU212" i="4"/>
  <c r="BW212" i="4"/>
  <c r="BS212" i="4"/>
  <c r="BO212" i="4"/>
  <c r="BR212" i="4"/>
  <c r="BO229" i="4"/>
  <c r="BR229" i="4"/>
  <c r="BS229" i="4"/>
  <c r="BU229" i="4"/>
  <c r="BW229" i="4"/>
  <c r="BR109" i="4"/>
  <c r="BO109" i="4"/>
  <c r="BS109" i="4"/>
  <c r="BU109" i="4"/>
  <c r="BW109" i="4"/>
  <c r="BO227" i="4"/>
  <c r="BR227" i="4"/>
  <c r="BS227" i="4"/>
  <c r="BU227" i="4"/>
  <c r="BW227" i="4"/>
  <c r="BO145" i="4"/>
  <c r="BR145" i="4"/>
  <c r="BS145" i="4"/>
  <c r="BU145" i="4"/>
  <c r="BW145" i="4"/>
  <c r="BO210" i="4"/>
  <c r="BR210" i="4"/>
  <c r="BS210" i="4"/>
  <c r="BU210" i="4"/>
  <c r="BW210" i="4"/>
  <c r="BW95" i="4"/>
  <c r="BO95" i="4"/>
  <c r="BU95" i="4"/>
  <c r="BR95" i="4"/>
  <c r="BS95" i="4"/>
  <c r="BO197" i="4"/>
  <c r="BR197" i="4"/>
  <c r="BS197" i="4"/>
  <c r="BU197" i="4"/>
  <c r="BW197" i="4"/>
  <c r="BO201" i="4"/>
  <c r="BR201" i="4"/>
  <c r="BS201" i="4"/>
  <c r="BU201" i="4"/>
  <c r="BW201" i="4"/>
  <c r="BR107" i="4"/>
  <c r="BS107" i="4"/>
  <c r="BU107" i="4"/>
  <c r="BW107" i="4"/>
  <c r="BO107" i="4"/>
  <c r="BR94" i="4"/>
  <c r="BO94" i="4"/>
  <c r="BS94" i="4"/>
  <c r="BU94" i="4"/>
  <c r="BW94" i="4"/>
  <c r="BO121" i="4"/>
  <c r="BW121" i="4"/>
  <c r="BR121" i="4"/>
  <c r="BS121" i="4"/>
  <c r="BU121" i="4"/>
  <c r="BO104" i="4"/>
  <c r="BR104" i="4"/>
  <c r="BS104" i="4"/>
  <c r="BU104" i="4"/>
  <c r="BW104" i="4"/>
  <c r="BO91" i="4"/>
  <c r="BR91" i="4"/>
  <c r="BS91" i="4"/>
  <c r="BU91" i="4"/>
  <c r="BW91" i="4"/>
  <c r="BO111" i="4"/>
  <c r="BR111" i="4"/>
  <c r="BS111" i="4"/>
  <c r="BU111" i="4"/>
  <c r="BW111" i="4"/>
  <c r="BW100" i="4"/>
  <c r="BU100" i="4"/>
  <c r="BO100" i="4"/>
  <c r="BR100" i="4"/>
  <c r="BS100" i="4"/>
  <c r="BU113" i="4"/>
  <c r="BW113" i="4"/>
  <c r="BS113" i="4"/>
  <c r="BO113" i="4"/>
  <c r="BR113" i="4"/>
  <c r="BO194" i="4"/>
  <c r="BR194" i="4"/>
  <c r="BS194" i="4"/>
  <c r="BU194" i="4"/>
  <c r="BW194" i="4"/>
  <c r="BO203" i="4"/>
  <c r="BR203" i="4"/>
  <c r="BS203" i="4"/>
  <c r="BU203" i="4"/>
  <c r="BW203" i="4"/>
  <c r="BO114" i="4"/>
  <c r="BR114" i="4"/>
  <c r="BS114" i="4"/>
  <c r="BU114" i="4"/>
  <c r="BW114" i="4"/>
  <c r="BO195" i="4"/>
  <c r="BR195" i="4"/>
  <c r="BS195" i="4"/>
  <c r="BU195" i="4"/>
  <c r="BW195" i="4"/>
  <c r="BO211" i="4"/>
  <c r="BR211" i="4"/>
  <c r="BS211" i="4"/>
  <c r="BU211" i="4"/>
  <c r="BW211" i="4"/>
  <c r="BO191" i="4"/>
  <c r="BR191" i="4"/>
  <c r="BS191" i="4"/>
  <c r="BU191" i="4"/>
  <c r="BW191" i="4"/>
  <c r="BO173" i="4"/>
  <c r="BR173" i="4"/>
  <c r="BS173" i="4"/>
  <c r="BU173" i="4"/>
  <c r="BW173" i="4"/>
  <c r="BS163" i="4"/>
  <c r="BU163" i="4"/>
  <c r="BW163" i="4"/>
  <c r="BO163" i="4"/>
  <c r="BR163" i="4"/>
  <c r="BW153" i="4"/>
  <c r="BO153" i="4"/>
  <c r="BU153" i="4"/>
  <c r="BR153" i="4"/>
  <c r="BS153" i="4"/>
  <c r="BO103" i="4"/>
  <c r="BR103" i="4"/>
  <c r="BS103" i="4"/>
  <c r="BU103" i="4"/>
  <c r="BW103" i="4"/>
  <c r="BO228" i="4"/>
  <c r="BR228" i="4"/>
  <c r="BS228" i="4"/>
  <c r="BU228" i="4"/>
  <c r="BW228" i="4"/>
  <c r="BO130" i="4"/>
  <c r="BR130" i="4"/>
  <c r="BS130" i="4"/>
  <c r="BU130" i="4"/>
  <c r="BW130" i="4"/>
  <c r="BO159" i="4"/>
  <c r="BR159" i="4"/>
  <c r="BS159" i="4"/>
  <c r="BU159" i="4"/>
  <c r="BW159" i="4"/>
  <c r="BW98" i="4"/>
  <c r="BO98" i="4"/>
  <c r="BR98" i="4"/>
  <c r="BS98" i="4"/>
  <c r="BU98" i="4"/>
  <c r="BO102" i="4"/>
  <c r="BW102" i="4"/>
  <c r="BR102" i="4"/>
  <c r="BS102" i="4"/>
  <c r="BU102" i="4"/>
  <c r="BO120" i="4"/>
  <c r="BR120" i="4"/>
  <c r="BS120" i="4"/>
  <c r="BU120" i="4"/>
  <c r="BW120" i="4"/>
  <c r="BW137" i="4"/>
  <c r="BU137" i="4"/>
  <c r="BO137" i="4"/>
  <c r="BR137" i="4"/>
  <c r="BS137" i="4"/>
  <c r="BR99" i="4"/>
  <c r="BU99" i="4"/>
  <c r="BO99" i="4"/>
  <c r="BS99" i="4"/>
  <c r="BW99" i="4"/>
  <c r="BO175" i="4"/>
  <c r="BR175" i="4"/>
  <c r="BS175" i="4"/>
  <c r="BU175" i="4"/>
  <c r="BW175" i="4"/>
  <c r="BO138" i="4"/>
  <c r="BR138" i="4"/>
  <c r="BS138" i="4"/>
  <c r="BU138" i="4"/>
  <c r="BW138" i="4"/>
  <c r="BO171" i="4"/>
  <c r="BR171" i="4"/>
  <c r="BS171" i="4"/>
  <c r="BU171" i="4"/>
  <c r="BW171" i="4"/>
  <c r="BR144" i="4"/>
  <c r="BS144" i="4"/>
  <c r="BU144" i="4"/>
  <c r="BW144" i="4"/>
  <c r="BO144" i="4"/>
  <c r="BO205" i="4"/>
  <c r="BR205" i="4"/>
  <c r="BS205" i="4"/>
  <c r="BU205" i="4"/>
  <c r="BW205" i="4"/>
  <c r="BW156" i="4"/>
  <c r="BO156" i="4"/>
  <c r="BR156" i="4"/>
  <c r="BS156" i="4"/>
  <c r="BU156" i="4"/>
  <c r="BW202" i="4"/>
  <c r="BO202" i="4"/>
  <c r="BR202" i="4"/>
  <c r="BS202" i="4"/>
  <c r="BU202" i="4"/>
  <c r="BO161" i="4"/>
  <c r="BR161" i="4"/>
  <c r="BS161" i="4"/>
  <c r="BU161" i="4"/>
  <c r="BW161" i="4"/>
  <c r="BS126" i="4"/>
  <c r="BU126" i="4"/>
  <c r="BW126" i="4"/>
  <c r="BO126" i="4"/>
  <c r="BR126" i="4"/>
  <c r="BO108" i="4"/>
  <c r="BR108" i="4"/>
  <c r="BS108" i="4"/>
  <c r="BU108" i="4"/>
  <c r="BW108" i="4"/>
  <c r="BU180" i="4"/>
  <c r="BW180" i="4"/>
  <c r="BO180" i="4"/>
  <c r="BR180" i="4"/>
  <c r="BS180" i="4"/>
  <c r="BO172" i="4"/>
  <c r="BR172" i="4"/>
  <c r="BS172" i="4"/>
  <c r="BU172" i="4"/>
  <c r="BW172" i="4"/>
  <c r="BO214" i="4"/>
  <c r="BR214" i="4"/>
  <c r="BS214" i="4"/>
  <c r="BU214" i="4"/>
  <c r="BW214" i="4"/>
  <c r="BR12" i="4"/>
  <c r="BS12" i="4"/>
  <c r="BW12" i="4"/>
  <c r="BU12" i="4"/>
  <c r="BO12" i="4"/>
  <c r="BO55" i="4"/>
  <c r="BR55" i="4"/>
  <c r="BS55" i="4"/>
  <c r="BU55" i="4"/>
  <c r="BW55" i="4"/>
  <c r="BW31" i="4"/>
  <c r="BO31" i="4"/>
  <c r="BR31" i="4"/>
  <c r="BS31" i="4"/>
  <c r="BU31" i="4"/>
  <c r="BW83" i="4"/>
  <c r="BO83" i="4"/>
  <c r="BS83" i="4"/>
  <c r="BU83" i="4"/>
  <c r="BR83" i="4"/>
  <c r="BO86" i="4"/>
  <c r="BR86" i="4"/>
  <c r="BS86" i="4"/>
  <c r="BU86" i="4"/>
  <c r="BW86" i="4"/>
  <c r="BO27" i="4"/>
  <c r="BR27" i="4"/>
  <c r="BS27" i="4"/>
  <c r="BU27" i="4"/>
  <c r="BW27" i="4"/>
  <c r="BS56" i="4"/>
  <c r="BU56" i="4"/>
  <c r="BW56" i="4"/>
  <c r="BO56" i="4"/>
  <c r="BR56" i="4"/>
  <c r="BO47" i="4"/>
  <c r="BR47" i="4"/>
  <c r="BW47" i="4"/>
  <c r="BU47" i="4"/>
  <c r="BS47" i="4"/>
  <c r="BS76" i="4"/>
  <c r="BU76" i="4"/>
  <c r="BW76" i="4"/>
  <c r="BO76" i="4"/>
  <c r="BR76" i="4"/>
  <c r="BO8" i="4"/>
  <c r="BS8" i="4"/>
  <c r="BU8" i="4"/>
  <c r="BR8" i="4"/>
  <c r="BW8" i="4"/>
  <c r="BR51" i="4"/>
  <c r="BS51" i="4"/>
  <c r="BW51" i="4"/>
  <c r="BU51" i="4"/>
  <c r="BO51" i="4"/>
  <c r="BR22" i="4"/>
  <c r="BS22" i="4"/>
  <c r="BU22" i="4"/>
  <c r="BW22" i="4"/>
  <c r="BO22" i="4"/>
  <c r="BR34" i="4"/>
  <c r="BS34" i="4"/>
  <c r="BU34" i="4"/>
  <c r="BO34" i="4"/>
  <c r="BW34" i="4"/>
  <c r="BR75" i="4"/>
  <c r="BU75" i="4"/>
  <c r="BW75" i="4"/>
  <c r="BO75" i="4"/>
  <c r="BS75" i="4"/>
  <c r="BR33" i="4"/>
  <c r="BO33" i="4"/>
  <c r="BS33" i="4"/>
  <c r="BU33" i="4"/>
  <c r="BW33" i="4"/>
  <c r="BW66" i="4"/>
  <c r="BS66" i="4"/>
  <c r="BR66" i="4"/>
  <c r="BO66" i="4"/>
  <c r="BU66" i="4"/>
  <c r="BO53" i="4"/>
  <c r="BS53" i="4"/>
  <c r="BW53" i="4"/>
  <c r="BR53" i="4"/>
  <c r="BU53" i="4"/>
  <c r="BS7" i="4"/>
  <c r="BU7" i="4"/>
  <c r="BR7" i="4"/>
  <c r="BO7" i="4"/>
  <c r="BW7" i="4"/>
  <c r="BS64" i="4"/>
  <c r="BU64" i="4"/>
  <c r="BW64" i="4"/>
  <c r="BR64" i="4"/>
  <c r="BO64" i="4"/>
  <c r="BR85" i="4"/>
  <c r="BS85" i="4"/>
  <c r="BU85" i="4"/>
  <c r="BO85" i="4"/>
  <c r="BW85" i="4"/>
  <c r="BR61" i="4"/>
  <c r="BS61" i="4"/>
  <c r="BW61" i="4"/>
  <c r="BO61" i="4"/>
  <c r="BU61" i="4"/>
  <c r="BO15" i="4"/>
  <c r="BR15" i="4"/>
  <c r="BS15" i="4"/>
  <c r="BW15" i="4"/>
  <c r="BU15" i="4"/>
  <c r="BU24" i="4"/>
  <c r="BW24" i="4"/>
  <c r="BR24" i="4"/>
  <c r="BO24" i="4"/>
  <c r="BS24" i="4"/>
  <c r="BR80" i="4"/>
  <c r="BS80" i="4"/>
  <c r="BU80" i="4"/>
  <c r="BW80" i="4"/>
  <c r="BO80" i="4"/>
  <c r="BS25" i="4"/>
  <c r="BU25" i="4"/>
  <c r="BW25" i="4"/>
  <c r="BO25" i="4"/>
  <c r="BR25" i="4"/>
  <c r="BO78" i="4"/>
  <c r="BS78" i="4"/>
  <c r="BU78" i="4"/>
  <c r="BR78" i="4"/>
  <c r="BW78" i="4"/>
  <c r="BO89" i="4"/>
  <c r="BU89" i="4"/>
  <c r="BW89" i="4"/>
  <c r="BR89" i="4"/>
  <c r="BS89" i="4"/>
  <c r="BS23" i="4"/>
  <c r="BU23" i="4"/>
  <c r="BO23" i="4"/>
  <c r="BR23" i="4"/>
  <c r="BW23" i="4"/>
  <c r="BO70" i="4"/>
  <c r="BR70" i="4"/>
  <c r="BW70" i="4"/>
  <c r="BS70" i="4"/>
  <c r="BU70" i="4"/>
  <c r="BO6" i="4"/>
  <c r="BU6" i="4"/>
  <c r="BR6" i="4"/>
  <c r="BW6" i="4"/>
  <c r="BS6" i="4"/>
  <c r="BO81" i="4"/>
  <c r="BR81" i="4"/>
  <c r="BS81" i="4"/>
  <c r="BW81" i="4"/>
  <c r="BU81" i="4"/>
  <c r="BR57" i="4"/>
  <c r="BS57" i="4"/>
  <c r="BW57" i="4"/>
  <c r="BU57" i="4"/>
  <c r="BO57" i="4"/>
  <c r="BO13" i="4"/>
  <c r="BR13" i="4"/>
  <c r="BW13" i="4"/>
  <c r="BS13" i="4"/>
  <c r="BU13" i="4"/>
  <c r="BR36" i="4"/>
  <c r="BO36" i="4"/>
  <c r="BS36" i="4"/>
  <c r="BW36" i="4"/>
  <c r="BU36" i="4"/>
  <c r="BS10" i="4"/>
  <c r="BO10" i="4"/>
  <c r="BW10" i="4"/>
  <c r="BR10" i="4"/>
  <c r="BU10" i="4"/>
  <c r="BW82" i="4"/>
  <c r="BR82" i="4"/>
  <c r="BS82" i="4"/>
  <c r="BO82" i="4"/>
  <c r="BU82" i="4"/>
  <c r="BR88" i="4"/>
  <c r="BS88" i="4"/>
  <c r="BW88" i="4"/>
  <c r="BO88" i="4"/>
  <c r="BU88" i="4"/>
  <c r="BO71" i="4"/>
  <c r="BS71" i="4"/>
  <c r="BR71" i="4"/>
  <c r="BU71" i="4"/>
  <c r="BW71" i="4"/>
  <c r="BR19" i="4"/>
  <c r="BW19" i="4"/>
  <c r="BS19" i="4"/>
  <c r="BU19" i="4"/>
  <c r="BO19" i="4"/>
  <c r="BU52" i="4"/>
  <c r="BO52" i="4"/>
  <c r="BR52" i="4"/>
  <c r="BW52" i="4"/>
  <c r="BS52" i="4"/>
  <c r="BR90" i="4"/>
  <c r="BO90" i="4"/>
  <c r="BS90" i="4"/>
  <c r="BW69" i="4"/>
  <c r="BO69" i="4"/>
  <c r="BS69" i="4"/>
  <c r="BR69" i="4"/>
  <c r="BU69" i="4"/>
  <c r="BW9" i="4"/>
  <c r="BO9" i="4"/>
  <c r="BS9" i="4"/>
  <c r="BU9" i="4"/>
  <c r="BR9" i="4"/>
  <c r="BR14" i="4"/>
  <c r="BO14" i="4"/>
  <c r="BS14" i="4"/>
  <c r="BU14" i="4"/>
  <c r="BW14" i="4"/>
  <c r="BO65" i="4"/>
  <c r="BR65" i="4"/>
  <c r="BU65" i="4"/>
  <c r="BW65" i="4"/>
  <c r="BS65" i="4"/>
  <c r="BW45" i="4"/>
  <c r="BR45" i="4"/>
  <c r="BS45" i="4"/>
  <c r="BU45" i="4"/>
  <c r="BO45" i="4"/>
  <c r="BO17" i="4"/>
  <c r="BR17" i="4"/>
  <c r="BS17" i="4"/>
  <c r="BU17" i="4"/>
  <c r="BW17" i="4"/>
  <c r="BO39" i="4"/>
  <c r="BS39" i="4"/>
  <c r="BU39" i="4"/>
  <c r="BR39" i="4"/>
  <c r="BW39" i="4"/>
  <c r="BO42" i="4"/>
  <c r="BR42" i="4"/>
  <c r="BU42" i="4"/>
  <c r="BS42" i="4"/>
  <c r="BW42" i="4"/>
  <c r="BW77" i="4"/>
  <c r="BR77" i="4"/>
  <c r="BO77" i="4"/>
  <c r="BS77" i="4"/>
  <c r="BU77" i="4"/>
  <c r="BO62" i="4"/>
  <c r="BW62" i="4"/>
  <c r="BR62" i="4"/>
  <c r="BS62" i="4"/>
  <c r="BU62" i="4"/>
  <c r="BO11" i="4"/>
  <c r="BR11" i="4"/>
  <c r="BS11" i="4"/>
  <c r="BW11" i="4"/>
  <c r="BU11" i="4"/>
  <c r="BR16" i="4"/>
  <c r="BS16" i="4"/>
  <c r="BU16" i="4"/>
  <c r="BW16" i="4"/>
  <c r="BO16" i="4"/>
  <c r="BO26" i="4"/>
  <c r="BR26" i="4"/>
  <c r="BS26" i="4"/>
  <c r="BW26" i="4"/>
  <c r="BU26" i="4"/>
  <c r="BR59" i="4"/>
  <c r="BU59" i="4"/>
  <c r="BW59" i="4"/>
  <c r="BO59" i="4"/>
  <c r="BS59" i="4"/>
  <c r="BO20" i="4"/>
  <c r="BR20" i="4"/>
  <c r="BS20" i="4"/>
  <c r="BW20" i="4"/>
  <c r="BU20" i="4"/>
  <c r="BO46" i="4"/>
  <c r="BS46" i="4"/>
  <c r="BU46" i="4"/>
  <c r="BW46" i="4"/>
  <c r="BR46" i="4"/>
  <c r="BR54" i="4"/>
  <c r="BW54" i="4"/>
  <c r="BS54" i="4"/>
  <c r="BU54" i="4"/>
  <c r="BO54" i="4"/>
  <c r="BS21" i="4"/>
  <c r="BW21" i="4"/>
  <c r="BU21" i="4"/>
  <c r="BO21" i="4"/>
  <c r="BR21" i="4"/>
  <c r="BS18" i="4"/>
  <c r="BU18" i="4"/>
  <c r="BW18" i="4"/>
  <c r="BO18" i="4"/>
  <c r="BR18" i="4"/>
  <c r="BR38" i="4"/>
  <c r="BS38" i="4"/>
  <c r="BW38" i="4"/>
  <c r="BU38" i="4"/>
  <c r="BO38" i="4"/>
  <c r="BR43" i="4"/>
  <c r="BS43" i="4"/>
  <c r="BO43" i="4"/>
  <c r="BU43" i="4"/>
  <c r="BW43" i="4"/>
  <c r="BO50" i="4"/>
  <c r="BR50" i="4"/>
  <c r="BS50" i="4"/>
  <c r="BW50" i="4"/>
  <c r="BU50" i="4"/>
  <c r="BS60" i="4"/>
  <c r="BU60" i="4"/>
  <c r="BW60" i="4"/>
  <c r="BO60" i="4"/>
  <c r="BR60" i="4"/>
  <c r="BO30" i="4"/>
  <c r="BR30" i="4"/>
  <c r="BS30" i="4"/>
  <c r="BU30" i="4"/>
  <c r="BW30" i="4"/>
  <c r="BS37" i="4"/>
  <c r="BU37" i="4"/>
  <c r="BW37" i="4"/>
  <c r="BO37" i="4"/>
  <c r="BR37" i="4"/>
  <c r="BO35" i="4"/>
  <c r="BR35" i="4"/>
  <c r="BS35" i="4"/>
  <c r="BU35" i="4"/>
  <c r="BW35" i="4"/>
  <c r="BR73" i="4"/>
  <c r="BS73" i="4"/>
  <c r="BW73" i="4"/>
  <c r="BU73" i="4"/>
  <c r="BO73" i="4"/>
  <c r="BO84" i="4"/>
  <c r="BS84" i="4"/>
  <c r="BR84" i="4"/>
  <c r="BW84" i="4"/>
  <c r="BU84" i="4"/>
  <c r="BS29" i="4"/>
  <c r="BU29" i="4"/>
  <c r="BW29" i="4"/>
  <c r="BO29" i="4"/>
  <c r="BR29" i="4"/>
  <c r="BW32" i="4"/>
  <c r="BO32" i="4"/>
  <c r="BS32" i="4"/>
  <c r="BU32" i="4"/>
  <c r="BR32" i="4"/>
  <c r="BU63" i="4"/>
  <c r="BW63" i="4"/>
  <c r="BO63" i="4"/>
  <c r="BR63" i="4"/>
  <c r="BS63" i="4"/>
  <c r="BR74" i="4"/>
  <c r="BS74" i="4"/>
  <c r="BW74" i="4"/>
  <c r="BO74" i="4"/>
  <c r="BU74" i="4"/>
  <c r="BS87" i="4"/>
  <c r="BO87" i="4"/>
  <c r="BR87" i="4"/>
  <c r="BU87" i="4"/>
  <c r="BW87" i="4"/>
  <c r="BU72" i="4"/>
  <c r="BO72" i="4"/>
  <c r="BS72" i="4"/>
  <c r="BW72" i="4"/>
  <c r="BR72" i="4"/>
  <c r="BS67" i="4"/>
  <c r="BO67" i="4"/>
  <c r="BR67" i="4"/>
  <c r="BU67" i="4"/>
  <c r="BW67" i="4"/>
  <c r="BU28" i="4"/>
  <c r="BW28" i="4"/>
  <c r="BS28" i="4"/>
  <c r="BR28" i="4"/>
  <c r="BO28" i="4"/>
  <c r="BU79" i="4"/>
  <c r="BW79" i="4"/>
  <c r="BO79" i="4"/>
  <c r="BR79" i="4"/>
  <c r="BS79" i="4"/>
  <c r="BW58" i="4"/>
  <c r="BS58" i="4"/>
  <c r="BO58" i="4"/>
  <c r="BR58" i="4"/>
  <c r="BU58" i="4"/>
  <c r="BS68" i="4"/>
  <c r="BO68" i="4"/>
  <c r="BR68" i="4"/>
  <c r="BU68" i="4"/>
  <c r="BW68" i="4"/>
  <c r="BO48" i="4"/>
  <c r="BR48" i="4"/>
  <c r="BU48" i="4"/>
  <c r="BS48" i="4"/>
  <c r="BW48" i="4"/>
  <c r="BO1213" i="4"/>
  <c r="BW1213" i="4"/>
  <c r="BU1876" i="4"/>
  <c r="BR1876" i="4"/>
  <c r="BO1876" i="4"/>
  <c r="BS1876" i="4"/>
  <c r="BW1876" i="4"/>
  <c r="BR1979" i="4"/>
  <c r="BU1979" i="4"/>
  <c r="BO1979" i="4"/>
  <c r="BS1979" i="4"/>
  <c r="BW1979" i="4"/>
  <c r="BO1974" i="4"/>
  <c r="BS1974" i="4"/>
  <c r="BW1974" i="4"/>
  <c r="BR1974" i="4"/>
  <c r="BU1974" i="4"/>
  <c r="BO1899" i="4"/>
  <c r="BR1899" i="4"/>
  <c r="BU1899" i="4"/>
  <c r="BS1899" i="4"/>
  <c r="BW1899" i="4"/>
  <c r="BU1875" i="4"/>
  <c r="BS1875" i="4"/>
  <c r="BR1875" i="4"/>
  <c r="BO1875" i="4"/>
  <c r="BW1875" i="4"/>
  <c r="BO1960" i="4"/>
  <c r="BR1960" i="4"/>
  <c r="BS1960" i="4"/>
  <c r="BU1960" i="4"/>
  <c r="BW1960" i="4"/>
  <c r="BW1896" i="4"/>
  <c r="BR1896" i="4"/>
  <c r="BS1896" i="4"/>
  <c r="BU1896" i="4"/>
  <c r="BO1896" i="4"/>
  <c r="BU1845" i="4"/>
  <c r="BS1845" i="4"/>
  <c r="BW1845" i="4"/>
  <c r="BO1845" i="4"/>
  <c r="BR1845" i="4"/>
  <c r="BS1898" i="4"/>
  <c r="BW1898" i="4"/>
  <c r="BR1898" i="4"/>
  <c r="BO1898" i="4"/>
  <c r="BU1898" i="4"/>
  <c r="BS1978" i="4"/>
  <c r="BR1978" i="4"/>
  <c r="BO1978" i="4"/>
  <c r="BU1978" i="4"/>
  <c r="BW1978" i="4"/>
  <c r="BR1966" i="4"/>
  <c r="BS1966" i="4"/>
  <c r="BU1966" i="4"/>
  <c r="BO1966" i="4"/>
  <c r="BW1966" i="4"/>
  <c r="BU1964" i="4"/>
  <c r="BO1964" i="4"/>
  <c r="BR1964" i="4"/>
  <c r="BW1964" i="4"/>
  <c r="BS1964" i="4"/>
  <c r="BO1961" i="4"/>
  <c r="BR1961" i="4"/>
  <c r="BS1961" i="4"/>
  <c r="BW1961" i="4"/>
  <c r="BU1961" i="4"/>
  <c r="BU1980" i="4"/>
  <c r="BS1980" i="4"/>
  <c r="BR1980" i="4"/>
  <c r="BO1980" i="4"/>
  <c r="BW1980" i="4"/>
  <c r="BR1841" i="4"/>
  <c r="BO1841" i="4"/>
  <c r="BU1841" i="4"/>
  <c r="BW1841" i="4"/>
  <c r="BS1841" i="4"/>
  <c r="BR1911" i="4"/>
  <c r="BO1911" i="4"/>
  <c r="BS1911" i="4"/>
  <c r="BU1911" i="4"/>
  <c r="BW1911" i="4"/>
  <c r="BR1885" i="4"/>
  <c r="BU1885" i="4"/>
  <c r="BS1885" i="4"/>
  <c r="BW1885" i="4"/>
  <c r="BO1885" i="4"/>
  <c r="BS1904" i="4"/>
  <c r="BW1904" i="4"/>
  <c r="BR1904" i="4"/>
  <c r="BU1904" i="4"/>
  <c r="BO1904" i="4"/>
  <c r="BO2004" i="4"/>
  <c r="BR2004" i="4"/>
  <c r="BU2004" i="4"/>
  <c r="BS2004" i="4"/>
  <c r="BW2004" i="4"/>
  <c r="BO1945" i="4"/>
  <c r="BS1945" i="4"/>
  <c r="BU1945" i="4"/>
  <c r="BW1945" i="4"/>
  <c r="BR1945" i="4"/>
  <c r="BS1988" i="4"/>
  <c r="BR1988" i="4"/>
  <c r="BO1988" i="4"/>
  <c r="BU1988" i="4"/>
  <c r="BW1988" i="4"/>
  <c r="BU1895" i="4"/>
  <c r="BO1895" i="4"/>
  <c r="BS1895" i="4"/>
  <c r="BR1895" i="4"/>
  <c r="BW1895" i="4"/>
  <c r="BU1983" i="4"/>
  <c r="BR1983" i="4"/>
  <c r="BO1983" i="4"/>
  <c r="BS1983" i="4"/>
  <c r="BW1983" i="4"/>
  <c r="BU1906" i="4"/>
  <c r="BW1906" i="4"/>
  <c r="BS1906" i="4"/>
  <c r="BR1906" i="4"/>
  <c r="BO1906" i="4"/>
  <c r="BU1931" i="4"/>
  <c r="BS1931" i="4"/>
  <c r="BO1931" i="4"/>
  <c r="BR1931" i="4"/>
  <c r="BW1931" i="4"/>
  <c r="BU1959" i="4"/>
  <c r="BR1959" i="4"/>
  <c r="BS1959" i="4"/>
  <c r="BO1959" i="4"/>
  <c r="BW1959" i="4"/>
  <c r="BU1882" i="4"/>
  <c r="BR1882" i="4"/>
  <c r="BO1882" i="4"/>
  <c r="BS1882" i="4"/>
  <c r="BW1882" i="4"/>
  <c r="BO1981" i="4"/>
  <c r="BR1981" i="4"/>
  <c r="BW1981" i="4"/>
  <c r="BS1981" i="4"/>
  <c r="BU1981" i="4"/>
  <c r="BU1954" i="4"/>
  <c r="BO1954" i="4"/>
  <c r="BR1954" i="4"/>
  <c r="BS1954" i="4"/>
  <c r="BW1954" i="4"/>
  <c r="BS1934" i="4"/>
  <c r="BR1934" i="4"/>
  <c r="BO1934" i="4"/>
  <c r="BU1934" i="4"/>
  <c r="BW1934" i="4"/>
  <c r="BO1861" i="4"/>
  <c r="BS1861" i="4"/>
  <c r="BR1861" i="4"/>
  <c r="BW1861" i="4"/>
  <c r="BU1861" i="4"/>
  <c r="BU1909" i="4"/>
  <c r="BW1909" i="4"/>
  <c r="BS1909" i="4"/>
  <c r="BO1909" i="4"/>
  <c r="BR1909" i="4"/>
  <c r="BU1944" i="4"/>
  <c r="BR1944" i="4"/>
  <c r="BW1944" i="4"/>
  <c r="BO1944" i="4"/>
  <c r="BS1944" i="4"/>
  <c r="BR2001" i="4"/>
  <c r="BU2001" i="4"/>
  <c r="BO2001" i="4"/>
  <c r="BW2001" i="4"/>
  <c r="BS2001" i="4"/>
  <c r="BS1878" i="4"/>
  <c r="BW1878" i="4"/>
  <c r="BU1878" i="4"/>
  <c r="BO1878" i="4"/>
  <c r="BR1878" i="4"/>
  <c r="BW1926" i="4"/>
  <c r="BS1926" i="4"/>
  <c r="BR1926" i="4"/>
  <c r="BU1926" i="4"/>
  <c r="BO1926" i="4"/>
  <c r="BR1890" i="4"/>
  <c r="BO1890" i="4"/>
  <c r="BS1890" i="4"/>
  <c r="BW1890" i="4"/>
  <c r="BU1890" i="4"/>
  <c r="BU1919" i="4"/>
  <c r="BS1919" i="4"/>
  <c r="BW1919" i="4"/>
  <c r="BO1919" i="4"/>
  <c r="BR1919" i="4"/>
  <c r="BS1949" i="4"/>
  <c r="BO1949" i="4"/>
  <c r="BW1949" i="4"/>
  <c r="BR1949" i="4"/>
  <c r="BU1949" i="4"/>
  <c r="BS1982" i="4"/>
  <c r="BO1982" i="4"/>
  <c r="BW1982" i="4"/>
  <c r="BU1982" i="4"/>
  <c r="BR1982" i="4"/>
  <c r="BR1929" i="4"/>
  <c r="BO1929" i="4"/>
  <c r="BU1929" i="4"/>
  <c r="BS1929" i="4"/>
  <c r="BW1929" i="4"/>
  <c r="BO1900" i="4"/>
  <c r="BU1900" i="4"/>
  <c r="BW1900" i="4"/>
  <c r="BR1900" i="4"/>
  <c r="BS1900" i="4"/>
  <c r="BU1969" i="4"/>
  <c r="BO1969" i="4"/>
  <c r="BR1969" i="4"/>
  <c r="BS1969" i="4"/>
  <c r="BW1969" i="4"/>
  <c r="BU1975" i="4"/>
  <c r="BO1975" i="4"/>
  <c r="BR1975" i="4"/>
  <c r="BW1975" i="4"/>
  <c r="BS1975" i="4"/>
  <c r="BR1847" i="4"/>
  <c r="BW1847" i="4"/>
  <c r="BU1847" i="4"/>
  <c r="BO1847" i="4"/>
  <c r="BS1847" i="4"/>
  <c r="BS1879" i="4"/>
  <c r="BO1879" i="4"/>
  <c r="BU1879" i="4"/>
  <c r="BR1879" i="4"/>
  <c r="BW1879" i="4"/>
  <c r="BR2005" i="4"/>
  <c r="BU2005" i="4"/>
  <c r="BS2005" i="4"/>
  <c r="BO2005" i="4"/>
  <c r="BW2005" i="4"/>
  <c r="BU1855" i="4"/>
  <c r="BO1855" i="4"/>
  <c r="BS1855" i="4"/>
  <c r="BR1855" i="4"/>
  <c r="BW1855" i="4"/>
  <c r="BU1859" i="4"/>
  <c r="BR1859" i="4"/>
  <c r="BW1859" i="4"/>
  <c r="BO1859" i="4"/>
  <c r="BS1859" i="4"/>
  <c r="BR1907" i="4"/>
  <c r="BO1907" i="4"/>
  <c r="BU1907" i="4"/>
  <c r="BW1907" i="4"/>
  <c r="BS1907" i="4"/>
  <c r="BU1936" i="4"/>
  <c r="BS1936" i="4"/>
  <c r="BR1936" i="4"/>
  <c r="BW1936" i="4"/>
  <c r="BO1936" i="4"/>
  <c r="BW1884" i="4"/>
  <c r="BS1884" i="4"/>
  <c r="BO1884" i="4"/>
  <c r="BR1884" i="4"/>
  <c r="BU1884" i="4"/>
  <c r="BR1971" i="4"/>
  <c r="BU1971" i="4"/>
  <c r="BO1971" i="4"/>
  <c r="BS1971" i="4"/>
  <c r="BW1971" i="4"/>
  <c r="BS1998" i="4"/>
  <c r="BO1998" i="4"/>
  <c r="BR1998" i="4"/>
  <c r="BU1998" i="4"/>
  <c r="BW1998" i="4"/>
  <c r="BU1858" i="4"/>
  <c r="BR1858" i="4"/>
  <c r="BO1858" i="4"/>
  <c r="BS1858" i="4"/>
  <c r="BW1858" i="4"/>
  <c r="BO1938" i="4"/>
  <c r="BS1938" i="4"/>
  <c r="BR1938" i="4"/>
  <c r="BU1938" i="4"/>
  <c r="BW1938" i="4"/>
  <c r="BO1925" i="4"/>
  <c r="BS1925" i="4"/>
  <c r="BR1925" i="4"/>
  <c r="BU1925" i="4"/>
  <c r="BW1925" i="4"/>
  <c r="BS1837" i="4"/>
  <c r="BO1837" i="4"/>
  <c r="BU1837" i="4"/>
  <c r="BR1837" i="4"/>
  <c r="BW1837" i="4"/>
  <c r="BO1860" i="4"/>
  <c r="BR1860" i="4"/>
  <c r="BU1860" i="4"/>
  <c r="BW1860" i="4"/>
  <c r="BS1860" i="4"/>
  <c r="BR1924" i="4"/>
  <c r="BU1924" i="4"/>
  <c r="BO1924" i="4"/>
  <c r="BS1924" i="4"/>
  <c r="BW1924" i="4"/>
  <c r="BR1838" i="4"/>
  <c r="BU1838" i="4"/>
  <c r="BW1838" i="4"/>
  <c r="BS1838" i="4"/>
  <c r="BO1838" i="4"/>
  <c r="BO1901" i="4"/>
  <c r="BU1901" i="4"/>
  <c r="BW1901" i="4"/>
  <c r="BR1901" i="4"/>
  <c r="BS1901" i="4"/>
  <c r="BR1893" i="4"/>
  <c r="BU1893" i="4"/>
  <c r="BS1893" i="4"/>
  <c r="BO1893" i="4"/>
  <c r="BW1893" i="4"/>
  <c r="BS1873" i="4"/>
  <c r="BW1873" i="4"/>
  <c r="BO1873" i="4"/>
  <c r="BR1873" i="4"/>
  <c r="BU1873" i="4"/>
  <c r="BU1880" i="4"/>
  <c r="BO1880" i="4"/>
  <c r="BW1880" i="4"/>
  <c r="BR1880" i="4"/>
  <c r="BS1880" i="4"/>
  <c r="BS1867" i="4"/>
  <c r="BO1867" i="4"/>
  <c r="BW1867" i="4"/>
  <c r="BU1867" i="4"/>
  <c r="BR1867" i="4"/>
  <c r="BR1986" i="4"/>
  <c r="BO1986" i="4"/>
  <c r="BU1986" i="4"/>
  <c r="BW1986" i="4"/>
  <c r="BS1986" i="4"/>
  <c r="BR1888" i="4"/>
  <c r="BO1888" i="4"/>
  <c r="BU1888" i="4"/>
  <c r="BS1888" i="4"/>
  <c r="BW1888" i="4"/>
  <c r="BS1947" i="4"/>
  <c r="BU1947" i="4"/>
  <c r="BO1947" i="4"/>
  <c r="BR1947" i="4"/>
  <c r="BW1947" i="4"/>
  <c r="BR1894" i="4"/>
  <c r="BW1894" i="4"/>
  <c r="BS1894" i="4"/>
  <c r="BO1894" i="4"/>
  <c r="BU1894" i="4"/>
  <c r="BU1881" i="4"/>
  <c r="BO1881" i="4"/>
  <c r="BR1881" i="4"/>
  <c r="BW1881" i="4"/>
  <c r="BS1881" i="4"/>
  <c r="BO2006" i="4"/>
  <c r="BU2006" i="4"/>
  <c r="BR2006" i="4"/>
  <c r="BS2006" i="4"/>
  <c r="BW2006" i="4"/>
  <c r="BR1970" i="4"/>
  <c r="BO1970" i="4"/>
  <c r="BW1970" i="4"/>
  <c r="BS1970" i="4"/>
  <c r="BU1970" i="4"/>
  <c r="BR1914" i="4"/>
  <c r="BW1914" i="4"/>
  <c r="BS1914" i="4"/>
  <c r="BU1914" i="4"/>
  <c r="BO1914" i="4"/>
  <c r="BR1950" i="4"/>
  <c r="BU1950" i="4"/>
  <c r="BO1950" i="4"/>
  <c r="BS1950" i="4"/>
  <c r="BW1950" i="4"/>
  <c r="BU1886" i="4"/>
  <c r="BR1886" i="4"/>
  <c r="BO1886" i="4"/>
  <c r="BW1886" i="4"/>
  <c r="BS1886" i="4"/>
  <c r="BU1849" i="4"/>
  <c r="BS1849" i="4"/>
  <c r="BO1849" i="4"/>
  <c r="BW1849" i="4"/>
  <c r="BR1849" i="4"/>
  <c r="BO1917" i="4"/>
  <c r="BU1917" i="4"/>
  <c r="BR1917" i="4"/>
  <c r="BW1917" i="4"/>
  <c r="BS1917" i="4"/>
  <c r="BR1864" i="4"/>
  <c r="BU1864" i="4"/>
  <c r="BS1864" i="4"/>
  <c r="BO1864" i="4"/>
  <c r="BW1864" i="4"/>
  <c r="BO2003" i="4"/>
  <c r="BU2003" i="4"/>
  <c r="BS2003" i="4"/>
  <c r="BW2003" i="4"/>
  <c r="BR2003" i="4"/>
  <c r="BS1883" i="4"/>
  <c r="BO1883" i="4"/>
  <c r="BR1883" i="4"/>
  <c r="BW1883" i="4"/>
  <c r="BU1883" i="4"/>
  <c r="BU1995" i="4"/>
  <c r="BO1995" i="4"/>
  <c r="BS1995" i="4"/>
  <c r="BW1995" i="4"/>
  <c r="BR1995" i="4"/>
  <c r="BS2007" i="4"/>
  <c r="BU2007" i="4"/>
  <c r="BW2007" i="4"/>
  <c r="BO2007" i="4"/>
  <c r="BR2007" i="4"/>
  <c r="BR1834" i="4"/>
  <c r="BU1834" i="4"/>
  <c r="BO1834" i="4"/>
  <c r="BS1834" i="4"/>
  <c r="BW1834" i="4"/>
  <c r="BU1935" i="4"/>
  <c r="BW1935" i="4"/>
  <c r="BR1935" i="4"/>
  <c r="BS1935" i="4"/>
  <c r="BO1935" i="4"/>
  <c r="BO1922" i="4"/>
  <c r="BU1922" i="4"/>
  <c r="BS1922" i="4"/>
  <c r="BR1922" i="4"/>
  <c r="BW1922" i="4"/>
  <c r="BO1852" i="4"/>
  <c r="BU1852" i="4"/>
  <c r="BS1852" i="4"/>
  <c r="BR1852" i="4"/>
  <c r="BW1852" i="4"/>
  <c r="BR1940" i="4"/>
  <c r="BU1940" i="4"/>
  <c r="BS1940" i="4"/>
  <c r="BO1940" i="4"/>
  <c r="BW1940" i="4"/>
  <c r="BO1990" i="4"/>
  <c r="BW1990" i="4"/>
  <c r="BU1990" i="4"/>
  <c r="BR1990" i="4"/>
  <c r="BS1990" i="4"/>
  <c r="BO1836" i="4"/>
  <c r="BU1836" i="4"/>
  <c r="BR1836" i="4"/>
  <c r="BS1836" i="4"/>
  <c r="BW1836" i="4"/>
  <c r="BR1956" i="4"/>
  <c r="BO1956" i="4"/>
  <c r="BS1956" i="4"/>
  <c r="BW1956" i="4"/>
  <c r="BU1956" i="4"/>
  <c r="BO1846" i="4"/>
  <c r="BS1846" i="4"/>
  <c r="BR1846" i="4"/>
  <c r="BW1846" i="4"/>
  <c r="BU1846" i="4"/>
  <c r="BR1997" i="4"/>
  <c r="BS1997" i="4"/>
  <c r="BO1997" i="4"/>
  <c r="BU1997" i="4"/>
  <c r="BW1997" i="4"/>
  <c r="BR1843" i="4"/>
  <c r="BU1843" i="4"/>
  <c r="BO1843" i="4"/>
  <c r="BW1843" i="4"/>
  <c r="BS1843" i="4"/>
  <c r="BU1863" i="4"/>
  <c r="BO1863" i="4"/>
  <c r="BR1863" i="4"/>
  <c r="BW1863" i="4"/>
  <c r="BS1863" i="4"/>
  <c r="BR1993" i="4"/>
  <c r="BU1993" i="4"/>
  <c r="BW1993" i="4"/>
  <c r="BO1993" i="4"/>
  <c r="BS1993" i="4"/>
  <c r="BS1912" i="4"/>
  <c r="BU1912" i="4"/>
  <c r="BR1912" i="4"/>
  <c r="BW1912" i="4"/>
  <c r="BO1912" i="4"/>
  <c r="BU2008" i="4"/>
  <c r="BS2008" i="4"/>
  <c r="BR2008" i="4"/>
  <c r="BO2008" i="4"/>
  <c r="BW2008" i="4"/>
  <c r="BR1941" i="4"/>
  <c r="BO1941" i="4"/>
  <c r="BS1941" i="4"/>
  <c r="BU1941" i="4"/>
  <c r="BW1941" i="4"/>
  <c r="BO1946" i="4"/>
  <c r="BU1946" i="4"/>
  <c r="BW1946" i="4"/>
  <c r="BS1946" i="4"/>
  <c r="BR1946" i="4"/>
  <c r="BR1943" i="4"/>
  <c r="BU1943" i="4"/>
  <c r="BS1943" i="4"/>
  <c r="BW1943" i="4"/>
  <c r="BO1943" i="4"/>
  <c r="BU1892" i="4"/>
  <c r="BS1892" i="4"/>
  <c r="BW1892" i="4"/>
  <c r="BR1892" i="4"/>
  <c r="BO1892" i="4"/>
  <c r="BR1952" i="4"/>
  <c r="BU1952" i="4"/>
  <c r="BO1952" i="4"/>
  <c r="BS1952" i="4"/>
  <c r="BW1952" i="4"/>
  <c r="BS1939" i="4"/>
  <c r="BW1939" i="4"/>
  <c r="BR1939" i="4"/>
  <c r="BO1939" i="4"/>
  <c r="BU1939" i="4"/>
  <c r="BR1850" i="4"/>
  <c r="BS1850" i="4"/>
  <c r="BO1850" i="4"/>
  <c r="BW1850" i="4"/>
  <c r="BU1850" i="4"/>
  <c r="BU1948" i="4"/>
  <c r="BO1948" i="4"/>
  <c r="BW1948" i="4"/>
  <c r="BS1948" i="4"/>
  <c r="BR1948" i="4"/>
  <c r="BR2002" i="4"/>
  <c r="BU2002" i="4"/>
  <c r="BS2002" i="4"/>
  <c r="BO2002" i="4"/>
  <c r="BW2002" i="4"/>
  <c r="BR1962" i="4"/>
  <c r="BU1962" i="4"/>
  <c r="BO1962" i="4"/>
  <c r="BW1962" i="4"/>
  <c r="BS1962" i="4"/>
  <c r="BU1865" i="4"/>
  <c r="BS1865" i="4"/>
  <c r="BO1865" i="4"/>
  <c r="BW1865" i="4"/>
  <c r="BR1865" i="4"/>
  <c r="BS1848" i="4"/>
  <c r="BU1848" i="4"/>
  <c r="BO1848" i="4"/>
  <c r="BW1848" i="4"/>
  <c r="BR1848" i="4"/>
  <c r="BS1987" i="4"/>
  <c r="BO1987" i="4"/>
  <c r="BR1987" i="4"/>
  <c r="BW1987" i="4"/>
  <c r="BU1987" i="4"/>
  <c r="BO1996" i="4"/>
  <c r="BS1996" i="4"/>
  <c r="BU1996" i="4"/>
  <c r="BW1996" i="4"/>
  <c r="BR1996" i="4"/>
  <c r="BU1891" i="4"/>
  <c r="BO1891" i="4"/>
  <c r="BS1891" i="4"/>
  <c r="BW1891" i="4"/>
  <c r="BR1891" i="4"/>
  <c r="BU1872" i="4"/>
  <c r="BS1872" i="4"/>
  <c r="BO1872" i="4"/>
  <c r="BW1872" i="4"/>
  <c r="BR1872" i="4"/>
  <c r="BO1908" i="4"/>
  <c r="BS1908" i="4"/>
  <c r="BR1908" i="4"/>
  <c r="BU1908" i="4"/>
  <c r="BW1908" i="4"/>
  <c r="BU1921" i="4"/>
  <c r="BS1921" i="4"/>
  <c r="BR1921" i="4"/>
  <c r="BW1921" i="4"/>
  <c r="BO1921" i="4"/>
  <c r="BU1854" i="4"/>
  <c r="BO1854" i="4"/>
  <c r="BW1854" i="4"/>
  <c r="BR1854" i="4"/>
  <c r="BS1854" i="4"/>
  <c r="BU1977" i="4"/>
  <c r="BW1977" i="4"/>
  <c r="BR1977" i="4"/>
  <c r="BO1977" i="4"/>
  <c r="BS1977" i="4"/>
  <c r="BR1958" i="4"/>
  <c r="BU1958" i="4"/>
  <c r="BW1958" i="4"/>
  <c r="BS1958" i="4"/>
  <c r="BO1958" i="4"/>
  <c r="BR1967" i="4"/>
  <c r="BS1967" i="4"/>
  <c r="BU1967" i="4"/>
  <c r="BW1967" i="4"/>
  <c r="BO1967" i="4"/>
  <c r="BR1866" i="4"/>
  <c r="BS1866" i="4"/>
  <c r="BU1866" i="4"/>
  <c r="BO1866" i="4"/>
  <c r="BW1866" i="4"/>
  <c r="BS1930" i="4"/>
  <c r="BU1930" i="4"/>
  <c r="BO1930" i="4"/>
  <c r="BR1930" i="4"/>
  <c r="BW1930" i="4"/>
  <c r="BU1942" i="4"/>
  <c r="BO1942" i="4"/>
  <c r="BR1942" i="4"/>
  <c r="BW1942" i="4"/>
  <c r="BS1942" i="4"/>
  <c r="BO1897" i="4"/>
  <c r="BR1897" i="4"/>
  <c r="BW1897" i="4"/>
  <c r="BU1897" i="4"/>
  <c r="BS1897" i="4"/>
  <c r="BR1923" i="4"/>
  <c r="BS1923" i="4"/>
  <c r="BO1923" i="4"/>
  <c r="BU1923" i="4"/>
  <c r="BW1923" i="4"/>
  <c r="BR1870" i="4"/>
  <c r="BU1870" i="4"/>
  <c r="BO1870" i="4"/>
  <c r="BS1870" i="4"/>
  <c r="BW1870" i="4"/>
  <c r="BW1869" i="4"/>
  <c r="BO1869" i="4"/>
  <c r="BS1869" i="4"/>
  <c r="BR1869" i="4"/>
  <c r="BU1869" i="4"/>
  <c r="BO1842" i="4"/>
  <c r="BU1842" i="4"/>
  <c r="BS1842" i="4"/>
  <c r="BW1842" i="4"/>
  <c r="BR1842" i="4"/>
  <c r="BU1937" i="4"/>
  <c r="BS1937" i="4"/>
  <c r="BW1937" i="4"/>
  <c r="BO1937" i="4"/>
  <c r="BR1937" i="4"/>
  <c r="BU1835" i="4"/>
  <c r="BO1835" i="4"/>
  <c r="BR1835" i="4"/>
  <c r="BS1835" i="4"/>
  <c r="BW1835" i="4"/>
  <c r="BU1989" i="4"/>
  <c r="BO1989" i="4"/>
  <c r="BR1989" i="4"/>
  <c r="BS1989" i="4"/>
  <c r="BW1989" i="4"/>
  <c r="BU1902" i="4"/>
  <c r="BR1902" i="4"/>
  <c r="BS1902" i="4"/>
  <c r="BW1902" i="4"/>
  <c r="BO1902" i="4"/>
  <c r="BR1868" i="4"/>
  <c r="BW1868" i="4"/>
  <c r="BS1868" i="4"/>
  <c r="BO1868" i="4"/>
  <c r="BU1868" i="4"/>
  <c r="BS1839" i="4"/>
  <c r="BR1839" i="4"/>
  <c r="BU1839" i="4"/>
  <c r="BO1839" i="4"/>
  <c r="BW1839" i="4"/>
  <c r="BO1991" i="4"/>
  <c r="BW1991" i="4"/>
  <c r="BS1991" i="4"/>
  <c r="BR1991" i="4"/>
  <c r="BU1991" i="4"/>
  <c r="BO1933" i="4"/>
  <c r="BU1933" i="4"/>
  <c r="BR1933" i="4"/>
  <c r="BS1933" i="4"/>
  <c r="BW1933" i="4"/>
  <c r="BS1968" i="4"/>
  <c r="BW1968" i="4"/>
  <c r="BU1968" i="4"/>
  <c r="BO1968" i="4"/>
  <c r="BR1968" i="4"/>
  <c r="BU1999" i="4"/>
  <c r="BS1999" i="4"/>
  <c r="BO1999" i="4"/>
  <c r="BW1999" i="4"/>
  <c r="BR1999" i="4"/>
  <c r="BO1833" i="4"/>
  <c r="BU1833" i="4"/>
  <c r="BW1833" i="4"/>
  <c r="BS1833" i="4"/>
  <c r="BR1833" i="4"/>
  <c r="BU1965" i="4"/>
  <c r="BS1965" i="4"/>
  <c r="BO1965" i="4"/>
  <c r="BW1965" i="4"/>
  <c r="BR1965" i="4"/>
  <c r="BO1916" i="4"/>
  <c r="BU1916" i="4"/>
  <c r="BW1916" i="4"/>
  <c r="BR1916" i="4"/>
  <c r="BS1916" i="4"/>
  <c r="BR1920" i="4"/>
  <c r="BS1920" i="4"/>
  <c r="BW1920" i="4"/>
  <c r="BU1920" i="4"/>
  <c r="BO1920" i="4"/>
  <c r="BS1985" i="4"/>
  <c r="BU1985" i="4"/>
  <c r="BR1985" i="4"/>
  <c r="BW1985" i="4"/>
  <c r="BO1985" i="4"/>
  <c r="BO1984" i="4"/>
  <c r="BR1984" i="4"/>
  <c r="BS1984" i="4"/>
  <c r="BU1984" i="4"/>
  <c r="BW1984" i="4"/>
  <c r="BU1862" i="4"/>
  <c r="BR1862" i="4"/>
  <c r="BO1862" i="4"/>
  <c r="BS1862" i="4"/>
  <c r="BW1862" i="4"/>
  <c r="BO1953" i="4"/>
  <c r="BU1953" i="4"/>
  <c r="BW1953" i="4"/>
  <c r="BS1953" i="4"/>
  <c r="BR1953" i="4"/>
  <c r="BU1992" i="4"/>
  <c r="BO1992" i="4"/>
  <c r="BR1992" i="4"/>
  <c r="BW1992" i="4"/>
  <c r="BS1992" i="4"/>
  <c r="BR1915" i="4"/>
  <c r="BS1915" i="4"/>
  <c r="BO1915" i="4"/>
  <c r="BU1915" i="4"/>
  <c r="BW1915" i="4"/>
  <c r="BU1973" i="4"/>
  <c r="BO1973" i="4"/>
  <c r="BW1973" i="4"/>
  <c r="BR1973" i="4"/>
  <c r="BS1973" i="4"/>
  <c r="BU1871" i="4"/>
  <c r="BR1871" i="4"/>
  <c r="BO1871" i="4"/>
  <c r="BS1871" i="4"/>
  <c r="BW1871" i="4"/>
  <c r="BO1972" i="4"/>
  <c r="BU1972" i="4"/>
  <c r="BS1972" i="4"/>
  <c r="BW1972" i="4"/>
  <c r="BR1972" i="4"/>
  <c r="BU1955" i="4"/>
  <c r="BO1955" i="4"/>
  <c r="BS1955" i="4"/>
  <c r="BR1955" i="4"/>
  <c r="BW1955" i="4"/>
  <c r="BU1994" i="4"/>
  <c r="BS1994" i="4"/>
  <c r="BW1994" i="4"/>
  <c r="BR1994" i="4"/>
  <c r="BO1994" i="4"/>
  <c r="BU1951" i="4"/>
  <c r="BW1951" i="4"/>
  <c r="BR1951" i="4"/>
  <c r="BS1951" i="4"/>
  <c r="BO1951" i="4"/>
  <c r="BS1840" i="4"/>
  <c r="BO1840" i="4"/>
  <c r="BR1840" i="4"/>
  <c r="BW1840" i="4"/>
  <c r="BU1840" i="4"/>
  <c r="BR1976" i="4"/>
  <c r="BS1976" i="4"/>
  <c r="BU1976" i="4"/>
  <c r="BW1976" i="4"/>
  <c r="BO1976" i="4"/>
  <c r="BR1877" i="4"/>
  <c r="BU1877" i="4"/>
  <c r="BS1877" i="4"/>
  <c r="BO1877" i="4"/>
  <c r="BW1877" i="4"/>
  <c r="BO2000" i="4"/>
  <c r="BU2000" i="4"/>
  <c r="BR2000" i="4"/>
  <c r="BS2000" i="4"/>
  <c r="BW2000" i="4"/>
  <c r="BU1874" i="4"/>
  <c r="BR1874" i="4"/>
  <c r="BS1874" i="4"/>
  <c r="BO1874" i="4"/>
  <c r="BW1874" i="4"/>
  <c r="BU1889" i="4"/>
  <c r="BO1889" i="4"/>
  <c r="BS1889" i="4"/>
  <c r="BR1889" i="4"/>
  <c r="BW1889" i="4"/>
  <c r="BO1963" i="4"/>
  <c r="BU1963" i="4"/>
  <c r="BR1963" i="4"/>
  <c r="BS1963" i="4"/>
  <c r="BW1963" i="4"/>
  <c r="BS1918" i="4"/>
  <c r="BO1918" i="4"/>
  <c r="BR1918" i="4"/>
  <c r="BU1918" i="4"/>
  <c r="BW1918" i="4"/>
  <c r="BR1903" i="4"/>
  <c r="BS1903" i="4"/>
  <c r="BU1903" i="4"/>
  <c r="BW1903" i="4"/>
  <c r="BO1903" i="4"/>
  <c r="BS1927" i="4"/>
  <c r="BW1927" i="4"/>
  <c r="BR1927" i="4"/>
  <c r="BU1927" i="4"/>
  <c r="BO1927" i="4"/>
  <c r="BR1932" i="4"/>
  <c r="BU1932" i="4"/>
  <c r="BW1932" i="4"/>
  <c r="BS1932" i="4"/>
  <c r="BO1932" i="4"/>
  <c r="BU1887" i="4"/>
  <c r="BS1887" i="4"/>
  <c r="BR1887" i="4"/>
  <c r="BW1887" i="4"/>
  <c r="BO1887" i="4"/>
  <c r="BS1957" i="4"/>
  <c r="BU1957" i="4"/>
  <c r="BO1957" i="4"/>
  <c r="BR1957" i="4"/>
  <c r="BW1957" i="4"/>
  <c r="BR1856" i="4"/>
  <c r="BO1856" i="4"/>
  <c r="BW1856" i="4"/>
  <c r="BU1856" i="4"/>
  <c r="BS1856" i="4"/>
  <c r="BU1857" i="4"/>
  <c r="BS1857" i="4"/>
  <c r="BO1857" i="4"/>
  <c r="BR1857" i="4"/>
  <c r="BW1857" i="4"/>
  <c r="BU1928" i="4"/>
  <c r="BR1928" i="4"/>
  <c r="BO1928" i="4"/>
  <c r="BS1928" i="4"/>
  <c r="BW1928" i="4"/>
  <c r="BU1910" i="4"/>
  <c r="BS1910" i="4"/>
  <c r="BW1910" i="4"/>
  <c r="BO1910" i="4"/>
  <c r="BR1910" i="4"/>
  <c r="BR1851" i="4"/>
  <c r="BS1851" i="4"/>
  <c r="BU1851" i="4"/>
  <c r="BO1851" i="4"/>
  <c r="BW1851" i="4"/>
  <c r="BO1844" i="4"/>
  <c r="BR1844" i="4"/>
  <c r="BS1844" i="4"/>
  <c r="BW1844" i="4"/>
  <c r="BU1844" i="4"/>
  <c r="BU1913" i="4"/>
  <c r="BS1913" i="4"/>
  <c r="BR1913" i="4"/>
  <c r="BO1913" i="4"/>
  <c r="BW1913" i="4"/>
  <c r="BR1905" i="4"/>
  <c r="BO1905" i="4"/>
  <c r="BU1905" i="4"/>
  <c r="BW1905" i="4"/>
  <c r="BS1905" i="4"/>
  <c r="BU1853" i="4"/>
  <c r="BO1853" i="4"/>
  <c r="BS1853" i="4"/>
  <c r="BR1853" i="4"/>
  <c r="BW1853" i="4"/>
  <c r="BW1713" i="4"/>
  <c r="BO1713" i="4"/>
  <c r="BU1713" i="4"/>
  <c r="BS1713" i="4"/>
  <c r="BR1713" i="4"/>
  <c r="BS1700" i="4"/>
  <c r="BU1700" i="4"/>
  <c r="BR1700" i="4"/>
  <c r="BW1700" i="4"/>
  <c r="BO1700" i="4"/>
  <c r="BO1821" i="4"/>
  <c r="BR1821" i="4"/>
  <c r="BS1821" i="4"/>
  <c r="BU1821" i="4"/>
  <c r="BW1821" i="4"/>
  <c r="BW1685" i="4"/>
  <c r="BO1685" i="4"/>
  <c r="BU1685" i="4"/>
  <c r="BS1685" i="4"/>
  <c r="BR1685" i="4"/>
  <c r="BS1684" i="4"/>
  <c r="BW1684" i="4"/>
  <c r="BR1684" i="4"/>
  <c r="BU1684" i="4"/>
  <c r="BO1684" i="4"/>
  <c r="BS1690" i="4"/>
  <c r="BU1690" i="4"/>
  <c r="BW1690" i="4"/>
  <c r="BR1690" i="4"/>
  <c r="BO1690" i="4"/>
  <c r="BU1795" i="4"/>
  <c r="BW1795" i="4"/>
  <c r="BS1795" i="4"/>
  <c r="BR1795" i="4"/>
  <c r="BO1795" i="4"/>
  <c r="BR1746" i="4"/>
  <c r="BU1746" i="4"/>
  <c r="BW1746" i="4"/>
  <c r="BO1746" i="4"/>
  <c r="BS1746" i="4"/>
  <c r="BO1819" i="4"/>
  <c r="BR1819" i="4"/>
  <c r="BS1819" i="4"/>
  <c r="BU1819" i="4"/>
  <c r="BW1819" i="4"/>
  <c r="BR1740" i="4"/>
  <c r="BS1740" i="4"/>
  <c r="BU1740" i="4"/>
  <c r="BW1740" i="4"/>
  <c r="BO1740" i="4"/>
  <c r="BW1799" i="4"/>
  <c r="BR1799" i="4"/>
  <c r="BS1799" i="4"/>
  <c r="BO1799" i="4"/>
  <c r="BU1799" i="4"/>
  <c r="BS1703" i="4"/>
  <c r="BU1703" i="4"/>
  <c r="BR1703" i="4"/>
  <c r="BW1703" i="4"/>
  <c r="BO1703" i="4"/>
  <c r="BR1779" i="4"/>
  <c r="BU1779" i="4"/>
  <c r="BW1779" i="4"/>
  <c r="BO1779" i="4"/>
  <c r="BS1779" i="4"/>
  <c r="BU1788" i="4"/>
  <c r="BO1788" i="4"/>
  <c r="BS1788" i="4"/>
  <c r="BR1788" i="4"/>
  <c r="BW1788" i="4"/>
  <c r="BW1680" i="4"/>
  <c r="BU1680" i="4"/>
  <c r="BO1680" i="4"/>
  <c r="BS1680" i="4"/>
  <c r="BR1680" i="4"/>
  <c r="BW1748" i="4"/>
  <c r="BR1748" i="4"/>
  <c r="BU1748" i="4"/>
  <c r="BO1748" i="4"/>
  <c r="BS1748" i="4"/>
  <c r="BU1733" i="4"/>
  <c r="BW1733" i="4"/>
  <c r="BO1733" i="4"/>
  <c r="BS1733" i="4"/>
  <c r="BR1733" i="4"/>
  <c r="BU1786" i="4"/>
  <c r="BS1786" i="4"/>
  <c r="BR1786" i="4"/>
  <c r="BO1786" i="4"/>
  <c r="BW1786" i="4"/>
  <c r="BW1696" i="4"/>
  <c r="BO1696" i="4"/>
  <c r="BS1696" i="4"/>
  <c r="BR1696" i="4"/>
  <c r="BU1696" i="4"/>
  <c r="BU1682" i="4"/>
  <c r="BW1682" i="4"/>
  <c r="BS1682" i="4"/>
  <c r="BR1682" i="4"/>
  <c r="BO1682" i="4"/>
  <c r="BS1704" i="4"/>
  <c r="BU1704" i="4"/>
  <c r="BR1704" i="4"/>
  <c r="BW1704" i="4"/>
  <c r="BO1704" i="4"/>
  <c r="BW1813" i="4"/>
  <c r="BO1813" i="4"/>
  <c r="BR1813" i="4"/>
  <c r="BS1813" i="4"/>
  <c r="BU1813" i="4"/>
  <c r="BR1797" i="4"/>
  <c r="BO1797" i="4"/>
  <c r="BS1797" i="4"/>
  <c r="BU1797" i="4"/>
  <c r="BW1797" i="4"/>
  <c r="BU1752" i="4"/>
  <c r="BW1752" i="4"/>
  <c r="BR1752" i="4"/>
  <c r="BS1752" i="4"/>
  <c r="BO1752" i="4"/>
  <c r="BR1754" i="4"/>
  <c r="BU1754" i="4"/>
  <c r="BW1754" i="4"/>
  <c r="BO1754" i="4"/>
  <c r="BS1754" i="4"/>
  <c r="BW1715" i="4"/>
  <c r="BR1715" i="4"/>
  <c r="BO1715" i="4"/>
  <c r="BS1715" i="4"/>
  <c r="BU1715" i="4"/>
  <c r="BS1812" i="4"/>
  <c r="BW1812" i="4"/>
  <c r="BO1812" i="4"/>
  <c r="BR1812" i="4"/>
  <c r="BU1812" i="4"/>
  <c r="BW1693" i="4"/>
  <c r="BO1693" i="4"/>
  <c r="BS1693" i="4"/>
  <c r="BR1693" i="4"/>
  <c r="BU1693" i="4"/>
  <c r="BU1729" i="4"/>
  <c r="BW1729" i="4"/>
  <c r="BR1729" i="4"/>
  <c r="BS1729" i="4"/>
  <c r="BO1729" i="4"/>
  <c r="BO1803" i="4"/>
  <c r="BR1803" i="4"/>
  <c r="BS1803" i="4"/>
  <c r="BW1803" i="4"/>
  <c r="BU1803" i="4"/>
  <c r="BU1730" i="4"/>
  <c r="BW1730" i="4"/>
  <c r="BR1730" i="4"/>
  <c r="BS1730" i="4"/>
  <c r="BO1730" i="4"/>
  <c r="BS1774" i="4"/>
  <c r="BU1774" i="4"/>
  <c r="BW1774" i="4"/>
  <c r="BO1774" i="4"/>
  <c r="BR1774" i="4"/>
  <c r="BU1738" i="4"/>
  <c r="BW1738" i="4"/>
  <c r="BR1738" i="4"/>
  <c r="BS1738" i="4"/>
  <c r="BO1738" i="4"/>
  <c r="BW1744" i="4"/>
  <c r="BS1744" i="4"/>
  <c r="BO1744" i="4"/>
  <c r="BU1744" i="4"/>
  <c r="BR1744" i="4"/>
  <c r="BO1784" i="4"/>
  <c r="BR1784" i="4"/>
  <c r="BS1784" i="4"/>
  <c r="BU1784" i="4"/>
  <c r="BW1784" i="4"/>
  <c r="BW1709" i="4"/>
  <c r="BU1709" i="4"/>
  <c r="BO1709" i="4"/>
  <c r="BR1709" i="4"/>
  <c r="BS1709" i="4"/>
  <c r="BS1805" i="4"/>
  <c r="BO1805" i="4"/>
  <c r="BR1805" i="4"/>
  <c r="BU1805" i="4"/>
  <c r="BW1805" i="4"/>
  <c r="BS1789" i="4"/>
  <c r="BW1789" i="4"/>
  <c r="BU1789" i="4"/>
  <c r="BR1789" i="4"/>
  <c r="BO1789" i="4"/>
  <c r="BU1736" i="4"/>
  <c r="BW1736" i="4"/>
  <c r="BO1736" i="4"/>
  <c r="BS1736" i="4"/>
  <c r="BR1736" i="4"/>
  <c r="BO1802" i="4"/>
  <c r="BR1802" i="4"/>
  <c r="BS1802" i="4"/>
  <c r="BW1802" i="4"/>
  <c r="BU1802" i="4"/>
  <c r="BS1721" i="4"/>
  <c r="BR1721" i="4"/>
  <c r="BU1721" i="4"/>
  <c r="BW1721" i="4"/>
  <c r="BO1721" i="4"/>
  <c r="BW1751" i="4"/>
  <c r="BR1751" i="4"/>
  <c r="BU1751" i="4"/>
  <c r="BO1751" i="4"/>
  <c r="BS1751" i="4"/>
  <c r="BW1732" i="4"/>
  <c r="BR1732" i="4"/>
  <c r="BU1732" i="4"/>
  <c r="BO1732" i="4"/>
  <c r="BS1732" i="4"/>
  <c r="BW1770" i="4"/>
  <c r="BS1770" i="4"/>
  <c r="BU1770" i="4"/>
  <c r="BR1770" i="4"/>
  <c r="BO1770" i="4"/>
  <c r="BW1718" i="4"/>
  <c r="BR1718" i="4"/>
  <c r="BO1718" i="4"/>
  <c r="BS1718" i="4"/>
  <c r="BU1718" i="4"/>
  <c r="BU1735" i="4"/>
  <c r="BW1735" i="4"/>
  <c r="BO1735" i="4"/>
  <c r="BR1735" i="4"/>
  <c r="BS1735" i="4"/>
  <c r="BR1708" i="4"/>
  <c r="BO1708" i="4"/>
  <c r="BW1708" i="4"/>
  <c r="BU1708" i="4"/>
  <c r="BS1708" i="4"/>
  <c r="BW1698" i="4"/>
  <c r="BR1698" i="4"/>
  <c r="BS1698" i="4"/>
  <c r="BO1698" i="4"/>
  <c r="BU1698" i="4"/>
  <c r="BW1719" i="4"/>
  <c r="BU1719" i="4"/>
  <c r="BS1719" i="4"/>
  <c r="BO1719" i="4"/>
  <c r="BR1719" i="4"/>
  <c r="BS1725" i="4"/>
  <c r="BW1725" i="4"/>
  <c r="BO1725" i="4"/>
  <c r="BU1725" i="4"/>
  <c r="BR1725" i="4"/>
  <c r="BR1787" i="4"/>
  <c r="BS1787" i="4"/>
  <c r="BU1787" i="4"/>
  <c r="BO1787" i="4"/>
  <c r="BW1787" i="4"/>
  <c r="BU1771" i="4"/>
  <c r="BW1771" i="4"/>
  <c r="BR1771" i="4"/>
  <c r="BO1771" i="4"/>
  <c r="BS1771" i="4"/>
  <c r="BO1772" i="4"/>
  <c r="BW1772" i="4"/>
  <c r="BR1772" i="4"/>
  <c r="BU1772" i="4"/>
  <c r="BS1772" i="4"/>
  <c r="BR1763" i="4"/>
  <c r="BW1763" i="4"/>
  <c r="BU1763" i="4"/>
  <c r="BO1763" i="4"/>
  <c r="BS1763" i="4"/>
  <c r="BO1691" i="4"/>
  <c r="BR1691" i="4"/>
  <c r="BW1691" i="4"/>
  <c r="BU1691" i="4"/>
  <c r="BS1691" i="4"/>
  <c r="BS1764" i="4"/>
  <c r="BU1764" i="4"/>
  <c r="BR1764" i="4"/>
  <c r="BW1764" i="4"/>
  <c r="BO1764" i="4"/>
  <c r="BU1793" i="4"/>
  <c r="BW1793" i="4"/>
  <c r="BO1793" i="4"/>
  <c r="BR1793" i="4"/>
  <c r="BS1793" i="4"/>
  <c r="BU1766" i="4"/>
  <c r="BO1766" i="4"/>
  <c r="BS1766" i="4"/>
  <c r="BR1766" i="4"/>
  <c r="BW1766" i="4"/>
  <c r="BW1810" i="4"/>
  <c r="BR1810" i="4"/>
  <c r="BO1810" i="4"/>
  <c r="BU1810" i="4"/>
  <c r="BS1810" i="4"/>
  <c r="BW1716" i="4"/>
  <c r="BU1716" i="4"/>
  <c r="BS1716" i="4"/>
  <c r="BO1716" i="4"/>
  <c r="BR1716" i="4"/>
  <c r="BO1726" i="4"/>
  <c r="BS1726" i="4"/>
  <c r="BU1726" i="4"/>
  <c r="BR1726" i="4"/>
  <c r="BW1726" i="4"/>
  <c r="BO1762" i="4"/>
  <c r="BR1762" i="4"/>
  <c r="BS1762" i="4"/>
  <c r="BU1762" i="4"/>
  <c r="BW1762" i="4"/>
  <c r="BU1755" i="4"/>
  <c r="BW1755" i="4"/>
  <c r="BO1755" i="4"/>
  <c r="BR1755" i="4"/>
  <c r="BS1755" i="4"/>
  <c r="BW1758" i="4"/>
  <c r="BO1758" i="4"/>
  <c r="BR1758" i="4"/>
  <c r="BU1758" i="4"/>
  <c r="BS1758" i="4"/>
  <c r="BS1742" i="4"/>
  <c r="BR1742" i="4"/>
  <c r="BW1742" i="4"/>
  <c r="BU1742" i="4"/>
  <c r="BO1742" i="4"/>
  <c r="BR1701" i="4"/>
  <c r="BS1701" i="4"/>
  <c r="BO1701" i="4"/>
  <c r="BU1701" i="4"/>
  <c r="BW1701" i="4"/>
  <c r="BR1804" i="4"/>
  <c r="BW1804" i="4"/>
  <c r="BU1804" i="4"/>
  <c r="BS1804" i="4"/>
  <c r="BO1804" i="4"/>
  <c r="BO1756" i="4"/>
  <c r="BR1756" i="4"/>
  <c r="BW1756" i="4"/>
  <c r="BS1756" i="4"/>
  <c r="BU1756" i="4"/>
  <c r="BO1728" i="4"/>
  <c r="BU1728" i="4"/>
  <c r="BR1728" i="4"/>
  <c r="BW1728" i="4"/>
  <c r="BS1728" i="4"/>
  <c r="BR1741" i="4"/>
  <c r="BW1741" i="4"/>
  <c r="BS1741" i="4"/>
  <c r="BU1741" i="4"/>
  <c r="BO1741" i="4"/>
  <c r="BO1711" i="4"/>
  <c r="BW1711" i="4"/>
  <c r="BU1711" i="4"/>
  <c r="BR1711" i="4"/>
  <c r="BS1711" i="4"/>
  <c r="BR1724" i="4"/>
  <c r="BU1724" i="4"/>
  <c r="BW1724" i="4"/>
  <c r="BS1724" i="4"/>
  <c r="BO1724" i="4"/>
  <c r="BU1757" i="4"/>
  <c r="BW1757" i="4"/>
  <c r="BR1757" i="4"/>
  <c r="BS1757" i="4"/>
  <c r="BO1757" i="4"/>
  <c r="BW1815" i="4"/>
  <c r="BR1815" i="4"/>
  <c r="BO1815" i="4"/>
  <c r="BU1815" i="4"/>
  <c r="BS1815" i="4"/>
  <c r="BW1739" i="4"/>
  <c r="BR1739" i="4"/>
  <c r="BO1739" i="4"/>
  <c r="BU1739" i="4"/>
  <c r="BS1739" i="4"/>
  <c r="BW1676" i="4"/>
  <c r="BO1676" i="4"/>
  <c r="BS1676" i="4"/>
  <c r="BR1676" i="4"/>
  <c r="BU1676" i="4"/>
  <c r="BR1743" i="4"/>
  <c r="BS1743" i="4"/>
  <c r="BU1743" i="4"/>
  <c r="BW1743" i="4"/>
  <c r="BO1743" i="4"/>
  <c r="BO1714" i="4"/>
  <c r="BS1714" i="4"/>
  <c r="BR1714" i="4"/>
  <c r="BW1714" i="4"/>
  <c r="BU1714" i="4"/>
  <c r="BO1734" i="4"/>
  <c r="BR1734" i="4"/>
  <c r="BS1734" i="4"/>
  <c r="BU1734" i="4"/>
  <c r="BW1734" i="4"/>
  <c r="BO1702" i="4"/>
  <c r="BU1702" i="4"/>
  <c r="BS1702" i="4"/>
  <c r="BW1702" i="4"/>
  <c r="BR1702" i="4"/>
  <c r="BR1720" i="4"/>
  <c r="BS1720" i="4"/>
  <c r="BU1720" i="4"/>
  <c r="BW1720" i="4"/>
  <c r="BO1720" i="4"/>
  <c r="BU1807" i="4"/>
  <c r="BO1807" i="4"/>
  <c r="BW1807" i="4"/>
  <c r="BS1807" i="4"/>
  <c r="BR1807" i="4"/>
  <c r="BW1780" i="4"/>
  <c r="BR1780" i="4"/>
  <c r="BO1780" i="4"/>
  <c r="BS1780" i="4"/>
  <c r="BU1780" i="4"/>
  <c r="BO1722" i="4"/>
  <c r="BW1722" i="4"/>
  <c r="BU1722" i="4"/>
  <c r="BR1722" i="4"/>
  <c r="BS1722" i="4"/>
  <c r="BR1760" i="4"/>
  <c r="BW1760" i="4"/>
  <c r="BS1760" i="4"/>
  <c r="BU1760" i="4"/>
  <c r="BO1760" i="4"/>
  <c r="BR1782" i="4"/>
  <c r="BW1782" i="4"/>
  <c r="BO1782" i="4"/>
  <c r="BU1782" i="4"/>
  <c r="BS1782" i="4"/>
  <c r="BS1679" i="4"/>
  <c r="BU1679" i="4"/>
  <c r="BW1679" i="4"/>
  <c r="BO1679" i="4"/>
  <c r="BR1679" i="4"/>
  <c r="BW1765" i="4"/>
  <c r="BR1765" i="4"/>
  <c r="BU1765" i="4"/>
  <c r="BO1765" i="4"/>
  <c r="BS1765" i="4"/>
  <c r="BO1737" i="4"/>
  <c r="BR1737" i="4"/>
  <c r="BS1737" i="4"/>
  <c r="BU1737" i="4"/>
  <c r="BW1737" i="4"/>
  <c r="BO1781" i="4"/>
  <c r="BR1781" i="4"/>
  <c r="BS1781" i="4"/>
  <c r="BU1781" i="4"/>
  <c r="BW1781" i="4"/>
  <c r="BR1801" i="4"/>
  <c r="BU1801" i="4"/>
  <c r="BW1801" i="4"/>
  <c r="BO1801" i="4"/>
  <c r="BS1801" i="4"/>
  <c r="BU1683" i="4"/>
  <c r="BR1683" i="4"/>
  <c r="BS1683" i="4"/>
  <c r="BO1683" i="4"/>
  <c r="BW1683" i="4"/>
  <c r="BR1785" i="4"/>
  <c r="BW1785" i="4"/>
  <c r="BO1785" i="4"/>
  <c r="BU1785" i="4"/>
  <c r="BS1785" i="4"/>
  <c r="BU1749" i="4"/>
  <c r="BW1749" i="4"/>
  <c r="BR1749" i="4"/>
  <c r="BS1749" i="4"/>
  <c r="BO1749" i="4"/>
  <c r="BR1798" i="4"/>
  <c r="BU1798" i="4"/>
  <c r="BW1798" i="4"/>
  <c r="BO1798" i="4"/>
  <c r="BS1798" i="4"/>
  <c r="BR1694" i="4"/>
  <c r="BS1694" i="4"/>
  <c r="BO1694" i="4"/>
  <c r="BW1694" i="4"/>
  <c r="BU1694" i="4"/>
  <c r="BO1783" i="4"/>
  <c r="BR1783" i="4"/>
  <c r="BS1783" i="4"/>
  <c r="BU1783" i="4"/>
  <c r="BW1783" i="4"/>
  <c r="BU1712" i="4"/>
  <c r="BO1712" i="4"/>
  <c r="BR1712" i="4"/>
  <c r="BS1712" i="4"/>
  <c r="BW1712" i="4"/>
  <c r="BR1811" i="4"/>
  <c r="BS1811" i="4"/>
  <c r="BU1811" i="4"/>
  <c r="BW1811" i="4"/>
  <c r="BO1811" i="4"/>
  <c r="BW1710" i="4"/>
  <c r="BO1710" i="4"/>
  <c r="BU1710" i="4"/>
  <c r="BS1710" i="4"/>
  <c r="BR1710" i="4"/>
  <c r="BU1692" i="4"/>
  <c r="BW1692" i="4"/>
  <c r="BO1692" i="4"/>
  <c r="BR1692" i="4"/>
  <c r="BS1692" i="4"/>
  <c r="BO1822" i="4"/>
  <c r="BR1822" i="4"/>
  <c r="BS1822" i="4"/>
  <c r="BW1822" i="4"/>
  <c r="BU1822" i="4"/>
  <c r="BW1809" i="4"/>
  <c r="BS1809" i="4"/>
  <c r="BU1809" i="4"/>
  <c r="BR1809" i="4"/>
  <c r="BO1809" i="4"/>
  <c r="BO1727" i="4"/>
  <c r="BR1727" i="4"/>
  <c r="BU1727" i="4"/>
  <c r="BW1727" i="4"/>
  <c r="BS1727" i="4"/>
  <c r="BO1681" i="4"/>
  <c r="BU1681" i="4"/>
  <c r="BW1681" i="4"/>
  <c r="BR1681" i="4"/>
  <c r="BS1681" i="4"/>
  <c r="BR1775" i="4"/>
  <c r="BO1775" i="4"/>
  <c r="BW1775" i="4"/>
  <c r="BS1775" i="4"/>
  <c r="BU1775" i="4"/>
  <c r="BR1705" i="4"/>
  <c r="BO1705" i="4"/>
  <c r="BW1705" i="4"/>
  <c r="BU1705" i="4"/>
  <c r="BS1705" i="4"/>
  <c r="BO1806" i="4"/>
  <c r="BR1806" i="4"/>
  <c r="BU1806" i="4"/>
  <c r="BS1806" i="4"/>
  <c r="BW1806" i="4"/>
  <c r="BU1776" i="4"/>
  <c r="BW1776" i="4"/>
  <c r="BS1776" i="4"/>
  <c r="BR1776" i="4"/>
  <c r="BO1776" i="4"/>
  <c r="BW1796" i="4"/>
  <c r="BO1796" i="4"/>
  <c r="BR1796" i="4"/>
  <c r="BU1796" i="4"/>
  <c r="BS1796" i="4"/>
  <c r="BR1792" i="4"/>
  <c r="BU1792" i="4"/>
  <c r="BW1792" i="4"/>
  <c r="BS1792" i="4"/>
  <c r="BO1792" i="4"/>
  <c r="BU1773" i="4"/>
  <c r="BR1773" i="4"/>
  <c r="BW1773" i="4"/>
  <c r="BS1773" i="4"/>
  <c r="BO1773" i="4"/>
  <c r="BO1759" i="4"/>
  <c r="BR1759" i="4"/>
  <c r="BS1759" i="4"/>
  <c r="BU1759" i="4"/>
  <c r="BW1759" i="4"/>
  <c r="BO1814" i="4"/>
  <c r="BU1814" i="4"/>
  <c r="BW1814" i="4"/>
  <c r="BR1814" i="4"/>
  <c r="BS1814" i="4"/>
  <c r="BW1816" i="4"/>
  <c r="BO1816" i="4"/>
  <c r="BS1816" i="4"/>
  <c r="BR1816" i="4"/>
  <c r="BU1816" i="4"/>
  <c r="BS1745" i="4"/>
  <c r="BU1745" i="4"/>
  <c r="BR1745" i="4"/>
  <c r="BW1745" i="4"/>
  <c r="BO1745" i="4"/>
  <c r="BO1731" i="4"/>
  <c r="BW1731" i="4"/>
  <c r="BR1731" i="4"/>
  <c r="BS1731" i="4"/>
  <c r="BU1731" i="4"/>
  <c r="BU1675" i="4"/>
  <c r="BS1675" i="4"/>
  <c r="BW1675" i="4"/>
  <c r="BR1675" i="4"/>
  <c r="BO1675" i="4"/>
  <c r="BO1778" i="4"/>
  <c r="BR1778" i="4"/>
  <c r="BS1778" i="4"/>
  <c r="BU1778" i="4"/>
  <c r="BW1778" i="4"/>
  <c r="BU1723" i="4"/>
  <c r="BW1723" i="4"/>
  <c r="BR1723" i="4"/>
  <c r="BS1723" i="4"/>
  <c r="BO1723" i="4"/>
  <c r="BO1678" i="4"/>
  <c r="BS1678" i="4"/>
  <c r="BU1678" i="4"/>
  <c r="BR1678" i="4"/>
  <c r="BW1678" i="4"/>
  <c r="BW1753" i="4"/>
  <c r="BO1753" i="4"/>
  <c r="BR1753" i="4"/>
  <c r="BU1753" i="4"/>
  <c r="BS1753" i="4"/>
  <c r="BR1686" i="4"/>
  <c r="BW1686" i="4"/>
  <c r="BS1686" i="4"/>
  <c r="BU1686" i="4"/>
  <c r="BO1686" i="4"/>
  <c r="BW1777" i="4"/>
  <c r="BR1777" i="4"/>
  <c r="BO1777" i="4"/>
  <c r="BU1777" i="4"/>
  <c r="BS1777" i="4"/>
  <c r="BU1818" i="4"/>
  <c r="BO1818" i="4"/>
  <c r="BR1818" i="4"/>
  <c r="BW1818" i="4"/>
  <c r="BS1818" i="4"/>
  <c r="BR1697" i="4"/>
  <c r="BS1697" i="4"/>
  <c r="BO1697" i="4"/>
  <c r="BW1697" i="4"/>
  <c r="BU1697" i="4"/>
  <c r="BO1699" i="4"/>
  <c r="BU1699" i="4"/>
  <c r="BS1699" i="4"/>
  <c r="BW1699" i="4"/>
  <c r="BR1699" i="4"/>
  <c r="BR1820" i="4"/>
  <c r="BW1820" i="4"/>
  <c r="BU1820" i="4"/>
  <c r="BO1820" i="4"/>
  <c r="BS1820" i="4"/>
  <c r="BU1707" i="4"/>
  <c r="BW1707" i="4"/>
  <c r="BS1707" i="4"/>
  <c r="BR1707" i="4"/>
  <c r="BO1707" i="4"/>
  <c r="BW1750" i="4"/>
  <c r="BO1750" i="4"/>
  <c r="BR1750" i="4"/>
  <c r="BU1750" i="4"/>
  <c r="BS1750" i="4"/>
  <c r="BR1790" i="4"/>
  <c r="BS1790" i="4"/>
  <c r="BU1790" i="4"/>
  <c r="BW1790" i="4"/>
  <c r="BO1790" i="4"/>
  <c r="BW1791" i="4"/>
  <c r="BR1791" i="4"/>
  <c r="BO1791" i="4"/>
  <c r="BS1791" i="4"/>
  <c r="BU1791" i="4"/>
  <c r="BU1706" i="4"/>
  <c r="BW1706" i="4"/>
  <c r="BS1706" i="4"/>
  <c r="BO1706" i="4"/>
  <c r="BR1706" i="4"/>
  <c r="BR1677" i="4"/>
  <c r="BW1677" i="4"/>
  <c r="BO1677" i="4"/>
  <c r="BS1677" i="4"/>
  <c r="BU1677" i="4"/>
  <c r="BO1800" i="4"/>
  <c r="BR1800" i="4"/>
  <c r="BS1800" i="4"/>
  <c r="BU1800" i="4"/>
  <c r="BW1800" i="4"/>
  <c r="BO1768" i="4"/>
  <c r="BR1768" i="4"/>
  <c r="BU1768" i="4"/>
  <c r="BW1768" i="4"/>
  <c r="BS1768" i="4"/>
  <c r="BW1761" i="4"/>
  <c r="BR1761" i="4"/>
  <c r="BO1761" i="4"/>
  <c r="BS1761" i="4"/>
  <c r="BU1761" i="4"/>
  <c r="BO1817" i="4"/>
  <c r="BU1817" i="4"/>
  <c r="BW1817" i="4"/>
  <c r="BS1817" i="4"/>
  <c r="BR1817" i="4"/>
  <c r="BO1717" i="4"/>
  <c r="BR1717" i="4"/>
  <c r="BW1717" i="4"/>
  <c r="BS1717" i="4"/>
  <c r="BU1717" i="4"/>
  <c r="BW1695" i="4"/>
  <c r="BO1695" i="4"/>
  <c r="BR1695" i="4"/>
  <c r="BS1695" i="4"/>
  <c r="BU1695" i="4"/>
  <c r="BU1747" i="4"/>
  <c r="BO1747" i="4"/>
  <c r="BR1747" i="4"/>
  <c r="BW1747" i="4"/>
  <c r="BS1747" i="4"/>
  <c r="BW1808" i="4"/>
  <c r="BR1808" i="4"/>
  <c r="BS1808" i="4"/>
  <c r="BU1808" i="4"/>
  <c r="BO1808" i="4"/>
  <c r="BU1769" i="4"/>
  <c r="BO1769" i="4"/>
  <c r="BS1769" i="4"/>
  <c r="BR1769" i="4"/>
  <c r="BW1769" i="4"/>
  <c r="BW1767" i="4"/>
  <c r="BU1767" i="4"/>
  <c r="BS1767" i="4"/>
  <c r="BR1767" i="4"/>
  <c r="BO1767" i="4"/>
  <c r="BO1794" i="4"/>
  <c r="BW1794" i="4"/>
  <c r="BR1794" i="4"/>
  <c r="BS1794" i="4"/>
  <c r="BU1794" i="4"/>
  <c r="BU1673" i="4"/>
  <c r="BW1673" i="4"/>
  <c r="BO1673" i="4"/>
  <c r="BR1673" i="4"/>
  <c r="BS1673" i="4"/>
  <c r="BW1650" i="4"/>
  <c r="BO1650" i="4"/>
  <c r="BR1650" i="4"/>
  <c r="BU1650" i="4"/>
  <c r="BS1650" i="4"/>
  <c r="BO1651" i="4"/>
  <c r="BR1651" i="4"/>
  <c r="BU1651" i="4"/>
  <c r="BW1651" i="4"/>
  <c r="BS1651" i="4"/>
  <c r="BO1629" i="4"/>
  <c r="BR1629" i="4"/>
  <c r="BU1629" i="4"/>
  <c r="BW1629" i="4"/>
  <c r="BS1629" i="4"/>
  <c r="BU1657" i="4"/>
  <c r="BR1657" i="4"/>
  <c r="BW1657" i="4"/>
  <c r="BO1657" i="4"/>
  <c r="BS1657" i="4"/>
  <c r="BU1661" i="4"/>
  <c r="BW1661" i="4"/>
  <c r="BR1661" i="4"/>
  <c r="BO1661" i="4"/>
  <c r="BS1661" i="4"/>
  <c r="BO1627" i="4"/>
  <c r="BR1627" i="4"/>
  <c r="BW1627" i="4"/>
  <c r="BU1627" i="4"/>
  <c r="BS1627" i="4"/>
  <c r="BO1663" i="4"/>
  <c r="BR1663" i="4"/>
  <c r="BU1663" i="4"/>
  <c r="BW1663" i="4"/>
  <c r="BS1663" i="4"/>
  <c r="BO1664" i="4"/>
  <c r="BU1664" i="4"/>
  <c r="BR1664" i="4"/>
  <c r="BW1664" i="4"/>
  <c r="BS1664" i="4"/>
  <c r="BW1669" i="4"/>
  <c r="BR1669" i="4"/>
  <c r="BO1669" i="4"/>
  <c r="BU1669" i="4"/>
  <c r="BS1669" i="4"/>
  <c r="BU1653" i="4"/>
  <c r="BR1653" i="4"/>
  <c r="BW1653" i="4"/>
  <c r="BO1653" i="4"/>
  <c r="BS1653" i="4"/>
  <c r="BO1630" i="4"/>
  <c r="BR1630" i="4"/>
  <c r="BU1630" i="4"/>
  <c r="BW1630" i="4"/>
  <c r="BS1630" i="4"/>
  <c r="BR1671" i="4"/>
  <c r="BO1671" i="4"/>
  <c r="BU1671" i="4"/>
  <c r="BW1671" i="4"/>
  <c r="BS1671" i="4"/>
  <c r="BW1624" i="4"/>
  <c r="BO1624" i="4"/>
  <c r="BU1624" i="4"/>
  <c r="BR1624" i="4"/>
  <c r="BS1624" i="4"/>
  <c r="BO1660" i="4"/>
  <c r="BW1660" i="4"/>
  <c r="BR1660" i="4"/>
  <c r="BU1660" i="4"/>
  <c r="BS1660" i="4"/>
  <c r="BR1648" i="4"/>
  <c r="BU1648" i="4"/>
  <c r="BW1648" i="4"/>
  <c r="BO1648" i="4"/>
  <c r="BS1648" i="4"/>
  <c r="BR1633" i="4"/>
  <c r="BU1633" i="4"/>
  <c r="BO1633" i="4"/>
  <c r="BW1633" i="4"/>
  <c r="BS1633" i="4"/>
  <c r="BO1655" i="4"/>
  <c r="BU1655" i="4"/>
  <c r="BR1655" i="4"/>
  <c r="BW1655" i="4"/>
  <c r="BS1655" i="4"/>
  <c r="BO1647" i="4"/>
  <c r="BR1647" i="4"/>
  <c r="BU1647" i="4"/>
  <c r="BW1647" i="4"/>
  <c r="BS1647" i="4"/>
  <c r="BO1659" i="4"/>
  <c r="BR1659" i="4"/>
  <c r="BW1659" i="4"/>
  <c r="BU1659" i="4"/>
  <c r="BS1659" i="4"/>
  <c r="BU1634" i="4"/>
  <c r="BW1634" i="4"/>
  <c r="BO1634" i="4"/>
  <c r="BR1634" i="4"/>
  <c r="BS1634" i="4"/>
  <c r="BU1638" i="4"/>
  <c r="BR1638" i="4"/>
  <c r="BW1638" i="4"/>
  <c r="BO1638" i="4"/>
  <c r="BS1638" i="4"/>
  <c r="BO1644" i="4"/>
  <c r="BR1644" i="4"/>
  <c r="BW1644" i="4"/>
  <c r="BU1644" i="4"/>
  <c r="BS1644" i="4"/>
  <c r="BR1641" i="4"/>
  <c r="BU1641" i="4"/>
  <c r="BW1641" i="4"/>
  <c r="BO1641" i="4"/>
  <c r="BS1641" i="4"/>
  <c r="BR1672" i="4"/>
  <c r="BO1672" i="4"/>
  <c r="BU1672" i="4"/>
  <c r="BW1672" i="4"/>
  <c r="BS1672" i="4"/>
  <c r="BU1668" i="4"/>
  <c r="BR1668" i="4"/>
  <c r="BW1668" i="4"/>
  <c r="BO1668" i="4"/>
  <c r="BS1668" i="4"/>
  <c r="BU1631" i="4"/>
  <c r="BO1631" i="4"/>
  <c r="BW1631" i="4"/>
  <c r="BR1631" i="4"/>
  <c r="BS1631" i="4"/>
  <c r="BU1666" i="4"/>
  <c r="BW1666" i="4"/>
  <c r="BO1666" i="4"/>
  <c r="BR1666" i="4"/>
  <c r="BS1666" i="4"/>
  <c r="BR1637" i="4"/>
  <c r="BU1637" i="4"/>
  <c r="BW1637" i="4"/>
  <c r="BO1637" i="4"/>
  <c r="BS1637" i="4"/>
  <c r="BU1642" i="4"/>
  <c r="BR1642" i="4"/>
  <c r="BW1642" i="4"/>
  <c r="BO1642" i="4"/>
  <c r="BS1642" i="4"/>
  <c r="BO1625" i="4"/>
  <c r="BU1625" i="4"/>
  <c r="BR1625" i="4"/>
  <c r="BW1625" i="4"/>
  <c r="BS1625" i="4"/>
  <c r="BW1670" i="4"/>
  <c r="BO1670" i="4"/>
  <c r="BU1670" i="4"/>
  <c r="BR1670" i="4"/>
  <c r="BS1670" i="4"/>
  <c r="BW1623" i="4"/>
  <c r="BU1623" i="4"/>
  <c r="BO1623" i="4"/>
  <c r="BR1623" i="4"/>
  <c r="BS1623" i="4"/>
  <c r="BU1649" i="4"/>
  <c r="BW1649" i="4"/>
  <c r="BO1649" i="4"/>
  <c r="BR1649" i="4"/>
  <c r="BS1649" i="4"/>
  <c r="BW1635" i="4"/>
  <c r="BO1635" i="4"/>
  <c r="BR1635" i="4"/>
  <c r="BU1635" i="4"/>
  <c r="BS1635" i="4"/>
  <c r="BU1662" i="4"/>
  <c r="BW1662" i="4"/>
  <c r="BO1662" i="4"/>
  <c r="BR1662" i="4"/>
  <c r="BS1662" i="4"/>
  <c r="BO1645" i="4"/>
  <c r="BR1645" i="4"/>
  <c r="BU1645" i="4"/>
  <c r="BW1645" i="4"/>
  <c r="BS1645" i="4"/>
  <c r="BO1628" i="4"/>
  <c r="BW1628" i="4"/>
  <c r="BR1628" i="4"/>
  <c r="BU1628" i="4"/>
  <c r="BS1628" i="4"/>
  <c r="BO1643" i="4"/>
  <c r="BR1643" i="4"/>
  <c r="BU1643" i="4"/>
  <c r="BW1643" i="4"/>
  <c r="BS1643" i="4"/>
  <c r="BR1636" i="4"/>
  <c r="BO1636" i="4"/>
  <c r="BU1636" i="4"/>
  <c r="BW1636" i="4"/>
  <c r="BS1636" i="4"/>
  <c r="BR1652" i="4"/>
  <c r="BU1652" i="4"/>
  <c r="BW1652" i="4"/>
  <c r="BO1652" i="4"/>
  <c r="BS1652" i="4"/>
  <c r="BW1654" i="4"/>
  <c r="BO1654" i="4"/>
  <c r="BU1654" i="4"/>
  <c r="BR1654" i="4"/>
  <c r="BS1654" i="4"/>
  <c r="BU1665" i="4"/>
  <c r="BW1665" i="4"/>
  <c r="BO1665" i="4"/>
  <c r="BR1665" i="4"/>
  <c r="BS1665" i="4"/>
  <c r="BW1674" i="4"/>
  <c r="BU1674" i="4"/>
  <c r="BO1674" i="4"/>
  <c r="BR1674" i="4"/>
  <c r="BS1674" i="4"/>
  <c r="BO1667" i="4"/>
  <c r="BR1667" i="4"/>
  <c r="BU1667" i="4"/>
  <c r="BW1667" i="4"/>
  <c r="BS1667" i="4"/>
  <c r="BW1639" i="4"/>
  <c r="BO1639" i="4"/>
  <c r="BR1639" i="4"/>
  <c r="BU1639" i="4"/>
  <c r="BS1639" i="4"/>
  <c r="BU1646" i="4"/>
  <c r="BW1646" i="4"/>
  <c r="BR1646" i="4"/>
  <c r="BO1646" i="4"/>
  <c r="BS1646" i="4"/>
  <c r="BO1626" i="4"/>
  <c r="BR1626" i="4"/>
  <c r="BU1626" i="4"/>
  <c r="BW1626" i="4"/>
  <c r="BS1626" i="4"/>
  <c r="BO1632" i="4"/>
  <c r="BW1632" i="4"/>
  <c r="BU1632" i="4"/>
  <c r="BR1632" i="4"/>
  <c r="BS1632" i="4"/>
  <c r="BO1656" i="4"/>
  <c r="BR1656" i="4"/>
  <c r="BU1656" i="4"/>
  <c r="BW1656" i="4"/>
  <c r="BS1656" i="4"/>
  <c r="BU1640" i="4"/>
  <c r="BR1640" i="4"/>
  <c r="BW1640" i="4"/>
  <c r="BO1640" i="4"/>
  <c r="BS1640" i="4"/>
  <c r="BU1658" i="4"/>
  <c r="BW1658" i="4"/>
  <c r="BO1658" i="4"/>
  <c r="BR1658" i="4"/>
  <c r="BS1658" i="4"/>
  <c r="BU1465" i="4"/>
  <c r="BU1473" i="4"/>
  <c r="BW1379" i="4"/>
  <c r="BR1601" i="4"/>
  <c r="BU1403" i="4"/>
  <c r="BR1593" i="4"/>
  <c r="BR1481" i="4"/>
  <c r="BR1343" i="4"/>
  <c r="BW1552" i="4"/>
  <c r="BR1439" i="4"/>
  <c r="BU1344" i="4"/>
  <c r="BR1435" i="4"/>
  <c r="BU1435" i="4"/>
  <c r="BW1378" i="4"/>
  <c r="BR1264" i="4"/>
  <c r="BS1380" i="4"/>
  <c r="AG1380" i="4" s="1"/>
  <c r="BU1584" i="4"/>
  <c r="BS1298" i="4"/>
  <c r="AG1298" i="4" s="1"/>
  <c r="BS1441" i="4"/>
  <c r="AG1441" i="4" s="1"/>
  <c r="BR1488" i="4"/>
  <c r="BS1344" i="4"/>
  <c r="AG1344" i="4" s="1"/>
  <c r="BW1352" i="4"/>
  <c r="BU1264" i="4"/>
  <c r="BR1223" i="4"/>
  <c r="BU1245" i="4"/>
  <c r="BW1264" i="4"/>
  <c r="BU1440" i="4"/>
  <c r="BU1486" i="4"/>
  <c r="BW1486" i="4"/>
  <c r="BU1514" i="4"/>
  <c r="BS1391" i="4"/>
  <c r="BW1307" i="4"/>
  <c r="BR1317" i="4"/>
  <c r="BR1228" i="4"/>
  <c r="BW1548" i="4"/>
  <c r="BU1602" i="4"/>
  <c r="BR1515" i="4"/>
  <c r="BR1507" i="4"/>
  <c r="BS1343" i="4"/>
  <c r="AG1343" i="4" s="1"/>
  <c r="BU1428" i="4"/>
  <c r="BW1228" i="4"/>
  <c r="BU1581" i="4"/>
  <c r="BR1595" i="4"/>
  <c r="BS1264" i="4"/>
  <c r="AG1264" i="4" s="1"/>
  <c r="BS1581" i="4"/>
  <c r="AG1581" i="4" s="1"/>
  <c r="BR1386" i="4"/>
  <c r="BW1463" i="4"/>
  <c r="BS1505" i="4"/>
  <c r="AG1505" i="4" s="1"/>
  <c r="BS1352" i="4"/>
  <c r="AG1352" i="4" s="1"/>
  <c r="BU1601" i="4"/>
  <c r="BW1581" i="4"/>
  <c r="BS1594" i="4"/>
  <c r="AG1594" i="4" s="1"/>
  <c r="BR1473" i="4"/>
  <c r="BU1213" i="4"/>
  <c r="BR1450" i="4"/>
  <c r="BS1582" i="4"/>
  <c r="BW1328" i="4"/>
  <c r="BU1414" i="4"/>
  <c r="BS1213" i="4"/>
  <c r="BS1328" i="4"/>
  <c r="BS1297" i="4"/>
  <c r="AG1297" i="4" s="1"/>
  <c r="BU1580" i="4"/>
  <c r="BR1374" i="4"/>
  <c r="BU1290" i="4"/>
  <c r="BW1344" i="4"/>
  <c r="BW1602" i="4"/>
  <c r="BR1226" i="4"/>
  <c r="BO1313" i="4"/>
  <c r="AG1313" i="4" s="1"/>
  <c r="BR1521" i="4"/>
  <c r="BR1577" i="4"/>
  <c r="BU1273" i="4"/>
  <c r="BR1602" i="4"/>
  <c r="BR1279" i="4"/>
  <c r="BR1572" i="4"/>
  <c r="BO1451" i="4"/>
  <c r="BR1357" i="4"/>
  <c r="BU1357" i="4"/>
  <c r="BU1446" i="4"/>
  <c r="BS1290" i="4"/>
  <c r="AG1290" i="4" s="1"/>
  <c r="BR1479" i="4"/>
  <c r="BS1513" i="4"/>
  <c r="AG1513" i="4" s="1"/>
  <c r="BU1243" i="4"/>
  <c r="BS1237" i="4"/>
  <c r="AG1237" i="4" s="1"/>
  <c r="BW1455" i="4"/>
  <c r="BR1405" i="4"/>
  <c r="BR1434" i="4"/>
  <c r="BR1436" i="4"/>
  <c r="BR1278" i="4"/>
  <c r="BS1439" i="4"/>
  <c r="AG1439" i="4" s="1"/>
  <c r="BU1507" i="4"/>
  <c r="BS1243" i="4"/>
  <c r="AG1243" i="4" s="1"/>
  <c r="BU1392" i="4"/>
  <c r="BR1518" i="4"/>
  <c r="BR1584" i="4"/>
  <c r="BR1470" i="4"/>
  <c r="BR1455" i="4"/>
  <c r="BU1552" i="4"/>
  <c r="BR1249" i="4"/>
  <c r="BS1584" i="4"/>
  <c r="AG1584" i="4" s="1"/>
  <c r="BW1585" i="4"/>
  <c r="BS1516" i="4"/>
  <c r="AG1516" i="4" s="1"/>
  <c r="BW1434" i="4"/>
  <c r="BU1278" i="4"/>
  <c r="BR1383" i="4"/>
  <c r="BW1392" i="4"/>
  <c r="BU1498" i="4"/>
  <c r="BW1518" i="4"/>
  <c r="BW1584" i="4"/>
  <c r="BO1470" i="4"/>
  <c r="AG1470" i="4" s="1"/>
  <c r="BR1251" i="4"/>
  <c r="BO1314" i="4"/>
  <c r="BU1426" i="4"/>
  <c r="BU1516" i="4"/>
  <c r="BS1434" i="4"/>
  <c r="AG1434" i="4" s="1"/>
  <c r="BU1383" i="4"/>
  <c r="BR1540" i="4"/>
  <c r="BS1263" i="4"/>
  <c r="AG1263" i="4" s="1"/>
  <c r="BS1392" i="4"/>
  <c r="AG1392" i="4" s="1"/>
  <c r="BU1441" i="4"/>
  <c r="BW1249" i="4"/>
  <c r="BU1518" i="4"/>
  <c r="BU1354" i="4"/>
  <c r="BW1580" i="4"/>
  <c r="BU1251" i="4"/>
  <c r="BS1426" i="4"/>
  <c r="AG1426" i="4" s="1"/>
  <c r="BO1396" i="4"/>
  <c r="BS1603" i="4"/>
  <c r="AG1603" i="4" s="1"/>
  <c r="BW1376" i="4"/>
  <c r="BS1458" i="4"/>
  <c r="AG1458" i="4" s="1"/>
  <c r="BS1368" i="4"/>
  <c r="BW1467" i="4"/>
  <c r="BS1518" i="4"/>
  <c r="AG1518" i="4" s="1"/>
  <c r="BW1362" i="4"/>
  <c r="BR1562" i="4"/>
  <c r="BW1603" i="4"/>
  <c r="BR1458" i="4"/>
  <c r="BU1462" i="4"/>
  <c r="BR1441" i="4"/>
  <c r="BR1368" i="4"/>
  <c r="BU1467" i="4"/>
  <c r="BW1593" i="4"/>
  <c r="BR1580" i="4"/>
  <c r="BW1386" i="4"/>
  <c r="BS1562" i="4"/>
  <c r="AG1562" i="4" s="1"/>
  <c r="BU1298" i="4"/>
  <c r="BU1453" i="4"/>
  <c r="BW1441" i="4"/>
  <c r="BW1368" i="4"/>
  <c r="BS1467" i="4"/>
  <c r="BU1234" i="4"/>
  <c r="BW1428" i="4"/>
  <c r="BR1325" i="4"/>
  <c r="BW1361" i="4"/>
  <c r="BS1386" i="4"/>
  <c r="AG1386" i="4" s="1"/>
  <c r="BS1610" i="4"/>
  <c r="AG1610" i="4" s="1"/>
  <c r="BR1330" i="4"/>
  <c r="BR1273" i="4"/>
  <c r="BU1379" i="4"/>
  <c r="BW1343" i="4"/>
  <c r="BU1368" i="4"/>
  <c r="BR1467" i="4"/>
  <c r="BW1218" i="4"/>
  <c r="BW1572" i="4"/>
  <c r="BU1325" i="4"/>
  <c r="BU1386" i="4"/>
  <c r="BO1348" i="4"/>
  <c r="AG1348" i="4" s="1"/>
  <c r="BO1565" i="4"/>
  <c r="BR1307" i="4"/>
  <c r="BR1505" i="4"/>
  <c r="BS1379" i="4"/>
  <c r="AG1379" i="4" s="1"/>
  <c r="BU1499" i="4"/>
  <c r="BR1218" i="4"/>
  <c r="BR1517" i="4"/>
  <c r="BS1307" i="4"/>
  <c r="AG1307" i="4" s="1"/>
  <c r="BS1289" i="4"/>
  <c r="BU1401" i="4"/>
  <c r="BS1615" i="4"/>
  <c r="AG1615" i="4" s="1"/>
  <c r="BW1517" i="4"/>
  <c r="BS1572" i="4"/>
  <c r="AG1572" i="4" s="1"/>
  <c r="BR1373" i="4"/>
  <c r="BW1514" i="4"/>
  <c r="BO1585" i="4"/>
  <c r="AG1585" i="4" s="1"/>
  <c r="BS1262" i="4"/>
  <c r="AG1262" i="4" s="1"/>
  <c r="BW1488" i="4"/>
  <c r="BU1307" i="4"/>
  <c r="BW1311" i="4"/>
  <c r="BW1401" i="4"/>
  <c r="BS1435" i="4"/>
  <c r="AG1435" i="4" s="1"/>
  <c r="BU1479" i="4"/>
  <c r="BW1437" i="4"/>
  <c r="BW1243" i="4"/>
  <c r="BS1479" i="4"/>
  <c r="AG1479" i="4" s="1"/>
  <c r="BU1569" i="4"/>
  <c r="BO1587" i="4"/>
  <c r="BS1587" i="4"/>
  <c r="BW1587" i="4"/>
  <c r="BR1587" i="4"/>
  <c r="BR1329" i="4"/>
  <c r="BW1329" i="4"/>
  <c r="BU1329" i="4"/>
  <c r="BO1258" i="4"/>
  <c r="BS1258" i="4"/>
  <c r="BW1258" i="4"/>
  <c r="BR1579" i="4"/>
  <c r="BU1579" i="4"/>
  <c r="BW1579" i="4"/>
  <c r="BR1311" i="4"/>
  <c r="BU1562" i="4"/>
  <c r="BO1408" i="4"/>
  <c r="BS1401" i="4"/>
  <c r="AG1401" i="4" s="1"/>
  <c r="BW1298" i="4"/>
  <c r="BW1435" i="4"/>
  <c r="BW1270" i="4"/>
  <c r="BR1588" i="4"/>
  <c r="BU1603" i="4"/>
  <c r="BR1344" i="4"/>
  <c r="BU1240" i="4"/>
  <c r="BS1488" i="4"/>
  <c r="AG1488" i="4" s="1"/>
  <c r="BU1265" i="4"/>
  <c r="BU1343" i="4"/>
  <c r="BU1239" i="4"/>
  <c r="BU1384" i="4"/>
  <c r="BW1211" i="4"/>
  <c r="BU1592" i="4"/>
  <c r="BR1380" i="4"/>
  <c r="BR1578" i="4"/>
  <c r="BU1390" i="4"/>
  <c r="BR1360" i="4"/>
  <c r="BU1311" i="4"/>
  <c r="BR1401" i="4"/>
  <c r="BR1298" i="4"/>
  <c r="BW1312" i="4"/>
  <c r="BS1588" i="4"/>
  <c r="AG1588" i="4" s="1"/>
  <c r="BR1603" i="4"/>
  <c r="BW1342" i="4"/>
  <c r="BW1505" i="4"/>
  <c r="BU1554" i="4"/>
  <c r="BR1213" i="4"/>
  <c r="BO1525" i="4"/>
  <c r="BS1602" i="4"/>
  <c r="BO1320" i="4"/>
  <c r="BS1218" i="4"/>
  <c r="AG1218" i="4" s="1"/>
  <c r="BU1380" i="4"/>
  <c r="BR1546" i="4"/>
  <c r="BU1268" i="4"/>
  <c r="BW1596" i="4"/>
  <c r="BU1393" i="4"/>
  <c r="BR1570" i="4"/>
  <c r="BO1266" i="4"/>
  <c r="BW1588" i="4"/>
  <c r="BS1342" i="4"/>
  <c r="BS1546" i="4"/>
  <c r="AG1546" i="4" s="1"/>
  <c r="BR1268" i="4"/>
  <c r="BR1594" i="4"/>
  <c r="BU1570" i="4"/>
  <c r="BR1423" i="4"/>
  <c r="BR1414" i="4"/>
  <c r="BS1312" i="4"/>
  <c r="AG1312" i="4" s="1"/>
  <c r="BW1275" i="4"/>
  <c r="BU1505" i="4"/>
  <c r="BR1554" i="4"/>
  <c r="BW1357" i="4"/>
  <c r="BU1218" i="4"/>
  <c r="BS1331" i="4"/>
  <c r="BW1601" i="4"/>
  <c r="BO1223" i="4"/>
  <c r="AG1223" i="4" s="1"/>
  <c r="BS1428" i="4"/>
  <c r="AG1428" i="4" s="1"/>
  <c r="BU1299" i="4"/>
  <c r="BU1361" i="4"/>
  <c r="BU1594" i="4"/>
  <c r="BR1394" i="4"/>
  <c r="BR1308" i="4"/>
  <c r="BW1570" i="4"/>
  <c r="BS1266" i="4"/>
  <c r="BW1259" i="4"/>
  <c r="BO1342" i="4"/>
  <c r="BR1312" i="4"/>
  <c r="BW1554" i="4"/>
  <c r="BS1255" i="4"/>
  <c r="AG1255" i="4" s="1"/>
  <c r="BR1320" i="4"/>
  <c r="BR1597" i="4"/>
  <c r="BU1331" i="4"/>
  <c r="BU1320" i="4"/>
  <c r="BW1394" i="4"/>
  <c r="BW1308" i="4"/>
  <c r="BR1266" i="4"/>
  <c r="BR1397" i="4"/>
  <c r="BW1374" i="4"/>
  <c r="BR1259" i="4"/>
  <c r="BS1414" i="4"/>
  <c r="AG1414" i="4" s="1"/>
  <c r="BR1615" i="4"/>
  <c r="BS1376" i="4"/>
  <c r="AG1376" i="4" s="1"/>
  <c r="BR1297" i="4"/>
  <c r="BR1229" i="4"/>
  <c r="BS1472" i="4"/>
  <c r="AG1472" i="4" s="1"/>
  <c r="BW1255" i="4"/>
  <c r="BU1351" i="4"/>
  <c r="BW1612" i="4"/>
  <c r="BU1350" i="4"/>
  <c r="BS1279" i="4"/>
  <c r="AG1279" i="4" s="1"/>
  <c r="BU1572" i="4"/>
  <c r="BW1450" i="4"/>
  <c r="BS1354" i="4"/>
  <c r="AG1354" i="4" s="1"/>
  <c r="BS1580" i="4"/>
  <c r="AG1580" i="4" s="1"/>
  <c r="BS1456" i="4"/>
  <c r="BU1394" i="4"/>
  <c r="BU1308" i="4"/>
  <c r="BS1539" i="4"/>
  <c r="AG1539" i="4" s="1"/>
  <c r="BS1552" i="4"/>
  <c r="AG1552" i="4" s="1"/>
  <c r="BU1266" i="4"/>
  <c r="BU1259" i="4"/>
  <c r="BR1365" i="4"/>
  <c r="BW1414" i="4"/>
  <c r="BS1555" i="4"/>
  <c r="AG1555" i="4" s="1"/>
  <c r="BU1459" i="4"/>
  <c r="BS1229" i="4"/>
  <c r="AG1229" i="4" s="1"/>
  <c r="BR1472" i="4"/>
  <c r="BR1255" i="4"/>
  <c r="BW1354" i="4"/>
  <c r="BW1456" i="4"/>
  <c r="BS1394" i="4"/>
  <c r="AG1394" i="4" s="1"/>
  <c r="BW1533" i="4"/>
  <c r="BS1365" i="4"/>
  <c r="AG1365" i="4" s="1"/>
  <c r="BS1611" i="4"/>
  <c r="BW1351" i="4"/>
  <c r="BU1261" i="4"/>
  <c r="BS1339" i="4"/>
  <c r="BW1279" i="4"/>
  <c r="BU1223" i="4"/>
  <c r="BU1450" i="4"/>
  <c r="BR1354" i="4"/>
  <c r="BW1512" i="4"/>
  <c r="BU1489" i="4"/>
  <c r="BS1358" i="4"/>
  <c r="BR1295" i="4"/>
  <c r="BO1299" i="4"/>
  <c r="BU1539" i="4"/>
  <c r="BU1476" i="4"/>
  <c r="BU1555" i="4"/>
  <c r="BW1464" i="4"/>
  <c r="BW1459" i="4"/>
  <c r="BU1615" i="4"/>
  <c r="BR1611" i="4"/>
  <c r="BU1323" i="4"/>
  <c r="BS1327" i="4"/>
  <c r="BW1396" i="4"/>
  <c r="BS1351" i="4"/>
  <c r="AG1351" i="4" s="1"/>
  <c r="BU1358" i="4"/>
  <c r="BW1539" i="4"/>
  <c r="BW1590" i="4"/>
  <c r="BR1516" i="4"/>
  <c r="BR1446" i="4"/>
  <c r="BR1533" i="4"/>
  <c r="BS1463" i="4"/>
  <c r="AG1463" i="4" s="1"/>
  <c r="BU1610" i="4"/>
  <c r="BS1510" i="4"/>
  <c r="AG1510" i="4" s="1"/>
  <c r="BS1330" i="4"/>
  <c r="AG1330" i="4" s="1"/>
  <c r="BW1300" i="4"/>
  <c r="BW1290" i="4"/>
  <c r="BW1555" i="4"/>
  <c r="BS1464" i="4"/>
  <c r="AG1464" i="4" s="1"/>
  <c r="BR1459" i="4"/>
  <c r="BW1615" i="4"/>
  <c r="BS1471" i="4"/>
  <c r="AG1471" i="4" s="1"/>
  <c r="BR1323" i="4"/>
  <c r="BU1391" i="4"/>
  <c r="BS1433" i="4"/>
  <c r="BS1396" i="4"/>
  <c r="BU1481" i="4"/>
  <c r="BS1499" i="4"/>
  <c r="AG1499" i="4" s="1"/>
  <c r="BU1593" i="4"/>
  <c r="BR1351" i="4"/>
  <c r="BW1261" i="4"/>
  <c r="BR1339" i="4"/>
  <c r="BU1279" i="4"/>
  <c r="BW1223" i="4"/>
  <c r="BR1568" i="4"/>
  <c r="BR1512" i="4"/>
  <c r="BS1378" i="4"/>
  <c r="AG1378" i="4" s="1"/>
  <c r="BR1561" i="4"/>
  <c r="BR1262" i="4"/>
  <c r="BW1250" i="4"/>
  <c r="BR1280" i="4"/>
  <c r="BU1614" i="4"/>
  <c r="BS1533" i="4"/>
  <c r="AG1533" i="4" s="1"/>
  <c r="BW1510" i="4"/>
  <c r="BW1330" i="4"/>
  <c r="BU1300" i="4"/>
  <c r="BR1555" i="4"/>
  <c r="BS1459" i="4"/>
  <c r="BW1479" i="4"/>
  <c r="BW1458" i="4"/>
  <c r="BU1471" i="4"/>
  <c r="BW1433" i="4"/>
  <c r="BS1481" i="4"/>
  <c r="BS1569" i="4"/>
  <c r="AG1569" i="4" s="1"/>
  <c r="BS1261" i="4"/>
  <c r="AG1261" i="4" s="1"/>
  <c r="BW1237" i="4"/>
  <c r="BW1561" i="4"/>
  <c r="BU1526" i="4"/>
  <c r="BS1280" i="4"/>
  <c r="BO1328" i="4"/>
  <c r="BW1516" i="4"/>
  <c r="BW1446" i="4"/>
  <c r="BR1346" i="4"/>
  <c r="BR1463" i="4"/>
  <c r="BR1610" i="4"/>
  <c r="BW1306" i="4"/>
  <c r="BR1543" i="4"/>
  <c r="BU1270" i="4"/>
  <c r="BU1458" i="4"/>
  <c r="BR1240" i="4"/>
  <c r="BW1419" i="4"/>
  <c r="BW1239" i="4"/>
  <c r="BS1595" i="4"/>
  <c r="AG1595" i="4" s="1"/>
  <c r="BW1481" i="4"/>
  <c r="BR1499" i="4"/>
  <c r="BR1261" i="4"/>
  <c r="BS1551" i="4"/>
  <c r="BU1360" i="4"/>
  <c r="BW1262" i="4"/>
  <c r="BR1538" i="4"/>
  <c r="BW1614" i="4"/>
  <c r="BW1409" i="4"/>
  <c r="BS1409" i="4"/>
  <c r="BW1346" i="4"/>
  <c r="BW1610" i="4"/>
  <c r="BR1306" i="4"/>
  <c r="BU1543" i="4"/>
  <c r="BS1270" i="4"/>
  <c r="AG1270" i="4" s="1"/>
  <c r="BU1588" i="4"/>
  <c r="BW1240" i="4"/>
  <c r="BS1239" i="4"/>
  <c r="AG1239" i="4" s="1"/>
  <c r="BS1497" i="4"/>
  <c r="AG1497" i="4" s="1"/>
  <c r="BW1499" i="4"/>
  <c r="BW1569" i="4"/>
  <c r="BS1369" i="4"/>
  <c r="BW1234" i="4"/>
  <c r="BR1390" i="4"/>
  <c r="BR1484" i="4"/>
  <c r="BS1325" i="4"/>
  <c r="AG1325" i="4" s="1"/>
  <c r="BS1360" i="4"/>
  <c r="AG1360" i="4" s="1"/>
  <c r="BS1455" i="4"/>
  <c r="AG1455" i="4" s="1"/>
  <c r="BW1313" i="4"/>
  <c r="BW1426" i="4"/>
  <c r="BO1409" i="4"/>
  <c r="BU1346" i="4"/>
  <c r="BU1306" i="4"/>
  <c r="BS1543" i="4"/>
  <c r="AG1543" i="4" s="1"/>
  <c r="BR1270" i="4"/>
  <c r="BS1240" i="4"/>
  <c r="AG1240" i="4" s="1"/>
  <c r="BR1239" i="4"/>
  <c r="BW1380" i="4"/>
  <c r="BW1546" i="4"/>
  <c r="BS1390" i="4"/>
  <c r="AG1390" i="4" s="1"/>
  <c r="BW1484" i="4"/>
  <c r="BW1360" i="4"/>
  <c r="BS1570" i="4"/>
  <c r="AG1570" i="4" s="1"/>
  <c r="BR1313" i="4"/>
  <c r="BS1398" i="4"/>
  <c r="AG1398" i="4" s="1"/>
  <c r="BR1398" i="4"/>
  <c r="BW1398" i="4"/>
  <c r="BU1398" i="4"/>
  <c r="BO1452" i="4"/>
  <c r="BS1452" i="4"/>
  <c r="BU1452" i="4"/>
  <c r="BW1452" i="4"/>
  <c r="BW1412" i="4"/>
  <c r="BU1412" i="4"/>
  <c r="BS1412" i="4"/>
  <c r="BO1412" i="4"/>
  <c r="BR1412" i="4"/>
  <c r="BO1301" i="4"/>
  <c r="BW1301" i="4"/>
  <c r="BU1301" i="4"/>
  <c r="BS1301" i="4"/>
  <c r="BR1301" i="4"/>
  <c r="BO1399" i="4"/>
  <c r="BU1399" i="4"/>
  <c r="BW1399" i="4"/>
  <c r="BR1399" i="4"/>
  <c r="BO1422" i="4"/>
  <c r="BR1422" i="4"/>
  <c r="BU1422" i="4"/>
  <c r="BS1422" i="4"/>
  <c r="BW1422" i="4"/>
  <c r="BO1432" i="4"/>
  <c r="BS1432" i="4"/>
  <c r="BR1432" i="4"/>
  <c r="BW1432" i="4"/>
  <c r="BU1282" i="4"/>
  <c r="BW1282" i="4"/>
  <c r="BS1282" i="4"/>
  <c r="BR1282" i="4"/>
  <c r="BO1282" i="4"/>
  <c r="BO1425" i="4"/>
  <c r="BR1425" i="4"/>
  <c r="BU1425" i="4"/>
  <c r="BW1425" i="4"/>
  <c r="BO1310" i="4"/>
  <c r="BR1310" i="4"/>
  <c r="BW1310" i="4"/>
  <c r="BS1310" i="4"/>
  <c r="BU1310" i="4"/>
  <c r="BO1564" i="4"/>
  <c r="BR1564" i="4"/>
  <c r="BS1564" i="4"/>
  <c r="BU1564" i="4"/>
  <c r="BW1564" i="4"/>
  <c r="BS1404" i="4"/>
  <c r="BR1404" i="4"/>
  <c r="BU1404" i="4"/>
  <c r="BO1404" i="4"/>
  <c r="BW1404" i="4"/>
  <c r="BO1247" i="4"/>
  <c r="BS1247" i="4"/>
  <c r="BW1247" i="4"/>
  <c r="BU1247" i="4"/>
  <c r="BR1247" i="4"/>
  <c r="BO1563" i="4"/>
  <c r="BU1563" i="4"/>
  <c r="BS1563" i="4"/>
  <c r="BS1405" i="4"/>
  <c r="BU1363" i="4"/>
  <c r="BS1423" i="4"/>
  <c r="BO1387" i="4"/>
  <c r="BW1387" i="4"/>
  <c r="BR1387" i="4"/>
  <c r="BW1617" i="4"/>
  <c r="BU1617" i="4"/>
  <c r="BS1617" i="4"/>
  <c r="BR1617" i="4"/>
  <c r="BO1617" i="4"/>
  <c r="BW1563" i="4"/>
  <c r="BU1227" i="4"/>
  <c r="BR1227" i="4"/>
  <c r="BO1227" i="4"/>
  <c r="BS1227" i="4"/>
  <c r="BU1387" i="4"/>
  <c r="BO1436" i="4"/>
  <c r="BU1436" i="4"/>
  <c r="BW1436" i="4"/>
  <c r="BW1291" i="4"/>
  <c r="BR1291" i="4"/>
  <c r="BS1291" i="4"/>
  <c r="BU1291" i="4"/>
  <c r="BO1291" i="4"/>
  <c r="BO1407" i="4"/>
  <c r="BU1407" i="4"/>
  <c r="BR1407" i="4"/>
  <c r="BW1407" i="4"/>
  <c r="BO1495" i="4"/>
  <c r="BR1495" i="4"/>
  <c r="BU1495" i="4"/>
  <c r="BW1495" i="4"/>
  <c r="BO1475" i="4"/>
  <c r="BR1475" i="4"/>
  <c r="BW1475" i="4"/>
  <c r="BO1529" i="4"/>
  <c r="BU1529" i="4"/>
  <c r="BS1529" i="4"/>
  <c r="BR1529" i="4"/>
  <c r="BO1501" i="4"/>
  <c r="BS1501" i="4"/>
  <c r="BU1501" i="4"/>
  <c r="BR1501" i="4"/>
  <c r="BW1501" i="4"/>
  <c r="BO1221" i="4"/>
  <c r="BU1221" i="4"/>
  <c r="BS1221" i="4"/>
  <c r="BR1221" i="4"/>
  <c r="BW1221" i="4"/>
  <c r="BO1531" i="4"/>
  <c r="BS1531" i="4"/>
  <c r="BR1531" i="4"/>
  <c r="BU1531" i="4"/>
  <c r="BS1407" i="4"/>
  <c r="BS1495" i="4"/>
  <c r="BO1577" i="4"/>
  <c r="BW1577" i="4"/>
  <c r="BS1577" i="4"/>
  <c r="BS1475" i="4"/>
  <c r="BW1529" i="4"/>
  <c r="BS1553" i="4"/>
  <c r="BO1553" i="4"/>
  <c r="BU1553" i="4"/>
  <c r="BR1553" i="4"/>
  <c r="BW1553" i="4"/>
  <c r="BO1494" i="4"/>
  <c r="BR1494" i="4"/>
  <c r="BW1494" i="4"/>
  <c r="BS1494" i="4"/>
  <c r="BU1494" i="4"/>
  <c r="BW1296" i="4"/>
  <c r="BO1296" i="4"/>
  <c r="BS1296" i="4"/>
  <c r="BR1296" i="4"/>
  <c r="BO1536" i="4"/>
  <c r="BU1536" i="4"/>
  <c r="BS1536" i="4"/>
  <c r="BW1536" i="4"/>
  <c r="BR1536" i="4"/>
  <c r="BO1478" i="4"/>
  <c r="BW1478" i="4"/>
  <c r="BU1478" i="4"/>
  <c r="BO1545" i="4"/>
  <c r="BU1545" i="4"/>
  <c r="BR1545" i="4"/>
  <c r="BO1289" i="4"/>
  <c r="BU1289" i="4"/>
  <c r="BW1319" i="4"/>
  <c r="BU1319" i="4"/>
  <c r="BS1319" i="4"/>
  <c r="BO1319" i="4"/>
  <c r="BR1319" i="4"/>
  <c r="BW1340" i="4"/>
  <c r="BS1340" i="4"/>
  <c r="BU1340" i="4"/>
  <c r="BR1340" i="4"/>
  <c r="BO1340" i="4"/>
  <c r="BO1235" i="4"/>
  <c r="BU1235" i="4"/>
  <c r="BW1235" i="4"/>
  <c r="BS1235" i="4"/>
  <c r="BR1235" i="4"/>
  <c r="BR1478" i="4"/>
  <c r="BS1545" i="4"/>
  <c r="BW1289" i="4"/>
  <c r="BO1490" i="4"/>
  <c r="BW1490" i="4"/>
  <c r="BS1490" i="4"/>
  <c r="BU1490" i="4"/>
  <c r="BR1490" i="4"/>
  <c r="BR1338" i="4"/>
  <c r="BS1338" i="4"/>
  <c r="BU1338" i="4"/>
  <c r="BO1338" i="4"/>
  <c r="BW1338" i="4"/>
  <c r="BO1293" i="4"/>
  <c r="BR1293" i="4"/>
  <c r="BS1293" i="4"/>
  <c r="BU1293" i="4"/>
  <c r="BO1349" i="4"/>
  <c r="BU1349" i="4"/>
  <c r="BS1349" i="4"/>
  <c r="BW1349" i="4"/>
  <c r="BO1430" i="4"/>
  <c r="BS1430" i="4"/>
  <c r="BW1430" i="4"/>
  <c r="BR1430" i="4"/>
  <c r="BO1406" i="4"/>
  <c r="BR1406" i="4"/>
  <c r="BS1406" i="4"/>
  <c r="BO1448" i="4"/>
  <c r="BW1448" i="4"/>
  <c r="BR1448" i="4"/>
  <c r="BU1448" i="4"/>
  <c r="BS1448" i="4"/>
  <c r="BO1527" i="4"/>
  <c r="BR1527" i="4"/>
  <c r="BW1527" i="4"/>
  <c r="BU1527" i="4"/>
  <c r="BR1586" i="4"/>
  <c r="BW1586" i="4"/>
  <c r="BU1586" i="4"/>
  <c r="BS1586" i="4"/>
  <c r="BW1547" i="4"/>
  <c r="BR1547" i="4"/>
  <c r="BU1547" i="4"/>
  <c r="BO1547" i="4"/>
  <c r="BS1547" i="4"/>
  <c r="BU1430" i="4"/>
  <c r="BO1402" i="4"/>
  <c r="BS1402" i="4"/>
  <c r="BU1402" i="4"/>
  <c r="BR1402" i="4"/>
  <c r="BW1402" i="4"/>
  <c r="BU1406" i="4"/>
  <c r="BO1410" i="4"/>
  <c r="BW1410" i="4"/>
  <c r="BS1410" i="4"/>
  <c r="BR1410" i="4"/>
  <c r="BS1527" i="4"/>
  <c r="BW1231" i="4"/>
  <c r="BU1231" i="4"/>
  <c r="BS1231" i="4"/>
  <c r="BR1231" i="4"/>
  <c r="BO1231" i="4"/>
  <c r="BW1377" i="4"/>
  <c r="BO1377" i="4"/>
  <c r="BU1377" i="4"/>
  <c r="BR1377" i="4"/>
  <c r="BS1377" i="4"/>
  <c r="BO1476" i="4"/>
  <c r="BR1476" i="4"/>
  <c r="BW1476" i="4"/>
  <c r="BR1469" i="4"/>
  <c r="BU1469" i="4"/>
  <c r="BO1469" i="4"/>
  <c r="BW1469" i="4"/>
  <c r="BS1469" i="4"/>
  <c r="BU1410" i="4"/>
  <c r="BR1321" i="4"/>
  <c r="BO1321" i="4"/>
  <c r="BS1321" i="4"/>
  <c r="BU1321" i="4"/>
  <c r="BW1321" i="4"/>
  <c r="BO1374" i="4"/>
  <c r="BU1374" i="4"/>
  <c r="BO1504" i="4"/>
  <c r="BR1504" i="4"/>
  <c r="BU1504" i="4"/>
  <c r="BW1504" i="4"/>
  <c r="BO1424" i="4"/>
  <c r="BW1424" i="4"/>
  <c r="BR1424" i="4"/>
  <c r="BU1424" i="4"/>
  <c r="BO1356" i="4"/>
  <c r="BU1356" i="4"/>
  <c r="BR1356" i="4"/>
  <c r="BW1356" i="4"/>
  <c r="BS1356" i="4"/>
  <c r="BR1341" i="4"/>
  <c r="BW1341" i="4"/>
  <c r="BS1341" i="4"/>
  <c r="BU1341" i="4"/>
  <c r="BO1341" i="4"/>
  <c r="BW1397" i="4"/>
  <c r="BS1397" i="4"/>
  <c r="BO1397" i="4"/>
  <c r="BS1504" i="4"/>
  <c r="BO1233" i="4"/>
  <c r="BS1233" i="4"/>
  <c r="BW1233" i="4"/>
  <c r="BR1233" i="4"/>
  <c r="BO1520" i="4"/>
  <c r="BU1520" i="4"/>
  <c r="BR1520" i="4"/>
  <c r="BS1520" i="4"/>
  <c r="BW1520" i="4"/>
  <c r="BR1574" i="4"/>
  <c r="BW1574" i="4"/>
  <c r="BO1574" i="4"/>
  <c r="BS1574" i="4"/>
  <c r="BU1574" i="4"/>
  <c r="BO1420" i="4"/>
  <c r="BW1420" i="4"/>
  <c r="BU1420" i="4"/>
  <c r="BO1355" i="4"/>
  <c r="BU1355" i="4"/>
  <c r="BS1355" i="4"/>
  <c r="BW1355" i="4"/>
  <c r="BR1355" i="4"/>
  <c r="BO1238" i="4"/>
  <c r="BR1238" i="4"/>
  <c r="BW1238" i="4"/>
  <c r="BU1238" i="4"/>
  <c r="BO1616" i="4"/>
  <c r="BR1616" i="4"/>
  <c r="BW1616" i="4"/>
  <c r="BU1616" i="4"/>
  <c r="BO1216" i="4"/>
  <c r="BW1216" i="4"/>
  <c r="BR1216" i="4"/>
  <c r="BS1216" i="4"/>
  <c r="BU1216" i="4"/>
  <c r="BO1477" i="4"/>
  <c r="BS1477" i="4"/>
  <c r="BW1477" i="4"/>
  <c r="BU1477" i="4"/>
  <c r="BR1477" i="4"/>
  <c r="BO1482" i="4"/>
  <c r="BU1482" i="4"/>
  <c r="BR1482" i="4"/>
  <c r="BS1482" i="4"/>
  <c r="BO1215" i="4"/>
  <c r="BW1215" i="4"/>
  <c r="BS1215" i="4"/>
  <c r="BO1260" i="4"/>
  <c r="BR1260" i="4"/>
  <c r="BU1260" i="4"/>
  <c r="BW1260" i="4"/>
  <c r="BO1524" i="4"/>
  <c r="BS1524" i="4"/>
  <c r="BU1524" i="4"/>
  <c r="BR1524" i="4"/>
  <c r="BS1616" i="4"/>
  <c r="BW1522" i="4"/>
  <c r="BU1522" i="4"/>
  <c r="BO1522" i="4"/>
  <c r="BR1522" i="4"/>
  <c r="BS1522" i="4"/>
  <c r="BR1333" i="4"/>
  <c r="BS1333" i="4"/>
  <c r="BU1333" i="4"/>
  <c r="BO1333" i="4"/>
  <c r="BW1333" i="4"/>
  <c r="BU1253" i="4"/>
  <c r="BS1253" i="4"/>
  <c r="BR1253" i="4"/>
  <c r="BO1253" i="4"/>
  <c r="BW1253" i="4"/>
  <c r="BR1420" i="4"/>
  <c r="BO1405" i="4"/>
  <c r="BW1405" i="4"/>
  <c r="BO1363" i="4"/>
  <c r="BS1363" i="4"/>
  <c r="BR1363" i="4"/>
  <c r="BO1423" i="4"/>
  <c r="BU1423" i="4"/>
  <c r="BW1482" i="4"/>
  <c r="BR1215" i="4"/>
  <c r="BW1269" i="4"/>
  <c r="BS1269" i="4"/>
  <c r="BR1269" i="4"/>
  <c r="BU1269" i="4"/>
  <c r="BO1269" i="4"/>
  <c r="BS1260" i="4"/>
  <c r="BW1524" i="4"/>
  <c r="BO1605" i="4"/>
  <c r="BR1605" i="4"/>
  <c r="BW1605" i="4"/>
  <c r="BU1605" i="4"/>
  <c r="BS1259" i="4"/>
  <c r="BR1510" i="4"/>
  <c r="BU1330" i="4"/>
  <c r="BS1275" i="4"/>
  <c r="AG1275" i="4" s="1"/>
  <c r="BU1513" i="4"/>
  <c r="BU1437" i="4"/>
  <c r="BW1383" i="4"/>
  <c r="BW1540" i="4"/>
  <c r="BW1263" i="4"/>
  <c r="BU1229" i="4"/>
  <c r="BW1472" i="4"/>
  <c r="BW1462" i="4"/>
  <c r="BU1595" i="4"/>
  <c r="BW1370" i="4"/>
  <c r="BS1370" i="4"/>
  <c r="BR1370" i="4"/>
  <c r="BU1370" i="4"/>
  <c r="BO1370" i="4"/>
  <c r="BR1511" i="4"/>
  <c r="BU1511" i="4"/>
  <c r="BW1511" i="4"/>
  <c r="BS1511" i="4"/>
  <c r="AG1511" i="4" s="1"/>
  <c r="BU1335" i="4"/>
  <c r="BR1220" i="4"/>
  <c r="BO1214" i="4"/>
  <c r="BW1214" i="4"/>
  <c r="BU1214" i="4"/>
  <c r="BS1347" i="4"/>
  <c r="BU1591" i="4"/>
  <c r="BO1607" i="4"/>
  <c r="BS1607" i="4"/>
  <c r="BR1607" i="4"/>
  <c r="BU1607" i="4"/>
  <c r="BS1454" i="4"/>
  <c r="BW1417" i="4"/>
  <c r="BU1417" i="4"/>
  <c r="BR1417" i="4"/>
  <c r="BO1417" i="4"/>
  <c r="BO1284" i="4"/>
  <c r="BU1284" i="4"/>
  <c r="BR1284" i="4"/>
  <c r="BR1502" i="4"/>
  <c r="BU1502" i="4"/>
  <c r="BW1502" i="4"/>
  <c r="BO1502" i="4"/>
  <c r="BW1542" i="4"/>
  <c r="BU1542" i="4"/>
  <c r="BS1542" i="4"/>
  <c r="AG1542" i="4" s="1"/>
  <c r="BU1540" i="4"/>
  <c r="BU1263" i="4"/>
  <c r="BR1462" i="4"/>
  <c r="BS1335" i="4"/>
  <c r="BS1220" i="4"/>
  <c r="BR1347" i="4"/>
  <c r="BR1591" i="4"/>
  <c r="BO1567" i="4"/>
  <c r="BS1567" i="4"/>
  <c r="BU1567" i="4"/>
  <c r="BU1560" i="4"/>
  <c r="BR1560" i="4"/>
  <c r="BS1560" i="4"/>
  <c r="BO1560" i="4"/>
  <c r="BO1217" i="4"/>
  <c r="BS1217" i="4"/>
  <c r="BU1217" i="4"/>
  <c r="BW1217" i="4"/>
  <c r="BO1566" i="4"/>
  <c r="BW1566" i="4"/>
  <c r="BU1566" i="4"/>
  <c r="BS1566" i="4"/>
  <c r="BR1566" i="4"/>
  <c r="BO1493" i="4"/>
  <c r="BW1493" i="4"/>
  <c r="BU1493" i="4"/>
  <c r="BR1493" i="4"/>
  <c r="BS1493" i="4"/>
  <c r="BO1357" i="4"/>
  <c r="BO1329" i="4"/>
  <c r="BS1329" i="4"/>
  <c r="BO1369" i="4"/>
  <c r="BW1369" i="4"/>
  <c r="BU1369" i="4"/>
  <c r="BR1214" i="4"/>
  <c r="BU1599" i="4"/>
  <c r="BR1599" i="4"/>
  <c r="BO1599" i="4"/>
  <c r="BS1599" i="4"/>
  <c r="BW1567" i="4"/>
  <c r="BW1429" i="4"/>
  <c r="BR1429" i="4"/>
  <c r="BU1429" i="4"/>
  <c r="BO1429" i="4"/>
  <c r="BS1438" i="4"/>
  <c r="BR1438" i="4"/>
  <c r="BW1438" i="4"/>
  <c r="BO1438" i="4"/>
  <c r="BU1438" i="4"/>
  <c r="BW1560" i="4"/>
  <c r="BO1323" i="4"/>
  <c r="BR1300" i="4"/>
  <c r="BR1464" i="4"/>
  <c r="BR1275" i="4"/>
  <c r="BW1513" i="4"/>
  <c r="BR1437" i="4"/>
  <c r="BS1383" i="4"/>
  <c r="BR1379" i="4"/>
  <c r="BS1554" i="4"/>
  <c r="AG1554" i="4" s="1"/>
  <c r="BW1447" i="4"/>
  <c r="BW1229" i="4"/>
  <c r="BU1472" i="4"/>
  <c r="BO1212" i="4"/>
  <c r="BR1212" i="4"/>
  <c r="BW1212" i="4"/>
  <c r="BW1595" i="4"/>
  <c r="BW1226" i="4"/>
  <c r="BO1226" i="4"/>
  <c r="BR1337" i="4"/>
  <c r="BW1337" i="4"/>
  <c r="BU1337" i="4"/>
  <c r="BU1519" i="4"/>
  <c r="BW1519" i="4"/>
  <c r="BR1519" i="4"/>
  <c r="BS1519" i="4"/>
  <c r="AG1519" i="4" s="1"/>
  <c r="BR1256" i="4"/>
  <c r="BO1375" i="4"/>
  <c r="BS1375" i="4"/>
  <c r="BW1375" i="4"/>
  <c r="BS1612" i="4"/>
  <c r="BR1612" i="4"/>
  <c r="BO1612" i="4"/>
  <c r="BO1309" i="4"/>
  <c r="BW1309" i="4"/>
  <c r="BR1309" i="4"/>
  <c r="BU1309" i="4"/>
  <c r="BW1599" i="4"/>
  <c r="BR1589" i="4"/>
  <c r="BW1589" i="4"/>
  <c r="BU1589" i="4"/>
  <c r="BS1589" i="4"/>
  <c r="AG1589" i="4" s="1"/>
  <c r="BO1568" i="4"/>
  <c r="BU1568" i="4"/>
  <c r="BS1568" i="4"/>
  <c r="BW1503" i="4"/>
  <c r="BO1503" i="4"/>
  <c r="BU1503" i="4"/>
  <c r="BS1503" i="4"/>
  <c r="BR1503" i="4"/>
  <c r="BS1429" i="4"/>
  <c r="BS1241" i="4"/>
  <c r="AG1241" i="4" s="1"/>
  <c r="BW1315" i="4"/>
  <c r="BO1315" i="4"/>
  <c r="BS1315" i="4"/>
  <c r="BR1315" i="4"/>
  <c r="BS1446" i="4"/>
  <c r="AG1446" i="4" s="1"/>
  <c r="BS1346" i="4"/>
  <c r="AG1346" i="4" s="1"/>
  <c r="BU1510" i="4"/>
  <c r="BU1275" i="4"/>
  <c r="BR1513" i="4"/>
  <c r="BS1437" i="4"/>
  <c r="BW1242" i="4"/>
  <c r="BR1242" i="4"/>
  <c r="BU1242" i="4"/>
  <c r="BS1242" i="4"/>
  <c r="AG1242" i="4" s="1"/>
  <c r="BS1491" i="4"/>
  <c r="AG1491" i="4" s="1"/>
  <c r="BW1491" i="4"/>
  <c r="BR1491" i="4"/>
  <c r="BU1491" i="4"/>
  <c r="BR1395" i="4"/>
  <c r="BU1395" i="4"/>
  <c r="BS1395" i="4"/>
  <c r="AG1395" i="4" s="1"/>
  <c r="BO1232" i="4"/>
  <c r="BS1232" i="4"/>
  <c r="BW1232" i="4"/>
  <c r="BO1421" i="4"/>
  <c r="BR1421" i="4"/>
  <c r="BW1421" i="4"/>
  <c r="BU1421" i="4"/>
  <c r="BS1421" i="4"/>
  <c r="BW1305" i="4"/>
  <c r="BS1305" i="4"/>
  <c r="BR1305" i="4"/>
  <c r="BU1305" i="4"/>
  <c r="BU1388" i="4"/>
  <c r="BO1388" i="4"/>
  <c r="BR1388" i="4"/>
  <c r="BW1388" i="4"/>
  <c r="BS1359" i="4"/>
  <c r="BR1359" i="4"/>
  <c r="BW1359" i="4"/>
  <c r="BU1359" i="4"/>
  <c r="BO1359" i="4"/>
  <c r="BR1480" i="4"/>
  <c r="BW1480" i="4"/>
  <c r="BS1480" i="4"/>
  <c r="BO1480" i="4"/>
  <c r="BS1273" i="4"/>
  <c r="AG1273" i="4" s="1"/>
  <c r="BU1297" i="4"/>
  <c r="BR1486" i="4"/>
  <c r="BR1447" i="4"/>
  <c r="BW1323" i="4"/>
  <c r="BS1212" i="4"/>
  <c r="BW1497" i="4"/>
  <c r="BR1352" i="4"/>
  <c r="BU1226" i="4"/>
  <c r="BU1256" i="4"/>
  <c r="BW1331" i="4"/>
  <c r="BO1331" i="4"/>
  <c r="BR1375" i="4"/>
  <c r="BO1433" i="4"/>
  <c r="BR1232" i="4"/>
  <c r="BS1388" i="4"/>
  <c r="BO1287" i="4"/>
  <c r="BU1287" i="4"/>
  <c r="BW1287" i="4"/>
  <c r="BS1287" i="4"/>
  <c r="BW1604" i="4"/>
  <c r="BR1604" i="4"/>
  <c r="BS1604" i="4"/>
  <c r="BU1604" i="4"/>
  <c r="BO1604" i="4"/>
  <c r="BR1271" i="4"/>
  <c r="BS1311" i="4"/>
  <c r="AG1311" i="4" s="1"/>
  <c r="BU1434" i="4"/>
  <c r="BW1317" i="4"/>
  <c r="BS1300" i="4"/>
  <c r="AG1300" i="4" s="1"/>
  <c r="BW1543" i="4"/>
  <c r="BU1464" i="4"/>
  <c r="BU1312" i="4"/>
  <c r="BW1371" i="4"/>
  <c r="BW1485" i="4"/>
  <c r="BO1611" i="4"/>
  <c r="BW1445" i="4"/>
  <c r="BW1442" i="4"/>
  <c r="BW1273" i="4"/>
  <c r="BU1336" i="4"/>
  <c r="BS1447" i="4"/>
  <c r="AG1447" i="4" s="1"/>
  <c r="BU1327" i="4"/>
  <c r="BO1327" i="4"/>
  <c r="BW1535" i="4"/>
  <c r="BU1433" i="4"/>
  <c r="BO1498" i="4"/>
  <c r="BR1498" i="4"/>
  <c r="BO1211" i="4"/>
  <c r="BS1211" i="4"/>
  <c r="BU1211" i="4"/>
  <c r="BS1256" i="4"/>
  <c r="AG1256" i="4" s="1"/>
  <c r="BU1597" i="4"/>
  <c r="BO1597" i="4"/>
  <c r="BO1350" i="4"/>
  <c r="BS1350" i="4"/>
  <c r="BW1350" i="4"/>
  <c r="BO1332" i="4"/>
  <c r="BU1332" i="4"/>
  <c r="BW1332" i="4"/>
  <c r="BR1332" i="4"/>
  <c r="BO1492" i="4"/>
  <c r="BW1492" i="4"/>
  <c r="BS1492" i="4"/>
  <c r="BR1492" i="4"/>
  <c r="BU1578" i="4"/>
  <c r="BW1578" i="4"/>
  <c r="BO1578" i="4"/>
  <c r="BU1285" i="4"/>
  <c r="BS1285" i="4"/>
  <c r="BO1285" i="4"/>
  <c r="BW1285" i="4"/>
  <c r="BR1285" i="4"/>
  <c r="BO1596" i="4"/>
  <c r="BS1596" i="4"/>
  <c r="BU1596" i="4"/>
  <c r="BS1337" i="4"/>
  <c r="AG1337" i="4" s="1"/>
  <c r="BU1411" i="4"/>
  <c r="BR1411" i="4"/>
  <c r="BU1447" i="4"/>
  <c r="BU1497" i="4"/>
  <c r="BS1294" i="4"/>
  <c r="AG1294" i="4" s="1"/>
  <c r="BW1294" i="4"/>
  <c r="BR1294" i="4"/>
  <c r="BW1256" i="4"/>
  <c r="BR1542" i="4"/>
  <c r="BW1411" i="4"/>
  <c r="BR1366" i="4"/>
  <c r="BU1366" i="4"/>
  <c r="BW1366" i="4"/>
  <c r="BS1366" i="4"/>
  <c r="AG1366" i="4" s="1"/>
  <c r="BU1294" i="4"/>
  <c r="BW1562" i="4"/>
  <c r="BU1317" i="4"/>
  <c r="BS1306" i="4"/>
  <c r="AG1306" i="4" s="1"/>
  <c r="BR1600" i="4"/>
  <c r="BR1474" i="4"/>
  <c r="BW1318" i="4"/>
  <c r="BS1371" i="4"/>
  <c r="AG1371" i="4" s="1"/>
  <c r="BR1485" i="4"/>
  <c r="BU1445" i="4"/>
  <c r="BS1278" i="4"/>
  <c r="AG1278" i="4" s="1"/>
  <c r="BR1442" i="4"/>
  <c r="BW1439" i="4"/>
  <c r="BW1297" i="4"/>
  <c r="BU1488" i="4"/>
  <c r="BW1336" i="4"/>
  <c r="BS1486" i="4"/>
  <c r="AG1486" i="4" s="1"/>
  <c r="BR1243" i="4"/>
  <c r="BR1392" i="4"/>
  <c r="BU1525" i="4"/>
  <c r="BW1525" i="4"/>
  <c r="BS1525" i="4"/>
  <c r="BW1327" i="4"/>
  <c r="BR1535" i="4"/>
  <c r="BR1497" i="4"/>
  <c r="BU1352" i="4"/>
  <c r="BU1255" i="4"/>
  <c r="BW1498" i="4"/>
  <c r="BW1322" i="4"/>
  <c r="BU1322" i="4"/>
  <c r="BS1322" i="4"/>
  <c r="AG1322" i="4" s="1"/>
  <c r="BS1357" i="4"/>
  <c r="BS1597" i="4"/>
  <c r="BW1408" i="4"/>
  <c r="BS1411" i="4"/>
  <c r="AG1411" i="4" s="1"/>
  <c r="BO1540" i="4"/>
  <c r="BU1523" i="4"/>
  <c r="BW1523" i="4"/>
  <c r="BS1523" i="4"/>
  <c r="BR1523" i="4"/>
  <c r="BO1523" i="4"/>
  <c r="BR1415" i="4"/>
  <c r="BW1415" i="4"/>
  <c r="BU1415" i="4"/>
  <c r="BS1415" i="4"/>
  <c r="BO1415" i="4"/>
  <c r="BO1305" i="4"/>
  <c r="BW1210" i="4"/>
  <c r="BR1210" i="4"/>
  <c r="BS1210" i="4"/>
  <c r="BU1210" i="4"/>
  <c r="BO1210" i="4"/>
  <c r="BU1371" i="4"/>
  <c r="BS1485" i="4"/>
  <c r="AG1485" i="4" s="1"/>
  <c r="BU1376" i="4"/>
  <c r="BS1445" i="4"/>
  <c r="AG1445" i="4" s="1"/>
  <c r="BW1278" i="4"/>
  <c r="BU1442" i="4"/>
  <c r="BS1507" i="4"/>
  <c r="AG1507" i="4" s="1"/>
  <c r="BS1336" i="4"/>
  <c r="AG1336" i="4" s="1"/>
  <c r="BW1471" i="4"/>
  <c r="BS1535" i="4"/>
  <c r="AG1535" i="4" s="1"/>
  <c r="BW1225" i="4"/>
  <c r="BS1225" i="4"/>
  <c r="BO1225" i="4"/>
  <c r="BU1225" i="4"/>
  <c r="BO1353" i="4"/>
  <c r="BW1353" i="4"/>
  <c r="BR1353" i="4"/>
  <c r="BO1364" i="4"/>
  <c r="BS1364" i="4"/>
  <c r="BW1364" i="4"/>
  <c r="BR1364" i="4"/>
  <c r="BS1385" i="4"/>
  <c r="BO1613" i="4"/>
  <c r="BU1613" i="4"/>
  <c r="BR1613" i="4"/>
  <c r="BO1466" i="4"/>
  <c r="BS1466" i="4"/>
  <c r="BU1466" i="4"/>
  <c r="BO1345" i="4"/>
  <c r="BS1345" i="4"/>
  <c r="BR1345" i="4"/>
  <c r="BU1345" i="4"/>
  <c r="BW1345" i="4"/>
  <c r="BW1224" i="4"/>
  <c r="BS1224" i="4"/>
  <c r="BU1224" i="4"/>
  <c r="BR1224" i="4"/>
  <c r="BO1224" i="4"/>
  <c r="BS1515" i="4"/>
  <c r="AG1515" i="4" s="1"/>
  <c r="BS1317" i="4"/>
  <c r="BW1600" i="4"/>
  <c r="BW1474" i="4"/>
  <c r="BS1318" i="4"/>
  <c r="AG1318" i="4" s="1"/>
  <c r="BR1371" i="4"/>
  <c r="BU1485" i="4"/>
  <c r="BR1445" i="4"/>
  <c r="BS1442" i="4"/>
  <c r="AG1442" i="4" s="1"/>
  <c r="BS1453" i="4"/>
  <c r="AG1453" i="4" s="1"/>
  <c r="BR1336" i="4"/>
  <c r="BS1265" i="4"/>
  <c r="AG1265" i="4" s="1"/>
  <c r="BU1419" i="4"/>
  <c r="BO1385" i="4"/>
  <c r="BW1465" i="4"/>
  <c r="BU1535" i="4"/>
  <c r="BS1384" i="4"/>
  <c r="BR1225" i="4"/>
  <c r="BU1353" i="4"/>
  <c r="BR1509" i="4"/>
  <c r="BU1509" i="4"/>
  <c r="BS1509" i="4"/>
  <c r="BW1509" i="4"/>
  <c r="BO1509" i="4"/>
  <c r="BO1326" i="4"/>
  <c r="BU1326" i="4"/>
  <c r="BR1326" i="4"/>
  <c r="BS1326" i="4"/>
  <c r="BU1364" i="4"/>
  <c r="BO1508" i="4"/>
  <c r="BR1508" i="4"/>
  <c r="BW1508" i="4"/>
  <c r="BS1508" i="4"/>
  <c r="BS1283" i="4"/>
  <c r="BU1283" i="4"/>
  <c r="BR1283" i="4"/>
  <c r="BW1283" i="4"/>
  <c r="BO1283" i="4"/>
  <c r="BO1384" i="4"/>
  <c r="BO1236" i="4"/>
  <c r="BR1236" i="4"/>
  <c r="BW1236" i="4"/>
  <c r="BR1466" i="4"/>
  <c r="BR1334" i="4"/>
  <c r="BU1334" i="4"/>
  <c r="BW1334" i="4"/>
  <c r="BS1334" i="4"/>
  <c r="BO1334" i="4"/>
  <c r="BU1575" i="4"/>
  <c r="BO1575" i="4"/>
  <c r="BS1575" i="4"/>
  <c r="BO1537" i="4"/>
  <c r="BR1537" i="4"/>
  <c r="BS1537" i="4"/>
  <c r="BW1537" i="4"/>
  <c r="BU1537" i="4"/>
  <c r="BO1286" i="4"/>
  <c r="BU1286" i="4"/>
  <c r="BW1286" i="4"/>
  <c r="BR1286" i="4"/>
  <c r="BS1286" i="4"/>
  <c r="BW1365" i="4"/>
  <c r="BU1600" i="4"/>
  <c r="BS1271" i="4"/>
  <c r="AG1271" i="4" s="1"/>
  <c r="BW1271" i="4"/>
  <c r="BU1271" i="4"/>
  <c r="BS1474" i="4"/>
  <c r="BU1318" i="4"/>
  <c r="BU1385" i="4"/>
  <c r="BW1385" i="4"/>
  <c r="BU1241" i="4"/>
  <c r="BW1241" i="4"/>
  <c r="BR1241" i="4"/>
  <c r="BO1592" i="4"/>
  <c r="BS1592" i="4"/>
  <c r="BO1219" i="4"/>
  <c r="BU1219" i="4"/>
  <c r="BS1219" i="4"/>
  <c r="BW1534" i="4"/>
  <c r="BR1534" i="4"/>
  <c r="BO1534" i="4"/>
  <c r="BS1534" i="4"/>
  <c r="BU1534" i="4"/>
  <c r="BU1236" i="4"/>
  <c r="BR1287" i="4"/>
  <c r="BW1466" i="4"/>
  <c r="BW1575" i="4"/>
  <c r="BW1515" i="4"/>
  <c r="BU1463" i="4"/>
  <c r="BR1408" i="4"/>
  <c r="BS1408" i="4"/>
  <c r="BR1431" i="4"/>
  <c r="BW1431" i="4"/>
  <c r="BU1431" i="4"/>
  <c r="BS1431" i="4"/>
  <c r="AG1431" i="4" s="1"/>
  <c r="BR1290" i="4"/>
  <c r="BS1600" i="4"/>
  <c r="BU1474" i="4"/>
  <c r="BR1318" i="4"/>
  <c r="BR1376" i="4"/>
  <c r="BU1342" i="4"/>
  <c r="BU1439" i="4"/>
  <c r="BR1453" i="4"/>
  <c r="BW1507" i="4"/>
  <c r="BW1611" i="4"/>
  <c r="BW1265" i="4"/>
  <c r="BR1471" i="4"/>
  <c r="BR1419" i="4"/>
  <c r="BS1465" i="4"/>
  <c r="AG1465" i="4" s="1"/>
  <c r="BU1587" i="4"/>
  <c r="BR1384" i="4"/>
  <c r="BW1558" i="4"/>
  <c r="BR1558" i="4"/>
  <c r="BU1558" i="4"/>
  <c r="BS1558" i="4"/>
  <c r="AG1558" i="4" s="1"/>
  <c r="BR1396" i="4"/>
  <c r="BR1592" i="4"/>
  <c r="BR1219" i="4"/>
  <c r="BS1320" i="4"/>
  <c r="BW1613" i="4"/>
  <c r="BO1551" i="4"/>
  <c r="BU1551" i="4"/>
  <c r="BW1551" i="4"/>
  <c r="BO1339" i="4"/>
  <c r="BU1339" i="4"/>
  <c r="BO1267" i="4"/>
  <c r="BU1267" i="4"/>
  <c r="BW1267" i="4"/>
  <c r="BS1267" i="4"/>
  <c r="BR1267" i="4"/>
  <c r="BW1324" i="4"/>
  <c r="BU1324" i="4"/>
  <c r="BR1324" i="4"/>
  <c r="BS1324" i="4"/>
  <c r="BO1324" i="4"/>
  <c r="BR1322" i="4"/>
  <c r="BS1530" i="4"/>
  <c r="BR1530" i="4"/>
  <c r="BW1530" i="4"/>
  <c r="BU1530" i="4"/>
  <c r="BW1550" i="4"/>
  <c r="BS1550" i="4"/>
  <c r="BO1550" i="4"/>
  <c r="BR1550" i="4"/>
  <c r="BU1550" i="4"/>
  <c r="BU1257" i="4"/>
  <c r="BR1257" i="4"/>
  <c r="BS1257" i="4"/>
  <c r="BW1257" i="4"/>
  <c r="BO1257" i="4"/>
  <c r="BS1382" i="4"/>
  <c r="BU1382" i="4"/>
  <c r="BW1382" i="4"/>
  <c r="BR1382" i="4"/>
  <c r="BO1382" i="4"/>
  <c r="BO1252" i="4"/>
  <c r="BW1252" i="4"/>
  <c r="BS1252" i="4"/>
  <c r="BR1252" i="4"/>
  <c r="BU1252" i="4"/>
  <c r="BU1533" i="4"/>
  <c r="BU1515" i="4"/>
  <c r="BU1365" i="4"/>
  <c r="BR1483" i="4"/>
  <c r="BU1483" i="4"/>
  <c r="BW1483" i="4"/>
  <c r="BS1483" i="4"/>
  <c r="AG1483" i="4" s="1"/>
  <c r="BW1453" i="4"/>
  <c r="BR1265" i="4"/>
  <c r="BR1263" i="4"/>
  <c r="BS1419" i="4"/>
  <c r="AG1419" i="4" s="1"/>
  <c r="BR1465" i="4"/>
  <c r="BW1468" i="4"/>
  <c r="BR1468" i="4"/>
  <c r="BU1468" i="4"/>
  <c r="BS1462" i="4"/>
  <c r="AG1462" i="4" s="1"/>
  <c r="BO1391" i="4"/>
  <c r="BR1391" i="4"/>
  <c r="BO1427" i="4"/>
  <c r="BR1427" i="4"/>
  <c r="BW1427" i="4"/>
  <c r="BU1427" i="4"/>
  <c r="BU1249" i="4"/>
  <c r="BS1249" i="4"/>
  <c r="BO1530" i="4"/>
  <c r="BO1418" i="4"/>
  <c r="BW1418" i="4"/>
  <c r="BS1418" i="4"/>
  <c r="BR1418" i="4"/>
  <c r="BO1609" i="4"/>
  <c r="BS1609" i="4"/>
  <c r="BR1609" i="4"/>
  <c r="BW1609" i="4"/>
  <c r="BS1468" i="4"/>
  <c r="BO1335" i="4"/>
  <c r="BR1335" i="4"/>
  <c r="BO1220" i="4"/>
  <c r="BU1220" i="4"/>
  <c r="BO1347" i="4"/>
  <c r="BU1347" i="4"/>
  <c r="BS1591" i="4"/>
  <c r="AG1591" i="4" s="1"/>
  <c r="BW1591" i="4"/>
  <c r="BO1454" i="4"/>
  <c r="BU1454" i="4"/>
  <c r="BR1454" i="4"/>
  <c r="BO1576" i="4"/>
  <c r="BS1576" i="4"/>
  <c r="BU1576" i="4"/>
  <c r="BW1576" i="4"/>
  <c r="BR1576" i="4"/>
  <c r="BS1284" i="4"/>
  <c r="BO1292" i="4"/>
  <c r="BS1292" i="4"/>
  <c r="BR1292" i="4"/>
  <c r="BU1292" i="4"/>
  <c r="BU1609" i="4"/>
  <c r="BW1395" i="4"/>
  <c r="BO1209" i="4"/>
  <c r="BW1209" i="4"/>
  <c r="BR1209" i="4"/>
  <c r="BU1209" i="4"/>
  <c r="BS1209" i="4"/>
  <c r="BR1496" i="4"/>
  <c r="BO1496" i="4"/>
  <c r="BU1496" i="4"/>
  <c r="BW1496" i="4"/>
  <c r="BO1244" i="4"/>
  <c r="BU1244" i="4"/>
  <c r="BR1244" i="4"/>
  <c r="BW1244" i="4"/>
  <c r="BS1601" i="4"/>
  <c r="AG1601" i="4" s="1"/>
  <c r="BS1450" i="4"/>
  <c r="AG1450" i="4" s="1"/>
  <c r="BR1440" i="4"/>
  <c r="BW1325" i="4"/>
  <c r="BO1393" i="4"/>
  <c r="BS1393" i="4"/>
  <c r="BR1358" i="4"/>
  <c r="BO1250" i="4"/>
  <c r="BS1361" i="4"/>
  <c r="BW1571" i="4"/>
  <c r="BS1571" i="4"/>
  <c r="BU1571" i="4"/>
  <c r="BO1571" i="4"/>
  <c r="BW1470" i="4"/>
  <c r="BO1367" i="4"/>
  <c r="BW1367" i="4"/>
  <c r="BR1539" i="4"/>
  <c r="BO1276" i="4"/>
  <c r="BS1276" i="4"/>
  <c r="BR1281" i="4"/>
  <c r="BU1281" i="4"/>
  <c r="BS1281" i="4"/>
  <c r="BO1598" i="4"/>
  <c r="BW1598" i="4"/>
  <c r="BR1598" i="4"/>
  <c r="BO1403" i="4"/>
  <c r="BW1277" i="4"/>
  <c r="BS1277" i="4"/>
  <c r="BO1277" i="4"/>
  <c r="BU1277" i="4"/>
  <c r="BR1569" i="4"/>
  <c r="BR1234" i="4"/>
  <c r="BU1373" i="4"/>
  <c r="BR1428" i="4"/>
  <c r="BO1358" i="4"/>
  <c r="BO1361" i="4"/>
  <c r="BW1440" i="4"/>
  <c r="BS1299" i="4"/>
  <c r="BW1489" i="4"/>
  <c r="BR1393" i="4"/>
  <c r="BU1367" i="4"/>
  <c r="BS1526" i="4"/>
  <c r="AG1526" i="4" s="1"/>
  <c r="BO1400" i="4"/>
  <c r="BW1400" i="4"/>
  <c r="BR1276" i="4"/>
  <c r="BU1304" i="4"/>
  <c r="BW1304" i="4"/>
  <c r="BO1303" i="4"/>
  <c r="BW1303" i="4"/>
  <c r="BU1303" i="4"/>
  <c r="BO1579" i="4"/>
  <c r="BS1579" i="4"/>
  <c r="BU1598" i="4"/>
  <c r="BO1538" i="4"/>
  <c r="BS1222" i="4"/>
  <c r="BR1222" i="4"/>
  <c r="BU1222" i="4"/>
  <c r="BW1222" i="4"/>
  <c r="BO1222" i="4"/>
  <c r="BS1440" i="4"/>
  <c r="AG1440" i="4" s="1"/>
  <c r="BS1512" i="4"/>
  <c r="AG1512" i="4" s="1"/>
  <c r="BU1378" i="4"/>
  <c r="BU1456" i="4"/>
  <c r="BO1514" i="4"/>
  <c r="BR1514" i="4"/>
  <c r="BR1585" i="4"/>
  <c r="BU1585" i="4"/>
  <c r="BO1251" i="4"/>
  <c r="BS1251" i="4"/>
  <c r="BS1367" i="4"/>
  <c r="BR1400" i="4"/>
  <c r="BU1276" i="4"/>
  <c r="BS1304" i="4"/>
  <c r="BS1303" i="4"/>
  <c r="BS1373" i="4"/>
  <c r="AG1373" i="4" s="1"/>
  <c r="BW1444" i="4"/>
  <c r="BU1444" i="4"/>
  <c r="BS1451" i="4"/>
  <c r="BU1451" i="4"/>
  <c r="BU1512" i="4"/>
  <c r="BR1299" i="4"/>
  <c r="BR1378" i="4"/>
  <c r="BR1489" i="4"/>
  <c r="BR1372" i="4"/>
  <c r="BS1372" i="4"/>
  <c r="AG1372" i="4" s="1"/>
  <c r="BW1372" i="4"/>
  <c r="BU1372" i="4"/>
  <c r="BU1532" i="4"/>
  <c r="BR1532" i="4"/>
  <c r="BS1532" i="4"/>
  <c r="BW1532" i="4"/>
  <c r="BU1400" i="4"/>
  <c r="BU1538" i="4"/>
  <c r="BO1304" i="4"/>
  <c r="BU1517" i="4"/>
  <c r="BS1268" i="4"/>
  <c r="BS1234" i="4"/>
  <c r="AG1234" i="4" s="1"/>
  <c r="BR1237" i="4"/>
  <c r="BW1373" i="4"/>
  <c r="BR1581" i="4"/>
  <c r="BS1484" i="4"/>
  <c r="BO1295" i="4"/>
  <c r="BW1526" i="4"/>
  <c r="BR1526" i="4"/>
  <c r="BU1258" i="4"/>
  <c r="BU1295" i="4"/>
  <c r="BO1230" i="4"/>
  <c r="BU1230" i="4"/>
  <c r="BR1230" i="4"/>
  <c r="BO1245" i="4"/>
  <c r="BR1245" i="4"/>
  <c r="BU1506" i="4"/>
  <c r="BO1506" i="4"/>
  <c r="BR1506" i="4"/>
  <c r="BW1506" i="4"/>
  <c r="BS1506" i="4"/>
  <c r="BU1237" i="4"/>
  <c r="BO1517" i="4"/>
  <c r="BO1582" i="4"/>
  <c r="BR1582" i="4"/>
  <c r="BW1582" i="4"/>
  <c r="BW1295" i="4"/>
  <c r="BS1230" i="4"/>
  <c r="BS1245" i="4"/>
  <c r="BS1538" i="4"/>
  <c r="BU1328" i="4"/>
  <c r="BO1573" i="4"/>
  <c r="BU1573" i="4"/>
  <c r="BR1573" i="4"/>
  <c r="BW1573" i="4"/>
  <c r="BS1573" i="4"/>
  <c r="BO1457" i="4"/>
  <c r="BS1457" i="4"/>
  <c r="BR1277" i="4"/>
  <c r="BW1268" i="4"/>
  <c r="BW1390" i="4"/>
  <c r="BU1484" i="4"/>
  <c r="BR1258" i="4"/>
  <c r="BR1457" i="4"/>
  <c r="BO1561" i="4"/>
  <c r="BS1561" i="4"/>
  <c r="BR1403" i="4"/>
  <c r="BR1451" i="4"/>
  <c r="BO1281" i="4"/>
  <c r="BO1606" i="4"/>
  <c r="BU1606" i="4"/>
  <c r="BR1606" i="4"/>
  <c r="BW1606" i="4"/>
  <c r="BW1281" i="4"/>
  <c r="BU1546" i="4"/>
  <c r="BW1457" i="4"/>
  <c r="BW1594" i="4"/>
  <c r="BS1444" i="4"/>
  <c r="AG1444" i="4" s="1"/>
  <c r="BS1403" i="4"/>
  <c r="BS1246" i="4"/>
  <c r="BW1246" i="4"/>
  <c r="BO1246" i="4"/>
  <c r="BW1449" i="4"/>
  <c r="BU1449" i="4"/>
  <c r="BR1449" i="4"/>
  <c r="BS1449" i="4"/>
  <c r="AG1449" i="4" s="1"/>
  <c r="BS1606" i="4"/>
  <c r="BO1489" i="4"/>
  <c r="BR1444" i="4"/>
  <c r="BO1228" i="4"/>
  <c r="BS1228" i="4"/>
  <c r="BR1254" i="4"/>
  <c r="BS1254" i="4"/>
  <c r="AG1254" i="4" s="1"/>
  <c r="BW1254" i="4"/>
  <c r="BU1254" i="4"/>
  <c r="BO1456" i="4"/>
  <c r="BS1250" i="4"/>
  <c r="BR1528" i="4"/>
  <c r="BW1528" i="4"/>
  <c r="BU1528" i="4"/>
  <c r="BO1487" i="4"/>
  <c r="BW1487" i="4"/>
  <c r="BU1487" i="4"/>
  <c r="BR1487" i="4"/>
  <c r="BO1541" i="4"/>
  <c r="BU1541" i="4"/>
  <c r="BS1541" i="4"/>
  <c r="BR1541" i="4"/>
  <c r="BW1541" i="4"/>
  <c r="BU1248" i="4"/>
  <c r="BS1248" i="4"/>
  <c r="AG1248" i="4" s="1"/>
  <c r="BR1248" i="4"/>
  <c r="BW1248" i="4"/>
  <c r="BO1460" i="4"/>
  <c r="BR1460" i="4"/>
  <c r="BU1460" i="4"/>
  <c r="BS1593" i="4"/>
  <c r="AG1593" i="4" s="1"/>
  <c r="BU1470" i="4"/>
  <c r="BO1548" i="4"/>
  <c r="BR1548" i="4"/>
  <c r="BS1548" i="4"/>
  <c r="BR1246" i="4"/>
  <c r="BR1544" i="4"/>
  <c r="BW1544" i="4"/>
  <c r="BU1544" i="4"/>
  <c r="BS1544" i="4"/>
  <c r="BO1544" i="4"/>
  <c r="BO1521" i="4"/>
  <c r="BU1521" i="4"/>
  <c r="BS1521" i="4"/>
  <c r="BU1250" i="4"/>
  <c r="BS1496" i="4"/>
  <c r="BS1460" i="4"/>
  <c r="BO1528" i="4"/>
  <c r="BU1313" i="4"/>
  <c r="BO1416" i="4"/>
  <c r="BU1416" i="4"/>
  <c r="BO1443" i="4"/>
  <c r="BR1443" i="4"/>
  <c r="BU1455" i="4"/>
  <c r="BR1552" i="4"/>
  <c r="BO1614" i="4"/>
  <c r="BS1614" i="4"/>
  <c r="BS1416" i="4"/>
  <c r="BW1443" i="4"/>
  <c r="BO1308" i="4"/>
  <c r="BU1288" i="4"/>
  <c r="BR1409" i="4"/>
  <c r="BW1416" i="4"/>
  <c r="BU1443" i="4"/>
  <c r="BU1348" i="4"/>
  <c r="BS1288" i="4"/>
  <c r="BW1288" i="4"/>
  <c r="BU1389" i="4"/>
  <c r="BR1389" i="4"/>
  <c r="BW1389" i="4"/>
  <c r="BS1389" i="4"/>
  <c r="AG1389" i="4" s="1"/>
  <c r="BS1473" i="4"/>
  <c r="BW1473" i="4"/>
  <c r="BR1559" i="4"/>
  <c r="BU1559" i="4"/>
  <c r="BS1559" i="4"/>
  <c r="AG1559" i="4" s="1"/>
  <c r="BW1559" i="4"/>
  <c r="BW1274" i="4"/>
  <c r="BO1274" i="4"/>
  <c r="BR1274" i="4"/>
  <c r="BO1608" i="4"/>
  <c r="BR1608" i="4"/>
  <c r="BU1608" i="4"/>
  <c r="BS1381" i="4"/>
  <c r="BR1381" i="4"/>
  <c r="BO1381" i="4"/>
  <c r="BU1381" i="4"/>
  <c r="BW1381" i="4"/>
  <c r="BU1274" i="4"/>
  <c r="BS1608" i="4"/>
  <c r="BU1362" i="4"/>
  <c r="BS1362" i="4"/>
  <c r="AG1362" i="4" s="1"/>
  <c r="BO1590" i="4"/>
  <c r="BS1590" i="4"/>
  <c r="BU1262" i="4"/>
  <c r="BO1288" i="4"/>
  <c r="BR1314" i="4"/>
  <c r="BS1314" i="4"/>
  <c r="BR1426" i="4"/>
  <c r="BR1590" i="4"/>
  <c r="BU1314" i="4"/>
  <c r="BR1348" i="4"/>
  <c r="BW1348" i="4"/>
  <c r="BR1302" i="4"/>
  <c r="BU1302" i="4"/>
  <c r="BW1302" i="4"/>
  <c r="BS1302" i="4"/>
  <c r="AG1302" i="4" s="1"/>
  <c r="BR1362" i="4"/>
  <c r="BO1280" i="4"/>
  <c r="BU1280" i="4"/>
  <c r="BO1557" i="4"/>
  <c r="BR1557" i="4"/>
  <c r="BW1557" i="4"/>
  <c r="BU1557" i="4"/>
  <c r="BS1557" i="4"/>
  <c r="BO1549" i="4"/>
  <c r="BS1549" i="4"/>
  <c r="BU1549" i="4"/>
  <c r="BW1549" i="4"/>
  <c r="BR1500" i="4"/>
  <c r="BW1500" i="4"/>
  <c r="BS1500" i="4"/>
  <c r="AG1500" i="4" s="1"/>
  <c r="BR1272" i="4"/>
  <c r="BU1272" i="4"/>
  <c r="BS1272" i="4"/>
  <c r="BW1272" i="4"/>
  <c r="BU1500" i="4"/>
  <c r="BW1316" i="4"/>
  <c r="BR1316" i="4"/>
  <c r="BS1316" i="4"/>
  <c r="AG1316" i="4" s="1"/>
  <c r="BU1316" i="4"/>
  <c r="BW1565" i="4"/>
  <c r="BS1565" i="4"/>
  <c r="BR1565" i="4"/>
  <c r="BO1583" i="4"/>
  <c r="BW1583" i="4"/>
  <c r="BU1583" i="4"/>
  <c r="BR1583" i="4"/>
  <c r="BR1413" i="4"/>
  <c r="BO1461" i="4"/>
  <c r="BU1461" i="4"/>
  <c r="BS1461" i="4"/>
  <c r="BR1461" i="4"/>
  <c r="BW1461" i="4"/>
  <c r="BW1556" i="4"/>
  <c r="BS1556" i="4"/>
  <c r="BU1556" i="4"/>
  <c r="BR1556" i="4"/>
  <c r="BO1556" i="4"/>
  <c r="BU1413" i="4"/>
  <c r="BS1413" i="4"/>
  <c r="AG1413" i="4" s="1"/>
  <c r="BW1413" i="4"/>
  <c r="BX945" i="4" l="1"/>
  <c r="AG945" i="4"/>
  <c r="AG948" i="4"/>
  <c r="AI948" i="4" s="1"/>
  <c r="BX948" i="4"/>
  <c r="BX946" i="4"/>
  <c r="AG946" i="4"/>
  <c r="AG949" i="4"/>
  <c r="AI949" i="4" s="1"/>
  <c r="BX949" i="4"/>
  <c r="AG947" i="4"/>
  <c r="AI947" i="4" s="1"/>
  <c r="BX947" i="4"/>
  <c r="AI945" i="4"/>
  <c r="BY945" i="4"/>
  <c r="AG1112" i="4"/>
  <c r="AI1112" i="4" s="1"/>
  <c r="BX1112" i="4"/>
  <c r="AG1100" i="4"/>
  <c r="BX1100" i="4"/>
  <c r="BX953" i="4"/>
  <c r="AG953" i="4"/>
  <c r="AG1107" i="4"/>
  <c r="AI1107" i="4" s="1"/>
  <c r="BX1107" i="4"/>
  <c r="AG940" i="4"/>
  <c r="BX940" i="4"/>
  <c r="AG941" i="4"/>
  <c r="AI941" i="4" s="1"/>
  <c r="BX941" i="4"/>
  <c r="AG1109" i="4"/>
  <c r="AI1109" i="4" s="1"/>
  <c r="BX1109" i="4"/>
  <c r="BX950" i="4"/>
  <c r="AG950" i="4"/>
  <c r="AG1103" i="4"/>
  <c r="AI1103" i="4" s="1"/>
  <c r="BX1103" i="4"/>
  <c r="AG1104" i="4"/>
  <c r="AI1104" i="4" s="1"/>
  <c r="BX1104" i="4"/>
  <c r="AG1110" i="4"/>
  <c r="AI1110" i="4" s="1"/>
  <c r="BX1110" i="4"/>
  <c r="AG1108" i="4"/>
  <c r="AI1108" i="4" s="1"/>
  <c r="BX1108" i="4"/>
  <c r="AG944" i="4"/>
  <c r="AI944" i="4" s="1"/>
  <c r="BX944" i="4"/>
  <c r="AG951" i="4"/>
  <c r="BX951" i="4"/>
  <c r="AG1101" i="4"/>
  <c r="AI1101" i="4" s="1"/>
  <c r="BX1101" i="4"/>
  <c r="AG1111" i="4"/>
  <c r="BX1111" i="4"/>
  <c r="BX1106" i="4"/>
  <c r="AG1106" i="4"/>
  <c r="AG942" i="4"/>
  <c r="BX942" i="4"/>
  <c r="AG943" i="4"/>
  <c r="BX943" i="4"/>
  <c r="AG1105" i="4"/>
  <c r="AI1105" i="4" s="1"/>
  <c r="BX1105" i="4"/>
  <c r="AG1102" i="4"/>
  <c r="AI1102" i="4" s="1"/>
  <c r="BX1102" i="4"/>
  <c r="AG952" i="4"/>
  <c r="BX952" i="4"/>
  <c r="AG996" i="4"/>
  <c r="BX996" i="4"/>
  <c r="AG1060" i="4"/>
  <c r="AI1060" i="4" s="1"/>
  <c r="BX1060" i="4"/>
  <c r="BX934" i="4"/>
  <c r="AG934" i="4"/>
  <c r="AG999" i="4"/>
  <c r="AI999" i="4" s="1"/>
  <c r="BX999" i="4"/>
  <c r="AG745" i="4"/>
  <c r="AI745" i="4" s="1"/>
  <c r="BX745" i="4"/>
  <c r="AG954" i="4"/>
  <c r="BX954" i="4"/>
  <c r="AG1064" i="4"/>
  <c r="AI1064" i="4" s="1"/>
  <c r="BX1064" i="4"/>
  <c r="BX739" i="4"/>
  <c r="AG739" i="4"/>
  <c r="BX1063" i="4"/>
  <c r="AG1063" i="4"/>
  <c r="BX734" i="4"/>
  <c r="AG734" i="4"/>
  <c r="AG960" i="4"/>
  <c r="AI960" i="4" s="1"/>
  <c r="BX960" i="4"/>
  <c r="BX736" i="4"/>
  <c r="AG736" i="4"/>
  <c r="BX744" i="4"/>
  <c r="AG744" i="4"/>
  <c r="BX742" i="4"/>
  <c r="AG742" i="4"/>
  <c r="AG1067" i="4"/>
  <c r="AI1067" i="4" s="1"/>
  <c r="BX1067" i="4"/>
  <c r="BX933" i="4"/>
  <c r="AG933" i="4"/>
  <c r="BX740" i="4"/>
  <c r="AG740" i="4"/>
  <c r="AG1068" i="4"/>
  <c r="AI1068" i="4" s="1"/>
  <c r="BX1068" i="4"/>
  <c r="BX730" i="4"/>
  <c r="AG730" i="4"/>
  <c r="AG955" i="4"/>
  <c r="BX955" i="4"/>
  <c r="AG998" i="4"/>
  <c r="AI998" i="4" s="1"/>
  <c r="BX998" i="4"/>
  <c r="AG1058" i="4"/>
  <c r="BX1058" i="4"/>
  <c r="BX735" i="4"/>
  <c r="AG735" i="4"/>
  <c r="AG1059" i="4"/>
  <c r="AI1059" i="4" s="1"/>
  <c r="BX1059" i="4"/>
  <c r="BX932" i="4"/>
  <c r="AG932" i="4"/>
  <c r="BX737" i="4"/>
  <c r="AG737" i="4"/>
  <c r="AG959" i="4"/>
  <c r="AI959" i="4" s="1"/>
  <c r="BX959" i="4"/>
  <c r="AG1061" i="4"/>
  <c r="AI1061" i="4" s="1"/>
  <c r="BX1061" i="4"/>
  <c r="AG957" i="4"/>
  <c r="BX957" i="4"/>
  <c r="AG936" i="4"/>
  <c r="AI936" i="4" s="1"/>
  <c r="BX936" i="4"/>
  <c r="AG1069" i="4"/>
  <c r="AI1069" i="4" s="1"/>
  <c r="BX1069" i="4"/>
  <c r="AG962" i="4"/>
  <c r="AI962" i="4" s="1"/>
  <c r="BX962" i="4"/>
  <c r="BX741" i="4"/>
  <c r="AG741" i="4"/>
  <c r="BX938" i="4"/>
  <c r="AG938" i="4"/>
  <c r="AG1062" i="4"/>
  <c r="BX1062" i="4"/>
  <c r="BX731" i="4"/>
  <c r="AG731" i="4"/>
  <c r="AG1065" i="4"/>
  <c r="AI1065" i="4" s="1"/>
  <c r="BX1065" i="4"/>
  <c r="BX939" i="4"/>
  <c r="AG939" i="4"/>
  <c r="BX732" i="4"/>
  <c r="AG732" i="4"/>
  <c r="AG997" i="4"/>
  <c r="AI997" i="4" s="1"/>
  <c r="BX997" i="4"/>
  <c r="AG1000" i="4"/>
  <c r="AI1000" i="4" s="1"/>
  <c r="BX1000" i="4"/>
  <c r="BX1113" i="4"/>
  <c r="AG1113" i="4"/>
  <c r="BX738" i="4"/>
  <c r="AG738" i="4"/>
  <c r="AG961" i="4"/>
  <c r="AI961" i="4" s="1"/>
  <c r="BX961" i="4"/>
  <c r="AG1001" i="4"/>
  <c r="AI1001" i="4" s="1"/>
  <c r="BX1001" i="4"/>
  <c r="AG956" i="4"/>
  <c r="AI956" i="4" s="1"/>
  <c r="BX956" i="4"/>
  <c r="AG1066" i="4"/>
  <c r="AI1066" i="4" s="1"/>
  <c r="BX1066" i="4"/>
  <c r="BX733" i="4"/>
  <c r="AG733" i="4"/>
  <c r="AG1002" i="4"/>
  <c r="AI1002" i="4" s="1"/>
  <c r="BX1002" i="4"/>
  <c r="AG937" i="4"/>
  <c r="BX937" i="4"/>
  <c r="BX743" i="4"/>
  <c r="AG743" i="4"/>
  <c r="BX935" i="4"/>
  <c r="AG935" i="4"/>
  <c r="AG958" i="4"/>
  <c r="AI958" i="4" s="1"/>
  <c r="BX958" i="4"/>
  <c r="BX548" i="4"/>
  <c r="BX547" i="4"/>
  <c r="BX549" i="4"/>
  <c r="BX724" i="4"/>
  <c r="AG724" i="4"/>
  <c r="BX700" i="4"/>
  <c r="AG700" i="4"/>
  <c r="BX703" i="4"/>
  <c r="AG703" i="4"/>
  <c r="BX701" i="4"/>
  <c r="AG701" i="4"/>
  <c r="BX708" i="4"/>
  <c r="AG708" i="4"/>
  <c r="BX723" i="4"/>
  <c r="AG723" i="4"/>
  <c r="BX702" i="4"/>
  <c r="AG702" i="4"/>
  <c r="BX704" i="4"/>
  <c r="AG704" i="4"/>
  <c r="BX706" i="4"/>
  <c r="AG706" i="4"/>
  <c r="BX720" i="4"/>
  <c r="AG720" i="4"/>
  <c r="BX707" i="4"/>
  <c r="AG707" i="4"/>
  <c r="BX716" i="4"/>
  <c r="AG716" i="4"/>
  <c r="BX717" i="4"/>
  <c r="AG717" i="4"/>
  <c r="BX727" i="4"/>
  <c r="AG727" i="4"/>
  <c r="BX725" i="4"/>
  <c r="AG725" i="4"/>
  <c r="BX719" i="4"/>
  <c r="AG719" i="4"/>
  <c r="BX729" i="4"/>
  <c r="AG729" i="4"/>
  <c r="BX710" i="4"/>
  <c r="AG710" i="4"/>
  <c r="BX721" i="4"/>
  <c r="AG721" i="4"/>
  <c r="BX726" i="4"/>
  <c r="AG726" i="4"/>
  <c r="BX718" i="4"/>
  <c r="AG718" i="4"/>
  <c r="BX709" i="4"/>
  <c r="AG709" i="4"/>
  <c r="BX728" i="4"/>
  <c r="AG728" i="4"/>
  <c r="BX713" i="4"/>
  <c r="AG713" i="4"/>
  <c r="BX715" i="4"/>
  <c r="AG715" i="4"/>
  <c r="BX711" i="4"/>
  <c r="AG711" i="4"/>
  <c r="BX546" i="4"/>
  <c r="AG546" i="4"/>
  <c r="BX712" i="4"/>
  <c r="AG712" i="4"/>
  <c r="BX705" i="4"/>
  <c r="AG705" i="4"/>
  <c r="BX714" i="4"/>
  <c r="AG714" i="4"/>
  <c r="BX722" i="4"/>
  <c r="AG722" i="4"/>
  <c r="BX985" i="4"/>
  <c r="AG985" i="4"/>
  <c r="BX974" i="4"/>
  <c r="AG974" i="4"/>
  <c r="BX1014" i="4"/>
  <c r="AG1014" i="4"/>
  <c r="BX526" i="4"/>
  <c r="AG526" i="4"/>
  <c r="BX1007" i="4"/>
  <c r="AG1007" i="4"/>
  <c r="BX540" i="4"/>
  <c r="AG540" i="4"/>
  <c r="BX1083" i="4"/>
  <c r="AG1083" i="4"/>
  <c r="AI1083" i="4" s="1"/>
  <c r="BX1072" i="4"/>
  <c r="AG1072" i="4"/>
  <c r="AI1072" i="4" s="1"/>
  <c r="BX1086" i="4"/>
  <c r="AG1086" i="4"/>
  <c r="AI1086" i="4" s="1"/>
  <c r="BX508" i="4"/>
  <c r="AG508" i="4"/>
  <c r="BX984" i="4"/>
  <c r="AG984" i="4"/>
  <c r="BX1008" i="4"/>
  <c r="AG1008" i="4"/>
  <c r="BX492" i="4"/>
  <c r="AG492" i="4"/>
  <c r="BX538" i="4"/>
  <c r="AG538" i="4"/>
  <c r="BX990" i="4"/>
  <c r="AG990" i="4"/>
  <c r="BX491" i="4"/>
  <c r="AG491" i="4"/>
  <c r="BX988" i="4"/>
  <c r="AG988" i="4"/>
  <c r="BX507" i="4"/>
  <c r="AG507" i="4"/>
  <c r="BX512" i="4"/>
  <c r="AG512" i="4"/>
  <c r="BX1085" i="4"/>
  <c r="AG1085" i="4"/>
  <c r="AI1085" i="4" s="1"/>
  <c r="BX537" i="4"/>
  <c r="AG537" i="4"/>
  <c r="BX503" i="4"/>
  <c r="AG503" i="4"/>
  <c r="BX511" i="4"/>
  <c r="AG511" i="4"/>
  <c r="BX1092" i="4"/>
  <c r="AG1092" i="4"/>
  <c r="AI1092" i="4" s="1"/>
  <c r="BX978" i="4"/>
  <c r="AG978" i="4"/>
  <c r="BX494" i="4"/>
  <c r="AG494" i="4"/>
  <c r="BX504" i="4"/>
  <c r="AG504" i="4"/>
  <c r="BX1006" i="4"/>
  <c r="AG1006" i="4"/>
  <c r="BX1081" i="4"/>
  <c r="AG1081" i="4"/>
  <c r="AI1081" i="4" s="1"/>
  <c r="BX1015" i="4"/>
  <c r="AG1015" i="4"/>
  <c r="BX1010" i="4"/>
  <c r="AG1010" i="4"/>
  <c r="BX525" i="4"/>
  <c r="AG525" i="4"/>
  <c r="BX991" i="4"/>
  <c r="AG991" i="4"/>
  <c r="BX1088" i="4"/>
  <c r="AG1088" i="4"/>
  <c r="AI1088" i="4" s="1"/>
  <c r="BX964" i="4"/>
  <c r="AG964" i="4"/>
  <c r="AG1019" i="4"/>
  <c r="AI1019" i="4" s="1"/>
  <c r="BX1019" i="4"/>
  <c r="BX1084" i="4"/>
  <c r="AG1084" i="4"/>
  <c r="AI1084" i="4" s="1"/>
  <c r="BX1070" i="4"/>
  <c r="AG1070" i="4"/>
  <c r="BX521" i="4"/>
  <c r="AG521" i="4"/>
  <c r="BX523" i="4"/>
  <c r="AG523" i="4"/>
  <c r="BX535" i="4"/>
  <c r="AG535" i="4"/>
  <c r="BX1099" i="4"/>
  <c r="AG1099" i="4"/>
  <c r="AI1099" i="4" s="1"/>
  <c r="BX509" i="4"/>
  <c r="AG509" i="4"/>
  <c r="BX1079" i="4"/>
  <c r="AG1079" i="4"/>
  <c r="AI1079" i="4" s="1"/>
  <c r="BX1090" i="4"/>
  <c r="AG1090" i="4"/>
  <c r="AI1090" i="4" s="1"/>
  <c r="BX987" i="4"/>
  <c r="AG987" i="4"/>
  <c r="BX968" i="4"/>
  <c r="AG968" i="4"/>
  <c r="BX1078" i="4"/>
  <c r="AG1078" i="4"/>
  <c r="AI1078" i="4" s="1"/>
  <c r="BX1057" i="4"/>
  <c r="AG1057" i="4"/>
  <c r="BX519" i="4"/>
  <c r="AG519" i="4"/>
  <c r="BX522" i="4"/>
  <c r="AG522" i="4"/>
  <c r="BX1073" i="4"/>
  <c r="AG1073" i="4"/>
  <c r="AI1073" i="4" s="1"/>
  <c r="BX545" i="4"/>
  <c r="AG545" i="4"/>
  <c r="BX966" i="4"/>
  <c r="AG966" i="4"/>
  <c r="BX1012" i="4"/>
  <c r="AG1012" i="4"/>
  <c r="BX965" i="4"/>
  <c r="AG965" i="4"/>
  <c r="BX506" i="4"/>
  <c r="AG506" i="4"/>
  <c r="BX993" i="4"/>
  <c r="AG993" i="4"/>
  <c r="BX1018" i="4"/>
  <c r="AG1018" i="4"/>
  <c r="BX1004" i="4"/>
  <c r="AG1004" i="4"/>
  <c r="BX1003" i="4"/>
  <c r="AG1003" i="4"/>
  <c r="BX980" i="4"/>
  <c r="AG980" i="4"/>
  <c r="BX543" i="4"/>
  <c r="AG543" i="4"/>
  <c r="BX1017" i="4"/>
  <c r="AG1017" i="4"/>
  <c r="BX1074" i="4"/>
  <c r="AG1074" i="4"/>
  <c r="AI1074" i="4" s="1"/>
  <c r="BX969" i="4"/>
  <c r="AG969" i="4"/>
  <c r="BX979" i="4"/>
  <c r="AG979" i="4"/>
  <c r="BX527" i="4"/>
  <c r="AG527" i="4"/>
  <c r="BX518" i="4"/>
  <c r="AG518" i="4"/>
  <c r="BX533" i="4"/>
  <c r="AG533" i="4"/>
  <c r="BX502" i="4"/>
  <c r="AG502" i="4"/>
  <c r="BX963" i="4"/>
  <c r="AG963" i="4"/>
  <c r="AG1021" i="4"/>
  <c r="BX1021" i="4"/>
  <c r="BX493" i="4"/>
  <c r="AG493" i="4"/>
  <c r="BX1096" i="4"/>
  <c r="AG1096" i="4"/>
  <c r="AI1096" i="4" s="1"/>
  <c r="BX501" i="4"/>
  <c r="AG501" i="4"/>
  <c r="BX1080" i="4"/>
  <c r="AG1080" i="4"/>
  <c r="AI1080" i="4" s="1"/>
  <c r="BX534" i="4"/>
  <c r="AG534" i="4"/>
  <c r="BX986" i="4"/>
  <c r="AG986" i="4"/>
  <c r="BX515" i="4"/>
  <c r="AG515" i="4"/>
  <c r="BX516" i="4"/>
  <c r="AG516" i="4"/>
  <c r="BX1076" i="4"/>
  <c r="AG1076" i="4"/>
  <c r="AI1076" i="4" s="1"/>
  <c r="BX982" i="4"/>
  <c r="AG982" i="4"/>
  <c r="BX505" i="4"/>
  <c r="AG505" i="4"/>
  <c r="BX499" i="4"/>
  <c r="AG499" i="4"/>
  <c r="BX994" i="4"/>
  <c r="AG994" i="4"/>
  <c r="BX524" i="4"/>
  <c r="AG524" i="4"/>
  <c r="BX1091" i="4"/>
  <c r="AG1091" i="4"/>
  <c r="AI1091" i="4" s="1"/>
  <c r="BX1097" i="4"/>
  <c r="AG1097" i="4"/>
  <c r="AI1097" i="4" s="1"/>
  <c r="BX1005" i="4"/>
  <c r="AG1005" i="4"/>
  <c r="BX514" i="4"/>
  <c r="AG514" i="4"/>
  <c r="BX971" i="4"/>
  <c r="AG971" i="4"/>
  <c r="BX497" i="4"/>
  <c r="AG497" i="4"/>
  <c r="BX500" i="4"/>
  <c r="AG500" i="4"/>
  <c r="AG1020" i="4"/>
  <c r="BX1020" i="4"/>
  <c r="BX1098" i="4"/>
  <c r="AG1098" i="4"/>
  <c r="AI1098" i="4" s="1"/>
  <c r="BX542" i="4"/>
  <c r="AG542" i="4"/>
  <c r="BX1011" i="4"/>
  <c r="AG1011" i="4"/>
  <c r="BX989" i="4"/>
  <c r="AG989" i="4"/>
  <c r="BX1082" i="4"/>
  <c r="AG1082" i="4"/>
  <c r="AI1082" i="4" s="1"/>
  <c r="BX541" i="4"/>
  <c r="AG541" i="4"/>
  <c r="BX995" i="4"/>
  <c r="AG995" i="4"/>
  <c r="BX1077" i="4"/>
  <c r="AG1077" i="4"/>
  <c r="AI1077" i="4" s="1"/>
  <c r="BX528" i="4"/>
  <c r="AG528" i="4"/>
  <c r="BX1075" i="4"/>
  <c r="AG1075" i="4"/>
  <c r="AI1075" i="4" s="1"/>
  <c r="BX1093" i="4"/>
  <c r="AG1093" i="4"/>
  <c r="AI1093" i="4" s="1"/>
  <c r="BX517" i="4"/>
  <c r="AG517" i="4"/>
  <c r="BX967" i="4"/>
  <c r="AG967" i="4"/>
  <c r="BX1089" i="4"/>
  <c r="AG1089" i="4"/>
  <c r="AI1089" i="4" s="1"/>
  <c r="BX973" i="4"/>
  <c r="AG973" i="4"/>
  <c r="BX1056" i="4"/>
  <c r="AG1056" i="4"/>
  <c r="BX532" i="4"/>
  <c r="AG532" i="4"/>
  <c r="BX544" i="4"/>
  <c r="AG544" i="4"/>
  <c r="BX975" i="4"/>
  <c r="AG975" i="4"/>
  <c r="BX977" i="4"/>
  <c r="AG977" i="4"/>
  <c r="BX510" i="4"/>
  <c r="AG510" i="4"/>
  <c r="BX983" i="4"/>
  <c r="AG983" i="4"/>
  <c r="BX495" i="4"/>
  <c r="AG495" i="4"/>
  <c r="BX498" i="4"/>
  <c r="AG498" i="4"/>
  <c r="BX1013" i="4"/>
  <c r="AG1013" i="4"/>
  <c r="BX529" i="4"/>
  <c r="AG529" i="4"/>
  <c r="BX972" i="4"/>
  <c r="AG972" i="4"/>
  <c r="BX1071" i="4"/>
  <c r="AG1071" i="4"/>
  <c r="AI1071" i="4" s="1"/>
  <c r="BX536" i="4"/>
  <c r="AG536" i="4"/>
  <c r="BX539" i="4"/>
  <c r="AG539" i="4"/>
  <c r="BX530" i="4"/>
  <c r="AG530" i="4"/>
  <c r="BX992" i="4"/>
  <c r="AG992" i="4"/>
  <c r="BX1095" i="4"/>
  <c r="AG1095" i="4"/>
  <c r="AI1095" i="4" s="1"/>
  <c r="BX1009" i="4"/>
  <c r="AG1009" i="4"/>
  <c r="BX1094" i="4"/>
  <c r="AG1094" i="4"/>
  <c r="AI1094" i="4" s="1"/>
  <c r="BX531" i="4"/>
  <c r="AG531" i="4"/>
  <c r="BX496" i="4"/>
  <c r="AG496" i="4"/>
  <c r="BX981" i="4"/>
  <c r="AG981" i="4"/>
  <c r="BX970" i="4"/>
  <c r="AG970" i="4"/>
  <c r="BX1087" i="4"/>
  <c r="AG1087" i="4"/>
  <c r="AI1087" i="4" s="1"/>
  <c r="BX513" i="4"/>
  <c r="AG513" i="4"/>
  <c r="BX976" i="4"/>
  <c r="AG976" i="4"/>
  <c r="BX1016" i="4"/>
  <c r="AG1016" i="4"/>
  <c r="BX520" i="4"/>
  <c r="AG520" i="4"/>
  <c r="AG1040" i="4"/>
  <c r="AI1040" i="4" s="1"/>
  <c r="BX1035" i="4"/>
  <c r="AG1051" i="4"/>
  <c r="AI1051" i="4" s="1"/>
  <c r="AG1052" i="4"/>
  <c r="BX1044" i="4"/>
  <c r="AG1044" i="4"/>
  <c r="BX1037" i="4"/>
  <c r="AG1037" i="4"/>
  <c r="BX1051" i="4"/>
  <c r="BX1033" i="4"/>
  <c r="AG1033" i="4"/>
  <c r="BX1032" i="4"/>
  <c r="AG1032" i="4"/>
  <c r="BX1055" i="4"/>
  <c r="AG1055" i="4"/>
  <c r="BX1026" i="4"/>
  <c r="AG1026" i="4"/>
  <c r="BX1023" i="4"/>
  <c r="AG1023" i="4"/>
  <c r="BX1022" i="4"/>
  <c r="AG1022" i="4"/>
  <c r="BX1049" i="4"/>
  <c r="AG1049" i="4"/>
  <c r="AG1035" i="4"/>
  <c r="BX1052" i="4"/>
  <c r="BX1024" i="4"/>
  <c r="AG1024" i="4"/>
  <c r="BX1025" i="4"/>
  <c r="AG1025" i="4"/>
  <c r="BX1046" i="4"/>
  <c r="AG1046" i="4"/>
  <c r="BX1028" i="4"/>
  <c r="AG1028" i="4"/>
  <c r="BX1041" i="4"/>
  <c r="AG1041" i="4"/>
  <c r="BX1029" i="4"/>
  <c r="BX1042" i="4"/>
  <c r="AG1042" i="4"/>
  <c r="AG1029" i="4"/>
  <c r="BX1030" i="4"/>
  <c r="AG1030" i="4"/>
  <c r="BX1053" i="4"/>
  <c r="AG1053" i="4"/>
  <c r="BX1043" i="4"/>
  <c r="AG1043" i="4"/>
  <c r="BX1045" i="4"/>
  <c r="BX1050" i="4"/>
  <c r="AG1050" i="4"/>
  <c r="BX1039" i="4"/>
  <c r="AG1039" i="4"/>
  <c r="BX1038" i="4"/>
  <c r="AG1038" i="4"/>
  <c r="BX1036" i="4"/>
  <c r="AG1045" i="4"/>
  <c r="BX1054" i="4"/>
  <c r="BX1031" i="4"/>
  <c r="AG1031" i="4"/>
  <c r="AG1054" i="4"/>
  <c r="BX1047" i="4"/>
  <c r="AG1047" i="4"/>
  <c r="AG1036" i="4"/>
  <c r="BX1048" i="4"/>
  <c r="AG1048" i="4"/>
  <c r="BX1034" i="4"/>
  <c r="AG1034" i="4"/>
  <c r="BX1027" i="4"/>
  <c r="AG1027" i="4"/>
  <c r="BX1040" i="4"/>
  <c r="BX882" i="4"/>
  <c r="AG882" i="4"/>
  <c r="BX593" i="4"/>
  <c r="AG593" i="4"/>
  <c r="BX654" i="4"/>
  <c r="AG654" i="4"/>
  <c r="BX843" i="4"/>
  <c r="AG843" i="4"/>
  <c r="BX913" i="4"/>
  <c r="AG913" i="4"/>
  <c r="BX572" i="4"/>
  <c r="AG572" i="4"/>
  <c r="BX1127" i="4"/>
  <c r="AG1127" i="4"/>
  <c r="BX1158" i="4"/>
  <c r="AG1158" i="4"/>
  <c r="BX1204" i="4"/>
  <c r="AG1204" i="4"/>
  <c r="BX813" i="4"/>
  <c r="AG813" i="4"/>
  <c r="BX621" i="4"/>
  <c r="AG621" i="4"/>
  <c r="BX610" i="4"/>
  <c r="AG610" i="4"/>
  <c r="BX562" i="4"/>
  <c r="AG562" i="4"/>
  <c r="BX573" i="4"/>
  <c r="AG573" i="4"/>
  <c r="BX1185" i="4"/>
  <c r="AG1185" i="4"/>
  <c r="BX609" i="4"/>
  <c r="AG609" i="4"/>
  <c r="BX854" i="4"/>
  <c r="AG854" i="4"/>
  <c r="BX849" i="4"/>
  <c r="AG849" i="4"/>
  <c r="BX892" i="4"/>
  <c r="AG892" i="4"/>
  <c r="BX778" i="4"/>
  <c r="AG778" i="4"/>
  <c r="BX827" i="4"/>
  <c r="AG827" i="4"/>
  <c r="BX557" i="4"/>
  <c r="AG557" i="4"/>
  <c r="BX777" i="4"/>
  <c r="AG777" i="4"/>
  <c r="BX592" i="4"/>
  <c r="AG592" i="4"/>
  <c r="BX811" i="4"/>
  <c r="AG811" i="4"/>
  <c r="BX889" i="4"/>
  <c r="AG889" i="4"/>
  <c r="BX927" i="4"/>
  <c r="AG927" i="4"/>
  <c r="BX558" i="4"/>
  <c r="AG558" i="4"/>
  <c r="BX582" i="4"/>
  <c r="AG582" i="4"/>
  <c r="BX639" i="4"/>
  <c r="AG639" i="4"/>
  <c r="BX1205" i="4"/>
  <c r="AG1205" i="4"/>
  <c r="BX834" i="4"/>
  <c r="AG834" i="4"/>
  <c r="BX818" i="4"/>
  <c r="AG818" i="4"/>
  <c r="BX912" i="4"/>
  <c r="AG912" i="4"/>
  <c r="BX822" i="4"/>
  <c r="AG822" i="4"/>
  <c r="BX915" i="4"/>
  <c r="AG915" i="4"/>
  <c r="BX790" i="4"/>
  <c r="AG790" i="4"/>
  <c r="BX553" i="4"/>
  <c r="AG553" i="4"/>
  <c r="BX858" i="4"/>
  <c r="AG858" i="4"/>
  <c r="BX1162" i="4"/>
  <c r="AG1162" i="4"/>
  <c r="BX796" i="4"/>
  <c r="AG796" i="4"/>
  <c r="BX841" i="4"/>
  <c r="AG841" i="4"/>
  <c r="BX900" i="4"/>
  <c r="AG900" i="4"/>
  <c r="BX667" i="4"/>
  <c r="AG667" i="4"/>
  <c r="BX910" i="4"/>
  <c r="AG910" i="4"/>
  <c r="BX616" i="4"/>
  <c r="AG616" i="4"/>
  <c r="BX902" i="4"/>
  <c r="AG902" i="4"/>
  <c r="BX632" i="4"/>
  <c r="AG632" i="4"/>
  <c r="BX1140" i="4"/>
  <c r="AG1140" i="4"/>
  <c r="BX887" i="4"/>
  <c r="AG887" i="4"/>
  <c r="BX658" i="4"/>
  <c r="AG658" i="4"/>
  <c r="BX809" i="4"/>
  <c r="AG809" i="4"/>
  <c r="BX670" i="4"/>
  <c r="AG670" i="4"/>
  <c r="BX784" i="4"/>
  <c r="AG784" i="4"/>
  <c r="BX652" i="4"/>
  <c r="AG652" i="4"/>
  <c r="BX663" i="4"/>
  <c r="AG663" i="4"/>
  <c r="BX885" i="4"/>
  <c r="AG885" i="4"/>
  <c r="BX819" i="4"/>
  <c r="AG819" i="4"/>
  <c r="BX759" i="4"/>
  <c r="AG759" i="4"/>
  <c r="BX847" i="4"/>
  <c r="AG847" i="4"/>
  <c r="BX907" i="4"/>
  <c r="AG907" i="4"/>
  <c r="BX920" i="4"/>
  <c r="AG920" i="4"/>
  <c r="BX603" i="4"/>
  <c r="AG603" i="4"/>
  <c r="BX566" i="4"/>
  <c r="AG566" i="4"/>
  <c r="BX848" i="4"/>
  <c r="AG848" i="4"/>
  <c r="BX746" i="4"/>
  <c r="AG746" i="4"/>
  <c r="BX1135" i="4"/>
  <c r="AG1135" i="4"/>
  <c r="BX884" i="4"/>
  <c r="AG884" i="4"/>
  <c r="BX1123" i="4"/>
  <c r="AG1123" i="4"/>
  <c r="BX911" i="4"/>
  <c r="AG911" i="4"/>
  <c r="BX1133" i="4"/>
  <c r="AG1133" i="4"/>
  <c r="BX676" i="4"/>
  <c r="AG676" i="4"/>
  <c r="BX1169" i="4"/>
  <c r="AG1169" i="4"/>
  <c r="BX816" i="4"/>
  <c r="AG816" i="4"/>
  <c r="BX766" i="4"/>
  <c r="AG766" i="4"/>
  <c r="BX656" i="4"/>
  <c r="AG656" i="4"/>
  <c r="BX753" i="4"/>
  <c r="AG753" i="4"/>
  <c r="BX1182" i="4"/>
  <c r="AG1182" i="4"/>
  <c r="BX1121" i="4"/>
  <c r="AG1121" i="4"/>
  <c r="BX596" i="4"/>
  <c r="AG596" i="4"/>
  <c r="BX869" i="4"/>
  <c r="AG869" i="4"/>
  <c r="BX564" i="4"/>
  <c r="AG564" i="4"/>
  <c r="BX1190" i="4"/>
  <c r="AG1190" i="4"/>
  <c r="BX783" i="4"/>
  <c r="AG783" i="4"/>
  <c r="BX1149" i="4"/>
  <c r="AG1149" i="4"/>
  <c r="BX623" i="4"/>
  <c r="AG623" i="4"/>
  <c r="BX659" i="4"/>
  <c r="AG659" i="4"/>
  <c r="BX795" i="4"/>
  <c r="AG795" i="4"/>
  <c r="BX919" i="4"/>
  <c r="AG919" i="4"/>
  <c r="BX678" i="4"/>
  <c r="AG678" i="4"/>
  <c r="BX1184" i="4"/>
  <c r="AG1184" i="4"/>
  <c r="BX1155" i="4"/>
  <c r="AG1155" i="4"/>
  <c r="BX1188" i="4"/>
  <c r="AG1188" i="4"/>
  <c r="BX552" i="4"/>
  <c r="AG552" i="4"/>
  <c r="BX851" i="4"/>
  <c r="AG851" i="4"/>
  <c r="BX901" i="4"/>
  <c r="AG901" i="4"/>
  <c r="BX1130" i="4"/>
  <c r="AG1130" i="4"/>
  <c r="BX748" i="4"/>
  <c r="AG748" i="4"/>
  <c r="BX881" i="4"/>
  <c r="AG881" i="4"/>
  <c r="BX1177" i="4"/>
  <c r="AG1177" i="4"/>
  <c r="BX891" i="4"/>
  <c r="AG891" i="4"/>
  <c r="BX1143" i="4"/>
  <c r="AG1143" i="4"/>
  <c r="BX630" i="4"/>
  <c r="AG630" i="4"/>
  <c r="BX1137" i="4"/>
  <c r="AG1137" i="4"/>
  <c r="BX874" i="4"/>
  <c r="AG874" i="4"/>
  <c r="BX669" i="4"/>
  <c r="AG669" i="4"/>
  <c r="BX1176" i="4"/>
  <c r="AG1176" i="4"/>
  <c r="BX1193" i="4"/>
  <c r="AG1193" i="4"/>
  <c r="BX1117" i="4"/>
  <c r="AG1117" i="4"/>
  <c r="BX586" i="4"/>
  <c r="AG586" i="4"/>
  <c r="BX636" i="4"/>
  <c r="AG636" i="4"/>
  <c r="BX601" i="4"/>
  <c r="AG601" i="4"/>
  <c r="BX797" i="4"/>
  <c r="AG797" i="4"/>
  <c r="BX872" i="4"/>
  <c r="AG872" i="4"/>
  <c r="BX642" i="4"/>
  <c r="AG642" i="4"/>
  <c r="BX1120" i="4"/>
  <c r="AG1120" i="4"/>
  <c r="BX1147" i="4"/>
  <c r="AG1147" i="4"/>
  <c r="BX655" i="4"/>
  <c r="AG655" i="4"/>
  <c r="BX551" i="4"/>
  <c r="AG551" i="4"/>
  <c r="BX614" i="4"/>
  <c r="AG614" i="4"/>
  <c r="BX1151" i="4"/>
  <c r="AG1151" i="4"/>
  <c r="BX840" i="4"/>
  <c r="AG840" i="4"/>
  <c r="BX1191" i="4"/>
  <c r="AG1191" i="4"/>
  <c r="BX768" i="4"/>
  <c r="AG768" i="4"/>
  <c r="BX605" i="4"/>
  <c r="AG605" i="4"/>
  <c r="BX750" i="4"/>
  <c r="AG750" i="4"/>
  <c r="BX626" i="4"/>
  <c r="AG626" i="4"/>
  <c r="BX844" i="4"/>
  <c r="AG844" i="4"/>
  <c r="BX873" i="4"/>
  <c r="AG873" i="4"/>
  <c r="BX837" i="4"/>
  <c r="AG837" i="4"/>
  <c r="BX622" i="4"/>
  <c r="AG622" i="4"/>
  <c r="BX832" i="4"/>
  <c r="AG832" i="4"/>
  <c r="BX876" i="4"/>
  <c r="AG876" i="4"/>
  <c r="BX776" i="4"/>
  <c r="AG776" i="4"/>
  <c r="BX1199" i="4"/>
  <c r="AG1199" i="4"/>
  <c r="BX886" i="4"/>
  <c r="AG886" i="4"/>
  <c r="BX808" i="4"/>
  <c r="AG808" i="4"/>
  <c r="BX904" i="4"/>
  <c r="AG904" i="4"/>
  <c r="BX875" i="4"/>
  <c r="AG875" i="4"/>
  <c r="BX1192" i="4"/>
  <c r="AG1192" i="4"/>
  <c r="BX1208" i="4"/>
  <c r="AG1208" i="4"/>
  <c r="BX1114" i="4"/>
  <c r="AG1114" i="4"/>
  <c r="BX914" i="4"/>
  <c r="AG914" i="4"/>
  <c r="BX794" i="4"/>
  <c r="AG794" i="4"/>
  <c r="BX629" i="4"/>
  <c r="AG629" i="4"/>
  <c r="BX556" i="4"/>
  <c r="AG556" i="4"/>
  <c r="BX599" i="4"/>
  <c r="AG599" i="4"/>
  <c r="BX598" i="4"/>
  <c r="AG598" i="4"/>
  <c r="BX1136" i="4"/>
  <c r="AG1136" i="4"/>
  <c r="BX1126" i="4"/>
  <c r="AG1126" i="4"/>
  <c r="BX751" i="4"/>
  <c r="AG751" i="4"/>
  <c r="BX1194" i="4"/>
  <c r="AG1194" i="4"/>
  <c r="BX1139" i="4"/>
  <c r="AG1139" i="4"/>
  <c r="BX640" i="4"/>
  <c r="AG640" i="4"/>
  <c r="BX1186" i="4"/>
  <c r="AG1186" i="4"/>
  <c r="BX770" i="4"/>
  <c r="AG770" i="4"/>
  <c r="BX576" i="4"/>
  <c r="AG576" i="4"/>
  <c r="BX815" i="4"/>
  <c r="AG815" i="4"/>
  <c r="BX812" i="4"/>
  <c r="AG812" i="4"/>
  <c r="BX585" i="4"/>
  <c r="AG585" i="4"/>
  <c r="BX550" i="4"/>
  <c r="AG550" i="4"/>
  <c r="BX579" i="4"/>
  <c r="AG579" i="4"/>
  <c r="BX608" i="4"/>
  <c r="AG608" i="4"/>
  <c r="BX1206" i="4"/>
  <c r="AG1206" i="4"/>
  <c r="BX650" i="4"/>
  <c r="AG650" i="4"/>
  <c r="BX865" i="4"/>
  <c r="AG865" i="4"/>
  <c r="BX1201" i="4"/>
  <c r="AG1201" i="4"/>
  <c r="BX921" i="4"/>
  <c r="AG921" i="4"/>
  <c r="BX649" i="4"/>
  <c r="AG649" i="4"/>
  <c r="BX909" i="4"/>
  <c r="AG909" i="4"/>
  <c r="BX560" i="4"/>
  <c r="AG560" i="4"/>
  <c r="BX805" i="4"/>
  <c r="AG805" i="4"/>
  <c r="BX606" i="4"/>
  <c r="AG606" i="4"/>
  <c r="BX829" i="4"/>
  <c r="AG829" i="4"/>
  <c r="BX810" i="4"/>
  <c r="AG810" i="4"/>
  <c r="BX559" i="4"/>
  <c r="AG559" i="4"/>
  <c r="BX855" i="4"/>
  <c r="AG855" i="4"/>
  <c r="BX600" i="4"/>
  <c r="AG600" i="4"/>
  <c r="BX1138" i="4"/>
  <c r="AG1138" i="4"/>
  <c r="BX799" i="4"/>
  <c r="AG799" i="4"/>
  <c r="BX1181" i="4"/>
  <c r="AG1181" i="4"/>
  <c r="BX898" i="4"/>
  <c r="AG898" i="4"/>
  <c r="BX779" i="4"/>
  <c r="AG779" i="4"/>
  <c r="BX908" i="4"/>
  <c r="AG908" i="4"/>
  <c r="BX628" i="4"/>
  <c r="AG628" i="4"/>
  <c r="AG1124" i="4"/>
  <c r="BX757" i="4"/>
  <c r="AG757" i="4"/>
  <c r="BX825" i="4"/>
  <c r="AG825" i="4"/>
  <c r="BX568" i="4"/>
  <c r="AG568" i="4"/>
  <c r="BX880" i="4"/>
  <c r="AG880" i="4"/>
  <c r="BX631" i="4"/>
  <c r="AG631" i="4"/>
  <c r="BX1129" i="4"/>
  <c r="AG1129" i="4"/>
  <c r="BX1154" i="4"/>
  <c r="AG1154" i="4"/>
  <c r="BX1165" i="4"/>
  <c r="AG1165" i="4"/>
  <c r="BX893" i="4"/>
  <c r="AG893" i="4"/>
  <c r="BX1160" i="4"/>
  <c r="AG1160" i="4"/>
  <c r="BX1116" i="4"/>
  <c r="AG1116" i="4"/>
  <c r="BX785" i="4"/>
  <c r="AG785" i="4"/>
  <c r="BX916" i="4"/>
  <c r="AG916" i="4"/>
  <c r="BX821" i="4"/>
  <c r="AG821" i="4"/>
  <c r="BX612" i="4"/>
  <c r="AG612" i="4"/>
  <c r="BX1152" i="4"/>
  <c r="AG1152" i="4"/>
  <c r="BX771" i="4"/>
  <c r="AG771" i="4"/>
  <c r="BX578" i="4"/>
  <c r="AG578" i="4"/>
  <c r="BX1172" i="4"/>
  <c r="AG1172" i="4"/>
  <c r="BX567" i="4"/>
  <c r="AG567" i="4"/>
  <c r="BX1196" i="4"/>
  <c r="AG1196" i="4"/>
  <c r="BX1170" i="4"/>
  <c r="AG1170" i="4"/>
  <c r="BX661" i="4"/>
  <c r="AG661" i="4"/>
  <c r="BX752" i="4"/>
  <c r="AG752" i="4"/>
  <c r="BX624" i="4"/>
  <c r="AG624" i="4"/>
  <c r="BX682" i="4"/>
  <c r="AG682" i="4"/>
  <c r="BX677" i="4"/>
  <c r="AG677" i="4"/>
  <c r="BX824" i="4"/>
  <c r="AG824" i="4"/>
  <c r="BX1207" i="4"/>
  <c r="AG1207" i="4"/>
  <c r="BX644" i="4"/>
  <c r="AG644" i="4"/>
  <c r="BX685" i="4"/>
  <c r="AG685" i="4"/>
  <c r="BX846" i="4"/>
  <c r="AG846" i="4"/>
  <c r="BX675" i="4"/>
  <c r="AG675" i="4"/>
  <c r="BX773" i="4"/>
  <c r="AG773" i="4"/>
  <c r="BX635" i="4"/>
  <c r="AG635" i="4"/>
  <c r="BX672" i="4"/>
  <c r="AG672" i="4"/>
  <c r="BX903" i="4"/>
  <c r="AG903" i="4"/>
  <c r="BX780" i="4"/>
  <c r="AG780" i="4"/>
  <c r="BX868" i="4"/>
  <c r="AG868" i="4"/>
  <c r="BX1131" i="4"/>
  <c r="AG1131" i="4"/>
  <c r="BX611" i="4"/>
  <c r="AG611" i="4"/>
  <c r="BX666" i="4"/>
  <c r="AG666" i="4"/>
  <c r="BX1198" i="4"/>
  <c r="AG1198" i="4"/>
  <c r="BX588" i="4"/>
  <c r="AG588" i="4"/>
  <c r="BX814" i="4"/>
  <c r="AG814" i="4"/>
  <c r="BX662" i="4"/>
  <c r="AG662" i="4"/>
  <c r="BX604" i="4"/>
  <c r="AG604" i="4"/>
  <c r="BX625" i="4"/>
  <c r="AG625" i="4"/>
  <c r="BX845" i="4"/>
  <c r="AG845" i="4"/>
  <c r="BX686" i="4"/>
  <c r="AG686" i="4"/>
  <c r="BX581" i="4"/>
  <c r="AG581" i="4"/>
  <c r="BX856" i="4"/>
  <c r="AG856" i="4"/>
  <c r="BX587" i="4"/>
  <c r="AG587" i="4"/>
  <c r="BX1195" i="4"/>
  <c r="AG1195" i="4"/>
  <c r="BX1148" i="4"/>
  <c r="AG1148" i="4"/>
  <c r="BX761" i="4"/>
  <c r="AG761" i="4"/>
  <c r="BX897" i="4"/>
  <c r="AG897" i="4"/>
  <c r="BX906" i="4"/>
  <c r="AG906" i="4"/>
  <c r="BX878" i="4"/>
  <c r="AG878" i="4"/>
  <c r="BX646" i="4"/>
  <c r="AG646" i="4"/>
  <c r="BX569" i="4"/>
  <c r="AG569" i="4"/>
  <c r="BX638" i="4"/>
  <c r="AG638" i="4"/>
  <c r="BX905" i="4"/>
  <c r="AG905" i="4"/>
  <c r="BX774" i="4"/>
  <c r="AG774" i="4"/>
  <c r="BX807" i="4"/>
  <c r="AG807" i="4"/>
  <c r="BX645" i="4"/>
  <c r="AG645" i="4"/>
  <c r="BX1132" i="4"/>
  <c r="AG1132" i="4"/>
  <c r="BX917" i="4"/>
  <c r="AG917" i="4"/>
  <c r="BX899" i="4"/>
  <c r="AG899" i="4"/>
  <c r="BX1145" i="4"/>
  <c r="AG1145" i="4"/>
  <c r="BX866" i="4"/>
  <c r="AG866" i="4"/>
  <c r="BX1175" i="4"/>
  <c r="AG1175" i="4"/>
  <c r="BX1125" i="4"/>
  <c r="AG1125" i="4"/>
  <c r="BX1180" i="4"/>
  <c r="AG1180" i="4"/>
  <c r="BX860" i="4"/>
  <c r="AG860" i="4"/>
  <c r="BX687" i="4"/>
  <c r="AG687" i="4"/>
  <c r="BX924" i="4"/>
  <c r="AG924" i="4"/>
  <c r="BX894" i="4"/>
  <c r="AG894" i="4"/>
  <c r="BX595" i="4"/>
  <c r="AG595" i="4"/>
  <c r="BX665" i="4"/>
  <c r="AG665" i="4"/>
  <c r="BX890" i="4"/>
  <c r="AG890" i="4"/>
  <c r="BX574" i="4"/>
  <c r="AG574" i="4"/>
  <c r="BX1166" i="4"/>
  <c r="AG1166" i="4"/>
  <c r="BX617" i="4"/>
  <c r="AG617" i="4"/>
  <c r="BX1200" i="4"/>
  <c r="AG1200" i="4"/>
  <c r="BX1202" i="4"/>
  <c r="AG1202" i="4"/>
  <c r="BX765" i="4"/>
  <c r="AG765" i="4"/>
  <c r="BX817" i="4"/>
  <c r="AG817" i="4"/>
  <c r="BX863" i="4"/>
  <c r="AG863" i="4"/>
  <c r="BX684" i="4"/>
  <c r="AG684" i="4"/>
  <c r="BX1168" i="4"/>
  <c r="AG1168" i="4"/>
  <c r="BX763" i="4"/>
  <c r="AG763" i="4"/>
  <c r="BX1122" i="4"/>
  <c r="AG1122" i="4"/>
  <c r="BX926" i="4"/>
  <c r="AG926" i="4"/>
  <c r="BX590" i="4"/>
  <c r="AG590" i="4"/>
  <c r="BX842" i="4"/>
  <c r="AG842" i="4"/>
  <c r="BX781" i="4"/>
  <c r="AG781" i="4"/>
  <c r="BX922" i="4"/>
  <c r="AG922" i="4"/>
  <c r="BX838" i="4"/>
  <c r="AG838" i="4"/>
  <c r="BX888" i="4"/>
  <c r="AG888" i="4"/>
  <c r="BX923" i="4"/>
  <c r="AG923" i="4"/>
  <c r="BX852" i="4"/>
  <c r="AG852" i="4"/>
  <c r="BX798" i="4"/>
  <c r="AG798" i="4"/>
  <c r="BX1157" i="4"/>
  <c r="AG1157" i="4"/>
  <c r="BX602" i="4"/>
  <c r="AG602" i="4"/>
  <c r="BX1164" i="4"/>
  <c r="AG1164" i="4"/>
  <c r="BX756" i="4"/>
  <c r="AG756" i="4"/>
  <c r="BX787" i="4"/>
  <c r="AG787" i="4"/>
  <c r="BX1144" i="4"/>
  <c r="AG1144" i="4"/>
  <c r="BX803" i="4"/>
  <c r="AG803" i="4"/>
  <c r="BX754" i="4"/>
  <c r="AG754" i="4"/>
  <c r="BX1124" i="4"/>
  <c r="BX791" i="4"/>
  <c r="AG791" i="4"/>
  <c r="BX647" i="4"/>
  <c r="AG647" i="4"/>
  <c r="BX673" i="4"/>
  <c r="AG673" i="4"/>
  <c r="BX864" i="4"/>
  <c r="AG864" i="4"/>
  <c r="BX561" i="4"/>
  <c r="AG561" i="4"/>
  <c r="BX633" i="4"/>
  <c r="AG633" i="4"/>
  <c r="BX775" i="4"/>
  <c r="AG775" i="4"/>
  <c r="BX618" i="4"/>
  <c r="AG618" i="4"/>
  <c r="BX683" i="4"/>
  <c r="AG683" i="4"/>
  <c r="BX580" i="4"/>
  <c r="AG580" i="4"/>
  <c r="BX896" i="4"/>
  <c r="AG896" i="4"/>
  <c r="BX836" i="4"/>
  <c r="AG836" i="4"/>
  <c r="BX747" i="4"/>
  <c r="AG747" i="4"/>
  <c r="BX674" i="4"/>
  <c r="AG674" i="4"/>
  <c r="BX589" i="4"/>
  <c r="AG589" i="4"/>
  <c r="BX930" i="4"/>
  <c r="AG930" i="4"/>
  <c r="BX792" i="4"/>
  <c r="AG792" i="4"/>
  <c r="BX577" i="4"/>
  <c r="AG577" i="4"/>
  <c r="BX1150" i="4"/>
  <c r="AG1150" i="4"/>
  <c r="BX1179" i="4"/>
  <c r="AG1179" i="4"/>
  <c r="BX861" i="4"/>
  <c r="AG861" i="4"/>
  <c r="BX1146" i="4"/>
  <c r="AG1146" i="4"/>
  <c r="BX870" i="4"/>
  <c r="AG870" i="4"/>
  <c r="BX1171" i="4"/>
  <c r="AG1171" i="4"/>
  <c r="BX760" i="4"/>
  <c r="AG760" i="4"/>
  <c r="BX826" i="4"/>
  <c r="AG826" i="4"/>
  <c r="BX879" i="4"/>
  <c r="AG879" i="4"/>
  <c r="BX755" i="4"/>
  <c r="AG755" i="4"/>
  <c r="BX789" i="4"/>
  <c r="AG789" i="4"/>
  <c r="BX668" i="4"/>
  <c r="AG668" i="4"/>
  <c r="BX877" i="4"/>
  <c r="AG877" i="4"/>
  <c r="BX788" i="4"/>
  <c r="AG788" i="4"/>
  <c r="BX833" i="4"/>
  <c r="AG833" i="4"/>
  <c r="BX830" i="4"/>
  <c r="AG830" i="4"/>
  <c r="BX931" i="4"/>
  <c r="AG931" i="4"/>
  <c r="BX769" i="4"/>
  <c r="AG769" i="4"/>
  <c r="BX1173" i="4"/>
  <c r="AG1173" i="4"/>
  <c r="BX835" i="4"/>
  <c r="AG835" i="4"/>
  <c r="BX1142" i="4"/>
  <c r="AG1142" i="4"/>
  <c r="BX853" i="4"/>
  <c r="AG853" i="4"/>
  <c r="BX1115" i="4"/>
  <c r="AG1115" i="4"/>
  <c r="BX782" i="4"/>
  <c r="AG782" i="4"/>
  <c r="BX850" i="4"/>
  <c r="AG850" i="4"/>
  <c r="BX749" i="4"/>
  <c r="AG749" i="4"/>
  <c r="BX883" i="4"/>
  <c r="AG883" i="4"/>
  <c r="BX895" i="4"/>
  <c r="AG895" i="4"/>
  <c r="BX594" i="4"/>
  <c r="AG594" i="4"/>
  <c r="BX648" i="4"/>
  <c r="AG648" i="4"/>
  <c r="BX767" i="4"/>
  <c r="AG767" i="4"/>
  <c r="BX1156" i="4"/>
  <c r="AG1156" i="4"/>
  <c r="BX607" i="4"/>
  <c r="AG607" i="4"/>
  <c r="BX867" i="4"/>
  <c r="AG867" i="4"/>
  <c r="BX1187" i="4"/>
  <c r="AG1187" i="4"/>
  <c r="BX1197" i="4"/>
  <c r="AG1197" i="4"/>
  <c r="BX660" i="4"/>
  <c r="AG660" i="4"/>
  <c r="BX680" i="4"/>
  <c r="AG680" i="4"/>
  <c r="BX831" i="4"/>
  <c r="AG831" i="4"/>
  <c r="BX634" i="4"/>
  <c r="AG634" i="4"/>
  <c r="BX857" i="4"/>
  <c r="AG857" i="4"/>
  <c r="BX786" i="4"/>
  <c r="AG786" i="4"/>
  <c r="BX862" i="4"/>
  <c r="AG862" i="4"/>
  <c r="BX583" i="4"/>
  <c r="AG583" i="4"/>
  <c r="BX793" i="4"/>
  <c r="AG793" i="4"/>
  <c r="BX859" i="4"/>
  <c r="AG859" i="4"/>
  <c r="BX1153" i="4"/>
  <c r="AG1153" i="4"/>
  <c r="BX643" i="4"/>
  <c r="AG643" i="4"/>
  <c r="BX918" i="4"/>
  <c r="AG918" i="4"/>
  <c r="BX555" i="4"/>
  <c r="AG555" i="4"/>
  <c r="BX584" i="4"/>
  <c r="AG584" i="4"/>
  <c r="BX928" i="4"/>
  <c r="AG928" i="4"/>
  <c r="BX554" i="4"/>
  <c r="AG554" i="4"/>
  <c r="BX1183" i="4"/>
  <c r="AG1183" i="4"/>
  <c r="BX1119" i="4"/>
  <c r="AG1119" i="4"/>
  <c r="BX1134" i="4"/>
  <c r="AG1134" i="4"/>
  <c r="BX1141" i="4"/>
  <c r="AG1141" i="4"/>
  <c r="BX764" i="4"/>
  <c r="AG764" i="4"/>
  <c r="BX613" i="4"/>
  <c r="AG613" i="4"/>
  <c r="BX1163" i="4"/>
  <c r="AG1163" i="4"/>
  <c r="BX1118" i="4"/>
  <c r="AG1118" i="4"/>
  <c r="BX641" i="4"/>
  <c r="AG641" i="4"/>
  <c r="BX597" i="4"/>
  <c r="AG597" i="4"/>
  <c r="BX619" i="4"/>
  <c r="AG619" i="4"/>
  <c r="BX681" i="4"/>
  <c r="AG681" i="4"/>
  <c r="BX653" i="4"/>
  <c r="AG653" i="4"/>
  <c r="BX615" i="4"/>
  <c r="AG615" i="4"/>
  <c r="BX657" i="4"/>
  <c r="AG657" i="4"/>
  <c r="BX570" i="4"/>
  <c r="AG570" i="4"/>
  <c r="BX1178" i="4"/>
  <c r="AG1178" i="4"/>
  <c r="BX671" i="4"/>
  <c r="AG671" i="4"/>
  <c r="BX1203" i="4"/>
  <c r="AG1203" i="4"/>
  <c r="BX806" i="4"/>
  <c r="AG806" i="4"/>
  <c r="BX772" i="4"/>
  <c r="AG772" i="4"/>
  <c r="BX1161" i="4"/>
  <c r="AG1161" i="4"/>
  <c r="BX804" i="4"/>
  <c r="AG804" i="4"/>
  <c r="BX1167" i="4"/>
  <c r="AG1167" i="4"/>
  <c r="BX871" i="4"/>
  <c r="AG871" i="4"/>
  <c r="BX823" i="4"/>
  <c r="AG823" i="4"/>
  <c r="BX627" i="4"/>
  <c r="AG627" i="4"/>
  <c r="BX651" i="4"/>
  <c r="AG651" i="4"/>
  <c r="BX664" i="4"/>
  <c r="AG664" i="4"/>
  <c r="BX1189" i="4"/>
  <c r="AG1189" i="4"/>
  <c r="BX800" i="4"/>
  <c r="AG800" i="4"/>
  <c r="BX565" i="4"/>
  <c r="AG565" i="4"/>
  <c r="BX620" i="4"/>
  <c r="AG620" i="4"/>
  <c r="BX571" i="4"/>
  <c r="AG571" i="4"/>
  <c r="BX758" i="4"/>
  <c r="AG758" i="4"/>
  <c r="BX637" i="4"/>
  <c r="AG637" i="4"/>
  <c r="BX801" i="4"/>
  <c r="AG801" i="4"/>
  <c r="BX925" i="4"/>
  <c r="AG925" i="4"/>
  <c r="BX762" i="4"/>
  <c r="AG762" i="4"/>
  <c r="BX591" i="4"/>
  <c r="AG591" i="4"/>
  <c r="BX679" i="4"/>
  <c r="AG679" i="4"/>
  <c r="BX839" i="4"/>
  <c r="AG839" i="4"/>
  <c r="BX575" i="4"/>
  <c r="AG575" i="4"/>
  <c r="BX929" i="4"/>
  <c r="AG929" i="4"/>
  <c r="BX1159" i="4"/>
  <c r="AG1159" i="4"/>
  <c r="BX802" i="4"/>
  <c r="AG802" i="4"/>
  <c r="BX1174" i="4"/>
  <c r="AG1174" i="4"/>
  <c r="BX828" i="4"/>
  <c r="AG828" i="4"/>
  <c r="BX563" i="4"/>
  <c r="AG563" i="4"/>
  <c r="BX820" i="4"/>
  <c r="AG820" i="4"/>
  <c r="BX1128" i="4"/>
  <c r="AG1128" i="4"/>
  <c r="BX464" i="4"/>
  <c r="AG464" i="4"/>
  <c r="BX398" i="4"/>
  <c r="AG398" i="4"/>
  <c r="BX403" i="4"/>
  <c r="AG403" i="4"/>
  <c r="BX431" i="4"/>
  <c r="AG431" i="4"/>
  <c r="BX389" i="4"/>
  <c r="AG389" i="4"/>
  <c r="BX438" i="4"/>
  <c r="AG438" i="4"/>
  <c r="BX417" i="4"/>
  <c r="AG417" i="4"/>
  <c r="BX440" i="4"/>
  <c r="AG440" i="4"/>
  <c r="BX429" i="4"/>
  <c r="AG429" i="4"/>
  <c r="BX469" i="4"/>
  <c r="AG469" i="4"/>
  <c r="BX416" i="4"/>
  <c r="AG416" i="4"/>
  <c r="BX445" i="4"/>
  <c r="AG445" i="4"/>
  <c r="BX375" i="4"/>
  <c r="AG375" i="4"/>
  <c r="BX446" i="4"/>
  <c r="AG446" i="4"/>
  <c r="BX380" i="4"/>
  <c r="AG380" i="4"/>
  <c r="BX473" i="4"/>
  <c r="AG473" i="4"/>
  <c r="BX466" i="4"/>
  <c r="AG466" i="4"/>
  <c r="BX374" i="4"/>
  <c r="AG374" i="4"/>
  <c r="BX423" i="4"/>
  <c r="AG423" i="4"/>
  <c r="BX395" i="4"/>
  <c r="AG395" i="4"/>
  <c r="BX468" i="4"/>
  <c r="AG468" i="4"/>
  <c r="BX435" i="4"/>
  <c r="AG435" i="4"/>
  <c r="BX382" i="4"/>
  <c r="AG382" i="4"/>
  <c r="BX428" i="4"/>
  <c r="AG428" i="4"/>
  <c r="BX406" i="4"/>
  <c r="AG406" i="4"/>
  <c r="BX418" i="4"/>
  <c r="AG418" i="4"/>
  <c r="BX385" i="4"/>
  <c r="AG385" i="4"/>
  <c r="BX393" i="4"/>
  <c r="AG393" i="4"/>
  <c r="BX486" i="4"/>
  <c r="AG486" i="4"/>
  <c r="BX412" i="4"/>
  <c r="AG412" i="4"/>
  <c r="BX460" i="4"/>
  <c r="AG460" i="4"/>
  <c r="BX390" i="4"/>
  <c r="AG390" i="4"/>
  <c r="BX478" i="4"/>
  <c r="AG478" i="4"/>
  <c r="BX401" i="4"/>
  <c r="AG401" i="4"/>
  <c r="BX392" i="4"/>
  <c r="AG392" i="4"/>
  <c r="BX434" i="4"/>
  <c r="AG434" i="4"/>
  <c r="BX377" i="4"/>
  <c r="AG377" i="4"/>
  <c r="BX447" i="4"/>
  <c r="AG447" i="4"/>
  <c r="BX387" i="4"/>
  <c r="AG387" i="4"/>
  <c r="BX451" i="4"/>
  <c r="AG451" i="4"/>
  <c r="BX488" i="4"/>
  <c r="AG488" i="4"/>
  <c r="BX421" i="4"/>
  <c r="AG421" i="4"/>
  <c r="BX477" i="4"/>
  <c r="AG477" i="4"/>
  <c r="BX410" i="4"/>
  <c r="AG410" i="4"/>
  <c r="BX372" i="4"/>
  <c r="AG372" i="4"/>
  <c r="BX436" i="4"/>
  <c r="AG436" i="4"/>
  <c r="BX475" i="4"/>
  <c r="AG475" i="4"/>
  <c r="BX485" i="4"/>
  <c r="AG485" i="4"/>
  <c r="BX452" i="4"/>
  <c r="AG452" i="4"/>
  <c r="BX381" i="4"/>
  <c r="AG381" i="4"/>
  <c r="BX432" i="4"/>
  <c r="AG432" i="4"/>
  <c r="BX458" i="4"/>
  <c r="AG458" i="4"/>
  <c r="BX369" i="4"/>
  <c r="AG369" i="4"/>
  <c r="BX453" i="4"/>
  <c r="AG453" i="4"/>
  <c r="BX370" i="4"/>
  <c r="AG370" i="4"/>
  <c r="BX420" i="4"/>
  <c r="AG420" i="4"/>
  <c r="BX415" i="4"/>
  <c r="AG415" i="4"/>
  <c r="BX394" i="4"/>
  <c r="AG394" i="4"/>
  <c r="BX450" i="4"/>
  <c r="AG450" i="4"/>
  <c r="BX474" i="4"/>
  <c r="AG474" i="4"/>
  <c r="BX404" i="4"/>
  <c r="AG404" i="4"/>
  <c r="BX459" i="4"/>
  <c r="AG459" i="4"/>
  <c r="BX419" i="4"/>
  <c r="AG419" i="4"/>
  <c r="BX373" i="4"/>
  <c r="AG373" i="4"/>
  <c r="BX461" i="4"/>
  <c r="AG461" i="4"/>
  <c r="BX424" i="4"/>
  <c r="AG424" i="4"/>
  <c r="BX465" i="4"/>
  <c r="AG465" i="4"/>
  <c r="BX388" i="4"/>
  <c r="AG388" i="4"/>
  <c r="BX376" i="4"/>
  <c r="AG376" i="4"/>
  <c r="BX483" i="4"/>
  <c r="AG483" i="4"/>
  <c r="BX455" i="4"/>
  <c r="AG455" i="4"/>
  <c r="BX457" i="4"/>
  <c r="AG457" i="4"/>
  <c r="BX487" i="4"/>
  <c r="AG487" i="4"/>
  <c r="BX400" i="4"/>
  <c r="AG400" i="4"/>
  <c r="BX411" i="4"/>
  <c r="AG411" i="4"/>
  <c r="BX481" i="4"/>
  <c r="AG481" i="4"/>
  <c r="BX449" i="4"/>
  <c r="AG449" i="4"/>
  <c r="BX454" i="4"/>
  <c r="AG454" i="4"/>
  <c r="BX425" i="4"/>
  <c r="AG425" i="4"/>
  <c r="BX489" i="4"/>
  <c r="AG489" i="4"/>
  <c r="BX396" i="4"/>
  <c r="AG396" i="4"/>
  <c r="BX490" i="4"/>
  <c r="AG490" i="4"/>
  <c r="BX442" i="4"/>
  <c r="AG442" i="4"/>
  <c r="BX386" i="4"/>
  <c r="AG386" i="4"/>
  <c r="BX463" i="4"/>
  <c r="AG463" i="4"/>
  <c r="BX439" i="4"/>
  <c r="AG439" i="4"/>
  <c r="BX472" i="4"/>
  <c r="AG472" i="4"/>
  <c r="BX384" i="4"/>
  <c r="AG384" i="4"/>
  <c r="BX378" i="4"/>
  <c r="AG378" i="4"/>
  <c r="BX408" i="4"/>
  <c r="AG408" i="4"/>
  <c r="BX479" i="4"/>
  <c r="AG479" i="4"/>
  <c r="BX409" i="4"/>
  <c r="AG409" i="4"/>
  <c r="BX397" i="4"/>
  <c r="AG397" i="4"/>
  <c r="BX405" i="4"/>
  <c r="AG405" i="4"/>
  <c r="BX476" i="4"/>
  <c r="AG476" i="4"/>
  <c r="BX402" i="4"/>
  <c r="AG402" i="4"/>
  <c r="BX456" i="4"/>
  <c r="AG456" i="4"/>
  <c r="BX462" i="4"/>
  <c r="AG462" i="4"/>
  <c r="BX448" i="4"/>
  <c r="AG448" i="4"/>
  <c r="BX426" i="4"/>
  <c r="AG426" i="4"/>
  <c r="BX427" i="4"/>
  <c r="AG427" i="4"/>
  <c r="BX430" i="4"/>
  <c r="AG430" i="4"/>
  <c r="BX422" i="4"/>
  <c r="AG422" i="4"/>
  <c r="BX441" i="4"/>
  <c r="AG441" i="4"/>
  <c r="BX407" i="4"/>
  <c r="AG407" i="4"/>
  <c r="BX471" i="4"/>
  <c r="AG471" i="4"/>
  <c r="BX371" i="4"/>
  <c r="AG371" i="4"/>
  <c r="BX444" i="4"/>
  <c r="AG444" i="4"/>
  <c r="BX383" i="4"/>
  <c r="AG383" i="4"/>
  <c r="BX480" i="4"/>
  <c r="AG480" i="4"/>
  <c r="BX467" i="4"/>
  <c r="AG467" i="4"/>
  <c r="BX391" i="4"/>
  <c r="AG391" i="4"/>
  <c r="BX433" i="4"/>
  <c r="AG433" i="4"/>
  <c r="BX484" i="4"/>
  <c r="AG484" i="4"/>
  <c r="BX368" i="4"/>
  <c r="AG368" i="4"/>
  <c r="BX379" i="4"/>
  <c r="AG379" i="4"/>
  <c r="BX437" i="4"/>
  <c r="AG437" i="4"/>
  <c r="BX443" i="4"/>
  <c r="AG443" i="4"/>
  <c r="BX470" i="4"/>
  <c r="AG470" i="4"/>
  <c r="BX413" i="4"/>
  <c r="AG413" i="4"/>
  <c r="BX482" i="4"/>
  <c r="AG482" i="4"/>
  <c r="BX414" i="4"/>
  <c r="AG414" i="4"/>
  <c r="BX399" i="4"/>
  <c r="AG399" i="4"/>
  <c r="AI1392" i="4"/>
  <c r="AI1313" i="4"/>
  <c r="AI1263" i="4"/>
  <c r="AI1279" i="4"/>
  <c r="AI1542" i="4"/>
  <c r="BX277" i="4"/>
  <c r="AG277" i="4"/>
  <c r="BX352" i="4"/>
  <c r="AG352" i="4"/>
  <c r="BX363" i="4"/>
  <c r="AG363" i="4"/>
  <c r="BX357" i="4"/>
  <c r="AG357" i="4"/>
  <c r="BX321" i="4"/>
  <c r="AG321" i="4"/>
  <c r="BX292" i="4"/>
  <c r="AG292" i="4"/>
  <c r="BX350" i="4"/>
  <c r="AG350" i="4"/>
  <c r="BX253" i="4"/>
  <c r="AG253" i="4"/>
  <c r="BX286" i="4"/>
  <c r="AG286" i="4"/>
  <c r="BX242" i="4"/>
  <c r="AG242" i="4"/>
  <c r="BX257" i="4"/>
  <c r="AG257" i="4"/>
  <c r="BX238" i="4"/>
  <c r="AG238" i="4"/>
  <c r="BX250" i="4"/>
  <c r="AG250" i="4"/>
  <c r="BX275" i="4"/>
  <c r="AG275" i="4"/>
  <c r="BX311" i="4"/>
  <c r="AG311" i="4"/>
  <c r="BX298" i="4"/>
  <c r="AG298" i="4"/>
  <c r="BX326" i="4"/>
  <c r="AG326" i="4"/>
  <c r="BX322" i="4"/>
  <c r="AG322" i="4"/>
  <c r="BX318" i="4"/>
  <c r="AG318" i="4"/>
  <c r="BX300" i="4"/>
  <c r="AG300" i="4"/>
  <c r="BX345" i="4"/>
  <c r="AG345" i="4"/>
  <c r="BX280" i="4"/>
  <c r="AG280" i="4"/>
  <c r="BX290" i="4"/>
  <c r="AG290" i="4"/>
  <c r="BX296" i="4"/>
  <c r="AG296" i="4"/>
  <c r="BX306" i="4"/>
  <c r="AG306" i="4"/>
  <c r="BX341" i="4"/>
  <c r="AG341" i="4"/>
  <c r="BX333" i="4"/>
  <c r="AG333" i="4"/>
  <c r="BX315" i="4"/>
  <c r="AG315" i="4"/>
  <c r="BX283" i="4"/>
  <c r="AG283" i="4"/>
  <c r="BX255" i="4"/>
  <c r="AG255" i="4"/>
  <c r="BX316" i="4"/>
  <c r="AG316" i="4"/>
  <c r="BX269" i="4"/>
  <c r="AG269" i="4"/>
  <c r="BX305" i="4"/>
  <c r="AG305" i="4"/>
  <c r="BX271" i="4"/>
  <c r="AG271" i="4"/>
  <c r="BX337" i="4"/>
  <c r="AG337" i="4"/>
  <c r="BX365" i="4"/>
  <c r="AG365" i="4"/>
  <c r="BX310" i="4"/>
  <c r="AG310" i="4"/>
  <c r="BX343" i="4"/>
  <c r="AG343" i="4"/>
  <c r="BX276" i="4"/>
  <c r="AG276" i="4"/>
  <c r="BX282" i="4"/>
  <c r="AG282" i="4"/>
  <c r="BX254" i="4"/>
  <c r="AG254" i="4"/>
  <c r="BX299" i="4"/>
  <c r="AG299" i="4"/>
  <c r="BX320" i="4"/>
  <c r="AG320" i="4"/>
  <c r="BX241" i="4"/>
  <c r="AG241" i="4"/>
  <c r="BX309" i="4"/>
  <c r="AG309" i="4"/>
  <c r="BX361" i="4"/>
  <c r="AG361" i="4"/>
  <c r="BX348" i="4"/>
  <c r="AG348" i="4"/>
  <c r="BX265" i="4"/>
  <c r="AG265" i="4"/>
  <c r="BX344" i="4"/>
  <c r="AG344" i="4"/>
  <c r="BX246" i="4"/>
  <c r="AG246" i="4"/>
  <c r="BX319" i="4"/>
  <c r="AG319" i="4"/>
  <c r="BX323" i="4"/>
  <c r="AG323" i="4"/>
  <c r="BX340" i="4"/>
  <c r="AG340" i="4"/>
  <c r="BX288" i="4"/>
  <c r="AG288" i="4"/>
  <c r="BX364" i="4"/>
  <c r="AG364" i="4"/>
  <c r="BX328" i="4"/>
  <c r="AG328" i="4"/>
  <c r="BX264" i="4"/>
  <c r="AG264" i="4"/>
  <c r="BX346" i="4"/>
  <c r="AG346" i="4"/>
  <c r="BX351" i="4"/>
  <c r="AG351" i="4"/>
  <c r="BX301" i="4"/>
  <c r="AG301" i="4"/>
  <c r="BX236" i="4"/>
  <c r="AG236" i="4"/>
  <c r="BX273" i="4"/>
  <c r="AG273" i="4"/>
  <c r="BX353" i="4"/>
  <c r="AG353" i="4"/>
  <c r="BX334" i="4"/>
  <c r="AG334" i="4"/>
  <c r="BX279" i="4"/>
  <c r="AG279" i="4"/>
  <c r="BX312" i="4"/>
  <c r="AG312" i="4"/>
  <c r="BX268" i="4"/>
  <c r="AG268" i="4"/>
  <c r="BX317" i="4"/>
  <c r="AG317" i="4"/>
  <c r="BX295" i="4"/>
  <c r="AG295" i="4"/>
  <c r="BX293" i="4"/>
  <c r="AG293" i="4"/>
  <c r="BX274" i="4"/>
  <c r="AG274" i="4"/>
  <c r="BX235" i="4"/>
  <c r="AG235" i="4"/>
  <c r="BX231" i="4"/>
  <c r="AG231" i="4"/>
  <c r="BX252" i="4"/>
  <c r="AG252" i="4"/>
  <c r="BX314" i="4"/>
  <c r="AG314" i="4"/>
  <c r="BX359" i="4"/>
  <c r="AG359" i="4"/>
  <c r="BX256" i="4"/>
  <c r="AG256" i="4"/>
  <c r="BX358" i="4"/>
  <c r="AG358" i="4"/>
  <c r="BX247" i="4"/>
  <c r="AG247" i="4"/>
  <c r="BX354" i="4"/>
  <c r="AG354" i="4"/>
  <c r="BX284" i="4"/>
  <c r="AG284" i="4"/>
  <c r="BX307" i="4"/>
  <c r="AG307" i="4"/>
  <c r="BX289" i="4"/>
  <c r="AG289" i="4"/>
  <c r="BX230" i="4"/>
  <c r="AG230" i="4"/>
  <c r="BX261" i="4"/>
  <c r="AG261" i="4"/>
  <c r="BX325" i="4"/>
  <c r="AG325" i="4"/>
  <c r="BX342" i="4"/>
  <c r="AG342" i="4"/>
  <c r="BX258" i="4"/>
  <c r="AG258" i="4"/>
  <c r="BX240" i="4"/>
  <c r="AG240" i="4"/>
  <c r="BX281" i="4"/>
  <c r="AG281" i="4"/>
  <c r="BX366" i="4"/>
  <c r="BX355" i="4"/>
  <c r="AG355" i="4"/>
  <c r="BX303" i="4"/>
  <c r="AG303" i="4"/>
  <c r="BX239" i="4"/>
  <c r="AG239" i="4"/>
  <c r="BX243" i="4"/>
  <c r="AG243" i="4"/>
  <c r="BX263" i="4"/>
  <c r="AG263" i="4"/>
  <c r="BX259" i="4"/>
  <c r="AG259" i="4"/>
  <c r="BX327" i="4"/>
  <c r="AG327" i="4"/>
  <c r="BX329" i="4"/>
  <c r="AG329" i="4"/>
  <c r="BX272" i="4"/>
  <c r="AG272" i="4"/>
  <c r="BX304" i="4"/>
  <c r="AG304" i="4"/>
  <c r="AG366" i="4"/>
  <c r="BX237" i="4"/>
  <c r="AG237" i="4"/>
  <c r="BX278" i="4"/>
  <c r="AG278" i="4"/>
  <c r="BX349" i="4"/>
  <c r="AG349" i="4"/>
  <c r="BX287" i="4"/>
  <c r="AG287" i="4"/>
  <c r="BX336" i="4"/>
  <c r="AG336" i="4"/>
  <c r="BX356" i="4"/>
  <c r="AG356" i="4"/>
  <c r="BX335" i="4"/>
  <c r="AG335" i="4"/>
  <c r="BX234" i="4"/>
  <c r="AG234" i="4"/>
  <c r="BX244" i="4"/>
  <c r="AG244" i="4"/>
  <c r="BX245" i="4"/>
  <c r="AG245" i="4"/>
  <c r="BX248" i="4"/>
  <c r="AG248" i="4"/>
  <c r="BX297" i="4"/>
  <c r="AG297" i="4"/>
  <c r="BX291" i="4"/>
  <c r="AG291" i="4"/>
  <c r="BX330" i="4"/>
  <c r="AG330" i="4"/>
  <c r="BX266" i="4"/>
  <c r="AG266" i="4"/>
  <c r="BX285" i="4"/>
  <c r="AG285" i="4"/>
  <c r="BX251" i="4"/>
  <c r="AG251" i="4"/>
  <c r="BX270" i="4"/>
  <c r="AG270" i="4"/>
  <c r="BX338" i="4"/>
  <c r="AG338" i="4"/>
  <c r="BX339" i="4"/>
  <c r="AG339" i="4"/>
  <c r="BX313" i="4"/>
  <c r="AG313" i="4"/>
  <c r="BX294" i="4"/>
  <c r="AG294" i="4"/>
  <c r="BX267" i="4"/>
  <c r="AG267" i="4"/>
  <c r="BX324" i="4"/>
  <c r="AG324" i="4"/>
  <c r="BX360" i="4"/>
  <c r="AG360" i="4"/>
  <c r="BX233" i="4"/>
  <c r="AG233" i="4"/>
  <c r="BX362" i="4"/>
  <c r="AG362" i="4"/>
  <c r="BX249" i="4"/>
  <c r="AG249" i="4"/>
  <c r="BX260" i="4"/>
  <c r="AG260" i="4"/>
  <c r="BX262" i="4"/>
  <c r="AG262" i="4"/>
  <c r="BX308" i="4"/>
  <c r="AG308" i="4"/>
  <c r="BX302" i="4"/>
  <c r="AG302" i="4"/>
  <c r="BX367" i="4"/>
  <c r="AG367" i="4"/>
  <c r="BX332" i="4"/>
  <c r="AG332" i="4"/>
  <c r="BX331" i="4"/>
  <c r="AG331" i="4"/>
  <c r="BX232" i="4"/>
  <c r="AG232" i="4"/>
  <c r="BX347" i="4"/>
  <c r="AG347" i="4"/>
  <c r="AG1213" i="4"/>
  <c r="BX172" i="4"/>
  <c r="AG172" i="4"/>
  <c r="BX111" i="4"/>
  <c r="AG111" i="4"/>
  <c r="BX96" i="4"/>
  <c r="AG96" i="4"/>
  <c r="BX117" i="4"/>
  <c r="AG117" i="4"/>
  <c r="BX164" i="4"/>
  <c r="AG164" i="4"/>
  <c r="BX204" i="4"/>
  <c r="AG204" i="4"/>
  <c r="BX194" i="4"/>
  <c r="AG194" i="4"/>
  <c r="BX229" i="4"/>
  <c r="AG229" i="4"/>
  <c r="BX93" i="4"/>
  <c r="AG93" i="4"/>
  <c r="BX174" i="4"/>
  <c r="AG174" i="4"/>
  <c r="BX165" i="4"/>
  <c r="AG165" i="4"/>
  <c r="BX139" i="4"/>
  <c r="AG139" i="4"/>
  <c r="BX181" i="4"/>
  <c r="AG181" i="4"/>
  <c r="BX138" i="4"/>
  <c r="AG138" i="4"/>
  <c r="BX195" i="4"/>
  <c r="AG195" i="4"/>
  <c r="BX145" i="4"/>
  <c r="AG145" i="4"/>
  <c r="BX154" i="4"/>
  <c r="AG154" i="4"/>
  <c r="BX150" i="4"/>
  <c r="AG150" i="4"/>
  <c r="BX185" i="4"/>
  <c r="AG185" i="4"/>
  <c r="BX147" i="4"/>
  <c r="AG147" i="4"/>
  <c r="BX133" i="4"/>
  <c r="AG133" i="4"/>
  <c r="BX122" i="4"/>
  <c r="AG122" i="4"/>
  <c r="BX180" i="4"/>
  <c r="AG180" i="4"/>
  <c r="BX205" i="4"/>
  <c r="AG205" i="4"/>
  <c r="BX173" i="4"/>
  <c r="AG173" i="4"/>
  <c r="BX113" i="4"/>
  <c r="AG113" i="4"/>
  <c r="BX94" i="4"/>
  <c r="AG94" i="4"/>
  <c r="BX197" i="4"/>
  <c r="AG197" i="4"/>
  <c r="BX212" i="4"/>
  <c r="AG212" i="4"/>
  <c r="BX146" i="4"/>
  <c r="AG146" i="4"/>
  <c r="BX105" i="4"/>
  <c r="AG105" i="4"/>
  <c r="BX193" i="4"/>
  <c r="AG193" i="4"/>
  <c r="BX178" i="4"/>
  <c r="AG178" i="4"/>
  <c r="BX200" i="4"/>
  <c r="AG200" i="4"/>
  <c r="BX209" i="4"/>
  <c r="AG209" i="4"/>
  <c r="BX161" i="4"/>
  <c r="AG161" i="4"/>
  <c r="BX144" i="4"/>
  <c r="AG144" i="4"/>
  <c r="BX103" i="4"/>
  <c r="AG103" i="4"/>
  <c r="BX115" i="4"/>
  <c r="AG115" i="4"/>
  <c r="BX225" i="4"/>
  <c r="AG225" i="4"/>
  <c r="BX131" i="4"/>
  <c r="AG131" i="4"/>
  <c r="BX158" i="4"/>
  <c r="AG158" i="4"/>
  <c r="BX189" i="4"/>
  <c r="AG189" i="4"/>
  <c r="BX215" i="4"/>
  <c r="AG215" i="4"/>
  <c r="BX220" i="4"/>
  <c r="AG220" i="4"/>
  <c r="BX159" i="4"/>
  <c r="AG159" i="4"/>
  <c r="BX91" i="4"/>
  <c r="AG91" i="4"/>
  <c r="BX107" i="4"/>
  <c r="AG107" i="4"/>
  <c r="BX218" i="4"/>
  <c r="AG218" i="4"/>
  <c r="BX182" i="4"/>
  <c r="AG182" i="4"/>
  <c r="BX223" i="4"/>
  <c r="AG223" i="4"/>
  <c r="BX162" i="4"/>
  <c r="AG162" i="4"/>
  <c r="BX97" i="4"/>
  <c r="AG97" i="4"/>
  <c r="BX120" i="4"/>
  <c r="AG120" i="4"/>
  <c r="BX176" i="4"/>
  <c r="AG176" i="4"/>
  <c r="BX110" i="4"/>
  <c r="AG110" i="4"/>
  <c r="BX118" i="4"/>
  <c r="AG118" i="4"/>
  <c r="BX186" i="4"/>
  <c r="AG186" i="4"/>
  <c r="BX175" i="4"/>
  <c r="AG175" i="4"/>
  <c r="BX114" i="4"/>
  <c r="AG114" i="4"/>
  <c r="BX95" i="4"/>
  <c r="AG95" i="4"/>
  <c r="BX227" i="4"/>
  <c r="AG227" i="4"/>
  <c r="BX221" i="4"/>
  <c r="AG221" i="4"/>
  <c r="BX127" i="4"/>
  <c r="AG127" i="4"/>
  <c r="BX199" i="4"/>
  <c r="AG199" i="4"/>
  <c r="BX157" i="4"/>
  <c r="AG157" i="4"/>
  <c r="BX119" i="4"/>
  <c r="AG119" i="4"/>
  <c r="BX187" i="4"/>
  <c r="AG187" i="4"/>
  <c r="BX168" i="4"/>
  <c r="AG168" i="4"/>
  <c r="BX132" i="4"/>
  <c r="AG132" i="4"/>
  <c r="BX202" i="4"/>
  <c r="AG202" i="4"/>
  <c r="BX153" i="4"/>
  <c r="AG153" i="4"/>
  <c r="BX191" i="4"/>
  <c r="AG191" i="4"/>
  <c r="BX208" i="4"/>
  <c r="AG208" i="4"/>
  <c r="BX166" i="4"/>
  <c r="AG166" i="4"/>
  <c r="BX206" i="4"/>
  <c r="AG206" i="4"/>
  <c r="BX226" i="4"/>
  <c r="AG226" i="4"/>
  <c r="BX207" i="4"/>
  <c r="AG207" i="4"/>
  <c r="BX224" i="4"/>
  <c r="AG224" i="4"/>
  <c r="BX100" i="4"/>
  <c r="AG100" i="4"/>
  <c r="BX183" i="4"/>
  <c r="AG183" i="4"/>
  <c r="BX167" i="4"/>
  <c r="AG167" i="4"/>
  <c r="BX136" i="4"/>
  <c r="AG136" i="4"/>
  <c r="BX108" i="4"/>
  <c r="AG108" i="4"/>
  <c r="BX99" i="4"/>
  <c r="AG99" i="4"/>
  <c r="BX130" i="4"/>
  <c r="AG130" i="4"/>
  <c r="BX104" i="4"/>
  <c r="AG104" i="4"/>
  <c r="BX169" i="4"/>
  <c r="AG169" i="4"/>
  <c r="BX143" i="4"/>
  <c r="AG143" i="4"/>
  <c r="BX216" i="4"/>
  <c r="AG216" i="4"/>
  <c r="BX125" i="4"/>
  <c r="AG125" i="4"/>
  <c r="BX198" i="4"/>
  <c r="AG198" i="4"/>
  <c r="BX123" i="4"/>
  <c r="AG123" i="4"/>
  <c r="BX214" i="4"/>
  <c r="AG214" i="4"/>
  <c r="BX102" i="4"/>
  <c r="AG102" i="4"/>
  <c r="BX163" i="4"/>
  <c r="AG163" i="4"/>
  <c r="BX109" i="4"/>
  <c r="AG109" i="4"/>
  <c r="BX134" i="4"/>
  <c r="AG134" i="4"/>
  <c r="BX92" i="4"/>
  <c r="AG92" i="4"/>
  <c r="BX135" i="4"/>
  <c r="AG135" i="4"/>
  <c r="BX213" i="4"/>
  <c r="AG213" i="4"/>
  <c r="BX101" i="4"/>
  <c r="AG101" i="4"/>
  <c r="BX219" i="4"/>
  <c r="AG219" i="4"/>
  <c r="BX126" i="4"/>
  <c r="AG126" i="4"/>
  <c r="BX203" i="4"/>
  <c r="AG203" i="4"/>
  <c r="BX152" i="4"/>
  <c r="AG152" i="4"/>
  <c r="BX177" i="4"/>
  <c r="AG177" i="4"/>
  <c r="BX222" i="4"/>
  <c r="AG222" i="4"/>
  <c r="BX190" i="4"/>
  <c r="AG190" i="4"/>
  <c r="BX192" i="4"/>
  <c r="AG192" i="4"/>
  <c r="BX217" i="4"/>
  <c r="AG217" i="4"/>
  <c r="BX156" i="4"/>
  <c r="AG156" i="4"/>
  <c r="BX171" i="4"/>
  <c r="AG171" i="4"/>
  <c r="BX211" i="4"/>
  <c r="AG211" i="4"/>
  <c r="BX210" i="4"/>
  <c r="AG210" i="4"/>
  <c r="BX160" i="4"/>
  <c r="AG160" i="4"/>
  <c r="BX141" i="4"/>
  <c r="AG141" i="4"/>
  <c r="BX155" i="4"/>
  <c r="AG155" i="4"/>
  <c r="BX170" i="4"/>
  <c r="AG170" i="4"/>
  <c r="BX184" i="4"/>
  <c r="AG184" i="4"/>
  <c r="BX124" i="4"/>
  <c r="AG124" i="4"/>
  <c r="BX201" i="4"/>
  <c r="AG201" i="4"/>
  <c r="BX140" i="4"/>
  <c r="AG140" i="4"/>
  <c r="BX179" i="4"/>
  <c r="AG179" i="4"/>
  <c r="BX112" i="4"/>
  <c r="AG112" i="4"/>
  <c r="BX129" i="4"/>
  <c r="AG129" i="4"/>
  <c r="BX188" i="4"/>
  <c r="AG188" i="4"/>
  <c r="BX196" i="4"/>
  <c r="AG196" i="4"/>
  <c r="BX149" i="4"/>
  <c r="AG149" i="4"/>
  <c r="BX137" i="4"/>
  <c r="AG137" i="4"/>
  <c r="BX98" i="4"/>
  <c r="AG98" i="4"/>
  <c r="BX228" i="4"/>
  <c r="AG228" i="4"/>
  <c r="BX121" i="4"/>
  <c r="AG121" i="4"/>
  <c r="BX116" i="4"/>
  <c r="AG116" i="4"/>
  <c r="BX148" i="4"/>
  <c r="AG148" i="4"/>
  <c r="BX151" i="4"/>
  <c r="AG151" i="4"/>
  <c r="BX142" i="4"/>
  <c r="AG142" i="4"/>
  <c r="BX106" i="4"/>
  <c r="AG106" i="4"/>
  <c r="BX128" i="4"/>
  <c r="AG128" i="4"/>
  <c r="AG55" i="4"/>
  <c r="BX34" i="4"/>
  <c r="AG34" i="4"/>
  <c r="BX87" i="4"/>
  <c r="AG87" i="4"/>
  <c r="BX78" i="4"/>
  <c r="AG78" i="4"/>
  <c r="BX8" i="4"/>
  <c r="AG8" i="4"/>
  <c r="BX60" i="4"/>
  <c r="AG60" i="4"/>
  <c r="BX68" i="4"/>
  <c r="AG68" i="4"/>
  <c r="BX29" i="4"/>
  <c r="AG29" i="4"/>
  <c r="BX65" i="4"/>
  <c r="AG65" i="4"/>
  <c r="BX70" i="4"/>
  <c r="AG70" i="4"/>
  <c r="BX74" i="4"/>
  <c r="AG74" i="4"/>
  <c r="BX39" i="4"/>
  <c r="AG39" i="4"/>
  <c r="BX10" i="4"/>
  <c r="AG10" i="4"/>
  <c r="BX25" i="4"/>
  <c r="AG25" i="4"/>
  <c r="BX22" i="4"/>
  <c r="AG22" i="4"/>
  <c r="BX76" i="4"/>
  <c r="AG76" i="4"/>
  <c r="BX31" i="4"/>
  <c r="AG31" i="4"/>
  <c r="BX35" i="4"/>
  <c r="AG35" i="4"/>
  <c r="BX18" i="4"/>
  <c r="AG18" i="4"/>
  <c r="BX62" i="4"/>
  <c r="AG62" i="4"/>
  <c r="BX57" i="4"/>
  <c r="AG57" i="4"/>
  <c r="BX26" i="4"/>
  <c r="AG26" i="4"/>
  <c r="BX90" i="4"/>
  <c r="AG90" i="4"/>
  <c r="BX71" i="4"/>
  <c r="AG71" i="4"/>
  <c r="BX23" i="4"/>
  <c r="AG23" i="4"/>
  <c r="BX15" i="4"/>
  <c r="AG15" i="4"/>
  <c r="BX27" i="4"/>
  <c r="AG27" i="4"/>
  <c r="BX11" i="4"/>
  <c r="AG11" i="4"/>
  <c r="BX64" i="4"/>
  <c r="AG64" i="4"/>
  <c r="BX58" i="4"/>
  <c r="AG58" i="4"/>
  <c r="BX67" i="4"/>
  <c r="AG67" i="4"/>
  <c r="BX37" i="4"/>
  <c r="AG37" i="4"/>
  <c r="BX46" i="4"/>
  <c r="AG46" i="4"/>
  <c r="BX16" i="4"/>
  <c r="AG16" i="4"/>
  <c r="BX14" i="4"/>
  <c r="AG14" i="4"/>
  <c r="BX7" i="4"/>
  <c r="AG7" i="4"/>
  <c r="BX77" i="4"/>
  <c r="AG77" i="4"/>
  <c r="BX88" i="4"/>
  <c r="AG88" i="4"/>
  <c r="BX80" i="4"/>
  <c r="AG80" i="4"/>
  <c r="BX61" i="4"/>
  <c r="AG61" i="4"/>
  <c r="BX33" i="4"/>
  <c r="AG33" i="4"/>
  <c r="BX55" i="4"/>
  <c r="BX50" i="4"/>
  <c r="AG50" i="4"/>
  <c r="BX17" i="4"/>
  <c r="AG17" i="4"/>
  <c r="BX36" i="4"/>
  <c r="AG36" i="4"/>
  <c r="BX81" i="4"/>
  <c r="AG81" i="4"/>
  <c r="BX51" i="4"/>
  <c r="AG51" i="4"/>
  <c r="BX69" i="4"/>
  <c r="AG69" i="4"/>
  <c r="BX63" i="4"/>
  <c r="AG63" i="4"/>
  <c r="BX21" i="4"/>
  <c r="AG21" i="4"/>
  <c r="BX45" i="4"/>
  <c r="AG45" i="4"/>
  <c r="BX32" i="4"/>
  <c r="AG32" i="4"/>
  <c r="BX84" i="4"/>
  <c r="AG84" i="4"/>
  <c r="BX52" i="4"/>
  <c r="AG52" i="4"/>
  <c r="BX75" i="4"/>
  <c r="AG75" i="4"/>
  <c r="BX86" i="4"/>
  <c r="AG86" i="4"/>
  <c r="BX12" i="4"/>
  <c r="AG12" i="4"/>
  <c r="BX79" i="4"/>
  <c r="AG79" i="4"/>
  <c r="BX72" i="4"/>
  <c r="AG72" i="4"/>
  <c r="BX73" i="4"/>
  <c r="AG73" i="4"/>
  <c r="AG43" i="4"/>
  <c r="BX43" i="4"/>
  <c r="BX20" i="4"/>
  <c r="AG20" i="4"/>
  <c r="BX9" i="4"/>
  <c r="AG9" i="4"/>
  <c r="BX47" i="4"/>
  <c r="AG47" i="4"/>
  <c r="BX19" i="4"/>
  <c r="AG19" i="4"/>
  <c r="BX82" i="4"/>
  <c r="AG82" i="4"/>
  <c r="BX89" i="4"/>
  <c r="AG89" i="4"/>
  <c r="BX85" i="4"/>
  <c r="AG85" i="4"/>
  <c r="BX66" i="4"/>
  <c r="AG66" i="4"/>
  <c r="BX54" i="4"/>
  <c r="AG54" i="4"/>
  <c r="BX59" i="4"/>
  <c r="AG59" i="4"/>
  <c r="BX6" i="4"/>
  <c r="AG6" i="4"/>
  <c r="BX24" i="4"/>
  <c r="AG24" i="4"/>
  <c r="BX56" i="4"/>
  <c r="AG56" i="4"/>
  <c r="BX48" i="4"/>
  <c r="AG48" i="4"/>
  <c r="BX28" i="4"/>
  <c r="AG28" i="4"/>
  <c r="BX30" i="4"/>
  <c r="AG30" i="4"/>
  <c r="BX38" i="4"/>
  <c r="AG38" i="4"/>
  <c r="AG42" i="4"/>
  <c r="BX42" i="4"/>
  <c r="BX13" i="4"/>
  <c r="AG13" i="4"/>
  <c r="BX53" i="4"/>
  <c r="AG53" i="4"/>
  <c r="BX83" i="4"/>
  <c r="AG83" i="4"/>
  <c r="AG1210" i="4"/>
  <c r="AG1209" i="4"/>
  <c r="BX1853" i="4"/>
  <c r="AG1853" i="4"/>
  <c r="BX1905" i="4"/>
  <c r="AG1905" i="4"/>
  <c r="BX1913" i="4"/>
  <c r="AG1913" i="4"/>
  <c r="BX1844" i="4"/>
  <c r="AG1844" i="4"/>
  <c r="BX1851" i="4"/>
  <c r="AG1851" i="4"/>
  <c r="BX1910" i="4"/>
  <c r="AG1910" i="4"/>
  <c r="BX1928" i="4"/>
  <c r="AG1928" i="4"/>
  <c r="BX1857" i="4"/>
  <c r="AG1857" i="4"/>
  <c r="BX1856" i="4"/>
  <c r="AG1856" i="4"/>
  <c r="BX1957" i="4"/>
  <c r="AG1957" i="4"/>
  <c r="BX1887" i="4"/>
  <c r="AG1887" i="4"/>
  <c r="BX1932" i="4"/>
  <c r="AG1932" i="4"/>
  <c r="BX1927" i="4"/>
  <c r="AG1927" i="4"/>
  <c r="BX1903" i="4"/>
  <c r="AG1903" i="4"/>
  <c r="BX1918" i="4"/>
  <c r="AG1918" i="4"/>
  <c r="BX1963" i="4"/>
  <c r="AG1963" i="4"/>
  <c r="BX1889" i="4"/>
  <c r="AG1889" i="4"/>
  <c r="BX1874" i="4"/>
  <c r="AG1874" i="4"/>
  <c r="BX2000" i="4"/>
  <c r="AG2000" i="4"/>
  <c r="BX1877" i="4"/>
  <c r="AG1877" i="4"/>
  <c r="BX1976" i="4"/>
  <c r="AG1976" i="4"/>
  <c r="BX1840" i="4"/>
  <c r="AG1840" i="4"/>
  <c r="BX1951" i="4"/>
  <c r="AG1951" i="4"/>
  <c r="BX1994" i="4"/>
  <c r="AG1994" i="4"/>
  <c r="BX1955" i="4"/>
  <c r="AG1955" i="4"/>
  <c r="BX1972" i="4"/>
  <c r="AG1972" i="4"/>
  <c r="BX1871" i="4"/>
  <c r="AG1871" i="4"/>
  <c r="BX1973" i="4"/>
  <c r="AG1973" i="4"/>
  <c r="BX1915" i="4"/>
  <c r="AG1915" i="4"/>
  <c r="BX1992" i="4"/>
  <c r="AG1992" i="4"/>
  <c r="BX1953" i="4"/>
  <c r="AG1953" i="4"/>
  <c r="BX1862" i="4"/>
  <c r="AG1862" i="4"/>
  <c r="BX1984" i="4"/>
  <c r="AG1984" i="4"/>
  <c r="BX1985" i="4"/>
  <c r="AG1985" i="4"/>
  <c r="BX1920" i="4"/>
  <c r="AG1920" i="4"/>
  <c r="BX1916" i="4"/>
  <c r="AG1916" i="4"/>
  <c r="BX1965" i="4"/>
  <c r="AG1965" i="4"/>
  <c r="BX1833" i="4"/>
  <c r="AG1833" i="4"/>
  <c r="BX1999" i="4"/>
  <c r="AG1999" i="4"/>
  <c r="BX1968" i="4"/>
  <c r="AG1968" i="4"/>
  <c r="BX1933" i="4"/>
  <c r="AG1933" i="4"/>
  <c r="BX1991" i="4"/>
  <c r="AG1991" i="4"/>
  <c r="BX1839" i="4"/>
  <c r="AG1839" i="4"/>
  <c r="BX1868" i="4"/>
  <c r="AG1868" i="4"/>
  <c r="BX1902" i="4"/>
  <c r="AG1902" i="4"/>
  <c r="BX1989" i="4"/>
  <c r="AG1989" i="4"/>
  <c r="BX1835" i="4"/>
  <c r="AG1835" i="4"/>
  <c r="BX1937" i="4"/>
  <c r="AG1937" i="4"/>
  <c r="BX1842" i="4"/>
  <c r="AG1842" i="4"/>
  <c r="BX1869" i="4"/>
  <c r="AG1869" i="4"/>
  <c r="BX1870" i="4"/>
  <c r="AG1870" i="4"/>
  <c r="BX1923" i="4"/>
  <c r="AG1923" i="4"/>
  <c r="BX1897" i="4"/>
  <c r="AG1897" i="4"/>
  <c r="BX1942" i="4"/>
  <c r="AG1942" i="4"/>
  <c r="BX1930" i="4"/>
  <c r="AG1930" i="4"/>
  <c r="BX1866" i="4"/>
  <c r="AG1866" i="4"/>
  <c r="BX1967" i="4"/>
  <c r="AG1967" i="4"/>
  <c r="BX1958" i="4"/>
  <c r="AG1958" i="4"/>
  <c r="BX1977" i="4"/>
  <c r="AG1977" i="4"/>
  <c r="BX1854" i="4"/>
  <c r="AG1854" i="4"/>
  <c r="BX1921" i="4"/>
  <c r="AG1921" i="4"/>
  <c r="BX1908" i="4"/>
  <c r="AG1908" i="4"/>
  <c r="BX1872" i="4"/>
  <c r="AG1872" i="4"/>
  <c r="BX1891" i="4"/>
  <c r="AG1891" i="4"/>
  <c r="BX1996" i="4"/>
  <c r="AG1996" i="4"/>
  <c r="BX1987" i="4"/>
  <c r="AG1987" i="4"/>
  <c r="BX1848" i="4"/>
  <c r="AG1848" i="4"/>
  <c r="BX1865" i="4"/>
  <c r="AG1865" i="4"/>
  <c r="BX1962" i="4"/>
  <c r="AG1962" i="4"/>
  <c r="BX2002" i="4"/>
  <c r="AG2002" i="4"/>
  <c r="BX1948" i="4"/>
  <c r="AG1948" i="4"/>
  <c r="BX1850" i="4"/>
  <c r="AG1850" i="4"/>
  <c r="BX1939" i="4"/>
  <c r="AG1939" i="4"/>
  <c r="BX1952" i="4"/>
  <c r="AG1952" i="4"/>
  <c r="BX1892" i="4"/>
  <c r="AG1892" i="4"/>
  <c r="BX1943" i="4"/>
  <c r="AG1943" i="4"/>
  <c r="BX1946" i="4"/>
  <c r="AG1946" i="4"/>
  <c r="BX1941" i="4"/>
  <c r="AG1941" i="4"/>
  <c r="BX2008" i="4"/>
  <c r="AG2008" i="4"/>
  <c r="BX1912" i="4"/>
  <c r="AG1912" i="4"/>
  <c r="BX1993" i="4"/>
  <c r="AG1993" i="4"/>
  <c r="BX1863" i="4"/>
  <c r="AG1863" i="4"/>
  <c r="BX1843" i="4"/>
  <c r="AG1843" i="4"/>
  <c r="BX1997" i="4"/>
  <c r="AG1997" i="4"/>
  <c r="BX1846" i="4"/>
  <c r="AG1846" i="4"/>
  <c r="BX1956" i="4"/>
  <c r="AG1956" i="4"/>
  <c r="BX1836" i="4"/>
  <c r="AG1836" i="4"/>
  <c r="BX1990" i="4"/>
  <c r="AG1990" i="4"/>
  <c r="BX1940" i="4"/>
  <c r="AG1940" i="4"/>
  <c r="BX1852" i="4"/>
  <c r="AG1852" i="4"/>
  <c r="BX1922" i="4"/>
  <c r="AG1922" i="4"/>
  <c r="BX1935" i="4"/>
  <c r="AG1935" i="4"/>
  <c r="BX1834" i="4"/>
  <c r="AG1834" i="4"/>
  <c r="BX2007" i="4"/>
  <c r="AG2007" i="4"/>
  <c r="BX1995" i="4"/>
  <c r="AG1995" i="4"/>
  <c r="BX1883" i="4"/>
  <c r="AG1883" i="4"/>
  <c r="BX2003" i="4"/>
  <c r="AG2003" i="4"/>
  <c r="BX1864" i="4"/>
  <c r="AG1864" i="4"/>
  <c r="BX1917" i="4"/>
  <c r="AG1917" i="4"/>
  <c r="BX1849" i="4"/>
  <c r="AG1849" i="4"/>
  <c r="BX1886" i="4"/>
  <c r="AG1886" i="4"/>
  <c r="BX1950" i="4"/>
  <c r="AG1950" i="4"/>
  <c r="BX1914" i="4"/>
  <c r="AG1914" i="4"/>
  <c r="BX1970" i="4"/>
  <c r="AG1970" i="4"/>
  <c r="BX2006" i="4"/>
  <c r="AG2006" i="4"/>
  <c r="BX1881" i="4"/>
  <c r="AG1881" i="4"/>
  <c r="BX1894" i="4"/>
  <c r="AG1894" i="4"/>
  <c r="BX1947" i="4"/>
  <c r="AG1947" i="4"/>
  <c r="BX1888" i="4"/>
  <c r="AG1888" i="4"/>
  <c r="BX1986" i="4"/>
  <c r="AG1986" i="4"/>
  <c r="BX1867" i="4"/>
  <c r="AG1867" i="4"/>
  <c r="BX1880" i="4"/>
  <c r="AG1880" i="4"/>
  <c r="BX1873" i="4"/>
  <c r="AG1873" i="4"/>
  <c r="BX1893" i="4"/>
  <c r="AG1893" i="4"/>
  <c r="BX1901" i="4"/>
  <c r="AG1901" i="4"/>
  <c r="BX1838" i="4"/>
  <c r="AG1838" i="4"/>
  <c r="BX1924" i="4"/>
  <c r="AG1924" i="4"/>
  <c r="BX1860" i="4"/>
  <c r="AG1860" i="4"/>
  <c r="BX1837" i="4"/>
  <c r="AG1837" i="4"/>
  <c r="BX1925" i="4"/>
  <c r="AG1925" i="4"/>
  <c r="BX1938" i="4"/>
  <c r="AG1938" i="4"/>
  <c r="BX1858" i="4"/>
  <c r="AG1858" i="4"/>
  <c r="BX1998" i="4"/>
  <c r="AG1998" i="4"/>
  <c r="BX1971" i="4"/>
  <c r="AG1971" i="4"/>
  <c r="BX1884" i="4"/>
  <c r="AG1884" i="4"/>
  <c r="BX1936" i="4"/>
  <c r="AG1936" i="4"/>
  <c r="BX1907" i="4"/>
  <c r="AG1907" i="4"/>
  <c r="BX1859" i="4"/>
  <c r="AG1859" i="4"/>
  <c r="BX1855" i="4"/>
  <c r="AG1855" i="4"/>
  <c r="BX2005" i="4"/>
  <c r="AG2005" i="4"/>
  <c r="BX1879" i="4"/>
  <c r="AG1879" i="4"/>
  <c r="BX1847" i="4"/>
  <c r="AG1847" i="4"/>
  <c r="BX1975" i="4"/>
  <c r="AG1975" i="4"/>
  <c r="BX1969" i="4"/>
  <c r="AG1969" i="4"/>
  <c r="BX1900" i="4"/>
  <c r="AG1900" i="4"/>
  <c r="BX1929" i="4"/>
  <c r="AG1929" i="4"/>
  <c r="BX1982" i="4"/>
  <c r="AG1982" i="4"/>
  <c r="BX1949" i="4"/>
  <c r="AG1949" i="4"/>
  <c r="BX1919" i="4"/>
  <c r="AG1919" i="4"/>
  <c r="BX1890" i="4"/>
  <c r="AG1890" i="4"/>
  <c r="BX1926" i="4"/>
  <c r="AG1926" i="4"/>
  <c r="BX1878" i="4"/>
  <c r="AG1878" i="4"/>
  <c r="BX2001" i="4"/>
  <c r="AG2001" i="4"/>
  <c r="BX1944" i="4"/>
  <c r="AG1944" i="4"/>
  <c r="BX1909" i="4"/>
  <c r="AG1909" i="4"/>
  <c r="BX1861" i="4"/>
  <c r="AG1861" i="4"/>
  <c r="BX1934" i="4"/>
  <c r="AG1934" i="4"/>
  <c r="BX1954" i="4"/>
  <c r="AG1954" i="4"/>
  <c r="BX1981" i="4"/>
  <c r="AG1981" i="4"/>
  <c r="BX1882" i="4"/>
  <c r="AG1882" i="4"/>
  <c r="BX1959" i="4"/>
  <c r="AG1959" i="4"/>
  <c r="BX1931" i="4"/>
  <c r="AG1931" i="4"/>
  <c r="BX1906" i="4"/>
  <c r="AG1906" i="4"/>
  <c r="BX1983" i="4"/>
  <c r="AG1983" i="4"/>
  <c r="BX1895" i="4"/>
  <c r="AG1895" i="4"/>
  <c r="BX1988" i="4"/>
  <c r="AG1988" i="4"/>
  <c r="BX1945" i="4"/>
  <c r="AG1945" i="4"/>
  <c r="BX2004" i="4"/>
  <c r="AG2004" i="4"/>
  <c r="BX1904" i="4"/>
  <c r="AG1904" i="4"/>
  <c r="BX1885" i="4"/>
  <c r="AG1885" i="4"/>
  <c r="BX1911" i="4"/>
  <c r="AG1911" i="4"/>
  <c r="BX1841" i="4"/>
  <c r="AG1841" i="4"/>
  <c r="BX1980" i="4"/>
  <c r="AG1980" i="4"/>
  <c r="BX1961" i="4"/>
  <c r="AG1961" i="4"/>
  <c r="BX1964" i="4"/>
  <c r="AG1964" i="4"/>
  <c r="BX1966" i="4"/>
  <c r="AG1966" i="4"/>
  <c r="BX1978" i="4"/>
  <c r="AG1978" i="4"/>
  <c r="BX1898" i="4"/>
  <c r="AG1898" i="4"/>
  <c r="BX1845" i="4"/>
  <c r="AG1845" i="4"/>
  <c r="BX1896" i="4"/>
  <c r="AG1896" i="4"/>
  <c r="BX1960" i="4"/>
  <c r="AG1960" i="4"/>
  <c r="BX1875" i="4"/>
  <c r="AG1875" i="4"/>
  <c r="BX1899" i="4"/>
  <c r="AG1899" i="4"/>
  <c r="BX1974" i="4"/>
  <c r="AG1974" i="4"/>
  <c r="BX1979" i="4"/>
  <c r="AG1979" i="4"/>
  <c r="BX1876" i="4"/>
  <c r="AG1876" i="4"/>
  <c r="AG1790" i="4"/>
  <c r="AG1811" i="4"/>
  <c r="AG1774" i="4"/>
  <c r="AG1804" i="4"/>
  <c r="AG1698" i="4"/>
  <c r="AG1700" i="4"/>
  <c r="AG1786" i="4"/>
  <c r="AG1738" i="4"/>
  <c r="AG1722" i="4"/>
  <c r="AG1756" i="4"/>
  <c r="AG1711" i="4"/>
  <c r="AG1691" i="4"/>
  <c r="AG1703" i="4"/>
  <c r="AG1760" i="4"/>
  <c r="AG1724" i="4"/>
  <c r="AG1701" i="4"/>
  <c r="AG1764" i="4"/>
  <c r="AG1812" i="4"/>
  <c r="AG1791" i="4"/>
  <c r="AG1714" i="4"/>
  <c r="AG1709" i="4"/>
  <c r="AG1713" i="4"/>
  <c r="AG1794" i="4"/>
  <c r="AG1759" i="4"/>
  <c r="AG1710" i="4"/>
  <c r="AG1783" i="4"/>
  <c r="AG1815" i="4"/>
  <c r="AG1715" i="4"/>
  <c r="AG1797" i="4"/>
  <c r="AG1779" i="4"/>
  <c r="AG1753" i="4"/>
  <c r="AG1716" i="4"/>
  <c r="AG1730" i="4"/>
  <c r="AG1707" i="4"/>
  <c r="AG1697" i="4"/>
  <c r="AG1800" i="4"/>
  <c r="AG1778" i="4"/>
  <c r="AG1775" i="4"/>
  <c r="AG1785" i="4"/>
  <c r="AG1747" i="4"/>
  <c r="AG1817" i="4"/>
  <c r="AG1818" i="4"/>
  <c r="AG1704" i="4"/>
  <c r="AG1808" i="4"/>
  <c r="AG1749" i="4"/>
  <c r="AG1799" i="4"/>
  <c r="AG1719" i="4"/>
  <c r="AG1754" i="4"/>
  <c r="AG1696" i="4"/>
  <c r="AG1770" i="4"/>
  <c r="AG1784" i="4"/>
  <c r="AG1773" i="4"/>
  <c r="AG1694" i="4"/>
  <c r="AG1695" i="4"/>
  <c r="AG1801" i="4"/>
  <c r="AG1732" i="4"/>
  <c r="AG1767" i="4"/>
  <c r="AG1780" i="4"/>
  <c r="AG1726" i="4"/>
  <c r="AG1763" i="4"/>
  <c r="AG1816" i="4"/>
  <c r="AG1782" i="4"/>
  <c r="AG1702" i="4"/>
  <c r="AG1737" i="4"/>
  <c r="AG1755" i="4"/>
  <c r="AG1693" i="4"/>
  <c r="AG1806" i="4"/>
  <c r="AG1750" i="4"/>
  <c r="AG1746" i="4"/>
  <c r="AG1814" i="4"/>
  <c r="AG1805" i="4"/>
  <c r="AG1720" i="4"/>
  <c r="AG1742" i="4"/>
  <c r="AG1733" i="4"/>
  <c r="AG1788" i="4"/>
  <c r="AG1795" i="4"/>
  <c r="AG1751" i="4"/>
  <c r="AG1736" i="4"/>
  <c r="AG1781" i="4"/>
  <c r="AG1741" i="4"/>
  <c r="AG1787" i="4"/>
  <c r="AG1789" i="4"/>
  <c r="AG1690" i="4"/>
  <c r="AG1757" i="4"/>
  <c r="AG1758" i="4"/>
  <c r="AG1721" i="4"/>
  <c r="AG1718" i="4"/>
  <c r="AG1761" i="4"/>
  <c r="AG1792" i="4"/>
  <c r="AG1793" i="4"/>
  <c r="AG1813" i="4"/>
  <c r="AG1821" i="4"/>
  <c r="AG1777" i="4"/>
  <c r="AG1822" i="4"/>
  <c r="AG1798" i="4"/>
  <c r="AG1819" i="4"/>
  <c r="AG1769" i="4"/>
  <c r="AG1706" i="4"/>
  <c r="AG1723" i="4"/>
  <c r="AG1725" i="4"/>
  <c r="AG1708" i="4"/>
  <c r="AG1744" i="4"/>
  <c r="AG1752" i="4"/>
  <c r="AG1820" i="4"/>
  <c r="AG1699" i="4"/>
  <c r="AG1692" i="4"/>
  <c r="AG1712" i="4"/>
  <c r="AG1765" i="4"/>
  <c r="AG1807" i="4"/>
  <c r="AG1734" i="4"/>
  <c r="AG1766" i="4"/>
  <c r="AG1731" i="4"/>
  <c r="AG1739" i="4"/>
  <c r="AG1728" i="4"/>
  <c r="AG1810" i="4"/>
  <c r="AG1772" i="4"/>
  <c r="AG1768" i="4"/>
  <c r="AG1745" i="4"/>
  <c r="AG1705" i="4"/>
  <c r="AG1727" i="4"/>
  <c r="AG1735" i="4"/>
  <c r="AG1802" i="4"/>
  <c r="AG1717" i="4"/>
  <c r="AG1796" i="4"/>
  <c r="AG1809" i="4"/>
  <c r="AG1771" i="4"/>
  <c r="AG1748" i="4"/>
  <c r="AG1762" i="4"/>
  <c r="AG1803" i="4"/>
  <c r="AG1740" i="4"/>
  <c r="AG1776" i="4"/>
  <c r="AG1743" i="4"/>
  <c r="AG1729" i="4"/>
  <c r="AG1684" i="4"/>
  <c r="BX1817" i="4"/>
  <c r="BX1775" i="4"/>
  <c r="BX1785" i="4"/>
  <c r="BX1751" i="4"/>
  <c r="BX1729" i="4"/>
  <c r="BX1777" i="4"/>
  <c r="BX1763" i="4"/>
  <c r="BX1760" i="4"/>
  <c r="BX1690" i="4"/>
  <c r="BX1822" i="4"/>
  <c r="BX1798" i="4"/>
  <c r="BX1748" i="4"/>
  <c r="BX1723" i="4"/>
  <c r="BX1724" i="4"/>
  <c r="BX1764" i="4"/>
  <c r="BX1802" i="4"/>
  <c r="BX1754" i="4"/>
  <c r="BX1801" i="4"/>
  <c r="BX1808" i="4"/>
  <c r="BX1749" i="4"/>
  <c r="BX1700" i="4"/>
  <c r="BX1704" i="4"/>
  <c r="BX1776" i="4"/>
  <c r="BX1710" i="4"/>
  <c r="BX1783" i="4"/>
  <c r="BX1719" i="4"/>
  <c r="BX1758" i="4"/>
  <c r="BX1761" i="4"/>
  <c r="BX1792" i="4"/>
  <c r="BX1683" i="4"/>
  <c r="AG1683" i="4"/>
  <c r="BX1737" i="4"/>
  <c r="BX1716" i="4"/>
  <c r="BX1793" i="4"/>
  <c r="BX1797" i="4"/>
  <c r="BX1769" i="4"/>
  <c r="BX1695" i="4"/>
  <c r="BX1678" i="4"/>
  <c r="AG1678" i="4"/>
  <c r="BX1681" i="4"/>
  <c r="AG1681" i="4"/>
  <c r="BX1676" i="4"/>
  <c r="AG1676" i="4"/>
  <c r="BX1755" i="4"/>
  <c r="BX1770" i="4"/>
  <c r="BX1730" i="4"/>
  <c r="BX1693" i="4"/>
  <c r="BX1706" i="4"/>
  <c r="BX1806" i="4"/>
  <c r="BX1701" i="4"/>
  <c r="BX1725" i="4"/>
  <c r="BX1708" i="4"/>
  <c r="BX1744" i="4"/>
  <c r="BX1779" i="4"/>
  <c r="BX1750" i="4"/>
  <c r="BX1699" i="4"/>
  <c r="BX1686" i="4"/>
  <c r="AG1686" i="4"/>
  <c r="BX1731" i="4"/>
  <c r="BX1692" i="4"/>
  <c r="BX1712" i="4"/>
  <c r="BX1765" i="4"/>
  <c r="BX1807" i="4"/>
  <c r="BX1734" i="4"/>
  <c r="BX1696" i="4"/>
  <c r="BX1814" i="4"/>
  <c r="BX1732" i="4"/>
  <c r="BX1805" i="4"/>
  <c r="BX1813" i="4"/>
  <c r="BX1703" i="4"/>
  <c r="BX1821" i="4"/>
  <c r="BX1768" i="4"/>
  <c r="BX1707" i="4"/>
  <c r="BX1720" i="4"/>
  <c r="BX1739" i="4"/>
  <c r="BX1728" i="4"/>
  <c r="BX1742" i="4"/>
  <c r="BX1772" i="4"/>
  <c r="BX1812" i="4"/>
  <c r="BX1680" i="4"/>
  <c r="BX1697" i="4"/>
  <c r="BX1745" i="4"/>
  <c r="BX1705" i="4"/>
  <c r="BX1727" i="4"/>
  <c r="BX1810" i="4"/>
  <c r="BX1735" i="4"/>
  <c r="BX1738" i="4"/>
  <c r="AG1680" i="4"/>
  <c r="BX1819" i="4"/>
  <c r="BX1794" i="4"/>
  <c r="BX1717" i="4"/>
  <c r="BX1759" i="4"/>
  <c r="BX1796" i="4"/>
  <c r="BX1809" i="4"/>
  <c r="BX1762" i="4"/>
  <c r="BX1771" i="4"/>
  <c r="BX1736" i="4"/>
  <c r="BX1791" i="4"/>
  <c r="BX1753" i="4"/>
  <c r="BX1679" i="4"/>
  <c r="AG1679" i="4"/>
  <c r="BX1714" i="4"/>
  <c r="BX1709" i="4"/>
  <c r="BX1803" i="4"/>
  <c r="BX1752" i="4"/>
  <c r="BX1786" i="4"/>
  <c r="BX1799" i="4"/>
  <c r="BX1684" i="4"/>
  <c r="BX1767" i="4"/>
  <c r="BX1800" i="4"/>
  <c r="BX1778" i="4"/>
  <c r="BX1773" i="4"/>
  <c r="BX1722" i="4"/>
  <c r="BX1815" i="4"/>
  <c r="BX1756" i="4"/>
  <c r="BX1715" i="4"/>
  <c r="BX1747" i="4"/>
  <c r="BX1790" i="4"/>
  <c r="BX1820" i="4"/>
  <c r="BX1711" i="4"/>
  <c r="BX1804" i="4"/>
  <c r="BX1766" i="4"/>
  <c r="BX1691" i="4"/>
  <c r="BX1698" i="4"/>
  <c r="BX1718" i="4"/>
  <c r="BX1774" i="4"/>
  <c r="BX1682" i="4"/>
  <c r="AG1682" i="4"/>
  <c r="BX1746" i="4"/>
  <c r="BX1675" i="4"/>
  <c r="AG1675" i="4"/>
  <c r="BX1816" i="4"/>
  <c r="BX1694" i="4"/>
  <c r="BX1781" i="4"/>
  <c r="BX1743" i="4"/>
  <c r="BX1741" i="4"/>
  <c r="BX1787" i="4"/>
  <c r="BX1789" i="4"/>
  <c r="BX1733" i="4"/>
  <c r="BX1788" i="4"/>
  <c r="BX1818" i="4"/>
  <c r="BX1780" i="4"/>
  <c r="BX1757" i="4"/>
  <c r="BX1726" i="4"/>
  <c r="BX1721" i="4"/>
  <c r="BX1740" i="4"/>
  <c r="BX1713" i="4"/>
  <c r="BX1677" i="4"/>
  <c r="AG1677" i="4"/>
  <c r="BX1811" i="4"/>
  <c r="BX1782" i="4"/>
  <c r="BX1702" i="4"/>
  <c r="BX1784" i="4"/>
  <c r="BX1795" i="4"/>
  <c r="BX1685" i="4"/>
  <c r="AG1685" i="4"/>
  <c r="BX1654" i="4"/>
  <c r="AG1654" i="4"/>
  <c r="BX1643" i="4"/>
  <c r="AG1643" i="4"/>
  <c r="AG1644" i="4"/>
  <c r="BX1644" i="4"/>
  <c r="AG1648" i="4"/>
  <c r="BX1648" i="4"/>
  <c r="AG1627" i="4"/>
  <c r="BX1627" i="4"/>
  <c r="AG1640" i="4"/>
  <c r="BX1640" i="4"/>
  <c r="AG1671" i="4"/>
  <c r="BX1671" i="4"/>
  <c r="AG1667" i="4"/>
  <c r="BX1667" i="4"/>
  <c r="BX1670" i="4"/>
  <c r="AG1670" i="4"/>
  <c r="AG1638" i="4"/>
  <c r="BX1638" i="4"/>
  <c r="AG1661" i="4"/>
  <c r="BX1661" i="4"/>
  <c r="AG1626" i="4"/>
  <c r="BX1626" i="4"/>
  <c r="BX1652" i="4"/>
  <c r="AG1652" i="4"/>
  <c r="BX1635" i="4"/>
  <c r="AG1635" i="4"/>
  <c r="AG1647" i="4"/>
  <c r="BX1647" i="4"/>
  <c r="AG1651" i="4"/>
  <c r="BX1651" i="4"/>
  <c r="BX1669" i="4"/>
  <c r="AG1669" i="4"/>
  <c r="AG1646" i="4"/>
  <c r="BX1646" i="4"/>
  <c r="AG1674" i="4"/>
  <c r="BX1674" i="4"/>
  <c r="AG1628" i="4"/>
  <c r="BX1628" i="4"/>
  <c r="AG1666" i="4"/>
  <c r="BX1666" i="4"/>
  <c r="AG1672" i="4"/>
  <c r="BX1672" i="4"/>
  <c r="BX1629" i="4"/>
  <c r="AG1629" i="4"/>
  <c r="AG1664" i="4"/>
  <c r="BX1664" i="4"/>
  <c r="BX1637" i="4"/>
  <c r="AG1637" i="4"/>
  <c r="AG1649" i="4"/>
  <c r="BX1649" i="4"/>
  <c r="BX1630" i="4"/>
  <c r="AG1630" i="4"/>
  <c r="AG1657" i="4"/>
  <c r="BX1657" i="4"/>
  <c r="AG1659" i="4"/>
  <c r="BX1659" i="4"/>
  <c r="AG1625" i="4"/>
  <c r="BX1625" i="4"/>
  <c r="AG1641" i="4"/>
  <c r="BX1641" i="4"/>
  <c r="BX1634" i="4"/>
  <c r="AG1634" i="4"/>
  <c r="AG1660" i="4"/>
  <c r="BX1660" i="4"/>
  <c r="BX1650" i="4"/>
  <c r="AG1650" i="4"/>
  <c r="BX1656" i="4"/>
  <c r="AG1656" i="4"/>
  <c r="AG1655" i="4"/>
  <c r="BX1655" i="4"/>
  <c r="BX1653" i="4"/>
  <c r="AG1653" i="4"/>
  <c r="AG1665" i="4"/>
  <c r="BX1665" i="4"/>
  <c r="AG1636" i="4"/>
  <c r="BX1636" i="4"/>
  <c r="BX1645" i="4"/>
  <c r="AG1645" i="4"/>
  <c r="BX1642" i="4"/>
  <c r="AG1642" i="4"/>
  <c r="BX1631" i="4"/>
  <c r="AG1631" i="4"/>
  <c r="AG1663" i="4"/>
  <c r="BX1663" i="4"/>
  <c r="AG1639" i="4"/>
  <c r="BX1639" i="4"/>
  <c r="BX1623" i="4"/>
  <c r="AG1623" i="4"/>
  <c r="BX1633" i="4"/>
  <c r="AG1633" i="4"/>
  <c r="AG1624" i="4"/>
  <c r="BX1624" i="4"/>
  <c r="AG1673" i="4"/>
  <c r="BX1673" i="4"/>
  <c r="AG1658" i="4"/>
  <c r="BX1658" i="4"/>
  <c r="AG1662" i="4"/>
  <c r="BX1662" i="4"/>
  <c r="AG1632" i="4"/>
  <c r="BX1632" i="4"/>
  <c r="AG1668" i="4"/>
  <c r="BX1668" i="4"/>
  <c r="BX1264" i="4"/>
  <c r="BY1264" i="4" s="1"/>
  <c r="BX1325" i="4"/>
  <c r="BY1325" i="4" s="1"/>
  <c r="BX1580" i="4"/>
  <c r="BY1580" i="4" s="1"/>
  <c r="BX1584" i="4"/>
  <c r="BY1584" i="4" s="1"/>
  <c r="BX1441" i="4"/>
  <c r="BY1441" i="4" s="1"/>
  <c r="BX1344" i="4"/>
  <c r="BY1344" i="4" s="1"/>
  <c r="BX1426" i="4"/>
  <c r="BY1426" i="4" s="1"/>
  <c r="BX1602" i="4"/>
  <c r="BX1390" i="4"/>
  <c r="AG1396" i="4"/>
  <c r="AG1314" i="4"/>
  <c r="BX1546" i="4"/>
  <c r="BY1546" i="4" s="1"/>
  <c r="AG1451" i="4"/>
  <c r="BX1368" i="4"/>
  <c r="BX1601" i="4"/>
  <c r="BY1601" i="4" s="1"/>
  <c r="BX1472" i="4"/>
  <c r="BY1472" i="4" s="1"/>
  <c r="BX1516" i="4"/>
  <c r="BY1516" i="4" s="1"/>
  <c r="BX1330" i="4"/>
  <c r="BY1330" i="4" s="1"/>
  <c r="AG1258" i="4"/>
  <c r="BX1270" i="4"/>
  <c r="BY1270" i="4" s="1"/>
  <c r="AG1328" i="4"/>
  <c r="BX1218" i="4"/>
  <c r="BY1218" i="4" s="1"/>
  <c r="BX1298" i="4"/>
  <c r="BY1298" i="4" s="1"/>
  <c r="BX1505" i="4"/>
  <c r="BY1505" i="4" s="1"/>
  <c r="BX1518" i="4"/>
  <c r="BY1518" i="4" s="1"/>
  <c r="BX1499" i="4"/>
  <c r="BY1499" i="4" s="1"/>
  <c r="BX1401" i="4"/>
  <c r="BY1401" i="4" s="1"/>
  <c r="BX1307" i="4"/>
  <c r="BY1307" i="4" s="1"/>
  <c r="BX1600" i="4"/>
  <c r="BX1615" i="4"/>
  <c r="BY1615" i="4" s="1"/>
  <c r="AG1342" i="4"/>
  <c r="BX1435" i="4"/>
  <c r="BY1435" i="4" s="1"/>
  <c r="BX1467" i="4"/>
  <c r="BX1581" i="4"/>
  <c r="BY1581" i="4" s="1"/>
  <c r="BX1322" i="4"/>
  <c r="BY1322" i="4" s="1"/>
  <c r="BX1234" i="4"/>
  <c r="BY1234" i="4" s="1"/>
  <c r="AG1467" i="4"/>
  <c r="BX1262" i="4"/>
  <c r="BY1262" i="4" s="1"/>
  <c r="BX1533" i="4"/>
  <c r="BY1533" i="4" s="1"/>
  <c r="BX1434" i="4"/>
  <c r="BY1434" i="4" s="1"/>
  <c r="BX1465" i="4"/>
  <c r="BY1465" i="4" s="1"/>
  <c r="BX1379" i="4"/>
  <c r="BY1379" i="4" s="1"/>
  <c r="BX1265" i="4"/>
  <c r="BY1265" i="4" s="1"/>
  <c r="BX1396" i="4"/>
  <c r="BX1279" i="4"/>
  <c r="AG1368" i="4"/>
  <c r="BX1552" i="4"/>
  <c r="BY1552" i="4" s="1"/>
  <c r="BX1386" i="4"/>
  <c r="BY1386" i="4" s="1"/>
  <c r="BX1365" i="4"/>
  <c r="BY1365" i="4" s="1"/>
  <c r="BX1526" i="4"/>
  <c r="BY1526" i="4" s="1"/>
  <c r="AG1409" i="4"/>
  <c r="BX1572" i="4"/>
  <c r="BY1572" i="4" s="1"/>
  <c r="BX1243" i="4"/>
  <c r="BY1243" i="4" s="1"/>
  <c r="BX1294" i="4"/>
  <c r="BY1294" i="4" s="1"/>
  <c r="BX1479" i="4"/>
  <c r="BY1479" i="4" s="1"/>
  <c r="BX1470" i="4"/>
  <c r="BY1470" i="4" s="1"/>
  <c r="BX1395" i="4"/>
  <c r="BY1395" i="4" s="1"/>
  <c r="BX1392" i="4"/>
  <c r="BY1392" i="4" s="1"/>
  <c r="CA2233" i="4" s="1"/>
  <c r="BX1511" i="4"/>
  <c r="BY1511" i="4" s="1"/>
  <c r="BX1588" i="4"/>
  <c r="BY1588" i="4" s="1"/>
  <c r="BX1317" i="4"/>
  <c r="BX1271" i="4"/>
  <c r="BY1271" i="4" s="1"/>
  <c r="BX1328" i="4"/>
  <c r="BX1383" i="4"/>
  <c r="BX1240" i="4"/>
  <c r="BY1240" i="4" s="1"/>
  <c r="AG1587" i="4"/>
  <c r="BX1458" i="4"/>
  <c r="BY1458" i="4" s="1"/>
  <c r="BX1481" i="4"/>
  <c r="BX1266" i="4"/>
  <c r="BX1394" i="4"/>
  <c r="BY1394" i="4" s="1"/>
  <c r="BX1354" i="4"/>
  <c r="BX1213" i="4"/>
  <c r="BX1299" i="4"/>
  <c r="BX1411" i="4"/>
  <c r="BY1411" i="4" s="1"/>
  <c r="BX1229" i="4"/>
  <c r="BY1229" i="4" s="1"/>
  <c r="BX1459" i="4"/>
  <c r="BX1343" i="4"/>
  <c r="BY1343" i="4" s="1"/>
  <c r="BX1471" i="4"/>
  <c r="BY1471" i="4" s="1"/>
  <c r="BX1239" i="4"/>
  <c r="BY1239" i="4" s="1"/>
  <c r="BX1603" i="4"/>
  <c r="BY1603" i="4" s="1"/>
  <c r="BX1485" i="4"/>
  <c r="BY1485" i="4" s="1"/>
  <c r="BX1261" i="4"/>
  <c r="BY1261" i="4" s="1"/>
  <c r="BX1473" i="4"/>
  <c r="BX1539" i="4"/>
  <c r="BY1539" i="4" s="1"/>
  <c r="BX1320" i="4"/>
  <c r="BX1445" i="4"/>
  <c r="BY1445" i="4" s="1"/>
  <c r="BX1255" i="4"/>
  <c r="BY1255" i="4" s="1"/>
  <c r="BX1570" i="4"/>
  <c r="BY1570" i="4" s="1"/>
  <c r="BX1351" i="4"/>
  <c r="BY1351" i="4" s="1"/>
  <c r="BX1450" i="4"/>
  <c r="BY1450" i="4" s="1"/>
  <c r="BX1444" i="4"/>
  <c r="BY1444" i="4" s="1"/>
  <c r="BX1258" i="4"/>
  <c r="AG1481" i="4"/>
  <c r="BX1497" i="4"/>
  <c r="BY1497" i="4" s="1"/>
  <c r="BX1519" i="4"/>
  <c r="BY1519" i="4" s="1"/>
  <c r="BX1610" i="4"/>
  <c r="BY1610" i="4" s="1"/>
  <c r="BX1223" i="4"/>
  <c r="BY1223" i="4" s="1"/>
  <c r="BX1414" i="4"/>
  <c r="BY1414" i="4" s="1"/>
  <c r="BX1242" i="4"/>
  <c r="BX1360" i="4"/>
  <c r="BY1360" i="4" s="1"/>
  <c r="BX1408" i="4"/>
  <c r="BX1565" i="4"/>
  <c r="BX1268" i="4"/>
  <c r="AG1299" i="4"/>
  <c r="BX1312" i="4"/>
  <c r="BY1312" i="4" s="1"/>
  <c r="BX1337" i="4"/>
  <c r="BY1337" i="4" s="1"/>
  <c r="BX1569" i="4"/>
  <c r="BY1569" i="4" s="1"/>
  <c r="BX1297" i="4"/>
  <c r="BY1297" i="4" s="1"/>
  <c r="AG1408" i="4"/>
  <c r="BX1455" i="4"/>
  <c r="BY1455" i="4" s="1"/>
  <c r="BX1342" i="4"/>
  <c r="AG1602" i="4"/>
  <c r="BX1587" i="4"/>
  <c r="BX1376" i="4"/>
  <c r="BY1376" i="4" s="1"/>
  <c r="BX1543" i="4"/>
  <c r="BY1543" i="4" s="1"/>
  <c r="BX1249" i="4"/>
  <c r="BX1464" i="4"/>
  <c r="BY1464" i="4" s="1"/>
  <c r="BX1439" i="4"/>
  <c r="BY1439" i="4" s="1"/>
  <c r="BX1275" i="4"/>
  <c r="BY1275" i="4" s="1"/>
  <c r="BX1259" i="4"/>
  <c r="BX1409" i="4"/>
  <c r="BX1428" i="4"/>
  <c r="BY1428" i="4" s="1"/>
  <c r="BX1419" i="4"/>
  <c r="BY1419" i="4" s="1"/>
  <c r="BX1241" i="4"/>
  <c r="BY1241" i="4" s="1"/>
  <c r="AG1266" i="4"/>
  <c r="BX1313" i="4"/>
  <c r="BY1313" i="4" s="1"/>
  <c r="BX1318" i="4"/>
  <c r="BY1318" i="4" s="1"/>
  <c r="BX1488" i="4"/>
  <c r="BY1488" i="4" s="1"/>
  <c r="BX1346" i="4"/>
  <c r="BY1346" i="4" s="1"/>
  <c r="AG1268" i="4"/>
  <c r="BX1558" i="4"/>
  <c r="BY1558" i="4" s="1"/>
  <c r="BX1463" i="4"/>
  <c r="BY1463" i="4" s="1"/>
  <c r="BX1474" i="4"/>
  <c r="BX1484" i="4"/>
  <c r="BX1593" i="4"/>
  <c r="BY1593" i="4" s="1"/>
  <c r="BX1555" i="4"/>
  <c r="BY1555" i="4" s="1"/>
  <c r="BX1491" i="4"/>
  <c r="BY1491" i="4" s="1"/>
  <c r="BX1413" i="4"/>
  <c r="BY1413" i="4" s="1"/>
  <c r="BX1366" i="4"/>
  <c r="BY1366" i="4" s="1"/>
  <c r="BX1591" i="4"/>
  <c r="BY1591" i="4" s="1"/>
  <c r="BX1272" i="4"/>
  <c r="BX1237" i="4"/>
  <c r="BY1237" i="4" s="1"/>
  <c r="BX1300" i="4"/>
  <c r="BY1300" i="4" s="1"/>
  <c r="BX1510" i="4"/>
  <c r="BY1510" i="4" s="1"/>
  <c r="BX1559" i="4"/>
  <c r="BY1559" i="4" s="1"/>
  <c r="BX1248" i="4"/>
  <c r="BY1248" i="4" s="1"/>
  <c r="BX1532" i="4"/>
  <c r="BX1542" i="4"/>
  <c r="BY1542" i="4" s="1"/>
  <c r="BX1371" i="4"/>
  <c r="BY1371" i="4" s="1"/>
  <c r="BX1352" i="4"/>
  <c r="BX1595" i="4"/>
  <c r="BY1595" i="4" s="1"/>
  <c r="BX1449" i="4"/>
  <c r="BY1449" i="4" s="1"/>
  <c r="BX1362" i="4"/>
  <c r="BY1362" i="4" s="1"/>
  <c r="BX1254" i="4"/>
  <c r="BY1254" i="4" s="1"/>
  <c r="AG1474" i="4"/>
  <c r="BX1256" i="4"/>
  <c r="BY1256" i="4" s="1"/>
  <c r="AG1320" i="4"/>
  <c r="BX1468" i="4"/>
  <c r="AG1600" i="4"/>
  <c r="BX1290" i="4"/>
  <c r="BY1290" i="4" s="1"/>
  <c r="BX1442" i="4"/>
  <c r="BY1442" i="4" s="1"/>
  <c r="BX1462" i="4"/>
  <c r="BY1462" i="4" s="1"/>
  <c r="BX1437" i="4"/>
  <c r="BX1398" i="4"/>
  <c r="BY1398" i="4" s="1"/>
  <c r="BX1302" i="4"/>
  <c r="BY1302" i="4" s="1"/>
  <c r="BX1389" i="4"/>
  <c r="BY1389" i="4" s="1"/>
  <c r="BX1451" i="4"/>
  <c r="BX1512" i="4"/>
  <c r="BY1512" i="4" s="1"/>
  <c r="BX1535" i="4"/>
  <c r="BY1535" i="4" s="1"/>
  <c r="BX1513" i="4"/>
  <c r="BY1513" i="4" s="1"/>
  <c r="BX1589" i="4"/>
  <c r="BY1589" i="4" s="1"/>
  <c r="BX1372" i="4"/>
  <c r="BY1372" i="4" s="1"/>
  <c r="BX1440" i="4"/>
  <c r="BY1440" i="4" s="1"/>
  <c r="BX1453" i="4"/>
  <c r="BY1453" i="4" s="1"/>
  <c r="BX1348" i="4"/>
  <c r="BY1348" i="4" s="1"/>
  <c r="BX1594" i="4"/>
  <c r="BY1594" i="4" s="1"/>
  <c r="BX1431" i="4"/>
  <c r="BY1431" i="4" s="1"/>
  <c r="AG1525" i="4"/>
  <c r="BX1562" i="4"/>
  <c r="BY1562" i="4" s="1"/>
  <c r="BX1486" i="4"/>
  <c r="BY1486" i="4" s="1"/>
  <c r="AG1383" i="4"/>
  <c r="BX1263" i="4"/>
  <c r="BY1263" i="4" s="1"/>
  <c r="AG1459" i="4"/>
  <c r="BX1378" i="4"/>
  <c r="BY1378" i="4" s="1"/>
  <c r="BX1336" i="4"/>
  <c r="BY1336" i="4" s="1"/>
  <c r="BX1311" i="4"/>
  <c r="BY1311" i="4" s="1"/>
  <c r="BX1316" i="4"/>
  <c r="BY1316" i="4" s="1"/>
  <c r="BX1380" i="4"/>
  <c r="BY1380" i="4" s="1"/>
  <c r="AI1411" i="4"/>
  <c r="AI1398" i="4"/>
  <c r="BX1515" i="4"/>
  <c r="BY1515" i="4" s="1"/>
  <c r="AG1437" i="4"/>
  <c r="AG1532" i="4"/>
  <c r="BX1585" i="4"/>
  <c r="BY1585" i="4" s="1"/>
  <c r="BX1306" i="4"/>
  <c r="BY1306" i="4" s="1"/>
  <c r="BX1483" i="4"/>
  <c r="BY1483" i="4" s="1"/>
  <c r="AG1272" i="4"/>
  <c r="BX1525" i="4"/>
  <c r="BX1273" i="4"/>
  <c r="BY1273" i="4" s="1"/>
  <c r="AG1249" i="4"/>
  <c r="AG1473" i="4"/>
  <c r="AG1484" i="4"/>
  <c r="AG1317" i="4"/>
  <c r="AG1468" i="4"/>
  <c r="AG1259" i="4"/>
  <c r="AG1565" i="4"/>
  <c r="BX1554" i="4"/>
  <c r="BY1554" i="4" s="1"/>
  <c r="BX1278" i="4"/>
  <c r="BY1278" i="4" s="1"/>
  <c r="BX1446" i="4"/>
  <c r="BY1446" i="4" s="1"/>
  <c r="BX1500" i="4"/>
  <c r="BY1500" i="4" s="1"/>
  <c r="BX1447" i="4"/>
  <c r="BY1447" i="4" s="1"/>
  <c r="BX1373" i="4"/>
  <c r="BY1373" i="4" s="1"/>
  <c r="BX1507" i="4"/>
  <c r="BY1507" i="4" s="1"/>
  <c r="BX1314" i="4"/>
  <c r="AG1556" i="4"/>
  <c r="BX1556" i="4"/>
  <c r="AG1461" i="4"/>
  <c r="BX1461" i="4"/>
  <c r="AG1583" i="4"/>
  <c r="BX1583" i="4"/>
  <c r="AG1549" i="4"/>
  <c r="BX1549" i="4"/>
  <c r="BX1557" i="4"/>
  <c r="AG1557" i="4"/>
  <c r="BX1280" i="4"/>
  <c r="AG1280" i="4"/>
  <c r="AG1288" i="4"/>
  <c r="BX1288" i="4"/>
  <c r="AI1386" i="4"/>
  <c r="AI1570" i="4"/>
  <c r="AI1360" i="4"/>
  <c r="AG1590" i="4"/>
  <c r="BX1590" i="4"/>
  <c r="AI1426" i="4"/>
  <c r="AI1262" i="4"/>
  <c r="AI1316" i="4"/>
  <c r="BX1381" i="4"/>
  <c r="AG1381" i="4"/>
  <c r="AG1608" i="4"/>
  <c r="BX1608" i="4"/>
  <c r="AI1500" i="4"/>
  <c r="AG1274" i="4"/>
  <c r="BX1274" i="4"/>
  <c r="AI1559" i="4"/>
  <c r="AI1552" i="4"/>
  <c r="BX1308" i="4"/>
  <c r="AG1308" i="4"/>
  <c r="BX1614" i="4"/>
  <c r="AG1614" i="4"/>
  <c r="AI1394" i="4"/>
  <c r="AG1443" i="4"/>
  <c r="BX1443" i="4"/>
  <c r="BX1416" i="4"/>
  <c r="AG1416" i="4"/>
  <c r="AI1455" i="4"/>
  <c r="AG1528" i="4"/>
  <c r="BX1528" i="4"/>
  <c r="AG1521" i="4"/>
  <c r="BX1521" i="4"/>
  <c r="BX1544" i="4"/>
  <c r="AG1544" i="4"/>
  <c r="AG1548" i="4"/>
  <c r="BX1548" i="4"/>
  <c r="AI1539" i="4"/>
  <c r="AI1580" i="4"/>
  <c r="AI1325" i="4"/>
  <c r="AI1450" i="4"/>
  <c r="AI1601" i="4"/>
  <c r="BX1460" i="4"/>
  <c r="AG1460" i="4"/>
  <c r="BX1541" i="4"/>
  <c r="AG1541" i="4"/>
  <c r="AG1487" i="4"/>
  <c r="BX1487" i="4"/>
  <c r="BX1456" i="4"/>
  <c r="AG1456" i="4"/>
  <c r="AG1228" i="4"/>
  <c r="BX1228" i="4"/>
  <c r="AI1594" i="4"/>
  <c r="BX1489" i="4"/>
  <c r="AG1489" i="4"/>
  <c r="BX1246" i="4"/>
  <c r="AG1246" i="4"/>
  <c r="AI1254" i="4"/>
  <c r="AI1390" i="4"/>
  <c r="AI1593" i="4"/>
  <c r="AI1389" i="4"/>
  <c r="AG1606" i="4"/>
  <c r="BX1606" i="4"/>
  <c r="BX1281" i="4"/>
  <c r="AG1281" i="4"/>
  <c r="AG1561" i="4"/>
  <c r="BX1561" i="4"/>
  <c r="AI1354" i="4"/>
  <c r="AI1518" i="4"/>
  <c r="AI1546" i="4"/>
  <c r="BX1457" i="4"/>
  <c r="AG1457" i="4"/>
  <c r="AI1348" i="4"/>
  <c r="AI1413" i="4"/>
  <c r="AG1573" i="4"/>
  <c r="BX1573" i="4"/>
  <c r="BX1582" i="4"/>
  <c r="AG1582" i="4"/>
  <c r="AG1517" i="4"/>
  <c r="BX1517" i="4"/>
  <c r="AI1362" i="4"/>
  <c r="BX1506" i="4"/>
  <c r="AG1506" i="4"/>
  <c r="BX1245" i="4"/>
  <c r="AG1245" i="4"/>
  <c r="AG1230" i="4"/>
  <c r="BX1230" i="4"/>
  <c r="AG1295" i="4"/>
  <c r="BX1295" i="4"/>
  <c r="AI1572" i="4"/>
  <c r="AI1380" i="4"/>
  <c r="AI1218" i="4"/>
  <c r="BX1304" i="4"/>
  <c r="AG1304" i="4"/>
  <c r="AI1581" i="4"/>
  <c r="AI1373" i="4"/>
  <c r="AI1237" i="4"/>
  <c r="BX1251" i="4"/>
  <c r="AG1251" i="4"/>
  <c r="AG1514" i="4"/>
  <c r="BX1514" i="4"/>
  <c r="AI1234" i="4"/>
  <c r="AG1222" i="4"/>
  <c r="BX1222" i="4"/>
  <c r="BX1538" i="4"/>
  <c r="AG1538" i="4"/>
  <c r="AG1579" i="4"/>
  <c r="BX1579" i="4"/>
  <c r="BX1303" i="4"/>
  <c r="AG1303" i="4"/>
  <c r="AG1400" i="4"/>
  <c r="BX1400" i="4"/>
  <c r="AI1585" i="4"/>
  <c r="AI1378" i="4"/>
  <c r="AI1512" i="4"/>
  <c r="BX1361" i="4"/>
  <c r="AG1361" i="4"/>
  <c r="AG1358" i="4"/>
  <c r="BX1358" i="4"/>
  <c r="AG1277" i="4"/>
  <c r="BX1277" i="4"/>
  <c r="AG1403" i="4"/>
  <c r="BX1403" i="4"/>
  <c r="BX1598" i="4"/>
  <c r="AG1598" i="4"/>
  <c r="AG1276" i="4"/>
  <c r="BX1276" i="4"/>
  <c r="AI1440" i="4"/>
  <c r="AI1302" i="4"/>
  <c r="BX1367" i="4"/>
  <c r="AG1367" i="4"/>
  <c r="AG1571" i="4"/>
  <c r="BX1571" i="4"/>
  <c r="BX1250" i="4"/>
  <c r="AG1250" i="4"/>
  <c r="BX1393" i="4"/>
  <c r="AG1393" i="4"/>
  <c r="AI1428" i="4"/>
  <c r="AI1569" i="4"/>
  <c r="BX1244" i="4"/>
  <c r="AG1244" i="4"/>
  <c r="AG1496" i="4"/>
  <c r="BX1496" i="4"/>
  <c r="BX1209" i="4"/>
  <c r="AG1292" i="4"/>
  <c r="BX1292" i="4"/>
  <c r="AG1576" i="4"/>
  <c r="BX1576" i="4"/>
  <c r="AI1584" i="4"/>
  <c r="AG1454" i="4"/>
  <c r="BX1454" i="4"/>
  <c r="AG1347" i="4"/>
  <c r="BX1347" i="4"/>
  <c r="AG1220" i="4"/>
  <c r="BX1220" i="4"/>
  <c r="BX1335" i="4"/>
  <c r="AG1335" i="4"/>
  <c r="AI1511" i="4"/>
  <c r="AI1462" i="4"/>
  <c r="AI1365" i="4"/>
  <c r="BX1609" i="4"/>
  <c r="AG1609" i="4"/>
  <c r="AG1418" i="4"/>
  <c r="BX1418" i="4"/>
  <c r="AG1530" i="4"/>
  <c r="BX1530" i="4"/>
  <c r="BX1427" i="4"/>
  <c r="AG1427" i="4"/>
  <c r="AI1261" i="4"/>
  <c r="BX1391" i="4"/>
  <c r="AG1391" i="4"/>
  <c r="AI1344" i="4"/>
  <c r="AI1458" i="4"/>
  <c r="AI1615" i="4"/>
  <c r="AI1270" i="4"/>
  <c r="AI1555" i="4"/>
  <c r="AI1298" i="4"/>
  <c r="AI1330" i="4"/>
  <c r="AI1449" i="4"/>
  <c r="BX1252" i="4"/>
  <c r="AG1252" i="4"/>
  <c r="AG1382" i="4"/>
  <c r="BX1382" i="4"/>
  <c r="AG1257" i="4"/>
  <c r="BX1257" i="4"/>
  <c r="AG1550" i="4"/>
  <c r="BX1550" i="4"/>
  <c r="AI1589" i="4"/>
  <c r="BX1324" i="4"/>
  <c r="AG1324" i="4"/>
  <c r="BX1267" i="4"/>
  <c r="AG1267" i="4"/>
  <c r="AG1339" i="4"/>
  <c r="BX1339" i="4"/>
  <c r="BX1551" i="4"/>
  <c r="AG1551" i="4"/>
  <c r="AI1343" i="4"/>
  <c r="AI1240" i="4"/>
  <c r="AI1505" i="4"/>
  <c r="AI1603" i="4"/>
  <c r="AI1307" i="4"/>
  <c r="BX1534" i="4"/>
  <c r="AG1534" i="4"/>
  <c r="BX1219" i="4"/>
  <c r="AG1219" i="4"/>
  <c r="AG1592" i="4"/>
  <c r="BX1592" i="4"/>
  <c r="AI1346" i="4"/>
  <c r="AI1558" i="4"/>
  <c r="AI1465" i="4"/>
  <c r="AI1419" i="4"/>
  <c r="AI1265" i="4"/>
  <c r="AI1453" i="4"/>
  <c r="AI1431" i="4"/>
  <c r="AI1515" i="4"/>
  <c r="AG1286" i="4"/>
  <c r="BX1286" i="4"/>
  <c r="AG1537" i="4"/>
  <c r="BX1537" i="4"/>
  <c r="BX1575" i="4"/>
  <c r="AG1575" i="4"/>
  <c r="AG1334" i="4"/>
  <c r="BX1334" i="4"/>
  <c r="BX1236" i="4"/>
  <c r="AG1236" i="4"/>
  <c r="AG1384" i="4"/>
  <c r="BX1384" i="4"/>
  <c r="BX1283" i="4"/>
  <c r="AG1283" i="4"/>
  <c r="BX1508" i="4"/>
  <c r="AG1508" i="4"/>
  <c r="AI1444" i="4"/>
  <c r="AG1326" i="4"/>
  <c r="BX1326" i="4"/>
  <c r="AG1509" i="4"/>
  <c r="BX1509" i="4"/>
  <c r="AI1441" i="4"/>
  <c r="AG1385" i="4"/>
  <c r="BX1385" i="4"/>
  <c r="AI1471" i="4"/>
  <c r="AI1507" i="4"/>
  <c r="AI1376" i="4"/>
  <c r="AI1290" i="4"/>
  <c r="AI1463" i="4"/>
  <c r="BX1224" i="4"/>
  <c r="AG1224" i="4"/>
  <c r="BX1345" i="4"/>
  <c r="AG1345" i="4"/>
  <c r="AI1372" i="4"/>
  <c r="AG1466" i="4"/>
  <c r="BX1466" i="4"/>
  <c r="AI1526" i="4"/>
  <c r="AG1613" i="4"/>
  <c r="BX1613" i="4"/>
  <c r="AG1364" i="4"/>
  <c r="BX1364" i="4"/>
  <c r="AG1353" i="4"/>
  <c r="BX1353" i="4"/>
  <c r="AG1225" i="4"/>
  <c r="BX1225" i="4"/>
  <c r="AI1439" i="4"/>
  <c r="AI1318" i="4"/>
  <c r="BX1210" i="4"/>
  <c r="AG1305" i="4"/>
  <c r="BX1305" i="4"/>
  <c r="BX1415" i="4"/>
  <c r="AG1415" i="4"/>
  <c r="AG1523" i="4"/>
  <c r="BX1523" i="4"/>
  <c r="AG1540" i="4"/>
  <c r="BX1540" i="4"/>
  <c r="AI1264" i="4"/>
  <c r="AI1588" i="4"/>
  <c r="AI1435" i="4"/>
  <c r="AI1414" i="4"/>
  <c r="AI1401" i="4"/>
  <c r="AI1610" i="4"/>
  <c r="AI1516" i="4"/>
  <c r="AI1535" i="4"/>
  <c r="AI1336" i="4"/>
  <c r="AI1442" i="4"/>
  <c r="AI1445" i="4"/>
  <c r="AI1485" i="4"/>
  <c r="AI1371" i="4"/>
  <c r="AI1533" i="4"/>
  <c r="BX1596" i="4"/>
  <c r="AG1596" i="4"/>
  <c r="BX1285" i="4"/>
  <c r="AG1285" i="4"/>
  <c r="AG1578" i="4"/>
  <c r="BX1578" i="4"/>
  <c r="AG1492" i="4"/>
  <c r="BX1492" i="4"/>
  <c r="AG1332" i="4"/>
  <c r="BX1332" i="4"/>
  <c r="AG1350" i="4"/>
  <c r="BX1350" i="4"/>
  <c r="AG1597" i="4"/>
  <c r="BX1597" i="4"/>
  <c r="BX1211" i="4"/>
  <c r="AG1211" i="4"/>
  <c r="AG1498" i="4"/>
  <c r="BX1498" i="4"/>
  <c r="AI1352" i="4"/>
  <c r="AI1497" i="4"/>
  <c r="BX1327" i="4"/>
  <c r="AG1327" i="4"/>
  <c r="AI1486" i="4"/>
  <c r="AI1297" i="4"/>
  <c r="AI1278" i="4"/>
  <c r="AG1611" i="4"/>
  <c r="BX1611" i="4"/>
  <c r="AI1306" i="4"/>
  <c r="AI1562" i="4"/>
  <c r="AI1248" i="4"/>
  <c r="BX1604" i="4"/>
  <c r="AG1604" i="4"/>
  <c r="AG1287" i="4"/>
  <c r="BX1287" i="4"/>
  <c r="AI1351" i="4"/>
  <c r="AG1433" i="4"/>
  <c r="BX1433" i="4"/>
  <c r="AG1331" i="4"/>
  <c r="BX1331" i="4"/>
  <c r="AI1255" i="4"/>
  <c r="AI1243" i="4"/>
  <c r="AI1488" i="4"/>
  <c r="AG1480" i="4"/>
  <c r="BX1480" i="4"/>
  <c r="BX1359" i="4"/>
  <c r="AG1359" i="4"/>
  <c r="BX1388" i="4"/>
  <c r="AG1388" i="4"/>
  <c r="BX1421" i="4"/>
  <c r="AG1421" i="4"/>
  <c r="BX1232" i="4"/>
  <c r="AG1232" i="4"/>
  <c r="AI1447" i="4"/>
  <c r="AI1464" i="4"/>
  <c r="AI1300" i="4"/>
  <c r="AI1434" i="4"/>
  <c r="AI1311" i="4"/>
  <c r="BX1315" i="4"/>
  <c r="AG1315" i="4"/>
  <c r="BX1503" i="4"/>
  <c r="AG1503" i="4"/>
  <c r="BX1568" i="4"/>
  <c r="AG1568" i="4"/>
  <c r="AI1223" i="4"/>
  <c r="AG1309" i="4"/>
  <c r="BX1309" i="4"/>
  <c r="AG1612" i="4"/>
  <c r="BX1612" i="4"/>
  <c r="AG1375" i="4"/>
  <c r="BX1375" i="4"/>
  <c r="AG1226" i="4"/>
  <c r="BX1226" i="4"/>
  <c r="BX1212" i="4"/>
  <c r="AG1212" i="4"/>
  <c r="AI1273" i="4"/>
  <c r="AI1479" i="4"/>
  <c r="AI1312" i="4"/>
  <c r="AI1543" i="4"/>
  <c r="AG1323" i="4"/>
  <c r="BX1323" i="4"/>
  <c r="AG1438" i="4"/>
  <c r="BX1438" i="4"/>
  <c r="BX1429" i="4"/>
  <c r="AG1429" i="4"/>
  <c r="AG1599" i="4"/>
  <c r="BX1599" i="4"/>
  <c r="BX1369" i="4"/>
  <c r="AG1369" i="4"/>
  <c r="AG1329" i="4"/>
  <c r="BX1329" i="4"/>
  <c r="BX1357" i="4"/>
  <c r="AG1357" i="4"/>
  <c r="BX1493" i="4"/>
  <c r="AG1493" i="4"/>
  <c r="AG1566" i="4"/>
  <c r="BX1566" i="4"/>
  <c r="AI1470" i="4"/>
  <c r="BX1217" i="4"/>
  <c r="AG1217" i="4"/>
  <c r="BX1560" i="4"/>
  <c r="AG1560" i="4"/>
  <c r="BX1567" i="4"/>
  <c r="AG1567" i="4"/>
  <c r="AI1595" i="4"/>
  <c r="AI1472" i="4"/>
  <c r="AI1513" i="4"/>
  <c r="AI1275" i="4"/>
  <c r="AI1510" i="4"/>
  <c r="AI1446" i="4"/>
  <c r="AG1502" i="4"/>
  <c r="BX1502" i="4"/>
  <c r="AG1284" i="4"/>
  <c r="BX1284" i="4"/>
  <c r="AG1417" i="4"/>
  <c r="BX1417" i="4"/>
  <c r="AG1607" i="4"/>
  <c r="BX1607" i="4"/>
  <c r="AG1214" i="4"/>
  <c r="BX1214" i="4"/>
  <c r="BX1370" i="4"/>
  <c r="AG1370" i="4"/>
  <c r="AI1239" i="4"/>
  <c r="AI1379" i="4"/>
  <c r="AI1554" i="4"/>
  <c r="AG1605" i="4"/>
  <c r="BX1605" i="4"/>
  <c r="AG1269" i="4"/>
  <c r="BX1269" i="4"/>
  <c r="BX1423" i="4"/>
  <c r="AG1423" i="4"/>
  <c r="AG1363" i="4"/>
  <c r="BX1363" i="4"/>
  <c r="AG1405" i="4"/>
  <c r="BX1405" i="4"/>
  <c r="BX1253" i="4"/>
  <c r="AG1253" i="4"/>
  <c r="BX1333" i="4"/>
  <c r="AG1333" i="4"/>
  <c r="AG1522" i="4"/>
  <c r="BX1522" i="4"/>
  <c r="AG1524" i="4"/>
  <c r="BX1524" i="4"/>
  <c r="AG1260" i="4"/>
  <c r="BX1260" i="4"/>
  <c r="BX1215" i="4"/>
  <c r="AG1215" i="4"/>
  <c r="AG1482" i="4"/>
  <c r="BX1482" i="4"/>
  <c r="AG1477" i="4"/>
  <c r="BX1477" i="4"/>
  <c r="BX1216" i="4"/>
  <c r="AG1216" i="4"/>
  <c r="AG1616" i="4"/>
  <c r="BX1616" i="4"/>
  <c r="AG1238" i="4"/>
  <c r="BX1238" i="4"/>
  <c r="AG1355" i="4"/>
  <c r="BX1355" i="4"/>
  <c r="BX1420" i="4"/>
  <c r="AG1420" i="4"/>
  <c r="AI1591" i="4"/>
  <c r="AG1574" i="4"/>
  <c r="BX1574" i="4"/>
  <c r="BX1520" i="4"/>
  <c r="AG1520" i="4"/>
  <c r="AG1233" i="4"/>
  <c r="BX1233" i="4"/>
  <c r="AI1271" i="4"/>
  <c r="BX1397" i="4"/>
  <c r="AG1397" i="4"/>
  <c r="AI1366" i="4"/>
  <c r="AI1322" i="4"/>
  <c r="AG1341" i="4"/>
  <c r="BX1341" i="4"/>
  <c r="AG1356" i="4"/>
  <c r="BX1356" i="4"/>
  <c r="BX1424" i="4"/>
  <c r="AG1424" i="4"/>
  <c r="BX1504" i="4"/>
  <c r="AG1504" i="4"/>
  <c r="AG1374" i="4"/>
  <c r="BX1374" i="4"/>
  <c r="AI1499" i="4"/>
  <c r="AI1337" i="4"/>
  <c r="BX1321" i="4"/>
  <c r="AG1321" i="4"/>
  <c r="AG1469" i="4"/>
  <c r="BX1469" i="4"/>
  <c r="AG1476" i="4"/>
  <c r="BX1476" i="4"/>
  <c r="BX1377" i="4"/>
  <c r="AG1377" i="4"/>
  <c r="AG1231" i="4"/>
  <c r="BX1231" i="4"/>
  <c r="AG1410" i="4"/>
  <c r="BX1410" i="4"/>
  <c r="AG1402" i="4"/>
  <c r="BX1402" i="4"/>
  <c r="AI1256" i="4"/>
  <c r="AG1547" i="4"/>
  <c r="BX1547" i="4"/>
  <c r="AG1586" i="4"/>
  <c r="BX1586" i="4"/>
  <c r="AI1483" i="4"/>
  <c r="AG1527" i="4"/>
  <c r="BX1527" i="4"/>
  <c r="AG1448" i="4"/>
  <c r="BX1448" i="4"/>
  <c r="BX1406" i="4"/>
  <c r="AG1406" i="4"/>
  <c r="BX1430" i="4"/>
  <c r="AG1430" i="4"/>
  <c r="BX1349" i="4"/>
  <c r="AG1349" i="4"/>
  <c r="AG1293" i="4"/>
  <c r="BX1293" i="4"/>
  <c r="AG1338" i="4"/>
  <c r="BX1338" i="4"/>
  <c r="AG1490" i="4"/>
  <c r="BX1490" i="4"/>
  <c r="AI1241" i="4"/>
  <c r="BX1235" i="4"/>
  <c r="AG1235" i="4"/>
  <c r="BX1340" i="4"/>
  <c r="AG1340" i="4"/>
  <c r="AG1319" i="4"/>
  <c r="BX1319" i="4"/>
  <c r="AG1289" i="4"/>
  <c r="BX1289" i="4"/>
  <c r="BX1545" i="4"/>
  <c r="AG1545" i="4"/>
  <c r="AG1478" i="4"/>
  <c r="BX1478" i="4"/>
  <c r="BX1536" i="4"/>
  <c r="AG1536" i="4"/>
  <c r="BX1296" i="4"/>
  <c r="AG1296" i="4"/>
  <c r="BX1494" i="4"/>
  <c r="AG1494" i="4"/>
  <c r="AG1553" i="4"/>
  <c r="BX1553" i="4"/>
  <c r="AI1395" i="4"/>
  <c r="AG1577" i="4"/>
  <c r="BX1577" i="4"/>
  <c r="BX1531" i="4"/>
  <c r="AG1531" i="4"/>
  <c r="AG1221" i="4"/>
  <c r="BX1221" i="4"/>
  <c r="AG1501" i="4"/>
  <c r="BX1501" i="4"/>
  <c r="AI1491" i="4"/>
  <c r="AI1229" i="4"/>
  <c r="BX1529" i="4"/>
  <c r="AG1529" i="4"/>
  <c r="AG1475" i="4"/>
  <c r="BX1475" i="4"/>
  <c r="BX1495" i="4"/>
  <c r="AG1495" i="4"/>
  <c r="BX1407" i="4"/>
  <c r="AG1407" i="4"/>
  <c r="AI1294" i="4"/>
  <c r="BX1291" i="4"/>
  <c r="AG1291" i="4"/>
  <c r="BX1436" i="4"/>
  <c r="AG1436" i="4"/>
  <c r="BX1227" i="4"/>
  <c r="AG1227" i="4"/>
  <c r="AI1519" i="4"/>
  <c r="AI1242" i="4"/>
  <c r="BX1617" i="4"/>
  <c r="AG1617" i="4"/>
  <c r="AG1387" i="4"/>
  <c r="BX1387" i="4"/>
  <c r="BX1563" i="4"/>
  <c r="AG1563" i="4"/>
  <c r="AG1247" i="4"/>
  <c r="BX1247" i="4"/>
  <c r="BX1404" i="4"/>
  <c r="AG1404" i="4"/>
  <c r="AG1564" i="4"/>
  <c r="BX1564" i="4"/>
  <c r="AG1310" i="4"/>
  <c r="BX1310" i="4"/>
  <c r="BX1425" i="4"/>
  <c r="AG1425" i="4"/>
  <c r="AG1282" i="4"/>
  <c r="BX1282" i="4"/>
  <c r="BX1432" i="4"/>
  <c r="AG1432" i="4"/>
  <c r="BX1422" i="4"/>
  <c r="AG1422" i="4"/>
  <c r="BX1399" i="4"/>
  <c r="AG1399" i="4"/>
  <c r="AG1301" i="4"/>
  <c r="BX1301" i="4"/>
  <c r="BX1412" i="4"/>
  <c r="AG1412" i="4"/>
  <c r="AG1452" i="4"/>
  <c r="BX1452" i="4"/>
  <c r="BY1103" i="4" l="1"/>
  <c r="BY941" i="4"/>
  <c r="BY949" i="4"/>
  <c r="BY947" i="4"/>
  <c r="CA2023" i="4" s="1"/>
  <c r="BY948" i="4"/>
  <c r="CA945" i="4"/>
  <c r="BZ945" i="4"/>
  <c r="CA949" i="4"/>
  <c r="BZ949" i="4"/>
  <c r="AI946" i="4"/>
  <c r="BY946" i="4"/>
  <c r="CA948" i="4"/>
  <c r="BZ948" i="4"/>
  <c r="BY1101" i="4"/>
  <c r="BZ1101" i="4" s="1"/>
  <c r="BY1109" i="4"/>
  <c r="BZ1109" i="4" s="1"/>
  <c r="BY1112" i="4"/>
  <c r="BZ1112" i="4" s="1"/>
  <c r="BY1071" i="4"/>
  <c r="BY1102" i="4"/>
  <c r="BZ1102" i="4" s="1"/>
  <c r="BY944" i="4"/>
  <c r="BZ944" i="4" s="1"/>
  <c r="BY936" i="4"/>
  <c r="CA936" i="4" s="1"/>
  <c r="BY1105" i="4"/>
  <c r="BZ1105" i="4" s="1"/>
  <c r="BY1108" i="4"/>
  <c r="BZ1108" i="4" s="1"/>
  <c r="BY1107" i="4"/>
  <c r="BZ1107" i="4" s="1"/>
  <c r="AI950" i="4"/>
  <c r="BY950" i="4"/>
  <c r="BZ950" i="4" s="1"/>
  <c r="AI1111" i="4"/>
  <c r="BY1111" i="4"/>
  <c r="BZ1111" i="4" s="1"/>
  <c r="BZ941" i="4"/>
  <c r="CA941" i="4"/>
  <c r="BY952" i="4"/>
  <c r="AI952" i="4"/>
  <c r="AI951" i="4"/>
  <c r="BY951" i="4"/>
  <c r="BY940" i="4"/>
  <c r="AI940" i="4"/>
  <c r="BY956" i="4"/>
  <c r="BZ956" i="4" s="1"/>
  <c r="BY1110" i="4"/>
  <c r="AI953" i="4"/>
  <c r="BY953" i="4"/>
  <c r="BZ953" i="4" s="1"/>
  <c r="AI943" i="4"/>
  <c r="BY943" i="4"/>
  <c r="BY1104" i="4"/>
  <c r="BY942" i="4"/>
  <c r="AI942" i="4"/>
  <c r="AI1100" i="4"/>
  <c r="BY1100" i="4"/>
  <c r="AI1106" i="4"/>
  <c r="BY1106" i="4"/>
  <c r="CA1103" i="4"/>
  <c r="BZ1103" i="4"/>
  <c r="BY1066" i="4"/>
  <c r="BZ1066" i="4" s="1"/>
  <c r="BY1069" i="4"/>
  <c r="CA1069" i="4" s="1"/>
  <c r="BY1067" i="4"/>
  <c r="BZ1067" i="4" s="1"/>
  <c r="BY1051" i="4"/>
  <c r="CA1051" i="4" s="1"/>
  <c r="BY1064" i="4"/>
  <c r="BZ1064" i="4" s="1"/>
  <c r="BY958" i="4"/>
  <c r="BZ958" i="4" s="1"/>
  <c r="BY1001" i="4"/>
  <c r="BZ1001" i="4" s="1"/>
  <c r="BY1065" i="4"/>
  <c r="BZ1065" i="4" s="1"/>
  <c r="BY998" i="4"/>
  <c r="CA998" i="4" s="1"/>
  <c r="BY745" i="4"/>
  <c r="BZ745" i="4" s="1"/>
  <c r="BY959" i="4"/>
  <c r="BZ959" i="4" s="1"/>
  <c r="BY1068" i="4"/>
  <c r="BZ1068" i="4" s="1"/>
  <c r="BY1060" i="4"/>
  <c r="BZ1060" i="4" s="1"/>
  <c r="BY1002" i="4"/>
  <c r="CA1002" i="4" s="1"/>
  <c r="BY1000" i="4"/>
  <c r="BZ1000" i="4" s="1"/>
  <c r="BY961" i="4"/>
  <c r="BZ961" i="4" s="1"/>
  <c r="BY1061" i="4"/>
  <c r="BZ1061" i="4" s="1"/>
  <c r="BY999" i="4"/>
  <c r="CA999" i="4" s="1"/>
  <c r="BY997" i="4"/>
  <c r="CA997" i="4" s="1"/>
  <c r="BY962" i="4"/>
  <c r="CA962" i="4" s="1"/>
  <c r="BY1059" i="4"/>
  <c r="BZ1059" i="4" s="1"/>
  <c r="BY960" i="4"/>
  <c r="BZ960" i="4" s="1"/>
  <c r="AI935" i="4"/>
  <c r="BY935" i="4"/>
  <c r="AI743" i="4"/>
  <c r="BY743" i="4"/>
  <c r="AI937" i="4"/>
  <c r="BY937" i="4"/>
  <c r="AI733" i="4"/>
  <c r="BY733" i="4"/>
  <c r="AI738" i="4"/>
  <c r="BY738" i="4"/>
  <c r="BZ738" i="4" s="1"/>
  <c r="BY1113" i="4"/>
  <c r="BZ1113" i="4" s="1"/>
  <c r="AI1113" i="4"/>
  <c r="BY732" i="4"/>
  <c r="AI732" i="4"/>
  <c r="AI939" i="4"/>
  <c r="BY939" i="4"/>
  <c r="BZ939" i="4" s="1"/>
  <c r="AI731" i="4"/>
  <c r="BY731" i="4"/>
  <c r="BZ731" i="4" s="1"/>
  <c r="BY1062" i="4"/>
  <c r="AI1062" i="4"/>
  <c r="AI938" i="4"/>
  <c r="BY938" i="4"/>
  <c r="BZ938" i="4" s="1"/>
  <c r="AI741" i="4"/>
  <c r="BY741" i="4"/>
  <c r="AI957" i="4"/>
  <c r="BY957" i="4"/>
  <c r="BZ957" i="4" s="1"/>
  <c r="AI737" i="4"/>
  <c r="BY737" i="4"/>
  <c r="BY932" i="4"/>
  <c r="AI932" i="4"/>
  <c r="AI735" i="4"/>
  <c r="BY735" i="4"/>
  <c r="BY1058" i="4"/>
  <c r="BZ1058" i="4" s="1"/>
  <c r="AI1058" i="4"/>
  <c r="AI955" i="4"/>
  <c r="BY955" i="4"/>
  <c r="BZ955" i="4" s="1"/>
  <c r="AI730" i="4"/>
  <c r="BY730" i="4"/>
  <c r="AI740" i="4"/>
  <c r="BY740" i="4"/>
  <c r="AI933" i="4"/>
  <c r="BY933" i="4"/>
  <c r="BY742" i="4"/>
  <c r="AI742" i="4"/>
  <c r="AI744" i="4"/>
  <c r="BY744" i="4"/>
  <c r="AI736" i="4"/>
  <c r="BY736" i="4"/>
  <c r="AI734" i="4"/>
  <c r="BY734" i="4"/>
  <c r="BY1063" i="4"/>
  <c r="AI1063" i="4"/>
  <c r="AI739" i="4"/>
  <c r="BY739" i="4"/>
  <c r="BY954" i="4"/>
  <c r="BZ954" i="4" s="1"/>
  <c r="AI954" i="4"/>
  <c r="AI934" i="4"/>
  <c r="BY934" i="4"/>
  <c r="AI996" i="4"/>
  <c r="BY996" i="4"/>
  <c r="AI722" i="4"/>
  <c r="BY722" i="4"/>
  <c r="AI714" i="4"/>
  <c r="BY714" i="4"/>
  <c r="BZ714" i="4" s="1"/>
  <c r="AI705" i="4"/>
  <c r="BY705" i="4"/>
  <c r="BZ705" i="4" s="1"/>
  <c r="AI712" i="4"/>
  <c r="BY712" i="4"/>
  <c r="AI546" i="4"/>
  <c r="BY546" i="4"/>
  <c r="AI711" i="4"/>
  <c r="BY711" i="4"/>
  <c r="BZ711" i="4" s="1"/>
  <c r="AI715" i="4"/>
  <c r="BY715" i="4"/>
  <c r="AI713" i="4"/>
  <c r="BY713" i="4"/>
  <c r="AI728" i="4"/>
  <c r="BY728" i="4"/>
  <c r="BZ728" i="4" s="1"/>
  <c r="AI709" i="4"/>
  <c r="BY709" i="4"/>
  <c r="BZ709" i="4" s="1"/>
  <c r="AI718" i="4"/>
  <c r="BY718" i="4"/>
  <c r="AI726" i="4"/>
  <c r="BY726" i="4"/>
  <c r="BZ726" i="4" s="1"/>
  <c r="AI721" i="4"/>
  <c r="BY721" i="4"/>
  <c r="AI710" i="4"/>
  <c r="BY710" i="4"/>
  <c r="AI729" i="4"/>
  <c r="BY729" i="4"/>
  <c r="BZ729" i="4" s="1"/>
  <c r="AI719" i="4"/>
  <c r="BY719" i="4"/>
  <c r="AI725" i="4"/>
  <c r="BY725" i="4"/>
  <c r="BZ725" i="4" s="1"/>
  <c r="AI727" i="4"/>
  <c r="BY727" i="4"/>
  <c r="BZ727" i="4" s="1"/>
  <c r="AI717" i="4"/>
  <c r="BY717" i="4"/>
  <c r="AI716" i="4"/>
  <c r="BY716" i="4"/>
  <c r="AI707" i="4"/>
  <c r="BY707" i="4"/>
  <c r="BZ707" i="4" s="1"/>
  <c r="AI720" i="4"/>
  <c r="BY720" i="4"/>
  <c r="BZ720" i="4" s="1"/>
  <c r="AI706" i="4"/>
  <c r="BY706" i="4"/>
  <c r="BZ706" i="4" s="1"/>
  <c r="AI704" i="4"/>
  <c r="BY704" i="4"/>
  <c r="AI702" i="4"/>
  <c r="BY702" i="4"/>
  <c r="AI723" i="4"/>
  <c r="BY723" i="4"/>
  <c r="BZ723" i="4" s="1"/>
  <c r="AI708" i="4"/>
  <c r="BY708" i="4"/>
  <c r="AI701" i="4"/>
  <c r="BY701" i="4"/>
  <c r="BZ701" i="4" s="1"/>
  <c r="AI703" i="4"/>
  <c r="BY703" i="4"/>
  <c r="BZ703" i="4" s="1"/>
  <c r="AI700" i="4"/>
  <c r="BY700" i="4"/>
  <c r="BZ700" i="4" s="1"/>
  <c r="AI724" i="4"/>
  <c r="BY724" i="4"/>
  <c r="BY1019" i="4"/>
  <c r="BZ1019" i="4" s="1"/>
  <c r="AI1012" i="4"/>
  <c r="BY1012" i="4"/>
  <c r="BZ1012" i="4" s="1"/>
  <c r="AI513" i="4"/>
  <c r="BY513" i="4"/>
  <c r="AI1013" i="4"/>
  <c r="BY1013" i="4"/>
  <c r="BZ1013" i="4" s="1"/>
  <c r="AI532" i="4"/>
  <c r="BY532" i="4"/>
  <c r="AI528" i="4"/>
  <c r="BY528" i="4"/>
  <c r="BY515" i="4"/>
  <c r="AI515" i="4"/>
  <c r="AI963" i="4"/>
  <c r="BY963" i="4"/>
  <c r="AI1017" i="4"/>
  <c r="BY1017" i="4"/>
  <c r="BZ1017" i="4" s="1"/>
  <c r="AI965" i="4"/>
  <c r="BY965" i="4"/>
  <c r="AI523" i="4"/>
  <c r="BY523" i="4"/>
  <c r="AI525" i="4"/>
  <c r="BY525" i="4"/>
  <c r="AI491" i="4"/>
  <c r="BY491" i="4"/>
  <c r="BZ491" i="4" s="1"/>
  <c r="AI498" i="4"/>
  <c r="BY498" i="4"/>
  <c r="BZ498" i="4" s="1"/>
  <c r="AI524" i="4"/>
  <c r="BY524" i="4"/>
  <c r="BZ524" i="4" s="1"/>
  <c r="AI1020" i="4"/>
  <c r="BY1020" i="4"/>
  <c r="AI970" i="4"/>
  <c r="BY970" i="4"/>
  <c r="AI530" i="4"/>
  <c r="BY530" i="4"/>
  <c r="BZ530" i="4" s="1"/>
  <c r="AI495" i="4"/>
  <c r="BY495" i="4"/>
  <c r="BY973" i="4"/>
  <c r="AI973" i="4"/>
  <c r="AI995" i="4"/>
  <c r="BY995" i="4"/>
  <c r="AI500" i="4"/>
  <c r="BY500" i="4"/>
  <c r="BZ500" i="4" s="1"/>
  <c r="AI994" i="4"/>
  <c r="BY994" i="4"/>
  <c r="AI534" i="4"/>
  <c r="BY534" i="4"/>
  <c r="BZ534" i="4" s="1"/>
  <c r="AI533" i="4"/>
  <c r="BY533" i="4"/>
  <c r="BZ533" i="4" s="1"/>
  <c r="AI980" i="4"/>
  <c r="BY980" i="4"/>
  <c r="AI966" i="4"/>
  <c r="BY966" i="4"/>
  <c r="BZ966" i="4" s="1"/>
  <c r="AI987" i="4"/>
  <c r="BY987" i="4"/>
  <c r="AI1070" i="4"/>
  <c r="BY1070" i="4"/>
  <c r="BZ1070" i="4" s="1"/>
  <c r="BY1015" i="4"/>
  <c r="BZ1015" i="4" s="1"/>
  <c r="AI1015" i="4"/>
  <c r="AI503" i="4"/>
  <c r="BY503" i="4"/>
  <c r="AI538" i="4"/>
  <c r="BY538" i="4"/>
  <c r="AI540" i="4"/>
  <c r="BY540" i="4"/>
  <c r="AI968" i="4"/>
  <c r="BY968" i="4"/>
  <c r="AI981" i="4"/>
  <c r="BY981" i="4"/>
  <c r="AI539" i="4"/>
  <c r="BY539" i="4"/>
  <c r="BY983" i="4"/>
  <c r="AI983" i="4"/>
  <c r="AI541" i="4"/>
  <c r="BY541" i="4"/>
  <c r="AI497" i="4"/>
  <c r="BY497" i="4"/>
  <c r="BZ497" i="4" s="1"/>
  <c r="AI499" i="4"/>
  <c r="BY499" i="4"/>
  <c r="BZ499" i="4" s="1"/>
  <c r="AI518" i="4"/>
  <c r="BY518" i="4"/>
  <c r="AI1003" i="4"/>
  <c r="BY1003" i="4"/>
  <c r="AI545" i="4"/>
  <c r="BY545" i="4"/>
  <c r="BY537" i="4"/>
  <c r="BZ537" i="4" s="1"/>
  <c r="AI537" i="4"/>
  <c r="AI492" i="4"/>
  <c r="BY492" i="4"/>
  <c r="BZ492" i="4" s="1"/>
  <c r="BY1007" i="4"/>
  <c r="AI1007" i="4"/>
  <c r="AI1056" i="4"/>
  <c r="BY1056" i="4"/>
  <c r="AI543" i="4"/>
  <c r="BY543" i="4"/>
  <c r="BY496" i="4"/>
  <c r="BZ496" i="4" s="1"/>
  <c r="AI496" i="4"/>
  <c r="AI536" i="4"/>
  <c r="BY536" i="4"/>
  <c r="AI510" i="4"/>
  <c r="BY510" i="4"/>
  <c r="AI967" i="4"/>
  <c r="BY967" i="4"/>
  <c r="AI971" i="4"/>
  <c r="BY971" i="4"/>
  <c r="AI505" i="4"/>
  <c r="BY505" i="4"/>
  <c r="AI501" i="4"/>
  <c r="BY501" i="4"/>
  <c r="BZ501" i="4" s="1"/>
  <c r="AI527" i="4"/>
  <c r="BY527" i="4"/>
  <c r="AI1004" i="4"/>
  <c r="BY1004" i="4"/>
  <c r="AI1006" i="4"/>
  <c r="BY1006" i="4"/>
  <c r="BY1008" i="4"/>
  <c r="AI1008" i="4"/>
  <c r="AI526" i="4"/>
  <c r="BY526" i="4"/>
  <c r="AI502" i="4"/>
  <c r="BY502" i="4"/>
  <c r="AI511" i="4"/>
  <c r="BY511" i="4"/>
  <c r="BZ511" i="4" s="1"/>
  <c r="AI520" i="4"/>
  <c r="BY520" i="4"/>
  <c r="AI531" i="4"/>
  <c r="BY531" i="4"/>
  <c r="AI977" i="4"/>
  <c r="BY977" i="4"/>
  <c r="AI517" i="4"/>
  <c r="BY517" i="4"/>
  <c r="AI989" i="4"/>
  <c r="BY989" i="4"/>
  <c r="AI514" i="4"/>
  <c r="BY514" i="4"/>
  <c r="AI982" i="4"/>
  <c r="BY982" i="4"/>
  <c r="BZ982" i="4" s="1"/>
  <c r="AI979" i="4"/>
  <c r="BY979" i="4"/>
  <c r="BY1018" i="4"/>
  <c r="AI1018" i="4"/>
  <c r="AI522" i="4"/>
  <c r="BY522" i="4"/>
  <c r="AI509" i="4"/>
  <c r="BY509" i="4"/>
  <c r="AI964" i="4"/>
  <c r="BY964" i="4"/>
  <c r="AI504" i="4"/>
  <c r="BY504" i="4"/>
  <c r="AI512" i="4"/>
  <c r="BY512" i="4"/>
  <c r="BZ512" i="4" s="1"/>
  <c r="AI984" i="4"/>
  <c r="BY984" i="4"/>
  <c r="BY1014" i="4"/>
  <c r="AI1014" i="4"/>
  <c r="AI992" i="4"/>
  <c r="BY992" i="4"/>
  <c r="AI986" i="4"/>
  <c r="BY986" i="4"/>
  <c r="BY1016" i="4"/>
  <c r="BZ1016" i="4" s="1"/>
  <c r="AI1016" i="4"/>
  <c r="AI972" i="4"/>
  <c r="BY972" i="4"/>
  <c r="AI975" i="4"/>
  <c r="BY975" i="4"/>
  <c r="AI1011" i="4"/>
  <c r="BY1011" i="4"/>
  <c r="BY1005" i="4"/>
  <c r="AI1005" i="4"/>
  <c r="AI493" i="4"/>
  <c r="BY493" i="4"/>
  <c r="BZ493" i="4" s="1"/>
  <c r="AI969" i="4"/>
  <c r="BY969" i="4"/>
  <c r="AI993" i="4"/>
  <c r="BY993" i="4"/>
  <c r="AI519" i="4"/>
  <c r="BY519" i="4"/>
  <c r="AI494" i="4"/>
  <c r="BY494" i="4"/>
  <c r="AI507" i="4"/>
  <c r="BY507" i="4"/>
  <c r="BZ507" i="4" s="1"/>
  <c r="AI508" i="4"/>
  <c r="BY508" i="4"/>
  <c r="AI974" i="4"/>
  <c r="BY974" i="4"/>
  <c r="BZ974" i="4" s="1"/>
  <c r="BY1010" i="4"/>
  <c r="BZ1010" i="4" s="1"/>
  <c r="AI1010" i="4"/>
  <c r="AI521" i="4"/>
  <c r="BY521" i="4"/>
  <c r="AI976" i="4"/>
  <c r="BY976" i="4"/>
  <c r="AI1009" i="4"/>
  <c r="BY1009" i="4"/>
  <c r="AI529" i="4"/>
  <c r="BY529" i="4"/>
  <c r="AI544" i="4"/>
  <c r="BY544" i="4"/>
  <c r="BZ544" i="4" s="1"/>
  <c r="BY542" i="4"/>
  <c r="AI542" i="4"/>
  <c r="AI516" i="4"/>
  <c r="BY516" i="4"/>
  <c r="AI506" i="4"/>
  <c r="BY506" i="4"/>
  <c r="AI1057" i="4"/>
  <c r="BY1057" i="4"/>
  <c r="BZ1057" i="4" s="1"/>
  <c r="AI535" i="4"/>
  <c r="BY535" i="4"/>
  <c r="BZ535" i="4" s="1"/>
  <c r="AI991" i="4"/>
  <c r="BY991" i="4"/>
  <c r="AI978" i="4"/>
  <c r="BY978" i="4"/>
  <c r="AI988" i="4"/>
  <c r="BY988" i="4"/>
  <c r="AI985" i="4"/>
  <c r="BY985" i="4"/>
  <c r="AI990" i="4"/>
  <c r="BY990" i="4"/>
  <c r="AI1021" i="4"/>
  <c r="BY1021" i="4"/>
  <c r="BZ1021" i="4" s="1"/>
  <c r="BY1040" i="4"/>
  <c r="BZ1040" i="4" s="1"/>
  <c r="BY1052" i="4"/>
  <c r="BZ1052" i="4" s="1"/>
  <c r="AI1052" i="4"/>
  <c r="BY1036" i="4"/>
  <c r="AI1036" i="4"/>
  <c r="BY1043" i="4"/>
  <c r="AI1043" i="4"/>
  <c r="BY1046" i="4"/>
  <c r="AI1046" i="4"/>
  <c r="BY1026" i="4"/>
  <c r="AI1026" i="4"/>
  <c r="BY1047" i="4"/>
  <c r="AI1047" i="4"/>
  <c r="BY1053" i="4"/>
  <c r="BZ1053" i="4" s="1"/>
  <c r="AI1053" i="4"/>
  <c r="BY1025" i="4"/>
  <c r="AI1025" i="4"/>
  <c r="BY1055" i="4"/>
  <c r="BZ1055" i="4" s="1"/>
  <c r="AI1055" i="4"/>
  <c r="BY1054" i="4"/>
  <c r="AI1054" i="4"/>
  <c r="BY1031" i="4"/>
  <c r="CA1512" i="4" s="1"/>
  <c r="AI1031" i="4"/>
  <c r="BY1030" i="4"/>
  <c r="AI1030" i="4"/>
  <c r="BY1024" i="4"/>
  <c r="AI1024" i="4"/>
  <c r="BY1032" i="4"/>
  <c r="BZ1032" i="4" s="1"/>
  <c r="AI1032" i="4"/>
  <c r="BY1029" i="4"/>
  <c r="AI1029" i="4"/>
  <c r="BY1033" i="4"/>
  <c r="AI1033" i="4"/>
  <c r="BY1045" i="4"/>
  <c r="AI1045" i="4"/>
  <c r="BY1042" i="4"/>
  <c r="AI1042" i="4"/>
  <c r="BY1035" i="4"/>
  <c r="AI1035" i="4"/>
  <c r="BY1049" i="4"/>
  <c r="AI1049" i="4"/>
  <c r="BY1038" i="4"/>
  <c r="AI1038" i="4"/>
  <c r="BY1027" i="4"/>
  <c r="AI1027" i="4"/>
  <c r="BY1041" i="4"/>
  <c r="AI1041" i="4"/>
  <c r="BY1022" i="4"/>
  <c r="BZ1022" i="4" s="1"/>
  <c r="AI1022" i="4"/>
  <c r="BY1039" i="4"/>
  <c r="AI1039" i="4"/>
  <c r="BY1037" i="4"/>
  <c r="AI1037" i="4"/>
  <c r="BY1034" i="4"/>
  <c r="AI1034" i="4"/>
  <c r="BY1028" i="4"/>
  <c r="AI1028" i="4"/>
  <c r="BY1050" i="4"/>
  <c r="AI1050" i="4"/>
  <c r="BY1044" i="4"/>
  <c r="AI1044" i="4"/>
  <c r="BY1048" i="4"/>
  <c r="AI1048" i="4"/>
  <c r="BY1023" i="4"/>
  <c r="AI1023" i="4"/>
  <c r="AI602" i="4"/>
  <c r="BY602" i="4"/>
  <c r="BZ602" i="4" s="1"/>
  <c r="BY1125" i="4"/>
  <c r="AI1125" i="4"/>
  <c r="AI611" i="4"/>
  <c r="BY611" i="4"/>
  <c r="CA2198" i="4" s="1"/>
  <c r="AI828" i="4"/>
  <c r="BY828" i="4"/>
  <c r="AI591" i="4"/>
  <c r="BY591" i="4"/>
  <c r="AI565" i="4"/>
  <c r="BY565" i="4"/>
  <c r="AI1167" i="4"/>
  <c r="BY1167" i="4"/>
  <c r="BY570" i="4"/>
  <c r="AI570" i="4"/>
  <c r="AI1118" i="4"/>
  <c r="BY1118" i="4"/>
  <c r="BZ1118" i="4" s="1"/>
  <c r="AI554" i="4"/>
  <c r="BY554" i="4"/>
  <c r="BY793" i="4"/>
  <c r="AI793" i="4"/>
  <c r="AI660" i="4"/>
  <c r="BY660" i="4"/>
  <c r="AI594" i="4"/>
  <c r="BY594" i="4"/>
  <c r="BY1142" i="4"/>
  <c r="AI1142" i="4"/>
  <c r="BY877" i="4"/>
  <c r="BZ877" i="4" s="1"/>
  <c r="AI877" i="4"/>
  <c r="AI870" i="4"/>
  <c r="BY870" i="4"/>
  <c r="AI589" i="4"/>
  <c r="BY589" i="4"/>
  <c r="AI775" i="4"/>
  <c r="BY775" i="4"/>
  <c r="AI908" i="4"/>
  <c r="BY908" i="4"/>
  <c r="AI559" i="4"/>
  <c r="BY559" i="4"/>
  <c r="BZ559" i="4" s="1"/>
  <c r="AI921" i="4"/>
  <c r="BY921" i="4"/>
  <c r="AI585" i="4"/>
  <c r="BY585" i="4"/>
  <c r="BY1194" i="4"/>
  <c r="AI1194" i="4"/>
  <c r="BY794" i="4"/>
  <c r="AI794" i="4"/>
  <c r="AI886" i="4"/>
  <c r="BY886" i="4"/>
  <c r="AI844" i="4"/>
  <c r="BY844" i="4"/>
  <c r="AI614" i="4"/>
  <c r="BY614" i="4"/>
  <c r="AI601" i="4"/>
  <c r="BY601" i="4"/>
  <c r="BZ601" i="4" s="1"/>
  <c r="BY1137" i="4"/>
  <c r="AI1137" i="4"/>
  <c r="AI901" i="4"/>
  <c r="BY901" i="4"/>
  <c r="BZ901" i="4" s="1"/>
  <c r="AI795" i="4"/>
  <c r="BY795" i="4"/>
  <c r="AI596" i="4"/>
  <c r="BY596" i="4"/>
  <c r="BZ596" i="4" s="1"/>
  <c r="AI676" i="4"/>
  <c r="BY676" i="4"/>
  <c r="AI566" i="4"/>
  <c r="BY566" i="4"/>
  <c r="BY663" i="4"/>
  <c r="BZ663" i="4" s="1"/>
  <c r="AI663" i="4"/>
  <c r="AI632" i="4"/>
  <c r="BY632" i="4"/>
  <c r="AI1162" i="4"/>
  <c r="BY1162" i="4"/>
  <c r="AI834" i="4"/>
  <c r="BY834" i="4"/>
  <c r="AI592" i="4"/>
  <c r="BY592" i="4"/>
  <c r="BY609" i="4"/>
  <c r="AI609" i="4"/>
  <c r="AI1158" i="4"/>
  <c r="BY1158" i="4"/>
  <c r="BY803" i="4"/>
  <c r="AI803" i="4"/>
  <c r="BY852" i="4"/>
  <c r="AI852" i="4"/>
  <c r="AI926" i="4"/>
  <c r="BY926" i="4"/>
  <c r="BY1202" i="4"/>
  <c r="AI1202" i="4"/>
  <c r="AI894" i="4"/>
  <c r="BY894" i="4"/>
  <c r="AI1145" i="4"/>
  <c r="BY1145" i="4"/>
  <c r="BY638" i="4"/>
  <c r="AI638" i="4"/>
  <c r="BY1195" i="4"/>
  <c r="AI1195" i="4"/>
  <c r="AI662" i="4"/>
  <c r="BY662" i="4"/>
  <c r="BY780" i="4"/>
  <c r="AI780" i="4"/>
  <c r="BY644" i="4"/>
  <c r="AI644" i="4"/>
  <c r="BY1170" i="4"/>
  <c r="AI1170" i="4"/>
  <c r="AI821" i="4"/>
  <c r="BY821" i="4"/>
  <c r="AI1129" i="4"/>
  <c r="BY1129" i="4"/>
  <c r="BZ1129" i="4" s="1"/>
  <c r="BY1174" i="4"/>
  <c r="BZ1174" i="4" s="1"/>
  <c r="AI1174" i="4"/>
  <c r="AI762" i="4"/>
  <c r="BY762" i="4"/>
  <c r="BY800" i="4"/>
  <c r="AI800" i="4"/>
  <c r="AI804" i="4"/>
  <c r="BY804" i="4"/>
  <c r="AI657" i="4"/>
  <c r="BY657" i="4"/>
  <c r="AI1163" i="4"/>
  <c r="BY1163" i="4"/>
  <c r="AI928" i="4"/>
  <c r="BY928" i="4"/>
  <c r="BZ928" i="4" s="1"/>
  <c r="AI583" i="4"/>
  <c r="BY583" i="4"/>
  <c r="AI1197" i="4"/>
  <c r="BY1197" i="4"/>
  <c r="AI895" i="4"/>
  <c r="BY895" i="4"/>
  <c r="AI835" i="4"/>
  <c r="BY835" i="4"/>
  <c r="AI668" i="4"/>
  <c r="BY668" i="4"/>
  <c r="AI1146" i="4"/>
  <c r="BY1146" i="4"/>
  <c r="AI674" i="4"/>
  <c r="BY674" i="4"/>
  <c r="AI633" i="4"/>
  <c r="BY633" i="4"/>
  <c r="AI779" i="4"/>
  <c r="BY779" i="4"/>
  <c r="AI810" i="4"/>
  <c r="BY810" i="4"/>
  <c r="BY1201" i="4"/>
  <c r="AI1201" i="4"/>
  <c r="AI812" i="4"/>
  <c r="BY812" i="4"/>
  <c r="AI751" i="4"/>
  <c r="BY751" i="4"/>
  <c r="BY914" i="4"/>
  <c r="AI914" i="4"/>
  <c r="AI1199" i="4"/>
  <c r="BY1199" i="4"/>
  <c r="AI626" i="4"/>
  <c r="BY626" i="4"/>
  <c r="BY551" i="4"/>
  <c r="AI551" i="4"/>
  <c r="BY636" i="4"/>
  <c r="AI636" i="4"/>
  <c r="AI630" i="4"/>
  <c r="BY630" i="4"/>
  <c r="AI851" i="4"/>
  <c r="BY851" i="4"/>
  <c r="AI659" i="4"/>
  <c r="BY659" i="4"/>
  <c r="AI1121" i="4"/>
  <c r="BY1121" i="4"/>
  <c r="BZ1121" i="4" s="1"/>
  <c r="AI1133" i="4"/>
  <c r="BY1133" i="4"/>
  <c r="AI603" i="4"/>
  <c r="BY603" i="4"/>
  <c r="BZ603" i="4" s="1"/>
  <c r="AI652" i="4"/>
  <c r="BY652" i="4"/>
  <c r="BY902" i="4"/>
  <c r="AI902" i="4"/>
  <c r="BY858" i="4"/>
  <c r="AI858" i="4"/>
  <c r="BY1205" i="4"/>
  <c r="AI1205" i="4"/>
  <c r="BY777" i="4"/>
  <c r="AI777" i="4"/>
  <c r="BY1185" i="4"/>
  <c r="AI1185" i="4"/>
  <c r="BY1127" i="4"/>
  <c r="BZ1127" i="4" s="1"/>
  <c r="AI1127" i="4"/>
  <c r="BY1144" i="4"/>
  <c r="BZ1144" i="4" s="1"/>
  <c r="AI1144" i="4"/>
  <c r="AI923" i="4"/>
  <c r="BY923" i="4"/>
  <c r="BY1122" i="4"/>
  <c r="BZ1122" i="4" s="1"/>
  <c r="AI1122" i="4"/>
  <c r="AI1200" i="4"/>
  <c r="BY1200" i="4"/>
  <c r="AI924" i="4"/>
  <c r="BY924" i="4"/>
  <c r="BZ924" i="4" s="1"/>
  <c r="BY899" i="4"/>
  <c r="BZ899" i="4" s="1"/>
  <c r="AI899" i="4"/>
  <c r="BY569" i="4"/>
  <c r="AI569" i="4"/>
  <c r="AI587" i="4"/>
  <c r="BY587" i="4"/>
  <c r="AI814" i="4"/>
  <c r="BY814" i="4"/>
  <c r="AI903" i="4"/>
  <c r="BY903" i="4"/>
  <c r="BY1207" i="4"/>
  <c r="AI1207" i="4"/>
  <c r="AI1196" i="4"/>
  <c r="BY1196" i="4"/>
  <c r="AI916" i="4"/>
  <c r="BY916" i="4"/>
  <c r="AI631" i="4"/>
  <c r="BY631" i="4"/>
  <c r="AI802" i="4"/>
  <c r="BY802" i="4"/>
  <c r="BY572" i="4"/>
  <c r="AI572" i="4"/>
  <c r="AI787" i="4"/>
  <c r="BY787" i="4"/>
  <c r="AI888" i="4"/>
  <c r="BY888" i="4"/>
  <c r="AI763" i="4"/>
  <c r="BY763" i="4"/>
  <c r="AI617" i="4"/>
  <c r="BY617" i="4"/>
  <c r="BY687" i="4"/>
  <c r="AI687" i="4"/>
  <c r="AI917" i="4"/>
  <c r="BY917" i="4"/>
  <c r="AI646" i="4"/>
  <c r="BY646" i="4"/>
  <c r="BZ646" i="4" s="1"/>
  <c r="BY856" i="4"/>
  <c r="AI856" i="4"/>
  <c r="AI588" i="4"/>
  <c r="BY588" i="4"/>
  <c r="AI672" i="4"/>
  <c r="BY672" i="4"/>
  <c r="AI824" i="4"/>
  <c r="BY824" i="4"/>
  <c r="BY567" i="4"/>
  <c r="BZ567" i="4" s="1"/>
  <c r="AI567" i="4"/>
  <c r="AI785" i="4"/>
  <c r="BY785" i="4"/>
  <c r="BY880" i="4"/>
  <c r="BZ880" i="4" s="1"/>
  <c r="AI880" i="4"/>
  <c r="BY1161" i="4"/>
  <c r="AI1161" i="4"/>
  <c r="AI1187" i="4"/>
  <c r="BY1187" i="4"/>
  <c r="AI789" i="4"/>
  <c r="BY789" i="4"/>
  <c r="AI561" i="4"/>
  <c r="BY561" i="4"/>
  <c r="BY898" i="4"/>
  <c r="BZ898" i="4" s="1"/>
  <c r="AI898" i="4"/>
  <c r="AI865" i="4"/>
  <c r="BY865" i="4"/>
  <c r="BY1114" i="4"/>
  <c r="AI1114" i="4"/>
  <c r="AI750" i="4"/>
  <c r="BY750" i="4"/>
  <c r="AI586" i="4"/>
  <c r="BY586" i="4"/>
  <c r="AI552" i="4"/>
  <c r="BY552" i="4"/>
  <c r="AI623" i="4"/>
  <c r="BY623" i="4"/>
  <c r="BY911" i="4"/>
  <c r="AI911" i="4"/>
  <c r="BY920" i="4"/>
  <c r="AI920" i="4"/>
  <c r="AI784" i="4"/>
  <c r="BY784" i="4"/>
  <c r="AI616" i="4"/>
  <c r="BY616" i="4"/>
  <c r="AI639" i="4"/>
  <c r="BY639" i="4"/>
  <c r="AI1159" i="4"/>
  <c r="BY1159" i="4"/>
  <c r="BY801" i="4"/>
  <c r="AI801" i="4"/>
  <c r="AI664" i="4"/>
  <c r="BY664" i="4"/>
  <c r="BZ664" i="4" s="1"/>
  <c r="AI772" i="4"/>
  <c r="BY772" i="4"/>
  <c r="AI653" i="4"/>
  <c r="BY653" i="4"/>
  <c r="AI764" i="4"/>
  <c r="BY764" i="4"/>
  <c r="AI555" i="4"/>
  <c r="BY555" i="4"/>
  <c r="BY786" i="4"/>
  <c r="AI786" i="4"/>
  <c r="AI867" i="4"/>
  <c r="BY867" i="4"/>
  <c r="AI749" i="4"/>
  <c r="BY749" i="4"/>
  <c r="AI769" i="4"/>
  <c r="BY769" i="4"/>
  <c r="AI755" i="4"/>
  <c r="BY755" i="4"/>
  <c r="BY1179" i="4"/>
  <c r="AI1179" i="4"/>
  <c r="AI836" i="4"/>
  <c r="BY836" i="4"/>
  <c r="AI864" i="4"/>
  <c r="BY864" i="4"/>
  <c r="AI1181" i="4"/>
  <c r="BY1181" i="4"/>
  <c r="BZ1181" i="4" s="1"/>
  <c r="AI606" i="4"/>
  <c r="BY606" i="4"/>
  <c r="BZ606" i="4" s="1"/>
  <c r="AI650" i="4"/>
  <c r="BY650" i="4"/>
  <c r="AI576" i="4"/>
  <c r="BY576" i="4"/>
  <c r="AI1136" i="4"/>
  <c r="BY1136" i="4"/>
  <c r="BY1208" i="4"/>
  <c r="AI1208" i="4"/>
  <c r="AI876" i="4"/>
  <c r="BY876" i="4"/>
  <c r="BZ876" i="4" s="1"/>
  <c r="BY605" i="4"/>
  <c r="BZ605" i="4" s="1"/>
  <c r="AI605" i="4"/>
  <c r="BY1147" i="4"/>
  <c r="AI1147" i="4"/>
  <c r="BY1117" i="4"/>
  <c r="BZ1117" i="4" s="1"/>
  <c r="AI1117" i="4"/>
  <c r="AI891" i="4"/>
  <c r="BY891" i="4"/>
  <c r="BY1188" i="4"/>
  <c r="AI1188" i="4"/>
  <c r="AI1149" i="4"/>
  <c r="BY1149" i="4"/>
  <c r="BZ1149" i="4" s="1"/>
  <c r="AI753" i="4"/>
  <c r="BY753" i="4"/>
  <c r="BY1123" i="4"/>
  <c r="BZ1123" i="4" s="1"/>
  <c r="AI1123" i="4"/>
  <c r="AI907" i="4"/>
  <c r="BY907" i="4"/>
  <c r="BZ907" i="4" s="1"/>
  <c r="AI670" i="4"/>
  <c r="BY670" i="4"/>
  <c r="AI910" i="4"/>
  <c r="BY910" i="4"/>
  <c r="AI790" i="4"/>
  <c r="BY790" i="4"/>
  <c r="AI582" i="4"/>
  <c r="BY582" i="4"/>
  <c r="AI827" i="4"/>
  <c r="BY827" i="4"/>
  <c r="AI562" i="4"/>
  <c r="BY562" i="4"/>
  <c r="BY913" i="4"/>
  <c r="AI913" i="4"/>
  <c r="BY756" i="4"/>
  <c r="AI756" i="4"/>
  <c r="AI838" i="4"/>
  <c r="BY838" i="4"/>
  <c r="BY1168" i="4"/>
  <c r="AI1168" i="4"/>
  <c r="AI1166" i="4"/>
  <c r="BY1166" i="4"/>
  <c r="BY860" i="4"/>
  <c r="AI860" i="4"/>
  <c r="AI1132" i="4"/>
  <c r="BY1132" i="4"/>
  <c r="BZ1132" i="4" s="1"/>
  <c r="AI878" i="4"/>
  <c r="BY878" i="4"/>
  <c r="BZ878" i="4" s="1"/>
  <c r="AI581" i="4"/>
  <c r="BY581" i="4"/>
  <c r="AI1198" i="4"/>
  <c r="BY1198" i="4"/>
  <c r="BY635" i="4"/>
  <c r="AI635" i="4"/>
  <c r="AI677" i="4"/>
  <c r="BY677" i="4"/>
  <c r="BY1172" i="4"/>
  <c r="AI1172" i="4"/>
  <c r="AI1116" i="4"/>
  <c r="BY1116" i="4"/>
  <c r="BZ1116" i="4" s="1"/>
  <c r="AI568" i="4"/>
  <c r="BY568" i="4"/>
  <c r="AI557" i="4"/>
  <c r="BY557" i="4"/>
  <c r="BZ557" i="4" s="1"/>
  <c r="AI929" i="4"/>
  <c r="BY929" i="4"/>
  <c r="BY637" i="4"/>
  <c r="AI637" i="4"/>
  <c r="AI651" i="4"/>
  <c r="BY651" i="4"/>
  <c r="BY806" i="4"/>
  <c r="AI806" i="4"/>
  <c r="AI681" i="4"/>
  <c r="BY681" i="4"/>
  <c r="BZ681" i="4" s="1"/>
  <c r="AI1141" i="4"/>
  <c r="BY1141" i="4"/>
  <c r="AI918" i="4"/>
  <c r="BY918" i="4"/>
  <c r="AI857" i="4"/>
  <c r="BY857" i="4"/>
  <c r="AI607" i="4"/>
  <c r="BY607" i="4"/>
  <c r="AI850" i="4"/>
  <c r="BY850" i="4"/>
  <c r="AI931" i="4"/>
  <c r="BY931" i="4"/>
  <c r="BZ931" i="4" s="1"/>
  <c r="AI879" i="4"/>
  <c r="BY879" i="4"/>
  <c r="BZ879" i="4" s="1"/>
  <c r="AI1150" i="4"/>
  <c r="BY1150" i="4"/>
  <c r="AI896" i="4"/>
  <c r="BY896" i="4"/>
  <c r="BZ896" i="4" s="1"/>
  <c r="AI673" i="4"/>
  <c r="BY673" i="4"/>
  <c r="BY799" i="4"/>
  <c r="AI799" i="4"/>
  <c r="BY805" i="4"/>
  <c r="AI805" i="4"/>
  <c r="AI1206" i="4"/>
  <c r="BY1206" i="4"/>
  <c r="BY770" i="4"/>
  <c r="AI770" i="4"/>
  <c r="AI598" i="4"/>
  <c r="BY598" i="4"/>
  <c r="AI1192" i="4"/>
  <c r="BY1192" i="4"/>
  <c r="AI832" i="4"/>
  <c r="BY832" i="4"/>
  <c r="AI768" i="4"/>
  <c r="BY768" i="4"/>
  <c r="AI1120" i="4"/>
  <c r="BY1120" i="4"/>
  <c r="AI1193" i="4"/>
  <c r="BY1193" i="4"/>
  <c r="BZ1193" i="4" s="1"/>
  <c r="AI1177" i="4"/>
  <c r="BY1177" i="4"/>
  <c r="BY1155" i="4"/>
  <c r="BZ1155" i="4" s="1"/>
  <c r="AI1155" i="4"/>
  <c r="AI783" i="4"/>
  <c r="BY783" i="4"/>
  <c r="AI656" i="4"/>
  <c r="BY656" i="4"/>
  <c r="BY884" i="4"/>
  <c r="AI884" i="4"/>
  <c r="AI847" i="4"/>
  <c r="BY847" i="4"/>
  <c r="AI809" i="4"/>
  <c r="BY809" i="4"/>
  <c r="AI667" i="4"/>
  <c r="BY667" i="4"/>
  <c r="AI915" i="4"/>
  <c r="BY915" i="4"/>
  <c r="AI558" i="4"/>
  <c r="BY558" i="4"/>
  <c r="BZ558" i="4" s="1"/>
  <c r="BY778" i="4"/>
  <c r="AI778" i="4"/>
  <c r="AI610" i="4"/>
  <c r="BY610" i="4"/>
  <c r="AI843" i="4"/>
  <c r="BY843" i="4"/>
  <c r="AI925" i="4"/>
  <c r="BY925" i="4"/>
  <c r="AI615" i="4"/>
  <c r="BY615" i="4"/>
  <c r="AI584" i="4"/>
  <c r="BY584" i="4"/>
  <c r="BY883" i="4"/>
  <c r="AI883" i="4"/>
  <c r="AI861" i="4"/>
  <c r="BY861" i="4"/>
  <c r="BY829" i="4"/>
  <c r="AI829" i="4"/>
  <c r="AI815" i="4"/>
  <c r="BY815" i="4"/>
  <c r="AI776" i="4"/>
  <c r="BY776" i="4"/>
  <c r="AI655" i="4"/>
  <c r="BY655" i="4"/>
  <c r="AI1143" i="4"/>
  <c r="BY1143" i="4"/>
  <c r="AI1182" i="4"/>
  <c r="BY1182" i="4"/>
  <c r="BZ1182" i="4" s="1"/>
  <c r="AI573" i="4"/>
  <c r="BY573" i="4"/>
  <c r="BY1164" i="4"/>
  <c r="AI1164" i="4"/>
  <c r="AI922" i="4"/>
  <c r="BY922" i="4"/>
  <c r="BZ922" i="4" s="1"/>
  <c r="AI684" i="4"/>
  <c r="BY684" i="4"/>
  <c r="BZ684" i="4" s="1"/>
  <c r="AI574" i="4"/>
  <c r="BY574" i="4"/>
  <c r="AI1180" i="4"/>
  <c r="BY1180" i="4"/>
  <c r="AI645" i="4"/>
  <c r="BY645" i="4"/>
  <c r="AI906" i="4"/>
  <c r="BY906" i="4"/>
  <c r="BZ906" i="4" s="1"/>
  <c r="AI686" i="4"/>
  <c r="BY686" i="4"/>
  <c r="AI666" i="4"/>
  <c r="BY666" i="4"/>
  <c r="BY773" i="4"/>
  <c r="AI773" i="4"/>
  <c r="BY682" i="4"/>
  <c r="AI682" i="4"/>
  <c r="AI578" i="4"/>
  <c r="BY578" i="4"/>
  <c r="AI1160" i="4"/>
  <c r="BY1160" i="4"/>
  <c r="AI825" i="4"/>
  <c r="BY825" i="4"/>
  <c r="BY1189" i="4"/>
  <c r="AI1189" i="4"/>
  <c r="AI613" i="4"/>
  <c r="BY613" i="4"/>
  <c r="AI862" i="4"/>
  <c r="BY862" i="4"/>
  <c r="BY1173" i="4"/>
  <c r="AI1173" i="4"/>
  <c r="AI747" i="4"/>
  <c r="BY747" i="4"/>
  <c r="AI1126" i="4"/>
  <c r="BY1126" i="4"/>
  <c r="BZ1126" i="4" s="1"/>
  <c r="AI553" i="4"/>
  <c r="BY553" i="4"/>
  <c r="AI1128" i="4"/>
  <c r="BY1128" i="4"/>
  <c r="AI575" i="4"/>
  <c r="BY575" i="4"/>
  <c r="BY758" i="4"/>
  <c r="AI758" i="4"/>
  <c r="AI627" i="4"/>
  <c r="BY627" i="4"/>
  <c r="AI1203" i="4"/>
  <c r="BY1203" i="4"/>
  <c r="AI619" i="4"/>
  <c r="BY619" i="4"/>
  <c r="BY1134" i="4"/>
  <c r="BZ1134" i="4" s="1"/>
  <c r="AI1134" i="4"/>
  <c r="AI643" i="4"/>
  <c r="BY643" i="4"/>
  <c r="AI634" i="4"/>
  <c r="BY634" i="4"/>
  <c r="AI1156" i="4"/>
  <c r="BY1156" i="4"/>
  <c r="BY782" i="4"/>
  <c r="AI782" i="4"/>
  <c r="BY830" i="4"/>
  <c r="AI830" i="4"/>
  <c r="AI826" i="4"/>
  <c r="BY826" i="4"/>
  <c r="BY577" i="4"/>
  <c r="AI577" i="4"/>
  <c r="AI580" i="4"/>
  <c r="BY580" i="4"/>
  <c r="AI647" i="4"/>
  <c r="BY647" i="4"/>
  <c r="BZ647" i="4" s="1"/>
  <c r="AI1138" i="4"/>
  <c r="BY1138" i="4"/>
  <c r="BY560" i="4"/>
  <c r="BZ560" i="4" s="1"/>
  <c r="AI560" i="4"/>
  <c r="AI608" i="4"/>
  <c r="BY608" i="4"/>
  <c r="BZ608" i="4" s="1"/>
  <c r="AI1186" i="4"/>
  <c r="BY1186" i="4"/>
  <c r="AI599" i="4"/>
  <c r="BY599" i="4"/>
  <c r="BZ599" i="4" s="1"/>
  <c r="AI875" i="4"/>
  <c r="BY875" i="4"/>
  <c r="AI622" i="4"/>
  <c r="BY622" i="4"/>
  <c r="BY1191" i="4"/>
  <c r="AI1191" i="4"/>
  <c r="BY642" i="4"/>
  <c r="AI642" i="4"/>
  <c r="BY1176" i="4"/>
  <c r="BZ1176" i="4" s="1"/>
  <c r="AI1176" i="4"/>
  <c r="AI881" i="4"/>
  <c r="BY881" i="4"/>
  <c r="BZ881" i="4" s="1"/>
  <c r="AI1184" i="4"/>
  <c r="BY1184" i="4"/>
  <c r="AI1190" i="4"/>
  <c r="BY1190" i="4"/>
  <c r="BY766" i="4"/>
  <c r="AI766" i="4"/>
  <c r="AI1135" i="4"/>
  <c r="BY1135" i="4"/>
  <c r="AI759" i="4"/>
  <c r="BY759" i="4"/>
  <c r="AI658" i="4"/>
  <c r="BY658" i="4"/>
  <c r="AI900" i="4"/>
  <c r="BY900" i="4"/>
  <c r="BY822" i="4"/>
  <c r="AI822" i="4"/>
  <c r="AI927" i="4"/>
  <c r="BY927" i="4"/>
  <c r="BZ927" i="4" s="1"/>
  <c r="AI892" i="4"/>
  <c r="BY892" i="4"/>
  <c r="AI621" i="4"/>
  <c r="BY621" i="4"/>
  <c r="AI654" i="4"/>
  <c r="BY654" i="4"/>
  <c r="AI820" i="4"/>
  <c r="BY820" i="4"/>
  <c r="AI839" i="4"/>
  <c r="BY839" i="4"/>
  <c r="AI571" i="4"/>
  <c r="BY571" i="4"/>
  <c r="AI823" i="4"/>
  <c r="BY823" i="4"/>
  <c r="AI671" i="4"/>
  <c r="BY671" i="4"/>
  <c r="AI597" i="4"/>
  <c r="BY597" i="4"/>
  <c r="BZ597" i="4" s="1"/>
  <c r="AI1119" i="4"/>
  <c r="BY1119" i="4"/>
  <c r="BZ1119" i="4" s="1"/>
  <c r="AI1153" i="4"/>
  <c r="BY1153" i="4"/>
  <c r="AI831" i="4"/>
  <c r="BY831" i="4"/>
  <c r="BY767" i="4"/>
  <c r="AI767" i="4"/>
  <c r="BY1115" i="4"/>
  <c r="BZ1115" i="4" s="1"/>
  <c r="AI1115" i="4"/>
  <c r="AI833" i="4"/>
  <c r="BY833" i="4"/>
  <c r="AI760" i="4"/>
  <c r="BY760" i="4"/>
  <c r="AI792" i="4"/>
  <c r="BY792" i="4"/>
  <c r="AI683" i="4"/>
  <c r="BY683" i="4"/>
  <c r="AI791" i="4"/>
  <c r="BY791" i="4"/>
  <c r="AI600" i="4"/>
  <c r="BY600" i="4"/>
  <c r="BZ600" i="4" s="1"/>
  <c r="BY909" i="4"/>
  <c r="AI909" i="4"/>
  <c r="AI579" i="4"/>
  <c r="BY579" i="4"/>
  <c r="AI640" i="4"/>
  <c r="BY640" i="4"/>
  <c r="AI556" i="4"/>
  <c r="BY556" i="4"/>
  <c r="AI904" i="4"/>
  <c r="BY904" i="4"/>
  <c r="AI837" i="4"/>
  <c r="BY837" i="4"/>
  <c r="AI840" i="4"/>
  <c r="BY840" i="4"/>
  <c r="BY872" i="4"/>
  <c r="AI872" i="4"/>
  <c r="AI669" i="4"/>
  <c r="BY669" i="4"/>
  <c r="AI748" i="4"/>
  <c r="BY748" i="4"/>
  <c r="BY678" i="4"/>
  <c r="AI678" i="4"/>
  <c r="AI564" i="4"/>
  <c r="BY564" i="4"/>
  <c r="AI816" i="4"/>
  <c r="BY816" i="4"/>
  <c r="AI746" i="4"/>
  <c r="BY746" i="4"/>
  <c r="BY819" i="4"/>
  <c r="AI819" i="4"/>
  <c r="AI887" i="4"/>
  <c r="BY887" i="4"/>
  <c r="BY841" i="4"/>
  <c r="AI841" i="4"/>
  <c r="AI912" i="4"/>
  <c r="BY912" i="4"/>
  <c r="BY889" i="4"/>
  <c r="AI889" i="4"/>
  <c r="BY849" i="4"/>
  <c r="AI849" i="4"/>
  <c r="AI813" i="4"/>
  <c r="BY813" i="4"/>
  <c r="AI593" i="4"/>
  <c r="BY593" i="4"/>
  <c r="AI781" i="4"/>
  <c r="BY781" i="4"/>
  <c r="AI890" i="4"/>
  <c r="BY890" i="4"/>
  <c r="AI807" i="4"/>
  <c r="BY807" i="4"/>
  <c r="AI845" i="4"/>
  <c r="BY845" i="4"/>
  <c r="AI675" i="4"/>
  <c r="BY675" i="4"/>
  <c r="AI771" i="4"/>
  <c r="BY771" i="4"/>
  <c r="AI893" i="4"/>
  <c r="BY893" i="4"/>
  <c r="AI1157" i="4"/>
  <c r="BY1157" i="4"/>
  <c r="BY842" i="4"/>
  <c r="AI842" i="4"/>
  <c r="AI817" i="4"/>
  <c r="BY817" i="4"/>
  <c r="AI665" i="4"/>
  <c r="BY665" i="4"/>
  <c r="AI1175" i="4"/>
  <c r="BY1175" i="4"/>
  <c r="BY774" i="4"/>
  <c r="AI774" i="4"/>
  <c r="AI761" i="4"/>
  <c r="BY761" i="4"/>
  <c r="AI625" i="4"/>
  <c r="BY625" i="4"/>
  <c r="AI1131" i="4"/>
  <c r="BY1131" i="4"/>
  <c r="BZ1131" i="4" s="1"/>
  <c r="BY846" i="4"/>
  <c r="AI846" i="4"/>
  <c r="AI752" i="4"/>
  <c r="BY752" i="4"/>
  <c r="AI1152" i="4"/>
  <c r="BY1152" i="4"/>
  <c r="BY1165" i="4"/>
  <c r="AI1165" i="4"/>
  <c r="AI1124" i="4"/>
  <c r="BY1124" i="4"/>
  <c r="BZ1124" i="4" s="1"/>
  <c r="BY863" i="4"/>
  <c r="AI863" i="4"/>
  <c r="AI897" i="4"/>
  <c r="BY897" i="4"/>
  <c r="AI624" i="4"/>
  <c r="BY624" i="4"/>
  <c r="AI757" i="4"/>
  <c r="BY757" i="4"/>
  <c r="AI563" i="4"/>
  <c r="BY563" i="4"/>
  <c r="AI679" i="4"/>
  <c r="BY679" i="4"/>
  <c r="AI620" i="4"/>
  <c r="BY620" i="4"/>
  <c r="BY871" i="4"/>
  <c r="AI871" i="4"/>
  <c r="AI1178" i="4"/>
  <c r="BY1178" i="4"/>
  <c r="AI641" i="4"/>
  <c r="BY641" i="4"/>
  <c r="BY1183" i="4"/>
  <c r="AI1183" i="4"/>
  <c r="AI859" i="4"/>
  <c r="BY859" i="4"/>
  <c r="AI680" i="4"/>
  <c r="BY680" i="4"/>
  <c r="BZ680" i="4" s="1"/>
  <c r="BY648" i="4"/>
  <c r="BZ648" i="4" s="1"/>
  <c r="AI648" i="4"/>
  <c r="AI853" i="4"/>
  <c r="BY853" i="4"/>
  <c r="BY788" i="4"/>
  <c r="AI788" i="4"/>
  <c r="AI1171" i="4"/>
  <c r="BY1171" i="4"/>
  <c r="BY930" i="4"/>
  <c r="AI930" i="4"/>
  <c r="AI618" i="4"/>
  <c r="BY618" i="4"/>
  <c r="BY628" i="4"/>
  <c r="AI628" i="4"/>
  <c r="BY855" i="4"/>
  <c r="AI855" i="4"/>
  <c r="AI649" i="4"/>
  <c r="BY649" i="4"/>
  <c r="BZ649" i="4" s="1"/>
  <c r="AI550" i="4"/>
  <c r="BY550" i="4"/>
  <c r="AI1139" i="4"/>
  <c r="BY1139" i="4"/>
  <c r="BY629" i="4"/>
  <c r="AI629" i="4"/>
  <c r="AI808" i="4"/>
  <c r="BY808" i="4"/>
  <c r="BY873" i="4"/>
  <c r="AI873" i="4"/>
  <c r="BY1151" i="4"/>
  <c r="BZ1151" i="4" s="1"/>
  <c r="AI1151" i="4"/>
  <c r="AI797" i="4"/>
  <c r="BY797" i="4"/>
  <c r="BY874" i="4"/>
  <c r="AI874" i="4"/>
  <c r="AI1130" i="4"/>
  <c r="BY1130" i="4"/>
  <c r="BZ1130" i="4" s="1"/>
  <c r="AI919" i="4"/>
  <c r="BY919" i="4"/>
  <c r="BY869" i="4"/>
  <c r="AI869" i="4"/>
  <c r="AI1169" i="4"/>
  <c r="BY1169" i="4"/>
  <c r="BY848" i="4"/>
  <c r="AI848" i="4"/>
  <c r="AI885" i="4"/>
  <c r="BY885" i="4"/>
  <c r="AI1140" i="4"/>
  <c r="BY1140" i="4"/>
  <c r="BZ1140" i="4" s="1"/>
  <c r="AI796" i="4"/>
  <c r="BY796" i="4"/>
  <c r="AI818" i="4"/>
  <c r="BY818" i="4"/>
  <c r="BY811" i="4"/>
  <c r="AI811" i="4"/>
  <c r="BY854" i="4"/>
  <c r="AI854" i="4"/>
  <c r="AI1204" i="4"/>
  <c r="BY1204" i="4"/>
  <c r="AI882" i="4"/>
  <c r="BY882" i="4"/>
  <c r="BZ882" i="4" s="1"/>
  <c r="BY754" i="4"/>
  <c r="AI754" i="4"/>
  <c r="BY798" i="4"/>
  <c r="AI798" i="4"/>
  <c r="AI590" i="4"/>
  <c r="BY590" i="4"/>
  <c r="AI765" i="4"/>
  <c r="BY765" i="4"/>
  <c r="AI595" i="4"/>
  <c r="BY595" i="4"/>
  <c r="AI866" i="4"/>
  <c r="BY866" i="4"/>
  <c r="AI905" i="4"/>
  <c r="BY905" i="4"/>
  <c r="AI1148" i="4"/>
  <c r="BY1148" i="4"/>
  <c r="BZ1148" i="4" s="1"/>
  <c r="BY604" i="4"/>
  <c r="AI604" i="4"/>
  <c r="AI868" i="4"/>
  <c r="BY868" i="4"/>
  <c r="BY685" i="4"/>
  <c r="AI685" i="4"/>
  <c r="AI661" i="4"/>
  <c r="BY661" i="4"/>
  <c r="AI612" i="4"/>
  <c r="BY612" i="4"/>
  <c r="AI1154" i="4"/>
  <c r="BY1154" i="4"/>
  <c r="AI413" i="4"/>
  <c r="BY413" i="4"/>
  <c r="AI391" i="4"/>
  <c r="BY391" i="4"/>
  <c r="BY441" i="4"/>
  <c r="AI441" i="4"/>
  <c r="AI402" i="4"/>
  <c r="BY402" i="4"/>
  <c r="BZ402" i="4" s="1"/>
  <c r="AI384" i="4"/>
  <c r="BY384" i="4"/>
  <c r="BY489" i="4"/>
  <c r="AI489" i="4"/>
  <c r="AI457" i="4"/>
  <c r="BY457" i="4"/>
  <c r="BZ457" i="4" s="1"/>
  <c r="AI373" i="4"/>
  <c r="BY373" i="4"/>
  <c r="AI420" i="4"/>
  <c r="BY420" i="4"/>
  <c r="BY485" i="4"/>
  <c r="AI485" i="4"/>
  <c r="AI451" i="4"/>
  <c r="BY451" i="4"/>
  <c r="BZ451" i="4" s="1"/>
  <c r="AI390" i="4"/>
  <c r="BY390" i="4"/>
  <c r="AI428" i="4"/>
  <c r="BY428" i="4"/>
  <c r="BY473" i="4"/>
  <c r="AI473" i="4"/>
  <c r="AI440" i="4"/>
  <c r="BY440" i="4"/>
  <c r="BY1076" i="4"/>
  <c r="BZ1076" i="4" s="1"/>
  <c r="BY1082" i="4"/>
  <c r="CA1082" i="4" s="1"/>
  <c r="BY1099" i="4"/>
  <c r="CA1099" i="4" s="1"/>
  <c r="BY1075" i="4"/>
  <c r="AI470" i="4"/>
  <c r="BY470" i="4"/>
  <c r="AI467" i="4"/>
  <c r="BY467" i="4"/>
  <c r="BZ467" i="4" s="1"/>
  <c r="AI422" i="4"/>
  <c r="BY422" i="4"/>
  <c r="BY476" i="4"/>
  <c r="AI476" i="4"/>
  <c r="BY472" i="4"/>
  <c r="AI472" i="4"/>
  <c r="AI425" i="4"/>
  <c r="BY425" i="4"/>
  <c r="BY455" i="4"/>
  <c r="BZ455" i="4" s="1"/>
  <c r="AI455" i="4"/>
  <c r="AI419" i="4"/>
  <c r="BY419" i="4"/>
  <c r="AI370" i="4"/>
  <c r="BY370" i="4"/>
  <c r="AI475" i="4"/>
  <c r="BY475" i="4"/>
  <c r="AI387" i="4"/>
  <c r="BY387" i="4"/>
  <c r="AI460" i="4"/>
  <c r="BY460" i="4"/>
  <c r="BZ460" i="4" s="1"/>
  <c r="AI382" i="4"/>
  <c r="BY382" i="4"/>
  <c r="AI380" i="4"/>
  <c r="BY380" i="4"/>
  <c r="AI417" i="4"/>
  <c r="BY417" i="4"/>
  <c r="BY1089" i="4"/>
  <c r="CA1089" i="4" s="1"/>
  <c r="BY1093" i="4"/>
  <c r="BZ1093" i="4" s="1"/>
  <c r="BY1094" i="4"/>
  <c r="BZ1094" i="4" s="1"/>
  <c r="BY1393" i="4"/>
  <c r="BY1246" i="4"/>
  <c r="BZ1246" i="4" s="1"/>
  <c r="BY1096" i="4"/>
  <c r="BZ1096" i="4" s="1"/>
  <c r="BY1911" i="4"/>
  <c r="BY1906" i="4"/>
  <c r="BY1909" i="4"/>
  <c r="BZ1909" i="4" s="1"/>
  <c r="BY1873" i="4"/>
  <c r="BY1842" i="4"/>
  <c r="BY1933" i="4"/>
  <c r="BY1889" i="4"/>
  <c r="BY1856" i="4"/>
  <c r="BY28" i="4"/>
  <c r="BY85" i="4"/>
  <c r="BY73" i="4"/>
  <c r="BY32" i="4"/>
  <c r="BY17" i="4"/>
  <c r="BY116" i="4"/>
  <c r="BY129" i="4"/>
  <c r="BY155" i="4"/>
  <c r="BY192" i="4"/>
  <c r="BY101" i="4"/>
  <c r="BY214" i="4"/>
  <c r="BY130" i="4"/>
  <c r="BY207" i="4"/>
  <c r="BY132" i="4"/>
  <c r="BY227" i="4"/>
  <c r="AI443" i="4"/>
  <c r="BY443" i="4"/>
  <c r="BZ443" i="4" s="1"/>
  <c r="BY480" i="4"/>
  <c r="AI480" i="4"/>
  <c r="BY430" i="4"/>
  <c r="AI430" i="4"/>
  <c r="AI405" i="4"/>
  <c r="BY405" i="4"/>
  <c r="AI439" i="4"/>
  <c r="BY439" i="4"/>
  <c r="BZ439" i="4" s="1"/>
  <c r="AI454" i="4"/>
  <c r="BY454" i="4"/>
  <c r="BZ454" i="4" s="1"/>
  <c r="BY483" i="4"/>
  <c r="BZ483" i="4" s="1"/>
  <c r="AI483" i="4"/>
  <c r="AI459" i="4"/>
  <c r="BY459" i="4"/>
  <c r="AI453" i="4"/>
  <c r="BY453" i="4"/>
  <c r="BZ453" i="4" s="1"/>
  <c r="BY436" i="4"/>
  <c r="AI436" i="4"/>
  <c r="AI447" i="4"/>
  <c r="BY447" i="4"/>
  <c r="BZ447" i="4" s="1"/>
  <c r="AI412" i="4"/>
  <c r="BY412" i="4"/>
  <c r="AI435" i="4"/>
  <c r="BY435" i="4"/>
  <c r="BY446" i="4"/>
  <c r="BZ446" i="4" s="1"/>
  <c r="AI446" i="4"/>
  <c r="AI438" i="4"/>
  <c r="BY438" i="4"/>
  <c r="AI437" i="4"/>
  <c r="BY437" i="4"/>
  <c r="BZ437" i="4" s="1"/>
  <c r="AI383" i="4"/>
  <c r="BY383" i="4"/>
  <c r="AI427" i="4"/>
  <c r="BY427" i="4"/>
  <c r="AI397" i="4"/>
  <c r="BY397" i="4"/>
  <c r="BY463" i="4"/>
  <c r="BZ463" i="4" s="1"/>
  <c r="AI463" i="4"/>
  <c r="AI449" i="4"/>
  <c r="BY449" i="4"/>
  <c r="BZ449" i="4" s="1"/>
  <c r="AI376" i="4"/>
  <c r="BY376" i="4"/>
  <c r="CA1022" i="4" s="1"/>
  <c r="AI404" i="4"/>
  <c r="BY404" i="4"/>
  <c r="AI369" i="4"/>
  <c r="BY369" i="4"/>
  <c r="BZ369" i="4" s="1"/>
  <c r="BY372" i="4"/>
  <c r="AI372" i="4"/>
  <c r="AI377" i="4"/>
  <c r="BY377" i="4"/>
  <c r="AI486" i="4"/>
  <c r="BY486" i="4"/>
  <c r="AI468" i="4"/>
  <c r="BY468" i="4"/>
  <c r="BZ468" i="4" s="1"/>
  <c r="BY375" i="4"/>
  <c r="AI375" i="4"/>
  <c r="AI389" i="4"/>
  <c r="BY389" i="4"/>
  <c r="BY1072" i="4"/>
  <c r="BZ1072" i="4" s="1"/>
  <c r="BY1077" i="4"/>
  <c r="BZ1077" i="4" s="1"/>
  <c r="BY1092" i="4"/>
  <c r="CA1092" i="4" s="1"/>
  <c r="AI379" i="4"/>
  <c r="BY379" i="4"/>
  <c r="AI444" i="4"/>
  <c r="BY444" i="4"/>
  <c r="BZ444" i="4" s="1"/>
  <c r="AI426" i="4"/>
  <c r="BY426" i="4"/>
  <c r="AI409" i="4"/>
  <c r="BY409" i="4"/>
  <c r="BZ409" i="4" s="1"/>
  <c r="AI386" i="4"/>
  <c r="BY386" i="4"/>
  <c r="AI481" i="4"/>
  <c r="BY481" i="4"/>
  <c r="BZ481" i="4" s="1"/>
  <c r="AI388" i="4"/>
  <c r="BY388" i="4"/>
  <c r="AI474" i="4"/>
  <c r="BY474" i="4"/>
  <c r="AI458" i="4"/>
  <c r="BY458" i="4"/>
  <c r="AI410" i="4"/>
  <c r="BY410" i="4"/>
  <c r="AI434" i="4"/>
  <c r="BY434" i="4"/>
  <c r="BZ434" i="4" s="1"/>
  <c r="AI393" i="4"/>
  <c r="BY393" i="4"/>
  <c r="AI395" i="4"/>
  <c r="BY395" i="4"/>
  <c r="AI445" i="4"/>
  <c r="BY445" i="4"/>
  <c r="BZ445" i="4" s="1"/>
  <c r="AI431" i="4"/>
  <c r="BY431" i="4"/>
  <c r="BZ431" i="4" s="1"/>
  <c r="BY1074" i="4"/>
  <c r="CA1074" i="4" s="1"/>
  <c r="BY1085" i="4"/>
  <c r="BZ1085" i="4" s="1"/>
  <c r="BY1083" i="4"/>
  <c r="BZ1083" i="4" s="1"/>
  <c r="BY1073" i="4"/>
  <c r="BZ1073" i="4" s="1"/>
  <c r="BY1087" i="4"/>
  <c r="BZ1087" i="4" s="1"/>
  <c r="AI399" i="4"/>
  <c r="BY399" i="4"/>
  <c r="BZ399" i="4" s="1"/>
  <c r="AI368" i="4"/>
  <c r="BY368" i="4"/>
  <c r="AI371" i="4"/>
  <c r="BY371" i="4"/>
  <c r="BY448" i="4"/>
  <c r="AI448" i="4"/>
  <c r="BY479" i="4"/>
  <c r="AI479" i="4"/>
  <c r="AI442" i="4"/>
  <c r="BY442" i="4"/>
  <c r="BZ442" i="4" s="1"/>
  <c r="AI411" i="4"/>
  <c r="BY411" i="4"/>
  <c r="AI465" i="4"/>
  <c r="BY465" i="4"/>
  <c r="BZ465" i="4" s="1"/>
  <c r="BY450" i="4"/>
  <c r="BZ450" i="4" s="1"/>
  <c r="AI450" i="4"/>
  <c r="AI432" i="4"/>
  <c r="BY432" i="4"/>
  <c r="AI477" i="4"/>
  <c r="BY477" i="4"/>
  <c r="AI392" i="4"/>
  <c r="BY392" i="4"/>
  <c r="AI385" i="4"/>
  <c r="BY385" i="4"/>
  <c r="AI423" i="4"/>
  <c r="BY423" i="4"/>
  <c r="AI416" i="4"/>
  <c r="BY416" i="4"/>
  <c r="AI403" i="4"/>
  <c r="BY403" i="4"/>
  <c r="BZ403" i="4" s="1"/>
  <c r="BY1079" i="4"/>
  <c r="BZ1079" i="4" s="1"/>
  <c r="BY1078" i="4"/>
  <c r="CA1078" i="4" s="1"/>
  <c r="BY1081" i="4"/>
  <c r="CA1081" i="4" s="1"/>
  <c r="BY1095" i="4"/>
  <c r="BZ1095" i="4" s="1"/>
  <c r="AI414" i="4"/>
  <c r="BY414" i="4"/>
  <c r="AI484" i="4"/>
  <c r="BY484" i="4"/>
  <c r="BY471" i="4"/>
  <c r="AI471" i="4"/>
  <c r="AI462" i="4"/>
  <c r="BY462" i="4"/>
  <c r="BZ462" i="4" s="1"/>
  <c r="AI408" i="4"/>
  <c r="BY408" i="4"/>
  <c r="AI490" i="4"/>
  <c r="BY490" i="4"/>
  <c r="BY400" i="4"/>
  <c r="AI400" i="4"/>
  <c r="AI424" i="4"/>
  <c r="BY424" i="4"/>
  <c r="AI394" i="4"/>
  <c r="BY394" i="4"/>
  <c r="AI381" i="4"/>
  <c r="BY381" i="4"/>
  <c r="CA1053" i="4" s="1"/>
  <c r="AI421" i="4"/>
  <c r="BY421" i="4"/>
  <c r="BZ421" i="4" s="1"/>
  <c r="AI401" i="4"/>
  <c r="BY401" i="4"/>
  <c r="BZ401" i="4" s="1"/>
  <c r="AI418" i="4"/>
  <c r="BY418" i="4"/>
  <c r="AI374" i="4"/>
  <c r="BY374" i="4"/>
  <c r="BY469" i="4"/>
  <c r="AI469" i="4"/>
  <c r="AI398" i="4"/>
  <c r="BY398" i="4"/>
  <c r="BY1091" i="4"/>
  <c r="BZ1091" i="4" s="1"/>
  <c r="BY1088" i="4"/>
  <c r="BZ1088" i="4" s="1"/>
  <c r="BY1097" i="4"/>
  <c r="CA1097" i="4" s="1"/>
  <c r="BY1090" i="4"/>
  <c r="BZ1090" i="4" s="1"/>
  <c r="AI482" i="4"/>
  <c r="BY482" i="4"/>
  <c r="AI433" i="4"/>
  <c r="BY433" i="4"/>
  <c r="BZ433" i="4" s="1"/>
  <c r="AI407" i="4"/>
  <c r="BY407" i="4"/>
  <c r="AI456" i="4"/>
  <c r="BY456" i="4"/>
  <c r="BZ456" i="4" s="1"/>
  <c r="AI378" i="4"/>
  <c r="BY378" i="4"/>
  <c r="AI396" i="4"/>
  <c r="BY396" i="4"/>
  <c r="BY487" i="4"/>
  <c r="AI487" i="4"/>
  <c r="AI461" i="4"/>
  <c r="BY461" i="4"/>
  <c r="AI415" i="4"/>
  <c r="BY415" i="4"/>
  <c r="AI452" i="4"/>
  <c r="BY452" i="4"/>
  <c r="BZ452" i="4" s="1"/>
  <c r="BY488" i="4"/>
  <c r="AI488" i="4"/>
  <c r="AI478" i="4"/>
  <c r="BY478" i="4"/>
  <c r="AI406" i="4"/>
  <c r="BY406" i="4"/>
  <c r="AI466" i="4"/>
  <c r="BY466" i="4"/>
  <c r="BZ466" i="4" s="1"/>
  <c r="AI429" i="4"/>
  <c r="BY429" i="4"/>
  <c r="AI464" i="4"/>
  <c r="BY464" i="4"/>
  <c r="BY1098" i="4"/>
  <c r="BZ1098" i="4" s="1"/>
  <c r="BY1084" i="4"/>
  <c r="CA1084" i="4" s="1"/>
  <c r="BY1086" i="4"/>
  <c r="BZ1086" i="4" s="1"/>
  <c r="BY1080" i="4"/>
  <c r="CA1080" i="4" s="1"/>
  <c r="BY1422" i="4"/>
  <c r="BY1563" i="4"/>
  <c r="BY1217" i="4"/>
  <c r="BY1267" i="4"/>
  <c r="BY1280" i="4"/>
  <c r="BY308" i="4"/>
  <c r="BY267" i="4"/>
  <c r="BY266" i="4"/>
  <c r="BY335" i="4"/>
  <c r="BZ335" i="4" s="1"/>
  <c r="BY230" i="4"/>
  <c r="BZ230" i="4" s="1"/>
  <c r="BY359" i="4"/>
  <c r="BY317" i="4"/>
  <c r="BY1321" i="4"/>
  <c r="BY1397" i="4"/>
  <c r="BY1333" i="4"/>
  <c r="BY1212" i="4"/>
  <c r="BY1508" i="4"/>
  <c r="BY1489" i="4"/>
  <c r="BY1614" i="4"/>
  <c r="BY1898" i="4"/>
  <c r="BY1931" i="4"/>
  <c r="CA2254" i="4" s="1"/>
  <c r="BY1929" i="4"/>
  <c r="BY1925" i="4"/>
  <c r="BY1880" i="4"/>
  <c r="BY1850" i="4"/>
  <c r="BY1866" i="4"/>
  <c r="BY1857" i="4"/>
  <c r="BY48" i="4"/>
  <c r="BY89" i="4"/>
  <c r="BY72" i="4"/>
  <c r="BY45" i="4"/>
  <c r="BY50" i="4"/>
  <c r="BY121" i="4"/>
  <c r="BY112" i="4"/>
  <c r="BY301" i="4"/>
  <c r="BY323" i="4"/>
  <c r="BY241" i="4"/>
  <c r="BY365" i="4"/>
  <c r="BZ365" i="4" s="1"/>
  <c r="BY315" i="4"/>
  <c r="BY300" i="4"/>
  <c r="BY238" i="4"/>
  <c r="BY357" i="4"/>
  <c r="BY120" i="4"/>
  <c r="BY159" i="4"/>
  <c r="BY103" i="4"/>
  <c r="BY146" i="4"/>
  <c r="BY122" i="4"/>
  <c r="BY1529" i="4"/>
  <c r="BY1493" i="4"/>
  <c r="BY1359" i="4"/>
  <c r="BY1415" i="4"/>
  <c r="BY1534" i="4"/>
  <c r="CA2199" i="4" s="1"/>
  <c r="BY1391" i="4"/>
  <c r="BY1642" i="4"/>
  <c r="BY1896" i="4"/>
  <c r="BY1858" i="4"/>
  <c r="BZ1858" i="4" s="1"/>
  <c r="BY1881" i="4"/>
  <c r="BY1864" i="4"/>
  <c r="BY1874" i="4"/>
  <c r="BY1905" i="4"/>
  <c r="BY30" i="4"/>
  <c r="BY66" i="4"/>
  <c r="BY84" i="4"/>
  <c r="BY36" i="4"/>
  <c r="BY148" i="4"/>
  <c r="BY188" i="4"/>
  <c r="BY170" i="4"/>
  <c r="BY217" i="4"/>
  <c r="BY219" i="4"/>
  <c r="BY102" i="4"/>
  <c r="BY104" i="4"/>
  <c r="BY224" i="4"/>
  <c r="BY202" i="4"/>
  <c r="BY221" i="4"/>
  <c r="BY176" i="4"/>
  <c r="BY91" i="4"/>
  <c r="BY115" i="4"/>
  <c r="BZ115" i="4" s="1"/>
  <c r="BY105" i="4"/>
  <c r="BY180" i="4"/>
  <c r="BY195" i="4"/>
  <c r="BY194" i="4"/>
  <c r="BY327" i="4"/>
  <c r="BY1377" i="4"/>
  <c r="BY1420" i="4"/>
  <c r="BY1388" i="4"/>
  <c r="BZ1388" i="4" s="1"/>
  <c r="BY1604" i="4"/>
  <c r="BZ1604" i="4" s="1"/>
  <c r="BY1211" i="4"/>
  <c r="BY1575" i="4"/>
  <c r="BY1219" i="4"/>
  <c r="BY1335" i="4"/>
  <c r="BY1244" i="4"/>
  <c r="BY1598" i="4"/>
  <c r="BY1919" i="4"/>
  <c r="BY1901" i="4"/>
  <c r="BY1917" i="4"/>
  <c r="BZ1917" i="4" s="1"/>
  <c r="BY1848" i="4"/>
  <c r="BY1913" i="4"/>
  <c r="BZ1913" i="4" s="1"/>
  <c r="BY38" i="4"/>
  <c r="BY54" i="4"/>
  <c r="BY20" i="4"/>
  <c r="BY52" i="4"/>
  <c r="BY81" i="4"/>
  <c r="BY151" i="4"/>
  <c r="BY196" i="4"/>
  <c r="BY184" i="4"/>
  <c r="BZ184" i="4" s="1"/>
  <c r="BY156" i="4"/>
  <c r="BY126" i="4"/>
  <c r="BY163" i="4"/>
  <c r="BY169" i="4"/>
  <c r="BY100" i="4"/>
  <c r="BY153" i="4"/>
  <c r="BY127" i="4"/>
  <c r="BY110" i="4"/>
  <c r="BY107" i="4"/>
  <c r="BY225" i="4"/>
  <c r="BY193" i="4"/>
  <c r="BY205" i="4"/>
  <c r="BY145" i="4"/>
  <c r="BY229" i="4"/>
  <c r="BY329" i="4"/>
  <c r="BY1600" i="4"/>
  <c r="BZ1600" i="4" s="1"/>
  <c r="BY141" i="4"/>
  <c r="BY190" i="4"/>
  <c r="BY213" i="4"/>
  <c r="BY123" i="4"/>
  <c r="BY99" i="4"/>
  <c r="CA2192" i="4" s="1"/>
  <c r="BY226" i="4"/>
  <c r="BY168" i="4"/>
  <c r="BY95" i="4"/>
  <c r="BY97" i="4"/>
  <c r="BY1404" i="4"/>
  <c r="BY1291" i="4"/>
  <c r="BY1545" i="4"/>
  <c r="BY1567" i="4"/>
  <c r="BY1551" i="4"/>
  <c r="BY367" i="4"/>
  <c r="BZ367" i="4" s="1"/>
  <c r="BY360" i="4"/>
  <c r="BY1432" i="4"/>
  <c r="BY1340" i="4"/>
  <c r="BY1324" i="4"/>
  <c r="BY1541" i="4"/>
  <c r="BY1557" i="4"/>
  <c r="BY88" i="4"/>
  <c r="BY58" i="4"/>
  <c r="BY26" i="4"/>
  <c r="BY25" i="4"/>
  <c r="BY60" i="4"/>
  <c r="BY262" i="4"/>
  <c r="BY294" i="4"/>
  <c r="BY330" i="4"/>
  <c r="BY356" i="4"/>
  <c r="BY289" i="4"/>
  <c r="BZ289" i="4" s="1"/>
  <c r="BY314" i="4"/>
  <c r="BY268" i="4"/>
  <c r="BY351" i="4"/>
  <c r="BY319" i="4"/>
  <c r="BY320" i="4"/>
  <c r="BY337" i="4"/>
  <c r="BZ337" i="4" s="1"/>
  <c r="BY333" i="4"/>
  <c r="BY318" i="4"/>
  <c r="BY257" i="4"/>
  <c r="BY363" i="4"/>
  <c r="BY1357" i="4"/>
  <c r="BY1250" i="4"/>
  <c r="BY251" i="4"/>
  <c r="BY1303" i="4"/>
  <c r="BY1564" i="4"/>
  <c r="BY1478" i="4"/>
  <c r="BY1547" i="4"/>
  <c r="BY1530" i="4"/>
  <c r="BY1556" i="4"/>
  <c r="BY1582" i="4"/>
  <c r="BY1304" i="4"/>
  <c r="BY1317" i="4"/>
  <c r="CA1317" i="4" s="1"/>
  <c r="BY1399" i="4"/>
  <c r="BY1402" i="4"/>
  <c r="BY1374" i="4"/>
  <c r="BY1520" i="4"/>
  <c r="BY1477" i="4"/>
  <c r="BY1405" i="4"/>
  <c r="BY1560" i="4"/>
  <c r="BY1599" i="4"/>
  <c r="BY1375" i="4"/>
  <c r="BY1578" i="4"/>
  <c r="BY1384" i="4"/>
  <c r="BZ1384" i="4" s="1"/>
  <c r="BY1609" i="4"/>
  <c r="BY1561" i="4"/>
  <c r="BY1456" i="4"/>
  <c r="BY1484" i="4"/>
  <c r="CA1484" i="4" s="1"/>
  <c r="BY61" i="4"/>
  <c r="BY37" i="4"/>
  <c r="BY71" i="4"/>
  <c r="BY76" i="4"/>
  <c r="BY29" i="4"/>
  <c r="BY302" i="4"/>
  <c r="BY324" i="4"/>
  <c r="BY285" i="4"/>
  <c r="BZ285" i="4" s="1"/>
  <c r="BY234" i="4"/>
  <c r="BY261" i="4"/>
  <c r="BY256" i="4"/>
  <c r="BY295" i="4"/>
  <c r="BY236" i="4"/>
  <c r="BY340" i="4"/>
  <c r="BY309" i="4"/>
  <c r="BY310" i="4"/>
  <c r="BY283" i="4"/>
  <c r="BY345" i="4"/>
  <c r="BY250" i="4"/>
  <c r="BY1363" i="4"/>
  <c r="BY1577" i="4"/>
  <c r="BY1612" i="4"/>
  <c r="BY1648" i="4"/>
  <c r="BY1482" i="4"/>
  <c r="BY1274" i="4"/>
  <c r="BY1408" i="4"/>
  <c r="BY1690" i="4"/>
  <c r="BY138" i="4"/>
  <c r="BY204" i="4"/>
  <c r="BY259" i="4"/>
  <c r="BY1410" i="4"/>
  <c r="BY220" i="4"/>
  <c r="BY144" i="4"/>
  <c r="BY212" i="4"/>
  <c r="BY133" i="4"/>
  <c r="BY181" i="4"/>
  <c r="BY164" i="4"/>
  <c r="BY263" i="4"/>
  <c r="BY1521" i="4"/>
  <c r="BY16" i="4"/>
  <c r="BY15" i="4"/>
  <c r="BY35" i="4"/>
  <c r="BY70" i="4"/>
  <c r="BY34" i="4"/>
  <c r="BY332" i="4"/>
  <c r="BY233" i="4"/>
  <c r="BZ233" i="4" s="1"/>
  <c r="BY270" i="4"/>
  <c r="BY245" i="4"/>
  <c r="BY278" i="4"/>
  <c r="BY342" i="4"/>
  <c r="BY247" i="4"/>
  <c r="BY274" i="4"/>
  <c r="BY353" i="4"/>
  <c r="BY364" i="4"/>
  <c r="BY348" i="4"/>
  <c r="BY276" i="4"/>
  <c r="BY316" i="4"/>
  <c r="BY290" i="4"/>
  <c r="BZ290" i="4" s="1"/>
  <c r="BY311" i="4"/>
  <c r="BY350" i="4"/>
  <c r="BY1617" i="4"/>
  <c r="CA1832" i="4" s="1"/>
  <c r="BY1494" i="4"/>
  <c r="BY1235" i="4"/>
  <c r="BY1568" i="4"/>
  <c r="BY1460" i="4"/>
  <c r="BY1416" i="4"/>
  <c r="BY1381" i="4"/>
  <c r="BY77" i="4"/>
  <c r="BY64" i="4"/>
  <c r="BY57" i="4"/>
  <c r="BY10" i="4"/>
  <c r="BY8" i="4"/>
  <c r="BY347" i="4"/>
  <c r="BY260" i="4"/>
  <c r="BY313" i="4"/>
  <c r="BY291" i="4"/>
  <c r="BY336" i="4"/>
  <c r="BZ336" i="4" s="1"/>
  <c r="BY281" i="4"/>
  <c r="BY307" i="4"/>
  <c r="BY252" i="4"/>
  <c r="BY312" i="4"/>
  <c r="BY346" i="4"/>
  <c r="BY246" i="4"/>
  <c r="BY299" i="4"/>
  <c r="BY271" i="4"/>
  <c r="BY341" i="4"/>
  <c r="CA2236" i="4" s="1"/>
  <c r="BY322" i="4"/>
  <c r="BY242" i="4"/>
  <c r="BY352" i="4"/>
  <c r="BY1326" i="4"/>
  <c r="BY1443" i="4"/>
  <c r="BY1583" i="4"/>
  <c r="BY1227" i="4"/>
  <c r="BY1536" i="4"/>
  <c r="BY1315" i="4"/>
  <c r="BY1345" i="4"/>
  <c r="BY1427" i="4"/>
  <c r="BY1457" i="4"/>
  <c r="BY14" i="4"/>
  <c r="BZ14" i="4" s="1"/>
  <c r="BY27" i="4"/>
  <c r="BY18" i="4"/>
  <c r="BY74" i="4"/>
  <c r="BY87" i="4"/>
  <c r="BY331" i="4"/>
  <c r="BZ331" i="4" s="1"/>
  <c r="BY362" i="4"/>
  <c r="BY338" i="4"/>
  <c r="BZ338" i="4" s="1"/>
  <c r="BY248" i="4"/>
  <c r="BY349" i="4"/>
  <c r="BY258" i="4"/>
  <c r="BY354" i="4"/>
  <c r="BY235" i="4"/>
  <c r="BZ235" i="4" s="1"/>
  <c r="BY334" i="4"/>
  <c r="BZ334" i="4" s="1"/>
  <c r="BY328" i="4"/>
  <c r="BY265" i="4"/>
  <c r="BY282" i="4"/>
  <c r="BY269" i="4"/>
  <c r="BY296" i="4"/>
  <c r="BY298" i="4"/>
  <c r="BY253" i="4"/>
  <c r="BY1625" i="4"/>
  <c r="BY1221" i="4"/>
  <c r="BY1293" i="4"/>
  <c r="BY1226" i="4"/>
  <c r="BY1492" i="4"/>
  <c r="BY1571" i="4"/>
  <c r="BY1514" i="4"/>
  <c r="BY1548" i="4"/>
  <c r="BY1882" i="4"/>
  <c r="BY1840" i="4"/>
  <c r="BZ1840" i="4" s="1"/>
  <c r="BY1903" i="4"/>
  <c r="BZ1903" i="4" s="1"/>
  <c r="BY53" i="4"/>
  <c r="BY24" i="4"/>
  <c r="BY19" i="4"/>
  <c r="BY12" i="4"/>
  <c r="BZ12" i="4" s="1"/>
  <c r="BY63" i="4"/>
  <c r="BY128" i="4"/>
  <c r="BY98" i="4"/>
  <c r="BY140" i="4"/>
  <c r="BY210" i="4"/>
  <c r="BY177" i="4"/>
  <c r="BY92" i="4"/>
  <c r="BY125" i="4"/>
  <c r="BY136" i="4"/>
  <c r="BY166" i="4"/>
  <c r="BY119" i="4"/>
  <c r="BZ119" i="4" s="1"/>
  <c r="BY175" i="4"/>
  <c r="BY223" i="4"/>
  <c r="BZ223" i="4" s="1"/>
  <c r="BY189" i="4"/>
  <c r="BY209" i="4"/>
  <c r="BY94" i="4"/>
  <c r="BY185" i="4"/>
  <c r="BY165" i="4"/>
  <c r="BZ165" i="4" s="1"/>
  <c r="BY96" i="4"/>
  <c r="BY239" i="4"/>
  <c r="BY321" i="4"/>
  <c r="BY80" i="4"/>
  <c r="BY67" i="4"/>
  <c r="BY90" i="4"/>
  <c r="BY22" i="4"/>
  <c r="BY68" i="4"/>
  <c r="BY1495" i="4"/>
  <c r="BY1406" i="4"/>
  <c r="BY1424" i="4"/>
  <c r="BZ1424" i="4" s="1"/>
  <c r="BY1215" i="4"/>
  <c r="BY1423" i="4"/>
  <c r="BY1421" i="4"/>
  <c r="BY1596" i="4"/>
  <c r="BY1656" i="4"/>
  <c r="BY1890" i="4"/>
  <c r="BY1838" i="4"/>
  <c r="BY1935" i="4"/>
  <c r="BY1865" i="4"/>
  <c r="BY1923" i="4"/>
  <c r="BY59" i="4"/>
  <c r="BY9" i="4"/>
  <c r="BY75" i="4"/>
  <c r="BY51" i="4"/>
  <c r="BY142" i="4"/>
  <c r="BY149" i="4"/>
  <c r="BY124" i="4"/>
  <c r="BZ124" i="4" s="1"/>
  <c r="BY171" i="4"/>
  <c r="BY203" i="4"/>
  <c r="BY109" i="4"/>
  <c r="BY143" i="4"/>
  <c r="BY183" i="4"/>
  <c r="BY191" i="4"/>
  <c r="BY199" i="4"/>
  <c r="BY118" i="4"/>
  <c r="BZ118" i="4" s="1"/>
  <c r="BY218" i="4"/>
  <c r="BY131" i="4"/>
  <c r="BY178" i="4"/>
  <c r="BY173" i="4"/>
  <c r="BY154" i="4"/>
  <c r="BY93" i="4"/>
  <c r="BY172" i="4"/>
  <c r="BY272" i="4"/>
  <c r="BY355" i="4"/>
  <c r="AI1742" i="4"/>
  <c r="BY1742" i="4"/>
  <c r="CA1742" i="4" s="1"/>
  <c r="AI1761" i="4"/>
  <c r="BY1761" i="4"/>
  <c r="BZ1761" i="4" s="1"/>
  <c r="AI1738" i="4"/>
  <c r="BY1738" i="4"/>
  <c r="BZ1738" i="4" s="1"/>
  <c r="AI1954" i="4"/>
  <c r="BY1954" i="4"/>
  <c r="BZ1954" i="4" s="1"/>
  <c r="AI1947" i="4"/>
  <c r="BY1947" i="4"/>
  <c r="BZ1947" i="4" s="1"/>
  <c r="AI1997" i="4"/>
  <c r="BY1997" i="4"/>
  <c r="BZ1997" i="4" s="1"/>
  <c r="AI1868" i="4"/>
  <c r="BY1868" i="4"/>
  <c r="BZ1868" i="4" s="1"/>
  <c r="AI1844" i="4"/>
  <c r="BY1844" i="4"/>
  <c r="BZ1844" i="4" s="1"/>
  <c r="BY1438" i="4"/>
  <c r="BY1287" i="4"/>
  <c r="BY1540" i="4"/>
  <c r="BY1334" i="4"/>
  <c r="BY1496" i="4"/>
  <c r="BY1528" i="4"/>
  <c r="AI1249" i="4"/>
  <c r="BY1249" i="4"/>
  <c r="CA1249" i="4" s="1"/>
  <c r="AI1663" i="4"/>
  <c r="BY1663" i="4"/>
  <c r="BZ1663" i="4" s="1"/>
  <c r="AI1661" i="4"/>
  <c r="BY1661" i="4"/>
  <c r="BZ1661" i="4" s="1"/>
  <c r="AI1785" i="4"/>
  <c r="BY1785" i="4"/>
  <c r="CA2216" i="4" s="1"/>
  <c r="BY1553" i="4"/>
  <c r="BY1613" i="4"/>
  <c r="BY1608" i="4"/>
  <c r="AI1682" i="4"/>
  <c r="BY1682" i="4"/>
  <c r="AI1684" i="4"/>
  <c r="BY1684" i="4"/>
  <c r="BZ1684" i="4" s="1"/>
  <c r="AI1775" i="4"/>
  <c r="BY1775" i="4"/>
  <c r="AI1895" i="4"/>
  <c r="BY1895" i="4"/>
  <c r="BZ1895" i="4" s="1"/>
  <c r="AI1998" i="4"/>
  <c r="BY1998" i="4"/>
  <c r="BZ1998" i="4" s="1"/>
  <c r="AI1922" i="4"/>
  <c r="BY1922" i="4"/>
  <c r="BZ1922" i="4" s="1"/>
  <c r="AI1870" i="4"/>
  <c r="BY1870" i="4"/>
  <c r="BZ1870" i="4" s="1"/>
  <c r="AI1887" i="4"/>
  <c r="BY1887" i="4"/>
  <c r="CA1887" i="4" s="1"/>
  <c r="BY1260" i="4"/>
  <c r="AI1729" i="4"/>
  <c r="BY1729" i="4"/>
  <c r="AI1709" i="4"/>
  <c r="BY1709" i="4"/>
  <c r="CA1709" i="4" s="1"/>
  <c r="AI1637" i="4"/>
  <c r="BY1637" i="4"/>
  <c r="AI1669" i="4"/>
  <c r="BY1669" i="4"/>
  <c r="AI1670" i="4"/>
  <c r="BY1670" i="4"/>
  <c r="AI1654" i="4"/>
  <c r="BY1654" i="4"/>
  <c r="AI1743" i="4"/>
  <c r="BY1743" i="4"/>
  <c r="CA1743" i="4" s="1"/>
  <c r="AI1772" i="4"/>
  <c r="BY1772" i="4"/>
  <c r="BZ1772" i="4" s="1"/>
  <c r="AI1725" i="4"/>
  <c r="BY1725" i="4"/>
  <c r="BZ1725" i="4" s="1"/>
  <c r="AI1757" i="4"/>
  <c r="BY1757" i="4"/>
  <c r="BZ1757" i="4" s="1"/>
  <c r="AI1750" i="4"/>
  <c r="BY1750" i="4"/>
  <c r="BZ1750" i="4" s="1"/>
  <c r="AI1773" i="4"/>
  <c r="BY1773" i="4"/>
  <c r="CA1773" i="4" s="1"/>
  <c r="AI1800" i="4"/>
  <c r="BY1800" i="4"/>
  <c r="AI1714" i="4"/>
  <c r="BY1714" i="4"/>
  <c r="BZ1714" i="4" s="1"/>
  <c r="AI1804" i="4"/>
  <c r="BY1804" i="4"/>
  <c r="CA1804" i="4" s="1"/>
  <c r="AI1841" i="4"/>
  <c r="BY1841" i="4"/>
  <c r="BZ1841" i="4" s="1"/>
  <c r="AI1983" i="4"/>
  <c r="BY1983" i="4"/>
  <c r="BZ1983" i="4" s="1"/>
  <c r="AI1861" i="4"/>
  <c r="BY1861" i="4"/>
  <c r="BZ1861" i="4" s="1"/>
  <c r="AI1949" i="4"/>
  <c r="BY1949" i="4"/>
  <c r="BZ1949" i="4" s="1"/>
  <c r="AI2005" i="4"/>
  <c r="BY2005" i="4"/>
  <c r="BZ2005" i="4" s="1"/>
  <c r="AI1893" i="4"/>
  <c r="BY1893" i="4"/>
  <c r="BZ1893" i="4" s="1"/>
  <c r="AI1852" i="4"/>
  <c r="BY1852" i="4"/>
  <c r="CA1852" i="4" s="1"/>
  <c r="AI1863" i="4"/>
  <c r="BY1863" i="4"/>
  <c r="AI1952" i="4"/>
  <c r="BY1952" i="4"/>
  <c r="CA1952" i="4" s="1"/>
  <c r="AI1987" i="4"/>
  <c r="BY1987" i="4"/>
  <c r="BZ1987" i="4" s="1"/>
  <c r="AI1958" i="4"/>
  <c r="BY1958" i="4"/>
  <c r="CA1958" i="4" s="1"/>
  <c r="AI1869" i="4"/>
  <c r="BY1869" i="4"/>
  <c r="BZ1869" i="4" s="1"/>
  <c r="AI1991" i="4"/>
  <c r="BY1991" i="4"/>
  <c r="BZ1991" i="4" s="1"/>
  <c r="AI1985" i="4"/>
  <c r="BY1985" i="4"/>
  <c r="BZ1985" i="4" s="1"/>
  <c r="AI1972" i="4"/>
  <c r="BY1972" i="4"/>
  <c r="BZ1972" i="4" s="1"/>
  <c r="AI1957" i="4"/>
  <c r="BY1957" i="4"/>
  <c r="BZ1957" i="4" s="1"/>
  <c r="BY1425" i="4"/>
  <c r="BY1296" i="4"/>
  <c r="BY1527" i="4"/>
  <c r="BY1476" i="4"/>
  <c r="BY1341" i="4"/>
  <c r="BY1355" i="4"/>
  <c r="BY1524" i="4"/>
  <c r="BY1605" i="4"/>
  <c r="BY1503" i="4"/>
  <c r="BY1597" i="4"/>
  <c r="BY1466" i="4"/>
  <c r="BY1537" i="4"/>
  <c r="BY1550" i="4"/>
  <c r="BY1220" i="4"/>
  <c r="BY1403" i="4"/>
  <c r="BY1538" i="4"/>
  <c r="BY1272" i="4"/>
  <c r="BZ1272" i="4" s="1"/>
  <c r="BZ1366" i="4"/>
  <c r="AI1587" i="4"/>
  <c r="BY1587" i="4"/>
  <c r="BZ1587" i="4" s="1"/>
  <c r="AI1328" i="4"/>
  <c r="BY1328" i="4"/>
  <c r="BZ1328" i="4" s="1"/>
  <c r="AI1658" i="4"/>
  <c r="BY1658" i="4"/>
  <c r="BZ1658" i="4" s="1"/>
  <c r="AI1660" i="4"/>
  <c r="BY1660" i="4"/>
  <c r="BZ1660" i="4" s="1"/>
  <c r="AI1776" i="4"/>
  <c r="BY1776" i="4"/>
  <c r="AI1810" i="4"/>
  <c r="BY1810" i="4"/>
  <c r="BZ1810" i="4" s="1"/>
  <c r="AI1723" i="4"/>
  <c r="BY1723" i="4"/>
  <c r="BZ1723" i="4" s="1"/>
  <c r="AI1806" i="4"/>
  <c r="BY1806" i="4"/>
  <c r="BZ1806" i="4" s="1"/>
  <c r="AI1784" i="4"/>
  <c r="BY1784" i="4"/>
  <c r="BZ1784" i="4" s="1"/>
  <c r="AI1697" i="4"/>
  <c r="BY1697" i="4"/>
  <c r="CA1697" i="4" s="1"/>
  <c r="AI1791" i="4"/>
  <c r="BY1791" i="4"/>
  <c r="CA1791" i="4" s="1"/>
  <c r="AI1774" i="4"/>
  <c r="BY1774" i="4"/>
  <c r="CA1774" i="4" s="1"/>
  <c r="AI43" i="4"/>
  <c r="BY43" i="4"/>
  <c r="BZ43" i="4" s="1"/>
  <c r="BY7" i="4"/>
  <c r="BY11" i="4"/>
  <c r="BY62" i="4"/>
  <c r="BY39" i="4"/>
  <c r="BY78" i="4"/>
  <c r="BY232" i="4"/>
  <c r="BY249" i="4"/>
  <c r="BY339" i="4"/>
  <c r="BY297" i="4"/>
  <c r="BY287" i="4"/>
  <c r="BY240" i="4"/>
  <c r="BY284" i="4"/>
  <c r="BY231" i="4"/>
  <c r="BY279" i="4"/>
  <c r="BY264" i="4"/>
  <c r="BY344" i="4"/>
  <c r="BY254" i="4"/>
  <c r="BY305" i="4"/>
  <c r="BY306" i="4"/>
  <c r="BY326" i="4"/>
  <c r="BZ326" i="4" s="1"/>
  <c r="BY286" i="4"/>
  <c r="BZ286" i="4" s="1"/>
  <c r="BY277" i="4"/>
  <c r="AI1745" i="4"/>
  <c r="BY1745" i="4"/>
  <c r="CA1745" i="4" s="1"/>
  <c r="AI1713" i="4"/>
  <c r="BY1713" i="4"/>
  <c r="CA1713" i="4" s="1"/>
  <c r="AI1977" i="4"/>
  <c r="BY1977" i="4"/>
  <c r="BZ1977" i="4" s="1"/>
  <c r="AI2000" i="4"/>
  <c r="BY2000" i="4"/>
  <c r="BZ2000" i="4" s="1"/>
  <c r="AI1213" i="4"/>
  <c r="BY1213" i="4"/>
  <c r="BZ1213" i="4" s="1"/>
  <c r="BY1475" i="4"/>
  <c r="AI1683" i="4"/>
  <c r="BY1683" i="4"/>
  <c r="AI1481" i="4"/>
  <c r="BY1481" i="4"/>
  <c r="CA1481" i="4" s="1"/>
  <c r="AI1740" i="4"/>
  <c r="BY1740" i="4"/>
  <c r="CA1740" i="4" s="1"/>
  <c r="AI1770" i="4"/>
  <c r="BY1770" i="4"/>
  <c r="CA1770" i="4" s="1"/>
  <c r="AI1996" i="4"/>
  <c r="BY1996" i="4"/>
  <c r="BZ1996" i="4" s="1"/>
  <c r="BY1257" i="4"/>
  <c r="AI1673" i="4"/>
  <c r="BY1673" i="4"/>
  <c r="BZ1673" i="4" s="1"/>
  <c r="AI1739" i="4"/>
  <c r="BY1739" i="4"/>
  <c r="BZ1739" i="4" s="1"/>
  <c r="BY1310" i="4"/>
  <c r="BY1586" i="4"/>
  <c r="BY1611" i="4"/>
  <c r="BY1222" i="4"/>
  <c r="BY1461" i="4"/>
  <c r="BY1565" i="4"/>
  <c r="BZ1565" i="4" s="1"/>
  <c r="AI1383" i="4"/>
  <c r="BY1383" i="4"/>
  <c r="CA1383" i="4" s="1"/>
  <c r="BZ1330" i="4"/>
  <c r="AI1629" i="4"/>
  <c r="BY1629" i="4"/>
  <c r="AI1686" i="4"/>
  <c r="BY1686" i="4"/>
  <c r="BZ1686" i="4" s="1"/>
  <c r="AI1762" i="4"/>
  <c r="BY1762" i="4"/>
  <c r="CA1762" i="4" s="1"/>
  <c r="AI1731" i="4"/>
  <c r="BY1731" i="4"/>
  <c r="BZ1731" i="4" s="1"/>
  <c r="AI1819" i="4"/>
  <c r="BY1819" i="4"/>
  <c r="BZ1819" i="4" s="1"/>
  <c r="AI1741" i="4"/>
  <c r="BY1741" i="4"/>
  <c r="BZ1741" i="4" s="1"/>
  <c r="AI1737" i="4"/>
  <c r="BY1737" i="4"/>
  <c r="CA1737" i="4" s="1"/>
  <c r="AI1754" i="4"/>
  <c r="BY1754" i="4"/>
  <c r="AI1716" i="4"/>
  <c r="BY1716" i="4"/>
  <c r="AI1701" i="4"/>
  <c r="BY1701" i="4"/>
  <c r="CA1701" i="4" s="1"/>
  <c r="AI1876" i="4"/>
  <c r="BY1876" i="4"/>
  <c r="BZ1876" i="4" s="1"/>
  <c r="AI1885" i="4"/>
  <c r="BY1885" i="4"/>
  <c r="BZ1885" i="4" s="1"/>
  <c r="AI1944" i="4"/>
  <c r="BY1944" i="4"/>
  <c r="BZ1944" i="4" s="1"/>
  <c r="AI1859" i="4"/>
  <c r="BY1859" i="4"/>
  <c r="BZ1859" i="4" s="1"/>
  <c r="AI1970" i="4"/>
  <c r="BY1970" i="4"/>
  <c r="BZ1970" i="4" s="1"/>
  <c r="AI1883" i="4"/>
  <c r="BY1883" i="4"/>
  <c r="CA1883" i="4" s="1"/>
  <c r="AI1990" i="4"/>
  <c r="BY1990" i="4"/>
  <c r="CA1990" i="4" s="1"/>
  <c r="AI1912" i="4"/>
  <c r="BY1912" i="4"/>
  <c r="BZ1912" i="4" s="1"/>
  <c r="AI1891" i="4"/>
  <c r="BY1891" i="4"/>
  <c r="CA689" i="4" s="1"/>
  <c r="AI1937" i="4"/>
  <c r="BY1937" i="4"/>
  <c r="BZ1937" i="4" s="1"/>
  <c r="AI1968" i="4"/>
  <c r="BY1968" i="4"/>
  <c r="AI1862" i="4"/>
  <c r="BY1862" i="4"/>
  <c r="BZ1862" i="4" s="1"/>
  <c r="AI1994" i="4"/>
  <c r="BY1994" i="4"/>
  <c r="BZ1994" i="4" s="1"/>
  <c r="AI1963" i="4"/>
  <c r="BY1963" i="4"/>
  <c r="BZ1963" i="4" s="1"/>
  <c r="BY1209" i="4"/>
  <c r="AI1655" i="4"/>
  <c r="BY1655" i="4"/>
  <c r="AI1735" i="4"/>
  <c r="BY1735" i="4"/>
  <c r="BZ1735" i="4" s="1"/>
  <c r="AI1710" i="4"/>
  <c r="BY1710" i="4"/>
  <c r="BY1417" i="4"/>
  <c r="BY1364" i="4"/>
  <c r="BY1487" i="4"/>
  <c r="AI1732" i="4"/>
  <c r="BY1732" i="4"/>
  <c r="AI1988" i="4"/>
  <c r="BY1988" i="4"/>
  <c r="BZ1988" i="4" s="1"/>
  <c r="AI1849" i="4"/>
  <c r="BY1849" i="4"/>
  <c r="CA1849" i="4" s="1"/>
  <c r="AI1916" i="4"/>
  <c r="BY1916" i="4"/>
  <c r="BZ1916" i="4" s="1"/>
  <c r="AI1718" i="4"/>
  <c r="BY1718" i="4"/>
  <c r="CA1824" i="4"/>
  <c r="AI1602" i="4"/>
  <c r="BY1602" i="4"/>
  <c r="BZ1602" i="4" s="1"/>
  <c r="AI1814" i="4"/>
  <c r="BY1814" i="4"/>
  <c r="BZ1814" i="4" s="1"/>
  <c r="AI1843" i="4"/>
  <c r="BY1843" i="4"/>
  <c r="BZ1843" i="4" s="1"/>
  <c r="AI1746" i="4"/>
  <c r="BY1746" i="4"/>
  <c r="BZ1746" i="4" s="1"/>
  <c r="BY1282" i="4"/>
  <c r="BY1502" i="4"/>
  <c r="BY1509" i="4"/>
  <c r="AI1266" i="4"/>
  <c r="BY1266" i="4"/>
  <c r="AI1409" i="4"/>
  <c r="BY1409" i="4"/>
  <c r="BZ1409" i="4" s="1"/>
  <c r="BY1667" i="4"/>
  <c r="AI1769" i="4"/>
  <c r="BY1769" i="4"/>
  <c r="CA1769" i="4" s="1"/>
  <c r="BY1452" i="4"/>
  <c r="BY1412" i="4"/>
  <c r="BY1436" i="4"/>
  <c r="BY1501" i="4"/>
  <c r="BY1338" i="4"/>
  <c r="BY1616" i="4"/>
  <c r="BY1370" i="4"/>
  <c r="BY1329" i="4"/>
  <c r="BY1332" i="4"/>
  <c r="BY1224" i="4"/>
  <c r="BY1382" i="4"/>
  <c r="BY1454" i="4"/>
  <c r="BY1358" i="4"/>
  <c r="BY1230" i="4"/>
  <c r="BY1590" i="4"/>
  <c r="BY1259" i="4"/>
  <c r="CA1259" i="4" s="1"/>
  <c r="AI1368" i="4"/>
  <c r="BY1368" i="4"/>
  <c r="CA1368" i="4" s="1"/>
  <c r="BY1624" i="4"/>
  <c r="AI1636" i="4"/>
  <c r="BY1636" i="4"/>
  <c r="AI1641" i="4"/>
  <c r="BY1641" i="4"/>
  <c r="BZ1641" i="4" s="1"/>
  <c r="AI1647" i="4"/>
  <c r="BY1647" i="4"/>
  <c r="BZ1647" i="4" s="1"/>
  <c r="AI1671" i="4"/>
  <c r="BY1671" i="4"/>
  <c r="CA1671" i="4" s="1"/>
  <c r="AI1681" i="4"/>
  <c r="BY1681" i="4"/>
  <c r="CA2131" i="4" s="1"/>
  <c r="AI1748" i="4"/>
  <c r="BY1748" i="4"/>
  <c r="AI1766" i="4"/>
  <c r="BY1766" i="4"/>
  <c r="CA1766" i="4" s="1"/>
  <c r="AI1798" i="4"/>
  <c r="BY1798" i="4"/>
  <c r="AI1781" i="4"/>
  <c r="BY1781" i="4"/>
  <c r="BZ1781" i="4" s="1"/>
  <c r="AI1702" i="4"/>
  <c r="BY1702" i="4"/>
  <c r="CA1702" i="4" s="1"/>
  <c r="AI1719" i="4"/>
  <c r="BY1719" i="4"/>
  <c r="AI1753" i="4"/>
  <c r="BY1753" i="4"/>
  <c r="BZ1753" i="4" s="1"/>
  <c r="AI1724" i="4"/>
  <c r="BY1724" i="4"/>
  <c r="BZ1724" i="4" s="1"/>
  <c r="BY1210" i="4"/>
  <c r="AI1657" i="4"/>
  <c r="BY1657" i="4"/>
  <c r="AI1817" i="4"/>
  <c r="BY1817" i="4"/>
  <c r="BY1574" i="4"/>
  <c r="BY1400" i="4"/>
  <c r="AI1820" i="4"/>
  <c r="BY1820" i="4"/>
  <c r="CA1820" i="4" s="1"/>
  <c r="AI1759" i="4"/>
  <c r="BY1759" i="4"/>
  <c r="BZ1759" i="4" s="1"/>
  <c r="AI1847" i="4"/>
  <c r="BY1847" i="4"/>
  <c r="BZ1847" i="4" s="1"/>
  <c r="AI1877" i="4"/>
  <c r="BY1877" i="4"/>
  <c r="CA1877" i="4" s="1"/>
  <c r="BY1592" i="4"/>
  <c r="BY1276" i="4"/>
  <c r="AI1644" i="4"/>
  <c r="BY1644" i="4"/>
  <c r="AI1752" i="4"/>
  <c r="BY1752" i="4"/>
  <c r="CA1752" i="4" s="1"/>
  <c r="AI1794" i="4"/>
  <c r="BY1794" i="4"/>
  <c r="CA1794" i="4" s="1"/>
  <c r="AI42" i="4"/>
  <c r="BY42" i="4"/>
  <c r="AI1631" i="4"/>
  <c r="BY1631" i="4"/>
  <c r="AI1695" i="4"/>
  <c r="BY1695" i="4"/>
  <c r="BZ1695" i="4" s="1"/>
  <c r="AI1934" i="4"/>
  <c r="BY1934" i="4"/>
  <c r="BZ1934" i="4" s="1"/>
  <c r="AI1894" i="4"/>
  <c r="BY1894" i="4"/>
  <c r="BZ1894" i="4" s="1"/>
  <c r="AI1920" i="4"/>
  <c r="BY1920" i="4"/>
  <c r="BY1448" i="4"/>
  <c r="BY1566" i="4"/>
  <c r="AI1467" i="4"/>
  <c r="BY1467" i="4"/>
  <c r="BZ1467" i="4" s="1"/>
  <c r="AI1768" i="4"/>
  <c r="BY1768" i="4"/>
  <c r="BZ1768" i="4" s="1"/>
  <c r="AI1778" i="4"/>
  <c r="BY1778" i="4"/>
  <c r="CA1778" i="4" s="1"/>
  <c r="AI1634" i="4"/>
  <c r="BY1634" i="4"/>
  <c r="AI1789" i="4"/>
  <c r="BY1789" i="4"/>
  <c r="AI1707" i="4"/>
  <c r="BY1707" i="4"/>
  <c r="BZ1707" i="4" s="1"/>
  <c r="AI1982" i="4"/>
  <c r="BY1982" i="4"/>
  <c r="BZ1982" i="4" s="1"/>
  <c r="AI2006" i="4"/>
  <c r="BY2006" i="4"/>
  <c r="BZ2006" i="4" s="1"/>
  <c r="AI1993" i="4"/>
  <c r="BY1993" i="4"/>
  <c r="BZ1993" i="4" s="1"/>
  <c r="AI1955" i="4"/>
  <c r="BY1955" i="4"/>
  <c r="BZ1955" i="4" s="1"/>
  <c r="BY1522" i="4"/>
  <c r="BY1286" i="4"/>
  <c r="BY1347" i="4"/>
  <c r="BZ1419" i="4"/>
  <c r="AI1676" i="4"/>
  <c r="BY1676" i="4"/>
  <c r="AI1787" i="4"/>
  <c r="BY1787" i="4"/>
  <c r="BZ1787" i="4" s="1"/>
  <c r="AI1730" i="4"/>
  <c r="BY1730" i="4"/>
  <c r="BZ1730" i="4" s="1"/>
  <c r="BY1216" i="4"/>
  <c r="BY1253" i="4"/>
  <c r="BY1369" i="4"/>
  <c r="BY1283" i="4"/>
  <c r="BY1252" i="4"/>
  <c r="BY1361" i="4"/>
  <c r="BY1245" i="4"/>
  <c r="BY1308" i="4"/>
  <c r="AI1468" i="4"/>
  <c r="BY1468" i="4"/>
  <c r="CA1468" i="4" s="1"/>
  <c r="AI1532" i="4"/>
  <c r="BY1532" i="4"/>
  <c r="AI1633" i="4"/>
  <c r="BY1633" i="4"/>
  <c r="AI1635" i="4"/>
  <c r="BY1635" i="4"/>
  <c r="AI1680" i="4"/>
  <c r="BY1680" i="4"/>
  <c r="AI1771" i="4"/>
  <c r="BY1771" i="4"/>
  <c r="CA1771" i="4" s="1"/>
  <c r="AI1734" i="4"/>
  <c r="BY1734" i="4"/>
  <c r="BZ1734" i="4" s="1"/>
  <c r="AI1822" i="4"/>
  <c r="BY1822" i="4"/>
  <c r="BZ1822" i="4" s="1"/>
  <c r="AI1736" i="4"/>
  <c r="BY1736" i="4"/>
  <c r="BZ1736" i="4" s="1"/>
  <c r="AI1782" i="4"/>
  <c r="BY1782" i="4"/>
  <c r="BZ1782" i="4" s="1"/>
  <c r="AI1799" i="4"/>
  <c r="BY1799" i="4"/>
  <c r="BZ1799" i="4" s="1"/>
  <c r="AI1779" i="4"/>
  <c r="BY1779" i="4"/>
  <c r="BZ1779" i="4" s="1"/>
  <c r="AI1760" i="4"/>
  <c r="BY1760" i="4"/>
  <c r="BZ1760" i="4" s="1"/>
  <c r="AI1979" i="4"/>
  <c r="BY1979" i="4"/>
  <c r="BZ1979" i="4" s="1"/>
  <c r="AI1978" i="4"/>
  <c r="BY1978" i="4"/>
  <c r="BZ1978" i="4" s="1"/>
  <c r="BY1904" i="4"/>
  <c r="BZ1904" i="4" s="1"/>
  <c r="AI1959" i="4"/>
  <c r="BY1959" i="4"/>
  <c r="BZ1959" i="4" s="1"/>
  <c r="AI2001" i="4"/>
  <c r="BY2001" i="4"/>
  <c r="BZ2001" i="4" s="1"/>
  <c r="AI1900" i="4"/>
  <c r="BY1900" i="4"/>
  <c r="BZ1900" i="4" s="1"/>
  <c r="BY1907" i="4"/>
  <c r="AI1837" i="4"/>
  <c r="BY1837" i="4"/>
  <c r="BZ1837" i="4" s="1"/>
  <c r="AI1867" i="4"/>
  <c r="BY1867" i="4"/>
  <c r="BZ1867" i="4" s="1"/>
  <c r="AI1914" i="4"/>
  <c r="BY1914" i="4"/>
  <c r="BZ1914" i="4" s="1"/>
  <c r="AI1995" i="4"/>
  <c r="BY1995" i="4"/>
  <c r="BZ1995" i="4" s="1"/>
  <c r="BY1836" i="4"/>
  <c r="AI2008" i="4"/>
  <c r="BY2008" i="4"/>
  <c r="BZ2008" i="4" s="1"/>
  <c r="AI1948" i="4"/>
  <c r="BY1948" i="4"/>
  <c r="BZ1948" i="4" s="1"/>
  <c r="BY1872" i="4"/>
  <c r="AI1930" i="4"/>
  <c r="BY1930" i="4"/>
  <c r="BZ1930" i="4" s="1"/>
  <c r="AI1835" i="4"/>
  <c r="BY1835" i="4"/>
  <c r="CA1835" i="4" s="1"/>
  <c r="AI1999" i="4"/>
  <c r="BY1999" i="4"/>
  <c r="BZ1999" i="4" s="1"/>
  <c r="AI1953" i="4"/>
  <c r="BY1953" i="4"/>
  <c r="BZ1953" i="4" s="1"/>
  <c r="AI1951" i="4"/>
  <c r="BY1951" i="4"/>
  <c r="CA1951" i="4" s="1"/>
  <c r="AI1918" i="4"/>
  <c r="BY1918" i="4"/>
  <c r="BZ1918" i="4" s="1"/>
  <c r="AI1928" i="4"/>
  <c r="BY1928" i="4"/>
  <c r="BZ1928" i="4" s="1"/>
  <c r="BY83" i="4"/>
  <c r="BY56" i="4"/>
  <c r="BY82" i="4"/>
  <c r="BY79" i="4"/>
  <c r="BY21" i="4"/>
  <c r="BY228" i="4"/>
  <c r="BY179" i="4"/>
  <c r="BY160" i="4"/>
  <c r="BY222" i="4"/>
  <c r="BZ222" i="4" s="1"/>
  <c r="BY135" i="4"/>
  <c r="BY198" i="4"/>
  <c r="BY108" i="4"/>
  <c r="BY206" i="4"/>
  <c r="BY187" i="4"/>
  <c r="BY114" i="4"/>
  <c r="BY162" i="4"/>
  <c r="BY215" i="4"/>
  <c r="BY161" i="4"/>
  <c r="BY197" i="4"/>
  <c r="BY147" i="4"/>
  <c r="BY139" i="4"/>
  <c r="BY117" i="4"/>
  <c r="BY243" i="4"/>
  <c r="BY1352" i="4"/>
  <c r="BZ1352" i="4" s="1"/>
  <c r="AI1668" i="4"/>
  <c r="BY1668" i="4"/>
  <c r="AI1628" i="4"/>
  <c r="BY1628" i="4"/>
  <c r="CA1628" i="4" s="1"/>
  <c r="AI1675" i="4"/>
  <c r="BY1675" i="4"/>
  <c r="AI1699" i="4"/>
  <c r="BY1699" i="4"/>
  <c r="BZ1699" i="4" s="1"/>
  <c r="AI1767" i="4"/>
  <c r="BY1767" i="4"/>
  <c r="BZ1767" i="4" s="1"/>
  <c r="BY1319" i="4"/>
  <c r="BY1517" i="4"/>
  <c r="BZ1346" i="4"/>
  <c r="AI1314" i="4"/>
  <c r="BY1314" i="4"/>
  <c r="BZ1314" i="4" s="1"/>
  <c r="AI1630" i="4"/>
  <c r="BY1630" i="4"/>
  <c r="AI1720" i="4"/>
  <c r="BY1720" i="4"/>
  <c r="CA1720" i="4" s="1"/>
  <c r="AI1961" i="4"/>
  <c r="BY1961" i="4"/>
  <c r="CA1961" i="4" s="1"/>
  <c r="AI1943" i="4"/>
  <c r="BY1943" i="4"/>
  <c r="CA1943" i="4" s="1"/>
  <c r="AI1973" i="4"/>
  <c r="BY1973" i="4"/>
  <c r="BZ1973" i="4" s="1"/>
  <c r="AI1705" i="4"/>
  <c r="BY1705" i="4"/>
  <c r="CA1705" i="4" s="1"/>
  <c r="AI1801" i="4"/>
  <c r="BY1801" i="4"/>
  <c r="BY1387" i="4"/>
  <c r="BZ1387" i="4" s="1"/>
  <c r="AI1650" i="4"/>
  <c r="BY1650" i="4"/>
  <c r="AI1960" i="4"/>
  <c r="BY1960" i="4"/>
  <c r="AI1646" i="4"/>
  <c r="BY1646" i="4"/>
  <c r="BZ1646" i="4" s="1"/>
  <c r="AI1694" i="4"/>
  <c r="BY1694" i="4"/>
  <c r="BZ1694" i="4" s="1"/>
  <c r="AI1474" i="4"/>
  <c r="BY1474" i="4"/>
  <c r="CA1474" i="4" s="1"/>
  <c r="AI1459" i="4"/>
  <c r="BY1459" i="4"/>
  <c r="BZ1459" i="4" s="1"/>
  <c r="AI1645" i="4"/>
  <c r="BY1645" i="4"/>
  <c r="AI1693" i="4"/>
  <c r="BY1693" i="4"/>
  <c r="BZ1693" i="4" s="1"/>
  <c r="AI1845" i="4"/>
  <c r="BY1845" i="4"/>
  <c r="BZ1845" i="4" s="1"/>
  <c r="AI1855" i="4"/>
  <c r="BY1855" i="4"/>
  <c r="CA1855" i="4" s="1"/>
  <c r="AI1940" i="4"/>
  <c r="BY1940" i="4"/>
  <c r="CA1940" i="4" s="1"/>
  <c r="AI1853" i="4"/>
  <c r="BY1853" i="4"/>
  <c r="BZ1853" i="4" s="1"/>
  <c r="BY1480" i="4"/>
  <c r="BZ1480" i="4" s="1"/>
  <c r="BZ1569" i="4"/>
  <c r="AI1258" i="4"/>
  <c r="BY1258" i="4"/>
  <c r="BZ1258" i="4" s="1"/>
  <c r="AI1764" i="4"/>
  <c r="BY1764" i="4"/>
  <c r="BZ1764" i="4" s="1"/>
  <c r="AI1437" i="4"/>
  <c r="BY1437" i="4"/>
  <c r="AI1525" i="4"/>
  <c r="BY1525" i="4"/>
  <c r="CA1525" i="4" s="1"/>
  <c r="AI1299" i="4"/>
  <c r="BY1299" i="4"/>
  <c r="BZ1299" i="4" s="1"/>
  <c r="CA1411" i="4"/>
  <c r="AI1342" i="4"/>
  <c r="BY1342" i="4"/>
  <c r="CA1342" i="4" s="1"/>
  <c r="AI1665" i="4"/>
  <c r="BY1665" i="4"/>
  <c r="BZ1665" i="4" s="1"/>
  <c r="AI1672" i="4"/>
  <c r="BY1672" i="4"/>
  <c r="BZ1672" i="4" s="1"/>
  <c r="AI1640" i="4"/>
  <c r="BY1640" i="4"/>
  <c r="AI1678" i="4"/>
  <c r="BY1678" i="4"/>
  <c r="AI1809" i="4"/>
  <c r="BY1809" i="4"/>
  <c r="BZ1809" i="4" s="1"/>
  <c r="AI1807" i="4"/>
  <c r="BY1807" i="4"/>
  <c r="BZ1807" i="4" s="1"/>
  <c r="AI1777" i="4"/>
  <c r="BY1777" i="4"/>
  <c r="AI1751" i="4"/>
  <c r="BY1751" i="4"/>
  <c r="AI1816" i="4"/>
  <c r="BY1816" i="4"/>
  <c r="BZ1816" i="4" s="1"/>
  <c r="AI1749" i="4"/>
  <c r="BY1749" i="4"/>
  <c r="AI1797" i="4"/>
  <c r="BY1797" i="4"/>
  <c r="CA1797" i="4" s="1"/>
  <c r="AI1703" i="4"/>
  <c r="BY1703" i="4"/>
  <c r="BZ1703" i="4" s="1"/>
  <c r="BY33" i="4"/>
  <c r="BY46" i="4"/>
  <c r="BY23" i="4"/>
  <c r="BY31" i="4"/>
  <c r="BY65" i="4"/>
  <c r="AI55" i="4"/>
  <c r="BY55" i="4"/>
  <c r="BY244" i="4"/>
  <c r="BY237" i="4"/>
  <c r="BZ237" i="4" s="1"/>
  <c r="BY325" i="4"/>
  <c r="BY358" i="4"/>
  <c r="BY293" i="4"/>
  <c r="BZ293" i="4" s="1"/>
  <c r="BY273" i="4"/>
  <c r="BY288" i="4"/>
  <c r="BY361" i="4"/>
  <c r="BY343" i="4"/>
  <c r="BY255" i="4"/>
  <c r="BY280" i="4"/>
  <c r="BY275" i="4"/>
  <c r="BY292" i="4"/>
  <c r="BZ292" i="4" s="1"/>
  <c r="BY1354" i="4"/>
  <c r="BZ1354" i="4" s="1"/>
  <c r="AI1320" i="4"/>
  <c r="BY1320" i="4"/>
  <c r="AI1744" i="4"/>
  <c r="BY1744" i="4"/>
  <c r="CA1744" i="4" s="1"/>
  <c r="AI1980" i="4"/>
  <c r="BY1980" i="4"/>
  <c r="BZ1980" i="4" s="1"/>
  <c r="AI1839" i="4"/>
  <c r="BY1839" i="4"/>
  <c r="BY1356" i="4"/>
  <c r="BY1323" i="4"/>
  <c r="BZ1323" i="4" s="1"/>
  <c r="BY1523" i="4"/>
  <c r="AI1662" i="4"/>
  <c r="BY1662" i="4"/>
  <c r="CA1662" i="4" s="1"/>
  <c r="CE1662" i="4" s="1"/>
  <c r="AI1638" i="4"/>
  <c r="BY1638" i="4"/>
  <c r="BZ1638" i="4" s="1"/>
  <c r="AI1758" i="4"/>
  <c r="BY1758" i="4"/>
  <c r="BY1573" i="4"/>
  <c r="BY1549" i="4"/>
  <c r="AI1685" i="4"/>
  <c r="BY1685" i="4"/>
  <c r="AI1728" i="4"/>
  <c r="BY1728" i="4"/>
  <c r="BZ1728" i="4" s="1"/>
  <c r="AI1812" i="4"/>
  <c r="BY1812" i="4"/>
  <c r="BZ1812" i="4" s="1"/>
  <c r="AI2003" i="4"/>
  <c r="BY2003" i="4"/>
  <c r="BZ2003" i="4" s="1"/>
  <c r="AI1967" i="4"/>
  <c r="BY1967" i="4"/>
  <c r="BZ1967" i="4" s="1"/>
  <c r="BY1469" i="4"/>
  <c r="BY1305" i="4"/>
  <c r="AI1803" i="4"/>
  <c r="BY1803" i="4"/>
  <c r="BZ1803" i="4" s="1"/>
  <c r="AI1790" i="4"/>
  <c r="BY1790" i="4"/>
  <c r="BZ1790" i="4" s="1"/>
  <c r="BY1301" i="4"/>
  <c r="BY1531" i="4"/>
  <c r="BZ1531" i="4" s="1"/>
  <c r="BY1349" i="4"/>
  <c r="BY1233" i="4"/>
  <c r="BY1214" i="4"/>
  <c r="BY1331" i="4"/>
  <c r="BY1327" i="4"/>
  <c r="BY1225" i="4"/>
  <c r="BY1418" i="4"/>
  <c r="BY1576" i="4"/>
  <c r="BY1367" i="4"/>
  <c r="BY1251" i="4"/>
  <c r="BY1506" i="4"/>
  <c r="BY1228" i="4"/>
  <c r="BY1544" i="4"/>
  <c r="BZ1542" i="4"/>
  <c r="BZ1570" i="4"/>
  <c r="AI1623" i="4"/>
  <c r="BY1623" i="4"/>
  <c r="AI1653" i="4"/>
  <c r="BY1653" i="4"/>
  <c r="BZ1653" i="4" s="1"/>
  <c r="AI1652" i="4"/>
  <c r="BY1652" i="4"/>
  <c r="AI1796" i="4"/>
  <c r="BY1796" i="4"/>
  <c r="BZ1796" i="4" s="1"/>
  <c r="AI1765" i="4"/>
  <c r="BY1765" i="4"/>
  <c r="BZ1765" i="4" s="1"/>
  <c r="AI1821" i="4"/>
  <c r="BY1821" i="4"/>
  <c r="CA1821" i="4" s="1"/>
  <c r="AI1795" i="4"/>
  <c r="BY1795" i="4"/>
  <c r="CA1795" i="4" s="1"/>
  <c r="AI1763" i="4"/>
  <c r="BY1763" i="4"/>
  <c r="AI1808" i="4"/>
  <c r="BY1808" i="4"/>
  <c r="BZ1808" i="4" s="1"/>
  <c r="AI1715" i="4"/>
  <c r="BY1715" i="4"/>
  <c r="CA1715" i="4" s="1"/>
  <c r="AI1691" i="4"/>
  <c r="BY1691" i="4"/>
  <c r="BZ1691" i="4" s="1"/>
  <c r="AI1974" i="4"/>
  <c r="BY1974" i="4"/>
  <c r="BZ1974" i="4" s="1"/>
  <c r="AI1966" i="4"/>
  <c r="BY1966" i="4"/>
  <c r="AI2004" i="4"/>
  <c r="BY2004" i="4"/>
  <c r="AI1878" i="4"/>
  <c r="BY1878" i="4"/>
  <c r="BZ1878" i="4" s="1"/>
  <c r="AI1969" i="4"/>
  <c r="BY1969" i="4"/>
  <c r="AI1936" i="4"/>
  <c r="BY1936" i="4"/>
  <c r="BZ1936" i="4" s="1"/>
  <c r="AI1860" i="4"/>
  <c r="BY1860" i="4"/>
  <c r="BZ1860" i="4" s="1"/>
  <c r="AI1986" i="4"/>
  <c r="BY1986" i="4"/>
  <c r="BZ1986" i="4" s="1"/>
  <c r="AI1950" i="4"/>
  <c r="BY1950" i="4"/>
  <c r="BZ1950" i="4" s="1"/>
  <c r="AI2007" i="4"/>
  <c r="BY2007" i="4"/>
  <c r="CA2007" i="4" s="1"/>
  <c r="AI1956" i="4"/>
  <c r="BY1956" i="4"/>
  <c r="BZ1956" i="4" s="1"/>
  <c r="AI1941" i="4"/>
  <c r="BY1941" i="4"/>
  <c r="BZ1941" i="4" s="1"/>
  <c r="AI2002" i="4"/>
  <c r="BY2002" i="4"/>
  <c r="BZ2002" i="4" s="1"/>
  <c r="AI1908" i="4"/>
  <c r="BY1908" i="4"/>
  <c r="BZ1908" i="4" s="1"/>
  <c r="AI1942" i="4"/>
  <c r="BY1942" i="4"/>
  <c r="BZ1942" i="4" s="1"/>
  <c r="AI1989" i="4"/>
  <c r="BY1989" i="4"/>
  <c r="CA1989" i="4" s="1"/>
  <c r="AI1833" i="4"/>
  <c r="BY1833" i="4"/>
  <c r="BZ1833" i="4" s="1"/>
  <c r="AI1992" i="4"/>
  <c r="BY1992" i="4"/>
  <c r="BZ1992" i="4" s="1"/>
  <c r="AI1910" i="4"/>
  <c r="BY1910" i="4"/>
  <c r="BZ1910" i="4" s="1"/>
  <c r="BY1242" i="4"/>
  <c r="BZ1242" i="4" s="1"/>
  <c r="BZ1434" i="4"/>
  <c r="AI1639" i="4"/>
  <c r="BY1639" i="4"/>
  <c r="AI1626" i="4"/>
  <c r="BY1626" i="4"/>
  <c r="AI1792" i="4"/>
  <c r="BY1792" i="4"/>
  <c r="BZ1792" i="4" s="1"/>
  <c r="AI1722" i="4"/>
  <c r="BY1722" i="4"/>
  <c r="BZ1722" i="4" s="1"/>
  <c r="AI1727" i="4"/>
  <c r="BY1727" i="4"/>
  <c r="AI1747" i="4"/>
  <c r="BY1747" i="4"/>
  <c r="BZ1747" i="4" s="1"/>
  <c r="AI1932" i="4"/>
  <c r="BY1932" i="4"/>
  <c r="BZ1932" i="4" s="1"/>
  <c r="BY1231" i="4"/>
  <c r="BY1309" i="4"/>
  <c r="BY1498" i="4"/>
  <c r="BY1385" i="4"/>
  <c r="BY1606" i="4"/>
  <c r="AI1632" i="4"/>
  <c r="BY1632" i="4"/>
  <c r="AI1674" i="4"/>
  <c r="BY1674" i="4"/>
  <c r="BZ1674" i="4" s="1"/>
  <c r="AI1805" i="4"/>
  <c r="BY1805" i="4"/>
  <c r="BZ1805" i="4" s="1"/>
  <c r="AI1786" i="4"/>
  <c r="BY1786" i="4"/>
  <c r="CA1786" i="4" s="1"/>
  <c r="BY1284" i="4"/>
  <c r="AI1396" i="4"/>
  <c r="BY1396" i="4"/>
  <c r="AI1643" i="4"/>
  <c r="BY1643" i="4"/>
  <c r="BZ1643" i="4" s="1"/>
  <c r="AI1721" i="4"/>
  <c r="BY1721" i="4"/>
  <c r="CA1721" i="4" s="1"/>
  <c r="AI1700" i="4"/>
  <c r="BY1700" i="4"/>
  <c r="BZ1700" i="4" s="1"/>
  <c r="AI1879" i="4"/>
  <c r="BY1879" i="4"/>
  <c r="BZ1879" i="4" s="1"/>
  <c r="AI1892" i="4"/>
  <c r="BY1892" i="4"/>
  <c r="CA1892" i="4" s="1"/>
  <c r="AI1871" i="4"/>
  <c r="BY1871" i="4"/>
  <c r="BY1269" i="4"/>
  <c r="AI1649" i="4"/>
  <c r="BY1649" i="4"/>
  <c r="BZ1649" i="4" s="1"/>
  <c r="AI1708" i="4"/>
  <c r="BY1708" i="4"/>
  <c r="CA1708" i="4" s="1"/>
  <c r="AI1698" i="4"/>
  <c r="BY1698" i="4"/>
  <c r="BZ1698" i="4" s="1"/>
  <c r="BY1579" i="4"/>
  <c r="AI1706" i="4"/>
  <c r="BY1706" i="4"/>
  <c r="CA1706" i="4" s="1"/>
  <c r="AI1811" i="4"/>
  <c r="BY1811" i="4"/>
  <c r="BZ1811" i="4" s="1"/>
  <c r="AI1938" i="4"/>
  <c r="BY1938" i="4"/>
  <c r="BZ1938" i="4" s="1"/>
  <c r="AI1939" i="4"/>
  <c r="BY1939" i="4"/>
  <c r="AI1984" i="4"/>
  <c r="BY1984" i="4"/>
  <c r="BZ1984" i="4" s="1"/>
  <c r="BY1490" i="4"/>
  <c r="BY1350" i="4"/>
  <c r="BY1277" i="4"/>
  <c r="BZ1263" i="4"/>
  <c r="AI1651" i="4"/>
  <c r="BY1651" i="4"/>
  <c r="BZ1651" i="4" s="1"/>
  <c r="AI1696" i="4"/>
  <c r="BY1696" i="4"/>
  <c r="BZ1696" i="4" s="1"/>
  <c r="BZ1392" i="4"/>
  <c r="AI1659" i="4"/>
  <c r="BY1659" i="4"/>
  <c r="CA1659" i="4" s="1"/>
  <c r="CE1659" i="4" s="1"/>
  <c r="AI1666" i="4"/>
  <c r="BY1666" i="4"/>
  <c r="BZ1666" i="4" s="1"/>
  <c r="BY1627" i="4"/>
  <c r="AI1677" i="4"/>
  <c r="BY1677" i="4"/>
  <c r="BZ1677" i="4" s="1"/>
  <c r="AI1679" i="4"/>
  <c r="BY1679" i="4"/>
  <c r="AI1717" i="4"/>
  <c r="BY1717" i="4"/>
  <c r="AI1712" i="4"/>
  <c r="BY1712" i="4"/>
  <c r="CA1712" i="4" s="1"/>
  <c r="AI1813" i="4"/>
  <c r="BY1813" i="4"/>
  <c r="CA1813" i="4" s="1"/>
  <c r="AI1788" i="4"/>
  <c r="BY1788" i="4"/>
  <c r="BZ1788" i="4" s="1"/>
  <c r="AI1726" i="4"/>
  <c r="BY1726" i="4"/>
  <c r="BZ1726" i="4" s="1"/>
  <c r="AI1704" i="4"/>
  <c r="BY1704" i="4"/>
  <c r="CA2218" i="4" s="1"/>
  <c r="AI1815" i="4"/>
  <c r="BY1815" i="4"/>
  <c r="CA1815" i="4" s="1"/>
  <c r="AI1711" i="4"/>
  <c r="BY1711" i="4"/>
  <c r="BZ1711" i="4" s="1"/>
  <c r="BY366" i="4"/>
  <c r="BY1279" i="4"/>
  <c r="CA1279" i="4" s="1"/>
  <c r="AI1875" i="4"/>
  <c r="BY1875" i="4"/>
  <c r="BZ1875" i="4" s="1"/>
  <c r="AI1971" i="4"/>
  <c r="BY1971" i="4"/>
  <c r="BZ1971" i="4" s="1"/>
  <c r="AI1854" i="4"/>
  <c r="BY1854" i="4"/>
  <c r="BY1238" i="4"/>
  <c r="BY1295" i="4"/>
  <c r="BZ1389" i="4"/>
  <c r="AI1664" i="4"/>
  <c r="BY1664" i="4"/>
  <c r="BZ1664" i="4" s="1"/>
  <c r="AI1755" i="4"/>
  <c r="BY1755" i="4"/>
  <c r="BZ1755" i="4" s="1"/>
  <c r="BY1247" i="4"/>
  <c r="BY1407" i="4"/>
  <c r="BY1289" i="4"/>
  <c r="BY1430" i="4"/>
  <c r="BY1504" i="4"/>
  <c r="BY1607" i="4"/>
  <c r="BY1429" i="4"/>
  <c r="BY1232" i="4"/>
  <c r="BY1433" i="4"/>
  <c r="BY1285" i="4"/>
  <c r="BY1353" i="4"/>
  <c r="BZ1353" i="4" s="1"/>
  <c r="BY1236" i="4"/>
  <c r="BY1339" i="4"/>
  <c r="BY1292" i="4"/>
  <c r="BY1281" i="4"/>
  <c r="BY1288" i="4"/>
  <c r="BY1473" i="4"/>
  <c r="CA1473" i="4" s="1"/>
  <c r="BY1268" i="4"/>
  <c r="BZ1268" i="4" s="1"/>
  <c r="BY1451" i="4"/>
  <c r="CA1451" i="4" s="1"/>
  <c r="AI1802" i="4"/>
  <c r="BY1802" i="4"/>
  <c r="AI1692" i="4"/>
  <c r="BY1692" i="4"/>
  <c r="BZ1692" i="4" s="1"/>
  <c r="AI1793" i="4"/>
  <c r="BY1793" i="4"/>
  <c r="BZ1793" i="4" s="1"/>
  <c r="AI1733" i="4"/>
  <c r="BY1733" i="4"/>
  <c r="CA1733" i="4" s="1"/>
  <c r="AI1780" i="4"/>
  <c r="BY1780" i="4"/>
  <c r="BZ1780" i="4" s="1"/>
  <c r="AI1818" i="4"/>
  <c r="BY1818" i="4"/>
  <c r="BZ1818" i="4" s="1"/>
  <c r="AI1783" i="4"/>
  <c r="BY1783" i="4"/>
  <c r="AI1756" i="4"/>
  <c r="BY1756" i="4"/>
  <c r="CA1756" i="4" s="1"/>
  <c r="BY1899" i="4"/>
  <c r="AI1964" i="4"/>
  <c r="BY1964" i="4"/>
  <c r="BZ1964" i="4" s="1"/>
  <c r="AI1945" i="4"/>
  <c r="BY1945" i="4"/>
  <c r="CA1945" i="4" s="1"/>
  <c r="AI1981" i="4"/>
  <c r="BY1981" i="4"/>
  <c r="BZ1981" i="4" s="1"/>
  <c r="AI1926" i="4"/>
  <c r="BY1926" i="4"/>
  <c r="BZ1926" i="4" s="1"/>
  <c r="AI1975" i="4"/>
  <c r="BY1975" i="4"/>
  <c r="BZ1975" i="4" s="1"/>
  <c r="AI1884" i="4"/>
  <c r="BY1884" i="4"/>
  <c r="CA1884" i="4" s="1"/>
  <c r="AI1924" i="4"/>
  <c r="BY1924" i="4"/>
  <c r="BY1888" i="4"/>
  <c r="AI1886" i="4"/>
  <c r="BY1886" i="4"/>
  <c r="BZ1886" i="4" s="1"/>
  <c r="BY1834" i="4"/>
  <c r="AI1846" i="4"/>
  <c r="BY1846" i="4"/>
  <c r="BZ1846" i="4" s="1"/>
  <c r="AI1946" i="4"/>
  <c r="BY1946" i="4"/>
  <c r="CA1946" i="4" s="1"/>
  <c r="AI1962" i="4"/>
  <c r="BY1962" i="4"/>
  <c r="BZ1962" i="4" s="1"/>
  <c r="BY1921" i="4"/>
  <c r="BY1897" i="4"/>
  <c r="AI1902" i="4"/>
  <c r="BY1902" i="4"/>
  <c r="AI1965" i="4"/>
  <c r="BY1965" i="4"/>
  <c r="BY1915" i="4"/>
  <c r="AI1976" i="4"/>
  <c r="BY1976" i="4"/>
  <c r="BZ1976" i="4" s="1"/>
  <c r="BY1927" i="4"/>
  <c r="AI1851" i="4"/>
  <c r="BY1851" i="4"/>
  <c r="BY13" i="4"/>
  <c r="BZ13" i="4" s="1"/>
  <c r="BY6" i="4"/>
  <c r="BY47" i="4"/>
  <c r="BY86" i="4"/>
  <c r="BY69" i="4"/>
  <c r="BY106" i="4"/>
  <c r="BZ106" i="4" s="1"/>
  <c r="BY137" i="4"/>
  <c r="BY201" i="4"/>
  <c r="BY211" i="4"/>
  <c r="BY152" i="4"/>
  <c r="BY134" i="4"/>
  <c r="BY216" i="4"/>
  <c r="BY167" i="4"/>
  <c r="BY208" i="4"/>
  <c r="BY157" i="4"/>
  <c r="BY186" i="4"/>
  <c r="BY182" i="4"/>
  <c r="BY158" i="4"/>
  <c r="BY200" i="4"/>
  <c r="BY113" i="4"/>
  <c r="BY150" i="4"/>
  <c r="BY174" i="4"/>
  <c r="BY111" i="4"/>
  <c r="BY304" i="4"/>
  <c r="BY303" i="4"/>
  <c r="BY1390" i="4"/>
  <c r="BZ1390" i="4" s="1"/>
  <c r="AI331" i="4"/>
  <c r="AI362" i="4"/>
  <c r="AI338" i="4"/>
  <c r="AI248" i="4"/>
  <c r="AI349" i="4"/>
  <c r="AI258" i="4"/>
  <c r="AI354" i="4"/>
  <c r="AI235" i="4"/>
  <c r="AI334" i="4"/>
  <c r="AI328" i="4"/>
  <c r="AI265" i="4"/>
  <c r="AI282" i="4"/>
  <c r="AI269" i="4"/>
  <c r="AI296" i="4"/>
  <c r="AI298" i="4"/>
  <c r="AI253" i="4"/>
  <c r="AI263" i="4"/>
  <c r="AI332" i="4"/>
  <c r="AI233" i="4"/>
  <c r="AI270" i="4"/>
  <c r="AI245" i="4"/>
  <c r="AI278" i="4"/>
  <c r="AI342" i="4"/>
  <c r="AI247" i="4"/>
  <c r="AI274" i="4"/>
  <c r="AI353" i="4"/>
  <c r="AI364" i="4"/>
  <c r="AI348" i="4"/>
  <c r="AI276" i="4"/>
  <c r="AI316" i="4"/>
  <c r="AI290" i="4"/>
  <c r="AI311" i="4"/>
  <c r="AI350" i="4"/>
  <c r="AI243" i="4"/>
  <c r="AI367" i="4"/>
  <c r="AI360" i="4"/>
  <c r="AI251" i="4"/>
  <c r="AI244" i="4"/>
  <c r="AI237" i="4"/>
  <c r="AI325" i="4"/>
  <c r="AI358" i="4"/>
  <c r="AI293" i="4"/>
  <c r="AI273" i="4"/>
  <c r="AI288" i="4"/>
  <c r="AI361" i="4"/>
  <c r="AI343" i="4"/>
  <c r="AI255" i="4"/>
  <c r="AI280" i="4"/>
  <c r="AI275" i="4"/>
  <c r="AI292" i="4"/>
  <c r="AI239" i="4"/>
  <c r="AI302" i="4"/>
  <c r="AI324" i="4"/>
  <c r="AI285" i="4"/>
  <c r="AI234" i="4"/>
  <c r="AI366" i="4"/>
  <c r="AI261" i="4"/>
  <c r="AI256" i="4"/>
  <c r="AI295" i="4"/>
  <c r="AI236" i="4"/>
  <c r="AI340" i="4"/>
  <c r="AI309" i="4"/>
  <c r="AI310" i="4"/>
  <c r="AI283" i="4"/>
  <c r="AI345" i="4"/>
  <c r="AI250" i="4"/>
  <c r="AI321" i="4"/>
  <c r="AI304" i="4"/>
  <c r="AI303" i="4"/>
  <c r="AI308" i="4"/>
  <c r="AI267" i="4"/>
  <c r="AI266" i="4"/>
  <c r="AI335" i="4"/>
  <c r="AI230" i="4"/>
  <c r="AI359" i="4"/>
  <c r="AI317" i="4"/>
  <c r="AI301" i="4"/>
  <c r="AI323" i="4"/>
  <c r="AI241" i="4"/>
  <c r="AI365" i="4"/>
  <c r="AI315" i="4"/>
  <c r="AI300" i="4"/>
  <c r="AI238" i="4"/>
  <c r="AI357" i="4"/>
  <c r="AI272" i="4"/>
  <c r="AI355" i="4"/>
  <c r="AI262" i="4"/>
  <c r="AI294" i="4"/>
  <c r="AI330" i="4"/>
  <c r="AI356" i="4"/>
  <c r="AI289" i="4"/>
  <c r="AI314" i="4"/>
  <c r="AI268" i="4"/>
  <c r="AI351" i="4"/>
  <c r="AI319" i="4"/>
  <c r="AI320" i="4"/>
  <c r="AI337" i="4"/>
  <c r="AI333" i="4"/>
  <c r="AI318" i="4"/>
  <c r="AI257" i="4"/>
  <c r="AI363" i="4"/>
  <c r="AI329" i="4"/>
  <c r="AI347" i="4"/>
  <c r="AI260" i="4"/>
  <c r="AI313" i="4"/>
  <c r="AI291" i="4"/>
  <c r="AI336" i="4"/>
  <c r="AI281" i="4"/>
  <c r="AI307" i="4"/>
  <c r="AI252" i="4"/>
  <c r="AI312" i="4"/>
  <c r="AI346" i="4"/>
  <c r="AI246" i="4"/>
  <c r="AI299" i="4"/>
  <c r="AI271" i="4"/>
  <c r="AI341" i="4"/>
  <c r="AI322" i="4"/>
  <c r="AI242" i="4"/>
  <c r="AI352" i="4"/>
  <c r="AI327" i="4"/>
  <c r="AI232" i="4"/>
  <c r="AI249" i="4"/>
  <c r="AI339" i="4"/>
  <c r="AI297" i="4"/>
  <c r="AI287" i="4"/>
  <c r="AI240" i="4"/>
  <c r="AI284" i="4"/>
  <c r="AI231" i="4"/>
  <c r="AI279" i="4"/>
  <c r="AI264" i="4"/>
  <c r="AI344" i="4"/>
  <c r="AI254" i="4"/>
  <c r="AI305" i="4"/>
  <c r="AI306" i="4"/>
  <c r="AI326" i="4"/>
  <c r="AI286" i="4"/>
  <c r="AI277" i="4"/>
  <c r="AI259" i="4"/>
  <c r="AI151" i="4"/>
  <c r="AI196" i="4"/>
  <c r="AI184" i="4"/>
  <c r="AI156" i="4"/>
  <c r="AI126" i="4"/>
  <c r="AI163" i="4"/>
  <c r="AI169" i="4"/>
  <c r="AI100" i="4"/>
  <c r="AI153" i="4"/>
  <c r="AI127" i="4"/>
  <c r="AI110" i="4"/>
  <c r="AI107" i="4"/>
  <c r="AI225" i="4"/>
  <c r="AI193" i="4"/>
  <c r="AI205" i="4"/>
  <c r="AI145" i="4"/>
  <c r="AI229" i="4"/>
  <c r="AI148" i="4"/>
  <c r="AI188" i="4"/>
  <c r="AI170" i="4"/>
  <c r="AI217" i="4"/>
  <c r="AI219" i="4"/>
  <c r="AI102" i="4"/>
  <c r="AI104" i="4"/>
  <c r="AI224" i="4"/>
  <c r="AI202" i="4"/>
  <c r="AI221" i="4"/>
  <c r="AI176" i="4"/>
  <c r="AI91" i="4"/>
  <c r="AI115" i="4"/>
  <c r="AI105" i="4"/>
  <c r="AI180" i="4"/>
  <c r="AI195" i="4"/>
  <c r="AI194" i="4"/>
  <c r="AI116" i="4"/>
  <c r="AI129" i="4"/>
  <c r="AI155" i="4"/>
  <c r="AI192" i="4"/>
  <c r="AI101" i="4"/>
  <c r="AI214" i="4"/>
  <c r="AI130" i="4"/>
  <c r="AI207" i="4"/>
  <c r="AI132" i="4"/>
  <c r="AI227" i="4"/>
  <c r="AI120" i="4"/>
  <c r="AI159" i="4"/>
  <c r="AI103" i="4"/>
  <c r="AI146" i="4"/>
  <c r="AI122" i="4"/>
  <c r="AI138" i="4"/>
  <c r="AI204" i="4"/>
  <c r="AI121" i="4"/>
  <c r="AI112" i="4"/>
  <c r="AI141" i="4"/>
  <c r="AI190" i="4"/>
  <c r="AI213" i="4"/>
  <c r="AI123" i="4"/>
  <c r="AI99" i="4"/>
  <c r="AI226" i="4"/>
  <c r="AI168" i="4"/>
  <c r="AI95" i="4"/>
  <c r="AI97" i="4"/>
  <c r="AI220" i="4"/>
  <c r="AI144" i="4"/>
  <c r="AI212" i="4"/>
  <c r="AI133" i="4"/>
  <c r="AI181" i="4"/>
  <c r="AI164" i="4"/>
  <c r="AI228" i="4"/>
  <c r="AI179" i="4"/>
  <c r="AI160" i="4"/>
  <c r="AI222" i="4"/>
  <c r="AI135" i="4"/>
  <c r="AI198" i="4"/>
  <c r="AI108" i="4"/>
  <c r="AI206" i="4"/>
  <c r="AI187" i="4"/>
  <c r="AI114" i="4"/>
  <c r="AI162" i="4"/>
  <c r="AI215" i="4"/>
  <c r="AI161" i="4"/>
  <c r="AI197" i="4"/>
  <c r="AI147" i="4"/>
  <c r="AI139" i="4"/>
  <c r="AI117" i="4"/>
  <c r="AI128" i="4"/>
  <c r="AI98" i="4"/>
  <c r="AI140" i="4"/>
  <c r="AI210" i="4"/>
  <c r="AI177" i="4"/>
  <c r="AI92" i="4"/>
  <c r="AI125" i="4"/>
  <c r="AI136" i="4"/>
  <c r="AI166" i="4"/>
  <c r="AI119" i="4"/>
  <c r="AI175" i="4"/>
  <c r="AI223" i="4"/>
  <c r="AI189" i="4"/>
  <c r="AI209" i="4"/>
  <c r="AI94" i="4"/>
  <c r="AI185" i="4"/>
  <c r="AI165" i="4"/>
  <c r="AI96" i="4"/>
  <c r="AI106" i="4"/>
  <c r="AI137" i="4"/>
  <c r="AI201" i="4"/>
  <c r="AI211" i="4"/>
  <c r="AI152" i="4"/>
  <c r="AI134" i="4"/>
  <c r="AI216" i="4"/>
  <c r="AI167" i="4"/>
  <c r="AI208" i="4"/>
  <c r="AI157" i="4"/>
  <c r="AI186" i="4"/>
  <c r="AI182" i="4"/>
  <c r="AI158" i="4"/>
  <c r="AI200" i="4"/>
  <c r="AI113" i="4"/>
  <c r="AI150" i="4"/>
  <c r="AI174" i="4"/>
  <c r="AI111" i="4"/>
  <c r="AI142" i="4"/>
  <c r="AI149" i="4"/>
  <c r="AI124" i="4"/>
  <c r="AI171" i="4"/>
  <c r="AI203" i="4"/>
  <c r="AI109" i="4"/>
  <c r="AI143" i="4"/>
  <c r="AI183" i="4"/>
  <c r="AI191" i="4"/>
  <c r="AI199" i="4"/>
  <c r="AI118" i="4"/>
  <c r="AI218" i="4"/>
  <c r="AI131" i="4"/>
  <c r="AI178" i="4"/>
  <c r="AI173" i="4"/>
  <c r="AI154" i="4"/>
  <c r="AI93" i="4"/>
  <c r="AI172" i="4"/>
  <c r="AI33" i="4"/>
  <c r="AI46" i="4"/>
  <c r="AI23" i="4"/>
  <c r="AI31" i="4"/>
  <c r="AI65" i="4"/>
  <c r="AI13" i="4"/>
  <c r="AI6" i="4"/>
  <c r="AI47" i="4"/>
  <c r="AI86" i="4"/>
  <c r="AI63" i="4"/>
  <c r="AI61" i="4"/>
  <c r="AI37" i="4"/>
  <c r="AI71" i="4"/>
  <c r="AI76" i="4"/>
  <c r="AI29" i="4"/>
  <c r="AI59" i="4"/>
  <c r="AI9" i="4"/>
  <c r="AI75" i="4"/>
  <c r="AI69" i="4"/>
  <c r="AI80" i="4"/>
  <c r="AI67" i="4"/>
  <c r="AI90" i="4"/>
  <c r="AI22" i="4"/>
  <c r="AI68" i="4"/>
  <c r="AI38" i="4"/>
  <c r="AI54" i="4"/>
  <c r="AI20" i="4"/>
  <c r="AI52" i="4"/>
  <c r="AI51" i="4"/>
  <c r="AI88" i="4"/>
  <c r="AI58" i="4"/>
  <c r="AI26" i="4"/>
  <c r="AI25" i="4"/>
  <c r="AI60" i="4"/>
  <c r="AI30" i="4"/>
  <c r="AI66" i="4"/>
  <c r="AI84" i="4"/>
  <c r="AI81" i="4"/>
  <c r="AI77" i="4"/>
  <c r="AI64" i="4"/>
  <c r="AI57" i="4"/>
  <c r="AI10" i="4"/>
  <c r="AI8" i="4"/>
  <c r="AI28" i="4"/>
  <c r="AI85" i="4"/>
  <c r="AI73" i="4"/>
  <c r="AI32" i="4"/>
  <c r="AI36" i="4"/>
  <c r="AI7" i="4"/>
  <c r="AI11" i="4"/>
  <c r="AI62" i="4"/>
  <c r="AI39" i="4"/>
  <c r="AI78" i="4"/>
  <c r="AI48" i="4"/>
  <c r="AI89" i="4"/>
  <c r="AI72" i="4"/>
  <c r="AI17" i="4"/>
  <c r="AI14" i="4"/>
  <c r="AI27" i="4"/>
  <c r="AI18" i="4"/>
  <c r="AI74" i="4"/>
  <c r="AI87" i="4"/>
  <c r="AI83" i="4"/>
  <c r="AI56" i="4"/>
  <c r="AI82" i="4"/>
  <c r="AI79" i="4"/>
  <c r="AI45" i="4"/>
  <c r="AI50" i="4"/>
  <c r="AI16" i="4"/>
  <c r="AI15" i="4"/>
  <c r="AI35" i="4"/>
  <c r="AI70" i="4"/>
  <c r="AI34" i="4"/>
  <c r="AI53" i="4"/>
  <c r="AI24" i="4"/>
  <c r="AI19" i="4"/>
  <c r="AI12" i="4"/>
  <c r="AI21" i="4"/>
  <c r="BZ1313" i="4"/>
  <c r="AI1899" i="4"/>
  <c r="AI1896" i="4"/>
  <c r="AI1898" i="4"/>
  <c r="AI1911" i="4"/>
  <c r="AI1904" i="4"/>
  <c r="AI1906" i="4"/>
  <c r="AI1931" i="4"/>
  <c r="AI1882" i="4"/>
  <c r="AI1909" i="4"/>
  <c r="AI1890" i="4"/>
  <c r="AI1919" i="4"/>
  <c r="AI1929" i="4"/>
  <c r="AI1907" i="4"/>
  <c r="AI1858" i="4"/>
  <c r="AI1925" i="4"/>
  <c r="AI1838" i="4"/>
  <c r="AI1901" i="4"/>
  <c r="AI1873" i="4"/>
  <c r="AI1880" i="4"/>
  <c r="AI1888" i="4"/>
  <c r="AI1881" i="4"/>
  <c r="AI1917" i="4"/>
  <c r="AI1864" i="4"/>
  <c r="AI1834" i="4"/>
  <c r="AI1935" i="4"/>
  <c r="AI1836" i="4"/>
  <c r="AI1850" i="4"/>
  <c r="AI1865" i="4"/>
  <c r="AI1848" i="4"/>
  <c r="AI1872" i="4"/>
  <c r="AI1921" i="4"/>
  <c r="AI1866" i="4"/>
  <c r="AI1897" i="4"/>
  <c r="AI1923" i="4"/>
  <c r="AI1842" i="4"/>
  <c r="AI1933" i="4"/>
  <c r="AI1915" i="4"/>
  <c r="AI1840" i="4"/>
  <c r="AI1874" i="4"/>
  <c r="AI1889" i="4"/>
  <c r="AI1903" i="4"/>
  <c r="AI1927" i="4"/>
  <c r="AI1856" i="4"/>
  <c r="AI1857" i="4"/>
  <c r="AI1913" i="4"/>
  <c r="AI1905" i="4"/>
  <c r="CG2" i="4"/>
  <c r="CH2" i="4" s="1"/>
  <c r="AI1690" i="4"/>
  <c r="AI1408" i="4"/>
  <c r="CA1223" i="4"/>
  <c r="AI1667" i="4"/>
  <c r="AI1624" i="4"/>
  <c r="AI1625" i="4"/>
  <c r="AI1627" i="4"/>
  <c r="AI1648" i="4"/>
  <c r="AI1656" i="4"/>
  <c r="AI1642" i="4"/>
  <c r="BZ1071" i="4"/>
  <c r="CA1398" i="4"/>
  <c r="CA1300" i="4"/>
  <c r="BZ1455" i="4"/>
  <c r="CA1263" i="4"/>
  <c r="CA688" i="4"/>
  <c r="AI1451" i="4"/>
  <c r="CA1392" i="4"/>
  <c r="AI1600" i="4"/>
  <c r="BZ1411" i="4"/>
  <c r="AI1268" i="4"/>
  <c r="AI1484" i="4"/>
  <c r="AI1317" i="4"/>
  <c r="AI1565" i="4"/>
  <c r="AI1259" i="4"/>
  <c r="AI1272" i="4"/>
  <c r="AI1473" i="4"/>
  <c r="AI1452" i="4"/>
  <c r="AI1412" i="4"/>
  <c r="AI1301" i="4"/>
  <c r="AI1399" i="4"/>
  <c r="AI1422" i="4"/>
  <c r="AI1432" i="4"/>
  <c r="AI1282" i="4"/>
  <c r="AI1425" i="4"/>
  <c r="AI1310" i="4"/>
  <c r="AI1564" i="4"/>
  <c r="AI1404" i="4"/>
  <c r="AI1247" i="4"/>
  <c r="AI1563" i="4"/>
  <c r="AI1387" i="4"/>
  <c r="AI1617" i="4"/>
  <c r="BZ1519" i="4"/>
  <c r="CA1519" i="4"/>
  <c r="AI1227" i="4"/>
  <c r="AI1436" i="4"/>
  <c r="AI1291" i="4"/>
  <c r="BZ1294" i="4"/>
  <c r="AI1407" i="4"/>
  <c r="AI1495" i="4"/>
  <c r="AI1475" i="4"/>
  <c r="AI1529" i="4"/>
  <c r="BZ1229" i="4"/>
  <c r="BZ1491" i="4"/>
  <c r="CA1491" i="4"/>
  <c r="AI1501" i="4"/>
  <c r="AI1221" i="4"/>
  <c r="AI1531" i="4"/>
  <c r="AI1577" i="4"/>
  <c r="BZ1395" i="4"/>
  <c r="CA1395" i="4"/>
  <c r="AI1553" i="4"/>
  <c r="AI1494" i="4"/>
  <c r="AI1296" i="4"/>
  <c r="AI1536" i="4"/>
  <c r="AI1478" i="4"/>
  <c r="AI1545" i="4"/>
  <c r="AI1289" i="4"/>
  <c r="AI1319" i="4"/>
  <c r="AI1340" i="4"/>
  <c r="AI1235" i="4"/>
  <c r="BZ1241" i="4"/>
  <c r="AI1490" i="4"/>
  <c r="AI1338" i="4"/>
  <c r="AI1293" i="4"/>
  <c r="AI1349" i="4"/>
  <c r="AI1430" i="4"/>
  <c r="AI1406" i="4"/>
  <c r="AI1448" i="4"/>
  <c r="AI1527" i="4"/>
  <c r="CA1483" i="4"/>
  <c r="BZ1483" i="4"/>
  <c r="AI1586" i="4"/>
  <c r="AI1547" i="4"/>
  <c r="CA1256" i="4"/>
  <c r="BZ1256" i="4"/>
  <c r="AI1402" i="4"/>
  <c r="AI1410" i="4"/>
  <c r="AI1231" i="4"/>
  <c r="AI1377" i="4"/>
  <c r="AI1476" i="4"/>
  <c r="AI1469" i="4"/>
  <c r="AI1321" i="4"/>
  <c r="BZ1337" i="4"/>
  <c r="CA1337" i="4"/>
  <c r="CA1499" i="4"/>
  <c r="BZ1499" i="4"/>
  <c r="AI1374" i="4"/>
  <c r="AI1504" i="4"/>
  <c r="AI1424" i="4"/>
  <c r="AI1356" i="4"/>
  <c r="AI1341" i="4"/>
  <c r="BZ1322" i="4"/>
  <c r="AI1397" i="4"/>
  <c r="BZ1271" i="4"/>
  <c r="AI1233" i="4"/>
  <c r="AI1520" i="4"/>
  <c r="AI1574" i="4"/>
  <c r="CA1591" i="4"/>
  <c r="BZ1591" i="4"/>
  <c r="AI1420" i="4"/>
  <c r="AI1355" i="4"/>
  <c r="AI1238" i="4"/>
  <c r="AI1616" i="4"/>
  <c r="AI1216" i="4"/>
  <c r="AI1477" i="4"/>
  <c r="AI1482" i="4"/>
  <c r="AI1215" i="4"/>
  <c r="AI1260" i="4"/>
  <c r="AI1524" i="4"/>
  <c r="AI1522" i="4"/>
  <c r="AI1333" i="4"/>
  <c r="AI1253" i="4"/>
  <c r="AI1405" i="4"/>
  <c r="AI1363" i="4"/>
  <c r="AI1423" i="4"/>
  <c r="AI1269" i="4"/>
  <c r="AI1605" i="4"/>
  <c r="BZ1554" i="4"/>
  <c r="CA1554" i="4"/>
  <c r="CA1379" i="4"/>
  <c r="BZ1379" i="4"/>
  <c r="BZ1239" i="4"/>
  <c r="CA1239" i="4"/>
  <c r="AI1370" i="4"/>
  <c r="AI1214" i="4"/>
  <c r="AI1607" i="4"/>
  <c r="AI1417" i="4"/>
  <c r="AI1284" i="4"/>
  <c r="AI1502" i="4"/>
  <c r="BZ1446" i="4"/>
  <c r="CA1510" i="4"/>
  <c r="BZ1510" i="4"/>
  <c r="BZ1275" i="4"/>
  <c r="CA1275" i="4"/>
  <c r="BZ1513" i="4"/>
  <c r="CA1513" i="4"/>
  <c r="CA1472" i="4"/>
  <c r="BZ1472" i="4"/>
  <c r="BZ1595" i="4"/>
  <c r="CA1595" i="4"/>
  <c r="AI1567" i="4"/>
  <c r="AI1560" i="4"/>
  <c r="AI1217" i="4"/>
  <c r="CA1470" i="4"/>
  <c r="BZ1470" i="4"/>
  <c r="AI1566" i="4"/>
  <c r="AI1493" i="4"/>
  <c r="AI1357" i="4"/>
  <c r="AI1329" i="4"/>
  <c r="AI1369" i="4"/>
  <c r="AI1599" i="4"/>
  <c r="AI1429" i="4"/>
  <c r="AI1438" i="4"/>
  <c r="AI1323" i="4"/>
  <c r="BZ1543" i="4"/>
  <c r="BZ1312" i="4"/>
  <c r="BZ1479" i="4"/>
  <c r="CA1479" i="4"/>
  <c r="CA1273" i="4"/>
  <c r="BZ1273" i="4"/>
  <c r="AI1212" i="4"/>
  <c r="AI1226" i="4"/>
  <c r="AI1375" i="4"/>
  <c r="AI1612" i="4"/>
  <c r="AI1309" i="4"/>
  <c r="AI1568" i="4"/>
  <c r="AI1503" i="4"/>
  <c r="AI1315" i="4"/>
  <c r="BZ1311" i="4"/>
  <c r="BZ1464" i="4"/>
  <c r="BZ1447" i="4"/>
  <c r="AI1232" i="4"/>
  <c r="AI1421" i="4"/>
  <c r="AI1388" i="4"/>
  <c r="AI1359" i="4"/>
  <c r="AI1480" i="4"/>
  <c r="BZ1488" i="4"/>
  <c r="CA1488" i="4"/>
  <c r="BZ1243" i="4"/>
  <c r="CA1255" i="4"/>
  <c r="BZ1255" i="4"/>
  <c r="AI1331" i="4"/>
  <c r="AI1433" i="4"/>
  <c r="BZ1351" i="4"/>
  <c r="CA1351" i="4"/>
  <c r="AI1287" i="4"/>
  <c r="AI1604" i="4"/>
  <c r="BZ1248" i="4"/>
  <c r="CA1248" i="4"/>
  <c r="BZ1562" i="4"/>
  <c r="CA1562" i="4"/>
  <c r="BZ1306" i="4"/>
  <c r="AI1611" i="4"/>
  <c r="CA1278" i="4"/>
  <c r="BZ1278" i="4"/>
  <c r="BZ1297" i="4"/>
  <c r="CA1486" i="4"/>
  <c r="BZ1486" i="4"/>
  <c r="AI1327" i="4"/>
  <c r="BZ1497" i="4"/>
  <c r="CA1497" i="4"/>
  <c r="AI1498" i="4"/>
  <c r="AI1211" i="4"/>
  <c r="AI1597" i="4"/>
  <c r="AI1350" i="4"/>
  <c r="AI1332" i="4"/>
  <c r="AI1492" i="4"/>
  <c r="AI1578" i="4"/>
  <c r="AI1285" i="4"/>
  <c r="AI1596" i="4"/>
  <c r="CA1533" i="4"/>
  <c r="BZ1533" i="4"/>
  <c r="BZ1371" i="4"/>
  <c r="CA1371" i="4"/>
  <c r="CA1485" i="4"/>
  <c r="BZ1485" i="4"/>
  <c r="BZ1445" i="4"/>
  <c r="BZ1336" i="4"/>
  <c r="BZ1535" i="4"/>
  <c r="CA1516" i="4"/>
  <c r="BZ1516" i="4"/>
  <c r="CA1610" i="4"/>
  <c r="BZ1610" i="4"/>
  <c r="BZ1401" i="4"/>
  <c r="CA1401" i="4"/>
  <c r="BZ1414" i="4"/>
  <c r="CA1414" i="4"/>
  <c r="CA1435" i="4"/>
  <c r="BZ1435" i="4"/>
  <c r="CA1588" i="4"/>
  <c r="BZ1588" i="4"/>
  <c r="BZ1264" i="4"/>
  <c r="CA1264" i="4"/>
  <c r="AI1540" i="4"/>
  <c r="AI1523" i="4"/>
  <c r="AI1415" i="4"/>
  <c r="AI1305" i="4"/>
  <c r="AI1210" i="4"/>
  <c r="BZ1318" i="4"/>
  <c r="BZ1439" i="4"/>
  <c r="CA1439" i="4"/>
  <c r="AI1225" i="4"/>
  <c r="AI1353" i="4"/>
  <c r="AI1364" i="4"/>
  <c r="AI1613" i="4"/>
  <c r="BZ1526" i="4"/>
  <c r="AI1466" i="4"/>
  <c r="BZ1372" i="4"/>
  <c r="CA1372" i="4"/>
  <c r="AI1345" i="4"/>
  <c r="AI1224" i="4"/>
  <c r="BZ1463" i="4"/>
  <c r="BZ1290" i="4"/>
  <c r="CA1290" i="4"/>
  <c r="CA1376" i="4"/>
  <c r="BZ1376" i="4"/>
  <c r="BZ1507" i="4"/>
  <c r="CA1507" i="4"/>
  <c r="CA1471" i="4"/>
  <c r="BZ1471" i="4"/>
  <c r="AI1385" i="4"/>
  <c r="BZ1441" i="4"/>
  <c r="AI1509" i="4"/>
  <c r="AI1326" i="4"/>
  <c r="BZ1444" i="4"/>
  <c r="CA1444" i="4"/>
  <c r="AI1508" i="4"/>
  <c r="AI1283" i="4"/>
  <c r="AI1384" i="4"/>
  <c r="AI1236" i="4"/>
  <c r="AI1334" i="4"/>
  <c r="AI1575" i="4"/>
  <c r="AI1537" i="4"/>
  <c r="AI1286" i="4"/>
  <c r="CA1515" i="4"/>
  <c r="BZ1515" i="4"/>
  <c r="BZ1431" i="4"/>
  <c r="CA1431" i="4"/>
  <c r="CA1453" i="4"/>
  <c r="BZ1453" i="4"/>
  <c r="CA1265" i="4"/>
  <c r="BZ1265" i="4"/>
  <c r="BZ1465" i="4"/>
  <c r="BZ1558" i="4"/>
  <c r="CA1558" i="4"/>
  <c r="AI1592" i="4"/>
  <c r="AI1219" i="4"/>
  <c r="AI1534" i="4"/>
  <c r="BZ1307" i="4"/>
  <c r="CA1307" i="4"/>
  <c r="BZ1603" i="4"/>
  <c r="CA1603" i="4"/>
  <c r="CA1505" i="4"/>
  <c r="BZ1505" i="4"/>
  <c r="CA1240" i="4"/>
  <c r="BZ1240" i="4"/>
  <c r="BZ1343" i="4"/>
  <c r="AI1551" i="4"/>
  <c r="AI1339" i="4"/>
  <c r="AI1267" i="4"/>
  <c r="AI1324" i="4"/>
  <c r="CA1589" i="4"/>
  <c r="BZ1589" i="4"/>
  <c r="AI1550" i="4"/>
  <c r="AI1257" i="4"/>
  <c r="AI1382" i="4"/>
  <c r="AI1252" i="4"/>
  <c r="BZ1449" i="4"/>
  <c r="BZ1298" i="4"/>
  <c r="CA1555" i="4"/>
  <c r="BZ1555" i="4"/>
  <c r="BZ1270" i="4"/>
  <c r="CA1270" i="4"/>
  <c r="BZ1615" i="4"/>
  <c r="CA1615" i="4"/>
  <c r="BZ1458" i="4"/>
  <c r="CA1458" i="4"/>
  <c r="BZ1344" i="4"/>
  <c r="AI1391" i="4"/>
  <c r="BZ1261" i="4"/>
  <c r="CA1261" i="4"/>
  <c r="AI1427" i="4"/>
  <c r="AI1530" i="4"/>
  <c r="AI1418" i="4"/>
  <c r="AI1609" i="4"/>
  <c r="CA1365" i="4"/>
  <c r="BZ1365" i="4"/>
  <c r="BZ1462" i="4"/>
  <c r="CA1462" i="4"/>
  <c r="CA1511" i="4"/>
  <c r="BZ1511" i="4"/>
  <c r="AI1335" i="4"/>
  <c r="AI1220" i="4"/>
  <c r="AI1347" i="4"/>
  <c r="AI1454" i="4"/>
  <c r="BZ1584" i="4"/>
  <c r="CA1584" i="4"/>
  <c r="AI1576" i="4"/>
  <c r="AI1292" i="4"/>
  <c r="AI1209" i="4"/>
  <c r="AI1496" i="4"/>
  <c r="AI1244" i="4"/>
  <c r="CA1428" i="4"/>
  <c r="BZ1428" i="4"/>
  <c r="AI1393" i="4"/>
  <c r="AI1250" i="4"/>
  <c r="AI1571" i="4"/>
  <c r="AI1367" i="4"/>
  <c r="BZ1302" i="4"/>
  <c r="CA1302" i="4"/>
  <c r="CA1440" i="4"/>
  <c r="BZ1440" i="4"/>
  <c r="AI1276" i="4"/>
  <c r="AI1598" i="4"/>
  <c r="AI1403" i="4"/>
  <c r="AI1277" i="4"/>
  <c r="AI1358" i="4"/>
  <c r="AI1361" i="4"/>
  <c r="BZ1512" i="4"/>
  <c r="CA1378" i="4"/>
  <c r="BZ1378" i="4"/>
  <c r="CA1585" i="4"/>
  <c r="BZ1585" i="4"/>
  <c r="AI1400" i="4"/>
  <c r="AI1303" i="4"/>
  <c r="AI1579" i="4"/>
  <c r="AI1538" i="4"/>
  <c r="AI1222" i="4"/>
  <c r="BZ1234" i="4"/>
  <c r="AI1514" i="4"/>
  <c r="AI1251" i="4"/>
  <c r="BZ1237" i="4"/>
  <c r="BZ1373" i="4"/>
  <c r="CA1373" i="4"/>
  <c r="CA1581" i="4"/>
  <c r="BZ1581" i="4"/>
  <c r="AI1304" i="4"/>
  <c r="CA1218" i="4"/>
  <c r="BZ1218" i="4"/>
  <c r="BZ1380" i="4"/>
  <c r="BZ1572" i="4"/>
  <c r="CA1572" i="4"/>
  <c r="AI1295" i="4"/>
  <c r="AI1230" i="4"/>
  <c r="AI1245" i="4"/>
  <c r="AI1506" i="4"/>
  <c r="CA1362" i="4"/>
  <c r="BZ1362" i="4"/>
  <c r="AI1517" i="4"/>
  <c r="AI1582" i="4"/>
  <c r="AI1573" i="4"/>
  <c r="CA1413" i="4"/>
  <c r="BZ1413" i="4"/>
  <c r="BZ1348" i="4"/>
  <c r="CA1348" i="4"/>
  <c r="AI1457" i="4"/>
  <c r="BZ1546" i="4"/>
  <c r="BZ1518" i="4"/>
  <c r="CA1518" i="4"/>
  <c r="AI1561" i="4"/>
  <c r="AI1281" i="4"/>
  <c r="AI1606" i="4"/>
  <c r="CA1593" i="4"/>
  <c r="BZ1593" i="4"/>
  <c r="BZ1254" i="4"/>
  <c r="CA1254" i="4"/>
  <c r="AI1246" i="4"/>
  <c r="AI1489" i="4"/>
  <c r="BZ1594" i="4"/>
  <c r="AI1228" i="4"/>
  <c r="AI1456" i="4"/>
  <c r="AI1487" i="4"/>
  <c r="AI1541" i="4"/>
  <c r="AI1460" i="4"/>
  <c r="CA1601" i="4"/>
  <c r="BZ1601" i="4"/>
  <c r="BZ1450" i="4"/>
  <c r="BZ1325" i="4"/>
  <c r="CA1325" i="4"/>
  <c r="CA1580" i="4"/>
  <c r="BZ1580" i="4"/>
  <c r="CA1539" i="4"/>
  <c r="BZ1539" i="4"/>
  <c r="AI1548" i="4"/>
  <c r="AI1544" i="4"/>
  <c r="AI1521" i="4"/>
  <c r="AI1528" i="4"/>
  <c r="AI1416" i="4"/>
  <c r="AI1443" i="4"/>
  <c r="BZ1394" i="4"/>
  <c r="AI1614" i="4"/>
  <c r="AI1308" i="4"/>
  <c r="CA1552" i="4"/>
  <c r="BZ1552" i="4"/>
  <c r="CA1570" i="4"/>
  <c r="CA1559" i="4"/>
  <c r="BZ1559" i="4"/>
  <c r="AI1274" i="4"/>
  <c r="CA1500" i="4"/>
  <c r="BZ1500" i="4"/>
  <c r="AI1608" i="4"/>
  <c r="AI1381" i="4"/>
  <c r="BZ1316" i="4"/>
  <c r="CA1316" i="4"/>
  <c r="BZ1262" i="4"/>
  <c r="CA1262" i="4"/>
  <c r="CA1426" i="4"/>
  <c r="BZ1426" i="4"/>
  <c r="AI1590" i="4"/>
  <c r="BZ1360" i="4"/>
  <c r="CA1360" i="4"/>
  <c r="BZ1386" i="4"/>
  <c r="AI1288" i="4"/>
  <c r="AI1280" i="4"/>
  <c r="AI1557" i="4"/>
  <c r="AI1549" i="4"/>
  <c r="AI1583" i="4"/>
  <c r="AI1461" i="4"/>
  <c r="AI1556" i="4"/>
  <c r="CA947" i="4" l="1"/>
  <c r="BZ947" i="4"/>
  <c r="CA2027" i="4"/>
  <c r="BZ936" i="4"/>
  <c r="CA1101" i="4"/>
  <c r="CA1102" i="4"/>
  <c r="CA946" i="4"/>
  <c r="BZ946" i="4"/>
  <c r="CA1243" i="4"/>
  <c r="CA1105" i="4"/>
  <c r="CA1108" i="4"/>
  <c r="BZ1069" i="4"/>
  <c r="CA1015" i="4"/>
  <c r="BZ1051" i="4"/>
  <c r="CA1001" i="4"/>
  <c r="CA726" i="4"/>
  <c r="CA1445" i="4"/>
  <c r="CA1059" i="4"/>
  <c r="CA1100" i="4"/>
  <c r="BZ1100" i="4"/>
  <c r="BZ940" i="4"/>
  <c r="CA940" i="4"/>
  <c r="CA942" i="4"/>
  <c r="BZ942" i="4"/>
  <c r="CA951" i="4"/>
  <c r="BZ951" i="4"/>
  <c r="CA1104" i="4"/>
  <c r="BZ1104" i="4"/>
  <c r="BZ943" i="4"/>
  <c r="CA943" i="4"/>
  <c r="CA952" i="4"/>
  <c r="BZ952" i="4"/>
  <c r="CA1110" i="4"/>
  <c r="BZ1110" i="4"/>
  <c r="CA1106" i="4"/>
  <c r="BZ1106" i="4"/>
  <c r="CA1594" i="4"/>
  <c r="CA1343" i="4"/>
  <c r="CA907" i="4"/>
  <c r="CA1065" i="4"/>
  <c r="BZ998" i="4"/>
  <c r="CA1060" i="4"/>
  <c r="CA1068" i="4"/>
  <c r="BZ999" i="4"/>
  <c r="BZ1002" i="4"/>
  <c r="CA961" i="4"/>
  <c r="CA1061" i="4"/>
  <c r="BZ962" i="4"/>
  <c r="BZ997" i="4"/>
  <c r="CA727" i="4"/>
  <c r="CA1344" i="4"/>
  <c r="CA1019" i="4"/>
  <c r="CA996" i="4"/>
  <c r="BZ996" i="4"/>
  <c r="BZ934" i="4"/>
  <c r="CA934" i="4"/>
  <c r="CA739" i="4"/>
  <c r="BZ739" i="4"/>
  <c r="CA1063" i="4"/>
  <c r="BZ1063" i="4"/>
  <c r="BZ734" i="4"/>
  <c r="CA950" i="4"/>
  <c r="CA734" i="4"/>
  <c r="CA736" i="4"/>
  <c r="BZ736" i="4"/>
  <c r="CA744" i="4"/>
  <c r="BZ744" i="4"/>
  <c r="CA742" i="4"/>
  <c r="BZ742" i="4"/>
  <c r="BZ933" i="4"/>
  <c r="CA933" i="4"/>
  <c r="BZ740" i="4"/>
  <c r="CA740" i="4"/>
  <c r="CA730" i="4"/>
  <c r="BZ730" i="4"/>
  <c r="BZ735" i="4"/>
  <c r="CA735" i="4"/>
  <c r="CA2177" i="4"/>
  <c r="CA932" i="4"/>
  <c r="BZ932" i="4"/>
  <c r="BZ737" i="4"/>
  <c r="CA1687" i="4"/>
  <c r="CA44" i="4"/>
  <c r="CA737" i="4"/>
  <c r="CA741" i="4"/>
  <c r="BZ741" i="4"/>
  <c r="CA1062" i="4"/>
  <c r="BZ1062" i="4"/>
  <c r="CA732" i="4"/>
  <c r="BZ732" i="4"/>
  <c r="CA733" i="4"/>
  <c r="BZ733" i="4"/>
  <c r="CA937" i="4"/>
  <c r="BZ937" i="4"/>
  <c r="CA743" i="4"/>
  <c r="BZ743" i="4"/>
  <c r="CA935" i="4"/>
  <c r="BZ935" i="4"/>
  <c r="CA1241" i="4"/>
  <c r="BZ1074" i="4"/>
  <c r="CA1077" i="4"/>
  <c r="CD1074" i="4"/>
  <c r="CA1083" i="4"/>
  <c r="CA724" i="4"/>
  <c r="BZ724" i="4"/>
  <c r="CA709" i="4"/>
  <c r="CA708" i="4"/>
  <c r="BZ708" i="4"/>
  <c r="CA702" i="4"/>
  <c r="BZ702" i="4"/>
  <c r="BZ704" i="4"/>
  <c r="CA704" i="4"/>
  <c r="CA1826" i="4"/>
  <c r="CA716" i="4"/>
  <c r="BZ716" i="4"/>
  <c r="CA717" i="4"/>
  <c r="BZ717" i="4"/>
  <c r="CA719" i="4"/>
  <c r="BZ719" i="4"/>
  <c r="CA710" i="4"/>
  <c r="BZ710" i="4"/>
  <c r="CA721" i="4"/>
  <c r="BZ721" i="4"/>
  <c r="CA718" i="4"/>
  <c r="BZ718" i="4"/>
  <c r="BZ713" i="4"/>
  <c r="CA714" i="4"/>
  <c r="CA713" i="4"/>
  <c r="CA715" i="4"/>
  <c r="BZ715" i="4"/>
  <c r="CA546" i="4"/>
  <c r="BZ546" i="4"/>
  <c r="CA712" i="4"/>
  <c r="BZ712" i="4"/>
  <c r="CA722" i="4"/>
  <c r="BZ722" i="4"/>
  <c r="CA1040" i="4"/>
  <c r="CA976" i="4"/>
  <c r="BZ976" i="4"/>
  <c r="CA993" i="4"/>
  <c r="BZ993" i="4"/>
  <c r="CA986" i="4"/>
  <c r="BZ986" i="4"/>
  <c r="CA522" i="4"/>
  <c r="BZ522" i="4"/>
  <c r="CA531" i="4"/>
  <c r="BZ531" i="4"/>
  <c r="CA1004" i="4"/>
  <c r="BZ1004" i="4"/>
  <c r="CA518" i="4"/>
  <c r="BZ518" i="4"/>
  <c r="CA540" i="4"/>
  <c r="BZ540" i="4"/>
  <c r="CA970" i="4"/>
  <c r="BZ970" i="4"/>
  <c r="CA521" i="4"/>
  <c r="BZ521" i="4"/>
  <c r="CA969" i="4"/>
  <c r="BZ969" i="4"/>
  <c r="CA992" i="4"/>
  <c r="BZ992" i="4"/>
  <c r="CA520" i="4"/>
  <c r="BZ520" i="4"/>
  <c r="CA527" i="4"/>
  <c r="BZ527" i="4"/>
  <c r="CA543" i="4"/>
  <c r="BZ543" i="4"/>
  <c r="CA538" i="4"/>
  <c r="BZ538" i="4"/>
  <c r="BZ1020" i="4"/>
  <c r="CA1020" i="4"/>
  <c r="CA963" i="4"/>
  <c r="BZ963" i="4"/>
  <c r="CA1018" i="4"/>
  <c r="BZ1018" i="4"/>
  <c r="CA506" i="4"/>
  <c r="BZ506" i="4"/>
  <c r="CA979" i="4"/>
  <c r="BZ979" i="4"/>
  <c r="CA1056" i="4"/>
  <c r="BZ1056" i="4"/>
  <c r="CA503" i="4"/>
  <c r="BZ503" i="4"/>
  <c r="CA994" i="4"/>
  <c r="BZ994" i="4"/>
  <c r="CA1014" i="4"/>
  <c r="BZ1014" i="4"/>
  <c r="BZ515" i="4"/>
  <c r="CA515" i="4"/>
  <c r="CA990" i="4"/>
  <c r="BZ990" i="4"/>
  <c r="BZ516" i="4"/>
  <c r="CA516" i="4"/>
  <c r="CA984" i="4"/>
  <c r="BZ984" i="4"/>
  <c r="CA502" i="4"/>
  <c r="BZ502" i="4"/>
  <c r="CA505" i="4"/>
  <c r="BZ505" i="4"/>
  <c r="CA541" i="4"/>
  <c r="BZ541" i="4"/>
  <c r="CA528" i="4"/>
  <c r="BZ528" i="4"/>
  <c r="BZ1005" i="4"/>
  <c r="CA1005" i="4"/>
  <c r="CA1007" i="4"/>
  <c r="BZ1007" i="4"/>
  <c r="CA985" i="4"/>
  <c r="BZ985" i="4"/>
  <c r="CA508" i="4"/>
  <c r="BZ508" i="4"/>
  <c r="CA1011" i="4"/>
  <c r="BZ1011" i="4"/>
  <c r="CA514" i="4"/>
  <c r="BZ514" i="4"/>
  <c r="CA526" i="4"/>
  <c r="BZ526" i="4"/>
  <c r="CA971" i="4"/>
  <c r="BZ971" i="4"/>
  <c r="CA995" i="4"/>
  <c r="BZ995" i="4"/>
  <c r="CA532" i="4"/>
  <c r="BZ532" i="4"/>
  <c r="CA542" i="4"/>
  <c r="BZ542" i="4"/>
  <c r="CA983" i="4"/>
  <c r="BZ983" i="4"/>
  <c r="CA988" i="4"/>
  <c r="BZ988" i="4"/>
  <c r="CA975" i="4"/>
  <c r="BZ975" i="4"/>
  <c r="CA504" i="4"/>
  <c r="BZ504" i="4"/>
  <c r="CA989" i="4"/>
  <c r="BZ989" i="4"/>
  <c r="CA967" i="4"/>
  <c r="BZ967" i="4"/>
  <c r="CA1112" i="4"/>
  <c r="CA539" i="4"/>
  <c r="BZ539" i="4"/>
  <c r="CA987" i="4"/>
  <c r="BZ987" i="4"/>
  <c r="CA525" i="4"/>
  <c r="BZ525" i="4"/>
  <c r="CA1052" i="4"/>
  <c r="CA1008" i="4"/>
  <c r="BZ1008" i="4"/>
  <c r="CA1010" i="4"/>
  <c r="CA1107" i="4"/>
  <c r="CA973" i="4"/>
  <c r="BZ973" i="4"/>
  <c r="CA978" i="4"/>
  <c r="CA1013" i="4"/>
  <c r="BZ978" i="4"/>
  <c r="CA529" i="4"/>
  <c r="BZ529" i="4"/>
  <c r="CA494" i="4"/>
  <c r="BZ494" i="4"/>
  <c r="BZ972" i="4"/>
  <c r="CA972" i="4"/>
  <c r="CA1109" i="4"/>
  <c r="CA1111" i="4"/>
  <c r="CA964" i="4"/>
  <c r="BZ964" i="4"/>
  <c r="CA517" i="4"/>
  <c r="BZ517" i="4"/>
  <c r="CA1006" i="4"/>
  <c r="BZ1006" i="4"/>
  <c r="BZ510" i="4"/>
  <c r="CA510" i="4"/>
  <c r="CA545" i="4"/>
  <c r="BZ545" i="4"/>
  <c r="CA981" i="4"/>
  <c r="BZ981" i="4"/>
  <c r="CA495" i="4"/>
  <c r="BZ495" i="4"/>
  <c r="CA523" i="4"/>
  <c r="BZ523" i="4"/>
  <c r="CA513" i="4"/>
  <c r="BZ513" i="4"/>
  <c r="BZ991" i="4"/>
  <c r="CA991" i="4"/>
  <c r="CA1009" i="4"/>
  <c r="BZ1009" i="4"/>
  <c r="CA519" i="4"/>
  <c r="BZ519" i="4"/>
  <c r="CA509" i="4"/>
  <c r="BZ509" i="4"/>
  <c r="BZ977" i="4"/>
  <c r="CA977" i="4"/>
  <c r="CA1012" i="4"/>
  <c r="CA536" i="4"/>
  <c r="BZ536" i="4"/>
  <c r="CA1003" i="4"/>
  <c r="BZ1003" i="4"/>
  <c r="CA968" i="4"/>
  <c r="BZ968" i="4"/>
  <c r="CA980" i="4"/>
  <c r="BZ980" i="4"/>
  <c r="CA965" i="4"/>
  <c r="BZ965" i="4"/>
  <c r="CA906" i="4"/>
  <c r="CA1032" i="4"/>
  <c r="BZ1044" i="4"/>
  <c r="CA1044" i="4"/>
  <c r="BZ1027" i="4"/>
  <c r="CA1027" i="4"/>
  <c r="CA1047" i="4"/>
  <c r="BZ1047" i="4"/>
  <c r="BZ1050" i="4"/>
  <c r="CA1050" i="4"/>
  <c r="CA1038" i="4"/>
  <c r="BZ1038" i="4"/>
  <c r="BZ1024" i="4"/>
  <c r="CA1024" i="4"/>
  <c r="BZ1026" i="4"/>
  <c r="CA1026" i="4"/>
  <c r="BZ1028" i="4"/>
  <c r="CA1028" i="4"/>
  <c r="BZ1049" i="4"/>
  <c r="CA1049" i="4"/>
  <c r="BZ1030" i="4"/>
  <c r="CA1030" i="4"/>
  <c r="BZ1046" i="4"/>
  <c r="CA1046" i="4"/>
  <c r="BZ1034" i="4"/>
  <c r="CA1034" i="4"/>
  <c r="BZ1035" i="4"/>
  <c r="CA1035" i="4"/>
  <c r="CA1031" i="4"/>
  <c r="BZ1031" i="4"/>
  <c r="BZ1043" i="4"/>
  <c r="CA1043" i="4"/>
  <c r="BZ1037" i="4"/>
  <c r="CA1037" i="4"/>
  <c r="CA1042" i="4"/>
  <c r="BZ1042" i="4"/>
  <c r="BZ1054" i="4"/>
  <c r="CA1054" i="4"/>
  <c r="BZ1036" i="4"/>
  <c r="CA1036" i="4"/>
  <c r="CA1039" i="4"/>
  <c r="BZ1039" i="4"/>
  <c r="BZ1045" i="4"/>
  <c r="CA1045" i="4"/>
  <c r="BZ1023" i="4"/>
  <c r="CA1023" i="4"/>
  <c r="BZ1033" i="4"/>
  <c r="CA1033" i="4"/>
  <c r="BZ1025" i="4"/>
  <c r="CA1025" i="4"/>
  <c r="BZ422" i="4"/>
  <c r="CA1055" i="4"/>
  <c r="BZ1048" i="4"/>
  <c r="CA1048" i="4"/>
  <c r="BZ1041" i="4"/>
  <c r="CA1041" i="4"/>
  <c r="BZ1029" i="4"/>
  <c r="CA1029" i="4"/>
  <c r="CA2261" i="4"/>
  <c r="CA1229" i="4"/>
  <c r="CA1090" i="4"/>
  <c r="CA878" i="4"/>
  <c r="BZ1160" i="4"/>
  <c r="CA2253" i="4"/>
  <c r="BZ1159" i="4"/>
  <c r="CA2251" i="4"/>
  <c r="BZ2004" i="4"/>
  <c r="CA2245" i="4"/>
  <c r="BZ1960" i="4"/>
  <c r="CA2255" i="4"/>
  <c r="BZ1863" i="4"/>
  <c r="CA2240" i="4"/>
  <c r="BZ1154" i="4"/>
  <c r="CA2246" i="4"/>
  <c r="BZ1158" i="4"/>
  <c r="CA2250" i="4"/>
  <c r="CA2103" i="4"/>
  <c r="CA2252" i="4"/>
  <c r="BZ1153" i="4"/>
  <c r="BZ1727" i="4"/>
  <c r="CA1789" i="4"/>
  <c r="CA2217" i="4"/>
  <c r="BZ1717" i="4"/>
  <c r="CA2215" i="4"/>
  <c r="CA1718" i="4"/>
  <c r="CA2207" i="4"/>
  <c r="BZ1092" i="4"/>
  <c r="CA1095" i="4"/>
  <c r="CA896" i="4"/>
  <c r="CA1234" i="4"/>
  <c r="CA1924" i="4"/>
  <c r="CA927" i="4"/>
  <c r="CA1085" i="4"/>
  <c r="BZ1097" i="4"/>
  <c r="CA2188" i="4"/>
  <c r="CA1075" i="4"/>
  <c r="CA2189" i="4"/>
  <c r="CA1021" i="4"/>
  <c r="BZ1080" i="4"/>
  <c r="CA1093" i="4"/>
  <c r="BZ347" i="4"/>
  <c r="BZ1437" i="4"/>
  <c r="CA1644" i="4"/>
  <c r="CE1644" i="4" s="1"/>
  <c r="CA1091" i="4"/>
  <c r="CA646" i="4"/>
  <c r="BZ1082" i="4"/>
  <c r="CA1463" i="4"/>
  <c r="CA1088" i="4"/>
  <c r="CA1096" i="4"/>
  <c r="CA1465" i="4"/>
  <c r="CA664" i="4"/>
  <c r="CA1294" i="4"/>
  <c r="CA1072" i="4"/>
  <c r="CA1076" i="4"/>
  <c r="CA1087" i="4"/>
  <c r="CA1298" i="4"/>
  <c r="BZ1099" i="4"/>
  <c r="CA1464" i="4"/>
  <c r="CA1079" i="4"/>
  <c r="CA928" i="4"/>
  <c r="CA1535" i="4"/>
  <c r="CA901" i="4"/>
  <c r="CA647" i="4"/>
  <c r="CA1086" i="4"/>
  <c r="CA922" i="4"/>
  <c r="BZ1078" i="4"/>
  <c r="BZ1075" i="4"/>
  <c r="CA1297" i="4"/>
  <c r="BZ1081" i="4"/>
  <c r="CA1623" i="4"/>
  <c r="CA1094" i="4"/>
  <c r="CA1902" i="4"/>
  <c r="CA1237" i="4"/>
  <c r="CA1408" i="4"/>
  <c r="BZ1084" i="4"/>
  <c r="CA447" i="4"/>
  <c r="CA648" i="4"/>
  <c r="CA590" i="4"/>
  <c r="BZ590" i="4"/>
  <c r="CA796" i="4"/>
  <c r="BZ796" i="4"/>
  <c r="CA679" i="4"/>
  <c r="BZ679" i="4"/>
  <c r="CA1152" i="4"/>
  <c r="BZ1152" i="4"/>
  <c r="BZ665" i="4"/>
  <c r="CA665" i="4"/>
  <c r="CA807" i="4"/>
  <c r="BZ807" i="4"/>
  <c r="BZ669" i="4"/>
  <c r="CA669" i="4"/>
  <c r="CA839" i="4"/>
  <c r="BZ839" i="4"/>
  <c r="BZ658" i="4"/>
  <c r="CA658" i="4"/>
  <c r="BZ1138" i="4"/>
  <c r="CA1138" i="4"/>
  <c r="CA634" i="4"/>
  <c r="BZ634" i="4"/>
  <c r="BZ1128" i="4"/>
  <c r="CA1128" i="4"/>
  <c r="CA1058" i="4"/>
  <c r="CA825" i="4"/>
  <c r="BZ825" i="4"/>
  <c r="CA645" i="4"/>
  <c r="BZ645" i="4"/>
  <c r="CA1143" i="4"/>
  <c r="BZ1143" i="4"/>
  <c r="BZ615" i="4"/>
  <c r="CA615" i="4"/>
  <c r="CA809" i="4"/>
  <c r="BZ809" i="4"/>
  <c r="BZ1120" i="4"/>
  <c r="CA1120" i="4"/>
  <c r="CA857" i="4"/>
  <c r="BZ857" i="4"/>
  <c r="CA562" i="4"/>
  <c r="BZ562" i="4"/>
  <c r="CA753" i="4"/>
  <c r="BZ753" i="4"/>
  <c r="CA653" i="4"/>
  <c r="BZ653" i="4"/>
  <c r="CA824" i="4"/>
  <c r="BZ824" i="4"/>
  <c r="CA763" i="4"/>
  <c r="BZ763" i="4"/>
  <c r="CA810" i="4"/>
  <c r="BZ810" i="4"/>
  <c r="BZ1197" i="4"/>
  <c r="CA1197" i="4"/>
  <c r="CA870" i="4"/>
  <c r="BZ870" i="4"/>
  <c r="BZ685" i="4"/>
  <c r="CA685" i="4"/>
  <c r="CA874" i="4"/>
  <c r="BZ874" i="4"/>
  <c r="CA841" i="4"/>
  <c r="BZ841" i="4"/>
  <c r="BZ909" i="4"/>
  <c r="CA909" i="4"/>
  <c r="CA1070" i="4"/>
  <c r="BZ767" i="4"/>
  <c r="CA767" i="4"/>
  <c r="BZ642" i="4"/>
  <c r="CA642" i="4"/>
  <c r="CA799" i="4"/>
  <c r="BZ799" i="4"/>
  <c r="BZ1208" i="4"/>
  <c r="CA1208" i="4"/>
  <c r="CA1179" i="4"/>
  <c r="BZ1179" i="4"/>
  <c r="CA920" i="4"/>
  <c r="BZ920" i="4"/>
  <c r="CA1207" i="4"/>
  <c r="BZ1207" i="4"/>
  <c r="CA902" i="4"/>
  <c r="BZ902" i="4"/>
  <c r="CA636" i="4"/>
  <c r="BZ636" i="4"/>
  <c r="BZ638" i="4"/>
  <c r="CA638" i="4"/>
  <c r="CA609" i="4"/>
  <c r="BZ609" i="4"/>
  <c r="BZ794" i="4"/>
  <c r="CA794" i="4"/>
  <c r="BZ570" i="4"/>
  <c r="CA570" i="4"/>
  <c r="CA868" i="4"/>
  <c r="BZ868" i="4"/>
  <c r="CA797" i="4"/>
  <c r="BZ797" i="4"/>
  <c r="CA563" i="4"/>
  <c r="BZ563" i="4"/>
  <c r="CA752" i="4"/>
  <c r="BZ752" i="4"/>
  <c r="CA817" i="4"/>
  <c r="BZ817" i="4"/>
  <c r="CA890" i="4"/>
  <c r="BZ890" i="4"/>
  <c r="CA887" i="4"/>
  <c r="BZ887" i="4"/>
  <c r="CA831" i="4"/>
  <c r="BZ831" i="4"/>
  <c r="CA820" i="4"/>
  <c r="BZ820" i="4"/>
  <c r="CA2179" i="4"/>
  <c r="BZ759" i="4"/>
  <c r="CA759" i="4"/>
  <c r="CA643" i="4"/>
  <c r="BZ643" i="4"/>
  <c r="BZ553" i="4"/>
  <c r="CA553" i="4"/>
  <c r="CA1180" i="4"/>
  <c r="BZ1180" i="4"/>
  <c r="BZ655" i="4"/>
  <c r="CA655" i="4"/>
  <c r="CA925" i="4"/>
  <c r="BZ925" i="4"/>
  <c r="CA847" i="4"/>
  <c r="BZ847" i="4"/>
  <c r="BZ768" i="4"/>
  <c r="CA768" i="4"/>
  <c r="BZ673" i="4"/>
  <c r="CA673" i="4"/>
  <c r="CA918" i="4"/>
  <c r="BZ918" i="4"/>
  <c r="CA568" i="4"/>
  <c r="BZ568" i="4"/>
  <c r="CA827" i="4"/>
  <c r="BZ827" i="4"/>
  <c r="BZ1136" i="4"/>
  <c r="CA1136" i="4"/>
  <c r="CA755" i="4"/>
  <c r="BZ755" i="4"/>
  <c r="CA772" i="4"/>
  <c r="BZ772" i="4"/>
  <c r="CA561" i="4"/>
  <c r="BZ561" i="4"/>
  <c r="CA672" i="4"/>
  <c r="BZ672" i="4"/>
  <c r="CA888" i="4"/>
  <c r="BZ888" i="4"/>
  <c r="CA903" i="4"/>
  <c r="BZ903" i="4"/>
  <c r="CA923" i="4"/>
  <c r="BZ923" i="4"/>
  <c r="CA652" i="4"/>
  <c r="BZ652" i="4"/>
  <c r="BZ779" i="4"/>
  <c r="CA779" i="4"/>
  <c r="BZ583" i="4"/>
  <c r="CA583" i="4"/>
  <c r="BZ1145" i="4"/>
  <c r="CA1145" i="4"/>
  <c r="CA706" i="4"/>
  <c r="CA592" i="4"/>
  <c r="BZ592" i="4"/>
  <c r="CA795" i="4"/>
  <c r="BZ795" i="4"/>
  <c r="CA1167" i="4"/>
  <c r="BZ1167" i="4"/>
  <c r="CA798" i="4"/>
  <c r="BZ798" i="4"/>
  <c r="CA855" i="4"/>
  <c r="BZ855" i="4"/>
  <c r="CA872" i="4"/>
  <c r="BZ872" i="4"/>
  <c r="CA1191" i="4"/>
  <c r="BZ1191" i="4"/>
  <c r="CA911" i="4"/>
  <c r="BZ911" i="4"/>
  <c r="CA551" i="4"/>
  <c r="BZ551" i="4"/>
  <c r="BZ1194" i="4"/>
  <c r="CA1194" i="4"/>
  <c r="CA885" i="4"/>
  <c r="BZ885" i="4"/>
  <c r="CA859" i="4"/>
  <c r="BZ859" i="4"/>
  <c r="CA757" i="4"/>
  <c r="BZ757" i="4"/>
  <c r="CA781" i="4"/>
  <c r="BZ781" i="4"/>
  <c r="CA840" i="4"/>
  <c r="BZ840" i="4"/>
  <c r="CA791" i="4"/>
  <c r="BZ791" i="4"/>
  <c r="BZ654" i="4"/>
  <c r="CA654" i="4"/>
  <c r="BZ1135" i="4"/>
  <c r="CA1135" i="4"/>
  <c r="CA1149" i="4"/>
  <c r="CA622" i="4"/>
  <c r="BZ622" i="4"/>
  <c r="BZ580" i="4"/>
  <c r="CA580" i="4"/>
  <c r="CA578" i="4"/>
  <c r="BZ578" i="4"/>
  <c r="BZ574" i="4"/>
  <c r="CA574" i="4"/>
  <c r="CA776" i="4"/>
  <c r="BZ776" i="4"/>
  <c r="CA843" i="4"/>
  <c r="BZ843" i="4"/>
  <c r="CA832" i="4"/>
  <c r="BZ832" i="4"/>
  <c r="CA1141" i="4"/>
  <c r="BZ1141" i="4"/>
  <c r="CA582" i="4"/>
  <c r="BZ582" i="4"/>
  <c r="CA576" i="4"/>
  <c r="BZ576" i="4"/>
  <c r="CA769" i="4"/>
  <c r="BZ769" i="4"/>
  <c r="CA623" i="4"/>
  <c r="BZ623" i="4"/>
  <c r="CA789" i="4"/>
  <c r="BZ789" i="4"/>
  <c r="BZ588" i="4"/>
  <c r="CA588" i="4"/>
  <c r="CA787" i="4"/>
  <c r="BZ787" i="4"/>
  <c r="CA814" i="4"/>
  <c r="BZ814" i="4"/>
  <c r="CA626" i="4"/>
  <c r="BZ626" i="4"/>
  <c r="BZ633" i="4"/>
  <c r="CA633" i="4"/>
  <c r="CA821" i="4"/>
  <c r="BZ821" i="4"/>
  <c r="CA894" i="4"/>
  <c r="BZ894" i="4"/>
  <c r="CA834" i="4"/>
  <c r="BZ834" i="4"/>
  <c r="BZ585" i="4"/>
  <c r="CA585" i="4"/>
  <c r="BZ565" i="4"/>
  <c r="CA565" i="4"/>
  <c r="CA604" i="4"/>
  <c r="BZ604" i="4"/>
  <c r="CA754" i="4"/>
  <c r="BZ754" i="4"/>
  <c r="CA628" i="4"/>
  <c r="BZ628" i="4"/>
  <c r="CA846" i="4"/>
  <c r="BZ846" i="4"/>
  <c r="CA842" i="4"/>
  <c r="BZ842" i="4"/>
  <c r="CA819" i="4"/>
  <c r="BZ819" i="4"/>
  <c r="CA884" i="4"/>
  <c r="BZ884" i="4"/>
  <c r="CA860" i="4"/>
  <c r="BZ860" i="4"/>
  <c r="BZ1188" i="4"/>
  <c r="CA1188" i="4"/>
  <c r="CA2129" i="4"/>
  <c r="CA1142" i="4"/>
  <c r="BZ1142" i="4"/>
  <c r="BZ618" i="4"/>
  <c r="CA618" i="4"/>
  <c r="CA624" i="4"/>
  <c r="BZ624" i="4"/>
  <c r="CA1157" i="4"/>
  <c r="BZ1157" i="4"/>
  <c r="BZ593" i="4"/>
  <c r="CA593" i="4"/>
  <c r="CA746" i="4"/>
  <c r="BZ746" i="4"/>
  <c r="CA837" i="4"/>
  <c r="BZ837" i="4"/>
  <c r="BZ683" i="4"/>
  <c r="CA684" i="4"/>
  <c r="CA683" i="4"/>
  <c r="CA621" i="4"/>
  <c r="BZ621" i="4"/>
  <c r="CA875" i="4"/>
  <c r="BZ875" i="4"/>
  <c r="CA619" i="4"/>
  <c r="BZ619" i="4"/>
  <c r="CA747" i="4"/>
  <c r="BZ747" i="4"/>
  <c r="CA815" i="4"/>
  <c r="BZ815" i="4"/>
  <c r="CA610" i="4"/>
  <c r="BZ610" i="4"/>
  <c r="CA656" i="4"/>
  <c r="BZ656" i="4"/>
  <c r="BZ1192" i="4"/>
  <c r="CA1192" i="4"/>
  <c r="CA738" i="4"/>
  <c r="CA1150" i="4"/>
  <c r="BZ1150" i="4"/>
  <c r="CA1166" i="4"/>
  <c r="BZ1166" i="4"/>
  <c r="CA790" i="4"/>
  <c r="BZ790" i="4"/>
  <c r="CA891" i="4"/>
  <c r="BZ891" i="4"/>
  <c r="CA650" i="4"/>
  <c r="BZ650" i="4"/>
  <c r="CA749" i="4"/>
  <c r="BZ749" i="4"/>
  <c r="CA552" i="4"/>
  <c r="BZ552" i="4"/>
  <c r="CA1187" i="4"/>
  <c r="BZ1187" i="4"/>
  <c r="CA587" i="4"/>
  <c r="BZ587" i="4"/>
  <c r="CA1133" i="4"/>
  <c r="BZ1133" i="4"/>
  <c r="CA1199" i="4"/>
  <c r="BZ1199" i="4"/>
  <c r="CA674" i="4"/>
  <c r="BZ674" i="4"/>
  <c r="CA1163" i="4"/>
  <c r="BZ1163" i="4"/>
  <c r="CA1162" i="4"/>
  <c r="BZ1162" i="4"/>
  <c r="CA921" i="4"/>
  <c r="BZ921" i="4"/>
  <c r="CA594" i="4"/>
  <c r="BZ594" i="4"/>
  <c r="CA591" i="4"/>
  <c r="BZ591" i="4"/>
  <c r="CA848" i="4"/>
  <c r="BZ848" i="4"/>
  <c r="CA873" i="4"/>
  <c r="BZ873" i="4"/>
  <c r="BZ1183" i="4"/>
  <c r="CA953" i="4"/>
  <c r="CA1183" i="4"/>
  <c r="BZ766" i="4"/>
  <c r="CA766" i="4"/>
  <c r="CA577" i="4"/>
  <c r="BZ577" i="4"/>
  <c r="CA682" i="4"/>
  <c r="BZ682" i="4"/>
  <c r="CA1172" i="4"/>
  <c r="BZ1172" i="4"/>
  <c r="CA801" i="4"/>
  <c r="BZ801" i="4"/>
  <c r="CA856" i="4"/>
  <c r="BZ856" i="4"/>
  <c r="CA572" i="4"/>
  <c r="BZ572" i="4"/>
  <c r="CA1170" i="4"/>
  <c r="BZ1170" i="4"/>
  <c r="CA1202" i="4"/>
  <c r="BZ1202" i="4"/>
  <c r="CA1137" i="4"/>
  <c r="BZ1137" i="4"/>
  <c r="CA905" i="4"/>
  <c r="BZ905" i="4"/>
  <c r="BZ1204" i="4"/>
  <c r="CA1016" i="4"/>
  <c r="CA1204" i="4"/>
  <c r="CA1169" i="4"/>
  <c r="BZ1169" i="4"/>
  <c r="BZ808" i="4"/>
  <c r="CA808" i="4"/>
  <c r="CA641" i="4"/>
  <c r="BZ641" i="4"/>
  <c r="CA897" i="4"/>
  <c r="BZ897" i="4"/>
  <c r="CA625" i="4"/>
  <c r="BZ625" i="4"/>
  <c r="CA893" i="4"/>
  <c r="BZ893" i="4"/>
  <c r="CA813" i="4"/>
  <c r="BZ813" i="4"/>
  <c r="CA816" i="4"/>
  <c r="BZ816" i="4"/>
  <c r="CA904" i="4"/>
  <c r="BZ904" i="4"/>
  <c r="CA792" i="4"/>
  <c r="BZ792" i="4"/>
  <c r="CA892" i="4"/>
  <c r="BZ892" i="4"/>
  <c r="CA1190" i="4"/>
  <c r="BZ1190" i="4"/>
  <c r="CA826" i="4"/>
  <c r="BZ826" i="4"/>
  <c r="BZ1203" i="4"/>
  <c r="CA1203" i="4"/>
  <c r="CA783" i="4"/>
  <c r="BZ783" i="4"/>
  <c r="CA598" i="4"/>
  <c r="BZ598" i="4"/>
  <c r="CA677" i="4"/>
  <c r="BZ677" i="4"/>
  <c r="CA910" i="4"/>
  <c r="BZ910" i="4"/>
  <c r="CA867" i="4"/>
  <c r="BZ867" i="4"/>
  <c r="BZ586" i="4"/>
  <c r="CA586" i="4"/>
  <c r="CA802" i="4"/>
  <c r="BZ802" i="4"/>
  <c r="CA707" i="4"/>
  <c r="BZ1146" i="4"/>
  <c r="CA1146" i="4"/>
  <c r="CA657" i="4"/>
  <c r="BZ657" i="4"/>
  <c r="CA926" i="4"/>
  <c r="BZ926" i="4"/>
  <c r="CA632" i="4"/>
  <c r="BZ632" i="4"/>
  <c r="CA660" i="4"/>
  <c r="BZ660" i="4"/>
  <c r="CA828" i="4"/>
  <c r="BZ828" i="4"/>
  <c r="CA931" i="4"/>
  <c r="BZ930" i="4"/>
  <c r="CA930" i="4"/>
  <c r="CA1173" i="4"/>
  <c r="BZ1173" i="4"/>
  <c r="CA773" i="4"/>
  <c r="BZ773" i="4"/>
  <c r="CA829" i="4"/>
  <c r="BZ829" i="4"/>
  <c r="CA778" i="4"/>
  <c r="BZ778" i="4"/>
  <c r="CA806" i="4"/>
  <c r="BZ806" i="4"/>
  <c r="CA1168" i="4"/>
  <c r="BZ1168" i="4"/>
  <c r="BZ1161" i="4"/>
  <c r="CA1161" i="4"/>
  <c r="BZ569" i="4"/>
  <c r="CA569" i="4"/>
  <c r="CA1185" i="4"/>
  <c r="BZ1185" i="4"/>
  <c r="CA914" i="4"/>
  <c r="BZ914" i="4"/>
  <c r="CA644" i="4"/>
  <c r="BZ644" i="4"/>
  <c r="CA866" i="4"/>
  <c r="BZ866" i="4"/>
  <c r="BZ1171" i="4"/>
  <c r="CA1171" i="4"/>
  <c r="CA1178" i="4"/>
  <c r="BZ1178" i="4"/>
  <c r="CA761" i="4"/>
  <c r="BZ761" i="4"/>
  <c r="CA771" i="4"/>
  <c r="BZ771" i="4"/>
  <c r="CA564" i="4"/>
  <c r="BZ564" i="4"/>
  <c r="BZ556" i="4"/>
  <c r="CA556" i="4"/>
  <c r="CA760" i="4"/>
  <c r="BZ760" i="4"/>
  <c r="BZ671" i="4"/>
  <c r="CA671" i="4"/>
  <c r="CA1184" i="4"/>
  <c r="BZ1184" i="4"/>
  <c r="CA1186" i="4"/>
  <c r="BZ1186" i="4"/>
  <c r="BZ627" i="4"/>
  <c r="CA627" i="4"/>
  <c r="CA862" i="4"/>
  <c r="BZ862" i="4"/>
  <c r="BZ666" i="4"/>
  <c r="CA666" i="4"/>
  <c r="CA861" i="4"/>
  <c r="BZ861" i="4"/>
  <c r="BZ651" i="4"/>
  <c r="CA651" i="4"/>
  <c r="CA838" i="4"/>
  <c r="BZ838" i="4"/>
  <c r="BZ670" i="4"/>
  <c r="CA670" i="4"/>
  <c r="CA639" i="4"/>
  <c r="BZ639" i="4"/>
  <c r="CA750" i="4"/>
  <c r="BZ750" i="4"/>
  <c r="CA917" i="4"/>
  <c r="BZ917" i="4"/>
  <c r="BZ631" i="4"/>
  <c r="CA631" i="4"/>
  <c r="CA659" i="4"/>
  <c r="BZ659" i="4"/>
  <c r="CA751" i="4"/>
  <c r="BZ751" i="4"/>
  <c r="CA668" i="4"/>
  <c r="BZ668" i="4"/>
  <c r="CA804" i="4"/>
  <c r="BZ804" i="4"/>
  <c r="CA614" i="4"/>
  <c r="BZ614" i="4"/>
  <c r="CA908" i="4"/>
  <c r="BZ908" i="4"/>
  <c r="BZ611" i="4"/>
  <c r="CA611" i="4"/>
  <c r="CA854" i="4"/>
  <c r="BZ854" i="4"/>
  <c r="CA869" i="4"/>
  <c r="BZ869" i="4"/>
  <c r="BZ629" i="4"/>
  <c r="CA629" i="4"/>
  <c r="CA863" i="4"/>
  <c r="BZ863" i="4"/>
  <c r="CA849" i="4"/>
  <c r="BZ849" i="4"/>
  <c r="CA830" i="4"/>
  <c r="BZ830" i="4"/>
  <c r="CA1164" i="4"/>
  <c r="BZ1164" i="4"/>
  <c r="CA770" i="4"/>
  <c r="BZ770" i="4"/>
  <c r="BZ635" i="4"/>
  <c r="CA635" i="4"/>
  <c r="CA1147" i="4"/>
  <c r="BZ1147" i="4"/>
  <c r="CA786" i="4"/>
  <c r="BZ786" i="4"/>
  <c r="CA777" i="4"/>
  <c r="BZ777" i="4"/>
  <c r="CA780" i="4"/>
  <c r="BZ780" i="4"/>
  <c r="CA852" i="4"/>
  <c r="BZ852" i="4"/>
  <c r="CA793" i="4"/>
  <c r="BZ793" i="4"/>
  <c r="BZ612" i="4"/>
  <c r="CA612" i="4"/>
  <c r="BZ595" i="4"/>
  <c r="CA595" i="4"/>
  <c r="CA919" i="4"/>
  <c r="BZ919" i="4"/>
  <c r="CA1139" i="4"/>
  <c r="BZ1139" i="4"/>
  <c r="BZ675" i="4"/>
  <c r="CA675" i="4"/>
  <c r="CA640" i="4"/>
  <c r="BZ640" i="4"/>
  <c r="CA833" i="4"/>
  <c r="BZ833" i="4"/>
  <c r="CA823" i="4"/>
  <c r="BZ823" i="4"/>
  <c r="BZ613" i="4"/>
  <c r="CA613" i="4"/>
  <c r="BZ686" i="4"/>
  <c r="BZ573" i="4"/>
  <c r="CA573" i="4"/>
  <c r="CA915" i="4"/>
  <c r="BZ915" i="4"/>
  <c r="CA1177" i="4"/>
  <c r="BZ1177" i="4"/>
  <c r="BZ1206" i="4"/>
  <c r="CA1206" i="4"/>
  <c r="CA850" i="4"/>
  <c r="BZ850" i="4"/>
  <c r="BZ1198" i="4"/>
  <c r="CA974" i="4"/>
  <c r="CA1198" i="4"/>
  <c r="CA864" i="4"/>
  <c r="BZ864" i="4"/>
  <c r="CA555" i="4"/>
  <c r="BZ555" i="4"/>
  <c r="BZ616" i="4"/>
  <c r="CA616" i="4"/>
  <c r="CA785" i="4"/>
  <c r="BZ785" i="4"/>
  <c r="CA916" i="4"/>
  <c r="BZ916" i="4"/>
  <c r="CA851" i="4"/>
  <c r="BZ851" i="4"/>
  <c r="CA812" i="4"/>
  <c r="BZ812" i="4"/>
  <c r="CA835" i="4"/>
  <c r="BZ835" i="4"/>
  <c r="BZ662" i="4"/>
  <c r="CA662" i="4"/>
  <c r="CA566" i="4"/>
  <c r="BZ566" i="4"/>
  <c r="CA844" i="4"/>
  <c r="BZ844" i="4"/>
  <c r="CA775" i="4"/>
  <c r="BZ775" i="4"/>
  <c r="CA554" i="4"/>
  <c r="BZ554" i="4"/>
  <c r="CA811" i="4"/>
  <c r="BZ811" i="4"/>
  <c r="CA788" i="4"/>
  <c r="BZ788" i="4"/>
  <c r="CA871" i="4"/>
  <c r="BZ871" i="4"/>
  <c r="BZ774" i="4"/>
  <c r="CA774" i="4"/>
  <c r="CA889" i="4"/>
  <c r="BZ889" i="4"/>
  <c r="BZ678" i="4"/>
  <c r="CA678" i="4"/>
  <c r="CA822" i="4"/>
  <c r="BZ822" i="4"/>
  <c r="CA782" i="4"/>
  <c r="BZ782" i="4"/>
  <c r="CA758" i="4"/>
  <c r="BZ758" i="4"/>
  <c r="CA883" i="4"/>
  <c r="BZ883" i="4"/>
  <c r="CA637" i="4"/>
  <c r="BZ637" i="4"/>
  <c r="CA756" i="4"/>
  <c r="BZ756" i="4"/>
  <c r="BZ1114" i="4"/>
  <c r="CA703" i="4"/>
  <c r="CA1114" i="4"/>
  <c r="CA687" i="4"/>
  <c r="BZ687" i="4"/>
  <c r="BZ1205" i="4"/>
  <c r="CA1205" i="4"/>
  <c r="BZ800" i="4"/>
  <c r="CA800" i="4"/>
  <c r="CA803" i="4"/>
  <c r="BZ803" i="4"/>
  <c r="CA1125" i="4"/>
  <c r="BZ1125" i="4"/>
  <c r="CA661" i="4"/>
  <c r="BZ661" i="4"/>
  <c r="CA765" i="4"/>
  <c r="BZ765" i="4"/>
  <c r="CA818" i="4"/>
  <c r="BZ818" i="4"/>
  <c r="CA550" i="4"/>
  <c r="BZ550" i="4"/>
  <c r="CA853" i="4"/>
  <c r="BZ853" i="4"/>
  <c r="CA620" i="4"/>
  <c r="BZ620" i="4"/>
  <c r="BZ1175" i="4"/>
  <c r="CA1175" i="4"/>
  <c r="CA845" i="4"/>
  <c r="BZ845" i="4"/>
  <c r="CA912" i="4"/>
  <c r="BZ912" i="4"/>
  <c r="CA748" i="4"/>
  <c r="BZ748" i="4"/>
  <c r="CA579" i="4"/>
  <c r="BZ579" i="4"/>
  <c r="BZ571" i="4"/>
  <c r="CA571" i="4"/>
  <c r="CA900" i="4"/>
  <c r="BZ900" i="4"/>
  <c r="CA1156" i="4"/>
  <c r="BZ1156" i="4"/>
  <c r="BZ575" i="4"/>
  <c r="CA575" i="4"/>
  <c r="CA584" i="4"/>
  <c r="BZ584" i="4"/>
  <c r="BZ667" i="4"/>
  <c r="CA667" i="4"/>
  <c r="CA607" i="4"/>
  <c r="BZ607" i="4"/>
  <c r="CA929" i="4"/>
  <c r="BZ929" i="4"/>
  <c r="CA581" i="4"/>
  <c r="BZ581" i="4"/>
  <c r="CA836" i="4"/>
  <c r="BZ836" i="4"/>
  <c r="CA764" i="4"/>
  <c r="BZ764" i="4"/>
  <c r="CA784" i="4"/>
  <c r="BZ784" i="4"/>
  <c r="CA865" i="4"/>
  <c r="BZ865" i="4"/>
  <c r="CA617" i="4"/>
  <c r="BZ617" i="4"/>
  <c r="BZ1196" i="4"/>
  <c r="CA1196" i="4"/>
  <c r="CA1200" i="4"/>
  <c r="BZ1200" i="4"/>
  <c r="CA630" i="4"/>
  <c r="BZ630" i="4"/>
  <c r="CA895" i="4"/>
  <c r="BZ895" i="4"/>
  <c r="CA762" i="4"/>
  <c r="BZ762" i="4"/>
  <c r="CA676" i="4"/>
  <c r="BZ676" i="4"/>
  <c r="CA886" i="4"/>
  <c r="BZ886" i="4"/>
  <c r="CA589" i="4"/>
  <c r="BZ589" i="4"/>
  <c r="CA1165" i="4"/>
  <c r="BZ1165" i="4"/>
  <c r="CA1189" i="4"/>
  <c r="BZ1189" i="4"/>
  <c r="CA805" i="4"/>
  <c r="BZ805" i="4"/>
  <c r="CA913" i="4"/>
  <c r="BZ913" i="4"/>
  <c r="CA858" i="4"/>
  <c r="BZ858" i="4"/>
  <c r="CA1201" i="4"/>
  <c r="BZ1201" i="4"/>
  <c r="CA1195" i="4"/>
  <c r="BZ1195" i="4"/>
  <c r="CA1636" i="4"/>
  <c r="CE1636" i="4" s="1"/>
  <c r="CA1532" i="4"/>
  <c r="CA1640" i="4"/>
  <c r="CE1640" i="4" s="1"/>
  <c r="BZ1089" i="4"/>
  <c r="CA375" i="4"/>
  <c r="BZ375" i="4"/>
  <c r="CA472" i="4"/>
  <c r="BZ472" i="4"/>
  <c r="CA429" i="4"/>
  <c r="BZ429" i="4"/>
  <c r="CA416" i="4"/>
  <c r="BZ416" i="4"/>
  <c r="CA411" i="4"/>
  <c r="BZ411" i="4"/>
  <c r="CA426" i="4"/>
  <c r="BZ426" i="4"/>
  <c r="CA412" i="4"/>
  <c r="BZ412" i="4"/>
  <c r="BZ440" i="4"/>
  <c r="CA938" i="4"/>
  <c r="CA440" i="4"/>
  <c r="CA487" i="4"/>
  <c r="BZ487" i="4"/>
  <c r="CA471" i="4"/>
  <c r="BZ471" i="4"/>
  <c r="CA405" i="4"/>
  <c r="BZ405" i="4"/>
  <c r="CA476" i="4"/>
  <c r="BZ476" i="4"/>
  <c r="CA396" i="4"/>
  <c r="BZ396" i="4"/>
  <c r="BZ381" i="4"/>
  <c r="CA381" i="4"/>
  <c r="CA484" i="4"/>
  <c r="BZ484" i="4"/>
  <c r="CA423" i="4"/>
  <c r="BZ423" i="4"/>
  <c r="CA410" i="4"/>
  <c r="BZ410" i="4"/>
  <c r="CA486" i="4"/>
  <c r="BZ486" i="4"/>
  <c r="CA397" i="4"/>
  <c r="BZ397" i="4"/>
  <c r="CA387" i="4"/>
  <c r="BZ387" i="4"/>
  <c r="CA473" i="4"/>
  <c r="BZ473" i="4"/>
  <c r="CA489" i="4"/>
  <c r="BZ489" i="4"/>
  <c r="CA406" i="4"/>
  <c r="BZ406" i="4"/>
  <c r="CA378" i="4"/>
  <c r="BZ378" i="4"/>
  <c r="CA394" i="4"/>
  <c r="BZ394" i="4"/>
  <c r="CA414" i="4"/>
  <c r="BZ414" i="4"/>
  <c r="CA559" i="4"/>
  <c r="BZ385" i="4"/>
  <c r="CA385" i="4"/>
  <c r="CA458" i="4"/>
  <c r="BZ458" i="4"/>
  <c r="CA379" i="4"/>
  <c r="BZ379" i="4"/>
  <c r="CA377" i="4"/>
  <c r="BZ377" i="4"/>
  <c r="CA427" i="4"/>
  <c r="BZ427" i="4"/>
  <c r="CA430" i="4"/>
  <c r="BZ430" i="4"/>
  <c r="CA475" i="4"/>
  <c r="BZ475" i="4"/>
  <c r="CA428" i="4"/>
  <c r="BZ428" i="4"/>
  <c r="CA384" i="4"/>
  <c r="BZ384" i="4"/>
  <c r="CA558" i="4"/>
  <c r="CA479" i="4"/>
  <c r="BZ479" i="4"/>
  <c r="CA478" i="4"/>
  <c r="BZ478" i="4"/>
  <c r="CA398" i="4"/>
  <c r="BZ398" i="4"/>
  <c r="CA424" i="4"/>
  <c r="BZ424" i="4"/>
  <c r="CA392" i="4"/>
  <c r="BZ392" i="4"/>
  <c r="CA474" i="4"/>
  <c r="BZ474" i="4"/>
  <c r="BZ383" i="4"/>
  <c r="CA557" i="4"/>
  <c r="CA383" i="4"/>
  <c r="BZ436" i="4"/>
  <c r="CA437" i="4"/>
  <c r="CA436" i="4"/>
  <c r="CA480" i="4"/>
  <c r="BZ480" i="4"/>
  <c r="CA370" i="4"/>
  <c r="BZ370" i="4"/>
  <c r="CA470" i="4"/>
  <c r="BZ470" i="4"/>
  <c r="CA390" i="4"/>
  <c r="BZ390" i="4"/>
  <c r="CA448" i="4"/>
  <c r="BZ448" i="4"/>
  <c r="CA434" i="4"/>
  <c r="BZ372" i="4"/>
  <c r="CA372" i="4"/>
  <c r="CA407" i="4"/>
  <c r="BZ407" i="4"/>
  <c r="BZ477" i="4"/>
  <c r="CA477" i="4"/>
  <c r="BZ371" i="4"/>
  <c r="CA371" i="4"/>
  <c r="CA388" i="4"/>
  <c r="BZ388" i="4"/>
  <c r="CA419" i="4"/>
  <c r="BZ419" i="4"/>
  <c r="CA488" i="4"/>
  <c r="BZ488" i="4"/>
  <c r="BZ469" i="4"/>
  <c r="CA469" i="4"/>
  <c r="CA400" i="4"/>
  <c r="BZ400" i="4"/>
  <c r="BZ459" i="4"/>
  <c r="CA459" i="4"/>
  <c r="CA374" i="4"/>
  <c r="BZ374" i="4"/>
  <c r="CA490" i="4"/>
  <c r="BZ490" i="4"/>
  <c r="CA432" i="4"/>
  <c r="BZ432" i="4"/>
  <c r="CA368" i="4"/>
  <c r="BZ368" i="4"/>
  <c r="CA404" i="4"/>
  <c r="BZ404" i="4"/>
  <c r="CA438" i="4"/>
  <c r="BZ438" i="4"/>
  <c r="CA417" i="4"/>
  <c r="BZ417" i="4"/>
  <c r="CA441" i="4"/>
  <c r="BZ441" i="4"/>
  <c r="CA485" i="4"/>
  <c r="BZ485" i="4"/>
  <c r="CA391" i="4"/>
  <c r="BZ391" i="4"/>
  <c r="CA415" i="4"/>
  <c r="BZ415" i="4"/>
  <c r="CA482" i="4"/>
  <c r="BZ482" i="4"/>
  <c r="CA418" i="4"/>
  <c r="BZ418" i="4"/>
  <c r="CA408" i="4"/>
  <c r="BZ408" i="4"/>
  <c r="CA395" i="4"/>
  <c r="BZ395" i="4"/>
  <c r="CA560" i="4"/>
  <c r="CA386" i="4"/>
  <c r="BZ386" i="4"/>
  <c r="CA389" i="4"/>
  <c r="BZ389" i="4"/>
  <c r="BZ376" i="4"/>
  <c r="CA376" i="4"/>
  <c r="CA380" i="4"/>
  <c r="BZ380" i="4"/>
  <c r="CA425" i="4"/>
  <c r="BZ425" i="4"/>
  <c r="BZ420" i="4"/>
  <c r="CA420" i="4"/>
  <c r="CA421" i="4"/>
  <c r="CA413" i="4"/>
  <c r="BZ413" i="4"/>
  <c r="CA464" i="4"/>
  <c r="BZ464" i="4"/>
  <c r="BZ461" i="4"/>
  <c r="CA461" i="4"/>
  <c r="CA393" i="4"/>
  <c r="BZ393" i="4"/>
  <c r="BZ435" i="4"/>
  <c r="CA435" i="4"/>
  <c r="CA382" i="4"/>
  <c r="BZ382" i="4"/>
  <c r="CA373" i="4"/>
  <c r="BZ373" i="4"/>
  <c r="CA337" i="4"/>
  <c r="CA233" i="4"/>
  <c r="BZ1279" i="4"/>
  <c r="BZ288" i="4"/>
  <c r="CA1213" i="4"/>
  <c r="CA1450" i="4"/>
  <c r="CA1442" i="4"/>
  <c r="CA292" i="4"/>
  <c r="CA288" i="4"/>
  <c r="CA956" i="4"/>
  <c r="CA958" i="4"/>
  <c r="CA293" i="4"/>
  <c r="CA331" i="4"/>
  <c r="CA1449" i="4"/>
  <c r="CA55" i="4"/>
  <c r="CA1446" i="4"/>
  <c r="CA957" i="4"/>
  <c r="CA289" i="4"/>
  <c r="CA336" i="4"/>
  <c r="CA1526" i="4"/>
  <c r="BZ55" i="4"/>
  <c r="CA433" i="4"/>
  <c r="CA14" i="4"/>
  <c r="CA1542" i="4"/>
  <c r="CA1912" i="4"/>
  <c r="CA601" i="4"/>
  <c r="CA1546" i="4"/>
  <c r="CA124" i="4"/>
  <c r="CA1910" i="4"/>
  <c r="CA235" i="4"/>
  <c r="CA1543" i="4"/>
  <c r="CA290" i="4"/>
  <c r="CA347" i="4"/>
  <c r="CA959" i="4"/>
  <c r="CA1447" i="4"/>
  <c r="CA1441" i="4"/>
  <c r="BZ253" i="4"/>
  <c r="CA253" i="4"/>
  <c r="CA284" i="4"/>
  <c r="BZ284" i="4"/>
  <c r="CA352" i="4"/>
  <c r="BZ352" i="4"/>
  <c r="CA312" i="4"/>
  <c r="BZ312" i="4"/>
  <c r="CA319" i="4"/>
  <c r="BZ319" i="4"/>
  <c r="CA262" i="4"/>
  <c r="BZ262" i="4"/>
  <c r="CA241" i="4"/>
  <c r="BZ241" i="4"/>
  <c r="CA267" i="4"/>
  <c r="BZ267" i="4"/>
  <c r="CA310" i="4"/>
  <c r="BZ310" i="4"/>
  <c r="CA234" i="4"/>
  <c r="BZ234" i="4"/>
  <c r="CA255" i="4"/>
  <c r="BZ255" i="4"/>
  <c r="CA342" i="4"/>
  <c r="BZ342" i="4"/>
  <c r="CA298" i="4"/>
  <c r="BZ298" i="4"/>
  <c r="CA354" i="4"/>
  <c r="BZ354" i="4"/>
  <c r="CA306" i="4"/>
  <c r="BZ306" i="4"/>
  <c r="BZ240" i="4"/>
  <c r="CA240" i="4"/>
  <c r="CA242" i="4"/>
  <c r="BZ242" i="4"/>
  <c r="CA252" i="4"/>
  <c r="BZ252" i="4"/>
  <c r="BZ329" i="4"/>
  <c r="CA524" i="4"/>
  <c r="CA329" i="4"/>
  <c r="CA351" i="4"/>
  <c r="BZ351" i="4"/>
  <c r="CA355" i="4"/>
  <c r="BZ355" i="4"/>
  <c r="CA323" i="4"/>
  <c r="BZ323" i="4"/>
  <c r="CA308" i="4"/>
  <c r="BZ308" i="4"/>
  <c r="BZ309" i="4"/>
  <c r="CA309" i="4"/>
  <c r="CA343" i="4"/>
  <c r="BZ343" i="4"/>
  <c r="BZ244" i="4"/>
  <c r="CA244" i="4"/>
  <c r="CA316" i="4"/>
  <c r="BZ316" i="4"/>
  <c r="CA278" i="4"/>
  <c r="BZ278" i="4"/>
  <c r="CA296" i="4"/>
  <c r="BZ296" i="4"/>
  <c r="BZ258" i="4"/>
  <c r="CA258" i="4"/>
  <c r="CA305" i="4"/>
  <c r="BZ305" i="4"/>
  <c r="CA287" i="4"/>
  <c r="BZ287" i="4"/>
  <c r="BZ322" i="4"/>
  <c r="CA2028" i="4"/>
  <c r="CA322" i="4"/>
  <c r="CA2024" i="4"/>
  <c r="CA307" i="4"/>
  <c r="BZ307" i="4"/>
  <c r="CA363" i="4"/>
  <c r="BZ363" i="4"/>
  <c r="CA268" i="4"/>
  <c r="BZ268" i="4"/>
  <c r="CA272" i="4"/>
  <c r="BZ272" i="4"/>
  <c r="CA301" i="4"/>
  <c r="BZ301" i="4"/>
  <c r="BZ303" i="4"/>
  <c r="CA340" i="4"/>
  <c r="BZ340" i="4"/>
  <c r="BZ324" i="4"/>
  <c r="CA2029" i="4"/>
  <c r="CA324" i="4"/>
  <c r="CA2025" i="4"/>
  <c r="CA361" i="4"/>
  <c r="BZ361" i="4"/>
  <c r="CA251" i="4"/>
  <c r="BZ251" i="4"/>
  <c r="CA276" i="4"/>
  <c r="BZ276" i="4"/>
  <c r="CA245" i="4"/>
  <c r="BZ245" i="4"/>
  <c r="CA269" i="4"/>
  <c r="BZ269" i="4"/>
  <c r="BZ349" i="4"/>
  <c r="CA1182" i="4"/>
  <c r="CA349" i="4"/>
  <c r="CA2123" i="4"/>
  <c r="CA2124" i="4"/>
  <c r="CA254" i="4"/>
  <c r="BZ254" i="4"/>
  <c r="CA297" i="4"/>
  <c r="BZ297" i="4"/>
  <c r="CA341" i="4"/>
  <c r="BZ341" i="4"/>
  <c r="BZ281" i="4"/>
  <c r="CA281" i="4"/>
  <c r="BZ257" i="4"/>
  <c r="CA257" i="4"/>
  <c r="CA314" i="4"/>
  <c r="BZ314" i="4"/>
  <c r="BZ357" i="4"/>
  <c r="CA357" i="4"/>
  <c r="CA317" i="4"/>
  <c r="BZ317" i="4"/>
  <c r="CA304" i="4"/>
  <c r="BZ304" i="4"/>
  <c r="BZ236" i="4"/>
  <c r="CA236" i="4"/>
  <c r="CA302" i="4"/>
  <c r="BZ302" i="4"/>
  <c r="CA360" i="4"/>
  <c r="BZ360" i="4"/>
  <c r="CA348" i="4"/>
  <c r="BZ348" i="4"/>
  <c r="CA270" i="4"/>
  <c r="BZ270" i="4"/>
  <c r="CA282" i="4"/>
  <c r="BZ282" i="4"/>
  <c r="BZ248" i="4"/>
  <c r="CA248" i="4"/>
  <c r="CA344" i="4"/>
  <c r="BZ344" i="4"/>
  <c r="CA339" i="4"/>
  <c r="BZ339" i="4"/>
  <c r="CA271" i="4"/>
  <c r="BZ271" i="4"/>
  <c r="CA318" i="4"/>
  <c r="BZ318" i="4"/>
  <c r="CA238" i="4"/>
  <c r="BZ238" i="4"/>
  <c r="CA359" i="4"/>
  <c r="BZ359" i="4"/>
  <c r="CA321" i="4"/>
  <c r="BZ321" i="4"/>
  <c r="CA295" i="4"/>
  <c r="BZ295" i="4"/>
  <c r="CA239" i="4"/>
  <c r="BZ239" i="4"/>
  <c r="CA273" i="4"/>
  <c r="BZ273" i="4"/>
  <c r="BZ364" i="4"/>
  <c r="CA364" i="4"/>
  <c r="CA41" i="4"/>
  <c r="CA1176" i="4"/>
  <c r="CA745" i="4"/>
  <c r="CA265" i="4"/>
  <c r="BZ265" i="4"/>
  <c r="BZ259" i="4"/>
  <c r="CA259" i="4"/>
  <c r="CA264" i="4"/>
  <c r="BZ264" i="4"/>
  <c r="BZ249" i="4"/>
  <c r="CA249" i="4"/>
  <c r="CA299" i="4"/>
  <c r="BZ299" i="4"/>
  <c r="CA291" i="4"/>
  <c r="BZ291" i="4"/>
  <c r="CA333" i="4"/>
  <c r="BZ333" i="4"/>
  <c r="CA356" i="4"/>
  <c r="BZ356" i="4"/>
  <c r="CA300" i="4"/>
  <c r="BZ300" i="4"/>
  <c r="CA250" i="4"/>
  <c r="BZ250" i="4"/>
  <c r="CA256" i="4"/>
  <c r="BZ256" i="4"/>
  <c r="CA243" i="4"/>
  <c r="BZ243" i="4"/>
  <c r="CA353" i="4"/>
  <c r="BZ353" i="4"/>
  <c r="CA332" i="4"/>
  <c r="BZ332" i="4"/>
  <c r="BZ328" i="4"/>
  <c r="CA328" i="4"/>
  <c r="CA362" i="4"/>
  <c r="BZ362" i="4"/>
  <c r="BZ277" i="4"/>
  <c r="CA277" i="4"/>
  <c r="CA279" i="4"/>
  <c r="BZ279" i="4"/>
  <c r="CA232" i="4"/>
  <c r="BZ232" i="4"/>
  <c r="CA246" i="4"/>
  <c r="BZ246" i="4"/>
  <c r="CA313" i="4"/>
  <c r="BZ313" i="4"/>
  <c r="BZ330" i="4"/>
  <c r="CA330" i="4"/>
  <c r="CA498" i="4"/>
  <c r="CA315" i="4"/>
  <c r="BZ315" i="4"/>
  <c r="CA345" i="4"/>
  <c r="BZ345" i="4"/>
  <c r="BZ261" i="4"/>
  <c r="CA261" i="4"/>
  <c r="CA275" i="4"/>
  <c r="BZ275" i="4"/>
  <c r="CA358" i="4"/>
  <c r="BZ358" i="4"/>
  <c r="CA350" i="4"/>
  <c r="BZ350" i="4"/>
  <c r="CA274" i="4"/>
  <c r="BZ274" i="4"/>
  <c r="CA263" i="4"/>
  <c r="BZ263" i="4"/>
  <c r="CA231" i="4"/>
  <c r="BZ231" i="4"/>
  <c r="CA327" i="4"/>
  <c r="BZ327" i="4"/>
  <c r="CA346" i="4"/>
  <c r="BZ346" i="4"/>
  <c r="CA260" i="4"/>
  <c r="BZ260" i="4"/>
  <c r="CA320" i="4"/>
  <c r="BZ320" i="4"/>
  <c r="CA294" i="4"/>
  <c r="BZ294" i="4"/>
  <c r="CA266" i="4"/>
  <c r="BZ266" i="4"/>
  <c r="CA283" i="4"/>
  <c r="BZ283" i="4"/>
  <c r="CA366" i="4"/>
  <c r="BZ366" i="4"/>
  <c r="BZ280" i="4"/>
  <c r="CA280" i="4"/>
  <c r="CA325" i="4"/>
  <c r="BZ325" i="4"/>
  <c r="CA311" i="4"/>
  <c r="BZ311" i="4"/>
  <c r="BZ247" i="4"/>
  <c r="CA247" i="4"/>
  <c r="CA2136" i="4"/>
  <c r="CA367" i="4"/>
  <c r="CA43" i="4"/>
  <c r="CA131" i="4"/>
  <c r="BZ131" i="4"/>
  <c r="CA203" i="4"/>
  <c r="BZ203" i="4"/>
  <c r="CA113" i="4"/>
  <c r="BZ113" i="4"/>
  <c r="CA216" i="4"/>
  <c r="CA511" i="4"/>
  <c r="BZ216" i="4"/>
  <c r="CA166" i="4"/>
  <c r="BZ166" i="4"/>
  <c r="CA128" i="4"/>
  <c r="BZ128" i="4"/>
  <c r="CA114" i="4"/>
  <c r="BZ114" i="4"/>
  <c r="CA179" i="4"/>
  <c r="BZ179" i="4"/>
  <c r="BZ97" i="4"/>
  <c r="CA97" i="4"/>
  <c r="CA141" i="4"/>
  <c r="BZ141" i="4"/>
  <c r="CA567" i="4"/>
  <c r="BZ103" i="4"/>
  <c r="CA103" i="4"/>
  <c r="CA500" i="4"/>
  <c r="CA214" i="4"/>
  <c r="BZ214" i="4"/>
  <c r="CA180" i="4"/>
  <c r="BZ180" i="4"/>
  <c r="CA104" i="4"/>
  <c r="BZ104" i="4"/>
  <c r="CA145" i="4"/>
  <c r="BZ145" i="4"/>
  <c r="CA100" i="4"/>
  <c r="BZ100" i="4"/>
  <c r="CA218" i="4"/>
  <c r="BZ218" i="4"/>
  <c r="BZ171" i="4"/>
  <c r="CA171" i="4"/>
  <c r="CA200" i="4"/>
  <c r="BZ200" i="4"/>
  <c r="CA134" i="4"/>
  <c r="BZ134" i="4"/>
  <c r="CA185" i="4"/>
  <c r="BZ185" i="4"/>
  <c r="CA136" i="4"/>
  <c r="BZ136" i="4"/>
  <c r="CA603" i="4"/>
  <c r="CA117" i="4"/>
  <c r="BZ117" i="4"/>
  <c r="CA187" i="4"/>
  <c r="CA535" i="4"/>
  <c r="BZ187" i="4"/>
  <c r="CA228" i="4"/>
  <c r="BZ228" i="4"/>
  <c r="CA95" i="4"/>
  <c r="BZ95" i="4"/>
  <c r="CA112" i="4"/>
  <c r="BZ112" i="4"/>
  <c r="CA159" i="4"/>
  <c r="BZ159" i="4"/>
  <c r="CA101" i="4"/>
  <c r="BZ101" i="4"/>
  <c r="CA105" i="4"/>
  <c r="BZ105" i="4"/>
  <c r="CA102" i="4"/>
  <c r="BZ102" i="4"/>
  <c r="CA205" i="4"/>
  <c r="BZ205" i="4"/>
  <c r="CA169" i="4"/>
  <c r="BZ169" i="4"/>
  <c r="CA158" i="4"/>
  <c r="BZ158" i="4"/>
  <c r="BZ152" i="4"/>
  <c r="CA152" i="4"/>
  <c r="CA94" i="4"/>
  <c r="BZ94" i="4"/>
  <c r="CA125" i="4"/>
  <c r="BZ125" i="4"/>
  <c r="CA530" i="4"/>
  <c r="BZ139" i="4"/>
  <c r="CA139" i="4"/>
  <c r="CA206" i="4"/>
  <c r="BZ206" i="4"/>
  <c r="BZ164" i="4"/>
  <c r="CA164" i="4"/>
  <c r="CA168" i="4"/>
  <c r="BZ168" i="4"/>
  <c r="CA121" i="4"/>
  <c r="BZ121" i="4"/>
  <c r="CA120" i="4"/>
  <c r="BZ120" i="4"/>
  <c r="BZ192" i="4"/>
  <c r="CA492" i="4"/>
  <c r="CA192" i="4"/>
  <c r="CA219" i="4"/>
  <c r="BZ219" i="4"/>
  <c r="CA193" i="4"/>
  <c r="CA491" i="4"/>
  <c r="BZ193" i="4"/>
  <c r="CA163" i="4"/>
  <c r="BZ163" i="4"/>
  <c r="CA172" i="4"/>
  <c r="BZ172" i="4"/>
  <c r="CA199" i="4"/>
  <c r="BZ199" i="4"/>
  <c r="CA149" i="4"/>
  <c r="BZ149" i="4"/>
  <c r="CA182" i="4"/>
  <c r="BZ182" i="4"/>
  <c r="CA211" i="4"/>
  <c r="BZ211" i="4"/>
  <c r="CA209" i="4"/>
  <c r="BZ209" i="4"/>
  <c r="CA92" i="4"/>
  <c r="BZ92" i="4"/>
  <c r="CA147" i="4"/>
  <c r="BZ147" i="4"/>
  <c r="CA108" i="4"/>
  <c r="BZ108" i="4"/>
  <c r="CA181" i="4"/>
  <c r="BZ181" i="4"/>
  <c r="BZ226" i="4"/>
  <c r="CA226" i="4"/>
  <c r="CA230" i="4"/>
  <c r="CA155" i="4"/>
  <c r="BZ155" i="4"/>
  <c r="CA91" i="4"/>
  <c r="BZ91" i="4"/>
  <c r="CA217" i="4"/>
  <c r="BZ217" i="4"/>
  <c r="CA512" i="4"/>
  <c r="CA225" i="4"/>
  <c r="BZ225" i="4"/>
  <c r="CA126" i="4"/>
  <c r="BZ126" i="4"/>
  <c r="BZ93" i="4"/>
  <c r="CA93" i="4"/>
  <c r="CA191" i="4"/>
  <c r="BZ191" i="4"/>
  <c r="CA142" i="4"/>
  <c r="BZ142" i="4"/>
  <c r="CA537" i="4"/>
  <c r="CA186" i="4"/>
  <c r="BZ186" i="4"/>
  <c r="CA201" i="4"/>
  <c r="BZ201" i="4"/>
  <c r="CA189" i="4"/>
  <c r="BZ189" i="4"/>
  <c r="CA534" i="4"/>
  <c r="CA177" i="4"/>
  <c r="BZ177" i="4"/>
  <c r="CA197" i="4"/>
  <c r="BZ197" i="4"/>
  <c r="CA198" i="4"/>
  <c r="BZ198" i="4"/>
  <c r="CA133" i="4"/>
  <c r="BZ133" i="4"/>
  <c r="CA99" i="4"/>
  <c r="BZ99" i="4"/>
  <c r="CA204" i="4"/>
  <c r="BZ204" i="4"/>
  <c r="CA129" i="4"/>
  <c r="BZ129" i="4"/>
  <c r="CA176" i="4"/>
  <c r="BZ176" i="4"/>
  <c r="CA170" i="4"/>
  <c r="BZ170" i="4"/>
  <c r="CA107" i="4"/>
  <c r="BZ107" i="4"/>
  <c r="CA156" i="4"/>
  <c r="BZ156" i="4"/>
  <c r="CA227" i="4"/>
  <c r="BZ227" i="4"/>
  <c r="CA154" i="4"/>
  <c r="BZ154" i="4"/>
  <c r="CA183" i="4"/>
  <c r="BZ183" i="4"/>
  <c r="CA111" i="4"/>
  <c r="BZ111" i="4"/>
  <c r="CA157" i="4"/>
  <c r="BZ157" i="4"/>
  <c r="CA137" i="4"/>
  <c r="BZ137" i="4"/>
  <c r="CA210" i="4"/>
  <c r="BZ210" i="4"/>
  <c r="CA161" i="4"/>
  <c r="BZ161" i="4"/>
  <c r="CA135" i="4"/>
  <c r="BZ135" i="4"/>
  <c r="BZ212" i="4"/>
  <c r="CA497" i="4"/>
  <c r="CA212" i="4"/>
  <c r="CA123" i="4"/>
  <c r="BZ123" i="4"/>
  <c r="CA138" i="4"/>
  <c r="BZ138" i="4"/>
  <c r="CA132" i="4"/>
  <c r="BZ132" i="4"/>
  <c r="BZ116" i="4"/>
  <c r="CA116" i="4"/>
  <c r="CA602" i="4"/>
  <c r="BZ221" i="4"/>
  <c r="CA221" i="4"/>
  <c r="CA188" i="4"/>
  <c r="BZ188" i="4"/>
  <c r="CA533" i="4"/>
  <c r="CA110" i="4"/>
  <c r="BZ110" i="4"/>
  <c r="CA173" i="4"/>
  <c r="BZ173" i="4"/>
  <c r="CA143" i="4"/>
  <c r="BZ143" i="4"/>
  <c r="CA507" i="4"/>
  <c r="CA174" i="4"/>
  <c r="BZ174" i="4"/>
  <c r="CA208" i="4"/>
  <c r="BZ208" i="4"/>
  <c r="CA175" i="4"/>
  <c r="BZ175" i="4"/>
  <c r="CA140" i="4"/>
  <c r="BZ140" i="4"/>
  <c r="BZ215" i="4"/>
  <c r="CA215" i="4"/>
  <c r="CA499" i="4"/>
  <c r="CA144" i="4"/>
  <c r="BZ144" i="4"/>
  <c r="CA501" i="4"/>
  <c r="CA213" i="4"/>
  <c r="BZ213" i="4"/>
  <c r="CA122" i="4"/>
  <c r="BZ122" i="4"/>
  <c r="CA207" i="4"/>
  <c r="BZ207" i="4"/>
  <c r="CA194" i="4"/>
  <c r="BZ194" i="4"/>
  <c r="CA202" i="4"/>
  <c r="BZ202" i="4"/>
  <c r="CA148" i="4"/>
  <c r="BZ148" i="4"/>
  <c r="CA127" i="4"/>
  <c r="BZ127" i="4"/>
  <c r="BZ196" i="4"/>
  <c r="CA196" i="4"/>
  <c r="CA493" i="4"/>
  <c r="CA178" i="4"/>
  <c r="BZ178" i="4"/>
  <c r="CA109" i="4"/>
  <c r="BZ109" i="4"/>
  <c r="CA150" i="4"/>
  <c r="BZ150" i="4"/>
  <c r="CA167" i="4"/>
  <c r="BZ167" i="4"/>
  <c r="CA96" i="4"/>
  <c r="BZ96" i="4"/>
  <c r="BZ98" i="4"/>
  <c r="CA2015" i="4"/>
  <c r="CA98" i="4"/>
  <c r="CA1057" i="4"/>
  <c r="CA162" i="4"/>
  <c r="BZ162" i="4"/>
  <c r="CA160" i="4"/>
  <c r="BZ160" i="4"/>
  <c r="BZ220" i="4"/>
  <c r="CA1174" i="4"/>
  <c r="CA220" i="4"/>
  <c r="CA190" i="4"/>
  <c r="BZ190" i="4"/>
  <c r="CA146" i="4"/>
  <c r="BZ146" i="4"/>
  <c r="BZ130" i="4"/>
  <c r="CA130" i="4"/>
  <c r="CA195" i="4"/>
  <c r="BZ195" i="4"/>
  <c r="BZ224" i="4"/>
  <c r="CA224" i="4"/>
  <c r="BZ229" i="4"/>
  <c r="CA229" i="4"/>
  <c r="CA153" i="4"/>
  <c r="BZ153" i="4"/>
  <c r="CA151" i="4"/>
  <c r="BZ151" i="4"/>
  <c r="CA165" i="4"/>
  <c r="CA48" i="4"/>
  <c r="BZ48" i="4"/>
  <c r="CA73" i="4"/>
  <c r="BZ73" i="4"/>
  <c r="CA81" i="4"/>
  <c r="BZ81" i="4"/>
  <c r="CA47" i="4"/>
  <c r="BZ47" i="4"/>
  <c r="CA19" i="4"/>
  <c r="BZ19" i="4"/>
  <c r="CA50" i="4"/>
  <c r="BZ50" i="4"/>
  <c r="CA18" i="4"/>
  <c r="BZ18" i="4"/>
  <c r="CA58" i="4"/>
  <c r="BZ58" i="4"/>
  <c r="BZ22" i="4"/>
  <c r="CA22" i="4"/>
  <c r="CA409" i="4"/>
  <c r="BZ42" i="4"/>
  <c r="CA326" i="4"/>
  <c r="CA365" i="4"/>
  <c r="CA42" i="4"/>
  <c r="CA78" i="4"/>
  <c r="BZ78" i="4"/>
  <c r="CA85" i="4"/>
  <c r="BZ85" i="4"/>
  <c r="CA84" i="4"/>
  <c r="BZ84" i="4"/>
  <c r="CA29" i="4"/>
  <c r="BZ29" i="4"/>
  <c r="CA6" i="4"/>
  <c r="BZ6" i="4"/>
  <c r="BZ24" i="4"/>
  <c r="CA24" i="4"/>
  <c r="CA399" i="4"/>
  <c r="CA45" i="4"/>
  <c r="BZ45" i="4"/>
  <c r="CA27" i="4"/>
  <c r="BZ27" i="4"/>
  <c r="CA88" i="4"/>
  <c r="BZ88" i="4"/>
  <c r="CA90" i="4"/>
  <c r="BZ90" i="4"/>
  <c r="BZ39" i="4"/>
  <c r="CA106" i="4"/>
  <c r="CA39" i="4"/>
  <c r="BZ28" i="4"/>
  <c r="CA28" i="4"/>
  <c r="CA402" i="4"/>
  <c r="CA76" i="4"/>
  <c r="BZ76" i="4"/>
  <c r="CA53" i="4"/>
  <c r="BZ53" i="4"/>
  <c r="CA79" i="4"/>
  <c r="BZ79" i="4"/>
  <c r="CA51" i="4"/>
  <c r="BZ51" i="4"/>
  <c r="CA67" i="4"/>
  <c r="BZ67" i="4"/>
  <c r="CA62" i="4"/>
  <c r="BZ62" i="4"/>
  <c r="BZ8" i="4"/>
  <c r="CA8" i="4"/>
  <c r="CA369" i="4"/>
  <c r="CA71" i="4"/>
  <c r="BZ71" i="4"/>
  <c r="CA65" i="4"/>
  <c r="BZ65" i="4"/>
  <c r="CA34" i="4"/>
  <c r="BZ34" i="4"/>
  <c r="CA82" i="4"/>
  <c r="BZ82" i="4"/>
  <c r="CA184" i="4"/>
  <c r="CA17" i="4"/>
  <c r="BZ17" i="4"/>
  <c r="CA66" i="4"/>
  <c r="BZ66" i="4"/>
  <c r="CA52" i="4"/>
  <c r="BZ52" i="4"/>
  <c r="CA80" i="4"/>
  <c r="BZ80" i="4"/>
  <c r="CA11" i="4"/>
  <c r="BZ11" i="4"/>
  <c r="BZ10" i="4"/>
  <c r="CA10" i="4"/>
  <c r="CA37" i="4"/>
  <c r="BZ37" i="4"/>
  <c r="CA31" i="4"/>
  <c r="BZ31" i="4"/>
  <c r="CA70" i="4"/>
  <c r="BZ70" i="4"/>
  <c r="CA56" i="4"/>
  <c r="BZ56" i="4"/>
  <c r="CA30" i="4"/>
  <c r="BZ30" i="4"/>
  <c r="CA20" i="4"/>
  <c r="BZ20" i="4"/>
  <c r="CA69" i="4"/>
  <c r="BZ69" i="4"/>
  <c r="BZ7" i="4"/>
  <c r="CA7" i="4"/>
  <c r="CA57" i="4"/>
  <c r="BZ57" i="4"/>
  <c r="CA61" i="4"/>
  <c r="BZ61" i="4"/>
  <c r="BZ23" i="4"/>
  <c r="CA23" i="4"/>
  <c r="CA35" i="4"/>
  <c r="BZ35" i="4"/>
  <c r="CA83" i="4"/>
  <c r="BZ83" i="4"/>
  <c r="CA60" i="4"/>
  <c r="BZ60" i="4"/>
  <c r="CA496" i="4"/>
  <c r="BZ54" i="4"/>
  <c r="CA54" i="4"/>
  <c r="CA75" i="4"/>
  <c r="BZ75" i="4"/>
  <c r="CA72" i="4"/>
  <c r="BZ72" i="4"/>
  <c r="CA36" i="4"/>
  <c r="BZ36" i="4"/>
  <c r="CA64" i="4"/>
  <c r="BZ64" i="4"/>
  <c r="CA63" i="4"/>
  <c r="BZ63" i="4"/>
  <c r="CA544" i="4"/>
  <c r="CA46" i="4"/>
  <c r="BZ46" i="4"/>
  <c r="CA21" i="4"/>
  <c r="BZ21" i="4"/>
  <c r="CA118" i="4"/>
  <c r="CA15" i="4"/>
  <c r="CA605" i="4"/>
  <c r="BZ15" i="4"/>
  <c r="CA87" i="4"/>
  <c r="BZ87" i="4"/>
  <c r="CA401" i="4"/>
  <c r="CA25" i="4"/>
  <c r="BZ25" i="4"/>
  <c r="CA38" i="4"/>
  <c r="BZ38" i="4"/>
  <c r="CA9" i="4"/>
  <c r="BZ9" i="4"/>
  <c r="CA89" i="4"/>
  <c r="BZ89" i="4"/>
  <c r="CA32" i="4"/>
  <c r="BZ32" i="4"/>
  <c r="CA77" i="4"/>
  <c r="BZ77" i="4"/>
  <c r="CA86" i="4"/>
  <c r="BZ86" i="4"/>
  <c r="CA33" i="4"/>
  <c r="BZ33" i="4"/>
  <c r="BZ16" i="4"/>
  <c r="CA16" i="4"/>
  <c r="CA119" i="4"/>
  <c r="CA606" i="4"/>
  <c r="CA74" i="4"/>
  <c r="BZ74" i="4"/>
  <c r="BZ26" i="4"/>
  <c r="CA26" i="4"/>
  <c r="CA403" i="4"/>
  <c r="CA68" i="4"/>
  <c r="BZ68" i="4"/>
  <c r="CA59" i="4"/>
  <c r="BZ59" i="4"/>
  <c r="CA2104" i="4"/>
  <c r="CA1867" i="4"/>
  <c r="CA2111" i="4"/>
  <c r="CA1997" i="4"/>
  <c r="CA1953" i="4"/>
  <c r="BZ1943" i="4"/>
  <c r="CA2101" i="4"/>
  <c r="BZ1965" i="4"/>
  <c r="CA2113" i="4"/>
  <c r="CA1966" i="4"/>
  <c r="CA2114" i="4"/>
  <c r="CA1968" i="4"/>
  <c r="CA2097" i="4"/>
  <c r="BZ1969" i="4"/>
  <c r="CA2099" i="4"/>
  <c r="CA2102" i="4"/>
  <c r="CA1936" i="4"/>
  <c r="CA1318" i="4"/>
  <c r="BZ1800" i="4"/>
  <c r="CA2077" i="4"/>
  <c r="BZ1719" i="4"/>
  <c r="CA2070" i="4"/>
  <c r="CA1732" i="4"/>
  <c r="CA2074" i="4"/>
  <c r="CA1854" i="4"/>
  <c r="CA1891" i="4"/>
  <c r="BZ1951" i="4"/>
  <c r="CA1875" i="4"/>
  <c r="BZ1854" i="4"/>
  <c r="BZ1892" i="4"/>
  <c r="CA1862" i="4"/>
  <c r="CA2005" i="4"/>
  <c r="BZ1920" i="4"/>
  <c r="BZ1877" i="4"/>
  <c r="CA1948" i="4"/>
  <c r="CA1386" i="4"/>
  <c r="CA1863" i="4"/>
  <c r="CA1837" i="4"/>
  <c r="CA1851" i="4"/>
  <c r="CA1973" i="4"/>
  <c r="CA1971" i="4"/>
  <c r="BZ1851" i="4"/>
  <c r="CA1833" i="4"/>
  <c r="CA1306" i="4"/>
  <c r="CA1322" i="4"/>
  <c r="CA1962" i="4"/>
  <c r="CA1995" i="4"/>
  <c r="CA1330" i="4"/>
  <c r="CA1354" i="4"/>
  <c r="CA1957" i="4"/>
  <c r="CA1117" i="4"/>
  <c r="CA1956" i="4"/>
  <c r="CA1986" i="4"/>
  <c r="CA1134" i="4"/>
  <c r="CA1965" i="4"/>
  <c r="CA1064" i="4"/>
  <c r="CA1934" i="4"/>
  <c r="CA1909" i="4"/>
  <c r="CA1981" i="4"/>
  <c r="CA1930" i="4"/>
  <c r="CA1853" i="4"/>
  <c r="BZ1891" i="4"/>
  <c r="CA1123" i="4"/>
  <c r="CA1942" i="4"/>
  <c r="CA1918" i="4"/>
  <c r="BZ1849" i="4"/>
  <c r="CA1939" i="4"/>
  <c r="BZ1989" i="4"/>
  <c r="CA1116" i="4"/>
  <c r="CA1941" i="4"/>
  <c r="BZ1939" i="4"/>
  <c r="BZ1952" i="4"/>
  <c r="CA1947" i="4"/>
  <c r="CA1067" i="4"/>
  <c r="CA690" i="4"/>
  <c r="CA1984" i="4"/>
  <c r="BZ1835" i="4"/>
  <c r="CA1979" i="4"/>
  <c r="CA1963" i="4"/>
  <c r="CA1950" i="4"/>
  <c r="CA1124" i="4"/>
  <c r="CA1151" i="4"/>
  <c r="CA1937" i="4"/>
  <c r="CA1987" i="4"/>
  <c r="CA1893" i="4"/>
  <c r="CA1900" i="4"/>
  <c r="CA1859" i="4"/>
  <c r="BZ1961" i="4"/>
  <c r="CA1871" i="4"/>
  <c r="BZ1871" i="4"/>
  <c r="BZ1946" i="4"/>
  <c r="CA1894" i="4"/>
  <c r="CA701" i="4"/>
  <c r="CA1985" i="4"/>
  <c r="CA1847" i="4"/>
  <c r="CA1938" i="4"/>
  <c r="CA944" i="4"/>
  <c r="CA1955" i="4"/>
  <c r="CA1132" i="4"/>
  <c r="CA1869" i="4"/>
  <c r="BZ1945" i="4"/>
  <c r="CA1980" i="4"/>
  <c r="CA1144" i="4"/>
  <c r="CA1140" i="4"/>
  <c r="BZ1902" i="4"/>
  <c r="BZ1940" i="4"/>
  <c r="BZ1924" i="4"/>
  <c r="BZ1884" i="4"/>
  <c r="CA1959" i="4"/>
  <c r="CA1861" i="4"/>
  <c r="CA1885" i="4"/>
  <c r="CA1970" i="4"/>
  <c r="CA1380" i="4"/>
  <c r="CA1860" i="4"/>
  <c r="BZ1774" i="4"/>
  <c r="CA1876" i="4"/>
  <c r="CA338" i="4"/>
  <c r="CA1895" i="4"/>
  <c r="CA723" i="4"/>
  <c r="CA1148" i="4"/>
  <c r="CA1903" i="4"/>
  <c r="CA1394" i="4"/>
  <c r="CA1878" i="4"/>
  <c r="CA700" i="4"/>
  <c r="CA1390" i="4"/>
  <c r="CA1932" i="4"/>
  <c r="CA1960" i="4"/>
  <c r="CA1346" i="4"/>
  <c r="CA1954" i="4"/>
  <c r="CA1312" i="4"/>
  <c r="BZ1883" i="4"/>
  <c r="CA728" i="4"/>
  <c r="CA1983" i="4"/>
  <c r="CA1964" i="4"/>
  <c r="BZ2007" i="4"/>
  <c r="CA1846" i="4"/>
  <c r="CA1845" i="4"/>
  <c r="CA1988" i="4"/>
  <c r="BZ1855" i="4"/>
  <c r="CA1844" i="4"/>
  <c r="BZ1958" i="4"/>
  <c r="BZ1990" i="4"/>
  <c r="BZ1966" i="4"/>
  <c r="CA1977" i="4"/>
  <c r="BZ1968" i="4"/>
  <c r="CA1913" i="4"/>
  <c r="CA1926" i="4"/>
  <c r="CA1843" i="4"/>
  <c r="CA1839" i="4"/>
  <c r="CA1886" i="4"/>
  <c r="CA1879" i="4"/>
  <c r="CA1949" i="4"/>
  <c r="BZ1839" i="4"/>
  <c r="CA1870" i="4"/>
  <c r="BZ1887" i="4"/>
  <c r="CA1992" i="4"/>
  <c r="CA1944" i="4"/>
  <c r="CA1972" i="4"/>
  <c r="CA1969" i="4"/>
  <c r="CA2004" i="4"/>
  <c r="CA1790" i="4"/>
  <c r="CA711" i="4"/>
  <c r="CA691" i="4"/>
  <c r="CA1978" i="4"/>
  <c r="CA1928" i="4"/>
  <c r="CA1916" i="4"/>
  <c r="BZ1852" i="4"/>
  <c r="CA2008" i="4"/>
  <c r="CA1967" i="4"/>
  <c r="CA1920" i="4"/>
  <c r="CA2001" i="4"/>
  <c r="CA1841" i="4"/>
  <c r="CA1914" i="4"/>
  <c r="CA1917" i="4"/>
  <c r="CA1904" i="4"/>
  <c r="CA1858" i="4"/>
  <c r="CA1908" i="4"/>
  <c r="CA2002" i="4"/>
  <c r="CA2000" i="4"/>
  <c r="CA1840" i="4"/>
  <c r="CA1976" i="4"/>
  <c r="CA1838" i="4"/>
  <c r="CA1975" i="4"/>
  <c r="CA1868" i="4"/>
  <c r="CA1991" i="4"/>
  <c r="BZ1396" i="4"/>
  <c r="CA1922" i="4"/>
  <c r="CA335" i="4"/>
  <c r="CA1836" i="4"/>
  <c r="CA1974" i="4"/>
  <c r="BZ1905" i="4"/>
  <c r="CA1905" i="4"/>
  <c r="BZ1857" i="4"/>
  <c r="CA1857" i="4"/>
  <c r="BZ1856" i="4"/>
  <c r="CA1993" i="4"/>
  <c r="CA1856" i="4"/>
  <c r="CA1119" i="4"/>
  <c r="BZ1927" i="4"/>
  <c r="CA1927" i="4"/>
  <c r="BZ1889" i="4"/>
  <c r="CA1889" i="4"/>
  <c r="CA1129" i="4"/>
  <c r="BZ1874" i="4"/>
  <c r="CA1874" i="4"/>
  <c r="BZ1915" i="4"/>
  <c r="CA1915" i="4"/>
  <c r="BZ1933" i="4"/>
  <c r="CA1933" i="4"/>
  <c r="BZ1842" i="4"/>
  <c r="CA1842" i="4"/>
  <c r="CA2003" i="4"/>
  <c r="BZ1923" i="4"/>
  <c r="CA1923" i="4"/>
  <c r="BZ1897" i="4"/>
  <c r="CA1897" i="4"/>
  <c r="CA1121" i="4"/>
  <c r="BZ1866" i="4"/>
  <c r="CA1866" i="4"/>
  <c r="CA1982" i="4"/>
  <c r="BZ1921" i="4"/>
  <c r="CA1921" i="4"/>
  <c r="CA1066" i="4"/>
  <c r="BZ1872" i="4"/>
  <c r="CA1872" i="4"/>
  <c r="BZ1848" i="4"/>
  <c r="CA1848" i="4"/>
  <c r="CA1153" i="4"/>
  <c r="BZ1865" i="4"/>
  <c r="CA1865" i="4"/>
  <c r="BZ1850" i="4"/>
  <c r="CA1850" i="4"/>
  <c r="CA1998" i="4"/>
  <c r="BZ1836" i="4"/>
  <c r="BZ1935" i="4"/>
  <c r="CA1935" i="4"/>
  <c r="BZ1834" i="4"/>
  <c r="CA1834" i="4"/>
  <c r="CA720" i="4"/>
  <c r="CA1130" i="4"/>
  <c r="BZ1864" i="4"/>
  <c r="CA1864" i="4"/>
  <c r="BZ1881" i="4"/>
  <c r="CA1881" i="4"/>
  <c r="BZ1888" i="4"/>
  <c r="CA1888" i="4"/>
  <c r="BZ1880" i="4"/>
  <c r="CA1880" i="4"/>
  <c r="CA1126" i="4"/>
  <c r="BZ1873" i="4"/>
  <c r="CA1873" i="4"/>
  <c r="CA1118" i="4"/>
  <c r="BZ1901" i="4"/>
  <c r="CA1901" i="4"/>
  <c r="CA1999" i="4"/>
  <c r="BZ1838" i="4"/>
  <c r="BZ1925" i="4"/>
  <c r="CA1925" i="4"/>
  <c r="BZ1907" i="4"/>
  <c r="CA2006" i="4"/>
  <c r="CA1907" i="4"/>
  <c r="CA1127" i="4"/>
  <c r="BZ1929" i="4"/>
  <c r="CA1929" i="4"/>
  <c r="CA1994" i="4"/>
  <c r="BZ1919" i="4"/>
  <c r="CA1919" i="4"/>
  <c r="CA1996" i="4"/>
  <c r="BZ1890" i="4"/>
  <c r="CA1890" i="4"/>
  <c r="CA1131" i="4"/>
  <c r="BZ1882" i="4"/>
  <c r="CA1882" i="4"/>
  <c r="CA1122" i="4"/>
  <c r="BZ1931" i="4"/>
  <c r="CA1931" i="4"/>
  <c r="BZ1906" i="4"/>
  <c r="CA1906" i="4"/>
  <c r="BZ1911" i="4"/>
  <c r="CA1911" i="4"/>
  <c r="CA705" i="4"/>
  <c r="CA1825" i="4"/>
  <c r="BZ1898" i="4"/>
  <c r="CA1898" i="4"/>
  <c r="BZ1896" i="4"/>
  <c r="CA1896" i="4"/>
  <c r="BZ1899" i="4"/>
  <c r="CA1899" i="4"/>
  <c r="CA1811" i="4"/>
  <c r="BZ1786" i="4"/>
  <c r="BZ1794" i="4"/>
  <c r="BZ1742" i="4"/>
  <c r="CA1782" i="4"/>
  <c r="BZ1709" i="4"/>
  <c r="CA1738" i="4"/>
  <c r="BZ1804" i="4"/>
  <c r="CA1760" i="4"/>
  <c r="CA1714" i="4"/>
  <c r="CA1757" i="4"/>
  <c r="CA1691" i="4"/>
  <c r="CA1723" i="4"/>
  <c r="CA1722" i="4"/>
  <c r="BZ1702" i="4"/>
  <c r="CA1703" i="4"/>
  <c r="CA1711" i="4"/>
  <c r="CA1779" i="4"/>
  <c r="BZ1815" i="4"/>
  <c r="CA1719" i="4"/>
  <c r="BZ1733" i="4"/>
  <c r="CA1812" i="4"/>
  <c r="CA1816" i="4"/>
  <c r="BZ1743" i="4"/>
  <c r="CA1698" i="4"/>
  <c r="CA1700" i="4"/>
  <c r="BZ1801" i="4"/>
  <c r="CA1801" i="4"/>
  <c r="BZ1713" i="4"/>
  <c r="CA1784" i="4"/>
  <c r="CA1781" i="4"/>
  <c r="CA1822" i="4"/>
  <c r="BZ1715" i="4"/>
  <c r="BZ1778" i="4"/>
  <c r="CA1730" i="4"/>
  <c r="BZ1705" i="4"/>
  <c r="BZ1766" i="4"/>
  <c r="CA1724" i="4"/>
  <c r="CA1741" i="4"/>
  <c r="BZ1762" i="4"/>
  <c r="BZ1718" i="4"/>
  <c r="CA1796" i="4"/>
  <c r="CA1753" i="4"/>
  <c r="CA1728" i="4"/>
  <c r="CA1694" i="4"/>
  <c r="CA731" i="4"/>
  <c r="CA1731" i="4"/>
  <c r="CA1814" i="4"/>
  <c r="CA1819" i="4"/>
  <c r="CA1739" i="4"/>
  <c r="CA1780" i="4"/>
  <c r="CA1755" i="4"/>
  <c r="CA1725" i="4"/>
  <c r="CA1699" i="4"/>
  <c r="BZ1771" i="4"/>
  <c r="CA1803" i="4"/>
  <c r="BZ1821" i="4"/>
  <c r="BZ1712" i="4"/>
  <c r="CA1810" i="4"/>
  <c r="CA1764" i="4"/>
  <c r="BZ1756" i="4"/>
  <c r="CA1761" i="4"/>
  <c r="CA1809" i="4"/>
  <c r="CA1663" i="4"/>
  <c r="CA1800" i="4"/>
  <c r="BZ1797" i="4"/>
  <c r="BZ1223" i="4"/>
  <c r="CA1727" i="4"/>
  <c r="CA1193" i="4"/>
  <c r="CA1686" i="4"/>
  <c r="CA1734" i="4"/>
  <c r="BZ1701" i="4"/>
  <c r="BZ1732" i="4"/>
  <c r="BZ1697" i="4"/>
  <c r="BZ1773" i="4"/>
  <c r="CA1658" i="4"/>
  <c r="CE1658" i="4" s="1"/>
  <c r="BZ1737" i="4"/>
  <c r="CA1772" i="4"/>
  <c r="CA1768" i="4"/>
  <c r="CA1736" i="4"/>
  <c r="CA1716" i="4"/>
  <c r="BZ1716" i="4"/>
  <c r="BZ1721" i="4"/>
  <c r="CA1759" i="4"/>
  <c r="CA1692" i="4"/>
  <c r="CA1807" i="4"/>
  <c r="CA1587" i="4"/>
  <c r="CA1765" i="4"/>
  <c r="CA1793" i="4"/>
  <c r="BZ1720" i="4"/>
  <c r="BZ1740" i="4"/>
  <c r="CA1707" i="4"/>
  <c r="CA1696" i="4"/>
  <c r="CA1746" i="4"/>
  <c r="CA1666" i="4"/>
  <c r="CA1726" i="4"/>
  <c r="CA1767" i="4"/>
  <c r="BZ1745" i="4"/>
  <c r="CA1684" i="4"/>
  <c r="CA1735" i="4"/>
  <c r="BZ1769" i="4"/>
  <c r="BZ1749" i="4"/>
  <c r="CA1749" i="4"/>
  <c r="CA1805" i="4"/>
  <c r="BZ1789" i="4"/>
  <c r="BZ1770" i="4"/>
  <c r="CA1806" i="4"/>
  <c r="BZ1791" i="4"/>
  <c r="CA1818" i="4"/>
  <c r="CA1268" i="4"/>
  <c r="CA1792" i="4"/>
  <c r="CA1788" i="4"/>
  <c r="CA449" i="4"/>
  <c r="CA1747" i="4"/>
  <c r="CA1660" i="4"/>
  <c r="CE1660" i="4" s="1"/>
  <c r="BZ1775" i="4"/>
  <c r="CA1775" i="4"/>
  <c r="CA1808" i="4"/>
  <c r="BZ1744" i="4"/>
  <c r="CA1799" i="4"/>
  <c r="BZ1706" i="4"/>
  <c r="BZ1763" i="4"/>
  <c r="CA1763" i="4"/>
  <c r="BZ1640" i="4"/>
  <c r="CA1787" i="4"/>
  <c r="BZ1710" i="4"/>
  <c r="CA1710" i="4"/>
  <c r="BZ1783" i="4"/>
  <c r="CA1783" i="4"/>
  <c r="BZ1708" i="4"/>
  <c r="CA1695" i="4"/>
  <c r="CA1693" i="4"/>
  <c r="BZ1813" i="4"/>
  <c r="BZ1785" i="4"/>
  <c r="CA1785" i="4"/>
  <c r="CA1717" i="4"/>
  <c r="BZ1820" i="4"/>
  <c r="BZ1704" i="4"/>
  <c r="CA1704" i="4"/>
  <c r="BZ1795" i="4"/>
  <c r="CA1750" i="4"/>
  <c r="BZ1817" i="4"/>
  <c r="CA1817" i="4"/>
  <c r="CA1661" i="4"/>
  <c r="CE1661" i="4" s="1"/>
  <c r="BZ1754" i="4"/>
  <c r="CA1754" i="4"/>
  <c r="BZ1798" i="4"/>
  <c r="CA1798" i="4"/>
  <c r="BZ1748" i="4"/>
  <c r="CA1748" i="4"/>
  <c r="BZ1752" i="4"/>
  <c r="CA1677" i="4"/>
  <c r="CA1632" i="4"/>
  <c r="BZ1632" i="4"/>
  <c r="BZ1777" i="4"/>
  <c r="CA1777" i="4"/>
  <c r="BZ1776" i="4"/>
  <c r="CA1776" i="4"/>
  <c r="BZ1751" i="4"/>
  <c r="CA1751" i="4"/>
  <c r="BZ1729" i="4"/>
  <c r="CA1729" i="4"/>
  <c r="BZ1690" i="4"/>
  <c r="CA1690" i="4"/>
  <c r="BZ1758" i="4"/>
  <c r="CA1758" i="4"/>
  <c r="CA1649" i="4"/>
  <c r="BZ1802" i="4"/>
  <c r="CA1802" i="4"/>
  <c r="CA466" i="4"/>
  <c r="CA451" i="4"/>
  <c r="CA1646" i="4"/>
  <c r="CE1646" i="4" s="1"/>
  <c r="CA467" i="4"/>
  <c r="BZ1636" i="4"/>
  <c r="CA453" i="4"/>
  <c r="CA457" i="4"/>
  <c r="CA1258" i="4"/>
  <c r="CA463" i="4"/>
  <c r="CA1647" i="4"/>
  <c r="CE1647" i="4" s="1"/>
  <c r="CA1641" i="4"/>
  <c r="CE1641" i="4" s="1"/>
  <c r="BZ1659" i="4"/>
  <c r="CA1638" i="4"/>
  <c r="CE1638" i="4" s="1"/>
  <c r="BZ1671" i="4"/>
  <c r="BZ1628" i="4"/>
  <c r="BZ1662" i="4"/>
  <c r="BZ1644" i="4"/>
  <c r="CA1673" i="4"/>
  <c r="CA1672" i="4"/>
  <c r="CA1665" i="4"/>
  <c r="CA1664" i="4"/>
  <c r="CA465" i="4"/>
  <c r="BZ1683" i="4"/>
  <c r="CA1683" i="4"/>
  <c r="BZ1676" i="4"/>
  <c r="CA1676" i="4"/>
  <c r="CA1653" i="4"/>
  <c r="CA460" i="4"/>
  <c r="CA1682" i="4"/>
  <c r="BZ1682" i="4"/>
  <c r="CA443" i="4"/>
  <c r="BZ1681" i="4"/>
  <c r="CA1681" i="4"/>
  <c r="BZ1623" i="4"/>
  <c r="BZ1685" i="4"/>
  <c r="CA1685" i="4"/>
  <c r="CA1017" i="4"/>
  <c r="BZ1679" i="4"/>
  <c r="CA1679" i="4"/>
  <c r="CA1651" i="4"/>
  <c r="BZ1678" i="4"/>
  <c r="CA1678" i="4"/>
  <c r="BZ1680" i="4"/>
  <c r="CA1680" i="4"/>
  <c r="BZ1675" i="4"/>
  <c r="CA1675" i="4"/>
  <c r="CA1643" i="4"/>
  <c r="CA450" i="4"/>
  <c r="BZ1669" i="4"/>
  <c r="CA1669" i="4"/>
  <c r="BZ1637" i="4"/>
  <c r="CA1637" i="4"/>
  <c r="CE1637" i="4" s="1"/>
  <c r="BZ1652" i="4"/>
  <c r="CA1652" i="4"/>
  <c r="BZ1642" i="4"/>
  <c r="CA1642" i="4"/>
  <c r="CE1642" i="4" s="1"/>
  <c r="CA456" i="4"/>
  <c r="BZ1630" i="4"/>
  <c r="CA1630" i="4"/>
  <c r="CA439" i="4"/>
  <c r="CA442" i="4"/>
  <c r="BZ1667" i="4"/>
  <c r="CA1667" i="4"/>
  <c r="CA483" i="4"/>
  <c r="BZ1648" i="4"/>
  <c r="CA1648" i="4"/>
  <c r="CE1648" i="4" s="1"/>
  <c r="BZ1629" i="4"/>
  <c r="CA1629" i="4"/>
  <c r="BZ1634" i="4"/>
  <c r="CA1634" i="4"/>
  <c r="CE1634" i="4" s="1"/>
  <c r="CA462" i="4"/>
  <c r="BZ1626" i="4"/>
  <c r="CA1626" i="4"/>
  <c r="BZ1624" i="4"/>
  <c r="CA1624" i="4"/>
  <c r="CA444" i="4"/>
  <c r="BZ1645" i="4"/>
  <c r="CA1645" i="4"/>
  <c r="CE1645" i="4" s="1"/>
  <c r="CA452" i="4"/>
  <c r="BZ1650" i="4"/>
  <c r="CA1650" i="4"/>
  <c r="BZ1631" i="4"/>
  <c r="CA1631" i="4"/>
  <c r="CA446" i="4"/>
  <c r="CA1657" i="4"/>
  <c r="BZ1657" i="4"/>
  <c r="BZ1635" i="4"/>
  <c r="CA1635" i="4"/>
  <c r="CE1635" i="4" s="1"/>
  <c r="CA468" i="4"/>
  <c r="BZ1655" i="4"/>
  <c r="CA1655" i="4"/>
  <c r="BZ1625" i="4"/>
  <c r="CA1625" i="4"/>
  <c r="BZ1639" i="4"/>
  <c r="CA1639" i="4"/>
  <c r="CE1639" i="4" s="1"/>
  <c r="CA455" i="4"/>
  <c r="BZ1654" i="4"/>
  <c r="CA1654" i="4"/>
  <c r="CA481" i="4"/>
  <c r="BZ1668" i="4"/>
  <c r="CA1668" i="4"/>
  <c r="BZ1633" i="4"/>
  <c r="CA1633" i="4"/>
  <c r="CE1633" i="4" s="1"/>
  <c r="CA454" i="4"/>
  <c r="BZ1670" i="4"/>
  <c r="CA1670" i="4"/>
  <c r="BZ1656" i="4"/>
  <c r="CA1656" i="4"/>
  <c r="BZ1627" i="4"/>
  <c r="CA1627" i="4"/>
  <c r="CA445" i="4"/>
  <c r="CA1600" i="4"/>
  <c r="CA1071" i="4"/>
  <c r="BZ1451" i="4"/>
  <c r="BZ1398" i="4"/>
  <c r="CA285" i="4"/>
  <c r="CA1602" i="4"/>
  <c r="BZ1442" i="4"/>
  <c r="CA955" i="4"/>
  <c r="BZ1342" i="4"/>
  <c r="BZ1300" i="4"/>
  <c r="CA1455" i="4"/>
  <c r="CA1320" i="4"/>
  <c r="CA1352" i="4"/>
  <c r="CA725" i="4"/>
  <c r="CA334" i="4"/>
  <c r="BZ1320" i="4"/>
  <c r="CA1115" i="4"/>
  <c r="CA1396" i="4"/>
  <c r="CA1409" i="4"/>
  <c r="CA1459" i="4"/>
  <c r="CA1314" i="4"/>
  <c r="CA1565" i="4"/>
  <c r="CA1181" i="4"/>
  <c r="BZ1317" i="4"/>
  <c r="BZ1408" i="4"/>
  <c r="CA422" i="4"/>
  <c r="BZ1484" i="4"/>
  <c r="CA1467" i="4"/>
  <c r="BZ1468" i="4"/>
  <c r="BZ1532" i="4"/>
  <c r="BZ1473" i="4"/>
  <c r="BZ1525" i="4"/>
  <c r="CA1328" i="4"/>
  <c r="BZ1474" i="4"/>
  <c r="CA1271" i="4"/>
  <c r="BZ1368" i="4"/>
  <c r="BZ1481" i="4"/>
  <c r="CA1272" i="4"/>
  <c r="BZ1383" i="4"/>
  <c r="BZ1249" i="4"/>
  <c r="BZ1259" i="4"/>
  <c r="CA1299" i="4"/>
  <c r="BZ1266" i="4"/>
  <c r="CA1266" i="4"/>
  <c r="CA1384" i="4"/>
  <c r="CA1311" i="4"/>
  <c r="CA1336" i="4"/>
  <c r="CA1388" i="4"/>
  <c r="CA1113" i="4"/>
  <c r="CA1402" i="4"/>
  <c r="CA1073" i="4"/>
  <c r="CA1159" i="4"/>
  <c r="BZ1391" i="4"/>
  <c r="CA1160" i="4"/>
  <c r="CA1313" i="4"/>
  <c r="CA1391" i="4"/>
  <c r="BZ1399" i="4"/>
  <c r="CA1399" i="4"/>
  <c r="CA1098" i="4"/>
  <c r="CA1556" i="4"/>
  <c r="BZ1556" i="4"/>
  <c r="CA608" i="4"/>
  <c r="CA1531" i="4"/>
  <c r="BZ1461" i="4"/>
  <c r="CA1461" i="4"/>
  <c r="CA1000" i="4"/>
  <c r="CA1604" i="4"/>
  <c r="CA1583" i="4"/>
  <c r="BZ1583" i="4"/>
  <c r="BZ1549" i="4"/>
  <c r="CA1549" i="4"/>
  <c r="BZ1557" i="4"/>
  <c r="CA1557" i="4"/>
  <c r="BZ1280" i="4"/>
  <c r="CA1280" i="4"/>
  <c r="BZ1288" i="4"/>
  <c r="CA1288" i="4"/>
  <c r="BZ1590" i="4"/>
  <c r="CA1590" i="4"/>
  <c r="BZ1381" i="4"/>
  <c r="CA1381" i="4"/>
  <c r="CA1154" i="4"/>
  <c r="CA1608" i="4"/>
  <c r="BZ1608" i="4"/>
  <c r="BZ1274" i="4"/>
  <c r="CA1274" i="4"/>
  <c r="BZ1308" i="4"/>
  <c r="CA1308" i="4"/>
  <c r="BZ1614" i="4"/>
  <c r="CA1614" i="4"/>
  <c r="CA286" i="4"/>
  <c r="BZ1443" i="4"/>
  <c r="CA954" i="4"/>
  <c r="CA1443" i="4"/>
  <c r="CA1416" i="4"/>
  <c r="BZ1416" i="4"/>
  <c r="CA1528" i="4"/>
  <c r="CA599" i="4"/>
  <c r="BZ1528" i="4"/>
  <c r="BZ1521" i="4"/>
  <c r="CA1521" i="4"/>
  <c r="CA939" i="4"/>
  <c r="CA1544" i="4"/>
  <c r="BZ1544" i="4"/>
  <c r="CA237" i="4"/>
  <c r="CA1548" i="4"/>
  <c r="BZ1548" i="4"/>
  <c r="CA1460" i="4"/>
  <c r="BZ1460" i="4"/>
  <c r="CA1480" i="4"/>
  <c r="BZ1541" i="4"/>
  <c r="CA680" i="4"/>
  <c r="CA1541" i="4"/>
  <c r="BZ1487" i="4"/>
  <c r="CA1487" i="4"/>
  <c r="CA1456" i="4"/>
  <c r="BZ1456" i="4"/>
  <c r="BZ1228" i="4"/>
  <c r="CA1228" i="4"/>
  <c r="CA877" i="4"/>
  <c r="BZ1489" i="4"/>
  <c r="CA1489" i="4"/>
  <c r="BZ1606" i="4"/>
  <c r="CA1606" i="4"/>
  <c r="CA1281" i="4"/>
  <c r="BZ1281" i="4"/>
  <c r="CA1561" i="4"/>
  <c r="BZ1561" i="4"/>
  <c r="CA1457" i="4"/>
  <c r="BZ1457" i="4"/>
  <c r="BZ1573" i="4"/>
  <c r="CA1573" i="4"/>
  <c r="BZ1582" i="4"/>
  <c r="CA1582" i="4"/>
  <c r="CA1517" i="4"/>
  <c r="BZ1517" i="4"/>
  <c r="CA1506" i="4"/>
  <c r="BZ1506" i="4"/>
  <c r="CA1246" i="4"/>
  <c r="BZ1245" i="4"/>
  <c r="CA1245" i="4"/>
  <c r="CA1230" i="4"/>
  <c r="BZ1230" i="4"/>
  <c r="CA879" i="4"/>
  <c r="CA1295" i="4"/>
  <c r="BZ1295" i="4"/>
  <c r="BZ1304" i="4"/>
  <c r="CA1304" i="4"/>
  <c r="CA1251" i="4"/>
  <c r="BZ1251" i="4"/>
  <c r="CA1514" i="4"/>
  <c r="BZ1514" i="4"/>
  <c r="CA1222" i="4"/>
  <c r="BZ1222" i="4"/>
  <c r="CA1538" i="4"/>
  <c r="BZ1538" i="4"/>
  <c r="BZ1579" i="4"/>
  <c r="CA1579" i="4"/>
  <c r="BZ1303" i="4"/>
  <c r="CA1303" i="4"/>
  <c r="CA1400" i="4"/>
  <c r="BZ1400" i="4"/>
  <c r="CA1366" i="4"/>
  <c r="BZ1361" i="4"/>
  <c r="CA1361" i="4"/>
  <c r="CA1358" i="4"/>
  <c r="BZ1358" i="4"/>
  <c r="BZ1277" i="4"/>
  <c r="CA1277" i="4"/>
  <c r="CA1403" i="4"/>
  <c r="BZ1403" i="4"/>
  <c r="BZ1598" i="4"/>
  <c r="CA1598" i="4"/>
  <c r="BZ1276" i="4"/>
  <c r="CA1276" i="4"/>
  <c r="CA1367" i="4"/>
  <c r="BZ1367" i="4"/>
  <c r="CA1571" i="4"/>
  <c r="BZ1571" i="4"/>
  <c r="BZ1250" i="4"/>
  <c r="CA1250" i="4"/>
  <c r="BZ1393" i="4"/>
  <c r="CA1393" i="4"/>
  <c r="BZ1244" i="4"/>
  <c r="CA1244" i="4"/>
  <c r="CA899" i="4"/>
  <c r="BZ1496" i="4"/>
  <c r="CA1496" i="4"/>
  <c r="BZ1209" i="4"/>
  <c r="CA1209" i="4"/>
  <c r="CA1292" i="4"/>
  <c r="BZ1292" i="4"/>
  <c r="BZ1576" i="4"/>
  <c r="CA1576" i="4"/>
  <c r="BZ1454" i="4"/>
  <c r="CA1454" i="4"/>
  <c r="BZ1347" i="4"/>
  <c r="CA729" i="4"/>
  <c r="CA1347" i="4"/>
  <c r="CA1220" i="4"/>
  <c r="BZ1220" i="4"/>
  <c r="BZ1335" i="4"/>
  <c r="CA1335" i="4"/>
  <c r="BZ1609" i="4"/>
  <c r="CA1609" i="4"/>
  <c r="BZ1418" i="4"/>
  <c r="CA1418" i="4"/>
  <c r="CA1419" i="4"/>
  <c r="CA1530" i="4"/>
  <c r="CA12" i="4"/>
  <c r="CA597" i="4"/>
  <c r="BZ1530" i="4"/>
  <c r="CA115" i="4"/>
  <c r="BZ1427" i="4"/>
  <c r="CA1427" i="4"/>
  <c r="BZ1252" i="4"/>
  <c r="CA1252" i="4"/>
  <c r="BZ1382" i="4"/>
  <c r="CA1155" i="4"/>
  <c r="CA1382" i="4"/>
  <c r="BZ1257" i="4"/>
  <c r="CA1257" i="4"/>
  <c r="CA1550" i="4"/>
  <c r="BZ1550" i="4"/>
  <c r="BZ1324" i="4"/>
  <c r="CA1324" i="4"/>
  <c r="CA1267" i="4"/>
  <c r="BZ1267" i="4"/>
  <c r="CA1339" i="4"/>
  <c r="BZ1339" i="4"/>
  <c r="CA1569" i="4"/>
  <c r="BZ1551" i="4"/>
  <c r="CA1551" i="4"/>
  <c r="CA1534" i="4"/>
  <c r="BZ1534" i="4"/>
  <c r="CA1219" i="4"/>
  <c r="BZ1219" i="4"/>
  <c r="CA1592" i="4"/>
  <c r="BZ1592" i="4"/>
  <c r="BZ1286" i="4"/>
  <c r="CA1286" i="4"/>
  <c r="CA1537" i="4"/>
  <c r="BZ1537" i="4"/>
  <c r="CA663" i="4"/>
  <c r="BZ1575" i="4"/>
  <c r="CA1575" i="4"/>
  <c r="CA1334" i="4"/>
  <c r="BZ1334" i="4"/>
  <c r="CA1236" i="4"/>
  <c r="BZ1236" i="4"/>
  <c r="CA1283" i="4"/>
  <c r="BZ1283" i="4"/>
  <c r="BZ1508" i="4"/>
  <c r="CA1508" i="4"/>
  <c r="BZ1326" i="4"/>
  <c r="CA1326" i="4"/>
  <c r="BZ1509" i="4"/>
  <c r="CA1509" i="4"/>
  <c r="CA1385" i="4"/>
  <c r="BZ1385" i="4"/>
  <c r="BZ1224" i="4"/>
  <c r="CA1224" i="4"/>
  <c r="CA1389" i="4"/>
  <c r="BZ1345" i="4"/>
  <c r="CA1345" i="4"/>
  <c r="BZ1466" i="4"/>
  <c r="CA649" i="4"/>
  <c r="CA1466" i="4"/>
  <c r="CA1613" i="4"/>
  <c r="BZ1613" i="4"/>
  <c r="BZ1364" i="4"/>
  <c r="CA1364" i="4"/>
  <c r="BZ1225" i="4"/>
  <c r="CA1225" i="4"/>
  <c r="BZ1210" i="4"/>
  <c r="CA1210" i="4"/>
  <c r="CA1305" i="4"/>
  <c r="BZ1305" i="4"/>
  <c r="CA1415" i="4"/>
  <c r="BZ1415" i="4"/>
  <c r="CA1523" i="4"/>
  <c r="BZ1523" i="4"/>
  <c r="CA596" i="4"/>
  <c r="BZ1540" i="4"/>
  <c r="CA1540" i="4"/>
  <c r="CA1596" i="4"/>
  <c r="BZ1596" i="4"/>
  <c r="CA1285" i="4"/>
  <c r="BZ1285" i="4"/>
  <c r="CA1578" i="4"/>
  <c r="BZ1578" i="4"/>
  <c r="CA1492" i="4"/>
  <c r="BZ1492" i="4"/>
  <c r="BZ1332" i="4"/>
  <c r="CA1332" i="4"/>
  <c r="BZ1350" i="4"/>
  <c r="CA1350" i="4"/>
  <c r="BZ1597" i="4"/>
  <c r="CA1597" i="4"/>
  <c r="BZ1211" i="4"/>
  <c r="CA1211" i="4"/>
  <c r="BZ1498" i="4"/>
  <c r="CA1498" i="4"/>
  <c r="BZ1327" i="4"/>
  <c r="CA1327" i="4"/>
  <c r="CA1611" i="4"/>
  <c r="BZ1611" i="4"/>
  <c r="CA1287" i="4"/>
  <c r="BZ1287" i="4"/>
  <c r="CA1433" i="4"/>
  <c r="CA1434" i="4"/>
  <c r="BZ1433" i="4"/>
  <c r="CA1331" i="4"/>
  <c r="BZ1331" i="4"/>
  <c r="BZ1359" i="4"/>
  <c r="CA1359" i="4"/>
  <c r="BZ1421" i="4"/>
  <c r="CA1421" i="4"/>
  <c r="CA881" i="4"/>
  <c r="BZ1232" i="4"/>
  <c r="CA1232" i="4"/>
  <c r="BZ1315" i="4"/>
  <c r="CA1315" i="4"/>
  <c r="CA1503" i="4"/>
  <c r="BZ1503" i="4"/>
  <c r="BZ1568" i="4"/>
  <c r="CA1568" i="4"/>
  <c r="BZ1309" i="4"/>
  <c r="CA1309" i="4"/>
  <c r="CA1612" i="4"/>
  <c r="BZ1612" i="4"/>
  <c r="CA1375" i="4"/>
  <c r="BZ1375" i="4"/>
  <c r="BZ1226" i="4"/>
  <c r="CA1242" i="4"/>
  <c r="CA1226" i="4"/>
  <c r="BZ1212" i="4"/>
  <c r="CA1212" i="4"/>
  <c r="CA1438" i="4"/>
  <c r="BZ1438" i="4"/>
  <c r="CA1429" i="4"/>
  <c r="BZ1429" i="4"/>
  <c r="BZ1599" i="4"/>
  <c r="CA1599" i="4"/>
  <c r="BZ1369" i="4"/>
  <c r="CA1369" i="4"/>
  <c r="BZ1329" i="4"/>
  <c r="CA1329" i="4"/>
  <c r="CA1357" i="4"/>
  <c r="BZ1357" i="4"/>
  <c r="CA1493" i="4"/>
  <c r="BZ1493" i="4"/>
  <c r="BZ1566" i="4"/>
  <c r="CA1566" i="4"/>
  <c r="CA1217" i="4"/>
  <c r="BZ1217" i="4"/>
  <c r="CA1560" i="4"/>
  <c r="BZ1560" i="4"/>
  <c r="BZ1567" i="4"/>
  <c r="CA1567" i="4"/>
  <c r="BZ1502" i="4"/>
  <c r="CA1502" i="4"/>
  <c r="CA1284" i="4"/>
  <c r="BZ1284" i="4"/>
  <c r="CA1417" i="4"/>
  <c r="BZ1417" i="4"/>
  <c r="CA1607" i="4"/>
  <c r="BZ1607" i="4"/>
  <c r="BZ1214" i="4"/>
  <c r="CA1214" i="4"/>
  <c r="BZ1370" i="4"/>
  <c r="CA1370" i="4"/>
  <c r="CA1605" i="4"/>
  <c r="BZ1605" i="4"/>
  <c r="BZ1269" i="4"/>
  <c r="CA1269" i="4"/>
  <c r="CA1424" i="4"/>
  <c r="BZ1423" i="4"/>
  <c r="CA1423" i="4"/>
  <c r="CA1363" i="4"/>
  <c r="BZ1363" i="4"/>
  <c r="BZ1405" i="4"/>
  <c r="CA1405" i="4"/>
  <c r="CA1253" i="4"/>
  <c r="BZ1253" i="4"/>
  <c r="BZ1333" i="4"/>
  <c r="CA1333" i="4"/>
  <c r="BZ1522" i="4"/>
  <c r="CA1522" i="4"/>
  <c r="BZ1524" i="4"/>
  <c r="CA681" i="4"/>
  <c r="CA1524" i="4"/>
  <c r="BZ1260" i="4"/>
  <c r="CA1260" i="4"/>
  <c r="CA1215" i="4"/>
  <c r="BZ1215" i="4"/>
  <c r="CA1482" i="4"/>
  <c r="BZ1482" i="4"/>
  <c r="CA1477" i="4"/>
  <c r="BZ1477" i="4"/>
  <c r="BZ1216" i="4"/>
  <c r="CA1216" i="4"/>
  <c r="BZ1616" i="4"/>
  <c r="CA1616" i="4"/>
  <c r="BZ1238" i="4"/>
  <c r="CA1238" i="4"/>
  <c r="CA1355" i="4"/>
  <c r="BZ1355" i="4"/>
  <c r="CA1420" i="4"/>
  <c r="BZ1420" i="4"/>
  <c r="BZ1574" i="4"/>
  <c r="CA1574" i="4"/>
  <c r="CA1520" i="4"/>
  <c r="BZ1520" i="4"/>
  <c r="CA1233" i="4"/>
  <c r="BZ1233" i="4"/>
  <c r="CA882" i="4"/>
  <c r="CA1397" i="4"/>
  <c r="BZ1397" i="4"/>
  <c r="CA1341" i="4"/>
  <c r="BZ1341" i="4"/>
  <c r="BZ1356" i="4"/>
  <c r="CA1356" i="4"/>
  <c r="BZ1504" i="4"/>
  <c r="CA1504" i="4"/>
  <c r="BZ1374" i="4"/>
  <c r="CA1374" i="4"/>
  <c r="CA1321" i="4"/>
  <c r="CA1353" i="4"/>
  <c r="BZ1321" i="4"/>
  <c r="CA1469" i="4"/>
  <c r="BZ1469" i="4"/>
  <c r="BZ1476" i="4"/>
  <c r="CA1476" i="4"/>
  <c r="BZ1377" i="4"/>
  <c r="CA1377" i="4"/>
  <c r="BZ1231" i="4"/>
  <c r="CA880" i="4"/>
  <c r="CA1231" i="4"/>
  <c r="CA1410" i="4"/>
  <c r="BZ1410" i="4"/>
  <c r="BZ1402" i="4"/>
  <c r="CD1402" i="4"/>
  <c r="CA1547" i="4"/>
  <c r="BZ1547" i="4"/>
  <c r="CA1586" i="4"/>
  <c r="BZ1586" i="4"/>
  <c r="BZ1527" i="4"/>
  <c r="CA1527" i="4"/>
  <c r="CA600" i="4"/>
  <c r="CA13" i="4"/>
  <c r="CA1448" i="4"/>
  <c r="BZ1448" i="4"/>
  <c r="CA960" i="4"/>
  <c r="CA1406" i="4"/>
  <c r="BZ1406" i="4"/>
  <c r="CA1430" i="4"/>
  <c r="BZ1430" i="4"/>
  <c r="BZ1349" i="4"/>
  <c r="CA1349" i="4"/>
  <c r="BZ1293" i="4"/>
  <c r="CA1293" i="4"/>
  <c r="CA1338" i="4"/>
  <c r="BZ1338" i="4"/>
  <c r="CA1490" i="4"/>
  <c r="BZ1490" i="4"/>
  <c r="CA1235" i="4"/>
  <c r="CA898" i="4"/>
  <c r="BZ1235" i="4"/>
  <c r="CA1340" i="4"/>
  <c r="BZ1340" i="4"/>
  <c r="CA1323" i="4"/>
  <c r="CA1319" i="4"/>
  <c r="BZ1319" i="4"/>
  <c r="CA1289" i="4"/>
  <c r="BZ1289" i="4"/>
  <c r="CA431" i="4"/>
  <c r="BZ1545" i="4"/>
  <c r="CA1545" i="4"/>
  <c r="BZ1478" i="4"/>
  <c r="CA1478" i="4"/>
  <c r="CA1536" i="4"/>
  <c r="BZ1536" i="4"/>
  <c r="CA924" i="4"/>
  <c r="CA1296" i="4"/>
  <c r="BZ1296" i="4"/>
  <c r="CA1494" i="4"/>
  <c r="BZ1494" i="4"/>
  <c r="CA982" i="4"/>
  <c r="BZ1553" i="4"/>
  <c r="CA1553" i="4"/>
  <c r="CA1577" i="4"/>
  <c r="BZ1577" i="4"/>
  <c r="CA1221" i="4"/>
  <c r="BZ1221" i="4"/>
  <c r="BZ1501" i="4"/>
  <c r="CA1501" i="4"/>
  <c r="BZ1529" i="4"/>
  <c r="CA1529" i="4"/>
  <c r="CA1475" i="4"/>
  <c r="BZ1475" i="4"/>
  <c r="CA1495" i="4"/>
  <c r="BZ1495" i="4"/>
  <c r="BZ1407" i="4"/>
  <c r="CA1407" i="4"/>
  <c r="BZ1291" i="4"/>
  <c r="CA1291" i="4"/>
  <c r="CA1436" i="4"/>
  <c r="CA1437" i="4"/>
  <c r="BZ1436" i="4"/>
  <c r="CA876" i="4"/>
  <c r="BZ1227" i="4"/>
  <c r="CA1227" i="4"/>
  <c r="BZ1617" i="4"/>
  <c r="CA1617" i="4"/>
  <c r="BZ1563" i="4"/>
  <c r="CA966" i="4"/>
  <c r="CA1563" i="4"/>
  <c r="BZ1247" i="4"/>
  <c r="CA1247" i="4"/>
  <c r="CA1404" i="4"/>
  <c r="BZ1404" i="4"/>
  <c r="BZ1564" i="4"/>
  <c r="CA1564" i="4"/>
  <c r="CA1158" i="4"/>
  <c r="CA1387" i="4"/>
  <c r="CA1310" i="4"/>
  <c r="BZ1310" i="4"/>
  <c r="CA1425" i="4"/>
  <c r="BZ1425" i="4"/>
  <c r="BZ1282" i="4"/>
  <c r="CA1282" i="4"/>
  <c r="BZ1432" i="4"/>
  <c r="CA1432" i="4"/>
  <c r="CA1422" i="4"/>
  <c r="BZ1422" i="4"/>
  <c r="CA1301" i="4"/>
  <c r="BZ1301" i="4"/>
  <c r="BZ1412" i="4"/>
  <c r="CA1412" i="4"/>
  <c r="BZ1452" i="4"/>
  <c r="CA1452" i="4"/>
  <c r="CE937" i="4" l="1"/>
  <c r="CD937" i="4"/>
  <c r="CE464" i="4"/>
  <c r="CD464" i="4"/>
  <c r="CE1673" i="4"/>
  <c r="CD1673" i="4"/>
  <c r="CE1672" i="4"/>
  <c r="CD1672" i="4"/>
  <c r="CE1686" i="4"/>
  <c r="CD1686" i="4"/>
  <c r="CD2" i="4"/>
  <c r="CF2" i="4" s="1"/>
  <c r="BX3" i="4" l="1"/>
  <c r="AG549" i="4"/>
  <c r="BY549" i="4" s="1"/>
  <c r="AG548" i="4"/>
  <c r="BY548" i="4" s="1"/>
  <c r="AG547" i="4"/>
  <c r="BY547" i="4" s="1"/>
  <c r="AI548" i="4" l="1"/>
  <c r="BZ547" i="4"/>
  <c r="CA547" i="4"/>
  <c r="CA686" i="4"/>
  <c r="BZ549" i="4"/>
  <c r="CA549" i="4"/>
  <c r="AI547" i="4"/>
  <c r="AI549" i="4"/>
  <c r="CA548" i="4"/>
  <c r="BY3" i="4"/>
  <c r="BZ548" i="4"/>
  <c r="CA303" i="4"/>
  <c r="BZ3" i="4"/>
  <c r="CA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Thanh Truc</author>
  </authors>
  <commentList>
    <comment ref="Z1033" authorId="0" shapeId="0" xr:uid="{D7CE2542-CF1B-4B6E-ABC5-2260A8BB2BE4}">
      <text>
        <r>
          <rPr>
            <sz val="10"/>
            <color rgb="FF000000"/>
            <rFont val="Arial"/>
            <family val="2"/>
          </rPr>
          <t>======
ID#AAABdjFAJjY
Lina Tran    (2025-02-08 10:16:41)
Thêm 15 USD tiền dán tem</t>
        </r>
      </text>
    </comment>
    <comment ref="Z1034" authorId="0" shapeId="0" xr:uid="{4F2D3A82-F7FC-4D36-A969-9BEDD72D8578}">
      <text>
        <r>
          <rPr>
            <sz val="10"/>
            <color rgb="FF000000"/>
            <rFont val="Arial"/>
            <family val="2"/>
          </rPr>
          <t>======
ID#AAABdjFAJjc
Lina Tran    (2025-02-08 10:16:54)
Thêm 15 USD tiền dán tem</t>
        </r>
      </text>
    </comment>
    <comment ref="Z1194" authorId="1" shapeId="0" xr:uid="{9D65EB6D-8B64-4813-B381-811022DABB5E}">
      <text>
        <r>
          <rPr>
            <b/>
            <sz val="9"/>
            <color indexed="81"/>
            <rFont val="Tahoma"/>
            <family val="2"/>
          </rPr>
          <t>Thanh Truc:</t>
        </r>
        <r>
          <rPr>
            <sz val="9"/>
            <color indexed="81"/>
            <rFont val="Tahoma"/>
            <family val="2"/>
          </rPr>
          <t xml:space="preserve">
chênh lệch 37.4 eur so với ncc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<sst xmlns="http://schemas.openxmlformats.org/spreadsheetml/2006/main" count="67675" uniqueCount="9361">
  <si>
    <t>CONTRACT / PO</t>
  </si>
  <si>
    <t>PHÂN LOẠI</t>
  </si>
  <si>
    <t>THÔNG TIN HÀNG HÓA</t>
  </si>
  <si>
    <t>EUR</t>
  </si>
  <si>
    <t>THÔNG TIN VẬN CHUYỂN</t>
  </si>
  <si>
    <t>PHÍ VẬN CHUYỂN /  LÔ</t>
  </si>
  <si>
    <t>PHÍ VẬN CHUYỂN / MÃ</t>
  </si>
  <si>
    <t>GIÁ NHẬP KHO</t>
  </si>
  <si>
    <t>USD</t>
  </si>
  <si>
    <t>Cost 1</t>
  </si>
  <si>
    <t>Cost 2</t>
  </si>
  <si>
    <t>Cost 3</t>
  </si>
  <si>
    <t>Cost 4</t>
  </si>
  <si>
    <t>Cost 5</t>
  </si>
  <si>
    <t>(+OF)</t>
  </si>
  <si>
    <t>TÌNH TRẠNG</t>
  </si>
  <si>
    <t>NCC</t>
  </si>
  <si>
    <t>HỢP ĐỒNG</t>
  </si>
  <si>
    <t>SỐ PO</t>
  </si>
  <si>
    <t>NGÀY PO</t>
  </si>
  <si>
    <t>BRAND</t>
  </si>
  <si>
    <t>PRE-ORDER/STOCK</t>
  </si>
  <si>
    <t>SỐ DH</t>
  </si>
  <si>
    <t>NGÀY KHÁCH ĐẶT HÀNG</t>
  </si>
  <si>
    <t>NGÀY GIAO HÀNG</t>
  </si>
  <si>
    <t>PHƯƠNG THỨC
THANH TOÁN</t>
  </si>
  <si>
    <t>PAYMENT TERM</t>
  </si>
  <si>
    <t>NGÀY THANH TOÁN</t>
  </si>
  <si>
    <t>CATEGORY</t>
  </si>
  <si>
    <t>SUB-CATEGORY</t>
  </si>
  <si>
    <t>SERIES</t>
  </si>
  <si>
    <t>MODEL</t>
  </si>
  <si>
    <t>MÃ MISA</t>
  </si>
  <si>
    <t>TÊN HÀNG HÓA</t>
  </si>
  <si>
    <t>SL</t>
  </si>
  <si>
    <t>NGOẠI TỆ</t>
  </si>
  <si>
    <t>PRICE LIST</t>
  </si>
  <si>
    <t>GIÁ TRỊ GROSS</t>
  </si>
  <si>
    <t>DISCOUNT</t>
  </si>
  <si>
    <t>PRICE ORDER</t>
  </si>
  <si>
    <t>F.O.C</t>
  </si>
  <si>
    <t>GIÁ TRỊ NET/HỢP ĐỒNG (-FOC)</t>
  </si>
  <si>
    <t>GIÁ TRỊ NET/HỢP ĐỒNG</t>
  </si>
  <si>
    <t>Tỷ giá cho Đơn giá nhập</t>
  </si>
  <si>
    <t>Tỷ giá tờ khai</t>
  </si>
  <si>
    <t>Thuế nhập khẩu + thuế CBPG</t>
  </si>
  <si>
    <t>Giá trị thuế nhập khẩu</t>
  </si>
  <si>
    <t>VAT</t>
  </si>
  <si>
    <t>Giá trị VAT</t>
  </si>
  <si>
    <t>SỐ INVOICE</t>
  </si>
  <si>
    <t>NGÀY INVOICE</t>
  </si>
  <si>
    <t>SỐ BILL</t>
  </si>
  <si>
    <t>SỐ CONTS/SEAL</t>
  </si>
  <si>
    <t>SL CONT/CBM
(20/40)</t>
  </si>
  <si>
    <t>PHƯƠNG THỨC VẬN CHUYỂN</t>
  </si>
  <si>
    <t>ETD S/O</t>
  </si>
  <si>
    <t>ETD/ATD</t>
  </si>
  <si>
    <t>ETA</t>
  </si>
  <si>
    <t>POL</t>
  </si>
  <si>
    <t>POD</t>
  </si>
  <si>
    <t>FWD</t>
  </si>
  <si>
    <t>SỐ TỜ KHAI</t>
  </si>
  <si>
    <t>NGÀY TỜ KHAI</t>
  </si>
  <si>
    <t>NGÀY THÔNG QUAN</t>
  </si>
  <si>
    <t>DIỄN GIẢI TỜ KHAI</t>
  </si>
  <si>
    <t>HS CODE</t>
  </si>
  <si>
    <t>GHI CHÚ HÀNG HÓA</t>
  </si>
  <si>
    <t>KHO</t>
  </si>
  <si>
    <t>NGÀY NHẬP KHO</t>
  </si>
  <si>
    <t>Số lô</t>
  </si>
  <si>
    <t>% Tỷ lệ</t>
  </si>
  <si>
    <t>Phí lấy hàng EXW/FCA + OF</t>
  </si>
  <si>
    <t>Phí lấy hàng FCA</t>
  </si>
  <si>
    <t xml:space="preserve">OF | AF
</t>
  </si>
  <si>
    <t>Local charge+PVHN+Lưu kho+ Trucking (Chưa VAT)</t>
  </si>
  <si>
    <t>Insurance fee (Chưa VAT)</t>
  </si>
  <si>
    <t>D/O /  THỬ NGHIỆM/ CP KHÁC</t>
  </si>
  <si>
    <t>Phí CSHT+ Lệ phí HQ
VND</t>
  </si>
  <si>
    <t>TRUCKING FEE</t>
  </si>
  <si>
    <t>CHI PHÍ HẢI QUAN (Chưa VAT)</t>
  </si>
  <si>
    <t>Phí thủ tục lấy hàng EXW
/mã</t>
  </si>
  <si>
    <t>Phí thủ tục lấy hàng FCA
/mã</t>
  </si>
  <si>
    <t>OF | AF
/mã</t>
  </si>
  <si>
    <t>Local charge+PVHN+Lưu kho+ Trucking
Chưa VAT</t>
  </si>
  <si>
    <t>INS FEE
/mã (Chưa VAT)</t>
  </si>
  <si>
    <t>D/O /  THỬ NGHIỆM/ CP KHÁC / mã</t>
  </si>
  <si>
    <t>Phí CSHT
/mã</t>
  </si>
  <si>
    <t>Trucking 
/mã</t>
  </si>
  <si>
    <t>Khai hải quan
/mã</t>
  </si>
  <si>
    <t>TOTAL COST
Vận chuyển</t>
  </si>
  <si>
    <t>Giá nhập kho (chưa VAT)</t>
  </si>
  <si>
    <t>Giá trị nhập kho (theo SL)</t>
  </si>
  <si>
    <t>Giá vốn max theo mã misa</t>
  </si>
  <si>
    <t>Giá bán lẻ</t>
  </si>
  <si>
    <t>Giá bán ck</t>
  </si>
  <si>
    <t>LN net</t>
  </si>
  <si>
    <t>Biên lãi gộp</t>
  </si>
  <si>
    <t>Giá trị net vnd</t>
  </si>
  <si>
    <t>Done</t>
  </si>
  <si>
    <t>LOUIS POULSEN</t>
  </si>
  <si>
    <t>SC-LPS-03-091023- DH-0001464&amp;1471&amp;1379</t>
  </si>
  <si>
    <t>Louis Poulsen</t>
  </si>
  <si>
    <t>PRE-ORDER</t>
  </si>
  <si>
    <t>DH-0001464&amp;1471&amp;1379</t>
  </si>
  <si>
    <t>27/10/2023</t>
  </si>
  <si>
    <t>16/12/2023</t>
  </si>
  <si>
    <t>100% BEFORE PICK UP</t>
  </si>
  <si>
    <t>EXW</t>
  </si>
  <si>
    <t>DECOR LIGHTING</t>
  </si>
  <si>
    <t>pendant</t>
  </si>
  <si>
    <t xml:space="preserve">PH 5 Ø500mm Pendant </t>
  </si>
  <si>
    <t>5741099980</t>
  </si>
  <si>
    <t>LPLLP00049</t>
  </si>
  <si>
    <t>Đèn Thả PH 5, kích thước: phi 500 x H267 mm, Bằng Aluminum, Màu Đồng Brass (không kèm bóng), hiệu: Louis Poulsen, mã hàng: 5741099980, mới 100%</t>
  </si>
  <si>
    <t>1019010048</t>
  </si>
  <si>
    <t>27/11/2023</t>
  </si>
  <si>
    <t>AIR</t>
  </si>
  <si>
    <t>10/12/2023</t>
  </si>
  <si>
    <t>105951072360</t>
  </si>
  <si>
    <t>12/12/2023</t>
  </si>
  <si>
    <t>Xong</t>
  </si>
  <si>
    <t>BÌNH PHÚ</t>
  </si>
  <si>
    <t>Lô 1</t>
  </si>
  <si>
    <t>Spare part</t>
  </si>
  <si>
    <t>Sparepart</t>
  </si>
  <si>
    <t>5744610722</t>
  </si>
  <si>
    <t>SPALP00007</t>
  </si>
  <si>
    <t>Chụp Đèn PH 4 1/2 - 3 1/2 Top Shade, kích thước : DK 45 cm, bằng thủy tinh, màu trắng, hiệu: Louis Poulsen, mã hàng: 5744610722, mới 100%</t>
  </si>
  <si>
    <t>5741481598</t>
  </si>
  <si>
    <t>SPALP00008</t>
  </si>
  <si>
    <t>Chụp Đèn PH 3-2 middle shade, kích thước DK 14.4 cm, bằng thủy tinh, màu trắng, hiệu: Louis Poulsen, mã hàng: 5741481598, mới 100%</t>
  </si>
  <si>
    <t>NINE UNITED</t>
  </si>
  <si>
    <t>SC-NINE UNITED-120923-Ms Thao &amp; Stock</t>
  </si>
  <si>
    <t>HAY</t>
  </si>
  <si>
    <t>STOCK</t>
  </si>
  <si>
    <t>ACCESSORIES</t>
  </si>
  <si>
    <t>Cushion</t>
  </si>
  <si>
    <t>AB562-B289-AB30</t>
  </si>
  <si>
    <t>SPAHA00017</t>
  </si>
  <si>
    <t>Đệm PALISSADE CHAISE LOUNGE QUILTED CUSHION,(D195 xR49.5 xC1)cm,Bằng Mút xốp,Bọc vải Olefin,Màu xám(Sky Grey).Hiệu:HAY.Model:AB562-B289-AB30.Mới 100%</t>
  </si>
  <si>
    <t>IN231027082720</t>
  </si>
  <si>
    <t>SEA</t>
  </si>
  <si>
    <t>23/10/2023</t>
  </si>
  <si>
    <t>105946807302</t>
  </si>
  <si>
    <t>09/12/2023</t>
  </si>
  <si>
    <t>Lô 2</t>
  </si>
  <si>
    <t>AB562-B293-AB30</t>
  </si>
  <si>
    <t>SPAHA00016</t>
  </si>
  <si>
    <t>Đệm PALISSADE-LOUNGE CHAIR LOW QUILTED CUSHION,(D117xR49.5xC1)cm,Bằng Mút xốp,Bọc vải Olefin,Màu xám(Sky Grey).Hiệu:HAY.Model:AB562-B293-AB30.Mới 100%</t>
  </si>
  <si>
    <t>VERPAN</t>
  </si>
  <si>
    <t>FURNITURE</t>
  </si>
  <si>
    <t>Chairs</t>
  </si>
  <si>
    <t>V9112018800219</t>
  </si>
  <si>
    <t>CLGVP00001</t>
  </si>
  <si>
    <t>Ghế EASY CHAIR, DI80 x H84 cm, Bằng Vải Dedar Karandash (004), Màu Vàng.Hiệu:Verpan.Model:V911201 8800219.Mới 100%</t>
  </si>
  <si>
    <t>&amp;Tradition</t>
  </si>
  <si>
    <t>table</t>
  </si>
  <si>
    <t>701031</t>
  </si>
  <si>
    <t>TBLAT00002</t>
  </si>
  <si>
    <t>Bàn trang trí SHUFFLE MH1, mặt bàn tròn, Phi45xH69cm, Bằng Gỗ Lacquered MDF,solid wood, màu quang phổ(spectrum).Hiệu:&amp;Tradition.Model:701031.Mới 100%</t>
  </si>
  <si>
    <t>Table lamp</t>
  </si>
  <si>
    <t>20712201</t>
  </si>
  <si>
    <t>LTLAT00009</t>
  </si>
  <si>
    <t>Đèn trang trí FLOWERPOT VP9,công nghệ LED,(Phi 16 x cao 29.5)cm,3W 2700K,bằng PC và thép,màu vàng(Mustard).Hiệu:&amp;Tradition.Model:20712201.Mới 100%</t>
  </si>
  <si>
    <t>20713501</t>
  </si>
  <si>
    <t>LTLAT00015</t>
  </si>
  <si>
    <t>Đèn trang trí FLOWERPOT VP9,công nghệ LED,(Phi 16 x cao 29.5)cm,3W 2700K,bằng PC và thép,Màu hồng(Tangy Pink).Hiệu:&amp;Tradition.Model:20713501.Mới 100%</t>
  </si>
  <si>
    <t>20713601</t>
  </si>
  <si>
    <t>LTLAT00014</t>
  </si>
  <si>
    <t>Đèn trang trí FLOWERPOT VP9,công nghệ LED,(Phi 16 x cao 29.5)cm,3W 2700K,bằng PC và thép,Màu đỏ (Dark Plum).Hiệu:&amp;Tradition.Model:20713601.Mới 100%</t>
  </si>
  <si>
    <t>20718901</t>
  </si>
  <si>
    <t>LTLAT00002</t>
  </si>
  <si>
    <t>Đèn trang trí FLOWERPOT VP9,công nghệ LED,(Phi 16 x cao 29.5)cm,3W 2700K,bằng PC và thép,Màu be (Grey Beige).Hiệu:&amp;Tradition.Model:20718901.Mới 100%</t>
  </si>
  <si>
    <t>20719201</t>
  </si>
  <si>
    <t>LTLAT00001</t>
  </si>
  <si>
    <t>Đèn trang trí FLOWERPOT VP9,công nghệ LED,(Phi 16 x cao 29.5)cm,3W 2700K,bằng PC và thép,Màu Lục(Signal Green).Hiệu:&amp;Tradition.Model:20719201.Mới 100%</t>
  </si>
  <si>
    <t>86202005</t>
  </si>
  <si>
    <t>TBLAT00003</t>
  </si>
  <si>
    <t>Bàn LATO, LN8, Phi 40 x H50 cm, Mặt Bàn tròn bằng kim loại màu trắng Ivory White , Bệ Đá Crema Diva Marble.Hiệu:&amp;Tradition.Model:86202005, 1SET= 1 MẶT BÀN+ 1 CHÂN BÀN.Mới 100%</t>
  </si>
  <si>
    <t>86202015</t>
  </si>
  <si>
    <t>TBLAT00004</t>
  </si>
  <si>
    <t>Bàn LATO, LN9, L50 x W40 x H45 cm, Mặt Bàn bằng kim loại màu trắng Ivory White , Bệ Đá Crema Diva Marble.Hiệu:&amp;Tradition.Model:86202015 .1SET= 1 MẶT BÀN+ 1 CHÂN BÀN.Mới 100%</t>
  </si>
  <si>
    <t>Vase</t>
  </si>
  <si>
    <t>508041</t>
  </si>
  <si>
    <t>ACCHA00236</t>
  </si>
  <si>
    <t>Bình Hoa Bottoms Up Vase S, H21 x W11 x L11 cm, Bằng thủy tinh, Màu xanh Electric Blue.Hiệu:HAY.Model:508041.Mới 100%</t>
  </si>
  <si>
    <t>Organizer</t>
  </si>
  <si>
    <t>541441</t>
  </si>
  <si>
    <t>ACCHA00227</t>
  </si>
  <si>
    <t>Hộp Đa Năng COLOUR CRATE, Cỡ S, L26.5 x W17 x H10.5 cm, Bằngnhựa recycled PP, Màu xanh Dusty blue.Hiệu:HAY.Model:541441.Mới 100%</t>
  </si>
  <si>
    <t>541442</t>
  </si>
  <si>
    <t>ACCHA00192</t>
  </si>
  <si>
    <t>Hộp Đa Năng COLOUR CRATE, Cỡ S, L26.5 X W17 X H10.5 cm, BằngRecycled PP, Màu Hồng Dusty Rose.Hiệu:HAY.Model:541442.Mới 100%</t>
  </si>
  <si>
    <t>541443</t>
  </si>
  <si>
    <t>ACCHA00193</t>
  </si>
  <si>
    <t>Hộp Đa Năng COLOUR CRATE, Cỡ S, L26.5 X W17 X H10.5 cm, Bằng Recycled PP, Màu Vàng Dusty Yellow.Hiệu:HAY.Model:541443.Mới 100%</t>
  </si>
  <si>
    <t>541444</t>
  </si>
  <si>
    <t>ACCHA00226</t>
  </si>
  <si>
    <t>Hộp Đa Năng COLOUR CRATE, Cỡ S, L26.5 x W17 x H10.5 cm, Bằng nhựa recycled PP, Màu xanh Electric blue.Hiệu:HAY.Model:541444.Mới 100%</t>
  </si>
  <si>
    <t>541446</t>
  </si>
  <si>
    <t>ACCHA00190</t>
  </si>
  <si>
    <t>Hộp Đa Năng COLOUR CRATE, Cỡ S, L26.5 X W17 X H10.5 cm, Bằng Recycled PP, Màu Tím Lavender.Hiệu:HAY.Model:541446.Mới 100%</t>
  </si>
  <si>
    <t>541448</t>
  </si>
  <si>
    <t>ACCHA00229</t>
  </si>
  <si>
    <t>Hộp Đa Năng COLOUR CRATE, Cỡ S, L26.5 x W17 x H10.5 cm, Bằng nhựa recycled PP, Màu xám Light grey.Hiệu:HAY.Model:541448.Mới 100%</t>
  </si>
  <si>
    <t>541449</t>
  </si>
  <si>
    <t>ACCHA00228</t>
  </si>
  <si>
    <t>Hộp Đa Năng COLOUR CRATE, Cỡ S, L26.5 x W17 x H10.5 cm, Bằng nhựa recycled PP, Màu lục Mint.Hiệu:HAY.Model:541449.Mới 100%</t>
  </si>
  <si>
    <t>541450</t>
  </si>
  <si>
    <t>ACCHA00225</t>
  </si>
  <si>
    <t>Hộp Đa Năng COLOUR CRATE, Cỡ S, L26.5 x W17 x H10.5 cm, Bằng nhựa recycled PP, Màu lục Ocean green.Hiệu:HAY.Model:541450.Mới 100%</t>
  </si>
  <si>
    <t>541451</t>
  </si>
  <si>
    <t>ACCHA00191</t>
  </si>
  <si>
    <t>Hộp Đa Năng COLOUR CRATE, Cỡ S, L26.5 X W17 X H10.5 cm, Bằng Recycled PP, Màu Trắng Off-white.Hiệu:HAY.Model:541451.Mới 100%</t>
  </si>
  <si>
    <t>541459</t>
  </si>
  <si>
    <t>ACCHA00223</t>
  </si>
  <si>
    <t>Hộp Đa Năng COLOUR CRATE, Cỡ M, L40 x W30 x H14.5 cm, Bằng nhựa recycled PP, Màu tím Lavender.Hiệu:HAY.Model:541459.Mới 100%</t>
  </si>
  <si>
    <t>541460</t>
  </si>
  <si>
    <t>ACCHA00224</t>
  </si>
  <si>
    <t>Hộp Đa Năng COLOUR CRATE, Cỡ M, L40 x W30 x H14.5 cm, Bằng nhựa recycled PP, Màu trắng Off-white.Hiệu:HAY.Model:541460.Mới 100%</t>
  </si>
  <si>
    <t>Others</t>
  </si>
  <si>
    <t>541553</t>
  </si>
  <si>
    <t>ACCHA00237</t>
  </si>
  <si>
    <t>Khăn ăn Sobremesa Napkins, W45 x L45 cm, Bằng Linen và Cotton, Màu trắng (bộ 4 cái).Hiệu:HAY.Model:541553.Mới 100%</t>
  </si>
  <si>
    <t>542150</t>
  </si>
  <si>
    <t>ACCHA00230</t>
  </si>
  <si>
    <t>Hộp Đa Năng COLOUR CRATE, Cỡ S, L26.5 x W17 x H10.5 cm, Bằng nhựa recycled PP, Màu hỗn hợp Mix Dusty rose.Hiệu:HAY.Model:542150.Mới 100%</t>
  </si>
  <si>
    <t>542152</t>
  </si>
  <si>
    <t>ACCHA00233</t>
  </si>
  <si>
    <t>Hộp Đa Năng COLOUR CRATE, Cỡ S, L26.5 x W17 x H10.5 cm, Bằng nhựa recycled PP, Màu hỗn hợp Mix Dusty yellow.Hiệu:HAY.Model:542152.Mới 100%</t>
  </si>
  <si>
    <t>542154</t>
  </si>
  <si>
    <t>ACCHA00231</t>
  </si>
  <si>
    <t>Hộp Đa Năng COLOUR CRATE, Cỡ S, L26.5 x W17 x H10.5 cm, Bằng nhựa recycled PP, Màu hỗn hợp Mix Golden yellow.Hiệu:HAY.Model:542154.Mới 100%</t>
  </si>
  <si>
    <t>542156</t>
  </si>
  <si>
    <t>ACCHA00235</t>
  </si>
  <si>
    <t>Hộp Đa Năng COLOUR CRATE, Cỡ S, L26.5 x W17 x H10.5 cm, Bằng nhựa recycled PP, Màu hỗn hợp Mix Lavender.Hiệu:HAY.Model:542156.Mới 100%</t>
  </si>
  <si>
    <t>542162</t>
  </si>
  <si>
    <t>ACCHA00232</t>
  </si>
  <si>
    <t>Hộp Đa Năng COLOUR CRATE, Cỡ S, L26.5 x W17 x H10.5 cm, Bằng nhựa recycled PP, Màu hỗn hợp Mix Powder.Hiệu:HAY.Model:542162.Mới 100%</t>
  </si>
  <si>
    <t>542164</t>
  </si>
  <si>
    <t>ACCHA00234</t>
  </si>
  <si>
    <t>Hộp Đa Năng COLOUR CRATE, Cỡ S, L26.5 x W17 x H10.5 cm, Bằng nhựa recycled PP, Màu hỗn hợp Mix Red.Hiệu:HAY.Model:542164.Mới 100%</t>
  </si>
  <si>
    <t>542170</t>
  </si>
  <si>
    <t>ACCHA00222</t>
  </si>
  <si>
    <t>Hộp Đa Năng COLOUR CRATE, Cỡ M, L40 x W30 x H14.5 cm, Bằng nhựa recycled PP, Màu hỗn hợp Mix Powder.Hiệu:HAY.Model:542170.Mới 100%</t>
  </si>
  <si>
    <t>SC-Nine United-271023- DH-00014531303</t>
  </si>
  <si>
    <t xml:space="preserve"> DH-0001453</t>
  </si>
  <si>
    <t>24/10/2023</t>
  </si>
  <si>
    <t>20/12/2023</t>
  </si>
  <si>
    <t>AA610-A237</t>
  </si>
  <si>
    <t>OUTHA00013</t>
  </si>
  <si>
    <t>Ghế PALISSADE BENCH, Kích thước (Dài 120 x Rộng 42 x Cao 45) cm, Bằng Thép, Màu lục (OLIVE).Hiệu:HAY.Model:AA610-A237.Mới 100%</t>
  </si>
  <si>
    <t>LPLAT00004</t>
  </si>
  <si>
    <t>Đèn thả Mega Bulb SR2, DI18 x H23cm, Bằng Thủy tinh, Sứ, màu Vàng, dây nhựa Trong suốt (không kèm bóng).Hiệu:&amp;Tradition.Model:200600.Mới 100%</t>
  </si>
  <si>
    <t>FLOS</t>
  </si>
  <si>
    <t>SC-FLOS-110923-STOCK&amp;MR HIEN</t>
  </si>
  <si>
    <t>F9800009</t>
  </si>
  <si>
    <t>LPLFL00046</t>
  </si>
  <si>
    <t>Đèn Trang Trí ZEPPELIN 1, Phi 1100 x H740 mm, không kèm bóng, màu trắng, hiệu: FLOS. Model: F9800009. mới 100%.</t>
  </si>
  <si>
    <t>2303002821</t>
  </si>
  <si>
    <t>105938436551</t>
  </si>
  <si>
    <t>06/12/2023</t>
  </si>
  <si>
    <t>Lô 3</t>
  </si>
  <si>
    <t>F8001009</t>
  </si>
  <si>
    <t>LPLFL00045</t>
  </si>
  <si>
    <t>Đèn trang trí Viscontea, Phi 68 cm x H49 cm, không kèm bóng, bằng thép, cocoon, màu trắng. Hiệu: FLOS. Model: F8001009. mới 100%.</t>
  </si>
  <si>
    <t>F7402009</t>
  </si>
  <si>
    <t>LPLFL00051</t>
  </si>
  <si>
    <t>Đèn Thả TARAXACUM S2, phi 870 x H640 mm, Không kèm bóng, Khung Kim Loại, Cocoon, Màu Trắng Bianco White.Hiệu: FLOS, Model: F7402009,  mới 100%.</t>
  </si>
  <si>
    <t>Floor lamp</t>
  </si>
  <si>
    <t>F1590056</t>
  </si>
  <si>
    <t>LFLFL00025</t>
  </si>
  <si>
    <t>Đèn Sàn CHIARA F, Phi 720 x L1450 mm, Không kèm bóng, Bằng Thép Stainless, Màu Trắng Viền Đen.Hiệu: FLOS, Model: F1590056, mới 100%</t>
  </si>
  <si>
    <t>USM</t>
  </si>
  <si>
    <t>SC-USM-15-220823-A TAI&amp;CAMPAIGN</t>
  </si>
  <si>
    <t>FCA</t>
  </si>
  <si>
    <t>Cabinet</t>
  </si>
  <si>
    <t>USMUS00368</t>
  </si>
  <si>
    <t>Tủ nội thất văn phòng USM HALLER, USMUS00368, Kích thước (dài 773 x rộng 373 x cao 1090 mm), Bằng Kim loại, Màu Olive. Hiệu USM</t>
  </si>
  <si>
    <t>102083254</t>
  </si>
  <si>
    <t>17/11/2023</t>
  </si>
  <si>
    <t>105902755340</t>
  </si>
  <si>
    <t>22/11/2023</t>
  </si>
  <si>
    <t>Lô 4</t>
  </si>
  <si>
    <t>USMUS00367</t>
  </si>
  <si>
    <t>Tủ nội thất văn phòng USM HALLER, USMUS00367, Kích thước (dài 1523 x rộng 373 x cao 740 mm), Bằng Kim loại, Màu Olive. Hiệu USM</t>
  </si>
  <si>
    <t>USMUS00369</t>
  </si>
  <si>
    <t>Tủ nội thất văn phòng USM HALLER, USMUS00369, Kích thước (dài 1523 x rộng 373 x cao 610 mm), Bằng Kim loại, Màu Olive. Hiệu USM</t>
  </si>
  <si>
    <t>USMUS10171</t>
  </si>
  <si>
    <t>Kệ văn phòng USM HALLER có bánh xe,USMUS10171,Kích thước (D523xR373xC605 mm), Bằng Kim loại, Màu Trắng (Pure White), Cam (Pure Orange). Hiệu USM</t>
  </si>
  <si>
    <t>SC-USM-290623</t>
  </si>
  <si>
    <t>USMUS10007</t>
  </si>
  <si>
    <t>Tủ nội thất văn phòng USM HALLER, USMUS10007, kích thước (dài 4273 x rộng 1123 x cao 990 mm), bằng Kim loại, màu Vàng (Golden Yellow). Hiệu USM</t>
  </si>
  <si>
    <t>102082282</t>
  </si>
  <si>
    <t>13/07/2023</t>
  </si>
  <si>
    <t>03/08/2023</t>
  </si>
  <si>
    <t>105728943720</t>
  </si>
  <si>
    <t>20/09/2023</t>
  </si>
  <si>
    <t>Lô 5</t>
  </si>
  <si>
    <t>USMUS10008</t>
  </si>
  <si>
    <t>Tủ nội thất văn phòng USM HALLER, USMUS10008, kích thước (dài 7019 x rộng 1523 x cao 2490 mm), bằng Kim loại, màu Vàng (Golden Yellow). Hiệu USM</t>
  </si>
  <si>
    <t>USMUS10009</t>
  </si>
  <si>
    <t>Tủ nội thất văn phòng USM HALLER, USMUS10009, kích thước (dài 4373 x rộng 1873 x cao 2140 mm), bằng Kim loại, màu Trắng (Pure White), màu Vàng (Golden Yellow), màu Đen (Graphite Black). Hiệu USM</t>
  </si>
  <si>
    <t>USMUS10010</t>
  </si>
  <si>
    <t>Tủ nội thất văn phòng USM HALLER, USMUS10010, kích thước (dài 1523 x rộng 373 x cao 1090 mm), bằng Kim loại, màu Trắng (Pure White), màu Vàng (Golden Yellow), màu Đen (Graphite Black). Hiệu USM</t>
  </si>
  <si>
    <t>USMUS10011</t>
  </si>
  <si>
    <t>Tủ nội thất văn phòng USM HALLER, USMUS10011, kích thước (dài 2273 x rộng 373 x cao 1090 mm), bằng Kim loại, màu Xám (Anthracite). Hiệu USM</t>
  </si>
  <si>
    <t>USMUS00220</t>
  </si>
  <si>
    <t>Tủ nội thất văn phòng USM HALLER, USMUS00220, kích thước (dài 1523 x rộng 373 x cao 740 mm), bằng Kim loại, màu Be (USM Beige). Hiệu USM</t>
  </si>
  <si>
    <t>USMUS00311</t>
  </si>
  <si>
    <t>Bàn văn phòng USM HALLER, USMUS00311, kích thước (dài 1750 x rộng 750 x cao 740 mm), Mặt Fenix, khung Kim loại, màu Trắng (Bianco Kos). Hiệu USM</t>
  </si>
  <si>
    <t>USMUS10013</t>
  </si>
  <si>
    <t>Tủ nội thất văn phòng USM HALLER, USMUS10013, kích thước (dài 3063 x rộng 373 x cao 2490 mm), bằng Kim loại, màu Xanh Gentian (Gentian Blue). Hiệu USM</t>
  </si>
  <si>
    <t>USMUS10014</t>
  </si>
  <si>
    <t>Tủ nội thất văn phòng USM HALLER, USMUS10014, kích thước (dài 2523 x rộng 373 x cao 2140 mm), bằng Kim loại, màu Xám (USM Mid-Gray). Hiệu USM</t>
  </si>
  <si>
    <t>USMUS10001</t>
  </si>
  <si>
    <t>Kệ nội thất văn phòng USM HALLER, USMUS10001, kích thước (dài 5523 x rộng 1073 x cao 2040 mm), bằng Kim loại, màu Cam (Pure Orange). Hiệu USM</t>
  </si>
  <si>
    <t>USMUS10002</t>
  </si>
  <si>
    <t>Kệ nội thất văn phòng USM HALLER, USMUS10002,dài 4523xrộng523x cao2335xmm,bằng Kim loại,màu Bạc Silver(USM Matte Silver),Be (USM Beige),Xám (USM Mid-Gray),Trắng (Pure White),Cam(Pure Orange). Hiệu USM</t>
  </si>
  <si>
    <t>USMUS10015</t>
  </si>
  <si>
    <t>Tủ văn phòng USM HALLER, USMUS10015,(dài 2773xrộng373x cao 990)mm,bằng Kim loại,Thủy tinh,màu Trong suốt (Transparent),Cam(Pure Orange),Xám(USM Mid-Gray),Bạc Silver(USM Matte Silver),Trắng(Pure White)</t>
  </si>
  <si>
    <t>USMUS00321</t>
  </si>
  <si>
    <t>Bàn văn phòng USM Kitos M Plus, USMUS00321, kích thước (dài 1800 x rộng 900 x cao 700-1200 mm), Mặt Fenix, khung Kim loại, màu Trắng (Bianco Kos). Hiệu USM</t>
  </si>
  <si>
    <t>USMUS10003</t>
  </si>
  <si>
    <t>Kệ nội thất văn phòng USM HALLER, USMUS10003, kích thước (dài 3523 x rộng 723 x cao 2405 mm), bằng Kim loại, màu Xanh Gentian (Gentian Blue). Hiệu USM</t>
  </si>
  <si>
    <t>USMUS10004</t>
  </si>
  <si>
    <t>Kệ nội thất văn phòng USM HALLER, USMUS10004, kích thước (dài 3773 x rộng 373 x cao 2405 mm), bằng Kim loại, màu Xanh Gentian (Gentian Blue). Hiệu USM</t>
  </si>
  <si>
    <t>USMUS10016</t>
  </si>
  <si>
    <t>Tủ nội thất văn phòng USM HALLER, USMUS10016, kích thước (dài 2623 x rộng 1123 x cao 1440 mm),bằng Kim loại,màu Xanh đậm (Steel Blue), cam(Pure Orange), màu Bạc Silver (USM Matte Silver). Hiệu USM</t>
  </si>
  <si>
    <t>USMUS10017</t>
  </si>
  <si>
    <t>Tủ nội thất văn phòng USM HALLER, USMUS10017, kích thước (dài 1523 x rộng 373 x cao 740 mm),bằng Kim loại, màu Bạc Silver (USM Matte Silver), màu Xanh đậm (Steel Blue), màu Cam (Pure Orange). Hiệu USM</t>
  </si>
  <si>
    <t>USMUS10038</t>
  </si>
  <si>
    <t>Tủ nội thất văn phòng USM HALLER, USMUS10038, kích thước (dài 773 x rộng 373 x cao 740 mm), bằng Kim loại, màu Đỏ Ruby (USM Ruby Red), màu Trắng (Pure White). Hiệu USM</t>
  </si>
  <si>
    <t>USMUS10039</t>
  </si>
  <si>
    <t>Tủ nội thất văn phòng USM HALLER, USMUS10039, kích thước (dài 773 x rộng 373 x cao 740 mm), bằng Kim loại, màu Lục (USM Green), màu Vàng (Golden Yellow). Hiệu USM</t>
  </si>
  <si>
    <t>USMUS10005</t>
  </si>
  <si>
    <t>Kệ nội thất văn phòng USM HALLER, USMUS10005, kích thước (dài 5523 x rộng 1073 x cao 2392 mm), bằng Kim loại, màu Lục (USM Green). Hiệu USM</t>
  </si>
  <si>
    <t>USMUS10020</t>
  </si>
  <si>
    <t>Tủ nội thất văn phòng USM HALLER, USMUS10020, kích thước (dài 1208 x rộng 373 x cao 840 mm), bằng Kim loại, màu Đỏ Ruby (USM Ruby Red). Hiệu USM</t>
  </si>
  <si>
    <t>USMUS10021</t>
  </si>
  <si>
    <t>Tủ nội thất văn phòng USM HALLER, USMUS10021, kích thước (dài 2373 x rộng 1123 x cao 1440 mm), bằng Kim loại, màu Trắng (Pure White), màu Lục (USM Green), màu Cam (Pure Orange). Hiệu USM</t>
  </si>
  <si>
    <t>USMUS10022</t>
  </si>
  <si>
    <t>Tủ nội thất văn phòng USM HALLER, USMUS10022, kích thước (dài 2273 x rộng 373 x cao 1440 mm), bằng Kim loại, màu Cam (Pure Orange), màu Lục (USM Green), màu Trắng (Pure White). Hiệu USM</t>
  </si>
  <si>
    <t>USMUS10006</t>
  </si>
  <si>
    <t>Kệ nội thất văn phòng USM HALLER, USMUS10006, kích thước (dài 3273 x rộng 373 x cao 1440 mm), bằng Kim loại, màu Lục (USM Green), màu Trắng (Pure White). Hiệu USM</t>
  </si>
  <si>
    <t>USMUS10023</t>
  </si>
  <si>
    <t>Tủ nội thất văn phòng USM HALLER, USMUS10023, kích thước (dài 3273 x rộng 373 x cao 1440 mm), bằng Kim loại, màu Be (USM Beige), màu Trắng (Pure White). Hiệu USM</t>
  </si>
  <si>
    <t>USMUS10024</t>
  </si>
  <si>
    <t>Tủ nội thất văn phòng USM HALLER, USMUS10024, kích thước (dài 3023 x rộng 373 x cao 1090 mm), bằng Kim loại, màu Xanh đậm (Steel Blue). Hiệu USM</t>
  </si>
  <si>
    <t>USMUS10025</t>
  </si>
  <si>
    <t>Tủ nội thất văn phòng USM HALLER, USMUS10025, kích thước (dài 1873 x rộng 373 x cao 740 mm), bằng Kim loại, màu Trắng (Pure White), màu Vàng (Golden Yellow). Hiệu USM</t>
  </si>
  <si>
    <t>USMUS00313</t>
  </si>
  <si>
    <t>Bàn văn phòng USM HALLER, USMUS00313, kích thước (dài 1500 x rộng 750 x cao 740 mm), Mặt Fenix, khung Kim loại, màu Trắng (Bianco Kos). Hiệu USM</t>
  </si>
  <si>
    <t>USMUS10026</t>
  </si>
  <si>
    <t>Tủ nội thất văn phòng USM HALLER, USMUS10026, kích thước (dài 2273 x rộng 373 x cao 740 mm), bằng Kim loại, màu Trắng (Pure White), màu Vàng (Golden Yellow), màu Xanh đậm (Steel Blue). Hiệu USM</t>
  </si>
  <si>
    <t>USMUS10027</t>
  </si>
  <si>
    <t>Tủ nội thất văn phòng USM HALLER, USMUS10027, kích thước (dài 2973 x rộng 373 x cao 740 mm), bằng Kim loại, màu Xanh Gentian (Gentian Blue), màu Nâu (USM Brown). Hiệu USM</t>
  </si>
  <si>
    <t>USMUS10152</t>
  </si>
  <si>
    <t>Tủ nội thất văn phòng USM HALLER, USMUS10152, kích thước (dài 418 x rộng 373 x cao 585 mm), bằng Kim loại, màu Vàng (Golden Yellow), màu Cam (Pure Orange). Hiệu USM</t>
  </si>
  <si>
    <t>USMUS10153</t>
  </si>
  <si>
    <t>Tủ nội thất văn phòng USM HALLER, USMUS10153, kích thước (dài 2023 x rộng 373 x cao 1790 mm), bằng Kim loại, màu Be (USM Beige). Hiệu USM</t>
  </si>
  <si>
    <t>USMUS10154</t>
  </si>
  <si>
    <t>Kệ nội thất văn phòng USM HALLER, USMUS10154, kích thước (dài 2273 x rộng 523 x cao 840 mm), bằng Kim loại, màu Be (USM Beige). Hiệu USM</t>
  </si>
  <si>
    <t>USMUS10032</t>
  </si>
  <si>
    <t>Kệ nội thất văn phòng USM HALLER có bánh xe, USMUS10032, kích thước (dài 773 x rộng 523 x cao 780 mm), bằng Kim loại, màu Vàng (Golden Yellow), màu Cam (Pure Orange). Hiệu USM</t>
  </si>
  <si>
    <t>USMUS00113</t>
  </si>
  <si>
    <t>Tủ nội thất văn phòng USM HALLER, USMUS00113, kích thước (dài 1523 x rộng 373 x cao 610 mm), bằng Kim loại, màu Nâu (USM Brown). Hiệu USM</t>
  </si>
  <si>
    <t>USMUS10159</t>
  </si>
  <si>
    <t>Tủ nội thất văn phòng USM HALLER, USMUS10159, kích thước (dài 1473 x rộng 373 x cao 740 mm), bằng Kim loại, màu Cam (Pure Orange), màu Trắng (Pure White). Hiệu USM</t>
  </si>
  <si>
    <t>USMUS10161</t>
  </si>
  <si>
    <t>Tủ nội thất văn phòng USM HALLER, USMUS10161, kích thước (dài 2418 x rộng 373 x cao 1135 mm),bằng Kim loại,màu Trắng (Pure White),Nâu (USM Brown),Be (USM Beige), màu Đen (Graphite Black). Hiệu USM</t>
  </si>
  <si>
    <t>USMUS10162</t>
  </si>
  <si>
    <t>Tủ nội thất văn phòng USM HALLER, USMUS10162, kích thước (dài 1123 x rộng 523 x cao 740 mm), bằng Kim loại, màu Vàng (Golden Yellow). Hiệu USM</t>
  </si>
  <si>
    <t>USMUS10164</t>
  </si>
  <si>
    <t>Kệ nội thất văn phòng USM HALLER, USMUS10164,kích thước(dài 4473 x rộng373xcao1060)mm),bằng Kim loại,màu Trắng(Pure White),Cam (Pure Orange),Đen(Graphite),Xanh (Gentian),Be(Beige),Lục(Green). Hiệu USM</t>
  </si>
  <si>
    <t>USMUS10037</t>
  </si>
  <si>
    <t>Tủ nội thất văn phòng USM HALLER, USMUS10037, kích thước (dài 1523 x rộng 373 x cao 565 mm), bằng Kim loại, màu Trắng Đen ZIGZAG. Hiệu USM</t>
  </si>
  <si>
    <t>USMUS10156</t>
  </si>
  <si>
    <t>Tủ nội thất văn phòng USM HALLER, USMUS10156, kích thước (dài 1773 x rộng 973 x cao 915 mm), bằng Kim loại, Thủy tinh, màu Cam (Pure Orange), màu Trong suốt (Transparent). Hiệu USM, hàng F.O.C</t>
  </si>
  <si>
    <t>USMUS10155</t>
  </si>
  <si>
    <t>Tủ nội thất văn phòng USM HALLER, USMUS10155, kích thước (dài 1273 x rộng 773 x cao 990 mm), bằng Kim loại, Thủy tinh, màu Lục (USM Green), màu Trắng (Pure White). Hiệu USM, hàng F.O.C</t>
  </si>
  <si>
    <t>FRITZ HANSEN</t>
  </si>
  <si>
    <t>SC-FH-01-160323-THAO</t>
  </si>
  <si>
    <t>Fritz Hansen</t>
  </si>
  <si>
    <t>Sofa</t>
  </si>
  <si>
    <t>PL120D120</t>
  </si>
  <si>
    <t>SFAFH00035</t>
  </si>
  <si>
    <t>Ghế Sofa element PL120-120, Kích thước 120(D) x 120(R) x 40(C) cm, Đã nhồi nệm, bọc vải Karakorum, Màu be (Dune 003), Khung kim loại. Hiệu: FRITZ HANSEN. Model: PL120D120. Mới 100%</t>
  </si>
  <si>
    <t>2092724</t>
  </si>
  <si>
    <t>16/06/2023</t>
  </si>
  <si>
    <t>04/07/2023</t>
  </si>
  <si>
    <t>105654702310</t>
  </si>
  <si>
    <t>16/08/2023</t>
  </si>
  <si>
    <t>Lô 6</t>
  </si>
  <si>
    <t>PL90105C</t>
  </si>
  <si>
    <t>SFAFH00036</t>
  </si>
  <si>
    <t>Bọc Ghế Sofa Cover PL90-105, Kích thước 90(D) x 105(R) x 40(C) cm, Đã nhồi nệm, bọc vải Karakorum, Màu be (Dune 003). Hiệu: FRITZ HANSEN. Model: PL90105C. Mới 100%</t>
  </si>
  <si>
    <t>PL90D105</t>
  </si>
  <si>
    <t>SFAFH00037</t>
  </si>
  <si>
    <t>Ghế Sofa element PL90-105, Kích thước 90(D) x 105(R) x 40(C) cm, Khung kim loại, Hiệu: FRITZ HANSEN. Model: PL90D105. Mới 100%</t>
  </si>
  <si>
    <t>PL75D105</t>
  </si>
  <si>
    <t>SFAFH00038</t>
  </si>
  <si>
    <t>Ghế Sofa element PL75-105, Kích thước 75(D) x 105(R) x 40(C) cm, Đã nhồi nệm, bọc vải Karakorum, Màu be (Dune 003), Khung kim loại. Hiệu: FRITZ HANSEN. Model: PL75D105. Mới 100%</t>
  </si>
  <si>
    <t>PL90D30</t>
  </si>
  <si>
    <t>SFAFH00039</t>
  </si>
  <si>
    <t>Ghế Sofa element PL90-30 có lưng tựa, Kích thước 90(D) x 30(R) x 30(C) cm, Đã nhồi nệm, bọc vải Karakorum, Màu be (Dune 003),Khung kim loại.Hiệu: FRITZ HANSEN.Model:PL90D30. Mới 100%</t>
  </si>
  <si>
    <t>PL90D90D30</t>
  </si>
  <si>
    <t>SFAFH00040</t>
  </si>
  <si>
    <t>Ghế Sofa corner element PL90-90-30 có góc và lưng tựa,Kích thước 90(D) x 90(R) x 30(C) cm,Đã nhồi nệm,bọc vải Karakorum,Màu be (Dune 003),Khung kim loại.Hiệu:FRITZ HANSEN.Model: PL90D90D30,mới 100%</t>
  </si>
  <si>
    <t>PL150D30</t>
  </si>
  <si>
    <t>SFAFH00041</t>
  </si>
  <si>
    <t>Ghế Sofa element PL150-30 có lưng tựa, Kích thước 150(D) x 30(R) x 30(C) cm, Đã nhồi nệm, bọc vải Karakorum, Màu be (Dune 003), Khung kim loại. Hiệu: FRITZ HANSEN. Model: PL150D30. Mới 100%</t>
  </si>
  <si>
    <t>PL001</t>
  </si>
  <si>
    <t>SFAFH00042</t>
  </si>
  <si>
    <t>Gối Sofa Cushion, AlphabetTM Sofa Series, PL001, Đã nhồi nệm, bọc vải Karakorum, Màu be (Dune 003). Hiệu: FRITZ HANSEN. Model: PL001. Mới 100%</t>
  </si>
  <si>
    <t>SC-HAY-02-040423-PALISSADE</t>
  </si>
  <si>
    <t>PO-HAY-02-040423-PALISSADE</t>
  </si>
  <si>
    <t>CFR</t>
  </si>
  <si>
    <t>AA606-A221</t>
  </si>
  <si>
    <t>OUTHA00060</t>
  </si>
  <si>
    <t>Ghế PALISSADE CHAIR, Kích thước (Dài 47  x  Rộng 56  x  Cao 45/80) cm, Bằng Thép, Màu xám (SKY GREY). Hiệu: HAY. Model: AA606-A221. Mới 100%</t>
  </si>
  <si>
    <t>IN230523091020</t>
  </si>
  <si>
    <t>23/05/2023</t>
  </si>
  <si>
    <t>01/06/2023</t>
  </si>
  <si>
    <t>105502791661</t>
  </si>
  <si>
    <t>09/06/2023</t>
  </si>
  <si>
    <t>Lô 7</t>
  </si>
  <si>
    <t>AA606-A237</t>
  </si>
  <si>
    <t>OUTHA00015</t>
  </si>
  <si>
    <t>Ghế PALISSADE CHAIR, Kích thước (Dài 47  x  Rộng 56  x  Cao 45/80) cm, Bằng Thép, Màu lục (OLIVE). Hiệu: HAY. Model: AA606-A237. Mới 100%</t>
  </si>
  <si>
    <t>AA607-A221</t>
  </si>
  <si>
    <t>OUTHA00061</t>
  </si>
  <si>
    <t>Ghế PALISSADE ARMCHAIR, Kích thước (Dài 51  x  Rộng 56  x  Cao 45/80) cm, Bằng Thép, Màu xám (SKY GREY). Hiệu: HAY. Model: AA607-A221. Mới 100%</t>
  </si>
  <si>
    <t>AA607-A237</t>
  </si>
  <si>
    <t>OUTHA00010</t>
  </si>
  <si>
    <t>Ghế PALISSADE ARMCHAIR, Kích thước (Dài 51  x  Rộng 56  x  Cao 45/80) cm, Bằng Thép, Màu lục (OLIVE). Hiệu: HAY. Model: AA607-A237. Mới 100%</t>
  </si>
  <si>
    <t>AA608-A221</t>
  </si>
  <si>
    <t>OUTHA00062</t>
  </si>
  <si>
    <t>Ghế PALISSADE DINING ARM CHAIR, Kích thước (Dài 63 x Rộng 66 x Cao 80) cm, Bằng Thép, Màu xám (SKY GREY). Hiệu: HAY. Model: AA608-A221. Mới 100%</t>
  </si>
  <si>
    <t>AA608-A237</t>
  </si>
  <si>
    <t>OUTHA00016</t>
  </si>
  <si>
    <t>Ghế PALISSADE DINING ARM CHAIR, Kích thước (Dài 63 x Rộng 66 x Cao 80) cm, Bằng Thép, Màu lục (OLIVE). Hiệu: HAY. Model: AA608-A237. Mới 100%</t>
  </si>
  <si>
    <t>AA610-A221</t>
  </si>
  <si>
    <t>OUTHA00063</t>
  </si>
  <si>
    <t>Ghế PALISSADE BENCH, Kích thước (Dài 120 x Rộng 42 x Cao 45) cm, Bằng Thép, Màu xám (SKY GREY). Hiệu: HAY. Model: AA610-A221. Mới 100%</t>
  </si>
  <si>
    <t>Ghế PALISSADE BENCH, Kích thước (Dài 120 x Rộng 42 x Cao 45) cm, Bằng Thép, Màu lục (OLIVE). Hiệu: HAY. Model: AA610-A237. Mới 100%</t>
  </si>
  <si>
    <t>AA611-A221</t>
  </si>
  <si>
    <t>OUTHA00064</t>
  </si>
  <si>
    <t>Ghế PALISSADE DINING BENCH ARMREST, Kích thước (Dài 128 x Rộng 70 x Cao 45/80) cm, Bằng Thép, Màu xám (SKY GREY). Hiệu: HAY. Model: AA611-A221. Mới 100%</t>
  </si>
  <si>
    <t>AA611-A237</t>
  </si>
  <si>
    <t>OUTHA00072</t>
  </si>
  <si>
    <t>Ghế PALISSADE DINING BENCH ARMREST, Kích thước (Dài 128 x Rộng 70 x Cao 45/80) cm, Bằng Thép, Màu lục (OLIVE). Hiệu: HAY. Model: AA611-A237. Mới 100%</t>
  </si>
  <si>
    <t>AA612-A237</t>
  </si>
  <si>
    <t>OUTHA00023</t>
  </si>
  <si>
    <t>Ghế PALISSADE STOOL, Kích thước (Dài 37 x Rộng 42 x Cao 45) cm, Bằng Thép, Màu lục (OLIVE). Hiệu: HAY. Model: AA612-A237. Mới 100%</t>
  </si>
  <si>
    <t>AA614-A221</t>
  </si>
  <si>
    <t>OUTHA00065</t>
  </si>
  <si>
    <t>Ghế PALISSADE CHAISE LOUNGE, Kích thước (Dài 164.5 x Rộng 65.5 x Cao 70) cm, Bằng Thép, Màu xám (SKY GREY ). Hiệu: HAY. Model: AA614-A221. Mới 100%</t>
  </si>
  <si>
    <t>AA614-A237</t>
  </si>
  <si>
    <t>OUTHA00025</t>
  </si>
  <si>
    <t>Ghế PALISSADE CHAISE LOUNGE, Kích thước (Dài 164.5 x Rộng 65.5 x Cao 70) cm, Bằng Thép, Màu lục (OLIVE). Hiệu: HAY. Model: AA614-A237. Mới 100%</t>
  </si>
  <si>
    <t>Table</t>
  </si>
  <si>
    <t>AA695-A379-AB03</t>
  </si>
  <si>
    <t>OUTHA00001</t>
  </si>
  <si>
    <t>Bàn PALISSADE CONE TABLE- phi 70(BOM), Kích thước (Đường kính 70  x  Cao 74) cm, Bằng Thép, Màu lục (OLIVE). Hiệu: HAY. Model: AA695-A379-AB03. Mới 100%</t>
  </si>
  <si>
    <t>SC-HAY-01-230323-TOTEBAG</t>
  </si>
  <si>
    <t>PO-HAY-01-230323-TOTEBAG</t>
  </si>
  <si>
    <t>010376</t>
  </si>
  <si>
    <t>ACCHA00221</t>
  </si>
  <si>
    <t>Túi GREEN TOTE BAG, Kích thước (Rộng 42 X Cao 44.5) cm, Bằng Cotton, Màu Lục có White Logo. Hiệu: HAY. Model: 010376. Mới 100%</t>
  </si>
  <si>
    <t>SC-&amp;TRADITION-01-100423-FLOWERPOT VP9</t>
  </si>
  <si>
    <t>PO-&amp;TRADITION-01-100423-FLOWERPOT VP9</t>
  </si>
  <si>
    <t>410431 2009000</t>
  </si>
  <si>
    <t>LTLHA00010</t>
  </si>
  <si>
    <t>Đèn trang trí PC DECORATIVE LIGHT dùng công nghệ LED, Kích thước  (Dài 14 x Rộng 14 x Cao 22) cm, Bằng nhựa ABS, Màu Lục (Olive). Hiệu: HAY. Model: 410431 2009000. Mới 100% (Hàng FOC)</t>
  </si>
  <si>
    <t>Đèn trang trí FLOWERPOT VP9 DECORATIVE LIGHT dùng công nghệ LED, Kích thước (Đường kính 16 x cao 29.5) cm, 3W 2700K, Bằng PC và Thép. Màu vàng (Mustard). Hiệu: &amp;TRADITION. Model: 20712201. Mới 100%</t>
  </si>
  <si>
    <t>20713701</t>
  </si>
  <si>
    <t>LTLAT00012</t>
  </si>
  <si>
    <t>Đèn trang trí FLOWERPOT VP9 DECORATIVE LIGHT dùng công nghệ LED, Kích thước (Đường kính 16 x cao 29.5) cm, 3W 2700K, Bằng PC và Thép. Màu xanh (Swim Blue). Hiệu: &amp;TRADITION. Model: 20713701. Mới 100%</t>
  </si>
  <si>
    <t>20715002</t>
  </si>
  <si>
    <t>LTLAT00013</t>
  </si>
  <si>
    <t>Đèn trang trí FLOWERPOT VP9 DECORATIVE LIGHT dùng công nghệ LED, Kích thước (Đường kính 16 x cao 29.5) cm, 3W 2700K, Bằng PC và Thép. Màu xanh (Cobalt Blue).Hiệu: &amp;TRADITION. Model: 20715002. Mới 100%</t>
  </si>
  <si>
    <t>Đèn trang trí FLOWERPOT VP9 DECORATIVE LIGHT dùng công nghệ LED, Kích thước (Đường kính 16 x cao 29.5) cm, 3W 2700K, Bằng PC và Thép. Màu be (Grey Beige). Hiệu: &amp;TRADITION. Model: 20718901. Mới 100%</t>
  </si>
  <si>
    <t>Đèn trang trí FLOWERPOT VP9 DECORATIVE LIGHT dùng công nghệ LED, Kích thước (Đường kính 16 x cao 29.5) cm, 3W 2700K, Bằng PC và Thép. Màu Lục (Signal Green).Hiệu: &amp;TRADITION. Model: 20719201. Mới 100%</t>
  </si>
  <si>
    <t>AA615-A221</t>
  </si>
  <si>
    <t>OUTHA00066</t>
  </si>
  <si>
    <t>Ghế PALISSADE LOUNGE CHAIR LOW, Kích thước (Dài 73 x Rộng 81 x Cao 38/70) cm, Bằng Thép, Màu xám (SKY GREY). Hiệu: HAY. Model: AA615-A221. Mới 100%</t>
  </si>
  <si>
    <t>AA615-A237</t>
  </si>
  <si>
    <t>OUTHA00019</t>
  </si>
  <si>
    <t>Ghế PALISSADE LOUNGE CHAIR LOW, Kích thước (Dài 73 x Rộng 81 x Cao 38/70) cm, Bằng Thép, Màu lục (OLIVE). Hiệu: HAY. Model: AA615-A237. Mới 100%</t>
  </si>
  <si>
    <t>AA616-A221</t>
  </si>
  <si>
    <t>OUTHA00067</t>
  </si>
  <si>
    <t>Ghế PALISSADE LOUNGE CHAIR HIGH, Kích thước (Dài 92 x Rộng 73 x Cao 38/88) cm, Bằng Thép, Màu xám (SKY GREY). Hiệu: HAY. Model: AA616-A221. Mới 100%</t>
  </si>
  <si>
    <t>AA616-A237</t>
  </si>
  <si>
    <t>OUTHA00018</t>
  </si>
  <si>
    <t>Ghế PALISSADE LOUNGE CHAIR HIGH, Kích thước (Dài 92 x Rộng 73 x Cao 38/88) cm, Bằng Thép, Màu lục (OLIVE). Hiệu: HAY. Model: AA616-A237. Mới 100%</t>
  </si>
  <si>
    <t>AA617-A221</t>
  </si>
  <si>
    <t>OUTHA00068</t>
  </si>
  <si>
    <t>Ghế PALISSADE LOUNGE SOFA, Kích thước (Dài 139 x Rộng 88 x Cao 38/70) cm, Bằng Thép, Màu xám (SKY GREY). Hiệu: HAY. Model: AA617-A221. Mới 100%</t>
  </si>
  <si>
    <t>AA617-A237</t>
  </si>
  <si>
    <t>OUTHA00021</t>
  </si>
  <si>
    <t>Ghế PALISSADE LOUNGE SOFA, Kích thước (Dài 139 x Rộng 88 x Cao 38/70) cm, Bằng Thép, Màu lục (OLIVE). Hiệu: HAY. Model: AA617-A237. Mới 100%</t>
  </si>
  <si>
    <t>AA618-A221</t>
  </si>
  <si>
    <t>OUTHA00069</t>
  </si>
  <si>
    <t>Ghế PALISSADE OTTOMAN, Kích thước (Dài 65 x Rộng 60 x Cao 37) cm, Bằng Thép, Màu xám (SKY GREY). Hiệu: HAY. Model: AA618-A221. Mới 100%</t>
  </si>
  <si>
    <t>AA618-A237</t>
  </si>
  <si>
    <t>OUTHA00022</t>
  </si>
  <si>
    <t>Ghế PALISSADE OTTOMAN, Kích thước (Dài 65 x Rộng 60 x Cao 37) cm, Bằng Thép, Màu lục (OLIVE). Hiệu: HAY. Model: AA618-A237. Mới 100%</t>
  </si>
  <si>
    <t>AA693-A376-AA79</t>
  </si>
  <si>
    <t>OUTHA00070</t>
  </si>
  <si>
    <t>Bàn PALISSADE TABLE L82.5xW90, Kích thước (Dài 82.5 x Rộng 90 x Cao 75) cm, Bằng Thép, Màu xám (SKY GREY). Hiệu: HAY. Model: AA693-A376-AA79. Mới 100%</t>
  </si>
  <si>
    <t>AA693-A376-AB03</t>
  </si>
  <si>
    <t>OUTHA00005</t>
  </si>
  <si>
    <t>Bàn PALISSADE TABLE L82.5xW90, Kích thước (Dài 82.5 x Rộng 90 x Cao 75) cm, Bằng Thép, Màu lục (OLIVE). Hiệu: HAY. Model: AA693-A376-AB03. Mới 100%</t>
  </si>
  <si>
    <t>AA693-A377-AA79</t>
  </si>
  <si>
    <t>OUTHA00071</t>
  </si>
  <si>
    <t>Bàn PALISSADE TABLE L170xW90, Kích thước (Dài 170 x Rộng 90 x Cao 75) cm, Bằng Thép, Màu xám (SKY GREY). Hiệu: HAY. Model: AA693-A377-AA79. Mới 100%</t>
  </si>
  <si>
    <t>AA693-A377-AB03</t>
  </si>
  <si>
    <t>OUTHA00003</t>
  </si>
  <si>
    <t>Bàn PALISSADE TABLE L170xW90, Kích thước (Dài 170 x Rộng 90 x Cao 75) cm, Bằng Thép, Màu lục (OLIVE). Hiệu: HAY. Model: AA693-A377-AB03. Mới 100%</t>
  </si>
  <si>
    <t>AB560-B281-AB70</t>
  </si>
  <si>
    <t>SPAHA00004</t>
  </si>
  <si>
    <t>Đệm PALISSADE-DINING ARMCHAIR SEAT CUSHION , Kích thước (Dài 41.5 x Rộng 41.5 x Cao 3) cm, Bằng Mút xốp. Bọc vải Olefin. Màu lục (OLIVE). Hiệu: HAY. Model: AB560-B281-AB70. Mới 100%</t>
  </si>
  <si>
    <t>AB560-B283-AB70</t>
  </si>
  <si>
    <t>SPAHA00014</t>
  </si>
  <si>
    <t>Đệm PALISSADE-DINING BENCH SEAT CUSHION, Kích thước (Dài 107.5 x Rộng 43.5 x Cao 3) cm, Bằng Mút xốp. Bọc vải Olefin. Màu lục (OLIVE). Hiệu: HAY. Model: AB560-B283-AB70. Mới 100%</t>
  </si>
  <si>
    <t>AB560-B285-AB70</t>
  </si>
  <si>
    <t>SPAHA00006</t>
  </si>
  <si>
    <t>Đệm PALISSADE-LOUNGE CHAIR HIGH &amp; LOW SEAT CUSHION , Kích thước (Dài 52.5 x Rộng 48 x Cao 3) cm, Bằng Mút xốp. Bọc vải Olefin. Màu lục (OLIVE). Hiệu: HAY. Model: AB560-B285-AB70. Mới 100%</t>
  </si>
  <si>
    <t>AB562-B293-AB70</t>
  </si>
  <si>
    <t>SPAHA00010</t>
  </si>
  <si>
    <t>Đệm PALISSADE-LOUNGE CHAIR LOW QUILTED CUSHION, Kích thước (Dài 117 x Rộng 49.5 x Cao 1) cm, Bằng Mút xốp. Bọc vải Olefin. Màu lục (OLIVE). Hiệu: HAY. Model: AB562-B293-AB70. Mới 100%</t>
  </si>
  <si>
    <t>MUUTO</t>
  </si>
  <si>
    <t>SC-MUUTO-02-070323-APPLE HCM-03</t>
  </si>
  <si>
    <t>Muuto</t>
  </si>
  <si>
    <t>DAP</t>
  </si>
  <si>
    <t>32069</t>
  </si>
  <si>
    <t>MTO-STL-00006</t>
  </si>
  <si>
    <t>Ghế NERD BAR STOOL, Dài 45cm Rộng 44cm, Cao 75cm (tính từ mặt ghế). Bằng Gỗ sồi (Oak), Màu Nâu (Dark Brown). Hiệu MUUTO. MODEL:32069. Mới 100%</t>
  </si>
  <si>
    <t>10453063</t>
  </si>
  <si>
    <t>08/03/2023</t>
  </si>
  <si>
    <t>21/03/2023</t>
  </si>
  <si>
    <t>105449483310</t>
  </si>
  <si>
    <t>11/05/2023</t>
  </si>
  <si>
    <t>Lô 8</t>
  </si>
  <si>
    <t>SC-USM-01-180123-STK</t>
  </si>
  <si>
    <t>USMUS00178</t>
  </si>
  <si>
    <t>Bàn văn phòng USM HALLER, USMUS00178, Kích thước (dài 723 x rộng 723 x cao 390 mm), Bằng Kim loại, Thủy tinh, Màu Trong suốt (Transparent), Màu Be (USM Beige). Hiệu USM. Mới 100%</t>
  </si>
  <si>
    <t>102081208</t>
  </si>
  <si>
    <t>14/03/2023</t>
  </si>
  <si>
    <t>30/03/2023</t>
  </si>
  <si>
    <t>105448332950</t>
  </si>
  <si>
    <t>12/05/2023</t>
  </si>
  <si>
    <t>Lô 9.1</t>
  </si>
  <si>
    <t>USMUS00173</t>
  </si>
  <si>
    <t>Bàn văn phòng USM HALLER, USMUS00173, Kích thước (dài 723 x rộng 723 x cao 390 mm), Bằng Kim loại, Thủy tinh, Màu Trong suốt (Transparent), Màu Cam (Pure Orange). Hiệu USM. Mới 100%</t>
  </si>
  <si>
    <t>USMUS00143</t>
  </si>
  <si>
    <t>Bàn văn phòng USM HALLER, USMUS00143, Kích thước (dài 723 x rộng 723 x cao 390 mm), Bằng Kim loại, Thủy tinh, Màu Trong suốt (Transparent), Màu Trắng (Pure White). Hiệu USM. Mới 100%</t>
  </si>
  <si>
    <t>USMUS00144</t>
  </si>
  <si>
    <t>Bàn văn phòng USM HALLER, USMUS00144, Kích thước (dài 723 x rộng 723 x cao 390 mm), Bằng Kim loại, Thủy tinh, Màu Trong suốt (Transparent), Màu Vàng (Golden Yellow). Hiệu USM. Mới 100%</t>
  </si>
  <si>
    <t>USMUS00199</t>
  </si>
  <si>
    <t>Bàn văn phòng USM HALLER, USMUS00199, Kích thước (dài 1023 x rộng 1023 x cao 390 mm), Bằng Kim loại, Thủy tinh, Màu Trong suốt (Transparent), Màu Trắng (Pure White). Hiệu USM. Mới 100%</t>
  </si>
  <si>
    <t>USMUS00205</t>
  </si>
  <si>
    <t>Bàn văn phòng USM HALLER, USMUS00205, Kích thước (dài 1023 x rộng 1023 x cao 390 mm), Bằng Kim loại, Thủy tinh, Màu Trong suốt (Transparent), Màu Đen (Graphite Black). Hiệu USM. Mới 100%</t>
  </si>
  <si>
    <t>USMUS00018</t>
  </si>
  <si>
    <t>Kệ nội thất văn phòng USM HALLER có tay cầm, USMUS00018, Kích thước (dài 523 x rộng 373 x cao 63 mm), Bằng Kim loại, Màu Vàng (Golden Yellow). Hiệu USM. Mới 100%</t>
  </si>
  <si>
    <t>USMUS00019</t>
  </si>
  <si>
    <t>Kệ nội thất văn phòng USM HALLER có tay cầm, USMUS00019, Kích thước (dài 523 x rộng 373 x cao 63 mm), Bằng Kim loại, Màu Cam (Pure Orange). Hiệu USM. Mới 100%</t>
  </si>
  <si>
    <t>USMUS00021</t>
  </si>
  <si>
    <t>Kệ nội thất văn phòng USM HALLER có tay cầm, USMUS00021, Kích thước (dài 523 x rộng 373 x cao 63 mm), Bằng Kim loại, Màu Lục (USM Green). Hiệu USM. Mới 100%</t>
  </si>
  <si>
    <t>USMUS00023</t>
  </si>
  <si>
    <t>Kệ nội thất văn phòng USM HALLER có tay cầm, USMUS00023, Kích thước (dài 523 x rộng 373 x cao 63 mm), Bằng Kim loại, Màu Đen (Graphite Black). Hiệu USM. Mới 100%</t>
  </si>
  <si>
    <t>USMUS00101</t>
  </si>
  <si>
    <t>Tủ nội thất văn phòng USM HALLER, USMUS00101, Kích thước (dài 1523 x rộng 373 x cao 390 mm), Bằng Kim loại, Màu Trắng (Pure White). Hiệu USM. Mới 100%</t>
  </si>
  <si>
    <t>USMUS00102</t>
  </si>
  <si>
    <t>Tủ nội thất văn phòng USM HALLER, USMUS00102, Kích thước (dài 1523 x rộng 373 x cao 390 mm), Bằng Kim loại, Màu Vàng (Golden Yellow). Hiệu USM. Mới 100%</t>
  </si>
  <si>
    <t>USMUS00103</t>
  </si>
  <si>
    <t>Tủ nội thất văn phòng USM HALLER, USMUS00103, Kích thước (dài 1523 x rộng 373 x cao 390 mm), Bằng Kim loại, Màu Cam (Pure Orange). Hiệu USM. Mới 100%</t>
  </si>
  <si>
    <t>USMUS00105</t>
  </si>
  <si>
    <t>Tủ nội thất văn phòng USM HALLER, USMUS00105, Kích thước (dài 1523 x rộng 373 x cao 390 mm), Bằng Kim loại, Màu Lục (USM Green). Hiệu USM. Mới 100%</t>
  </si>
  <si>
    <t>USMUS00104</t>
  </si>
  <si>
    <t>Tủ nội thất văn phòng USM HALLER, USMUS00104, Kích thước (dài 1523 x rộng 373 x cao 390 mm), Bằng Kim loại, Màu Xanh Gentian (Gentian Blue). Hiệu USM. Mới 100%</t>
  </si>
  <si>
    <t>USMUS10034</t>
  </si>
  <si>
    <t>Tủ nội thất văn phòng USM HALLER, USMUS10034, Kích thước (dài 1023 x rộng 373 x cao 1740 mm), Bằng Kim loại, Thủy tinh, Màu Trong suốt (Transparent), Màu Đen (Graphite Black). Hiệu USM. Mới 100%</t>
  </si>
  <si>
    <t>USMUS00045</t>
  </si>
  <si>
    <t>Tủ nội thất văn phòng USM HALLER, USMUS00045, Kích thước (dài 773 x rộng 373 x cao 610 mm), Bằng Kim loại, Màu Trắng (Pure White). Hiệu USM. Mới 100%</t>
  </si>
  <si>
    <t>USMUS00052</t>
  </si>
  <si>
    <t>Tủ nội thất văn phòng USM HALLER, USMUS00052, Kích thước (dài 773 x rộng 373 x cao 610 mm), Bằng Kim loại, Màu Be (USM Beige). Hiệu USM. Mới 100%</t>
  </si>
  <si>
    <t>USMUS00046</t>
  </si>
  <si>
    <t>Tủ nội thất văn phòng USM HALLER, USMUS00046, Kích thước (dài 773 x rộng 373 x cao 610 mm), Bằng Kim loại, Màu Vàng (Golden Yellow). Hiệu USM. Mới 100%</t>
  </si>
  <si>
    <t>USMUS00047</t>
  </si>
  <si>
    <t>Tủ nội thất văn phòng USM HALLER, USMUS00047, Kích thước (dài 773 x rộng 373 x cao 610 mm), Bằng Kim loại, Màu Cam (Pure Orange). Hiệu USM. Mới 100%</t>
  </si>
  <si>
    <t>USMUS00049</t>
  </si>
  <si>
    <t>Tủ nội thất văn phòng USM HALLER, USMUS00049, Kích thước (dài 773 x rộng 373 x cao 610 mm), Bằng Kim loại, Màu Lục (USM Green). Hiệu USM. Mới 100%</t>
  </si>
  <si>
    <t>USMUS00048</t>
  </si>
  <si>
    <t>Tủ nội thất văn phòng USM HALLER, USMUS00048, Kích thước (dài 773 x rộng 373 x cao 610 mm), Bằng Kim loại, Màu Xanh Gentian (Gentian Blue). Hiệu USM. Mới 100%</t>
  </si>
  <si>
    <t>USMUS00051</t>
  </si>
  <si>
    <t>Tủ nội thất văn phòng USM HALLER, USMUS00051, Kích thước (dài 773 x rộng 373 x cao 610 mm), Bằng Kim loại, Màu Đen (Graphite Black). Hiệu USM. Mới 100%</t>
  </si>
  <si>
    <t>USMUS00004</t>
  </si>
  <si>
    <t>Tủ hồ sơ USM Inos C4, USMUS00004, Kích thước (dài 241 x rộng 334 x cao 316 mm), Bằng Kim loại, Màu Vàng (Golden Yellow). Hiệu USM. Mới 100%</t>
  </si>
  <si>
    <t>USMUS00002</t>
  </si>
  <si>
    <t>Tủ hồ sơ USM Inos C4, USMUS00002, Kích thước (dài 241 x rộng 334 x cao 316 mm), Bằng Kim loại, Màu Đỏ Ruby (USM Ruby Red). Hiệu USM. Mới 100%</t>
  </si>
  <si>
    <t>USMUS00005</t>
  </si>
  <si>
    <t>Tủ hồ sơ USM Inos C4, USMUS00005, Kích thước (dài 241 x rộng 334 x cao 316 mm), Bằng Kim loại, Màu Cam (Pure Orange). Hiệu USM. Mới 100%</t>
  </si>
  <si>
    <t>USMUS00006</t>
  </si>
  <si>
    <t>Tủ hồ sơ USM Inos C4, USMUS00006, Kích thước (dài 241 x rộng 334 x cao 316 mm), Bằng Kim loại, Màu Xanh Gentian (Gentian Blue). Hiệu USM. Mới 100%</t>
  </si>
  <si>
    <t>USMUS00007</t>
  </si>
  <si>
    <t>Tủ hồ sơ USM Inos C4, USMUS00007, Kích thước (dài 241 x rộng 334 x cao 316 mm), Bằng Kim loại, Màu Lục (USM Green). Hiệu USM. Mới 100%</t>
  </si>
  <si>
    <t>Bàn văn phòng USM HALLER, USMUS00311, Kích thước (dài 1750 x rộng 750 x cao 740 mm), Bằng Khung Kim loại,  Mặt bàn Fenix, Màu Trắng. Hiệu USM. Mới 100%</t>
  </si>
  <si>
    <t>USMUS00312</t>
  </si>
  <si>
    <t>Bàn văn phòng USM HALLER, USMUS00312, Kích thước (dài 1750 x rộng 750 x cao 740 mm), Bằng Khung Kim loại,  Mặt bàn Fenix, Màu Đen. Hiệu USM. Mới 100%</t>
  </si>
  <si>
    <t>USMUS-15318</t>
  </si>
  <si>
    <t>Bộ dụng cụ dập lỗ. Hiệu USM. Mới 100%</t>
  </si>
  <si>
    <t>USMUS10035</t>
  </si>
  <si>
    <t>Tủ nội thất văn phòng USM HALLER, USMUS10035, Kích thước (dài 2273 x rộng 373 x cao 565 mm), Bằng Khung Kim loại, Màu Trắng (Pure White). Hiệu USM. Mới 100%</t>
  </si>
  <si>
    <t>USMUS10036</t>
  </si>
  <si>
    <t>Bàn Làm Việc USM KITOS E/M Plus 940, kèm ống dẫn cáp, tay nâng, USMUS10036, Kích thước (dài 1750xrộng 750xcao700 mm), Bằng Khung Kim loại, Mặt bàn Laminate, Màu Xám (Pearl Gray). Hiệu USM. Mới 100%</t>
  </si>
  <si>
    <t>USMUS00187</t>
  </si>
  <si>
    <t>Tủ nội thất văn phòng USM HALLER, USMUS00187, Kích thước (dài 1023 x rộng 373 x cao 818 mm), Bằng Kim loại, Màu cam (Pure Orange). Hiệu USM. Mới 100%</t>
  </si>
  <si>
    <t>105448324550</t>
  </si>
  <si>
    <t>Lô 9.2</t>
  </si>
  <si>
    <t>USMUS00189</t>
  </si>
  <si>
    <t>Tủ nội thất văn phòng USM HALLER, USMUS00189, Kích thước (dài 1023 x rộng 373 x cao 818 mm), Bằng Kim loại, Màu Lục (USM Green). Hiệu USM. Mới 100%</t>
  </si>
  <si>
    <t>USMUS00186</t>
  </si>
  <si>
    <t>Tủ nội thất văn phòng USM HALLER, USMUS00186, Kích thước (dài 1023 x rộng 373 x cao 818 mm), Bằng Kim loại, Màu Vàng (Golden Yellow). Hiệu USM. Mới 100%</t>
  </si>
  <si>
    <t>USMUS00183</t>
  </si>
  <si>
    <t>Tủ nội thất văn phòng USM HALLER, USMUS00183, Kích thước (dài 1023 x rộng 373 x cao 818 mm), Bằng Kim loại, Màu Nâu (USM Brown). Hiệu USM. Mới 100%</t>
  </si>
  <si>
    <t>USMUS00073</t>
  </si>
  <si>
    <t>Tủ nội thất văn phòng USM HALLER, USMUS00073, Kích thước (dài 773 x rộng 373 x cao 740 mm), Bằng Kim loại, Màu Trắng (Pure White). Hiệu USM. Mới 100%</t>
  </si>
  <si>
    <t>USMUS00079</t>
  </si>
  <si>
    <t>Tủ nội thất văn phòng USM HALLER, USMUS00079, Kích thước (dài 773 x rộng 373 x cao 740 mm), Bằng Kim loại, Màu Đen (Graphite Black). Hiệu USM. Mới 100%</t>
  </si>
  <si>
    <t>USMUS00077</t>
  </si>
  <si>
    <t>Tủ nội thất văn phòng USM HALLER, USMUS00077, Kích thước (dài 773 x rộng 373 x cao 740 mm), Bằng Kim loại, Màu Lục (USM Green). Hiệu USM. Mới 100%</t>
  </si>
  <si>
    <t>USMUS00074</t>
  </si>
  <si>
    <t>Tủ nội thất văn phòng USM HALLER, USMUS00074, Kích thước (dài 773 x rộng 373 x cao 740 mm), Bằng Kim loại, Màu Vàng (Golden Yellow). Hiệu USM. Mới 100%</t>
  </si>
  <si>
    <t>USMUS00075</t>
  </si>
  <si>
    <t>Tủ nội thất văn phòng USM HALLER, USMUS00075, Kích thước (dài 773 x rộng 373 x cao 740 mm), Bằng Kim loại, Màu Cam (Pure Orange). Hiệu USM. Mới 100%</t>
  </si>
  <si>
    <t>USMUS00076</t>
  </si>
  <si>
    <t>Tủ nội thất văn phòng USM HALLER, USMUS00076, Kích thước (dài 773 x rộng 373 x cao 740 mm), Bằng Kim loại, Màu Xanh Gentian (Gentian Blue). Hiệu USM. Mới 100%</t>
  </si>
  <si>
    <t>USMUS10028</t>
  </si>
  <si>
    <t>Kệ nội thất văn phòng USM HALLER có bánh xe, USMUS10028, Kích thước (dài 773 x rộng 523 x cao 780 mm), Bằng Kim loại, Màu Lục (USM Green), Màu Xanh Gentian (Gentian Blue). Hiệu USM. Mới 100%</t>
  </si>
  <si>
    <t>USMUS10029</t>
  </si>
  <si>
    <t>Kệ nội thất văn phòng USM HALLER có bánh xe, USMUS10029, Kích thước (dài 773 x rộng 523 x cao 780 mm), Bằng Kim loại, Màu Vàng (Golden Yellow), Màu Xanh Gentian (Gentian Blue). Hiệu USM. Mới 100%</t>
  </si>
  <si>
    <t>USMUS10030</t>
  </si>
  <si>
    <t>Kệ nội thất văn phòng USM HALLER có bánh xe, USMUS10030, Kích thước (dài 773 x rộng 523 x cao 780 mm), Bằng Kim loại, Màu Cam (Pure Orange),Màu Vàng có lỗ (Golden Yellow Perforated). Hiệu USM.Mới 100%</t>
  </si>
  <si>
    <t>USMUS10031</t>
  </si>
  <si>
    <t>Kệ nội thất văn phòng USM HALLER có bánh xe, USMUS10031, Kích thước (dài 773 x rộng 523 x cao 780 mm), Bằng Kim loại, Màu Cam (Pure Orange), Màu Lục có lỗ (USM Green Perforated). Hiệu USM. Mới 100%</t>
  </si>
  <si>
    <t>Kệ nội thất văn phòng USM HALLER có bánh xe, USMUS10032, Kích thước (dài 773 x rộng 523 x cao 780 mm), Bằng Kim loại, Màu Vàng (Golden Yellow), Màu Cam (Pure Orange). Hiệu USM. Mới 100%</t>
  </si>
  <si>
    <t>USMUS10033</t>
  </si>
  <si>
    <t>Kệ nội thất văn phòng USM HALLER có bánh xe, USMUS10033, Kích thước (dài 773 x rộng 523 x cao 780 mm), Bằng Kim loại, Màu Trắng có lỗ (Pure White Perforated). Hiệu USM. Mới 100%</t>
  </si>
  <si>
    <t>USMUS00065</t>
  </si>
  <si>
    <t>Kệ nội thất văn phòng USM HALLER có bánh xe, USMUS00065, Kích thước (dài 773 x rộng 523 x cao 780 mm), Bằng Kim loại, Màu Đen (Graphite Black). Hiệu USM. Mới 100%</t>
  </si>
  <si>
    <t>USMUS00061</t>
  </si>
  <si>
    <t>Kệ nội thất văn phòng USM HALLER có bánh xe, USMUS00061, Kích thước (dài 773 x rộng 523 x cao 780 mm), Bằng Kim loại, Màu Cam (Pure Orange). Hiệu USM. Mới 100%</t>
  </si>
  <si>
    <t>USMUS00063</t>
  </si>
  <si>
    <t>Kệ nội thất văn phòng USM HALLER có bánh xe, USMUS00063, Kích thước (dài 773 x rộng 523 x cao 780 mm), Bằng Kim loại, Màu Lục (USM Green). Hiệu USM. Mới 100%</t>
  </si>
  <si>
    <t>USMUS00060</t>
  </si>
  <si>
    <t>Kệ nội thất văn phòng USM HALLER có bánh xe, USMUS00060, Kích thước (dài 773 x rộng 523 x cao 780 mm), Bằng Kim loại, Màu Vàng (Golden Yellow). Hiệu USM. Mới 100%</t>
  </si>
  <si>
    <t>USMUS00119</t>
  </si>
  <si>
    <t>Tủ nội thất văn phòng USM HALLER, USMUS00119, Kích thước (dài 1523 x rộng 373 x cao 610 mm), Bằng Kim loại, Màu Lục (USM Green). Hiệu USM. Mới 100%</t>
  </si>
  <si>
    <t>USMUS00116</t>
  </si>
  <si>
    <t>Tủ nội thất văn phòng USM HALLER, USMUS00116, Kích thước (dài 1523 x rộng 373 x cao 610 mm), Bằng Kim loại, Màu Vàng (Golden Yellow). Hiệu USM. Mới 100%</t>
  </si>
  <si>
    <t>USMUS00115</t>
  </si>
  <si>
    <t>Tủ nội thất văn phòng USM HALLER, USMUS00115, Kích thước (dài 1523 x rộng 373 x cao 610 mm), Bằng Kim loại, Màu Trắng (Pure White). Hiệu USM. Mới 100%</t>
  </si>
  <si>
    <t>USMUS00122</t>
  </si>
  <si>
    <t>Tủ nội thất văn phòng USM HALLER, USMUS00122, Kích thước (dài 1523 x rộng 373 x cao 610 mm), Bằng Kim loại, Màu Be (USM Beige). Hiệu USM. Mới 100%</t>
  </si>
  <si>
    <t>USMUS00117</t>
  </si>
  <si>
    <t>Tủ nội thất văn phòng USM HALLER, USMUS00117, Kích thước (dài 1523 x rộng 373 x cao 610 mm), Bằng Kim loại, Màu Cam (Pure Orange). Hiệu USM. Mới 100%</t>
  </si>
  <si>
    <t>USMUS00125</t>
  </si>
  <si>
    <t>Tủ nội thất văn phòng USM HALLER, USMUS00125, Kích thước (dài 1523 x rộng 373 x cao 610 mm), Bằng Kim loại, Màu Xanh đậm (Steel Blue). Hiệu USM. Mới 100%</t>
  </si>
  <si>
    <t>USMUS00241</t>
  </si>
  <si>
    <t>Tủ nội thất văn phòng USM HALLER, USMUS00241, Kích thước (dài 2273 x rộng 373 x cao 565 mm), Bằng Kim loại, Màu Trắng (Pure White). Hiệu USM. Mới 100%</t>
  </si>
  <si>
    <t>USMUS00242</t>
  </si>
  <si>
    <t>Tủ nội thất văn phòng USM HALLER, USMUS00242, Kích thước (dài 2273 x rộng 373 x cao 565 mm), Bằng Kim loại, Màu Vàng (Golden Yellow). Hiệu USM. Mới 100%</t>
  </si>
  <si>
    <t>USMUS00243</t>
  </si>
  <si>
    <t>Tủ nội thất văn phòng USM HALLER, USMUS00243, Kích thước (dài 2273 x rộng 373 x cao 565 mm), Bằng Kim loại, Màu Cam (Pure Orange). Hiệu USM. Mới 100%</t>
  </si>
  <si>
    <t>USMUS00245</t>
  </si>
  <si>
    <t>Tủ nội thất văn phòng USM HALLER, USMUS00245, Kích thước (dài 2273 x rộng 373 x cao 565 mm), Bằng Kim loại, Màu Lục (USM Green). Hiệu USM. Mới 100%</t>
  </si>
  <si>
    <t>USMUS00244</t>
  </si>
  <si>
    <t>Tủ nội thất văn phòng USM HALLER, USMUS00244, Kích thước (dài 2273 x rộng 373 x cao 565 mm), Bằng Kim loại, Màu Xanh Gentian (Gentian Blue). Hiệu USM. Mới 100%</t>
  </si>
  <si>
    <t>USMUS00239</t>
  </si>
  <si>
    <t>Tủ nội thất văn phòng USM HALLER, USMUS00239, Kích thước (dài 2273 x rộng 373 x cao 565 mm), Bằng Kim loại, Màu Nâu (USM Brown). Hiệu USM. Mới 100%</t>
  </si>
  <si>
    <t>USMUS00227</t>
  </si>
  <si>
    <t>Tủ nội thất văn phòng USM HALLER, USMUS00227, Kích thước (dài 2273 x rộng 373 x cao 565 mm), Bằng Kim loại, Màu Trắng (Pure White). Hiệu USM. Mới 100%</t>
  </si>
  <si>
    <t>USMUS00228</t>
  </si>
  <si>
    <t>Tủ nội thất văn phòng USM HALLER, USMUS00228, Kích thước (dài 2273 x rộng 373 x cao 565 mm), Bằng Kim loại, Màu Vàng (Golden Yellow). Hiệu USM. Mới 100%</t>
  </si>
  <si>
    <t>USMUS00229</t>
  </si>
  <si>
    <t>Tủ nội thất văn phòng USM HALLER, USMUS00229, Kích thước (dài 2273 x rộng 373 x cao 565 mm), Bằng Kim loại, Màu Cam (Pure Orange). Hiệu USM. Mới 100%</t>
  </si>
  <si>
    <t>USMUS00231</t>
  </si>
  <si>
    <t>Tủ nội thất văn phòng USM HALLER, USMUS00231, Kích thước (dài 2273 x rộng 373 x cao 565 mm), Bằng Kim loại, Màu Lục (USM Green). Hiệu USM. Mới 100%</t>
  </si>
  <si>
    <t>USMUS00234</t>
  </si>
  <si>
    <t>Tủ nội thất văn phòng USM HALLER, USMUS00234, Kích thước (dài 2273 x rộng 373 x cao 565 mm), Bằng Kim loại, Màu Be (USM Beige). Hiệu USM. Mới 100%</t>
  </si>
  <si>
    <t>USMUS00233</t>
  </si>
  <si>
    <t>Tủ nội thất văn phòng USM HALLER, USMUS00233, Kích thước (dài 2273 x rộng 373 x cao 565 mm), Bằng Kim loại, Màu Đen (Graphite Black). Hiệu USM. Mới 100%</t>
  </si>
  <si>
    <t>USMUS00273</t>
  </si>
  <si>
    <t>Tủ nội thất văn phòng USM HALLER, USMUS00273, Kích thước (dài 2273 x rộng 373 x cao 740 mm), Bằng Kim loại, Màu Lục (USM Green). Hiệu USM. Mới 100%</t>
  </si>
  <si>
    <t>USMUS00276</t>
  </si>
  <si>
    <t>Tủ nội thất văn phòng USM HALLER, USMUS00276, Kích thước (dài 2273 x rộng 373 x cao 740 mm), Bằng Kim loại, Màu Be (USM Beige). Hiệu USM. Mới 100%</t>
  </si>
  <si>
    <t>USMUS00270</t>
  </si>
  <si>
    <t>Tủ nội thất văn phòng USM HALLER, USMUS00270, Kích thước (dài 2273 x rộng 373 x cao 740 mm), Bằng Kim loại, Màu Vàng (Golden Yellow). Hiệu USM. Mới 100%</t>
  </si>
  <si>
    <t>USMUS00269</t>
  </si>
  <si>
    <t>Tủ nội thất văn phòng USM HALLER, USMUS00269, Kích thước (dài 2273 x rộng 373 x cao 740 mm), Bằng Kim loại, Màu Trắng (Pure White). Hiệu USM. Mới 100%</t>
  </si>
  <si>
    <t>USMUS00283</t>
  </si>
  <si>
    <t>Tủ nội thất văn phòng USM HALLER, USMUS00283, Kích thước (dài 2273 x rộng 373 x cao 740 mm), Bằng Kim loại, Màu Trắng (Pure White). Hiệu USM. Mới 100%</t>
  </si>
  <si>
    <t>USMUS00285</t>
  </si>
  <si>
    <t>Tủ nội thất văn phòng USM HALLER, USMUS00285, Kích thước (dài 2273 x rộng 373 x cao 740 mm), Bằng Kim loại, Màu Cam (Pure Orange). Hiệu USM. Mới 100%</t>
  </si>
  <si>
    <t>USMUS00284</t>
  </si>
  <si>
    <t>Tủ nội thất văn phòng USM HALLER, USMUS00284, Kích thước (dài 2273 x rộng 373 x cao 740 mm), Bằng Kim loại, Màu Vàng (Golden Yellow). Hiệu USM. Mới 100%</t>
  </si>
  <si>
    <t>USMUS00287</t>
  </si>
  <si>
    <t>Tủ nội thất văn phòng USM HALLER, USMUS00287, Kích thước (dài 2273 x rộng 373 x cao 740 mm), Bằng Kim loại, Màu Lục (USM Green). Hiệu USM. Mới 100%</t>
  </si>
  <si>
    <t>USMUS00157</t>
  </si>
  <si>
    <t>Tủ nội thất văn phòng USM HALLER, USMUS00157, Kích thước (dài 773 x rộng 373 x cao 1090 mm), Bằng Kim loại, Màu Trắng (Pure White). Hiệu USM. Mới 100%</t>
  </si>
  <si>
    <t>USMUS00164</t>
  </si>
  <si>
    <t>Tủ nội thất văn phòng USM HALLER, USMUS00164, Kích thước (dài 773 x rộng 373 x cao 1090 mm), Bằng Kim loại, Thủy tinh, Màu Be (USM Beige). Hiệu USM. Mới 100%</t>
  </si>
  <si>
    <t>USMUS00171</t>
  </si>
  <si>
    <t>Bàn văn phòng USM HALLER, USMUS00171, Kích thước (dài 723 x rộng 723 x cao 390 mm), Bằng Kim loại, Thủy tinh, Màu Trong suốt (Transparent), Màu Trắng (Pure White). Hiệu USM. Mới 100%</t>
  </si>
  <si>
    <t>USMUS00175</t>
  </si>
  <si>
    <t>Bàn văn phòng USM HALLER, USMUS00175, Kích thước (dài 723 x rộng 723 x cao 390 mm), Bằng Kim loại, Thủy tinh, Màu Trong suốt (Transparent), Màu Lục (USM Green). Hiệu USM. Mới 100%</t>
  </si>
  <si>
    <t>SC-FLOS-07-071122-Arrangement</t>
  </si>
  <si>
    <t>F0401030</t>
  </si>
  <si>
    <t>LPLFL00020</t>
  </si>
  <si>
    <t>Đèn trang trí ARRANGERMENTS LINE W1706 mm,35W 2700K,Màu đen  Matt black.Hiệu Flos.Model: F0401030. Mới 100%</t>
  </si>
  <si>
    <t>23-C4-001219</t>
  </si>
  <si>
    <t>07/04/2023</t>
  </si>
  <si>
    <t>105391413410</t>
  </si>
  <si>
    <t>12/04/2023</t>
  </si>
  <si>
    <t>Lô 10</t>
  </si>
  <si>
    <t>F0415030</t>
  </si>
  <si>
    <t>SPAFL00008</t>
  </si>
  <si>
    <t>Bộ nguồn ARRANGERMENTS BIG ROSE,Phi180X H90 mm, Max 190W,Màu đen  Matt black.Hiệu Flos.Model: F0415030. Mới 100%</t>
  </si>
  <si>
    <t>SC-USM-05-250323-MS.TUONGVY</t>
  </si>
  <si>
    <t>Tủ nội thất văn phòng, Kích thước: 1273x523x990 mm, bằng kim loại, màu vàng golden yellow, 6 ngăn. Hiệu: USM. Mới 100%</t>
  </si>
  <si>
    <t>102081818</t>
  </si>
  <si>
    <t>05/04/2023</t>
  </si>
  <si>
    <t>105385603960</t>
  </si>
  <si>
    <t>10/04/2023</t>
  </si>
  <si>
    <t>Lô 11</t>
  </si>
  <si>
    <t>Tủ nội thất văn phòng, Kích thước: 523x373x430 mm, bằng kim loại, màu cam pure orange, 1 ngăn. Hiệu: USM. Mới 100%</t>
  </si>
  <si>
    <t>SC-LPS-01-011123-ACC-03</t>
  </si>
  <si>
    <t>5741084953</t>
  </si>
  <si>
    <t>SPALP00006</t>
  </si>
  <si>
    <t>Chụp Đèn PH 2-1, Lower Shade, DK6.4 x H3.3 cm, Bằng Thủy Tinh. Model: 5741084953. Nhãn hiệu: Louis Poulsen. Mới 100%.</t>
  </si>
  <si>
    <t>1019008577</t>
  </si>
  <si>
    <t>16/02/2023</t>
  </si>
  <si>
    <t>105347823710</t>
  </si>
  <si>
    <t>23/03/2023</t>
  </si>
  <si>
    <t>Lô 12</t>
  </si>
  <si>
    <t>5741084940</t>
  </si>
  <si>
    <t>SPALP00005</t>
  </si>
  <si>
    <t>Chụp Đèn PH 2-1, Middle Shade, DK10.8 x H2.9 cm, Bằng Thủy Tinh. Model: 5741084940. Nhãn hiệu: Louis Poulsen. Mới 100%.</t>
  </si>
  <si>
    <t>SC-MUUTO-01-140223-APPLE HCM-02</t>
  </si>
  <si>
    <t>22450</t>
  </si>
  <si>
    <t>LPLMT00003</t>
  </si>
  <si>
    <t>Đèn Thả STRAND PENDANT Open, phi28 cm x H37.4 cm, Không Kèm Bóng, Bằng Cocoon, Màu Trắng. Hiệu: Muuto. Model: 22450. Mới 100%</t>
  </si>
  <si>
    <t>10446073</t>
  </si>
  <si>
    <t>15/02/2023</t>
  </si>
  <si>
    <t>105345609720</t>
  </si>
  <si>
    <t>22/03/2023</t>
  </si>
  <si>
    <t>Lô 13</t>
  </si>
  <si>
    <t>BD BARCELONA</t>
  </si>
  <si>
    <t>SC-BD-05-081122-KRIS</t>
  </si>
  <si>
    <t>EXPJAR01COL</t>
  </si>
  <si>
    <t>ACCBD00040</t>
  </si>
  <si>
    <t>Bình Hoa EXPLORER VASES No1, Phi 23 x H40 cm, Bằng Gốm Glazed Ceramic, Màu Lục. Hiệu BD Barcelona.  Model: EXPJAR01COL. Mới 100%</t>
  </si>
  <si>
    <t>FAC-BD223-00040</t>
  </si>
  <si>
    <t>12/01/2023</t>
  </si>
  <si>
    <t>105316386010</t>
  </si>
  <si>
    <t>09/03/2023</t>
  </si>
  <si>
    <t>Lô 14.1</t>
  </si>
  <si>
    <t>EXPJAR02COL</t>
  </si>
  <si>
    <t>ACCBD00041</t>
  </si>
  <si>
    <t>Bình Hoa EXPLORER VASES No2, Phi 25 x H35 cm, Bằng Gốm Glazed Ceramic, Màu Trắng. Hiệu BD Barcelona.  Model: EXPJAR02COL. Mới 100%</t>
  </si>
  <si>
    <t>EXPJAR03COL</t>
  </si>
  <si>
    <t>ACCBD00042</t>
  </si>
  <si>
    <t>Bình Hoa EXPLORER VASES No3, Phi 30 x H40 cm, Bằng Gốm Glazed Ceramic, Màu Đỏ. Hiệu BD Barcelona.  Model: EXPJAR03COL. Mới 100%</t>
  </si>
  <si>
    <t>105316340511</t>
  </si>
  <si>
    <t>Lô 14.2</t>
  </si>
  <si>
    <t>SC-HAY-01-130123-THELAB+STK</t>
  </si>
  <si>
    <t>V124263</t>
  </si>
  <si>
    <t>LPLVP00003</t>
  </si>
  <si>
    <t>Đèn Trang Trí VP GLOBE, 40 cm, Không Kèm Bóng, Bằng Acrylic, Aluminum, Màu Trắng Và Vàng Peach. Hiệu: VERPAN. Model: V124263. Mới 100%</t>
  </si>
  <si>
    <t>IN230119077020/120/220/320/420</t>
  </si>
  <si>
    <t>19/01/2023</t>
  </si>
  <si>
    <t>02/02/2023</t>
  </si>
  <si>
    <t>105277235600 &amp; 105277243150</t>
  </si>
  <si>
    <t>18/02/2023</t>
  </si>
  <si>
    <t>Lô 15</t>
  </si>
  <si>
    <t>105277235600</t>
  </si>
  <si>
    <t>V10570000001</t>
  </si>
  <si>
    <t>LPLVP00004</t>
  </si>
  <si>
    <t>Đèn Trang Trí VP GLOBE, 40 cm, Không Kèm Bóng, Bằng Acrylic, Aluminum, Màu Xanh, Đỏ Và Đồng Brass. Hiệu: VERPAN. Model: V10570000001. Mới 100%</t>
  </si>
  <si>
    <t>105277243150</t>
  </si>
  <si>
    <t>V10010000001</t>
  </si>
  <si>
    <t>LPLVP00002</t>
  </si>
  <si>
    <t>Đèn Trang Trí VP GLOBE, 50 cm, 1xE27, Bằng Acrylic, Aluminum, Màu Xanh Và Đỏ. Hiệu: VERPAN. Model: V10010000001. Mới 100%</t>
  </si>
  <si>
    <t>V10400000001</t>
  </si>
  <si>
    <t>LPLVP00005</t>
  </si>
  <si>
    <t>Đèn Trang Trí VP GLOBE, 50 cm, 1xE27, Bằng Acrylic, Thủy Tinh, Màu Trắng. Hiệu: VERPAN. Model: V10400000001. Mới 100%</t>
  </si>
  <si>
    <t>83301130</t>
  </si>
  <si>
    <t>LPLAT00001</t>
  </si>
  <si>
    <t>Đèn Trang Trí FORMAKAMI JH3, Phi 46 X H68 cm, Bằng Giấy Gạo và Gỗ Oak, Màu Trắng. Hiệu: HAY. Model: 83301130. Mới 100%</t>
  </si>
  <si>
    <t>83301230</t>
  </si>
  <si>
    <t>LPLAT00002</t>
  </si>
  <si>
    <t>Đèn Trang Trí FORMAKAMI JH4, Phi 50 X H50 cm, Bằng Giấy Gạo và Gỗ Oak, Màu Trắng. Hiệu: HAY. Model: 83301230. Mới 100%</t>
  </si>
  <si>
    <t>83301330</t>
  </si>
  <si>
    <t>LPLAT00003</t>
  </si>
  <si>
    <t>Đèn Trang Trí FORMAKAMI JH5, Phi 70 X H67 cm, Bằng Giấy Gạo và Gỗ Oak, Màu Trắng. Hiệu: HAY. Model: 83301330. Mới 100%</t>
  </si>
  <si>
    <t>Floor clamp</t>
  </si>
  <si>
    <t>V34545501101</t>
  </si>
  <si>
    <t>LFLAT00004</t>
  </si>
  <si>
    <t>Đèn Trang Trí WIRE FLOOR LAMP, Phi 40 X H120 cm, Bằng Chrome, Plastic, Màu Trắng. Hiệu: HAY. Model: V34545501101. Mới 100%</t>
  </si>
  <si>
    <t>943956 1409000</t>
  </si>
  <si>
    <t>OUTHA00026</t>
  </si>
  <si>
    <t>Ghế BALCONY ARMCHAIR, W52 X D52 X H79 cm, Bằng Thép, Lục Dark Forest. Hiệu: HAY. Model: 943956 1409000. Mới 100%</t>
  </si>
  <si>
    <t>943956 1009000</t>
  </si>
  <si>
    <t>OUTHA00027</t>
  </si>
  <si>
    <t>Ghế BALCONY ARMCHAIR, W52 X D52 X H79 cm, Bằng Thép, Xám Anthracite. Hiệu: HAY. Model: 943956 1009000. Mới 100%</t>
  </si>
  <si>
    <t>943956 1209000</t>
  </si>
  <si>
    <t>OUTHA00028</t>
  </si>
  <si>
    <t>Ghế BALCONY ARMCHAIR, W52 X D52 X H79 cm, Bằng Thép, Xanh Desert Green. Hiệu: HAY. Model: 943956 1209000. Mới 100%</t>
  </si>
  <si>
    <t>943956 1109000</t>
  </si>
  <si>
    <t>OUTHA00029</t>
  </si>
  <si>
    <t>Ghế BALCONY ARMCHAIR, W52 X D52 X H79 cm, Bằng Thép, Be Chalk Beige. Hiệu: HAY. Model: 943956 1109000. Mới 100%</t>
  </si>
  <si>
    <t>943971 1109000</t>
  </si>
  <si>
    <t>OUTHA00030</t>
  </si>
  <si>
    <t>Ghế BALCONY BENCH M, W119.5 X D35 X H45 cm, Bằng Thép, Be Chalk Beige. Hiệu: HAY. Model: 943971 1109000. Mới 100%</t>
  </si>
  <si>
    <t>943971 1309000</t>
  </si>
  <si>
    <t>OUTHA00031</t>
  </si>
  <si>
    <t>Ghế BALCONY BENCH M, W119.5 X D35 X H45 cm, Bằng Thép, Đỏ Iron Red. Hiệu: HAY. Model: 943971 1309000. Mới 100%</t>
  </si>
  <si>
    <t>943971 1009000</t>
  </si>
  <si>
    <t>OUTHA00032</t>
  </si>
  <si>
    <t>Ghế BALCONY BENCH M, W119.5 X D35 X H45 cm, Bằng Thép, Xám Anthracite. Hiệu: HAY. Model: 943971 1009000. Mới 100%</t>
  </si>
  <si>
    <t>943971 1209000</t>
  </si>
  <si>
    <t>OUTHA00033</t>
  </si>
  <si>
    <t>Ghế BALCONY BENCH M, W119.5 X D35 X H45 cm, Bằng Thép, Xanh Desert Green. Hiệu: HAY. Model: 943971 1209000. Mới 100%</t>
  </si>
  <si>
    <t>943951 1309000</t>
  </si>
  <si>
    <t>OUTHA00034</t>
  </si>
  <si>
    <t>Ghế BALCONY CHAIR, W45 X D52 X H46/79 cm, Bằng Thép, Đỏ Iron Red. Hiệu: HAY. Model: 943951 1309000. Mới 100%</t>
  </si>
  <si>
    <t>943951 1109000</t>
  </si>
  <si>
    <t>OUTHA00035</t>
  </si>
  <si>
    <t>Ghế BALCONY CHAIR, W45 X D52 X H46/79 cm, Bằng Thép, Be Chalk Beige. Hiệu: HAY. Model: 943951 1109000. Mới 100%</t>
  </si>
  <si>
    <t>943966 1109000</t>
  </si>
  <si>
    <t>OUTHA00037</t>
  </si>
  <si>
    <t>Ghế BALCONY LOUNGE ARMCHAIR, W63 X D69 X H72 cm, Bằng Thép, Be Chalk Beige. Hiệu: HAY. Model: 943966 1109000. Mới 100%</t>
  </si>
  <si>
    <t>943966 1309000</t>
  </si>
  <si>
    <t>OUTHA00038</t>
  </si>
  <si>
    <t>Ghế BALCONY LOUNGE ARMCHAIR, W63 X D69 X H72 cm, Bằng Thép, Đỏ Iron Red. Hiệu: HAY. Model: 943966 1309000. Mới 100%</t>
  </si>
  <si>
    <t>943966 1409000</t>
  </si>
  <si>
    <t>OUTHA00039</t>
  </si>
  <si>
    <t>Ghế BALCONY LOUNGE ARMCHAIR, W63 X D69 X H72 cm, Bằng Thép, Lục Dark Forest. Hiệu: HAY. Model: 943966 1409000. Mới 100%</t>
  </si>
  <si>
    <t>943966 1009000</t>
  </si>
  <si>
    <t>OUTHA00040</t>
  </si>
  <si>
    <t>Ghế BALCONY LOUNGE ARMCHAIR, W63 X D69 X H72 cm, Bằng Thép, Xám Anthracite. Hiệu: HAY. Model: 943966 1009000. Mới 100%</t>
  </si>
  <si>
    <t>943966 1209000</t>
  </si>
  <si>
    <t>OUTHA00041</t>
  </si>
  <si>
    <t>Ghế BALCONY LOUNGE ARMCHAIR, W63 X D69 X H72 cm, Bằng Thép, Xanh Desert Green. Hiệu: HAY. Model: 943966 1209000. Mới 100%</t>
  </si>
  <si>
    <t>943961 1109000</t>
  </si>
  <si>
    <t>OUTHA00042</t>
  </si>
  <si>
    <t>Ghế BALCONY LOUNGE CHAIR, W55 X D69 X H72 cm, Bằng Thép, Be Chalk Beige. Hiệu: HAY. Model: 943961 1109000. Mới 100%</t>
  </si>
  <si>
    <t>943961 1309000</t>
  </si>
  <si>
    <t>OUTHA00044</t>
  </si>
  <si>
    <t>Ghế BALCONY LOUNGE CHAIR, W55 X D69 X H72 cm, Bằng Thép, Đỏ Iron Red. Hiệu: HAY. Model: 943961 1309000. Mới 100%</t>
  </si>
  <si>
    <t>943961 1009000</t>
  </si>
  <si>
    <t>OUTHA00046</t>
  </si>
  <si>
    <t>Ghế BALCONY LOUNGE CHAIR, W55 X D69 X H72 cm, Bằng Thép, Xám Arthracite. Hiệu: HAY. Model: 943961 1009000. Mới 100%</t>
  </si>
  <si>
    <t>943961 1209000</t>
  </si>
  <si>
    <t>OUTHA00047</t>
  </si>
  <si>
    <t>Ghế BALCONY LOUNGE CHAIR, W55 X D69 X H72 cm, Bằng Thép, Xanh Desert Green. Hiệu: HAY. Model: 943961 1209000. Mới 100%</t>
  </si>
  <si>
    <t>Bed</t>
  </si>
  <si>
    <t>946553</t>
  </si>
  <si>
    <t>BEDHA00001</t>
  </si>
  <si>
    <t>Giường TAMOTO BED, W203 X D214 X H91.5 cm, Bằng Plastic, Vải Linara, Màu Trắng Bone. Hiệu: HAY. Model: 946553. Mới 100%</t>
  </si>
  <si>
    <t>943996 1109000</t>
  </si>
  <si>
    <t>OUTHA00048</t>
  </si>
  <si>
    <t>Bàn BALCONY TABLE L, W87 X D190 X H73 cm, Bằng Thép, Be Chalk Beige. Hiệu: HAY. Model: 943996 1109000. Mới 100%</t>
  </si>
  <si>
    <t>943981 1109000</t>
  </si>
  <si>
    <t>OUTHA00049</t>
  </si>
  <si>
    <t>Bàn BALCONY TABLE LOW, W51 X D50 X H39 cm, Bằng Thép, Be Chalk Beige. Hiệu: HAY. Model: 943981 1109000. Mới 100%</t>
  </si>
  <si>
    <t>943981 1409000</t>
  </si>
  <si>
    <t>OUTHA00050</t>
  </si>
  <si>
    <t>Ban BALCONY TABLE LOW, W51 X D50 X H39 cm, Bằng Thép, Lục Dark Forest. Hiệu: HAY. Model: 943981 1409000. Mới 100%</t>
  </si>
  <si>
    <t>943981 1009000</t>
  </si>
  <si>
    <t>OUTHA00051</t>
  </si>
  <si>
    <t>Bàn BALCONY TABLE LOW, W51 X D50 X H39 cm, Bằng Thép, Xám Anthracite. Hiệu: HAY. Model: 943981 1009000. Mới 100%</t>
  </si>
  <si>
    <t>943991 1109000</t>
  </si>
  <si>
    <t>OUTHA00052</t>
  </si>
  <si>
    <t>Bàn BALCONY TABLE M, W76 X D144 X H74 cm, Bằng Thép, Be Chalk Beige. Hiệu: HAY. Model: 943991 1109000. Mới 100%</t>
  </si>
  <si>
    <t>943991 1309000</t>
  </si>
  <si>
    <t>OUTHA00053</t>
  </si>
  <si>
    <t>Bàn BALCONY TABLE M, W76 X D144 X H74 cm, Bằng Thép, Đỏ Iron Red. Hiệu: HAY. Model: 943991 1309000. Mới 100%</t>
  </si>
  <si>
    <t>943991 1409000</t>
  </si>
  <si>
    <t>OUTHA00054</t>
  </si>
  <si>
    <t>Bàn BALCONY TABLE M, W76 X D144 X H74 cm, Bằng Thép, Lục Dark Forest. Hiệu: HAY. Model: 943991 1409000. Mới 100%</t>
  </si>
  <si>
    <t>943991 1009000</t>
  </si>
  <si>
    <t>OUTHA00055</t>
  </si>
  <si>
    <t>Bàn BALCONY TABLE M, W76 X D144 X H74 cm, Bằng Thép, Xám Anthracite. Hiệu: HAY. Model: 943991 1009000. Mới 100%</t>
  </si>
  <si>
    <t>943991 1209000</t>
  </si>
  <si>
    <t>OUTHA00056</t>
  </si>
  <si>
    <t>Bàn BALCONY TABLE M, W76 X D144 X H74 cm, Bằng Thép, Xanh Desert Green. Hiệu: HAY. Model: 943991 1209000. Mới 100%</t>
  </si>
  <si>
    <t>943986 1109000</t>
  </si>
  <si>
    <t>OUTHA00057</t>
  </si>
  <si>
    <t>Bàn BALCONY TABLE S, W76 X D75 X H74 cm, Bằng Thép, Be Chalk Beige. Hiệu: HAY. Model: 943986 1109000. Mới 100%</t>
  </si>
  <si>
    <t>943986 1309000</t>
  </si>
  <si>
    <t>OUTHA00058</t>
  </si>
  <si>
    <t>Bàn BALCONY TABLE S, W76 X D75 X H74 cm, Bằng Thép, Đỏ Iron Red. Hiệu: HAY. Model: 943986 1309000. Mới 100%</t>
  </si>
  <si>
    <t>943986 1009000</t>
  </si>
  <si>
    <t>OUTHA00059</t>
  </si>
  <si>
    <t>Bàn BALCONY TABLE S, W76 X D75 X H74 cm, Bằng Thép, Xám Anthracite. Hiệu: HAY. Model: 943986 1009000. Mới 100%</t>
  </si>
  <si>
    <t>102482 6009000</t>
  </si>
  <si>
    <t>TBLHA00015</t>
  </si>
  <si>
    <t>Bàn SLIT TABLE HIGH, Phi 35 X H47 cm, Mặt Bàn Và Chân Bàn Bằng Thép Polished, Bạc Mirror. Hiệu: HAY. Model: 102482 6009000. Mới 100%</t>
  </si>
  <si>
    <t>102482 7009000</t>
  </si>
  <si>
    <t>TBLHA00016</t>
  </si>
  <si>
    <t>Bàn SLIT TABLE HIGH, Phi 35 X H47 cm, Mặt Bàn Và Chân Bàn Bằng Thép Polished, Đồng Thau Brass. Hiệu: HAY. Model: 102482 7009000. Mới 100%</t>
  </si>
  <si>
    <t>Rug</t>
  </si>
  <si>
    <t>541562</t>
  </si>
  <si>
    <t>ACCHA00214</t>
  </si>
  <si>
    <t>Thảm CRAYON, W170 X D240 cm, Bằng Len, Màu Xám Multi. Hiệu: HAY. Model: 541562. Mới 100%</t>
  </si>
  <si>
    <t>945125 1109000</t>
  </si>
  <si>
    <t>SPAHA00013</t>
  </si>
  <si>
    <t>Đệm BALCONY LOUNGE CHAIR &amp; LOUNGE ARMCHAIR CUSHION, W49.5 X D51.5 X H4 cm, Bằng Olefin, Be. Hiệu: HAY. Model: 945125 1109000. Mới 100%</t>
  </si>
  <si>
    <t>507294</t>
  </si>
  <si>
    <t>ACCHA00070</t>
  </si>
  <si>
    <t>Gối DOT CUSHION SOFT 1 DOT, W60 X D15 X H45 cm, Bằng Cotton, Màu Hồng Rose. Hiệu: HAY. Model: 507294. Mới 100%</t>
  </si>
  <si>
    <t>507291</t>
  </si>
  <si>
    <t>ACCHA00075</t>
  </si>
  <si>
    <t>Gối DOT CUSHION SOFT 1 DOT, W60 X D15 X H45 cm, Bằng Cotton, Màu Lục Dark Green. Hiệu: HAY. Model: 507291. Mới 100%</t>
  </si>
  <si>
    <t>507293</t>
  </si>
  <si>
    <t>ACCHA00077</t>
  </si>
  <si>
    <t>Gối DOT CUSHION SOFT 1 DOT, W60 X D15 X H45 cm, Bằng Cotton, Màu Vàng. Hiệu: HAY. Model: 507293. Mới 100%</t>
  </si>
  <si>
    <t>507298</t>
  </si>
  <si>
    <t>ACCHA00220</t>
  </si>
  <si>
    <t>Gối DOT CUSHION SOFT 1 DOT, W60 X D15 X H45 cm, Bằng Cotton, Màu Xanh Navy. Hiệu: HAY. Model: 507298. Mới 100%</t>
  </si>
  <si>
    <t>507292</t>
  </si>
  <si>
    <t>ACCHA00076</t>
  </si>
  <si>
    <t>Gối DOT CUSHION SOFT 1 DOT, W60 X D15 X H45 cm, Bằng Cotton, Màu Xanh Rêu Moss. Hiệu: HAY. Model: 507292. Mới 100%</t>
  </si>
  <si>
    <t>507297</t>
  </si>
  <si>
    <t>ACCHA00074</t>
  </si>
  <si>
    <t>Gối DOT CUSHION SOFT 1 DOT, W60 X D15 X H45 cm, Bằng Cotton, Màu Xanh. Hiệu: HAY. Model: 507297. Mới 100%</t>
  </si>
  <si>
    <t>507019</t>
  </si>
  <si>
    <t>ACCHA00216</t>
  </si>
  <si>
    <t>Gối DOT CUSHION STEELCUT TRIO 1 DOT, W60 X D15 X H45 cm, Bằng Cotton, Màu Lục Racing Green.  Hiệu: HAY. Model: 507019. Mới 100%</t>
  </si>
  <si>
    <t>507015</t>
  </si>
  <si>
    <t>ACCHA00217</t>
  </si>
  <si>
    <t>Gối DOT CUSHION STEELCUT TRIO 1 DOT, W60 X D15 X H45 cm, Bằng Cotton, Màu Nâu Coral .  Hiệu: HAY. Model: 507015. Mới 100%</t>
  </si>
  <si>
    <t>511092</t>
  </si>
  <si>
    <t>ACCHA00218</t>
  </si>
  <si>
    <t>Gối DOT CUSHION STEELCUT TRIO 1 DOT, W60 X D15 X H45 cm, Bằng Cotton, Màu Xám Dark Grey.  Hiệu: HAY. Model: 511092. Mới 100%</t>
  </si>
  <si>
    <t>507016</t>
  </si>
  <si>
    <t>ACCHA00219</t>
  </si>
  <si>
    <t>Gối DOT CUSHION STEELCUT TRIO 1 DOT, W60 X D15 X H45 cm, Bằng Cotton, Màu Xanh Dark Blue.  Hiệu: HAY. Model: 507016. Mới 100%</t>
  </si>
  <si>
    <t>STOFF</t>
  </si>
  <si>
    <t>SC-STN-01-300922-STK1</t>
  </si>
  <si>
    <t>ACCST00001</t>
  </si>
  <si>
    <t>Chân Nến Đơn CANDLE HOLDER SINGLE, phi 10.2 x H6.9 cm, Bằng Hợp Kim, Màu Chrome. Hiệu: STOFF Nagel. Model: 9004. Mới 100%</t>
  </si>
  <si>
    <t>9591</t>
  </si>
  <si>
    <t>19/10/2022</t>
  </si>
  <si>
    <t>13/11/2022</t>
  </si>
  <si>
    <t>105250322551</t>
  </si>
  <si>
    <t>07/02/2023</t>
  </si>
  <si>
    <t>Lô 16</t>
  </si>
  <si>
    <t>ACCST00002</t>
  </si>
  <si>
    <t>Chân Nến Ba CANDLE HOLDER 3 PACK, phi 10.2 x H6.9 cm, Bằng Hợp Kim, Màu Chrome. Hiệu: STOFF Nagel. Model: 9034. Mới 100%</t>
  </si>
  <si>
    <t>ACCST00003</t>
  </si>
  <si>
    <t>Chân Nến Ba CANDLE HOLDER 3 PACK, phi 10.2 x H6.9 cm, Bằng Hợp Kim, Màu Chrome Đen. Hiệu: STOFF Nagel. Model: 9037. Mới 100%</t>
  </si>
  <si>
    <t>ACCST00004</t>
  </si>
  <si>
    <t>Chân Nến BOWL, phi 13.8 x H5.6 cm, Bằng Hợp Kim, Màu Chrome. Hiệu: STOFF Nagel. Model: 9024. Mới 100%</t>
  </si>
  <si>
    <t>ACCST00005</t>
  </si>
  <si>
    <t>Chân Nến VASE, phi 2.4 x H10 cm, Bằng Hợp Kim, Màu Chrome. Hiệu: STOFF Nagel. Model: 9054. Mới 100%</t>
  </si>
  <si>
    <t>ACCST00006</t>
  </si>
  <si>
    <t>Chân Nến STAND,phi 17 x H23 cm, Bằng Hợp Kim, Màu Chrome. Hiệu: STOFF Nagel. Model: 9044. Mới 100%</t>
  </si>
  <si>
    <t>ACCST00007</t>
  </si>
  <si>
    <t>Hộp Nến (6 pcs) TAPER CANDLES,phi 1.3 x H29 cm, Bằng Paraffin, Màu Trắng. Hiệu: STOFF Nagel. Model: 36001. Mới 100%</t>
  </si>
  <si>
    <t>ACCST00008</t>
  </si>
  <si>
    <t>Hộp Nến (6 pcs) TAPER CANDLES, phi 1.3 x H29 cm, Bằng Paraffin, Màu Vàng Sand. Hiệu: STOFF Nagel. Model: 36007. Mới 100%</t>
  </si>
  <si>
    <t>ACCST00009</t>
  </si>
  <si>
    <t>Hộp Nến (6 pcs) TAPER CANDLES, phi 1.3 x H29 cm, Bằng Paraffin, Màu Trắng Off-white. Hiệu: STOFF Nagel. Model: 36011. Mới 100%</t>
  </si>
  <si>
    <t>ACCST00010</t>
  </si>
  <si>
    <t>Hộp Nến (6 pcs) TAPER CANDLES,phi 1.3 x H29 cm, Bằng Paraffin, Màu Tím Light Lavender. Hiệu: STOFF Nagel. Model: 36013. Mới 100%</t>
  </si>
  <si>
    <t>ACCST00011</t>
  </si>
  <si>
    <t>Hộp Nến (6 pcs) TAPER CANDLES,phi 1.3 x H29 cm, Bằng Paraffin, Màu Lục Dusty Mint. Hiệu: STOFF Nagel. Model: 36014. Mới 100%</t>
  </si>
  <si>
    <t>ACCST00012</t>
  </si>
  <si>
    <t>Hộp Nến (6 pcs) TAPER CANDLES,phi 1.3 x H29 cm, Bằng Paraffin, Màu Đỏ. Hiệu: STOFF Nagel. Model: 36018. Mới 100%</t>
  </si>
  <si>
    <t>ACCST00013</t>
  </si>
  <si>
    <t>Hộp Nến (6 pcs) TAPER CANDLES,phi 1.3 x H29 cm, Bằng Paraffin, Màu Nâu Latte. Hiệu: STOFF Nagel. Model: 36020. Mới 100%</t>
  </si>
  <si>
    <t xml:space="preserve"> 
36022</t>
  </si>
  <si>
    <t>ACCST00014</t>
  </si>
  <si>
    <t>Hộp Nến (6 pcs) TAPER CANDLES,phi 1.3 x H29 cm, Bằng Paraffin, Màu Xanh Sky Blue. Hiệu: STOFF Nagel. Model: 36022. Mới 100%</t>
  </si>
  <si>
    <t>SC-LPS-09-290622-STK+CLT</t>
  </si>
  <si>
    <t>Patera Pendant</t>
  </si>
  <si>
    <t>5741099977</t>
  </si>
  <si>
    <t>LPLLP00048</t>
  </si>
  <si>
    <t>Đèn trang trí PATERA, phi 90 x H86.5 cm, Không Kèm Bóng, Bằng PVCl, Màu Trắng Matt Coated. Hiệu: Louis Poulsen. Model: 5741099977. Mới 100%</t>
  </si>
  <si>
    <t>LP241222</t>
  </si>
  <si>
    <t>24/12/2022</t>
  </si>
  <si>
    <t>105250312530</t>
  </si>
  <si>
    <t>Lô 17</t>
  </si>
  <si>
    <t>PH 4/3 Pendant</t>
  </si>
  <si>
    <t>5744615002</t>
  </si>
  <si>
    <t>LTLLP00019</t>
  </si>
  <si>
    <t>Đèn trang trí PH 4/3, phi 45 x H54 cm, Không Kèm Bóng, Bằng Aluminium, Brass, Steel, Màu Trắng. Hiệu: Louis Poulsen. Model: 5744615002. Mới 100%</t>
  </si>
  <si>
    <t>5741087549</t>
  </si>
  <si>
    <t>LPLLP00043</t>
  </si>
  <si>
    <t>Đèn trang trí PH 4/3, phi 40 x 20 cm, Không Kèm Bóng, Bằng Aluminium, Màu Trắng. Hiệu: Louis Poulsen. Model: 5741087549. Mới 100%</t>
  </si>
  <si>
    <t>5741113073</t>
  </si>
  <si>
    <t>LPLLP00044</t>
  </si>
  <si>
    <t>Đèn trang trí PH 5 PASTELS, phi 50 x H26.7 cm, Không Kèm Bóng, Bằng Aluminum, 3 Màu Oyster Blue Rose. Hiệu: Louis Poulsen. Model: 5741113073. Mới 100%</t>
  </si>
  <si>
    <t>5741113060</t>
  </si>
  <si>
    <t>LPLLP00045</t>
  </si>
  <si>
    <t>Đèn trang trí PH 5 PASTELS, phi 50 x H26.7 cm, Không Kèm Bóng, Bằng Aluminum, 3 Màu Blue Rose Peach. Hiệu: Louis Poulsen. Model: 5741113060. Mới 100%</t>
  </si>
  <si>
    <t>5741113044</t>
  </si>
  <si>
    <t>LPLLP00046</t>
  </si>
  <si>
    <t>Đèn trang trí PH 5, phi 50 x H26.7 cm, Không Kèm Bóng, Bằng Aluminum, Màu Hồng Monochrome Pale Rose. Hiệu: Louis Poulsen. Model: 5741113044. Mới 100%</t>
  </si>
  <si>
    <t>5741113057</t>
  </si>
  <si>
    <t>LPLLP00047</t>
  </si>
  <si>
    <t>Đèn trang trí PH 5, phi 50 x H26.7 cm, Không Kèm Bóng, Bằng Aluminum, Màu Xám Monochrome Oyster Grey. Hiệu: Louis Poulsen. Model: 5741113057. Mới 100%</t>
  </si>
  <si>
    <t>SC-FH-08-280622-STK3+AE</t>
  </si>
  <si>
    <t>CLGFH00079</t>
  </si>
  <si>
    <t>Ghế Lounge EGG 3316, W86 x D79/95 x H104 cm, Bọc Toàn Phần, Da Grace Nâu Chestnut, Chân Thép Đen. Hiệu: Fritz Hansen. Mới 100%</t>
  </si>
  <si>
    <t>FH261222</t>
  </si>
  <si>
    <t>105250296800</t>
  </si>
  <si>
    <t>Lô 18</t>
  </si>
  <si>
    <t>B617</t>
  </si>
  <si>
    <t>TBLFH00072</t>
  </si>
  <si>
    <t>Bàn TABLE SERIES, B617, L300 x W130 x H72 cm, Mặt Bàn Gỗ Walnut, Chân Thép Mạ Chrome. Hiệu: Fritz Hansen. Mới 100%</t>
  </si>
  <si>
    <t>B619</t>
  </si>
  <si>
    <t>TBLFH00078</t>
  </si>
  <si>
    <t>Bàn TABLE SERIES, B619, W180/300 x D120 x H72 cm, Mặt Laminate Trắng, Mở Rộng, Chân Thép Mạ Chrome. Hiệu: Fritz Hansen. Mới 100%</t>
  </si>
  <si>
    <t>TBLFH00074</t>
  </si>
  <si>
    <t>Bàn TABLE SERIES, B619, W180/300 x D120 x H72 cm, Mặt Laminate Đen, Mở Rộng, Chân Sơn Tĩnh Điện Màu Đen. Hiệu: Fritz Hansen. Mới 100%</t>
  </si>
  <si>
    <t>CHRFH00240</t>
  </si>
  <si>
    <t>Ghế GRAND PRIX, 3130, W48 x D51 x H83 cm, Thân Gỗ Coloured Ash Trắng, Chân Sơn Tĩnh Điện Trắng. Hiệu: Fritz Hansen. Mới 100%</t>
  </si>
  <si>
    <t>CHRFH00239</t>
  </si>
  <si>
    <t>Ghế GRAND PRIX, 3130, W48 x D51 x H83 cm, Thân Gỗ Coloured Ash Be Light Beige , Chân Sơn Tĩnh Điện đen. Hiệu: Fritz Hansen. Mới 100%</t>
  </si>
  <si>
    <t>CHRFH00073</t>
  </si>
  <si>
    <t>Ghế GRAND PRIX, 3130, W48 x D51 x H83 cm, Thân Gỗ Coloured Ash Đen, Chân Sơn Tĩnh Điện Đen. Hiệu: Fritz Hansen. Mới 100%</t>
  </si>
  <si>
    <t>CHRFH00075</t>
  </si>
  <si>
    <t>Ghế GRAND PRIX, 3130, W48 x D51 x H83 cm, Thân Gỗ Coloured Ash xanh Midnight, Chân Sơn Tĩnh Điện Đen. Hiệu: Fritz Hansen. Mới 100%</t>
  </si>
  <si>
    <t>PK0 A</t>
  </si>
  <si>
    <t>CLGFH00080</t>
  </si>
  <si>
    <t>Ghế Lounge PK0 A, W66 x D62.5 x H66 cm, Bằng Gỗ Coloured Ash, Màu Đen. Hiệu: Fritz Hansen. Mới 100%</t>
  </si>
  <si>
    <t>KS11</t>
  </si>
  <si>
    <t>TBLFH00030</t>
  </si>
  <si>
    <t>Bàn LITTLE FRIEND, KS11, phi 45 x H50/73 cm, Mặt Bàn Laminate Trắng, Chân Sơn Tĩnh Điện Trắng. Hiệu: Fritz Hansen. Mới 100%</t>
  </si>
  <si>
    <t>TBLFH00028</t>
  </si>
  <si>
    <t>Bàn LITTLE FRIEND, KS11, phi 45 x H50/73 cm, Mặt Bàn Laminate Đen, Chân Sơn Tĩnh Điện Đen. Hiệu: Fritz Hansen. Mới 100%</t>
  </si>
  <si>
    <t>TBLFH00034</t>
  </si>
  <si>
    <t>Bàn LITTLE FRIEND, KS11, phi 45 x H50/73 cm, Mặt Laminate Trắng, Chân Aluminum Polished. Hiệu: Fritz Hansen. Mới 100%</t>
  </si>
  <si>
    <t>TBLFH00029</t>
  </si>
  <si>
    <t>Bàn LITTLE FRIEND, KS11, phi 45 x H50/73 cm, Mặt Bàn Laminate Đen, Chân Thép Mạ Chrome. Hiệu: Fritz Hansen. Mới 100%</t>
  </si>
  <si>
    <t>LPLFH00017</t>
  </si>
  <si>
    <t>Đèn Trang Trí CONCERT P3, phi 55 x 32 cm, Không Kèm Bóng, Bằng Thép, Màu Trắng. Hiệu: Fritz Hansen. Model: 74003505. Mới 100%</t>
  </si>
  <si>
    <t>LTLFH00005</t>
  </si>
  <si>
    <t>Đèn Trang Trí KAISER IDELL, 6631-T LUXUS, L28.5 x W28.5 x H42.5 cm, Không Kèm Bóng, Bằng Thép, Màu Trắng. Hiệu: Fritz Hansen. Model: 62701305. Mới 100%</t>
  </si>
  <si>
    <t>LTLFH00004</t>
  </si>
  <si>
    <t>Đèn Trang Trí KAISER IDELL, 6631-T LUXUS, L28.5 x W28.5 x H42.5 cm, Không Kèm Bóng, Bằng Thép, Màu Lục. Hiệu: Fritz Hansen. Model: 62701706. Mới 100%</t>
  </si>
  <si>
    <t>ACCFH00011</t>
  </si>
  <si>
    <t>Bình Hoa Nhỏ IKEBANA VASE SMALL, phi12 x H13 cm, Bằng Thủy Tinh Thổi, Thép, Màu Đồng Thau. Hiệu: Fritz Hansen. Model: 840141. Mới 100%</t>
  </si>
  <si>
    <t>ACCFH00009</t>
  </si>
  <si>
    <t>Bình Hoa Lớn IKEBANA VASE, phi 24 x H15.5 cm, Bằng Thủy Tinh Thổi, Thép, Màu Đồng Thau. Hiệu: Fritz Hansen. Model: 840140. Mới 100%</t>
  </si>
  <si>
    <t>ACCFH00004</t>
  </si>
  <si>
    <t>Bình Hoa Dài IKEBANA VASE LONG, W9.5 x L33.5 x H13 cm, Bằng Thủy Tinh Thổi, Thép, Màu Đồng Thau. Hiệu: Fritz Hansen. Model: 840142. Mới 100%</t>
  </si>
  <si>
    <t>SC-FLOS-03-031022-SPC+AK</t>
  </si>
  <si>
    <t>F0304000</t>
  </si>
  <si>
    <t>LFLFL00002</t>
  </si>
  <si>
    <t>Đèn trang trí Arco K, W220 xH240 cm, không kèm bóng, bằng aluminum, pha lê, stainless steel, màu crystal. Hiệu: FLOS. Model: F0304000. Mới 100%</t>
  </si>
  <si>
    <t>22-C4-004013</t>
  </si>
  <si>
    <t>15/11/2022</t>
  </si>
  <si>
    <t>105208267400</t>
  </si>
  <si>
    <t>Lô 19</t>
  </si>
  <si>
    <t>Đèn trang trí Viscontea, Phi 68 cm xH49 cm, không kèm bóng, bằng thép, cocoon, màu trắng. Hiệu: FLOS. Model: F8001009. Mới 100%. Hàng FOC</t>
  </si>
  <si>
    <t>F1810033</t>
  </si>
  <si>
    <t>LWLFL00010</t>
  </si>
  <si>
    <t>Đèn trang trí Coordinates W1, L80 xH9 cm, 15W 2700K, bằng aluminum, silicone, màu bạc argent. Hiệu: FLOS. Model: F1810033. Mới 100%. Hàng FOC</t>
  </si>
  <si>
    <t>F1041057</t>
  </si>
  <si>
    <t>LTLFL00007</t>
  </si>
  <si>
    <t>Đèn trang trí Bon Jour Versailles, 31.6 xH42.3 cm, 13W 2700K, bằng polime, màu chrome. Hiệu: FLOS. Model: F1041057. Mới 100%. Hàng FOC</t>
  </si>
  <si>
    <t>SC-USM-16-011223-DH-001554.1486.1362.1567</t>
  </si>
  <si>
    <t>PO-USM-16-011223-DH-001554.1486.1362.1567</t>
  </si>
  <si>
    <t>DH-001554.1486.1362.1567</t>
  </si>
  <si>
    <t>28/11/2023</t>
  </si>
  <si>
    <t>15/02/2024</t>
  </si>
  <si>
    <t>USMUS00038</t>
  </si>
  <si>
    <t>Office Furniture USM HALLER in metal
Cabinet</t>
  </si>
  <si>
    <t>USM-011223</t>
  </si>
  <si>
    <t>HOC04505071</t>
  </si>
  <si>
    <t>15/01/2024</t>
  </si>
  <si>
    <t>22/01/2024</t>
  </si>
  <si>
    <t>BASEL - CH</t>
  </si>
  <si>
    <t>SGN - HCM VN</t>
  </si>
  <si>
    <t>LONG HOÀNG</t>
  </si>
  <si>
    <t>106040593300</t>
  </si>
  <si>
    <t>23/01/2024</t>
  </si>
  <si>
    <t>Tủ nội thất văn phòng USM HALLER, USM, model USMUS00038, dài 523 x rộng 373 x cao 610 mm, Bằng Kim loại, Màu Be (USM Beige).Mới 100%</t>
  </si>
  <si>
    <t>Lô 20</t>
  </si>
  <si>
    <t>USMUS00290</t>
  </si>
  <si>
    <t>Tủ nội thất văn phòng USM HALLER, USM, model USMUS00290, dài 2273 x rộng 373 x cao 740 mm, Bằng Kim loại, Màu Be (USM Beige).Mới 100%</t>
  </si>
  <si>
    <t>PO-USM-17-141223-DH-0001617</t>
  </si>
  <si>
    <t>DH-0001617</t>
  </si>
  <si>
    <t>14/12/2023</t>
  </si>
  <si>
    <t>OTHERS</t>
  </si>
  <si>
    <t>11207.25</t>
  </si>
  <si>
    <t>USMUS-11207.25</t>
  </si>
  <si>
    <t>USM Haller, metal panel, 750x350 mm, golden yellow</t>
  </si>
  <si>
    <t>23/1/2024</t>
  </si>
  <si>
    <t>Kệ nội thất văn phòng USM HALLER, USM, model USMUS10180, dài 1123 x rộng 373 x cao 390 mm, Bằng Kim loại, Màu Nâu, Trắng.Mới 100%</t>
  </si>
  <si>
    <t>11727.25</t>
  </si>
  <si>
    <t>USMUS-11727.25</t>
  </si>
  <si>
    <t>USM Haller, metal panel, perforated, 350x350 mm, golden yellow</t>
  </si>
  <si>
    <t>11725.25</t>
  </si>
  <si>
    <t>USMUS-11725.25</t>
  </si>
  <si>
    <t>USM Haller, metal panel, perforated, 750x350 mm, golden yellow</t>
  </si>
  <si>
    <t>10736</t>
  </si>
  <si>
    <t>USMUS-10736</t>
  </si>
  <si>
    <t>USM Haller, tube, 350 mm</t>
  </si>
  <si>
    <t>11207.22</t>
  </si>
  <si>
    <t>USMUS-11207.22</t>
  </si>
  <si>
    <t>USM Haller, metal panel, 750x350 mm, USM brown</t>
  </si>
  <si>
    <t>11211.22</t>
  </si>
  <si>
    <t>USMUS-11211.22</t>
  </si>
  <si>
    <t>USM Haller, metal panel, 350x350 mm, USM brown</t>
  </si>
  <si>
    <t>14263.22</t>
  </si>
  <si>
    <t>USMUS-14263.22</t>
  </si>
  <si>
    <t>USM Haller, door without fittings, 750x350 mm, USM brown</t>
  </si>
  <si>
    <t>18708.24</t>
  </si>
  <si>
    <t>USMUS-18708.24</t>
  </si>
  <si>
    <t>USM Haller, metal plant panel, 350x350 mm, pure white</t>
  </si>
  <si>
    <t>18701</t>
  </si>
  <si>
    <t>USMUS-18701</t>
  </si>
  <si>
    <t>Pot, terracotta</t>
  </si>
  <si>
    <t>18703</t>
  </si>
  <si>
    <t>USMUS-18703</t>
  </si>
  <si>
    <t>Protective ring metal plant panel</t>
  </si>
  <si>
    <t>SC-LPS·0611 ·CAM·05&amp;PH33</t>
  </si>
  <si>
    <t>PO-LPS-0611-CAM-05&amp;PH33</t>
  </si>
  <si>
    <t>30 days fron Invoice date</t>
  </si>
  <si>
    <t>Pedant</t>
  </si>
  <si>
    <t>PH 3/3 Pendant</t>
  </si>
  <si>
    <t>5741106404</t>
  </si>
  <si>
    <t>LPLLP00052</t>
  </si>
  <si>
    <t>PH 3-3 PENDANT
ø287 x H300 mm
E27 15W D60 x H110 mm
Material: glass, aluminium, zinc.
BLACK METAL/GLASS</t>
  </si>
  <si>
    <t>1019010100</t>
  </si>
  <si>
    <t>13/12/23</t>
  </si>
  <si>
    <t>SDK0109215</t>
  </si>
  <si>
    <t>LCL Sea</t>
  </si>
  <si>
    <t>AARHUS</t>
  </si>
  <si>
    <t>CÁT LÁI - HO CHI MINH CITY</t>
  </si>
  <si>
    <t>Macnel</t>
  </si>
  <si>
    <t>106111860630</t>
  </si>
  <si>
    <t xml:space="preserve"> 
Đèn Thả PH 3-3, Louis Poulsen, model 5741109278, DK285 x C307 mm, Bằng đồng thau, thủy tinh, Màu đen, trắng, không kèm bóng.Mới 100%</t>
  </si>
  <si>
    <t>Lô 21</t>
  </si>
  <si>
    <t>LPLLP00050</t>
  </si>
  <si>
    <t>PATERA Ø30 cm
300 x 305 x 300 mm
PVCI
Finish: Matt Coated</t>
  </si>
  <si>
    <t>Đèn Thả PATERA, Louis Poulsen, model 5741104545, DK300 x C305 mm, Bằng PVCl, Màu Trắng Matt Coated, không kèm bóng.Mới 100%</t>
  </si>
  <si>
    <t>AJ Oxford Table Lamp</t>
  </si>
  <si>
    <t>LTLLP00051</t>
  </si>
  <si>
    <t>AJ Oxford Table Lamp
Size: 410MM
Base ø10
Finish: Metal Black/Opal Glass</t>
  </si>
  <si>
    <t>Đèn trang trí AJ Oxford, Louis Poulsen, model 5744168588, DK220 x C413 mm, Bằng Thép, thủy tinh, Màu đen, không kèm bóng.Mới 100%</t>
  </si>
  <si>
    <t>PH 80 Floor Lamp</t>
  </si>
  <si>
    <t>LFLLP00008</t>
  </si>
  <si>
    <t>PH 80 FLOOR 
70W E27
550 x 1315 x 550 mm
Finish: WHITE OPAL ACRYL</t>
  </si>
  <si>
    <t>Đèn trang trí PH 80, Louis Poulsen, model 5744611352, DK550 x C1315mm, Bằng Acrylic,Pp,ABS,Thép, Màu trắng opal acryl,thân đen,không kèm bóng.Mới 100%</t>
  </si>
  <si>
    <t>PH 3/2 Table Lamp</t>
  </si>
  <si>
    <t>LTLLP00024</t>
  </si>
  <si>
    <t>PH 3-2 TABLE GLASS
40W
285 x 472 x 285 mm
Finish: BLACK</t>
  </si>
  <si>
    <t>Đèn trang trí PH 3-2, Louis Poulsen, model 5744610861, DK285 x C472 mm, Bằng kim loại, Thủy Tinh Opal Glass, Màu Đen, không kèm bóng.Mới 100%</t>
  </si>
  <si>
    <t>LPLLP00030</t>
  </si>
  <si>
    <t>PH 5
500 x 267 x 500 mm
Finish: MONOCHROME WHITE</t>
  </si>
  <si>
    <t>Đèn Thả PH 5, Louis Poulsen, model 5741104574, DK50 x C26.7 cm, Bằng Aluminum, Màu Trắng Monochrome, không kèm bóng.Mới 100%</t>
  </si>
  <si>
    <t>Panthella 400 Table Lamp</t>
  </si>
  <si>
    <t>LTLLP00013</t>
  </si>
  <si>
    <t>PANTHELLA TABLE
400 x 400 x 550 mm
Finish: WHITE OPAL</t>
  </si>
  <si>
    <t>Đèn trang trí PANTHELLA, Louis Poulsen, model 5744167042, DK400 x C580 mm, Bằng ABS Và thép, Màu Trắng (White), không kèm bóng.Mới 100%</t>
  </si>
  <si>
    <t>SC-FLOS-05-071123-DH-0001303</t>
  </si>
  <si>
    <t>PO-FLOS-05-071123-DH-0001303</t>
  </si>
  <si>
    <t>DH-0001303</t>
  </si>
  <si>
    <t>18/09/2023</t>
  </si>
  <si>
    <t>06/03/2024</t>
  </si>
  <si>
    <t>F3743000</t>
  </si>
  <si>
    <t>LPLFL00052</t>
  </si>
  <si>
    <t>Luce Orizzontale S1</t>
  </si>
  <si>
    <t>2403000954</t>
  </si>
  <si>
    <t>20/02/24</t>
  </si>
  <si>
    <t>202402275VW</t>
  </si>
  <si>
    <t>Air</t>
  </si>
  <si>
    <t>27/02/24</t>
  </si>
  <si>
    <t>Malpensa</t>
  </si>
  <si>
    <t>HO CHI MINH</t>
  </si>
  <si>
    <t>Glotrans</t>
  </si>
  <si>
    <t>106111975540</t>
  </si>
  <si>
    <t>Đèn thả Luce Orizzontale S1, Flos, model F3743000, DI100 X L1656 mm, Bằng Thủy Tinh, Nhôm (không kèm bóng).Mới 100%</t>
  </si>
  <si>
    <t>Lô 22</t>
  </si>
  <si>
    <t>F3174057</t>
  </si>
  <si>
    <t>LFLFL00010</t>
  </si>
  <si>
    <t>IC Lights Floor 2,</t>
  </si>
  <si>
    <t>Đèn trang trí IC F2, Flos, model F3174057, H1852 x DI380 mm, Bằng Thép, Đồng thau, Thủy Tinh, Màu Chrome  (không kèm bóng).Mới 100%</t>
  </si>
  <si>
    <t>F3170057</t>
  </si>
  <si>
    <t>LTLFL00014</t>
  </si>
  <si>
    <t>IC Lights Table 1 High</t>
  </si>
  <si>
    <t>Đèn trang trí  IC T1 High, Flos, model F3170057, DI200 x H530 mm, Bằng Thép, Đồng Thau, Thủy Tinh, Màu Chrome  (không kèm bóng).Mới 100%</t>
  </si>
  <si>
    <t>SC-BD-01-101023-DH0001394</t>
  </si>
  <si>
    <t>PO-BD-01-101023-DH-0001394</t>
  </si>
  <si>
    <t>DH-0001394</t>
  </si>
  <si>
    <t>EXP02COL02</t>
  </si>
  <si>
    <t>TBLBD00013</t>
  </si>
  <si>
    <t>EXPLORER TABLE 2, 
DI60 x H46 cm,
Steel and Fiberglass, MDF Table Top,
Multicolor Brown</t>
  </si>
  <si>
    <t>FAC-BD223-01157</t>
  </si>
  <si>
    <t>31/11/2023</t>
  </si>
  <si>
    <t>235 MAD 51147250</t>
  </si>
  <si>
    <t>MADRID</t>
  </si>
  <si>
    <t>Bách Việt</t>
  </si>
  <si>
    <t>106021525300</t>
  </si>
  <si>
    <t>Bàn EXPLORER TABLE 2,BD, model EXP02COL02, DI60 x H46 cm, Bằng gỗ Và Thủy Tinh, Màu Nâu Multicolor Brown.Mới 100%</t>
  </si>
  <si>
    <t>Lô 23</t>
  </si>
  <si>
    <t>SH04391</t>
  </si>
  <si>
    <t>ACCBD00007</t>
  </si>
  <si>
    <t>SHIVA VASE*</t>
  </si>
  <si>
    <t>Bình Hoa SHIVA FLOWER VASE, BD, model SH04391, L17 x W7 x H23 cm, Bằng Gốm Ceramic, Màu Hồng.Mới 100%, hàng F.O.C</t>
  </si>
  <si>
    <t>MKSIDE013A</t>
  </si>
  <si>
    <t>TBLBD00004</t>
  </si>
  <si>
    <t>MONKEY TABLE GREY REINFORCED*</t>
  </si>
  <si>
    <t>Bàn MONKEY SIDE TABLE (Asia),BD, model MKSIDE013A, H60 x W59 x D40 cm, Bằng Architectural Concrete, Màu Xám. Mới 100%, hàng F.O.C</t>
  </si>
  <si>
    <t>SC-FH-02-051023-DH-0001266 &amp; 2HSELLIN</t>
  </si>
  <si>
    <t>PO-FH-02-051023-DH-0001266 &amp; 2HSELLIN</t>
  </si>
  <si>
    <t>DH-0001266</t>
  </si>
  <si>
    <t>07/09/2023</t>
  </si>
  <si>
    <t>07/12/2023</t>
  </si>
  <si>
    <t>CHRFH00241</t>
  </si>
  <si>
    <t>Children's chair
Serries 7 children chair
W400 x D420 x H600 x SH340 mm
Clear lacquered veneer: Oregon Pine
Chrome Base</t>
  </si>
  <si>
    <t>2111915,2111887,2114245</t>
  </si>
  <si>
    <t>31/10/23</t>
  </si>
  <si>
    <t>SDK0109002</t>
  </si>
  <si>
    <t>LCL-Sea</t>
  </si>
  <si>
    <t>30/11/23</t>
  </si>
  <si>
    <t>26/01/24</t>
  </si>
  <si>
    <t>CÁT LÁI</t>
  </si>
  <si>
    <t>106049663050</t>
  </si>
  <si>
    <t xml:space="preserve">Ghế trẻ em Series 7, FH, model 840229, W400xD420xH600xSH340 mm, thân gỗ clear lacquered veneer, màu nâu Oregon Pine, chân thép mạ Chrome, mới 100%.                          
                          </t>
  </si>
  <si>
    <t>Lô 24</t>
  </si>
  <si>
    <t>CHRFH00242</t>
  </si>
  <si>
    <t>Children's chair
Lily children chair
W400 x D420 x H600 x SH340 mm
Clear lacquered veneer: Oregon Pine
Chrome Base</t>
  </si>
  <si>
    <t xml:space="preserve">Ghế trẻ em Lily, FH, model 840241, W400 x D420 x H600 x SH340 mm, thân gỗ clear lacquered veneer, màu nâu Oregon Pine, chân thép mạ Chrome, mới 100%.                          
                          </t>
  </si>
  <si>
    <t>CHRFH00243</t>
  </si>
  <si>
    <t>Children's chair
Ant children chair
W400 x D420 x H600 x SH340 mm
Clear lacquered veneer: Oregon Pine
Chrome Base</t>
  </si>
  <si>
    <t xml:space="preserve">Ghế trẻ em Grand prix, FH, model 840223, W400xD420xH600xSH340 mm, thân gỗ clear lacquered veneer, màu nâu Oregon Pine, chân thép mạ Chrome, mới 100%.                          
                          </t>
  </si>
  <si>
    <t>CHRFH00244</t>
  </si>
  <si>
    <t>Children's chair
Grand prix children chair
W400 x D420 x H600 x SH340 mm
Clear lacquered veneer: Oregon Pine
Chrome Base</t>
  </si>
  <si>
    <t xml:space="preserve">Ghế trẻ em Ant, FH, model 840226, W400 x D420 x H600 x SH340 mm, thân gỗ clear lacquered veneer, màu nâu Oregon Pine, chân thép mạ Chrome, mới 100%.                          
                          </t>
  </si>
  <si>
    <t>CHRFH00245</t>
  </si>
  <si>
    <t>HIGH DOTTM COUNTER H65
(3-LEGS )
DI421 x H650 mm
Clear lacquered veneer, walnut
Chrome base</t>
  </si>
  <si>
    <t xml:space="preserve">Ghế Đẩu Cao HIGH DOT, FH, model 840133, DI421 x H650 mm, Bằng gỗ clear lacquered veneer walnut, chân thép mạ Chrome, mới 100%.                          
                          </t>
  </si>
  <si>
    <t>Sculpture</t>
  </si>
  <si>
    <t>ACCFH00080</t>
  </si>
  <si>
    <t>ROCKING HORSE
W210 x D585 x H605 mm
Clear lacquered veneer: Ash</t>
  </si>
  <si>
    <t xml:space="preserve">Đồ trang trí, hình ngựa,bằng gỗ ROCKING HORSE, FH, model 840432, W21xD58.5xH60.5 cm, bằng gỗ Clear Lacquered Veneer Ash, màu gỗ tự nhiên, mới 100%                          
                          </t>
  </si>
  <si>
    <t>ACCFH00081</t>
  </si>
  <si>
    <t>ROCKING HORSE
W210 x D585 x H605 mm
Coloured veneer: Ash - Black</t>
  </si>
  <si>
    <t xml:space="preserve">Đồ trang trí, hình ngựa, bằng gỗ ROCKING HORSE, FH, model 840433, W21xD58.5xH60.5 cm, bằng gỗ coloured ash, màu đen, mới 100%.                          
                          </t>
  </si>
  <si>
    <t>Mirror</t>
  </si>
  <si>
    <t>ACCFH00041</t>
  </si>
  <si>
    <t xml:space="preserve">Mirror Long
380 x 1610 mm
Magenta Pink
</t>
  </si>
  <si>
    <t xml:space="preserve">Gương MIRROR LONG, FH, model 840300, W38 x H161 cm, Màu Hồng Magenta, mới 100%.                          
                          </t>
  </si>
  <si>
    <t>SC-LPS-04-271223-DH-0001455 replace</t>
  </si>
  <si>
    <t>PO-LPS-04-271223-DH-0001455 replace</t>
  </si>
  <si>
    <t>DH-0001455</t>
  </si>
  <si>
    <t>29/03/2024</t>
  </si>
  <si>
    <t>Panthella 320 Table Lamp</t>
  </si>
  <si>
    <t>LTLLP00007</t>
  </si>
  <si>
    <t>PANTHELLA TABLE 320 E14 CHROME
DI320 x H438 mm
Opal Acrylic
Aluminium, PMMA
High Lustre Chrome</t>
  </si>
  <si>
    <t>1019010216</t>
  </si>
  <si>
    <t>27/12/23</t>
  </si>
  <si>
    <t>26/03/24</t>
  </si>
  <si>
    <t>AARUSH</t>
  </si>
  <si>
    <t>106164665240</t>
  </si>
  <si>
    <t>Đèn trang trí PANTHELLA 320, Louis Poulsen, model 5744167152, DK320 x C438 mm, Bằng Acrylic, Aluminium, PMMA, Màu High Lustre Chrome, không kèm bóng. Mới 100%</t>
  </si>
  <si>
    <t>Lô 25</t>
  </si>
  <si>
    <t>SC-FLOS-110923-STOCK &amp; Mr Hien</t>
  </si>
  <si>
    <t>FLOS - CLAIM</t>
  </si>
  <si>
    <t>ZEPPELIN 1 EU/CCC/IR</t>
  </si>
  <si>
    <t>4600001211</t>
  </si>
  <si>
    <t>20/03/2024</t>
  </si>
  <si>
    <t>374/2024/01</t>
  </si>
  <si>
    <t>30/03/2024</t>
  </si>
  <si>
    <t>31/05/24</t>
  </si>
  <si>
    <t>GENOVA</t>
  </si>
  <si>
    <t>Poco</t>
  </si>
  <si>
    <t>106336153821</t>
  </si>
  <si>
    <t>Đèn trang trí ZEPPELIN 1, Flos, model F9800009, Phi 1100 x H740 mm, bằng thép, cocoon, không kèm bóng, Màu trắng.Mới 100%</t>
  </si>
  <si>
    <t>Lô 26</t>
  </si>
  <si>
    <t>VISCONTEA EU/CCC/IR</t>
  </si>
  <si>
    <t>Đèn trang trí VISCONTEA, Flos, model F8001009, Phi 680 x H490 mm, không kèm bóng, bằng thép, cocoon, màu trắng.Mới 100%</t>
  </si>
  <si>
    <t>F3137057</t>
  </si>
  <si>
    <t>SPAFL00009</t>
  </si>
  <si>
    <t>IC DIFF 2 BCO/CRO TN</t>
  </si>
  <si>
    <t>Chụp Đèn Cho Đèn IC S2, IC T2, IC F2, IC C/W 2, Flos, Model F3137057, Phi 300 mm, bằng thủy tinh.Mới 100%</t>
  </si>
  <si>
    <t>94059190</t>
  </si>
  <si>
    <t>PO-FLOS-04-110923-STOCK</t>
  </si>
  <si>
    <t>22/09/23</t>
  </si>
  <si>
    <t>TARAXACUM 2
DI870 x H640 mm
Materials: cocoon
Color: Bianco white</t>
  </si>
  <si>
    <t>Đèn Thả TARAXACUM S2, Flos, model 7402009, Phi 870 x H640 mm, Khung Kim Loại, Cocoon, Màu Trắng Bianco White.Mới 100%</t>
  </si>
  <si>
    <t>lấy</t>
  </si>
  <si>
    <t>SC-NU-01-0124-DH-0001718.1598.1614</t>
  </si>
  <si>
    <t>PO-&amp;Tradition-01-150124-DH-0001718</t>
  </si>
  <si>
    <t>AB560-B279-AB30</t>
  </si>
  <si>
    <t>SPAHA00018</t>
  </si>
  <si>
    <t>Palissade Chair &amp; Arm Chair Seat Cushion
Item No: AB560-B279-AB30
W37xD37xH3
Sky Grey Textile</t>
  </si>
  <si>
    <t>NU-0224</t>
  </si>
  <si>
    <t>26/02/24</t>
  </si>
  <si>
    <t>SVLCL202402072</t>
  </si>
  <si>
    <t>15/03/24</t>
  </si>
  <si>
    <t>SHANGHAI,CHINA</t>
  </si>
  <si>
    <t>Long Hoàng</t>
  </si>
  <si>
    <t>106140606610</t>
  </si>
  <si>
    <t>Đệm PALISSADE CHAIR &amp; ARMCHAIR SEAT CUSHION, HAY, model AB560-B279-AB30, D37xR37xC3 cm, bằng Olefin, màu xám(Sky Grey).Mới 100%</t>
  </si>
  <si>
    <t>Lô 27</t>
  </si>
  <si>
    <t>DH-0001718</t>
  </si>
  <si>
    <t>09/01/2024</t>
  </si>
  <si>
    <t>10/03/2024</t>
  </si>
  <si>
    <t>Palissade Chaise Lounge Quilted Cushion
Item No: AB562-B289-AB30
W49.5xH195
Sky Grey Textile</t>
  </si>
  <si>
    <t>Đệm PALISSADE CHAISE LOUNGE QUILTED CUSHION, HAY, model AB562-B289-AB30, D195xR49.5xC1cm, bằng Mút xốp, bọc vải Olefin, màu xám(Sky Grey).Mới 100%</t>
  </si>
  <si>
    <t>AB561-B289-AB30</t>
  </si>
  <si>
    <t>SPAHA00019</t>
  </si>
  <si>
    <t>Palissade Chaise Lounge Headrest Cushion
Item No: AB561-B289-AB30
W46.5xΦ14
Sky Grey Textile</t>
  </si>
  <si>
    <t>Đệm PALISSADE CHAISE LONGUE HEADREST CUSHION, HAY, model AB561-B289-AB30, DK14xD46.5 cm, bằng Mút xốp, bọc vải Olefin, màu xám(Sky Grey).Mới 100%</t>
  </si>
  <si>
    <t>AB562-B291-AB30</t>
  </si>
  <si>
    <t>SPAHA00020</t>
  </si>
  <si>
    <t>Palissade Lounge Chair High Quilted Cushion
Item No: AB562-B291-AB30
W139xD49.5xH1
Sky Grey Textile</t>
  </si>
  <si>
    <t>Đệm PALISSADE LOUNGE CHAIR HIGH QUILTED CUSHION, HAY, model AB562-B291-AB30, D139xR49.5xC1 cm, bằng xốp, bọc vải Olefin, màu xám(Sky Grey).Mới 100%</t>
  </si>
  <si>
    <t>LTLAT00016</t>
  </si>
  <si>
    <t>Flowerpot Pendant VP1,Black/White
Item No: 20708101
Φ23xH16 cm
(2Pcs/CTN)</t>
  </si>
  <si>
    <t>Đèn thả Flowerpot VP1, &amp;Tradition, model 20708101, DK23 x C16cm, bằng kim loại, màu trắng đen, không kèm bóng.Mới 100%</t>
  </si>
  <si>
    <t>SC-NNH-NU-2024-001</t>
  </si>
  <si>
    <t>PO-NINE UNITED-01-300124-STOCK</t>
  </si>
  <si>
    <t>CFR LCL INCLUDE OF</t>
  </si>
  <si>
    <t>AE014-B279-AH67</t>
  </si>
  <si>
    <t>SPAHA00023</t>
  </si>
  <si>
    <t>Palissade Chair and Armchair Soft Quilted Cushion
 W40xD80xH6.5 cm
 Olive Textile</t>
  </si>
  <si>
    <t>NNH-NU-2024-001</t>
  </si>
  <si>
    <t>16/05/2024</t>
  </si>
  <si>
    <t>SHZX3A332600</t>
  </si>
  <si>
    <t>CSNU1103889 / CM539671</t>
  </si>
  <si>
    <t>1x20GP</t>
  </si>
  <si>
    <t>25/5/2024</t>
  </si>
  <si>
    <t>25/05/2024</t>
  </si>
  <si>
    <t>31/05/2024</t>
  </si>
  <si>
    <t>CFR HO CHI MINH</t>
  </si>
  <si>
    <t>106327011930</t>
  </si>
  <si>
    <t>Đệm Palissade Chair and Armchair Soft Quilted Cushion, HAY, model AE014-B279-AH67, D40xR80xC6.5 cm, bằng mút xốp, bọc vải Olefin, màu lục olive, mới 100%.</t>
  </si>
  <si>
    <t>Lô 28</t>
  </si>
  <si>
    <t>AE014-B291-AH67</t>
  </si>
  <si>
    <t>SPAHA00024</t>
  </si>
  <si>
    <t>Palissade Lounge Chair High Soft Quilted Cushion
 W50xD116.5xH6.05 cm
 Olive Textile</t>
  </si>
  <si>
    <t>Đệm Palissade Lounge Chair High Soft Quilted Cushion, HAY, model AE014-B291-AH67, W50xD116.5xH6.05cm, bằng mút xốp, bọc vải Olefin, màu lục olive, mới 100%.</t>
  </si>
  <si>
    <t>106327026261</t>
  </si>
  <si>
    <t>AE014-B293-AH67</t>
  </si>
  <si>
    <t>SPAHA00025</t>
  </si>
  <si>
    <t>Palissade Lounge Chair Low Soft Quilted Cushion
 W50xD94xH6.5 cm
 Olive Textile</t>
  </si>
  <si>
    <t>Đệm Palissade Lounge Chair Low Soft Quilted Cushion, HAY, model AE014-B293-AH67, W50xD94xH6.5 cm, bằng mút xốp, bọc vải Olefin, màu lục olive, mới 100%.</t>
  </si>
  <si>
    <t>AB318-A385-AB35</t>
  </si>
  <si>
    <t>LPLHA00001</t>
  </si>
  <si>
    <t>Rice Paper Shade-Φ60-Classic white
 Φ60(1Box=18Pcs)
 Classic white</t>
  </si>
  <si>
    <t>Đèn thả Rice Paper Shade, HAY, model AB318-A385-AB35, D60xH58 cm, Bằng Giấy Tre và Thép, Không Kèm Bóng, Màu Trắng Classic White, mới 100%.</t>
  </si>
  <si>
    <t>Pet</t>
  </si>
  <si>
    <t>AD858-D281-AB27</t>
  </si>
  <si>
    <t>ACCHA00238</t>
  </si>
  <si>
    <t>HAY Dogs Scarf-55 x 55-Red
 6pcs / PE bag</t>
  </si>
  <si>
    <t>Khăn choàng cho thú cưng, Hay Dogs Scarf ,HAY, model AD858-D281-AB27, D55 x R55 cm, bằng vải Cotton, màu đỏ, mới 100%.</t>
  </si>
  <si>
    <t>AD858-D281-AB84</t>
  </si>
  <si>
    <t>ACCHA00239</t>
  </si>
  <si>
    <t>HAY Dogs Scarf-55 x 55-Light blue
 6pcs / PE bag</t>
  </si>
  <si>
    <t>Khăn choàng cho thú cưng, Hay Dogs Scarf , HAY, model AD858-D281-AB84, D55 x R55 cm, bằng vải Cotton, màu xanh light blue, mới 100%.</t>
  </si>
  <si>
    <t>AD858-D281-AB90</t>
  </si>
  <si>
    <t>ACCHA00240</t>
  </si>
  <si>
    <t>HAY Dogs Scarf-55 x 55-Off-white
 6pcs / PE bag</t>
  </si>
  <si>
    <t>Khăn choàng cho thú cưng, Hay Dogs Scarf , HAY, model AD858-D281-AB90, D55 x R55 cm, bằng vải Cotton, màu trắng off white, mới 100%.</t>
  </si>
  <si>
    <t>AD858-D281-AH98</t>
  </si>
  <si>
    <t>ACCHA00241</t>
  </si>
  <si>
    <t>HAY Dogs Scarf-55 x 55-Ochre
 6pcs / PE bag</t>
  </si>
  <si>
    <t>Khăn choàng cho thú cưng, Hay Dogs Scarf , HAY, model AD858-D281-AH98, D55 x R55 cm, bằng vải Cotton, màu vàng ochre, mới 100%.</t>
  </si>
  <si>
    <t>AD862-A601-AG24</t>
  </si>
  <si>
    <t>ACCHA00242</t>
  </si>
  <si>
    <t>HAY Dogs Bed-Small-Multi
 2 PCS = 1 BOX</t>
  </si>
  <si>
    <t>Giường cho thú cưng, Hay Dogs Bed , HAY, model AD862-A601-AG24, D21 x R52 x C60 cm, bằng polyester và đệm, nhiều màu, mới 100%.</t>
  </si>
  <si>
    <t>AD862-A602-AL56</t>
  </si>
  <si>
    <t>ACCHA00243</t>
  </si>
  <si>
    <t>HAY Dogs Bed-Medium-Red, blue
 2 PCS = 1 BOX</t>
  </si>
  <si>
    <t>Giường cho thú cưng, Hay Dogs Bed , HAY, model AD862-A602-AL56, D26 x W65 x L78 cm, bằng polyester và đệm, màu đỏ, xanh, mới 100%.</t>
  </si>
  <si>
    <t>AD864-D013-AL56</t>
  </si>
  <si>
    <t>ACCHA00248</t>
  </si>
  <si>
    <t>HAY Dogs Collar Flat-M/L-Red, blue
 6 PCS = 1 BOX</t>
  </si>
  <si>
    <t>Dây đeo cổ cho thú cưng, HAY Dogs Collar Flat , HAY, model AD864-D013-AL56, size M/L, bằng polyester, màu đỏ, xanh, mới 100%.</t>
  </si>
  <si>
    <t>AD864-D013-AO16</t>
  </si>
  <si>
    <t>ACCHA00249</t>
  </si>
  <si>
    <t>HAY Dogs Collar Flat-M/L-Lavender, green
 6 PCS = 1 BOX</t>
  </si>
  <si>
    <t>Dây đeo cổ cho thú cưng, HAY Dogs Collar Flat , HAY, model AD864-D013-AO16, size M/L, bằng polyester, màu lục, tím lavender, mới 100%.</t>
  </si>
  <si>
    <t>AD864-D013-AO17</t>
  </si>
  <si>
    <t>ACCHA00250</t>
  </si>
  <si>
    <t>HAY Dogs Collar Flat-M/L-Blue, off-white
 6 PCS = 1 BOX</t>
  </si>
  <si>
    <t>Dây đeo cổ cho thú cưng, HAY Dogs Collar Flat , HAY, model AD864-D013-AO17, size M/L, bằng polyester, màu xanh, trắng, mới 100%.</t>
  </si>
  <si>
    <t>AD866-A601-AL51</t>
  </si>
  <si>
    <t>ACCHA00251</t>
  </si>
  <si>
    <t>HAY Dogs Bowl-Small-Blue, red
 6PCS = 1 BOX</t>
  </si>
  <si>
    <t>Bát ăn cho thú cưng, HAY Dogs Bowl , HAY, model AD866-A601-AL51, size S, bằng đá, màu trắng, đỏ, xanh, mới 100%.</t>
  </si>
  <si>
    <t>AD867-D027</t>
  </si>
  <si>
    <t>ACCHA00255</t>
  </si>
  <si>
    <t>HAY Dogs Rope Toy-Blue, purple, ochre
 6 PCS = 1 BOX</t>
  </si>
  <si>
    <t>Đồ chơi dây thừng cho thú cưng, HAY Dogs Rope Toy, HAY, model AD867-D027, bằng polyester, màu tím, xanh, vàng, mới 100%.</t>
  </si>
  <si>
    <t>AD867-D028</t>
  </si>
  <si>
    <t>ACCHA00256</t>
  </si>
  <si>
    <t>HAY Dogs Rope Toy-Red, turquoise, off-white
 6 PCS = 1 BOX</t>
  </si>
  <si>
    <t>Đồ chơi dây thừng cho thú cưng, HAY Dogs Rope Toy, HAY, model AD867-D028, bằng polyester, màu trắng, xanh, đỏ, mới 100%.</t>
  </si>
  <si>
    <t>AD865-D029-AL56</t>
  </si>
  <si>
    <t>ACCHA00257</t>
  </si>
  <si>
    <t>HAY Dogs Leash-Flat M/L-Red, blue
 6PCS = 1 BOX</t>
  </si>
  <si>
    <t>Dây dắt thú cưng loại phẳng, HAY Dogs Leash Flat , HAY, model AD865-D029-AL56, bằng polyester, màu đỏ, xanh, mới 100%.</t>
  </si>
  <si>
    <t>AD865-D029-AO16</t>
  </si>
  <si>
    <t>ACCHA00258</t>
  </si>
  <si>
    <t>HAY Dogs Leash-Flat M/L-Lavender, green
 6PCS = 1 BOX</t>
  </si>
  <si>
    <t>Dây dắt thú cưng loại phẳng, HAY Dogs Leash Flat , HAY, model AD865-D029-AO16, bằng polyester, màu lục, tím lavender, mới 100%.</t>
  </si>
  <si>
    <t>AD865-D029-AO17</t>
  </si>
  <si>
    <t>ACCHA00259</t>
  </si>
  <si>
    <t>HAY Dogs Leash-Flat M/L-Blue, off-white
 6PCS = 1 BOX</t>
  </si>
  <si>
    <t>Dây dắt thú cưng loại phẳng, HAY Dogs Leash Flat , HAY, model AD865-D029-AO17, bằng polyester, màu xanh, trắng, mới 100%.</t>
  </si>
  <si>
    <t>AD865-D030-AL56</t>
  </si>
  <si>
    <t>ACCHA00260</t>
  </si>
  <si>
    <t>HAY Dogs Leash-Braided-Red, blue
 6PCS = 1 BOX</t>
  </si>
  <si>
    <t>Dây dắt thú cưng loại bện, HAY Dogs Leash Braided, HAY, model AD865-D030-AL56, bằng polyester, màu đỏ, xanh, mới 100%.</t>
  </si>
  <si>
    <t>AD865-D030-AO16</t>
  </si>
  <si>
    <t>ACCHA00261</t>
  </si>
  <si>
    <t>HAY Dogs Leash-Braided-Lavender, green
 6PCS = 1 BOX</t>
  </si>
  <si>
    <t>Dây dắt thú cưng loại bện, HAY Dogs Leash Braided , HAY, model AD865-D030-AO16, bằng polyester, màu lục, tím lavender, mới 100%.</t>
  </si>
  <si>
    <t>AD865-D030-AO17</t>
  </si>
  <si>
    <t>ACCHA00262</t>
  </si>
  <si>
    <t>HAY Dogs Leash-Braided-Blue, off-white
 6PCS = 1 BOX</t>
  </si>
  <si>
    <t>Dây dắt thú cưng loại bện, HAY Dogs Leash Braided , HAY, model AD865-D030-AO17, bằng polyester, màu xanh, trắng, mới 100%.</t>
  </si>
  <si>
    <t>PO-NINE UNITED-03-090424-ACC STOCK</t>
  </si>
  <si>
    <t>ACCHA00263</t>
  </si>
  <si>
    <t>HAY Colour Crate M Powder
 1Box=12Pcs
 M |W26.5 X D34.5 X H14 CM</t>
  </si>
  <si>
    <t>Hộp Đa Năng COLOUR CRATE, Hay, model 541461, Cỡ M, L26.5 x W34.5 x H14 cm, bằng nhựa recycled PP, màu Powder, mới 100%.</t>
  </si>
  <si>
    <t>ACCHA00264</t>
  </si>
  <si>
    <t>HAY Colour Crate M Electric blue
 1Box=12Pcs
 M |W26.5 X D34.5 X H14 CM</t>
  </si>
  <si>
    <t>Hộp Đa Năng COLOUR CRATE, Hay, model 541457, Cỡ M, L26.5 x W34.5 x H14 cm, bằng nhựa recycled PP, màu xanh Electric blue, mới 100%.</t>
  </si>
  <si>
    <t>ACCHA00265</t>
  </si>
  <si>
    <t>HAY Colour Crate M Golden yellow
 1Box=12Pcs
 M | W26.5 X D34.5 X H14 CM</t>
  </si>
  <si>
    <t>Hộp Đa Năng COLOUR CRATE, Hay, model 541458, Cỡ M, L26.5 x W34.5 x H14 cm, bằng nhựa recycled PP, màu vàng Golden yellow, mới 100%.</t>
  </si>
  <si>
    <t>ACCHA00266</t>
  </si>
  <si>
    <t>HAY Colour Crate S Sky blue
 1Box=24Pcs
 L26.5 X W17 X H10.5 cm</t>
  </si>
  <si>
    <t>Hộp Đa Năng COLOUR CRATE, Hay, model 541455, Cỡ S, L26.5 x W17 x H10.5 cm, bằng nhựa recycled PP, màu vàng Sky blue, mới 100%.</t>
  </si>
  <si>
    <t>HAY Colour Crate S Lavender
 1Box=24Pcs
 L26.5 X W17 X H10.5 cm</t>
  </si>
  <si>
    <t>Hộp Đa Năng COLOUR CRATE, Hay, model 541446, Cỡ S, L26.5 x W17 x H10.5 cm, bằng nhựa recycled PP, màu tím Lavender, mới 100%.</t>
  </si>
  <si>
    <t>ACCHA00267</t>
  </si>
  <si>
    <t>HAY Colour Crate S Light blue
 1Box=24Pcs
 L26.5 X W17 X H10.5 cm</t>
  </si>
  <si>
    <t>Hộp Đa Năng COLOUR CRATE, Hay, model 541447, Cỡ S, L26.5 x W17 x H10.5 cm, bằng nhựa recycled PP, màu Light blue, mới 100%.</t>
  </si>
  <si>
    <t>HAY Colour Crate S Light grey
 1Box=24Pcs
 L26.5 X W17 X H10.5 cm</t>
  </si>
  <si>
    <t>Hộp Đa Năng COLOUR CRATE, Hay, model 541448, Cỡ S, L26.5 x W17 x H10.5 cm, bằng nhựa recycled PP, màu xám Light grey, mới 100%.</t>
  </si>
  <si>
    <t>HAY Colour Crate S Off-white
 1Box=24Pcs
 L26.5 X W17 X H10.5 cm</t>
  </si>
  <si>
    <t>Hộp Đa Năng COLOUR CRATE, Hay, model 541451, Cỡ S, L26.5 X W17 X H10.5 cm, bằng Recycled PP, màu Trắng Off-white, mới 100%.</t>
  </si>
  <si>
    <t>HAY Colour Crate S Mint
 1Box=24Pcs
 L26.5 X W17 X H10.5 cm</t>
  </si>
  <si>
    <t>Hộp Đa Năng COLOUR CRATE, Hay, model 541449, Cỡ S, L26.5 x W17 x H10.5 cm, bằng nhựa recycled PP, màu lục Mint, mới 100%.</t>
  </si>
  <si>
    <t>ACCHA00268</t>
  </si>
  <si>
    <t>HAY Colour Crate S Blush
 1Box=24Pcs
 L26.5 X W17 X H10.5 cm</t>
  </si>
  <si>
    <t>Hộp Đa Năng COLOUR CRATE, Hay, model 541438, Cỡ S, L26.5 x W17 x H10.5 cm, bằng nhựa recycled PP, màu Blush, mới 100%.</t>
  </si>
  <si>
    <t>ACCHA00269</t>
  </si>
  <si>
    <t>HAY Colour Crate S Dark mint
 1Box=24Pcs
 L26.5 X W17 X H10.5 cm</t>
  </si>
  <si>
    <t>Hộp Đa Năng COLOUR CRATE, Hay, model 541440, Cỡ S, L26.5 x W17 x H10.5 cm, bằng nhựa recycled PP, màu Dark mint, mới 100%.</t>
  </si>
  <si>
    <t>ACCHA00270</t>
  </si>
  <si>
    <t>HAY Colour Crate S Dark blue
 1Box=24Pcs
 L26.5 X W17 X H10.5 cm</t>
  </si>
  <si>
    <t>Hộp Đa Năng COLOUR CRATE, Hay, model 541439, Cỡ S, L26.5 x W17 x H10.5 cm, bằng nhựa recycled PP, màu Dark blue, mới 100%.</t>
  </si>
  <si>
    <t>ACCHA00271</t>
  </si>
  <si>
    <t>HAY Colour Crate S Golden yellow
 1Box=24Pcs
 L26.5 X W17 X H10.5 cm</t>
  </si>
  <si>
    <t>Hộp Đa Năng COLOUR CRATE, Hay, model 541445, Cỡ S, L26.5 x W17 x H10.5 cm, bằng nhựa recycled PP, màu Golden yellow, mới 100%.</t>
  </si>
  <si>
    <t>ACCHA00272</t>
  </si>
  <si>
    <t>HAY Colour Crate S Powder
 1Box=24Pcs
 L26.5 X W17 X H10.5 cm</t>
  </si>
  <si>
    <t>Hộp Đa Năng COLOUR CRATE, Hay, model 541453, Cỡ S, L26.5 x W17 x H10.5 cm, bằng nhựa recycled PP, màu Powder, mới 100%.</t>
  </si>
  <si>
    <t>HAY Colour Crate S Dusty yellow
 1Box=24Pcs
 L26.5 X W17 X H10.5 cm</t>
  </si>
  <si>
    <t>Hộp Đa Năng COLOUR CRATE, Hay, model 541443, Cỡ S, L26.5 X W17 X H10.5 cm, bằng Recycled PP, màu vàng Dusty Yellow, mới 100%.</t>
  </si>
  <si>
    <t>Clock</t>
  </si>
  <si>
    <t>ACCHA00273</t>
  </si>
  <si>
    <t>Wall Clock
 Blue(1box=2pcs)
 W26.5 X D26.5 X H3.6 CM</t>
  </si>
  <si>
    <t>Đồng hồ treo tường, Hay, model 542658, W26.5xD26.5xH3.6 cm, hoạt động bằng điện, bằng acrylic màu xanh Blue, mới 100%.</t>
  </si>
  <si>
    <t>ACCHA00274</t>
  </si>
  <si>
    <t>Wall Clock Green
 Green(1box=2pcs)
 W26.5 X D26.5 X H3.6 CM</t>
  </si>
  <si>
    <t>Đồng hồ treo tường, Hay, model 542660, W26.5xD26.5xH3.6 cm, hoạt động bằng điện, bằng acrylic màu xanh Green, mới 100%.</t>
  </si>
  <si>
    <t>Bag</t>
  </si>
  <si>
    <t>AD569-D023</t>
  </si>
  <si>
    <t>ACCHA00275</t>
  </si>
  <si>
    <t>HAY Tote Bag – Navy
 Navy(1box=12pcs)
 W37 x L40 CM</t>
  </si>
  <si>
    <t>Túi TOTE BAG, Hay, model AD569-D023, W37 X L40 cm, Bằng Cotton, Màu Navy có Logo, mới 100%.</t>
  </si>
  <si>
    <t>AB312-B632-AL50</t>
  </si>
  <si>
    <t>ACCHA00276</t>
  </si>
  <si>
    <t>Arcs Mirror-Rectangle M-Mirrored
 W50.8 x L133.6 x D3.3 x CM</t>
  </si>
  <si>
    <t>Gương Arcs Mirror, Hay, model AB312-B632-AL50, W50.8 x L133.6 xD3.3 cm, Bằng kính, màu mirror, mới 100%.</t>
  </si>
  <si>
    <t>ACCHA00277</t>
  </si>
  <si>
    <t>Shade Bin
 Dusty Green(1Box=6Pcs)
 W30 X D30 X H36.5 CM</t>
  </si>
  <si>
    <t>Giỏ Rác SHADE BIN, Hay, model 507824, DI30 x H36.5 cm, Bằng PP, Màu Dusty Green, mới 100%.</t>
  </si>
  <si>
    <t>ACCHA00278</t>
  </si>
  <si>
    <t>Shade Bin
 Blush(1Box=6Pcs)
 W30 X D30 X H36.5 CM</t>
  </si>
  <si>
    <t>Giỏ Rác SHADE BIN, Hay, model 507822, DI30 x H36.5 cm, Bằng PP, Màu Blush, mới 100%.</t>
  </si>
  <si>
    <t>TBLAT00005</t>
  </si>
  <si>
    <t>Halten Side Table SH9, Smoked Cast Glass/Polished Stainless Steel(BOM)
 L40xW32xH66cm</t>
  </si>
  <si>
    <t>Bàn Halten Side Table SH9, &amp;Tradition,model 89101203,D40xR32xC66 cm,mặt kính Smoked Cast Glass lục, chân thép Stainless Steel, mới 100%.</t>
  </si>
  <si>
    <t>TBLAT00007</t>
  </si>
  <si>
    <t>Sett Side Table LN11, Verde Guatemala/Dark Chrome(BOM)
 L40xW40XH46cm</t>
  </si>
  <si>
    <t>Bàn Sett Side Table LN11 , &amp;Tradition, model 19001002, L40 x W40 x H46 cm, mặt đá Verde Guatemala marble màu lục, chân nhôm, mới 100%.</t>
  </si>
  <si>
    <t>TBLAT00008</t>
  </si>
  <si>
    <t>Sett Coffee Table LN12, Verde Guatemala/Dark Chrome(BOM)
 L140xW60xH34cm</t>
  </si>
  <si>
    <t>Bàn Sett Coffee Table LN12 ,&amp;Tradition, model 19001005, D140 x R60 x C34cm, mặt đá Verde Guatemala marble màu lục, chân nhôm, mới 100%.</t>
  </si>
  <si>
    <t>TBLAT00009</t>
  </si>
  <si>
    <t>Sett Coffee Table LN13, Verde Guatemala/Dark Chrome(BOM)L100xW100xH34cm</t>
  </si>
  <si>
    <t>Bàn Sett Coffee Table LN13 , &amp;Tradition, model 19001008, D100 x R100 x C34 cm, mặt đá Verde Guatemala marble, chân nhôm, mới 100%.</t>
  </si>
  <si>
    <t>SC53</t>
  </si>
  <si>
    <t>LTLAT00017</t>
  </si>
  <si>
    <t>Como Portable Lamp Dimmable SC53, Aluminium
 Φ15.6xH21 cm,(2Pcs/CTN)</t>
  </si>
  <si>
    <t>Đèn trang trí Como, &amp;Tradition, SC53, DK15.6 x C21 cm, bằng nhôm, mới 100%, không kèm bóng.</t>
  </si>
  <si>
    <t>Como Portable Lamp Dimmable SC53, Black color
 Φ15.6xH21 cm,(2Pcs/CTN)</t>
  </si>
  <si>
    <t>Đèn trang trí Como, &amp;Tradition, SC53, DK15.6 x C21 cm, bằng nhựa PC, ABS, mới 100%, F.O.C, không kèm bóng.</t>
  </si>
  <si>
    <t>JH42</t>
  </si>
  <si>
    <t>LTLAT00018</t>
  </si>
  <si>
    <t>Montera Table Lamp, JH42,
 L44.6x21.7x32.7cm
 Forest/Sky</t>
  </si>
  <si>
    <t>Đèn trang trí Montera, &amp;Tradition, JH42, D44.6 x R21.7 x C32.7 cm, bằng nhôm, mới 100%, không kèm bóng.</t>
  </si>
  <si>
    <t>LPLAT00005</t>
  </si>
  <si>
    <t>Flowerpot Pendant VP10, Mustard
 Φ16xH12.7 cm, (2Pcs/CTN)</t>
  </si>
  <si>
    <t>Đèn thả Flowerpot VP10 , &amp;Tradition, model 20832201, DK16 x C12.7 cm, bằng thép, màu vàng mustard, mới 100%, không kèm bóng.</t>
  </si>
  <si>
    <t>LPLAT00006</t>
  </si>
  <si>
    <t>Flowerpot Pendant VP10, Vermilion Red
 Φ16xH12.7 cm, (2Pcs/CTN)</t>
  </si>
  <si>
    <t>Đèn thả Flowerpot VP10 , &amp;Tradition, model 20833401, DK16 x C12.7 cm, bằng thép, màu đỏ vermilion red, mới 100%, không kèm bóng.</t>
  </si>
  <si>
    <t>LPLAT00007</t>
  </si>
  <si>
    <t>Flowerpot Pendant VP10, Tangy Pink
 Φ16xH12.7 cm, (2Pcs/CTN)</t>
  </si>
  <si>
    <t>Đèn thả Flowerpot VP10 , &amp;Tradition, model 20833501, DK16 x C12.7 cm, bằng thép, màu hồng tangy pink, mới 100%, không kèm bóng.</t>
  </si>
  <si>
    <t>LPLAT00008</t>
  </si>
  <si>
    <t>Flowerpot Pendant VP10, Dark Plum
 Φ16xH12.7 cm, (2Pcs/CTN)</t>
  </si>
  <si>
    <t>Đèn thả Flowerpot VP10 , &amp;Tradition, model 20833601, DK16 x C12.7 cm, bằng thép, màu đỏ dark plum, mới 100%, không kèm bóng.</t>
  </si>
  <si>
    <t>LPLAT00009</t>
  </si>
  <si>
    <t>Flowerpot Pendant VP10, Cobalt Blue
 Φ16xH12.7 cm, (2Pcs/CTN)</t>
  </si>
  <si>
    <t>Đèn thả Flowerpot VP10 , &amp;Tradition, model 20835002, DK16 x C12.7 cm, bằng thép, màu xanh cobalt blue, mới 100%, không kèm bóng.</t>
  </si>
  <si>
    <t>LPLAT00010</t>
  </si>
  <si>
    <t>Flowerpot Pendant VP10, Black/White Pattern
 Φ16xH12.7 cm, (2Pcs/CTN)</t>
  </si>
  <si>
    <t>Đèn thả Flowerpot VP10 , &amp;Tradition, model 20838101, DK16 x C12.7 cm, bằng thép, màu trắng đen, mới 100%, không kèm bóng.</t>
  </si>
  <si>
    <t>LPLAT00011</t>
  </si>
  <si>
    <t>Flowerpot Pendant VP10, Grey Beige
 Φ16xH12.7 cm, (2Pcs/CTN)</t>
  </si>
  <si>
    <t>Đèn thả Flowerpot VP10 , &amp;Tradition, model 20838901, DK16 x C12.7 cm, bằng thép, màu be grey beige, mới 100%, không kèm bóng.</t>
  </si>
  <si>
    <t>LPLAT00012</t>
  </si>
  <si>
    <t>Flowerpot Pendant VP10, Signal Green
 Φ16xH12.7 cm, (2Pcs/CTN)</t>
  </si>
  <si>
    <t>Đèn thả Flowerpot VP10 , &amp;Tradition, model 20839201, DK16 x C12.7 cm, bằng thép, màu lục signal green, mới 100%.</t>
  </si>
  <si>
    <t>LPLAT00013</t>
  </si>
  <si>
    <t>Flowerpot Pendant VP10, Chrome-Plated
 Φ16xH12.7 cm, (2Pcs/CTN)</t>
  </si>
  <si>
    <t>Đèn thả Flowerpot VP10 , &amp;Tradition, model 20839901, DK16 x C12.7 cm, bằng thép mạ chrome, mới 100%, không kèm bóng.</t>
  </si>
  <si>
    <t>PO-NINE UNITED-02-260324-DH-0000967</t>
  </si>
  <si>
    <t>TBLAT00010</t>
  </si>
  <si>
    <t>Palette Desk JH9,Grey Green Ash &amp; Brass
 L146.2xW62xH83 cm</t>
  </si>
  <si>
    <t>Bàn Palette JH9, &amp;Tradition, model 83351149, L146 x W62 x H83 cm, mặt bàn bằng gỗ màu lục Grey Green Ash, chân thép màu Brass, mới 100%.</t>
  </si>
  <si>
    <t>PO-NINE UNITED-04-240424-STOCK</t>
  </si>
  <si>
    <t>Flowerpot Portable Lamp VP9,Dark Plum, Magnetic
 Φ16xH29.5 cm,(2Pcs/CTN)</t>
  </si>
  <si>
    <t>Đèn trang trí FLOWERPOT VP9, &amp;Tradition, model 20713601, công nghệ LED, Φ16 x H29.5 cm, 3W 2700K, bằng PC và thép, màu đỏ Dark Plum, mới 100%.</t>
  </si>
  <si>
    <t>Flowerpot Pendant VP1,Black/White
 Φ23xH16 cm, (2Pcs/CTN)</t>
  </si>
  <si>
    <t>Đèn thả Flowerpot VP1, &amp;Tradition, model 20708101, DK23 x C16cm, bằng kim loại, màu trắng đen, không kèm bóng, mới 100%, không kèm bóng.</t>
  </si>
  <si>
    <t>SC-FLOS-01-0324-DH-0001909</t>
  </si>
  <si>
    <t>PO-FLOS-01-0324-DH-0001909</t>
  </si>
  <si>
    <t>F5400035</t>
  </si>
  <si>
    <t>LPLFL00053</t>
  </si>
  <si>
    <t>PARENTESI PENDANT
DI110 X 4000 mm
Metal, Plastic
Red</t>
  </si>
  <si>
    <t>2403003555</t>
  </si>
  <si>
    <t>24/05/2024</t>
  </si>
  <si>
    <t>020/5384 0706</t>
  </si>
  <si>
    <t>29/05/24</t>
  </si>
  <si>
    <t>POCO</t>
  </si>
  <si>
    <t>Bộ phận/phụ kiện của bộ đèn: Bộ đèn thả chưa hoàn thiện (không bao gồm bóng) PARENTESI, FLOS, model F5400035, DK110 x C4000 mm, bằng thép, màu đỏ. Mới 100%</t>
  </si>
  <si>
    <t>Lô 29</t>
  </si>
  <si>
    <t>HH</t>
  </si>
  <si>
    <t>SC-NNH-HH-2024-001-090524</t>
  </si>
  <si>
    <t>7 days from Bil date</t>
  </si>
  <si>
    <t>30/05/2024</t>
  </si>
  <si>
    <t>ACCNH00002</t>
  </si>
  <si>
    <t>Bracelet
 Material: Sillicon &amp; ABS
 Size: 21.5*2.5 cm (White part 15*2.5 cm &amp; Clear part 6.5*2.5 cm)</t>
  </si>
  <si>
    <t>NNH-HH-2024-001</t>
  </si>
  <si>
    <t>SZ24050017</t>
  </si>
  <si>
    <t>WHLU5841032/WHAB735589</t>
  </si>
  <si>
    <t>1.956 CBM</t>
  </si>
  <si>
    <t>Sea</t>
  </si>
  <si>
    <t>26/05/2024</t>
  </si>
  <si>
    <t>29/05/2024</t>
  </si>
  <si>
    <t>SHENZHEN</t>
  </si>
  <si>
    <t>Long Hoàng</t>
  </si>
  <si>
    <t>106314623810</t>
  </si>
  <si>
    <t>Vòng đeo tay phát sáng, bằng silicon và nhựa ABS, kích thước 21.5x2.5 cm. Model ACCNH00002. Mới 100%</t>
  </si>
  <si>
    <t>Lô 30</t>
  </si>
  <si>
    <t>Vòng đeo tay phát sáng, bằng silicon và nhựa ABS, kích thước 21.5x2.5 cm. Model ACCNH00002. Mới 100% (Hàng F.O.C)</t>
  </si>
  <si>
    <t>ACCNH00003</t>
  </si>
  <si>
    <t>Remote controller
 Size: 26.5*22*5.2cm</t>
  </si>
  <si>
    <t>Bảng điều khiển tín hiệu của đèn led DC 12V, kích thước 26.5x22x5.2cm. Model ACCNH00003. Mới 100% (Hàng F.O.C)</t>
  </si>
  <si>
    <t>SC-FH-02-080424-STOCK&amp;DH-0001883&amp;DH-0001975</t>
  </si>
  <si>
    <t>PO-FH-02-080424-STOCK&amp;DH-0001883&amp;DH-0001975</t>
  </si>
  <si>
    <t>DH-0001883&amp;DH-0001975</t>
  </si>
  <si>
    <t>08/04/2024</t>
  </si>
  <si>
    <t>26/07/2024</t>
  </si>
  <si>
    <t>TBLFH00059</t>
  </si>
  <si>
    <t>SUPERELLIPSE™
 B614, DINING TABLE
 SIZE:120 x 240 cm
 FENIX, WHITE (032)
 ALUMINIUM, SATIN POLISHED
 STEEL, CHROME
 TABLE HEIGHT, BASE HEIGHT 72 CM</t>
  </si>
  <si>
    <t>100114355-1</t>
  </si>
  <si>
    <t>BLL00008298</t>
  </si>
  <si>
    <t>66.7kg</t>
  </si>
  <si>
    <t>Air-LCL</t>
  </si>
  <si>
    <t>BILLUND</t>
  </si>
  <si>
    <t>GLOTRANS</t>
  </si>
  <si>
    <t>Bàn TABLE SERIES SUPERELLIPSE, Fritz Hansen, B614, L240 x W120 x H72 cm, Mặt Bàn Laminate Trắng, Chân Thép Mạ Chrome (tháo rời đồng bộ), mơi 100%</t>
  </si>
  <si>
    <t>Lô 31</t>
  </si>
  <si>
    <t>SPAFH00016</t>
  </si>
  <si>
    <t>Spare parts for Chair, Oxford caster with Alu
 HARD WITHOUT BRAKES (181015)
 ALUMINUM, WITHOUT BRAKES</t>
  </si>
  <si>
    <t>9980122680</t>
  </si>
  <si>
    <t>23/04/2024</t>
  </si>
  <si>
    <t>6867848606</t>
  </si>
  <si>
    <t>0.6kg</t>
  </si>
  <si>
    <t>Air-LCL (DHL)</t>
  </si>
  <si>
    <t>DHL</t>
  </si>
  <si>
    <t>11279389100</t>
  </si>
  <si>
    <t>Bánh xe</t>
  </si>
  <si>
    <t>MARTINELLI LUCE S.P.A.</t>
  </si>
  <si>
    <t>SC-ML-2024-001-040624-DH-0002057</t>
  </si>
  <si>
    <t>PO-ML-2024-001-040624-DH-0002057</t>
  </si>
  <si>
    <t>MARTINELII LUCE</t>
  </si>
  <si>
    <t>DH-0002057</t>
  </si>
  <si>
    <t>13/05/2024</t>
  </si>
  <si>
    <t>01/11/2024</t>
  </si>
  <si>
    <t>TT 100% trước khi giao hàng</t>
  </si>
  <si>
    <t>LPEML00001</t>
  </si>
  <si>
    <t>Đèn trang trí Multidot, Martinelli Luce, model LPEML00001, kích thước 103x74x500 cm, bằng PVC, polycarbonate</t>
  </si>
  <si>
    <t>1.843/00</t>
  </si>
  <si>
    <t>2400048036</t>
  </si>
  <si>
    <t>AIR - LCL</t>
  </si>
  <si>
    <t>MACNELS</t>
  </si>
  <si>
    <t>106415537100</t>
  </si>
  <si>
    <t>Đèn thả trang trí Multidot, Martinelli Luce, model 40210.2700.32.11.565.210&amp;40211.200.8/DIM/NE, không kèm bóng, dài 565 cm, bằng PVC, polycarbonate, mới 100%.</t>
  </si>
  <si>
    <t>94051999</t>
  </si>
  <si>
    <t>Lô 32</t>
  </si>
  <si>
    <t>100114355,2142496,100114356</t>
  </si>
  <si>
    <t>ODE00092825</t>
  </si>
  <si>
    <t>CAAU5269250 / 000106</t>
  </si>
  <si>
    <t>1x40HC</t>
  </si>
  <si>
    <t>106556499450</t>
  </si>
  <si>
    <t>Lô 33</t>
  </si>
  <si>
    <t>TBLFH00066</t>
  </si>
  <si>
    <t>SUPERELLIPSE™
 B612, DINING TABLE
 SIZE: 100 x 150 CM
 FENIX, WHITE (032)
 ALUMINIUM, SATIN POLISHED
 STEEL, CHROME
 TABLE HEIGHT, BASE HEIGHT 72 CM</t>
  </si>
  <si>
    <t>TBLFH00087</t>
  </si>
  <si>
    <t>SUPERELLIPSE™
 B616, DINING TABLE
 SIZE: 100 x 170 CM
 FENIX, WHITE (032)
 ALUMINIUM, SATIN POLISHED
 STEEL, BASE CHROME
 TABLE HEIGHT, BASE HEIGHT 72 CM</t>
  </si>
  <si>
    <t>TBLFH00067</t>
  </si>
  <si>
    <t>SUPERELLIPSE™
 B613, DINING TABLE
 SIZE: 120 x 180 CM
 FENIX, WHITE (032)
 ALUMINIUM, SATIN POLISHED
 STEEL, CHROME
 TABLE HEIGHT, BASE HEIGHT 72 CM</t>
  </si>
  <si>
    <t>TBLFH00081</t>
  </si>
  <si>
    <t>SUPERELLIPSE™
 B620, EXTENDABLE DINING TABLE
 SIZE: 100 x 170-220-270 CM
 FENIX, WHITE (032)
 ALUMINIUM, SATIN POLISHED
 STEEL, CHROME
 TABLE HEIGHT, BASE HEIGHT 72 CM</t>
  </si>
  <si>
    <t>TBLFH00077</t>
  </si>
  <si>
    <t>SUPERELLIPSE™
 B619, EXTENDABLE DINING TABLE
 SIZE: W120 x 180-300 CM
 FENIX, WHITE (032)
 ALUMINIUM, SATIN POLISHED
 STEEL, CHROME
 TABLE HEIGHT, BASE HEIGHT 72 CM</t>
  </si>
  <si>
    <t>TBLFH00075</t>
  </si>
  <si>
    <t>SUPERELLIPSE™
 B619, EXTENDABLE DINING TABLE
 SIZE: 120 x 180-300 CM
 SUPERELLIPSE™
 TABLETOP
 LAMINATE (FENIX) BLACK , SATIN POLISHED
 STEEL, CHROME
 TABLE HEIGHT, BASE HEIGHT 72 CM</t>
  </si>
  <si>
    <t>CHRFH00233</t>
  </si>
  <si>
    <t>SERIES 7™
  3107, NOT UPHOLSTERED
 COLOURED VENEER
  ASH - WILD ROSE (635)
  BASE CHROME
 SEAT HEIGHT, 46 CM</t>
  </si>
  <si>
    <t>CHRFH00249</t>
  </si>
  <si>
    <t>SERIES 7™
  3107, NOT UPHOLSTERED
  COLOURED VENEER, VENETIAN RED
  STEEL, BASE CHROME
  SEAT HEIGHT, 46 CM</t>
  </si>
  <si>
    <t>CHRFH00250</t>
  </si>
  <si>
    <t>SERIES 7™
  3107, NOT UPHOLSTERED
  COLOURED VENEER, PARADISE ORANGE 575
  STEEL BASE CHROME 
  SEAT HEIGHT, 46 CM</t>
  </si>
  <si>
    <t>CHRFH00251</t>
  </si>
  <si>
    <t>SERIES 7™
  3107, NOT UPHOLSTERED
  COLOURED VENEER, BURNT YELLOW 475
  STEEL, BASE CHROME
  SEAT HEIGHT, 46 CM</t>
  </si>
  <si>
    <t>CHRFH00252</t>
  </si>
  <si>
    <t>SERIES 7™
  3107, NOT UPHOLSTERED
  COLOURED VENEER, TRUE YELLOW 465
  STEEL, BASE CHROME
  SEAT HEIGHT, 46 CM</t>
  </si>
  <si>
    <t>CHRFH00228</t>
  </si>
  <si>
    <t>SERIES 7™
 3107, NOT UPHOLSTERED
 COLOURED VENEER, LIGHT BEIGE (135)
 STEEL,  BASE CHROME
 SEAT HEIGHT, 46 CM</t>
  </si>
  <si>
    <t>CHRFH00253</t>
  </si>
  <si>
    <t>SERIES 7™
 3107, NOT UPHOLSTERED
 COLOURED ASH
 DEEP CLAY 145
 STEEL BASE CHROME
 SEAT HEIGHT, 46 CM</t>
  </si>
  <si>
    <t>CHRFH00236</t>
  </si>
  <si>
    <t>SERIES 7™
 3107, NOT UPHOLSTERED
 COLOURED VENEER, OLIVE GREEN 925
 STEEL, BASE CHROME
 SEAT HEIGHT, 46 CM</t>
  </si>
  <si>
    <t>CHRFH00139</t>
  </si>
  <si>
    <t>SERIES 7™
 3107, NOT UPHOLSTERED
 COLOURED VENEER, DUSK BLUE 855
 STEEL, BASE CHROME
 SEAT HEIGHT, 46 CM</t>
  </si>
  <si>
    <t>CHRFH00235</t>
  </si>
  <si>
    <t>SERIES 7™
 3107, NOT UPHOLSTERED
 COLOURED VENEER
 ASH - MIDNIGHT BLUE (895)
 BASE STEEL CHROMED
 SEAT HEIGHT, 46 CM</t>
  </si>
  <si>
    <t>CHRFH00254</t>
  </si>
  <si>
    <t>SERIES 7™
  3107, NOT UPHOLSTERED
  COLOURED VENEER, EVERGREEN 955
  STEEL, BASE CHROME
  SEAT HEIGHT, 46 CM</t>
  </si>
  <si>
    <t>CHRFH00149</t>
  </si>
  <si>
    <t>SERIES 7™
 3107, NOT UPHOLSTERED
 COLOURED VENEER
 ASH - BLACK (195)
 BASE STEEL
 CHROMED
 SEAT HEIGHT 46 CM</t>
  </si>
  <si>
    <t>CHRFH00137</t>
  </si>
  <si>
    <t>SERIES 7™
 3107, NOT UPHOLSTERED
 COLOURED ASH
 NINE GREY (155)
 STEEL BASE CHROME
 SEAT HEIGHT, 46 CM</t>
  </si>
  <si>
    <t>CHRFH00129</t>
  </si>
  <si>
    <t>SERIES 7™
 3107, NOT UPHOLSTERED, SHELL
 COLOURED VENEER
 ASH - WHITE (105)
 BASE STEEL
 CHROMED
 SEAT HEIGHT, 46 CM</t>
  </si>
  <si>
    <t>CHRFH00229</t>
  </si>
  <si>
    <t>SERIES 7™
 3107, NOT UPHOLSTERED
 CLEAR LACQUERED VENEER, BEECH (20)
 STEEL, BASE CHROME
 SEAT HEIGHT, 46 CM</t>
  </si>
  <si>
    <t>CHRFH00142</t>
  </si>
  <si>
    <t>SERIES 7™
 3107, NOT UPHOLSTERED
 CLEAR LACQUERED VENEER, WALNUT
 STEEL BASE CHROME
 SEAT HEIGHT, 46 CM</t>
  </si>
  <si>
    <t>CHRFH00248</t>
  </si>
  <si>
    <t>SERIES 7™
 3107, NOT UPHOLSTERED
 CLEAR LACQUERED VENEER, OAK
 STEEL BASE CHROME
 SEAT HEIGHT, 46 CM</t>
  </si>
  <si>
    <t>CHRFH00255</t>
  </si>
  <si>
    <t>SERIES 7™
 3107, SHELL
 COLOURED VENEER
 ASH - BLACK (195)
 FRONT UPHOLSTERY
 SOFT LEATHER WALNUT
 BASE CHROMED STEEL - BRIGHT
 SEAT HEIGHT, 46CM</t>
  </si>
  <si>
    <t>CHRFH00230</t>
  </si>
  <si>
    <t>SERIES 7™
 3107, NOT UPHOLSTERED, SHELL
 COLOURED VENEER
 ASH - BLACK (195)
 POWDER COATED STEEL
 BLACK BASE
 SEAT HEIGHT, 46 CM</t>
  </si>
  <si>
    <t>CHRFH00153</t>
  </si>
  <si>
    <t>SERIES 7™
 3107, NOT UPHOLSTERED, SHELL
 COLOURED VENEER
 ASH - WHITE (105)
 POWDER COATED STEEL
 WHITE BASE
 SEAT HEIGHT, 46CM</t>
  </si>
  <si>
    <t>CHRFH00099</t>
  </si>
  <si>
    <t>SERIES 7™
 3107, NOT UPHOLSTERED
 COLOURED VENEER, EVERGRREEN 955
 STEEL, BASE BLACK
 SEAT HEIGHT, 46 CM</t>
  </si>
  <si>
    <t>CHRFH00107</t>
  </si>
  <si>
    <t>SERIES 7™
 3107, NOT UPHOLSTERED
 COLOURED VENEER, BURNT YELLOW 475
 STEEL, BASE BLACK
 SEAT HEIGHT, 46 CM</t>
  </si>
  <si>
    <t>CHRFH00231</t>
  </si>
  <si>
    <t>SERIES 7™
 3107, NOT UPHOLSTERED
 COLOURED VENEER, PARADISE ORANGE 575
 STEEL, BASE BLACK
 SEAT HEIGHT, 46 CM</t>
  </si>
  <si>
    <t>CHRFH00132</t>
  </si>
  <si>
    <t>SERIES 7™
 3107, NOT UPHOLSTERED
 COLOURED VENEER, VENETIAN RED
 STEEL, BASE BLACK
 SEAT HEIGHT, 46 CM</t>
  </si>
  <si>
    <t>CHRFH00158</t>
  </si>
  <si>
    <t>SERIES 7™ JUNIOR (840237)
 3177
 VARIANT
 CLEAR LACQUERED VENEER
 CLEAR LACQUERED VENEER, OAK
 SIZE: W42 x D44 x H79 CM
 SEAT HEIGHT,52 CM</t>
  </si>
  <si>
    <t>CHRFH00256</t>
  </si>
  <si>
    <t>SERIES 7™ JUNIOR (840239)
 3177
 VARIANT
 COLOURED VENEER
 COLOURED VENEER, ASH - EVERGREEN (955)
 SIZE: W42 x D44 x H79 CM
 SEAT HEIGHT,52 CM</t>
  </si>
  <si>
    <t>CHRFH00257</t>
  </si>
  <si>
    <t>SERIES 7™ JUNIOR (840238)
 3177
 VARIANT
 COLOURED VENEER
 COLOURED VENEER, ASH - BURNT YELLOW (475)
 SIZE: W42 x D44 x H79 CM
 SEAT HEIGHT,52 CM</t>
  </si>
  <si>
    <t>CHRFH00178</t>
  </si>
  <si>
    <t>SERIES 7™
 3117, SHELL
 CLEAR LACQUERED VENEER
 WALNUT
 BASE STEEL
 CHROMED STEEL - BRIGHT
 FENDER
 ALUMINIUM
 POLISHED - BRIGHT
 SIZE: 50X52CM, H 78-90 CM
 Soft wheels for hard Floor</t>
  </si>
  <si>
    <t>CHRFH00258</t>
  </si>
  <si>
    <t>SERIES 7™
 3117, CLEAR LACQUERED VENEER
 OAK
 BASE STEEL
 CHROMED STEEL - BRIGHT
 FENDER
 ALUMINIUM
 POLISHED - BRIGHT
 SIZE: 50X52CM, H 78-90 CM
 Soft wheels for hard Floor</t>
  </si>
  <si>
    <t>CHRFH00259</t>
  </si>
  <si>
    <t>SERIES 7™
 3117, COLOURED VENEER
 ASH - BLACK (195)
 FRONT UPHOLSTERY
 SOFT LEATHER
 WALNUT
 BASE STEEL
 CHROMED STEEL - BRIGHT
 POLISHED - BRIGHT
 SIZE: 50X52CM, H 78-90 CM
 Soft wheels for hard Floor</t>
  </si>
  <si>
    <t>CHRFH00260</t>
  </si>
  <si>
    <t>SERIES 7™
 3217, CLEAR LACQUERED VENEER
 WALNUT, BASE STEEL
 CHROMED STEEL - BRIGHT
 FENDER
 ALUMINIUM
 POLISHED - BRIGHT
 SIZE: 61X52CM, H 78-90 CM
 Soft wheels for hard Floor</t>
  </si>
  <si>
    <t>CHRFH00261</t>
  </si>
  <si>
    <t>SERIES 7™
 3217, SHELL
 CLEAR LACQUERED VENEER
 OAK BASE STEEL
 CHROMED STEEL - BRIGHT
 FENDER
 ALUMINIUM
 POLISHED - BRIGHT
 SIZE: 61X52CM, H 78-90 CM
 Soft wheels for hard Floor</t>
  </si>
  <si>
    <t>CHRFH00262</t>
  </si>
  <si>
    <t>SERIES 7™
 3217, SHELL
 COLOURED VENEER
 ASH - BLACK (195)
 FRONT UPHOLSTERY
 SOFT LEATHER WALNUT
 BASE STEEL
 CHROMED STEEL - BRIGHT
 POLISHED - BRIGHT
 SIZE: 61X52CM, H 78-90 CM
 Soft wheels for hard Floor</t>
  </si>
  <si>
    <t>CHRFH00048</t>
  </si>
  <si>
    <t>ANT™
 3101, SHELL
 CLEAR LACQUERED VENEER
 OAK
 BASE STEEL
 CHROMED STEEL - BRIGHT
 SIZE: 52X51X77 CM, HEIGHT 44 CM</t>
  </si>
  <si>
    <t>CHRFH00076</t>
  </si>
  <si>
    <t>GRAND PRIX™
 3130, SHELL
 CLEAR LACQUERED VENEER
 WALNUT
 BASE STEEL
 CHROMED STEEL - BRIGHT
 SIZE: 48X51X83 CM</t>
  </si>
  <si>
    <t>CHRFH00263</t>
  </si>
  <si>
    <t>GRAND PRIX™
 3130, COLOURED VENEER
 ASH - BLACK (195)
 BASE CHROMED STEEL - BRIGHT
 SIZE: 48X51X83 CM</t>
  </si>
  <si>
    <t>CHRFH00264</t>
  </si>
  <si>
    <t>GRAND PRIX™, 3130
 SHELL
 CLEAR LACQUERED VENEER
 OAK
 BASE STEEL
 CHROMED STEEL - BRIGHT
 SIZE: 48X51X83 CM</t>
  </si>
  <si>
    <t>CHRFH00062</t>
  </si>
  <si>
    <t>DROP™
 3110, SHELL
 PLASTIC (ABS)
 LIGHT BEIGE
 BASE CHROMED STEEL - BRIGHT
 SIZE: 45.5X54.5X88.5 CM</t>
  </si>
  <si>
    <t>CHRFH00071</t>
  </si>
  <si>
    <t>DROP™
 3110, SHELL
 PLASTIC (ABS) OLIVE
 BASE CHROMED STEEL - BRIGHT
 SIZE: 45.5X54.5X88.5 CM</t>
  </si>
  <si>
    <t>CHRFH00265</t>
  </si>
  <si>
    <t>DROP™
 3110, SHELL
 PLASTIC (ABS) WHITE
 BASE STEEL
 CHROMED STEEL - BRIGHT
 SIZE: 45.5X54.5X88.5 CM</t>
  </si>
  <si>
    <t>SPAFH00014</t>
  </si>
  <si>
    <t>Span Legs for extendable Table series B620
 Back Base
 Size H70 cm</t>
  </si>
  <si>
    <t>SPAFH00015</t>
  </si>
  <si>
    <t>Span Legs for extendable Table series
 White Base
 Size H70 cm</t>
  </si>
  <si>
    <t>SC-USM-2024-0102-290524</t>
  </si>
  <si>
    <t>PO-USM-2024-01.02.03-270524-STOCK</t>
  </si>
  <si>
    <t>Tủ nội thất văn phòng USM HALLER, USM, USMUS00122, Kích thước 1523 x 373 x 610 mm, Bằng Kim loại, Màu Be (USM Beige)</t>
  </si>
  <si>
    <t>102085191</t>
  </si>
  <si>
    <t>22/07/2024</t>
  </si>
  <si>
    <t>01/24/850611/HOCHMI/</t>
  </si>
  <si>
    <t>SEA-LCL</t>
  </si>
  <si>
    <t>17/9/2024</t>
  </si>
  <si>
    <t>CAT LAI- HCM</t>
  </si>
  <si>
    <t>106581150760</t>
  </si>
  <si>
    <t>18/09/2024</t>
  </si>
  <si>
    <t>Lô 34</t>
  </si>
  <si>
    <t>Tủ nội thất văn phòng USM HALLER, USM, USMUS00115, Kích thước 1523 x 373 x 610 mm, Bằng Kim loại, Màu Trắng (Pure White)</t>
  </si>
  <si>
    <t>Tủ nội thất văn phòng USM HALLER, USM, USMUS00241, Kích thước 2273 x 373 x 565 mm, Bằng Kim loại, Màu Trắng (Pure White)</t>
  </si>
  <si>
    <t>USMUS00248</t>
  </si>
  <si>
    <t>Tủ nội thất văn phòng USM HALLER, USM, USMUS00248, Kích thước 2273 x 373 x 565 mm, Bằng Kim loại, Màu Be Beige</t>
  </si>
  <si>
    <t>USMUS00213</t>
  </si>
  <si>
    <t>Tủ nội thất văn phòng USM HALLER, USM, USMUS00213, kích thước 1523x 373 x 740 mm, Bằng Kim Loại, Màu Trắng Pure White</t>
  </si>
  <si>
    <t>Tủ nội thất văn phòng USM HALLER, USM, USMUS00220, Kích thước 1523 x 373 x 740 mm, Bằng kim loại, Màu Be (USM Beige)</t>
  </si>
  <si>
    <t>Tủ nội thất văn phòng USM HALLER, USM, USMUS00283, Kích thước 2273 x 373 x 740 mm, Bằng kim loại, Màu Trắng (Pure White)</t>
  </si>
  <si>
    <t>Tủ nội thất văn phòng USM HALLER, USM, USMUS00290, Kích thước 2273 x 373 x 740 mm, Bằng kim loại, Màu Be (USM Beige)</t>
  </si>
  <si>
    <t>Tủ nội thất văn phòng USM HALLER, USM, USMUS00287, Kích thước 2273 x 373 x 740 mm, Bằng kim loại, Màu Lục (USM Green)</t>
  </si>
  <si>
    <t>Tủ nội thất văn phòng USM HALLER, USM, USMUS00284, Kích thước 2273 x 373 x 740 mm, Bằng kim loại, Màu Vàng (Golden Yellow)</t>
  </si>
  <si>
    <t>Tủ nội thất văn phòng USM HALLER, USM, USMUS00285, Kích thước 2273 x 373 x 740 mm, Bằng kim loại, Màu Cam (Pure Orange)</t>
  </si>
  <si>
    <t>USMUS00293</t>
  </si>
  <si>
    <t>Tủ nội thất văn phòng USM HALLER, USM, USMUS00293, Kích thước 2273 x 373 x 740 mm, Bằng kim loại, màu Xanh Steel Blue</t>
  </si>
  <si>
    <t>USMUS00281</t>
  </si>
  <si>
    <t>Tủ nội thất văn phòng USM HALLER, USM, USMUS00281, Kích thước 2273 x 373 x 740 mm, Bằng kim loại, màu Nâu USM Brown</t>
  </si>
  <si>
    <t>USMUS00292</t>
  </si>
  <si>
    <t>Tủ nội thất văn phòng USM HALLER, USM, USMUS00292, Kích thước 2273 x 373 x 740 mm, Bằng kim loại, màu Xám Anthracite</t>
  </si>
  <si>
    <t>USMUS00286</t>
  </si>
  <si>
    <t>Tủ nội thất văn phòng USM HALLER, USM, USMUS00286, Kích thước 2273 x 373 x 740 mm, Bằng kim loại, màu Xanh Gentian Blue</t>
  </si>
  <si>
    <t>USMUS00282</t>
  </si>
  <si>
    <t>Tủ nội thất văn phòng USM HALLER, USM, USMUS00282, Kích thước 2273 x 373 x 740 mm, Bằng kim loại, màu Đỏ USM Ruby Red</t>
  </si>
  <si>
    <t>Tủ nội thất văn phòng USM HALLER, USM, USMUS00073, Kích thước 773 x 373 x 740 mm, Bằng kim loại,Trắng (Pure White)-BLANK</t>
  </si>
  <si>
    <t>USMUS00080</t>
  </si>
  <si>
    <t>Tủ nội thất văn phòng USM HALLER, USM, USMUS00080, Kích thước 773 x 373 x 740 mm, Bằng kim loại, Beige - BLANK</t>
  </si>
  <si>
    <t>USMUS10200</t>
  </si>
  <si>
    <t>Tủ nội thất văn phòng USM HALLER, USM, USMUS10200, Kích thước 773 x 373 x 565 mm, Bằng kim loại, Màu trắng (Pure white)</t>
  </si>
  <si>
    <t>USMUS10201</t>
  </si>
  <si>
    <t>Tủ nội thất văn phòng USM HALLER, USM, USMUS10201, Kích thước 773 x 373 x 565 mm, Bằng kim loại, Màu be (Beige)</t>
  </si>
  <si>
    <t>Tủ nội thất văn phòng USM HALLER, USM, USMUS00157, Kích thước 773 x 373 x 565 mm, Bằng kim loại, màu Trắng Pure White</t>
  </si>
  <si>
    <t>Tủ nội thất văn phòng USM HALLER, USM, USMUS00164, Kích thước 773 x 373 x 565 mm, Bằng kim loại, màu Be USM Beige</t>
  </si>
  <si>
    <t>USMUS00087</t>
  </si>
  <si>
    <t>Tủ USM HALLER, OxC, L523 x D373 x H610 mm, Bằng Kim Loại, Màu Trắng Pure White</t>
  </si>
  <si>
    <t>USMUS00094</t>
  </si>
  <si>
    <t>Tủ USM HALLER, OxC, L523 x D373 x H610 mm, Bằng Kim Loại, Màu Be Beige</t>
  </si>
  <si>
    <t>USMUS00091</t>
  </si>
  <si>
    <t>Tủ USM HALLER, OxC, L523 x D373 x H610 mm, Bằng Kim Loại, Màu Lục Green</t>
  </si>
  <si>
    <t>USMUS00088</t>
  </si>
  <si>
    <t>Tủ USM HALLER, OxC, L523 x D373 x H610 mm, Bằng Kim Loại, Màu Vàng Golden Yellow</t>
  </si>
  <si>
    <t>USMUS00089</t>
  </si>
  <si>
    <t>Tủ USM HALLER, OxC, L523 x D373 x H610 mm, Bằng Kim Loại, Màu Cam Pure Orange</t>
  </si>
  <si>
    <t>USMUS00097</t>
  </si>
  <si>
    <t>Tủ USM HALLER, OxC, L523xD373xH610 mm, Bằng Kim Loại, Màu Xanh Steel Blue</t>
  </si>
  <si>
    <t>USMUS00085</t>
  </si>
  <si>
    <t>Tủ USM HALLER, OxC, L523 x D373 x H610 mm, Bằng Kim Loại, Màu Nâu Brown</t>
  </si>
  <si>
    <t>USMUS00093</t>
  </si>
  <si>
    <t>Tủ USM HALLER, OxC, L523 x D373 x H610 mm, Bằng Kim Loại, Màu đen Graphite Black</t>
  </si>
  <si>
    <t>USMUS00090</t>
  </si>
  <si>
    <t>Tủ USM HALLER, OxC, L523xD373xH610 mm, Bằng Kim Loại, Màu xanh Gentian Blue</t>
  </si>
  <si>
    <t>USMUS00086</t>
  </si>
  <si>
    <t>Tủ USM HALLER, OxC, L523xD373xH610 mm, Bằng Kim Loại, Màu Trắng Đỏ Ruby Red</t>
  </si>
  <si>
    <t>USMUS00031</t>
  </si>
  <si>
    <t>Tủ USM HALLER, CxO, L523xD373xH610 mm, Bằng Kim Loại, Màu Trắng Pure White</t>
  </si>
  <si>
    <t>Tủ USM HALLER, CxO, L523xD373xH610 mm, Bằng Kim Loại, Màu Be Beige</t>
  </si>
  <si>
    <t>USMUS00035</t>
  </si>
  <si>
    <t>Tủ USM HALLER, CxO, L523xD373xH610 mm, Bằng Kim Loại, Màu Lục Green</t>
  </si>
  <si>
    <t>USMUS00032</t>
  </si>
  <si>
    <t>Tủ USM HALLER, CxO, L523xD373xH610 mm, Bằng Kim Loại, Màu Vàng Golden Yellow</t>
  </si>
  <si>
    <t>USMUS00041</t>
  </si>
  <si>
    <t>Tủ USM HALLER, CxO, L523xD373xH610 mm, Bằng Kim Loại, Màu Xanh Steel Blue</t>
  </si>
  <si>
    <t>USMUS00029</t>
  </si>
  <si>
    <t>Tủ USM HALLER, CxO, L523xD373xH610 mm, Bằng Kim Loại, Màu Nâu</t>
  </si>
  <si>
    <t>USMUS00034</t>
  </si>
  <si>
    <t>Tủ USM HALLER, CxO, L523xD373xH610 mm, Bằng Kim Loại, Màu Xanh Gentian</t>
  </si>
  <si>
    <t>Bàn văn phòng USM HALLER, USMUS00143, Kích thước (dài 723 x rộng 723 x cao 390 mm), Bằng Kim loại, Thủy tinh, Màu Trong suốt (Transparent), Màu Trắng (Pure White)</t>
  </si>
  <si>
    <t>Trolley</t>
  </si>
  <si>
    <t>USMUS00059</t>
  </si>
  <si>
    <t>Xe đẩy USM HALLER BAR CART, OxO, L773 x D523 x H780 mm, Bằng Kim Loại, Trắng Pure White</t>
  </si>
  <si>
    <t>USMUS00066</t>
  </si>
  <si>
    <t>Xe Đẩy USM HALLER BAR CART, OxO, L773 x D523 x H780 mm, Bằng Kim Loại, Beige</t>
  </si>
  <si>
    <t>Xe Đẩy USM HALLER BAR CART, OxO, L773 x D523 x H780 mm, Bằng Kim Loại, Lục USM Green</t>
  </si>
  <si>
    <t>Xe Đẩy USM HALLER BAR CART, OxO, L773 x D523 x H780 mm, Bằng Kim Loại, Vàng Golden Yellow</t>
  </si>
  <si>
    <t>Xe Đẩy USM HALLER BAR CART, OxO, L773 x D523 x H780 mm, Bằng Kim Loại, Cam Pure Orange</t>
  </si>
  <si>
    <t>USMUS00057</t>
  </si>
  <si>
    <t>Xe Đẩy USM HALLER BAR CART, OxO, L773 x D523 x H780 mm, Bằng Kim Loại, nâu Brown</t>
  </si>
  <si>
    <t>Xe Đẩy USM HALLER BAR CART, OxO, L773 x D523 x H780 mm, Bằng Kim Loại, Đen Graphite Black</t>
  </si>
  <si>
    <t>USMUS00062</t>
  </si>
  <si>
    <t>Xe Đẩy USM HALLER BAR CART, OxO, L773 x D523 x H780 mm, Bằng Kim Loại, xanh gentian blue</t>
  </si>
  <si>
    <t>USMUS10199</t>
  </si>
  <si>
    <t>Kệ nội thất văn phòng USM HALLER, L4168 x D373x H1490 mm, Kim Loại, màu trong suốt transparent, trắng pure white</t>
  </si>
  <si>
    <t>USMUS10214</t>
  </si>
  <si>
    <t>Tủ nội thất văn phòng USM Haller, USM, USMUS10214, kích thước 1023x373x740 mm, bằng kim loại, màu vàng USM golden yellow</t>
  </si>
  <si>
    <t>USMUS10218</t>
  </si>
  <si>
    <t>Quầy tủ cafe USM Haller, USM, USMUS10218, Kích thước 3123x2273x990 mm, bằng kim loại, màu Golden yellow, transparent</t>
  </si>
  <si>
    <t>USMUS10219</t>
  </si>
  <si>
    <t>Kệ nội thất văn phòng USM Haller, USM, USMUS10219, Kích thước 4773x373x1790 mm, bằng kim loại, màu pure orange, white, gentian blue, ruby red, steel blue, anthracite, graphite black, golden yellow, green, transparent, mid-gray, light gray</t>
  </si>
  <si>
    <t>USMUS10220</t>
  </si>
  <si>
    <t>Kệ nội thất văn phòng USM Haller, USM, USMUS10220, Kích thước 4123x1073x2390 mm, bằng kim loại, màu pure white, USM green, graphite black</t>
  </si>
  <si>
    <t>Tủ nội thất văn phòng USM HALLER, USMUS00367, Kích thước (dài 1523 x rộng 373 x cao 740 mm), Bằng Kim loại, Màu Olive</t>
  </si>
  <si>
    <t>USMUS00370</t>
  </si>
  <si>
    <t>Tủ nội thất văn phòng USM HALLER, USM, USMUS00370, Kích thước 1523x373x740 mm, Bằng Kim loại, Màu Olive green</t>
  </si>
  <si>
    <t>SC-LPS-03-060824-DH-0002337</t>
  </si>
  <si>
    <t>PO-LPS-03-060824-DH-0002337</t>
  </si>
  <si>
    <t>DH-0002337</t>
  </si>
  <si>
    <t>01/08/2024</t>
  </si>
  <si>
    <t>15/11/2024</t>
  </si>
  <si>
    <t>PH Artichoke Ø480mm</t>
  </si>
  <si>
    <t>LPLLP00055</t>
  </si>
  <si>
    <t>PH ARTICHOKE Ø480</t>
  </si>
  <si>
    <t>1019011172</t>
  </si>
  <si>
    <t>29/08/2024</t>
  </si>
  <si>
    <t>BLL-00103164</t>
  </si>
  <si>
    <t>Macnels</t>
  </si>
  <si>
    <t>106579539620</t>
  </si>
  <si>
    <t>Lô 35.1</t>
  </si>
  <si>
    <t>SC-LPS-02-060824-DH-0002337</t>
  </si>
  <si>
    <t>PO-LPS-02-060824-DH-0002337</t>
  </si>
  <si>
    <t>5741103478</t>
  </si>
  <si>
    <t>LPLLP00053</t>
  </si>
  <si>
    <t>PH 5 ANNIVERSARY EDITION  
Size: Ø500x267 mm
WHITE &amp; Pale Rose</t>
  </si>
  <si>
    <t>1019010789, 1019011118</t>
  </si>
  <si>
    <t>22/08/2024</t>
  </si>
  <si>
    <t>SDK0110038</t>
  </si>
  <si>
    <t>13/10/2024</t>
  </si>
  <si>
    <t>106644520510</t>
  </si>
  <si>
    <t>Lô 35.2</t>
  </si>
  <si>
    <t>PH 5
Size: Ø500x267 mm</t>
  </si>
  <si>
    <t>VL Studio</t>
  </si>
  <si>
    <t>5744169367</t>
  </si>
  <si>
    <t>LPLLP00054</t>
  </si>
  <si>
    <t xml:space="preserve">VL STUDIO TABLE/FLOOR 
Size: Ø150xH145 mm
WHITE &amp; BRASS </t>
  </si>
  <si>
    <t>SC-NNH-NU-2024-002</t>
  </si>
  <si>
    <t>16/09/2024</t>
  </si>
  <si>
    <t>TBLAT00006</t>
  </si>
  <si>
    <t>Halten Side Table SH9, Verde Guatemala/Polished Stainless Steel(BOM)</t>
  </si>
  <si>
    <t>NNH-NU-2024-002-01</t>
  </si>
  <si>
    <t>30/09/2024</t>
  </si>
  <si>
    <t>SHANGHAI</t>
  </si>
  <si>
    <t>HCM</t>
  </si>
  <si>
    <t>DLC</t>
  </si>
  <si>
    <t>106637324031&amp;106637388061&amp;106637395060</t>
  </si>
  <si>
    <t>Bàn Halten Side Table SH9,&amp;Tradition,model 89101204,D40xR32xC66cm,mặt đá Verde Guatemala marble lục,chân thép Stainless Steel.</t>
  </si>
  <si>
    <t>Lô 36</t>
  </si>
  <si>
    <t>106637324031</t>
  </si>
  <si>
    <t>20781001</t>
  </si>
  <si>
    <t>CHRAT00001</t>
  </si>
  <si>
    <t>Wire Stool VP11, Stainless Steel</t>
  </si>
  <si>
    <t>Ghế đẩu Wire Stool VP11 , &amp;Tradition, model 20781001, DK44 x C42 cm, bằng thép.</t>
  </si>
  <si>
    <t>106637388061</t>
  </si>
  <si>
    <t>SPAAT00004</t>
  </si>
  <si>
    <t>Wire Stool Seat Pad VP11,Hallingdal 944</t>
  </si>
  <si>
    <t>Đệm ngồi cho ghế đẩu, Wire Stool Seat Pad VP11 , &amp;Tradition, model 20781005, DK36 x C3.5 cm, bằng mút bọc vải, màu lục.</t>
  </si>
  <si>
    <t>106637395060</t>
  </si>
  <si>
    <t>SPAAT00003</t>
  </si>
  <si>
    <t>Wire Stool Seat Pad VP11,Hallingdal 600</t>
  </si>
  <si>
    <t>Đệm ngồi cho ghế đẩu, Wire Stool Seat Pad VP11 , &amp;Tradition, model 20781004, DK36 x C3.5 cm, bằng mút bọc vải, màu đỏ.</t>
  </si>
  <si>
    <t>SPAAT00002</t>
  </si>
  <si>
    <t>Wire Stool Seat Pad VP11,Hallingdal 723</t>
  </si>
  <si>
    <t>Đệm ngồi cho ghế đẩu, Wire Stool Seat Pad VP11 , &amp;Tradition, model 20781002, DK36 x C3.5 cm, bằng mút bọc vải, màu xanh.</t>
  </si>
  <si>
    <t>AE393-D509</t>
  </si>
  <si>
    <t>CHRHA00045</t>
  </si>
  <si>
    <t>Type Chair&amp;Seat cushion for Type Chair</t>
  </si>
  <si>
    <t>Ghế Type Chair , HAY, model AE005-D360, D47.5 x R47.5 x C78.5 cm, bằng nhôm, màu xám Silver Grey, kèm đệm ngồi.</t>
  </si>
  <si>
    <t>AD862-A603-AO15</t>
  </si>
  <si>
    <t>ACCHA00244</t>
  </si>
  <si>
    <t>HAY Dogs Bed-Large-Burgundy, green</t>
  </si>
  <si>
    <t>Giường cho thú cưng, Hay Dogs Bed , HAY, model AD862-A603-AO15, D30 x R75 x C96 cm, size L, bằng polyester và đệm, màu lục, đỏ burgundy.</t>
  </si>
  <si>
    <t>HAY Dogs Collar Flat-M/L-Red, blue</t>
  </si>
  <si>
    <t>Dây đeo cổ cho thú cưng, HAY Dogs Collar Flat , HAY, model AD864-D013-AL56, Size M/L, bằng polyester, màu đỏ, xanh.</t>
  </si>
  <si>
    <t>HAY Dogs Collar Flat-M/L-Lavender, green</t>
  </si>
  <si>
    <t>Dây đeo cổ cho thú cưng, HAY Dogs Collar Flat , HAY, model AD864-D013-AO16, Size M/L, bằng polyester, màu lục, tím lavender.</t>
  </si>
  <si>
    <t>HAY Dogs Collar Flat-M/L-Blue, off-white</t>
  </si>
  <si>
    <t>Dây đeo cổ cho thú cưng, HAY Dogs Collar Flat , HAY, model AD864-D013-AO17, Size M/L, bằng polyester, màu xanh, trắng.</t>
  </si>
  <si>
    <t>HAY Dogs Bowl-Small-Blue, red</t>
  </si>
  <si>
    <t>Bát ăn cho thú cưng, HAY Dogs Bowl , HAY, model AD866-A601-AL51, Size S, bằng đá, màu trắng, đỏ, xanh.</t>
  </si>
  <si>
    <t>AD866-A601-AL56</t>
  </si>
  <si>
    <t>ACCHA00252</t>
  </si>
  <si>
    <t>HAY Dogs Bowl-Small-Red, blue</t>
  </si>
  <si>
    <t>Bát ăn cho thú cưng, HAY Dogs Bowl , HAY, model AD866-A601-AL56, Size S, bằng đá, màu xanh, trắng, đỏ.</t>
  </si>
  <si>
    <t>AD866-A603-AO18</t>
  </si>
  <si>
    <t>ACCHA00253</t>
  </si>
  <si>
    <t>HAY Dogs Bowl-Large-Yellow, blue</t>
  </si>
  <si>
    <t>Bát ăn cho thú cưng, HAY Dogs Bowl , HAY, model AD866-A603-AO18, Size L, bằng đá, màu xanh, trắng, vàng.</t>
  </si>
  <si>
    <t>AD866-A603-AO19</t>
  </si>
  <si>
    <t>ACCHA00254</t>
  </si>
  <si>
    <t>HAY Dogs Bowl-Large-Blue, yellow</t>
  </si>
  <si>
    <t>Bát ăn cho thú cưng, HAY Dogs Bowl , HAY, model AD866-A603-AO19, Size L, bằng đá, màu trắng, vàng, xanh.</t>
  </si>
  <si>
    <t>AD864-D012-AL56</t>
  </si>
  <si>
    <t>ACCHA00245</t>
  </si>
  <si>
    <t>HAY Dogs Collar Flat-S/M-Red, blue</t>
  </si>
  <si>
    <t>Dây đeo cổ cho thú cưng, HAY Dogs Collar Flat , HAY, model AD864-D012-AL56, size S/M, bằng polyester, màu đỏ, xanh.</t>
  </si>
  <si>
    <t>AD864-D012-AO16</t>
  </si>
  <si>
    <t>ACCHA00246</t>
  </si>
  <si>
    <t>HAY Dogs Collar Flat-S/M-Lavender, green</t>
  </si>
  <si>
    <t>Dây đeo cổ cho thú cưng, HAY Dogs Collar Flat , HAY, model AD864-D012-AO16, Size S/M, bằng polyester, màu lục, tím lavender.</t>
  </si>
  <si>
    <t>AD864-D012-AO17</t>
  </si>
  <si>
    <t>ACCHA00247</t>
  </si>
  <si>
    <t>HAY Dogs Collar Flat-S/M-Blue, off-white</t>
  </si>
  <si>
    <t>Dây đeo cổ cho thú cưng, HAY Dogs Collar Flat , HAY, model AD864-D012-AO17, Size S/M, bằng polyester, màu xanh, trắng.</t>
  </si>
  <si>
    <t>PO-NU-2024-05-140824-SHOWROOM</t>
  </si>
  <si>
    <t>Ghế PALISSADE DINING ARM CHAIR, Kích thước (Dài 63 x Rộng 66 x Cao 80) cm, Bằng Thép, Màu xám trắng (SKY GREY)</t>
  </si>
  <si>
    <t>Ghế PALISSADE DINING ARM CHAIR, Kích thước (Dài 63 x Rộng 66 x Cao 80) cm, Bằng Thép, Màu xám trắng (SKY GREY).</t>
  </si>
  <si>
    <t>AA692-A375-AA97</t>
  </si>
  <si>
    <t>TBLHA00013</t>
  </si>
  <si>
    <t>Bowler Table Powder Coated Steel Frame With Granite Base
 Φ36xH70.5 cm</t>
  </si>
  <si>
    <t>Bàn Side Table BOWLER, DI36 X H70.5 cm, Mặt Bàn Thép Trắng Cream White, Bệ Đá Granite</t>
  </si>
  <si>
    <t>AA688-A368-AA91</t>
  </si>
  <si>
    <t>TBLHA00004</t>
  </si>
  <si>
    <t>Tulou Coffee Table Off-White Powder Coated Steel Frame
 Item No: AA688-A368-AA91
 Φ75xH35</t>
  </si>
  <si>
    <t>Bàn Cafe TULOU, DI75 X H35 cm, Mặt Bàn Thép Trắng, Chân Bàn Thép Trắng.</t>
  </si>
  <si>
    <t>Lounge Chair</t>
  </si>
  <si>
    <t>AA601-C191</t>
  </si>
  <si>
    <t>OUTHA00009</t>
  </si>
  <si>
    <t>HEE LOUNGE SLED BASE STANDARD GLIDER-WHITE POWDER COATED STEEL
 SIZE: H67 x W72 x L67
 Seat heigh: 37cm
 SHELL: White Steel
 FRAME:White Steel</t>
  </si>
  <si>
    <t>Ghế HEE LOUNGE, W72 x D67 x H67 cm, Thép Sơn Tĩnh Điện, Màu Trắng.</t>
  </si>
  <si>
    <t>PO-NU-2024-06-160824-SHOWROOM</t>
  </si>
  <si>
    <t>808189 9279415</t>
  </si>
  <si>
    <t>SFAHA00013</t>
  </si>
  <si>
    <t>Can 2 Seater Warm Red Frame Black Strap Blue Canvas
 FAB-Surface by HAY|0120 SU
 W172 X D89 X H82 cm
 Seat H40 cm</t>
  </si>
  <si>
    <t>Ghế sofa Can 2 chỗ ngồi, HAY, model 808189 9279415, W172 X D89 X H82 cm, chiều cao ghế ngồi H40cm, khung đỏ, bọc vải surface by HAY, màu blue canvas</t>
  </si>
  <si>
    <t>808269 9279415</t>
  </si>
  <si>
    <t>SFAHA00014</t>
  </si>
  <si>
    <t>Can 3 Seater Warm Red Frame Black Strap Blue Canvas
 FAB-Surface by HAY|0120 SU
 W247 X D89 X H82 cm
 Seat H40 cm</t>
  </si>
  <si>
    <t>Ghế sofa Can 3 chỗ ngồi, HAY, model 808269 9279415, W247 X D89 X H82 cm, chiều cao ghế ngồi H40cm, khung đỏ, bọc vải surface by HAY, màu blue canvas</t>
  </si>
  <si>
    <t>TBLHA00039</t>
  </si>
  <si>
    <t>Kofi Table-Black Water-Based Lacquered Oak Frame w. Blue Tinted Glass Tabletop(BOM)
 L60xW60xH36CM</t>
  </si>
  <si>
    <t>Bàn Kofi, HAY, model 941719, kích thước L60xW60xH36CM, khung gỗ oak đen, mặt kính xanh dương</t>
  </si>
  <si>
    <t>TBLHA00040</t>
  </si>
  <si>
    <t>Kofi Table-Barn Red Water-Based Lacquered Oak Frame w. Grey Tinted Glass Tabletop(BOM)
 L60xW60xH36CM</t>
  </si>
  <si>
    <t>Bàn Kofi, HAY, model 941725, kích thước L60xW60xH36CM, khung gỗ oak đỏ, mặt kính xám</t>
  </si>
  <si>
    <t>TBLHA00041</t>
  </si>
  <si>
    <t>Kofi Table-Water-Based Lacquered Oak Frame w. Grey Tinted Glass Tabletop(BOM)
 L140xW50xH36CM</t>
  </si>
  <si>
    <t>Bàn Kofi, HAY, model 941787, kích thước L140xW50xH36CM, khung gỗ oak, mặt kính xám</t>
  </si>
  <si>
    <t>AA685-A360-AA56</t>
  </si>
  <si>
    <t>TBLHA00024</t>
  </si>
  <si>
    <t>Tray Table-Medium Square
 L40xW40xH44 cm</t>
  </si>
  <si>
    <t>Bàn TRAY TABLE SIDE TABLE M, HAY, model AA685-A360-AA56, kích thước W40 X D40 X H44 cm, Bằng Thép Sơn Tĩnh Điện, Màu trắng</t>
  </si>
  <si>
    <t>AA685-A360-AA82</t>
  </si>
  <si>
    <t>TBLHA00042</t>
  </si>
  <si>
    <t>Bàn TRAY TABLE, size M, HAY, model AA685-A360-AA82, kích thước W40 X D40 X H44 cm, Bằng Thép Sơn Tĩnh Điện, Màu deep blue</t>
  </si>
  <si>
    <t>AA685-A360-AA83</t>
  </si>
  <si>
    <t>TBLHA00043</t>
  </si>
  <si>
    <t>Bàn TRAY TABLE, size M, HAY, model AA685-A360-AA83, kích thước W40 X D40 X H44 cm, Bằng Thép Sơn Tĩnh Điện, Màu chocolate</t>
  </si>
  <si>
    <t>AA685-A360-AA84</t>
  </si>
  <si>
    <t>TBLHA00044</t>
  </si>
  <si>
    <t>Bàn TRAY TABLE, size M, HAY, model AA685-A360-AA84, kích thước W40 X D40 X H44 cm, Bằng Thép Sơn Tĩnh Điện, Màu Toffee</t>
  </si>
  <si>
    <t>AA692-A375-AA98</t>
  </si>
  <si>
    <t>TBLHA00011</t>
  </si>
  <si>
    <t>Bowler Table Powder Coated Steel Frame With Granite Base
 Item No: AA692-A375-AA98
 Φ36xH70.5
 Φ36xH70.5 cm
 Beige Powder</t>
  </si>
  <si>
    <t>Bàn Side Table BOWLER, DI36 X H70.5 cm, Mặt Bàn Thép Màu Be, Bệ Đá Granite</t>
  </si>
  <si>
    <t>AA692-A375-AA99</t>
  </si>
  <si>
    <t>TBLHA00012</t>
  </si>
  <si>
    <t>Bowler Table Powder Coated Steel Frame With Granite Base
 Φ36xH70.5 cm
 Pale brown</t>
  </si>
  <si>
    <t>Bàn Side Table BOWLER, DI36 X H70.5 cm, Mặt Bàn Thép Nâu Pale Brown, Bệ Đá Granite</t>
  </si>
  <si>
    <t>AA692-A375-AB01</t>
  </si>
  <si>
    <t>TBLHA00010</t>
  </si>
  <si>
    <t>Bowler Table Powder Coated Steel Frame With Granite Base
 Φ36xH70.5 cm
 Fir green</t>
  </si>
  <si>
    <t>Bàn Side Table BOWLER, DI36 X H70.5 cm, Mặt Bàn Thép Lục Fir Green, Bệ Đá Granite</t>
  </si>
  <si>
    <t>AA692-A375-AB02</t>
  </si>
  <si>
    <t>TBLHA00009</t>
  </si>
  <si>
    <t>Bowler Table Powder Coated Steel Frame With Granite Base
 Φ36xH70.5 cm
 Tile red</t>
  </si>
  <si>
    <t>Bàn Side Table BOWLER, DI36 X H70.5 cm, Mặt Bàn Thép Đỏ Tile Red, Bệ Đá Granite</t>
  </si>
  <si>
    <t>CABHA00008</t>
  </si>
  <si>
    <t>Woody Low-Nature-White (BOM)
 L206.5*W44.5*H85.5</t>
  </si>
  <si>
    <t>Kệ Woody Low-nature-white, HAY, model 102611, kích thước L206.5xW44.5xH85.5, bằng gỗ, màu trắng</t>
  </si>
  <si>
    <t>CABHA00009</t>
  </si>
  <si>
    <t>Woody Column High-Nature-White (BOM)
 L75.5*W44.5*H196.5</t>
  </si>
  <si>
    <t>Kệ Woody Column-nature-white, HAY, model 102631, kích thước L75.5xW44.5xH196.5, bằng gỗ, màu trắng</t>
  </si>
  <si>
    <t>AD583-A210-AA51-01UF</t>
  </si>
  <si>
    <t>CLGHA00016</t>
  </si>
  <si>
    <t>Chisel Lounge Chair
 W63xD66.5xH68.5 cm
 Seat H39 cm
 Water-Based Lacquered Oak</t>
  </si>
  <si>
    <t>Ghế Lounge Chisel, HAY, model AD583-A210-AA51-01UF, kích thước W63xD66.5xH68.5 cm, bằng gỗ oak, màu tự nhiên</t>
  </si>
  <si>
    <t>AD504-B337</t>
  </si>
  <si>
    <t>TRLHA00001</t>
  </si>
  <si>
    <t>ARCS trolley low steel, blue rim collection
 L63×W44×H53.4cm</t>
  </si>
  <si>
    <t>Kệ nội thất văn phòng có bánh xe ARCS, HAY, model AD504-B337, kích thước L63×W44×H53.4cm, bằng thép, màu xanh blue rim</t>
  </si>
  <si>
    <t>AD504-A790</t>
  </si>
  <si>
    <t>TRLHA00002</t>
  </si>
  <si>
    <t>ARCS trolley low steel, Eggshell
 L63×W44×H53.4cm</t>
  </si>
  <si>
    <t>Kệ nội thất văn phòng có bánh xe ARCS, HAY, model AD504-A790, kích thước L63×W44×H53.4cm, bằng thép, màu eggshell</t>
  </si>
  <si>
    <t>AD504-D241</t>
  </si>
  <si>
    <t>TRLHA00003</t>
  </si>
  <si>
    <t>ARCS trolley low steel, 
 Soft Jade
 L63×W44×H53.4cm</t>
  </si>
  <si>
    <t>Kệ nội thất văn phòng có bánh xe ARCS, HAY, model AD504-D241, kích thước L63×W44×H53.4cm, bằng thép, màu Soft Jade</t>
  </si>
  <si>
    <t>Kitchen</t>
  </si>
  <si>
    <t>AB273-A225</t>
  </si>
  <si>
    <t>ACCHA00039</t>
  </si>
  <si>
    <t>Knit
 W49.5XD50.5XH161.5 cm
 Powder coated steel tube legs.
 White</t>
  </si>
  <si>
    <t>Cây Treo Đồ KNIT, HAY, model AB273-A225, W49.5 X D50.5 X H161.5 cm, Bằng Thép Sơn Tĩnh Điện, Màu Trắng</t>
  </si>
  <si>
    <t>AB273-A846</t>
  </si>
  <si>
    <t>ACCHA00283</t>
  </si>
  <si>
    <t>Knit
 W49.5XD50.5XH161.5 cm
 Toffee</t>
  </si>
  <si>
    <t>Cây Treo Đồ KNIT, HAY, model AB273-A846, W49.5 X D50.5 X H161.5 cm, Bằng Thép Sơn Tĩnh Điện, Màu Toffee</t>
  </si>
  <si>
    <t>257202 1509000</t>
  </si>
  <si>
    <t>CHRHA00046</t>
  </si>
  <si>
    <t>Soft Edge70 
 Chromed Steel Legs
 SOF-Water-Based Lacquered Oak Seat/Back</t>
  </si>
  <si>
    <t>Ghế Soft Edge 70, HAY, model 257202 1509000, kích thước W37,5 X D37,5 X H47,5, bằng gỗ, chân chrome, màu tự nhiên</t>
  </si>
  <si>
    <t>133044A298</t>
  </si>
  <si>
    <t>TBLAT00011</t>
  </si>
  <si>
    <t>Rotate SC73 W35 D35 H59
 Item No: 133044A298
 L35 x W35 x H59 cm
 Hunter</t>
  </si>
  <si>
    <t>Bàn Rotate SC73, &amp;Tradition, model 133044A298, kích thước L35 x W35 x H59 cm, bằng kim loại, màu hunter</t>
  </si>
  <si>
    <t>133044A303</t>
  </si>
  <si>
    <t>TBLAT00012</t>
  </si>
  <si>
    <t>Rotate SC73 W35 D35 H59
 Item No: 133044A303
 L35 x W35 x H59 cm
 Ivory</t>
  </si>
  <si>
    <t>Bàn Rotate SC73, &amp;Tradition, model 133044A303, kích thước L35 x W35 x H59 cm, bằng kim loại, màu Ivory</t>
  </si>
  <si>
    <t>133044A328</t>
  </si>
  <si>
    <t>TBLAT00013</t>
  </si>
  <si>
    <t>Rotate SC73 W35 D35 H59
 Item No: 133044A328
 L35 x W35 x H59 cm
 Merlot</t>
  </si>
  <si>
    <t>Bàn Rotate SC73, &amp;Tradition, model 133044A328, kích thước L35 x W35 x H59 cm, bằng kim loại, màu Merlot</t>
  </si>
  <si>
    <t>AE060-B432</t>
  </si>
  <si>
    <t>LTLHA00014</t>
  </si>
  <si>
    <t>Drome Table lamp
 ITEM NO: AE060-B432
 317.5*223.5*221.3mm</t>
  </si>
  <si>
    <t>Đèn trang trí Drome, HAY, model AE060-B432, kích thước 317.5x223.5x221.3mm, bằng acrylic, màu trắng</t>
  </si>
  <si>
    <t>Flowerpot Portable Lamp VP9,Mustard, Magnetic, 20712201, Φ16xH29.5 cm,(2Pcs/CTN),</t>
  </si>
  <si>
    <t>Đèn trang trí FLOWERPOT VP9, &amp;Tradition, công nghệ LED, Ø16 x H29.5 cm, 3W 2700K, Bằng PC Và Thép, màu Mustard</t>
  </si>
  <si>
    <t>LTLAT00008</t>
  </si>
  <si>
    <t>Flowerpot Portable Lamp VP9,Matt White, Magnetic Charger, 20713101, Φ16xH29.5 cm,(2Pcs/CTN),</t>
  </si>
  <si>
    <t>Đèn trang trí FLOWERPOT VP9, &amp;Tradition, công nghệ LED, Ø16 x H29.5 cm, 3W 2700K, Bằng PC Và Thép, màu trắng Matt White</t>
  </si>
  <si>
    <t>LTLAT00024</t>
  </si>
  <si>
    <t>Flowerpot Portable Lamp VP9,Vermilion Red, Magnetic, 20713401, Φ16xH29.5 cm,(2Pcs/CTN),</t>
  </si>
  <si>
    <t>Đèn trang trí FLOWERPOT VP9, &amp;Tradition, công nghệ LED, Ø16 x H29.5 cm, 3W 2700K, Bằng PC Và Thép, Màu Vermilion Red</t>
  </si>
  <si>
    <t>Flowerpot Portable Lamp VP9,Tangy Pink, Magnetic, 20713501, Φ16xH29.5 cm,(2Pcs/CTN),</t>
  </si>
  <si>
    <t>Đèn trang trí FLOWERPOT VP9, &amp;Tradition, công nghệ LED, Ø16 x H29.5 cm, 3W 2700K, Bằng PC Và Thép, Màu Tangy Pink</t>
  </si>
  <si>
    <t>Flowerpot Portable Lamp VP9,Dark Plum, Magnetic, 20713601, Φ16xH29.5 cm,(2Pcs/CTN),</t>
  </si>
  <si>
    <t>Đèn trang trí FLOWERPOT VP9, &amp;Tradition, công nghệ LED, Ø16 x H29.5 cm, 3W 2700K, Bằng PC Và Thép, Màu Dark Plum</t>
  </si>
  <si>
    <t>Flowerpot Portable Lamp VP9,Swim Blue, Magnetic, 20713701, Φ16xH29.5 cm,(2Pcs/CTN),</t>
  </si>
  <si>
    <t>Đèn trang trí FLOWERPOT VP9, &amp;Tradition, công nghệ LED, Ø16 x H29.5 cm, 3W 2700K, Bằng PC Và Thép, Màu Swim Blue</t>
  </si>
  <si>
    <t>Flowerpot Portable Lamp VP9,Cobalt Blue, Magnetic, 20715002, Φ16xH29.5 cm,(2Pcs/CTN),</t>
  </si>
  <si>
    <t>Đèn trang trí FLOWERPOT VP9, &amp;Tradition, công nghệ LED, Ø16 x H29.5 cm, 3W 2700K, Bằng PC Và Thép, Màu Cobalt Blue</t>
  </si>
  <si>
    <t>LTLAT00011</t>
  </si>
  <si>
    <t>Flowerpot Portable Lamp VP9,Stone Blue, Magnetic Charger, 20715401, Φ16xH29.5 cm,(2Pcs/CTN),</t>
  </si>
  <si>
    <t>Đèn trang trí FLOWERPOT VP9,công nghệ LED,(Phi 16 x cao 29.5)cm,3W 2700K,bằng PC và thép, Màu Stone Blue</t>
  </si>
  <si>
    <t>Flowerpot Portable Lamp VP9,Grey Beige, Magnetic, 20718901, Φ16xH29.5 cm,(2Pcs/CTN),</t>
  </si>
  <si>
    <t>Đèn trang trí FLOWERPOT VP9,công nghệ LED,(Phi 16 x cao 29.5)cm,3W 2700K,bằng PC và thép, Màu Grey Beige</t>
  </si>
  <si>
    <t>Flowerpot Portable Lamp VP9,Signal Green, Magnetic Charger, 20719201, Φ16xH29.5 cm,(2Pcs/CTN),</t>
  </si>
  <si>
    <t>Đèn trang trí FLOWERPOT VP9, &amp;Tradition, công nghệ LED, Ø16 x H29.5 cm, 3W 2700K, Bằng PC Và Thép, Màu Signal Green</t>
  </si>
  <si>
    <t>LTLAT00022</t>
  </si>
  <si>
    <t>Flowerpot Portable Lamp VP9,Matt Black, Magnetic Charger, 20719501, Φ16xH29.5 cm,(2Pcs/CTN),</t>
  </si>
  <si>
    <t>LTLAT00023</t>
  </si>
  <si>
    <t>Flowerpot Portable Lamp VP9,Chrome-Plated, Magnetic Charger, 20719901, Φ16xH29.5 cm,(2Pcs/CTN),</t>
  </si>
  <si>
    <t>Đèn trang trí FLOWERPOT VP9, &amp;Tradition, công nghệ LED, Ø16 x H29.5 cm, 3W 2700K, Bằng PC và thép, màu Chrome</t>
  </si>
  <si>
    <t>LWLAT00001</t>
  </si>
  <si>
    <t>Flowerpot Wall Lamp VP8,Beige Red, 20794301, Φ23xW26xH35 cm,</t>
  </si>
  <si>
    <t>Đèn tường trang trí FLOWERPOT VP8, &amp;Tradition, kích thước Φ23xW26xH35 cm, Màu beige red</t>
  </si>
  <si>
    <t>LWLAT00002</t>
  </si>
  <si>
    <t>Flowerpot Wall Lamp VP8,Grey Beige, 20798901, Φ23xW26xH35 cm,</t>
  </si>
  <si>
    <t>Đèn tường trang trí FLOWERPOT VP8, &amp;Tradition, kích thước Φ23xW26xH35 cm, màu grey beige</t>
  </si>
  <si>
    <t>133090A215</t>
  </si>
  <si>
    <t>LWLAT00003</t>
  </si>
  <si>
    <t>Flowerpot Wall Lamp VP8
 Mustard
 Φ23 x H35.5 cm</t>
  </si>
  <si>
    <t>Đèn tường trang trí FLOWERPOT VP8, &amp;Tradition, kích thước Φ23xW26xH35 cm, màu Mustard</t>
  </si>
  <si>
    <t>Wall lamp</t>
  </si>
  <si>
    <t>133114A477</t>
  </si>
  <si>
    <t>LWLAT00004</t>
  </si>
  <si>
    <t>Tabata Wall Lamp LN10
 W10 x L15 x H21 cm
 Dark Burgundy &amp; Vermilion Red</t>
  </si>
  <si>
    <t>Đèn tường trang trí Tabata LN10, &amp;Tradition, model 133114A477, kích thước W10 x L15 x H21 cm, bằng kim loại, Màu Dark Burgundy &amp; Vermilion Red</t>
  </si>
  <si>
    <t>LWLAT00005</t>
  </si>
  <si>
    <t>Tabata Wall Lamp LN10,Silk Grey
 CE,L15xW10XH21 cm</t>
  </si>
  <si>
    <t>Đèn tường trang trí Tabata LN10, &amp;Tradition, model 133114A477, kích thước W10 x L15 x H21 cm, bằng kim loại, Màu Silk grey</t>
  </si>
  <si>
    <t>LWLAT00006</t>
  </si>
  <si>
    <t>Tabata Wall Lamp LN10,Dark Burgundy
 CE,L15xW10XH21 cm</t>
  </si>
  <si>
    <t>Đèn tường trang trí Tabata LN10, &amp;Tradition, model 133114A477, kích thước W10 x L15 x H21 cm, bằng kim loại, Màu Burgundy</t>
  </si>
  <si>
    <t>LWLAT00007</t>
  </si>
  <si>
    <t>Tabata Wall Lamp LN10,Black
 CE,L15xW10XH21 cm</t>
  </si>
  <si>
    <t>Đèn tường trang trí Tabata LN10, &amp;Tradition, model 133114A477, kích thước W10 x L15 x H21 cm, bằng kim loại, Màu Black</t>
  </si>
  <si>
    <t>OIGUE1</t>
  </si>
  <si>
    <t>CABHA00004</t>
  </si>
  <si>
    <t>NO SHELF 
 W:150cm x H:215.2cm x D:34cm
 SET OF 4, GREY COLLOR</t>
  </si>
  <si>
    <t>Kệ NO SHELVES, HAY, CABHA00004, kích thước 150 x H74 x D34cm, bằng kim loại, màu xám</t>
  </si>
  <si>
    <t>RCOGL1</t>
  </si>
  <si>
    <t>CABHA00005</t>
  </si>
  <si>
    <t>SHELF W:200cm x H:179.9cm x D:34cm
 SET OF 3, GREY COLOR, WITHOUT BACK PANEL</t>
  </si>
  <si>
    <t>Kệ NO SHELVES, HAY, CABHA00005, kích thước W200 x H179.9 x D34cm, bằng kim loại, màu xám</t>
  </si>
  <si>
    <t>CABHA00006</t>
  </si>
  <si>
    <t>NO SHELVES 
  100 CM, GREY COLOR, SET OF 4</t>
  </si>
  <si>
    <t>Kệ NO SHELVE, HAY, CABHA00006, kích thước W100xH74xD34 cm, bằng kim loại, màu xám</t>
  </si>
  <si>
    <t>CABHA00007</t>
  </si>
  <si>
    <t>NO SHELVE
 W150, GREY COLOR, SET 1 PC</t>
  </si>
  <si>
    <t>KỆ NO SHELVE</t>
  </si>
  <si>
    <t>AE063-D485</t>
  </si>
  <si>
    <t>LPLHA00004</t>
  </si>
  <si>
    <t>Common Pendant Cord Set - Clay White
 ITEM NO: AE063-D485
 13*13*15cm 12pcs/1CTN</t>
  </si>
  <si>
    <t>Đèn thả Common, HAY, model AE063-D485, kích thước Ø12 x H6 cm, dây dài 240cm, bằng nhựa ABS, màu trắng Clay white</t>
  </si>
  <si>
    <t>AE063-D486</t>
  </si>
  <si>
    <t>LPLHA00005</t>
  </si>
  <si>
    <t>Common Pendant Cord Set - Beton Grey
 ITEM NO: AE063-D486
 13*13*15cm 12pcs/1CTN</t>
  </si>
  <si>
    <t>Đèn thả Common, HAY, model AE063-D486, kích thước Ø12 x H6, dây dài 240cm, bằng nhựa ABS, màu beton grey</t>
  </si>
  <si>
    <t>AE059-C591-AN10</t>
  </si>
  <si>
    <t>LPLHA00006</t>
  </si>
  <si>
    <t>Brim Pendant-245
 ITEM NO: AE059-C591-AN10
 8.3*8.3*9.3 cm
 Dia. 245mm, H 4216mm</t>
  </si>
  <si>
    <t>Đèn thả Brim 245, HAY, model  AE059-C591-AN10, kích thước 8.3x8.3x9.3 cm, bằng thủy tinh, màu Smoked grey glass</t>
  </si>
  <si>
    <t>AE059-C591-AN09</t>
  </si>
  <si>
    <t>LPLHA00007</t>
  </si>
  <si>
    <t>Brim Pendant-245
 ITEM NO: AE059-C591-AN09
 8.3*8.3*9.3 cm
 Dia. 245mm, H 4216mm</t>
  </si>
  <si>
    <t>Đèn thả Brim 245, HAY, model  AE059-C591-AN09, kích thước 8.3x8.3x9.3 cm, bằng thủy tinh, màu Bottle green glass</t>
  </si>
  <si>
    <t>AC457-A668-AB27</t>
  </si>
  <si>
    <t>ACCHA00284</t>
  </si>
  <si>
    <t>Bolt Hook Set of 2
 Color Red
 SET OF 2 | W2.8 X D2.8 X H3.7 CM
 MOQ: 6 set/order</t>
  </si>
  <si>
    <t>Bộ 2 móc treo tường Bolt Hook, HAY, model AC457-A668-AB27, kích thước W2.8 X D2.8 X H3.7 CM, bằng kim loại, màu đỏ</t>
  </si>
  <si>
    <t>AC457-A668-AB80</t>
  </si>
  <si>
    <t>ACCHA00285</t>
  </si>
  <si>
    <t>Bolt Hook Set of 2
 Color Green
 SET OF 2 | W2.8 X D2.8 X H3.7 CM
 MOQ: 6 set/order</t>
  </si>
  <si>
    <t>Bộ 2 móc treo tường Bolt Hook, HAY, model AC457-A668-AB80, kích thước W2.8 X D2.8 X H3.7 CM, bằng kim loại, màu xanh lục</t>
  </si>
  <si>
    <t>AC457-A668-AB85</t>
  </si>
  <si>
    <t>ACCHA00286</t>
  </si>
  <si>
    <t>Bolt Hook Set of 2
 Color Light grey 
 SET OF 2 | W2.8 X D2.8 X H3.7 CM
 MOQ: 6 set/order</t>
  </si>
  <si>
    <t>Bộ 2 móc treo tường Bolt Hook, HAY, model AC457-A668-AB85, kích thước W2.8 X D2.8 X H3.7 CM, bằng kim loại, màu trắng</t>
  </si>
  <si>
    <t>AC457-A668-AB96</t>
  </si>
  <si>
    <t>ACCHA00287</t>
  </si>
  <si>
    <t>Bolt Hook Set of 2
 Color Blue
 SET OF 2 | W2.8 X D2.8 X H3.7 CM
 MOQ: 6 set/order</t>
  </si>
  <si>
    <t>Bộ 2 móc treo tường Bolt Hook, HAY, model AC457-A668-AB96, kích thước W2.8 X D2.8 X H3.7 CM, bằng kim loại, màu xanh dương</t>
  </si>
  <si>
    <t>AC457-A668-AC65</t>
  </si>
  <si>
    <t>ACCHA00288</t>
  </si>
  <si>
    <t>Bolt Hook Set of 2
 Color Dark brown
 SET OF 2 | W2.8 X D2.8 X H3.7 CM
 MOQ: 6 set/order</t>
  </si>
  <si>
    <t>Bộ 2 móc treo tường Bolt Hook, HAY, model AC457-A668-AC65, kích thước W2.8 X D2.8 X H3.7 CM, bằng kim loại, màu dark brown</t>
  </si>
  <si>
    <t>AE367-A601-AC37</t>
  </si>
  <si>
    <t>ACCHA00289</t>
  </si>
  <si>
    <t>Tape Coat Rack-Small-Charcoal
 W49.5*D5.5*H22cm</t>
  </si>
  <si>
    <t>Giá treo gắn tường Tape Coat Rack, HAY, model AE367-A601-AC37, kích thước W49.5xD5.5xH22cm, bằng kim loại, màu charcoal</t>
  </si>
  <si>
    <t>AE367-A601-AO57</t>
  </si>
  <si>
    <t>ACCHA00290</t>
  </si>
  <si>
    <t>Tape Coat Rack-Small-Metallic grey
 W49.5*D5.5*H22cm</t>
  </si>
  <si>
    <t>Giá treo gắn tường Tape Coat Rack, HAY, model AE367-A601-AO57, kích thước W49.5xD5.5xH22cm, bằng kim loại, màu Metallic grey</t>
  </si>
  <si>
    <t>ACCHA00291</t>
  </si>
  <si>
    <t>Dish Drainer Tray
 Light Blue(1Box=6Pcs)
 W9.5 X D29.5 X H10 CM</t>
  </si>
  <si>
    <t>Khay đựng Drainer, HAY, model 506543, kích thước W9.5 X D29.5 X H10 CM, bằng nhựa, dùng để chứa đồ gia dụng, màu light blue</t>
  </si>
  <si>
    <t>ACCHA00292</t>
  </si>
  <si>
    <t>Dish Drainer Rack
 Anthracite(1Box=6Pcs)
 W9,5 X L29,5 X H10 CM</t>
  </si>
  <si>
    <t>Giá ngăn Drainer Rack, HAY, model 506542, kích thước W9,5 X L29,5 X H10 CM, bằng kim loại, dùng để chứa đồ trang trí, màu anthracite</t>
  </si>
  <si>
    <t>ACCHA00293</t>
  </si>
  <si>
    <t>Candy Stripe XL--2022 IS
 Blue, red and white(1 box =24pcs)</t>
  </si>
  <si>
    <t>Túi Candy Stripe XL --2022 IS, HAY, model 541437, bằng vải, màu xanh, đỏ và trắng</t>
  </si>
  <si>
    <t>AB386-A682</t>
  </si>
  <si>
    <t>ACCHA00294</t>
  </si>
  <si>
    <t>Everyday Tote Bag-Olive
 W30 X D14 X H38 CM
 MOQ: 4pcs/order</t>
  </si>
  <si>
    <t>Túi Everyday Tote Bag, HAY, model AB386-A682, kích thước W30 X D14 X H38 CM, bằng vải, màu olive.</t>
  </si>
  <si>
    <t>AB386-A751</t>
  </si>
  <si>
    <t>ACCHA00295</t>
  </si>
  <si>
    <t>Everyday Tote Bag-Red
 W30 X D14 X H38 CM
 MOQ: 4pcs/order</t>
  </si>
  <si>
    <t>Túi Everyday Tote Bag, HAY, model AB386-A751, kích thước W30 X D14 X H38 CM, bằng vải, màu đỏ.</t>
  </si>
  <si>
    <t>AB386-A865</t>
  </si>
  <si>
    <t>ACCHA00296</t>
  </si>
  <si>
    <t>Everyday Tote Bag-Natural
 W30 X D14 X H38 CM
 MOQ: 4pcs/order</t>
  </si>
  <si>
    <t>Túi Everyday Tote Bag, HAY, model AB386-A865, kích thước W30 X D14 X H38 CM, bằng vải, màu natural.</t>
  </si>
  <si>
    <t>AB386-A938</t>
  </si>
  <si>
    <t>ACCHA00297</t>
  </si>
  <si>
    <t>Everyday Tote Bag-Aqua
 W30 X D14 X H38 CM
 MOQ: 4pcs/order</t>
  </si>
  <si>
    <t>Túi Everyday Tote Bag, HAY, model AB386-A938, kích thước W30 X D14 X H38 CM, bằng vải, màu aqua.</t>
  </si>
  <si>
    <t>AB386-B629</t>
  </si>
  <si>
    <t>ACCHA00298</t>
  </si>
  <si>
    <t>Everyday Tote Bag-Mango
 W30 X D14 X H38 CM
 MOQ: 4pcs/order</t>
  </si>
  <si>
    <t>Túi Everyday Tote Bag, HAY, model AB386-B629, kích thước W30 X D14 X H38 CM, bằng vải, màu mango.</t>
  </si>
  <si>
    <t>AB386-B630</t>
  </si>
  <si>
    <t>ACCHA00299</t>
  </si>
  <si>
    <t>Everyday Tote Bag-Cool pink
 W30 X D14 X H38 CM
 MOQ: 4pcs/order</t>
  </si>
  <si>
    <t>Túi Everyday Tote Bag, HAY, model AB386-B630, kích thước W30 X D14 X H38 CM, bằng vải, màu cool pink.</t>
  </si>
  <si>
    <t>AD566-A586</t>
  </si>
  <si>
    <t>ACCHA00300</t>
  </si>
  <si>
    <t>HAY Logo Tote Bag – Black
 W37 x L40 CM
 MOQ: 4 pcs/order</t>
  </si>
  <si>
    <t>Túi Tote bag logo HAY, model AD566-A586, kích thước W37 x L40 CM, bằng vải, sọc đen.</t>
  </si>
  <si>
    <t>AD566-A872</t>
  </si>
  <si>
    <t>ACCHA00301</t>
  </si>
  <si>
    <t>HAY Logo Tote Bag – Burgundy
 W37 x L40 CM</t>
  </si>
  <si>
    <t>Túi Tote bag logo HAY, model AD566-A872, kích thước W37 x L40 CM, bằng vải, sọc burgundy.</t>
  </si>
  <si>
    <t>AD567-A586</t>
  </si>
  <si>
    <t>ACCHA00302</t>
  </si>
  <si>
    <t>HAY Logo Weekend Bag – Black
 W53 x D37 x H38 CM
 MOQ: 4 pcs/order</t>
  </si>
  <si>
    <t>Túi Weekend bag, HAY, model AD567-A586, kích thước W53 x D37 x H38 CM, bằng vải, sọc đen.</t>
  </si>
  <si>
    <t>AD567-A872</t>
  </si>
  <si>
    <t>ACCHA00303</t>
  </si>
  <si>
    <t>HAY Logo Weekend Bag – Burgundy
 W53 x D37 x H38 CM
 MOQ: 4 pcs/order</t>
  </si>
  <si>
    <t>Túi Weekend bag, HAY, model AD567-A872, kích thước W53 x D37 x H38 CM, bằng vải, sọc burgundy.</t>
  </si>
  <si>
    <t>AD569-B629</t>
  </si>
  <si>
    <t>ACCHA00304</t>
  </si>
  <si>
    <t>HAY Tote Bag-Mango--2024SS IS
 W37 X H40 CM
 MOQ: 12pcs/order</t>
  </si>
  <si>
    <t>Túi Tote Bag, HAY, model AD569-B629, kích thước w37 x h40 cm, bằng vải, màu mango.</t>
  </si>
  <si>
    <t>AD569-D009</t>
  </si>
  <si>
    <t>ACCHA00305</t>
  </si>
  <si>
    <t>HAY Tote Bag-Poppy red--2024SS IS
 MOQ: 12pcs/order</t>
  </si>
  <si>
    <t>Túi Tote Bag, HAY, model AD569-D009, kích thước W37 X H40 CM, bằng vải, màu poppy red.</t>
  </si>
  <si>
    <t>AB311-A586</t>
  </si>
  <si>
    <t>ACCHA00306</t>
  </si>
  <si>
    <t>Table Clock-Black
 W13 x D8 x H14.5 CM
 MOQ: 2pcs</t>
  </si>
  <si>
    <t>Đồng hồ Table Clock, HAY, model AB311-A586, kích thước W13 x D8 x H14.5 CM, bằng nhựa và nhôm, màu đen.</t>
  </si>
  <si>
    <t>AB311-A587</t>
  </si>
  <si>
    <t>ACCHA00307</t>
  </si>
  <si>
    <t>Table Clock-Green
 W13 x D8 x H14.5 CM
 MOQ: 2pcs</t>
  </si>
  <si>
    <t>Đồng hồ Table Clock, HAY, model AB311-A587, kích thước W13 x D8 x H14.5 CM, bằng nhựa và nhôm, màu xanh lục.</t>
  </si>
  <si>
    <t>AB311-A605</t>
  </si>
  <si>
    <t>ACCHA00308</t>
  </si>
  <si>
    <t>Table Clock-White
 W13 x D8 x H14.5 CM
 MOQ: 2pcs</t>
  </si>
  <si>
    <t>Đồng hồ Table Clock, HAY, model AB311-A605, kích thước W13 x D8 x H14.5 CM, bằng nhựa và nhôm, màu trắng.</t>
  </si>
  <si>
    <t>AB311-A656</t>
  </si>
  <si>
    <t>ACCHA00309</t>
  </si>
  <si>
    <t>Table Clock-Blue
 W13 x D8 x H14.5 CM
 MOQ: 2pcs</t>
  </si>
  <si>
    <t>Đồng hồ Table Clock, HAY, model AB311-A656, kích thước W13 x D8 x H14.5 CM, bằng nhựa và nhôm, màu xanh dương.</t>
  </si>
  <si>
    <t>AD568-A586</t>
  </si>
  <si>
    <t>ACCHA00310</t>
  </si>
  <si>
    <t>HAY Logo Laptop Cover – Black
 W35 x D1.5 x H26 CM
 MOQ: 4pcs/order</t>
  </si>
  <si>
    <t>Túi Laptop cover, HAY, model AD568-A586, kích thước W35 x D1.5 x H26 CM, bằng vải, màu đen.</t>
  </si>
  <si>
    <t>AD568-A872</t>
  </si>
  <si>
    <t>ACCHA00311</t>
  </si>
  <si>
    <t>HAY Logo Laptop Cover – Burgundy
 W35 x D1.5 x H26 CM
 MOQ: 4pcs/order</t>
  </si>
  <si>
    <t>Túi Laptop cover, HAY, model AD568-A872, kích thước W35 x D1.5 x H26 CM, bằng vải, màu burgundy.</t>
  </si>
  <si>
    <t>AD869-A602-AB27</t>
  </si>
  <si>
    <t>ACCHA00312</t>
  </si>
  <si>
    <t>Slice Chopping Board-Medium-Red--2024SS IS
 L30*W20*H2cm, 6Pcs/CTN</t>
  </si>
  <si>
    <t>Tấm nhựa dạng thớt Slice Board size M, HAY, model AD869-A602-AB27, kích thước L30*W20*H2cm, bằng PC, dùng để trang trí, màu Red.</t>
  </si>
  <si>
    <t>AD869-A602-AB80</t>
  </si>
  <si>
    <t>ACCHA00313</t>
  </si>
  <si>
    <t>Slice Chopping Board-Medium-Green--2024SS IS
 L30*W20*H2cm, 6Pcs/CTN</t>
  </si>
  <si>
    <t>Tấm nhựa dạng thớt Slice Board size M, HAY, model AD869-A602-AB80, kích thước L30*W20*H2cm, bằng PC, dùng để trang trí, màu Green.</t>
  </si>
  <si>
    <t>AD869-A603-AE77</t>
  </si>
  <si>
    <t>ACCHA00314</t>
  </si>
  <si>
    <t>Slice Chopping Board-Large-Dark green--2024SS IS
 L38*W25*H2cm, 4Pcs/CTN</t>
  </si>
  <si>
    <t>Tấm nhựa dạng thớt Slice board size L, HAY, model AD869-A603-AE77, kích thước L38xW25xH2cm, bằng PC, dùng để trang trí, màu dark green.</t>
  </si>
  <si>
    <t>AD869-A603-AE89</t>
  </si>
  <si>
    <t>ACCHA00315</t>
  </si>
  <si>
    <t>Slice Chopping Board-Large-Dark blue--2024SS IS
 L38*W25*H2cm, 4Pcs/CTN</t>
  </si>
  <si>
    <t>Tấm nhựa dạng thớt Slice board size L, HAY, model AD869-A603-AE89, kích thước L38xW25xH2cm, bằng PC, dùng để trang trí, màu dark blue.</t>
  </si>
  <si>
    <t>ACCHA00316</t>
  </si>
  <si>
    <t>HAY Colour Crate Lid M
 Off-white (1Box=6Pcs)
 M | W26.5 X D34.5 X H1.5 CM</t>
  </si>
  <si>
    <t>Miếng phủ Colour Crate Lid, size M, HAY, model 542594, kích thước W26.5 X D34.5 X H1.5 CM, bằng kim loại, dùng đậy hộp đa năng, màu off-white.</t>
  </si>
  <si>
    <t>ACCHA00317</t>
  </si>
  <si>
    <t>HAY Colour Crate Lid M
 Red (1Box=6Pcs)
 M | W26.5 X D34.5 X H1.5 CM</t>
  </si>
  <si>
    <t>Miếng phủ Colour Crate Lid, size M, HAY, model 542598, kích thước W26.5 X D34.5 X H1.5 CM, bằng kim loại,  dùng để đậy hộp đa năng, màu red.</t>
  </si>
  <si>
    <t>ACCHA00318</t>
  </si>
  <si>
    <t>HAY Colour Crate Wheels M Set of 4
 Color: grey
 MOQ: 6 set/pkg
 M SET OF 4 | W3 X D6.5 X H9 CM</t>
  </si>
  <si>
    <t>Bộ 4 bánh xe Crate wheels size M, HAY, model 542684, kích thước W3 X D6.5 X H9 CM.</t>
  </si>
  <si>
    <t>AE358-A668-AC74</t>
  </si>
  <si>
    <t>ACCHA00319</t>
  </si>
  <si>
    <t>HAY Colour Crate Mini-Set of 2-Dusty rose
 ITEM NO: AE358-A668-AC74
 (1box=6sets)
 W13 x L17 x H8 CM</t>
  </si>
  <si>
    <t>Bộ 2 hộp đa năng Colour Crate Mini, HAY, model AE358-A668-AC74, kích thước W13 x L17 x H8 CM, bằng nhựa, màu dusty rose.</t>
  </si>
  <si>
    <t>39249090</t>
  </si>
  <si>
    <t>AE358-A668-AC69</t>
  </si>
  <si>
    <t>ACCHA00320</t>
  </si>
  <si>
    <t>HAY Colour Crate Mini-Set of 2-Dark mint
 ITEM NO: AE358-A668-AC69
 (1box=6sets)
 W13 x L17 x H8 CM</t>
  </si>
  <si>
    <t>Bộ 2 hộp đa năng Colour Crate Mini, HAY, model AE358-A668-AC69, kích thước W13 x L17 x H8 CM, bằng nhựa, màu dark mint.</t>
  </si>
  <si>
    <t>AE358-A668-AB27</t>
  </si>
  <si>
    <t>ACCHA00321</t>
  </si>
  <si>
    <t>HAY Colour Crate Mini-Set of 2-Red
 ITEM NO: AE358-A668-AB27
 (1box=6sets)
 W13 x L17 x H8 CM</t>
  </si>
  <si>
    <t>Bộ 2 hộp đa năng Colour Crate Mini, HAY, model AE358-A668-AB27, kích thước W13 x L17 x H8 CM, bằng nhựa, màu đỏ.</t>
  </si>
  <si>
    <t>AB318-A276-AB35</t>
  </si>
  <si>
    <t>LPLHA00003</t>
  </si>
  <si>
    <t>PAPER SHADE
 CLASSIC WHITE
 Ø80 | Ø80 X H76,5 CM
 MOQ: 18 pcs</t>
  </si>
  <si>
    <t>Đèn Thả RICE PAPER SHADE, DI80 X H76.5 cm, Bằng Giấy Tre và Thép, Màu Trắng Classic White, không kèm bóng.</t>
  </si>
  <si>
    <t>AB318-D693-AB35</t>
  </si>
  <si>
    <t>LPLHA00008</t>
  </si>
  <si>
    <t>PAPER SHADE
 CLASSIC WHITE
 Ø80 | Ø80 x H76,5 CM
 DONUT</t>
  </si>
  <si>
    <t>Đèn Thả RICE PAPER SHADE DONUT, DI80 X H76.5 cm, Bằng Giấy Tre và Thép, Màu Trắng Classic White, không kèm bóng.</t>
  </si>
  <si>
    <t>AB318-B008-AB35</t>
  </si>
  <si>
    <t>LPLHA00009</t>
  </si>
  <si>
    <t>PAPER SHADE
 CLASSIC WHITE
 Ø42 X H50 CM
 OBLONG</t>
  </si>
  <si>
    <t>Đèn Thả RICE PAPER SHADE OBLONG, Ø42 X H50 CM, Bằng Giấy Tre và Thép, Màu Trắng Classic White, không kèm bóng.</t>
  </si>
  <si>
    <t>AE372-A994</t>
  </si>
  <si>
    <t>ACCHA00322</t>
  </si>
  <si>
    <t>Tool Box (Recycled)-Lavender
 ITEM NO: AE372-A994
 L304*W211mm
 L304*W211mm(1box=4pcs)</t>
  </si>
  <si>
    <t>Hộp Dụng Cụ TOOL BOX, HAY, model AE372-A994, kích thước  L30.5 X W21 X H14.5 cm, Bằng ABS PLASTIC, Màu lavender.</t>
  </si>
  <si>
    <t>AE372-A660</t>
  </si>
  <si>
    <t>ACCHA00323</t>
  </si>
  <si>
    <t>Tool Box (Recycled)-Mint
 ITEM NO: AE372-A660
 L304*W211mm
 L304*W211mm(1box=4pcs)</t>
  </si>
  <si>
    <t>Hộp Dụng Cụ TOOL BOX, HAY, model AE372-A660, kích thước  L30.5 X W21 X H14.5 cm, Bằng ABS PLASTIC, Màu mint.</t>
  </si>
  <si>
    <t>AE360-D292-AO74</t>
  </si>
  <si>
    <t>ACCHA00324</t>
  </si>
  <si>
    <t>Tin Container-Slim-Green and off-white
 ITEM NO: AE360-D292-AO74
 108*78*295mm
 108*78*295mm(1box=6pcs)</t>
  </si>
  <si>
    <t>Hộp Tin Container - slim, HAY, model AE360-D292-AO74, kích thước 108x78x295mm, bằng thép, màu green và off-white.</t>
  </si>
  <si>
    <t>AE360-A907-AO75</t>
  </si>
  <si>
    <t>ACCHA00325</t>
  </si>
  <si>
    <t>Tin Container-Round-Red and soft pink
 ITEM NO: AE360-A907-AO75
 Ф198*73mm
 Ф198*73mm(1box=6pcs)</t>
  </si>
  <si>
    <t>Hộp Tin Container - round, HAY, model AE360-D907-AO75, kích thước Ф198x73mm, bằng thép, màu red và soft pink.</t>
  </si>
  <si>
    <t>AE360-A604-AO73</t>
  </si>
  <si>
    <t>ACCHA00326</t>
  </si>
  <si>
    <t>Tin Container-X-Large-Off-white, blue and red
 ITEM NO: AE360-A604-AO73
 200*100*240mm
 200*100*240mm(1box=6pcs)</t>
  </si>
  <si>
    <t>Hộp Tin Container - X large, HAY, model AE360-D604-AO73, kích thước 200x100x240mm, bằng thép, màu off-white, blue và red.</t>
  </si>
  <si>
    <t>AE360-A603-AO72</t>
  </si>
  <si>
    <t>ACCHA00327</t>
  </si>
  <si>
    <t>Tin Container-Large-Blue and off-white
 ITEM NO: AE360-A603-AO72
 170*111*200mm
 170*111*200mm(1box=6pcs)</t>
  </si>
  <si>
    <t>Hộp Tin Container - large, HAY, model AE360-D603-AO72, kích thước 170x111x200mm, bằng thép, màu off-white, blue.</t>
  </si>
  <si>
    <t>AE360-A602-AO7</t>
  </si>
  <si>
    <t>ACCHA00328</t>
  </si>
  <si>
    <t>Tin Container-Medium-Black and off-white
 ITEM NO: AE360-A602-AO71
 200*100*125mm
 200*100*125mm(1box=6pcs)</t>
  </si>
  <si>
    <t>Hộp Tin Container - medium, HAY, model AE360-D602-AO71, kích thước 200x100x125mm, bằng thép, màu off-white và black.</t>
  </si>
  <si>
    <t>AE360-A601-AO70</t>
  </si>
  <si>
    <t>ACCHA00329</t>
  </si>
  <si>
    <t>Tin Container-Small-Dark Blue &amp; Lavender
 ITEM NO: AE360-A601-AO70
 170*111*73mm
 170*111*73mm(1box=6pcs)</t>
  </si>
  <si>
    <t>Hộp Tin Container - small, HAY, model AE360-D601-AO70, kích thước 170x111x73mm, bằng thép, màu dark blue và lavender.</t>
  </si>
  <si>
    <t>AE360-A601-AO69</t>
  </si>
  <si>
    <t>ACCHA00330</t>
  </si>
  <si>
    <t>Tin Container-Small-Green and dark blue
 ITEM NO: AE360-A601-AO69
 170*111*73mm
 170*111*73mm(1box=6pcs)</t>
  </si>
  <si>
    <t>Hộp Tin Container - small, HAY, model AE360-D601-AO69, kích thước 170x111x73mm, bằng thép, màu dark blue và green.</t>
  </si>
  <si>
    <t>AE358-A668-AF16</t>
  </si>
  <si>
    <t>ACCHA00331</t>
  </si>
  <si>
    <t>HAY Colour Crate Mini-Set of 2-Electric blue
 ITEM NO: AE358-A668-AF16
 (1box=6sets)
 W13 x L17 x H8 CM</t>
  </si>
  <si>
    <t>Bộ 2 hộp đa năng Colour Crate Mini, HAY, model AE358-A668-AF16, kích thước W13 x L17 x H8 CM, bằng nhựa, màu electric blue.</t>
  </si>
  <si>
    <t>AE358-A668-AC68</t>
  </si>
  <si>
    <t>ACCHA00332</t>
  </si>
  <si>
    <t>HAY Colour Crate Mini-Set of 2-Blush
 ITEM NO: AE358-A668-AC68
 (1box=6sets)
 W13 x L17 x H8 CM</t>
  </si>
  <si>
    <t>Bộ 2 hộp đa năng Colour Crate Mini, HAY, model AE358-A668-AC68, kích thước W13 x L17 x H8 CM, bằng nhựa, màu blush.</t>
  </si>
  <si>
    <t>AE358-A668-AB97</t>
  </si>
  <si>
    <t>ACCHA00333</t>
  </si>
  <si>
    <t>HAY Colour Crate Mini-Set of 2-Mint
 ITEM NO: AE358-A668-AB97
 (1box=6sets)
 W13 x L17 x H8 CM</t>
  </si>
  <si>
    <t>Bộ 2 hộp đa năng Colour Crate Mini, HAY, model AE358-A668-AB97, kích thước W13 x L17 x H8 CM, bằng nhựa, màu mint.</t>
  </si>
  <si>
    <t>AE358-A668-AB90</t>
  </si>
  <si>
    <t>ACCHA00334</t>
  </si>
  <si>
    <t>HAY Colour Crate Mini-Set of 2-Off-white
 ITEM NO: AE358-A668-AB90
 (1box=6sets)
 W13 x L17 x H8 CM</t>
  </si>
  <si>
    <t>Bộ 2 hộp đa năng Colour Crate Mini, HAY, model AE358-A668-AB90, kích thước W13 x L17 x H8 CM, bằng nhựa, màu off-white.</t>
  </si>
  <si>
    <t>AE358-A668-AB85</t>
  </si>
  <si>
    <t>ACCHA00335</t>
  </si>
  <si>
    <t>HAY Colour Crate Mini-Set of 2-Light grey
 ITEM NO: AE358-A668-AB85
 (1box=6sets)
 W13 x L17 x H8 CM</t>
  </si>
  <si>
    <t>Bộ 2 hộp đa năng Colour Crate Mini, HAY, model AE358-A668-AB85, kích thước W13 x L17 x H8 CM, bằng nhựa, màu light grey.</t>
  </si>
  <si>
    <t>AE358-A668-AB78</t>
  </si>
  <si>
    <t>ACCHA00336</t>
  </si>
  <si>
    <t>HAY Colour Crate Mini-Set of 2-Lavender
 ITEM NO: AE358-A668-AB78
 (1box=6sets)
 W13 x L17 x H8 CM</t>
  </si>
  <si>
    <t>Bộ 2 hộp đa năng Colour Crate Mini, HAY, model AE358-A668-AB78, kích thước W13 x L17 x H8 CM, bằng nhựa, màu lavender.</t>
  </si>
  <si>
    <t>PO-NU-2024-07-210824-SHOWROOM</t>
  </si>
  <si>
    <t>V119715</t>
  </si>
  <si>
    <t>LPLVP00006</t>
  </si>
  <si>
    <t>Pantop Ø23 Pendant
 Dark Green
 H: 16,6 cm (6.5”)
 Ø23 cm (9”)
 Cord: 250cm</t>
  </si>
  <si>
    <t>Đèn thả Pantop, Verpan, model V119715, Ø23x H 16.6 cm, bằng kim loại, màu Dark Green</t>
  </si>
  <si>
    <t>133130A151</t>
  </si>
  <si>
    <t>LTLAT00021</t>
  </si>
  <si>
    <t>Setago JH27, 
 Rust &amp; Thunder
 Base Ø: 18cm / 7in, Shade Ø: 23cm/9in, H: 22cm / 8in</t>
  </si>
  <si>
    <t>Đèn trang trí Setago JH27, &amp;tradition, model 133130A151, Ø 23cmx H 22 cm, màu
Rust &amp; Thunder</t>
  </si>
  <si>
    <t>133082A182</t>
  </si>
  <si>
    <t>LPLAT00014</t>
  </si>
  <si>
    <t>Flowerpot VP1
 DI23 x C16cm
 Vermilion Red</t>
  </si>
  <si>
    <t>Đèn thả Flowerpot VP1,  &amp;Tradition, model 133082A182 , DK23 x C16cm, bằng kim loại, màu đỏ Vermilion Red</t>
  </si>
  <si>
    <t>133082A178</t>
  </si>
  <si>
    <t>LPLAT00015</t>
  </si>
  <si>
    <t>Flowerpot VP1
 DI23 x C16cm 
 Cobalt Blue</t>
  </si>
  <si>
    <t>Đèn thả Flowerpot VP1, &amp;Tradition, model 133082A178, DK23 x C16cm, bằng kim loại, màu Cobalt Blue</t>
  </si>
  <si>
    <t>Flowerpot VP1
 DI23 x C16cm
 Swim Blue</t>
  </si>
  <si>
    <t>SC-LPS-01-120324-CAM&amp;150Y-STOCK</t>
  </si>
  <si>
    <t>PO-LPS-01-120324-CAM&amp;150Y-STOCK</t>
  </si>
  <si>
    <t>PH Artichoke Ø600mm</t>
  </si>
  <si>
    <t>5741109825</t>
  </si>
  <si>
    <t>LPLLP00056</t>
  </si>
  <si>
    <t>PH ARTICHOKE Ø600 150 YEAR
WHITE &amp; BRASS PVD 600
LIGHT SOURCE: E27/E26, WITH REMOVABLE BULB.</t>
  </si>
  <si>
    <t>1019010789</t>
  </si>
  <si>
    <t>SDK0110158</t>
  </si>
  <si>
    <t>29/10/2024</t>
  </si>
  <si>
    <t>106682803360</t>
  </si>
  <si>
    <t>Lô 37</t>
  </si>
  <si>
    <t xml:space="preserve">PH 5 ANNIVERSARY EDITION
Size: Ø500x267 mm
WHITE &amp; BRASS PVD 
</t>
  </si>
  <si>
    <t>SC-LPS-04-241024-DH-0002344</t>
  </si>
  <si>
    <t>PH 5 Mini Ø300mm Pendant</t>
  </si>
  <si>
    <t>LPLLP00010</t>
  </si>
  <si>
    <t>PH 5 Mini, Hues of rose
D300 x H163 mm</t>
  </si>
  <si>
    <t>1019011406</t>
  </si>
  <si>
    <t>28/10/2024</t>
  </si>
  <si>
    <t>7796 3853 2090</t>
  </si>
  <si>
    <t>Fedex</t>
  </si>
  <si>
    <t>Hàng MKT và hàng claim</t>
  </si>
  <si>
    <t>USMUS-14266.24</t>
  </si>
  <si>
    <t>USM Haller, door without fittings,
 500x350mm, pure white</t>
  </si>
  <si>
    <t>102086256</t>
  </si>
  <si>
    <t>632-12720003</t>
  </si>
  <si>
    <t>20/11/2024</t>
  </si>
  <si>
    <t>106740764800</t>
  </si>
  <si>
    <t>11/22/2024</t>
  </si>
  <si>
    <t xml:space="preserve">Khay đựng vật dụng văn phòng USM Haller, model 14266.24, kích thước 500x350mm, bằng kim loại, màu trắng, mới 100%																										
																										</t>
  </si>
  <si>
    <t>Lô 38</t>
  </si>
  <si>
    <t>USMUS-16187.34</t>
  </si>
  <si>
    <t>USM Haller, metal panel, 350x175mm, steel blue</t>
  </si>
  <si>
    <t>USMUS-18450</t>
  </si>
  <si>
    <t>USM Haller Soft close kit for hinge</t>
  </si>
  <si>
    <t>USMUS-18473</t>
  </si>
  <si>
    <t>USM Haller, fitting set for hinge type B to drop-down door</t>
  </si>
  <si>
    <t>USMUS-40608</t>
  </si>
  <si>
    <t>USM-SPL-00078</t>
  </si>
  <si>
    <t>Notepad</t>
  </si>
  <si>
    <t>USMUS-40957</t>
  </si>
  <si>
    <t>MKTUS00227</t>
  </si>
  <si>
    <t>USM tube frame 175/250, incl. metal panel, Pure white</t>
  </si>
  <si>
    <t>USMUS-40963</t>
  </si>
  <si>
    <t>USM tube frame 175/250, incl. metal panel, ruby red</t>
  </si>
  <si>
    <t>USMUS-40966</t>
  </si>
  <si>
    <t>MKTUS00217</t>
  </si>
  <si>
    <t>USM tube frame 175/250, incl. metal panel, green</t>
  </si>
  <si>
    <t>USMUS-40967</t>
  </si>
  <si>
    <t>MKTUS00213</t>
  </si>
  <si>
    <t>USM tube frame 175/250, incl. metal panel, Golden yellow</t>
  </si>
  <si>
    <t>USMUS-40968</t>
  </si>
  <si>
    <t>MKTUS00207</t>
  </si>
  <si>
    <t>USM tube frame 175/250, incl. metal panel, beige</t>
  </si>
  <si>
    <t>USMUS-40970</t>
  </si>
  <si>
    <t>MKTUS00225</t>
  </si>
  <si>
    <t>USM tube frame 175/250, incl. metal panel, Pure orange</t>
  </si>
  <si>
    <t>USMUS-41370</t>
  </si>
  <si>
    <t>MKTUS00335</t>
  </si>
  <si>
    <t>Tube frame olive green 175/250</t>
  </si>
  <si>
    <t>SC-USM-2024-04-
240924 ; SC-USM-05-151024-DH-
0002475&amp;DH0002467</t>
  </si>
  <si>
    <t>PO-USM-05-151024-DH-0002475</t>
  </si>
  <si>
    <t>15/10/2024</t>
  </si>
  <si>
    <t>USMUS-16177.30</t>
  </si>
  <si>
    <t>USM Haller, metal panel, with holes, 350x175 mm, graphite black</t>
  </si>
  <si>
    <t>21/11/2024</t>
  </si>
  <si>
    <t>Lô 39</t>
  </si>
  <si>
    <t>USMUS-16187.30</t>
  </si>
  <si>
    <t>USM Haller, metal panel, 350x175 mm, graphite black</t>
  </si>
  <si>
    <t>USMUS-16190.30</t>
  </si>
  <si>
    <t>USM Haller, metal panel, 750x175 mm, graphite black</t>
  </si>
  <si>
    <t>USMUS-16853.30</t>
  </si>
  <si>
    <t>USM Haller, door without fittings, 750x175 mm, graphite black</t>
  </si>
  <si>
    <t>USMUS-15523.24</t>
  </si>
  <si>
    <t>USM Haller, angled shelf lift-up with catch, 750 mm, pure white</t>
  </si>
  <si>
    <t>USMUS-15532</t>
  </si>
  <si>
    <t>USM Haller, fitting set for angled shelf</t>
  </si>
  <si>
    <t>USMUS-11726.24</t>
  </si>
  <si>
    <t>USM Haller, metal panel, perforated, 500x350 mm, pure white</t>
  </si>
  <si>
    <t>USMUS-11727.24</t>
  </si>
  <si>
    <t>USM Haller, metal panel, perforated, 350x350mm, pure white</t>
  </si>
  <si>
    <t>USMUS-10734</t>
  </si>
  <si>
    <t>USM Haller, tube, 250 mm</t>
  </si>
  <si>
    <t>USMUS-11067.23</t>
  </si>
  <si>
    <t>USM Haller, extension shelf without fittings, 750x500 mm, USM ruby red</t>
  </si>
  <si>
    <t>USMUS-11203.23</t>
  </si>
  <si>
    <t>USM Haller, metal panel, 750x500 mm, USM ruby red</t>
  </si>
  <si>
    <t>USMUS-11204.23</t>
  </si>
  <si>
    <t>USM Haller, metal panel, 500x500 mm, USM ruby red</t>
  </si>
  <si>
    <t>USMUS-11213.23</t>
  </si>
  <si>
    <t>USM Haller, metal panel, 750x250 mm, USM ruby red</t>
  </si>
  <si>
    <t>USM Haller, metal panel, 500x250 mm, USM ruby red</t>
  </si>
  <si>
    <t>USMUS-11215.23</t>
  </si>
  <si>
    <t>USM Haller, metal panel, with holes, 500x250 mm, USM ruby red</t>
  </si>
  <si>
    <t>USMUS-14110.23</t>
  </si>
  <si>
    <t>USM Haller, bracket left for extension shelf, 500 mm, USM ruby red</t>
  </si>
  <si>
    <t>USMUS-14111.23</t>
  </si>
  <si>
    <t>USM Haller, bracket right for extension shelf, 500 mm, USM ruby red</t>
  </si>
  <si>
    <t>USMUS-14264.23</t>
  </si>
  <si>
    <t>USM Haller, door without fittings, 750x250 mm, USM ruby red</t>
  </si>
  <si>
    <t>USMUS-15193.23</t>
  </si>
  <si>
    <t>USM Haller, metal panel, shortened, 750x500 mm, USM ruby red</t>
  </si>
  <si>
    <t>USMUS-16170</t>
  </si>
  <si>
    <t>USM Haller, tube, 150 mm</t>
  </si>
  <si>
    <t>USMUS-16178.23</t>
  </si>
  <si>
    <t>USM Haller, metal panel, with holes, 500x175 mm, USM ruby red</t>
  </si>
  <si>
    <t>USMUS-16189.23</t>
  </si>
  <si>
    <t>USM Haller, metal panel, 500x175 mm, USM ruby red</t>
  </si>
  <si>
    <t>USMUS-16190.23</t>
  </si>
  <si>
    <t>USM Haller, metal panel, 750x175 mm, USM ruby red</t>
  </si>
  <si>
    <t>USMUS-16853.23</t>
  </si>
  <si>
    <t>USM Haller, door without fittings, 750x175 mm, USM ruby red</t>
  </si>
  <si>
    <t>USMUS-18443</t>
  </si>
  <si>
    <t>USM Haller, hinge, 40 N</t>
  </si>
  <si>
    <t>USMUS-18459</t>
  </si>
  <si>
    <t>USM Haller, telescopic extension with end stop, left, 500 mm</t>
  </si>
  <si>
    <t>USMUS-18460</t>
  </si>
  <si>
    <t>USM Haller, telescopic extension with end stop, right, 500 mm</t>
  </si>
  <si>
    <t>USMUS-18475</t>
  </si>
  <si>
    <t>USM Haller, fitting set for extension door</t>
  </si>
  <si>
    <t>USMUS-18477</t>
  </si>
  <si>
    <t>USM Haller, fitting set for extension shelf (500/750 mm)</t>
  </si>
  <si>
    <t>SC-FLOS-2024-002</t>
  </si>
  <si>
    <t>PO-FLOS-02-240724-STOCK&amp;DH-0002293</t>
  </si>
  <si>
    <t>20/09/2024</t>
  </si>
  <si>
    <t>F3335009</t>
  </si>
  <si>
    <t>LPLFL00012</t>
  </si>
  <si>
    <t>Glo-Ball Ceiling/Wall Zero
 DI190 × H160 mm
 Glass
 Color: White</t>
  </si>
  <si>
    <t>2403007314</t>
  </si>
  <si>
    <t>20/24/117202</t>
  </si>
  <si>
    <t>24/10/2024</t>
  </si>
  <si>
    <t>26/10/2024</t>
  </si>
  <si>
    <t>29/11/2024</t>
  </si>
  <si>
    <t>ITALY</t>
  </si>
  <si>
    <t>Fading</t>
  </si>
  <si>
    <t>106766153430</t>
  </si>
  <si>
    <t>Đèn Trần/Tường GLO-BALL, DI190 × H160 mm, Bằng Thủy Tinh, Màu Trắng (White), không kèm bóng, mới 100%</t>
  </si>
  <si>
    <t>Lô 40</t>
  </si>
  <si>
    <t>F4190009 
 MIRROR</t>
  </si>
  <si>
    <t>LPLFL00010</t>
  </si>
  <si>
    <t>Mini Glo-Ball Ceiling/Wall Mirror
 DI60x112mm</t>
  </si>
  <si>
    <t>Đèn Trần/ Tường Mini Glo-Ball, D112 x H85 mm, Bằng Thủy Tinh, Màu trắng (White), không kèm bóng, mới 100%</t>
  </si>
  <si>
    <t>F3772033</t>
  </si>
  <si>
    <t>LFLFL00032</t>
  </si>
  <si>
    <t>Floor lamp LUMINATOR
 Ø600 x H1890 mm
 Color: Anthracite 
 Materials: metal</t>
  </si>
  <si>
    <t>Đèn Sàn LUMINATOR, Ø600 x H1890 mm, 12W 2700K, Bằng kim loại, Màu Anthracite, không kèm bóng, mới 100%</t>
  </si>
  <si>
    <t>F0300000</t>
  </si>
  <si>
    <t>LFLFL00038</t>
  </si>
  <si>
    <t>Floor lamp Arco
 2200x2400mm
 Materials: Stainless steel, aluminum</t>
  </si>
  <si>
    <t>Đèn Sàn ARCO LED, W2200/2150 x H2400 mm, Bằng Thép Steel/Alu/Marble, Màu Steel, không kèm bóng, mới 100%</t>
  </si>
  <si>
    <t>DH-0002293</t>
  </si>
  <si>
    <t>23/07/2024</t>
  </si>
  <si>
    <t>23/11/2024</t>
  </si>
  <si>
    <t>F1801033</t>
  </si>
  <si>
    <t>LFLFL00037</t>
  </si>
  <si>
    <t>Floor lamp Coordinates Floor
 ø380 mmx2000mm
 Materials: extruded aluminum, platinic silicone extruded opal</t>
  </si>
  <si>
    <t>Đèn trang trí COORDINATES FLOOR, DI380 x H2000 mm, Bằng Aluminum, Platinic Silicone, Màu bạc Argent, không kèm bóng, mới 100%</t>
  </si>
  <si>
    <t>F6604030</t>
  </si>
  <si>
    <t>LTLFL00044</t>
  </si>
  <si>
    <t>Table lamp TACCIA SMALL
 Ø373 x H485 mm
 Materials: glass, aluminum
 Color: Black</t>
  </si>
  <si>
    <t>Đèn Bàn TACCIA SMALL, Ø373 x H485 mm, 16W 2700K, Bằng Thủy Tinh, Aluminium, Màu Đen Black, không kèm bóng, mới 100%</t>
  </si>
  <si>
    <t>F6607030</t>
  </si>
  <si>
    <t>LTLFL00046</t>
  </si>
  <si>
    <t>Table lamp TACCIA (PMMA)
 Ø190x645mm
 Color: Black
 Materials: aluminum</t>
  </si>
  <si>
    <t>Đèn Bàn TACCIA (PMMA), Ø495x645mm, 28W 2700K, Bằng PMMA, Aluminium, Màu Đen Black, không kèm bóng, mới 100%</t>
  </si>
  <si>
    <t>Floor lamp Chiara Floor
 Ø320x1450mm
 Materials: stainless steel</t>
  </si>
  <si>
    <t>Đèn Sàn CHIARA F, Ø720 x L1450 mm, E27, Bằng Thép Stainless, Màu Trắng Viền Đen, không kèm bóng, mới 100%</t>
  </si>
  <si>
    <t>F6380030</t>
  </si>
  <si>
    <t>LTLFL00027</t>
  </si>
  <si>
    <t>Table lamp Snoopy
 394x369mm
 Color: Black
 Materials: metal</t>
  </si>
  <si>
    <t>Đèn Bàn SNOOPY, W392 x H369 mm, Bằng Kim Loại, Đá Marble, Chụp Màu Cam, Chân Màu Trắng, không kèm bóng, mới 100%</t>
  </si>
  <si>
    <t>F6380039</t>
  </si>
  <si>
    <t>LTLFL00047</t>
  </si>
  <si>
    <t>Table lamp Snoopy
 394x369mm
 Color: Green
 Materials: metal</t>
  </si>
  <si>
    <t>Thân đèn bàn Bon Jour,  Ø283x410mm, Màu chrome, Bằng nhựa polymethyl methacrylate, không kèm bóng, mới 100%</t>
  </si>
  <si>
    <t>F6380075</t>
  </si>
  <si>
    <t>LTLFL00026</t>
  </si>
  <si>
    <t>Table lamp Snoopy
 394x369mm
 Color: Orange
 Materials: metal</t>
  </si>
  <si>
    <t>Đèn trang trí Oblique, Ø155xH350 mm, Bằng aluminum, methacrylate, Màu xám Glossy grey, không kèm bóng, mới 100%</t>
  </si>
  <si>
    <t>F1032057</t>
  </si>
  <si>
    <t>SPAFL00034</t>
  </si>
  <si>
    <t>Body of Table lamp Bon Jour
 Ø283x410mm
 Color: chrome
 Materials:polymethyl methacrylate</t>
  </si>
  <si>
    <t>Đèn Bàn SNOOPY, W392 x H369 mm, Bằng Kim Loại, Đá Marble, Chụp Màu Đen (Black), Chân Màu Trắng, không kèm bóng, mới 100%</t>
  </si>
  <si>
    <t>09.8300.AH</t>
  </si>
  <si>
    <t>LTLFL00045</t>
  </si>
  <si>
    <t>Table lamp Oblique
 DI155x350mm
 Color: Glossy grey 
 Materials: aluminum, methacrylate</t>
  </si>
  <si>
    <t>DH-0002369</t>
  </si>
  <si>
    <t>27/08/2024</t>
  </si>
  <si>
    <t>15/01/2025</t>
  </si>
  <si>
    <t>F1854044</t>
  </si>
  <si>
    <t>LPLFL00062</t>
  </si>
  <si>
    <t>Coordinate S4
Size: 1762x922mm</t>
  </si>
  <si>
    <t>Đèn Thả COORDINATES S4, L1762 x H922 mm, LED 161W 2700K, Bằng Aluminum,Silicone, Màu Bạc Argent, không kèm bóng, mới 100%</t>
  </si>
  <si>
    <t>SC-FLOS-04-230924</t>
  </si>
  <si>
    <t>F6380014</t>
  </si>
  <si>
    <t>LTLFL00048</t>
  </si>
  <si>
    <t>Snoopy - Blue navy
MAX 150W 220-240V
LED 8W E27 740lm
marble, metal
D394xH369</t>
  </si>
  <si>
    <t>Đèn Bàn SNOOPY, W392 x H369 mm, Bằng Kim Loại, Đá Marble, Chụp Màu Xanh Blue Navy, Chân Màu Trắng, không kèm bóng, mới 100%</t>
  </si>
  <si>
    <t>Đèn trang trí ZEPPELIN 1, Phi 1100 x H740 mm, Bằng Cocoon, thép Và pha lê, Màu trắng, không kèm bóng, mới 100%</t>
  </si>
  <si>
    <t>SC-ML-2024-002-120724-SR</t>
  </si>
  <si>
    <t>PO-ML-2024-002-120724-SR</t>
  </si>
  <si>
    <t>23/09/2024</t>
  </si>
  <si>
    <t>40210.2700.12.11.280.145&amp;40211.200.12/DIM/NE</t>
  </si>
  <si>
    <t>LPLML00002</t>
  </si>
  <si>
    <t>Multidot Pendant Light
 12 cables attached
 12 spheres
 2700 k,200W
 L.280cm
 Structure: Pvc - Polyvinyl Chloride</t>
  </si>
  <si>
    <t>2.462/00</t>
  </si>
  <si>
    <t>01/2024/301397</t>
  </si>
  <si>
    <t>15/12/2024</t>
  </si>
  <si>
    <t>Genova, Italy</t>
  </si>
  <si>
    <t>106808595020</t>
  </si>
  <si>
    <t>18/12/2024</t>
  </si>
  <si>
    <t>Đèn Thả MULTIDOT, Martinelli Luce, model 40210.2700.12.11.280.145&amp;40211 .200.12/DIM/NE 12 cáp, 12 bóng, Dài 280 cm, Bằng nhựa,  Màu trắng, không kèm bóng, mới 100%</t>
  </si>
  <si>
    <t>Lô 41</t>
  </si>
  <si>
    <t>620/DIM/L/1/NE/GI</t>
  </si>
  <si>
    <t>LTLML00001</t>
  </si>
  <si>
    <t>PIPISTRELLO POP 14W1400lm
 Structure: Aluminium Diffuser: Methacrylate 040, YELLOW
  Base: Iron Power cable: 45+200cm
 Size: DI56x70/86 cm</t>
  </si>
  <si>
    <t>Đèn trang trí PIPISTRELLO POP, Martinelli Luce, model 620/DIM/L/1/NE/GI, kích thước 56x56x70/86 cm,  bằng kim loại, màu vàng, không kèm bóng, mới 100%</t>
  </si>
  <si>
    <t>620/BI</t>
  </si>
  <si>
    <t>LTLML00002</t>
  </si>
  <si>
    <t>PIPISTRELLO - 4X5W E14 LED - BULBS PROVIDED - WHITE
 Structure: Aluminium 
 Diffuser: Methacrylate 040 
 Base: Iron
 Cable: 45+200cm
 Size: DI56X70/86CM</t>
  </si>
  <si>
    <t>Đèn trang trí PIPISTRELLO, Martinelli Luce, model 620/BI, kích thước DK56x70/86 cm,  bằng kim loại, màu trắng, không kèm bóng, mới 100%</t>
  </si>
  <si>
    <t>620/NE</t>
  </si>
  <si>
    <t>LTLML00003</t>
  </si>
  <si>
    <t>PIPISTRELLO - 4X5W E14 LED - BULBS PROVIDED - POLISHED BLACK 
 Structure: Aluminium 
 Diffuser: Methacrylate 040 
 Base: Iron
 Cable: 45+200cm
 Size: DI56X70/86CM</t>
  </si>
  <si>
    <t>Đèn trang trí PIPISTRELLO, Martinelli Luce, model 620/NE, kích thước DK56x70/86 cm,  bằng kim loại, màu đen, không kèm bóng, mới 100%</t>
  </si>
  <si>
    <t>620/MED/DIM/NE/GI</t>
  </si>
  <si>
    <t>LTLML00004</t>
  </si>
  <si>
    <t>Pipistrello POP Med 6,8W LED SMD 868lm 
  BASE - YELLOW BODY
 Structure: Aluminium 
 Diffuser: Methacrylate 040 
 Base: Iron 
 Power cable: 45+200cm
 Size: DI40x50/62cm</t>
  </si>
  <si>
    <t>Đèn trang trí PIPISTRELLO POP Med, Martinelli Luce, model 620/MED/DIM/NE/GI, kích thước DK40x50/62 cm,  bằng kim loại, màu vàng, không kèm bóng, mới 100%</t>
  </si>
  <si>
    <t>620/MED/DIM/BI</t>
  </si>
  <si>
    <t>LTLML00005</t>
  </si>
  <si>
    <t>Pipistrello Med 620/MED/DIM/BI White Polished
 Structure: Aluminium 
 Diffuser: Methacrylate 040 
 Base: Iron 
 Power cable: 45+200cm
 Size: DI40x50/62cm</t>
  </si>
  <si>
    <t>Đèn trang trí PIPISTRELLO POP Med, Martinelli Luce, model 620/MED/DIM/BI, kích thước DK40x50/62 cm,  bằng kim loại, màu trắng, không kèm bóng, mới 100%</t>
  </si>
  <si>
    <t>620/MED/DIM/NE</t>
  </si>
  <si>
    <t>LTLML00006</t>
  </si>
  <si>
    <t>Pipistrello Med 620/MED/DIM/NE Black Polished
 Structure: Aluminium 
 Diffuser: Methacrylate 040 
 Base: Iron 
 Power cable: 45+200cm
 Size: DI40x50/62cm</t>
  </si>
  <si>
    <t>Đèn trang trí PIPISTRELLO POP Med, Martinelli Luce, model 620/MED/DIM/NE, kích thước DK40x50/62 cm,  bằng kim loại, màu đen, không kèm bóng, mới 100%</t>
  </si>
  <si>
    <t>620/J/DIM/NE/GI</t>
  </si>
  <si>
    <t>LTLML00007</t>
  </si>
  <si>
    <t>Minipipistrello POP- YELLOW
 5,8WLED SMD 772lm 620/J/DIM/NE/GI white - yellow
 Structure: Aluminium 
 Diffuser: Methacrylate 040 
 Base: Iron 
 Power cable: 45+200cm
 Size: DI27x35</t>
  </si>
  <si>
    <t>Đèn trang trí Minipipistrello POP, Martinelli Luce, model 620/J/DIM/NE/GI, kích thước DK27x35 cm,  bằng kim loại, màu vàng, không kèm bóng, mới 100%</t>
  </si>
  <si>
    <t>620/J/DIM/BI</t>
  </si>
  <si>
    <t>LTLML00008</t>
  </si>
  <si>
    <t>Minipipistrello 620/J/DIM/BI - white
 Structure: Aluminium 
 Diffuser: Methacrylate 040 
 Base: Iron 
 Power cable: 45+200cm
 Size: DI27x35</t>
  </si>
  <si>
    <t>Đèn trang trí Minipipistrello, Martinelli Luce, model 620/J/DIM/BI, kích thước DK27x35 cm,  bằng kim loại, màu trắng, không kèm bóng, mới 100%</t>
  </si>
  <si>
    <t>620/J/DIM/NE</t>
  </si>
  <si>
    <t>LTLML00009</t>
  </si>
  <si>
    <t>Minipipistrello 620/J/DIM/NE - Black - White
 Structure: Aluminium 
 Diffuser: Methacrylate 040 
 Base: Iron 
 Power cable: 45+200cm
 Size: DI27x35</t>
  </si>
  <si>
    <t>Đèn trang trí Minipipistrello, Martinelli Luce, model 620/J/DIM/NE, kích thước DK27x35 cm,  bằng kim loại, màu đen, không kèm bóng, mới 100%</t>
  </si>
  <si>
    <t>685/AR</t>
  </si>
  <si>
    <t>LTLML00010</t>
  </si>
  <si>
    <t>ELMETTO 685
 Orange, polished, RAL 2011
 D22 X H28 cm 
 Structure: Abs 
 Power cable: 200cm</t>
  </si>
  <si>
    <t>Đèn trang trí ELMETTO 685, Martinelli Luce, model 685/AR, kích thước DK22x28 cm,  bằng kim loại, màu cam, không kèm bóng, mới 100%</t>
  </si>
  <si>
    <t>685/BL</t>
  </si>
  <si>
    <t>LTLML00011</t>
  </si>
  <si>
    <t>ELMETTO 685
 Blue, polished, RAL 5007
 D22 X H28 cm 
 Structure: Abs 
 Power cable: 200cm</t>
  </si>
  <si>
    <t>Đèn trang trí ELMETTO 685, Martinelli Luce, model 685/BL, kích thước DK22x28 cm,  bằng kim loại, màu xanh dương, không kèm bóng, mới 100%</t>
  </si>
  <si>
    <t>685/GI</t>
  </si>
  <si>
    <t>LTLML00012</t>
  </si>
  <si>
    <t>ELMETTO 685
 Yellow, polished, RAL 1012
 D22 X H28 cm 
 Structure: Abs 
 Power cable: 200cm</t>
  </si>
  <si>
    <t>Đèn trang trí ELMETTO 685, Martinelli Luce, model 685/GI, kích thước DK22x28 cm,  bằng kim loại, màu vàng, không kèm bóng, mới 100%</t>
  </si>
  <si>
    <t>685/VE</t>
  </si>
  <si>
    <t>LTLML00013</t>
  </si>
  <si>
    <t>ELMETTO 685
 Green, polished, RAL 6013
 D22 X H28 cm 
 Structure: Abs 
 Power cable: 200cm</t>
  </si>
  <si>
    <t>Đèn trang trí ELMETTO 685, Martinelli Luce, model 685/VE, kích thước DK22x28 cm,  bằng kim loại, màu xanh lục, không kèm bóng, mới 100%</t>
  </si>
  <si>
    <t>825/AZ</t>
  </si>
  <si>
    <t>LTLML00014</t>
  </si>
  <si>
    <t>Cyborg table
 Size: Ø20x31 mm
 Structure: Aluminium Diffuser: Polycarbonate Power cable: 175cm
 Light blue Polished NCS CIANO +
 NCS S 1030-R80B</t>
  </si>
  <si>
    <t>Đèn trang trí Cyborg table, Martinelli Luce, model 825/AZ, kích thước DK20x31 cm,  bằng nhựa, màu light blue, không kèm bóng, mới 100%</t>
  </si>
  <si>
    <t>825/VE</t>
  </si>
  <si>
    <t>LTLML00015</t>
  </si>
  <si>
    <t>Cyborg table
 Size: Ø20x31 mm
 Structure: Aluminium Diffuser: Polycarbonate Power cable: 175cm
 Green Polished LIME NCS-S 0520-G40Y</t>
  </si>
  <si>
    <t>Đèn trang trí Cyborg table, Martinelli Luce, model 825/VE, kích thước DK20x31 cm,  bằng nhựa, màu lục green, không kèm bóng, mới 100%</t>
  </si>
  <si>
    <t>825/BI</t>
  </si>
  <si>
    <t>LTLML00016</t>
  </si>
  <si>
    <t>Cyborg table
 Size: Ø20x31 mm
 Structure: Aluminium Diffuser: Polycarbonate Power cable: 175cm
 White Polished RAL 9003</t>
  </si>
  <si>
    <t>Đèn trang trí Cyborg table, Martinelli Luce, model 825/BI, kích thước DK20x31 cm,  bằng nhựa, màu trắng, không kèm bóng, mới 100%</t>
  </si>
  <si>
    <t>825/FC</t>
  </si>
  <si>
    <t>LTLML00017</t>
  </si>
  <si>
    <t>Cyborg table
 Size: Ø20x31 mm
 Structure: Aluminium Diffuser: Polycarbonate Power cable: 175cm
 Fuchsia Polished RAL 4010</t>
  </si>
  <si>
    <t>Đèn trang trí Cyborg table, Martinelli Luce, model 825/FC, kích thước DK20x31 cm,  bằng nhựa, màu hồng Fuchsia, không kèm bóng, mới 100%</t>
  </si>
  <si>
    <t>2315/N/BI</t>
  </si>
  <si>
    <t>LFLML00001</t>
  </si>
  <si>
    <t>CYBORG BIG OUTDOOR neutral
 Ø 85 H 160
 Non dimmable
 White Opaque</t>
  </si>
  <si>
    <t>Đèn trang trí CYBORG BIG OUTDOOR, Martinelli Luce, model 2315/N/BI, kích thước DK85x160 cm,  bằng nhựa, màu trắng, không kèm bóng, mới 100%</t>
  </si>
  <si>
    <t>2315/VE</t>
  </si>
  <si>
    <t>LFLML00002</t>
  </si>
  <si>
    <t>CYBORG BIG OUTDOOR coloured
 15WE27 PAR38 1200lm 3000K
 Volt: 230 V 
 Dimming: Non dimmable
 Structure: Polyethylene 
 Diffuser: Polycarbonate
 DI85 x 160cm
 Green Opaque</t>
  </si>
  <si>
    <t>Đèn trang trí CYBORG BIG OUTDOOR, Martinelli Luce, model 2315/VE, kích thước DK85x160 cm,  bằng nhựa, màu xanh green opaque, không kèm bóng, mới 100%</t>
  </si>
  <si>
    <t>2315/RO</t>
  </si>
  <si>
    <t>LFLML00003</t>
  </si>
  <si>
    <t>CYBORG BIG OUTDOOR coloured
 15WE27 PAR38 1200lm 3000K
 Volt: 230 V 
 Dimming: Non dimmable
 Structure: Polyethylene 
 Diffuser: Polycarbonate
 DI85 x 160cm
 Red Opaque</t>
  </si>
  <si>
    <t>Đèn trang trí CYBORG BIG OUTDOOR, Martinelli Luce, model 2315/RO, kích thước DK85x160 cm,  bằng nhựa, màu đỏ Red opaque, không kèm bóng, mới 100%</t>
  </si>
  <si>
    <t>2834/M/L/1</t>
  </si>
  <si>
    <t>LWLML00001</t>
  </si>
  <si>
    <t>Corona 
 Structure colour: White, opal
 Elements Colour: Radiant, opaque
 Structure material: Methacrylate 040
 Elements material: Aluminium
 DI42 cm/H10 cm
 Weight: 1.4 kg
 26W3200lm 3000K</t>
  </si>
  <si>
    <t>Đèn tường Corona, Martinelli Luce, model 2834/M/L/1, kích thước DK42x10 cm,  bằng kim loại, màu trắng, không kèm bóng, mới 100%</t>
  </si>
  <si>
    <t>2834/M/J/L/1</t>
  </si>
  <si>
    <t>LWLML00002</t>
  </si>
  <si>
    <t>CORONA
 Structure colour White, opal
 Elements Colour: Radiant, opaque
 Structure material: Methacrylate 040
 Elements material: Aluminium
 DI28 cm/H10 cm
 Weight: 1.4 kg
 15W2720lm 3000K 230V</t>
  </si>
  <si>
    <t>Đèn tường Corona, Martinelli Luce, model 2834/M/J/L/1, kích thước DK28x10 cm,  bằng kim loại, màu trắng, không kèm bóng, mới 100%</t>
  </si>
  <si>
    <t>2217/POL/P/BD/L/1</t>
  </si>
  <si>
    <t>LFLML00004</t>
  </si>
  <si>
    <t>BICONICA POL - TUNABLE WHITE -104W LED with remote control, 104W, 5370 lm</t>
  </si>
  <si>
    <t>Đèn trang trí BICONICA POL, Martinelli Luce, model 2217/POL/P/BD/L/1, kích thước DK38x195 cm,  bằng nhựa, màu trắng, không kèm bóng, mới 100%</t>
  </si>
  <si>
    <t>736/L/VE</t>
  </si>
  <si>
    <t>LTLML00018</t>
  </si>
  <si>
    <t>L’AMICA Table, GREEN
 Ø22x65 cm, Diameter
 12 cm
 Non dimmable
 Net weight: 3 Kg Gross weight: 3,3 Kg Package nr: 1 Package dimension: 25x12x71 cm</t>
  </si>
  <si>
    <t>Đèn trang trí L’AMICA Table, Martinelli Luce, model 736/L/VE, kích thước DK22x65 cm,  bằng kim loại, màu xanh lục, không kèm bóng, mới 100%</t>
  </si>
  <si>
    <t>736/L/NE</t>
  </si>
  <si>
    <t>LTLML00019</t>
  </si>
  <si>
    <t>L’AMICA Table, BLACK
 Ø22x65 cm
 Non dimmable
 Net weight: 3 Kg Gross weight: 3,3 Kg Package nr: 1 Package dimension: 25x12x71 cm</t>
  </si>
  <si>
    <t>Đèn trang trí L’AMICA Table, Martinelli Luce, model 736/L/NE, kích thước DK22x65 cm,  bằng kim loại, màu đen, không kèm bóng, mới 100%</t>
  </si>
  <si>
    <t>2303/NE</t>
  </si>
  <si>
    <t>LFLML00005</t>
  </si>
  <si>
    <t>L’AMICA Floor, H125 CM, black
 Net weight: 4,5 Kg Gross weight: 7,5 Kg Package nr: 1 Package dimension: 30x17x141 cm</t>
  </si>
  <si>
    <t>Đèn trang trí L’AMICA Floor, Martinelli Luce, model 2303/NE, kích thước 30x17x141 cm,  bằng kim loại, màu đen, không kèm bóng, mới 100%</t>
  </si>
  <si>
    <t>2303/VE</t>
  </si>
  <si>
    <t>LFLML00006</t>
  </si>
  <si>
    <t>L’AMICA Floor, H180 CM, green
 Net weight: 4,5 Kg Gross weight: 7,5 Kg Package nr: 1 Package dimension: 30x17x141 cm</t>
  </si>
  <si>
    <t>Đèn trang trí L’AMICA Floor, Martinelli Luce, model 2303/VE, kích thước 30x17x141 cm,  bằng kim loại, màu xanh lục, không kèm bóng, mới 100%</t>
  </si>
  <si>
    <t>VITRA</t>
  </si>
  <si>
    <t>SC-NNH-VT-2024-001</t>
  </si>
  <si>
    <t>PO-VT-01-060824-SR</t>
  </si>
  <si>
    <t>17/09/2024</t>
  </si>
  <si>
    <t>CHRVT00001</t>
  </si>
  <si>
    <t>Panton Junior
 White
 L446 x D376 x H628 mm
 Back, seat and base: dyed-through polypropylene. Matt finish.</t>
  </si>
  <si>
    <t>NNH-VT-2024-001</t>
  </si>
  <si>
    <t>8377 24090922</t>
  </si>
  <si>
    <t>SEA-FCL</t>
  </si>
  <si>
    <t>16/10/2024</t>
  </si>
  <si>
    <t>22/12/2024</t>
  </si>
  <si>
    <t>HAMBURG, GERMANY</t>
  </si>
  <si>
    <t>106823164010</t>
  </si>
  <si>
    <t>23/12/2024</t>
  </si>
  <si>
    <t>Ghế Panton Junior, Vitra, model 21019604, kích thước L446 x D376 x H628 mm, bằng nhựa, màu trắng, bề mặt mờ, mới 100%</t>
  </si>
  <si>
    <t>94018000</t>
  </si>
  <si>
    <t>Lô 42</t>
  </si>
  <si>
    <t>CHRVT00002</t>
  </si>
  <si>
    <t>Panton Junior
 Sea blue
 L446 x D376 x H628 mm
 Back, seat and base: dyed-through polypropylene. Matt finish.</t>
  </si>
  <si>
    <t>Ghế Panton Junior, Vitra, model 21019606, kích thước L446 x D376 x H628 mm, bằng nhựa, màu sea blue, bề mặt mờ, mới 100%</t>
  </si>
  <si>
    <t>CHRVT00003</t>
  </si>
  <si>
    <t>Panton Junior
 Pale rose
 L446 x D376 x H628 mm
 Back, seat and base: dyed-through polypropylene. Matt finish.</t>
  </si>
  <si>
    <t>Ghế Panton Junior, Vitra, model 21019607, kích thước L446 x D376 x H628 mm, bằng nhựa, màu pale rose, bề mặt mờ, mới 100%</t>
  </si>
  <si>
    <t>CHRVT00004</t>
  </si>
  <si>
    <t>Panton Junior
 Golden yellow
 L446 x D376 x H628 mm
 Back, seat and base: dyed-through polypropylene. Matt finish.</t>
  </si>
  <si>
    <t>Ghế Panton Junior, Vitra, model 21019608, kích thước L446 x D376 x H628 mm, bằng nhựa, màu golden yellow, bề mặt mờ, mới 100%</t>
  </si>
  <si>
    <t>CHRVT00005</t>
  </si>
  <si>
    <t>Panton Junior
 Red
 L446 x D376 x H628 mm
 Back, seat and base: dyed-through polypropylene. Matt finish.</t>
  </si>
  <si>
    <t>Ghế Panton Junior, Vitra, model 21019618, kích thước L446 x D376 x H628 mm, bằng nhựa, màu đỏ, bề mặt mờ, mới 100%</t>
  </si>
  <si>
    <t>CHRVT00006</t>
  </si>
  <si>
    <t>Panton Junior
 L446 x D376 x H628 mm
 Back, seat and base: dyed-through polypropylene. Matt finish.</t>
  </si>
  <si>
    <t>Ghế Panton Junior, Vitra, model 21019605, kích thước L446 x D376 x H628 mm, bằng nhựa, màu soft mint, bề mặt mờ, mới 100%</t>
  </si>
  <si>
    <t>CHRVT00033</t>
  </si>
  <si>
    <t>Stool E60
 Legs birch natural lacquered,
 seat green lacquered
 H44xDI38</t>
  </si>
  <si>
    <t>Ghế Stool E60, Vitra/Artek, model 28000358, kích thước H44xDI38cm, bằng gỗ, màu xanh lục, mới 100%</t>
  </si>
  <si>
    <t>28000357</t>
  </si>
  <si>
    <t>CHRVT00034</t>
  </si>
  <si>
    <t>Stool E60
 Legs birch natural lacquered,
 seat yellow lacquered
 H44xDI38</t>
  </si>
  <si>
    <t>Ghế Stool E60, Vitra/Artek, model 28000357, kích thước H44xDI38cm, bằng gỗ, màu vàng, mới 100%</t>
  </si>
  <si>
    <t>28000384</t>
  </si>
  <si>
    <t>CHRVT00035</t>
  </si>
  <si>
    <t>Stool E60
 Legs birch natural lacquered,
 seat petrol lacquered
 H44xDI38</t>
  </si>
  <si>
    <t>Ghế Stool E60, Vitra/Artek, model 28000384, kích thước H44xDI38cm, bằng gỗ, màu xanh petrol, mới 100%</t>
  </si>
  <si>
    <t>28000356</t>
  </si>
  <si>
    <t>CHRVT00036</t>
  </si>
  <si>
    <t>Stool E60
 Legs birch natural lacquered,
 seat orange lacquered
 H44xDI38</t>
  </si>
  <si>
    <t>Ghế Stool E60, Vitra/Artek, model 28000356, kích thước H44xDI38cm, bằng gỗ, màu cam, mới 100%</t>
  </si>
  <si>
    <t>28000355</t>
  </si>
  <si>
    <t>CHRVT00037</t>
  </si>
  <si>
    <t>Stool E60
 Legs birch natural lacquered,
 seat white lacquered
 H44xDI38</t>
  </si>
  <si>
    <t>Ghế Stool E60, Vitra/Artek, model 28000355, kích thước H44xDI38cm, bằng gỗ, màu trắng, mới 100%</t>
  </si>
  <si>
    <t>CHRVT00031</t>
  </si>
  <si>
    <t>Stool-Tool
 Color: Red
 H750xW460xD725</t>
  </si>
  <si>
    <t>Ghế đẩu Stool-tool, Vitra, model 44039600, kích thước H750xW460xD725mm, bằng nhựa, màu đỏ, mới 100%</t>
  </si>
  <si>
    <t>44039600</t>
  </si>
  <si>
    <t>CHRVT00032</t>
  </si>
  <si>
    <t>Stool-Tool
 Color: Green
 H750xW460xD725</t>
  </si>
  <si>
    <t>Ghế đẩu Stool-tool, Vitra, model 44039600, kích thước H750xW460xD725mm, bằng nhựa, màu xanh lục, mới 100%</t>
  </si>
  <si>
    <t>21502901</t>
  </si>
  <si>
    <t>ACCVT00003</t>
  </si>
  <si>
    <t>Eames Elephant
 L785 x W410 x H415 mm
 White
 Material: dyed-through polypropylene, matt finish.</t>
  </si>
  <si>
    <t>Ghế ngồi hình con voi Eames Elephant, Vitra, model 21502901, kích thước L785 x W410 x H415 mm, bằng nhựa, màu trắng, mới 100%</t>
  </si>
  <si>
    <t>21502902</t>
  </si>
  <si>
    <t>ACCVT00004</t>
  </si>
  <si>
    <t>Eames Elephant
 L785 x W410 x H415 mm
 ice grey
 Material: dyed-through polypropylene, matt finish.</t>
  </si>
  <si>
    <t>Ghế ngồi hình con voi Eames Elephant, Vitra, model 21502902, kích thước L785 x W410 x H415 mm, bằng nhựa, màu ice grey, mới 100%</t>
  </si>
  <si>
    <t>21502909</t>
  </si>
  <si>
    <t>ACCVT00005</t>
  </si>
  <si>
    <t>Eames Elephant
 L785 x W410 x H415 mm
 buttercup
 Material: dyed-through polypropylene, matt finish.</t>
  </si>
  <si>
    <t>Ghế ngồi hình con voi Eames Elephant, Vitra, model 21502909, kích thước L785 x W410 x H415 mm, bằng nhựa, màu buttercup, mới 100%</t>
  </si>
  <si>
    <t>21502907</t>
  </si>
  <si>
    <t>ACCVT00006</t>
  </si>
  <si>
    <t>Eames Elephant
 L785 x W410 x H415 mm
 palm green
 Material: dyed-through polypropylene, matt finish.</t>
  </si>
  <si>
    <t>Ghế ngồi hình con voi Eames Elephant, Vitra, model 21502907, kích thước L785 x W410 x H415 mm, bằng nhựa, màu palm green, mới 100%</t>
  </si>
  <si>
    <t>21502910</t>
  </si>
  <si>
    <t>ACCVT00007</t>
  </si>
  <si>
    <t>Eames Elephant
 L785 x W410 x H415 mm
 pale rose
 Material: dyed-through polypropylene, matt finish.</t>
  </si>
  <si>
    <t>Ghế ngồi hình con voi Eames Elephant, Vitra, model 21502910, kích thước L785 x W410 x H415 mm, bằng nhựa, màu pale rose, mới 100%</t>
  </si>
  <si>
    <t>21502908</t>
  </si>
  <si>
    <t>ACCVT00008</t>
  </si>
  <si>
    <t>Eames Elephant
 L785 x W410 x H415 mm
 poppy red
 Material: dyed-through polypropylene, matt finish.</t>
  </si>
  <si>
    <t>Ghế ngồi hình con voi Eames Elephant, model 21502908, kích thước L785 x W410 x H415 mm, bằng nhựa, màu poppy red, mới 100%</t>
  </si>
  <si>
    <t>21511209</t>
  </si>
  <si>
    <t>ACCVT00009</t>
  </si>
  <si>
    <t>Eames Elephant (small)
 L390 x W205 x H210 mm 
 buttercup
 Material: dyed-through polypropylene, matt finish.</t>
  </si>
  <si>
    <t>Ghế ngồi mini hình con voi Eames Elephant small, Vitra, model 21511209, kích thước L390 x W205 x H210 mm, bằng nhựa, màu mm buttercup, mới 100%</t>
  </si>
  <si>
    <t>21511202</t>
  </si>
  <si>
    <t>ACCVT00010</t>
  </si>
  <si>
    <t>Eames Elephant (small)
 L390 x W205 x H210 mm 
 ice grey
 Material: dyed-through polypropylene, matt finish.</t>
  </si>
  <si>
    <t>Ghế ngồi mini hình con voi  Eames Elephant small, model 21511202, kích thước L390 x W205 x H210mm, bằng nhựa, màu ice grey, mới 100%</t>
  </si>
  <si>
    <t>21511210</t>
  </si>
  <si>
    <t>ACCVT00011</t>
  </si>
  <si>
    <t>Eames Elephant (small)
 L390 x W205 x H210 mm 
 pale rose
 Material: dyed-through polypropylene, matt finish.</t>
  </si>
  <si>
    <t>Ghế ngồi mini hình con voi  Eames Elephant small, Vitra, model 21511210, kích thước L390 x W205 x H210mm, bằng nhựa, màu pale rose, mới 100%</t>
  </si>
  <si>
    <t>21511207</t>
  </si>
  <si>
    <t>ACCVT00012</t>
  </si>
  <si>
    <t>Eames Elephant (small)
 L390 x W205 x H210 mm 
 palm green
 Material: dyed-through polypropylene, matt finish.</t>
  </si>
  <si>
    <t>Ghế ngồi mini hình con voi Eames Elephant small, Vitra, model 21511207, kích thước L390 x W205 x H210mm, bằng nhựa, màu palm green, mới 100%</t>
  </si>
  <si>
    <t>21511208</t>
  </si>
  <si>
    <t>ACCVT00013</t>
  </si>
  <si>
    <t>Eames Elephant (small)
 L390 x W205 x H210 mm 
 poppy red
 Material: dyed-through polypropylene, matt finish.</t>
  </si>
  <si>
    <t>Ghế ngồi mini hình con voi Eames Elephant small, Vitra, model 21511208, kích thước L390 x W205 x H210mm, bằng nhựa, màu poppy red, mới 100%</t>
  </si>
  <si>
    <t>21511201</t>
  </si>
  <si>
    <t>ACCVT00014</t>
  </si>
  <si>
    <t>Eames Elephant (small)
 L390 x W205 x H210 mm 
 White
 Material: dyed-through polypropylene, matt finish.</t>
  </si>
  <si>
    <t>Ghế ngồi mini hình con voi Eames Elephant small, Vitra, model 21511201, kích thước L390 x W205 x H210 mm, bằng nhựa, màu trắng, mới 100%</t>
  </si>
  <si>
    <t>21503100</t>
  </si>
  <si>
    <t>ACCVT00015</t>
  </si>
  <si>
    <t>Eames House Bird
 L278 x W85 x H276 mm
 Black
 Body: solid alder, black lacquer finish.
 Legs: steel wire.</t>
  </si>
  <si>
    <t>Mô hình trang trí hình chim Eames House Bird, Vitra, model 21503100, kích thước L278 x W85 x H276 mm, bằng gỗ, màu đen, mới 100%</t>
  </si>
  <si>
    <t>21510601</t>
  </si>
  <si>
    <t>ACCVT00016</t>
  </si>
  <si>
    <t>L’Oiseau
 L245 x W60 x H150 mm
 Ceramic, ivory glaze
 with matt finish</t>
  </si>
  <si>
    <t>Mô hình trang trí hình chim L'Oiseau, Vitra, model 21510601, kích thước L245 x W60 x H150 mm, bằng gốm, màu ivory glaze, mới 100%</t>
  </si>
  <si>
    <t>21510604</t>
  </si>
  <si>
    <t>ACCVT00017</t>
  </si>
  <si>
    <t>L’Oiseau
 L245 x W60 x H150 mm
 Ceramic, ivy glaze
 with matt finish</t>
  </si>
  <si>
    <t>Mô hình trang trí hình chim L'Oiseau, Vitra, model 21510604, kích thước L245 x W60 x H150 mm, bằng gốm, màu ivy glaze, mới 100%</t>
  </si>
  <si>
    <t>21511009</t>
  </si>
  <si>
    <t>ACCVT00018</t>
  </si>
  <si>
    <t>High Tray, dark brick
 Material: textured ABS plastic.
 Dimensions: 300x300x150mm</t>
  </si>
  <si>
    <t>Khay High tray, Vitra, model 21511009, kích thước 300x300x150mm, bằng nhựa, dùng để đựng đồ gia dụng nhà bếp, màu dark brick, mới 100%</t>
  </si>
  <si>
    <t>21511010</t>
  </si>
  <si>
    <t>ACCVT00019</t>
  </si>
  <si>
    <t>High Tray, ivy
 Material: textured ABS plastic.
 Dimensions: 300x300x150mm</t>
  </si>
  <si>
    <t>Khay High tray, Vitra, model 21511010, kích thước 300x300x150mm, bằng nhựa, dùng để đựng đồ gia dụng nhà bếp, màu ivy, mới 100%</t>
  </si>
  <si>
    <t>21511001</t>
  </si>
  <si>
    <t>ACCVT00020</t>
  </si>
  <si>
    <t>High Tray, white
 Material: textured ABS plastic.
 Dimensions: 300x300x150mm</t>
  </si>
  <si>
    <t>Khay High tray, Vitra, model 21511001, kích thước 300x300x150mm, bằng nhựa, dùng để đựng đồ gia dụng nhà bếp, màu trắng, mới 100%</t>
  </si>
  <si>
    <t>21511003</t>
  </si>
  <si>
    <t>ACCVT00021</t>
  </si>
  <si>
    <t>High Tray, pale rose
 Material: textured ABS plastic.
 Dimensions: 300x300x150mm</t>
  </si>
  <si>
    <t>Khay High tray, Vitra, model 21511003, kích thước 300x300x150mm, bằng nhựa, dùng để đựng đồ gia dụng nhà bếp, màu pale rose, mới 100%</t>
  </si>
  <si>
    <t>21511008</t>
  </si>
  <si>
    <t>ACCVT00022</t>
  </si>
  <si>
    <t>High Tray, mint green
 Material: textured ABS plastic.
 Dimensions: 300x300x150mm</t>
  </si>
  <si>
    <t>Khay High tray, Vitra, model 21511008, kích thước 300x300x150mm, bằng nhựa, dùng để đựng đồ gia dụng nhà bếp, màu mint green, mới 100%</t>
  </si>
  <si>
    <t>21507001</t>
  </si>
  <si>
    <t>ACCVT00023</t>
  </si>
  <si>
    <t>Rotary Tray
 DI300 x H120 mm
 white
 Material: textured ABS plastic. Top tier rotates.</t>
  </si>
  <si>
    <t>Khay Rotary tray, Vitra, model 21507001, kích thước DI300 x H120 mm, bằng nhựa, dùng để đựng đồ gia dụng nhà bếp, màu trắng, mới 100%</t>
  </si>
  <si>
    <t>21507008</t>
  </si>
  <si>
    <t>ACCVT00024</t>
  </si>
  <si>
    <t>Rotary Tray
 DI300 x H120 mm
 mint green
 Material: textured ABS plastic. Top tier rotates.</t>
  </si>
  <si>
    <t>Khay Rotary tray, Vitra, model 21507008, kích thước DI300 x H120 mm, bằng nhựa, dùng để đựng đồ gia dụng nhà bếp, màu mint green, mới 100%</t>
  </si>
  <si>
    <t>21507003</t>
  </si>
  <si>
    <t>ACCVT00025</t>
  </si>
  <si>
    <t>Rotary Tray
 DI300 x H120 mm
 pale rose
 Material: textured ABS plastic. Top tier rotates.</t>
  </si>
  <si>
    <t>Khay Rotary tray, Vitra, model 21507003, kích thước DI300 x H120 mm, bằng nhựa, dùng để đựng đồ gia dụng nhà bếp, màu pale rose, mới 100%</t>
  </si>
  <si>
    <t>21507002</t>
  </si>
  <si>
    <t>ACCVT00026</t>
  </si>
  <si>
    <t>Rotary Tray
 DI300 x H120 mm
 ice grey
 Material: textured ABS plastic. Top tier rotates.</t>
  </si>
  <si>
    <t>Khay Rotary tray, Vitra, model 21507002, kích thước DI300 x H120 mm, bằng nhựa, dùng để đựng đồ gia dụng nhà bếp, màu ice grey, mới 100%</t>
  </si>
  <si>
    <t>21507007</t>
  </si>
  <si>
    <t>ACCVT00027</t>
  </si>
  <si>
    <t>Rotary Tray
 DI300 x H120 mm
 palm green
 Material: textured ABS plastic. Top tier rotates.</t>
  </si>
  <si>
    <t>Khay Rotary tray, Vitra, model 21507007, kích thước DI300 x H120 mm, bằng nhựa, dùng để đựng đồ gia dụng nhà bếp, màu palm green, mới 100%</t>
  </si>
  <si>
    <t>21507010</t>
  </si>
  <si>
    <t>ACCVT00028</t>
  </si>
  <si>
    <t>Rotary Tray
 DI300 x H120 mm
 poppy red
 Material: textured ABS plastic. Top tier rotates.</t>
  </si>
  <si>
    <t>Khay Rotary tray, Vitra, model 21507010, kích thước DI300 x H120 mm, bằng nhựa, dùng để đựng đồ gia dụng nhà bếp, màu poppy red, mới 100%</t>
  </si>
  <si>
    <t>21507009</t>
  </si>
  <si>
    <t>ACCVT00029</t>
  </si>
  <si>
    <t>Rotary Tray
 DI300 x H120 mm
 dark brick
 Material: textured ABS plastic. Top tier rotates.</t>
  </si>
  <si>
    <t>Khay Rotary tray, Vitra, model 21507009, kích thước DI300 x H120 mm, bằng nhựa, dùng để đựng đồ gia dụng nhà bếp, màu dark brick, mới 100%</t>
  </si>
  <si>
    <t>21511102</t>
  </si>
  <si>
    <t>ACCVT00030</t>
  </si>
  <si>
    <t>Trays
 set of three trays in different sizes.
 DI 180 | 290 | 400 mm x H30 mm
 green
 Material: textured ABS plastic.</t>
  </si>
  <si>
    <t>Bộ 3 khay, Vitra, 3 kích thước DI 180 | 290 | 400 mm x H30 mm, model 21511102, bằng nhựa, dùng để đựng đồ dùng, màu xanh lục, mới 100%</t>
  </si>
  <si>
    <t>21511101</t>
  </si>
  <si>
    <t>ACCVT00031</t>
  </si>
  <si>
    <t>Trays
 set of three trays in different sizes.
 DI 180 | 290 | 400 mm x H30 mm
 red
 Material: textured ABS plastic.</t>
  </si>
  <si>
    <t>Bộ 3 khay, Vitra, 3 kích thước DI 180 | 290 | 400 mm x H30 mm, model 21511101, bằng nhựa, dùng để đựng đồ dùng, màu đỏ, mới 100%</t>
  </si>
  <si>
    <t>20315201</t>
  </si>
  <si>
    <t>ACCVT00032</t>
  </si>
  <si>
    <t>O-Tidy
 DI220 x H80 mm
 dark grey
 Material: ABS plastic.</t>
  </si>
  <si>
    <t>Khay O-tidy, Vitra, model 20315201, Kích thước DI220 x H80 mm, bằng nhựa, dùng để đựng đồ dùng, màu dark grey, mới 100%</t>
  </si>
  <si>
    <t>20315204</t>
  </si>
  <si>
    <t>ACCVT00033</t>
  </si>
  <si>
    <t>O-Tidy
 DI220 x H80 mm
 poppy red
 Material: ABS plastic.</t>
  </si>
  <si>
    <t>Khay O-tidy, Vitra, model 20315204, Kích thước DI220 x H80 mm, bằng nhựa, dùng để đựng đồ dùng, màu poppy red, mới 100%</t>
  </si>
  <si>
    <t>20315206</t>
  </si>
  <si>
    <t>ACCVT00034</t>
  </si>
  <si>
    <t>O-Tidy
 DI220 x H80 mm
 sea blue
 Material: ABS plastic.</t>
  </si>
  <si>
    <t>Khay O-tidy, Vitra, model 20315206, Kích thước DI220 x H80 mm, bằng nhựa, màu sea blue, mới 100%</t>
  </si>
  <si>
    <t>20315203</t>
  </si>
  <si>
    <t>ACCVT00035</t>
  </si>
  <si>
    <t>O-Tidy
 DI220 x H80 mm
 sky grey
 Material: ABS plastic.</t>
  </si>
  <si>
    <t>Khay O-tidy, Vitra, model 20315203, Kích thước DI220 x H80 mm, bằng nhựa, dùng để đựng đồ dùng, màu sky grey, mới 100%</t>
  </si>
  <si>
    <t>20315202</t>
  </si>
  <si>
    <t>ACCVT00036</t>
  </si>
  <si>
    <t>O-Tidy
 DI220 x H80 mm
 white
 Material: ABS plastic.</t>
  </si>
  <si>
    <t>Khay O-tidy, Vitra, model 20315202, Kích thước DI220 x H80mm, bằng nhựa, dùng để đựng đồ dùng,  màu white, mới 100%</t>
  </si>
  <si>
    <t>20315205</t>
  </si>
  <si>
    <t>ACCVT00037</t>
  </si>
  <si>
    <t>O-Tidy
 DI220 x H80 mm
 yellow
 Material: ABS plastic.</t>
  </si>
  <si>
    <t>Khay O-tidy, Vitra, model 20315205, Kích thước DI220 x H80mm, bằng nhựa, dùng để đựng đồ dùng, màu yellow, mới 100%</t>
  </si>
  <si>
    <t>20315301</t>
  </si>
  <si>
    <t>ACCVT00038</t>
  </si>
  <si>
    <t>S-Tidy
 L315 x 250 x 80 mm
 dark grey
 Material: ABS plastic.</t>
  </si>
  <si>
    <t>Khay S-tidy, Vitra, model 20315301, Kích thước L315 x 250 x 80mm, bằng nhựa, dùng để đựng đồ dùng treo tường, màu dark grey, mới 100%</t>
  </si>
  <si>
    <t>20315304</t>
  </si>
  <si>
    <t>ACCVT00039</t>
  </si>
  <si>
    <t>S-Tidy
 L315 x 250 x 80 mm
 poppy red
 Material: ABS plastic.</t>
  </si>
  <si>
    <t>Khay S-tidy, Vitra, model 20315304, Kích thước L315 x 250 x 80mm, bằng nhựa, dùng để đựng đồ dùng treo tường, màu poppy red, mới 100%</t>
  </si>
  <si>
    <t>20315306</t>
  </si>
  <si>
    <t>ACCVT00040</t>
  </si>
  <si>
    <t>S-Tidy
 L315 x 250 x 80 mm
 sea blue
 Material: ABS plastic.</t>
  </si>
  <si>
    <t>Khay S-tidy, Vitra, model 20315306, Kích thước L315 x 250 x 80mm, bằng nhựa, dùng để đựng đồ dùng treo tường, màu sea blue, mới 100%</t>
  </si>
  <si>
    <t>20315303</t>
  </si>
  <si>
    <t>ACCVT00041</t>
  </si>
  <si>
    <t>S-Tidy
 L315 x 250 x 80 mm
 sky grey
 Material: ABS plastic.</t>
  </si>
  <si>
    <t>Khay S-tidy, Vitra, model 20315303, Kích thước L315 x 250 x 80mm, bằng nhựa, dùng để đựng đồ dùng treo tường, màu sky grey, mới 100%</t>
  </si>
  <si>
    <t>20315302</t>
  </si>
  <si>
    <t>ACCVT00042</t>
  </si>
  <si>
    <t>S-Tidy
 L315 x 250 x 80 mm
 white
 Material: ABS plastic.</t>
  </si>
  <si>
    <t>Khay S-tidy, Vitra, model 20315302, Kích thước L315 x 250 x 80mm, bằng nhựa, dùng để đựng đồ dùng treo tường, màu white, mới 100%</t>
  </si>
  <si>
    <t>20315305</t>
  </si>
  <si>
    <t>ACCVT00043</t>
  </si>
  <si>
    <t>S-Tidy
 L315 x 250 x 80 mm
 yellow
 Material: ABS plastic.</t>
  </si>
  <si>
    <t>Khay S-tidy, Vitra, model 20315305, Kích thước L315 x 250 x 80mm, bằng nhựa, dùng để đựng đồ dùng treo tường, màu yellow, mới 100%</t>
  </si>
  <si>
    <t>20129001</t>
  </si>
  <si>
    <t>ACCVT00044</t>
  </si>
  <si>
    <t>Uten.Silo I
 H 870 x W 670 x D 65 mm
 White
 Material: ABS plastic.
 Hooks: nickle-plated metal.</t>
  </si>
  <si>
    <t>Bộ khay treo tường Uten.silo I, Vitra, model 20129001, kích thước H 870 x W 670 x D 65 mm, bằng nhựa, dùng để đựng đồ dùng, màu trắng, mới 100%</t>
  </si>
  <si>
    <t>20129003</t>
  </si>
  <si>
    <t>ACCVT00045</t>
  </si>
  <si>
    <t>Uten.Silo I
 H 870 x W 670 x D 65 mm
 Red
 Material: ABS plastic.
 Hooks: nickle-plated metal.</t>
  </si>
  <si>
    <t>Bộ khay treo tường Uten.silo I, Vitra, model 20129003, kích thước H 870 x W 670 x D 65 mm, bằng nhựa, dùng để đựng đồ dùng, màu đỏ, mới 100%</t>
  </si>
  <si>
    <t>20129002</t>
  </si>
  <si>
    <t>ACCVT00046</t>
  </si>
  <si>
    <t>Uten.Silo I
 H 870 x W 670 x D 65 mm
 Black
 Material: ABS plastic.
 Hooks: nickle-plated metal.</t>
  </si>
  <si>
    <t>Bộ khay treo tường Uten.silo I, Vitra, model 20129002, kích thước H 870 x W 670 x D 65 mm, bằng nhựa, dùng để đựng đồ dùng,  màu đen, mới 100%</t>
  </si>
  <si>
    <t>20129501</t>
  </si>
  <si>
    <t>ACCVT00047</t>
  </si>
  <si>
    <t>Uten.Silo II
 H 680 x W 520 x D 65 mm
 White
 Material: ABS plastic.
 Hooks: nickle-plated metal.</t>
  </si>
  <si>
    <t>Bộ khay treo tường Uten.silo II, Vitra, model 20129501, kích thước H 680 x W 520 x D 65 mm, bằng nhựa, dùng để đựng đồ dùng, màu trắng, mới 100%</t>
  </si>
  <si>
    <t>20129503</t>
  </si>
  <si>
    <t>ACCVT00048</t>
  </si>
  <si>
    <t>Uten.Silo II
 H 680 x W 520 x D 65 mm
 Red
 Material: ABS plastic.
 Hooks: nickle-plated metal.</t>
  </si>
  <si>
    <t>Bộ khay treo tường Uten.silo II, Vitra, model 20129503, kích thước H 680 x W 520 x D 65 mm, bằng nhựa, dùng để đựng đồ dùng, màu đỏ, mới 100%</t>
  </si>
  <si>
    <t>20129502</t>
  </si>
  <si>
    <t>ACCVT00049</t>
  </si>
  <si>
    <t>Uten.Silo II
 H 680 x W 520 x D 65 mm
 Black
 Material: ABS plastic.
 Hooks: nickle-plated metal.</t>
  </si>
  <si>
    <t>Bộ khay treo tường Uten.silo II, Vitra, model 20129502, kích thước H 680 x W 520 x D 65 mm, bằng nhựa, dùng để đựng đồ dùng, màu đen, mới 100%</t>
  </si>
  <si>
    <t>21506001</t>
  </si>
  <si>
    <t>ACCVT00050</t>
  </si>
  <si>
    <t>Corniches small
 L210 x W144 x H116 mm
 white
 Shell: ASA plastic, high-gloss surface.
 Wall bracket: polyamide.</t>
  </si>
  <si>
    <t>Kệ treo tường Corniches small, Vitra model 21506001, kích thước L210 x W144 x H116 mm, bằng nhựa, màu trắng, mới 100%</t>
  </si>
  <si>
    <t>94037090</t>
  </si>
  <si>
    <t>21506004</t>
  </si>
  <si>
    <t>ACCVT00051</t>
  </si>
  <si>
    <t>Corniches small
 L210 x W144 x H116 mm
 orange
 Shell: ASA plastic, high-gloss surface.
 Wall bracket: polyamide.</t>
  </si>
  <si>
    <t>Kệ treo tường Corniches small, Vitra,  model 21506004, kích thước L210 x W144 x H116 mm, bằng nhựa, màu cam, mới 100%</t>
  </si>
  <si>
    <t>21506003</t>
  </si>
  <si>
    <t>ACCVT00052</t>
  </si>
  <si>
    <t>Corniches small
 L210 x W144 x H116 mm
 Japanese red
 Shell: ASA plastic, high-gloss surface.
 Wall bracket: polyamide.</t>
  </si>
  <si>
    <t>Kệ treo tường Corniches small, Vitra,  model 21506003, kích thước L210 x W144 x H116 mm, bằng nhựa, màu Japanese red, mới 100%</t>
  </si>
  <si>
    <t>21506006</t>
  </si>
  <si>
    <t>ACCVT00053</t>
  </si>
  <si>
    <t>Corniches small
 L210 x W144 x H116 mm
 khaki
 Shell: ASA plastic, high-gloss surface.
 Wall bracket: polyamide.</t>
  </si>
  <si>
    <t>Kệ treo tường Corniches small, Vitra,  model 21506006, kích thước L210 x W144 x H116 mm, bằng nhựa, màu Khaki, mới 100%</t>
  </si>
  <si>
    <t>21506002</t>
  </si>
  <si>
    <t>ACCVT00054</t>
  </si>
  <si>
    <t>Corniches small
 L210 x W144 x H116 mm
 black
 Shell: ASA plastic, high-gloss surface.
 Wall bracket: polyamide.</t>
  </si>
  <si>
    <t>Kệ treo tường Corniches small, Vitra,  model 21506002, kích thước L210 x W144 x H116 mm, bằng nhựa, màu đen, mới 100%</t>
  </si>
  <si>
    <t>21506101</t>
  </si>
  <si>
    <t>ACCVT00055</t>
  </si>
  <si>
    <t>Corniches medium
 L352 x W148 x H88 mm
 white
 Shell: ASA plastic, high-gloss surface.
 Wall bracket: polyamide.</t>
  </si>
  <si>
    <t>Kệ treo tường Corniches medium, Vitra,  model 21506101, kích thước L352 x W148 x H88 mm, bằng nhựa, màu trắng, mới 100%</t>
  </si>
  <si>
    <t>21506104</t>
  </si>
  <si>
    <t>ACCVT00056</t>
  </si>
  <si>
    <t>Corniches medium
 L352 x W148 x H88 mm
 orange
 Shell: ASA plastic, high-gloss surface.
 Wall bracket: polyamide.</t>
  </si>
  <si>
    <t>Kệ treo tường Corniches medium, Vitra,  model 21506104, kích thước L352 x W148 x H88 mm, bằng nhựa, màu cam, mới 100%</t>
  </si>
  <si>
    <t>21506103</t>
  </si>
  <si>
    <t>ACCVT00057</t>
  </si>
  <si>
    <t>Corniches medium
 L352 x W148 x H88 mm
 Japanese red
 Shell: ASA plastic, high-gloss surface.
 Wall bracket: polyamide.</t>
  </si>
  <si>
    <t>Kệ treo tường Corniches medium, Vitra,  model 21506103, kích thước L352 x W148 x H88 mm, bằng nhựa, màu Japanese red, mới 100%</t>
  </si>
  <si>
    <t>21506106</t>
  </si>
  <si>
    <t>ACCVT00058</t>
  </si>
  <si>
    <t>Corniches medium
 L352 x W148 x H88 mm
 khaki
 Shell: ASA plastic, high-gloss surface.
 Wall bracket: polyamide.</t>
  </si>
  <si>
    <t>Kệ treo tường Corniches medium, Vitra,  model 21506106, kích thước L352 x W148 x H88 mm, bằng nhựa, màu Khaki, mới 100%</t>
  </si>
  <si>
    <t>21506102</t>
  </si>
  <si>
    <t>ACCVT00059</t>
  </si>
  <si>
    <t>Corniches medium
 L352 x W148 x H88 mm
 black
 Shell: ASA plastic, high-gloss surface.
 Wall bracket: polyamide.</t>
  </si>
  <si>
    <t>Kệ treo tường Corniches medium, Vitra,  model 21506102, kích thước L352 x W148 x H88 mm, bằng nhựa, màu đen, mới 100%</t>
  </si>
  <si>
    <t>21506201</t>
  </si>
  <si>
    <t>ACCVT00060</t>
  </si>
  <si>
    <t>Corniches large 
 L455 x W219 x H86 mm
 white
 Shell: ASA plastic, high-gloss surface.
 Wall bracket: polyamide.</t>
  </si>
  <si>
    <t>Kệ treo tường Corniches large, Vitra,  model 21506201, kích thước L455 x W219 x H86 mm, bằng nhựa, màu trắng, mới 100%</t>
  </si>
  <si>
    <t>21506204</t>
  </si>
  <si>
    <t>ACCVT00061</t>
  </si>
  <si>
    <t>Corniches large 
 L455 x W219 x H86 mm
 orange
 Shell: ASA plastic, high-gloss surface.
 Wall bracket: polyamide.</t>
  </si>
  <si>
    <t>Kệ treo tường Corniches large, Vitra,  model 21506204, kích thước L455 x W219 x H86 mm, bằng nhựa, màu cam, mới 100%</t>
  </si>
  <si>
    <t>21506203</t>
  </si>
  <si>
    <t>ACCVT00062</t>
  </si>
  <si>
    <t>Corniches large 
 L455 x W219 x H86 mm
 Japanese red
 Shell: ASA plastic, high-gloss surface.
 Wall bracket: polyamide.</t>
  </si>
  <si>
    <t>Kệ treo tường Corniches large, Vitra,  model 21506203, kích thước L455 x W219 x H86 mm, bằng nhựa, màu Japanese red, mới 100%</t>
  </si>
  <si>
    <t>21506206</t>
  </si>
  <si>
    <t>ACCVT00063</t>
  </si>
  <si>
    <t>Corniches large 
 L455 x W219 x H86 mm
 khaki
 Shell: ASA plastic, high-gloss surface.
 Wall bracket: polyamide.</t>
  </si>
  <si>
    <t>Kệ treo tường Corniches large, Vitra,  model 21506206, kích thước L455 x W219 x H86 mm, bằng nhựa, màu Khaki, mới 100%</t>
  </si>
  <si>
    <t>21506202</t>
  </si>
  <si>
    <t>ACCVT00064</t>
  </si>
  <si>
    <t>Corniches large 
 L455 x W219 x H86 mm
 black
 Shell: ASA plastic, high-gloss surface.
 Wall bracket: polyamide.</t>
  </si>
  <si>
    <t>Kệ treo tường Corniches large, Vitra,  model 21506202, kích thước L455 x W219 x H86 mm, bằng nhựa, màu đen, mới 100%</t>
  </si>
  <si>
    <t>20116402</t>
  </si>
  <si>
    <t>ACCVT00065</t>
  </si>
  <si>
    <t>Coat Dots, set of 3
 DI50 x H50-75 mm
 green
 Balls: beech wood, painted in various colours.
 Wall mount: aluminium.
 Product contents: 3 balls, incl. screws and wall plugs for installation.</t>
  </si>
  <si>
    <t>Bộ 3 móc treo tường Coat dots, Vitra, model 20116402, Kích thước DI50 x H50-75 mm, bằng gỗ, màu xanh, mới 100%</t>
  </si>
  <si>
    <t>83025000</t>
  </si>
  <si>
    <t>20116403</t>
  </si>
  <si>
    <t>ACCVT00067</t>
  </si>
  <si>
    <t>Coat Dots, set of 3
 DI50 x H50-75 mm
 white
 Balls: beech wood, painted in various colours.
 Wall mount: aluminium.
 Product contents: 3 balls, incl. screws and wall plugs for installation.</t>
  </si>
  <si>
    <t>Bộ 3 móc treo tường Coat dots, Vitra, model 20116403, Kích thước DI50 x H50-75 mm, bằng  gỗ, màu trắng, mới 100%</t>
  </si>
  <si>
    <t>20139119</t>
  </si>
  <si>
    <t>ACCVT00068</t>
  </si>
  <si>
    <t>Toolbox RE
 H 156 x W 327 x D 167 mm
 pale rose RE
 post-industrial recycled ABS plastic, 100% reyclable.</t>
  </si>
  <si>
    <t>Hộp dụng cụ có tay cầm Toolbox RE, Vitra, model 20139119, Kích thước H 156 x W 327 x D 167 mm, bằng nhựa, màu pale rose, mới 100%</t>
  </si>
  <si>
    <t>20139116</t>
  </si>
  <si>
    <t>ACCVT00069</t>
  </si>
  <si>
    <t>Toolbox RE
 H 156 x W 327 x D 167 mm
 mint green RE
 post-industrial recycled ABS plastic, 100% reyclable.</t>
  </si>
  <si>
    <t>Hộp dụng cụ có tay cầm Toolbox RE, Vitra, model 20139116, Kích thước H 156 x W 327 x D 167 mm, bằng nhựa, màu mint green, mới 100%</t>
  </si>
  <si>
    <t>20138501</t>
  </si>
  <si>
    <t>ACCVT00070</t>
  </si>
  <si>
    <t>Toolbox RE
 H 156 x W 327 x D 167 mm
 grey RE
 recycled polypropylene, 100% recyclable.</t>
  </si>
  <si>
    <t>Hộp dụng cụ có tay cầm Toolbox RE, Vitra, model 20138501, Kích thước H 156 x W 327 x D 167 mm, bằng nhựa, màu mint grey, mới 100%</t>
  </si>
  <si>
    <t>20139121</t>
  </si>
  <si>
    <t>ACCVT00071</t>
  </si>
  <si>
    <t>Toolbox RE
 H 156 x W 327 x D 167 mm
 white RE
 post-industrial recycled ABS plastic, 100% reyclable.</t>
  </si>
  <si>
    <t>Hộp dụng cụ có tay cầm Toolbox RE, Vitra, model 20139121, Kích thước H 156 x W 327 x D 167 mm, bằng nhựa, màu trắng, mới 100%</t>
  </si>
  <si>
    <t>20139120</t>
  </si>
  <si>
    <t>ACCVT00072</t>
  </si>
  <si>
    <t>Toolbox RE
 H 156 x W 327 x D 167 mm
 sea blue RE
 post-industrial recycled ABS plastic, 100% reyclable.</t>
  </si>
  <si>
    <t>Hộp dụng cụ có tay cầm Toolbox RE, Vitra, model 20139120, Kích thước H 156 x W 327 x D 167 mm, bằng nhựa, màu sea blue, mới 100%</t>
  </si>
  <si>
    <t>20139117</t>
  </si>
  <si>
    <t>ACCVT00073</t>
  </si>
  <si>
    <t>Toolbox RE
 H 156 x W 327 x D 167 mm
 tangerine RE
 post-industrial recycled ABS plastic, 100% reyclable.</t>
  </si>
  <si>
    <t>Hộp dụng cụ có tay cầm Toolbox RE, Vitra, model 20139117, Kích thước H 156 x W 327 x D 167 mm, bằng nhựa, màu tangerine, mới 100%</t>
  </si>
  <si>
    <t>20164205</t>
  </si>
  <si>
    <t>ACCVT00074</t>
  </si>
  <si>
    <t>Nuage (céramique)
 large
 L195 x W110 x H270 mm
 white
 Material: ceramic, rubber stoppers.</t>
  </si>
  <si>
    <t>Bình hoa Nuage, Vitra, size lớn, Model 20164205, kích thước L195 x W110 x H270 mm, bằng gốm, màu trắng, mới 100%</t>
  </si>
  <si>
    <t>69149000</t>
  </si>
  <si>
    <t>20164105</t>
  </si>
  <si>
    <t>ACCVT00075</t>
  </si>
  <si>
    <t>Nuage (céramique)
 medium
 L195 x W110 x H160 mm
 white
 Material: ceramic, rubber stoppers.</t>
  </si>
  <si>
    <t>Bình hoa Nuage, Vitra, size vừa, model 20164105, kích thước L195 x W110 x H160 mm, bằng gốm, màu trắng, mới 100%</t>
  </si>
  <si>
    <t>20164005</t>
  </si>
  <si>
    <t>ACCVT00076</t>
  </si>
  <si>
    <t>Nuage (céramique)
 small
 L195 x W110 x H80 mm
 white
 Material: ceramic, rubber stoppers.</t>
  </si>
  <si>
    <t>Bình hoa Nuage, Vitra, size nhỏ, model 20164005, kích thước L195 x W110 x H80 mm, bằng gốm, màu trắng, mới 100%</t>
  </si>
  <si>
    <t>20164201</t>
  </si>
  <si>
    <t>ACCVT00077</t>
  </si>
  <si>
    <t>Nuage, large
 L195 x W110 x H300 mm
 ivy
 Material: anodised aluminium, rubber stoppers.</t>
  </si>
  <si>
    <t>Bình hoa Nuage, Vitra, size lớn, model 20164201, kích thước L195 x W110 x H300 mm, bằng kim loại, màu xanh ivy, mới 100%</t>
  </si>
  <si>
    <t>20164202</t>
  </si>
  <si>
    <t>ACCVT00078</t>
  </si>
  <si>
    <t>Nuage, large
 L195 x W110 x H300 mm
 light silver
 Material: anodised aluminium, rubber stoppers.</t>
  </si>
  <si>
    <t>Bình hoa Nuage, Vitra, size lớn, model 20164202, kích thước L195 x W110 x H300 mm, bằng kim loại, màu light silver, mới 100%</t>
  </si>
  <si>
    <t>20164206</t>
  </si>
  <si>
    <t>ACCVT00079</t>
  </si>
  <si>
    <t>Bình hoa Nuage, Vitra, size lớn, model 20164206, kích thước L195 x W110 x H300 mm, bằng kim loại, màu burnt orange, mới 100%</t>
  </si>
  <si>
    <t>20164101</t>
  </si>
  <si>
    <t>ACCVT00080</t>
  </si>
  <si>
    <t>Nuage, medium
 L195 x W110 x H240 mm
 ivy
 Material: anodised aluminium, rubber stoppers.</t>
  </si>
  <si>
    <t>Bình hoa Nuage, Vitra, size vừa, model 20164101, kích thước L195 x W110 x H240 mm, bằng kim loại, màu xanh ivy, mới 100%</t>
  </si>
  <si>
    <t>20164102</t>
  </si>
  <si>
    <t>ACCVT00081</t>
  </si>
  <si>
    <t>Nuage, medium
 L195 x W110 x H240 mm
 light silver
 Material: anodised aluminium, rubber stoppers.</t>
  </si>
  <si>
    <t>Bình hoa Nuage, Vitra, size vừa, model 20164102, kích thước L195 x W110 x H240 mm, bằng kim loại, màu light silver, mới 100%</t>
  </si>
  <si>
    <t>20164106</t>
  </si>
  <si>
    <t>ACCVT00082</t>
  </si>
  <si>
    <t>Nuage, medium
 L195 x W110 x H240 mm
 burnt orange
 Material: anodised aluminium, rubber stoppers.</t>
  </si>
  <si>
    <t>Bình hoa Nuage, Vitra, size vừa, model 20164106, kích thước L195 x W110 x H240 mm, bằng kim loại, màu burnt orange, mới 100%</t>
  </si>
  <si>
    <t>20164001</t>
  </si>
  <si>
    <t>ACCVT00083</t>
  </si>
  <si>
    <t>Nuage, small
 L195 x W110 x H130 mm
 ivy
 Material: anodised aluminium, rubber stoppers.</t>
  </si>
  <si>
    <t>Bình hoa Nuage, Vitra, size nhỏ, model 20164001, kích thước L195 x W110 x H130 mm mm, bằng kim loại, màu xanh ivy, mới 100%</t>
  </si>
  <si>
    <t>20164002</t>
  </si>
  <si>
    <t>ACCVT00084</t>
  </si>
  <si>
    <t>Nuage, small
 L195 x W110 x H130 mm
 light silver
 Material: anodised aluminium, rubber stoppers.</t>
  </si>
  <si>
    <t>Bình hoa Nuage, Vitra, size nhỏ, model 20164002, kích thước L195 x W110 x H130 mm, bằng kim loại, màu light silver, mới 100%</t>
  </si>
  <si>
    <t>20164006</t>
  </si>
  <si>
    <t>ACCVT00085</t>
  </si>
  <si>
    <t>Nuage, small
 L195 x W110 x H130 mm
 burnt orange
 Material: anodised aluminium, rubber stoppers.</t>
  </si>
  <si>
    <t>Bình hoa Nuage, Vitra, size nhỏ, model 20164006, kích thước L195 x W110 x H130 mm, bằng kim loại, màu burnt orange, mới 100%</t>
  </si>
  <si>
    <t>ACCVT00087</t>
  </si>
  <si>
    <t>Ball Clock
 DI330 mm
 multicolored
 Materials: various types of wood and metal.</t>
  </si>
  <si>
    <t>Đồng hồ treo tường Ball clock, Vitra, model 20125001, kích thước DI330mm, bằng gỗ và kim loại, màu cam, mới 100%</t>
  </si>
  <si>
    <t>91052900</t>
  </si>
  <si>
    <t>20125003</t>
  </si>
  <si>
    <t>ACCVT00086</t>
  </si>
  <si>
    <t>Ball Clock
 DI330 mm
 orange
 Materials: various types of wood and metal.</t>
  </si>
  <si>
    <t>Đồng hồ treo tường Ball clock, Vitra, model 20125003, kích thước DI330mm, bằng gỗ và kim loại, nhiều màu, mới 100%</t>
  </si>
  <si>
    <t>Art</t>
  </si>
  <si>
    <t>20550433</t>
  </si>
  <si>
    <t>APAVT00001</t>
  </si>
  <si>
    <t>Poster Bouroullec (Bicolor)
20550433 - VDM poster, Ronan Bouroullec
Drawings 2018-2019, bicolour
Format 67.5 x 67.5 cm</t>
  </si>
  <si>
    <t>Poster Bouroullec (Bicolor), Vitra, model 20550433, kích thước 67.5 x 67.5 cm</t>
  </si>
  <si>
    <t>20550434</t>
  </si>
  <si>
    <t>APAVT00002</t>
  </si>
  <si>
    <t>Poster Bouroullec (Green)
20550434 - VDM poster, Ronan Bouroullec
Drawings 2018-2019, green
Format 50 x 67.5 cm</t>
  </si>
  <si>
    <t>Poster Bouroullec (Green), Vitra, model 20550434, kích thước 50 x 67.5 cm</t>
  </si>
  <si>
    <t>20550432</t>
  </si>
  <si>
    <t>APAVT00003</t>
  </si>
  <si>
    <t>Poster Bouroullec (Multicolor)
20550432 - VDM poster Ronan Bouroullec
Drawings 2018-2019, multicolour
Format 67.5 x 67.5 cm</t>
  </si>
  <si>
    <t>Poster Bouroullec (Multicolor), Vitra, model 20550432, kích thước 67.5 x 67.5 cm</t>
  </si>
  <si>
    <t>20550435</t>
  </si>
  <si>
    <t>APAVT00004</t>
  </si>
  <si>
    <t>Poster Bouroullec (Orange)
20550435 - VDM poster, Ronan Bouroullec
Drawings 2018-2019, orange
Format 50 x 67.5 cm</t>
  </si>
  <si>
    <t>Poster Bouroullec (Orange), Vitra, model 20550435, kích thước 50 x 67.5cm</t>
  </si>
  <si>
    <t>20550801</t>
  </si>
  <si>
    <t>APAVT00005</t>
  </si>
  <si>
    <t>The Chair Collection Poster
Size: 841 x 1189 mm (A0)
Material: 250 g/m² matt-coated paper
Delivery scope: rolled in tube</t>
  </si>
  <si>
    <t>Poster The Chair Collection, Vitra, model 20550801, kích thước 841 x 1189 mm (A0)</t>
  </si>
  <si>
    <t>44003500</t>
  </si>
  <si>
    <t>CHRVT00007</t>
  </si>
  <si>
    <t>Panton Chair (new height)
 Polypropylene
 Colour: white
 Dimensions: 610x500x860mm
 Seat heigh: 440mm</t>
  </si>
  <si>
    <t>Ghế Panton Chair (new height), Vitra, model 44003500, kích thước 610x500x860mm, bằng nhựa, màu trắng, mới 100%</t>
  </si>
  <si>
    <t>CHRVT00008</t>
  </si>
  <si>
    <t>Panton Chair (new height)
 Polypropylene
 Colour: soft mint
 Dimensions: 500x610x860mm
 Seat heigh: 440mm</t>
  </si>
  <si>
    <t>Ghế Panton Chair (new height), Vitra, model 44003500, kích thước 610x500x860mm, bằng nhựa, màu soft mint, mới 100%</t>
  </si>
  <si>
    <t>CHRVT00009</t>
  </si>
  <si>
    <t>Panton Chair (new height)
 Polypropylene
 Colour: deep black
 Dimensions: 500x610x860mm
 Seat heigh: 440mm</t>
  </si>
  <si>
    <t>Ghế Panton Chair (new height), Vitra, model 44003500, kích thước 610x500x860mm, bằng nhựa, màu đen, mới 100%</t>
  </si>
  <si>
    <t>CHRVT00010</t>
  </si>
  <si>
    <t>Panton Chair (new height)
 Polypropylene
 Colour: classic red
 Dimensions: 500x610x860mm
 Seat heigh: 440mm</t>
  </si>
  <si>
    <t>Ghế Panton Chair (new height), Vitra,  model 44003500, kích thước 610x500x860mm, bằng nhựa, màu classic red, mới 100%</t>
  </si>
  <si>
    <t>CHRVT00011</t>
  </si>
  <si>
    <t>Panton Chair (new height)
 Polypropylene
 Colour: glacier blue
 Dimensions: 500x610x860mm
 Seat heigh: 440mm</t>
  </si>
  <si>
    <t>Ghế Panton Chair (new height), Vitra, model 44003500, kích thước 610x500x860mm, bằng nhựa, màu glacier blue, mới 100%</t>
  </si>
  <si>
    <t>CHRVT00012</t>
  </si>
  <si>
    <t>Panton Chair (new height)
 Polypropylene
 Colour: Pale rose
 Dimensions: 500x610x860mm
 Seat heigh: 440mm</t>
  </si>
  <si>
    <t>Ghế Panton Chair (new height), Vitra, model 44003500, kích thước 610x500x860mm, bằng nhựa, màu pale rose, mới 100%</t>
  </si>
  <si>
    <t>CHRVT00013</t>
  </si>
  <si>
    <t>Panton Chair (new height)
 Polypropylene
 Colour: bordeaux
 Dimensions: 500x610x860mm
 Seat heigh: 440mm</t>
  </si>
  <si>
    <t xml:space="preserve">
Ghế Panton Chair (new height), Vitra, model 44003500, kích thước 610x500x860mm, bằng nhựa, màu bordeaux, mới 100%</t>
  </si>
  <si>
    <t>95030040</t>
  </si>
  <si>
    <t>21043500</t>
  </si>
  <si>
    <t>CHRVT00014</t>
  </si>
  <si>
    <t>Standard
 Base: Black powder coated, brown glides
 Base on: glides for carpet
 Dimensions: 420x490x820mm
 Seat heigh: 465mm</t>
  </si>
  <si>
    <t>Ghế Standard, Vitra, model 21043500, kích thước 420x490x820mm,  mặt ghế và tựa lưng bằng gỗ, khung kim loại, màu đen, mới 100%</t>
  </si>
  <si>
    <t>CHRVT00015</t>
  </si>
  <si>
    <t>Standard
 Base: Japanese red powder coated, brown glides
 Base on: glides for carpet
 Dimensions: 420x490x820mm
 Seat heigh: 465mm</t>
  </si>
  <si>
    <t>Ghế Standard, Vitra, model 21043500, kích thước 420x490x820mm,  mặt ghế và tựa lưng bằng gỗ, khung kim loại, màu Japanese red, mới 100%</t>
  </si>
  <si>
    <t>CHRVT00016</t>
  </si>
  <si>
    <t>Standard
 Base: Prouvé Blanc Colombe (Ecru) powder-coated (smooth), brown glides
 Seat and backrest in wood: natural oak, with protective varnish
 Base on: glides for carpet
 Dimensions: 420x490x820mm
 Seat heigh: 465mm</t>
  </si>
  <si>
    <t>Ghế Standard, Vitra, model 21043500, kích thước 420x490x820mm,  mặt ghế và tựa lưng bằng gỗ, khung kim loại, màu prouvé blanc Colombe (Ecru), mới 100%</t>
  </si>
  <si>
    <t>CHRVT00017</t>
  </si>
  <si>
    <t>Standard
 Base: Prouvé Bleu Marcoule powder-coated (smooth), brown glides
 Seat and backrest in wood: natural oak, with protective varnish
 Base on: glides for carpet
 Dimensions: 420x490x820mm
 Seat heigh: 465mm</t>
  </si>
  <si>
    <t xml:space="preserve">
Ghế Standard, Vitra, model 21043500, kích thước 420x490x820mm,  mặt ghế và tựa lưng bằng gỗ, khung kim loại, màu prouvé blue marcoule, mới 100%</t>
  </si>
  <si>
    <t>21043600</t>
  </si>
  <si>
    <t>CHRVT00018</t>
  </si>
  <si>
    <t>Standard SP
 Base: deep black (smooth), brown glides
 Base on: glides for carpet
 Dimensions: 420x490x820mm
 Seat heigh: 465mm</t>
  </si>
  <si>
    <t>Ghế Standard SP, Vitra, model 21043600, kích thước 420x490x820mm,  mặt ghế và tựa lưng bằng gỗ, khung kim loại, màu deep black, mới 100%</t>
  </si>
  <si>
    <t>CHRVT00019</t>
  </si>
  <si>
    <t>Standard SP
 Base: prouve bleu marcoule (smooth), brown glides
 Base on: glides for carpet
 Dimensions: 420x490x820mm
 Seat heigh: 465mm</t>
  </si>
  <si>
    <t>Ghế Standard SP, Vitra, model 21043600, kích thước 420x490x820mm,  mặt ghế và tựa lưng bằng gỗ, khung kim loại, màu prouvé blue marcoule, mới 100%</t>
  </si>
  <si>
    <t>CHRVT00020</t>
  </si>
  <si>
    <t>Standard SP
 Base: prouve bleu dynastie (smooth), brown glides
 Base on: glides for carpet
 Dimensions: 420x490x820mm
 Seat heigh: 465mm</t>
  </si>
  <si>
    <t>Ghế Standard SP, Vitra, model 21043600, kích thước 420x490x820mm,  mặt ghế và tựa lưng bằng gỗ, khung kim loại, màu prouve bleu dynastie, mới 100%</t>
  </si>
  <si>
    <t>CHRVT00021</t>
  </si>
  <si>
    <t>Standard SP
 Base: prouve blanc colombe (smooth), brown glides
 Base on: glides for carpet
 Dimensions: 420x490x820mm
 Seat heigh: 465mm</t>
  </si>
  <si>
    <t>Ghế Standard SP, Vitra, model 21043600, kích thước 420x490x820mm, mặt ghế và tựa lưng bằng gỗ, khung kim loại, màu prouve blanc colombe, mới 100%</t>
  </si>
  <si>
    <t>44023000</t>
  </si>
  <si>
    <t>CHRVT00022</t>
  </si>
  <si>
    <t>Tip ton
 white
 L555 x W509 x H786 mm | SH462
 Back, seat, base: dyed-through polypropylene, 100 % recyclable.
 Glides: polyethylene.</t>
  </si>
  <si>
    <t>Ghế Tip ton, Vitra, model 44023000, kích thước L555 x W509 x H786 mm, bằng nhựa, màu trắng, mới 100%</t>
  </si>
  <si>
    <t>21064900</t>
  </si>
  <si>
    <t>CHRVT00023</t>
  </si>
  <si>
    <t>Moca four-legged chair
 Base: chrome-plated
 Seat and backrest colour: natural oak, with protective varnish
 Base on: glides for carpet
 Dimensions: 485x505x790mm
 Seat heigh: 465mm</t>
  </si>
  <si>
    <t>Ghế Moca 4 chân, Vitra, model 21064900, kích thước 485x505x790mm, bằng gỗ và kim loại, màu gỗ oak tự nhiên, mới 100%</t>
  </si>
  <si>
    <t>44047800</t>
  </si>
  <si>
    <t>CHRVT00024</t>
  </si>
  <si>
    <t>EVO-C
 full plastic chair
 polypropylene, 100% recyclable
 Seat shell colour: ivory
 Packaging: standard packaging, in plastic bag
 Dimensions: 465x510x815mm
 Seat heigh: 440mm</t>
  </si>
  <si>
    <t>Ghế EVO-C, Vitra, model 44047800, kích thước 465x510x815mm, bằng nhựa, màu ivory, mới 100%</t>
  </si>
  <si>
    <t>21043700</t>
  </si>
  <si>
    <t>CLGVT00001</t>
  </si>
  <si>
    <t>Cité
 Base: Japanese red (smooth)
 Upholstery: mello
 Cover colour: pearl
 Base on: glides for carpet
 Dimensions: 680x950x840mm
 Seat heigh: 335mm</t>
  </si>
  <si>
    <t>Ghế lounge Cité, Vitra, model 21043700, kích thước 680x950x840mm, khung kim loại, bọc vải Mello, màu pearl, chân màu Japanese red, mới 100%</t>
  </si>
  <si>
    <t>41210001</t>
  </si>
  <si>
    <t>CLGVT00002</t>
  </si>
  <si>
    <t>La Chaise
 shell polyurethane, white lacquered
 base tubular steel chrome-plated
 cruciform base solid natural oak
 with protective varnish
 Dimensions: 1470x870x880mm</t>
  </si>
  <si>
    <t>Ghế lounge La Chaise,Vitra, model 41210001, kích thước 1470x870x880mm, bằng nhựa, màu trắng, mới 100%</t>
  </si>
  <si>
    <t>40600300</t>
  </si>
  <si>
    <t>CLGVT00003</t>
  </si>
  <si>
    <t>Heart Cone Chair
 Cover material: Tonus
 Cover colour: dark magenta
 Dimensions: 1030x625x890mm
 Seat heigh: 395mm</t>
  </si>
  <si>
    <t>Ghế Lounge Heart cone, Vitra, model 40600300, kích thước 1030x625x890mm, khung kim loại, bọc vải Tonus, màu dark magenta, mới 100%</t>
  </si>
  <si>
    <t>21059200</t>
  </si>
  <si>
    <t>CLGVT00004</t>
  </si>
  <si>
    <t>Grand Relax &amp; Ottoman
 Base colour: basic dark
 Cover material: Leather Premium F
 Cover colour: brandy
 Cover back/seat contour: Leather Forte
 Colour back/seat contour: nero
 Seat height of chair: low
 Base on: glides for carpet
 Dimensions: 690x810x1060mm
 Seat heigh: 415mm</t>
  </si>
  <si>
    <t>Ghế Lounge và đôn chân Grand Relax &amp; Ottoman, Vitra, model 21059200, kích thước  690x810x1060mm, khung kim loại, bọc da premium F, màu brandy, chân chrome, mới 100%</t>
  </si>
  <si>
    <t>94017100</t>
  </si>
  <si>
    <t>21018601</t>
  </si>
  <si>
    <t>CHRVT00025</t>
  </si>
  <si>
    <t>Wiggle chair
 Structure: corrugated cardboard.
 H87xD61xW35</t>
  </si>
  <si>
    <t>Ghế Wiggle, Vitra, model 21018601, kích thước H87xD61xW35, bằng giấy, màu tự nhiên, mới 100%</t>
  </si>
  <si>
    <t>20165509</t>
  </si>
  <si>
    <t>ACCVT00002</t>
  </si>
  <si>
    <t>Resting Bear
 Blue
 L930 x W530 x H340 mm
 Filling/padding: moulded foam and synthetic pellets.
 Cover fabric: form-fitted knit.
 Base: wooden board, covered with velour fabric.</t>
  </si>
  <si>
    <t>Ghế tựa lưng hình gấu Resting bear, Vitra, model 20165509, kích thước L930 x W530 x H340 mm, bọc vải, màu xanh blue, mới 100%</t>
  </si>
  <si>
    <t>21043800</t>
  </si>
  <si>
    <t>CLGVT00005</t>
  </si>
  <si>
    <t>Fauteuil de Salon
 Cover material: Twill
 Cover colour: cognac
 Base: Prouvé Blanc Col.(Ecru) smooth
 Armrests: solid natural oak, oiled
 Base on: glides for carpet
 Dimensions: 680x840x825mm
 Seat heigh: 415mm</t>
  </si>
  <si>
    <t>Ghế lounge Fauteuil de Salon, Vitra, model 21043800, kích thước 680x840x825mm, bằng gỗ bọc nệm màu cognac, chân màu Prouvé Blanc Col.(Ecru), mới 100%</t>
  </si>
  <si>
    <t>43101000</t>
  </si>
  <si>
    <t>CHRVT00026</t>
  </si>
  <si>
    <t>ID Diamond mesh + Seat: Silk Mesh Olive Green
 Base: Chrome
 Seat colour: olive green
 Backrest colour: olive green</t>
  </si>
  <si>
    <t xml:space="preserve">
Ghế xoay ID Mesh, Vitra, model 43140100, kích thước W700-750xH970-1095xD565-790mm, bằng kim loại, bọc vải silk mesh màu olive green, khung màu soft grey, có bánh xe, mới 100%</t>
  </si>
  <si>
    <t>94013900</t>
  </si>
  <si>
    <t>CHRVT00027</t>
  </si>
  <si>
    <t>ID Diamond mesh + Seat: Silk Mesh Asphalt
 Base: Chrome
 Frame colour: soft grey</t>
  </si>
  <si>
    <t xml:space="preserve">
Ghế xoay ID Mesh, Vitra, model 43140100, kích thước W700-750xH970-1095xD565-790mm, bằng kim loại, bọc vải silk mesh màu asphalt, khung màu soft grey, có bánh xe, mới 100%</t>
  </si>
  <si>
    <t>20165702</t>
  </si>
  <si>
    <t>ACSVT0001</t>
  </si>
  <si>
    <t>Graphic Print Pillows
 Snake, ultramarine
 H 400 x W 400 mm</t>
  </si>
  <si>
    <t>Gối Graphic Print Snake, Vitra, model 20165702, bằng cotton, màu ultramarine, kích thước H40xW40cm, mới 100%</t>
  </si>
  <si>
    <t>20165703</t>
  </si>
  <si>
    <t>ACSVT0002</t>
  </si>
  <si>
    <t>Graphic Print Pillows
 Love Heart, crimson
 H 400 x W 400 mm</t>
  </si>
  <si>
    <t>Gối Graphic Print love heart, Vitra, model 20165703, bằng cotton, màu crimson, kích thước H40xW40cm, mới 100%</t>
  </si>
  <si>
    <t>20165701</t>
  </si>
  <si>
    <t>ACSVT0003</t>
  </si>
  <si>
    <t>Graphic Print Pillows
 Eyes
 H 300 x W 400 mm</t>
  </si>
  <si>
    <t>Gối Graphic Print eyes, Vitra, model 20165701, bằng cotton, kích thước H40xW40cm, mới 100%</t>
  </si>
  <si>
    <t>TABLES</t>
  </si>
  <si>
    <t>20130001</t>
  </si>
  <si>
    <t>TBLVT00001</t>
  </si>
  <si>
    <t>Coffee Table base black
 Dimesions: 930x1280x400mm</t>
  </si>
  <si>
    <t>Bàn Coffee table, Vitra, model 20130001, kích thước 930x1280x400mm, mặt kính trong suốt, chân gỗ đen, mới 100%</t>
  </si>
  <si>
    <t>20130003</t>
  </si>
  <si>
    <t>TBLVT00002</t>
  </si>
  <si>
    <t>Noguchi Coffee Table base Maple
 Dimesions: 930x1280x400mm</t>
  </si>
  <si>
    <t>Bàn Coffee table, Vitra, model 20130003, kích thước 930x1280x400mm, mặt kính trong suốt, chân gỗ maple, mới 100%</t>
  </si>
  <si>
    <t>TBLVT00003</t>
  </si>
  <si>
    <t>21203600 - EM Table
 table top 2400 x 900 mm
 table height 740 mm
 base powder-coated smooth
 2 3,890.00 7,780.00
 Table top: ven. nat. oak protect. varnish
 Base: Prouvé Blanc Colombe (Ecru) (smooth)</t>
  </si>
  <si>
    <t>Bàn EM table, Vitra, model 21203600, kích thước 2400x900x740mm, mặt bàn gỗ oak, chân kim loại sơn màu Prouvé Blanc Colombe (Ecru), mới 100%</t>
  </si>
  <si>
    <t>21202500</t>
  </si>
  <si>
    <t>TBLVT00004</t>
  </si>
  <si>
    <t>Guéridon
 table top diameter 1050 mm
 table height 740 mm
 Table top / legs: solid natural oak, oiled
 Strut: deep black</t>
  </si>
  <si>
    <t>Bàn Guéridon, Vitra, model 21202500, kích thước DI1050xH740, bằng gỗ natural oak, mới 100%</t>
  </si>
  <si>
    <t>21054111</t>
  </si>
  <si>
    <t>TBLVT00005</t>
  </si>
  <si>
    <t>Plate Table 710 x 710
 H 370 x W 710 x L 710
 table top Carrara marble
 base white powder-coated,
 textured</t>
  </si>
  <si>
    <t>Bàn Plate Table, Vitra, model 21054111, kích thước H 370 x W 710 x L 710mm, mặt bàn Carrara marble, chân bàn bằng kim loại màu trắng, mới 100%</t>
  </si>
  <si>
    <t>21054211</t>
  </si>
  <si>
    <t>TBLVT00006</t>
  </si>
  <si>
    <t>Plate Table 410 x 710
 H 370 x W 410 x L 710
 table top Carrara marble
 base white powder-coated,
 textured</t>
  </si>
  <si>
    <t>Bàn Plate Table, Vitra, model 21054211, kích thước H 370 x W 410 x L 710, mặt bàn Carrara marble, chân bàn bằng kim loại màu trắng, mới 100%</t>
  </si>
  <si>
    <t>20132801</t>
  </si>
  <si>
    <t>TBLVT00007</t>
  </si>
  <si>
    <t>Dining Table
 Isamu Noguchi, 1957
 Table top: plywood with hard laminate surface, black-stained edge.
 Base: cast iron with black lacquer finish, chrome-plated steel wire.
 DI:121 x 72.5 cm</t>
  </si>
  <si>
    <t>Bàn Dining table Isamu Noguchi, Vitra, model 20132801, kích thước.DI:121 x 72.5 cm, mặt bàn tròn bằng gỗ plywood màu trắng, chân chrome, mới 100%</t>
  </si>
  <si>
    <t>TBLVT00008</t>
  </si>
  <si>
    <t>Tyde 2, sit-stand table 140
 W 1400 x D 700 mm
 height-adjustable H 650-1250 mm, incl.
 feed cable, anti-collision safety device
 Table top: melamine soft light
 Table top version: with 1 cable outlet ø 80mm on left
 Height adjustment: by motor 100-240V, 650-1250mm</t>
  </si>
  <si>
    <t>Bàn Tyde 2, Vitra, model 85800101, kích thước 1400 x 700 x 650-1250 mm, mặt bàn có lỗ cáp DI80mm, bằng melamine, màu trắng soft light, mới 100%</t>
  </si>
  <si>
    <t>94033000</t>
  </si>
  <si>
    <t xml:space="preserve">20139402 </t>
  </si>
  <si>
    <t>ACCVT00001</t>
  </si>
  <si>
    <t>20139402 - Ampi, soft grey
 DE, AT, NL, ES norm
 equipped with Wireless Charger,
 2 power sockets, 2 USB-A ports,
 1 USB-C port
 cable length: 1.5 metres
 Schuko (safety) connector plug</t>
  </si>
  <si>
    <t>Ổ cắm điện Ampi, Vitra, model 20139402, kích thước 70 x 260 x 220mm, có sạc không dây, 2 lỗ cắm USD-A, 1 ổ cắm USB-C, mới 100%</t>
  </si>
  <si>
    <t>TBLVT00009</t>
  </si>
  <si>
    <t>Tyde 2, sit-stand table 160
 W 1600 x D 800 mm
 height-adjustable H 650-1250 mm, incl.
 feed cable, anti-collision safety device
 1 1,819.00 1,819.00
 Table top: melamine soft light - basic price
 Table top version: with 1 cable outlet ø 80mm on left
 Cable outlet: plastic, soft light
 Base: powder-coated in soft light - basic price
 Electrification: DE, AT, NL, ES norm
 Under-table electrification: not included
 Height adjustment: by motor 100-240V, 650-1250mm</t>
  </si>
  <si>
    <t>Bàn nâng hạ Tyde 2, Vitra, model 85800201, kích thước 1600 x 800 x 650-1250 mm, mặt bàn có lỗ cáp DI80mm, màu trắng soft light, mới 100%</t>
  </si>
  <si>
    <t>CHRVT00028</t>
  </si>
  <si>
    <t>Tabouret Bois
 Configuration: natural solid oak, oiled
 Dimensions: 400x400x450mm
 Seat heigh: 450mm</t>
  </si>
  <si>
    <t>Ghế Tabouret Bois, Vitra, model 21202600 kích thước 400x400x450mm, bằng gỗ oak, màu tự nhiên, mới 100%</t>
  </si>
  <si>
    <t>21202600</t>
  </si>
  <si>
    <t>CHRVT00029</t>
  </si>
  <si>
    <t>Tabouret Bois
 Configuration: dark solid oak, prot. Varnish
 Dimesions: 400x400x450mm</t>
  </si>
  <si>
    <t>Ghế Tabouret Bois, Vitra, model 21202600, kích thước 400x400x450mm, bằn gỗ oak, màu đen, mới 100%</t>
  </si>
  <si>
    <t>21205888</t>
  </si>
  <si>
    <t>TBLVT00010</t>
  </si>
  <si>
    <t>Tabouret Métallique
 Prouvé Blanc Colombe (Ecru)
 powder-coated, smooth finish
 Commodity code: 9401.7900
 Dimensions: Ø 380x445mm</t>
  </si>
  <si>
    <t>Ghế Tabouret Métallique, Vitra, model 21205888, kích thước Ø 380x445mm, bằng nhựa khung kim loại, màu Prouvé Blanc Colombe (Ecru), mới 100%</t>
  </si>
  <si>
    <t>28500201</t>
  </si>
  <si>
    <t>FOTVT00001</t>
  </si>
  <si>
    <t>Screen 100
 pine lacquered natural
 150 x 200 cm</t>
  </si>
  <si>
    <t>Tấm vách Screen 100, Vitra, model 28500201, kích thước 150 x 200 cm, bằng gỗ, màu tự nhiên, mới 100%</t>
  </si>
  <si>
    <t>41239900</t>
  </si>
  <si>
    <t>LWLVT0001</t>
  </si>
  <si>
    <t>Potence
 wall lamp, deep black
 powder-coated (smooth)
 220-240V, 50/60Hz, E27, plug type C
 755 x 50 x 2030mm</t>
  </si>
  <si>
    <t>Đèn treo tường potence, Vitra, model 41239900, kích thước 755 x 50 x 2030mm, bằng kim loại, màu deep black, không kèm bóng, mới 100%</t>
  </si>
  <si>
    <t>20126504</t>
  </si>
  <si>
    <t>LWLVT0002</t>
  </si>
  <si>
    <t>Petite Potence, Prouvé bleu
 marcoule
 powder-coated, smooth finish
 220-240V, 50/60Hz, type C plug</t>
  </si>
  <si>
    <t>Đèn petite potence, Vitra, model 20126504, kích thước 1040x300x35mm, bằng kim loại, màu Prouvé bleu marcoule,  không kèm bóng, mới 100%</t>
  </si>
  <si>
    <t>20081402</t>
  </si>
  <si>
    <t>ABKVT00001</t>
  </si>
  <si>
    <t>Atlas of Furniture Design
English text</t>
  </si>
  <si>
    <t>Sách Atlas of Furniture Design, English text</t>
  </si>
  <si>
    <t>20081201</t>
  </si>
  <si>
    <t>ABKVT00002</t>
  </si>
  <si>
    <t>Essential Eames
Zitate &amp; Bilder
German text</t>
  </si>
  <si>
    <t>Sách Essential Eames, Zitate &amp; Bilder, German text</t>
  </si>
  <si>
    <t>20053702</t>
  </si>
  <si>
    <t>ABKVT00003</t>
  </si>
  <si>
    <t>Eames &amp; Vitra
Hardcover
18,5 x 25 cm, 0,81 kg
196 pages</t>
  </si>
  <si>
    <t>Sách Eames &amp; Vitra, Hardcover, 18,5 x 25 cm, 0,81 kg, 196 pages</t>
  </si>
  <si>
    <t>20317802</t>
  </si>
  <si>
    <t>ABKVT00004</t>
  </si>
  <si>
    <t>The Vitra Campus: Architecture Design Industry
Softcover with flaps
16,8 x 23,9 cm, 0,61 kg
216 pages, ca. 200 images, mainly coloured
English text</t>
  </si>
  <si>
    <t>Sách The Vitra Campus: Architecture Design Industry, Softcover with flaps, 16,8 x 23,9 cm, 0,61 kg, 216 pages, ca. 200 images, mainly coloured, English text</t>
  </si>
  <si>
    <t>20021401</t>
  </si>
  <si>
    <t>ABKVT00005</t>
  </si>
  <si>
    <t>The Bauhaus: #itsalldesign
Softcover
19 x 25 cm, 1,18 kg
464 pages, approx. 500 images
German text</t>
  </si>
  <si>
    <t>Sách The Bauhaus: #itsalldesign, Softcover, 19 x 25 cm, 1,18 kg, 464 pages, approx. 500 images, German text</t>
  </si>
  <si>
    <t>20052902</t>
  </si>
  <si>
    <t>ABKVT00006</t>
  </si>
  <si>
    <t>Lightopia
3 softcover volumes in slipcase
21.5 x 28.5 cm, 2,23 kg
397 pages, ca. 300 images, mainly coloured</t>
  </si>
  <si>
    <t>Sách Lightopia, 3 softcover volumes in slipcase, 21.5 x 28.5 cm, 2,23 kg, 397 pages, ca. 300 images, mainly coloured</t>
  </si>
  <si>
    <t>20081302</t>
  </si>
  <si>
    <t>ABKVT00007</t>
  </si>
  <si>
    <t>Eames Furniture Sourcebook
Hardcover
17 x 24 cm, 0,99 kg
336 pages, ca. 350 images</t>
  </si>
  <si>
    <t>Sách Eames Furniture Sourcebook, Hardcover, 17 x 24 cm, 0,99 kg, 336 pages, ca. 350 images</t>
  </si>
  <si>
    <t>20081002</t>
  </si>
  <si>
    <t>ABKVT00008</t>
  </si>
  <si>
    <t>The Vitra Schaudepot: Architecture, Ideas, Objects
Softcover
17 x 23,5 cm, 0,3 kg
108 pages, ca. 480 images
English text</t>
  </si>
  <si>
    <t>Sách The Vitra Schaudepot: Architecture, Ideas, Objects, Softcover, 17 x 23,5 cm, 0,3 kg, 108 pages, ca. 480 images, English text</t>
  </si>
  <si>
    <t>20213101</t>
  </si>
  <si>
    <t>ASCVT00001</t>
  </si>
  <si>
    <t>Miniatures
 Panton Chairs (Set of 5)
 Panton, 1959/60
 H 140 x W 85 x D 85</t>
  </si>
  <si>
    <t>Mô hình trang trí ghế Panton chairs, bộ 5 cái, Vitra, model 20213101, bằng nhựa, kích thước H 140 x W 85 x D 85mm, mới 100%</t>
  </si>
  <si>
    <t>39264000</t>
  </si>
  <si>
    <t>09492100</t>
  </si>
  <si>
    <t>MKTVT00002</t>
  </si>
  <si>
    <t>Trolley
 Material: metal</t>
  </si>
  <si>
    <t>5084714 / 1</t>
  </si>
  <si>
    <t>19/05/2025</t>
  </si>
  <si>
    <t>/</t>
  </si>
  <si>
    <t>MKTVT00003</t>
  </si>
  <si>
    <t>Plastic Sorting box</t>
  </si>
  <si>
    <t>Hộp nhựa trưng bày, Vitra, model 09490700, kích thước 10x20x10 cm, bằng nhựa, mới 100%</t>
  </si>
  <si>
    <t>09505425</t>
  </si>
  <si>
    <t>MKTVT00004</t>
  </si>
  <si>
    <t>Color Surface Samples
 material: Plastic</t>
  </si>
  <si>
    <t>09492631</t>
  </si>
  <si>
    <t>MKTVT00005</t>
  </si>
  <si>
    <t>"Home" collection, large hanger
 fabric sample
 Material: Fabric</t>
  </si>
  <si>
    <t>SC-FLOS-2024-003</t>
  </si>
  <si>
    <t>A0300030</t>
  </si>
  <si>
    <t>LWLFL00009</t>
  </si>
  <si>
    <t>Wall lamp 265
 Color: Black
 350x2050mm
 Materials: steel</t>
  </si>
  <si>
    <t>2403009440</t>
  </si>
  <si>
    <t>13/12/24</t>
  </si>
  <si>
    <t>106807647920</t>
  </si>
  <si>
    <t>12/17/2024</t>
  </si>
  <si>
    <t>Lô 44</t>
  </si>
  <si>
    <t>A0300099</t>
  </si>
  <si>
    <t>LWLFL00008</t>
  </si>
  <si>
    <t>Wall lamp 265 CHROMATICA
 Color: Chromatica
 350x2050mm
 Materials: steel</t>
  </si>
  <si>
    <t>SC-FH-03-041224-DH-0002554</t>
  </si>
  <si>
    <t>PO-FH-03-041224-DH-0002554</t>
  </si>
  <si>
    <t>DH-0002554</t>
  </si>
  <si>
    <t>19/11/2024</t>
  </si>
  <si>
    <t>10/01/2025</t>
  </si>
  <si>
    <t>Castor, Hard without brakes 
 Variant
 Aluminum, without brakes</t>
  </si>
  <si>
    <t>///</t>
  </si>
  <si>
    <t>UPS</t>
  </si>
  <si>
    <t>Lô 45</t>
  </si>
  <si>
    <t>SC-NU-2024-08-041224-DH-0002554</t>
  </si>
  <si>
    <t>PO-NU-2024-08-041224-DH-0002554</t>
  </si>
  <si>
    <t>133046A307</t>
  </si>
  <si>
    <t>TRLAT00001</t>
  </si>
  <si>
    <t>Alima Trolley
 Chrome + Oak 
 L89.9 x W41.9 x H59.4 cm</t>
  </si>
  <si>
    <t>IN241217088520</t>
  </si>
  <si>
    <t>17/12/2024</t>
  </si>
  <si>
    <t>AS249272</t>
  </si>
  <si>
    <t>21/12/2024</t>
  </si>
  <si>
    <t>24/12/2024</t>
  </si>
  <si>
    <t>Shanghai</t>
  </si>
  <si>
    <t>Hanoi</t>
  </si>
  <si>
    <t xml:space="preserve">Bách Việt </t>
  </si>
  <si>
    <t>106836834900</t>
  </si>
  <si>
    <t>27/12/2024</t>
  </si>
  <si>
    <t>Kệ nội thất văn phòng Alima Trolley có bánh xe, Hiệu &amp;TRADITION, model 133046A307, bằng kim loại, kích thước 89.9x41.9x59.4 cm, hàng mới 100%.</t>
  </si>
  <si>
    <t>Lô 46</t>
  </si>
  <si>
    <t>AT Singapore</t>
  </si>
  <si>
    <t>NNH-AT-2024-001-DKO</t>
  </si>
  <si>
    <t>ACCVT00096</t>
  </si>
  <si>
    <t>VITRA Desk Clock, Tripod Clock
brass, acrylic glass
H 165 x W 110 x D 85
Internal code: V21502001</t>
  </si>
  <si>
    <t>SGD</t>
  </si>
  <si>
    <t>NNH-AT-2024-001</t>
  </si>
  <si>
    <t>16/12/2024</t>
  </si>
  <si>
    <t>770787636817</t>
  </si>
  <si>
    <t>106817765350</t>
  </si>
  <si>
    <t>19/12/2024</t>
  </si>
  <si>
    <t>Lô 47</t>
  </si>
  <si>
    <t>ACCVT00095</t>
  </si>
  <si>
    <t>VITRA Desk Clock, Diamond Clock
solid walnut
H 175 x W 255 x D 140
Internal code: V21503201</t>
  </si>
  <si>
    <t>SC-USM-05-261124-DH-0002518</t>
  </si>
  <si>
    <t>PO-USM-05-261124-DH-0002518</t>
  </si>
  <si>
    <t>DH-0002518</t>
  </si>
  <si>
    <t>05/11/2024</t>
  </si>
  <si>
    <t>USMUS-11214.24</t>
  </si>
  <si>
    <t>USM Haller, metal panel, 500x250 mm, pure white</t>
  </si>
  <si>
    <t>102086892</t>
  </si>
  <si>
    <t>ZRH-00008863</t>
  </si>
  <si>
    <t>25/12/2024</t>
  </si>
  <si>
    <t>106846361050</t>
  </si>
  <si>
    <t>31/12/2024</t>
  </si>
  <si>
    <t>Lô 48</t>
  </si>
  <si>
    <t>USMUS-11215.24</t>
  </si>
  <si>
    <t>USM Haller, metal panel, with holes, 500x250 mm, pure white</t>
  </si>
  <si>
    <t>USMUS-11204.24</t>
  </si>
  <si>
    <t>USM Haller, metal panel, 500x500 mm, pure white</t>
  </si>
  <si>
    <t>Tray</t>
  </si>
  <si>
    <t>ACCFH00082</t>
  </si>
  <si>
    <t>NORDIC SERVING TRAY
 Model: Ø30XH3.5
 Material / Colour: Untreated Solid Wood / Oak</t>
  </si>
  <si>
    <t>2165497</t>
  </si>
  <si>
    <t>13/12/2024</t>
  </si>
  <si>
    <t>770902693864</t>
  </si>
  <si>
    <t>106842744041</t>
  </si>
  <si>
    <t>28/12/2024</t>
  </si>
  <si>
    <t>Lô 49.1</t>
  </si>
  <si>
    <t>ACCFH00083</t>
  </si>
  <si>
    <t>NORDIC SERVING TRAY
 Model: Ø45XH3.5
 Material / Colour: Untreated Solid Wood / Oak</t>
  </si>
  <si>
    <t>ACCFH00006</t>
  </si>
  <si>
    <t>IKERU LOW
 Forest Green 
 Diameter: 19cm, height: 13,1cm</t>
  </si>
  <si>
    <t>2165815</t>
  </si>
  <si>
    <t>770929530896</t>
  </si>
  <si>
    <t>106874178460</t>
  </si>
  <si>
    <t>Lô 49.2</t>
  </si>
  <si>
    <t>CHRFH00266</t>
  </si>
  <si>
    <t>POUF LARGE 
 Variant: Concrete
 Diameter: 60cm, height: 29cm</t>
  </si>
  <si>
    <t>CABFH00081</t>
  </si>
  <si>
    <t>AJ TROLLEY™
 Model: Side Table
 Tabletop: Coloured Veneer / Ash - Black (195)
 Base: Steel / Brushed Stainless Steel - Matt
 Dimension: W67xD59xH54,7 cm</t>
  </si>
  <si>
    <t>SC-FLOS-2024-006-DH-0002554</t>
  </si>
  <si>
    <t>PO-FLOS-2024-006-DH-0002554</t>
  </si>
  <si>
    <t>COORDINATES FLOOR, DI380 x H2000 mm Aluminum, Platinic Silicone
 Color: Argent</t>
  </si>
  <si>
    <t>2403009466</t>
  </si>
  <si>
    <t>ITI</t>
  </si>
  <si>
    <t>106870728640</t>
  </si>
  <si>
    <t>Đèn trang trí COORDINATES FLOOR, hiệu Flos, model F1801033, DI380 x H2000 mm, Bằng Aluminum, Platinic Silicone, Màu bạc Argent, không kèm bóng, mới 100%</t>
  </si>
  <si>
    <t>Lô 50</t>
  </si>
  <si>
    <t>F3173057</t>
  </si>
  <si>
    <t>LFLFL00039</t>
  </si>
  <si>
    <t>IC Lights F1
 Chrome 
 · steel, brass,
 blown glass
 DI275xH1350</t>
  </si>
  <si>
    <t>F3178057</t>
  </si>
  <si>
    <t>LWLFL00016</t>
  </si>
  <si>
    <t>IC Lights C/W1
 Color: Chrome
 D280xW200xH216</t>
  </si>
  <si>
    <t>F1060026</t>
  </si>
  <si>
    <t>LTLFL00049</t>
  </si>
  <si>
    <t>Bellhop Table
 Color: Cioko
 H210xDI125</t>
  </si>
  <si>
    <t>SC-ST-2024-01-041224-DH-0002554</t>
  </si>
  <si>
    <t>PO-ST-2024-01-041224-DH-0002554</t>
  </si>
  <si>
    <t>Candleholder</t>
  </si>
  <si>
    <t>STOFF Nagel CANDLE HOLDER 3 PACK, Ø10.2 x H6.9 cm, Chrome</t>
  </si>
  <si>
    <t>27879-1</t>
  </si>
  <si>
    <t>176 07855540</t>
  </si>
  <si>
    <t>106879564740</t>
  </si>
  <si>
    <t>Lô 51</t>
  </si>
  <si>
    <t>STOFF Nagel candle holder - chrome</t>
  </si>
  <si>
    <t>STOFF Nagel BOWL, Ø13.8 x H5.6 cm, Chrome</t>
  </si>
  <si>
    <t>STOFF Nagel VASE, Ø2.4 x H10 cm, Chrome</t>
  </si>
  <si>
    <t>(6 pcs) STOFF Nagel TAPER CANDLES, Ø1.3 x H29 cm, Paraffin, Off-white</t>
  </si>
  <si>
    <t>STOFF Nagel STAND, Ø17 x H23 cm Chrome</t>
  </si>
  <si>
    <t>ACCST00015</t>
  </si>
  <si>
    <t>STOFF Nagel taper candles (box w/6 pcs) - burgundy red</t>
  </si>
  <si>
    <t>ACCST00018</t>
  </si>
  <si>
    <t>STOFF Nagel taper candles (box w/6 pcs) - black</t>
  </si>
  <si>
    <t>ACCST00017</t>
  </si>
  <si>
    <t>STOFF Nagel wall hanger - chrome
 Zink alloy</t>
  </si>
  <si>
    <t>ECOLUX</t>
  </si>
  <si>
    <t>SC-EC-2024-001</t>
  </si>
  <si>
    <t>NANOCO PREMIUM</t>
  </si>
  <si>
    <t>SHOWROOM</t>
  </si>
  <si>
    <t>TT</t>
  </si>
  <si>
    <t>ARCH LIGHTING</t>
  </si>
  <si>
    <t>Downlight</t>
  </si>
  <si>
    <t>YC-BS055-7</t>
  </si>
  <si>
    <t>Đèn âm trần Spotlight WILMA, 68x80mm, bằng kim loại, nhựa, hiệu NANOCO PREMIUM, model YC-BS055-7.</t>
  </si>
  <si>
    <t>NNH-EC-2024-001-01</t>
  </si>
  <si>
    <t>106762573850</t>
  </si>
  <si>
    <t>Lô 52</t>
  </si>
  <si>
    <t>SPANH00045</t>
  </si>
  <si>
    <t>Phụ kiện thấu kính dùng cho đèn âm trần Spotlight WILMA, bằng nhựa, kích thước 35*18mm</t>
  </si>
  <si>
    <t>SPANH00046</t>
  </si>
  <si>
    <t>Phụ kiện chóa đèn màu trắng dùng cho đèn âm trần Spotlight WILMA, bằng nhựa, đường kính 3cm</t>
  </si>
  <si>
    <t>SPANH00047</t>
  </si>
  <si>
    <t>Phụ kiện lưới tổ ong Honeycomb dùng cho đèn âm trần Spotlight WILMA, bằng sắt, kích thước 32*2mm</t>
  </si>
  <si>
    <t>YC-50045R</t>
  </si>
  <si>
    <t>Đèn âm trần chiếu tranh ISA, phi 52x92mm, bằng kim loại, nhựa, hiệu NANOCO PREMIUM, model YC-50045R.</t>
  </si>
  <si>
    <t>SPANH00048</t>
  </si>
  <si>
    <t>Phụ kiện thấu kính dùng cho đèn âm trần chiếu tranh ISA, bằng nhựa, kích thước 35*18mm</t>
  </si>
  <si>
    <t>YC-62055C</t>
  </si>
  <si>
    <t>Đèn Pin hole NOVA, phi 60x80 mm, bằng kim loại và nhựa, hiệu NANOCO PREMIUM, model YC-62055C</t>
  </si>
  <si>
    <t>YC-DL016-3</t>
  </si>
  <si>
    <t>Đèn Spotlight mini MIA, phi 50x27 mm, bằng kim loại và nhựa, hiệu NANOCO PREMIUM, mdoel YC-DL016-3</t>
  </si>
  <si>
    <t>TS-001</t>
  </si>
  <si>
    <t>Thanh ray dùng cho đèn thả có cáp dài 4m, bằng kim loại, model TS-001</t>
  </si>
  <si>
    <t>LTECH</t>
  </si>
  <si>
    <t>SE-40-300-1050-W1D</t>
  </si>
  <si>
    <t>Driver nguồn, bộ phận của đèn led, 30W, 27-42VDC, 1050mA, hiệu Ltech, model SE-40-300-1050-W1D</t>
  </si>
  <si>
    <t>11/29/2024</t>
  </si>
  <si>
    <t>SE-20-100-700-W1D</t>
  </si>
  <si>
    <t>Driver nguồn, bộ phận của đèn led, 20W, 27-42 VDC, 700mA, hiệu Ltech, model SE-20-100-700-W1D</t>
  </si>
  <si>
    <t>SE-20-100-700-W2D</t>
  </si>
  <si>
    <t>Driver nguồn, bộ phận của đèn led, 20W, 9-42VDC, 700mA, hiệu Ltech, model SE-20-100-700-W2D</t>
  </si>
  <si>
    <t>SE-12-100-500-W2D</t>
  </si>
  <si>
    <t>Driver nguồn, bộ phận của đèn led, 12W, 9-42 VDC, 400mA, hiệu Ltech, model SE-12-100-500-W2D</t>
  </si>
  <si>
    <t>SE-12-100-400-W1DS</t>
  </si>
  <si>
    <t xml:space="preserve">SE-12-100-400-W1DS
</t>
  </si>
  <si>
    <t>Driver nguồn, bộ phận của đèn led, 12W, 9-42VDC, hiệu Ltech, model SE-12-100-400-W1DS</t>
  </si>
  <si>
    <t>LM-36-24-G1D2</t>
  </si>
  <si>
    <t>Driver nguồn, bộ phận của đèn led, 36W, 24VDC, hiệu Ltech, model LM-36-24-G1D2</t>
  </si>
  <si>
    <t>LM-150-24-G1D2</t>
  </si>
  <si>
    <t>Driver nguồn, bộ phận của đèn led, 150W, 24VDC, hiệu Ltech, model LM-150-24-G1D2</t>
  </si>
  <si>
    <t>LM-75-24-G1D2</t>
  </si>
  <si>
    <t>LM-75-24-G2D2</t>
  </si>
  <si>
    <t>Driver nguồn, bộ phận của đèn led, 75W, 24VDC, hiệu Ltech, model LM-75-24-G1D2</t>
  </si>
  <si>
    <t>YC-BS075-12</t>
  </si>
  <si>
    <t>Đèn âm trần downlight IOTA, phi 86x90mm, bằng nhựa, hiệu NANOCO PREMIUM, model YC-BS075-12</t>
  </si>
  <si>
    <t>SPANH00049</t>
  </si>
  <si>
    <t>Phụ kiện thấu kính dùng cho đèn âm trần downlight IOTA, bằng nhựa,kích thước 35*18mm</t>
  </si>
  <si>
    <t>SPANH00050</t>
  </si>
  <si>
    <t>Phụ kiện lưới tổ ong Honeycomb dùng cho đèn âm trần downlight IOTA, bằng sắt, kích thước 32*2mm</t>
  </si>
  <si>
    <t>SPANH00051</t>
  </si>
  <si>
    <t>Phụ kiện chóa đèn màu trắng dùng cho đèn âm trần downlight IOTA, bằng nhựa, đường kính 3cm</t>
  </si>
  <si>
    <t>TORRES S TW</t>
  </si>
  <si>
    <t>Đèn âm trần downlight AURA S TW, phi 70x104mm, bằng kim loại, hiệu NANOCO PREMIUM, model TORRES S TW</t>
  </si>
  <si>
    <t>TAYLOR XS</t>
  </si>
  <si>
    <t>Đèn âm trần downlight AURA XS, phi 68x118mm, bằng kim loại, hiệu NANOCO PREMIUM, model TAYLOR XS</t>
  </si>
  <si>
    <t>TORRES S W</t>
  </si>
  <si>
    <t>Đèn âm trần downlight AURA S W, phi 70x104mm, bằng kim loại, hiệu NANOCO PREMIUM, model TORRES S W</t>
  </si>
  <si>
    <t>TORRES XS</t>
  </si>
  <si>
    <t>Đèn âm trần downlight AURA S W, phi 50x67mm, bằng kim loại, hiệu NANOCO PREMIUM, model TORRES XS</t>
  </si>
  <si>
    <t>TORRES XS TW</t>
  </si>
  <si>
    <t>Đèn âm trần downlight AURA XS TW, phi 50x67mm, bằng kim loại, hiệu NANOCO PREMIUM, model TORRES XS TW</t>
  </si>
  <si>
    <t>TORRES M</t>
  </si>
  <si>
    <t>Đèn âm trần downlight AURA M, phi 111x147mm, bằng kim loại, hiệu NANOCO PREMIUM, model TORRES M</t>
  </si>
  <si>
    <t>TORCH</t>
  </si>
  <si>
    <t>Đèn âm trần downlight ANA, phi 33x85mm, bằng kim loại, hiệu NANOCO PREMIUM, model TORCH</t>
  </si>
  <si>
    <t>SPANH00052</t>
  </si>
  <si>
    <t>Phụ kiện thấu kính dùng cho đèn âm trần downlight AURA, bằng kim loại đường kính 3.5 cm</t>
  </si>
  <si>
    <t>SPANH00053</t>
  </si>
  <si>
    <t>Phụ kiện thấu kính dùng cho đèn âm trần downlight AURA, bằng nhựa đường kính 3.5 cm</t>
  </si>
  <si>
    <t>SPANH00054</t>
  </si>
  <si>
    <t>Phụ kiện lưới tổ ong Honeycomb dùng cho đèn âm trần downlight AURA S, bằng sắt, kích thước 57*2mm</t>
  </si>
  <si>
    <t>SPANH00055</t>
  </si>
  <si>
    <t>Phụ kiện chóa dùng cho đèn âm trần downlight AURA, bằng kim loại đường kính 57 mm</t>
  </si>
  <si>
    <t>SPANH00056</t>
  </si>
  <si>
    <t>Phụ kiện chóa dùng cho đèn âm trần downlight AURA, bằng kim loại đường kính 57 mm, màu trắng</t>
  </si>
  <si>
    <t>SC-EC-2024-003</t>
  </si>
  <si>
    <t>DH-0002578</t>
  </si>
  <si>
    <t>YC-DL017-5</t>
  </si>
  <si>
    <t>NADL05W309024B20</t>
  </si>
  <si>
    <t>Body of Downlight for EVA, Size: 52x50 mm
Material: Metal</t>
  </si>
  <si>
    <t>NNH-EC-2024-003-DH-0002578</t>
  </si>
  <si>
    <t>DONA25010181</t>
  </si>
  <si>
    <t>17/01/2025</t>
  </si>
  <si>
    <t>106888534060</t>
  </si>
  <si>
    <t xml:space="preserve">Bộ phận đèn: Thân đèn cho đèn âm trần Downlight EVA, kích thước 52x50 mm, bằng kim loại, hiệu Nanoco, model YC-DL017-5, mới 100%																										
																										</t>
  </si>
  <si>
    <t>Lô 53.1</t>
  </si>
  <si>
    <t>LDLEC000011</t>
  </si>
  <si>
    <t>LDLEC00011</t>
  </si>
  <si>
    <t>Body of Downlight, 
Size:  147x45x50 mm
Material: Plastic</t>
  </si>
  <si>
    <t>Linear</t>
  </si>
  <si>
    <t>LPLEC00001</t>
  </si>
  <si>
    <t xml:space="preserve">Body of Pendant Linear
Size: L1800*W50*H76 mm
Material: Plastic
</t>
  </si>
  <si>
    <t>LPLEC00002</t>
  </si>
  <si>
    <t xml:space="preserve">Body of Pendant Linear
Size: L2400*W50*H76 mm
Material: Plastic
</t>
  </si>
  <si>
    <t>SPAEC00001</t>
  </si>
  <si>
    <t>Pendant hanger 1.5m for Linear
Material: Plastic</t>
  </si>
  <si>
    <t>SPAEC00002</t>
  </si>
  <si>
    <t>Connector for Pendant Linear
Material: Plastic</t>
  </si>
  <si>
    <t>YC-PS-100W48V</t>
  </si>
  <si>
    <t>Driver Inbuilt Power for Magnetic Track, L220*W22*H25 mm, DC48V 100W</t>
  </si>
  <si>
    <t>NNH-EC-2025-001-2401-DH-0002734</t>
  </si>
  <si>
    <t>DH-0002734</t>
  </si>
  <si>
    <t>24/01/2025</t>
  </si>
  <si>
    <t>SPA01</t>
  </si>
  <si>
    <t>LSLEC00010</t>
  </si>
  <si>
    <t>"Body of Recessed Pinhole NOVA, Adjustable
Size 70x85 mm
with Honey comb
Material: Metal
WITHOUT DRIVER"</t>
  </si>
  <si>
    <t>NNH-EC-2025-001-2401-DH-000273</t>
  </si>
  <si>
    <t>107024427900</t>
  </si>
  <si>
    <t>Lô 53.2</t>
  </si>
  <si>
    <t>SPA01,SPA02</t>
  </si>
  <si>
    <t>LSLEC00011</t>
  </si>
  <si>
    <t xml:space="preserve"> Đèn LED âm trần Pinhole NOVA, Điều chỉnh, kích thước 70 x 85 mm, 9W, Ra90, IP20, 24 độ, 2700K - Không driver</t>
  </si>
  <si>
    <t>SPA03</t>
  </si>
  <si>
    <t>LSLEC00012</t>
  </si>
  <si>
    <t>Đèn LED âm trần Pinhole NOVA, Điều chỉnh, kích thước 70 x 85 mm, 9W, Ra90, IP20, 24 độ, 2700K - On/Off Driver</t>
  </si>
  <si>
    <t>SPA04</t>
  </si>
  <si>
    <t>LSLEC00013</t>
  </si>
  <si>
    <t>Đèn LED âm trần Pinhole NOVA, Điều chỉnh, kích thước 50 x 75 mm, 3W, Ra90, IP20, 24 độ, 2700K - Không driver</t>
  </si>
  <si>
    <t>SPA04,SPA02</t>
  </si>
  <si>
    <t>LSLEC00014</t>
  </si>
  <si>
    <t>Đèn LED âm trần Pinhole NOVA, Cố định, kích thước 60 x 85 mm, 9W, Ra90, IP20, 36 độ, 2700K - Không Driver</t>
  </si>
  <si>
    <t>SPA06</t>
  </si>
  <si>
    <t>LSLEC00015</t>
  </si>
  <si>
    <t>Đèn LED âm trần Pinhole NOVA, Cố định, kích thước 60 x 85 mm, 9W, Ra90, IP54, 36 độ, 2700K - On/Off Driver</t>
  </si>
  <si>
    <t>SPA07</t>
  </si>
  <si>
    <t>LSLEC00016</t>
  </si>
  <si>
    <t>Đèn Downlight, 960lm, 2x6W, 2700K, 24 độ, kích thước 114x62x76 mm - Không Driver</t>
  </si>
  <si>
    <t>Driver nguồn, bộ phận của đèn led, 20W, 9-42VDC, hiệu Ltech, model SE-20-100-700-W1D</t>
  </si>
  <si>
    <t>LM-240-24-G1D2</t>
  </si>
  <si>
    <t>Driver nguồn, bộ phận của đèn led, 240W, 24VDC, hiệu Ltech, model LM-240-24-G1D2</t>
  </si>
  <si>
    <t>SPA08</t>
  </si>
  <si>
    <t>LWLEC00001</t>
  </si>
  <si>
    <t>Đèn gắn tường Trimless step light, kích thước 86x86x40 mm, 1W</t>
  </si>
  <si>
    <t>SPA09</t>
  </si>
  <si>
    <t>LWLHH00001</t>
  </si>
  <si>
    <t>Đèn gắn tường 5W, 3000K, 130lm, Class I, IP65, kích thước 100x80x80 mm</t>
  </si>
  <si>
    <t>F6630057</t>
  </si>
  <si>
    <t>LFLFL00019</t>
  </si>
  <si>
    <t>Superloon
 Color: chrome
 DI723xH1972</t>
  </si>
  <si>
    <t>2503000891</t>
  </si>
  <si>
    <t>SDB080285784</t>
  </si>
  <si>
    <t>14/02/2025</t>
  </si>
  <si>
    <t>16/02/2025</t>
  </si>
  <si>
    <t>SAVINO</t>
  </si>
  <si>
    <t>106947781730</t>
  </si>
  <si>
    <t>19/02/2025</t>
  </si>
  <si>
    <t>Lô 54</t>
  </si>
  <si>
    <t>CIF</t>
  </si>
  <si>
    <t>20116401</t>
  </si>
  <si>
    <t>ACCVT00066</t>
  </si>
  <si>
    <t>Coat Dots, set of 3
 DI50 x H50-75 mm
 red
 Balls: beech wood, painted in various colours.
 Wall mount: aluminium.
 Product contents: 3 balls, incl. screws and wall plugs for installation.</t>
  </si>
  <si>
    <t>5082816 / 1</t>
  </si>
  <si>
    <t>DEFBG0000020097</t>
  </si>
  <si>
    <t>23/2/2025</t>
  </si>
  <si>
    <t>106968955700</t>
  </si>
  <si>
    <t>26/02/2025</t>
  </si>
  <si>
    <t>Lô 55</t>
  </si>
  <si>
    <t>SFAVT00001</t>
  </si>
  <si>
    <t>Anagram Sofa
 Size: L323xW229x H79 cm
 Cover material: Savana
 Cover colour: sand melange
 Surface finish: chalk powder-coated
 Table surface: natural oak solid wood oiled
 1 Set: 14 parts</t>
  </si>
  <si>
    <t>SFAVT00002</t>
  </si>
  <si>
    <t>Anagram Sofa
 L 234xW99xH79 cm
 Material: Savana 
 Color: Sand melange
 1 set: 7 parts</t>
  </si>
  <si>
    <t>SC-VT-02-181024-SR</t>
  </si>
  <si>
    <t>NNH-NU-2025-001-2301</t>
  </si>
  <si>
    <t>Pendant</t>
  </si>
  <si>
    <t>Paper Shade-Φ60-Classic white</t>
  </si>
  <si>
    <t>IN250210023420</t>
  </si>
  <si>
    <t>ASHHC445023500</t>
  </si>
  <si>
    <t>Sea - Cont</t>
  </si>
  <si>
    <t>24/02/2025</t>
  </si>
  <si>
    <t>106974874200</t>
  </si>
  <si>
    <t>Lô 56</t>
  </si>
  <si>
    <t>AD569-A682</t>
  </si>
  <si>
    <t>ACCHA00341</t>
  </si>
  <si>
    <t>HAY Tote Bag-Olive--2024SS IS
 Size: W37 X H40 CM</t>
  </si>
  <si>
    <t>AD569-A994</t>
  </si>
  <si>
    <t>ACCHA00342</t>
  </si>
  <si>
    <t>HAY Tote Bag-Lavender--2024SS IS
 Size: W37 X H40 CM</t>
  </si>
  <si>
    <t>Basket</t>
  </si>
  <si>
    <t>AD854-A603-AB85</t>
  </si>
  <si>
    <t>ACCHA00343</t>
  </si>
  <si>
    <t>Basket (Recycled)-Large-Light grey
 W37.5 X D57.5 X H62.5</t>
  </si>
  <si>
    <t>AE398-A437-AH47</t>
  </si>
  <si>
    <t>LTLHA00016</t>
  </si>
  <si>
    <t>Parade portables -160 - Shell White
 W11 X D11 X H16 CM</t>
  </si>
  <si>
    <t>AE398-A437-AH49</t>
  </si>
  <si>
    <t>LTLHA00015</t>
  </si>
  <si>
    <t>Parade portables -160 - Blush Pink
 W11 X D11 X H16 CM</t>
  </si>
  <si>
    <t>AE398-B523-AH47</t>
  </si>
  <si>
    <t>LTLHA00017</t>
  </si>
  <si>
    <t>Parade portables -240 - Shell White
 W11 X D11 X H24 CM</t>
  </si>
  <si>
    <t>AE398-B523-AH49</t>
  </si>
  <si>
    <t>LTLHA00018</t>
  </si>
  <si>
    <t>Parade portables -240 - Blush Pink
 W11 X D11 X H24 CM</t>
  </si>
  <si>
    <t>AE398-B523-AL29</t>
  </si>
  <si>
    <t>LTLHA00020</t>
  </si>
  <si>
    <t>Parade portables -240 - Seafoam Green
 W11 X D11 X H24 CM</t>
  </si>
  <si>
    <t>AE913-C190</t>
  </si>
  <si>
    <t>LTLHA00019</t>
  </si>
  <si>
    <t>PC Portable Lamp-Iron red - R
 W14 X D14 X H22 CM</t>
  </si>
  <si>
    <t>133093A209</t>
  </si>
  <si>
    <t>Flowerpot Portable Lamp VP9</t>
  </si>
  <si>
    <t>1064+1063+1065</t>
  </si>
  <si>
    <t>SFAHA00015</t>
  </si>
  <si>
    <t>MAGS 3 SEATER COMBINATION 1 LOW ARMREST 1064+1063+1065
 DIMENSION
 W268,5 x D95,5 x H67 cm
 Seat H40 cm, Flamiber Cream A</t>
  </si>
  <si>
    <t>1962+1961</t>
  </si>
  <si>
    <t>SFAHA00016</t>
  </si>
  <si>
    <t>MAGS 2,5 SEATER COMBINATION 1 LOW ARMREST 1964+1965
 DIMENSION
 W228 x D95,5 x H67 cm
 Seat H40 cm
  Flamiber Cream A</t>
  </si>
  <si>
    <t>257177 1509000</t>
  </si>
  <si>
    <t>CHRHA00047</t>
  </si>
  <si>
    <t>Soft Edge80 Bar Stool H65
 Chromed Steel Legs
 SOF-Water-Based Lacquered Oak Seat/Back</t>
  </si>
  <si>
    <t>AE447-D534-AP25</t>
  </si>
  <si>
    <t>TBLHA00045</t>
  </si>
  <si>
    <t>Shim Coffee Table-Φ54 x H44-Eggshell
 ITEM NO: AE447-D534-AP25
 Φ54 x H44
 Φ54 x H44</t>
  </si>
  <si>
    <t>AE447-D533-AP24</t>
  </si>
  <si>
    <t>TBLHA00046</t>
  </si>
  <si>
    <t>Shim Coffee Table-Φ45 x H51-Custard
 ITEM NO: AE447-D533-AP24
 Φ45 x H51
 Φ45 x H51</t>
  </si>
  <si>
    <t>AE447-D533-AO41</t>
  </si>
  <si>
    <t>TBLHA00047</t>
  </si>
  <si>
    <t>Shim Coffee Table-Φ45 x H51-Bordeaux
 ITEM NO: AE447-D533-AO41
 Φ45 x H51
 Φ45 x H51</t>
  </si>
  <si>
    <t>AE444-E559</t>
  </si>
  <si>
    <t>CABHA00010</t>
  </si>
  <si>
    <t>Facet Cabinet Incl. Feet And Castors High(BOM)
 ITEM NO: AE444-E559
 W38xD38xH66
 W38xD38xH66 cm
 ABS Recycle
 Eggshell</t>
  </si>
  <si>
    <t>AE444-D528</t>
  </si>
  <si>
    <t>CABHA00011</t>
  </si>
  <si>
    <t>Facet Cabinet Incl. Feet And Castors High(BOM)
 ITEM NO: AE444-D528
 W38xD38xH66
 W38xD38xH66 cm
 Misty Blue</t>
  </si>
  <si>
    <t>AE444-D525</t>
  </si>
  <si>
    <t>CABHA00012</t>
  </si>
  <si>
    <t>Facet Cabinet Incl. Feet And Castors High(BOM)
 ITEM NO: AE444-D525
 W38xD38xH66
 W38xD38xH66 cm
 Misty Grey</t>
  </si>
  <si>
    <t>AE443-E559</t>
  </si>
  <si>
    <t>CABHA00013</t>
  </si>
  <si>
    <t>Facet Cabinet Incl. Feet And Castors Low(BOM)
 ITEM NO: AE443-E559
 W38xD38xH49
 W38xD38xH49 cm
 Eggshell</t>
  </si>
  <si>
    <t>AE443-D528</t>
  </si>
  <si>
    <t>CABHA00014</t>
  </si>
  <si>
    <t>Facet Cabinet Incl. Feet And Castors Low(BOM)
 ITEM NO: AE443-D528
 W38xD38xH49
 W38xD38xH49 cm
 Misty Blue</t>
  </si>
  <si>
    <t>AE443-D525</t>
  </si>
  <si>
    <t>CABHA00015</t>
  </si>
  <si>
    <t>Facet Cabinet Incl. Feet And Castors Low(BOM)
 ITEM NO: AE443-D525
 W38xD38xH49
 W38xD38xH49 cm
 Misty Grey</t>
  </si>
  <si>
    <t>AE063-D491</t>
  </si>
  <si>
    <t>LPLHA00010</t>
  </si>
  <si>
    <t>Common Pendant Cord Set - Anthracite Blue
 ITEM NO: AE063-D491
 13*13*15cm 12pcs/1CTN</t>
  </si>
  <si>
    <t>AE063-D490</t>
  </si>
  <si>
    <t>LPLHA00011</t>
  </si>
  <si>
    <t>Common Pendant Cord Set - Pastel Lilac
 ITEM NO: AE063-D490
 13*13*15cm 12pcs/1CTN</t>
  </si>
  <si>
    <t>AE063-D489</t>
  </si>
  <si>
    <t>LPLHA00012</t>
  </si>
  <si>
    <t>Common Pendant Cord Set - Amber Yellow
 ITEM NO: AE063-D489
 13*13*15cm 12pcs/1CTN</t>
  </si>
  <si>
    <t>AE063-D488</t>
  </si>
  <si>
    <t>LPLHA00013</t>
  </si>
  <si>
    <t>Common Pendant Cord Set - Garden Green
 ITEM NO: AE063-D488
 13*13*15cm 12pcs/1CTN</t>
  </si>
  <si>
    <t>AE063-D487</t>
  </si>
  <si>
    <t>LPLHA00014</t>
  </si>
  <si>
    <t>Common Pendant Cord Set - Rusty Red
 ITEM NO: AE063-D487
 13*13*15cm 12pcs/1CTN</t>
  </si>
  <si>
    <t>AB312-A907-AB27</t>
  </si>
  <si>
    <t>ACCHA00337</t>
  </si>
  <si>
    <t>ARCS mirror-round-red
 W60 x D60 x H3.5 CM</t>
  </si>
  <si>
    <t>AB312-B631-AL50</t>
  </si>
  <si>
    <t>ACCHA00338</t>
  </si>
  <si>
    <t>ARCS Mirror-rectangle S-mirrored
 W43.6 x L61.6x H3.3cm</t>
  </si>
  <si>
    <t>AB312-B632-AB80</t>
  </si>
  <si>
    <t>ACCHA00339</t>
  </si>
  <si>
    <t>ARCS Mirror-rectangle M-green
 W50.8 x L133.6 x H3.3cm</t>
  </si>
  <si>
    <t>HAY Dogs Bed-Small-Multi
 Item No: AD862-A601-AG24
 2 PCS = 1 BOX
 ICON</t>
  </si>
  <si>
    <t>V124517</t>
  </si>
  <si>
    <t>LTLVP00001</t>
  </si>
  <si>
    <t>Pantop Portable
Burgundy
H: 30 cm (11.8”)
Ø18 cm (7”)</t>
  </si>
  <si>
    <t>DH-0002827</t>
  </si>
  <si>
    <t>04/02/2025</t>
  </si>
  <si>
    <t>133280A426</t>
  </si>
  <si>
    <t>Montera JH42
 D44.6 x R21.7 x C32.7 cm
 Color: Sky</t>
  </si>
  <si>
    <t>SC-FH-02-151024-DH-0002455</t>
  </si>
  <si>
    <t>PO-FH-02-151024-DH-0002455</t>
  </si>
  <si>
    <t>DH-0002455</t>
  </si>
  <si>
    <t>07/10/2024</t>
  </si>
  <si>
    <t>14/04/2025</t>
  </si>
  <si>
    <t>PL270-1</t>
  </si>
  <si>
    <t>SFAFH00047</t>
  </si>
  <si>
    <t>Alphabet™ Sofa Series - model PL270-1
 3-seat
 Upholstery: Karakorum - Dune
 Dimension: W270 x D105 x H70 cm</t>
  </si>
  <si>
    <t>100132445</t>
  </si>
  <si>
    <t>SDK0110563</t>
  </si>
  <si>
    <t>106991598710</t>
  </si>
  <si>
    <t>Lô 57</t>
  </si>
  <si>
    <t>Sofa cushion for Alphabet™ Sofa Series - model PL001
 Upholstery: Karakorum - Dune
 Dimension: W62 x H46 x D18 cm</t>
  </si>
  <si>
    <t>NNH-USM-2025-003-DH-0002745</t>
  </si>
  <si>
    <t>PO-NNH-USM-2025-003-200125-DH-0002745</t>
  </si>
  <si>
    <t>DH-0002745</t>
  </si>
  <si>
    <t>30/03/2025</t>
  </si>
  <si>
    <t>USMUS-11207.36</t>
  </si>
  <si>
    <t>OLIVE | Phụ kiện USM Haller, tấm kim loại, Kích thước D750 x R350 mm, Màu Xanh olive</t>
  </si>
  <si>
    <t>102087415</t>
  </si>
  <si>
    <t>BSL-50016923</t>
  </si>
  <si>
    <t>D.B Group</t>
  </si>
  <si>
    <t>107002653700</t>
  </si>
  <si>
    <t>13/03/2025</t>
  </si>
  <si>
    <t>Lô 58</t>
  </si>
  <si>
    <t>USMUS-11210.36</t>
  </si>
  <si>
    <t>OLIVE | 11210.36 | USM Haller, metal panel, 395x350 mm, olive green</t>
  </si>
  <si>
    <t>USMUS-15434</t>
  </si>
  <si>
    <t>OLIVE | USM Haller, reinforcing profile for panel (750 mm)</t>
  </si>
  <si>
    <t>USMUS-16171.36</t>
  </si>
  <si>
    <t>OLIVE | 16171.36 | USM Haller, metal panel, 750x395 mm, olive green</t>
  </si>
  <si>
    <t>USMUS-16174.36</t>
  </si>
  <si>
    <t>OLIVE | 16174.36 | USM Haller, metal panel, with holes, 395x350 mm, olive green</t>
  </si>
  <si>
    <t>USMUS-16177.36</t>
  </si>
  <si>
    <t>OLIVE | 16177.36 | USM Haller, metal panel, with holes, 350x175 mm, olive green</t>
  </si>
  <si>
    <t>USMUS-16187.36</t>
  </si>
  <si>
    <t>OLIVE | 16187.36 | USM Haller, metal panel, 350x175 mm, olive green</t>
  </si>
  <si>
    <t>USMUS-16190.36</t>
  </si>
  <si>
    <t>OLIVE | 16190.36 | USM Haller, metal panel, 750x175 mm, olive green</t>
  </si>
  <si>
    <t>USMUS-18495</t>
  </si>
  <si>
    <t>OLIVE | Phụ kiện USM Haller, ống kim loại mạ chrome, dài 750 mm, có lỗ 2 bên</t>
  </si>
  <si>
    <t>USMUS-11203.24</t>
  </si>
  <si>
    <t>Phụ kiện USM Haller, tấm kim loại metal panel, Kích thước D750 x R500 mm, Màu Trắng (Pure White)</t>
  </si>
  <si>
    <t>USMUS-16606.24</t>
  </si>
  <si>
    <t>Phụ kiện USM Haller, tấm kim loại metal panel, Kích thước D500 x R100 mm, Màu Trắng (Pure White)</t>
  </si>
  <si>
    <t>USMUS-16608.24</t>
  </si>
  <si>
    <t>Phụ kiện USM Haller, tấm kim loại metal panel, Kích thước D750 x R100 mm, Màu Trắng (Pure White)</t>
  </si>
  <si>
    <t>NNH-VT-2025-001-030125-DH-0002685</t>
  </si>
  <si>
    <t>DH-0002685</t>
  </si>
  <si>
    <t>31/03/2025</t>
  </si>
  <si>
    <t>Table Guéridon
 Dimension: D1050mm H740mm
 Table top / legs: solid dark oak, prot. varnish
 Strut: deep black</t>
  </si>
  <si>
    <t>5083774 / 1</t>
  </si>
  <si>
    <t>STR 7010 4159</t>
  </si>
  <si>
    <t>107006577201</t>
  </si>
  <si>
    <t>Lô 59</t>
  </si>
  <si>
    <t>KNOLL</t>
  </si>
  <si>
    <t>SC-NNH-KNOLL-2024-001-270924</t>
  </si>
  <si>
    <t>PO-NNH-KNOLL-2024-001-270924</t>
  </si>
  <si>
    <t>Knoll</t>
  </si>
  <si>
    <t>175TO MA 2</t>
  </si>
  <si>
    <t>TBLKN00001</t>
  </si>
  <si>
    <t>Saarinen high Oval dinning Table
 244 White base, Arabescato marble
 W244xH73xD137</t>
  </si>
  <si>
    <t>250882</t>
  </si>
  <si>
    <t>SDB49S070324</t>
  </si>
  <si>
    <t>23/01/2025</t>
  </si>
  <si>
    <t>16/03/2025</t>
  </si>
  <si>
    <t>Savino</t>
  </si>
  <si>
    <t>107022321600</t>
  </si>
  <si>
    <t>18/03/2025</t>
  </si>
  <si>
    <t>Lô 60</t>
  </si>
  <si>
    <t>174TO MA 2</t>
  </si>
  <si>
    <t>TBLKN00012</t>
  </si>
  <si>
    <t>Saarinen high Oval dinning Table
 198 White base, Arabescato marble
 W198xH73xD121</t>
  </si>
  <si>
    <t>151CS2K G 07PE</t>
  </si>
  <si>
    <t>CHRKN00001</t>
  </si>
  <si>
    <t>tulip armless chair with seat pad
 white shell and base
 Light grey - Pegaso
 Level G
 Swivel
 Cushion
 Seat height: 49cm
 H81xW49xD53</t>
  </si>
  <si>
    <t>150AS2U G 06PE</t>
  </si>
  <si>
    <t>CHRKN00007</t>
  </si>
  <si>
    <t>tulip armchair
 white shell and base
 Swivel, upholstered inner shell and seat cushion
 Pegaso 06 - Ivory
 Seat height: 48cm
 H81xW68xD59
 Arm height: 64cm</t>
  </si>
  <si>
    <t>1725A S 120EVA</t>
  </si>
  <si>
    <t>CHRKN00003</t>
  </si>
  <si>
    <t>Platner side chair Nichel structure, 
 120Eva Wine
 Level S
 seat height: 51cm
 H76xW74xD57</t>
  </si>
  <si>
    <t>250LCR W VP280</t>
  </si>
  <si>
    <t>CLGKN00001</t>
  </si>
  <si>
    <t>Barcelona chair relax 
 Chrome structure, Venezia Cognac
 Seat height: 43cm
 H77xW75xD77, màu 04C</t>
  </si>
  <si>
    <t>252TL CG2</t>
  </si>
  <si>
    <t>TBLKN00013</t>
  </si>
  <si>
    <t>Barcelona low table, clear glass
 W100xD100xH35</t>
  </si>
  <si>
    <t>162TR MA 2</t>
  </si>
  <si>
    <t>TBLKN00004</t>
  </si>
  <si>
    <t>Saarinen low table round
 White Rilsan base
  ø 91cmx H38/39
 marble, Arabescato: White with grey veining.</t>
  </si>
  <si>
    <t>163TR MN 1</t>
  </si>
  <si>
    <t>TBLKN00005</t>
  </si>
  <si>
    <t>Saarinen low table round
  ø51 h51 black base, Nero marquina marble</t>
  </si>
  <si>
    <t>163TR MA 2</t>
  </si>
  <si>
    <t>TBLKN00006</t>
  </si>
  <si>
    <t>Saarinen low table
 51/51 ø51 h51 white base, Arabescato marble</t>
  </si>
  <si>
    <t>163TR MV 2</t>
  </si>
  <si>
    <t>TBLKN00007</t>
  </si>
  <si>
    <t>Saarinen low table round
  51/51 ø51 h51 
 black base, Alpi marble</t>
  </si>
  <si>
    <t>427CCK W VO947</t>
  </si>
  <si>
    <t>CHRKN00004</t>
  </si>
  <si>
    <t>Bertoia Stool with chrome structure (Iconic)
 Coffee bean leather pad
 Seat height: 70cm
 H100xW54xD58</t>
  </si>
  <si>
    <t>421 LC K W VOBLK</t>
  </si>
  <si>
    <t>CLGKN00006</t>
  </si>
  <si>
    <t>Bertoia Lounge Diamond armchair 
 With seat pad, polished chrome
 VOBLK Black
 Upholstery: Volo
 Seat height: 46cm
 H75xW85xD75</t>
  </si>
  <si>
    <t>1x MHPRCDB C 02CU
 2x MHS09QB C 02CU
 1x MHS2LQB C 02CU</t>
  </si>
  <si>
    <t>SFAKN00003</t>
  </si>
  <si>
    <t>Matic sofa 
 Chrome structure, Curly 02 Ivory
 W347xD254xH64</t>
  </si>
  <si>
    <t>MAP2 C 02CU</t>
  </si>
  <si>
    <t>ACCKN00001</t>
  </si>
  <si>
    <t>Matic back support cushion Curly 02 ivory
 70x50</t>
  </si>
  <si>
    <t>BO3 C 02CU</t>
  </si>
  <si>
    <t>ACCKN00002</t>
  </si>
  <si>
    <t>cushion 55x55cm Curly 02 ivory</t>
  </si>
  <si>
    <t>BO2 S 03HER</t>
  </si>
  <si>
    <t>ACCKN00003</t>
  </si>
  <si>
    <t>cushion 48x48cm Hermoso 03</t>
  </si>
  <si>
    <t>70 LCXD C CM03&amp;74 YXDD C CM03</t>
  </si>
  <si>
    <t>CLGKN00007</t>
  </si>
  <si>
    <t>Womb armchair - relax include ottoman
 Chrome structure, Hemp Crumble class
 Size: W: 105cm, D: 92cm, H: 94cm
 Seat: 43.5cm</t>
  </si>
  <si>
    <t>3710T G2</t>
  </si>
  <si>
    <t>TBLKN00008</t>
  </si>
  <si>
    <t>Platner side table ø40 h 46 chrome structure, clear glass</t>
  </si>
  <si>
    <t>50LC L 02BC</t>
  </si>
  <si>
    <t>CLGKN00003</t>
  </si>
  <si>
    <t>Wassily lounge chair with chrome structure (iconic)
 Upholstery: Green bauhaus
 Seat height: 42cm
 H73xW79xD69
 Arm height: 58.5cm</t>
  </si>
  <si>
    <t>50 LC L 82</t>
  </si>
  <si>
    <t>CLGKN00004</t>
  </si>
  <si>
    <t>Wassily lounge chair with chrome structure (iconic)
 Upholstery: cowhide natural CP2
 Seat height: 42cm
 H73xW79xD69
 Arm height: 58.5cm</t>
  </si>
  <si>
    <t>AV22BMVS S 01HER</t>
  </si>
  <si>
    <t>SFAKN00004</t>
  </si>
  <si>
    <t>Avio 3 seat sofa + L shape marble
 Chrome strcture
 Satin Verde Alpi Marble table top
 Hermoso 01
 Seat height: 44cm
 H72xW380xD156</t>
  </si>
  <si>
    <t>AVP1 S 01HER</t>
  </si>
  <si>
    <t>ACCKN00004</t>
  </si>
  <si>
    <t>cushion 53x48cm HERMOSO 01</t>
  </si>
  <si>
    <t>PLBKM 1620 GE</t>
  </si>
  <si>
    <t>CABKN00001</t>
  </si>
  <si>
    <t>Red Baron shelves
 W200xH160xD45
 Shelve finish: Painted anthracite</t>
  </si>
  <si>
    <t>657C1 C2K VPBLK</t>
  </si>
  <si>
    <t>CLGKN00005</t>
  </si>
  <si>
    <t>Pollock armchair
 Upholstery: Nature cowhide
 Cushion VP Black
 Seat height: 41cm
 H70.5xW64xD66 
 Arm height: 58cm</t>
  </si>
  <si>
    <t>LLS10 BM MLE
 LLS8 MLE</t>
  </si>
  <si>
    <t>TBLKN00009</t>
  </si>
  <si>
    <t>Grasshopper low table 
 Black base,
 Painted Mat Black
  ø100 - ø83, H20/25 - W152xD100xH20/25
  Coated marble: Verde Levanto</t>
  </si>
  <si>
    <t>3715T G2</t>
  </si>
  <si>
    <t>TBLKN00010</t>
  </si>
  <si>
    <t>Platner dining table 
 ø152xH70
  nichel structure, clear glass</t>
  </si>
  <si>
    <t>256C CC L80</t>
  </si>
  <si>
    <t>CHRKN00002</t>
  </si>
  <si>
    <t>Mr side chair 
 Chrome frame, black cowhide
 Seat height: 46cm
 H79xW49xD69</t>
  </si>
  <si>
    <t>80DRE</t>
  </si>
  <si>
    <t>TBLKN00011</t>
  </si>
  <si>
    <t>Albini mini desk 
 Chrome structure, ebonized drawer unit - right
 W122xD67xH70</t>
  </si>
  <si>
    <t>SIMES</t>
  </si>
  <si>
    <t>NNH-SM-2025-100225-001</t>
  </si>
  <si>
    <t>Simes</t>
  </si>
  <si>
    <t>Spotlight</t>
  </si>
  <si>
    <t>S.3390W.19</t>
  </si>
  <si>
    <t>LSLSM00001</t>
  </si>
  <si>
    <t>NANOLED FRAME + 830 STE</t>
  </si>
  <si>
    <t>00942</t>
  </si>
  <si>
    <t>772792089334</t>
  </si>
  <si>
    <t>17/03/2025</t>
  </si>
  <si>
    <t>28/03/2025</t>
  </si>
  <si>
    <t>107047760960</t>
  </si>
  <si>
    <t>27/03/2025</t>
  </si>
  <si>
    <t>Bộ phận của đèn: thân đèn dùng cho đèn Nanoled, kích thước 100x49.5x57.5 mm, bằng kim loại, hiệu Simes, model S.3390W.19, mới 100%</t>
  </si>
  <si>
    <t>Lô 61</t>
  </si>
  <si>
    <t>S.6425W.14</t>
  </si>
  <si>
    <t>LSLSM00002</t>
  </si>
  <si>
    <t>MINISHAPE + 830 GRY</t>
  </si>
  <si>
    <t>Bộ phận của đèn: thân đèn dùng cho đèn Minishape, kích thước 150x87x37 mm, bằng kim loại, hiệu Simes, model S.6425W.14, mới 100%</t>
  </si>
  <si>
    <t>S.1506W.14</t>
  </si>
  <si>
    <t>LSLSM00003</t>
  </si>
  <si>
    <t>MICROKEEN + 830LAM GRY</t>
  </si>
  <si>
    <t>Bộ phận của đèn: thân đèn dùng cho đèn Microkeen, kích thước 105x113x40 mm, bằng kim loại, hiệu Simes, model S.1506W.14, mới 100%</t>
  </si>
  <si>
    <t>S.5681W.14</t>
  </si>
  <si>
    <t>LWLSM00001</t>
  </si>
  <si>
    <t>MICROSUIT +830 GRY</t>
  </si>
  <si>
    <t>Bộ phận của đèn: thân đèn dùng cho đèn Microsuit, kích thước 125x 250 mm, bằng kim loại, hiệu Simes, model S.5681W.14, mới 100%</t>
  </si>
  <si>
    <t>COFNANOLED-IE</t>
  </si>
  <si>
    <t>MKTSM00001</t>
  </si>
  <si>
    <t>DEMO CASE NANOLED ITA/ENG</t>
  </si>
  <si>
    <t>Bộ mô hình đèn Nanoled không bao gồm nguồn led, một bộ gồm hai cái thân đèn, dùng để trưng bày, kích thước 30x15x10 cm, bằng kim loại, hiệu Simes, model COFNANOLED-IE, hàng F.O.C, mới 100%</t>
  </si>
  <si>
    <t>COFFLOWER-IE</t>
  </si>
  <si>
    <t>MKTSM00002</t>
  </si>
  <si>
    <t>DEMO CASE FLOWER ITA/ENG GREEN+ANTR</t>
  </si>
  <si>
    <t>Bộ mô hình đèn Flower không bao gồm nguồn led, một bộ gồm hai cái thân đèn, dùng để trưng bày, kích thước 30x30x10 cm, bằng kim loại, hiệu Simes, hàng F.O.C, model COFFLOWER-IE, mới 100%</t>
  </si>
  <si>
    <t>NNH-EC-2025-002-0204-DH-0003047</t>
  </si>
  <si>
    <t>Ecolux</t>
  </si>
  <si>
    <t>DH-0003047</t>
  </si>
  <si>
    <t>16/05/2025</t>
  </si>
  <si>
    <t>SE-12-350-700-W1DS</t>
  </si>
  <si>
    <t>Ltech Driver for Dali, remote Driver, set 500mA, 12W, IP20
Dimension: 135x30x20mm</t>
  </si>
  <si>
    <t xml:space="preserve"> NNH-EC-2025-001-0204</t>
  </si>
  <si>
    <t>NNH-EC-2025-001-0204-DH-0003047</t>
  </si>
  <si>
    <t>T5/2025</t>
  </si>
  <si>
    <t>107143256400</t>
  </si>
  <si>
    <t>Lô 62</t>
  </si>
  <si>
    <t>Ltech Driver for Dali, remote Driver, set 700mA, 20W, IP20
Dimension: 127x40x23mm</t>
  </si>
  <si>
    <t>SE-30-200-800-W1D</t>
  </si>
  <si>
    <t>Ltech Driver NFC CC DALI DT6 LED driver
30W, 200-800mA, IP20
Dimension: 142x40x23mm</t>
  </si>
  <si>
    <t>Ltech Driver
Set 1050mA, 40W, IP20
Dimension: 142x40x23mm</t>
  </si>
  <si>
    <t>SE-20-100-700-W1DS</t>
  </si>
  <si>
    <t>Ltech Driver
Set 700mA, 20W, IP20
Dimension: 127x40x23mm</t>
  </si>
  <si>
    <t>Ltech Driver
Set 700mA, 40W, IP20
Dimension: 142x40x23mm</t>
  </si>
  <si>
    <t>Body cover for ISA Recessed Stretch Light
Size:Ø52XH92mm
Cutting: 45x45mm
Material: Metal, plastic</t>
  </si>
  <si>
    <t>NNH-KN-2025-001-2501-DH-0002823</t>
  </si>
  <si>
    <t>DH-0002823</t>
  </si>
  <si>
    <t>25/01/2025</t>
  </si>
  <si>
    <t>52435</t>
  </si>
  <si>
    <t>28/04/2025</t>
  </si>
  <si>
    <t>107250635660</t>
  </si>
  <si>
    <t xml:space="preserve"> Ghế xoay Tulip, Knoll, model 151CS2K G 07PE, kích thước 81x49x53 cm, chiều cao ghế ngồi 49cm, thân bằng nhựa màu trắng, có đệm ngồi bằng vải Pegaso, màu light grey, mới 100% </t>
  </si>
  <si>
    <t>Lô 63</t>
  </si>
  <si>
    <t>NNH-USM-2025-002-2301</t>
  </si>
  <si>
    <t>SC-USM-001-100125-DH-0002728</t>
  </si>
  <si>
    <t>DH-0002728</t>
  </si>
  <si>
    <t>10/07/2025</t>
  </si>
  <si>
    <t>16853.3</t>
  </si>
  <si>
    <t>102087668-102088128</t>
  </si>
  <si>
    <t>01/25/850295/HOCHMI/</t>
  </si>
  <si>
    <t>LCL</t>
  </si>
  <si>
    <t>23/04/2025</t>
  </si>
  <si>
    <t>107270430630</t>
  </si>
  <si>
    <t>Lô 64</t>
  </si>
  <si>
    <t>USMUS-11207.24</t>
  </si>
  <si>
    <t>USM Haller, metal panel, 750x350 mm, pure white</t>
  </si>
  <si>
    <t>USMUS-10731</t>
  </si>
  <si>
    <t>USM Haller, tube, 100 mm</t>
  </si>
  <si>
    <t>USMUS-11211.24</t>
  </si>
  <si>
    <t>USM Haller, metal panel, 350x350 mm, pure white</t>
  </si>
  <si>
    <t>USMUS-11207.31</t>
  </si>
  <si>
    <t>USM Haller, metal panel, 750x350 mm, USM beige</t>
  </si>
  <si>
    <t>USMUS-14262</t>
  </si>
  <si>
    <t>USM Haller, lock for drop-down, extension and flip-up door, 2 keys</t>
  </si>
  <si>
    <t>USMUS-14263.24</t>
  </si>
  <si>
    <t>USM Haller, door without fittings, 750x350 mm, pure white</t>
  </si>
  <si>
    <t>USMUS-11212.24</t>
  </si>
  <si>
    <t>USM Haller, metal panel, with holes, 350x350 mm, pure white</t>
  </si>
  <si>
    <t>USMUS-11212.31</t>
  </si>
  <si>
    <t>USM Haller, metal panel, with holes, 350x350 mm, USM beige</t>
  </si>
  <si>
    <t>USMUS-14263.31</t>
  </si>
  <si>
    <t>USM Haller, door without fittings, 750x350 mm, USM beige</t>
  </si>
  <si>
    <t>USMUS-10741</t>
  </si>
  <si>
    <t>USM Haller, tube, 750 mm</t>
  </si>
  <si>
    <t>USMUS-11212.22</t>
  </si>
  <si>
    <t>USMUS-18646</t>
  </si>
  <si>
    <t>USM Haller, glass element in tempered safety glass (ESG), element 4 self sticking fabrics included, 350x350 mm</t>
  </si>
  <si>
    <t>Phụ kiện USM Haller, tấm kim loại, Kích thước D750 x R350 mm, Màu Xanh olive</t>
  </si>
  <si>
    <t>USMUS-16187.24</t>
  </si>
  <si>
    <t>USM Haller, metal panel, 350x175 mm, pure white</t>
  </si>
  <si>
    <t>USMUS-16187.31</t>
  </si>
  <si>
    <t>USM Haller, metal panel, 350x175 mm, USM beige</t>
  </si>
  <si>
    <t>USMUS-15437</t>
  </si>
  <si>
    <t>USM Haller, pull handle, 350 mm</t>
  </si>
  <si>
    <t>USMUS-16695</t>
  </si>
  <si>
    <t>USM Haller, support for counter top, on ball</t>
  </si>
  <si>
    <t>USMUS-16177.24</t>
  </si>
  <si>
    <t>USM Haller, metal panel, with holes, 350x175 mm, pure white</t>
  </si>
  <si>
    <t>USMUS-15436</t>
  </si>
  <si>
    <t>USM Haller, pull handle, 500 mm</t>
  </si>
  <si>
    <t>USMUS-11211.36</t>
  </si>
  <si>
    <t>USM Haller, metal panel, 350x350 mm, Olive</t>
  </si>
  <si>
    <t>USMUS-14263.36</t>
  </si>
  <si>
    <t>USM Haller, door without fittings, 750x350 mm, Olive</t>
  </si>
  <si>
    <t>USMUS-16850.24</t>
  </si>
  <si>
    <t>USM Haller, door without fittings, 500x175 mm, pure white</t>
  </si>
  <si>
    <t>USMUS-11212.36</t>
  </si>
  <si>
    <t>Phụ kiện USM Haller, tấm kim loại metal panel with holes, viền lỗ, Kích thước D350 x R350 mm, màu xanh olive</t>
  </si>
  <si>
    <t>USMUS-15169.24</t>
  </si>
  <si>
    <t>USM Haller, metal panel, 500x395 mm, pure white</t>
  </si>
  <si>
    <t>USMUS-16328.24</t>
  </si>
  <si>
    <t>USM Haller, door without fittings, 500x395 mm, pure white</t>
  </si>
  <si>
    <t>USM Haller, metal panel, 750x500 mm, pure white</t>
  </si>
  <si>
    <t>USM Haller, metal panel, perforated, 350x350 mm, pure white</t>
  </si>
  <si>
    <t>USMUS-15836.24</t>
  </si>
  <si>
    <t>USM Haller, acoustic metal panel, perforated, 750x350 mm, pure white</t>
  </si>
  <si>
    <t>USMUS-15168</t>
  </si>
  <si>
    <t>USM, adjustable glide, Ø 23 mm, 15 mm</t>
  </si>
  <si>
    <t>USMUS-16696</t>
  </si>
  <si>
    <t>USM Haller, support for counter top, on tube</t>
  </si>
  <si>
    <t>USMUS-11211.31</t>
  </si>
  <si>
    <t>USM Haller, metal panel, 350x350mm, USM Beige</t>
  </si>
  <si>
    <t>USMUS-15438</t>
  </si>
  <si>
    <t>USM Haller, coupling for pull handle</t>
  </si>
  <si>
    <t>DH-0002889</t>
  </si>
  <si>
    <t>17/02/2025</t>
  </si>
  <si>
    <t>17/06/2025</t>
  </si>
  <si>
    <t>Furniture - cabinet</t>
  </si>
  <si>
    <t>USMUS-11103.24</t>
  </si>
  <si>
    <t>USM Haller, extension shelf without fittings, 750x350 mm, pure white</t>
  </si>
  <si>
    <t>USMUS-14108.24</t>
  </si>
  <si>
    <t>USM Haller, bracket left for extension shelf, 350 mm, pure white</t>
  </si>
  <si>
    <t>USMUS-14109.24</t>
  </si>
  <si>
    <t>USM Haller, bracket right for extension shelf, 350 mm, pure white</t>
  </si>
  <si>
    <t>USMUS-16787.24</t>
  </si>
  <si>
    <t>USM Haller, side/divider panel for drawer, 350x175 mm, pure white</t>
  </si>
  <si>
    <t>USMUS-16793.24</t>
  </si>
  <si>
    <t>USM Haller, front/rear panel for drawer, 750x175 mm, pure white</t>
  </si>
  <si>
    <t>USMUS-18453</t>
  </si>
  <si>
    <t>USM Haller, telescopic extension with end stop, left, 350 mm</t>
  </si>
  <si>
    <t>USMUS-18454</t>
  </si>
  <si>
    <t>USM Haller, telescopic extension with end stop, right, 350 mm</t>
  </si>
  <si>
    <t>USMUS-18476</t>
  </si>
  <si>
    <t>USM Haller, fitting set for extension shelf (350 mm)</t>
  </si>
  <si>
    <t>USMUS-11434</t>
  </si>
  <si>
    <t>USM Haller, glass door handle set</t>
  </si>
  <si>
    <t>USMUS-11910</t>
  </si>
  <si>
    <t>USM Haller, glass door hinge set, left, for handle/lock right, type glass-metal, chrome-plated</t>
  </si>
  <si>
    <t>USMUS-12575</t>
  </si>
  <si>
    <t>USM Haller, glass door in glass element in tempered safety glass (ESG) with support, 750x350 mm, chrome-plated</t>
  </si>
  <si>
    <t>NNH-USM-2025-004-1503</t>
  </si>
  <si>
    <t>Reception Desk &amp; Kitchen Island</t>
  </si>
  <si>
    <t>USMUS10269</t>
  </si>
  <si>
    <t>USM Haller, Office cabinet
 Dimensions: 1773x373x740 mm
 Material: metal, glass
 Color: Mix</t>
  </si>
  <si>
    <t>NNH-FLOS-2025-001-2201</t>
  </si>
  <si>
    <t>PO-NNH-FLOS-001-2025-2201</t>
  </si>
  <si>
    <t>FLOS S.P.A.</t>
  </si>
  <si>
    <t>FDS</t>
  </si>
  <si>
    <t>F0280000</t>
  </si>
  <si>
    <t>LPLFL00065</t>
  </si>
  <si>
    <t>Noctambule 4 High Cylinders Suspension
 Power 45W 120-277V
 Light source: 5 STRIP LED x 9W 1500lm 2700K CRI 90
 Materials: Blown glass
 DIMMER INCLUDED: 1-10/PUSH/DALI
 Size: 250x250x2160 mm</t>
  </si>
  <si>
    <t>2503002043</t>
  </si>
  <si>
    <t>SDB49S072223</t>
  </si>
  <si>
    <t>SEA - combine</t>
  </si>
  <si>
    <t>29/04/2025</t>
  </si>
  <si>
    <t>107270494661</t>
  </si>
  <si>
    <t>Lô 65</t>
  </si>
  <si>
    <t>F0264000</t>
  </si>
  <si>
    <t>LPLFL00066</t>
  </si>
  <si>
    <t>Noctambule 3 High Cylinders Suspension
 Power 36W 120-277V
 Light source: 4 STRIP LED x 9W 1202lm 2700K CRI 90
 Materials: Blown glass
 DIMMER INCLUDED: 1-10/PUSH/DALI
 Size: 250x250x1630 mm</t>
  </si>
  <si>
    <t>F038AACA0ZZ</t>
  </si>
  <si>
    <t>LTLFL00050</t>
  </si>
  <si>
    <t>Mayday Outdoor
 Leaf Green
 IP65
 LED 8W E14 900lm
 Size: 530x220x220 mm</t>
  </si>
  <si>
    <t>F038AABA0ZZ</t>
  </si>
  <si>
    <t>LTLFL00051</t>
  </si>
  <si>
    <t>Mayday Outdoor
 Mustard yellow
 IP65
 LED 8W E14 900lm
 Size: 530x220x220 mm</t>
  </si>
  <si>
    <t>F3780002</t>
  </si>
  <si>
    <t>LTLFL00059</t>
  </si>
  <si>
    <t>Mayday
 Orange
 IP20
 Led 11.5W E27 1100lm
 Size: 530x220x220 mm</t>
  </si>
  <si>
    <t>F2601009</t>
  </si>
  <si>
    <t>LFLFL00009</t>
  </si>
  <si>
    <t>Gatto
 bianco · white
 Materiali · Materials
 cocoon, acciaio · cocoon, steel
 DIMMER INCLUDED
 Size: 350x350x560 mm</t>
  </si>
  <si>
    <t>F2701009</t>
  </si>
  <si>
    <t>LTLFL00011</t>
  </si>
  <si>
    <t>Gatto Piccolo
 bianco · white
 Materiali · Materials
 cocoon, acciaio · cocoon, steel
 DIMMER INCLUDED
 Size: 190x190x300 mm</t>
  </si>
  <si>
    <t>F6604004</t>
  </si>
  <si>
    <t>LTLFL00032</t>
  </si>
  <si>
    <t>Taccia Small Silver
 16w 100-240V/24V
 1 COB LED 16W 2700K CRI92
 DIMMABLE
 Material: glass, aluminum
 Size: 495x373x373mm</t>
  </si>
  <si>
    <t>F6602004</t>
  </si>
  <si>
    <t>LTLFL00034</t>
  </si>
  <si>
    <t>Taccia Silver
 28w 100-240V/24V
 Size: 645x495x495 mm
 1 COB LED 28W 2700K CRI93
 DIMMABLE
 · glass, aluminum</t>
  </si>
  <si>
    <t>Arrangements Line
 29W 48V
 FLEX STRIP LED 29W 1480lm 2700K CRI90
 aluminum
 Size: W1706 mm</t>
  </si>
  <si>
    <t>F0416030</t>
  </si>
  <si>
    <t>SPAFL00035</t>
  </si>
  <si>
    <t>ARRANGEMENTS SMALL ROSE
 Black
 Cable: 2400mm
 Size: 150x70 mm</t>
  </si>
  <si>
    <t>ZEPPELIN 1 EU/CCC/IR
 Materiali · Materials
 cocoon, acciaio, cristallo · cocoon, steel, crystal
 Size: 1100 x 1100 x 740 mm</t>
  </si>
  <si>
    <t>F7630035</t>
  </si>
  <si>
    <t>LFLFL00041</t>
  </si>
  <si>
    <t>TOIO LED
 Floor Lamp 
 Material: Steel
 DIMMER INCLUDED
 white/black/red
 IP20
 Size: 210x1580/1950 mm (DI170 mm)</t>
  </si>
  <si>
    <t>F3452033</t>
  </si>
  <si>
    <t>LTLFL00052</t>
  </si>
  <si>
    <t>KELVIN EDGE BASE
 (Antonio Citterio, 2015)
 Table lamp
 DIMMER INCLUDED (LED)
 Materiali · Materials
 alluminio · aluminum 
 titanio · titanium color
 IP20
 Size: 150x414x473 mm (light 85 mm)</t>
  </si>
  <si>
    <t>F3305030</t>
  </si>
  <si>
    <t>LFLFL00042</t>
  </si>
  <si>
    <t>KELVIN LED F
 Floor lamp
 Materiali · Materials
 alluminio · aluminum
 DIMMER INCLUDED
 Black color
 IP20
 Size: 165x475x1100 mm</t>
  </si>
  <si>
    <t>F3190009</t>
  </si>
  <si>
    <t>LWLFL00017</t>
  </si>
  <si>
    <t>BUTTON
 Wall lamp
 Vetro Glass
 bianco · white
 IP40
 Size: 470 x 470 x 100 mm</t>
  </si>
  <si>
    <t>F1490009</t>
  </si>
  <si>
    <t>LWLFL00018</t>
  </si>
  <si>
    <t>MINI BUTTON
 Wall lamp
 Vetro Glass
 IP40
 Size: 140 x 140 x 46 mm</t>
  </si>
  <si>
    <t>LUCE ORIZZONTALE S1
 Pendant lamp
 Size: 103 x 103 x 1566 mm
 Cable 2.07 m
 vetro · glass
 DIMMER INCLUDED
 PUSH/DALI
 IP20</t>
  </si>
  <si>
    <t>BELLHOP BATTERY
 Portable lamp
 DIMMER INCLUDED
 IP20
 Cioko color
 Size: 125 x 125 x 210 mm</t>
  </si>
  <si>
    <t>F1060075</t>
  </si>
  <si>
    <t>LTLFL00053</t>
  </si>
  <si>
    <t>BELLHOP BATTERY
 Portable lamp
 DIMMER INCLUDED
 IP20
 rosso mattone · brick red color
 Size: 125 x 125 x 210 mm</t>
  </si>
  <si>
    <t>F1060019</t>
  </si>
  <si>
    <t>LTLFL00054</t>
  </si>
  <si>
    <t>BELLHOP BATTERY
 Portable lamp
 DIMMER INCLUDED
 IP20
 giallo · yellow color
 Size: 125 x 125 x 210 mm</t>
  </si>
  <si>
    <t>F1060014</t>
  </si>
  <si>
    <t>LTLFL00055</t>
  </si>
  <si>
    <t>BELLHOP BATTERY
 Portable lamp
 DIMMER INCLUDED
 IP20
 Blue color
 Size: 125 x 125 x 210 mm</t>
  </si>
  <si>
    <t>F1856033</t>
  </si>
  <si>
    <t>LPLFL00067</t>
  </si>
  <si>
    <t>COORDINATES C4
 Color: Argent
 STRIP LED 157W 8830lm 2700K
 CRI95
 157W 100-240v
 DIMMER INCLUDED
 1-10/PUSH/DALI
 Size: 950 x 1762 mm</t>
  </si>
  <si>
    <t>F1634035</t>
  </si>
  <si>
    <t>LTLFL00056</t>
  </si>
  <si>
    <t>Céramique Down - Rust Red
 Size 486-510x239x220 mm
 8W 220-240v
 Light source
 LED 8W E27 740lm CRI&gt;80
 [esclusa - excluded]
 polycarbonate, ceramics
 DIMMER INTEGRATED</t>
  </si>
  <si>
    <t>SC-FLOS-05-230924-Fall Campaign</t>
  </si>
  <si>
    <t>PO-FLOS-05-230924-Fall Campaign</t>
  </si>
  <si>
    <t>D301T01C3EAF2</t>
  </si>
  <si>
    <t>LTLFL00058</t>
  </si>
  <si>
    <t>Superwire T by
Formafantasma table lamp
Size: 449x510 mm
Material: glass, aluminum,
plastic</t>
  </si>
  <si>
    <t>F1074009</t>
  </si>
  <si>
    <t>LTLFL00057</t>
  </si>
  <si>
    <t>Bellhop Glass T
White
DI330x185 mm</t>
  </si>
  <si>
    <t>F1081009</t>
  </si>
  <si>
    <t>LPLFL00063</t>
  </si>
  <si>
    <t>Bellhop Glass S2
White
DI450x252 mm</t>
  </si>
  <si>
    <t>NNH-FLOS-2025-002-130325-DH-0002827</t>
  </si>
  <si>
    <t>SNOOPY
 marble, metal
 Dimension: 369x394mm
 Color: Black</t>
  </si>
  <si>
    <t>F4190009</t>
  </si>
  <si>
    <t>Mini Glo-Ball Ceiling/Wall Mirror
 Dimension: 60x112mm</t>
  </si>
  <si>
    <t>NNH-FLOS-2025-004-2504-DH-0003246</t>
  </si>
  <si>
    <t>NNH-FLOS-2025-004</t>
  </si>
  <si>
    <t>DH-0003246</t>
  </si>
  <si>
    <t>F6487030&amp;F6484030</t>
  </si>
  <si>
    <t>LPLFL00064</t>
  </si>
  <si>
    <t xml:space="preserve">STRING LIGHT &amp; power supplier
Cone 12m
Size 160x190 mm
Color: Black
</t>
  </si>
  <si>
    <t>NNH-EC-2025-003-2604-CR</t>
  </si>
  <si>
    <t>LDLTJ00006</t>
  </si>
  <si>
    <t>Bộ phận của đèn: thân đèn dùng cho đèn âm trần downlight Aura Torres S TW, kích thước 70x104 mm, bằng kim loại, hiệu NANOCO, model LDLTJ00006, mới 100%</t>
  </si>
  <si>
    <t>ITISZNHCM2506320</t>
  </si>
  <si>
    <t>107277220040</t>
  </si>
  <si>
    <t>Lô 66</t>
  </si>
  <si>
    <t>LDLTJ00007</t>
  </si>
  <si>
    <t>Bộ phận của đèn: thân đèn dùng cho đèn âm trần downlight Aura Torres S, kích thước 70x104 mm, bằng kim loại, hiệu NANOCO, model LDLTJ00007, mới 100%</t>
  </si>
  <si>
    <t>LDLTJ00008</t>
  </si>
  <si>
    <t>Bộ phận của đèn: thân đèn dùng cho đèn âm trần downlight Aura Torres S TW, có thấu kính, kích thước 70x104 mm, bằng kim loại, hiệu NANOCO, model LDLTJ00008, mới 100%</t>
  </si>
  <si>
    <t xml:space="preserve">	
Driver nguồn, bộ phận của đèn led, 20W, 9-42VDC, 700mA, hiệu Ltech, model SE-20-100-700-W2D, Ltech, model SE-20-100-700-W2D, mới 100%</t>
  </si>
  <si>
    <t>LSLEC00027</t>
  </si>
  <si>
    <t>Bộ phận của đèn: thân đèn dùng cho đèn Magnetic spotlight, kích thước 40x120 mm, bằng kim loại, hiệu NANOCO, model LSLEC00027, mới 100%</t>
  </si>
  <si>
    <t>LDLEC00023</t>
  </si>
  <si>
    <t>Bộ phận của đèn: thân đèn dùng cho đèn âm trần downlight IOTA, thấu kính 50 độ, kích thước 86x90 mm, bằng kim loại, hiệu NANOCO, model LDLEC00023, mới 100%</t>
  </si>
  <si>
    <t>LDLEC00024</t>
  </si>
  <si>
    <t>Bộ phận của đèn: thân đèn dùng cho đèn âm trần downlight IOTA, thấu kính 24 độ, kích thước 86x90 mm, bằng kim loại, hiệu NANOCO, model LDLEC00024, mới 100%</t>
  </si>
  <si>
    <t>LDLEC00025</t>
  </si>
  <si>
    <t>Bộ phận của đèn: thân đèn downlight, kích thước 40x85 mm, bằng kim loại, hiệu NANOCO, model LDLEC00025, mới 100%</t>
  </si>
  <si>
    <t>Striplight</t>
  </si>
  <si>
    <t>SPAEC00003</t>
  </si>
  <si>
    <t>Đèn led dây silicon, 8W/m, kích thước profile 20x14 mm, không Driver, hiệu NANOCO, model SPAEC00003, mới 100%</t>
  </si>
  <si>
    <t>Bộ phận của đèn: thân đèn dùng cho đèn tường trang trí không led, 100x80x80 mm, bằng kim loại, hiệu NANOCO, model SPA09, mới 100%, F.O.C</t>
  </si>
  <si>
    <t xml:space="preserve"> NNH-EC-2025-004-0506</t>
  </si>
  <si>
    <t xml:space="preserve"> LDLEC00026</t>
  </si>
  <si>
    <t>LDLEC00026</t>
  </si>
  <si>
    <t>D1 | Đèn LED Downlight âm trần, D86x90mm, lỗ
khoét: Ø75mm, 12W, 3000K, 10°</t>
  </si>
  <si>
    <t>TN/1</t>
  </si>
  <si>
    <t>TN</t>
  </si>
  <si>
    <t>LDLEC00027</t>
  </si>
  <si>
    <t>D2 | Đèn LED Downlight âm trần, D86x90mm, lỗ
khoét: Ø75mm, 09W, 3000K, 10°</t>
  </si>
  <si>
    <t>LSLEC00028</t>
  </si>
  <si>
    <t>D3 | Đèn LED Spotlight, 15D, 7W, 3000K, kích
thước 52x52x92 mm, lỗ khoét 45mm</t>
  </si>
  <si>
    <t>LSLEC00029</t>
  </si>
  <si>
    <t>D4 | Đèn LED Spotlight, 2X12W, 3000K, kích
thước 63X83mm, CRI90, triac dimmable driver</t>
  </si>
  <si>
    <t>SANTA&amp;COLE</t>
  </si>
  <si>
    <t>SC-S&amp;C-01-281224-DH-SHOWROOM</t>
  </si>
  <si>
    <t>Santa&amp;Cole</t>
  </si>
  <si>
    <t>LAMPE01</t>
  </si>
  <si>
    <t>LPLSC00001</t>
  </si>
  <si>
    <t>Lámina 165 
 Pendant lamp
 Antoni Arola 2018
 Cable length: 5m
 Dimming: DALI
 IP20
 Size: 179.8x9.1x4 cm</t>
  </si>
  <si>
    <t>45% + 10%</t>
  </si>
  <si>
    <t xml:space="preserve"> 250401582/0111</t>
  </si>
  <si>
    <t>13/05/2025</t>
  </si>
  <si>
    <t>107326204860</t>
  </si>
  <si>
    <t>Đèn thả trang trí Lámina 165, hiệu Santa&amp;Cole, model LAMPE01, cable 5m, kích thước 179.8x9.1x4 cm, bằng kim loại</t>
  </si>
  <si>
    <t>Lô 68</t>
  </si>
  <si>
    <t>LAMWE01</t>
  </si>
  <si>
    <t>LWLSC00001</t>
  </si>
  <si>
    <t>Lámina 165
 Wal lamp
 White grey metallic shade with glossy finish (exterior).
 Black metal structure with matte finish
 Suitable for dimming 0-10V / DALI.
 (Not included external dimmer switch 0-10V / DALI).
 IP20
 Size: 4x9.15x179.8 cm</t>
  </si>
  <si>
    <t xml:space="preserve"> Đèn trang trí gắn tường Lámina 165, hiệu Santa&amp;Cole, model LAMWE01, màu trắng xám, bề mặt bóng, màu đen, kích thước 4x9.15x179.8 cm</t>
  </si>
  <si>
    <t>LAMSE01</t>
  </si>
  <si>
    <t>LFLSC00001</t>
  </si>
  <si>
    <t>Lámina 165
 Floor lamp
 White grey metallic shade with brilliant finish (exterior).
 Black metal structure with matte finish
 Electric cable
 Dimmer and switch incorporated into the luminaire.
 IP20
 Size: 21x21x187.5cm</t>
  </si>
  <si>
    <t>Đèn sàn trang trí Lámina 165,
Santa&amp;Cole, model LAMSE01, màu White grey, thân đen Black, kích thước 21x21x187.5cm</t>
  </si>
  <si>
    <t>LAMPB01</t>
  </si>
  <si>
    <t>LPLSC00002</t>
  </si>
  <si>
    <t>Sistema lamina 45
 Pendant lamp
 2 module
 Cable length: 5m
 Dimming: DALI
 IP20
 Size: 117.9x30x12.6 cm</t>
  </si>
  <si>
    <t>Đèn thả trang trí Sistema lamina 45, hiệu Santa&amp;Cole, model LAMPB01, 
2 module, cable 5m
kích thước  117.9x30x12.6 cm</t>
  </si>
  <si>
    <t>LAMPF01</t>
  </si>
  <si>
    <t>LPLSC00003</t>
  </si>
  <si>
    <t>Lámina Mayor
 Pendant lamp
 Dimming: DALI
 White grey metallic shade with glossy finish (exterior).
 Black metal structure with matte finish.
 Electric cable length: 5m
 IP20
 Size: 98.7x80x35 cm</t>
  </si>
  <si>
    <t>Đèn thả trang trí Lámina Mayor, hiệu Santa&amp;Cole, model LAMPF01, màu trắng xám, bề mặt bóng, bằng kim loại, cable 5m, kích thước  98.7x80x35 cm</t>
  </si>
  <si>
    <t>TKHPB02</t>
  </si>
  <si>
    <t>LPLSC00004</t>
  </si>
  <si>
    <t>Tekiò Horizontal P2
 Pendant lamp
 Canopy: Circular, 26x26x6.2cm
 Dimming: DALI
 Metal P2 structure.
 Washi Japanese paper P2 shade.
 White grey metallic canopy with power supply incorporated.
 Dim to Warm control 2200K – 2700K.
 Electric cable length: 5m
 IP20
 Size: 120x25x25 cm</t>
  </si>
  <si>
    <t>Đèn thả trang trí Tekiò Horizontal P2, hiệu Santa&amp;Cole, model TKHPB02, bằng kim loại và giấy,màu trắng xám, cable 5m, kích thước 120x25x25 cm</t>
  </si>
  <si>
    <t>TKHPC02</t>
  </si>
  <si>
    <t>LPLSC00005</t>
  </si>
  <si>
    <t>Tekiò Horizontal P3
 Pendant lamp
 Canopy: Circular, 26x26x6.2cm
 Dimming: DALI
 Metal P3 structure.
 Washi Japanese paper P3 shade.
 White grey metallic canopy with power supply incorporated.
 Dim to Warm control 2200K – 2700K.
 Electric cable length: 5 m
 IP20
 Size: 173x25x25 cm</t>
  </si>
  <si>
    <t>Đèn thả trang trí Tekiò Horizontal P3, hiệu Santa&amp;Cole, model TKHPC02, bằng kim loại và giấy, màu trắng xám, cable 5 m, kích thước 173x25x25 cm</t>
  </si>
  <si>
    <t>CESTG01</t>
  </si>
  <si>
    <t>LTLSC00001</t>
  </si>
  <si>
    <t>Cesta Exterior
 Table lamp
 Aluminium structure: Black
 White opal glass lampshade.
 Electric cable length: 4 m
 IP65
 Size: 33x33x57 cm</t>
  </si>
  <si>
    <t>Đèn bàn trang trí Cesta Exterior, Santa&amp;Cole, model CESTG01, màu đen, trắng, chụp thủy tinh, thân nhôm, kích thước 33x33x57 cm</t>
  </si>
  <si>
    <t>CESTA01</t>
  </si>
  <si>
    <t>LTLSC00002</t>
  </si>
  <si>
    <t>Cesta
 Table lamp
 Cherry wood structure.
 White opal glass lampshade.
 Dimmer included
 Electric cable
 IP20
 Size: 33x33x57 cm</t>
  </si>
  <si>
    <t>Đèn bàn trang trí Cesta, Santa&amp;Cole, model CESTA01, màu Cherry wood, chụp White opal bằng thủy tinh, kích thước 33x33x57 cm</t>
  </si>
  <si>
    <t>TMCSA01</t>
  </si>
  <si>
    <t>LFLSC00002</t>
  </si>
  <si>
    <t>TMC
 Floor lamp
 Two-part metal structure: upper half chrome-plated
 and lower half black. Height-adjustable opal white
 methacrylate lampshade.
 Electric cable
 The light is switched on/off by pulling softly from the cable.
 IP20
 Size: 40x38x171 cm</t>
  </si>
  <si>
    <t>Đèn sàn trang trí TMC,
Santa&amp;Cole, model TMCSA01, màu opal white, chrome, đen, kích thước 40x38x171 cm</t>
  </si>
  <si>
    <t>TMDSA01</t>
  </si>
  <si>
    <t>LFLSC00003</t>
  </si>
  <si>
    <t>TMD
 Floor lamp
 Satin nickel structure. Rotating and height-adjustable
 white linen lampshade.
 Electric cable
 The light is switched on/off by pulling softly from the cable.
 IP20
 Size: 55x35x171 cm</t>
  </si>
  <si>
    <t>Đèn sàn trang trí TMD, Santa&amp;Cole, model TMDSA01, chân
Satin nickel, chụp màu white linen, kích thước 55x35x171 cm</t>
  </si>
  <si>
    <t>TMMSA11</t>
  </si>
  <si>
    <t>LFLSC00004</t>
  </si>
  <si>
    <t>TMM
 Floor lamp
 Natural Oak
 White color
 Electric cable
 The light is switched on/off by pulling softly from the cable.
 IP20
 Size: 60x50x166 cm</t>
  </si>
  <si>
    <t>Đèn sàn trang trí TMM, Santa&amp;Cole, model TMMSA11, màu
White và natural oak, kích thước 60x50x166 cm</t>
  </si>
  <si>
    <t>CESTE01</t>
  </si>
  <si>
    <t>LTLSC00003</t>
  </si>
  <si>
    <t>Cestita Metálica
 Table lamp
 Stainless steel structure. 
 White opal glass lampshade.
 Electric cable
 Dimmer included.
 IP20
 Size: 23x23x28 cm</t>
  </si>
  <si>
    <t>Đèn bàn trang trí Cestita Metálica, hiệu Santa&amp;Cole, model CESTE01, bằng kim loại và thủy tinh, màu trắng, kích thước 23x23x28 cm</t>
  </si>
  <si>
    <t>WALWA01</t>
  </si>
  <si>
    <t>LWLSC00004</t>
  </si>
  <si>
    <t>Wally Cestita
 Wall lamp
 Color: Black
 Suitable for outdoor use.
 IP54
 Size: 22x18x24 cm</t>
  </si>
  <si>
    <t xml:space="preserve"> Đèn trang trí gắn tường Wally Cestita, hiệu Santa&amp;Cole, model WALWA01, bằng kim loại, màu đen, kích thước 22x18x24 cm</t>
  </si>
  <si>
    <t>NNH-VT-2025-002-1906-RIMOWA</t>
  </si>
  <si>
    <t>DH-0003624 &amp;  
DH-0003612</t>
  </si>
  <si>
    <t>CHAIR - STOOL</t>
  </si>
  <si>
    <t>CHRVT00042</t>
  </si>
  <si>
    <t>RIMOWA STOOL
Size: 49.02x39.11x40.13 cm
Color: Silver &amp; Ice blue
Weight: 5.72 kg
Material:
Exterior : Anodized aluminum
Cushion &amp; Lining : Laser RE 100% recycled polyester
Handle &amp; Dividers : Cowhide Leather
Wheels : Hard-wearing Plastic</t>
  </si>
  <si>
    <t>5085293</t>
  </si>
  <si>
    <t>FRA00011902</t>
  </si>
  <si>
    <t>Đầu T7/2025</t>
  </si>
  <si>
    <t>TSN</t>
  </si>
  <si>
    <t>BÁCH VIỆT</t>
  </si>
  <si>
    <t>107370286441</t>
  </si>
  <si>
    <t>Ghế di động đa năng Aluminum Rimowa Stool có bánh xe, có đệm, tích hợp rỗng bên trong để chứa đồ, Rimowa/Vitra, model 20171402, KT 49.02x39.11x40.13 cm, bằng aluminum, màu Silver &amp; Ice blue, mới 100%</t>
  </si>
  <si>
    <t>Lô 69</t>
  </si>
  <si>
    <t>CHRVT00043</t>
  </si>
  <si>
    <t>RIMOWA STOOL
Size: 49.02x39.11x40.13 cm
Color: Silver &amp; Emerald green
Weight: 5.72 kg
Material:
Exterior : Anodized aluminum
Cushion &amp; Lining : Laser RE 100% recycled polyester
Handle &amp; Dividers : Cowhide Leather
Wheels : Hard-wearing Plastic</t>
  </si>
  <si>
    <t>Ghế di động đa năng Aluminum Rimowa Stool có bánh xe, có đệm, tích hợp rỗng bên trong chứa đồ, Rimowa/Vitra, model 20171403,KT 49.02x39.11x40.13 cm, bằng aluminum, màu Silver&amp;Emerald green, mới 100%</t>
  </si>
  <si>
    <t>CHRVT00044</t>
  </si>
  <si>
    <t>RIMOWA STOOL
Size: 49.02x39.11x40.13 cm
Color: Silver &amp; Papyrus brown
Weight: 5.72 kg
Material:
Exterior : Anodized aluminum
Cushion &amp; Lining : Laser RE 100% recycled polyester
Handle &amp; Dividers : Cowhide Leather
Wheels : Hard-wearing Plastic</t>
  </si>
  <si>
    <t>Ghế di động đa năng Aluminum Rimowa Stool có bánh xe, có đệm, tích hợp rỗng bên trong để chứa đồ, Rimowa/Vitra, model 20171401, 49.02x39.11x40.13 cm, bằng aluminum, màu Silver&amp;Papyrus brown, mới 100%</t>
  </si>
  <si>
    <t>NNH-VT-03-231224-DH-0002612</t>
  </si>
  <si>
    <t>DH-0002612</t>
  </si>
  <si>
    <t>TBLVT00011</t>
  </si>
  <si>
    <t>Noguchi Coffee Table base walnut
Dimesions: 930x1280x400mm</t>
  </si>
  <si>
    <t>8%</t>
  </si>
  <si>
    <t>SDBJOS016565</t>
  </si>
  <si>
    <t>HLXU540710/940BX</t>
  </si>
  <si>
    <t>1 CONT 40</t>
  </si>
  <si>
    <t>HAMBURG</t>
  </si>
  <si>
    <t>107393456110</t>
  </si>
  <si>
    <t>Bàn Coffee table Noguchi, Vitra, model 20130002, kích thước 930x1280x400mm, mặt kính trong suốt, chân gỗ walnut, mới 100%</t>
  </si>
  <si>
    <t>94038990</t>
  </si>
  <si>
    <t>Lô 70</t>
  </si>
  <si>
    <t>SC-VT-2025-180125-STOCK</t>
  </si>
  <si>
    <t>PO-VT-2025-180125-STOCK</t>
  </si>
  <si>
    <t xml:space="preserve">107393448850 </t>
  </si>
  <si>
    <t>Ghế Panton Chair (new height), Vitra,  model 44003500, kích thước 610x500x860mm, bằng nhựa, mới 100%</t>
  </si>
  <si>
    <t>107393448850</t>
  </si>
  <si>
    <t>94017990</t>
  </si>
  <si>
    <t>CHRVT00038</t>
  </si>
  <si>
    <t>Wiggle Stool
 Size: 400x430x406 mm</t>
  </si>
  <si>
    <t>Ghế Wiggle stool, Vitra, model 21022601, kích thước 400x430x406 mm, bằng giấy, màu tự nhiên, mới 100%</t>
  </si>
  <si>
    <t>ID mesh Diamond mesh + Seat: Silk Mesh Olive Green
 Base: Chrome
 Seat colour: olive green
 Backrest colour: olive green</t>
  </si>
  <si>
    <t>Ghế xoay ID Mesh, Vitra, model 43140100, kích thước W700-750xH970-1095xD565-790mm, bằng kim loại, bọc vải silk mesh màu olive green, khung màu soft grey, có bánh xe, mới 100%</t>
  </si>
  <si>
    <t>CHRVT00039</t>
  </si>
  <si>
    <t>ID TRIM
 Lumbar support: with adjustable lumbar support
 Cover material: seat and backrest Laser Re
 Seat colour: 68 lemon/mustard
 Backrest colour: 68 lemon/mustard
 Mechanism: FlowM. w. forw./ w. seat dep.
 Seat: standard seat
 Frame colour: soft grey
 Armrests: 3D armrests F, powder-c. alum.
 Base: 5-star base polished aluminium
 Accessories: none
 Base on: hard castors, braked (carpet)
 Package: in carboard box
 Size: 990/1100x700/940x660/795mm
 Seat height: 400/520mm</t>
  </si>
  <si>
    <t>Ghế xoay ID Trim, Vitra, model 43140300, kích thước 990/1100x700/940x660/795mm, chân 5-star bằng nhôm mặt bóng, bọc vải Laser Re, màu 68 Lemon/mustard, khung màu soft grey, có bánh xe, mới 100%</t>
  </si>
  <si>
    <t>CHRVT00040</t>
  </si>
  <si>
    <t>Physix
 Five star base
 Base: Aluminum base, polished
 Cover material:Trioknit
 Color: Ice grey
 Frame: Soft Grey
 Base on: Caster Hard, braked
 Packing: standard, in plastic bag</t>
  </si>
  <si>
    <t>Ghế xoay Physix, Vitra, model 41721000, kích thước 635x800x880/1000mm, chiều cao ghế 390/510mm, chân 5-star bằng nhôm, bọc vải Trioknit, khung màu soft grey, có bánh xe, mới 100%</t>
  </si>
  <si>
    <t>CHRVT00041</t>
  </si>
  <si>
    <t>Physix
 Five star base
 Base: Aluminum base, polished
 Cover material:Trioknit
 Color: Brick
 Frame: Soft Grey
 Base on: Caster Hard, braked
 Packing: standard, in plastic bag</t>
  </si>
  <si>
    <t>Bàn Coffee table Noguchi, Vitra, model 20130001, kích thước 930x1280x400mm, mặt kính trong suốt, chân gỗ đen, mới 100%</t>
  </si>
  <si>
    <t>Coffee Table base walnut
 Dimesions: 930x1280x400mm</t>
  </si>
  <si>
    <t>Bàn Coffee table Noguchi, Vitra, model 20130003, kích thước 930x1280x400mm, mặt kính trong suốt, chân gỗ maple, mới 100%</t>
  </si>
  <si>
    <t>ACCVT00098</t>
  </si>
  <si>
    <t>Resting Bear
 Mauve
 L930 x W530 x H340 mm
 Filling/padding: moulded foam and synthetic pellets.
 Cover fabric: form-fitted knit.
 Base: wooden board, covered with velour fabric.</t>
  </si>
  <si>
    <t>Ghế tựa lưng hình gấu Resting bear, Vitra, model 20165501, kích thước L930 x W530 x H340 mm, bọc vải, màu Mauve, mới 100%</t>
  </si>
  <si>
    <t>ACCVT00146</t>
  </si>
  <si>
    <t>Resting Bear
 Torquoise
 L930 x W530 x H340 mm
 Filling/padding: moulded foam and synthetic pellets.
 Cover fabric: form-fitted knit.
 Base: wooden board, covered with velour fabric.</t>
  </si>
  <si>
    <t>Ghế tựa lưng hình gấu Resting bear, Vitra, model 20165502, kích thước L930 x W530 x H340 mm, bọc vải, màu Torquoise, mới 100%</t>
  </si>
  <si>
    <t>ACCVT00099</t>
  </si>
  <si>
    <t>Ball Clock, Dawn, Special Edition
 Size: 330x330mm</t>
  </si>
  <si>
    <t>Đồng hồ treo tường Ball clock, Vitra, model 20125010, kích thước DI330mm, bằng gỗ và kim loại, màu Dawn, mới 100%</t>
  </si>
  <si>
    <t>ACCVT00100</t>
  </si>
  <si>
    <t>Ball Clock, Sunrise , Special Edition
 Size: 330x330mm</t>
  </si>
  <si>
    <t>Đồng hồ treo tường Ball clock, Vitra, model 20125011, kích thước DI330mm, bằng gỗ và kim loại, màu Sunrise, mới 100%</t>
  </si>
  <si>
    <t>ACCVT00101</t>
  </si>
  <si>
    <t>Ball Clock, Sunset , Special Edition
 Size: 330x330mm</t>
  </si>
  <si>
    <t>Đồng hồ treo tường Ball clock, Vitra, model 20125012, kích thước DI330mm, bằng gỗ và kim loại, màu Sunset, mới 100%</t>
  </si>
  <si>
    <t>ACCVT00102</t>
  </si>
  <si>
    <t>Uten.Silo RE II, Japan. red 
 Size: 680x520x65 mm</t>
  </si>
  <si>
    <t>Bộ khay treo tường Uten.silo II, Vitra, model 21512503, kích thước H 680 x W 520 x D 65 mm, bằng nhựa, màu Japanese red, mới 100%</t>
  </si>
  <si>
    <t>ACCVT00103</t>
  </si>
  <si>
    <t>Uten.Silo RE I,Japanese red 
 Size: 870x670x65 mm</t>
  </si>
  <si>
    <t>Bộ khay treo tường Uten.silo I, Vitra, model 21512403, kích thước H 870 x W 670 x D 65 mm, bằng nhựa, màu Japanese red, mới 100%</t>
  </si>
  <si>
    <t>ACCVT00104</t>
  </si>
  <si>
    <t>Uten.Silo RE I, horizon blue
 Size: 870x670x65 mm</t>
  </si>
  <si>
    <t>Bộ khay treo tường Uten.silo I, Vitra, model 21512405, kích thước H 870 x W 670 x D 65 mm, bằng nhựa, màu horizon blue, mới 100%</t>
  </si>
  <si>
    <t>ACCVT00105</t>
  </si>
  <si>
    <t>Uten.Silo RE II, blue
 Size: 680x520x65mm</t>
  </si>
  <si>
    <t>Bộ khay treo tường Uten.silo II, Vitra, model 21512505, kích thước H 680 x W 520 x D 65 mm, bằng nhựa, màu blue, mới 100%</t>
  </si>
  <si>
    <t>ACCVT00106</t>
  </si>
  <si>
    <t>Girard Ornaments
 "Dove"
 Size: 100x97x45mm</t>
  </si>
  <si>
    <t>10%</t>
  </si>
  <si>
    <t>Hình treo trang trí Girard Ornaments "Dove", Vitra, model 20316007, kích thước 100x97x45mm, bằng kim loại, màu đồng, mới 100%</t>
  </si>
  <si>
    <t>83062990</t>
  </si>
  <si>
    <t>ACCVT00107</t>
  </si>
  <si>
    <t>Girard Ornaments
 "Heart"
 Size: 100x79x70mm</t>
  </si>
  <si>
    <t>Hình treo trang trí Girard Ornaments "Heart", Vitra, model 20316006, kích thước 100x79x70mm, bằng kim loại, màu đồng, mới 100%</t>
  </si>
  <si>
    <t>ACCVT00108</t>
  </si>
  <si>
    <t>Girard Ornaments
 "Moon"
 Size: 100x79x85mm</t>
  </si>
  <si>
    <t>Hình treo trang trí Girard Ornaments "Moon", Vitra, model 20316002, kích thước 100x79x85mm, bằng kim loại, màu đồng, mới 100%</t>
  </si>
  <si>
    <t>ACCVT00109</t>
  </si>
  <si>
    <t>Girard Ornaments
 "Mouse"
 Size: 100x103x42mm</t>
  </si>
  <si>
    <t>Hình treo trang trí Girard Ornaments "Mouse", Vitra, model 20316004, kích thước 100x103x42mm, bằng kim loại, màu đồng, mới 100%</t>
  </si>
  <si>
    <t>ACCVT00110</t>
  </si>
  <si>
    <t>Girard Ornaments
 "Sun"
 Size: 100x79x79mm</t>
  </si>
  <si>
    <t>Hình treo trang trí Girard Ornaments "Sun", Vitra, model 20316001, kích thước 100x79x79mm, bằng kim loại, màu đồng, mới 100%</t>
  </si>
  <si>
    <t>ACCVT00111</t>
  </si>
  <si>
    <t>Girard Ornaments
 "Angel"
 Size: 100x83x76mm</t>
  </si>
  <si>
    <t>Hình treo trang trí Girard Ornaments "Angel", Vitra, model 20316003, kích thước 100x83x76mm, bằng kim loại, màu đồng, mới 100%</t>
  </si>
  <si>
    <t>ACCVT00112</t>
  </si>
  <si>
    <t>Girard Ornaments
 "Rabbit"
 Size: 100x33x101 mm</t>
  </si>
  <si>
    <t>Hình treo trang trí Girard Ornaments "Rabbit", Vitra, model 20316008, kích thước 100x33x101 mm, bằng kim loại, màu đồng, mới 100%</t>
  </si>
  <si>
    <t>ACCVT00113</t>
  </si>
  <si>
    <t>Girard Ornaments
 "Star"
 Size: 100x81x77mm</t>
  </si>
  <si>
    <t>Hình treo trang trí Girard Ornaments "Star", Vitra, model 20316009, kích thước 100x81x77mm, bằng kim loại, màu đồng, mới 100%</t>
  </si>
  <si>
    <t>ACCVT00114</t>
  </si>
  <si>
    <t>Eames Plywood Mobile,Model A
 Size: 320 x 400 mm</t>
  </si>
  <si>
    <t>Hình treo trang trí Eames Plywood Mobile mẫu A, Vitra, model 20339401, kích thước 320 x 400 mm, bằng plywood, màu đen, mới 100%</t>
  </si>
  <si>
    <t>44201900</t>
  </si>
  <si>
    <t>ACCVT00115</t>
  </si>
  <si>
    <t>Eames Plywood Mobile,Model B
 Size: 460 x 335 mm</t>
  </si>
  <si>
    <t>Hình treo trang trí Eames Plywood Mobile mẫu B, Vitra, model 20339402, kích thước 460 x 335 mm, bằng plywood, màu đen, mới 100%</t>
  </si>
  <si>
    <t>ACCVT00116</t>
  </si>
  <si>
    <t>Miniatures
 Stuhl No. 14
 Thonet, 1859/60
 H 155 x W 70 x D 85</t>
  </si>
  <si>
    <t>Mô hình trang trí, ghế Stuhl No. 14, Vitra, model 20224201, kích thước  155 x  70 x  85 mm, bằng Gỗ Beech sơn laccqued, mới 100%</t>
  </si>
  <si>
    <t>ACCVT00117</t>
  </si>
  <si>
    <t>Miniatures
 Hill House 1
 Mackintosh, 1903
 H 235 x W 65 x D 60</t>
  </si>
  <si>
    <t>Mô hình trang trí, ghế Hill House 1, Vitra, model 20200101, kích thước  235 x  65 x  60 mm,  bằng Gỗ maple sơn laccqued, mới 100%</t>
  </si>
  <si>
    <t>ACCVT00118</t>
  </si>
  <si>
    <t>Miniatures
 B3 Wassily
 Breuer, 1925
 H 125 x W 125 x D 115</t>
  </si>
  <si>
    <t>Mô hình trang trí, ghế B3 Wassily, Vitra, model 20204101, kích thước  125 x  125 x  115 mm,  bằng Thép mạ niken, mới 100%</t>
  </si>
  <si>
    <t>ACCVT00119</t>
  </si>
  <si>
    <t>Miniatures
 Stuhl W1
 Stam, 1926
 H 140 x W 75 x D 90</t>
  </si>
  <si>
    <t>Mô hình trang trí, ghế Stuhl W1, Vitra, model 20253101, kích thước  140 x  75 x  90 mm,  bằng Thép, mới 100%</t>
  </si>
  <si>
    <t>ACCVT00120</t>
  </si>
  <si>
    <t>Miniatures
 MR 20
 Mies van der Rohe, 2149
 H 130 x W 90 x D 145</t>
  </si>
  <si>
    <t>Mô hình trang trí, ghế MR 20, Vitra, model 20205101, kích thước  130 x  90 x  145 mm,  bằng Thép mạ niken, mới 100%</t>
  </si>
  <si>
    <t>ACCVT00121</t>
  </si>
  <si>
    <t>Miniatures
 MR 90 Barcelona
 Mies van der Rohe, 1929
 H 125 x W 125 x D 130</t>
  </si>
  <si>
    <t>Mô hình trang trí, ghế MR 90 Barcelona, Vitra, model 20251401, kích thước  125 x  125 x  130 mm,  bằng Thép, mới 100%</t>
  </si>
  <si>
    <t>ACCVT00122</t>
  </si>
  <si>
    <t>Miniatures
 Standard Chair
 Prouvé, 1930
 H 135 x W 70 x D 80</t>
  </si>
  <si>
    <t>Mô hình trang trí, ghế Standard Chair, Vitra, model 20252701, kích thước  135 x  70 x  80 mm,  bằng Gỗ plywood, chân bằng thép, mới 100%</t>
  </si>
  <si>
    <t>ACCVT00123</t>
  </si>
  <si>
    <t>Miniatures
 LCW
 Eames, 1945
 H 115 x W 90 x D 100</t>
  </si>
  <si>
    <t>Mô hình trang trí, ghế LCW, Vitra, model 20208401, kích thước  115 x  90 x  100 mm,  bằng Gỗ maple sơn laccqued, mới 100%</t>
  </si>
  <si>
    <t>ACCVT00125</t>
  </si>
  <si>
    <t>Miniatures
 Zig zag stoel
 Rietveld, 1934
 H 125 x W 60 x D 65</t>
  </si>
  <si>
    <t>Mô hình trang trí, ghế Zig zag stoel, Vitra, model 20207101, kích thước  125 x  60 x  65 mm,  bằng Gỗ plywood, mới 100%</t>
  </si>
  <si>
    <t>ACCVT00126</t>
  </si>
  <si>
    <t>Miniatures
 LCM
 Eames, 1945
 H 110 x W 95 x D 105</t>
  </si>
  <si>
    <t>Mô hình trang trí, ghế LCM, Vitra, model 20218101, kích thước  110 x  95 x  105 mm,  bằng Gỗ Laminated , chân bằng thép mạ niken, mới 100%</t>
  </si>
  <si>
    <t>ACCVT00127</t>
  </si>
  <si>
    <t>Miniatures
 La Chaise
 Eames, 1948
 H 135 x W 250 x D 140</t>
  </si>
  <si>
    <t>Mô hình trang trí, ghế La Chaise, Vitra, model 20240101, kích thước  135 x  250 x  140 mm,  bằng Nhựa, mới 100%</t>
  </si>
  <si>
    <t>ACCVT00128</t>
  </si>
  <si>
    <t>Miniatures
 RAR
 Eames, 1950
 H 115 x W 105 x D 110</t>
  </si>
  <si>
    <t>Mô hình trang trí, ghế RAR, Vitra, model 20210105, kích thước  115 x  105 x  110 mm,  bằng Nhựa, mới 100%</t>
  </si>
  <si>
    <t>ACCVT00129</t>
  </si>
  <si>
    <t>Miniatures
 Diamond Chair
 Bertoia, 1952
 H 115 x W 190 x D 135</t>
  </si>
  <si>
    <t>Mô hình trang trí, ghế Diamond Chair, Vitra, model 20225101, kích thước  115 x  190 x  135 mm,  bằng Thép, mới 100%</t>
  </si>
  <si>
    <t>ACCVT00130</t>
  </si>
  <si>
    <t>Miniatures
 DSW
 Eames, 1950
 H 135 x W 80 x D 85</t>
  </si>
  <si>
    <t>Mô hình trang trí, ghế DSW, Vitra, model 20211005, kích thước  135 x  80 x  85 mm,  bằng Nhựa, mới 100%</t>
  </si>
  <si>
    <t>ACCVT00131</t>
  </si>
  <si>
    <t>Miniatures
 Tulip Chair
 Saarinen, 1956
 H 135 x B 85 x T 90</t>
  </si>
  <si>
    <t>Mô hình trang trí, ghế Tulip Chair, Vitra, model 20251901, kích thước  135 x  85 x  90 mm,  bằng Nhựa, mới 100%</t>
  </si>
  <si>
    <t>ACCVT00132</t>
  </si>
  <si>
    <t>Miniatures
 Lounge Chair &amp; Ottoman
 Eames, 1956
 H 135 x W 140 x D 140</t>
  </si>
  <si>
    <t>Mô hình trang trí, ghế Lounge Chair &amp; Ottoman, Vitra, model 20241101, kích thước  135 x  140 x  140 mm,  bằng Gỗ plywood, bọc da, chân nhôm, mới 100%</t>
  </si>
  <si>
    <t>ACCVT00133</t>
  </si>
  <si>
    <t>Miniatures
 Heart-Shaped Cone Chair
 Panton, 1958
 H 149 x W 169 x D 100</t>
  </si>
  <si>
    <t>Mô hình trang trí, ghế Heart-Shaped Cone Chair, Vitra, model 20212101, kích thước  149 x  169 x  100 mm,  bằng Thép, mới 100%</t>
  </si>
  <si>
    <t>ACCVT00134</t>
  </si>
  <si>
    <t>Miniatures
 3-Benet Skalstol
 Wegner, 1963
 H 120 x W 155 x D 130</t>
  </si>
  <si>
    <t>Mô hình trang trí, ghế 3-Benet Skalstol, Vitra, model 20220101, kích thước  120 x  155 x  130 mm,  bằng Gỗ Laminate, mới 100%</t>
  </si>
  <si>
    <t>ACCVT00135</t>
  </si>
  <si>
    <t>Miniatures
 La Mamma
 Gaetano Pesce, 1969
 H 150 x W 190 x D 230</t>
  </si>
  <si>
    <t>Mô hình trang trí, ghế La Mamma, Vitra, model 20256201, kích thước  150 x  190 x  230 mm,  bằng Nhựa, bọc xốp, mới 100%</t>
  </si>
  <si>
    <t>ACCVT00136</t>
  </si>
  <si>
    <t>Miniatures
 Wiggle Side Chair
 Gehry, 1972
 H 145 x W 65 x D 95</t>
  </si>
  <si>
    <t>Mô hình trang trí, ghế Wiggle Side Chair, Vitra, model 20230101, kích thước  145 x  65 x  95 mm,  bằng Giấy bìa cứng, mới 100%</t>
  </si>
  <si>
    <t>ACCVT00137</t>
  </si>
  <si>
    <t>Miniatures
 Ball Chair
 Aarnio, 1965
 H 210 x W 190 x D 175</t>
  </si>
  <si>
    <t>Mô hình trang trí, ghế Ball Chair, Vitra, model 20238101, kích thước 210 x  190 x  175 mm,  bằng Nhôm, mới 100%</t>
  </si>
  <si>
    <t>83062930</t>
  </si>
  <si>
    <t>ACCVT00138</t>
  </si>
  <si>
    <t>Miniatures
 Knotted Chair
 Wanders, 1996
 H 115 x W 85 x D 100</t>
  </si>
  <si>
    <t>Mô hình trang trí, ghế Knotted Chair, Vitra, model 20251801, kích thước  115 x  85 x  100 mm,  bằng Dây thừng (sợi tổng hợp), mới 100%</t>
  </si>
  <si>
    <t>ACCVT00139</t>
  </si>
  <si>
    <t>Miniatures
 Womb Chair &amp; Ottoman
 Saarinen, 1946
 H 152 x W 158 x D 145</t>
  </si>
  <si>
    <t>Mô hình trang trí, ghế Womb Chair &amp; Ottoman, Vitra, model 20257501, kích thước  152 x  158 x  145 mm,  bằng Nhựa, chân chrome, mới 100%</t>
  </si>
  <si>
    <t>ACCVT00140</t>
  </si>
  <si>
    <t>Rood blauwe stoel
 Rietveld, 1918
 H 145 x W 110 x D 140</t>
  </si>
  <si>
    <t>Mô hình trang trí, ghế Rood blauwe stoel, Vitra, model 20203101, kích thước  145 x  110 x  140 mm,  bằng Gỗ wallnut sơn lacquered, mới 100%</t>
  </si>
  <si>
    <t>ACCVT00141</t>
  </si>
  <si>
    <t>Y-Chair
 Wegner, 1950
 H 125 x W 85 x D 95</t>
  </si>
  <si>
    <t>Mô hình trang trí, ghế Y-Chair, Vitra, model 20250701, kích thước  125 x  85 x  95 mm,  bằng Gỗ maple, mới 100%</t>
  </si>
  <si>
    <t>ACCVT00142</t>
  </si>
  <si>
    <t>DKR Wire Chair
 Eames, 1951
 H 130 x W 80 x D 95</t>
  </si>
  <si>
    <t>Mô hình trang trí, ghế DKR Wire Chair, Vitra, model 20219101, kích thước  130 x  80 x  95 mm,  bằng Thép, mới 100%</t>
  </si>
  <si>
    <t>ACCVT00143</t>
  </si>
  <si>
    <t>Butterfly Stool
 Yanagi, 1954
 H 70 x W 80 x D 55</t>
  </si>
  <si>
    <t>Mô hình trang trí, ghế Butterfly Stool, Vitra, model 20251301, kích thước  70 x  80 x  55 mm,  bằng Gỗ wallnut sơn lacquered, mới 100%</t>
  </si>
  <si>
    <t>ACCVT00144</t>
  </si>
  <si>
    <t>Bocca
 Studio 65, 1970
 H 145 x W 355 x D 135</t>
  </si>
  <si>
    <t>Mô hình trang trí, ghế Bocca, Vitra, model 20253001, kích thước  145 x  355 x  135 mm,  bằng Nhựa bọc xốp, mới 100%</t>
  </si>
  <si>
    <t>ACCVT00145</t>
  </si>
  <si>
    <t>Well Tempered Chair
 Arad, 1986
 H 130 x W 155 x D 145</t>
  </si>
  <si>
    <t>Mô hình trang trí, ghế Well Tempered Chair, Vitra, model 20222101, kích thước  130 x  155 x  145 mm,  bằng Thép, mới 100%</t>
  </si>
  <si>
    <t>Book</t>
  </si>
  <si>
    <t>200 814 02</t>
  </si>
  <si>
    <t>Atlas of Furniture Design
 English text</t>
  </si>
  <si>
    <t>Không khai, phân bổ vào mã khác</t>
  </si>
  <si>
    <t>107393448850 &amp; 107393456110</t>
  </si>
  <si>
    <t>200 812 02</t>
  </si>
  <si>
    <t>ABKVT00009</t>
  </si>
  <si>
    <t>Essential Eames
 Zitate &amp; Bilder
 English test</t>
  </si>
  <si>
    <t>Eames &amp; Vitra
 Hardcover
 18,5 x 25 cm, 0,81 kg
 196 pages</t>
  </si>
  <si>
    <t>200 529 02</t>
  </si>
  <si>
    <t>Lightopia
 3 softcover volumes in slipcase
 21.5 x 28.5 cm, 2,23 kg
 397 pages, ca. 300 images, mainly coloured</t>
  </si>
  <si>
    <t>200 813 02</t>
  </si>
  <si>
    <t>Eames Furniture Sourcebook
 Hardcover
 17 x 24 cm, 0,99 kg
 336 pages, ca. 350 images</t>
  </si>
  <si>
    <t>ACCVT00097</t>
  </si>
  <si>
    <t>Sunburst Clock red
Diameter 470 mm, red
Materials: various types of wood
and metal</t>
  </si>
  <si>
    <t>Đồng hồ treo tường Sunburst, Vitra, model 20125302, kích thước DI470X470mm, bằng gỗ và kim loại, màu đỏ, mới 100%</t>
  </si>
  <si>
    <t>NNH-USM-2025-007-2406</t>
  </si>
  <si>
    <t>NNH-USM-2025-007-1106-DH-0003293</t>
  </si>
  <si>
    <t>DH-0003293</t>
  </si>
  <si>
    <t>USMUS-11208.22</t>
  </si>
  <si>
    <t>USM Haller, metal panel, 500x350 mm, USM brown</t>
  </si>
  <si>
    <t>33.75</t>
  </si>
  <si>
    <t>102088938</t>
  </si>
  <si>
    <t>618-25519572</t>
  </si>
  <si>
    <t>ZURICH</t>
  </si>
  <si>
    <t>SGN</t>
  </si>
  <si>
    <t>107407197550</t>
  </si>
  <si>
    <t>Lô 71</t>
  </si>
  <si>
    <t>USMUS-11208.31</t>
  </si>
  <si>
    <t>USM Haller, metal panel, 500x350 mm, USM beige</t>
  </si>
  <si>
    <t>USMUS-13518.31</t>
  </si>
  <si>
    <t>USM Haller, extension shelf without fittings, 500x350 mm, USM beige</t>
  </si>
  <si>
    <t>52.84</t>
  </si>
  <si>
    <t>USMUS-13607.31</t>
  </si>
  <si>
    <t>USM Haller, metal panel, shortened, 500x350 mm, USM beige</t>
  </si>
  <si>
    <t>USMUS-14108.31</t>
  </si>
  <si>
    <t>USM Haller, bracket left for extension shelf, 350 mm, USM beige</t>
  </si>
  <si>
    <t>4.96</t>
  </si>
  <si>
    <t>USMUS-14109.31</t>
  </si>
  <si>
    <t>USM Haller, bracket right for extension shelf, 350 mm, USM beige</t>
  </si>
  <si>
    <t>USMUS-16189.31</t>
  </si>
  <si>
    <t>USM Haller, metal panel, 500x175 mm, USM beige</t>
  </si>
  <si>
    <t>32.24</t>
  </si>
  <si>
    <t>USMUS-16787.31</t>
  </si>
  <si>
    <t>USM Haller, side/divider panel for drawer, 350x175 mm, USM beige</t>
  </si>
  <si>
    <t>21.78</t>
  </si>
  <si>
    <t>USMUS-16796.31</t>
  </si>
  <si>
    <t>USM Haller, front/rear panel for drawer, 500x175 mm, USM beige</t>
  </si>
  <si>
    <t>26.21</t>
  </si>
  <si>
    <t>USMUS-16850.31</t>
  </si>
  <si>
    <t>USM Haller, door without fittings, 500x175 mm, USM beige</t>
  </si>
  <si>
    <t>76.49</t>
  </si>
  <si>
    <t>31.08</t>
  </si>
  <si>
    <t>36.53</t>
  </si>
  <si>
    <t>21.63</t>
  </si>
  <si>
    <t>USMUS-11217.31</t>
  </si>
  <si>
    <t>USM Haller, metal panel, 350x250 mm, USM beige</t>
  </si>
  <si>
    <t>29.2</t>
  </si>
  <si>
    <t>USMUS-11219.31</t>
  </si>
  <si>
    <t>USM Haller, metal panel, 250x250 mm, USM beige</t>
  </si>
  <si>
    <t>28.39</t>
  </si>
  <si>
    <t>USMUS-11139.22</t>
  </si>
  <si>
    <t>USM Haller, divider shelf without fittings, 750x350 mm, USM brown</t>
  </si>
  <si>
    <t>45.51</t>
  </si>
  <si>
    <t>USMUS-11140</t>
  </si>
  <si>
    <t>USM Haller, divider shelf support set with screws</t>
  </si>
  <si>
    <t>21.87</t>
  </si>
  <si>
    <t>3.67</t>
  </si>
  <si>
    <t>USMUS-10738</t>
  </si>
  <si>
    <t>USM Haller, tube, 500 mm</t>
  </si>
  <si>
    <t>11.97</t>
  </si>
  <si>
    <t>NNH-USM-2025-008-0307-02</t>
  </si>
  <si>
    <t>11.15</t>
  </si>
  <si>
    <t>10751</t>
  </si>
  <si>
    <t>USMUS-10751</t>
  </si>
  <si>
    <t>USM Haller, ball MF8</t>
  </si>
  <si>
    <t>4.64</t>
  </si>
  <si>
    <t>12451</t>
  </si>
  <si>
    <t>USMUS-12451</t>
  </si>
  <si>
    <t>USM Haller, connector</t>
  </si>
  <si>
    <t>1.42</t>
  </si>
  <si>
    <t>NNH-USM-2025-007-2406-DH-0003650</t>
  </si>
  <si>
    <t>DH-0003650</t>
  </si>
  <si>
    <t>USMUS-11067.29</t>
  </si>
  <si>
    <t>USM Haller, extension shelf without fittings, 750x500 mm, light gray</t>
  </si>
  <si>
    <t>87.49</t>
  </si>
  <si>
    <t>USMUS-11203.29</t>
  </si>
  <si>
    <t>USM Haller, metal panel, 750x500 mm, light gray</t>
  </si>
  <si>
    <t>51.95</t>
  </si>
  <si>
    <t>USMUS-11207.29</t>
  </si>
  <si>
    <t>USM Haller, metal panel, 750x350 mm, light gray</t>
  </si>
  <si>
    <t>42.81</t>
  </si>
  <si>
    <t>USMUS-11208.29</t>
  </si>
  <si>
    <t>USM Haller, metal panel, 500x350 mm, light gray</t>
  </si>
  <si>
    <t>USMUS-11213.29</t>
  </si>
  <si>
    <t>USM Haller, metal panel, 750x250 mm, light gray</t>
  </si>
  <si>
    <t>USMUS-11214.29</t>
  </si>
  <si>
    <t>USM Haller, metal panel, 500x250 mm, light gray</t>
  </si>
  <si>
    <t>USMUS-14110.29</t>
  </si>
  <si>
    <t>USM Haller, bracket left for extension shelf, 500 mm, light gray</t>
  </si>
  <si>
    <t>5.38</t>
  </si>
  <si>
    <t>USMUS-14111.29</t>
  </si>
  <si>
    <t>USM Haller, bracket right for extension shelf, 500 mm, light gray</t>
  </si>
  <si>
    <t>USMUS-14263.29</t>
  </si>
  <si>
    <t>USM Haller, door without fittings, 750x350 mm, light gray</t>
  </si>
  <si>
    <t>83.76</t>
  </si>
  <si>
    <t>USMUS-14264.29</t>
  </si>
  <si>
    <t>USM Haller, door without fittings, 750x250 mm, light gray</t>
  </si>
  <si>
    <t>USMUS-15193.29</t>
  </si>
  <si>
    <t>USM Haller, metal panel, shortened, 750x500 mm, light gray</t>
  </si>
  <si>
    <t>USMUS-15399</t>
  </si>
  <si>
    <t>USM Haller, locking rod, 350 mm</t>
  </si>
  <si>
    <t>6.45</t>
  </si>
  <si>
    <t>USMUS-16189.29</t>
  </si>
  <si>
    <t>USM Haller, metal panel, 500x175 mm, light gray</t>
  </si>
  <si>
    <t>USMUS-16190.29</t>
  </si>
  <si>
    <t>USM Haller, metal panel, 750x175 mm, light gray</t>
  </si>
  <si>
    <t>41.7</t>
  </si>
  <si>
    <t>USMUS-16788.29</t>
  </si>
  <si>
    <t>USM Haller, side/divider panel for drawer, 500x350 mm, light gray</t>
  </si>
  <si>
    <t>29.56</t>
  </si>
  <si>
    <t>USMUS-16789.29</t>
  </si>
  <si>
    <t>USM Haller, side/divider panel for drawer, 500x250 mm, light gray</t>
  </si>
  <si>
    <t>USMUS-16791.29</t>
  </si>
  <si>
    <t>USM Haller, front/rear panel for drawer, 750x350 mm, light gray</t>
  </si>
  <si>
    <t>28.41</t>
  </si>
  <si>
    <t>USMUS-16792.29</t>
  </si>
  <si>
    <t>USM Haller, front/rear panel for drawer, 750x250 mm, light gray</t>
  </si>
  <si>
    <t>28.45</t>
  </si>
  <si>
    <t>38.26</t>
  </si>
  <si>
    <t>USMUS-18463</t>
  </si>
  <si>
    <t>USM Haller, check plate with soft close end stop extension</t>
  </si>
  <si>
    <t>0.88</t>
  </si>
  <si>
    <t>USMUS-15397</t>
  </si>
  <si>
    <t>USM Haller, locking rod, 250 mm</t>
  </si>
  <si>
    <t>USMUS-16790.29</t>
  </si>
  <si>
    <t>USM Haller, side/divider panel for drawer, 500x175 mm, light gray</t>
  </si>
  <si>
    <t>USMUS-16793.29</t>
  </si>
  <si>
    <t>USM Haller, front/rear panel for drawer, 750x175 mm, light gray</t>
  </si>
  <si>
    <t>USMUS-16853.29</t>
  </si>
  <si>
    <t>USM Haller, door without fittings, 750x175 mm, light gray</t>
  </si>
  <si>
    <t>50%+5%</t>
  </si>
  <si>
    <t>VIABIZZUNO S.P.A</t>
  </si>
  <si>
    <t>NNH-VB-2025-001-1503-DH-0003027</t>
  </si>
  <si>
    <t>VIABIZZUNO</t>
  </si>
  <si>
    <t>DH-0003027</t>
  </si>
  <si>
    <t>50% AFTER CONTRACT, 50% BEFORE PICK UP</t>
  </si>
  <si>
    <t>Wall &amp; Ceiling Lamp</t>
  </si>
  <si>
    <t>f6.171.23</t>
  </si>
  <si>
    <t>Cono infinito GOLD
 material · materiale
 aluminium · alluminio
 finish/colour gold 
 Overall dimensions:  210 x 272 mm
 Cut out: 85mm</t>
  </si>
  <si>
    <t>NNNH-VB-2025-001-2.377/03</t>
  </si>
  <si>
    <t>30/06/2025</t>
  </si>
  <si>
    <t>SMIL00439401</t>
  </si>
  <si>
    <t>MALPENSA APT/MILANO</t>
  </si>
  <si>
    <t>DB GROUP</t>
  </si>
  <si>
    <t>107413715030</t>
  </si>
  <si>
    <t>Bộ phận của đèn: thân đèn dùng cho đèn gắn trần Cono Infinito, 210x272 mm, bằng kim loại, hiệu VIABIZZUNO, model f6.171.23, mới 100%</t>
  </si>
  <si>
    <t>Lô 72</t>
  </si>
  <si>
    <t>f6.171.56.27</t>
  </si>
  <si>
    <t>Kit nero55
 material  aluminium
 finish/colour · finitura/colore nero55
 overall dimensions ·  50 x 50 mm
 power cable length ·  180 mm</t>
  </si>
  <si>
    <t>Bộ phận của đèn: dây điện kết nối m8, 350 / 500 / 700 mA 34V, không đầu nối, IP68 dùng cho đèn gắn trần Cono infinito, 150 mm, hiệu VIABIZZUNO, model f9.250.70, mới 100%</t>
  </si>
  <si>
    <t>f9.250.70</t>
  </si>
  <si>
    <t>Cables with m8 female connector 150mm
 type of connector ·  m8, maximum cable section ·  0.5mm²
 cable finish · black
 material · polyvinyl chloride (pvc)</t>
  </si>
  <si>
    <t>Vb6.184.41.27.1</t>
  </si>
  <si>
    <t>leis soffitto ARGENTO HACCA les6</t>
  </si>
  <si>
    <t>Bộ phận của đèn: thân đèn dùng cho đèn gắn trần Leis soffitto Argento Hacca, 110x100 mm, bằng kim loại, hiệu VIABIZZUNO, model Vb6.184.41.27.1, mới 100%</t>
  </si>
  <si>
    <t>Vb5.142.14</t>
  </si>
  <si>
    <t xml:space="preserve">campanula BLACK
</t>
  </si>
  <si>
    <t>Bộ phận của đèn: thân đèn dùng cho đèn trang trí gắn tường Campanula, 503x380 mm, đường kính 100 mm, bằng kim loại, hiệu VIABIZZUNO, model Vb5.142.14, mới 100%</t>
  </si>
  <si>
    <t>Vb8.614.71.27</t>
  </si>
  <si>
    <t>Lenticchia grande sospensione sanded
glass
Size: 600 x 160mm
 power cable length minimum voltage on secondary circuit</t>
  </si>
  <si>
    <t xml:space="preserve">Bộ phận của đèn: thân đèn dùng cho đèn thả trang trí Lenticchia, 600x160 mm, bằng kim loại, hiệu VIABIZZUNO, model Vb8.614.71.27, mới 100%																										
																										</t>
  </si>
  <si>
    <t>Vb9.580.73</t>
  </si>
  <si>
    <t>power supply roses total recessed
plasterboard housing</t>
  </si>
  <si>
    <t xml:space="preserve">Bộ phận của đèn: bộ nguồn dùng cho đèn thả trang trí, kích thước 100x34 mm, điện áp 16V, 5.6W, vỏ bằng kim loại, hiệu VIABIZZUNO, model Vb9.580.73, mới 100%																										
																										</t>
  </si>
  <si>
    <t>Vb6.170.22</t>
  </si>
  <si>
    <t>Luna 330 bianco V fitting - natural
alabaster diffuser
 material  steel 
 finish/colour bianco V
 overall dimensions · Ø476 x 77mm
 recess opening · Ø335mm</t>
  </si>
  <si>
    <t>Bộ phận của đèn: thân đèn dùng cho đèn gắn trần Luna, 476x77 mm, bằng kim loại, hiệu VIABIZZUNO, model Vb6.170.22, mới 100%</t>
  </si>
  <si>
    <t>Floor Lamp</t>
  </si>
  <si>
    <t>Vb9.183.91</t>
  </si>
  <si>
    <t>lilia kit passivated satin stainless steel</t>
  </si>
  <si>
    <t>Bộ phận của đèn: chụp đèn dùng cho đèn đường Lilia, đường kính 458 mm, bằng kim loại, hiệu VIABIZZUNO, model Vb9.183.91, mới 100%</t>
  </si>
  <si>
    <t>f9.211.91</t>
  </si>
  <si>
    <t>components anchor bolt</t>
  </si>
  <si>
    <t>Bộ phận của đèn: chân đèn dùng cho đèn đường Lilia, 800x800 mm, bằng kim loại, hiệu VIABIZZUNO, model f9.211.91, mới 100%</t>
  </si>
  <si>
    <t>Vb8.626.41.27</t>
  </si>
  <si>
    <t>fiore sospensione polished chrome -
black leather
Dimension: 129x1500 mm</t>
  </si>
  <si>
    <t>Bộ phận của đèn: thân đèn Fiore, 129x1500 mm, bằng kim loại, hiệu VIABIZZUNO, model Vb8.626.41.27, mới 100%</t>
  </si>
  <si>
    <t>Bộ phận của đèn: bộ nguồn dùng cho đèn thả trang trí, kích thước 100x34 mm, điện áp 16V, 5.6W, vỏ bằng kim loại, hiệu VIABIZZUNO, model Vb9.580.73, mới 100%</t>
  </si>
  <si>
    <t>f8.039.21</t>
  </si>
  <si>
    <t>Cilindro zincato serpentine hot galvanized steel</t>
  </si>
  <si>
    <t xml:space="preserve">Bộ phận của đèn: thân đèn thả trang trí Cilindro, 180x300 mm, bằng kim loại, hiệu VIABIZZUNO, model f8.039.21, mới 100%																										
																										</t>
  </si>
  <si>
    <t>f9.039.92</t>
  </si>
  <si>
    <t>power supply roses fully concealed</t>
  </si>
  <si>
    <t>Bộ phận của đèn: bộ nguồn dùng cho đèn thả trang trí Cilindro, điện áp 28.4V, 19.9 W, kích thước 100x34 mm, vỏ bằng kim loại, hiệu VIABIZZUNO, model f9.039.92, mới 100%</t>
  </si>
  <si>
    <t>Vb5.626.31.27</t>
  </si>
  <si>
    <t>fiore parete polished chrome-black leather</t>
  </si>
  <si>
    <t xml:space="preserve">Bộ phận của đèn: thân đèn gắn tường  Fiore, 80x452 mm, bằng kim loại, hiệu VIABIZZUNO, model Vb5.626.31.27, mới 100%																										
																										</t>
  </si>
  <si>
    <t>USMUS10270</t>
  </si>
  <si>
    <t>USM Haller, Office cabinet Dimensions: 4773x523x2140 mm &amp;
  2273x723x840 mm
 Material: metal, Glass
 Colour: Black</t>
  </si>
  <si>
    <t>102087998</t>
  </si>
  <si>
    <t>01/25/300247</t>
  </si>
  <si>
    <t>YMMU 682035/0 ; Seal: 2863</t>
  </si>
  <si>
    <t>107442270350</t>
  </si>
  <si>
    <t>Lô 73</t>
  </si>
  <si>
    <t>USMUS10271</t>
  </si>
  <si>
    <t>USM Haller, Office cabinet
 Dimensions: 1523x373x740 mm &amp; 1273x773x990 mm
 Material: metal
 Colour: Pure white</t>
  </si>
  <si>
    <t>USMUS10272</t>
  </si>
  <si>
    <t>USM Haller, cabinet with wheels</t>
  </si>
  <si>
    <t>USMUS-14177.28</t>
  </si>
  <si>
    <t>USM Inos, drawer set, 5 drawers, closed, incl. label and tabs, USM green</t>
  </si>
  <si>
    <t>USMUS-14177.24</t>
  </si>
  <si>
    <t>USM Inos, drawer set, 5 drawers, closed, incl. label and tabs, pure white</t>
  </si>
  <si>
    <t>USMUS-14177.25</t>
  </si>
  <si>
    <t>USM Inos, drawer set, 5 drawers, closed, incl. label and tabs, golden yellow</t>
  </si>
  <si>
    <t>USMUS-14177.26</t>
  </si>
  <si>
    <t>USM Inos, drawer set, 5 drawers, closed, incl. label and tabs, pure orange</t>
  </si>
  <si>
    <t>DH-0003081</t>
  </si>
  <si>
    <t>USMUS-11213.24</t>
  </si>
  <si>
    <t>USM Haller, metal panel, 750x250 mm, pure white</t>
  </si>
  <si>
    <t>USMUS-11217.24</t>
  </si>
  <si>
    <t>USM Haller, metal panel, 350x250 mm, pure white</t>
  </si>
  <si>
    <t>USMUS-11218.24</t>
  </si>
  <si>
    <t>USM Haller, metal panel, with holes, 350x250 mm, pure white</t>
  </si>
  <si>
    <t>USMUS-11360.24</t>
  </si>
  <si>
    <t>USM Haller, metal panel, shortened, 750x350 mm, pure white</t>
  </si>
  <si>
    <t>USMUS-14264.24</t>
  </si>
  <si>
    <t>USM Haller, door without fittings, 750x250 mm, pure white</t>
  </si>
  <si>
    <t>USMUS-16785.24</t>
  </si>
  <si>
    <t>USM Haller, side/divider panel for drawer, 350x350 mm, pure white</t>
  </si>
  <si>
    <t>USMUS-16791.24</t>
  </si>
  <si>
    <t>USM Haller, front/rear panel for drawer, 750x350 mm, pure white</t>
  </si>
  <si>
    <t>DH-0003244</t>
  </si>
  <si>
    <t>USM Haller, door without fittings, 500x350 mm, pure white</t>
  </si>
  <si>
    <t>USMUS-15082</t>
  </si>
  <si>
    <t>USM Haller, glass support 90° chrome-plated</t>
  </si>
  <si>
    <t>11.83</t>
  </si>
  <si>
    <t>USMUS-16658.24</t>
  </si>
  <si>
    <t>USM Haller, door without fittings, 350x350 mm, pure white</t>
  </si>
  <si>
    <t>61.91</t>
  </si>
  <si>
    <t>USMUS-16661.24</t>
  </si>
  <si>
    <t>USM Haller, door with straight flanges without fittings, 500x350 mm, pure white</t>
  </si>
  <si>
    <t>111.38</t>
  </si>
  <si>
    <t>18.67</t>
  </si>
  <si>
    <t>USMUS-18644</t>
  </si>
  <si>
    <t>USM Haller, glass element in tempered safety glass (ESG), element 4 self sticking fabrics included, 500x350 mm</t>
  </si>
  <si>
    <t>54.63</t>
  </si>
  <si>
    <t>NNH-FH-2025-001-2103-DH-0002924</t>
  </si>
  <si>
    <t>DH-0002924</t>
  </si>
  <si>
    <t xml:space="preserve">Table  </t>
  </si>
  <si>
    <t>PK40</t>
  </si>
  <si>
    <t>TBLFH00088</t>
  </si>
  <si>
    <t>PK40™ DINING TABLE
Model: PK40
Tabletop: Aura / Black
Base: Steel / Brushed
Spring Steel - Matt
Dimension: 70x140x140 cm</t>
  </si>
  <si>
    <t>100150372</t>
  </si>
  <si>
    <t>SDK0111260</t>
  </si>
  <si>
    <t>19/06/2025</t>
  </si>
  <si>
    <t>DENMARK</t>
  </si>
  <si>
    <t>107440887150</t>
  </si>
  <si>
    <t>Bàn ăn PK40 DINING TABLE, nhãn hiệu Fritz Hansen, model PK40, gồm mặt bàn và thân bàn tháo rời đồng bộ, kích thước 70x140x140 cm, bằng kim loại, mặt bàn bọc da Aura màu đen, mới 100%</t>
  </si>
  <si>
    <t>94032090</t>
  </si>
  <si>
    <t>Lô 74</t>
  </si>
  <si>
    <t>NNH-KN-2025-002-1103-DH-0002924</t>
  </si>
  <si>
    <t>30/09/2025</t>
  </si>
  <si>
    <t>chairs</t>
  </si>
  <si>
    <t>256CCCL80</t>
  </si>
  <si>
    <t>MR Side Chair - Cowhide -Black 
 Polished chrome
 Seat height: 46cm
 Dimension: 79x49x69cm</t>
  </si>
  <si>
    <t>053617 - 053920</t>
  </si>
  <si>
    <t>SOTA00433847</t>
  </si>
  <si>
    <t>KKTU 815736/5 SEAL 0039382/9115925</t>
  </si>
  <si>
    <t>107458485152</t>
  </si>
  <si>
    <t>Ghế Mr side chair, hiệu Knoll, model 256CCCL80, kích thước 79x49x69 cm, chiều cao ghế ngồi 46cm, không nâng hạ, chất liệu thân kim loại có lớp bọc bằng da, chân chrome, màu black cowhide, mới 100%</t>
  </si>
  <si>
    <t>Lô 75</t>
  </si>
  <si>
    <t xml:space="preserve">Table </t>
  </si>
  <si>
    <t>50T1 C F1</t>
  </si>
  <si>
    <t>TBLKN00002</t>
  </si>
  <si>
    <t>Laccio Table - Small
 Black 
 Polished Aluminum 
 Dimension: 55x48x45cm</t>
  </si>
  <si>
    <t>Bàn Laccio, hiệu Knoll, model 50T1 C F1, size nhỏ, mặt bàn bằng gỗ phủ laminate màu đen, chân nhôm, kích thước 55x48x45 cm, mới 100%</t>
  </si>
  <si>
    <t>50T2 C F1</t>
  </si>
  <si>
    <t>TBLKN00003</t>
  </si>
  <si>
    <t>Laccio Table - Large
 Black 
 Polished Aluminum 
 Dimension: 136x48x34cm</t>
  </si>
  <si>
    <t>Bàn Laccio, hiệu Knoll, model 50T2 C F1, size lớn, mặt bàn bằng gỗ phủ laminate màu đen, chân nhôm, kích thước 136x48x34 cm, mới 100%</t>
  </si>
  <si>
    <t>NNH-KN-2025-003-2503-SR</t>
  </si>
  <si>
    <t>50% + 15%</t>
  </si>
  <si>
    <t>Ghế xoay Tulip, hiệu Knoll, model 151CS2K G 07PE, kích thước 81x49x53 cm, chiều cao ghế ngồi 49cm, thân bằng nhựa màu trắng, có đệm ngồi bằng vải Pegaso, màu light grey, mới 100%</t>
  </si>
  <si>
    <t>LAMWA01</t>
  </si>
  <si>
    <t>LWLSC00003</t>
  </si>
  <si>
    <t>Lámina 45
 Wall lamp
 White grey metallic shade with glossy finish (exterior).
 Black metal structure with matte finish
 Suitable for dimming 0-10V / DALI.
 (Not included external dimmer switch 0-10V / DALI).
 IP20
 Size: 58.7x18x13.5 cm</t>
  </si>
  <si>
    <t>SCN-FV25-03354</t>
  </si>
  <si>
    <t>250402065/0413</t>
  </si>
  <si>
    <t>YMMU6224936/YMAS294793</t>
  </si>
  <si>
    <t>BARCELONA</t>
  </si>
  <si>
    <t xml:space="preserve"> CAT LAI</t>
  </si>
  <si>
    <t>CP WORLD</t>
  </si>
  <si>
    <t>107474597860</t>
  </si>
  <si>
    <t>Đèn trang trí gắn tường Lámina 45, hiệu Santa&amp;Cole, model LAMWA01, màu trắng xám bằng kim loại, thân kim loại màu đen, kích thước 58.7x18x13.5 cm, không kèm bóng loại led dây, mới 100%.</t>
  </si>
  <si>
    <t>Lô 76</t>
  </si>
  <si>
    <t>SYLTA01</t>
  </si>
  <si>
    <t>LTLSC00004</t>
  </si>
  <si>
    <t>Sylvestrina
 Table lamps
 Lithium battery.
 Switch incorporated into the luminaire with 2 levels of intensity.
 Power Range:
 - 7h on high power
 - 14h on minimum power
 Includes contact charger.
 Battery charging time: 5h.
 IP44
 Size: 12.7x12.7x35.5 cm</t>
  </si>
  <si>
    <t>Đèn trang trí để bàn Sylvestrina, hiệu Santa&amp;Cole, model SYLTA01, bằng thủy tinh, đế kim loại màu đen, kích thước 12.7x35.5x12.7 mm,không kèm bóng loại led dây, mới 100%.</t>
  </si>
  <si>
    <t>SYLWA01</t>
  </si>
  <si>
    <t>LWLSC00002</t>
  </si>
  <si>
    <t>Sylvestrina
 Wall lamps
 Suitable for dimming systems 1-10V.
 (Not included external dimmer switch 1-10V).
 Size: 15.1x12.7x46 cm</t>
  </si>
  <si>
    <t>Đèn trang trí gắn tường Sylvestrina, hiệu Santa&amp;Cole, model SYLWA01, bằng thủy tinh, đế kim loại màu đen, kích thước 46x15.1x12.7 cm, không kèm bóng loại led dây, mới 100%.</t>
  </si>
  <si>
    <t>NNH-LPS-2025-004-0108-DH-0003788</t>
  </si>
  <si>
    <t>Louis Polsen</t>
  </si>
  <si>
    <t>DH-0003788</t>
  </si>
  <si>
    <t>30 days from invoice date</t>
  </si>
  <si>
    <t>PH 3/2 Wall Lamp</t>
  </si>
  <si>
    <t>LWLLP00001</t>
  </si>
  <si>
    <t>PH 3-2 Wall Lamp
White opal glass
Size: 285*285*235 mm</t>
  </si>
  <si>
    <t>1019012434</t>
  </si>
  <si>
    <t>618-37227794</t>
  </si>
  <si>
    <t>107474728211</t>
  </si>
  <si>
    <t>Đèn Tường PH 3-2, Hiệu Louis Poulsen, model: 5743142806, kích thước 285x285x235 mm, bằng kim loại và thủy tinh, màu white opal, không kèm bóng, mới 100% (không dùng trong phòng nổ)</t>
  </si>
  <si>
    <t>Lô 77</t>
  </si>
  <si>
    <t>FONTANA ARTE</t>
  </si>
  <si>
    <t>NNH-FA-2025-001</t>
  </si>
  <si>
    <t xml:space="preserve"> 25/07/2025</t>
  </si>
  <si>
    <t>DH-0003799</t>
  </si>
  <si>
    <t>CPT/CFR</t>
  </si>
  <si>
    <t>SPAFA00027</t>
  </si>
  <si>
    <t>RE DRIVER
ALIM SU SPINA 24V 60W YHY-24002500+Cavo
L2m 3 PLUG (US/EU/UK)</t>
  </si>
  <si>
    <t>107494992620</t>
  </si>
  <si>
    <t>Driver nguồn, bộ phận của đèn RE 60W, 24VDC, hiệu Fontana Arte, model 005443703, mới 100%</t>
  </si>
  <si>
    <t>Lô 78</t>
  </si>
  <si>
    <t>NNH-FLOS-2025-006-1408-DH-0003915</t>
  </si>
  <si>
    <t>DH-0003915</t>
  </si>
  <si>
    <t>MINI BUTTON
Wall lamp
Vetro Glass
Size: 140 x 140 x 46 mm</t>
  </si>
  <si>
    <t>2503005586</t>
  </si>
  <si>
    <t>IT72505803</t>
  </si>
  <si>
    <t>MILANO-MALPENSA</t>
  </si>
  <si>
    <t>107510175360</t>
  </si>
  <si>
    <t>Đèn tường MINI BUTTON, Flos, model F1490009, kích thước 140 x 140 x 46 mm, bằng thủy tinh, màu trắng, không kèm bóng, mới 100%</t>
  </si>
  <si>
    <t>GALLERY</t>
  </si>
  <si>
    <t>Lô 79</t>
  </si>
  <si>
    <t>f4.211.01</t>
  </si>
  <si>
    <t>lilia palo passivated satin stainless steel</t>
  </si>
  <si>
    <t>NNNH-VB-2025-001-2.377/03-2</t>
  </si>
  <si>
    <t>73482058</t>
  </si>
  <si>
    <t>107509397660</t>
  </si>
  <si>
    <t>Bộ phận của đèn: thân đèn đường Lilia (không chứa đèn), hiệu VIABIZZUNO, model f4.211.01, kích thước 4410 x 1000 x 160mm, bằng kim loại,  mới 100%</t>
  </si>
  <si>
    <t>Lô 80</t>
  </si>
  <si>
    <t>NNH-LPS-2025-002-2702-PANTHELLA</t>
  </si>
  <si>
    <t>PO-NNH-LPS-2025-001-1801-DROP1</t>
  </si>
  <si>
    <t>LOUIS POULSEN ASIA PTE LTD</t>
  </si>
  <si>
    <t>Campaign</t>
  </si>
  <si>
    <t>VL45 Radio 175 Table Lamp</t>
  </si>
  <si>
    <t>5744171737</t>
  </si>
  <si>
    <t>LTLLP00068</t>
  </si>
  <si>
    <t>VL45 RADIO 175 PORTABLE GLASS P. YELLOW
 Size: 175 x 175 x 205 mm
 H: 275 mm with strap
 Leather Strap Dark Brown
 Light source: LED 3W Dim-2-Warm (1800-2700K) 
 Two dimming options: Stepless dimming or Step dimming.
 IP44</t>
  </si>
  <si>
    <t>50% + 10%</t>
  </si>
  <si>
    <t>NNH-LPS-2025-001</t>
  </si>
  <si>
    <t>SPRJ051412</t>
  </si>
  <si>
    <t>CAT LAI</t>
  </si>
  <si>
    <t>107553663120</t>
  </si>
  <si>
    <t>Đèn bàn VL45 RADIO 175, model 5744171737, hiệu Louis Poulsen, kích thước 175x175x205 mm, bằng glass, metal, màu yellow, không kèm bóng, mới 100%.</t>
  </si>
  <si>
    <t>94052190</t>
  </si>
  <si>
    <t>Lô 81</t>
  </si>
  <si>
    <t>5744171711</t>
  </si>
  <si>
    <t>LTLLP00069</t>
  </si>
  <si>
    <t>VL45 RADIO 175 PORTABLE GLASS OPAL WHITE
 Size: 175 x 175 x 205 mm
 H: 275 mm with strap
 Leather Strap Light Brown
 Light source: LED 3W Dim-2-Warm (1800-2700K) 
 Two dimming options: Stepless dimming or Step dimming.
 IP44</t>
  </si>
  <si>
    <t>Đèn bàn VL45 RADIO 175, model 5744171711, hiệu Louis Poulsen, kích thước 175x175x205 mm, bằng glass, metal, màu opal white, không kèm bóng, mới 100%.</t>
  </si>
  <si>
    <t>5744171724</t>
  </si>
  <si>
    <t>LTLLP00070</t>
  </si>
  <si>
    <t>VL45 RADIO 175 PORTABLE GLASS PALE ROSE
 Size: 175 x 175 x 205 mm
 H: 275 mm with strap
 Leather Strap Light Brown
 Light source: LED 3W Dim-2-Warm (1800-2700K) 
 Two dimming options: Stepless dimming or Step dimming.
 IP44</t>
  </si>
  <si>
    <t>Đèn bàn VL45 RADIO 175, model 5744171724, hiệu Louis Poulsen, kích thước 175x175x205 mm, bằng glass, metal, màu pale rose, không kèm bóng, mới 100%.</t>
  </si>
  <si>
    <t>VL45 Radio 175 Pendant</t>
  </si>
  <si>
    <t>5741115123</t>
  </si>
  <si>
    <t>LPLLP00057</t>
  </si>
  <si>
    <t>VL45 RADIO 175 PENDANT GLASS PALE YELLOW
 Ø175: (EU) 175 x 246 x 175 mm (with brass top)
 Light source: EU:1x20W E14</t>
  </si>
  <si>
    <t>Đèn thả VL45 RADIO 175, model 5741115123, hiệu Louis Poulsen, kích thước 175x246x175 mm, bằng glass, metal, màu pale yellow, Không kèm bóng. Mới 100%</t>
  </si>
  <si>
    <t>94051199</t>
  </si>
  <si>
    <t>VL45 Radio 250 Pendant</t>
  </si>
  <si>
    <t>5741115149</t>
  </si>
  <si>
    <t>LPLLP00059</t>
  </si>
  <si>
    <t>VL45 RADIO 250 PENDANT GLASS PALE YELLOW
 Ø250: (EU) 250 x 328 x 250 mm (with brass top)
 Light source: 1x100W E27</t>
  </si>
  <si>
    <t>Đèn thả VL45 RADIO 250, model 5741115149, hiệu Louis Poulsen, kích thước 250x328x250 mm, bằng glass, metal, màu pale yellow, không kèm bóng, mới 100%.</t>
  </si>
  <si>
    <t>5741115110</t>
  </si>
  <si>
    <t>LPLLP00058</t>
  </si>
  <si>
    <t>VL45 RADIO 175 PENDANT GLASS AMBER
 Ø175: (EU) 175 x 246 x 175 mm (with brass top)
 Light source: EU:1x20W E14</t>
  </si>
  <si>
    <t>Đèn thả VL45 RADIO 175, model 5741115110, hiệu Louis Poulsen, kích thước 175x246x175 mm, bằng glass, metal, màu amber, không kèm bóng, mới 100%.</t>
  </si>
  <si>
    <t>5741115136</t>
  </si>
  <si>
    <t>LPLLP00060</t>
  </si>
  <si>
    <t>VL45 RADIO 250 PENDANT GLASS AMBER
 Ø250: (EU) 250 x 328 x 250 mm (with brass top)
 Light source: 1x100W E27</t>
  </si>
  <si>
    <t>Đèn thả VL45 RADIO 250, model 5741115136, hiệu Louis Poulsen, kích thước 250x328x250 mm, bằng glass, metal, màu amber, không kèm bóng, mới 100%.</t>
  </si>
  <si>
    <t>Panthella 160 Portable Lamp</t>
  </si>
  <si>
    <t>5744171546</t>
  </si>
  <si>
    <t>LTLLP00052</t>
  </si>
  <si>
    <t>Panthella 160 Portable Lamp
 Brass metallised
 H241xW160xD160mm
 V3</t>
  </si>
  <si>
    <t>Đèn bàn Panthella, model Panthella 160, hiệu Louis Poulsen, kích thước 160x241x160 mm, bằng nhựa, kim loại, 5V, 1.5A, 2700K, IP44, mới 100%</t>
  </si>
  <si>
    <t>5744171481</t>
  </si>
  <si>
    <t>LTLLP00053</t>
  </si>
  <si>
    <t>Panthella 160 Portable Lamp
 Chrome opal beige
 H241xW160xD160mm
 V3</t>
  </si>
  <si>
    <t>Đèn bàn Panthella, model Panthella 160, hiệu Louis Poulsen, kích thước 160x241x160 mm, bằng nhựa, kim loại, 5V, 1.5A, 2700K, IP44, mới 100% (Hàng F.O.C)</t>
  </si>
  <si>
    <t>5744171559</t>
  </si>
  <si>
    <t>LTLLP00054</t>
  </si>
  <si>
    <t>Panthella 160 Portable Lamp
 High lustre chrome plated
 H241xW160xD160mm
 V3</t>
  </si>
  <si>
    <t>5744171465</t>
  </si>
  <si>
    <t>LTLLP00055</t>
  </si>
  <si>
    <t>Panthella 160 Portable Lamp
 Opal pale blue
 H241xW160xD160mm
 V3</t>
  </si>
  <si>
    <t>5744171452</t>
  </si>
  <si>
    <t>LTLLP00056</t>
  </si>
  <si>
    <t>Panthella 160 Portable Lamp
 Opal pale rose
 H241xW160xD160mm
 V3</t>
  </si>
  <si>
    <t>5744171436</t>
  </si>
  <si>
    <t>LTLLP00057</t>
  </si>
  <si>
    <t>Panthella 160 Portable Lamp
 Opal white
 H241xW160xD160mm
 V3</t>
  </si>
  <si>
    <t>5744171494</t>
  </si>
  <si>
    <t>LTLLP00058</t>
  </si>
  <si>
    <t>Panthella 160 Portable Lamp
 Opaque black
 H241xW160xD160mm
 V3</t>
  </si>
  <si>
    <t>5744171517</t>
  </si>
  <si>
    <t>LTLLP00059</t>
  </si>
  <si>
    <t>Panthella 160 Portable Lamp
 Opaque coral
 H241xW160xD160mm
 V3</t>
  </si>
  <si>
    <t>5744171520</t>
  </si>
  <si>
    <t>LTLLP00060</t>
  </si>
  <si>
    <t>Panthella 160 Portable Lamp
 Opaque indigo blue
 H241xW160xD160mm
 V3</t>
  </si>
  <si>
    <t>5744171504</t>
  </si>
  <si>
    <t>LTLLP00061</t>
  </si>
  <si>
    <t>Panthella 160 Portable Lamp
 Opaque orange
 H241xW160xD160mm
 V3</t>
  </si>
  <si>
    <t>5744171533</t>
  </si>
  <si>
    <t>LTLLP00062</t>
  </si>
  <si>
    <t>Panthella 160 Portable Lamp
 Opaque yellow
 H241xW160xD160mm
 V3</t>
  </si>
  <si>
    <t>5744173269</t>
  </si>
  <si>
    <t>LTLLP00063</t>
  </si>
  <si>
    <t>Panthella 160 Portable Lamp
 Opaque moss green
 H241xW160xD160mm
 V3</t>
  </si>
  <si>
    <t>5744930169</t>
  </si>
  <si>
    <t>LTLLP00064</t>
  </si>
  <si>
    <t>Panthella 160 Portable Lamp
 Opaque burgundy
 H241xW160xD160mm
 V3</t>
  </si>
  <si>
    <t>Panthella 250 Table Lamp</t>
  </si>
  <si>
    <t>5744162474</t>
  </si>
  <si>
    <t>LTLLP00009</t>
  </si>
  <si>
    <t>Panthella 250 Table Lamp
 Orange</t>
  </si>
  <si>
    <t>Đèn bàn PANTHELLA TABLE 250, model 5744162474, hiệu Louis Poulsen, kích thước 250x 335x250 mm, bằng nhựa, màu orange, không kèm bóng, mới 100%.</t>
  </si>
  <si>
    <t>5744612872</t>
  </si>
  <si>
    <t>LTLLP00025</t>
  </si>
  <si>
    <t>Panthella 250 Table Lamp
 Pale rose opal acryl</t>
  </si>
  <si>
    <t>Đèn bàn PANTHELLA TABLE 250, model 5744612872, hiệu Louis Poulsen, kích thước 250x 335x250 mm, bằng nhựa, màu Pale rose opal, không kèm bóng, mới 100%.</t>
  </si>
  <si>
    <t>5744612652</t>
  </si>
  <si>
    <t>LTLLP00065</t>
  </si>
  <si>
    <t>Panthella 250 Table Lamp
 Coral</t>
  </si>
  <si>
    <t>Đèn bàn PANTHELLA TABLE 250, model 5744612652, hiệu Louis Poulsen, kích thước 250x 335x250 mm, bằng nhựa, màu coral, không kèm bóng, mới 100%.</t>
  </si>
  <si>
    <t>5744168038</t>
  </si>
  <si>
    <t>LTLLP00066</t>
  </si>
  <si>
    <t>Panthella 250 Table Lamp
 Grey opal acryl</t>
  </si>
  <si>
    <t>Đèn bàn PANTHELLA TABLE 250, model 5744168038, hiệu Louis Poulsen, kích thước 250x 335x250 mm, bằng nhựa và kim loại, màu Grey opal, không kèm bóng, mới 100%.</t>
  </si>
  <si>
    <t>5744612649</t>
  </si>
  <si>
    <t>LTLLP00067</t>
  </si>
  <si>
    <t>Panthella 250 Table Lamp
 Pale blue</t>
  </si>
  <si>
    <t>Đèn bàn PANTHELLA TABLE 250, model 5744612649, hiệu Louis Poulsen, kích thước 250x 335x250 mm, bằng nhựa, màu pale blue, không kèm bóng, mới 100%.</t>
  </si>
  <si>
    <t>5744167136</t>
  </si>
  <si>
    <t>LTLLP00008</t>
  </si>
  <si>
    <t>PANTHELLA TABLE 320 White Opal Acrylic</t>
  </si>
  <si>
    <t>Đèn bàn PANTHELLA TABLE 320, model 5744167136, hiệu Louis Poulsen, kích thước 320x438x320 mm, bằng nhựa, màu white opal, không kèm bóng, mới 100%.</t>
  </si>
  <si>
    <t>Panthella Floor</t>
  </si>
  <si>
    <t>5744167068</t>
  </si>
  <si>
    <t>LFLLP00004</t>
  </si>
  <si>
    <t>PANTHELLA FLOOR, DI500 x H1311 mm,
 Opal white</t>
  </si>
  <si>
    <t>Đèn sàn PANTHELLA FLOOR, model 5744167068, hiệu Louis Poulsen, kích thước 500x1290x 500 mm, bằng nhựa và kim loại, màu opal white, không kèm bóng, mới 100%.</t>
  </si>
  <si>
    <t>NNH-LPS-2025-003-1905-DH-0003379</t>
  </si>
  <si>
    <t>DH-0003379</t>
  </si>
  <si>
    <t>5741104574</t>
  </si>
  <si>
    <t xml:space="preserve">PH 5, Monochrome white, 
White textile cord, 1x75W E27 </t>
  </si>
  <si>
    <t>Đèn thả PH 5, model 5741104574, hiệu Louis Poulsen, kích thước 500x267x500 mm, bằng kim loại, màu monochrome white, không kèm bóng, mới 100%.</t>
  </si>
  <si>
    <t>NNH-ST-2025-001-1706</t>
  </si>
  <si>
    <t>ACCESSORY</t>
  </si>
  <si>
    <t>CANDLEHOLDER</t>
  </si>
  <si>
    <t>9004</t>
  </si>
  <si>
    <t>289375</t>
  </si>
  <si>
    <t>SPRJ051413</t>
  </si>
  <si>
    <t>107554500800</t>
  </si>
  <si>
    <t>Chân Nến STOFF Nagel CANDLE HOLDER, model 9004, kích thước 10.2 x 10.2 x 6.9 cm, Bằng Hợp Kim, Màu Chrome, mới 100%</t>
  </si>
  <si>
    <t>Lô 82</t>
  </si>
  <si>
    <t>9034</t>
  </si>
  <si>
    <t>Chân Nến Ba STOFF Nagel CANDLE HOLDER 3 PACK, model 9034, kích thước 10.2 x 10.2 x 6.9 cm, Bằng Hợp Kim, Màu Chrome, mới 100%</t>
  </si>
  <si>
    <t>9038</t>
  </si>
  <si>
    <t>ACCST00019</t>
  </si>
  <si>
    <t>STOFF Nagel CANDLE HOLDER 3 PACK, Ø10.2 x H6.9 cm, ROSE GOLD</t>
  </si>
  <si>
    <t>Chân Nến Ba STOFF Nagel CANDLE HOLDER 3 PACK, model 9038, kích thước 10.2 x 10.2 x 6.9 cm, Bằng Hợp Kim, Màu Rose Gold, mới 100%</t>
  </si>
  <si>
    <t>9024</t>
  </si>
  <si>
    <t>Chân Nến STOFF Nagel BOWL, model 9024, kích thước 13.8 x 13.8 x 5.6 cm, Bằng Hợp Kim, Màu Chrome, mới 100%</t>
  </si>
  <si>
    <t>9054</t>
  </si>
  <si>
    <t>Chân Nến STOFF Nagel VASE, model 9054, 2.4 x 2.4 x 10 cm, Bằng Hợp Kim, Màu Chrome, mới 100%</t>
  </si>
  <si>
    <t>9044</t>
  </si>
  <si>
    <t>Chân Nến STOFF Nagel STAND, model 9044, kích thước 17 x 17 x 23 cm, Bằng Hợp Kim, Màu Chrome, mới 100%</t>
  </si>
  <si>
    <t>36005</t>
  </si>
  <si>
    <t>Hộp Nến (6 pcs) STOFF Nagel TAPER CANDLES, model 36005, kích thước 1.3 x 1.3 x 29 cm, Bằng Paraffin, Màu đỏ burgundy red, mới 100%</t>
  </si>
  <si>
    <t>34060000</t>
  </si>
  <si>
    <t>36011</t>
  </si>
  <si>
    <t>(6 pcs) STOFF Nagel TAPER CANDLES, Ø1.3 x H29 cm,  Paraffin, Off-white</t>
  </si>
  <si>
    <t>Hộp Nến (6 pcs) STOFF Nagel TAPER CANDLES, model 36011, kích thước 1.3 x 1.3 x 29 cm, Bằng Paraffin, Màu Trắng Off-white, mới 100%</t>
  </si>
  <si>
    <t>36007</t>
  </si>
  <si>
    <t>STOFF Nagel taper candles by Ester &amp; Erik (box w/6 pcs) - sand</t>
  </si>
  <si>
    <t>Hộp Nến (6 pcs) STOFF Nagel TAPER CANDLES, model 36007, kích thước 1.3 x 1.3 x 29 cm, Bằng Paraffin, Màu vàng sand, mới 100%</t>
  </si>
  <si>
    <t>36027</t>
  </si>
  <si>
    <t>ACCST00020</t>
  </si>
  <si>
    <t>STOFF Nagel taper candles by Ester &amp; Erik (box w/6 pcs) - mellow pink-NEW 2025</t>
  </si>
  <si>
    <t>Hộp Nến (6 pcs) STOFF Nagel TAPER CANDLES, model 36027, kích thước 1.3 x 1.3 x 29 cm, Bằng Paraffin, Màu hồng mellow pink, mới 100%</t>
  </si>
  <si>
    <t>36028</t>
  </si>
  <si>
    <t>ACCST00021</t>
  </si>
  <si>
    <t>STOFF Nagel taper candles by Ester &amp; Erik (box w/6 pcs) - espresso-NEW 2025</t>
  </si>
  <si>
    <t>Hộp Nến (6 pcs) STOFF Nagel TAPER CANDLES, model 36028, kích thước 1.3 x 1.3 x 29 cm, Bằng Paraffin, Màu espresso, mới 100%</t>
  </si>
  <si>
    <t>36026</t>
  </si>
  <si>
    <t>ACCST00022</t>
  </si>
  <si>
    <t>STOFF Nagel taper candles by Ester &amp; Erik (box w/6 pcs) - mustard</t>
  </si>
  <si>
    <t>Hộp Nến (6 pcs) STOFF Nagel TAPER CANDLES, model 36026, kích thước 1.3 x 1.3 x 29 cm, Bằng Paraffin, Màu mustard, mới 100%</t>
  </si>
  <si>
    <t>36019</t>
  </si>
  <si>
    <t>ACCST00023</t>
  </si>
  <si>
    <t>STOFF Nagel taper candles by Ester &amp; Erik (box w/6 pcs) - champagne</t>
  </si>
  <si>
    <t>Hộp Nến (6 pcs) STOFF Nagel TAPER CANDLES, model 36019, kích thước 1.3 x 1.3 x 29 cm, Bằng Paraffin, Màu champagne, mới 100%</t>
  </si>
  <si>
    <t>NNH-NU-2025-002-1408</t>
  </si>
  <si>
    <t>NNH-NU-2025-002-1807-DH-0003701</t>
  </si>
  <si>
    <t>DH-0003701</t>
  </si>
  <si>
    <t>Outdoor</t>
  </si>
  <si>
    <t>AA612-B485</t>
  </si>
  <si>
    <t>OUTHA00074</t>
  </si>
  <si>
    <t>Palissade Stool
Size: H45 x W37 x L42 cm
Iron red Powder coated Steel</t>
  </si>
  <si>
    <t>EGLV142502762202</t>
  </si>
  <si>
    <t>EMCU6322850/EMCLPS9924</t>
  </si>
  <si>
    <t>1x20</t>
  </si>
  <si>
    <t>107546364000</t>
  </si>
  <si>
    <t>Ghế PALISSADE STOOL, hiệu HAY, model AA612-B485, Kích thước (Dài 37 x Rộng 42 x Cao 45)cm, Chiều cao từ mặt đất đến ghế ngồi 45 cm, Bằng Thép, Màu đỏ, mới 100%</t>
  </si>
  <si>
    <t>Lô 83</t>
  </si>
  <si>
    <t>AA615-B485</t>
  </si>
  <si>
    <t>OUTHA00073</t>
  </si>
  <si>
    <t>Palissade Lounge Chair Low
Size: L73 x W81 x H38/70 cm
Iron red powder coated steel</t>
  </si>
  <si>
    <t>Ghế PALISSADE LOUNGE CHAIR LOW, hiệu HAY, mode AA615-B485, Kích thước (Dài 81 x Rộng 73 x Cao 38/70)cm, Chiều cao từ mặt đất đến ghế ngồi 38 cm, Bằng Thép, Màu đỏ, mới 100%</t>
  </si>
  <si>
    <t>NNH-NU-2025-003-2207-DH-0003785</t>
  </si>
  <si>
    <t>DH-0003785</t>
  </si>
  <si>
    <t>AA615-A235</t>
  </si>
  <si>
    <t>OUTHA00075</t>
  </si>
  <si>
    <t>Palissade Lounge Chair Low
Material &amp; Color: Anthracite Powder Coated Steel
Size: L73xW81xH38/70 cm</t>
  </si>
  <si>
    <t>Ghế PALISSADE LOUNGE CHAIR LOW,hiệu HAY, model AA615-A235, Kích thước (Dài 81 x Rộng 73 x Cao 38/70)cm, Chiều cao từ mặt đất đến ghế ngồi 38 cm, Bằng Thép, Màu Anthracite, mới 100%</t>
  </si>
  <si>
    <t>AB560-B285-AF12</t>
  </si>
  <si>
    <t>SPAHA00026</t>
  </si>
  <si>
    <t>Palissade Lounge Chair High &amp; Low Seat Cushion
Material &amp; Color: Anthracite Textile
Size: W52.5xD48xH3 cm</t>
  </si>
  <si>
    <t>Đệm PALISSADE LOUNGE CHAIR HIGH &amp; LOW SEAT CUSHION, hiệu HAY, model AB560-B285-AF12, W52.5 x D48 x H3 cm, Màu Anthracite Textile, mới 100%</t>
  </si>
  <si>
    <t>94042120</t>
  </si>
  <si>
    <t>NNH-NU-2025-005-0408-DH-0003845</t>
  </si>
  <si>
    <t>DH-0003845</t>
  </si>
  <si>
    <t>137909</t>
  </si>
  <si>
    <t>CHRAT00006</t>
  </si>
  <si>
    <t>Massif Counter Stool AV39
Item No: 137909
Size; W40 x D40 x H65 cm
Color: Oak &amp; Grey Beige</t>
  </si>
  <si>
    <t>Ghế đẩu Massif Counter Stool AV39 , hiệu &amp;Tradition, model 137909, 40 x 40 x 65 cm, cao 65 cm, bằng gỗ và kim loại, mới 100%</t>
  </si>
  <si>
    <t>AB634-A603-AB90</t>
  </si>
  <si>
    <t>ACCHA00344</t>
  </si>
  <si>
    <t>HAY Colour Crate L Off-white
Size: W34.5 X D53 X H18.5 cm
Material: 100% Recycled PP
MOQ: 12 pcs/box</t>
  </si>
  <si>
    <t>Hộp Đa Năng COLOUR CRATE, hiệu HAY, dùng chứa đựng dụng cụ, model AB634-A603 , size L, 29.5 x 29.5 x 28.5 cm, Bằng Nhựa, mới 100%</t>
  </si>
  <si>
    <t>NNH-NU-2025-004-2507-DH-0003806</t>
  </si>
  <si>
    <t>DH-0003806</t>
  </si>
  <si>
    <t>Table Lamp</t>
  </si>
  <si>
    <t>133093A203</t>
  </si>
  <si>
    <t>Flowerpot Portable Lamp VP9
Size: Φ16 x H29.5 cm
Material/Color: Chrome-plated</t>
  </si>
  <si>
    <t>Đèn trang trí FLOWERPOT VP9, &amp;Tradition, model 20719201, công nghệ LED, 16x16x29.5 cm, 3W 2700K, 5VDC, Bằng PC Và Thép, mới 100%</t>
  </si>
  <si>
    <t>NNH-NU-2025-002-1408 (stock)</t>
  </si>
  <si>
    <t>DH-0003969</t>
  </si>
  <si>
    <t xml:space="preserve">AB273-A845 </t>
  </si>
  <si>
    <t>ACCHA00345</t>
  </si>
  <si>
    <t>Knit
W49.5XD50.5XH161.5 cm
Grey
Attribute1</t>
  </si>
  <si>
    <t>Cây Treo Đồ KNIT, HAY, model AB273-A845, 49.5 X 50.5 X 161.5 cm, Bằng Thép Sơn Tĩnh Điện, Màu Grey, mới 100%</t>
  </si>
  <si>
    <t>Table Clock-Black
AB311-A586
W13 x D8 x H14.5 CM
1box=2pcs</t>
  </si>
  <si>
    <t>Đồng hồ Table Clock, HAY, model AB311, kích thước 13 x 8 x 14.5 CM, bằng nhựa và nhôm, mới 100%</t>
  </si>
  <si>
    <t>91059990</t>
  </si>
  <si>
    <t>Table Clock-Green
AB311-A587
W13 x D8 x H14.5 CM
1box=2pcs</t>
  </si>
  <si>
    <t>Table Clock-White
AB311-A605
W13 x D8 x H14.5 CM
1box=2pcs</t>
  </si>
  <si>
    <t>Table Clock-Blue
AB311-A656
W13 x D8 x H14.5 CM
1box=2pcs</t>
  </si>
  <si>
    <t>AB634-A601-AG31</t>
  </si>
  <si>
    <t>ACCHA00350</t>
  </si>
  <si>
    <t>HAY Colour Crate-Small-Bordeaux-2025AW IS 
AB634-A601-AG31
W17 X L26,5 X H10,5cm(1box=24pcs)c</t>
  </si>
  <si>
    <t>Hộp Đa Năng COLOUR CRATE, hiệu HAY, dùng chứa đựng dụng cụ, model AB634-A601, size S, 17 x 26.5 x 10.5 cm, Bằng Nhựa, mới 100%</t>
  </si>
  <si>
    <t>AB634-A601-AG39</t>
  </si>
  <si>
    <t>ACCHA00351</t>
  </si>
  <si>
    <t>HAY Colour Crate-Small-Warm grey-2025AW IS 
AB634-A601-AG39
W17 X L26,5 X H10,5cm(1box=24pcs)c</t>
  </si>
  <si>
    <t>AB634-A602-AB27</t>
  </si>
  <si>
    <t>ACCHA00352</t>
  </si>
  <si>
    <t>HAY Colour Crate M Red
AB634-A602-AB27
1Box=12Pcs</t>
  </si>
  <si>
    <t>Hộp Đa Năng COLOUR CRATE, hiệu HAY, dùng chứa đựng dụng cụ, model AB634-A602, size M, 26.5 x 34.5 x 14 cm, Bằng Nhựa, mới 100%</t>
  </si>
  <si>
    <t>AB634-A602-AB86</t>
  </si>
  <si>
    <t>ACCHA00346</t>
  </si>
  <si>
    <t>HAY Colour Crate-Medium-Light yellow-2025AW IS 
AB634-A602-AB86
W26,5 X L34,5 X H14cm(1box=12pcs)c</t>
  </si>
  <si>
    <t>AB634-A602-AC68</t>
  </si>
  <si>
    <t>ACCHA00347</t>
  </si>
  <si>
    <t>HAY Colour Crate-Medium-Blush-2025AW IS 
AB634-A602-AC68
Blush
W26,5 X L34,5 X H14cm, 12pcs/CTN(1box=12pcs)</t>
  </si>
  <si>
    <t>AB634-A602-AE77</t>
  </si>
  <si>
    <t>ACCHA00353</t>
  </si>
  <si>
    <t>HAY Colour Crate-Medium-Dark green-2025AW IS 
AB634-A602-AE77
W26,5 X L34,5 X H14cm(1box=12pcs)c</t>
  </si>
  <si>
    <t>AB634-A602-AE92</t>
  </si>
  <si>
    <t>ACCHA00348</t>
  </si>
  <si>
    <t>HAY Colour Crate-Medium-Soft blue-2025AW IS 
AB634-A602-AE92
W26,5 X L34,5 X H14cm(1box=12pcs)c</t>
  </si>
  <si>
    <t>AB634-A602-AF16</t>
  </si>
  <si>
    <t>ACCHA00354</t>
  </si>
  <si>
    <t>HAY Colour Crate M Electric blue
AB634-A602-AF16
1Box=12Pcs</t>
  </si>
  <si>
    <t>AB634-A602-AG28</t>
  </si>
  <si>
    <t>ACCHA00349</t>
  </si>
  <si>
    <t>HAY Colour Crate-Medium-Sage green-2025AW IS 
AB634-A602-AG28
W26,5 X L34,5 X H14cm(1box=12pcs)c</t>
  </si>
  <si>
    <t>AB634-A602-AG31</t>
  </si>
  <si>
    <t>ACCHA00355</t>
  </si>
  <si>
    <t>HAY Colour Crate-Medium-Bordeaux-2025AW IS 
AB634-A602-AG31
W26,5 X L34,5 X H14cm(1box=12pcs)c</t>
  </si>
  <si>
    <t>AB634-A602-AG39</t>
  </si>
  <si>
    <t>ACCHA00356</t>
  </si>
  <si>
    <t>HAY Colour Crate-Medium-Warm grey-2025AW IS 
AB634-A602-AG39
W26,5 X L34,5 X H14cm(1box=12pcs)c</t>
  </si>
  <si>
    <t>AB634-A603-AG31</t>
  </si>
  <si>
    <t>ACCHA00357</t>
  </si>
  <si>
    <t>HAY Colour Crate-Large-Bordeaux-2025AW IS 
AB634-A603-AG31
W34,5 X L53 X H18,5cm(1box=12pcs)c</t>
  </si>
  <si>
    <t>AB634-A603-AG39</t>
  </si>
  <si>
    <t>ACCHA00358</t>
  </si>
  <si>
    <t>HAY Colour Crate-Large-Warm grey-2025AW IS 
AB634-A603-AG39
W34,5 X L53 X H18,5cm(1box=12pcs)c</t>
  </si>
  <si>
    <t>HAY Colour Crate L Off-white
AB634-A603-AB90
W34,5 X L53 X H18,5cm1Box=12Pcs</t>
  </si>
  <si>
    <t>AB634-C262-AB48</t>
  </si>
  <si>
    <t>ACCHA00359</t>
  </si>
  <si>
    <t>HAY Colour Crate-Cube-Grey-2025AW IS 
AB634-C262-AB48
Grey
W29,5 x L29,5 x H28,5cm, 12pcs/CTN(1box=12pcs)</t>
  </si>
  <si>
    <t>AB634-C262-AB78</t>
  </si>
  <si>
    <t>ACCHA00360</t>
  </si>
  <si>
    <t>HAY Colour Crate-Cube-Lavender-2025AW IS 
AB634-C262-AB78
Lavender
W29,5 x L29,5 x H28,5cm, 12pcs/CTN(1box=12pcs)</t>
  </si>
  <si>
    <t>Hộp Đa Năng COLOUR CRATE Cube, hiệu HAY, dùng chứa đựng dụng cụ, model AB634-C262, 29.5 x 29.5 x 28.5 cm, Bằng Nhựa, mới 100%</t>
  </si>
  <si>
    <t>AB634-C262-AB86</t>
  </si>
  <si>
    <t>ACCHA00361</t>
  </si>
  <si>
    <t>HAY Colour Crate-Cube-Light yellow-2025AW IS 
AB634-C262-AB86
Light yellow
W29,5 x L29,5 x H28,5cm, 12pcs/CTN(1box=12pcs)</t>
  </si>
  <si>
    <t>AB634-C262-AB90</t>
  </si>
  <si>
    <t>ACCHA00362</t>
  </si>
  <si>
    <t>HAY Colour Crate-Cube-Off-white-2025AW IS 
AB634-C262-AB90
Off-white
W29,5 x L29,5 x H28,5cm, 12pcs/CTN(1box=12pcs)</t>
  </si>
  <si>
    <t>AB634-C262-AC37</t>
  </si>
  <si>
    <t>ACCHA00363</t>
  </si>
  <si>
    <t>HAY Colour Crate-Cube-Charcoal-2025AW IS 
AB634-C262-AC37
Charcoal
W29,5 x L29,5 x H28,5cm, 12pcs/CTN(1box=12pcs)</t>
  </si>
  <si>
    <t>AB634-C262-AE77</t>
  </si>
  <si>
    <t>ACCHA00364</t>
  </si>
  <si>
    <t>HAY Colour Crate-Cube-Dark green-2025AW IS 
AB634-C262-AE77
Dark green
W29,5 x L29,5 x H28,5cm, 12pcs/CTN(1box=12pcs)</t>
  </si>
  <si>
    <t>AB634-C262-AF65</t>
  </si>
  <si>
    <t>ACCHA00365</t>
  </si>
  <si>
    <t>HAY Colour Crate-Cube-Powder-2025AW IS 
AB634-C262-AF65
Powder
W29,5 x L29,5 x H28,5cm, 12pcs/CTN(1box=12pcs)</t>
  </si>
  <si>
    <t>AB634-C262-AF89</t>
  </si>
  <si>
    <t>ACCHA00366</t>
  </si>
  <si>
    <t>HAY Colour Crate-Cube-Dusty blue-2025AW IS 
AB634-C262-AF89
Dusty blue
W29,5 x L29,5 x H28,5cm, 12pcs/CTN(1box=12pcs)</t>
  </si>
  <si>
    <t>AB634-C262-AG28</t>
  </si>
  <si>
    <t>ACCHA00367</t>
  </si>
  <si>
    <t>HAY Colour Crate-Cube-Sage green-2025AW IS 
AB634-C262-AG28
Sage green
W29,5 x L29,5 x H28,5cm, 12pcs/CTN(1box=12pcs)</t>
  </si>
  <si>
    <t>AB634-C262-AG31</t>
  </si>
  <si>
    <t>ACCHA00368</t>
  </si>
  <si>
    <t>HAY Colour Crate-Cube-Bordeaux-2025AW IS 
AB634-C262-AG31
Bordeaux
W29,5 x L29,5 x H28,5cm, 12pcs/CTN(1box=12pcs)</t>
  </si>
  <si>
    <t>AE759-A602-AB27</t>
  </si>
  <si>
    <t>ACCHA00369</t>
  </si>
  <si>
    <t>HAY Colour Crate Lid Plastic-Medium-Red-2025AW IS 
AE759-A602-AB27
Red
W27,5 x L35,5 x H1,5cm(1box=12pcs)c</t>
  </si>
  <si>
    <t>Nắp Colour Crate Lid plastic, size M, HAY, dùng cho hộp đa năng, model AE759-A602, kích thước 26.5x34.5x1.5 cm, bằng nhựa, mới 100%</t>
  </si>
  <si>
    <t>39235000</t>
  </si>
  <si>
    <t>AE759-A602-AB90</t>
  </si>
  <si>
    <t>ACCHA00370</t>
  </si>
  <si>
    <t>HAY Colour Crate Lid Plastic-Medium-Off-white-2025AW IS 
AE759-A602-AB90
Off-white
W27,5 x L35,5 x H1,5cm(1box=12pcs)c</t>
  </si>
  <si>
    <t>AC458-A602-AB86</t>
  </si>
  <si>
    <t>ACCHA00371</t>
  </si>
  <si>
    <t>HAY Colour Crate Lid Metal-Medium-Light yellow-2025AW IS
AC458-A602-AB86
W26,5 x L34,5 x H1,5cm(1box=6pcs)c</t>
  </si>
  <si>
    <t>Nắp Colour Crate Lid metal, size M, HAY, dùng cho hộp đa năng, model AC458-A602, kích thước 26.5x34.5x1.5 cm, bằng kim loại, mới 100%</t>
  </si>
  <si>
    <t>73269099</t>
  </si>
  <si>
    <t>AC458-A602-AG31</t>
  </si>
  <si>
    <t>ACCHA00372</t>
  </si>
  <si>
    <t>HAY Colour Crate Lid Metal-Medium-Bordeaux-2025AW IS 
AC458-A602-AG31
W26,5 x L34,5 x H1,5cm(1box=6pcs)c</t>
  </si>
  <si>
    <t>AC458-A602-AG39</t>
  </si>
  <si>
    <t>ACCHA00373</t>
  </si>
  <si>
    <t>HAY Colour Crate Lid Metal-Medium-Warm grey-2025AW IS
AC458-A602-AG39
W26,5 x L34,5 x H1,5cm(1box=6pcs)c</t>
  </si>
  <si>
    <t>Bottle</t>
  </si>
  <si>
    <t>AE366-D807-AB27</t>
  </si>
  <si>
    <t>ACCHA00377</t>
  </si>
  <si>
    <t>Miz Decor Bottle-0,54 litre-Red
AE366-D807-AB27
Red, Glass
0.54L(1box=4pcs)</t>
  </si>
  <si>
    <t>Bình đựng nước Miz Decor Bottle , hiệu HAY, model  AE366-D807, 0.54L, bằng thủy tinh, mới 100%</t>
  </si>
  <si>
    <t>70139900</t>
  </si>
  <si>
    <t>AE366-D807-AC37</t>
  </si>
  <si>
    <t>ACCHA00378</t>
  </si>
  <si>
    <t>Miz Decor Bottle-0,54 litre-Charcoal
AE366-D807-AC37
Charcoal, Glass
0.54L(1box=4pcs)</t>
  </si>
  <si>
    <t>AE366-D808-AC37</t>
  </si>
  <si>
    <t>ACCHA00379</t>
  </si>
  <si>
    <t>Miz Decor Bottle-0,72 litre-Charcoal
AE366-D808-AC37
Charcoal, Glass
0.72L(1box=4pcs)</t>
  </si>
  <si>
    <t>Bình đựng nước Miz Decor Bottle, hiệu HAY, model  AE366-D808, 0.72L, bằng thủy tinh, mới 100%</t>
  </si>
  <si>
    <t>AE366-D808-AE89</t>
  </si>
  <si>
    <t>ACCHA00380</t>
  </si>
  <si>
    <t>Miz Decor Bottle-0,72 litre-Dark blue
AE366-D808-AE89
Dark blue, Glass
0.72L(1box=4pcs)</t>
  </si>
  <si>
    <t>AB428-A601-AF07</t>
  </si>
  <si>
    <t>ACCHA00374</t>
  </si>
  <si>
    <t>Jug-Small-Pink--2024SS IS
AB428-A601-AF07
Pink
D96mm x 63mmH160mm(1box=6pcs)</t>
  </si>
  <si>
    <t>Bình Thủy Tinh JUG loại nhỏ, hiệu HAY, model  AB428-A601-AF07, 9.6x6.3x16 cm, 0.95L, bằng thủy tinh, Màu Pink, mới 100%</t>
  </si>
  <si>
    <t>AB428-A603-AC37</t>
  </si>
  <si>
    <t>ACCHA00375</t>
  </si>
  <si>
    <t>Jug-Large-Charcoal--2024SS IS
AB428-A603-AC37
Charcoal
D96mm x 63mmH200mm(1box=6pcs)</t>
  </si>
  <si>
    <t>Bình Thủy Tinh JUG loại lớn, hiệu HAY, model  AB428-A603-AC37, 9.6x6.3x20 cm, 1.2L, bằng thủy tinh, Màu Charcoal, mới 100%</t>
  </si>
  <si>
    <t>AB428-A604-AB96</t>
  </si>
  <si>
    <t>ACCHA00376</t>
  </si>
  <si>
    <t>Jug-X-Large-Blue--2024SS IS
AB428-A604-AB96
Blue
D96mm x 63mm H230mm(1box=6pcs)</t>
  </si>
  <si>
    <t>Bình Thủy Tinh JUG X loại lớn, hiệu HAY, model  AB428-A604-AB96, 9.6x6.3x23 cm, 1.5L, bằng thủy tinh, Màu Blue, mới 100%</t>
  </si>
  <si>
    <t>AE381-A420</t>
  </si>
  <si>
    <t>LTLHA00029</t>
  </si>
  <si>
    <t>PC Portable - USBC
AE381-A420
Cool grey
15X26.5X15cm</t>
  </si>
  <si>
    <t>Đèn trang trí để bàn PC, hiệu HAY, model AE381, 14x14x22 cm, mới 100%, không kèm bóng</t>
  </si>
  <si>
    <t>AE381-A588</t>
  </si>
  <si>
    <t>LTLHA00030</t>
  </si>
  <si>
    <t>PC Portable - USBC
AE381-A588
Soft black
15X26.5X15cm</t>
  </si>
  <si>
    <t>AE381-A682</t>
  </si>
  <si>
    <t>LTLHA00031</t>
  </si>
  <si>
    <t>PC Portable - USBC
AE381-A682
Olive
15X26.5X15cm</t>
  </si>
  <si>
    <t>AE381-A684</t>
  </si>
  <si>
    <t>LTLHA00032</t>
  </si>
  <si>
    <t>PC Portable - USBC
AE381-A684
Sky blue
15X26.5X15cm</t>
  </si>
  <si>
    <t>AE381-A685</t>
  </si>
  <si>
    <t>LTLHA00033</t>
  </si>
  <si>
    <t>PC Portable - USBC
AE381-A685
Dusty Red
15X26.5X15cm</t>
  </si>
  <si>
    <t>AE913-A420</t>
  </si>
  <si>
    <t>LTLHA00021</t>
  </si>
  <si>
    <t>PC Portable Lamp-Cool grey - R
AE913-A420
L14*W14*H22cm</t>
  </si>
  <si>
    <t>Đèn trang trí để bàn PC, hiệu HAY, model AE913, 14x14x22 cm, mới 100%, không kèm bóng</t>
  </si>
  <si>
    <t>AE913-A588</t>
  </si>
  <si>
    <t>LTLHA00022</t>
  </si>
  <si>
    <t>PC Portable Lamp-Soft black - R
AE913-A588
L14*W14*H22cm</t>
  </si>
  <si>
    <t>AE913-A682</t>
  </si>
  <si>
    <t>LTLHA00023</t>
  </si>
  <si>
    <t>PC Portable Lamp-Olive - R
AE913-A682
L14*W14*H22cm</t>
  </si>
  <si>
    <t>AE913-A686</t>
  </si>
  <si>
    <t>LTLHA00024</t>
  </si>
  <si>
    <t>PC Portable Lamp-Cream white - R
AE913-A686
L14*W14*H22cm</t>
  </si>
  <si>
    <t>PC Portable Lamp-Iron red - R
AE913-C190
L14*W14*H22cm</t>
  </si>
  <si>
    <t>AE913-C935</t>
  </si>
  <si>
    <t>LTLHA00025</t>
  </si>
  <si>
    <t>PC Portable Lamp-Azure blue - R
AE913-C935
L14*W14*H22cm</t>
  </si>
  <si>
    <t>AE913-E622</t>
  </si>
  <si>
    <t>LTLHA00026</t>
  </si>
  <si>
    <t>PC Portable Lamp-Slate blue - R
AE913-E622
L14*W14*H22cm</t>
  </si>
  <si>
    <t>AE913-E623</t>
  </si>
  <si>
    <t>LTLHA00027</t>
  </si>
  <si>
    <t>PC Portable Lamp-Blush peach - R
AE913-E623
L14*W14*H22cm</t>
  </si>
  <si>
    <t>AE913-E624</t>
  </si>
  <si>
    <t>LTLHA00028</t>
  </si>
  <si>
    <t>PC Portable Lamp-Soft mint - R
AE913-E624
L14*W14*H22cm</t>
  </si>
  <si>
    <t>Chair</t>
  </si>
  <si>
    <t>AD127-C953-AM99</t>
  </si>
  <si>
    <t>CHRHA00048</t>
  </si>
  <si>
    <t>Weekday Bench 111X23 cm - Wine Red Water-Based Lacquered Pinewood Frame
AD127-C953-AM99
Olive Water-Based Lacquered Pinewood Benchtop
L111xW23xH45 cm</t>
  </si>
  <si>
    <t>Ghế Weekday Bench, hiệu HAY, model AD127-C953-AM99, L111xW23xH45 cm, Chiều cao từ mặt đất đến ghế ngồi 45 cm, thân gỗ pinewood màu Olive, chân gỗ pinewood màu Wine red, mới 100%</t>
  </si>
  <si>
    <t>94016990</t>
  </si>
  <si>
    <t>AD127-C953-AN02</t>
  </si>
  <si>
    <t>CHRHA00049</t>
  </si>
  <si>
    <t>Weekday Bench 111X23 cm - Steel Blue Water-Based Lacquered Pinewood Frame
AD127-C953-AN02
Wine Red Water-Based Lacquered Pinewood Benchtop
L111xW23xH45 cm</t>
  </si>
  <si>
    <t>Ghế Weekday Bench, hiệu HAY, model AD127-C953-AN02, L111xW23xH45 cm, Chiều cao từ mặt đất đến ghế ngồi 45 cm, thân gỗ pinewood màu Wine Red, chân gỗ pinewood màu steel blue, mới 100%</t>
  </si>
  <si>
    <t>AF239-E678</t>
  </si>
  <si>
    <t>CHRHA00050</t>
  </si>
  <si>
    <t>X-Line Chair Chromed Base Indoor 2.0
AF239-E678
Pale Linden Powder Coated Seat/Back
W50xD45.5xH75 cm (2Pcs/CTN)</t>
  </si>
  <si>
    <t>Ghế X-Line Chair, hiệu HAY, model AF239-E678,  Kích thước 50x45.5x75 cm, chiều cao chỗ ngồi 44 cm, Bằng kim loại, mới 100%</t>
  </si>
  <si>
    <t>AF239-E679</t>
  </si>
  <si>
    <t>CHRHA00051</t>
  </si>
  <si>
    <t>X-Line Chair Chromed Base Indoor 2.0
AF239-E679
Iron Red Powder Coated Seat/Back
W50xD45.5xH75 cm (2Pcs/CTN)</t>
  </si>
  <si>
    <t>Ghế X-Line Chair, hiệu HAY, model AF239-E679,  Kích thước 50x45.5x75 cm, chiều cao chỗ ngồi 44 cm, Bằng kim loại, mới 100%</t>
  </si>
  <si>
    <t>Alima Trolley NDS1 W90 D42 H59  Chrome(BOM)
model: 133046A307
Lacquered Oak Tray
L89.9 x W41.9 x H59.4 cm</t>
  </si>
  <si>
    <t>Kệ có bánh xe Alima Trolley, &amp;Tradition, model NDS1, kích thước 89.9x41.9x59.4 cm, bằng kim loại, mới 100%</t>
  </si>
  <si>
    <t>94031000</t>
  </si>
  <si>
    <t>133046A310</t>
  </si>
  <si>
    <t>TRLAT00002</t>
  </si>
  <si>
    <t>Alima Trolley NDS1 W90 D42 H59  Chrome(BOM)
model: 133046A310
Lacquered Walnut Tray
L89.9 x W41.9 x H59.4 cm</t>
  </si>
  <si>
    <t>133130A150</t>
  </si>
  <si>
    <t>LTLAT00025</t>
  </si>
  <si>
    <t>Setago Portable Lamp JH27
model: 133130A150
Maroon &amp; Grape
Φ18 x H22 cm, (2pcs/CTN)</t>
  </si>
  <si>
    <t>Đèn trang trí Setago JH27, &amp;tradition, model JH27, 18x18x22 cm, Bằng PC, mới 100%, không kèm bóng</t>
  </si>
  <si>
    <t>Setago Portable Lamp JH27model: 133130A151
Rust &amp; Thunder
Φ18xH22 cm, (2Pcs/CTN)</t>
  </si>
  <si>
    <t>133130A152</t>
  </si>
  <si>
    <t>LTLAT00026</t>
  </si>
  <si>
    <t>Setago Portable Lamp JH27model: 133130A152
Nude &amp; Forest
Φ18xH22 cm, (2Pcs/CTN)</t>
  </si>
  <si>
    <t>133093A180</t>
  </si>
  <si>
    <t>Flowerpot Portable Lamp VP9model: 133093A180
Dark Plum
Φ16 x H29.5 cm, (2pcs/CTN)</t>
  </si>
  <si>
    <t>Đèn trang trí FLOWERPOT VP9, &amp;Tradition, model 20713601, công nghệ LED, 16x16x29.5 cm, 3W 2700K, 5VDC, Bằng PC Và Thép, mới 100%</t>
  </si>
  <si>
    <t>133093A181</t>
  </si>
  <si>
    <t>Flowerpot Portable Lamp VP9model: 133093A181
Tangy Pink
Φ16 x H29.5 cm, (2pcs/CTN)</t>
  </si>
  <si>
    <t>133093A182</t>
  </si>
  <si>
    <t>Flowerpot Portable Lamp VP9model: 133093A182
Vermilion Red
Φ16 x H29.5 cm, (2pcs/CTN)</t>
  </si>
  <si>
    <t>ATD-LPT-00002</t>
  </si>
  <si>
    <t>Flowerpot Portable Lamp VP9model: 133093A209
Grey Beige
Φ16 x H29.5 cm, (2pcs/CTN)</t>
  </si>
  <si>
    <t>133093A215</t>
  </si>
  <si>
    <t>Flowerpot Portable Lamp VP9model: 133093A215
Mustard
Φ16 x H29.5 cm, (2pcs/CTN)</t>
  </si>
  <si>
    <t>Flowerpot Portable Lamp VP9model: 133093A203
Chrome-plated
Φ16 x H29.5 cm, (2pcs/CTN)</t>
  </si>
  <si>
    <t>Montera Table Lamp -JH42, Forest/ Skymodel: 133280A426
Forest &amp; Sky
L45 x W22 x H33 cm</t>
  </si>
  <si>
    <t>Đèn trang trí để bàn Montera, &amp;Tradition, model JH42, 45x22x33 cm, bằng nhôm, mới 100%, không kèm bóng</t>
  </si>
  <si>
    <t>94052990</t>
  </si>
  <si>
    <t>133280A440</t>
  </si>
  <si>
    <t>LTLAT00019</t>
  </si>
  <si>
    <t>Montera Table Lamp - JH42, Amber/ Rubymodel: 133280A440
Amber &amp; Ruby
L45 x W22 x H33 cm</t>
  </si>
  <si>
    <t>V100072</t>
  </si>
  <si>
    <t>LPLVP00001</t>
  </si>
  <si>
    <t>VP-Globe Pendant
Item No: V100072
Φ40 cm
CE,Φ40 cm
Chrome/Red/Blue</t>
  </si>
  <si>
    <t>Đèn Thả VP GLOBE, hiệu Verpan, model V100072, 40x40 cm, Bằng Acrylic, Aluminum, Màu Xanh Và Đỏ, mới 100%, không kèm bóng</t>
  </si>
  <si>
    <t>Paper Shade-Oblong-Classic white
Item No: AB318-B008-AB35
Φ:42 X H:50 CM(1Box=6Pcs)</t>
  </si>
  <si>
    <t>Đèn Thả PAPER SHADE OBLONG, hiệu HAY, model AB318-B008-AB35, 42x42x50 cm, Bằng Giấy Tre và Thép, Màu Trắng Classic White, mới 100%, không kèm bóng</t>
  </si>
  <si>
    <t>AB318-D692-AB35</t>
  </si>
  <si>
    <t>LPLHA00015</t>
  </si>
  <si>
    <t>Donut Paper Shade 60cm
Item No: AB318-D692-AB35
Φ60*H:45cm
Φ60(1Box=6Pcs)</t>
  </si>
  <si>
    <t>Đèn Thả PAPER SHADE DONUT, hiệu HAY, model AB318-D692-AB35, 60x60x45 cm, Bằng Giấy Tre và Thép, Màu Trắng Classic White, mới 100%, không kèm bóng</t>
  </si>
  <si>
    <t>Donut Paper Shade 80cm
Item No: AB318-D693-AB35
Φ80*H:60cm
Φ80(1Box=6Pcs)</t>
  </si>
  <si>
    <t>Đèn Thả PAPER SHADE DONUT, hiệu HAY, model AB318-D693-AB35, 80x80x76.5 cm, Bằng Giấy Tre và Thép, Màu Trắng Classic White, mới 100%, không kèm bóng</t>
  </si>
  <si>
    <t>AB318-F261-AB35</t>
  </si>
  <si>
    <t>LPLHA00016</t>
  </si>
  <si>
    <t>Paper Shade-Diamond Φ60
Item No: AB318-F261-AB35
Φ60*H: 69*62*0.5cm
Φ60(1Box=24Pcs)</t>
  </si>
  <si>
    <t>Đèn Thả PAPER SHADE Diamond, hiệu HAY, model AB318-F261-AB35, 60x62x69x0.5cm, Bằng Giấy Tre và Thép, Màu Trắng Classic White, mới 100%, không kèm bóng</t>
  </si>
  <si>
    <t>AB318-F262-AB35</t>
  </si>
  <si>
    <t>LPLHA00017</t>
  </si>
  <si>
    <t>Paper Shade-Diamond Φ80
Item No: AB318-F262-AB35
Φ80*H: 89*82*0.5cm
Φ80(1Box=24Pcs)
Classic white</t>
  </si>
  <si>
    <t>Đèn Thả PAPER SHADE Diamond, hiệu HAY, model AB318-F262-AB35, 80x82x89x0.5 cm, Bằng Giấy Tre và Thép, Màu Trắng Classic White, mới 100%, không kèm bóng</t>
  </si>
  <si>
    <t>Drome Table lamp
Item No: AE060-B432
317.5*223.5*221.3mm
White opal Acrylic</t>
  </si>
  <si>
    <t>Đèn trang trí Drome, HAY, model AE060-B432, kích thước 31.75x22.35x22.13 cm, bằng acrylic, màu trắng, mới 100%, không kèm bóng</t>
  </si>
  <si>
    <t>Pantop Pendant
CE, Q23xH16.6 cm, Dark Green</t>
  </si>
  <si>
    <t>Đèn thả Pantop, Verpan, model V119715, 23x23x16.6 cm, bằng kim loại, màu Dark Green, mới 100%, không kèm bóng (Hàng F.O.C)</t>
  </si>
  <si>
    <t>V100001</t>
  </si>
  <si>
    <t>VP-Globe Pendant
Φ50 cm
Chrome/Red/Blue</t>
  </si>
  <si>
    <t>Đèn Thả VP GLOBE, hiệu Verpan, model V100001, 50x50 cm, Bằng Acrylic, Aluminum, Màu Xanh Và Đỏ, mới 100%, không kèm bóng (Hàng F.O.C)</t>
  </si>
  <si>
    <t>133116A155</t>
  </si>
  <si>
    <t>SHADE Formakami
Pendant JH3
Φ46 cm x H68cm
Ivory White &amp; Black Stained Oak</t>
  </si>
  <si>
    <t>Đèn Thả FORMAKAMI JH3, hiệu &amp;Tradition, model 133116A155, 46x46x68 cm, Bằng Giấy Gạo Và Gỗ Oak, Màu Trắng, mới 100%, không kèm bóng (Hàng F.O.C)</t>
  </si>
  <si>
    <t>133118A155</t>
  </si>
  <si>
    <t>SHADE Formakami
Pendant JH5
Φ70 cm x H67cm
Ivory White &amp; Black Stained Oak</t>
  </si>
  <si>
    <t>Đèn Thả FORMAKAMI JH5,hiệu &amp;Tradition, model  133118A155, 70x70 X 67 cm, Bằng Giấy Gạo Và Gỗ Oak, Màu Trắng, mới 100%, không kèm bóng (Hàng F.O.C)</t>
  </si>
  <si>
    <t>133094A274</t>
  </si>
  <si>
    <t>Flowerpot Pendant VP10
Chrome-plated
Φ16 cm x H12.7cm (2pcs/CTN)</t>
  </si>
  <si>
    <t>Đèn thả Flowerpot VP10 , &amp;Tradition, model 133094A274, 16x16x12.7 cm, bằng thép mạ chrome, mới 100%, không kèm bóng (Hàng F.O.C)</t>
  </si>
  <si>
    <t>Palissade Lounge Sofa
L139xW88xH38/70 cm
Sky Grey Powder Coated Steel</t>
  </si>
  <si>
    <t>Ghế PALISSADE LOUNGE SOFA, hiệu HAY, model AA617-A221,  Kích thước 139 x 88 x  38/70 cm, Chiều cao từ mặt đất đến ghế ngồi 38 cm, Bằng Thép, Màu xám trắng (SKY GREY), mới 100% (Hàng F.O.C)</t>
  </si>
  <si>
    <t>NNH-EC-2025-006-0208-STOCK</t>
  </si>
  <si>
    <t>30% AFTER CONTRACT/70% BEFORE PICK UP</t>
  </si>
  <si>
    <t>FOB</t>
  </si>
  <si>
    <t>LDLIOTAN0301250</t>
  </si>
  <si>
    <t>LED DOWNLIGHT 1
LED Recessed Downlight, Φ86*H90 mm, 8-12W 3000K 50° , Adjustability 0-30°, Body White, Reflector Chrome, No Driver</t>
  </si>
  <si>
    <t>NNH-EC-2025-006</t>
  </si>
  <si>
    <t>SVLCL202509395</t>
  </si>
  <si>
    <t>MRSU8625834/40'HQ/ML-CN3256738</t>
  </si>
  <si>
    <t>107583888050</t>
  </si>
  <si>
    <t>Bộ phận của đèn: thân đèn dùng cho đèn âm trần downlight IOTA NEW, 86xH90 mm, len 50 độ, bằng kim loại, không Driver, hiệu NANOCO, model LDLIOTAN0301250, mới 100%</t>
  </si>
  <si>
    <t>Lô 84</t>
  </si>
  <si>
    <t>LDLIOTAN0401250</t>
  </si>
  <si>
    <t>LED DOWNLIGHT 1
LED Recessed Downlight, Φ86*H90 mm, 8-12W 4000K 50° , Adjustability 0-30°, Body White, Reflector Chrome, No Driver</t>
  </si>
  <si>
    <t>LDLIOTAN0301224</t>
  </si>
  <si>
    <t>LED DOWNLIGHT 1
LED Recessed Downlight, Φ86*H90 mm, 8-12W 3000K 24° , Adjustability 0-30°, Body White, Reflector Chrome, No Driver</t>
  </si>
  <si>
    <t>Bộ phận của đèn: thân đèn dùng cho đèn âm trần downlight IOTA NEW, 86xH90 mm, len 24 độ, bằng kim loại, không Driver, hiệu NANOCO, model LDLIOTAN0301224, mới 100%</t>
  </si>
  <si>
    <t>LDLIOTAN0401224</t>
  </si>
  <si>
    <t>LED DOWNLIGHT 1
LED Recessed Downlight, Φ86*H90 mm, 8-12W 4000K 24° , Adjustability 0-30°, Body White, Reflector Chrome, No Driver</t>
  </si>
  <si>
    <t>SPANH00067</t>
  </si>
  <si>
    <t>Driver Triac can DIP for downlight 1</t>
  </si>
  <si>
    <t>Driver Triac can DIP dùng cho đèn âm trần downlight, 220-240V, 200mA/250mA/280mA/300mA, hiệu NANOCO, model SPANH00067, mới 100%</t>
  </si>
  <si>
    <t>SPANH00068</t>
  </si>
  <si>
    <t>Driver On/Off can DIP  for downlight 1</t>
  </si>
  <si>
    <t>Driver On/Off can DIP dùng cho đèn âm trần downlight, 220-240V, 200mA/250mA/300mA, hiệu NANOCO, model SPANH00068, mới 100%</t>
  </si>
  <si>
    <t>Honeycomb for downlight 1</t>
  </si>
  <si>
    <t>Bộ phận lưới tổ ong Honeycomb dùng cho đèn âm trần downlight IOTA, bằng sắt, kích thước 32x2mm, hiệu NANOCO, model SPANH00050, mới 100%</t>
  </si>
  <si>
    <t>SPALENIOTA36</t>
  </si>
  <si>
    <t>Lens for downlight 1
Beam angle: 36°
Material: Plastic</t>
  </si>
  <si>
    <t>Bộ phận của đèn: thấu kính dùng cho đèn âm trần downlight IOTA, bằng nhựa, góc 36/10 độ, kích thước 35x18 mm, hiệu NANOCO, model SPALENIOTA36, mới 100%</t>
  </si>
  <si>
    <t>SPALENIOTA10</t>
  </si>
  <si>
    <t>Lens for downlight 1
Beam angle: 10°
Material: Plastic</t>
  </si>
  <si>
    <t>SPACHOAIOTA</t>
  </si>
  <si>
    <t>White reflector Cover for LED 8-12W
Material: Plastic</t>
  </si>
  <si>
    <t>Bộ phận của đèn: chóa đèn màu trắng dùng cho đèn âm trần downlight IOTA, bằng nhựa, đường kính 3cm, hiệu NANOCO, model SPACHOAIOTA, mới 100%</t>
  </si>
  <si>
    <t>LDLIOTAS0300750</t>
  </si>
  <si>
    <t>LED DOWNLIGHT 2
LED Recessed Downlight IOTA, Ø68xH80 mm, 4-7W 3000K 50° Triac Dim, Adjustability 0-30°, Body White, Reflector Chrome, No Driver</t>
  </si>
  <si>
    <t>Bộ phận của đèn: thân đèn dùng cho đèn âm trần downlight IOTA XS, 68xH80 mm, len 50 độ, bằng kim loại, không Driver, hiệu NANOCO, model LDLIOTAS0300750, mới 100%</t>
  </si>
  <si>
    <t>LDLIOTAS0400750</t>
  </si>
  <si>
    <t>LDLIOTAS0300724</t>
  </si>
  <si>
    <t>LED DOWNLIGHT 2
LED Recessed Downlight IOTA, Ø68xH80 mm, 4-7W 3000K 24° Triac Dim, Adjustability 0-30°, Body White, Reflector Chrome, No Driver</t>
  </si>
  <si>
    <t>Bộ phận của đèn: thân đèn dùng cho đèn âm trần downlight IOTA XS, 68xH80 mm, len 24 độ, bằng kim loại, không Driver, hiệu NANOCO, model LDLIOTAS0300724, mới 100%</t>
  </si>
  <si>
    <t>LDLIOTAS0400724</t>
  </si>
  <si>
    <t>SPANH00069</t>
  </si>
  <si>
    <t>Driver Triac can DIP for downlight 2</t>
  </si>
  <si>
    <t>Driver Triac can DIP dùng cho đèn downlight IOTA XS, 220-240V, 100mA/130mA/150mA/160mA, hiệu NANOCO, model SPANH00069, mới 100%</t>
  </si>
  <si>
    <t>SPANH00070</t>
  </si>
  <si>
    <t>Driver On/Off can DIP for downlight 2</t>
  </si>
  <si>
    <t>Driver On/Off can DIP dùng cho đèn downlight IOTA XS, 220-240V, 100mA/130mA/160mA, hiệu NANOCO, model SPANH00070, mới 100%</t>
  </si>
  <si>
    <t xml:space="preserve">Honeycomb for downlight 2 </t>
  </si>
  <si>
    <t>Bộ phận lưới tổ ong Honeycomb dùng cho đèn âm trần downlight IOTA XS, bằng sắt, kích thước 32x2mm, hiệu NANOCO, model SPANH00047, mới 100%</t>
  </si>
  <si>
    <t>SPALENIOTAS36</t>
  </si>
  <si>
    <t>Lens for downlight 2
Beam angle: 36°
Material: Plastic</t>
  </si>
  <si>
    <t>Bộ phận của đèn: thấu kính dùng cho đèn âm trần downlight IOTA XS, bằng nhựa, góc 36/10 độ, kích thước 35x18 mm, hiệu NANOCO, model SPALENIOTAS36, mới 100%</t>
  </si>
  <si>
    <t>SPALENIOTAS10</t>
  </si>
  <si>
    <t>Lens for downlight 2
Beam angle: 10°
Material: Plastic</t>
  </si>
  <si>
    <t>SPACHOAIOTAS</t>
  </si>
  <si>
    <t>White reflector Cover for downlight 2
Material: Plastic</t>
  </si>
  <si>
    <t>Bộ phận của đèn: chóa đèn màu trắng dùng cho đèn âm trần downlight IOTA XS, bằng nhựa, đường kính 3cm, hiệu NANOCO, model SPACHOAIOTAS, mới 100%</t>
  </si>
  <si>
    <t>LDLWILMA0123050</t>
  </si>
  <si>
    <t>LED DOWNLIGHT 3
LED Recessed Downlight, Φ62*H107 mm, 8-12W 3000K 50° , Adjustability 0-30°, Body White, Reflector Chrome, No Driver</t>
  </si>
  <si>
    <t>Bộ phận của đèn: thân đèn dùng cho đèn âm trần downlight WILMA, 62xH107 mm, len 50 độ, bằng kim loại, không Driver, hiệu NANOCO, model LDLWILMA0123050, mới 100%</t>
  </si>
  <si>
    <t>LDLWILMA0123024</t>
  </si>
  <si>
    <t>LED DOWNLIGHT 3
LED Recessed Downlight, Φ62*H107 mm, 8-12W 3000K 24° , Adjustability 0-30°, Body White, Reflector Chrome, No Driver</t>
  </si>
  <si>
    <t>Bộ phận của đèn: thân đèn dùng cho đèn âm trần downlight WILMA, 62xH107 mm, len 24 độ, bằng kim loại, không Driver, hiệu NANOCO, model LDLWILMA0123024, mới 100%</t>
  </si>
  <si>
    <t>Driver Triac can DIP for downlight 3</t>
  </si>
  <si>
    <t>Driver On/Off can DIP  for downlight 3</t>
  </si>
  <si>
    <t>SPAHOWILMA</t>
  </si>
  <si>
    <t>Honeycomb for downlight 3</t>
  </si>
  <si>
    <t>Bộ phận lưới tổ ong Honeycomb dùng cho đèn âm trần downlight WILMA, bằng sắt, kích thước 32x2mm, hiệu NANOCO, model SPAHOWILMA, mới 100%</t>
  </si>
  <si>
    <t>SPALENWILMA36</t>
  </si>
  <si>
    <t>Lens for led downlight 3
Beam angle: 36°
Material: Plastic</t>
  </si>
  <si>
    <t>Bộ phận của đèn: thấu kính dùng cho đèn âm trần downlight WILMA, bằng nhựa, góc 36/10 độ, kích thước 35x18 mm, hiệu NANOCO, model SPALENWILMA36, mới 100%</t>
  </si>
  <si>
    <t>SPALENWILMA10</t>
  </si>
  <si>
    <t>Lens for led downlight 3
Beam angle: 10°
Material: Plastic</t>
  </si>
  <si>
    <t>SPACHOAWILMA</t>
  </si>
  <si>
    <t>White reflector Cover for downlight 3
Material: Plastic</t>
  </si>
  <si>
    <t>Bộ phận của đèn: chóa đèn màu trắng dùng cho đèn âm trần downlight WILMA, bằng nhựa, đường kính 3cm, hiệu NANOCO, model SPACHOAWILMA, mới 100%</t>
  </si>
  <si>
    <t>LDLWILMAM253024</t>
  </si>
  <si>
    <t>LED DOWNLIGHT 4
LED Recessed Downlight, 18W-25W 3000K 24° , Adjustability 0-30°, Body White, Reflector Chrome
Driver Triac</t>
  </si>
  <si>
    <t>Bộ phận của đèn: thân đèn dùng cho đèn âm trần downlight WILMA, kích thước 105*H146mm, bằng kim loại, len 24 độ, hiệu NANOCO, model LDLWILMAM253024, mới 100%</t>
  </si>
  <si>
    <t>LDLMINA54053020</t>
  </si>
  <si>
    <t>LED DOWNLIGHT MINI-P54
LED Recessed Downlight, Φ40*H85 mm, 5W 3000K 20° , Body White, Adjustability 0-30°
Driver Triac</t>
  </si>
  <si>
    <t>Bộ phận của đèn: thân đèn dùng cho đèn âm trần downlight MINA, 40xH85 mm, bằng kim loại, len 20 độ, hiệu NANOCO, model LDLMINA54053020, mới 100%</t>
  </si>
  <si>
    <t>LDLIOTA54103036</t>
  </si>
  <si>
    <t>LED DOWNLIGHT -P54
LED Recessed Downlight , Φ73xH80mm, 10W 3000K 36° , Body White, Adjustability 0-30°
Driver Triac</t>
  </si>
  <si>
    <t>Bộ phận của đèn: thân đèn dùng cho đèn âm trần downlight IOTA, 73xH80 mm, bằng kim loại, len 36 độ, hiệu NANOCO, model LDLIOTA54103036, mới 100%</t>
  </si>
  <si>
    <t>Tracklight</t>
  </si>
  <si>
    <t>LTRAVAADW204060</t>
  </si>
  <si>
    <t>LED Track Light T2 YC-TL0132-30
ɸ68*157 mm, 15-20W 4000K No Dim, Adjustable, beam 10°&gt;60°
Body White</t>
  </si>
  <si>
    <t>Bộ phận của đèn: Thanh ray đèn AVA, kích thước 68x157 mm, bằng kim loại, có tiếp điểm dẫn điện, hiệu NANOCO, model LTRAVAADW204060, mới 100%</t>
  </si>
  <si>
    <t>LTRAVAADB204060</t>
  </si>
  <si>
    <t>LED Track Light T2 YC-TL0132-30
ɸ68*157 mm, 15-20W 4000K No Dim, Adjustable, beam 10°&gt;60°
Body Black</t>
  </si>
  <si>
    <t>SPAMTRMAIA2000</t>
  </si>
  <si>
    <t>THICK MAGNETIC TRACK
for MAIA, L2000*W73*H50.5mm
Black</t>
  </si>
  <si>
    <t>Bộ phận của đèn: Thanh ray magnetic track MAIA, kích thước 2000x73x50.5 mm, bằng kim loại, có tiếp điểm dẫn điện, hiệu NANOCO, model SPAMTRMAIA2000, mới 100%</t>
  </si>
  <si>
    <t>SPAMTRMAIA1000</t>
  </si>
  <si>
    <t>THICK MAGNETIC TRACK
for MAIA, L1000*W73*H50.5mm
Black</t>
  </si>
  <si>
    <t>Bộ phận của đèn: Thanh ray magnetic track MAIA, kích thước 1000x73x50.5 mm, bằng kim loại, có tiếp điểm dẫn điện, hiệu NANOCO, model SPAMTRMAIA1000, mới 100%</t>
  </si>
  <si>
    <t>SPASMTR90H</t>
  </si>
  <si>
    <t>90° Horizontal Surface Connector
(For Surface Mounted Magnetic Track)</t>
  </si>
  <si>
    <t>Phụ kiện của đèn: khớp nối ngang vuông 90 độ bằng nhôm dùng cho đèn Magnetic gắn nổi, hiệu NANOCO, model SPASMTR90H, mới 100%</t>
  </si>
  <si>
    <t>Pendant Kit (for Magnetiec)</t>
  </si>
  <si>
    <t>Dây treo bằng kim loại sử dụng cho đèn Linear, dài 1.5m, hiệu NANOCO, model SPAEC00001, mới 100%</t>
  </si>
  <si>
    <t>LLNANTAD0253030</t>
  </si>
  <si>
    <t>LED Grille Light 
YC-GL6501-10T
3000K
30D</t>
  </si>
  <si>
    <t>Bộ phận của đèn: thân đèn dùng cho đèn âm trần spotlight ANTA D, 147x45x50 mm, bằng kim loại, hiệu NANOCO, model LLNANTAD0253030, mới 100%</t>
  </si>
  <si>
    <t>SPAEC00006</t>
  </si>
  <si>
    <t>Fasten plate</t>
  </si>
  <si>
    <t>Phụ kiện của đèn: Đầu nối cố định giữa hai thanh ray gắn âm, bằng nhôm, kích thước 70x11x1 mm, hiệu NANOCO, model SPAEC00006, mới 100% (Hàng F.O.C)</t>
  </si>
  <si>
    <t>NNH-EC-2025-007-0208-DH-0003828</t>
  </si>
  <si>
    <t>DH-0003828</t>
  </si>
  <si>
    <t>LDLEC00028</t>
  </si>
  <si>
    <t>Led downlight, Adjustable, 720lm, 9W, Honey comb, 2700K, 36 degree, white, size 70x70x85 mm, cut out 65 mm, dim triac</t>
  </si>
  <si>
    <t xml:space="preserve">NNH-EC-2025-007-9 </t>
  </si>
  <si>
    <t>SVLCL202509251</t>
  </si>
  <si>
    <t>SNBU8506925/40'HQ/523845</t>
  </si>
  <si>
    <t>107587314550</t>
  </si>
  <si>
    <t>Bộ phận của đèn: thân đèn dùng cho đèn Downlight Pinhole, kích thước 70xH85 mm, honey comb, màu trắng, bằng kim loại, hiệu NANOCO, model LDLEC00028, mới 100%</t>
  </si>
  <si>
    <t>Lô 85</t>
  </si>
  <si>
    <t>LDLEC00029</t>
  </si>
  <si>
    <t>Led downlight Pinhole, Adjustable, 720lm, 9W, Honey comb, 2700K, 36 degree, black, size 70x70x85 mm, cut out 65 mm, dim triac</t>
  </si>
  <si>
    <t>Bộ phận của đèn: thân đèn dùng cho đèn Downlight Pinhole, kích thước 70xH85 mm, honey comb, màu đen, bằng kim loại, hiệu NANOCO, model LDLEC00029, mới 100%</t>
  </si>
  <si>
    <t>LDLEC00030</t>
  </si>
  <si>
    <t>Led downlight Pinhole, Adjustable, 720lm, , Honeycomb, 2700K, 36 degree, black, size 70x70x85 mm, cut out 65 mm, dim triac</t>
  </si>
  <si>
    <t>Bộ phận của đèn: thân đèn dùng cho đèn Downlight Pinhole, kích thước 70xH85 mm, màu đen, bằng kim loại, hiệu NANOCO, model LDLEC00030, mới 100%</t>
  </si>
  <si>
    <t>LDLEC00031</t>
  </si>
  <si>
    <t>Led downlight, adjustable, IOTA new, 12W, CRI90, IP20, 2700K, 36 degree, black, chrome reflector, dim triac honey comb</t>
  </si>
  <si>
    <t>Bộ phận của đèn: thân đèn dùng cho đèn Downlight IOTA NEW, kích thước 52xH92 mm, honey comb, màu đen, bằng kim loại, hiệu NANOCO, model LDLEC00031, mới 100%</t>
  </si>
  <si>
    <t>LDLEC00032</t>
  </si>
  <si>
    <t>Led downlight, adjustable, 2*9W, Honey comb, 2700K, 24 degree, white, chrome reflector, size 115.5*62*106.5 mm, cut out 110*55 mm, dim triac, CRI90</t>
  </si>
  <si>
    <t>Bộ phận của đèn: thân đèn dùng cho đèn đôi Downlight, kích thước 115.5x62x106.5 mm, màu trắng, bằng kim loại, hiệu NANOCO, model LDLEC00032, mới 100%</t>
  </si>
  <si>
    <t>LDLEC00033</t>
  </si>
  <si>
    <t>Led downlight, 720lm, 9W, honeycomb, 2700K, 36 degree, Size 60x60x85 mm, cut out 55 mm, Dim triac</t>
  </si>
  <si>
    <t>Bộ phận của đèn: thân đèn dùng cho đèn Downlight Pinhole, kích thước 60xH85 mm, bằng kim loại, hiệu NANOCO, model LDLEC00033, mới 100%</t>
  </si>
  <si>
    <t>LSLEC00030</t>
  </si>
  <si>
    <t>Spotlight, 7W, Honeycomb, 2700K, 24 degree, size 52x52x92 mm, cut out 45 mm, dim triac, IP20, CRI 90, white</t>
  </si>
  <si>
    <t>Bộ phận của đèn: thân đèn dùng cho đèn chiếu điểm ISA, kích thước 52xH92 mm, màu trắng, bằng kim loại, hiệu NANOCO, model LSLEC00030, mới 100%</t>
  </si>
  <si>
    <t>LSLEC00031</t>
  </si>
  <si>
    <t>Spotlight, 7W, Honeycomb, 2700K, 24 degree, size 52x52x92 mm, cut out 45 mm, dim triac, IP20, CRI 90, black</t>
  </si>
  <si>
    <t>Bộ phận của đèn: thân đèn dùng cho đèn chiếu điểm ISA, honey comb, kích thước 52xH92 mm, màu đen, bằng kim loại, hiệu NANOCO, model LSLEC00031, mới 100%</t>
  </si>
  <si>
    <t xml:space="preserve">Wall trimless step light, 86x86x40mm, 1W included cover box </t>
  </si>
  <si>
    <t>Bộ phận của đèn: thân đèn dùng cho đèn Trimless, kích thước 86xH40 mm, bằng nhựa, hiệu NANOCO, model LWLEC00001, mới 100%</t>
  </si>
  <si>
    <t>LSLEC00032</t>
  </si>
  <si>
    <t>Outdoor linear, 18W, 3000K, black, on/off</t>
  </si>
  <si>
    <t>Bộ phận của đèn: bộ thân đèn dùng cho đèn chiếu điểm linear ngoài trời, 1 bộ gồm 4 bộ phận, kích thước 1000x27x64 mm, màu đen, bằng kim loại, hiệu NANOCO, model LSLEC00032, mới 100%</t>
  </si>
  <si>
    <t>SPAEC00009</t>
  </si>
  <si>
    <t>Power Supply, 24VDC, IP68, 200W</t>
  </si>
  <si>
    <t>SPAEC00007</t>
  </si>
  <si>
    <t>T-connector accessory</t>
  </si>
  <si>
    <t>SPAEC00008</t>
  </si>
  <si>
    <t>Straight connector accessory</t>
  </si>
  <si>
    <t>LSLEC00017</t>
  </si>
  <si>
    <t>L SPOTLIGHT, size 61x93mm/61x150mm</t>
  </si>
  <si>
    <t>Bộ phận của đèn: thân đèn dùng cho đèn chiếu điểm mẫu L, kích thước 61x93mm/61x150 mm, bằng kim loại, hiệu NANOCO, model LSLEC00017, mới 100%</t>
  </si>
  <si>
    <t>LSLEC00033</t>
  </si>
  <si>
    <t>Spot Out door, Lumen: 240lm, Power: 3W, CCT: 3000K, Beam Angle: 60, Body Color: Black, Size: L80*W75*H63mm, IP65, ON/OFF</t>
  </si>
  <si>
    <t>Bộ phận của đèn: thân đèn dùng cho đèn chiếu điểm ngoài trời, kích thước 80x75x63mm, màu đen, bằng kim loại, hiệu NANOCO, model LSLEC00033, mới 100%</t>
  </si>
  <si>
    <t>LM-36-24-G1T2</t>
  </si>
  <si>
    <t>Driver nguồn, bộ phận của đèn LED Strip, 36W, 24VDC, hiệu Ltech, model LM-36-24-G1T2, mới 100%</t>
  </si>
  <si>
    <t>LM-150-24-G1T2</t>
  </si>
  <si>
    <t>Driver nguồn, bộ phận của đèn LED Strip, 150W, 24VDC, hiệu Ltech, model LM-150-24-G1T2, mới 100%</t>
  </si>
  <si>
    <t>LPLEC00004</t>
  </si>
  <si>
    <t>Linear light, Honeycomb, 60W, Triac Dimmable</t>
  </si>
  <si>
    <t>Bộ phận của đèn: thân đèn dùng cho đèn thả Linear Light, honey comb, kích thước 2000x50x76 mm, bằng kim loại, hiệu NANOCO, model LPLEC00004, mới 100%</t>
  </si>
  <si>
    <t>Ceiling base 1.5m</t>
  </si>
  <si>
    <t>SPAEC00004</t>
  </si>
  <si>
    <t>Connector</t>
  </si>
  <si>
    <t>Thanh nối dùng cho đèn thả Linear, kích thước 100x48x58.5 mm, bằng kim loại, hiệu NANOCO, model SPAEC00004, mới 100%</t>
  </si>
  <si>
    <t>NNH-EC-2025-009-0708-DH-0003753</t>
  </si>
  <si>
    <t>DH-0003753</t>
  </si>
  <si>
    <t>LDLEC00034</t>
  </si>
  <si>
    <t>Downlight Tunnable White- Lumen: 960lm- Power: 10W- CCT: 2700K-6500K- Beam Angle: 15°- Size: D80*62- Cutting Size: Φ75- CRI 90-IP 20
Color: Blue</t>
  </si>
  <si>
    <t>Bộ phận của đèn: thân đèn Downlight, kích thước 80xH62 mm, chóa xanh, bằng kim loại, hiệu NANOCO, model LDLEC00034, mới 100%</t>
  </si>
  <si>
    <t>LDLEC00035</t>
  </si>
  <si>
    <t>Downlight Tunnable White- Lumen: 960lm- Power: 10W- CCT: 2700K-6500K- Beam Angle: 24°- Size: D80*62- Cutting Size: Φ75- CRI 90 -IP 20
Color: Orange</t>
  </si>
  <si>
    <t>Bộ phận của đèn: thân đèn Downlight, kích thước 80xH62 mm, chóa cam, bằng kim loại, hiệu NANOCO, model LDLEC00035, mới 100%</t>
  </si>
  <si>
    <t>LDLEC00036</t>
  </si>
  <si>
    <t xml:space="preserve">Downlight Tunnable White- Lumen: 960lm- Power: 12W- CCT: 2700K-6500K- Beam Angle: 50°- Size: D86*90- Cutting Size: Φ75 + Honeycomb
</t>
  </si>
  <si>
    <t>Bộ phận của đèn: thân đèn dùng cho đèn Downlight, kích thước 86xH90 mm, bằng kim loại, hiệu NANOCO, model LDLEC00036, mới 100%</t>
  </si>
  <si>
    <t>LDLEC00044</t>
  </si>
  <si>
    <t xml:space="preserve">Wallwasher- Lumen: 800lm- Power: 12W- CCT: 3000K- Beam Angle: 180°- Size: D80*84- Cutting Size: Φ75- CRI 90- IP 20
</t>
  </si>
  <si>
    <t>Bộ phận của đèn: thân đèn dùng cho đèn Wallwasher light, 80xH84mm, bằng kim loại, hiệu NANOCO, model LDLEC00044, mới 100%</t>
  </si>
  <si>
    <t>LDLEC00037</t>
  </si>
  <si>
    <t xml:space="preserve">Downlight- Lumen: 560lm- Power: 7W- CCT: 3000K- Beam Angle: 15°- Size: D52*92- Cutting Size: Φ45- CRI 90-IP20
</t>
  </si>
  <si>
    <t>Bộ phận của đèn: thân đèn dùng cho đèn Downlight, kích thước 52xH92 mm, bằng kim loại, hiệu NANOCO, model LDLEC00037, mới 100%</t>
  </si>
  <si>
    <t>LDLEC00038</t>
  </si>
  <si>
    <t xml:space="preserve">Downlight- Lumen: 400lm- Power: 5W- CCT: 3000K- Beam Angle: 10°- white- Size: D45*H85- Cutting Size: Φ35-CRI 90- IP20
</t>
  </si>
  <si>
    <t>Bộ phận của đèn: thân đèn dùng cho đèn Downlight, kích thước 45xH85 mm, bằng kim loại, hiệu NANOCO, model LDLEC00038, mới 100%</t>
  </si>
  <si>
    <t>LDLEC00039</t>
  </si>
  <si>
    <t>Downlight Tunnable White- Lumen: 560lm- Power: 7W- CCT: 2700K-6500K- Beam Angle: 15°- Size: D68*80- Cutting Size: Φ55- CRI80-IP 20</t>
  </si>
  <si>
    <t>Bộ phận của đèn: thân đèn dùng cho đèn Downlight, kích thước 68xH80 mm, màu trắng, bằng kim loại, hiệu NANOCO, model LDLEC00039, mới 100%</t>
  </si>
  <si>
    <t>LDLEC00040</t>
  </si>
  <si>
    <t>Downlight Tunnable White- Lumen: 560lm- Power: 7W- CCT: 2700K-6500K- Beam Angle: 15°- Size: D68*80- Cutting Size: Φ55- CRI 90 -IP20</t>
  </si>
  <si>
    <t>Bộ phận của đèn: thân đèn dùng cho đèn Downlight, kích thước 68xH80 mm, màu xám, bằng kim loại, hiệu NANOCO, model LDLEC00040, mới 100%</t>
  </si>
  <si>
    <t>LDLEC00041</t>
  </si>
  <si>
    <t xml:space="preserve">Downlight- Lumen: 800lm- Power: 5*2W- CCT: 3000K- Beam Angle: 30°- white- Size: L100*42*42.2- Cutting Size: Φ95*35- CRI 90
</t>
  </si>
  <si>
    <t>Bộ phận của đèn: thân đèn dùng cho đèn Downlight, kích thước 100x42x42.2 mm, màu trắng, bằng kim loại, hiệu NANOCO, model LDLEC00041, mới 100%</t>
  </si>
  <si>
    <t>LDLEC00042</t>
  </si>
  <si>
    <t xml:space="preserve">Downlight- Lumen: 800lm- Power: 5*2W- CCT: 3000K- Beam Angle: 30°- white- Size: L147*45*50- Cutting Size: Φ139*37-CRI 90
</t>
  </si>
  <si>
    <t>Bộ phận của đèn: thân đèn dùng cho đèn Downlight, kích thước 147x45x50 mm, màu trắng, bằng kim loại, hiệu NANOCO, model LDLEC00042, mới 100%</t>
  </si>
  <si>
    <t>LDLEC00043</t>
  </si>
  <si>
    <t xml:space="preserve">Downlight- Lumen: 480lm- Power: 6*1W- CCT: 3000K- Beam Angle: 30°- white- Size: L108*32*39- Cutting Size: L100*W25 - CRI 90
</t>
  </si>
  <si>
    <t>Bộ phận của đèn: thân đèn dùng cho đèn Downlight, kích thước 108x32x39 mm, màu trắng, bằng kim loại, hiệu NANOCO, model LDLEC00043, mới 100%</t>
  </si>
  <si>
    <t>PE282B4240</t>
  </si>
  <si>
    <t>Driver dim triac
25-42 VDC, 400mA, 10-16.8W, size 65×42.5×24 mm</t>
  </si>
  <si>
    <t>Bộ nguồn dim triac, 25-42 VDC, 400mA, 10-16.8W, kích thước 65x42.5x24 mm, hiệu NANOCO, model PE282B4240, mới 100%</t>
  </si>
  <si>
    <t>NNH-EC-2025-013-0910-DH-0004233</t>
  </si>
  <si>
    <t>DH-0004233</t>
  </si>
  <si>
    <t>Spotlight (Architect)</t>
  </si>
  <si>
    <t>LSLEC00044</t>
  </si>
  <si>
    <t>LED Recessed Stretch Light
Power: 10W
Lumen: 800 lm
CCT: 4000K
CRI: Ra&gt;90
Beam Angle: 15°
Size: 62*H86mm. Cut-out 55mm
IP20
Input: AC220-240V 50/60Hz
ON/OFF</t>
  </si>
  <si>
    <t>NNH-EC-2025-013-0910</t>
  </si>
  <si>
    <t>SVLCL202510307</t>
  </si>
  <si>
    <t>MRKU0978998/ML-CN5089604</t>
  </si>
  <si>
    <t>107674841260</t>
  </si>
  <si>
    <t>Bộ phận của đèn: thân đèn dùng cho đèn Recessed Stretch Light, kích thước 62x62x86mm, bằng kim loại, góc chiếu len 15 độ, hiệu NANOCO, model LSLEC00044, mới 100%</t>
  </si>
  <si>
    <t>94059950</t>
  </si>
  <si>
    <t>Lô 86</t>
  </si>
  <si>
    <t>LSLEC00045</t>
  </si>
  <si>
    <t>LED Recessed Stretch Light
Power: 10W
Lumen: 800 lm
CCT: 4000K
CRI: Ra&gt;90
Beam Angle: 24°
Size: 62*H86mm. Cut-out 55mm
IP20
Input: AC220-240V 50/60Hz
ON/OFF</t>
  </si>
  <si>
    <t>Bộ phận của đèn: thân đèn dùng cho đèn Recessed Stretch Light, kích thước 62x62x86mm, bằng kim loại, góc chiếu len 24 độ, hiệu NANOCO, model LSLEC00045, mới 100%</t>
  </si>
  <si>
    <t>LLNEC00013</t>
  </si>
  <si>
    <t>Des: Linear for track
- Lumen: 2400lm
- Power: 30W
- CCT: 4000K
- Beam Angle: 40°
- Size: L685 x W33 x H65mm
IP20
ON/OFF</t>
  </si>
  <si>
    <t>Bộ phận của đèn: thân đèn dùng cho đèn Track Linear Light, kích thước 685x33x65mm, màu trắng, bằng kim loại, hiệu NANOCO, model LLNEC00013, mới 100%</t>
  </si>
  <si>
    <t>LDLEC00076</t>
  </si>
  <si>
    <t>Des: DOWNLIGHT
- Lumen: 960lm
- Power: 12W
- CCT: 4000K
- Beam Angle: 36°
- Size: 131x78xH110mm
Cutting size: 82*82
IP20
ON/OFF</t>
  </si>
  <si>
    <t>Bộ phận của đèn: thân đèn dùng cho đèn Downlight, kích thước 131x78x110 mm, bằng kim loại, hiệu NANOCO, model LDLEC00076, mới 100%</t>
  </si>
  <si>
    <t>LSLEC00046</t>
  </si>
  <si>
    <t>Surface mounted with hanger 1m
Size 45*140mm
10W
lumen 960lm
high chip
4000K
beam angle 36D</t>
  </si>
  <si>
    <t>Bộ phận của đèn: thân đèn dùng cho đèn Surface Mounted Spotlight, kích thước 45x45x140 mm, màu trắng, bằng kim loại, hiệu NANOCO, model LSLEC00046, mới 100%</t>
  </si>
  <si>
    <t>NNH-FH-2025-002-2708</t>
  </si>
  <si>
    <t>NNH-FH-2025-002-0705-STOCK</t>
  </si>
  <si>
    <t>TABLE</t>
  </si>
  <si>
    <t>B612</t>
  </si>
  <si>
    <t>SUPERELLIPSE™
B612, DINING TABLE
SIZE: 100 x 150 CM
FENIX, WHITE (032)
ALUMINIUM, SATIN POLISHED
STEEL, CHROME
TABLE HEIGHT, BASE HEIGHT 72 CM</t>
  </si>
  <si>
    <t>200112233</t>
  </si>
  <si>
    <t>MTSU9611150/000324</t>
  </si>
  <si>
    <t>1x40</t>
  </si>
  <si>
    <t>107667483561</t>
  </si>
  <si>
    <t>Bàn ăn TABLE SERIES SUPERELLIPSE, Fritz Hansen, model B612, L150 x W100 x H72cm, Mặt Bàn ăn bằng Fenix phủ nhựa tổng hợp Laminate Trắng, Chân Thép Mạ Chrome, mới 100% (Tháo rời đồng bộ)</t>
  </si>
  <si>
    <t>Lô 87</t>
  </si>
  <si>
    <t>B616</t>
  </si>
  <si>
    <t>SUPERELLIPSE™
B616, DINING TABLE
SIZE: 100 x 170 CM
FENIX, WHITE (032)
ALUMINIUM, SATIN POLISHED
STEEL, BASE CHROME
TABLE HEIGHT, BASE HEIGHT 72 CM</t>
  </si>
  <si>
    <t>Bàn ăn TABLE SERIES SUPERELLIPSE, Fritz Hansen, model B616, L170 x W100 x H72cm, Mặt Bàn ăn bằng Fenix phủ nhựa tổng hợp Laminate Trắng, Chân Thép Mạ Chrome, mới 100% (Tháo rời đồng bộ)</t>
  </si>
  <si>
    <t>TBLFH00089</t>
  </si>
  <si>
    <t>SUPERELLIPSE™
B616, DINING TABLE
SIZE: 100 x 170 CM
FENIX, BLACK
ALUMINIUM, SATIN POLISHED
STEEL, BASE CHROME
TABLE HEIGHT, BASE HEIGHT 72 CM</t>
  </si>
  <si>
    <t>Bàn ăn TABLE SERIES SUPERELLIPSE, Fritz Hansen, model B616, L170 x W100 x H72cm, Mặt Bàn ăn bằng Fenix phủ nhựa tổng hợp Laminate Đen, Chân Thép Mạ Chrome, mới 100% (Tháo rời đồng bộ)</t>
  </si>
  <si>
    <t>TBLFH00092</t>
  </si>
  <si>
    <t>SUPERELLIPSE™
B616, DINING TABLE
SIZE: 100 x 170 CM
Tabletop: Clear Lacquered Veneer / Walnut
Edge: Clear Lacquered Veneer / Walnut
ALUMINIUM, SATIN POLISHED
STEEL, CHROME
TABLE HEIGHT, BASE HEIGHT 72 CM</t>
  </si>
  <si>
    <t>Bàn ăn TABLE SERIES SUPERELLIPSE, Fritz Hansen, model B616, L170 x W100 x H72cm, Mặt Bàn ăn bằng Gỗ Veneer Tự Nhiên Walnut (óc chó), Chân Thép Mạ Chrome, mới 100% (Tháo rời đồng bộ)</t>
  </si>
  <si>
    <t>B613</t>
  </si>
  <si>
    <t>SUPERELLIPSE™
B613, DINING TABLE
SIZE: 120 x 180 CM
FENIX, WHITE (032)
ALUMINIUM, SATIN POLISHED
STEEL, CHROME
TABLE HEIGHT, BASE HEIGHT 72 CM</t>
  </si>
  <si>
    <t>Bàn ăn TABLE SERIES SUPERELLIPSE, Fritz Hansen, model B613, L180 x W120 x H72cm, Mặt Bàn ăn bằng Fenix phủ nhựa tổng hợp Laminate Trắng, Chân Thép Mạ Chrome, mới 100% (Tháo rời đồng bộ)</t>
  </si>
  <si>
    <t>TBLFH00090</t>
  </si>
  <si>
    <t>SUPERELLIPSE™
B613, DINING TABLE
SIZE: 120 x 180 CM
FENIX, BLACK
ALUMINIUM, SATIN POLISHED
STEEL, CHROME
TABLE HEIGHT, BASE HEIGHT 72 CM</t>
  </si>
  <si>
    <t>Bàn ăn TABLE SERIES SUPERELLIPSE, Fritz Hansen, model B613, L180 x W120 x H72cm, Mặt Bàn ăn bằng Fenix phủ nhựa tổng hợp Laminate Đen, Chân Thép Mạ Chrome, mới 100% (Tháo rời đồng bộ)</t>
  </si>
  <si>
    <t>TBLFH00091</t>
  </si>
  <si>
    <t>SUPERELLIPSE™
B613, DINING TABLE
SIZE: 120 x 180 CM
Tabletop: Clear Lacquered Veneer / Walnut
Edge: Clear Lacquered Veneer / Walnut
ALUMINIUM, SATIN POLISHED
STEEL, CHROME
TABLE HEIGHT, BASE HEIGHT 72 CM</t>
  </si>
  <si>
    <t>Bàn ăn TABLE SERIES SUPERELLIPSE, Fritz Hansen, model B613, L180 x W120 x H72cm, Mặt Bàn ăn bằng Gỗ Veneer Tự Nhiên Walnut (óc chó), Chân Thép Mạ Chrome, mới 100% (Tháo rời đồng bộ)</t>
  </si>
  <si>
    <t>B614</t>
  </si>
  <si>
    <t>SUPERELLIPSE™
B614, DINING TABLE
SIZE:120 x 240 cm
FENIX, WHITE (032)
ALUMINIUM, SATIN POLISHED
STEEL, CHROME
TABLE HEIGHT, BASE HEIGHT 72 CM</t>
  </si>
  <si>
    <t>Bàn ăn TABLE SERIES SUPERELLIPSE, Fritz Hansen, model B614, L240 x W120 x H72cm, Mặt Bàn ăn bằng Fenix phủ nhựa tổng hợp Laminate Trắng, Chân Thép Mạ Chrome, mới 100% (Tháo rời đồng bộ)</t>
  </si>
  <si>
    <t>B620</t>
  </si>
  <si>
    <t>SUPERELLIPSE™
B620, EXTENDABLE DINING TABLE
SIZE: 100 x 170-220-270 CM
FENIX, WHITE (032)
ALUMINIUM, SATIN POLISHED
STEEL, CHROME
TABLE HEIGHT, BASE HEIGHT 72 CM</t>
  </si>
  <si>
    <t>Bàn ăn TABLE SERIES SUPERELLIPSE, Fritz Hansen, model B620, W170/270 x D100 x H72cm, Mặt Bàn ăn bằng Fenix phủ nhựa tổng hợp Laminate Trắng, Mở Rộng, Chân Thép Mạ Chrome, mới 100% (Tháo rời đồng bộ)</t>
  </si>
  <si>
    <t>SUPERELLIPSE™
B619, EXTENDABLE DINING TABLE
SIZE: W120 x 180-300 CM
FENIX, WHITE (032)
ALUMINIUM, SATIN POLISHED
STEEL, CHROME
TABLE HEIGHT, BASE HEIGHT 72 CM</t>
  </si>
  <si>
    <t>Bàn ăn TABLE SERIES SUPERELLIPSE, Fritz Hansen, model B619, W180/300 x D120 x H72cm, Mặt Bàn ăn bằng Fenix phủ nhựa tổng hợp Laminate Trắng, Mở Rộng, Chân Thép Mạ Chrome, mới 100% (Tháo rời đồng bộ)</t>
  </si>
  <si>
    <t>CHAIRS</t>
  </si>
  <si>
    <t xml:space="preserve">SERIES 7™
3107, NOT UPHOLSTERED
COLOURED VENEER, LIGHT BEIGE (135)
STEEL,  BASE CHROME
SEAT HEIGHT, 46 CM
</t>
  </si>
  <si>
    <t>Ghế SERIES 7, Fritz Hansen, model 3107, W50 x D52 x H82 x SH46cm, Thân Gỗ Ash Veneer, Chân Thép Mạ Chrome, mới 100%</t>
  </si>
  <si>
    <t>SERIES 7™
3107, NOT UPHOLSTERED, SHELL
COLOURED VENEER
ASH - WHITE (105)
BASE STEEL
CHROMED
SEAT HEIGHT, 46 CM</t>
  </si>
  <si>
    <t>SERIES 7™
3107, NOT UPHOLSTERED, SHELL
COLOURED VENEER
ASH - WHITE (105)
POWDER COATED STEEL
WHITE BASE
SEAT HEIGHT, 46CM</t>
  </si>
  <si>
    <t>Ghế SERIES 7, Fritz Hansen, model 3107, W50 x D52 x H82 x SH46cm, Thân Gỗ Coloured Ash Màu Trắng, Chân Sơn Tĩnh Điện Trắng, mới 100%</t>
  </si>
  <si>
    <t>SERIES 7™
3107, NOT UPHOLSTERED, SHELL
COLOURED VENEER
ASH - BLACK (195)
POWDER COATED STEEL
BLACK BASE
SEAT HEIGHT, 46 CM</t>
  </si>
  <si>
    <t>Ghế SERIES 7, Fritz Hansen, model 3107, W50 x D52 x H82 x SH46cm, Thân Gỗ Coloured Ash Màu Đen, Chân Sơn Tĩnh Điện Đen, mới 100%</t>
  </si>
  <si>
    <t>CHRFH00234</t>
  </si>
  <si>
    <t>SERIES 7™
3107, NOT UPHOLSTERED, SHELL
COLOURED VENEER
ASH - LAVENDER BLUE (815)
BASE STEEL
CHROMED
SEAT HEIGHT, 46 CM</t>
  </si>
  <si>
    <t>CHRFH00232</t>
  </si>
  <si>
    <t>SERIES 7™
3107, NOT UPHOLSTERED, SHELL
COLOURED VENEER
ASH - PALE ROSE (615)
BASE STEEL
CHROMED
SEAT HEIGHT, 46 CM</t>
  </si>
  <si>
    <t xml:space="preserve">SERIES 7™
3107, NOT UPHOLSTERED
COLOURED ASH
DEEP CLAY 145
STEEL BASE CHROME
SEAT HEIGHT, 46 CM
</t>
  </si>
  <si>
    <t>SERIES 7™
 3107, NOT UPHOLSTERED
COLOURED VENEER
 ASH - WILD ROSE (635)
 BASE CHROME
SEAT HEIGHT, 46 CM</t>
  </si>
  <si>
    <t xml:space="preserve">SERIES 7™
3107, NOT UPHOLSTERED
COLOURED VENEER, DUSK BLUE 855
STEEL, BASE CHROME
SEAT HEIGHT, 46 CM
</t>
  </si>
  <si>
    <t xml:space="preserve">SERIES 7™
3107, NOT UPHOLSTERED
COLOURED VENEER, OLIVE GREEN 925
STEEL, BASE CHROME
SEAT HEIGHT, 46 CM
</t>
  </si>
  <si>
    <t>NNH-FH-2025-004-1906-AKYN</t>
  </si>
  <si>
    <t>DH-0003526</t>
  </si>
  <si>
    <t>SERIES 7™
3107, NOT UPHOLSTERED
COLOURED VENEER, VENETIAN RED
STEEL, BASE CHROME
SEAT HEIGHT, 46 CM</t>
  </si>
  <si>
    <t>Ghế SERIES 7, Fritz Hansen, model 3107, W50 x D52 x H82 x SH46cm, Thân Gỗ Coloured Ash Màu Đỏ Venetian Red, Chân Thép Mạ Chrome, mới 100%</t>
  </si>
  <si>
    <t>SERIES 7™
 3107, NOT UPHOLSTERED
 COLOURED VENEER, TRUE YELLOW 465
 STEEL, BASE CHROME
 SEAT HEIGHT, 46 CM</t>
  </si>
  <si>
    <t>SERIES 7™
 3107, NOT UPHOLSTERED
 COLOURED VENEER, BURNT YELLOW 475
 STEEL, BASE CHROME
 SEAT HEIGHT, 46 CM</t>
  </si>
  <si>
    <t>SERIES 7™
 3107, NOT UPHOLSTERED
 COLOURED VENEER, PARADISE ORANGE 575
 STEEL BASE CHROME 
 SEAT HEIGHT, 46 CM</t>
  </si>
  <si>
    <t>SERIES 7™
3107, SHELL
NATURAL VENEER (Clear Lacquered Veneer)
BEECH 20
BASE CHROMED STEEL - BRIGHT
SEAT HEIGHT, 46CM</t>
  </si>
  <si>
    <t>Ghế SERIES 7, Fritz Hansen, model 3107, W50 x D52 x H82 x SH46cm, Thân Gỗ Veneer Tự Nhiên Beech (Dẻ Gai), Chân Thép Mạ Chrome, mới 100%</t>
  </si>
  <si>
    <t>CHRFH00279</t>
  </si>
  <si>
    <t>SERIES 7™
3107, SHELL
NATURAL VENEER (Clear Lacquered Veneer)
DARK STAIN OAK 90
BASE CHROMED STEEL - BRIGHT
SEAT HEIGHT, 46CM</t>
  </si>
  <si>
    <t>Ghế SERIES 7, Fritz Hansen, model 3107, W50 x D52 x H82 x SH46cm, Thân Gỗ Veneer Tự Nhiên Dark Stain Oak, Chân Thép Mạ Chrome, mới 100%</t>
  </si>
  <si>
    <t>SERIES 7™
3107, SHELL
COLOURED VENEER
ASH - BLACK (195)
FRONT UPHOLSTERY
SOFT LEATHER WALNUT
BASE CHROMED STEEL - BRIGHT
SEAT HEIGHT, 46CM</t>
  </si>
  <si>
    <t>Ghế SERIES 7, Fritz Hansen, model 3107, W50 x D52 x H82 x SH46cm, Bọc Đệm Mặt Trước, Gỗ Coloured Ash Đen, Da Soft Leather Walnut, Chân Thép Mạ Chrome, mới 100%</t>
  </si>
  <si>
    <t>CHRFH00278</t>
  </si>
  <si>
    <t>SERIES 7™
3107, SHELL
COLOURED VENEER
ASH - BLACK (195)
FRONT UPHOLSTERY
SOFT LEATHER BLACK
BASE CHROMED STEEL - BRIGHT
SEAT HEIGHT, 46CM</t>
  </si>
  <si>
    <t>Ghế SERIES 7, Fritz Hansen, model 3107, W50 x D52 x H82 x SH46cm, Bọc Đệm Mặt Trước, Gỗ Coloured Ash Đen, Da Soft Leather Black, Chân Thép Mạ Chrome, mới 100%</t>
  </si>
  <si>
    <t>CHRFH00277</t>
  </si>
  <si>
    <t>SERIES 7™
3107, SHELL
NATURAL VENEER
WALNUT 80
FRONT UPHOLSTERY
SOFT LEATHER WALNUT
BASE CHROMED STEEL - BRIGHT
SEAT HEIGHT, 46CM</t>
  </si>
  <si>
    <t>Ghế SERIES 7, Fritz Hansen, model 3107, W50 x D52 x H82 x SH46cm, Bọc Đệm Mặt Trước, Gỗ Veneer Tự Nhiên Walnut (Óc Chó), Da Soft Leather Walnut, Chân Thép Mạ Chrome, mới 100%</t>
  </si>
  <si>
    <t>CHRFH00280</t>
  </si>
  <si>
    <t>SERIES 7™
3107, 
FULL UPHOLSTERY
SOFT LEATHER WALNUT
BASE CHROMED STEEL - BRIGHT
SEAT HEIGHT, 46CM</t>
  </si>
  <si>
    <t>Ghế SERIES 7, Fritz Hansen, model 3107, W50 x D52 x H82 x SH46cm, Bọc Da Soft Leather Walnut (Óc Chó), Chân Thép Mạ Chrome, mới 100%</t>
  </si>
  <si>
    <t>CHRFH00281</t>
  </si>
  <si>
    <t>SERIES 7™
3207, SHELL
COLOURED VENEER
ASH - BLACK (195)
FRONT UPHOLSTERY
SOFT LEATHER WALNUT_x000B_ARMREST: SOFT LEATHER WALNUT
BASE CHROMED STEEL - BRIGHT
SEAT HEIGHT, 46CM</t>
  </si>
  <si>
    <t>Ghế Bành SERIES 7, Fritz Hansen, model 3207, W61 x D52 x H80 x SH46cm, Bọc Đệm Mặt Trước và Tay Vịn, Gỗ Coloured Ash Đen, Da Soft Leather Walnut (Óc Chó), Chân Thép Mạ Chrome, mới 100%</t>
  </si>
  <si>
    <t>SERIES 7™
3217, SHELL
COLOURED VENEER
ASH - BLACK (195)
FRONT UPHOLSTERY
SOFT LEATHER WALNUT
BASE STEEL
CHROMED STEEL - BRIGHT
POLISHED - BRIGHT
SIZE: 61X52CM, H 78-90 CM
Soft wheels for  hard Floor</t>
  </si>
  <si>
    <t>Ghế Xoay SERIES 7, Fritz Hansen, model 3217, W61 x D52 x H78/90cm, Bọc Đệm Mặt Trước, Gỗ Coloured Ash Đen, Da Soft Leather Walnut (Óc Chó), Chân Thép Mạ Chrome, mới 100%</t>
  </si>
  <si>
    <t>CHRFH00287</t>
  </si>
  <si>
    <t>SERIES 7™
3217, SHELL
COLOURED VENEER
ASH - BLACK (195)
FRONT UPHOLSTERY
SOFT LEATHER BLACK
BASE STEEL
CHROMED STEEL - BRIGHT
POLISHED - BRIGHT
SIZE: 61X52CM, H 78-90 CM
Soft wheels for  hard Floor</t>
  </si>
  <si>
    <t>Ghế Xoay SERIES 7, Fritz Hansen, model 3217, W61 x D52 x H78/90cm, Bọc Đệm Mặt Trước, Gỗ Coloured Ash Đen, Da Soft Leather Black, Chân Thép Mạ Chrome, mới 100%</t>
  </si>
  <si>
    <t>CHRFH00288</t>
  </si>
  <si>
    <t>SERIES 7™
3217, CHAIR WITH ARMRESTS, HEIGHT-ADJUSTABLE, SWIVEL BASE WITH CASTORS
FULL UPHOLSTERY
SOFT LEATHER WALNUT
BASE STEEL
CHROMED STEEL - BRIGHT
POLISHED - BRIGHT
SIZE: 61X52CM, H 78-90 CM
Soft wheels for  hard Floor</t>
  </si>
  <si>
    <t>Ghế Xoay SERIES 7, Fritz Hansen, model 3217, W61 x D52 x H78/90cm, có tựa lưng, điều chỉnh lên xuống được, Bọc Da Soft Leather Walnut, Chân Thép Mạ Chrome, mới 100%</t>
  </si>
  <si>
    <t>CHRFH00289</t>
  </si>
  <si>
    <t>SERIES 7™
3217, CHAIR WITH ARMRESTS, HEIGHT-ADJUSTABLE, SWIVEL BASE WITH CASTORS
FULL UPHOLSTERY
SOFT LEATHER BLACK
BASE STEEL
CHROMED STEEL - BRIGHT
POLISHED - BRIGHT
SIZE: 61X52CM, H 78-90 CM
Soft wheels for  hard Floor</t>
  </si>
  <si>
    <t>Ghế Xoay SERIES 7, Fritz Hansen, model 3217, W61 x D52 x H78/90cm, có tựa lựng, điều chỉnh lên xuống được, Bọc Da Soft Leather Black, Chân Thép Mạ Chrome, mới 100%</t>
  </si>
  <si>
    <t>CHRFH00268</t>
  </si>
  <si>
    <t>SERIES 7™
3107, NOT UPHOLSTERED, Lacquered Shell
7:14 AM Violet
BASE: RAINBOW
SEAT HEIGHT, 46CM</t>
  </si>
  <si>
    <t>Ghế SERIES 7, Fritz Hansen, model 3107, W50 x D52 x H82 x SH46cm, Thân Gỗ Ash Lacquered Màu Tím Violet, Chân Thép Mạ Kẽm Cromat, mới 100%</t>
  </si>
  <si>
    <t>CHRFH00269</t>
  </si>
  <si>
    <t>SERIES 7™
3107, NOT UPHOLSTERED, Lacquered Shell
7:14 AM green
BASE: RAINBOW
SEAT HEIGHT, 46CM</t>
  </si>
  <si>
    <t>Ghế SERIES 7, Fritz Hansen, model 3107, W50 x D52 x H82 x SH46cm, Thân Gỗ Ash Lacquered Màu Xanh Green, Chân Thép Mạ Kẽm Cromat, mới 100%</t>
  </si>
  <si>
    <t>CHRFH00270</t>
  </si>
  <si>
    <t>SERIES 7™
3107, NOT UPHOLSTERED, Lacquered Shell
7:14 AM Pink
BASE: RAINBOW
SEAT HEIGHT, 46CM</t>
  </si>
  <si>
    <t>Ghế SERIES 7, Fritz Hansen, model 3107, W50 x D52 x H82 x SH46cm, Thân Gỗ Ash Lacquered Màu Hồng, Chân Thép Mạ Kẽm Cromat, mới 100%</t>
  </si>
  <si>
    <t>CHRFH00271</t>
  </si>
  <si>
    <t>SERIES 7™
3107, NOT UPHOLSTERED, Lacquered Shell
7:14 AM Blue
BASE: RAINBOW
SEAT HEIGHT, 46CM</t>
  </si>
  <si>
    <t>Ghế SERIES 7, Fritz Hansen, model 3107, W50 x D52 x H82 x SH46cm, Thân Gỗ Ash Lacquered Màu Xanh Blue, Chân Thép Mạ Kẽm Cromat, mới 100%</t>
  </si>
  <si>
    <t>CHRFH00272</t>
  </si>
  <si>
    <t>SERIES 7™
3107, NOT UPHOLSTERED, Lacquered Shell
7:14 AM Beige
BASE: RAINBOW
SEAT HEIGHT, 46CM</t>
  </si>
  <si>
    <t>Ghế SERIES 7, Fritz Hansen, model 3107, W50 x D52 x H82 x SH46cm, Thân Gỗ Ash Lacquered Màu Beige, Chân Thép Mạ Kẽm Cromat, mới 100%</t>
  </si>
  <si>
    <t>CUSHION</t>
  </si>
  <si>
    <t>ACSFH00001</t>
  </si>
  <si>
    <t>The neck cushion for PK24
Leather: Grace Indian Red</t>
  </si>
  <si>
    <t>Gối tựa cổ bằng đệm dùng cho ghế PK24, Fritz Hansen, kích thước 78x13x12cm, màu đỏ grace indian red, mới 100%</t>
  </si>
  <si>
    <t>NNH-FH-2025-003-1605-DH-0003363</t>
  </si>
  <si>
    <t>DH-0003363</t>
  </si>
  <si>
    <t>5,5 - 6,5 THÁNG</t>
  </si>
  <si>
    <t>CHRFH00273</t>
  </si>
  <si>
    <t>Grand Prix
Model: 3130
Shell: Clear Lacquered Veneer / Walnut
Base: Powder Coated Steel / Black
Seat height: 46 cm
Feet with felt: No</t>
  </si>
  <si>
    <t>Ghế GRAND PRIX, Fritz Hansen, model 3130, W48 x D51 x H83 x SH46cm, Thân Gỗ Veneer Tự Nhiên Walnut (Óc Chó), Chân Sơn Tĩnh Điện Đen, mới 100%</t>
  </si>
  <si>
    <t>CHRFH00274</t>
  </si>
  <si>
    <t>Grand Prix
Model: 3130
Shell: Coloured Veneer / Ash - Nine Grey
Base: Powder Coated Steel / Black
Seat height: 46 cm
Feet with felt: No</t>
  </si>
  <si>
    <t>Ghế GRAND PRIX, Fritz Hansen, model 3130, W48 x D51 x H83 x SH46cm, Thân Gỗ Coloured Ash Màu Xám Nine Grey, Chân Sơn Tĩnh Điện Đen, mới 100%</t>
  </si>
  <si>
    <t>CHRFH00275</t>
  </si>
  <si>
    <t>SERIES 7™
3117
Colored veneer
Ash - Venetian Red (675)
Base: Steel
Chromed Steel - Bright
Fender: Alumminium
Polished - Bright</t>
  </si>
  <si>
    <t>Ghế Xoay SERIES 7, Fritz Hansen, model 3117, W50 x D52 x H78/90 cm, Gỗ Coloured Ash Màu Đỏ Venetian Red, Chân Thép Mạ Chrome, mới 100%</t>
  </si>
  <si>
    <t>Grand Prix
3130
Clear lacquered veneer
Walnut
Base: Steel, chrome steel - Bright</t>
  </si>
  <si>
    <t>Ghế GRAND PRIX, Fritz Hansen, model 3130, W48 x D51 x H83 x SH 46cm, Thân Gỗ Veneer Tự Nhiên Walnut (Óc Chó), Chân Thép Mạ Chrome, mới 100%</t>
  </si>
  <si>
    <t>NNH-FH-2025-005-2006-DH-0003627</t>
  </si>
  <si>
    <t>DH-0003627</t>
  </si>
  <si>
    <t xml:space="preserve"> 5-6 THÁNG</t>
  </si>
  <si>
    <t>CHRFH00276</t>
  </si>
  <si>
    <t>SERIES 7™
3187
Colored veneer
Ash - Black (195)
Base: Steel
Chromed Steel - Bright
Upholstery: Soft - Walnut</t>
  </si>
  <si>
    <t>Ghế SERIES 7, Fritz Hansen, model 3187, W51 x D54 x H100 x SH64cm, Thân Gỗ Coloured Ash Màu Đen, Bọc Da Soft Walnut, Chân Thép Mạ Chrome, mới 100%</t>
  </si>
  <si>
    <t>NNH-FH-2025-008-0108-DH-0003788</t>
  </si>
  <si>
    <t>CHRFH00285</t>
  </si>
  <si>
    <t>Ant™ Chair
Model: 3101
Shell: Coloured Veneer Ash - Dusk Blue (855)
Base: Chromed Steel - Bright
Seat height = 46 cm</t>
  </si>
  <si>
    <t>Ghế ANT, Fritz Hansen, model 3101, W52 x D48 x H81 x SH46 cm, Thân Gỗ Coloured Ash Màu Xanh Dusk Blue, Chân Thép Mạ Chrome, mới 100%</t>
  </si>
  <si>
    <t>CHRFH00286</t>
  </si>
  <si>
    <t>Ant™ Chair
Model: 3101
Shell: Coloured Veneer Ash - Evergreen (955) 
Base: Chromed Steel - Bright
Seat height = 46 cm</t>
  </si>
  <si>
    <t>Ghế ANT, Fritz Hansen, model 3101, W52 x D48 x H81 x SH46 cm, Thân Gỗ Coloured Ash Màu Lục Evergreen, Chân Thép Mạ Chrome, mới 100%</t>
  </si>
  <si>
    <t>NNH-FH-2025-009-0708-DH-0003894</t>
  </si>
  <si>
    <t>DH-0003895</t>
  </si>
  <si>
    <t>B6200</t>
  </si>
  <si>
    <t>TBLFH00093</t>
  </si>
  <si>
    <t>DINING TABLES SERIES SUPERELLIPSE™
Table, span legs, detachable, tabletop White Fenix Laminate, Base Steel Chromed Steel Bright
Size: H72*L200*W100</t>
  </si>
  <si>
    <t>Bàn ăn TABLE SERIES SUPERELLIPSE, Fritz Hansen, model B6200, L170 x W100 x H72cm, Mặt Bàn ăn bằng Fenix phủ nhựa tổng hợp Laminate Trắng, Chân Thép Mạ Chrome, mới 100% (Tháo rời đồng bộ)</t>
  </si>
  <si>
    <t>SERIES 7™
3107, NOT UPHOLSTERED
COLOURED VENEER
ASH - BLACK (195)
BASE STEEL
CHROMED
SEAT HEIGHT 46 CM</t>
  </si>
  <si>
    <t>Ghế SERIES 7, Fritz Hansen, model 3107, W50 x D52 x H82 x SH46cm, Thân Gỗ Coloured Ash Đen, Chân Thép Mạ Chrome, mới 100%</t>
  </si>
  <si>
    <t>Hàng mua sử dụng chiết khấu thêm 2%</t>
  </si>
  <si>
    <t>SERIES 7™
3107, SHELL
NATURAL VENEER (Clear Lacquered Veneer)
OAK 70
BASE CHROMED STEEL - BRIGHT
SEAT HEIGHT, 46CM</t>
  </si>
  <si>
    <t>Ghế SERIES 7, Fritz Hansen, model 3107, W50 x D52 x H82 x SH46cm, Thân Gỗ Veneer Tự Nhiên Oak, Chân Thép Mạ Chrome, mới 100%</t>
  </si>
  <si>
    <t>SERIES 7™
 3107, NOT UPHOLSTERED
 COLOURED VENEER, VENETIAN RED
 STEEL, BASE CHROME
 SEAT HEIGHT, 46 CM</t>
  </si>
  <si>
    <t>NNH-FLOS-2025-003-2504-SPRING CP</t>
  </si>
  <si>
    <t>Flos</t>
  </si>
  <si>
    <t>D301F01C3EAF2</t>
  </si>
  <si>
    <t>LFLFL00044</t>
  </si>
  <si>
    <t>Floor lamp
Superwire T
Dimmable through switch on cord
Flat glass panels, aluminum, stainless steel
Size: Base 792 mm, 135x2218 mm</t>
  </si>
  <si>
    <t>NNH-FLOS-2025-003-2504</t>
  </si>
  <si>
    <t>SMIL00449992</t>
  </si>
  <si>
    <t>EMCU8389642/5090430</t>
  </si>
  <si>
    <t>CONT 40 COMBINE</t>
  </si>
  <si>
    <t>107661346330</t>
  </si>
  <si>
    <t>Đèn sàn trang trí Superwire F, hiệu Flos, model D301F01C3EAF2, kích thước 68,6x79,2x221,8 cm, bằng thủy tinh và nhôm, màu trong suốt, không kèm bóng, mới 100%</t>
  </si>
  <si>
    <t>Lô 88</t>
  </si>
  <si>
    <t>F1084064</t>
  </si>
  <si>
    <t>LPLFL00070</t>
  </si>
  <si>
    <t>Bellhop Glass S1
Color: Bright Aluminum
Suspension light
Size: 330xH185 mm</t>
  </si>
  <si>
    <t>Đèn thả trang trí Bellhop Glass S1, hiệu Flos, model F1084064, kích thước 33x33x26,5 cm, bằng thủy tinh, màu bright aluminum, không kèm bóng, mới 100%</t>
  </si>
  <si>
    <t>F1077009</t>
  </si>
  <si>
    <t>LPLFL00071</t>
  </si>
  <si>
    <t>Bellhop Glass C2
white
Ceiling light
Size: 330xH185 mm</t>
  </si>
  <si>
    <t>Đèn gắn trần trang trí Bellhop Glass C2, hiệu Flos, model F1077009, kích thước 45x45x25,2 cm, bằng thủy tinh, màu trắng, không kèm bóng, mới 100%</t>
  </si>
  <si>
    <t>F1040014</t>
  </si>
  <si>
    <t>LTLFL00061</t>
  </si>
  <si>
    <t>Bon Jour Unplugged – 10th Anniversary Edition
Color: Faded Blue</t>
  </si>
  <si>
    <t>Đèn bàn trang trí BON JOUR UNPLUGGED, hiệu Flos, model F1040014, kích thước 13,1x13,1x27 cm, bằng nhựa, màu faded blue, không kèm bóng, mới 100%</t>
  </si>
  <si>
    <t>F1040034</t>
  </si>
  <si>
    <t>LTLFL00062</t>
  </si>
  <si>
    <t>Bon Jour Unplugged – 10th Anniversary Edition
Color: French Rose</t>
  </si>
  <si>
    <t>Đèn bàn trang trí BON JOUR UNPLUGGED, hiệu Flos, model F1040034, kích thước 13,1x13,1x27 cm, bằng nhựa, màu french rose, không kèm bóng, mới 100%</t>
  </si>
  <si>
    <t>F1040039</t>
  </si>
  <si>
    <t>LTLFL00063</t>
  </si>
  <si>
    <t>Bon Jour Unplugged – 10th Anniversary Edition
Color: Fresh Mint</t>
  </si>
  <si>
    <t>Đèn bàn trang trí BON JOUR UNPLUGGED, hiệu Flos, model F1040039, kích thước 13,1x13,1x27 cm, bằng nhựa, màu fresh mint, không kèm bóng, mới 100%</t>
  </si>
  <si>
    <t>F1040015</t>
  </si>
  <si>
    <t>LTLFL00064</t>
  </si>
  <si>
    <t>Bon Jour Unplugged – 10th Anniversary Edition
Color: Copper</t>
  </si>
  <si>
    <t>Đèn bàn trang trí BON JOUR UNPLUGGED, hiệu Flos, model F1040015, kích thước 13,1x13,1x27 cm, bằng nhựa và kim loại, màu copper, không kèm bóng, mới 100%</t>
  </si>
  <si>
    <t>F1040063</t>
  </si>
  <si>
    <t>LTLFL00065</t>
  </si>
  <si>
    <t>Bon Jour Unplugged – 10th Anniversary Edition
Color: Black Chrome</t>
  </si>
  <si>
    <t>Đèn bàn trang trí BON JOUR UNPLUGGED, hiệu Flos, model F1040063, kích thước 13,1x13,1x27 cm, bằng nhựa và kim loại, màu black chrome, không kèm bóng, mới 100%</t>
  </si>
  <si>
    <t>F1040057</t>
  </si>
  <si>
    <t>LTLFL00066</t>
  </si>
  <si>
    <t>Bon Jour Unplugged – 10th Anniversary Edition
Color: Chrome</t>
  </si>
  <si>
    <t>Đèn bàn trang trí  BON JOUR UNPLUGGED, hiệu Flos, model F1040057, kích thước 13,1x13,1x27 cm, bằng nhựa và kim loại, màu chrome, không kèm bóng, mới 100%</t>
  </si>
  <si>
    <t>LWLFL00020</t>
  </si>
  <si>
    <t>265 CHROMATICA
Chromatica
Size: 305x2050 mm</t>
  </si>
  <si>
    <t>Đèn tường trang trí 265 CHROMATICA, hiệu Flos, model A0300099,  kích thước 16x50x245 cm, bằng kim loại, màu chromatica, không kèm bóng, mới 100%</t>
  </si>
  <si>
    <t xml:space="preserve">SUPERLOON
Color: Chrome
Size: 723x1972 mm
</t>
  </si>
  <si>
    <t>Đèn sàn trang trí SUPERLOON, hiệu Flos, model F6630057, kích thước 72,3x197,2 cm, bằng kim loại và nhựa, màu chrome, không kèm bóng, mới 100%</t>
  </si>
  <si>
    <t>Mini Glo-Ball Ceiling/Wall
Mirror
Dimension: 60x112mm</t>
  </si>
  <si>
    <t>Đèn gắn tường, trần trang trí Mini Glo-Ball, hiệu Flos, model F4190009 MIRROR, kích thước 11,2x11,2x8,5 cm, bằng thủy tinh, màu trắng, không kèm bóng, mới 100%</t>
  </si>
  <si>
    <t>Claim</t>
  </si>
  <si>
    <t>CLAIM</t>
  </si>
  <si>
    <t>Chiara Floor Floor lamp
Size: 72x72x145 cm
Materials: stainless steel
without bulb</t>
  </si>
  <si>
    <t>Đèn sàn trang trí CHIARA FLOOR, hiệu Flos, model F1590056, kích thước 72x72x145 cm, bằng kim loại, không kèm bóng, mới 100% (Hàng F.O.C)</t>
  </si>
  <si>
    <t>F6305007</t>
  </si>
  <si>
    <t>LFLFL00040</t>
  </si>
  <si>
    <t>KTribe Floor 2 Floor lamp
Size: 39,5x39,5x162 cm
Materials: aluminum
Color: Fabric
without bulb</t>
  </si>
  <si>
    <t>Đèn sàn trang trí KTRIBE FLOOR 2, hiệu Flos, model F6305007, kích thước 39,5x39,5x162 cm, bằng kim loại, màu fabric, không kèm bóng, mới 100% (Hàng F.O.C)</t>
  </si>
  <si>
    <t>F0257000</t>
  </si>
  <si>
    <t>SPAFL00040</t>
  </si>
  <si>
    <t>Noctambule High Cylinder
Size: 25x25x53 cm
Material: glass</t>
  </si>
  <si>
    <t>Bộ phận của đèn: chụp đèn Noctambule High Cylinder, hiệu Flos, model F0257000, 25x25x53 cm, bằng thủy tinh, mới 100% (Hàng F.O.C)</t>
  </si>
  <si>
    <t>CASSINA</t>
  </si>
  <si>
    <t>NNH-CS-2025-002-1404-DH-0003174</t>
  </si>
  <si>
    <t>DH-0003174</t>
  </si>
  <si>
    <t>020C4000</t>
  </si>
  <si>
    <t>CABCA00001</t>
  </si>
  <si>
    <t>20 Casiers
Dimension: 225 x 38 x 140 cm 
3 containers (open/flap opening/open) with 4 metal legs diameter 3,5 cm (version C)</t>
  </si>
  <si>
    <t>42%+10%</t>
  </si>
  <si>
    <t>NNH-CS-2025-001.002.003-01</t>
  </si>
  <si>
    <t>SMIL00447392</t>
  </si>
  <si>
    <t>107665311720</t>
  </si>
  <si>
    <t>Tủ 20 CASIERS, hiệu Cassina, model 020C4000, kích thước 225x38x140 cm, bằng gỗ oak, chân kim loại, tháo rời đồng bộ, mới 100%</t>
  </si>
  <si>
    <t>Lô 89</t>
  </si>
  <si>
    <t>D0901000</t>
  </si>
  <si>
    <t>ARUCA00001</t>
  </si>
  <si>
    <t>TAPIS LA MAIN OUVERTE
Dimension: 300 x 200 cm</t>
  </si>
  <si>
    <t>107665324320</t>
  </si>
  <si>
    <t>Thảm TAPIS LA MAIN OUVERTE, hiệu Cassina, model D0901000, bằng bông, kích thước 300x200 cm, mới 100%</t>
  </si>
  <si>
    <t>57019019</t>
  </si>
  <si>
    <t>0129C000</t>
  </si>
  <si>
    <t>TBLCA00003</t>
  </si>
  <si>
    <t>LC12 TABLE LA ROCHE
Dimension: 160 x 120 x 73 cm
STRUCTURE-FRAME: CHROME-PLATED
TOP: CANALETTO WALNUT</t>
  </si>
  <si>
    <t>107665258520</t>
  </si>
  <si>
    <t>Bàn LC12 TABLE LA ROCHE, hiệu Cassina, model 0129C000, kích thước 160x120x73 cm, khung kim loại, mặt bàn bằng gỗ walnut, gồm mặt bàn và chân, mới 100%</t>
  </si>
  <si>
    <t>NNH-CS-2025-001-1203-DH-0002924</t>
  </si>
  <si>
    <t>0022C000</t>
  </si>
  <si>
    <t>SFACA00001</t>
  </si>
  <si>
    <t>2 Fauteuil Grand Confort, petit modèle, 2 PLACES
Polyester padded cushions 
Sofa model: Divano 2 posti
Structure-frame: Cromata
Coating: Leather scozia grade X
Upholstery Colour
Graphite: 13X606
Dimension: 130x67x70 cm</t>
  </si>
  <si>
    <t>Ghế sofa 2 Fauteuil Grand Confort petit modele, 2 chỗ ngồi, hiệu Cassina, model 0022C000, 130x67x70cm, khung kim loại màu chrome, bọc da scozia X, màu graphite, chiều cao ghế ngồi 40cm, mới 100%</t>
  </si>
  <si>
    <t>0021C000</t>
  </si>
  <si>
    <t>SFACA00002</t>
  </si>
  <si>
    <t>2 Fauteuil Grand Confort, petit modèle
Polyester padded cushions
Structure-frame: Cromata
Coating: Leather scozia grade X
Upholstery Colour
Graphite: 13X606
Dimension: 76x70x67 cm</t>
  </si>
  <si>
    <t>Ghế sofa 2 Fauteuil Grand Confort petit modele, 1 chỗ ngồi, hiệu Cassina, model 0021C000, 76x70x67cm, khung kim loại màu chrome, bọc da scozia X, màu graphite, chiều cao ghế ngồi 40cm, mới 100%</t>
  </si>
  <si>
    <t>0023C000</t>
  </si>
  <si>
    <t>SFACA00003</t>
  </si>
  <si>
    <t>2 Fauteuil Grand Confort, petit modèle, trois places
Polyester padded cushions
Structure-frame: Cromata
Coating: Leather scozia grade X
Upholstery Colour
Graphite: 13X606
Dimension: 180x70x67 cm</t>
  </si>
  <si>
    <t>Ghế sofa 2 Fauteuil Grand Confort petit modele, ba chỗ ngồi, hiệu Cassina, model 0023C000, 180x70x67cm, khung kim loại màu chrome, bọc da scozia X, màu graphite, chiều cao ghế ngồi 40cm, mới 100%</t>
  </si>
  <si>
    <t>0080C0E0</t>
  </si>
  <si>
    <t>CHRCA00001</t>
  </si>
  <si>
    <t>8 Tabouret tournant, Durable
Structure-frame: Cromata
Coating: Scozia X
Upholstery Colour: AMBRA - Pelle scozia: 13X201
Dimension: 47x50x47 cm</t>
  </si>
  <si>
    <t>Ghế đẩu 8 TABOURET TOURNANT DURABLE, hiệu Cassina, model 0080C0E0, kích thước 47x47x50cm, chân bằng kim loại, đệm bọc da Scozia X, mới 100%</t>
  </si>
  <si>
    <t>CHRCA00002</t>
  </si>
  <si>
    <t>8 Tabouret tournant, Durable
Structure-frame: Cromata
Coating: Scozia X
Upholstery Colour: Graphite: 13X606
Dimension: 47x50x47 cm</t>
  </si>
  <si>
    <t>0070C0E0</t>
  </si>
  <si>
    <t>CHRCA00003</t>
  </si>
  <si>
    <t>7 Fauteuil Tournant
Chrome, Leather 
Padding in ecological polyester wadding
SCOZIA ( X GRADE) 13X247 BIANCO
Upholstery: 13X247
Dimension: 60x58x73 cm</t>
  </si>
  <si>
    <t>Ghế 7 FAUTEUIL TOURNANT, hiệu Cassina, model 0070C0E0, kích thước 60x58x73 cm, chân bằng kim loại, đệm bọc da Scozia X, chiều cao ghế ngồi 50cm, mới 100%</t>
  </si>
  <si>
    <t>CHRCA00004</t>
  </si>
  <si>
    <t>7 Fauteuil Tournant
Chrome, Leather
LCX (X Grade) 
Coating color: Amber
Upholstery: 13X201
Dimension 60x58x73 cm</t>
  </si>
  <si>
    <t>CHRCA00005</t>
  </si>
  <si>
    <t>7 Fauteuil Tournant
Chrome, Leather
LCX (X Grade) 
Coating color:CORIDA
Upholstery: 13X295
Dimension: 60x58x73 cm</t>
  </si>
  <si>
    <t>CHRCA00006</t>
  </si>
  <si>
    <t>7 Fauteuil Tournant
Chrome, Leather
LCX (X Grade) 
Coating color: Graphite
Upholstery:13X606
Dimension:60x58x73 cm</t>
  </si>
  <si>
    <t>0125C000</t>
  </si>
  <si>
    <t>TBLCA00002</t>
  </si>
  <si>
    <t>LC12 TABLE LA ROCHE
Dimension: 160 X 120 cm
STRUCTURE-FRAME: CHROME-PLATED
TOP: CLEAR GLASS</t>
  </si>
  <si>
    <t>42%+20%</t>
  </si>
  <si>
    <t>Bàn LC12 TABLE LA ROCHE, hiệu Cassina, model 0125C000, kích thước 160x120x71 cm, khung kim loại, mặt bàn bằng kính, gồm mặt bàn và chân, mới 100%</t>
  </si>
  <si>
    <t>NNH-CS-2025-003-2805-SR</t>
  </si>
  <si>
    <t>KL101000</t>
  </si>
  <si>
    <t>LTLCA00001</t>
  </si>
  <si>
    <t>LAB LIGHT TABLE table lamp
Size: 17.5x28x65cm
Material: Metal
Lamp head: brushed brass</t>
  </si>
  <si>
    <t>Đèn trang trí để bàn LAB LIGHT TABLE, hiệu Cassina, model KL101000, kích thước 17.5x28x65cm, bằng kim loại màu đen, chụp màu đồng, không kèm bóng, mới 100%</t>
  </si>
  <si>
    <t>075T1010</t>
  </si>
  <si>
    <t>LTLCA00002</t>
  </si>
  <si>
    <t>EITIE TABLE table lamp
with aluminum stems
Material: Metal
Size: 18x18x129cm
round joints: red and gold</t>
  </si>
  <si>
    <t>Đèn trang trí để bàn EITIE TABLE, hiệu Cassina, model 075T1010, kích thước 18x18x129cm, thân bằng nhôm, kim loại, không kèm bóng, mới 100%</t>
  </si>
  <si>
    <t>KL400000</t>
  </si>
  <si>
    <t>LTLCA00003</t>
  </si>
  <si>
    <t>AIDA LAMP table lamp
KARAKTER CODE 200494
Size: 40x40x61cm
Material &amp; Color: metal black
shade: opalescent acrylic</t>
  </si>
  <si>
    <t>Đèn trang trí để bàn AIDA LAMP, hiệu Cassina, model KL400000, kích thước 40x40x61cm, bằng kim loại và nhựa, màu đen, không kèm bóng, mới 100%</t>
  </si>
  <si>
    <t>377T1020</t>
  </si>
  <si>
    <t>LTLCA00004</t>
  </si>
  <si>
    <t>3to9 Table I 1 module table lamp
Size: 33x20x56cm
Material: bronze structure, ivory fabric</t>
  </si>
  <si>
    <t>Đèn trang trí để bàn 3TO9 Table, hiệu Cassina, model 377T1020, kích thước 33x20x56 cm, bằng kim loại màu bronze, chụp vải, không kèm bóng, mới 100%</t>
  </si>
  <si>
    <t>09491000</t>
  </si>
  <si>
    <t>LFLCA00001</t>
  </si>
  <si>
    <t>FICUPALA Outdoor arch-shaped support
Size: 45x45x130cm
Material: black stainless steel</t>
  </si>
  <si>
    <t>Bộ phận của đèn: chân đèn sàn trang trí FICUPALA Outdoor, hiệu Cassina, model 09491000, kích thước 45x45x130 cm, bằng kim loại, màu đen, mới 100%</t>
  </si>
  <si>
    <t>09451000</t>
  </si>
  <si>
    <t>LFLCA00002</t>
  </si>
  <si>
    <t>FICUPALA Outdoor lamp
Size: 10x10x42cm
glass: transparent smoked blow glass
handle: iroko solid wood</t>
  </si>
  <si>
    <t>Bộ phận của đèn: chụp đèn trang trí ngoài trời FICUPALA Outdoor, hiệu Cassina, model 09451000, kích thước 10x10x42 cm, bằng thủy tinh, màu khói, mới 100%</t>
  </si>
  <si>
    <t>KL111000</t>
  </si>
  <si>
    <t>LFLCA00003</t>
  </si>
  <si>
    <t>LAB LIGHT FLOOR floor lamp
Size: 28x17.5x125cm
Material: Metal
Lamp head: brushed brass</t>
  </si>
  <si>
    <t>Đèn sàn trang trí LAB LIGHT FLOOR, hiệu Cassina, model KL111000, kích thước 28x17.5x125 cm, bằng kim loại màu đen, chụp màu đồng, không kèm bóng, mới 100%</t>
  </si>
  <si>
    <t>KL321000</t>
  </si>
  <si>
    <t>LFLCA00004</t>
  </si>
  <si>
    <t>DOMO FLOOR LAMP floor lamp
Size: 67.5x40x190cm
Material &amp;Color: steel with black powder coating</t>
  </si>
  <si>
    <t>Đèn sàn trang trí DOMO FLOOR LAMP, hiệu Cassina, model KL321000, kích thước 67.5x40x190 cm, bằng kim loại, màu đen, không kèm bóng, mới 100%</t>
  </si>
  <si>
    <t>KL200010</t>
  </si>
  <si>
    <t>LFLCA00005</t>
  </si>
  <si>
    <t>AWKWARD LIGHT FLOOR floor lamp
Size: 155*40*192cm
Material &amp;Color: steel and aluminium black powder coating</t>
  </si>
  <si>
    <t>Đèn sàn trang trí AWKWARD LIGHT FLOOR, hiệu Cassina, model KL200010, kích thước 155x40x192 cm, bằng kim loại, màu đen, không kèm bóng, mới 100%</t>
  </si>
  <si>
    <t>075F1030</t>
  </si>
  <si>
    <t>LFLCA00006</t>
  </si>
  <si>
    <t>EITIE Floor floor lamp 
with aluminum stems
Size: 24x24x205cm
round joints: black and silver</t>
  </si>
  <si>
    <t>Đèn sàn trang trí EITIE FLOOR, hiệu Cassina, model 075F1030, kích thước 24x24x205 cm, thân bằng nhôm, kim loại, không kèm bóng, mới 100%</t>
  </si>
  <si>
    <t>072F2020</t>
  </si>
  <si>
    <t>LFLCA00008</t>
  </si>
  <si>
    <t>Wax, Stone, Light - Floor IV floor lamp, base in polished stainless steel
Size: 23x22x110cm
body: beige</t>
  </si>
  <si>
    <t>Đèn sàn trang trí WAX, STONE, LIGHT - FLOOR IV, hiệu Cassina, model 072F2020, kích thước 23x22x110 cm, bằng thủy tinh và kim loại, màu beige, không kèm bóng, mới 100%</t>
  </si>
  <si>
    <t>072F3010</t>
  </si>
  <si>
    <t>LFLCA00009</t>
  </si>
  <si>
    <t>Wax, Stone, Light - Floor V floor lamp, base in polished stainless steel
Size: 23x22x146cm
body: bianco Murano glass</t>
  </si>
  <si>
    <t>Đèn sàn trang trí WAX, STONE, LIGHT - FLOOR V, hiệu Cassina, model 072F3010, kích thước 23x22x146 cm, bằng thủy tinh và kim loại, màu bianco, không kèm bóng, mới 100%</t>
  </si>
  <si>
    <t>Pendant Lamp</t>
  </si>
  <si>
    <t>075S2010</t>
  </si>
  <si>
    <t>LPLCA00001</t>
  </si>
  <si>
    <t>EITIE Line 170 hanging lamp
Size: 172x172x6cm
2 round joints color red and gold</t>
  </si>
  <si>
    <t>Đèn thả trang trí EITIE LINE 170, hiệu Cassina, model 075S2010, kích thước 172x172x6 cm, thân bằng nhôm, kim loại, không kèm bóng, mới 100%</t>
  </si>
  <si>
    <t>52411000</t>
  </si>
  <si>
    <t>CHRCA00007</t>
  </si>
  <si>
    <t>TABOURET Berger stool 
Size: 33x33x26.7cm
Material &amp; color: american walnut</t>
  </si>
  <si>
    <t>Ghế đẩu TABOURET BERGER, hiệu Cassina, model 52411000, kích thước 33x33x26.7 cm, bằng gỗ walnut, màu american walnut, mới 100%</t>
  </si>
  <si>
    <t>52302000</t>
  </si>
  <si>
    <t>CHRCA00010</t>
  </si>
  <si>
    <t xml:space="preserve">TABOURET Méribel stool
Size: 33x33x38.4cm
Material &amp; color: oak stained black </t>
  </si>
  <si>
    <t>Ghế đẩu TABOURET MERIBEL, hiệu Cassina, model 52302000, kích thước 33x33x38.4 cm, bằng gỗ oak, màu black , mới 100%</t>
  </si>
  <si>
    <t>28010000</t>
  </si>
  <si>
    <t>CHRCA00013</t>
  </si>
  <si>
    <t>ZIG-ZAG chair
 Size: 37x43x74cm
Material &amp; color: natural cherry</t>
  </si>
  <si>
    <t>Ghế ZIG-ZAG, hiệu Cassina, model 28010000, kích thước 37x43x74 cm, bằng gỗ ash, màu natural cherry, chiều cao ghế ngồi 43cm, mới 100%</t>
  </si>
  <si>
    <t>28012000</t>
  </si>
  <si>
    <t>CHRCA00014</t>
  </si>
  <si>
    <t>ZIG-ZAG chair
Size: 37x43x74cm
Material &amp; color: Ash stained red</t>
  </si>
  <si>
    <t>Ghế ZIG-ZAG, hiệu Cassina, model 28012000, kích thước 37x43x74 cm, bằng gỗ ash, màu red, chiều cao ghế ngồi 43cm, mới 100%</t>
  </si>
  <si>
    <t>63501000</t>
  </si>
  <si>
    <t>CLGCA00001</t>
  </si>
  <si>
    <t>RED AND BLUE lacquered armchair
Size: 69x83x88 cm
Seat width: 65.5 cm
frame: solid beech wood, lacquered in black
Seat and back: birch plywood with beech veneer. Lacquered in red, blue and yellow.</t>
  </si>
  <si>
    <t>Ghế lounge RED AND BLUE, hiệu Cassina, model 63501000, kích thước 65.6x83x88cm, bằng gỗ beech, màu black, blue, red, chiều cao ghế ngồi 33cm, mới 100%</t>
  </si>
  <si>
    <t>412S1000</t>
  </si>
  <si>
    <t>CHRCA00017</t>
  </si>
  <si>
    <t>CAB 412 chair standard
Size: 52x49x82cm
Seat height: 45cm
cover: saddle leather 
Color: tabacco 139C1H</t>
  </si>
  <si>
    <t>Ghế standard CAB 412, hiệu Cassina, model 412S1000, kích thước 52x49x82cm, khung kim loại, bọc da saddle leather, màu tabacco, đã nhồi đệm, chiều cao ghế ngồi 45cm, mới 100%</t>
  </si>
  <si>
    <t>412S2000</t>
  </si>
  <si>
    <t>CHRCA00018</t>
  </si>
  <si>
    <t>CAB 412 chair - standard
Size: 52x49x82cm
cover: plus saddle leather
Color: BORDEAUX 139C2K</t>
  </si>
  <si>
    <t>Ghế standard CAB 412, hiệu Cassina, model 412S2000, kích thước 52x49x82cm, khung kim loại, bọc da plus saddle leather, màu bordeaux, đã nhồi đệm, chiều cao ghế ngồi 45cm, mới 100%</t>
  </si>
  <si>
    <t>413S1000</t>
  </si>
  <si>
    <t>CHRCA00019</t>
  </si>
  <si>
    <t>CAB 413 armchair - standard
Size: 62x52x82cm
cover: saddle leather 
Color: tabacco 139C1H</t>
  </si>
  <si>
    <t>Ghế armchair standard CAB 413, hiệu Cassina, model 413S1000, kích thước 62x52x82cm, khung kim loại, bọc da saddle leather, màu tabacco, đã nhồi đệm, chiều cao ghế ngồi 45cm, mới 100%</t>
  </si>
  <si>
    <t>413S2000</t>
  </si>
  <si>
    <t>CHRCA00020</t>
  </si>
  <si>
    <t>CAB 413 armchair - standard
 - Size: 62x52x82cm
cover: plus saddle leather - BORDEAUX
139C2K</t>
  </si>
  <si>
    <t>Ghế armchair standard CAB 413, hiệu Cassina, model 413S2000, kích thước 62x52x82cm, khung kim loại, bọc da plus saddle leather màu bordeaux, đã nhồi đệm, chiều cao ghế ngồi 45cm, mới 100%</t>
  </si>
  <si>
    <t>410M1680</t>
  </si>
  <si>
    <t>CHRCA00021</t>
  </si>
  <si>
    <t>CAB 410 medium height stool
Size: 55x51x101cm
cover: saddle leather 
Color: black 139C1T</t>
  </si>
  <si>
    <t>Ghế đẩu CAB 410, hiệu Cassina, model 410M1680, kích thước 55x51x101cm, khung bằng kim loại, bọc da saddle leather, màu black, đã nhồi đệm, chiều cao ghế ngồi 68cm, mới 100%</t>
  </si>
  <si>
    <t>0011C000</t>
  </si>
  <si>
    <t>CHRCA00022</t>
  </si>
  <si>
    <t>1 Fauteuil dossier basculant armchair
Standard
Size: 65x65x65cm
Armchair / chrome frame seat and back
Natural leather with matching arm straps</t>
  </si>
  <si>
    <t>Ghế armchair 1 Fauteuil Dossier Basculant, hiệu Cassina, model 0011C000, kích thước 65x66x65cm, khung bằng kim loại, bọc da natural leather, chiều cao ghế ngồi 40cm, mới 100%</t>
  </si>
  <si>
    <t>KF925120</t>
  </si>
  <si>
    <t>CHRCA00023</t>
  </si>
  <si>
    <t>Scarpa 925
Tobacco saddle leather 
armchair with black stained solid ashwood frame, upholstery in saddle leather
Bordeaux Plus saddle leather
Dimension: 66x67x71 cm
Seat height: 36 cm</t>
  </si>
  <si>
    <t>Ghế SCARPA 925, hiệu Cassina, model KF925120, kích thước 66x67x71cm, khung gỗ ash màu đen, bọc da plus saddle leather, màu Bordeaux, đã nhồi đệm, chiều cao ghế ngồi 36cm, mới 100%</t>
  </si>
  <si>
    <t>94016100</t>
  </si>
  <si>
    <t>533T1000</t>
  </si>
  <si>
    <t>CHRCA00025</t>
  </si>
  <si>
    <t>DORON HOTEL - outdoor armchair
 - Size: w 60, d 66, h 73 cm
cover: fabric EGADI - avorio
structure: solid teak wood, natural
13E462</t>
  </si>
  <si>
    <t>Ghế outdoor DORON HOTEL, hiệu Cassina, model 533T1000, kích thước 60x66x73 cm, khung gỗ teak màu natural, đệm vải màu egadi avorio, đã nhồi đệm, chiều cao ghế ngồi 39cm, mới 100%</t>
  </si>
  <si>
    <t>63701000</t>
  </si>
  <si>
    <t>CLGCA00002</t>
  </si>
  <si>
    <t>UTRECHT armchair with blanket stitching
 - Size: w 64, d 85, h 70 cm
cover: 
Stitching: Natural Thread
-Cover: Fabric VINO - Ortigia 13L653</t>
  </si>
  <si>
    <t>Ghế bành UTRECHT, hiệu Cassina, model 63701000, kích thước  64x85x70 cm, khung kim loại, đệm vải VINO Ortigia 13L653, chiều cao ghế ngồi 37cm, mới 100%</t>
  </si>
  <si>
    <t>0041C0E0</t>
  </si>
  <si>
    <t>CLGCA00003</t>
  </si>
  <si>
    <t>4 Chaise longue à reglage continu, durable chaise longue with black base
 - Size: w 160, d 56,4, h 69 cm
frame: chrome
loose pad: hairyskin - black/brown/white
headroll /  footsleeve: extra leather - grafite
00413Z229/NEW13Y414</t>
  </si>
  <si>
    <t>Ghế bành 4 Chaise longue à réglage continu durable, hiệu Cassina, model 0041C0E0, kích thước 160x56,4x69 cm, khung kim loại, đệm bọc da màu hairyskin, chiều cao mặt ghế 27cm, mới 100%</t>
  </si>
  <si>
    <t>57112000</t>
  </si>
  <si>
    <t>CHRCA00035</t>
  </si>
  <si>
    <t>Back-wing Armchair
Solid wood armchair with padded sit and back
Coating: Leather Z
Color: 13Z366 noce
Legs: walnut
Dimension: 91x73x69 cm
Seat height: 43cm</t>
  </si>
  <si>
    <t>Ghế sofa Back-wing Armchair, hiệu Cassina, model 57112000, kích thước 91x73x69 cm, khung bằng gỗ walnut, bọc da Leather Z màu noce, chiều cao ghế ngồi 43cm, mới 100%</t>
  </si>
  <si>
    <t>944E1000</t>
  </si>
  <si>
    <t>SFACA00005</t>
  </si>
  <si>
    <t>SORIANA armchair
100% RECYCLED PET-PADDED CUSHIONS
armchair
 - Size: w 95, d 105,  h 71 cm
structure: chrome
cover: L fabric Cemento
/ 13L012/139AL1</t>
  </si>
  <si>
    <t>Ghế sofa SORIANA Armchair, hiệu Cassina, model 944E1000, kích thước 95x105x71 cm, khung kim loại, bọc vải L fabric, màu Cemento, chiều cao ghế ngồi 42cm, mới 100%</t>
  </si>
  <si>
    <t>944E2000</t>
  </si>
  <si>
    <t>SFACA00006</t>
  </si>
  <si>
    <t>SORIANA 2-seater sofa
100% RECYCLED PET-PADDED CUSHIONS
armchair
 - Size: w 175, d 105,  h 71 cm
structure: chrome
cover: Corda  /1 
13L011</t>
  </si>
  <si>
    <t>Ghế sofa SORIANA Armchair, hiệu Cassina, 2 chỗ ngồi, model 944E2000, kích thước 175x105x71 cm, khung kim loại, bọc vải L fabric, màu Corda, chiều cao ghế ngồi 42cm, mới 100%</t>
  </si>
  <si>
    <t>003T1OR0</t>
  </si>
  <si>
    <t>SFACA00007</t>
  </si>
  <si>
    <t>3 Fauteuil Grand Confort, grand modèle, Outdoor
armchair
w 99, d 73, h 62 cm
frame: textured enamel aluminium - ivory
cover: fabric LAGUNA - large oceano- 1413L668</t>
  </si>
  <si>
    <t>Ghế sofa outdoor 3 Fauteuil Grand Confort grand modele outdoor, hiệu Cassina, model 003T1OR0, kích thước 99x73x62 cm, khung nhôm, bọc vải Laguna, màu large oceano, chiều cao ghế ngồi 40cm, mới 100%</t>
  </si>
  <si>
    <t>003C1010</t>
  </si>
  <si>
    <t>ACCCA00050</t>
  </si>
  <si>
    <t xml:space="preserve">3 Fauteuil Grand Confort, grand modèle, Outdoor
protective weather cover for armchair
</t>
  </si>
  <si>
    <t>Màn bọc ghế sofa 3 Fauteuil Grand Confort grand modele outdoor, hiệu Cassina, model 003C1010, bằng vải polyeste, đã được cắt theo hình dạng ghế, mới 100%</t>
  </si>
  <si>
    <t>63039200</t>
  </si>
  <si>
    <t>003C1020</t>
  </si>
  <si>
    <t>ACCCA00054</t>
  </si>
  <si>
    <t xml:space="preserve">3 Fauteuil Grand Confort, grand modèle, trois place, Outdoor
protective weather cover for 2-seater sofa
</t>
  </si>
  <si>
    <t>Màn bọc ghế sofa 3 Fauteuil Grand Confort grand modele trois place, hiệu Cassina, model 003C1020, bằng vải polyeste, đã được cắt theo hình dạng ghế, mới 100%</t>
  </si>
  <si>
    <t>003EC000</t>
  </si>
  <si>
    <t>SFACA00009</t>
  </si>
  <si>
    <t>3 Fauteuil Grand Confort, grand modèle
armchair
w 99, d 73, h 62 cm
frame: chrome
cover: extra leather - nero
13Y253</t>
  </si>
  <si>
    <t>Ghế sofa 3 Fauteuil Grand Confort grand modele, 1 chỗ ngồi, hiệu Cassina, model 003EC000, 99x73x62cm, khung kim loại màu chrome, bọc da Y leather màu nero, chiều cao ghế ngồi 41cm, mới 100%</t>
  </si>
  <si>
    <t>003AC000</t>
  </si>
  <si>
    <t>SFACA00010</t>
  </si>
  <si>
    <t>3 FAUTEUIL GRAND CONFORT 
GRAND MODELE, 3 PLACES
CHROME 3 SEATER SOFA
POLYESTER PADDED
PELLE EXTRA NERO-13Y253</t>
  </si>
  <si>
    <t>Ghế sofa 3 Fauteuil Grand Confort grand modele, 3 chỗ ngồi, hiệu Cassina, model 003AC000, 237x73x62cm, khung kim loại màu chrome, bọc da Y leather màu nero, chiều cao ghế ngồi 41cm, mới 100%</t>
  </si>
  <si>
    <t>675X2000</t>
  </si>
  <si>
    <t>SFACA00011</t>
  </si>
  <si>
    <t>MARALUNGA 40 - MAXI
2-seater sofa (with back cushions)
w 214, d 105, h 72 cm
cover: natural leather - moka
base: american walnut
 /413Z367/139PI4</t>
  </si>
  <si>
    <t>Ghế sofa 2 chỗ ngồi MARALUNGA 40 MAXI, hiệu Cassina, model 675X2000, kích thước 214x105x72 cm, khung gỗ walnut, bọc da natural leather, màu moka, chiều cao ghế ngồi 45cm, mới 100%</t>
  </si>
  <si>
    <t>675X3000</t>
  </si>
  <si>
    <t>SFACA00012</t>
  </si>
  <si>
    <t>MARALUNGA 40 - MAXI
3-seater sofa (with back cushions)
w 310, d 105, h 72 cm
cover: natural leather - moka
base: american walnut
 /413Z367</t>
  </si>
  <si>
    <t>Ghế sofa 3 chỗ ngồi MARALUNGA 40 MAXI, hiệu Cassina, model 675X3000, kích thước 310x105x72 cm, khung gỗ walnut, bọc da natural leather, màu moka, chiều cao ghế ngồi 45cm, mới 100%</t>
  </si>
  <si>
    <t>381M651B</t>
  </si>
  <si>
    <t>TBLCA00004</t>
  </si>
  <si>
    <t>TOREI
round coffee table
Ø 39, h 51 cm
TOREI MOD. 381
LOW TABLE ROUND DIAM. 39 CM
H.51 CM 
ML9 MATT LEVANTO RED MARBLE TOP
base_bronzo_lucida</t>
  </si>
  <si>
    <t>Bàn coffee TOREI MOD. 381, hiệu Cassina, model 381M651B, kích thước 39x39x51 cm, khung bằng kim loại màu bronzo lucida, mặt bàn bằng đá marble màu đỏ, mới 100%</t>
  </si>
  <si>
    <t>381M151B</t>
  </si>
  <si>
    <t>TBLCA00005</t>
  </si>
  <si>
    <t>TOREI MOD. 381 
LOW TABLE ROUND DIAM. 39 CM 
H.51 CM TOTALLY 
Bianco Carrara marble 
Base: base_bronzo_lucida</t>
  </si>
  <si>
    <t>Bàn coffee TOREI MOD. 381, hiệu Cassina, model 381M151B, kích thước 39x39x51 cm, khung kim loại màu bronzo lucida, mặt bàn bằng đá marble màu Bianco Carrara, mới 100%</t>
  </si>
  <si>
    <t>194M2440</t>
  </si>
  <si>
    <t>TBLCA00006</t>
  </si>
  <si>
    <t>9 - table low table
 - Size: Ø 40, h 44 cm
top/base: marble - Marquiña Black
tulip: anthracite</t>
  </si>
  <si>
    <t>Bàn 9 LOW TABLE, hiệu Cassina, model 194M2440, kích thước 40x40x44 cm, bằng đá marble, màu Marquina Black, mới 100%</t>
  </si>
  <si>
    <t>194M3440</t>
  </si>
  <si>
    <t>TBLCA00007</t>
  </si>
  <si>
    <t>9 - table low table
 - Size: Ø 40, h 44 cm
top and base: Carnico Grey
tulip: anthracite</t>
  </si>
  <si>
    <t>Bàn 9 LOW TABLE, hiệu Cassina, model 194M3440, kích thước 40x40x44 cm, bằng đá marble, màu Carnico Grey, mới 100%</t>
  </si>
  <si>
    <t>194M5440</t>
  </si>
  <si>
    <t>TBLCA00008</t>
  </si>
  <si>
    <t>9 - table low table
 - Size: Ø 40, h 49 cm
base and top in Verde Alpi marble</t>
  </si>
  <si>
    <t>Bàn 9 LOW TABLE, hiệu Cassina, model 194M5440, kích thước 40x40x49 cm, bằng đá marble, màu Verde Alpi, mới 100%</t>
  </si>
  <si>
    <t>557502A0</t>
  </si>
  <si>
    <t>TBLCA00009</t>
  </si>
  <si>
    <t>Sengu
Size: DI 50 cm
Oak stained black, Matte Grigio Canico-/139MO3</t>
  </si>
  <si>
    <t>Bàn SENGU, hiệu Cassina, model 557502A0, kích thước 50x50x50 cm, chân bằng đá marble màu Matte Grigio Canico, mặt bàn bằng gỗ màu đen, mới 100%</t>
  </si>
  <si>
    <t>535TC420</t>
  </si>
  <si>
    <t>TBLCA00010</t>
  </si>
  <si>
    <t>TABLE À PLATEAU INTERCHANGEABLE OUTDOOR  table
 - Size: Ø 75, h 42 cm
structure: solid teak wood, natural finish
top: marble - Carrara White</t>
  </si>
  <si>
    <t>Bàn outdoor À PLATEAU INTERCHANGEABLE, hiệu Cassina, model 535TC420, kích thước 75x75x42 cm, chân bằng gỗ, mặt bàn bằng đá marble màu Carrara White, gồm chân và mặt bàn, mới 100%</t>
  </si>
  <si>
    <t>554AR700</t>
  </si>
  <si>
    <t>TBLCA00011</t>
  </si>
  <si>
    <t>BOWY TABLE Outdoor low table
 - Size: Ø 70, h 30 cm
structure: textured enamel aluminium - ivory
top: reclaimed RFM® - white and red</t>
  </si>
  <si>
    <t>Bàn outdoor BOWY TABLE LOW, hiệu Cassina, model 554AR700, kích thước 70x70x30 cm, khung bằng kim loại, mặt bàn bằng sợi thủy tinh, màu white and red, mới 100%</t>
  </si>
  <si>
    <t>554AG900</t>
  </si>
  <si>
    <t>TBLCA00012</t>
  </si>
  <si>
    <t>BOWY TABLE Outdoor low table
 - Size: Ø 90, h 35 cm
structure: textured enamel aluminium - ivory
top: reclaimed RFM® - white and grey</t>
  </si>
  <si>
    <t>Bàn outdoor BOWY LOW, hiệu Cassina, model 554AG900, kích thước 90x90x35 cm, khung bằng kim loại, mặt bàn bằng sợi thủy tinh, màu white and grey, mới 100%</t>
  </si>
  <si>
    <t>26917VF0</t>
  </si>
  <si>
    <t>TBLCA00013</t>
  </si>
  <si>
    <t>MEX
Oval Coffee table
w 170, d 106, h 26 cm
top: smoked tempered glass
base: black back-lacquered smoked glass</t>
  </si>
  <si>
    <t>Bàn oval coffee MEX, hiệu Cassina, model 26917VF0, kích thước 170x106x26 cm, bằng kính, màu black smoked, mới 100%</t>
  </si>
  <si>
    <t>381M3230</t>
  </si>
  <si>
    <t>TBLCA00014</t>
  </si>
  <si>
    <t>TOREI MOD. 381 
LOW TABLE
SQUARE 88X88 CM H.23 CM
BASE: MATT GREY CARNICO
MARBLE TOP</t>
  </si>
  <si>
    <t>Bàn TOREI MOD 381 , hiệu Cassina, model 381M3230, kích thước 88x88x23 cm, khung kim loại, mặt bàn bằng đá marble màu Matt Grey Carnico, mới 100%</t>
  </si>
  <si>
    <t>496M2140</t>
  </si>
  <si>
    <t>TBLCA00018</t>
  </si>
  <si>
    <t>ORDINAL LOW TABLE
rectangular low table
w 140, d 70, h 32 cm
top and base: mat marble Calacatta Gold</t>
  </si>
  <si>
    <t>Bàn ORDINAL LOW TABLE, hiệu Cassina, model 496M2140, kích thước 140x70x32 cm, bằng đá marble màu Calacatta Gold, mới 100%</t>
  </si>
  <si>
    <t>555A4000</t>
  </si>
  <si>
    <t>CABCA00009</t>
  </si>
  <si>
    <t>HAYAMA console with flap opening door, canneté effect doors
 - Size: w 131, d 41, h 80 cm
strucure: glossy lacquered - blu notte</t>
  </si>
  <si>
    <t>Tủ HAYAMA, hiệu Cassina, model 555A4000, kích thước 131x41x80 cm, bằng gỗ MDF và kính, màu blu notte, mới 100%</t>
  </si>
  <si>
    <t>94036090</t>
  </si>
  <si>
    <t>L29A1020</t>
  </si>
  <si>
    <t>CABCA00002</t>
  </si>
  <si>
    <t>VOLAGE EX-S Drawers chest of drawers with 6 open compartments
 - Size: w 180, d 55, h 73 cm
base: polished chrome
structure: american walnut</t>
  </si>
  <si>
    <t>Tủ Volage EX-S, hiệu Cassina, model L29A1020, kích thước 180x55x73 cm, bằng american walnut, chân chrome, dùng cho phòng ngủ, mới 100%</t>
  </si>
  <si>
    <t>94035000</t>
  </si>
  <si>
    <t>L29A1920</t>
  </si>
  <si>
    <t>ACCCA00055</t>
  </si>
  <si>
    <t>VOLAGE EX-S Drawers woven container basket for drawer unit with compartments
 - Size: w 52, d 56, h 19 cm
structure: natural wicker</t>
  </si>
  <si>
    <t>Hộc tủ dùng cho tủ Volage EX-S, hiệu Cassina, model L29A1920, kích thước 52x56x19 cm, bằng mây, màu natural, mới 100%</t>
  </si>
  <si>
    <t>94038300</t>
  </si>
  <si>
    <t>37327010</t>
  </si>
  <si>
    <t>CABCA00004</t>
  </si>
  <si>
    <t>GHOST BOX storage cabinet, 4 side drawers and 1 central high drawer
 - Size: w 270, d 57, h 57 cm
structure: matt lacquered - polvere
LO 542</t>
  </si>
  <si>
    <t>Tủ nội thất GHOST BOX, hiệu Cassina, model 37327010, kích thước 270x57x57 cm, bằng gỗ, màu matt lacquered polvere, chưa bao gồm mặt tủ, mới 100%</t>
  </si>
  <si>
    <t>37327M20</t>
  </si>
  <si>
    <t>CABCA00005</t>
  </si>
  <si>
    <t>GHOST BOX storage cabinets top
 - Size: w 270, d 47, h 2 cm
top: mat marble - Carnico Grey- MO3</t>
  </si>
  <si>
    <t>Mặt tủ GHOST BOX, hiệu Cassina, model 37327M20, kích thước 270x47x2 cm, bằng đá marble, màu Carnico Grey, mới 100%</t>
  </si>
  <si>
    <t>94039990</t>
  </si>
  <si>
    <t>Shelves</t>
  </si>
  <si>
    <t>83523Q00/ 83523000/ 83525000/ 83521Q00</t>
  </si>
  <si>
    <t>CABCA00006</t>
  </si>
  <si>
    <t>"INFINITO"
SHELF W. 80CM./D. 25CM
ASHWOOD STAINED BLACK
83521Q00: 1pcs
83523Q00: 3pcs
83523000: 1pcs
8352500: 1 pcs</t>
  </si>
  <si>
    <t>Kệ INFINITO, hiệu Cassina, model 83523Q00/ 83523000/ 83525000/ 83521Q00, kích thước 263x35x268 cm, bằng gỗ ashwood và kim loại, màu black, tháo rời đồng bộ, mới 100%</t>
  </si>
  <si>
    <t>11411000</t>
  </si>
  <si>
    <t>CABCA00007</t>
  </si>
  <si>
    <t>NUVOLA ROSSA bookcase with folding frame
 - Size: w 100, d 39,5, h 192 cm
structure: american walnut</t>
  </si>
  <si>
    <t>Kệ sách NUVOLA ROSSA, hiệu Cassina, model 11411000, kích thước 100x39.5x192 cm, bằng gỗ american walnut, mới 100%</t>
  </si>
  <si>
    <t>83803000</t>
  </si>
  <si>
    <t>CABCA00008</t>
  </si>
  <si>
    <t>VELIERO
bookcase
w 205,5, d 55,5, h 266 cm
supports and base: ashwood stained black
shelves: tempered and stratified glass
metal parts: brass with satin chromed finish</t>
  </si>
  <si>
    <t>Kệ sách VELIERO, hiệu Cassina, model 83803000, kích thước 205.5x55.5x266 cm, bằng gỗ ash, kính và kim loại, màu black, tháo rời đồng bộ, mới 100%</t>
  </si>
  <si>
    <t>KA201000</t>
  </si>
  <si>
    <t>ACCCA00001</t>
  </si>
  <si>
    <t>SFERICO 1 glass tableware
 - Size: Ø 7, h 14,4 cm
clear mouth blown glass</t>
  </si>
  <si>
    <t>Ly thủy tinh trang trí SFERICO 1, hiệu Cassina, model KA201000, kích thước 7x7x14.4 cm, bằng thủy tinh, mới 100%</t>
  </si>
  <si>
    <t>70132800</t>
  </si>
  <si>
    <t>KA202000</t>
  </si>
  <si>
    <t>ACCCA00002</t>
  </si>
  <si>
    <t>SFERICO 2 glass tableware
 - Size: Ø 7, h 14,4 cm
clear mouth blown glass</t>
  </si>
  <si>
    <t>Ly thủy tinh trang trí SFERICO 2, hiệu Cassina, model KA202000, kích thước 7x7x14.4 cm, bằng thủy tinh, mới 100%</t>
  </si>
  <si>
    <t>KA206000</t>
  </si>
  <si>
    <t>ACCCA00003</t>
  </si>
  <si>
    <t>SFERICO 6 glass tableware
 - Size: Ø 75, h 10,5 cm
clear mouth blown glass</t>
  </si>
  <si>
    <t>Ly thủy tinh trang trí SFERICO 6, hiệu Cassina, model KA206000, kích thước 75x75x10.5 cm, bằng thủy tinh, mới 100%</t>
  </si>
  <si>
    <t>GNR23000</t>
  </si>
  <si>
    <t>ACCCA00004</t>
  </si>
  <si>
    <t>LC Porcellane - Service Prunier coffee service for two
 - Size: cup ø 10 cm, saucer ø 12.5 cm
porcelain</t>
  </si>
  <si>
    <t>Bộ tách trang trí LC Porcellane, Service Prunier, hiệu Cassina, model GNR23000, bộ 2 cái, đường kính của tách 10 cm, đế đựng tách 12.5 cm, bằng sứ, màu trắng, mới 100%</t>
  </si>
  <si>
    <t>69131090</t>
  </si>
  <si>
    <t>GNR32000</t>
  </si>
  <si>
    <t>ACCCA00005</t>
  </si>
  <si>
    <t>LC Porcellane - Collection Chandigarh Poisson - round tray
 - Size: Ø 35 cm
porcelain</t>
  </si>
  <si>
    <t>Khay trang trí LC Porcellane, Collection Chandigarh Poisson, hiệu Cassina, model GNR32000, đường kính 35 cm, bằng sứ, màu trắng, mới 100%</t>
  </si>
  <si>
    <t>GNR20000</t>
  </si>
  <si>
    <t>ACCCA00006</t>
  </si>
  <si>
    <t>LC Porcellane - Service Prunier set of two dessert plates
 - Size: Ø 20 cm
porcelain</t>
  </si>
  <si>
    <t>Bộ 2 đĩa trang trí LC Porcellane, Service Prunier, hiệu Cassina, model GNR20000, đường kính 20 cm, bằng sứ, màu trắng, mới 100%</t>
  </si>
  <si>
    <t>GNR22000</t>
  </si>
  <si>
    <t>ACCCA00007</t>
  </si>
  <si>
    <t>LC Porcellane - Service Prunier set of two soup plates
 - Size: Ø 21 cm
porcelain</t>
  </si>
  <si>
    <t>Bộ 2 đĩa trang trí LC Porcellane, Service Prunier, hiệu Cassina, model GNR22000, đường kính 21 cm, bằng sứ, màu trắng, mới 100%</t>
  </si>
  <si>
    <t>GNR21000</t>
  </si>
  <si>
    <t>ACCCA00008</t>
  </si>
  <si>
    <t>LC Porcellane - Service Prunier set of two flat plates
 - Size: Ø 27 cm
porcelain</t>
  </si>
  <si>
    <t>Bộ 2 đĩa trang trí LC Porcellane, Service Prunier, hiệu Cassina, model GNR21000, đường kính 27 cm, bằng sứ, màu trắng, mới 100%</t>
  </si>
  <si>
    <t>D05A1000</t>
  </si>
  <si>
    <t>ACCCA00009</t>
  </si>
  <si>
    <t>Le Due Facce della Luna - table cutlery set 24-piece set (6 cutlery for 4 place settings)
 - Size: 
stainless steel</t>
  </si>
  <si>
    <t>Bộ dụng cụ dao nĩa trang trí Le Due Facce della Luna, hiệu Cassina, model D05A1000, gồm 6 món 1 bộ, tổng 24 món, bằng thép không gỉ, mới 100%</t>
  </si>
  <si>
    <t>73239990</t>
  </si>
  <si>
    <t>D0322000</t>
  </si>
  <si>
    <t>ACCCA00010</t>
  </si>
  <si>
    <t>TOGETHER set for 2 place settings - 2 placemats 45 x 60 cm + 2 napkins
 - Size: 
cestòn</t>
  </si>
  <si>
    <t>Bộ khăn TOGETHER, hiệu Cassina, model D0322000, 1 bộ gồm 4 khăn, kích thước 45x60 cm cho khăn bàn, bằng bông, mới 100%</t>
  </si>
  <si>
    <t>63025190</t>
  </si>
  <si>
    <t>65705000</t>
  </si>
  <si>
    <t>TRLCA00001</t>
  </si>
  <si>
    <t>SERVING CART
serving cart with wheels, shelves in laminate HPL
w 82, d 55, h 81 cm
structure: american walnut
shelves: blue</t>
  </si>
  <si>
    <t>Kệ SERVING CART có bánh xe, hiệu Cassina, model 65705000, kích thước 82x55x81 cm, khung bằng gỗ american walnut, mặt kệ phủ laminate, màu blue, mới 100%</t>
  </si>
  <si>
    <t>657A1000</t>
  </si>
  <si>
    <t>ACCCA00011</t>
  </si>
  <si>
    <t>SERVING CART hanging glass holder with 3 compartments (6-12 glasses)
 - Size: w 37, d 27, h 4 cm
brushed stainless steel</t>
  </si>
  <si>
    <t>Giá treo SERVING CART, hiệu Cassina, model 657A1000, kích thước 37x27x4 cm, bằng thép không gỉ, dùng để treo đồ trang trí, mới 100%</t>
  </si>
  <si>
    <t>83024999</t>
  </si>
  <si>
    <t>657A2000</t>
  </si>
  <si>
    <t>ACCCA00012</t>
  </si>
  <si>
    <t>SERVING CART bottle holder with 6 compartments (3 wine and 3 champagne)
 - Size: w 37, d 23, h 6 cm
brushed stainless steel</t>
  </si>
  <si>
    <t>Khay đựng đồ nhà bếp SERVING CART, hiệu Cassina, model 657A2000, kích thước 37x23x6 cm, bằng thép không gỉ, mới 100%</t>
  </si>
  <si>
    <t>73239310</t>
  </si>
  <si>
    <t>657A3000</t>
  </si>
  <si>
    <t>ACCCA00013</t>
  </si>
  <si>
    <t>SERVING CART tray for glasses with 3 compartments (6-12 glasses)
 - Size: w 37, d 23, h 5 cm
brushed stainless steel</t>
  </si>
  <si>
    <t>Khay đựng đồ trong nhà bếp SERVING CART, hiệu Cassina, model 657A3000, kích thước 37x23x5 cm, bằng thép không gỉ, mới 100%</t>
  </si>
  <si>
    <t>D0101010</t>
  </si>
  <si>
    <t>ACCCA00014</t>
  </si>
  <si>
    <t xml:space="preserve">HOME FRAGRANCES Santal King - candle M
 - Size: 330 g
</t>
  </si>
  <si>
    <t>42%+15%</t>
  </si>
  <si>
    <t>Nến HOME FRAGRANCES - Santal King, hiệu Cassina, model D0101010, kích thước 8x8x10 cm, làm bằng sáp, mới 100%</t>
  </si>
  <si>
    <t>D0103010</t>
  </si>
  <si>
    <t>ACCCA00015</t>
  </si>
  <si>
    <t xml:space="preserve">HOME FRAGRANCES
Amber Katmandou - candle M
330 g
</t>
  </si>
  <si>
    <t>Nến HOME FRAGRANCES - Amber Katmandou, hiệu Cassina, model D0103010, kích thước 8x8x10 cm, làm bằng sáp, mới 100%</t>
  </si>
  <si>
    <t>D0102020</t>
  </si>
  <si>
    <t>ACCCA00016</t>
  </si>
  <si>
    <t xml:space="preserve">HOME FRAGRANCES Eolian Delight - candle L
 - Size: 500 g
</t>
  </si>
  <si>
    <t>Nến HOME FRAGRANCES - Eolian Delight, hiệu Cassina, model D0102020, kích thước 11x11x11 cm, làm bằng sáp, mới 100%</t>
  </si>
  <si>
    <t>D0101020</t>
  </si>
  <si>
    <t>ACCCA00017</t>
  </si>
  <si>
    <t xml:space="preserve">HOME FRAGRANCES Santal King - candle L
 - Size: 500 g
</t>
  </si>
  <si>
    <t>Nến HOME FRAGRANCES - Santal King, hiệu Cassina, model D0101020, kích thước 11x11x11 cm, làm bằng sáp, mới 100%</t>
  </si>
  <si>
    <t>D0102120</t>
  </si>
  <si>
    <t>ACCCA00018</t>
  </si>
  <si>
    <t xml:space="preserve">HOME FRAGRANCES Eolian Delight - reed diffuser
 - Size: 500 ml
</t>
  </si>
  <si>
    <t>Chế phẩm khuyết tán tinh dầu HOME FRAGRANCES - Eolian Delight , hiệu Cassina, model D0102120, kích thước 8.6x8.6x15.3 cm, đựng trong lọ thủy tinh, mới 100%</t>
  </si>
  <si>
    <t>33074910</t>
  </si>
  <si>
    <t>D0103120</t>
  </si>
  <si>
    <t>ACCCA00019</t>
  </si>
  <si>
    <t xml:space="preserve">HOME FRAGRANCES Amber Katmandou - reed diffuser
 - Size: 500 ml
</t>
  </si>
  <si>
    <t>Chế phẩm khuyết tán tinh dầu HOME FRAGRANCES - Amber Katmandou, hiệu Cassina, model D0103120, kích thước 8.6x8.6x15.3 cm, đựng trong lọ thủy tinh, mới 100%</t>
  </si>
  <si>
    <t>66201000</t>
  </si>
  <si>
    <t>ACCCA00020</t>
  </si>
  <si>
    <t>CROSS blown glass vase
 - Size: w 10, d 10, h 12 cm
extra clear</t>
  </si>
  <si>
    <t>Bình hoa CROSS, hiệu Cassina, model 66201000, kích thước 10x10x12 cm, bằng thủy tinh trong suốt, mới 100%</t>
  </si>
  <si>
    <t>66212000</t>
  </si>
  <si>
    <t>ACCCA00021</t>
  </si>
  <si>
    <t>CROSS blown glass vase
 - Size: w 10, d 10, h 23 cm
apple green</t>
  </si>
  <si>
    <t>Bình hoa CROSS, hiệu Cassina, model 66212000, kích thước 10x10x23 cm, bằng thủy tinh, màu apple green, mới 100%</t>
  </si>
  <si>
    <t>66213000</t>
  </si>
  <si>
    <t>ACCCA00022</t>
  </si>
  <si>
    <t>CROSS blown glass vase
 - Size: w 10, d 10, h 23 cm
water</t>
  </si>
  <si>
    <t>Bình hoa CROSS, hiệu Cassina, model 66213000, kích thước 10x10x23 cm, bằng thủy tinh, màu water, mới 100%</t>
  </si>
  <si>
    <t>66221000</t>
  </si>
  <si>
    <t>ACCCA00023</t>
  </si>
  <si>
    <t>CROSS blown glass vase
 - Size: w 10, d 10, h 27 cm
extra clear</t>
  </si>
  <si>
    <t>Bình hoa CROSS, hiệu Cassina, model 66221000, kích thước 10x10x27 cm, bằng thủy tinh, màu extra clear, mới 100%</t>
  </si>
  <si>
    <t>66101000</t>
  </si>
  <si>
    <t>ACCCA00024</t>
  </si>
  <si>
    <t>SKYSCRAPER pressed glass vase
 - Size: w 15, d 11, h 23 cm</t>
  </si>
  <si>
    <t>Bình hoa SKYSCRAPER, hiệu Cassina, model 66101000, kích thước 15x11x23 cm, bằng thủy tinh trong suốt, mới 100%</t>
  </si>
  <si>
    <t>87421000</t>
  </si>
  <si>
    <t>ACCCA00025</t>
  </si>
  <si>
    <t>IMPRONTA cylindrical vase in hand-decorated glazed ceramic "Bocca"
 - Size: Ø 10, h 31 cm
red/white</t>
  </si>
  <si>
    <t>Bình hoa IMPRONTA Vaso Bocca, hiệu Cassina, model 87421000, kích thước 10x10x31 cm, bằng gốm, màu red, white, mới 100%</t>
  </si>
  <si>
    <t>87411000</t>
  </si>
  <si>
    <t>ACCCA00026</t>
  </si>
  <si>
    <t>IMPRONTA pocket emptier in hand-decorated glazed ceramic "Mano"
 - Size: w 20, d 20, h 4 cm
red/white</t>
  </si>
  <si>
    <t>Khay đựng đồ IMPRONTA, hiệu Cassina, model 87411000, kích thước 20x20x4 cm, bằng gốm, màu red, white, mới 100%</t>
  </si>
  <si>
    <t>87402000</t>
  </si>
  <si>
    <t>ACCCA00027</t>
  </si>
  <si>
    <t>IMPRONTA hand decorated ceramic vase "Mano"
 - Size: w 19, d 7, h 22 cm
black/white</t>
  </si>
  <si>
    <t>Bình hoa trang trí IMPRONTA, Mano vase, hiệu Cassina, model 87402000, kích thước 19x22x7 cm, bằng gốm, màu black, white, mới 100%</t>
  </si>
  <si>
    <t>13512000</t>
  </si>
  <si>
    <t>ACCCA00028</t>
  </si>
  <si>
    <t>BROLIC
ceramic vase
w 41, d 16, h 28 cm
matt red painted</t>
  </si>
  <si>
    <t>Bình hoa BROLIC, hiệu Cassina, model 13512000, kích thước 41x16x28 cm, bằng gốm, matt red painted, mới 100%</t>
  </si>
  <si>
    <t>13513000</t>
  </si>
  <si>
    <t>ACCCA00029</t>
  </si>
  <si>
    <t>BROLIC ceramic vase
 - Size: w 41, d 16, h 28 cm
matt chalk painted</t>
  </si>
  <si>
    <t>Bình hoa BROLIC, hiệu Cassina, model 13513000, kích thước 41x16x28 cm, bằng gốm, matt chalk painted, mới 100%</t>
  </si>
  <si>
    <t>13501000</t>
  </si>
  <si>
    <t>ACCCA00030</t>
  </si>
  <si>
    <t>BROLIC ceramic vase
 - Size: w 29, d 16, h 36 cm
light green emelled ceramic</t>
  </si>
  <si>
    <t>Bình hoa BROLIC, hiệu Cassina, model 13501000, kích thước 29x16x36 cm, bằng gốm, light green, mới 100%</t>
  </si>
  <si>
    <t>57312000</t>
  </si>
  <si>
    <t>ACCCA00031</t>
  </si>
  <si>
    <t>SESTIERE blown vase in colored Murano glass
 - Size: Ø 27, h 26 cm
light blue body and petrol green cords with black "rigadin"</t>
  </si>
  <si>
    <t>Bình hoa trang trí SESTIERE, hiệu Cassina, model 57312000, kích thước 27x27x26 cm, bằng thủy tinh, màu light blue và green petrol, mới 100%</t>
  </si>
  <si>
    <t>57302000</t>
  </si>
  <si>
    <t>ACCCA00032</t>
  </si>
  <si>
    <t>SESTIERE blown vase in colored Murano glass
 - Size: Ø 23, h 37 cm
topaz body and periwinkle cords with black "rigadin"</t>
  </si>
  <si>
    <t>Bình hoa trang trí, SESTIERE, hiệu Cassina, model 57302000, kích thước 23x23x37 cm, bằng thủy tinh, màu topaz và periwinkle, mới 100%</t>
  </si>
  <si>
    <t>57301000</t>
  </si>
  <si>
    <t>ACCCA00033</t>
  </si>
  <si>
    <t>SESTIERE blown vase in colored Murano glass
 - Size: Ø 23, h 37 cm
sea teal body and carrot red cords with black "rigadin"</t>
  </si>
  <si>
    <t>Bình hoa trang trí, SESTIERE, hiệu Cassina, model 57301000, kích thước 23x23x37 cm, bằng thủy tinh, màu sea teal và carrot red, mới 100%</t>
  </si>
  <si>
    <t>08311000</t>
  </si>
  <si>
    <t>ACCCA00034</t>
  </si>
  <si>
    <t>DEADLINE rectangular mirror "WHO'S AFRAID OF RED"
 - Size: w 50, h 70 cm
frame: black stained ashwood</t>
  </si>
  <si>
    <t>Gương Deadline "Who's afraid of red", hiệu Cassina, model 08311000, kích thước 50x70x5 cm, khung gỗ ash màu đen, mới 100%</t>
  </si>
  <si>
    <t>70099200</t>
  </si>
  <si>
    <t>08314000</t>
  </si>
  <si>
    <t>ACCCA00035</t>
  </si>
  <si>
    <t>DEADLINE rectangular mirror "60 CROSSING PATHS"
 - Size: w 50, h 70 cm
frame: black stained ashwood</t>
  </si>
  <si>
    <t>Gương DEADLINE "60 CROSSING PATHS", hiệu Cassina, model 08314000, kích thước 50x70x5 cm, khung gỗ ash màu đen, mới 100%</t>
  </si>
  <si>
    <t>08315000</t>
  </si>
  <si>
    <t>ACCCA00036</t>
  </si>
  <si>
    <t>DEADLINE rectangular mirror "SHREDDED A3"
 - Size: w 50, h 70 cm
frame: black stained ashwood</t>
  </si>
  <si>
    <t>Gương DEADLINE "SHREDDED A3", hiệu Cassina, model 08315000, kích thước 50x70x5 cm, khung gỗ ash màu đen, mới 100%</t>
  </si>
  <si>
    <t>49701000</t>
  </si>
  <si>
    <t>ACCCA00037</t>
  </si>
  <si>
    <t xml:space="preserve">GIBBOUS mirror
 - Size: w 80, d 16, h 67 cm
</t>
  </si>
  <si>
    <t>Gương GIBBOUS, hiệu Cassina, model 49701000, kích thước 80x16x67 cm, mới 100%</t>
  </si>
  <si>
    <t>70099100</t>
  </si>
  <si>
    <t>W7001000</t>
  </si>
  <si>
    <t>ACCCA00038</t>
  </si>
  <si>
    <t>LES GRANDS TRANS-PARENTS elliptical serigraphed mirror
 - Size: w 91, d 4, h 181 cm
mirror</t>
  </si>
  <si>
    <t>Gương LES GRANDS TRANS-PARENTS, hiệu Cassina, model W7001000, kích thước 91x181x4 cm, mới 100%</t>
  </si>
  <si>
    <t>09801000</t>
  </si>
  <si>
    <t>ACCCA00039</t>
  </si>
  <si>
    <t>098 ME FROM OUTSIDE
SERIGRAPHED ELLIPTICAL MIRROR
"WE SEE WHAT WE WANT TO SEE"</t>
  </si>
  <si>
    <t>Gương 098 ME FROM OUTSIDE "WE SEE WHAT WE WANT TO SEE", hiệu Cassina, model 09801000, kích thước 92x183x4 cm, mới 100%</t>
  </si>
  <si>
    <t>08342000</t>
  </si>
  <si>
    <t>ACCCA00040</t>
  </si>
  <si>
    <t>DEADLINE square mirror "ETERNAL SUN"
 - Size: w 100, h 100 cm
frame: black stained ashwood</t>
  </si>
  <si>
    <t>Gương DEADLINE "ETERNAL SUN", hiệu Cassina, model 08342000, kích thước 100x100x5 cm, khung gỗ ash màu đen, mới 100%</t>
  </si>
  <si>
    <t>08343000</t>
  </si>
  <si>
    <t>ACCCA00041</t>
  </si>
  <si>
    <t>DEADLINE square mirror "REFLECTIONS ABOUT SPATIALISM"
 - Size: w 100, h 100 cm
frame: black stained ashwood</t>
  </si>
  <si>
    <t>Gương DEADLINE, hiệu Cassina, model 08343000, kích thước 100x100x5 cm, khung gỗ ash màu đen, mới 100%</t>
  </si>
  <si>
    <t>57401000</t>
  </si>
  <si>
    <t>ACCCA00042</t>
  </si>
  <si>
    <t>NO VANITAS round mirror, central Murano glass "murrina"
 - Size: Ø 100 cm, h 6 cm
sea teal and carrot red cord with black "rigadin"</t>
  </si>
  <si>
    <t>Gương NO VANITAS, hiệu Cassina, model 57401000, kích thước 100x100x6 cm, họa tiết màu sea teal, carrot red, mới 100%</t>
  </si>
  <si>
    <t>57403000</t>
  </si>
  <si>
    <t>ACCCA00043</t>
  </si>
  <si>
    <t>NO VANITAS round mirror, central Murano glass "murrina"
 - Size: Ø 100 cm, h 6 cm
light blue and petrol green cord with black "rigadin"</t>
  </si>
  <si>
    <t>Gương NO VANITAS, hiệu Cassina, model 57403000, kích thước 100x100x6 cm, họa tiết màu light blue, petrol green, mới 100%</t>
  </si>
  <si>
    <t>574K2000</t>
  </si>
  <si>
    <t>ACCCA00044</t>
  </si>
  <si>
    <t>NO VANITAS round mirror, central Murano glass "murrina" with perimeter and central backlighting
 ELECTRIFIED MIRROR MOD. 574
ROUND D.100 CM CENTRAL MURRINA
GLASS DE MURANO D.30 CM
TOPAZ AND PERIWINKLE CORD
WITH BLACK RIGADIN
ELETTRIFICAZIONE EUROPA</t>
  </si>
  <si>
    <t>Gương NO VANITAS, hiệu Cassina, model 574K2000, kích thước 100x100x6 cm, họa tiết màu topaz và periwinkle, mới 100%</t>
  </si>
  <si>
    <t>49702000</t>
  </si>
  <si>
    <t>ACCCA00045</t>
  </si>
  <si>
    <t xml:space="preserve">GIBBOUS mirror
 - Size: w 115, d 22, h 96 cm
</t>
  </si>
  <si>
    <t>Gương GIBBOUS, hiệu Cassina, model 49702000, kích thước 115x22x96 cm, mới 100%</t>
  </si>
  <si>
    <t>D080A310</t>
  </si>
  <si>
    <t>ACCCA00046</t>
  </si>
  <si>
    <t>TÉNÉRÉ - polychrome version hand-woven jute rug
 - Size: w 350, d 250 cm
bianco</t>
  </si>
  <si>
    <t>Thảm TÉNÉRÉ POLYCHROME, hiệu Cassina, model D080A310, kích thước 350x250 cm, bằng sợi đay, màu bianco, mới 100%</t>
  </si>
  <si>
    <t>57023920</t>
  </si>
  <si>
    <t>084M2300</t>
  </si>
  <si>
    <t>ACCCA00047</t>
  </si>
  <si>
    <t>SAHARA - round rug, Ø 300 cm SUGAR PAPER COLOUR</t>
  </si>
  <si>
    <t>Thảm SAHARA, hiệu Cassina, model 084M2300, đường kính 300 cm, bằng bông và cotton, màu sugar paper, mới 100%</t>
  </si>
  <si>
    <t>57019099</t>
  </si>
  <si>
    <t>D1201000</t>
  </si>
  <si>
    <t>ACCCA00048</t>
  </si>
  <si>
    <t>RIGADINO hand-tufted wool carpet
 - Size: w 350, d 255 cm
sea teal and carrot red with black "rigadin"</t>
  </si>
  <si>
    <t>Thảm RIGADINO, hiệu Cassina, model D1201000, kích thước 350x255 cm, bằng bông, màu sea teal và carrot red, mới 100%</t>
  </si>
  <si>
    <t>084M3510</t>
  </si>
  <si>
    <t>ACCCA00049</t>
  </si>
  <si>
    <t>SAHARA GRID
rug with grid
w 350, d 250 cm
clay Gray color</t>
  </si>
  <si>
    <t>Thảm SAHARA GRID, hiệu Cassina, model 084M3510, kích thước 350x250 cm, bằng bông và cotton, màu clay gray, mới 100%</t>
  </si>
  <si>
    <t>NNH-CS-2025-004-0407-STOCK</t>
  </si>
  <si>
    <t>TABOURET Berger stool 
Size: 33x33x26.7 cm
Material &amp; color: american walnut</t>
  </si>
  <si>
    <t>42% + 10%</t>
  </si>
  <si>
    <t>52402000</t>
  </si>
  <si>
    <t>CHRCA00008</t>
  </si>
  <si>
    <t>TABOURET BERGER stool 
Size: 33x33x26.7 cm
Material &amp; color: oak stained black</t>
  </si>
  <si>
    <t>Ghế đẩu TABOURET BERGER, hiệu Cassina, model 52402000, kích thước 33x33x26.7cm, bằng gỗ oak, màu black, mới 100%</t>
  </si>
  <si>
    <t>52401000</t>
  </si>
  <si>
    <t>CHRCA00009</t>
  </si>
  <si>
    <t>TABOURET BERGER stool 
Size: 33x33x26.7 cm
Material &amp; color: natural oak</t>
  </si>
  <si>
    <t>Ghế đẩu TABOURET BERGER, hiệu Cassina, model 52401000, kích thước 33x33x26.7cm, bằng gỗ oak, màu natural, mới 100%</t>
  </si>
  <si>
    <t xml:space="preserve">TABOURET Méribel stool 
Size: 33x33x38.4cm
Material &amp; color: oak stained black </t>
  </si>
  <si>
    <t>52311000</t>
  </si>
  <si>
    <t>CHRCA00011</t>
  </si>
  <si>
    <t>TABOURET Méribel stool 
Size: 33x33x38.4cm
Material &amp; color: canaletto walnut</t>
  </si>
  <si>
    <t>Ghế đẩu TABOURET MERIBEL, hiệu Cassina, model 52311000, kích thước 33x33x38.4cm, bằng gỗ walnut, màu canaletto, mới 100%</t>
  </si>
  <si>
    <t>52301000</t>
  </si>
  <si>
    <t>CHRCA00012</t>
  </si>
  <si>
    <t>TABOURET Méribel stool 
Size: 33x33x38.4cm
Material &amp; color: natural oak</t>
  </si>
  <si>
    <t>Ghế đẩu TABOURET MERIBEL, hiệu Cassina, model 52301000, kích thước 33x33x38.4cm, bằng gỗ oak, màu natural, mới 100%</t>
  </si>
  <si>
    <t>28013000</t>
  </si>
  <si>
    <t>CHRCA00030</t>
  </si>
  <si>
    <t>ZIG-ZAG chair
 - Size: w 37, d 43, h 74 cm
Ash stained yellow</t>
  </si>
  <si>
    <t>Ghế ZIG-ZAG, hiệu Cassina, model 28013000, kích thước 37x43x74 cm, bằng gỗ ash, màu yellow, chiều cao ghế ngồi 43cm, mới 100%</t>
  </si>
  <si>
    <t>28014000</t>
  </si>
  <si>
    <t>CHRCA00031</t>
  </si>
  <si>
    <t>ZIG-ZAG chair
 - Size: w 37, d 43, h 74 cm
Ash stained White</t>
  </si>
  <si>
    <t>Ghế ZIG-ZAG, hiệu Cassina, model 28014000, kích thước 37x43x74 cm, bằng gỗ ash, màu white, chiều cao ghế ngồi 43cm, mới 100%</t>
  </si>
  <si>
    <t>0011Z000</t>
  </si>
  <si>
    <t>CHRCA00032</t>
  </si>
  <si>
    <t>1 Fauteuil dossier basculant armchair
Standard
 - Size: w 65, d 66, h 65 cm
Armchair / chrome frame seat and back
hairyskin with black leather arm straps</t>
  </si>
  <si>
    <t>Ghế armchair 1 Fauteuil Dossier Basculant, hiệu Cassina, model 0011Z000, kích thước 65x66x65 cm, khung bằng kim loại, bọc da màu hairyskin, chiều cao ghế ngồi 40cm, mới 100%</t>
  </si>
  <si>
    <t>CLGCA00004</t>
  </si>
  <si>
    <t>4 Chaise longue à reglage continu,black, 13Y414, LCX PELLE GRAFITE
headroll /  footsleeve: extra leather - grafite
NEW13Y414/NEW13Y414</t>
  </si>
  <si>
    <t>Ghế bành 4 Chaise longue à reglage continu, hiệu Cassina, model 0041C0E0, kích thước 160x56,4x69 cm, khung kim loại, đệm bọc da Y Leather, màu grafite, chiều cao mặt ghế 27cm, mới 100%</t>
  </si>
  <si>
    <t>CLGCA00005</t>
  </si>
  <si>
    <t>4 Chaise longue à reglage continu, BLACK BASE, 
PELLE "LCX" SCOZIA RADICA
PELLE "LCX" SCOZIA GRAFITE- headroll /  footsleeve: extra leather - grafite
NEW13Y416/NEW13Y414</t>
  </si>
  <si>
    <t>Ghế bành 4 Chaise longue à reglage continu, hiệu Cassina, model 0041C0E0, kích thước 160x56,4x69 cm, khung kim loại, đệm bọc da Y Leather, màu RADICA, chiều cao mặt ghế 27cm, mới 100%</t>
  </si>
  <si>
    <t>Marketing-material</t>
  </si>
  <si>
    <t>Marketing material</t>
  </si>
  <si>
    <t>no</t>
  </si>
  <si>
    <t>NCRPIEN2</t>
  </si>
  <si>
    <t>MKTCA00001</t>
  </si>
  <si>
    <t>Kệ Trolley có bánh xe, hiệu Cassina, model NCRPIEN2, bằng kim loại</t>
  </si>
  <si>
    <t>Kệ Trolley có bánh xe, hiệu Cassina, model NCRPIEN2, bằng kim loại, hàng mẫu F.O.C, mới 100%</t>
  </si>
  <si>
    <t>NNH-USM-2025-014-0610</t>
  </si>
  <si>
    <t>NNH-USM-2025-014-0708-DH-0003871</t>
  </si>
  <si>
    <t>DH-0003871</t>
  </si>
  <si>
    <t>50%</t>
  </si>
  <si>
    <t>102089408</t>
  </si>
  <si>
    <t>885573901972</t>
  </si>
  <si>
    <t>FEDEX</t>
  </si>
  <si>
    <t>TÂN SƠN NHẤT</t>
  </si>
  <si>
    <t>107697396700</t>
  </si>
  <si>
    <t>Kệ nội thất văn phòng USM HALLER, hiệu USM, model USMUS10417, kích thước 750x350x450 mm, bằng kim loại, mới 100%</t>
  </si>
  <si>
    <t>Lô 90</t>
  </si>
  <si>
    <t>NNH-USM-2025-016-0109-DH-0004048</t>
  </si>
  <si>
    <t>DH-0004048</t>
  </si>
  <si>
    <t>NNH-EC-2025-012-2609-DH-0003985</t>
  </si>
  <si>
    <t>DH-0003985</t>
  </si>
  <si>
    <t>LDLEC00054</t>
  </si>
  <si>
    <t>Des: Downlight
- Power: 15W
- CCT: 3000K
- Beam Angle: 38°
- Size: φ82*H115mm
- Cutting Size: φ75mm
- Body: White
- Chrome reflector
IP20
0-10V
Driver included</t>
  </si>
  <si>
    <t>NNH-EC-2025-012-2609</t>
  </si>
  <si>
    <t>SMLCL25100078</t>
  </si>
  <si>
    <t>TXGU5029561/CF703433</t>
  </si>
  <si>
    <t>107696910050</t>
  </si>
  <si>
    <t>Bộ phận của đèn: thân đèn dùng cho đèn Downlight, kích thước 82x82x115mm, bằng kim loại, góc chiếu len 38 độ, hiệu NANOCO, model LDLEC00054, mới 100%</t>
  </si>
  <si>
    <t>Lô 91</t>
  </si>
  <si>
    <t>LDLEC00055</t>
  </si>
  <si>
    <t>Des: Downlight
- Power: 12W
- CCT: 3000K
- Beam Angle: 38°
- Size: φ62*H105mm
- Cutting Size: φ55mm
- Body: White
- Chrome reflector
IP20
0-10V
Driver included</t>
  </si>
  <si>
    <t>Bộ phận của đèn: thân đèn dùng cho đèn Downlight, kích thước 62x62x105mm, bằng kim loại, góc chiếu len 38 độ, hiệu NANOCO, model LDLEC00055, mới 100%</t>
  </si>
  <si>
    <t>LDLEC00056</t>
  </si>
  <si>
    <t>Surface mounted
- Power: 40W
- CCT: 3000K
- Beam Angle: 60°
- Size: 140*H162mm
- Body: Black 
IP20 
0-10V
Driver included</t>
  </si>
  <si>
    <t>Bộ phận của đèn: thân đèn dùng cho đèn Surface Mounted Spotlight, kích thước 140x140x162mm, màu đen, bằng kim loại, hiệu NANOCO, model LDLEC00056, mới 100%</t>
  </si>
  <si>
    <t xml:space="preserve">DIN-121 </t>
  </si>
  <si>
    <t>DIN-121</t>
  </si>
  <si>
    <t>DMX Signal Amplifier DIN-121
DC12V-DC24V
112×35×67mm</t>
  </si>
  <si>
    <t>Thiết bị điều khiển tín hiệu DMX, DC12V-DC24V, kích thước 112x35x67mm, hiệu LTECH, model DIN-121, mới 100%</t>
  </si>
  <si>
    <t>LT-84A</t>
  </si>
  <si>
    <t>DMX/DALI - 0-10V Dimming Module LT-84A
100-240VAC
175×44×30mm</t>
  </si>
  <si>
    <t>Thiết bị điều khiển tín hiệu DMX/DALI Dimming, 100-240VAC, kích thước 175x44x30mm, hiệu LTECH, model LT-84A, mới 100%</t>
  </si>
  <si>
    <t>Driver dim triac
25-42 VDC, 400mA, 10-16.8W
65×42.5×24/67mm</t>
  </si>
  <si>
    <t>NNH-USM-2025-008-2708</t>
  </si>
  <si>
    <t>NNH-USM-2025-008-0307-01</t>
  </si>
  <si>
    <t>6.59</t>
  </si>
  <si>
    <t>102089058</t>
  </si>
  <si>
    <t>01/25/300417</t>
  </si>
  <si>
    <t>FFAU6513220/SC12306</t>
  </si>
  <si>
    <t>REAL</t>
  </si>
  <si>
    <t>107740779640</t>
  </si>
  <si>
    <t>Lô 92</t>
  </si>
  <si>
    <t>USMUS-10732</t>
  </si>
  <si>
    <t>USM Haller, tube, 175 mm</t>
  </si>
  <si>
    <t>USMUS-10737</t>
  </si>
  <si>
    <t>USM Haller, tube, 395 mm</t>
  </si>
  <si>
    <t>USMUS-10742</t>
  </si>
  <si>
    <t>USM Haller, tube, 750 mm, with holes</t>
  </si>
  <si>
    <t>14.72</t>
  </si>
  <si>
    <t>USMUS-15167</t>
  </si>
  <si>
    <t>USM, adjustable glide, Ø 36 mm, 15 mm</t>
  </si>
  <si>
    <t>USMUS-18442</t>
  </si>
  <si>
    <t>USM Haller, hinge, 30 N</t>
  </si>
  <si>
    <t>USMUS-18444</t>
  </si>
  <si>
    <t>USM Haller, hinge, 69 N</t>
  </si>
  <si>
    <t>USM Haller, soft close kit for hinge</t>
  </si>
  <si>
    <t>2.95</t>
  </si>
  <si>
    <t>USMUS-12066</t>
  </si>
  <si>
    <t>USM, castor, lockable, with hard running surface</t>
  </si>
  <si>
    <t>14.51</t>
  </si>
  <si>
    <t>78.29</t>
  </si>
  <si>
    <t>USMUS-16171.24</t>
  </si>
  <si>
    <t>USM Haller, metal panel, 750x395 mm, pure white</t>
  </si>
  <si>
    <t>45.87</t>
  </si>
  <si>
    <t>USMUS-16171.25</t>
  </si>
  <si>
    <t>USM Haller, metal panel, 750x395 mm, golden yellow</t>
  </si>
  <si>
    <t>USMUS-11207.23</t>
  </si>
  <si>
    <t>USM Haller, metal panel, 750x350 mm, USM ruby red</t>
  </si>
  <si>
    <t>USMUS-11207.30</t>
  </si>
  <si>
    <t>USM Haller, metal panel, 750x350 mm, graphite black</t>
  </si>
  <si>
    <t>USMUS-11207.34</t>
  </si>
  <si>
    <t>USM Haller, metal panel, 750x350 mm, steel blue</t>
  </si>
  <si>
    <t>USMUS-16189.24</t>
  </si>
  <si>
    <t>USM Haller, metal panel, 500x175 mm, pure white</t>
  </si>
  <si>
    <t>USMUS-16189.34</t>
  </si>
  <si>
    <t>USM Haller, metal panel, 500x175 mm, steel blue</t>
  </si>
  <si>
    <t>USMUS-16189.27</t>
  </si>
  <si>
    <t>USM Haller, metal panel, 500x175 mm, gentian blue</t>
  </si>
  <si>
    <t>USMUS-11208.23</t>
  </si>
  <si>
    <t>USM Haller, metal panel, 500x350 mm, USM ruby red</t>
  </si>
  <si>
    <t>USMUS-11208.24</t>
  </si>
  <si>
    <t>USM Haller, metal panel, 500x350 mm, pure white</t>
  </si>
  <si>
    <t>USMUS-11208.27</t>
  </si>
  <si>
    <t>USM Haller, metal panel, 500x350 mm, gentian blue</t>
  </si>
  <si>
    <t>USMUS-11208.30</t>
  </si>
  <si>
    <t>USM Haller, metal panel, 500x350 mm, graphite black</t>
  </si>
  <si>
    <t>USMUS-11208.34</t>
  </si>
  <si>
    <t>USM Haller, metal panel, 500x350 mm, steel blue</t>
  </si>
  <si>
    <t>USMUS-11204.31</t>
  </si>
  <si>
    <t>USM Haller, metal panel, 500x500 mm, USM beige</t>
  </si>
  <si>
    <t>USMUS-11211.23</t>
  </si>
  <si>
    <t>USM Haller, metal panel, 350x350 mm, USM ruby red</t>
  </si>
  <si>
    <t>USMUS-11211.25</t>
  </si>
  <si>
    <t>USM Haller, metal panel, 350x350 mm, golden yellow</t>
  </si>
  <si>
    <t>USMUS-11211.26</t>
  </si>
  <si>
    <t>USM Haller, metal panel, 350x350 mm, pure orange</t>
  </si>
  <si>
    <t>USMUS-11211.27</t>
  </si>
  <si>
    <t>USM Haller, metal panel, 350x350 mm, gentian blue</t>
  </si>
  <si>
    <t>USMUS-11211.30</t>
  </si>
  <si>
    <t>USM Haller, metal panel, 350x350 mm, graphite black</t>
  </si>
  <si>
    <t>USM Haller, metal panel, 350x350 mm, USM beige</t>
  </si>
  <si>
    <t>USMUS-11211.34</t>
  </si>
  <si>
    <t>USM Haller, metal panel, 350x350 mm, steel blue</t>
  </si>
  <si>
    <t>USM Haller, metal panel, with holes, 350x350 mm, USM brown</t>
  </si>
  <si>
    <t>USMUS-11212.23</t>
  </si>
  <si>
    <t>USM Haller, metal panel, with holes, 350x350 mm, USM ruby red</t>
  </si>
  <si>
    <t>USMUS-11212.27</t>
  </si>
  <si>
    <t>USM Haller, metal panel, with holes, 350x350 mm, gentian blue</t>
  </si>
  <si>
    <t>USMUS-11212.30</t>
  </si>
  <si>
    <t>USM Haller, metal panel, with holes, 350x350 mm, graphite black</t>
  </si>
  <si>
    <t>USMUS-11212.34</t>
  </si>
  <si>
    <t>USM Haller, metal panel, with holes, 350x350 mm, steel blue</t>
  </si>
  <si>
    <t>USMUS-11212.25</t>
  </si>
  <si>
    <t>USM Haller, metal panel, with holes, 350x350 mm, golden yellow</t>
  </si>
  <si>
    <t>USMUS-16187.22</t>
  </si>
  <si>
    <t>USM Haller, metal panel, 350x175 mm, USM brown</t>
  </si>
  <si>
    <t>28.75</t>
  </si>
  <si>
    <t>USM Haller, metal panel, 350x175 mm, steel blue</t>
  </si>
  <si>
    <t>USMUS-16187.27</t>
  </si>
  <si>
    <t>USM Haller, metal panel, 350x175 mm, gentian blue</t>
  </si>
  <si>
    <t>USM Haller, metal panel, 350x175 mm, olive green</t>
  </si>
  <si>
    <t>USMUS-14263.23</t>
  </si>
  <si>
    <t>USM Haller, door without fittings, 750x350 mm, USM ruby red</t>
  </si>
  <si>
    <t>USMUS-14263.25</t>
  </si>
  <si>
    <t>USM Haller, door without fittings, 750x350 mm, golden yellow</t>
  </si>
  <si>
    <t>USMUS-14263.30</t>
  </si>
  <si>
    <t>USM Haller, door without fittings, 750x350 mm, graphite black</t>
  </si>
  <si>
    <t>USMUS-14263.34</t>
  </si>
  <si>
    <t>USM Haller, door without fittings, 750x350 mm, steel blue</t>
  </si>
  <si>
    <t>USMUS-16658.31</t>
  </si>
  <si>
    <t>USM Haller, door without fittings, 350x350 mm, USM beige</t>
  </si>
  <si>
    <t>USMUS-18641</t>
  </si>
  <si>
    <t>USM Haller, glass element in tempered safety glass (ESG), element 4 self sticking fabrics included, 500x500 mm</t>
  </si>
  <si>
    <t>70.27</t>
  </si>
  <si>
    <t>47.84</t>
  </si>
  <si>
    <t>114.76</t>
  </si>
  <si>
    <t>USMUS-18472</t>
  </si>
  <si>
    <t>USM Haller, fitting set for hinge type A to drop-down door</t>
  </si>
  <si>
    <t>27.34</t>
  </si>
  <si>
    <t>USMUS-10748</t>
  </si>
  <si>
    <t>USM Haller, tube, 500 mm, with threaded hole (350/150 mm)</t>
  </si>
  <si>
    <t>25.52</t>
  </si>
  <si>
    <t>USMUS-10749</t>
  </si>
  <si>
    <t>USM Haller, tube, 750 mm, with end milling, type 4, double-sided</t>
  </si>
  <si>
    <t>USM Haller, tube, 750 mm, with holes, double-sided</t>
  </si>
  <si>
    <t>USMUS-11203.22</t>
  </si>
  <si>
    <t>USM Haller, metal panel, 750x500 mm, USM brown</t>
  </si>
  <si>
    <t>USMUS-11203.25</t>
  </si>
  <si>
    <t>USM Haller, metal panel, 750x500 mm, golden yellow</t>
  </si>
  <si>
    <t>USMUS-11203.28</t>
  </si>
  <si>
    <t>USM Haller, metal panel, 750x500 mm, USM green</t>
  </si>
  <si>
    <t>USMUS-11203.36</t>
  </si>
  <si>
    <t>USM Haller, metal panel, 750x500 mm, olive green</t>
  </si>
  <si>
    <t>USMUS-11203.31</t>
  </si>
  <si>
    <t>USM Haller, metal panel, 750x500 mm, USM beige</t>
  </si>
  <si>
    <t>USMUS-11203.30</t>
  </si>
  <si>
    <t>USM Haller, metal panel, 750x500 mm, graphite black</t>
  </si>
  <si>
    <t>USMUS-16171.31</t>
  </si>
  <si>
    <t>USM Haller, metal panel, 750x395 mm, USM beige</t>
  </si>
  <si>
    <t>USMUS-11207.33</t>
  </si>
  <si>
    <t>USM Haller, metal panel, 750x350 mm, anthracite</t>
  </si>
  <si>
    <t>USMUS-16634.26</t>
  </si>
  <si>
    <t>USM Haller, metal panel, with holes, 750x350 mm, pure orange</t>
  </si>
  <si>
    <t>USMUS-11360.26</t>
  </si>
  <si>
    <t>USM Haller, metal panel, shortened, 750x350 mm, pure orange</t>
  </si>
  <si>
    <t>USMUS-11213.36</t>
  </si>
  <si>
    <t>USM Haller, metal panel, 750x250 mm, olive green</t>
  </si>
  <si>
    <t>USMUS-16190.33</t>
  </si>
  <si>
    <t>USM Haller, metal panel, 750x175 mm, anthracite</t>
  </si>
  <si>
    <t>USMUS-16608.36</t>
  </si>
  <si>
    <t>USM Haller, metal panel, 750x100 mm, olive green</t>
  </si>
  <si>
    <t>37.2</t>
  </si>
  <si>
    <t>USM Haller, metal panel, 500x100 mm, pure white</t>
  </si>
  <si>
    <t>USMUS-16189.26</t>
  </si>
  <si>
    <t>USM Haller, metal panel, 500x175 mm, pure orange</t>
  </si>
  <si>
    <t>USMUS-16178.26</t>
  </si>
  <si>
    <t>USM Haller, metal panel, with holes, 500x175 mm, pure orange</t>
  </si>
  <si>
    <t>USMUS-11208.26</t>
  </si>
  <si>
    <t>USM Haller, metal panel, 500x350 mm, pure orange</t>
  </si>
  <si>
    <t>USMUS-11214.26</t>
  </si>
  <si>
    <t>USM Haller, metal panel, 500x250 mm, pure orange</t>
  </si>
  <si>
    <t>USMUS-11209.26</t>
  </si>
  <si>
    <t>USM Haller, metal panel, with holes, 500x350 mm, pure orange</t>
  </si>
  <si>
    <t>USMUS-11210.24</t>
  </si>
  <si>
    <t>USM Haller, metal panel, 395x350 mm, pure white</t>
  </si>
  <si>
    <t>30.01</t>
  </si>
  <si>
    <t>USMUS-11210.25</t>
  </si>
  <si>
    <t>USM Haller, metal panel, 395x350 mm, golden yellow</t>
  </si>
  <si>
    <t>USMUS-11210.30</t>
  </si>
  <si>
    <t>USM Haller, metal panel, 395x350 mm, graphite black</t>
  </si>
  <si>
    <t>USMUS-16174.31</t>
  </si>
  <si>
    <t>USM Haller, metal panel, with holes, 395x350 mm, USM beige</t>
  </si>
  <si>
    <t>USMUS-11211.33</t>
  </si>
  <si>
    <t>USM Haller, metal panel, 350x350 mm, anthracite</t>
  </si>
  <si>
    <t>USMUS-11212.33</t>
  </si>
  <si>
    <t>USM Haller, metal panel, with holes, 350x350 mm, anthracite</t>
  </si>
  <si>
    <t>USMUS-11218.26</t>
  </si>
  <si>
    <t>USM Haller, metal panel, with holes, 350x250 mm, pure orange</t>
  </si>
  <si>
    <t>USMUS-11217.36</t>
  </si>
  <si>
    <t>USM Haller, metal panel, 350x250 mm, olive green</t>
  </si>
  <si>
    <t>USMUS-16187.26</t>
  </si>
  <si>
    <t>USM Haller, metal panel, 350x175 mm, pure orange</t>
  </si>
  <si>
    <t>USMUS-16187.33</t>
  </si>
  <si>
    <t>USM Haller, metal panel, 350x175 mm, anthracite</t>
  </si>
  <si>
    <t>USMUS-16603.24</t>
  </si>
  <si>
    <t>USM Haller, metal panel, 350x100 mm, pure white</t>
  </si>
  <si>
    <t>27.1</t>
  </si>
  <si>
    <t>USMUS-16603.36</t>
  </si>
  <si>
    <t>USM Haller, metal panel, 350x100 mm, olive green</t>
  </si>
  <si>
    <t>USMUS-16177.33</t>
  </si>
  <si>
    <t>USM Haller, metal panel, with holes, 350x175 mm, anthracite</t>
  </si>
  <si>
    <t>USMUS-16617.26</t>
  </si>
  <si>
    <t>USM Haller, metal panel, with holes, 250x175 mm, pure orange</t>
  </si>
  <si>
    <t>27.27</t>
  </si>
  <si>
    <t>USMUS-14263.33</t>
  </si>
  <si>
    <t>USM Haller, door without fittings, 750x350 mm, anthracite</t>
  </si>
  <si>
    <t>USMUS-16192.31</t>
  </si>
  <si>
    <t>USM Haller, door without fittings, 750x395 mm, USM beige</t>
  </si>
  <si>
    <t>88.4</t>
  </si>
  <si>
    <t>USMUS-14264.36</t>
  </si>
  <si>
    <t>USM Haller, door without fittings, 750x250 mm, olive green</t>
  </si>
  <si>
    <t>USMUS-16853.26</t>
  </si>
  <si>
    <t>USM Haller, door without fittings, 750x175 mm, pure orange</t>
  </si>
  <si>
    <t>USMUS-14266.26</t>
  </si>
  <si>
    <t>USM Haller, door without fittings, 500x350 mm, pure orange</t>
  </si>
  <si>
    <t>USMUS-16850.26</t>
  </si>
  <si>
    <t>USM Haller, door without fittings, 500x175 mm, pure orange</t>
  </si>
  <si>
    <t>USMUS-16658.23</t>
  </si>
  <si>
    <t>USM Haller, door without fittings, 350x350 mm, USM ruby red</t>
  </si>
  <si>
    <t>USMUS-16658.34</t>
  </si>
  <si>
    <t>USM Haller, door without fittings, 350x350 mm, steel blue</t>
  </si>
  <si>
    <t>USMUS-18643</t>
  </si>
  <si>
    <t>USM Haller, glass element in tempered safety glass (ESG), element 4 self sticking fabrics included, 750x350 mm</t>
  </si>
  <si>
    <t>66.06</t>
  </si>
  <si>
    <t>USMUS-14108.26</t>
  </si>
  <si>
    <t>USM Haller, bracket left for extension shelf, 350 mm, pure orange</t>
  </si>
  <si>
    <t>USMUS-14109.26</t>
  </si>
  <si>
    <t>USM Haller, bracket right for extension shelf, 350 mm, pure orange</t>
  </si>
  <si>
    <t>USMUS-15523.23</t>
  </si>
  <si>
    <t>USM Haller, angled shelf lift-up with catch, 750 mm, USM ruby red</t>
  </si>
  <si>
    <t>63.79</t>
  </si>
  <si>
    <t>USMUS-16787.26</t>
  </si>
  <si>
    <t>USM Haller, side/divider panel for drawer, 350x175 mm, pure orange</t>
  </si>
  <si>
    <t>USMUS-16793.26</t>
  </si>
  <si>
    <t>USM Haller, front/rear panel for drawer, 750x175 mm, pure orange</t>
  </si>
  <si>
    <t>NNH-USM-2025-009-1607-STOCK</t>
  </si>
  <si>
    <t>USM Haller, tube, 350mm</t>
  </si>
  <si>
    <t>10738</t>
  </si>
  <si>
    <t>USM Haller, tube, 500mm</t>
  </si>
  <si>
    <t>10742</t>
  </si>
  <si>
    <t>USM Haller, tube with hole, 750 mm</t>
  </si>
  <si>
    <t>12350.57+14690</t>
  </si>
  <si>
    <t>USMUS10409</t>
  </si>
  <si>
    <t>USM Haller Desk, without legs, 1750x750 mm, Fenix, bianco kos
USM Haller table
Dimensions: 1750x750x740 mm
Surface: Fenix, Bianco Kos</t>
  </si>
  <si>
    <t>12349.57+14690</t>
  </si>
  <si>
    <t>USMUS10410</t>
  </si>
  <si>
    <t>USM Haller Desk, without legs, 1500x750 mm, Fenix, bianco kos
USM Haller table
Dimensions: 1500x750x740 mm
Surface: Fenix, Bianco Kos</t>
  </si>
  <si>
    <t>102089228130_1</t>
  </si>
  <si>
    <t>USMUS10411</t>
  </si>
  <si>
    <t>USM Kitos; KITOS M PLUS 1600; Fenix, bianco kos
USM Kitos M Plus
Dimensions: 1600x800x700-1200 mm
Surface: Fenix, Bianco Kos
Height adjustable
flat screen support arm</t>
  </si>
  <si>
    <t>102089228130_2</t>
  </si>
  <si>
    <t>USMUS10412</t>
  </si>
  <si>
    <t>USM Kitos; KITOS M PLUS 1750; Fenix, bianco kos
USM Kitos M Plus
Dimensions: 1750x750x700-1200 mm
Surface: Fenix, Bianco Kos
Height adjustable
flat screen support arm</t>
  </si>
  <si>
    <t>NNH-USM-2025-010-1907-DH-0003756</t>
  </si>
  <si>
    <t>DH-0003756</t>
  </si>
  <si>
    <t>11208.30</t>
  </si>
  <si>
    <t>16850.30</t>
  </si>
  <si>
    <t>USMUS-16850.30</t>
  </si>
  <si>
    <t>USM Haller, door without fittings, 500x175 mm, graphite black</t>
  </si>
  <si>
    <t>16189.30</t>
  </si>
  <si>
    <t>USMUS-16189.30</t>
  </si>
  <si>
    <t>USM Haller, metal panel, 500x175 mm, graphite black</t>
  </si>
  <si>
    <t>16187.30</t>
  </si>
  <si>
    <t>16606.30</t>
  </si>
  <si>
    <t>USMUS-16606.30</t>
  </si>
  <si>
    <t>USM Haller, metal panel, 500x100 mm, graphite black</t>
  </si>
  <si>
    <t>16603.30</t>
  </si>
  <si>
    <t>USMUS-16603.30</t>
  </si>
  <si>
    <t>USM Haller, metal panel, 350x100 mm, graphite black</t>
  </si>
  <si>
    <t>16177.30</t>
  </si>
  <si>
    <t>16604.30</t>
  </si>
  <si>
    <t>USMUS-16604.30</t>
  </si>
  <si>
    <t>USM Haller, metal panel, with holes, 350x100 mm, graphite black</t>
  </si>
  <si>
    <t>NNH-USM-2025-011-2107-DH-0003757</t>
  </si>
  <si>
    <t>DH-0003757</t>
  </si>
  <si>
    <t>14266.31</t>
  </si>
  <si>
    <t>USMUS-14266.31</t>
  </si>
  <si>
    <t>USM Haller, door without fittings, 500x350 mm, USM beige</t>
  </si>
  <si>
    <t>11208.31</t>
  </si>
  <si>
    <t>11204.31</t>
  </si>
  <si>
    <t>11207.31</t>
  </si>
  <si>
    <t>11203.31</t>
  </si>
  <si>
    <t>11209.31</t>
  </si>
  <si>
    <t>USMUS-11209.31</t>
  </si>
  <si>
    <t>USM Haller, metal panel, with holes, 500x350 mm, USM beige</t>
  </si>
  <si>
    <t>10748</t>
  </si>
  <si>
    <t>10749</t>
  </si>
  <si>
    <t>NNH-USM-2025-012-0108-DH-0003788</t>
  </si>
  <si>
    <t>15082</t>
  </si>
  <si>
    <t>15167</t>
  </si>
  <si>
    <t>18636</t>
  </si>
  <si>
    <t>USMUS-18636</t>
  </si>
  <si>
    <t>USM Haller, ground anchor set</t>
  </si>
  <si>
    <t>18644</t>
  </si>
  <si>
    <t>18646</t>
  </si>
  <si>
    <t>102089369130_1</t>
  </si>
  <si>
    <t>USMUS10413</t>
  </si>
  <si>
    <t>USM Kitos M Plus
Dimensions: 1750x750x700-1200 mm
Surface: Laminate, pearl grey
Height adjustable</t>
  </si>
  <si>
    <t>NNH-USM-2025-013-0708-DH-0003894</t>
  </si>
  <si>
    <t>DH-0003894</t>
  </si>
  <si>
    <t>16853.24</t>
  </si>
  <si>
    <t>USMUS-16853.24</t>
  </si>
  <si>
    <t>USM Haller, door without fittings, 750x175 mm, pure white</t>
  </si>
  <si>
    <t>NNH-FH-2025-006-2608</t>
  </si>
  <si>
    <t>A222</t>
  </si>
  <si>
    <t>TBLFH00095</t>
  </si>
  <si>
    <t>Bàn Circular COFFEE TABLE SERIES, hiệu Fritz Hansen, model A222, kích thước 75x75x47cm, Mặt Bàn bằng Fenix phủ nhựa tổng hợp Laminate Trắng, Chân Aluminum Brushed-Matt</t>
  </si>
  <si>
    <t>'072505392</t>
  </si>
  <si>
    <t>MRKU7976934/000211</t>
  </si>
  <si>
    <t>TCI</t>
  </si>
  <si>
    <t>107769261350</t>
  </si>
  <si>
    <t>Bàn Circular COFFEE TABLE SERIES, hiệu Fritz Hansen, model A222, kích thước 75x75x47cm, Mặt Bàn bằng Fenix phủ nhựa tổng hợp Laminate Trắng, Chân Aluminum Brushed-Matt, mới 100%</t>
  </si>
  <si>
    <t>Lô 93</t>
  </si>
  <si>
    <t>A202</t>
  </si>
  <si>
    <t>TBLFH00096</t>
  </si>
  <si>
    <t>Bàn Supercircular COFFEE TABLE SERIES, hiệu Fritz Hansen, model A202, kích thước 75x75x47cm, Mặt Bàn bằng Fenix phủ nhựa tổng hợp Laminate Trắng, Chân Aluminum Brushed-Matt</t>
  </si>
  <si>
    <t>Bàn Supercircular COFFEE TABLE SERIES, hiệu Fritz Hansen, model A202, kích thước 75x75x47cm, Mặt Bàn bằng Fenix phủ nhựa tổng hợp Laminate Trắng, Chân Aluminum Brushed-Matt, mới 100%</t>
  </si>
  <si>
    <t>PK61</t>
  </si>
  <si>
    <t>TBLFH00097</t>
  </si>
  <si>
    <t>Bàn Cafe PK61, hiệu Fritz Hansen, model PK61, kích thước 80x80x32cm, Mặt Bàn bằng Thủy tinh, Chân Thép Brushed-Matt</t>
  </si>
  <si>
    <t>Bàn Cafe PK61, hiệu Fritz Hansen, model PK61, kích thước 80x80x32cm, Mặt Bàn bằng Thủy tinh, Chân Thép Brushed-Matt, mới 100%</t>
  </si>
  <si>
    <t>Lounge chair</t>
  </si>
  <si>
    <t>PK22 WICKER</t>
  </si>
  <si>
    <t>CLGFH00254</t>
  </si>
  <si>
    <t>Ghế Lounge PK22 Wicker, hiệu Fritz Hansen, model PK22W, kích thước 63x63x71cm, Bọc Toàn Phần, Cói, Chân Thép Brushed-Matt</t>
  </si>
  <si>
    <t>Ghế Lounge PK22 Wicker, hiệu Fritz Hansen, model PK22W, kích thước 63x63x71cm, Bọc Toàn Phần, Cói, Chân Thép Brushed-Matt, Mới 100%</t>
  </si>
  <si>
    <t>PK22</t>
  </si>
  <si>
    <t>CLGFH00252</t>
  </si>
  <si>
    <t>Ghế Lounge PK22, hiệu Fritz Hansen, model PK22, kích thước 63x63x71cm, Bọc Toàn Phần, Da Aura Walnut, Chân Thép Brushed-Matt</t>
  </si>
  <si>
    <t>Ghế Lounge PK22, hiệu Fritz Hansen, model PK22, kích thước 63x63x71cm, Bọc Toàn Phần, Da Aura Walnut, Chân Thép Brushed-Matt, Mới 100%</t>
  </si>
  <si>
    <t>SFAFH00048</t>
  </si>
  <si>
    <t>Bộ Sofa ALPHABET, hiệu Fritz Hansen, đã nhồi nệm, kích thước 400x105x120cm, Bọc Vải Karakorum, màu dune</t>
  </si>
  <si>
    <t>Ghế Sofa ALPHABET, hiệu Fritz Hansen, đã nhồi nệm, kích thước 400x105x120cm, Bọc Vải Karakorum, màu dune, mới 100%</t>
  </si>
  <si>
    <t>Gối Sofa Cushion, AlphabetTM Sofa Series, PL001, Đã nhồi nệm, bọc vải Karakorum, Màu be (Dune 003)</t>
  </si>
  <si>
    <t>Gối Sofa Cushion, Alphabet Sofa Series, hiệu Fritz Hansen, model PL001, Đã nhồi nệm, kích thước 18x62x46cm, bọc vải Karakorum, Màu dune, mới 100%</t>
  </si>
  <si>
    <t>PK61A</t>
  </si>
  <si>
    <t>TBLFH00098</t>
  </si>
  <si>
    <t>Bàn Cafe PK61A, hiệu Fritz Hansen, model PK61A, kích thước 120x120x32cm, Mặt Bàn Đá Marble Màu Be Honed Beige, Chân Thép Brushed-Matt</t>
  </si>
  <si>
    <t>Bàn Cafe PK61A, hiệu Fritz Hansen, model PK61A, kích thước 120x120x32cm, Mặt Bàn Đá Marble Màu Be Honed Beige, Chân Thép Brushed-Matt, mới 100%</t>
  </si>
  <si>
    <t>TBLFH00094</t>
  </si>
  <si>
    <t xml:space="preserve">Bàn văn phòng FH3605 Desk table, hiệu Fritz Hansen, model 3605, kích thước 152x80x72cm, mặt bàn và hộc tủ bằng gỗ veneer walnut (óc chó), chân thép mạ chrome </t>
  </si>
  <si>
    <t xml:space="preserve">Bàn văn phòng FH3605 Desk table, hiệu Fritz Hansen, model 3605, kích thước 152x80x72cm, mặt bàn và hộc tủ bằng gỗ veneer walnut (óc chó), chân thép mạ chrome, mới 100%   </t>
  </si>
  <si>
    <t>3293W</t>
  </si>
  <si>
    <t>CHRFH00290</t>
  </si>
  <si>
    <t>Ghế xoay Oxford, hiệu Fritz Hansen, model 3293W, kích thước 60x62x114cm, Bọc Toàn Phần, Da Soft Black Brown, Chân và Tựa Tay bằng nhôm, Bánh Xe Mềm Không Thắng</t>
  </si>
  <si>
    <t>Ghế xoay Oxford, hiệu Fritz Hansen, model 3293W, kích thước 60x62x114cm, Bọc Toàn Phần, Da Soft Black Brown, Chân và Tựa Tay bằng nhôm, Bánh Xe Mềm Không Thắng, Mới 100%</t>
  </si>
  <si>
    <t>CM230</t>
  </si>
  <si>
    <t>CLGFH00253</t>
  </si>
  <si>
    <t>Ghế Monolit Lounge Chair, hiệu Fritz Hansen, model CM230, kích thước 55x61x71cm, khung gỗ plywood, bọc vải vidar, bên ngoài màu beige, bên trong màu chestnut</t>
  </si>
  <si>
    <t>Ghế Monolit Lounge Chair, hiệu Fritz Hansen, model CM230, kích thước 55x61x71cm, khung gỗ plywood, bọc vải vidar, bên ngoài màu beige, bên trong màu chestnut, mới 100%</t>
  </si>
  <si>
    <t>CHRFH00291</t>
  </si>
  <si>
    <t>Ghế Đẩu Cao High Dot, hiệu Fritz Hansen, model 840107, không có tựa lưng, không có điều chỉnh lên xuống, kích thước 44.5x44.5x65cm, Bằng Da Wild, Chân bằng kim loại, Màu Nâu (Walnut)</t>
  </si>
  <si>
    <t>Ghế Đẩu Cao High Dot, hiệu Fritz Hansen, model 840107, không có tựa lưng, không có điều chỉnh lên xuống, kích thước 44.5x44.5x65cm, Bằng Da Wild, Chân bằng kim loại, Màu Nâu (Walnut), Mới 100%</t>
  </si>
  <si>
    <t>BasesBX</t>
  </si>
  <si>
    <t>ACCFH00085</t>
  </si>
  <si>
    <t>Chân bàn dùng cho bàn Superellipse, hiệu Fritz Hansen, model BasesBX, bằng thép mạ chrome, chiều cao 72cm</t>
  </si>
  <si>
    <t>Chân bàn dùng cho bàn Superellipse, hiệu Fritz Hansen, model BasesBX, bằng thép mạ chrome, chiều cao 72cm, mới 100%</t>
  </si>
  <si>
    <t>ACCFH00005</t>
  </si>
  <si>
    <t>Bình Hoa IKERU HIGH VASE, DI16 X H23.9 cm, Bằng Thủy Tinh, Aluminium, Màu Xanh Forest Green</t>
  </si>
  <si>
    <t>Bình Hoa Ikeru High Vase, hiệu Fritz Hansen, model 840143, kích thước 16x16x23.9cm, Bằng Thủy Tinh Thổi, Aluminium, Màu Xanh Forest Green, mới 100%</t>
  </si>
  <si>
    <t>Bình Hoa IKERU LOW VASE, Fritz Hansen, model 840144, kích thước 19x13.1 cm, Bằng Thủy Tinh, Aluminium, Màu Xanh Forest Green</t>
  </si>
  <si>
    <t>Bình Hoa Ikeru Low Vase, hiệu Fritz Hansen, model 840144, kích thước 19x19x13.1cm, Bằng Thủy Tinh Thổi, Aluminium, Màu Xanh Forest Green, mới 100%</t>
  </si>
  <si>
    <t>Bình Hoa Nhỏ IKEBANA VASE SMALL, DI120 x H130 mm, Bằng Thủy Tinh Thổi, Thép, Màu Đồng Thau</t>
  </si>
  <si>
    <t>Bình Hoa Ikebana Small Vase, hiệu Fritz Hansen, model 840141, kích thước 12x12x13cm, Bằng Thủy Tinh Thổi, Thép, Màu Đồng Thau, mới 100%</t>
  </si>
  <si>
    <t>Bình Hoa Dài IKEBANA VASE LONG, W95 x L335 x H130 mm, Bằng Thủy Tinh Thổi, Thép Mạ, Màu Đồng Thau</t>
  </si>
  <si>
    <t>Bình Hoa Ikebana Long Vase, hiệu Fritz Hansen, model 840142, kích thước 9.5x33.5x13 cm, Bằng Thủy Tinh Thổi, Thép, Màu Đồng Thau, mới 100%</t>
  </si>
  <si>
    <t>NNH-EC-2025-015-2510-DH-0003934</t>
  </si>
  <si>
    <t>DH-0003934</t>
  </si>
  <si>
    <t>LINEAR</t>
  </si>
  <si>
    <t>LLNEC00009</t>
  </si>
  <si>
    <t>Led Panel Specially aesthetic ceiling Pendant Light, Power 32W, Lumen 2080 lm, Voltage 220VAC, CRI CRI&gt;=90, Beam angel 110D, CCT 4000K, Size L1200*W50*H76mm, Cut out , Driver On/off, IP 20, Color Black, honeycomb, hanger bar with wire 1.5m (1 set light =2pcs), black head (1 set light=1pc)</t>
  </si>
  <si>
    <t>NNH-EC-2025-015-2510</t>
  </si>
  <si>
    <t>SVLCL202511313</t>
  </si>
  <si>
    <t>TIDE CAPTAIN/ 2523S</t>
  </si>
  <si>
    <t>CAT LAI PORT</t>
  </si>
  <si>
    <t>107781501700</t>
  </si>
  <si>
    <t>Bộ phận của đèn: thân đèn dùng cho đèn Suspending Linear Light, kích thước 1200x50x76mm, bằng kim loại, màu đen, hiệu NANOCO, model LLNEC00009, mới 100%</t>
  </si>
  <si>
    <t>Lô 94</t>
  </si>
  <si>
    <t>LLNEC00010</t>
  </si>
  <si>
    <t>LED Panel Specially aesthetic LED ceiling pendant light, Power 32W, Lumen 2080lm, Voltage 220VAC, CRI CRI&gt;=90, Beam angel 110D, CCT 4000K , Size  L1200*W50*H76mm, Cut out , Driver Dali DT6, IP 20, Color Black, honeycomb,  hanger bar with wire 1.5m (1 set light =2pcs), black head (1 set light=1pc)</t>
  </si>
  <si>
    <t>Bộ phận của đèn: thân đèn dùng cho đèn Suspending Linear Light, kích thước 1200x50x76mm, bằng kim loại, màu đen, honey comb, hiệu NANOCO, model LLNEC00010, mới 100%</t>
  </si>
  <si>
    <t>SPAREPART</t>
  </si>
  <si>
    <t>SPAEC00010</t>
  </si>
  <si>
    <t>Connector for linear light
Aluminum</t>
  </si>
  <si>
    <t>Phụ kiện của đèn: thanh nối giữa hai đèn linear, bằng kim loại, hiệu NANOCO, model SPAEC00010, mới 100%</t>
  </si>
  <si>
    <t>DOWNLIGHT</t>
  </si>
  <si>
    <t>LDLEC00057</t>
  </si>
  <si>
    <t>Ceiling recessed LED DL, Power 15W-17W, Lumen min 1485lm, Voltage 220VAC, CRI CRI&gt;=90, Beam angel 60D, CCT 4000K, Size 82*115mm, Cut out 75mm, Driver On/off, IP 20, Color White</t>
  </si>
  <si>
    <t>Bộ phận của đèn: thân đèn dùng cho đèn Recessed Downlight, kích thước 82x82x115mm, bằng kim loại, góc chiếu len 60 độ, màu trắng, hiệu NANOCO, model LDLEC00057, mới 100%</t>
  </si>
  <si>
    <t>SPOTLIGHT</t>
  </si>
  <si>
    <t>LSLEC00036</t>
  </si>
  <si>
    <t>Ceiling with suspending wire Spotlight, Include ceiling base and suspending wire 1.5m, Power 15W, Lumen 1200lm , Voltage AC220-240V, CRI CRI&gt;=90, Beam angel 60D, CCT 4000K, Size 45*140 mm, Cut out , Driver On/off, IP 20, Color White</t>
  </si>
  <si>
    <t>Bộ phận của đèn: thân đèn dùng cho đèn Ceiling Spotlight, kích thước 45x45x140mm, bằng kim loại, dây treo dài 1.5m, hiệu NANOCO, model LSLEC00036, mới 100%</t>
  </si>
  <si>
    <t>LDLEC00058</t>
  </si>
  <si>
    <t>LED Ceiling- recessed DL, Power  9W, Lumen 810lm, Voltage 220VAC, CRI CRI&gt;=90, Beam angel 36D, CCT 3000K, Size 62*106.5mm, Cut out  55mm, Driver Dali DT6, IP 20, Color White</t>
  </si>
  <si>
    <t>Bộ phận của đèn: thân đèn dùng cho đèn Recessed Downlight, kích thước 62x62x106.5mm, bằng kim loại, góc chiếu len 36 độ, màu trắng, hiệu NANOCO, model LDLEC00058, mới 100%</t>
  </si>
  <si>
    <t>LDLEC00059</t>
  </si>
  <si>
    <t>LED Ceiling- recessed DL, Power 9W, Lumen min 810lm, Voltage 220VAC, CRI CRI&gt;=90, Beam angel 24D, CCT Tunnable White, 2700K-6500K, Size 62*106.5mm, Cut out  55mm, Driver Dali DT8, IP 20, Color White</t>
  </si>
  <si>
    <t>Bộ phận của đèn: thân đèn dùng cho đèn Recessed Downlight, kích thước 62x62x106.5mm, bằng kim loại, góc chiếu len 24 độ, màu trắng, hiệu NANOCO, model LDLEC00059, mới 100%</t>
  </si>
  <si>
    <t>LDLEC00060</t>
  </si>
  <si>
    <t>LED Ceiling- recessed DL, Power  12W, Lumen min 1080lm, Voltage 220VAC, CRI CRI&gt;=90, Beam angel 60D, CCT 4000K, Size 82*88.2mm, Cut out 75mm, Driver On/off, IP 20, Color White</t>
  </si>
  <si>
    <t>Bộ phận của đèn: thân đèn dùng cho đèn Recessed Downlight, kích thước 82x82x88.2mm, bằng kim loại, góc chiếu len 60 độ, màu trắng, hiệu NANOCO, model LDLEC00060, mới 100%</t>
  </si>
  <si>
    <t>LDLEC00061</t>
  </si>
  <si>
    <t>Ceiling recessed LED DL (Signage headlight/ Wall washer light), Power 7W, Lumen min 600lm, Voltage 220VAC, CRI CRI&gt;=90, Beam angel shake the projection angle 180°, CCT 3000K, Size 65*H82mm, Cut out 55mm, Driver DALI DT6, IP 20, Color White</t>
  </si>
  <si>
    <t>Bộ phận của đèn: thân đèn dùng cho đèn Recessed Polarized Light, kích thước 65x65x82mm, bằng kim loại, sơn tĩnh điện màu trắng (customized), hiệu NANOCO, model LDLEC00061, mới 100%</t>
  </si>
  <si>
    <t>LDLEC00062</t>
  </si>
  <si>
    <t>Ceiling recessed LED DL (Signage headlight/ Wall washer light), Power 7W, Lumen  min 600lm, Voltage 220VAC, CRI CRI&gt;=90, Beam angel shake the projection angle 180°, CCT 3000K, Size 65*H82mm, Cut out 55mm, Driver ON/OFF, IP 20, Color White</t>
  </si>
  <si>
    <t>Bộ phận của đèn: thân đèn dùng cho đèn Recessed Polarized Light, kích thước 65x65x82mm, bằng kim loại, màu trắng, hiệu NANOCO, model LDLEC00062, mới 100%</t>
  </si>
  <si>
    <t>LSLEC00037</t>
  </si>
  <si>
    <t>Ceiling mounted light/ Spotligh, Power 7W-9W, Lumen min 700lm, Voltage 220VAC, CRI CRI&gt;=90, Beam angel 10D, CCT Tunnable White 2700K-6500K, Size 45*140mm, Cut out , Driver Dali DT 8, IP 20, Color White
1m Hanging bar</t>
  </si>
  <si>
    <t>Bộ phận của đèn: thân đèn dùng cho đèn Ceiling Spotlight, kích thước 45x45x140mm, bằng kim loại, góc chiếu len 10 độ, hiệu NANOCO, model LSLEC00037, mới 100%</t>
  </si>
  <si>
    <t>LSLEC00038</t>
  </si>
  <si>
    <t>Ceiling mounted light/ Spotlight, Power 11W, Lumen  960 lm, Voltage 220VAC, CRI CRI&gt;=90, Beam angel 24D, CCT Tunnable White 2700K-6500K, Size 45*140mm, Cut out , Driver Dali DT 8, IP 20, Color White
1m Hanging bar</t>
  </si>
  <si>
    <t>Bộ phận của đèn: thân đèn dùng cho đèn Ceiling Spotlight, kích thước 45x45x140mm, bằng kim loại, góc chiếu len 24 độ, hiệu NANOCO, model LSLEC00038, mới 100%</t>
  </si>
  <si>
    <t>LSLEC00039</t>
  </si>
  <si>
    <t>Led surface Spotlight
Power: 5W
Lumen: 400lm
Size: 35x70x130mm
Beam Angel: 8D
CRI: RA&gt;90
IP20
CCT: 3000K
ON/OFF
White+Black Cover</t>
  </si>
  <si>
    <t>Bộ phận của đèn: thân đèn dùng cho đèn Surface Spotlight, kích thước 35x70x130mm, bằng kim loại, màu trắng, hiệu NANOCO, model LSLEC00039, mới 100%</t>
  </si>
  <si>
    <t>LDLEC00063</t>
  </si>
  <si>
    <t>Ceiling recessed LED DL 9W-12W Min 880lm,  220VAC, 4000K; CRI&gt;=90; SCDM &lt;3, Dia.60mm, Beam angle 36deg, DI84xH85mm, Cut-out: 75mm, ON/OFF
IP54
White Frame</t>
  </si>
  <si>
    <t>Bộ phận của đèn: thân đèn dùng cho đèn Recessed Spotlight, kích thước 84x84x85mm, bằng kim loại, góc chiếu len 36 độ, màu trắng, hiệu NANOCO, model LDLEC00063, mới 100%</t>
  </si>
  <si>
    <t>PENDANT</t>
  </si>
  <si>
    <t>LPLEC00005</t>
  </si>
  <si>
    <t>LED ceiling pendant decor light, Include ceiling base and suspending wire 1.5m, Power max 15W, Lumen min 1200lm, Voltage 220VAC, CRI CRI&gt;=90, Beam angel 60D, CCT Tunable white 2700K-6500K, Size 45*140 mm, Cut out , Driver Dali DT8, IP 20, Color White</t>
  </si>
  <si>
    <t>Bộ phận của đèn: thân đèn dùng cho đèn Ceiling Spotlight, kích thước 45x45x140mm, bằng kim loại, dây treo dài 3m, hiệu NANOCO, model LPLEC00005, mới 100%</t>
  </si>
  <si>
    <t>LSLEC00040</t>
  </si>
  <si>
    <t>Ceiling mounted LED spotlight, Power 7W-9W, Lumen min 500lm, Voltage 220VAC, CRI CRI&gt;=90, Beam angel 36D, CCT 3000K, Size 45*140 mm, Cut out , Driver ON/OFF, IP 20, Color White
1m Hanging bar</t>
  </si>
  <si>
    <t>Bộ phận của đèn: thân đèn dùng cho đèn Ceiling Spotlight, kích thước 45x45x140mm, bằng kim loại, góc chiếu len 36 độ, màu trắng, hiệu NANOCO, model LSLEC00040, mới 100%</t>
  </si>
  <si>
    <t>LSLEC00041</t>
  </si>
  <si>
    <t>Ceiling mounted LED spotlight, Power 10W-12W,, Lumen min 850lm, Voltage 220VAC, CRI CRI&gt;=90, Beam angel 45D, CCT 4000K, Size 45*140 mm, Cut out , Driver ON/OFF, IP 20, Color White
1m Hanging bar</t>
  </si>
  <si>
    <t>Bộ phận của đèn: thân đèn dùng cho đèn Ceiling Spotlight, kích thước 45x45x140mm, bằng kim loại, góc chiếu len 45 độ, màu trắng hiệu NANOCO, model LSLEC00041, mới 100%</t>
  </si>
  <si>
    <t>TRACKLIGHT</t>
  </si>
  <si>
    <t>LTREC00004</t>
  </si>
  <si>
    <t>LED track ligh, Power 7W-9W, Lumen min 500lm, Voltage 220VAC, CRI CRI&gt;=90, Beam angel 36D, CCT 3000K, Size 45*140 mm, Cut out , Driver ON/OFF , IP 20, Color White</t>
  </si>
  <si>
    <t>Bộ phận của đèn: thân đèn dùng cho đèn Track Light, kích thước 45x45x140mm, bằng kim loại, hiệu NANOCO, model LTREC00004, mới 100%</t>
  </si>
  <si>
    <t>ACCEC00004</t>
  </si>
  <si>
    <t>Track on/off, Size L1000mm, 2wire, Color White
Aluminum</t>
  </si>
  <si>
    <t>Thanh ray On/off, kích thước L1000mm, bằng kim loại, màu trắng, hiệu NANOCO, model ACCEC00004, mới 100%</t>
  </si>
  <si>
    <t>ACCEC00005</t>
  </si>
  <si>
    <t>Track on/off, Size L1500mm, 2wire Color White
Aluminum</t>
  </si>
  <si>
    <t>Thanh ray On/off, kích thước L1500mm, bằng kim loại, màu trắng, hiệu NANOCO, model ACCEC00005, mới 100%</t>
  </si>
  <si>
    <t>ACCEC00006</t>
  </si>
  <si>
    <t>Accessory Track- straight, IP20 , Color White, PC</t>
  </si>
  <si>
    <t>Đầu nối giữa hai ray On/Off, có tiếp điểm nối điện, bằng nhựa, màu trắng, hiệu NANOCO, model ACCEC00006, mới 100%</t>
  </si>
  <si>
    <t>LTREC00005</t>
  </si>
  <si>
    <t>LED track light, Power  7W-9W, Lumen 500lm, Voltage 220VAC, CRI CRI&gt;=90, Beam angel 36D, CCT Tunable white 2700k-6500k, Size  45*140 mm, Cut out , Driver Dali DT 8, IP 20, Color White</t>
  </si>
  <si>
    <t>Bộ phận của đèn: thân đèn dùng cho đèn Track Light, kích thước 45x45x140mm, bằng kim loại, sơn tĩnh điện màu trắng (customized), hiệu NANOCO, model LTREC00005, mới 100%</t>
  </si>
  <si>
    <t>ACCEC00007</t>
  </si>
  <si>
    <t>Track for Dali DT8, Size  L1000mm, 4wire, white color</t>
  </si>
  <si>
    <t>Thanh ray Dali DT8, kích thước L1000mm, bằng kim loại, màu trắng, hiệu NANOCO, model ACCEC00007, mới 100%</t>
  </si>
  <si>
    <t>ACCEC00008</t>
  </si>
  <si>
    <t>Track for Dali DT8, Size L1500mm, Color White</t>
  </si>
  <si>
    <t>Thanh ray Dali DT8, kích thước L1500mm, bằng kim loại, màu trắng, hiệu NANOCO, model ACCEC00008, mới 100%</t>
  </si>
  <si>
    <t>ACCEC00009</t>
  </si>
  <si>
    <t>Track for Dali DT8, Size L2000mm, 4wire, white color</t>
  </si>
  <si>
    <t>Thanh ray Dali DT8, kích thước L2000mm, bằng kim loại, màu trắng, hiệu NANOCO, model ACCEC00009, mới 100%</t>
  </si>
  <si>
    <t>ACCEC00010</t>
  </si>
  <si>
    <t>Accessory Track- straight conect Dali DT8</t>
  </si>
  <si>
    <t>Đầu nối giữa hai ray Dali DT8, có tiếp điểm nối điện, bằng nhựa, màu trắng, hiệu NANOCO, model ACCEC00010, mới 100%</t>
  </si>
  <si>
    <t>LDLEC00077</t>
  </si>
  <si>
    <t>Led recessed sensor downlight , Power 11.5W, Lumen 1200 Lm, Voltage AC220-240V, CRI CRI:90, Beam angel 24D, CCT 4000K, Size  82x89 mmm, Cut out 75mm, Driver On/off, IP 20, PIR Sensor
AC220-240V
20% automatic brightness adjustment device, Color White</t>
  </si>
  <si>
    <t>Bộ phận của đèn: thân đèn dùng cho đèn Recessed Downlight, kích thước 82x82x89mm, bằng kim loại, góc chiếu len 24 độ, màu trắng, hiệu NANOCO, model LDLEC00077, mới 100%</t>
  </si>
  <si>
    <t>LDLEC00065</t>
  </si>
  <si>
    <t>Led Waterproof Downlight, Power 10W, Lumen 1000lm, Voltage AC220-240V, CRI CRI90, Beam angel 60D, CCT 4000K, Size 83*H44mm, Cut out  75 mm  , Driver On/off, IP 44, Color White</t>
  </si>
  <si>
    <t>Bộ phận của đèn: thân đèn dùng cho đèn Waterproof Downlight, kích thước 83x83x44mm, bằng kim loại, màu trắng, hiệu NANOCO, model LDLEC00065, mới 100%</t>
  </si>
  <si>
    <t>08914000</t>
  </si>
  <si>
    <t>LTLCA00005</t>
  </si>
  <si>
    <t>FICUPALA table lamp
 - Size: Ø 20, h 59 cm
base: marble - Alpi Green
top: bronze glass glass
body: caramel glass</t>
  </si>
  <si>
    <t>NNH-CS-2025-001.002.003-02</t>
  </si>
  <si>
    <t>EM000180</t>
  </si>
  <si>
    <t>TRHU341684/0/3872627</t>
  </si>
  <si>
    <t>FCL</t>
  </si>
  <si>
    <t>GENOA</t>
  </si>
  <si>
    <t>107802478600</t>
  </si>
  <si>
    <t>Đèn trang trí để bàn FICUPALA, hiệu Cassina, model 08914000, kích thước 20x20x59 cm, bằng thủy tinh, chụp màu bronze, thân màu caramel, không kèm bóng, mới 100%</t>
  </si>
  <si>
    <t>Lô 95</t>
  </si>
  <si>
    <t>29203000</t>
  </si>
  <si>
    <t>CHRCA00015</t>
  </si>
  <si>
    <t>HILL HOUSE 1 chair
 - Size: w 41, d 35, h 141 cm
structure: ashwood stained black
seat upholstered: special velvet lavender</t>
  </si>
  <si>
    <t>Ghế HILL HOUSE 1, hiệu Cassina, model 29203000, kích thước 41x35x141cm, bằng gỗ ash màu black, đệm ghế màu special velvet lavender, đã nhồi đệm, chiều cao ghế ngồi 45cm, mới 100%</t>
  </si>
  <si>
    <t>29204000</t>
  </si>
  <si>
    <t>CHRCA00016</t>
  </si>
  <si>
    <t>HILL HOUSE 1 chair
 - Size: w 41, d 35, h 141 cm
structure: ashwood stained black
seat upholstered: special velvet oil green</t>
  </si>
  <si>
    <t>Ghế HILL HOUSE 1, hiệu Cassina, model 29204000, kích thước 41x35x141cm, bằng gỗ ash màu black, đệm ghế màu special velvet oil green, đã nhồi đệm, chiều cao ghế ngồi 45cm, mới 100%</t>
  </si>
  <si>
    <t>52820000</t>
  </si>
  <si>
    <t>CHRCA00024</t>
  </si>
  <si>
    <t>"INDOCHINE"
SWIVEL CHAIR 4 LEGS
DARK ST. ASHWOOD FRAME
PELLE SCOZIA DESERTO/ 13X326</t>
  </si>
  <si>
    <t>Ghế INDOCHINE, hiệu Cassina, model 52820000, kích thước 61x56x72 cm, khung bằng gỗ ash màu black, bọc da Pelle Scozia Deserto, đã nhồi đệm, chiều cao ghế ngồi 51cm, mới 100%</t>
  </si>
  <si>
    <t>003T2OR0</t>
  </si>
  <si>
    <t>SFACA00008</t>
  </si>
  <si>
    <t>3 Fauteuil Grand Confort, grand modèle, trois place, Outdoor
2-seater sofa
w 168, d 73, h 62 cm
frame: textured enamel aluminium - ivory
cover: fabric LAGUNA - large oceano-1413L668</t>
  </si>
  <si>
    <t>Ghế sofa outdoor 2 chỗ ngồi 3 Fauteuil Grand Confort grand modele, hiệu Cassina, model 003T2OR0, kích thước 168x73x62 cm, khung kim loại, bọc vải Laguna, màu large oceano, đã nhồi đệm, mới 100%</t>
  </si>
  <si>
    <t>Cab Night</t>
  </si>
  <si>
    <t>BEDCA00001</t>
  </si>
  <si>
    <t>Cab Night
frame in saddle leather and soft leather
180 x 200 cm 
WALL headboards upholstered 180/193 x 200 cm 
Included:
L50 03 16
S22 03
MA3 13
C01010, D1302000, PL404000</t>
  </si>
  <si>
    <t>Bộ giường ngủ Cab Night, hiệu Cassina, model Cab Night, kích thước 180x200x50 cm, khung bằng gỗ, bọc da saddle leather and soft leather, gồm 9 bộ phận, tháo rời đồng bộ, mới 100%</t>
  </si>
  <si>
    <t>L60C3000</t>
  </si>
  <si>
    <t>TBLCA00020</t>
  </si>
  <si>
    <t>BIO-MBO L60 
BEDSIDE TABLE D.45 CM H. 47 CM 
STAINED ALUM.STRUCTURE / TOP
AND DRAWER IN AMERICAN WALNUT
BASE VERN.NERO 139BG5</t>
  </si>
  <si>
    <t>Bàn đầu giường BIO MBO L60, hiệu Cassina, model L60C3000, kích thước 45x45x47 cm, khung kim loại, mặt bàn bằng gỗ walnut, mới 100%</t>
  </si>
  <si>
    <t>42424M40</t>
  </si>
  <si>
    <t>TBLCA00015</t>
  </si>
  <si>
    <t>CAB TAB table
 - Size: w 240, d 95, h 73 cm
structure: saddle leather - tabacco
top: glossy marble - Emperador Brown
CUOIO TABACCO
MARMO EMPERADOR
LUCIDO- /1H 
ML4</t>
  </si>
  <si>
    <t>Bàn CAB TAB, hiệu Cassina, model 42424M40, kích thước 240x95x73 cm, khung kim loại bọc da saddle leather màu tabacco, mặt bàn bằng đá marble màu emperador brown, gồm chân bàn và mặt bàn, mới 100%</t>
  </si>
  <si>
    <t>51101000</t>
  </si>
  <si>
    <t>TBLCA00016</t>
  </si>
  <si>
    <t>VENTAGLIO table
 - Size: w 235, d 157, h 73 cm
structure: black-stained oak</t>
  </si>
  <si>
    <t>Bàn VENTAGLIO, hiệu Cassina, model 51101000, kích thước 235x157x73 cm, bằng gỗ oak màu black, gồm mặt bàn và chân bàn, dùng trong văn phòng, mới 100%</t>
  </si>
  <si>
    <t>42424M90</t>
  </si>
  <si>
    <t>TBLCA00017</t>
  </si>
  <si>
    <t>CAB TAB table
 - Size: w 240, d 95, h 74 cm
structure: saddle leather - bordeaux plus
top: glossy marble - Levanto Red-ML9</t>
  </si>
  <si>
    <t>Bàn CAB TAB, hiệu Cassina, model 42424M90, kích thước 240x95x74 cm, khung kim loại bọc da saddle leather màu bordeaux, mặt bàn bằng đá marble màu levanto red, gồm chân bàn và mặt bàn, mới 100%</t>
  </si>
  <si>
    <t>084M33A0</t>
  </si>
  <si>
    <t>ACCCA00052</t>
  </si>
  <si>
    <t>SAHARA MIDGRID
custom made half grid rug (price per sq. meter)
w 400, d 300 cm
Sugar paper color</t>
  </si>
  <si>
    <t>Thảm SAHARA MIDGRID, hiệu Cassina, model 084M33A0, kích thước 400x300 cm, bằng bông, màu sugar paper, mới 100%</t>
  </si>
  <si>
    <t>084M30A0</t>
  </si>
  <si>
    <t>ACCCA00053</t>
  </si>
  <si>
    <t>SAHARA GRID custom made grid rug (price per sq. meter)
 - Size: w 500, d 400 cm
Ice-gray color</t>
  </si>
  <si>
    <t>Thảm SAHARA GRID, hiệu Cassina, model 084M30A0, kích thước 500X400 cm, bằng bông, màu Ice-gray, mới 100%</t>
  </si>
  <si>
    <t>ZIG-ZAG chair
 - Size: w 37, d 43, h 74 cm
RED STAINDED</t>
  </si>
  <si>
    <t>28015000</t>
  </si>
  <si>
    <t>CHRCA00029</t>
  </si>
  <si>
    <t>ZIG-ZAG chair
 - Size: w 37, d 43, h 74 cm
Ash stained black</t>
  </si>
  <si>
    <t>Ghế ZIG-ZAG, hiệu Cassina, model 28015000, kích thước 37x43x74cm, bằng gỗ ash, màu black, chiều cao ghế ngồi 43cm, mới 100%</t>
  </si>
  <si>
    <t>0011L000</t>
  </si>
  <si>
    <t>CHRCA00033</t>
  </si>
  <si>
    <t>1 Fauteuil dossier basculant armchair
Standard
 - Size: w 65, d 66, h 65 cm
Armchair / chrome frame seat and back
Briar Root leather with matching arm straps</t>
  </si>
  <si>
    <t>Ghế armchair 1 Fauteuil Dossier Basculant, hiệu Cassina, model 0011L000, kích thước 65x66x65 cm, khung bằng kim loại, bọc da màu Briar Root, chiều cao ghế ngồi 40cm, mới 100%</t>
  </si>
  <si>
    <t>0011T000</t>
  </si>
  <si>
    <t>CHRCA00034</t>
  </si>
  <si>
    <t>1 Fauteuil dossier basculant armchair
Standard
 - Size: w 65, d 66, h 65 cm
Armchair / chrome frame seat and back
Black leather with matching arm straps</t>
  </si>
  <si>
    <t>Ghế armchair 1 Fauteuil Dossier Basculant, hiệu Cassina, model 0011T000, kích thước 65x66x65 cm, khung bằng kim loại, bọc da màu Black, chiều cao ghế ngồi 40cm, mới 100%</t>
  </si>
  <si>
    <t>Ghế sofa 1 chỗ ngồi SORIANA, hiệu Cassina, model 944E1000, kích thước 95x105x71 cm, khung kim loại, bọc vải L màu Cemento, đã nhồi đệm, mới 100%</t>
  </si>
  <si>
    <t>944E3000</t>
  </si>
  <si>
    <t>SFACA00013</t>
  </si>
  <si>
    <t>SORIANA 3-seater sofa
cover: Corda  /1 
13L012
Size: 250x105x71 cm</t>
  </si>
  <si>
    <t>Ghế sofa 3 chỗ ngồi SORIANA, hiệu Cassina, model 944E3000, kích thước 250x105x71 cm, khung kim loại, bọc vải L màu Corda, đã nhồi đệm, mới 100%</t>
  </si>
  <si>
    <t>SFACA00014</t>
  </si>
  <si>
    <t>3 Fauteuil Grand Confort, grand modèle
armchair
w 99, d 73, h 62 cm
frame: chrome
cover: tabacco-13Y417, LCX PELLE-TABACCO</t>
  </si>
  <si>
    <t>Ghế sofa 1 chỗ ngồi 3 Fauteuil Grand Confort grand modele, hiệu Cassina, model 003EC000, kích thước 99x73x62 cm, khung kim loại, bọc da LCX PELLE màu TABACCO, đã nhồi đệm, mới 100%</t>
  </si>
  <si>
    <t>Gương 098 ME FROM OUTSIDE "WE SEE WHAT WE WANT TO SEE", hiệu Cassina, model 09801000, kích thước 92x183x4 cm, không có khung, mới 100%</t>
  </si>
  <si>
    <t>HERMAN MILLER</t>
  </si>
  <si>
    <t>NNH-HM-2025-001-1010</t>
  </si>
  <si>
    <t xml:space="preserve">ES67071OU 2109 </t>
  </si>
  <si>
    <t>CLGHM00001</t>
  </si>
  <si>
    <t>Eames Lounge Chair and Ottoman
Size: 33-1/2x35x31-1/2 inch (85x89x80cm) Seat height 16 inch (40.6cm)
Ottoman size: 20-3/4x17-1/8 inch (52.7x43.4 cm)
Shell walnut
Leather black cat 9-2109</t>
  </si>
  <si>
    <t>N2072109</t>
  </si>
  <si>
    <t>4190287643</t>
  </si>
  <si>
    <t>GRAND RAPIDS, MI</t>
  </si>
  <si>
    <t>EXPEDITORS</t>
  </si>
  <si>
    <t>107806374540</t>
  </si>
  <si>
    <t>Ghế Lounge và đôn chân Eames Lounge Chair &amp; Ottoman, hiệu Herman Miller, model ES67071OU2109, KT ghế 85x89x80xSH40.6cm, KT đôn chân 52.7xH43.4cm, khung gỗ walnut, đã nhồi đệm, bọc da màu đen, mới 100%</t>
  </si>
  <si>
    <t>Lô 96</t>
  </si>
  <si>
    <t>NNH-VT-2025-003-2807-DH-0003526</t>
  </si>
  <si>
    <t>PO_NNH-VT-2025-003-2807-DH-0003526</t>
  </si>
  <si>
    <t>858044EW</t>
  </si>
  <si>
    <t>TBLVT00013</t>
  </si>
  <si>
    <t>Joyn 2 Touchdown
Variant Text
Width x depth x height: 2.8 x 1.4 x 0.75 m
Tabletop: Veneer maple 54
Feet: Powder-coated in soft light, on wheels
Consisting of: 
2x flexible workplace with a width of 160 cm
Seating height 74cm
2x Cable basket, of which 2x without electrification
White cover</t>
  </si>
  <si>
    <t>49%+5%</t>
  </si>
  <si>
    <t>5086505 / 1</t>
  </si>
  <si>
    <t>25-EXP-1854</t>
  </si>
  <si>
    <t>ONEU1601070/B020500</t>
  </si>
  <si>
    <t>VOLTRANS</t>
  </si>
  <si>
    <t>107803813020</t>
  </si>
  <si>
    <t>Bàn Joyn2 Touchdown, hiệu Vitra, model 858044EW, kích thước 280x140x74 cm, mặt bàn gỗ phủ veneer màu maple, chân nhôm sơn tĩnh điện, sử dụng trong văn phòng, mới 100%</t>
  </si>
  <si>
    <t>Lô 97</t>
  </si>
  <si>
    <t>NNH-EC-2025-010-1709-DH-0004084</t>
  </si>
  <si>
    <t>DH-0004084</t>
  </si>
  <si>
    <t>F.O.B</t>
  </si>
  <si>
    <t>LDLEC00048</t>
  </si>
  <si>
    <t>Downlight
Lumen: 1350lm
15W
3500K
50D
Size:82*115mm
Cut-out: 75mm
White + Chrome
ON/OFF</t>
  </si>
  <si>
    <t>TIỂU NGẠCH</t>
  </si>
  <si>
    <t>Lô 98</t>
  </si>
  <si>
    <t>LDLEC00049</t>
  </si>
  <si>
    <t>Downlight
Lumen: 1350lm
15W
4000K
50D
Size:82*115mm
Cut-out: 75mm
White + Chrome
ON/OFF</t>
  </si>
  <si>
    <t>LDLEC00052</t>
  </si>
  <si>
    <t>Downlight
Lumen: 1350lm
15W
3500K
24D
Size:82*115mm
Cut-out: 75mm
White + Chrome
ON/OFF</t>
  </si>
  <si>
    <t>LDLEC00050</t>
  </si>
  <si>
    <t>Downlight
Lumen: 800lm
10W
4000K
24D
Size: 62*H95mm
Cut-out: 55mm
White
ON/OFF</t>
  </si>
  <si>
    <t>LDLEC00051</t>
  </si>
  <si>
    <t>Downlight
Lumen: 800lm
10W
3500K
24D
Size: 62*H95mm
Cut-out: 55mm
White
ON/OFF</t>
  </si>
  <si>
    <t>LSLEC00035</t>
  </si>
  <si>
    <t>LED Recessed Spot Light
Lumen: 400lm
5W
CCT: 4000K
24D
Size: 40*H85mm
Cut-out: 35mm
White
ON/OFF</t>
  </si>
  <si>
    <t>LDLEC00053</t>
  </si>
  <si>
    <t>LED Trimless Recessed Downlight
Lumen: 2700lm
2x15W
4000K
50D
White+chrome
Size: 204.5*72*115mm
Cutting size: 150*72mm
ON/OFF</t>
  </si>
  <si>
    <t>LLNEC00005</t>
  </si>
  <si>
    <t>Pendant linear
Lumen: 3000lm
50W
4000K
110D
Black
+ Honeycomb
Size: L1800*W50*H76mm
ON/OFF</t>
  </si>
  <si>
    <t>LLNEC00006</t>
  </si>
  <si>
    <t>Pendant linear
Lumen: 4080lm
68W
4000K
110D
Black
+ Honeycomb
Size: L2400*W50*H76mm
ON/OFF</t>
  </si>
  <si>
    <t>LLNEC00007</t>
  </si>
  <si>
    <t>Pendant linear
Lumen: 3600m
60W
3000K
110D
Black
+ Honeycomb
Size: L1980*W50*H76mm
ON/OFF</t>
  </si>
  <si>
    <t>LLNEC00008</t>
  </si>
  <si>
    <t>Pendant linear
Lumen: 2160lm
36W
3500K
110D
Black
+ Honeycomb
Size: L1200*W50*H76mm
ON/OFF</t>
  </si>
  <si>
    <t>SPAEC00011</t>
  </si>
  <si>
    <t>D60mm / 3 m wire</t>
  </si>
  <si>
    <t>Connector between 2 linear lights</t>
  </si>
  <si>
    <t>NNH-USM-2025-015-0610</t>
  </si>
  <si>
    <t>NNH-USM-2025-015-2608-DH-0003984</t>
  </si>
  <si>
    <t>DH-0003984</t>
  </si>
  <si>
    <t>USMUS-16658.25</t>
  </si>
  <si>
    <t>USM Haller, door without fittings, 350x350 mm, golden yellow</t>
  </si>
  <si>
    <t>102089607</t>
  </si>
  <si>
    <t>887078081910</t>
  </si>
  <si>
    <t>SWITZERLAND</t>
  </si>
  <si>
    <t>107840447960</t>
  </si>
  <si>
    <t>Lô 99</t>
  </si>
  <si>
    <t>NNH-USM-2025-017-0409-DH-0004054</t>
  </si>
  <si>
    <t>DH-0004054</t>
  </si>
  <si>
    <t>USMUS-11103.23</t>
  </si>
  <si>
    <t>USM Haller, extension shelf without fittings, 750x350 mm, USM ruby red</t>
  </si>
  <si>
    <t>USMUS-11103.26</t>
  </si>
  <si>
    <t>USM Haller, extension shelf without fittings, 750x350 mm, pure orange</t>
  </si>
  <si>
    <t>USMUS-14108.23</t>
  </si>
  <si>
    <t>USM Haller, bracket left for extension shelf, 350 mm, USM ruby red</t>
  </si>
  <si>
    <t>USMUS-14109.23</t>
  </si>
  <si>
    <t>USM Haller, bracket right for extension shelf, 350 mm, USM ruby red</t>
  </si>
  <si>
    <t>USMUS-15391</t>
  </si>
  <si>
    <t>USM Haller, locking rod, 140 mm</t>
  </si>
  <si>
    <t>NNH-USM-2025-018-0909-DH-0003984</t>
  </si>
  <si>
    <t>11853.25</t>
  </si>
  <si>
    <t>USMUS-11853.25</t>
  </si>
  <si>
    <t>USM Haller, metal panel, perforated, 500x500 mm, golden yellow</t>
  </si>
  <si>
    <t>USMUS-13518.25</t>
  </si>
  <si>
    <t>USM Haller, extension shelf without fittings, 500x350 mm, golden yellow</t>
  </si>
  <si>
    <t>USMUS-16603.25</t>
  </si>
  <si>
    <t>USM Haller, metal panel, 350x100 mm, golden yellow</t>
  </si>
  <si>
    <t>USMUS-16606.25</t>
  </si>
  <si>
    <t>USM Haller, metal panel, 500x100 mm, golden yellow</t>
  </si>
  <si>
    <t>USMUS-18478</t>
  </si>
  <si>
    <t>USM Haller, fitting set for extension shelf, inverse assembly</t>
  </si>
  <si>
    <t>NNH-USM-2025-019-1609-DH-0004130</t>
  </si>
  <si>
    <t>DH-0004130</t>
  </si>
  <si>
    <t>USMUS-16658.36</t>
  </si>
  <si>
    <t>USM Haller, door without fittings, 350x350 mm, olive greenen yellow</t>
  </si>
  <si>
    <t>NNH-USM-2025-016-1011</t>
  </si>
  <si>
    <t>USMUS-14131</t>
  </si>
  <si>
    <t>USM Haller, handle set for drop-down and extension doors</t>
  </si>
  <si>
    <t>NNH-USM-2025-017-0112-DH-0005044</t>
  </si>
  <si>
    <t>DH-0005044</t>
  </si>
  <si>
    <t>USMUS-11217.26</t>
  </si>
  <si>
    <t>USM Haller, metal panel, 350x250mm, pure orange</t>
  </si>
  <si>
    <t>NNH-FLOS-2025-010-2909</t>
  </si>
  <si>
    <t>NNH-FLOS-2025-005-0107-EUROLUCE</t>
  </si>
  <si>
    <t>F3752000</t>
  </si>
  <si>
    <t>LPLFL00072</t>
  </si>
  <si>
    <t>Name: Luce Sferica S1 Suspension
Color: Glass
Dimension: ∅200mm, L1656mm
Materials: aluminum; glass
Power: 110W
Dimmable: yes</t>
  </si>
  <si>
    <t>NNH-FLOS-2025-012-2410</t>
  </si>
  <si>
    <t>HBL-202500838</t>
  </si>
  <si>
    <t>107867084140</t>
  </si>
  <si>
    <t>Đèn thả Luce Sferica S1, hiệu Flos, model F3752000, DI100 x L1656 mm, Bằng Thủy Tinh, Nhôm, không kèm bóng, mới 100%</t>
  </si>
  <si>
    <t>Lô 100</t>
  </si>
  <si>
    <t>F3753000</t>
  </si>
  <si>
    <t>LPLFL00073</t>
  </si>
  <si>
    <t>Name: Luce Sferica S2 Suspension
Color: Glass
Dimension: ∅200mm, L2070mm
Materials: aluminum; glass
Power: 145W
Dimmable: yes</t>
  </si>
  <si>
    <t>Đèn thả Luce Sferica S2, hiệu Flos, model F3753000, DI100 x L2072 mm, Bằng Thủy Tinh, Nhôm, không kèm bóng, mới 100%</t>
  </si>
  <si>
    <t>F3773000</t>
  </si>
  <si>
    <t>LPLFL00074</t>
  </si>
  <si>
    <t>Name: Luce Cilindrica S1 Suspension
Color: Glass
Dimension: ∅100mm, L1656mm 
Materials: aluminum; glass
Power: 110W
Dimmable: yes</t>
  </si>
  <si>
    <t>Đèn thả Luce Cilindrica S1, hiệu Flos, model F3773000, DI100 x L1656 mm, Bằng Thủy Tinh, Nhôm, không kèm bóng, mới 100%</t>
  </si>
  <si>
    <t>F3774000</t>
  </si>
  <si>
    <t>LPLFL00075</t>
  </si>
  <si>
    <t>Name: Luce Cilindrica S2 Suspension
Color: Glass
Dimension: ∅100mm, L2070mm
Materials: aluminum; glass
Dimmable: yes
Power: 145W</t>
  </si>
  <si>
    <t>Đèn thả Luce Cilindrica S2, hiệu Flos, model F3774000, DI100 x L2072 mm, Bằng Thủy Tinh, Nhôm, không kèm bóng, mới 100%</t>
  </si>
  <si>
    <t>LPLFL00076</t>
  </si>
  <si>
    <t>Name: The Glowing Track – Composition A Suspension
Color: Aluminum
Dimension: h1205mm, l1810mm, ∅47mm
Power: Top LED 26,8W+40,2W; Spotlights 4,7W
Materials: PMMA, aluminum
Dimmable: yes</t>
  </si>
  <si>
    <t>Đèn thả Glowing Track, hiệu Flos, kích thước DI47 x L1810 x H1205 mm, Bằng nhựa PMMA, Nhôm, không kèm bóng, mới 100%</t>
  </si>
  <si>
    <t>NNH-FLOS-2025-007-0109-DH-0004036</t>
  </si>
  <si>
    <t>DH-0004036</t>
  </si>
  <si>
    <t>A0320030</t>
  </si>
  <si>
    <t>LWLFL00019</t>
  </si>
  <si>
    <t>265 Small wall lamp
Color: Black
Model: A0320030</t>
  </si>
  <si>
    <t>Đèn Tường 265 Small, Model A0320030, hiệu Flos, kích thước 1680x160x350 mm, Bằng Thép, Màu Đen, không kèm bóng, mới 100%</t>
  </si>
  <si>
    <t>NNH-FLOS-2025-008-1009-DH-0004093</t>
  </si>
  <si>
    <t>DH-0004093</t>
  </si>
  <si>
    <t>F3173030</t>
  </si>
  <si>
    <t>LFLFL00043</t>
  </si>
  <si>
    <t xml:space="preserve">IC F1
Materials:  steel, brass,
blown glass
Color: black
Dimension: 275x275x1350mm
</t>
  </si>
  <si>
    <t>Đèn sàn IC F1, hiệu Flos, model F3173030, kích thước 275x275x1350 mm, bằng kim loại và thủy tinh, màu đen, không kèm bóng, mới 100%</t>
  </si>
  <si>
    <t>NNH-FLOS-2025-009-2509</t>
  </si>
  <si>
    <t>Luce Orizzontale S1
DI100 X L1656 mm,
Glass, aluminum
Voltage: 100-240V
Switching Integrated
LED 100W 5345lm 
2700K CRI95</t>
  </si>
  <si>
    <t>Đèn thả Luce Orizzontale S1, hiệu Flos, model F3743000, DI100 x L1656 mm, Bằng Thủy Tinh, Nhôm, không kèm bóng, mới 100%</t>
  </si>
  <si>
    <t>NNH-FLOS-2025-011-0910</t>
  </si>
  <si>
    <t>NNH-FLOS-2025-012-1110-DH-0004264</t>
  </si>
  <si>
    <t>DH-0004264</t>
  </si>
  <si>
    <t>F1080014</t>
  </si>
  <si>
    <t>LWLFL00021</t>
  </si>
  <si>
    <t xml:space="preserve">Bellhop Wall Up
Color: Grey Blue
Size: W191 x H108 x D150 </t>
  </si>
  <si>
    <t>Đèn Tường Bellhop Wall Up, Model F1080014, hiệu Flos, kích thước 191x108x150 mm, Bằng polycarbonate, Màu Grey Blue, không kèm bóng, mới 100%</t>
  </si>
  <si>
    <t>F1080026</t>
  </si>
  <si>
    <t>LWLFL00022</t>
  </si>
  <si>
    <t xml:space="preserve">Bellhop Wall Up
Color: Cioko
Size: W191 x H108 x D150 </t>
  </si>
  <si>
    <t>Đèn Tường Bellhop Wall Up, Model F1080026, hiệu Flos, kích thước 191x108x150 mm, Bằng polycarbonate, Màu Cioko, không kèm bóng, mới 100%</t>
  </si>
  <si>
    <t>F1080019</t>
  </si>
  <si>
    <t>LWLFL00023</t>
  </si>
  <si>
    <t xml:space="preserve">Bellhop Wall Up
Color: Yellow
Size: W191 x H108 x D150 </t>
  </si>
  <si>
    <t>Đèn Tường Bellhop Wall Up, Model F1080019, hiệu Flos, kích thước 191x108x150 mm, Bằng polycarbonate, Màu Yellow, không kèm bóng, mới 100%</t>
  </si>
  <si>
    <t>RF02775</t>
  </si>
  <si>
    <t>SPAFL00041</t>
  </si>
  <si>
    <t>Rod of Toio Led Floor Lamp
Material: Nickel-plated brass</t>
  </si>
  <si>
    <t>Bộ phận của đèn: Thân dài rod của đèn sàn Toio LED, bằng đồng thau mạ niken, hiệu Flos, model RF02775, mới 100% (hàng F.O.C)</t>
  </si>
  <si>
    <t>Céramique Down - Rust Red
Size 486-510x239x220 mm
Material: Polycarbonate, ceramics
without bulb</t>
  </si>
  <si>
    <t>Đèn bàn trang trí Céramique Down, hiệu Flos, model F1634035, kích thước 486-510x239x220 mm, bằng nhựa, màu Rust Red, không kèm bóng, mới 100% (hàng F.O.C)</t>
  </si>
  <si>
    <t>F3322030A</t>
  </si>
  <si>
    <t>SPAFL00042</t>
  </si>
  <si>
    <t>Base of Kelvin Led Floor Lamp
Material: Polycarbonate
Color: Black</t>
  </si>
  <si>
    <t>Bộ phận của đèn: Đế của đèn sàn Kelvin LED, bằng polycarbonate, hiệu Flos, màu đen, model F3322030A, mới 100% (hàng F.O.C)</t>
  </si>
  <si>
    <t>Bon Jour Unplugged Table lamp –
10th Anniversary Edition
Size: 13,1x13,1x27 cm
Color: Copper
without bulb</t>
  </si>
  <si>
    <t>F1040009</t>
  </si>
  <si>
    <t>LTLFL00060</t>
  </si>
  <si>
    <t>Bon Jour Unplugged Table lamp –
10th Anniversary Edition
Size: 13,1x13,1x27 cm
Color: Almost White
without bulb</t>
  </si>
  <si>
    <t>Đèn bàn trang trí BON JOUR UNPLUGGED, hiệu Flos, model F1040009, kích thước 13,1x13,1x27 cm, bằng nhựa và kim loại, màu almost white, không kèm bóng, mới 100%</t>
  </si>
  <si>
    <t>NNH-LPS-2025-005-3110</t>
  </si>
  <si>
    <t>LPLLP00025</t>
  </si>
  <si>
    <t>PH Artichoke
Colour: Copper
Size: 720x720x650mm
LED 2700K
96W
Light control: Dali</t>
  </si>
  <si>
    <t>50%+22%</t>
  </si>
  <si>
    <t>072506655</t>
  </si>
  <si>
    <t>107898211300</t>
  </si>
  <si>
    <t>Đèn trang trí PH ARTICHOKE 720, hiệu Louis Poulsen, model 5741114506, kích thước 720x720x650mm, Bằng Copper và Aluminium, Màu Đồng Copper, không kèm bóng, Mới 100%</t>
  </si>
  <si>
    <t>Lô 101</t>
  </si>
  <si>
    <t>LPLLP00016</t>
  </si>
  <si>
    <t>PH Artichoke
Colour: Stainless steel
Size: 720x720x650mm
LED 2700K 
96W
Light control: Dali</t>
  </si>
  <si>
    <t>Đèn trang trí PH ARTICHOKE 720, hiệu Louis Poulsen, model 5741114409, kích thước 720x720x650mm, Bằng Steel và Aluminium, Màu Bạc Stainless Steel, không kèm bóng, Mới 100%</t>
  </si>
  <si>
    <t>LPLLP00031</t>
  </si>
  <si>
    <t>PH 5 EU
Colour: Classic white
Size: 500x500x267mm
White textile cord
1x75W E27</t>
  </si>
  <si>
    <t>Đèn Thả PH 5, hiệu Louis Poulsen, model 5741099870, kích thước 500x500x267mm, Bằng kim loại và thủy tinh, Màu Trắng Classic White, không Kèm Bóng, Mới 100%</t>
  </si>
  <si>
    <t>PH 5 EU
Colour: Monochrome white
Size: 500x500x267mm
White textile cord
1x75W E27</t>
  </si>
  <si>
    <t>Đèn Thả PH 5, hiệu Louis Poulsen, model 5741104574, kích thước 500x500x267mm, Bằng kim loại và thủy tinh, Màu Trắng Monochrome White, không kèm bóng, Mới 100%</t>
  </si>
  <si>
    <t>LPLLP00032</t>
  </si>
  <si>
    <t>PH 5 EU
Colour: Modern white
Size: 500x500x267mm
White textile cord
1x75W E27</t>
  </si>
  <si>
    <t>Đèn Thả PH 5, hiệu Louis Poulsen, model 5741099867, kích thước 500xx500x267 mm, bằng kim loại và thủy tinh, màu trắng Modern White, không kèm bóng, Mới 100%</t>
  </si>
  <si>
    <t>LPLLP00061</t>
  </si>
  <si>
    <t>PH 5 EU
Colour: Monochrome  burgundy
Size: 500x500x267mm
Black textile cord
1x75W E27</t>
  </si>
  <si>
    <t>Đèn Thả PH 5, hiệu Louis Poulsen, model 5741115055, kích thước 500xx500x267 mm, bằng kim loại và thủy tinh, màu Monochrome  burgundy, không kèm bóng, Mới 100%</t>
  </si>
  <si>
    <t>LTLLP00071</t>
  </si>
  <si>
    <t>PH 80 Portable Lamp
Colour: Opal white/high
lustre chrome plated
Size: 230x230x305mm
LED 2700K 4W</t>
  </si>
  <si>
    <t>Đèn trang trí để bàn PH 80, hiệu Louis Poulsen, model 5744172325, kích thước 230x230x305 mm, Bằng nhựa và nhôm, Màu chrome, không kèm bóng, mới 100%</t>
  </si>
  <si>
    <t>LTLLP00072</t>
  </si>
  <si>
    <t>PH 80 Portable Lamp, 
Colour: Opal white/white
Size: 230x230x305mm
LED 2700K 4W</t>
  </si>
  <si>
    <t>Đèn trang trí để bàn PH 80, hiệu Louis Poulsen, model 5744172338, kích thước 230x230x305 mm, Bằng nhựa và nhôm, Màu trắng, không kèm bóng, mới 100%</t>
  </si>
  <si>
    <t>5744171821</t>
  </si>
  <si>
    <t>LTLLP00073</t>
  </si>
  <si>
    <t>Rumee 220 Portable Lamp
Colour: Cloud white
Size: 223x220x243mm
LED 2700K 3.2W</t>
  </si>
  <si>
    <t>Đèn trang trí để bàn Rumee 220, hiệu Louis Poulsen, model 5744171821, kích thước 223x220x243 mm, Bằng nhựa, Màu Cloud White, không kèm bóng, mới 100%</t>
  </si>
  <si>
    <t>LTLLP00074</t>
  </si>
  <si>
    <t>Rumee 220 Portable Lamp, Colour: Earth grey
Size: 223x220x243mm
LED 2700K 3.2W</t>
  </si>
  <si>
    <t>Đèn trang trí để bàn Rumee 220, hiệu Louis Poulsen, model 5744171834, kích thước 223x220x243 mm, Bằng nhựa, Màu Earth Grey, không kèm bóng, mới 100%</t>
  </si>
  <si>
    <t>LTLLP00075</t>
  </si>
  <si>
    <t>Rumee 220 Portable Lamp Colour: Night blue
Size: 223x220x243mm
LED 2700K 3.2W</t>
  </si>
  <si>
    <t>Đèn trang trí để bàn Rumee 220, hiệu Louis Poulsen, model 5744171847, kích thước 223x220x243 mm, Bằng nhựa, Màu Night Blue, không kèm bóng, mới 100%</t>
  </si>
  <si>
    <t xml:space="preserve">NNH-CS-2025-0512-005 </t>
  </si>
  <si>
    <t>GWPKEYHO</t>
  </si>
  <si>
    <t>ACCCA00058</t>
  </si>
  <si>
    <t>Keyholder / Portachiavi, Cuoio/Saddle leather, 23x2cm</t>
  </si>
  <si>
    <t>V1/2025/023358</t>
  </si>
  <si>
    <t>3195731571</t>
  </si>
  <si>
    <t>MILANO</t>
  </si>
  <si>
    <t>107813901750</t>
  </si>
  <si>
    <t>Móc khóa, bằng da thuộc, model GWPKEYHO, hiệu Cassina, kích thước 23x2 cm, mới 100%</t>
  </si>
  <si>
    <t>Lô 102</t>
  </si>
  <si>
    <t>GWPPENCA</t>
  </si>
  <si>
    <t>ACCCA00059</t>
  </si>
  <si>
    <t>Pencase / Portapenne, Pelle/Leather, 22x8cm</t>
  </si>
  <si>
    <t>Túi đựng bút, bằng da thuộc, model GWPPENCA, hiệu Cassina, kích thước 22x8 cm, mới 100%.</t>
  </si>
  <si>
    <t>GWPCARTA</t>
  </si>
  <si>
    <t>ACCCA00060</t>
  </si>
  <si>
    <t>Cardholder (pockets) / Portacarte con tasche, Pelle/Leather, 10x8cm</t>
  </si>
  <si>
    <t>Ví đựng thẻ, bằng da thuộc, model GWPCARTA, hiệu Cassina, kích thước 10x8 cm, mới 100%.</t>
  </si>
  <si>
    <t>GWPCARBU</t>
  </si>
  <si>
    <t>ACCCA00061</t>
  </si>
  <si>
    <t>Cardholder (envelope shape) / Portacarte a busta, Pelle/Leather, 10x8cm</t>
  </si>
  <si>
    <t>Ví đựng thẻ, bằng da thuộc, model GWPCARBU, hiệu Cassina, kích thước 10x8 cm, mới 100%.</t>
  </si>
  <si>
    <t>GWPTAGLE</t>
  </si>
  <si>
    <t>ACCCA00062</t>
  </si>
  <si>
    <t>Travel tag in leather / in pelle, Pelle/Leather, 10x6cm</t>
  </si>
  <si>
    <t>Thẻ hành lý, bằng da thuộc, model GWPTAGLE, hiệu Cassina, kích thước 10x6 cm, mới 100%.</t>
  </si>
  <si>
    <t>NNH-LPS-2026-001-1201-DH-0005305</t>
  </si>
  <si>
    <t>DH-0005305</t>
  </si>
  <si>
    <t>5741104613</t>
  </si>
  <si>
    <t>LPLLP00026</t>
  </si>
  <si>
    <t>PH Septima
Colour: Clear and matt glass/ brass
Cord length: 3 m, White fabric cord
Dimension: 500x500x405 mm 
Light source: 1x28W E27</t>
  </si>
  <si>
    <t>NNH-LPS-2026-001-1201</t>
  </si>
  <si>
    <t>057-53274443</t>
  </si>
  <si>
    <t>107951397150</t>
  </si>
  <si>
    <t>Đèn thả trang trí PH Septima, hiệu Louis Poulsen, model 5741104613, kích thước 500x500x405 mm, bằng kim loại và kính, không kèm bóng, mới 100%</t>
  </si>
  <si>
    <t>Lô 103</t>
  </si>
  <si>
    <t>NNH-EC-2025-017-1112</t>
  </si>
  <si>
    <t>NNH-EC-2025-017-0912-DH-0004260</t>
  </si>
  <si>
    <t>DH-0004260</t>
  </si>
  <si>
    <t>LTREC00006</t>
  </si>
  <si>
    <t>LED Track Light T4, 1600lm, 20W, 2700K-6500K, beam angle zoomable 10°-60°, black, size φ58*L152mm, DALI DT8</t>
  </si>
  <si>
    <t>CNSHELGA0003</t>
  </si>
  <si>
    <t>107956235000</t>
  </si>
  <si>
    <t>Bộ phận của đèn: thân đèn dùng cho đèn Track Light, kích thước 65x65x147mm, bằng kim loại, màu đen, hiệu NANOCO, model LTREC00006, mới 100%</t>
  </si>
  <si>
    <t>Lô 104</t>
  </si>
  <si>
    <t>LTREC00007</t>
  </si>
  <si>
    <t>LED Track Light T4, 1600lm, 30W, 2700K-6500K, beam angle zoomable 10°-60°, black, size φ68*L157mm, DALI DT8</t>
  </si>
  <si>
    <t>Bộ phận của đèn: thân đèn dùng cho đèn Track Light, kích thước 75x75x159mm, bằng kim loại, màu đen, hiệu NANOCO, model LTREC00007, mới 100%</t>
  </si>
  <si>
    <t>ACCEC00011</t>
  </si>
  <si>
    <t>Track Rail T4 for DALI DIM, size 1000x32.3x32.8mm</t>
  </si>
  <si>
    <t>Thanh ray Dali Dim, kích thước 1000x32.3x32.8mm, bằng kim loại, màu đen, hiệu NANOCO, model ACCEC00011, mới 100%</t>
  </si>
  <si>
    <t>ACCEC00012</t>
  </si>
  <si>
    <t>Track Rail T4 for DALI DIM, size 1500x32.3x32.8mm</t>
  </si>
  <si>
    <t>Thanh ray Dali Dim, kích thước 1500x32.3x32.8mm, bằng kim loại, màu đen, hiệu NANOCO, model ACCEC00012, mới 100%</t>
  </si>
  <si>
    <t>ACCEC00013</t>
  </si>
  <si>
    <t>Track Rail T4 for DALI DIM, size 2000x32.3x32.8mm</t>
  </si>
  <si>
    <t>Thanh ray Dali Dim, kích thước 2000x32.3x32.8mm, bằng kim loại, màu đen, hiệu NANOCO, model ACCEC00013, mới 100%</t>
  </si>
  <si>
    <t>SPAEC00024</t>
  </si>
  <si>
    <t>Straight Connector T2
for 4 wire DALI Dim track rail</t>
  </si>
  <si>
    <t>Đầu nối thẳng cho thanh ray Dali Dim 4 dây, có tiếp điểm nối điện, bằng nhựa, màu đen, hiệu NANOCO, model SPAEC00024, mới 100%</t>
  </si>
  <si>
    <t>85369032</t>
  </si>
  <si>
    <t>SPAEC00025</t>
  </si>
  <si>
    <t>L type connector T2
for 4 wire DALI Dim track rail</t>
  </si>
  <si>
    <t>Đầu nối góc L cho thanh ray Dali Dim 4 dây, có tiếp điểm nối điện, bằng nhựa, màu đen, hiệu NANOCO, model SPAEC00025, mới 100%</t>
  </si>
  <si>
    <t>DH-0004110</t>
  </si>
  <si>
    <t>LWLEC00002</t>
  </si>
  <si>
    <t>LED wall lamp, 12W, 3000K, IP65, Size 150x150x45mm, chip 4x2W, driver</t>
  </si>
  <si>
    <t>Bộ phận của đèn: thân đèn dùng cho đèn Wall Lamp, kích thước 150x150x45mm, bằng kim loại, màu đen, hiệu NANOCO, model LWLEC00002, mới 100%</t>
  </si>
  <si>
    <t>NNH-EC-2025-018-1512-DH-0004325</t>
  </si>
  <si>
    <t>DH-0004325</t>
  </si>
  <si>
    <t>LAOEC00003</t>
  </si>
  <si>
    <t>Wall washer Linear light surface mounted outdoor
80lm/W; 20W/m
CCT: Tunable white 2700K-6000K
Beam Angle: 20D
Body color: White
Size: L1000xW38xH29 mm
IP66
DC24V
DMX</t>
  </si>
  <si>
    <t>Bộ phận của đèn: thân đèn dùng cho đèn Wall Washer Linear Light, kích thước 1000x38x29mm, bằng kim loại, màu trắng, hiệu NANOCO, model LAOEC00003, mới 100%</t>
  </si>
  <si>
    <t>LAOEC00004</t>
  </si>
  <si>
    <t>Wall washer Linear light surface mounted outdoor
80lm/W; 20W/m
CCT: Tunable white 2700K-6000K
Beam Angle: 20D
Body color: White
Size: L500xW38xH29 mm
IP66
DC24V
DMX</t>
  </si>
  <si>
    <t>Bộ phận của đèn: thân đèn dùng cho đèn Wall Washer Linear Light, kích thước 500x38x29mm, bằng kim loại, màu trắng, hiệu NANOCO, model LAOEC00004, mới 100%</t>
  </si>
  <si>
    <t>LAOEC00005</t>
  </si>
  <si>
    <t>Wall washer Linear light surface mounted outdoor
80lm/W ; 20W/m
CCT: Tunable white 2700K-6000K
Beam Angle: 20D
Body color: White
Size: L300xW38xH29 mm
IP66
DC24V
DMX</t>
  </si>
  <si>
    <t>Bộ phận của đèn: thân đèn dùng cho đèn Wall Washer Linear Light, kích thước 300x38x29mm, bằng kim loại, màu trắng, hiệu NANOCO, model LAOEC00005, mới 100%</t>
  </si>
  <si>
    <t>SPAEC00023</t>
  </si>
  <si>
    <t>Lights with 1.5 m -5 PIN OUT</t>
  </si>
  <si>
    <t>Dây điện có đầu nối, loại 5 chân PIN, dùng cho đèn chiếu sáng, dài 1.5m, 5*1 mm, 24V DC, cách điện bằng nhựa, hiệu NANOCO, model SPAEC00023, mới 100%</t>
  </si>
  <si>
    <t>85444294</t>
  </si>
  <si>
    <t>SPAEC00016</t>
  </si>
  <si>
    <t>Starter cable 3m- FEMALE- 5 PIN</t>
  </si>
  <si>
    <t>Dây điện có đầu nối female, loại 5 chân PIN, dùng cho đèn chiếu sáng, dài 3m,  5*1 mm, 24V DC, cách điện bằng nhựa, hiệu NANOCO, model SPAEC00016, mới 100%</t>
  </si>
  <si>
    <t>SPAEC00017</t>
  </si>
  <si>
    <t>End cable - FEMALE- 5 PIN</t>
  </si>
  <si>
    <t>Dây điện có đầu nối female, 5 chân PIN, dùng cho kết thúc hệ thống đèn chiếu sáng, 5*1mm, 24V DC, cách điện bằng nhựa, hiệu NANOCO, model SPAEC00017, mới 100%</t>
  </si>
  <si>
    <t>LAOEC00006</t>
  </si>
  <si>
    <t>Led outdoor wall light
24VDC power supplier, IP65
Beam angel: 90 degree
Size: 280xW75xH58 mm
Cut out: 250xW60xH58 mm
Power: 8W, Ra 90, 400lm
Grey
DMX
CCT: 3000K
ON/OFF</t>
  </si>
  <si>
    <t>Bộ phận của đèn: thân đèn dùng cho đèn Wall Light, kích thước 280x75x58mm, bằng kim loại, màu xám, hiệu NANOCO, model LAOEC00006, mới 100%</t>
  </si>
  <si>
    <t>LAOEC00007</t>
  </si>
  <si>
    <t>Led Outdoor Flood light
24 VDC power supplier, IP66
Tunable white-2700K-6000K
Beam Angel: 10 degree
Size: 150x180x210 mm
Power: 30W, Ra 90, 80 lm/W
Grey
DMX</t>
  </si>
  <si>
    <t>Bộ phận của đèn: thân đèn dùng cho đèn Flood Light, kích thước 150x180x210mm, bằng kim loại, màu xám, hiệu NANOCO, model LAOEC00007, mới 100%</t>
  </si>
  <si>
    <t>SPAEC00018</t>
  </si>
  <si>
    <t>Customize the wire cable of the Lights, 2 cable wire male and female out, each one length 3 m with 4PIN (signal)</t>
  </si>
  <si>
    <t>Dây điện có đầu nối male và female, loại 4 chânPIN, dùng cho đèn chiếu sáng, dài 3m, 4*1 mm, 24V DC, cách điện bằng nhựa, hiệu NANOCO, model SPAEC00018, mới 100%</t>
  </si>
  <si>
    <t>SPAEC00019</t>
  </si>
  <si>
    <t>2 pin-male wire cable, each one length 2m, 2 PIN (Power)</t>
  </si>
  <si>
    <t>Dây điện có đầu nối male, loại 2 chân PIN, dùng cho đèn chiếu sáng, dài 2m, 2*1 mm, 24V DC, cách điện bằng nhựa, hiệu NANOCO, model SPAEC00019, mới 100%</t>
  </si>
  <si>
    <t>SPAEC00020</t>
  </si>
  <si>
    <t>4 PIN-DMX Starter FEMALE cable 3m</t>
  </si>
  <si>
    <t>Dây điện có đầu nối female, loại 4 chân PIN, dùng cho kết thúc hệ thống đèn chiếu sáng, dài 3m, 4*1 mm, 24V DC, cách điện nhựa, hiệu NANOCO, model SPAEC00020, mới 100%</t>
  </si>
  <si>
    <t>SPAEC00021</t>
  </si>
  <si>
    <t>T CABLE, 2 PIN- ; 
1 MALE AND 2 FEMALE
One Female length: 2m
One female length: 30cm
One Male length: 2m</t>
  </si>
  <si>
    <t>Dây điện có đầu nối male và female, loại 2 chân PIN, dùng cho đèn chiếu sáng, 2*1 mm, 24V DC, cách điện bằng nhựa, hiệu NANOCO, model SPAEC00021, mới 100%</t>
  </si>
  <si>
    <t>SPAEC00022</t>
  </si>
  <si>
    <t>End cable - FEMALE- 4 PIN</t>
  </si>
  <si>
    <t>Dây điện có đầu nối female, loại 4 chân PIN, dùng cho kết thúc hệ thống đèn chiếu sáng, 4*1 mm, 24V DC, cách điện bằng nhựa, hiệu NANOCO, model SPAEC00022, mới 100%</t>
  </si>
  <si>
    <t>Ltech DIN-121</t>
  </si>
  <si>
    <t>Thiết bị điều khiển tín hiệu đèn DMX, DC12V-DC24V, kích thước 112x35x67mm, hiệu LTECH, model DIN-121, mới 100%</t>
  </si>
  <si>
    <t>85371019</t>
  </si>
  <si>
    <t>NNH-EC-2025-019-2912-DH-0004006</t>
  </si>
  <si>
    <t>DH-0004006</t>
  </si>
  <si>
    <t>LDLEC00080</t>
  </si>
  <si>
    <t>Downlight, Lumen: 720lm, Power: 9W, CCT: 2700K, Beam Angle: 50°, Body color: Black cover, chrome reflector, Size: D86*90mm, Cutting Size: Φ75mm, Honeycomb, DIM TRIAC</t>
  </si>
  <si>
    <t>Bộ phận của đèn: thân đèn dùng cho đèn Downlight, kích thước 86x86x90mm, bằng kim loại, màu đen, hiệu NANOCO, model LDLEC00080, mới 100%</t>
  </si>
  <si>
    <t>LDLEC00081</t>
  </si>
  <si>
    <t>Downlight, Lumen: 720lm, Power: 9W, CCT: 2700K, Beam Angle: 24°, Body color: Black cover, chrome reflector, Size: D86*90mm, Cutting Size: Φ75mm, Honeycomb, DIM TRIAC</t>
  </si>
  <si>
    <t>Bộ phận của đèn: thân đèn dùng cho đèn Downlight, kích thước 86x86x90mm, bằng kim loại, màu đen, hiệu NANOCO, model LDLEC00081, mới 100%</t>
  </si>
  <si>
    <t>LDLEC00082</t>
  </si>
  <si>
    <t>Downlight, Lumen: 720lm, Power: 7W, CCT: 2700K, Beam Angle: 24°, Body color: Full black, Size: D52*92mm, Cutting Size: Φ45mm, DIM TRIAC</t>
  </si>
  <si>
    <t>Bộ phận của đèn: thân đèn dùng cho đèn Downlight, kích thước 52x52x92mm, bằng kim loại, màu đen, hiệu NANOCO, model LDLEC00082, mới 100%</t>
  </si>
  <si>
    <t>TEAM DỰ ÁN</t>
  </si>
  <si>
    <t xml:space="preserve">MR-WT35 </t>
  </si>
  <si>
    <t xml:space="preserve">DMX Controller DC6V-DC24V, size 122x87.4x41mm </t>
  </si>
  <si>
    <t>Thiết bị điều khiển tín hiệu đèn DMX, DC6V-DC24V, kích thước 122x87.4x41mm, model MR-WT35, mới 100%</t>
  </si>
  <si>
    <t>NNH-S&amp;C-2025-002-3112-DH-0004403</t>
  </si>
  <si>
    <t>DH-0004403</t>
  </si>
  <si>
    <t>DORSA02</t>
  </si>
  <si>
    <t>LFLSC00005</t>
  </si>
  <si>
    <t>Dórica Floor lamps Metal structure with dark brown finish Natural ribbon lampshade Size: 28x28x143cm Cylindrical base with stabilizing disc Ø22cm Dimmer included</t>
  </si>
  <si>
    <t>NNH-S&amp;C-2025-002</t>
  </si>
  <si>
    <t>MADSGN260301</t>
  </si>
  <si>
    <t>KHO SCSC</t>
  </si>
  <si>
    <t>108056937550</t>
  </si>
  <si>
    <t>Đèn sàn trang trí Dorica, hiệu Santa&amp;Cole, model DORSA02, kích thước 28x28x143cm, thân bằng kim loại màu dark brown, chụp bằng vải, không kèm bóng, mới 100%</t>
  </si>
  <si>
    <t>Lô 105</t>
  </si>
  <si>
    <t>NNH-FLOS-2026-001-0201-DH-0005239</t>
  </si>
  <si>
    <t>DH-0005239</t>
  </si>
  <si>
    <t>Table lamp Taccia Small Size: 373x142x485 mm Materials: glass, aluminum Color: Black</t>
  </si>
  <si>
    <t>NNH-FLOS-2026-001-002</t>
  </si>
  <si>
    <t>CNL000159409</t>
  </si>
  <si>
    <t>KHO TCS</t>
  </si>
  <si>
    <t>108066638040</t>
  </si>
  <si>
    <t>Đèn bàn trang trí Taccia Small, hiệu Flos, model F6604030, kích thước 373x373x485 mm, bằng thủy tinh và aluminium, màu black, không kèm bóng, mới 100%</t>
  </si>
  <si>
    <t>Lô 106</t>
  </si>
  <si>
    <t>NNH-FLOS-2026-002-1002-DH-0005565</t>
  </si>
  <si>
    <t>DH-0005565</t>
  </si>
  <si>
    <t>F1011007</t>
  </si>
  <si>
    <t>LFLFL00045</t>
  </si>
  <si>
    <t>Bibliotheque Nationale Floor lamp
Designed by Philippe Starck, 2013
Without blub
Material: PC, stainless steel, Methacrylate
Top cover finish colour: Fabric
Peso · Weight 10,87 Kg</t>
  </si>
  <si>
    <t>51%+5%</t>
  </si>
  <si>
    <t>Đèn sàn trang trí Bibliotheque Nationale, hiệu Flos, model F1011007, kích thước 400x400x1500 mm, bằng kim loại và nhựa, chụp đèn màu fabric peso, không kèm bóng, mới 100%</t>
  </si>
  <si>
    <t>MARTINELLI LUCE</t>
  </si>
  <si>
    <t>NNH-ML-2025-001-1112-DH-0003626</t>
  </si>
  <si>
    <t>DH-0003626</t>
  </si>
  <si>
    <t>ELMETTO 685
Green, polished, RAL 6013
D22 X H28 cm 
Structure: Abs 
Power cable: 200cm</t>
  </si>
  <si>
    <t>30%+25%+1.5%</t>
  </si>
  <si>
    <t>NNH-ML-2025-001</t>
  </si>
  <si>
    <t>889383677395</t>
  </si>
  <si>
    <t>108053478960</t>
  </si>
  <si>
    <t>Đèn bàn trang trí ELMETTO 685, hiệu Martinelli Luce, model 685/VE, kích thước 22x22x28 cm, bằng nhựa, màu xanh lục, không kèm bóng, mới 100%</t>
  </si>
  <si>
    <t>Lô 107</t>
  </si>
  <si>
    <t>30001/NE</t>
  </si>
  <si>
    <t>SPAML00001</t>
  </si>
  <si>
    <t>Body of Pipistrello 620/NE table lamp
Size: 40x40x70 cm
Structure: metal
Color: Back</t>
  </si>
  <si>
    <t>Chân đèn bàn trang trí Pipistrello 620/NE, hiệu Martinelli Luce, model 30001/NE, kích thước 40x40x70 cm, bằng kim loại, màu đen, hàng F.O.C, mới 100%</t>
  </si>
  <si>
    <t>NNH-EC-2026-001-2701-DH-0005203</t>
  </si>
  <si>
    <t>DH-0005203</t>
  </si>
  <si>
    <t>LSLEC00049</t>
  </si>
  <si>
    <t>LED Recessed Spotlight, lumen
2000lm, power 25W, CCT 3000K, beam
angle 36°, size 105*146mm, cut out
φ95mm, white body, chrome reflector,
no driver</t>
  </si>
  <si>
    <t>tiểu ngạch</t>
  </si>
  <si>
    <t>Tiểu Ngạch</t>
  </si>
  <si>
    <t>Lô 108</t>
  </si>
  <si>
    <t>LSLEC00050</t>
  </si>
  <si>
    <t>LED Stretch Spotlight, lumen 1600lm,
power 20W, CCT 3000K, beam angle
24°, size 130*H95mm, cut out
φ120mm, white colour, no driver</t>
  </si>
  <si>
    <t>NNH-EC-2026-002-2103-DH-0005440</t>
  </si>
  <si>
    <t>DH-0005440</t>
  </si>
  <si>
    <t>Down light</t>
  </si>
  <si>
    <t>LDLEC00085</t>
  </si>
  <si>
    <t>Downlight
- Lumen: 720lm
- Power: 9W
- CCT: 2700K
- Beam Angle: 36°
- Body color: Black cover, chrome reflector
- Size: D86*90 mm
- Cutting Size: Φ75 mm
- Honeycomb
- DIM TRIAC</t>
  </si>
  <si>
    <t>Lô 109</t>
  </si>
  <si>
    <t>NHH-EC-2026-003-3103-DH-0005352</t>
  </si>
  <si>
    <t>DH-0005352</t>
  </si>
  <si>
    <t>LSLEC00051</t>
  </si>
  <si>
    <t>Des: Recessed Spotlight
- Lumen: 800lm
- Power: 10W
- CCT: 3000K
- Beam Angle: 24°
- Color: White
- Size: 85xH70mm
- Cutting size: 75mm
CRI&gt;90
IP20
ON/OFF</t>
  </si>
  <si>
    <t>LPLLP00062</t>
  </si>
  <si>
    <t>PH 3/2 Academy EU
Colour: High lustre chrome plated
Size: 680x680x345mm
3x40W E14</t>
  </si>
  <si>
    <t>1019012991</t>
  </si>
  <si>
    <t>AIR - DAP</t>
  </si>
  <si>
    <t>KHO DHL</t>
  </si>
  <si>
    <t>108078685740</t>
  </si>
  <si>
    <t>Đèn thả trang trí PH 3/2 Academy, hiệu Louis Poulsen, model 5741109249, kích thước 680x680x345 mm, bằng kim loại và thủy tinh, màu high lustre chrome plated, không kèm bóng, mới 100%</t>
  </si>
  <si>
    <t>Lô 110</t>
  </si>
  <si>
    <t>PO-NNH-FH-2026-002-1601</t>
  </si>
  <si>
    <t>711243</t>
  </si>
  <si>
    <t>SPAFH00021</t>
  </si>
  <si>
    <t>PK24 counterweight stainless steel</t>
  </si>
  <si>
    <t>100176056</t>
  </si>
  <si>
    <t>1Z514A946796451959</t>
  </si>
  <si>
    <t>KHO UPS</t>
  </si>
  <si>
    <t>108041626710</t>
  </si>
  <si>
    <t>Bộ phận của ghế lounge PK24: Thanh đối trọng để cân bằng gối tựa đầu của ghế lounge PK24, model 711243, hiệu Fritz Hansen, bằng kim loại, kích thước D2x65 cm, mới 100%</t>
  </si>
  <si>
    <t>Lô 111</t>
  </si>
  <si>
    <t>NNH-VB-2025-002-2912-DH-0005096</t>
  </si>
  <si>
    <t>DH-0005096</t>
  </si>
  <si>
    <t>50% AFTER CONTRACT, 50% BEFORE SHIPPING</t>
  </si>
  <si>
    <t>V.0245.22.01</t>
  </si>
  <si>
    <t>Roy tavolo diffusa copper bronze tunable white</t>
  </si>
  <si>
    <t>1.054/03</t>
  </si>
  <si>
    <t>108110821010</t>
  </si>
  <si>
    <t>Đèn bàn trang trí Roy Tavolo, hiệu Viabizzuno, model V.0245.22.01, kích thước 120x418x450mm, bằng kim loại, màu copper bronze, bao gồm nguồn V.0245.22.02, không kèm bóng, mới 100%</t>
  </si>
  <si>
    <t>Lô 112</t>
  </si>
  <si>
    <t>NNH-KN-2025-004-3010-DH-0004200</t>
  </si>
  <si>
    <t>DH-0004200 ; DH-0004083 ; DH-0004225</t>
  </si>
  <si>
    <t>Platner dining table 
Size: ø152xH70
nichel structure, clear glass</t>
  </si>
  <si>
    <t>50%+10%</t>
  </si>
  <si>
    <t>NNH-KN-2025-004-3010</t>
  </si>
  <si>
    <t>SEGU 448024/7</t>
  </si>
  <si>
    <t>SEA LCL</t>
  </si>
  <si>
    <t>La Spezia, Italy</t>
  </si>
  <si>
    <t>Real logistic</t>
  </si>
  <si>
    <t>108218172160</t>
  </si>
  <si>
    <t>Bàn Platner Dining Table, hiệu Knoll, model 3715T G2, kích thước 152x152x70 cm, khung bằng kim loại, mặt bàn kính trong suốt, tháo rời đồng bộ, mới 100%</t>
  </si>
  <si>
    <t>Lô 113</t>
  </si>
  <si>
    <t>CHAIR</t>
  </si>
  <si>
    <t>Platner side chair
Size: H76xW74xD57
seat height: 51cm
Nichel structure
120Eva Wine
Level S</t>
  </si>
  <si>
    <t>Ghế Platner Side, hiệu Knoll, model 1725A S 120EVA, kích thước 74x57x76 cm, chiều cao mặt ghế 51cm, bằng kim loại, đã nhồi đệm, đệm ghế bọc vải Eva màu Wine, mới 100%</t>
  </si>
  <si>
    <t>NNH-NU-2026-001-0104</t>
  </si>
  <si>
    <t>DH-0005451</t>
  </si>
  <si>
    <t>AE429-E561-AR51</t>
  </si>
  <si>
    <t>TBLHA00048</t>
  </si>
  <si>
    <t>Pyro Coffee Table
Size: H49 x W45 x L45 cm
Tabletop: Black Ceramic
Edge: Glazed Porcelain
Frame: Black Powder coated Steel
Glider: None</t>
  </si>
  <si>
    <t>NHH-NU-2026-001-0104</t>
  </si>
  <si>
    <t>LSHSGN2603912</t>
  </si>
  <si>
    <t>WHSU5330444/40'HQ/WHAC527863</t>
  </si>
  <si>
    <t>D.B</t>
  </si>
  <si>
    <t>108209618530</t>
  </si>
  <si>
    <t>Bàn Pyro Coffee Table, hiệu HAY, model AE429-E561-AR51, kích thước H49 x W45 x L45 cm, mặt bàn bằng ceramic, chân bằng kim loại, màu đen, mới 100%</t>
  </si>
  <si>
    <t>Lô 114</t>
  </si>
  <si>
    <t>AA691-A371-AA96</t>
  </si>
  <si>
    <t>TBLHA00049</t>
  </si>
  <si>
    <t>Neu Table
Size: H74 x W70 x L70 cm
Tabletop &amp; frame: Anthracite Powder coated Steel
Edge: Anthracite
Frame: Anthracite Powder coated Aluminium
Glider: None</t>
  </si>
  <si>
    <t>Bàn Neu Table, hiệu HAY, model AA691-A371-AA96, kích thước H74 x W70 x L70 cm, bằng kim loại, màu Anthracite, mới 100%</t>
  </si>
  <si>
    <t>Palissade Chair
Size: L47xW56xH45/80 cm
Sky Grey Powder Coated Steel</t>
  </si>
  <si>
    <t>Ghế PALISSADE CHAIR, hiệu Hay, model AA606-A221, Kích thước L47xW56xH45/80 cm, chiều cao mặt ghế 45cm, bằng kim loại, màu Sky Grey, mới 100%</t>
  </si>
  <si>
    <t>AA606-B485</t>
  </si>
  <si>
    <t>OUTHA00076</t>
  </si>
  <si>
    <t>Palissade Chair
Size: L47xW56xH45/80 cm
Iron red Powder Coated Steel</t>
  </si>
  <si>
    <t>Ghế PALISSADE CHAIR, hiệu Hay, model AA606-B485, Kích thước L47xW56xH45/80 cm, chiều cao mặt ghế 45cm, bằng kim loại, màu Iron red, mới 100%</t>
  </si>
  <si>
    <t>AA612-A221</t>
  </si>
  <si>
    <t>OUTHA00077</t>
  </si>
  <si>
    <t>Palissade Stool
Size: L37xW42xH45 cm
Sky Grey Powder Coated Steel</t>
  </si>
  <si>
    <t>Ghế PALISSADE STOOL, hiệu HAY, model AA612-A221, kích thước L37xW42xH45 cm, bằng kim loại, màu Sky Grey, mới 100%</t>
  </si>
  <si>
    <t>AE453-A221</t>
  </si>
  <si>
    <t>OUTHA00078</t>
  </si>
  <si>
    <t>Palissade Cord Lounge Chair Low
Size: W73x D81 x H 38/70 cm
Sky Grey Powder Coated Steel</t>
  </si>
  <si>
    <t>Ghế PALISSADE CORD LOUNGE CHAIR LOW, hiệu HAY, model AE453-A221, kích thước W73x D81 x H70 cm, chiều cao ghế ngồi 38 cm, bằng kim loại, màu Sky Grey, mới 100%</t>
  </si>
  <si>
    <t>AA597-A219</t>
  </si>
  <si>
    <t>CHRHA00052</t>
  </si>
  <si>
    <t>Revolver Stool
Size: W34x D34xH48.5 cm
Frame: Black Powder coated Steel
Glider: Standard gliders</t>
  </si>
  <si>
    <t>Ghế Revolver Stool, hiệu HAY, model AA597-A219, kích thước W34x D34xH48.5 cm, bằng kim loại, màu đen, mới 100%</t>
  </si>
  <si>
    <t>AA695-A379-AA79</t>
  </si>
  <si>
    <t>OUTHA00079</t>
  </si>
  <si>
    <t>Palissade Cone Table
Size: H74 x W70 x L70 cm
Tabletop &amp; frame: Sky grey Powder coated Steel
Glider: None</t>
  </si>
  <si>
    <t>Bàn Palissade Cone Table, hiệu HAY, model AA695-A379-AA79, kích thước H74 x W70 x L70 cm, bằng kim loại, màu Sky grey , mới 100%</t>
  </si>
  <si>
    <t>&amp;TRADITION</t>
  </si>
  <si>
    <t>Flowerpot Wall Lamp VP8
Size: H35.5 x W23 x L 23 cm
Color: Mustard
Material: Steel
without bulb</t>
  </si>
  <si>
    <t>Đèn tường trang trí FLOWERPOT VP8, hiệu &amp;Tradition, model 133090A215, kích thước H35.5 x W23 x L 23 cm, màu Mustard, không kèm bóng, mới 100%</t>
  </si>
  <si>
    <t>VP Globe decorative Pendant lamp
Size: Φ40 cm
Color: Chrome/Red/Blue
without bulb</t>
  </si>
  <si>
    <t>Đèn Thả VP GLOBE, hiệu Verpan, model V100072, kích thước 40x40 cm, bằng nhựa và kim loại, màu Chrome, xanh và đỏ, không kèm bóng, mới 100% (Hàng F.O.C)</t>
  </si>
  <si>
    <t>SPAAT00005</t>
  </si>
  <si>
    <t>Metal frame of Alima Trolley
Size: L89.9 x W41.9 x H59.4 cm
Material: Metal-Chrome</t>
  </si>
  <si>
    <t>Khung của kệ Alima Trolley bằng kim loại, hiệu &amp;Tradition, model 133048, kích thước L89.9 x W41.9 x H59.4 cm, mới 100% (Hàng F.O.C)</t>
  </si>
  <si>
    <t>TMMRO</t>
  </si>
  <si>
    <t>Natural oak wood structure</t>
  </si>
  <si>
    <t>SCN-FV26-03563</t>
  </si>
  <si>
    <t>131196895180</t>
  </si>
  <si>
    <t xml:space="preserve">Khung đèn bằng gỗ </t>
  </si>
  <si>
    <t>Lô 115</t>
  </si>
  <si>
    <t>NNH-FH-2026-001-1601-DH-0005233</t>
  </si>
  <si>
    <t>DH-0005233</t>
  </si>
  <si>
    <t>CHRFH00292</t>
  </si>
  <si>
    <t>ANT CHAIR
3101, Not Upholstered
Shell: Clear Lacquered Veneer, Oak - Dark Stained
Base: Chromed Steel - Bright
Seat height: 46 cm
Dimension: 52x48x81 cm
Feet with felt: No
Linking device: No</t>
  </si>
  <si>
    <t>100179013</t>
  </si>
  <si>
    <t>26-E-11-03-0547-90A</t>
  </si>
  <si>
    <t>SUDU6879730/ DMS 0272</t>
  </si>
  <si>
    <t>HORSENS</t>
  </si>
  <si>
    <t>HOCHIMINH</t>
  </si>
  <si>
    <t>108263151360</t>
  </si>
  <si>
    <t>Ghế ANT, hiệu Fritz Hansen, model 3101, kích thước 52x48x81 cm, chân thép mạ chrome, thân gỗ màu Dark Stained Oak, mới 100%</t>
  </si>
  <si>
    <t>Lô 116</t>
  </si>
  <si>
    <t>CHRFH00293</t>
  </si>
  <si>
    <t>ANT CHAIR
3101, Not Upholstered
Shell: Clear Lacquered Veneer, Cherry
Base: Chromed Steel - Bright
Seat height: 46 cm
Dimension: 52x48x81 cm
Feet with felt: No
Linking device: No</t>
  </si>
  <si>
    <t>Ghế ANT, hiệu Fritz Hansen, model 3101, kích thước 52x48x81 cm, chân thép mạ chrome, thân gỗ màu Cherry, mới 100%</t>
  </si>
  <si>
    <t>CHRFH00294</t>
  </si>
  <si>
    <t>ANT CHAIR
3101, Not Upholstered
Shell: Clear Lacquered Veneer, Elm
Base: Chromed Steel - Bright
Seat height: 46 cm
Dimension: 52x48x81 cm
Feet with felt: No
Linking device: No</t>
  </si>
  <si>
    <t>Ghế ANT, hiệu Fritz Hansen, model 3101, kích thước 52x48x81 cm, chân thép mạ chrome, thân gỗ màu Elm, mới 100%</t>
  </si>
  <si>
    <t>CHRFH00296</t>
  </si>
  <si>
    <t>ANT CHAIR
3101, Not Upholstered
Shell: Clear Lacquered Veneer, Oak
Base: Chromed Steel - Bright
Seat height: 46 cm
Dimension: 52x48x81 cm
Feet with felt: No
Linking device: No</t>
  </si>
  <si>
    <t>Ghế ANT, hiệu Fritz Hansen, model 3101, kích thước 52x48x81 cm, chân thép mạ chrome, thân gỗ màu Oak, mới 100%</t>
  </si>
  <si>
    <t>CHRFH00295</t>
  </si>
  <si>
    <t>ANT CHAIR
3101, Not Upholstered
Shell: Clear Lacquered Veneer, Walnut
Base: Chromed Steel - Bright
Seat height: 46 cm
Dimension: 52x48x81 cm
Feet with felt: No
Linking device: No</t>
  </si>
  <si>
    <t>Ghế ANT, hiệu Fritz Hansen, model 3101, kích thước 52x48x81 cm, chân thép mạ chrome, thân gỗ màu Walnut, mới 100%</t>
  </si>
  <si>
    <t>ZIG-ZAG chair
 - Size: w 37, d 43, h 74 cm
CHERRY</t>
  </si>
  <si>
    <t>NNH-CS-2026-003.004.006</t>
  </si>
  <si>
    <t>SMIL00502305</t>
  </si>
  <si>
    <t>108303522610</t>
  </si>
  <si>
    <t>Ghế ZIG-ZAG, hiệu Cassina, model 28010000, kích thước 37x43x74 cm, bằng gỗ, màu natural cherry, chiều cao ghế ngồi 43cm, mới 100%</t>
  </si>
  <si>
    <t>Lô 117</t>
  </si>
  <si>
    <t>28020000</t>
  </si>
  <si>
    <t>CHRCA00028</t>
  </si>
  <si>
    <t>ZIG-ZAG chair
 - Size: w 37, d 43, h 74 cm
NATURAL ASH</t>
  </si>
  <si>
    <t>Ghế ZIG-ZAG, hiệu Cassina, model 28020000, kích thước 37x43x74 cm, bằng gỗ, màu natural ash, chiều cao ghế ngồi 43cm, mới 100%</t>
  </si>
  <si>
    <t>08903000</t>
  </si>
  <si>
    <t>LFLCA00007</t>
  </si>
  <si>
    <t>FICUPALA floor lamp
 - Size: Ø 28, h 138 cm
base: marble - Carnico Grey
top: bronze glass
body: turquiose glass</t>
  </si>
  <si>
    <t>Đèn sàn trang trí FICUPALA, hiệu Cassina, model 08903000, kích thước 28x28x138 cm, bằng thủy tinh, màu turquoise, không kèm bóng, mới 100%</t>
  </si>
  <si>
    <t>170S1011</t>
  </si>
  <si>
    <t>LPLCA00002</t>
  </si>
  <si>
    <t>Galaxy (170)
Suspension Lamps
polished aluminium
Size: 100x100 cm</t>
  </si>
  <si>
    <t>Đèn thả trang trí Galaxy, hiệu Cassina, model 170S1011, kích thước 100x100x100 cm, bằng nhôm, không kèm bóng, mới 100%</t>
  </si>
  <si>
    <t>13502000</t>
  </si>
  <si>
    <t>ACCCA00051</t>
  </si>
  <si>
    <t>Brolic 135
matt red painted
Size: 29x16x36 mm</t>
  </si>
  <si>
    <t>Bình hoa BROLIC, hiệu Cassina, model 13502000, kích thước 29x16x36 mm, bằng gốm, matt red painted, mới 100%</t>
  </si>
  <si>
    <t>NNH-CS-2025-006-0512-DH-0005097</t>
  </si>
  <si>
    <t>DH-0005097</t>
  </si>
  <si>
    <t>098 04</t>
  </si>
  <si>
    <t>ACCCA00056</t>
  </si>
  <si>
    <t>Gương ME FROM OUTSIDE "NO RISK NO STORY", limited-edition, hiệu Cassina, model 098 04</t>
  </si>
  <si>
    <t>Gương "No Risk No Story", hiệu Cassina, model 09804000, kích thước 92x183x4 cm, có khung, mới 100%</t>
  </si>
  <si>
    <t>DH-0005263</t>
  </si>
  <si>
    <t>DH-0005632</t>
  </si>
  <si>
    <t>098 05</t>
  </si>
  <si>
    <t>ACCCA00057</t>
  </si>
  <si>
    <t>Gương ME FROM OUTSIDE "You Are Art", limited-edition, hiệu Cassina, model 098 05</t>
  </si>
  <si>
    <t>Gương "You Are Art", hiệu Cassina, model 09805000, kích thước 92x183x4 cm, có khung, mới 100%</t>
  </si>
  <si>
    <t>Tabouret Meribel stool 
Size: 33x33x38.4 cm
Material: oak stained black</t>
  </si>
  <si>
    <t>Ghế đẩu TABOURET MERIBEL, hiệu Cassina, model 52302000, kích thước 33x33x38.4 cm, bằng gỗ oak, màu đen, hàng F.O.C, mới 100%</t>
  </si>
  <si>
    <t>SKYSCRAPER pressed glass vase
Size: 15x11x23 cm
Material: glass</t>
  </si>
  <si>
    <t>Bình hoa SKYSCRAPER, hiệu Cassina, model 66101000, kích thước 15x11x23 cm, bằng thủy tinh trong suốt, hàng F.O.C, mới 100%</t>
  </si>
  <si>
    <t>BROLIC
ceramic vase
Size: 41x16x28 cm
Material: emelled ceramic- matt red painted</t>
  </si>
  <si>
    <t>Bình hoa BROLIC, hiệu Cassina, model 13512000, kích thước 41x16x28 cm, bằng gốm, matt red painted, hàng F.O.C, mới 100%</t>
  </si>
  <si>
    <t>EITIE Table table lamp
without bulb
Size: 18x18x129cm
Material: aluminum stems, metal
round joints: red and gold</t>
  </si>
  <si>
    <t>Đèn trang trí để bàn EITIE TABLE, hiệu Cassina, model 075T1010, kích thước 18x18x129cm, thân bằng nhôm, kim loại, không sử dụng bóng, hàng F.O.C, mới 100%</t>
  </si>
  <si>
    <t>920381M6=019</t>
  </si>
  <si>
    <t>SPACA00001</t>
  </si>
  <si>
    <t>Tabletop for round coffee table
Material: Levanto Red Marble
Size: 39x39x10 cm</t>
  </si>
  <si>
    <t>Bộ phận mặt bàn của bàn coffee, hiệu Cassina, model 920381M6=019, kích thước 39x39x10 cm, bằng đá, màu đỏ, hàng F.O.C, mới 100%</t>
  </si>
  <si>
    <t>NNH-FA-2026-001-2804</t>
  </si>
  <si>
    <t>DH-0058450</t>
  </si>
  <si>
    <t>LTLFA00030</t>
  </si>
  <si>
    <t>NASKA TABLE LAMP
Material: Metal, Chrome color
Size: Base D (21.5 cm)
Body: 50-50 cm
Bulb is not included</t>
  </si>
  <si>
    <t>IX2600224</t>
  </si>
  <si>
    <t>108283123060</t>
  </si>
  <si>
    <t>Đèn bàn trang trí Naska, hiệu Fontana Arte, model F810010240CRNE, kích thước 21.5x50x50 cm, bằng kim loại, màu chrome, không kèm bóng, mới 100%</t>
  </si>
  <si>
    <t>Lô 118</t>
  </si>
  <si>
    <t>NNH-EC-2026-005-1804-DH-0005693</t>
  </si>
  <si>
    <t>LLNEC00016</t>
  </si>
  <si>
    <t>Des: LED Strip
- Power: 9W/m
- Lumen: 800lm/m
- CCT: 2500K
- Beam Angle: 120°
- Size: 8x1.3mm
- Input: 24VDC
0-10V
IP20</t>
  </si>
  <si>
    <t>Lô 119</t>
  </si>
  <si>
    <t>LLNEC00017</t>
  </si>
  <si>
    <t xml:space="preserve">Des: LED Strip side bend
- Power: 9W/m
- Lumen: 750lm/m
- CCT: 2500K
- Beam Angle: 120°
- Size: 10x10mm
- Input: 24VDC
0-10V
IP20
</t>
  </si>
  <si>
    <t>LLNEC00023</t>
  </si>
  <si>
    <t xml:space="preserve">Des: LED Strip side bend
- Power: 10W/m
- Lumen: 
- CCT: 2500K
- Size: 12x10mm
- Input: 24VDC
IP65
5M/ROLL
</t>
  </si>
  <si>
    <t>ACCEC00014</t>
  </si>
  <si>
    <t>Accessory for EL2, size :2.5 cm/pcs</t>
  </si>
  <si>
    <t>LSLEC00052</t>
  </si>
  <si>
    <t>Des: Surface mounted spotlight
- Power: 10W
- Lumen: 800lm
- CCT: 2500K
- Beam Angle: 10°
- Size: 52*120mm
- Input: 220VAC
Black
IP20, DALI DT6
0-10V Dimming</t>
  </si>
  <si>
    <t>LSLEC00053</t>
  </si>
  <si>
    <t>Des: Surface mounted spotlight
- Power: 12W
- Lumen: 960lm
- CCT: 2500K
- Beam Angle: 10°
- Size: 63*151mm
- Input: 220VAC
Black
IP20, DALI DT6
0-10V Dimming</t>
  </si>
  <si>
    <t>LDLEC00087</t>
  </si>
  <si>
    <t>Des: Recessed Downlight
- Power: 12W
- Lumen: 960lm
- CCT: 2500K
- Beam Angle: 10°
- Size: 62*H107mm
- Cutting size: φ55mm
- Input: 220VAC
White cover / Chrome reflector
IP20, DALI DT6
0-10V Dimming</t>
  </si>
  <si>
    <t>LDLEC00088</t>
  </si>
  <si>
    <t>Des: Recessed Downlight
- Power: 5W
- Lumen: 400lm
- CCT: 2500K
- Beam Angle: 20°
- Size: 40*H85mm
- Cutting size: φ35mm
- Input: 220VAC
White
IP20
Dim triac</t>
  </si>
  <si>
    <t>LDLEC00089</t>
  </si>
  <si>
    <t>Des: Recessed Downlight
- Power: 5W
- Lumen: 400lm
- CCT: 2500K
- Beam Angle: 20°
- Size: 40*H85mm
- Cutting size: φ35mm
- Input: 220VAC
White
IP20, DALI DT6
0-10V Dimming</t>
  </si>
  <si>
    <t>NNH-EC-2026-006-2504-DH-0005761</t>
  </si>
  <si>
    <t>DH-0005761</t>
  </si>
  <si>
    <t>LTREC00008</t>
  </si>
  <si>
    <t>Tracklight
Lumen: 2400lm
Power: 30W
CCT: 3500K
10-60°
Body color: White
Size: 68 L157mm
IP20
ON/OFF</t>
  </si>
  <si>
    <t>LSLEC00054</t>
  </si>
  <si>
    <t>Recessed double spotlight
Lumen: 2400lm
Power: 2*20W
CCT: 4000K
24°
Body color: White
2*20W Size: 130 L240mm, cut-
out: 115 L228mm
IP20
ON/OFF</t>
  </si>
  <si>
    <t>NNH-USM-2026-001-1201</t>
  </si>
  <si>
    <t>NNH-USM-2026-002-0503-DH-0005581</t>
  </si>
  <si>
    <t>DH-0005581</t>
  </si>
  <si>
    <t>USMUS-11725.24</t>
  </si>
  <si>
    <t>USM Haller, metal panel, perforated, 750x350 mm, pure white</t>
  </si>
  <si>
    <t>102091049</t>
  </si>
  <si>
    <t>BSL50019202</t>
  </si>
  <si>
    <t>BASEL</t>
  </si>
  <si>
    <t>108370139250</t>
  </si>
  <si>
    <t>Lô 120</t>
  </si>
  <si>
    <t>USMUS-14266.34</t>
  </si>
  <si>
    <t>USM Haller, door without fittings, 500x350 mm, steel blue</t>
  </si>
  <si>
    <t>USMUS-15523.31</t>
  </si>
  <si>
    <t>USM Haller, angled shelf lift-up with catch, 750 mm, USM beige</t>
  </si>
  <si>
    <t>USMUS-18707.24</t>
  </si>
  <si>
    <t>USM Haller, metal plant panel, 500x350 mm, pure white</t>
  </si>
  <si>
    <t>USMUS-18710</t>
  </si>
  <si>
    <t>Complete water level indicator</t>
  </si>
  <si>
    <t>USMUS-18715</t>
  </si>
  <si>
    <t>Pot insert, 40 mm</t>
  </si>
  <si>
    <t>NNH-USM-2026-005-0104-DH-0005766</t>
  </si>
  <si>
    <t>DH-0005766</t>
  </si>
  <si>
    <t>11208.23</t>
  </si>
  <si>
    <t>11217.23</t>
  </si>
  <si>
    <t>USMUS-11217.23</t>
  </si>
  <si>
    <t>USM Haller, metal panel, 350x250 mm, USM ruby red</t>
  </si>
  <si>
    <t>16609.23</t>
  </si>
  <si>
    <t>USMUS-16609.23</t>
  </si>
  <si>
    <t>USM Haller, metal panel, 250x150 mm, USM ruby red</t>
  </si>
  <si>
    <t>16614.23</t>
  </si>
  <si>
    <t>USMUS-16614.23</t>
  </si>
  <si>
    <t>USM Haller, metal panel, 500x150 mm, USM ruby red</t>
  </si>
  <si>
    <t>16616.23</t>
  </si>
  <si>
    <t>USMUS-16616.23</t>
  </si>
  <si>
    <t>USM Haller, metal panel, 750x150 mm, USM ruby red</t>
  </si>
  <si>
    <t>USM Haller, bracket left for extension shelf, 350mm, pure white</t>
  </si>
  <si>
    <t>NNH-USM-2026-002-0503</t>
  </si>
  <si>
    <t>NNH-USM-2026-001-1201-DH-0005268</t>
  </si>
  <si>
    <t>DH-0005268</t>
  </si>
  <si>
    <t>USMUS-11103.28</t>
  </si>
  <si>
    <t>USM Haller, extension shelf without fittings, 750x350 mm, USM green</t>
  </si>
  <si>
    <t>USMUS-14108.28</t>
  </si>
  <si>
    <t>USM Haller, bracket left for extension shelf, 350 mm, USM green</t>
  </si>
  <si>
    <t>USMUS-14109.28</t>
  </si>
  <si>
    <t>USM Haller, bracket right for extension shelf, 350 mm, USM green</t>
  </si>
  <si>
    <t>NNH-USM-2026-003-0503-DH-0005536</t>
  </si>
  <si>
    <t>DH-0005536</t>
  </si>
  <si>
    <t>16171.31</t>
  </si>
  <si>
    <t>16192.31</t>
  </si>
  <si>
    <t>NNH-USM-2026-004-0903-DH-0005645</t>
  </si>
  <si>
    <t>DH-0005645</t>
  </si>
  <si>
    <t>NNH-USM-2026-006-0104-DH-0005268</t>
  </si>
  <si>
    <t>11103.24</t>
  </si>
  <si>
    <t>B&amp;B ITALIA</t>
  </si>
  <si>
    <t>NNH-B&amp;B-2026-001-0302</t>
  </si>
  <si>
    <t>50% BEFORE PICK UP</t>
  </si>
  <si>
    <t>T240R</t>
  </si>
  <si>
    <t>TBLBB00001</t>
  </si>
  <si>
    <t>Tobi-Ishi Rectangular Table
Finish: Desert Glossy 4516L
Dimension: 240x114x72 cm
Material: MDF wood top, High-density polyurethane resin legs</t>
  </si>
  <si>
    <t>20%+13%</t>
  </si>
  <si>
    <t>NNH-B&amp;B-2026-001.002-01</t>
  </si>
  <si>
    <t>627/2026/01</t>
  </si>
  <si>
    <t>SEA FCL</t>
  </si>
  <si>
    <t>108374021010</t>
  </si>
  <si>
    <t>Bàn Tobi-Ishi Rectangular Table, hiệu B&amp;B ITALIA, model T240R, kích thước 240x114x72 cm, mặt bàn bằng gỗ Desert Glossy, chân bằng nhựa, tháo rời đồng bộ, mới 100%</t>
  </si>
  <si>
    <t>Lô 121</t>
  </si>
  <si>
    <t>MPAM</t>
  </si>
  <si>
    <t>CHRBB00001</t>
  </si>
  <si>
    <t>Mini Papilio Chair
Swivel Chair with automatic return mechanism
Cover: 2594680 Fabric Lodi Plum
Base Frame Finish: 0188V Metallic Grey Painted
Dimension: 54.4x55x76 cm, Seat Height: 45 cm</t>
  </si>
  <si>
    <t>Ghế xoay Mini Papilio Chair, hiệu B&amp;B ITALIA, model MPAM, kích thước 54.4x55x76 cm, khung kim loại, đã nhồi đệm, bọc vải Lodi Plum 680, mặt ghế cao 45 cm, mới 100%</t>
  </si>
  <si>
    <t>UP5_6</t>
  </si>
  <si>
    <t>CLGBB00002</t>
  </si>
  <si>
    <t>Up 2000 Armchair
Up5+Up6
Cover: 2163700 Fabric Soara 06 Red Jersey
Dimension: 120x130x103 cm, Seat height: 42 cm
Material: polyurethane foam</t>
  </si>
  <si>
    <t>Ghế Up 2000 Armchair, hiệu B&amp;B ITALIA, model UP5_6, kích thước 120x130x103 cm, bằng polyurethane foam, bọc vải Soara 700, mặt ghế cao 42 cm, tháo rời đồng bộ, mới 100%</t>
  </si>
  <si>
    <t>50UP5_6</t>
  </si>
  <si>
    <t>CLGBB00003</t>
  </si>
  <si>
    <t>Up 50 Armchair
Cover: fabric Soara 140
Limited Edition
Dimension: 120x130x103 cm, Seat height: 42 cm
Material: polyurethane foam</t>
  </si>
  <si>
    <t>Ghế Up 50 Armchair, hiệu B&amp;B ITALIA, model 50UP5_6, kích thước 120x130x103 cm, bằng polyurethane foam, bọc vải Soara 140, mặt ghế cao 42 cm, tháo rời đồng bộ, mới 100%</t>
  </si>
  <si>
    <t>TRT118</t>
  </si>
  <si>
    <t>CLGBB00004</t>
  </si>
  <si>
    <t>Tortello Armchair
Cover: 2823280 Fabric Sila Dove Grey
Dimension: 118x96x78 cm, Seat Height: 42 cm
Material: polyurethane foam</t>
  </si>
  <si>
    <t>Ghế Tortello Armchair, hiệu B&amp;B ITALIA, model TRT118, kích thước 118x96x78 cm, bằng polyurethane foam, bọc vải Sila Dove Grey, mặt ghế cao 42 cm, mới 100%</t>
  </si>
  <si>
    <t>TSP40</t>
  </si>
  <si>
    <t>TBLBB00002</t>
  </si>
  <si>
    <t>Spool Round Small Table
Finish: Desert Glossy 4516L
Dimension: 40x40x44.5 cm
Material: hard polyurethane</t>
  </si>
  <si>
    <t>Bàn Spool Round Small Table, hiệu B&amp;B ITALIA, model TSP40, kích thước 40x40x44.5 cm, bằng nhựa, màu glossy desert, mới 100%</t>
  </si>
  <si>
    <t>AW58T</t>
  </si>
  <si>
    <t>TBLBB00003</t>
  </si>
  <si>
    <t>Awa Small Table 
Finish: Dove Grey Glossy 3738L
Dimension: 58x45x50.5 cm
Material: hard polyurethane</t>
  </si>
  <si>
    <t>Bàn Awa Small Table, hiệu B&amp;B ITALIA, model AW58T, kích thước 58x45x50.5 cm, bằng nhựa, màu Dove Grey Glossy, mới 100%</t>
  </si>
  <si>
    <t>CM96PQ
CM96B_TD1
CM96C
CM96TPS
CM96TPD
CM96P</t>
  </si>
  <si>
    <t>SFABB00001</t>
  </si>
  <si>
    <t>Camaleonda Sofa
Dimension: 284x284x70 cm
Feet Finish: 0441F Natural Beech 
Feet: 00012 Low Version
Cover in Koto leather 11191150
- 2xCM96PQ (Square ottoman)
- 1x CM96P (Rectangular ottoman)
Cover in fabric Cat Super Sambuco White 100
- 1xCM96PQ (Square ottoman)
- 1xCM96B_TD1 (Right Terminal Elements With Long Back)
- 1xCM96C (Central Element High Back)
- 1x CM96TPS (Central Element With Left Back)
- 1xCM96TPD (Central Element With Right Back)</t>
  </si>
  <si>
    <t>Bộ Sofa Camaleonda, B&amp;B ITALIA, model CM96PQ CM96P CM96B_TD1 CM96C CM96TPS CM96TPD, 284x284x70cm, khung gỗ, đã nhồi đệm, bọc vải Sambuco 100 và da Koto 150, gồm 8 bộ phận, tháo rời đồng bộ, mới 100%</t>
  </si>
  <si>
    <t>BF70B</t>
  </si>
  <si>
    <t>CHRBB00002</t>
  </si>
  <si>
    <t>Beverly ‘14 Armchair
Cover: 1121350 Dark Brown Thick Leather
Frame Finish: 0189A Bright Brushed
Dimension: 69.5x74x78 cm, seat height 39 cm</t>
  </si>
  <si>
    <t>Ghế Beverly 14 Armchair, hiệu B&amp;B ITALIA, model BF70B, kích thước 69.5x74x78 cm, khung kim loại Bright Brushed, bọc da Thick Leather màu Dark Brown, mặt ghế cao 39cm, mới 100%</t>
  </si>
  <si>
    <t>CO254TPS
CO105PQ
CO220LS_1
CO90C</t>
  </si>
  <si>
    <t>SFABB00002</t>
  </si>
  <si>
    <t>COCÙN SOFA
Cover: 2816207 Fabric Astro Rope
Frame Finish: 0189A Bright Brushed
Dimension: 468x223x93 cm
1xCO254TPS (Left Ottoman Terminal Element)
Bracket Finish: 1121280 Tortora Thick Leather
1xCO105PQ (Ottoman)
1xCO220LS_1 (Left Chaise Longue)
Bracket Finish: 1121280 Tortora Thick Leather
4xCO90C_ Cocùn Cushion 90x60 cm
Cover: Levante 207, 2566207</t>
  </si>
  <si>
    <t>Bộ Sofa COCUN, hiệu B&amp;B ITALIA, model CO254TPS CO105PQ CO220LS_1 CO90C, 468x223x93 cm, khung kim loại, đã nhồi đệm, bọc vải Astro Rope 207, gồm 7 bộ phận, tháo rời đồng bộ, mới 100%</t>
  </si>
  <si>
    <t>TDS190_13A</t>
  </si>
  <si>
    <t>TBLBB00005</t>
  </si>
  <si>
    <t>Diesis Oval Low Table
Top Finish: 0900M Natural Carrara White Marble Ven Stat
Frame Finish: 0189A Bright Brushed
Dimension: 190x130x38 cm</t>
  </si>
  <si>
    <t>Bàn Diesis Oval Low Table, hiệu B&amp;B ITALIA, model TDS190_13A, kích thước 190x130x38 cm, mặt bàn bằng marble màu trắng, khung bằng kim loại Bright Brushed, tháo rời đồng bộ, mới 100%</t>
  </si>
  <si>
    <t>ATR190P
AT65CP</t>
  </si>
  <si>
    <t>SFABB00003</t>
  </si>
  <si>
    <t>Atoll Ottoman
Dimension: 190x90x45 cm
Cover: 2495100 Fabric Antille White
Frame Finish: 0189A Bright Brushed
1xATR190P_Atoll Ottoman
1xAT65CP_Atoll Roller With Metallic Support
Cover: 2495100 Fabric Antille White
Webbing Cover: 1227257 Leather KS257 Kasia Stone
Frame Finish: 0189A Bright Brushed
Dimension: 65x40x37 cm</t>
  </si>
  <si>
    <t>Đôn ghế Atoll Ottoman, hiệu B&amp;B ITALIA, model ATR190P, 190x90x45 cm, khung kim loại, đã nhồi đệm, bọc vải Antille 100, gồm đệm tựa hình trụ mã AT65CP, tháo rời đồng bộ, mặt ghế cao 45cm, mới 100%</t>
  </si>
  <si>
    <t>F58P</t>
  </si>
  <si>
    <t>CHRBB00003</t>
  </si>
  <si>
    <t>Frank Oval Ottoman
Cover: Levante 2566207
Dimension: 59x40x40 cm
Frame: metal</t>
  </si>
  <si>
    <t>Đôn ghế Frank Oval Ottoman, hiệu B&amp;B ITALIA, model F58P, kích thước 59x40x40 cm, khung kim loại, đã nhồi đệm, bọc vải Levante 207, mặt ghế cao 40cm, mới 100%</t>
  </si>
  <si>
    <t>MPRN_C
MPRP</t>
  </si>
  <si>
    <t>CLGBB00005</t>
  </si>
  <si>
    <t>Mart relax Armchair
1xMPRN_C_Swivel armchair
Cover: 1227401 Leather KS401 Kasia Moss
Base Frame Finish: Bright Chrome
Dimension: 78x102x88 cm, seat height: 35cm
1xMPRP_Mart Headrest
Cover: 1227401 Leather KS401 Kasia Moss
Finish: Bright Chrome</t>
  </si>
  <si>
    <t>Ghế xoay Mart relax armchair, hiệu B&amp;B ITALIA, model MPRN_C, 78x102x88 cm, chân kim loại Bright Chrome, đã nhồi đệm, bọc da Kasia Moss 401, bao gồm tựa đầu mã MPRP, mặt ghế cao 35cm, mới 100%</t>
  </si>
  <si>
    <t>TY115BS_3
TY140CV_3
TY140PV_3
T60_C</t>
  </si>
  <si>
    <t>SFABB00004</t>
  </si>
  <si>
    <t>Tufty-Time 20 Sofa
Cover: 2917132 Fabric Larissa Camel
Feet Finish: 0154N Black Colour
Dimension: 420x282x68 cm
1xTY115BS_3: Left Terminal Element With Low Armrest
2xTY140CV_3: Curved Central Element
1xTY140PV_3: Curved Ottoman
2xT60_C: Back Cushion 60x60 cm</t>
  </si>
  <si>
    <t>Bộ Sofa Tufty-Time 20, hiệu B&amp;B ITALIA, model TY115BS_3 TY140CV_3 TY140PV_3 T60_C, 420x282x68 cm, khung kim loại, đã nhồi đệm, bọc vải Larissa Camel, gồm 6 bộ phận, tháo rời đồng bộ, mới 100%</t>
  </si>
  <si>
    <t>TYT110Q</t>
  </si>
  <si>
    <t>TBLBB00006</t>
  </si>
  <si>
    <t>Tufty-Time 20 Small Table
Top Finish: Brill Anodized Aluminium
Frame Finish: Brushed Light Oak
Dimension: 110x110x29 cm</t>
  </si>
  <si>
    <t>Bàn Tufty-Time 20 Small Table, hiệu B&amp;B ITALIA, model TYT110Q, kích thước 110x110x29 cm, khung bằng gỗ màu light oak, mặt bàn bằng nhôm, mới 100%</t>
  </si>
  <si>
    <t>TYT70Q_B</t>
  </si>
  <si>
    <t>TBLBB00007</t>
  </si>
  <si>
    <t>Tufty-Time 20 Small Table
Top Finish: 0766B Brill Anodized Aluminium
Frame Finish: 0374C Brushed Light Oak
Dimension: 70x70x35 cm</t>
  </si>
  <si>
    <t>Bàn Tufty-Time 20 Small Table, hiệu B&amp;B ITALIA, model TYT70Q_B, kích thước 70x70x35 cm, khung bằng gỗ màu light oak, mặt bàn bằng nhôm, mới 100%</t>
  </si>
  <si>
    <t>TYT70Q_A</t>
  </si>
  <si>
    <t>TBLBB00008</t>
  </si>
  <si>
    <t>Tufty-Time 20 Small Table
Top Finish: 0766B Brill Anodized Aluminium
Frame Finish: 0374C Brushed Light Oak
Dimension: 70x70x45 cm</t>
  </si>
  <si>
    <t>Bàn Tufty-Time 20 Small Table, hiệu B&amp;B ITALIA, model TYT70Q_A, kích thước 70x70x45 cm, khung bằng gỗ màu light oak, mặt bàn bằng nhôm, mới 100%</t>
  </si>
  <si>
    <t>TAD53Q_4</t>
  </si>
  <si>
    <t>TBLBB00009</t>
  </si>
  <si>
    <t>Allure O’ Dot Small Table
Top &amp; Base-Frame Finish: Glossy Clay 7850L
Material:Glossy polyurethane, steel structure internal frame
Dimension: 53x53x45 cm</t>
  </si>
  <si>
    <t>Bàn Allure O Dot Small Table, hiệu B&amp;B ITALIA, model TAD53Q_4, kích thước 53x53x45 cm, thân kim loại, mặt bàn bằng nhựa, màu Glossy Clay, mới 100%</t>
  </si>
  <si>
    <t>FM70M</t>
  </si>
  <si>
    <t>CHRBB00004</t>
  </si>
  <si>
    <t>Flair O’ Maxi Armchair
Swivel Small Armchair
Cover: 2812102 Fabric Edit Ecru
Dimension: 68x63x68 cm, seat height 41 cm
Frame: metal</t>
  </si>
  <si>
    <t>Ghế xoay Flair O Maxi Armchair, hiệu B&amp;B ITALIA, model FM70M, kích thước 68x63x68 cm, khung kim loại, đã nhồi đệm, bọc vải Edit Ecru 102, mặt ghế cao 41cm, mới 100%</t>
  </si>
  <si>
    <t>TAD80Q_3L</t>
  </si>
  <si>
    <t>TBLBB00010</t>
  </si>
  <si>
    <t>Allure O’ Dot Small Table 
Top Finish: 0670A Extralight Glass Clay Serigraphy
Base-Frame Finish: Glossy Clay 7850L
Dimension: 80x80x33 cm
Material: tempered glass
Frame: hard polyurethane, metal internal support frame</t>
  </si>
  <si>
    <t>Bàn Allure O Dot Small Table, hiệu B&amp;B ITALIA, model TAD80Q_3L, kích thước 80x80x33 cm, mặt bàn bằng kính, khung bằng kim loại bọc nhựa, màu Glossy Clay, tháo rời đồng bộ, mới 100%</t>
  </si>
  <si>
    <t>IU5I</t>
  </si>
  <si>
    <t>CHRBB00005</t>
  </si>
  <si>
    <t>IUTA Swivel Chair
With Armrest And Upholstered Seat-Back (Version Adjustable In Height)
Cover: Fabric Divina 623
Mesh Finish: Grey Painted Metallic Mesh (0112G)
Frame Finish: Bright Brushed (0189A)
Wheels Typology: Soft Floor Marble Parquet (0103P)
Dimensions: 71x71x80-89 cm, Seat Height 46-55 cm</t>
  </si>
  <si>
    <t>Ghế xoay IUTA Swivel Chair, hiệu B&amp;B ITALIA, model IU5I, kích thước 71x71x80-89 cm, chân kim loại, đã nhồi đệm, bọc vải Divina 623, điều chỉnh được độ cao, mặt ghế cao 46-55 cm, mới 100%</t>
  </si>
  <si>
    <t>N240LS_2
9N140D
N65CP
N60_SC
N90_SC</t>
  </si>
  <si>
    <t>SFABB00005</t>
  </si>
  <si>
    <t>Noonu Sofa
Cover: 2908100 Fabric Eva White
Frame Finish: Bright Brushed
Size: 377x140x66 cm
1xN240LS_2 (Left Chaise Longue)
1x9N140D (Right Terminal Element)
2xN65CP (Roller 65x40x44 cm)
Stripbend: Leather Gamma 340
Roller Support: Die-Cast Aluminium 
6xN60_SC_Back Cushion 60x60 cm
Cover: 2908100 Fabric Eva White
2xN60_SC_Back Cushion 60x60 cm
Cover: 2908205 Fabric Eva Linen
2xN90_SC_Back Cushion 90x60 cm
Cover: 2908100 Fabric Eva White</t>
  </si>
  <si>
    <t>Bộ Sofa Noonu, hiệu B&amp;B ITALIA, model N240LS_2 9N140D N65CP N60_SC N90_SC, 377x140x66 cm, khung kim loại, đã nhồi đệm, bọc vải Eva White 100, gồm 14 bộ phận, tháo rời đồng bộ, mới 100%</t>
  </si>
  <si>
    <t>FR62</t>
  </si>
  <si>
    <t>TBLBB00011</t>
  </si>
  <si>
    <t>Formiche Round Small Table
Top Finish: Calacatta White Porcelain Stoneware
Frame Finish: 0259V Pewter Painted
Dimension: 62x62x43 cm</t>
  </si>
  <si>
    <t>Bàn Formiche Round Small Table, hiệu B&amp;B ITALIA, model FR62, kích thước 62x62x43 cm, mặt bàn bằng đá Calacatta White, khung kim loại Pewter Painted, tháo rời đồng bộ, mới 100%</t>
  </si>
  <si>
    <t>FR140_1</t>
  </si>
  <si>
    <t>TBLBB00012</t>
  </si>
  <si>
    <t>Formiche Low Table
With Shaped Top
Frame Finish: 0259V Pewter Painted
Top Finish: 0200T Extra Light Glass
Dimension: 140x68.8x32.5 cm</t>
  </si>
  <si>
    <t>Bàn Formiche Low Table, hiệu B&amp;B ITALIA, model FR140_1, kích thước 140x68.8x32.5 cm, mặt bàn bằng kính, khung kim loại Pewter Painted, tháo rời đồng bộ, mới 100%</t>
  </si>
  <si>
    <t>TBLBB00013</t>
  </si>
  <si>
    <t>Awa Small Table
Finish: Smoke Grey Glossy 3748L
Dimension: 58x45x50.5 cm
Material: hard polyurethane</t>
  </si>
  <si>
    <t>Bàn Awa Small Table, hiệu B&amp;B ITALIA, model AW58T, kích thước 58x45x50.5 cm, bằng nhựa, màu Smoke Grey Glossy, mới 100%</t>
  </si>
  <si>
    <t>GPA</t>
  </si>
  <si>
    <t>CHRBB00006</t>
  </si>
  <si>
    <t>Grande Papilio Armchair
Swivel Armchair
Cover: 2911601 Fabric Lavinia Violet
Base Frame Finish: 0188V Metallic Grey Painted
Dimension: 83x87x102 cm, Seat Height: 36 cm
Frame: metal</t>
  </si>
  <si>
    <t>Ghế xoay Grande Papilio Armchair, hiệu B&amp;B ITALIA, model GPA, kích thước 83x87x102 cm, khung kim loại, đã nhồi đệm, bọc vải Lavinia Violet 601, mặt ghế cao 36 cm, mới 100%</t>
  </si>
  <si>
    <t>IMT300_C</t>
  </si>
  <si>
    <t>TBLBB00014</t>
  </si>
  <si>
    <t>Mirto Indoor Rectangular Table
Top Finish: Glossy Frisé Eucalypt 
Frame Finish: Black chrome painted
Dimension: 300x110x73 cm</t>
  </si>
  <si>
    <t>Bàn Mirto Indoor Rectangular Table, hiệu B&amp;B ITALIA, model IMT300_C, kích thước 300x110x73 cm, mặt bàn bằng gỗ màu Glossy frise, khung kim loại màu đen, tháo rời đồng bộ, mới 100%</t>
  </si>
  <si>
    <t>CT49N_C</t>
  </si>
  <si>
    <t>CHRBB00007</t>
  </si>
  <si>
    <t>Charlotte Chair
Cover: 1136350 Dark Brown Embossed Thick Leather
Legs Finish: 0170M Black Chrome Painted
Dimension: 49x54x81 cm, Seat Height: 45.5 cm</t>
  </si>
  <si>
    <t>Ghế Charlotte Chair, hiệu B&amp;B ITALIA, model CT49N_C, kích thước 49x54x81 cm, chân kim loại màu đen, bọc da Dark Brown Embossed Thick Leather, đã nhồi đệm, mặt ghế cao 45.5 cm, mới 100%</t>
  </si>
  <si>
    <t>CHL270
CH72_C
CH48_C
BF60_60
OF55_30</t>
  </si>
  <si>
    <t>SFABB00006</t>
  </si>
  <si>
    <t>CHARLES LARGE sofa
Cover: 1119750 KOTO BORDEAUX KT750
Feet finish: bright brushed
Dimension: 270x105x73 cm
1xCHL270 (Charles large sofa)
1xCH72_C (Back cushion 72x48 cm)
Cover: Leather 1119750 Koto Bordeaux Kt750
1xCH48_C (Back cushion 48x48 cm)
Cover: Leather 1119750 Koto Bordeaux Kt750
1xBF60_60 (Armrest Cushion Box Style 60x60)
Cover: 2839750 Lagos bordeaux 750
1xOF55_30 (Optional cushion 55 x 30 cm)
Cover: 2839750 Lagos bordeaux 750</t>
  </si>
  <si>
    <t>Bộ Sofa CHARLES LARGE, hiệu B&amp;B ITALIA, model CHL270 CH72_C CH48_C BF60_60 OF55_30, 270x105x73 cm, khung kim loại, đã nhồi đệm, bọc da Koto Bordeaux, gồm 5 bộ phận, tháo rời đồng bộ, mới 100%</t>
  </si>
  <si>
    <t>TFF42</t>
  </si>
  <si>
    <t>TBLBB00015</t>
  </si>
  <si>
    <t>Fat-Fat Small table
Dimension: 42x42x32 cm
Top: Burnished Copper Finish
Frame: bright chromed</t>
  </si>
  <si>
    <t>Bàn Fat-Fat Small table, hiệu B&amp;B ITALIA, model TFF42, kích thước 42x42x32 cm, bằng kim loại, màu Burnished Copper, mới 100%</t>
  </si>
  <si>
    <t>TFF92</t>
  </si>
  <si>
    <t>TBLBB00016</t>
  </si>
  <si>
    <t>Fat-Fat Small table
Dimension: 92x92x39 cm
Top: Burnished Copper Finish
Frame: bright chromed</t>
  </si>
  <si>
    <t>Bàn Fat-Fat Small table, hiệu B&amp;B ITALIA, model TFF92, kích thước 92x92x39 cm, bằng kim loại, màu Burnished Copper, mới 100%</t>
  </si>
  <si>
    <t>PJ85FN</t>
  </si>
  <si>
    <t>CLGBB00006</t>
  </si>
  <si>
    <t>J.J. Armchair
with medium back
Size: 74x79x85 cm, seat height: 37 cm
Cover: Leather KS350 Kasia Dark Brown
Webbing colour: Black Colour
Frame finish: Smoked Stained Oak
Base-frame finish: Bright Chromed</t>
  </si>
  <si>
    <t>Ghế J.J. Armchair, hiệu B&amp;B ITALIA, model PJ85FN, 74x79x85 cm, chân kim loại bright Chromed, mặt ghế gỗ màu Smoked Stained Oak, đã nhồi đệm, bọc da Kasia Dark Brown 350, mặt ghế cao 37 cm, mới 100%</t>
  </si>
  <si>
    <t>ER90PAN</t>
  </si>
  <si>
    <t>CLGBB00001</t>
  </si>
  <si>
    <t>Erica Armchair High Back
Finish: 0256B Beige Interlacing-Cream White Frame
Frame: metal
Dimension: 90x90x85 cm, Seat Height: 20 cm</t>
  </si>
  <si>
    <t>Ghế Erica Armchair High Back, hiệu B&amp;B ITALIA, model ER90PAN, kích thước 90x90x85 cm, khung kim loại màu cream white, tựa lưng bằng dây nhựa đan màu beige, mặt ghế cao 20 cm, mới 100%</t>
  </si>
  <si>
    <t>ER90PA_SE</t>
  </si>
  <si>
    <t>SPABB00005</t>
  </si>
  <si>
    <t>Enrica outdoor Seat Cushion
Cover: 2821425 Fabric Lamone White Small Square Green
Profile: 0041E Cream White Colour
Size: 90x90x20 cm</t>
  </si>
  <si>
    <t>108374030110</t>
  </si>
  <si>
    <t>Đệm ngồi cho ghế Enrica outdoor, hiệu B&amp;B ITALIA, model ER90PA_SE, kích thước 90x90x20 cm, bằng mút bọc vải Lamone White Green 425 - Cream White, mới 100%</t>
  </si>
  <si>
    <t>ER90PA_SC</t>
  </si>
  <si>
    <t>SPABB00006</t>
  </si>
  <si>
    <t>Enrica outdoor Back/Headrest Cushion
Cover: 2821425 Fabric Lamone White Small Square Green
Profile: 0041E Cream White Colour
Size: 90x50x10 cm</t>
  </si>
  <si>
    <t>Đệm lưng cho ghế Enrica outdoor, hiệu B&amp;B ITALIA, model ER90PA_SC, kích thước 90x50x10 cm, bằng mút bọc vải Lamone White Green 425 - Cream White, mới 100%</t>
  </si>
  <si>
    <t>OS40T</t>
  </si>
  <si>
    <t>TBLBB00022</t>
  </si>
  <si>
    <t>Spool Outdoor Round Small Table 
Frame and top: glossy white stoneware
Dimension: 40x40x44.5 cm
Material: stoneware</t>
  </si>
  <si>
    <t>Bàn Spool Outdoor Round Small Table, hiệu B&amp;B ITALIA, model OS40T, kích thước 40x40x44.5 cm, bằng đá màu glossy white, mới 100%</t>
  </si>
  <si>
    <t>TAO125QL</t>
  </si>
  <si>
    <t>TBLBB00017</t>
  </si>
  <si>
    <t>ALLURE O' Square table
Top &amp; Base Finish: Chalk White Glossy 9118L
Dimension: 125x125x72 cm
Material: Top lacquered wood panel, frame steel structure, base hard polyurethane</t>
  </si>
  <si>
    <t>Bàn ALLURE O Square table, hiệu B&amp;B ITALIA, model TAO125QL, kích thước 125x125x72 cm, mặt bàn bằng gỗ, khung kim loại bọc nhựa, màu Chalk White Glossy, tháo rời đồng bộ, mới 100%</t>
  </si>
  <si>
    <t>LAL180
RD2
MA3
PPI180
IP180
GPI
PD140</t>
  </si>
  <si>
    <t>BEDBB00001</t>
  </si>
  <si>
    <t>Alys 10 Bed
1xLAL180_Bed For mattress180 x 200cm and slatted base 179 x 199 cm
Dimension: 215x217x96 cm
Cover: 1121280 Tortora Thick Leather
Stitchings: C0002 Matchting Tone
Feet Finish: 0154N Black Colour
Dimension: 215x217x96 cm
1xRD2 (Twin Slatted Bases with flexible slats and iron frame)
1xMA3 (Double mattress)
1xPPI180 (Duvet cover set for mattress, colour 2157100 Fabric Bolla Optical White)
1xIP180 (Duvet Filling)
2xGPI (Down Pillow, size 80x50 cm)
1xPD140 (Plaid, colour 2340305 Fabric Clovis Light Brown, size 140x230 cm)
1xPD140 (Plaid, colour 2360305 Fabric Clelia Light Brown, size 140x230 cm)</t>
  </si>
  <si>
    <t>Bộ giường Alys 10 Bed, hiệu B&amp;B ITALIA, model LAL180 RD2 MA3 PPI180 IP180 GPI PD140, 215x217x96 cm, khung kim loại, bọc da Thick Leather 280, gồm 9 bộ phận, tháo rời đồng bộ, mới 100%</t>
  </si>
  <si>
    <t>QL45C</t>
  </si>
  <si>
    <t>TBLBB00018</t>
  </si>
  <si>
    <t xml:space="preserve">Quiet Lines Small Table 
Cover: 1226280 Leather GM280 Gamma Tortora
Top Finish: 0129F Smoky Glass
Frame Finish: 0174B Bronzed Nickel Painted
Dimension: 45x60x46 cm </t>
  </si>
  <si>
    <t>Bàn Quiet Lines Small Table, hiệu B&amp;B ITALIA, model QL45C, kích thước 45x60x46 cm, mặt bàn bằng kính, chân bằng kim loại, bọc da Gamma 280, tháo rời đồng bộ, mới 100%</t>
  </si>
  <si>
    <t>NR80P</t>
  </si>
  <si>
    <t>CHRBB00008</t>
  </si>
  <si>
    <t>Narinari Armchair
Cover: 2912280 Felt Mara Dove Grey
Dimension: 80x76x80 cm, Seat Height: 42 cm
Material: hard polyurethane</t>
  </si>
  <si>
    <t>Ghế Narinari Armchair, hiệu B&amp;B ITALIA, model NR80P, kích thước 80x76x80 cm, khung nhựa, bọc vải Mara Dove Grey 280, đã nhồi đệm, mặt ghế cao 42 cm, mới 100%</t>
  </si>
  <si>
    <t>TFF62</t>
  </si>
  <si>
    <t>TBLBB00019</t>
  </si>
  <si>
    <t>Fat-Fat Small Table
Dimension: 62x62x32 cm
Top Finish: Chalk White Painted
Frame Finish: Bright Chromed</t>
  </si>
  <si>
    <t>Bàn Fat-Fat Small Table, hiệu B&amp;B ITALIA, model TFF62, kích thước 62x62x32 cm, bằng kim loại, màu Chalk White Painted, mới 100%</t>
  </si>
  <si>
    <t>QL140P</t>
  </si>
  <si>
    <t>CHRBB00009</t>
  </si>
  <si>
    <t>Quiet Lines Bench
Cover: 1226280 Leather GM280 Gamma Tortora
Frame Finish: 0174B Bronzed Nickel Painted
Dimension: 140x45x49 cm, Seat Height: 40 cm</t>
  </si>
  <si>
    <t>Ghế Bench Quiet Lines, hiệu B&amp;B ITALIA, model QL140P, kích thước 140x45x49 cm, mặt ghế gỗ bọc da Gamma 280, chân kim loại Bronzed Nickel Painted, đã nhồi đệm, mặt ghế cao 40cm, mới 100%</t>
  </si>
  <si>
    <t>SF60M</t>
  </si>
  <si>
    <t>CHRBB00010</t>
  </si>
  <si>
    <t>Flair O’ Chair
Swivel chair with automatic return mechanism
Cover: 2495100 Fabric Antille 100
Dimension: 60x60x73 cm, Seat Height: 46 cm
Frame: metal</t>
  </si>
  <si>
    <t>Ghế xoay Flair O Chair, hiệu B&amp;B ITALIA, model SF60M, kích thước 60x60x73 cm, khung kim loại, đã nhồi đệm, bọc vải Antille 100, mặt ghế cao 46 cm, mới 100%</t>
  </si>
  <si>
    <t>Azucena</t>
  </si>
  <si>
    <t>D_CA2</t>
  </si>
  <si>
    <t>CHRBB00011</t>
  </si>
  <si>
    <t>Catilina Piccola Armchair
Cover: 2971700 Fabric Mohair/D Bordeaux
Frame Finish: 0799M Metallic Grey Finish
Dimension: 58x47x70 cm, Seat Height: 45 cm</t>
  </si>
  <si>
    <t>Ghế Catilina Piccola Armchair, hiệu Azucena, model D_CA2, kích thước 58x47x70 cm, khung kim loại màu metallic grey, đã nhồi đệm, bọc vải Mohair màu Bordeaux 700, mặt ghế cao 45 cm, mới 100%</t>
  </si>
  <si>
    <t>D_CA1L</t>
  </si>
  <si>
    <t>CHRBB00012</t>
  </si>
  <si>
    <t>Catilina Armchair
Laquered Seat
Cover: 2971763 Fabric Mohair/D Aubergine
Seat Finish: 3764L Black Glossy 3764L
Frame Finish: 0799M Metallic Grey Finish
Dimension: 77x63.5x90 cm, Seat Height: 50 cm</t>
  </si>
  <si>
    <t>Ghế Catilina Armchair, hiệu Azucena, model D_CA1L, kích thước 77x63.5x90 cm, khung kim loại màu metallic grey, đã nhồi đệm, bọc vải Mohair Aubergine 763, mặt ghế cao 50 cm, mới 100%</t>
  </si>
  <si>
    <t>D_CD1C</t>
  </si>
  <si>
    <t>CHRBB00013</t>
  </si>
  <si>
    <t>Cilindro Ottoman
Cover: 2971150 FABRIC MOHAIR/D BLACK
Base Frame Finish: 0600C Chromed Finish
Dimension: 38x38x44 cm</t>
  </si>
  <si>
    <t>Đôn ghế Cilindro Ottoman, hiệu Azucena, model D_CD1C, kích thước 38x38x44 cm, khung bằng kim loại, đã nhồi đệm, bọc da Mohair Black, mặt ghế cao 44cm, mới 100%</t>
  </si>
  <si>
    <t>MS162</t>
  </si>
  <si>
    <t>AMRBB00001</t>
  </si>
  <si>
    <t>Madison
Rectangular Mirror
Frame Finish: Bronzed Nickle Painted
Mirror Finish: Grey Mirror
Dimension: 161.5x7.5x84 cm</t>
  </si>
  <si>
    <t>Gương Madison, hiệu B&amp;B ITALIA, model MS162, kích thước 161.5x7.5x84 cm, màu Grey, khung màu Bronzed Nickle Painted, mới 100%</t>
  </si>
  <si>
    <t>QL120SC</t>
  </si>
  <si>
    <t>TBLBB00020</t>
  </si>
  <si>
    <t>Quiet Lines Writing Desk 
Cover: 1226280 Leather Gm280 Gamma Tortora
Top Finish: 0200T Extra Light Glass
Frame Finish: Bronzed Nickle Painted
Dimension: 120x54x84 cm</t>
  </si>
  <si>
    <t>Bàn Quiet Lines Writing Desk, hiệu B&amp;B ITALIA, model QL120SC, kích thước 120x54x84 cm, mặt bàn bằng kính, chân bằng kim loại, bọc da Gamma 280, tháo rời đồng bộ, mới 100%</t>
  </si>
  <si>
    <t>QLPV3</t>
  </si>
  <si>
    <t>FOTBB00001</t>
  </si>
  <si>
    <t>Quiet Lines Windscreen 3 Units
Cover: 1226280 Leather GM280 Gamma Tortora
Frame Finish: Bronzed Nickle Painted
Dimension: 48x3x140 cm</t>
  </si>
  <si>
    <t>Vách ngăn trang trí Quiet Lines Windscreen 3 Units, hiệu B&amp;B ITALIA, model QLPV3, kích thước 48x3x140 cm, bằng kim loại, bọc da Gamma Tortora 280, mới 100%</t>
  </si>
  <si>
    <t>FP40_E</t>
  </si>
  <si>
    <t>CHRBB00014</t>
  </si>
  <si>
    <t>Frank Pouf 
Cover: 1226280 Leather GM280 Gamma Tortora
Finish: 0259V Pewter Painted
Dimension: 40x40x45.5 cm</t>
  </si>
  <si>
    <t>Đôn ghế Frank Pouf, hiệu B&amp;B ITALIA, model FP40_E, kích thước 40x40x45.5 cm, khung kim loại Pewter Painted, đã nhồi đệm, bọc da Gamma Tortora 280, mặt ghế cao 45.5 cm, mới 100%</t>
  </si>
  <si>
    <t>COMPFLAT</t>
  </si>
  <si>
    <t>CABBB00003</t>
  </si>
  <si>
    <t>Flat.C WALL SYSTEM
Bookcase frame: Anthracite Satin 9907E
Size: 173x25x210 cm
Material: MDF wood, metal</t>
  </si>
  <si>
    <t>Hệ kệ Flat.C Wall System, hiệu B&amp;B ITALIA, model COMPFLAT, kích thước 173x25x210 cm, bằng kim loại, gỗ, màu Anthracite Satin 9907E, tháo rời đồng bộ, mới 100%</t>
  </si>
  <si>
    <t>NNH-B&amp;B-2026-002-1102</t>
  </si>
  <si>
    <t>TS4</t>
  </si>
  <si>
    <t>ACCBB00001</t>
  </si>
  <si>
    <t>ISTOS
Rectangular carpet
Dimension: 300x400 cm
Colour 166 Beige</t>
  </si>
  <si>
    <t>Thảm ISTOS Rectangular carpet, hiệu B&amp;B ITALIA, model TS4, kích thước 300x400 cm, bằng sợi tổng hợp, màu 166 Beige, mới 100%</t>
  </si>
  <si>
    <t>57039099</t>
  </si>
  <si>
    <t>TS1R</t>
  </si>
  <si>
    <t>ACCBB00002</t>
  </si>
  <si>
    <t>ISTOS
Round carpet per square meter
Dimension: DI 430cm
Colour 166 Beige</t>
  </si>
  <si>
    <t>Thảm ISTOS Round carpet, hiệu B&amp;B ITALIA, model TS1R, kích thước DI 430 cm, bằng sợi tổng hợp, màu 166 Beige, mới 100%</t>
  </si>
  <si>
    <t>TS3</t>
  </si>
  <si>
    <t>ACCBB00003</t>
  </si>
  <si>
    <t>ISTOS
Rectangular carpet
Dimension: 250x350 cm
Colour: White colour 002N</t>
  </si>
  <si>
    <t>Thảm ISTOS Rectangular carpet, hiệu B&amp;B ITALIA, model TS3, kích thước 250x350 cm, bằng sợi tổng hợp, màu White 002N, mới 100%</t>
  </si>
  <si>
    <t>TMT4</t>
  </si>
  <si>
    <t>ACCBB00006</t>
  </si>
  <si>
    <t>Timo
Rectangular carpet (fringes excluded)
Dimension: 300x400 cm
Colour: Grey Colour 0022G</t>
  </si>
  <si>
    <t>Thảm Timo Rectangular carpet, hiệu B&amp;B ITALIA, model TMT4, kích thước 300x400 cm, bằng bông, mới 100%</t>
  </si>
  <si>
    <t>TCD</t>
  </si>
  <si>
    <t>ACCBB00007</t>
  </si>
  <si>
    <t>Caldes
Rectangular carpet per square meter
Dimension: 200x250 cm
Colour: 0058C Rope Colour V31 TT154</t>
  </si>
  <si>
    <t>Thảm Caldes Rectangular carpet, hiệu B&amp;B ITALIA, model TCD, kích thước 200x250 cm, bằng sợi tổng hợp, màu Rope Colour, mới 100%</t>
  </si>
  <si>
    <t>ACCBB00008</t>
  </si>
  <si>
    <t>Caldes
Rectangular carpet per square meter
Dimension: 300x250cm
Colour: 0058C Rope Colour V31 TT154</t>
  </si>
  <si>
    <t>Thảm Caldes Rectangular carpet, hiệu B&amp;B ITALIA, model TCD, kích thước 300x250 cm, bằng sợi tổng hợp, màu Rope Colour, mới 100%</t>
  </si>
  <si>
    <t>Marketing F.O.C</t>
  </si>
  <si>
    <t>SE0011</t>
  </si>
  <si>
    <t>MKTBB00005</t>
  </si>
  <si>
    <t>TROLLEY MATERIAL FRAME FOR MARKETING SAMPLE</t>
  </si>
  <si>
    <t>Kệ Trolley có bánh xe dùng cho marketing, hiệu B&amp;B ITALIA, model SE0011, bằng kim loại, hàng F.O.C, mới 100%</t>
  </si>
  <si>
    <t>SE0014</t>
  </si>
  <si>
    <t>MKTBB00006</t>
  </si>
  <si>
    <t>SET BOX METAL FINISHING FOR MARKETING SAMPLE</t>
  </si>
  <si>
    <t>Bộ mẫu miếng kim loại dùng cho marketing, hiệu B&amp;B ITALIA, model SE0014, bằng thép, kích thước 15x10 cm 1 bộ gồm 50 cái, hàng F.O.C, mới 100%</t>
  </si>
  <si>
    <t>SE0050</t>
  </si>
  <si>
    <t>MKTBB00007</t>
  </si>
  <si>
    <t>SET FABRIC HANGERS TROLLEY FOR MARKETING SAMPLE</t>
  </si>
  <si>
    <t>Bộ mẫu vải dệt thoi fabric từ bông dùng cho marketing, hiệu B&amp;B ITALIA, model SE0050, bằng vải dệt thoi, kích thước 30x40 cm, 1 bộ gồm 40 cái, hàng F.O.C, mới 100%</t>
  </si>
  <si>
    <t>52093900</t>
  </si>
  <si>
    <t>SE0012</t>
  </si>
  <si>
    <t>MKTBB00008</t>
  </si>
  <si>
    <t>SET BOX GLASS FINISHING FOR MARKETING SAMPLE</t>
  </si>
  <si>
    <t>Bộ mẫu tấm kính dùng cho marketing, hiệu B&amp;B ITALIA, model SE0012, đã được gia công, kích thước 15x10 cm, 1 bộ 10 cái, hàng F.O.C, mới 100%</t>
  </si>
  <si>
    <t>70060090</t>
  </si>
  <si>
    <t>SE0013</t>
  </si>
  <si>
    <t>MKTBB00009</t>
  </si>
  <si>
    <t>SET BOX LACQUERED FINISHING FOR MARKETING SAMPLE</t>
  </si>
  <si>
    <t>Bộ mẫu gỗ dùng cho marketing, hiệu B&amp;B ITALIA, model SE0013, bằng gỗ lacquered, kích thước 15x10 cm, 1 bộ 10 cái, hàng F.O.C, mới 100%</t>
  </si>
  <si>
    <t>44219999</t>
  </si>
  <si>
    <t>SE0015</t>
  </si>
  <si>
    <t>MKTBB00010</t>
  </si>
  <si>
    <t>SET BOX PLASTIC FINISHING FOR MARKETING SAMPLE</t>
  </si>
  <si>
    <t>Bộ mẫu nhựa dùng cho marketing, hiệu B&amp;B ITALIA, model SE0015, bằng nhựa, kích thước 15x10 cm, 1 bộ 10 cái, hàng F.O.C, mới 100%</t>
  </si>
  <si>
    <t>39269099</t>
  </si>
  <si>
    <t>SE0016</t>
  </si>
  <si>
    <t>MKTBB00011</t>
  </si>
  <si>
    <t>SET BOX CARPET FINISHING FOR MARKETING SAMPLE</t>
  </si>
  <si>
    <t>Bộ mẫu vải thảm dùng cho marketing, hiệu B&amp;B ITALIA, model SE0016, bằng vải sợi tổng hợp dệt thoi, kích thước 15x10 cm, 1 bộ 20 cái, hàng F.O.C, mới 100%</t>
  </si>
  <si>
    <t>63079090</t>
  </si>
  <si>
    <t>Đang vận chuyển</t>
  </si>
  <si>
    <t>NNH-EC-2026-004-2204</t>
  </si>
  <si>
    <t>LTREC30203820</t>
  </si>
  <si>
    <t xml:space="preserve">
Track Light AVA
Power: 20W
CCT: 3000K
Beam Angel: 38°, CRI90
Size: φ68*L157mm
IP20
Body: BLACK COLOR
Driver: On/Off</t>
  </si>
  <si>
    <t>LLNEC30122420B</t>
  </si>
  <si>
    <t>LED Magnetic Grille SpotLight
Power: 12W
CCT: 3000K
Color: BLACK BODY
Beam Angel: 24 degree
Size: 250x23.5xH43 mm
IP20
Driver: ON/OFF DRIVER</t>
  </si>
  <si>
    <t>LLNEC30242420B</t>
  </si>
  <si>
    <t>Magnetic Grille SpotLight
Power: 24W
CCT: 3000K
Color: BLACK BODY
Beam Angel: 24 degree
Size: 500x23.5xH43 mm
IP20
Driver: ON/OFF DRIVER</t>
  </si>
  <si>
    <t>LLNEC40122420B</t>
  </si>
  <si>
    <t xml:space="preserve">
Magnetic Grille SpotLight
Power: 12W
CCT: 4000K
Color: BLACK BODY
Beam Angel: 24 degree
Size: 250x23.5xH43 mm
IP20
Driver: On/off Driver</t>
  </si>
  <si>
    <t>LLNEC40242420B</t>
  </si>
  <si>
    <t>Magnetic Grille SpotLight
Power: 24W
CCT: 4000K
Color: BLACK BODY
Beam Angel: 24 degree
Size: 500x23.5xH43 mm
IP20
On/off Driver</t>
  </si>
  <si>
    <t>LTREC30102420B</t>
  </si>
  <si>
    <t>MAGNETIC SPOT LIGHT
Mini Magnetic Track Light
Power: 10W 
CCT: 3000K
No Dim.
Color: BLACK BODY
Adjustable
Beam Angel: 24 degree
Size:  Φ46*L105mm
IP20
ON/OFF DRIVER</t>
  </si>
  <si>
    <t>LTREC40102420B</t>
  </si>
  <si>
    <t>MAGNETIC SPOT LIGHT
Mini Magnetic Track Light
Power: 10W 
CCT: 4000K
Color: BLACK BODY
Adjustable
Beam Angel: 24 degree
Size:  Φ46*L105mm
IP20
ON/OFF DRIVER</t>
  </si>
  <si>
    <t>LDLECIOTAN40120020W</t>
  </si>
  <si>
    <t>LED DOWNLIGHT 
LED Recessed Downlight
Size:Φ86*H90 mm
Power: 8-12W
CCT: 4000K, Adjustability 0-30°
Body White, Reflector Chrome
Driver Triac can dip current, NO FLICKER AIDIMING
Size:Φ86*H90 mm
IP20
Without lens</t>
  </si>
  <si>
    <t>LSLEC00026</t>
  </si>
  <si>
    <t>SPOTLIGHT ISA
Size:  Φ52x72mm
Power: 7W
CCT: 3000K, dim Triac, NO FLICKER AIDIMING
Beam Angel: 24°
IP20</t>
  </si>
  <si>
    <t>LSLEC40152420</t>
  </si>
  <si>
    <t>SPOTLIGHT ISA
Size:  φ84*H105mm Cut-out: φ75mm
Power: 15W
CCT: 4000K, Dim Triac, NO FLICKER AIDIMING
Beam Angel: 24°
IP20</t>
  </si>
  <si>
    <t>LDLEC30105554W</t>
  </si>
  <si>
    <t>Downlight/Spotlight 
Size: Φ82*H58.5mm,  cut out ɸ75
Power:10W
CCT: 3000K
Beam Angel: 55° Dim TRIAC, NO FLICKER AIDIMING
Color: White body, WHITE REFLECTOR
IP54</t>
  </si>
  <si>
    <t>LSLEC30102420W</t>
  </si>
  <si>
    <t>Downlight/Spotlight 
Size: Φ85*H57 mm,  cut out ɸ75
Power:10W
CCT: 3000K
Beam Angel: 24° Dim TRIAC DRIVER, NO FLICKER AIDIMING
Color: White body
IP20</t>
  </si>
  <si>
    <t>NLA-6020S-L200B</t>
  </si>
  <si>
    <t>NLA-6020S-L200B
Surface Mounted Magenetic track
Size: L2000*W26.4*H53 mm
Black color
Material: Metal</t>
  </si>
  <si>
    <t>NLA-MTR-MCB</t>
  </si>
  <si>
    <t>NLA-MTR-MCB
Middle connector between two track
Black color
Material: Metal</t>
  </si>
  <si>
    <t>NLA-6020R-L100B</t>
  </si>
  <si>
    <t>NLA-6020R-L100B
Recessed Magenetic track
Size: L1000*W73*H50.5 mm
Black color
Material: Metal</t>
  </si>
  <si>
    <t>NLA-6020R-L200B</t>
  </si>
  <si>
    <t>NLA-6020R-L200B
Recessed Magenetic track
Size: L2000*W73*H50 mm
Black color
Material: Metal</t>
  </si>
  <si>
    <t>LAOEC30052467S</t>
  </si>
  <si>
    <t>inground uplight Light
5W
3000K 24° ,  24VDC, ip67
Body 316 Stainless Steel</t>
  </si>
  <si>
    <t>LAOEC3008100B</t>
  </si>
  <si>
    <t>Wall light
8W
3000K 100° ,  24VDC, ip65</t>
  </si>
  <si>
    <t>LAOEC30030065W</t>
  </si>
  <si>
    <t xml:space="preserve">Steplight
3-5W, 220VAC, IP65, </t>
  </si>
  <si>
    <t>LWLEC40038020G</t>
  </si>
  <si>
    <t>Wall Light
4W, 80°, 220VAC, IP20</t>
  </si>
  <si>
    <t>HN 1ST</t>
  </si>
  <si>
    <t>NNH-B&amp;B-2026-003-2402</t>
  </si>
  <si>
    <t>MAXALTO</t>
  </si>
  <si>
    <t>SMTE30BP</t>
  </si>
  <si>
    <t>TBLBB00004</t>
  </si>
  <si>
    <t>PATHOS Elliptic table
Size: 300x110x73 cm
Top finish: 0184P glossy calacatta white marble
Frame: 0174B bronzed nickel painted</t>
  </si>
  <si>
    <t>2806T</t>
  </si>
  <si>
    <t>CHRBB00015</t>
  </si>
  <si>
    <t>FEBO Low chair
Size: 50.5x55x73 cm, seat height: 41 cm
Cover: 2598211 Lille white / black 211, Cat Lusso
Stitching: C007 Blanket stitching
Thread colour: White yarn</t>
  </si>
  <si>
    <t>Awa Small table 
Size: 58x45x50.5 cm
Material: hard polyurethane
Finish: Glossy Greige 2557L</t>
  </si>
  <si>
    <t>LBA1_MC</t>
  </si>
  <si>
    <t>CLGBB00007</t>
  </si>
  <si>
    <t>LE BAMBOLE x Stella McCartney Armchair
Size: 119x91x75 cm, seat height: 42 cm
Cover in MC white with Red Mushroom 175</t>
  </si>
  <si>
    <t>CM96TPS
CM96TPD CM96P
CM96PQ
CM96C</t>
  </si>
  <si>
    <t>SFABB00008</t>
  </si>
  <si>
    <t>CAMALEONDA sofa
Size: 354x192x67 cm
Cover: LISSY ROPE 207, Cat Lusso
Feet Finish: Natural Beech
Feet: Low Version
Metallic Elements Finish: Bright Chromed
1xCM96C_Central element with high back
1xCM96TPD_Right ottoman-terminal element with high back
1xCM96TPS_Left ottoman-terminal element with high back
2xCM96P_Rectangular ottoman
1xCM96PQ_Square ottoman</t>
  </si>
  <si>
    <t>Spool round small table
Size: 40x40x44.5 cm
Material: hard polyurethane
Top and frame in glossy desert 4516L</t>
  </si>
  <si>
    <t>TDS_190M</t>
  </si>
  <si>
    <t>TBLBB00024</t>
  </si>
  <si>
    <t>Diesis Low table
Size: 190x95x26.5 cm
Top finish: Natural Carrara White Marble "Venatino Statuarietto"
Frame finish: Bright brushed</t>
  </si>
  <si>
    <t>IMP54_E</t>
  </si>
  <si>
    <t>CHRBB00016</t>
  </si>
  <si>
    <t>Mirto Indoor Ottoman
Size: 55x41x44 cm
Cover: LEVANTE GREY 251, Cat Lusso
Frame finish: Bright Brushed</t>
  </si>
  <si>
    <t>AT84</t>
  </si>
  <si>
    <t>CHRBB00017</t>
  </si>
  <si>
    <t>ATOLL Armchair
with back cushion
Size: 84x77.5x81 cm, seat height: 45 cm
Cover: Leather Kasia 360
Frame finish: Bright Brushed</t>
  </si>
  <si>
    <t>SA198D_1 SA198S_3 SA190PD AT90CP</t>
  </si>
  <si>
    <t>SFABB00009</t>
  </si>
  <si>
    <t>ATOLL SOFT SOFA
Size: 395x 287.5x 86 cm
Cover: Lodi 207 cat Lusso
Frame finish: Bright Brushed
1xSA198D_1: Right terminal element with 2 back cushions
1xSA198S_3: Left terminal element with 4 back cushions
1xSA190PD: Right bench with 2 back cushions
1xAT90CP_Roller with metallic support cm Ø 19 x 90
Cover: Lodi 207 cat Lusso
Strip: leather in Kasia 360</t>
  </si>
  <si>
    <t>FT_CN</t>
  </si>
  <si>
    <t>TBLBB00025</t>
  </si>
  <si>
    <t>FRANK Small table
Size: 35x35x47 cm
Version: black chromed frame (0178c)
Material: metal
Finish: Glossy Slate Black Painted Top</t>
  </si>
  <si>
    <t>50UP5_6B</t>
  </si>
  <si>
    <t>Up 50 Armchair
Size: 120x130x103 cm, seat height: 42 cm
Cover Soara 140 &amp; soara 420
Cover 50UP5: Fabric Soara 06 Striped Beige Teal - 2109140
Cover 50UP6: Fabric Soara 06 Teal - 2163420</t>
  </si>
  <si>
    <t>P3F</t>
  </si>
  <si>
    <t>CHRBB00018</t>
  </si>
  <si>
    <t>HUSK Small armchair
with wheels
Size: 61x60x86 cm, seat heigh: 51 cm
Version: Baydur shell
Cover: 1226256 Gamma 256 GREY
Shell finish: Dove grey shell
Frame finish: Bright brushed
Wheel finish: Hard Black Colour For Carpet / Moquette</t>
  </si>
  <si>
    <t>AZUCENA</t>
  </si>
  <si>
    <t>D_CT1</t>
  </si>
  <si>
    <t>CHRBB00020</t>
  </si>
  <si>
    <t>CHINOTTO armchair
Low small armchair
Size: 56.5x47x65 cm, seat height: 32cm
Frame: BLACK GLOSSY 3764L
Cover: leather Koto 750
Frame: lacquered wood</t>
  </si>
  <si>
    <t>TAO155QL_T</t>
  </si>
  <si>
    <t>TBLBB00028</t>
  </si>
  <si>
    <t>ALLURE O' Square table
glossy base-frame and lower shelf
Size: 155x155x73.5 cm
Top: Glossy marquinia black marble
Base And Lower Shelf Finish: Glossy pearl white 1322L</t>
  </si>
  <si>
    <t>HR60L_A</t>
  </si>
  <si>
    <t>CHRBB00021</t>
  </si>
  <si>
    <t>HERI O' chair
High chair with armrests
Size: 60x62x78 cm, seat height: 47cm
Cover: 2566251 Levante, cat Lusso
Frame: Brushed black ash</t>
  </si>
  <si>
    <t>EM247S</t>
  </si>
  <si>
    <t>SFABB00011</t>
  </si>
  <si>
    <t>EDA-MAME Day bed
Size: 247x109x77 cm, seat height: 32.5 cm
Cover: 2910340 Leandro Beaver 340
Support frame in pewter painted steel</t>
  </si>
  <si>
    <t>FR42</t>
  </si>
  <si>
    <t>TBLBB00029</t>
  </si>
  <si>
    <t>Formiche Round small table
Size: 42x42x51 cm
Top finish: Calacatta white porcelain stoneware
Frame finish in pewter painted steel</t>
  </si>
  <si>
    <t>Formiche
Round small table
Size: 62x62x43 cm
Top finish: Calacatta white porcelain stoneware
Frame finish in pewter painted steel</t>
  </si>
  <si>
    <t>LAL180
RD2
MA3
PPI180
GPI
PD140
IP180</t>
  </si>
  <si>
    <t>BEDBB00002</t>
  </si>
  <si>
    <t xml:space="preserve">Alys 10 BED
1xLAL180: Bed for mattress 180 x 200 cm and slatted base 179 x 199 cm
Size: 215x217x96 cm
Version: Thick leather
Cover: 1121201 Ivory Thick Leather 201
Stitching C0002 MATCHING TONE
Feet finish: 0154N Black colour
1xRD2: Pair of slatted bases
1xMA3: Mattress 180x200 H20
1xPPI180: Duvet Set (MAT180)
2158102 Fabric Aloe Natural
2xGPI: Down Pillow
1xPD140: Plaid 140x230
2340305 Fabric Clovis Light Brown
1xPD140: Plaid 140x230
2360305 Fabric Clelia Light Brown
1xIP180: Duvet Filling </t>
  </si>
  <si>
    <t>MTR60</t>
  </si>
  <si>
    <t>TBLBB00030</t>
  </si>
  <si>
    <t>MERA Round small table
Size: 60x60x32 cm 
Top finish in Natural carrara white marble "venatino statuarietto"
Frame finish: Bronzed Nickle painted</t>
  </si>
  <si>
    <t>PPA</t>
  </si>
  <si>
    <t>CHRBB00022</t>
  </si>
  <si>
    <t>PICCOLA PAPILIO armchair
Swivel armchair
Size: 69x76x80.5 cm, seat height 36cm
Cover in 2564888 Este Blue 888, cat Extra
Base finish frame: 0188V Metallic Grey Colour Painted</t>
  </si>
  <si>
    <t>CHRBB00023</t>
  </si>
  <si>
    <t>FRANK Oval ottoman
Size: 59x40x40 cm
Cover: 1227310 Leather KASIA 310
Frame: metal</t>
  </si>
  <si>
    <t>SMSCR_CL</t>
  </si>
  <si>
    <t>TBLBB00031</t>
  </si>
  <si>
    <t>MAX WRITING DESK
Desk table
Version: Chrome frame
Size: 180x65x72.5 cm
Finish: NATURAL WENGE
Frame colour: Bright Chromed</t>
  </si>
  <si>
    <t>PCA62</t>
  </si>
  <si>
    <t>CHRBB00024</t>
  </si>
  <si>
    <t>Caratos Ottoman
Size: 61.5x56.5x43 cm
Cover: Leather Kasia Walnut 330
Base-frame: metal, Amber Painted</t>
  </si>
  <si>
    <t>PV_3</t>
  </si>
  <si>
    <t>FOTBB00002</t>
  </si>
  <si>
    <t>PRIVATUS
Windscreen in 3 elements
Size: 45x185 cm
Finish: Light Colour Raffia
Edge finish: Bronzed Nickel Painted</t>
  </si>
  <si>
    <t>LFB180BV
LFB60
MA3
PPI180
GPI
PD140
IP180</t>
  </si>
  <si>
    <t>BEDBB00003</t>
  </si>
  <si>
    <t>FEBO Bed
1xLFB180BV: Bed (low slatted base) for mattress 180 x 200 cm
Size: 204x235x104.5 cm
Cover: DALLAS 373, cat Deluxe
Stitching in contrast C0001
Thread color: 01003 Beige Camel Yarn
2xLFB60_Back cushions for FEBO bed
Cover: 2165340 Fabric Licata Beaver
Stitching: C002 Matching tone
Size: 60x60 cm
1xMA3: Mattress 180X200 H20
1xPPI180: Duvet Set (MAT180), 2157203 Fabric Bolla Sand
2xGPI: Down Pillow
1xPD140: Plaid 140X230, 2361203 Fabric Daphne Beige
1xIP180: Duvet Filling</t>
  </si>
  <si>
    <t>2424</t>
  </si>
  <si>
    <t>TBLBB00032</t>
  </si>
  <si>
    <t>Amphora Night table
Top: Brushed Light Oak
Support frame in bronzed nickel painted
Size: 63.5x48x52.5 cm</t>
  </si>
  <si>
    <t>PCA135</t>
  </si>
  <si>
    <t>CHRBB00025</t>
  </si>
  <si>
    <t>Caratos bench
Size: 142x51x50 cm
Cover: 2838106 Fabric Loren Caramel, cat Lusso
Frame finish: bronzed nickel painted</t>
  </si>
  <si>
    <t>2850T
2830P</t>
  </si>
  <si>
    <t>CHRBB00029</t>
  </si>
  <si>
    <t>FEBO BERGERE
1x2850T: Bergère with armrests (covered legs)
Size: 76x94x100 cm, seat height: 39.5 cm
Stitching: Blanket stitching
Cover: 2613102 LOU Ecru 102, cat Lusso
Thread color: WHITE YARN 01000
1x2830P: Febo Bergere Headrest
Stitching: Matching Tone
Cover: 2613102 LOU Ecru 102, cat Lusso</t>
  </si>
  <si>
    <t>2831T</t>
  </si>
  <si>
    <t>CHRBB00026</t>
  </si>
  <si>
    <t>FEBO Ottoman
covered legs
Size: 69x42x39.5 cm
Cover: LOU Ecru 102, cat Lusso
Stitching: Blanket stitching
Thread color: WHITE YARN 01000</t>
  </si>
  <si>
    <t>LXC5</t>
  </si>
  <si>
    <t>TBLBB00033</t>
  </si>
  <si>
    <t>RECIPIO '14 Writing-desk
with drawer
Size: 130x60x74.5 cm
Finish: Shellac Type Finish Black 3764G
Cover: 1525331 Leather Af331N Alfa Walnut 1425
Crosspiece colour: Bronzed Nickel Painted
Support frame: solid wood</t>
  </si>
  <si>
    <t>PCA51B</t>
  </si>
  <si>
    <t>CHRBB00027</t>
  </si>
  <si>
    <t>CARATOS Ottoman
Size: 51x47x50 cm
Cover: 2613102 LOU Ecru 102, cat Lusso
Frame finish: bronzed nickel painted</t>
  </si>
  <si>
    <t>HCM 2RD</t>
  </si>
  <si>
    <t>COMPJACK</t>
  </si>
  <si>
    <t>CABBB00007</t>
  </si>
  <si>
    <t>JACK WALL SYSTEM
Central &amp; Terminal uprights: 3764E black satin
Storage units: canaletto walnut 0356N
Shelves: canaletto walnut 0356N
Dimension: 466.8x40x324 cm</t>
  </si>
  <si>
    <t>CABBB00002</t>
  </si>
  <si>
    <t>Flat.C Frame Shelf
Frame Finish: Eneo Bronze Painted
Top Finish: Natural Etimoè
Drawers Unit Finish: Natural Etimoè
Dimension: 414x46.5x265.1 cm</t>
  </si>
  <si>
    <t>9ER244CA</t>
  </si>
  <si>
    <t>SPABB00001</t>
  </si>
  <si>
    <t>Erica Curved Sofa High Back frame
Finish: 0424B Hay Green Interlacing - Olive Bronze Frame
Dimension: 244x120x65 cm, Seat Height: 20 cm</t>
  </si>
  <si>
    <t>9ER244C_SE</t>
  </si>
  <si>
    <t>SPABB00002</t>
  </si>
  <si>
    <t>Enrica sofa Seat Cushion
Cover: 2845102 Fabric Larice Ecru
Profile: 0041E Cream White Colour
Size: 244x120x20 cm</t>
  </si>
  <si>
    <t>ER244CA_SC</t>
  </si>
  <si>
    <t>SPABB00003</t>
  </si>
  <si>
    <t>Enrica sofa Set of 2 back cushions
Cover: 2845207 FABRIC LARICE ROPE
Profile: 0041E Cream White Colour
Size: 120x35x10 cm</t>
  </si>
  <si>
    <t>3ER_PG</t>
  </si>
  <si>
    <t>SPABB00004</t>
  </si>
  <si>
    <t>Enrica sofa Set 3 Lumbar Cushions
Cover: 2820411 Fabric Lilia White Small Square Green, size 50x35 cm</t>
  </si>
  <si>
    <t>ER8TR</t>
  </si>
  <si>
    <t>TBLBB00021</t>
  </si>
  <si>
    <t>Erica Round Small Table
Top Finish: 0456T Natural Teakwood
Frame Finish: 0707B Olive Bronze Painted
Dimension: 80x81.5x23 cm</t>
  </si>
  <si>
    <t>RS2T</t>
  </si>
  <si>
    <t>ACCBB00004</t>
  </si>
  <si>
    <t>RISO
Rectangular carpet
Dimension: 300x200 cm
Colour: 0071G Soil Colour</t>
  </si>
  <si>
    <t>TW250</t>
  </si>
  <si>
    <t>ACCBB00005</t>
  </si>
  <si>
    <t>TWIST
Rectangular Carpet
Dimension: 250x350 cm
Finishes: Green polyolefin interlacing</t>
  </si>
  <si>
    <t>HN 2RD</t>
  </si>
  <si>
    <t>ML3T</t>
  </si>
  <si>
    <t>ACCBB00009</t>
  </si>
  <si>
    <t>MILOS
Rectangular carpet
Size: 250x350 cm
Color: 0217G Graphite Colour</t>
  </si>
  <si>
    <t>CABBB00004</t>
  </si>
  <si>
    <t>JACK WALL SYSTEM
Size: 2600x4668x400 mm
Top and Drawers unit finish: Brushed Black Oak
Finish: 0381N- Black Satin 3764E</t>
  </si>
  <si>
    <t>TAL280L</t>
  </si>
  <si>
    <t>TBLBB00026</t>
  </si>
  <si>
    <t>ALEX Rectangular table
Size: 280x110x73 cm
Version: Glossy frame
Top finish: Matt carrara white marble "venatino statuarietto"
Frame colour: Glossy Brick Red 3755L</t>
  </si>
  <si>
    <t>SJ61BW</t>
  </si>
  <si>
    <t>CHRBB00019</t>
  </si>
  <si>
    <t>JENS chairs
Chair with armrests
Size: 61x58x76.5 cm, seat height: 45cm
Frame finish: Natural Wenge
Seat cover: Thick leather 350</t>
  </si>
  <si>
    <t>DM202S
DM178LD_2
DM55C</t>
  </si>
  <si>
    <t>SFABB00010</t>
  </si>
  <si>
    <t>Dambo Sofa
Cover: Fabric Sirte Beige 2909200
Feet finish: Bronzed nickel painted ( 0174B )
1xDM202S:Dambo Terminal Element LF
1xDM178LD_2: Left chaise longue 156cm
6xDM55C: Back Cushion 55x55 cm
Cover: 2909280 Fabric Sirte Dove Grey, Cat Super</t>
  </si>
  <si>
    <t>TA180</t>
  </si>
  <si>
    <t>TBLBB00027</t>
  </si>
  <si>
    <t>Alanda ‘18 Rectangular low table
Size: 180x120x27 cm
Top: transparent extra light glass
Frame: glossy black painted steel</t>
  </si>
  <si>
    <t>TAU3</t>
  </si>
  <si>
    <t>ACCBB00010</t>
  </si>
  <si>
    <t>AURIS
Rectangular carpet
Size: 250x350 cm
Colour: Beige</t>
  </si>
  <si>
    <t>CABBB00006</t>
  </si>
  <si>
    <t>Flat C Frame
Size: 2576x320x4249 cm
Top Finish: Natural Etimoè
Frame Finish: Eneo Bronze Painted</t>
  </si>
  <si>
    <t>ISTOS
Rectangular carpet
Size: 250x350 cm
Colour: 166 BEIGE</t>
  </si>
  <si>
    <t>TCD2</t>
  </si>
  <si>
    <t>ACCBB00012</t>
  </si>
  <si>
    <t>CALDES
Rectangular carpet
Size: 200x300 cm
Color: Ecru Colour 0242C</t>
  </si>
  <si>
    <t>ACCBB00013</t>
  </si>
  <si>
    <t>CALDES
Rectangular carpet
Size: 200x200 cm
Color: Ecru Colour 0242C</t>
  </si>
  <si>
    <t>RS4T</t>
  </si>
  <si>
    <t>ACCBB00014</t>
  </si>
  <si>
    <t>RISO
Rectangular carpet
Size: 300 x 400 cm
Color: Light Colour 0027C</t>
  </si>
  <si>
    <t>LIL240TS LIL225LD
LIL60C</t>
  </si>
  <si>
    <t>SFABB00012</t>
  </si>
  <si>
    <t>LILUM sofa set
Size: 465x143x65 cm
Cover: 2540200 Milo Natural 200, Cat M
Stitching: Simple Stitching
Edge finish: painted black chrome
1xLIL240TS_Left terminal element
1xLIL225LD_Right chaise longue
4xLIL60C_Cushion size 60x60 cm
Cover: Dokos 102 - Cat Deluxe
Cover: Fabric Milo Natural 2540200</t>
  </si>
  <si>
    <t>TME4</t>
  </si>
  <si>
    <t>TBLBB00034</t>
  </si>
  <si>
    <t>ELIOS Round small table
Size: 40x40x50 cm
Top finish: Black Back-Painted Smoky Glass
Frame: Painted Black Chrome</t>
  </si>
  <si>
    <t>TLT18</t>
  </si>
  <si>
    <t>TBLBB00035</t>
  </si>
  <si>
    <t>Lithos low table
with 2 extractable trays
Size: 180x130x43.5 cm
Top: Transparent Extra Light Glass
Lower shelf finish: Brushed light oak
Frame in painted black chrome
Extractable tray covered in dark brown leather (Alfa AF355)</t>
  </si>
  <si>
    <t>2800T</t>
  </si>
  <si>
    <t>CHRBB00028</t>
  </si>
  <si>
    <t>FEBO Armchair
with low back
Size: 69x73x64 cm, seat height: 41 cm
Version: covered legs
Cover: 2598120 Lille White Rope 120, cat: Lusso
Stitching: Blanket Stitching
Thread colour: WHITE YARN 01000</t>
  </si>
  <si>
    <t>AM140G
AM60C</t>
  </si>
  <si>
    <t>SFABB00013</t>
  </si>
  <si>
    <t>AMOENUS soft sofa
1xAM140G: Swivel sofa 
Size: 140x140x90 cm, seat height: 40 cm 
Cover: 2838207 Loren 207, cat Lusso 
Profiles cover: 1130203 Ecoleather Rope Profile
Frame finish: graphite painted
2xAM60C: Back cushion size 60x60 cm
Cover: 2838207 Loren 207, cat Lusso</t>
  </si>
  <si>
    <t>SM40T</t>
  </si>
  <si>
    <t>TBLBB00036</t>
  </si>
  <si>
    <t>LOTO Round small table
Size: 40x40x42 cm
Frame: brushed light oak</t>
  </si>
  <si>
    <t>SM53T</t>
  </si>
  <si>
    <t>TBLBB00037</t>
  </si>
  <si>
    <t>LOTO Round small table 
Size: 53x53x56 cm
Frame: brushed light oak</t>
  </si>
  <si>
    <t>HCM 3TH</t>
  </si>
  <si>
    <t>NNH-B&amp;B-2026-004-2402</t>
  </si>
  <si>
    <t>30% BEFORE PICK UP</t>
  </si>
  <si>
    <t>CABBB00011</t>
  </si>
  <si>
    <t>BACKSTAGE-WALK IN CLOSET
SIZE: 293.8x290.4x258.8 CM
EXTERNAL FINISH: SMOKED OAK
INTERNAL FINISH SH:SMOKED OAK MELAMINE FACED; COLONIALE LEATHER MELAMINE FACED
BACK COVER:FABRIC ASOLO SAND
LEATHER SECTIONS H.:REGENERATE LEATHER COLONIALE 571</t>
  </si>
  <si>
    <t>HN 3th</t>
  </si>
  <si>
    <t>CABBB00005</t>
  </si>
  <si>
    <t>Flat C Frame
Size: 4140x520x2588 cm
Frame Finish: Eneo Bronze Painted
Top Finish: Natural Etimoè
Drawers Unit Finish: Natural Etimoè</t>
  </si>
  <si>
    <t>NNH-B&amp;B-2026-005-2402</t>
  </si>
  <si>
    <t>CABBB00008</t>
  </si>
  <si>
    <t>BACKSTAGE-WALK IN CLOSET
SIZE: 293.8x244.8x258.8 CM
INTERNAL FINISH SH:SMOKED OAK MELAMINE FACED
BACK COVER:FABRIC ASOLO SAND
LEATHER SECTIONS H.:REGENERATED LEATHER DARK BROWN 355</t>
  </si>
  <si>
    <t>CABBB00009</t>
  </si>
  <si>
    <t>WALK IN CLOSET
Size: 808.9 x56x258.8 cm
EXTERNAL FINISH: BRUSHED BLACK OAK
LEATHER SECTIONS H.:REGENERATED LEATHER DARK BROWN 355
ELEMENTS EQUIPMENT: BRONZE NICKEL PAINTED</t>
  </si>
  <si>
    <t>CABBB00010</t>
  </si>
  <si>
    <t>WALK IN CLOSET
Size: 796.9x120x258.8 cm
EXTERNAL FINISH: SMOKED OAK
INTERNAL FINISH: SMOKED OAK MELAMINE FACED
BACK COVER: FABRIC ASOLO SAND
LEATHER SECTIONS H.:REGENERATED LEATHER DARK BROWN 355
ELEMENTS EQUIPMENT: BRONZE NICKEL PAINTED</t>
  </si>
  <si>
    <t>Salone 2026</t>
  </si>
  <si>
    <t>NNH-B&amp;B-2026-006-2605</t>
  </si>
  <si>
    <t>U247D
U100PQ
U210LD
U110AD</t>
  </si>
  <si>
    <t>SFABB00014</t>
  </si>
  <si>
    <t xml:space="preserve">UNTITLED sofa
COVER 2848102 TESSUTO LIRA ECRU
FRAME FINISH 0479S ROVERE MORO SPAZZOLATO
Color: Salone booth fabric : Lira 102, Lusso
Frame: brushed dark oak 0479S
1xU247D: Untitled right dormeuse
1xU100PQ: Untitled ottoman
1xU210LD: Untitled right chaise longue
1xU110AD: Untitled right corner element </t>
  </si>
  <si>
    <t>13%+10%</t>
  </si>
  <si>
    <t>AB66PN</t>
  </si>
  <si>
    <t>CHRBB00030</t>
  </si>
  <si>
    <t>Abaco armchair
Color : 0356N canaletto walnut / thick leather 280 dove grey 
COVER 1121280 TORTORA THICK LEATHER
FRAME FINISH 0356N CANALETTO WALNUT</t>
  </si>
  <si>
    <t>HL110P</t>
  </si>
  <si>
    <t>CHRBB00031</t>
  </si>
  <si>
    <t>B&amp;B Harry Ottoman
Size: 110x110 cm
COVER 1303374 PELLE KAREM ARGILLA
FEET FINISH 0154N BLACK COLOUR</t>
  </si>
  <si>
    <t>CHRBB00032</t>
  </si>
  <si>
    <t>FRANK POUF FP40 FPELTRO
COVER 2877340 TESSUTO LOIRA CASTORO
FINISH 0259V PEWTER PAINTED</t>
  </si>
  <si>
    <t>LMR5L_RF</t>
  </si>
  <si>
    <t>CABBB00012</t>
  </si>
  <si>
    <t>LUMINOR STORAGE UNIT 2DOORS LIGHT L95
FINISH 0504R ROSE GOLD COLOUR PVD
CHEST OF DRAWERS TOP FINISH 0124R PAINTED BRONZED REFLECTIVE GLASS
INTERNAL FINISH 0815T DOVE GREY MELAMINE FACED
EQUIPMENT FINISH 0351A MAPLE FRISE
Size: 95x46x135 cm</t>
  </si>
  <si>
    <t>13%+20%</t>
  </si>
  <si>
    <t>Vísual Objects 2026</t>
  </si>
  <si>
    <t>NNH-B&amp;B-2026-007-1906</t>
  </si>
  <si>
    <t xml:space="preserve"> Z1006521</t>
  </si>
  <si>
    <t>ACCBB00015</t>
  </si>
  <si>
    <t>OBJECT DECOR BLOCCHET SERIG
RETTANGOLO</t>
  </si>
  <si>
    <t xml:space="preserve"> Z1006525</t>
  </si>
  <si>
    <t>ACCBB00016</t>
  </si>
  <si>
    <t>CANDLESTICK H30CM  TRANSPARENT</t>
  </si>
  <si>
    <t>Z1006514</t>
  </si>
  <si>
    <t>ACCBB00017</t>
  </si>
  <si>
    <t>VASE CEMAPOT MEDIUM GREY 60301</t>
  </si>
  <si>
    <t xml:space="preserve"> Z1006478</t>
  </si>
  <si>
    <t>ACCBB00018</t>
  </si>
  <si>
    <t>DECORATIVE LEAF SMALL OBJ MOD 2 GL_536</t>
  </si>
  <si>
    <t>Z1006484</t>
  </si>
  <si>
    <t>ACCBB00019</t>
  </si>
  <si>
    <t>DECORATIVE LEAF BIG OBJ MOD 5 GN_393</t>
  </si>
  <si>
    <t>Z1006517</t>
  </si>
  <si>
    <t>ACCBB00020</t>
  </si>
  <si>
    <t xml:space="preserve"> VASE 3D PRTP H30CM DARK GREY</t>
  </si>
  <si>
    <t xml:space="preserve"> Z1006503</t>
  </si>
  <si>
    <t>ACCBB00021</t>
  </si>
  <si>
    <t>OBJECT PENSEUR H12CM WHITE</t>
  </si>
  <si>
    <t>Z1006522</t>
  </si>
  <si>
    <t>ACCBB00022</t>
  </si>
  <si>
    <t>OBJECT DECOR BLOCCHET FORAT OTTAGONALE</t>
  </si>
  <si>
    <t>Z1006497</t>
  </si>
  <si>
    <t>ACCBB00023</t>
  </si>
  <si>
    <t xml:space="preserve"> OBJECT ARCOFIORE DARK GREY 30XH20CM</t>
  </si>
  <si>
    <t>Z1006507</t>
  </si>
  <si>
    <t>ACCBB00024</t>
  </si>
  <si>
    <t xml:space="preserve"> VASE 081_01B COL AMBER TRANSPARENT</t>
  </si>
  <si>
    <t>Z1006498</t>
  </si>
  <si>
    <t>ACCBB00025</t>
  </si>
  <si>
    <t>OBJECT CORNOVASO BIG 37XH27CM BROWN</t>
  </si>
  <si>
    <t xml:space="preserve"> Z1006506</t>
  </si>
  <si>
    <t>ACCBB00026</t>
  </si>
  <si>
    <t>DECORATIVE OBJECT 081_01C TRANSPARENT</t>
  </si>
  <si>
    <t>Z1006476</t>
  </si>
  <si>
    <t>ACCBB00027</t>
  </si>
  <si>
    <t>VASE HOLDER MOD 1 GL_363 COL MAT PAST</t>
  </si>
  <si>
    <t>Z1006477</t>
  </si>
  <si>
    <t>ACCBB00028</t>
  </si>
  <si>
    <t xml:space="preserve"> VASE MOD 2 GL_362 COL MAT PAST</t>
  </si>
  <si>
    <t>Z1006528</t>
  </si>
  <si>
    <t>ACCBB00029</t>
  </si>
  <si>
    <t xml:space="preserve"> GREY CUP R1015 23X15</t>
  </si>
  <si>
    <t>Z1006494</t>
  </si>
  <si>
    <t>ACCBB00030</t>
  </si>
  <si>
    <t xml:space="preserve"> RED VASE D26 H38CM</t>
  </si>
  <si>
    <t xml:space="preserve"> Z1006519</t>
  </si>
  <si>
    <t>ACCBB00031</t>
  </si>
  <si>
    <t xml:space="preserve"> VASE 3D PRTP H35CM TRANSPARENT</t>
  </si>
  <si>
    <t>Z1006520</t>
  </si>
  <si>
    <t>ACCBB00032</t>
  </si>
  <si>
    <t>DECOR OBJECT BLOCCHET SERIG DISCO TONDO</t>
  </si>
  <si>
    <t>Z1006518</t>
  </si>
  <si>
    <t>ACCBB00033</t>
  </si>
  <si>
    <t>VASE 3D PRTP H30CM TRANSPARENT</t>
  </si>
  <si>
    <t>Z1006532</t>
  </si>
  <si>
    <t>ACCBB00034</t>
  </si>
  <si>
    <t xml:space="preserve"> VASE FRAMEZZINO H10 BRUSHED STEEL</t>
  </si>
  <si>
    <t>Z1006508</t>
  </si>
  <si>
    <t>ACCBB00035</t>
  </si>
  <si>
    <t xml:space="preserve"> VASE 081_01A COL PINK TRANSPARENT</t>
  </si>
  <si>
    <t>Z1006526</t>
  </si>
  <si>
    <t>ACCBB00036</t>
  </si>
  <si>
    <t>VASE 80X120X110 290MM 15556_1075319</t>
  </si>
  <si>
    <t xml:space="preserve"> Z1005605</t>
  </si>
  <si>
    <t>ACCBB00037</t>
  </si>
  <si>
    <t>SET BOOKS</t>
  </si>
  <si>
    <t>Z1006377</t>
  </si>
  <si>
    <t>ACCBB00038</t>
  </si>
  <si>
    <t xml:space="preserve"> BOWL PLATE BE</t>
  </si>
  <si>
    <t>Z1006376</t>
  </si>
  <si>
    <t>ACCBB00039</t>
  </si>
  <si>
    <t>BOWL PEBBLE GREEN</t>
  </si>
  <si>
    <t>Z1006365</t>
  </si>
  <si>
    <t>ACCBB00040</t>
  </si>
  <si>
    <t>SET 3 BOTTLES</t>
  </si>
  <si>
    <t>Z1005605</t>
  </si>
  <si>
    <t>ACCBB00041</t>
  </si>
  <si>
    <t>ACCBB00042</t>
  </si>
  <si>
    <t>VASE MOD 2 GL_362 COL MAT PAST</t>
  </si>
  <si>
    <t>Z1006531</t>
  </si>
  <si>
    <t>ACCBB00043</t>
  </si>
  <si>
    <t>VASE FRAMEZZINO H40 BRUSHED STEEL</t>
  </si>
  <si>
    <t>Z1006499</t>
  </si>
  <si>
    <t>ACCBB00044</t>
  </si>
  <si>
    <t>OBJECT CAVALLO SMALL 27XH28CM WHITE</t>
  </si>
  <si>
    <t>ACCBB00045</t>
  </si>
  <si>
    <t>GREY CUP R1015 23X15</t>
  </si>
  <si>
    <t>ACCBB00046</t>
  </si>
  <si>
    <t>VASE 3D PRTP H30CM DARK GREY</t>
  </si>
  <si>
    <t>Z1006502</t>
  </si>
  <si>
    <t>ACCBB00047</t>
  </si>
  <si>
    <t>OBJECT PENSEUR H20CM BLACK</t>
  </si>
  <si>
    <t>Z1006506</t>
  </si>
  <si>
    <t>ACCBB00048</t>
  </si>
  <si>
    <t>DECORATIVE OBJECT 081_01C
TRANSPARENT</t>
  </si>
  <si>
    <t>ACCBB00049</t>
  </si>
  <si>
    <t>RED VASE D26 H38CM</t>
  </si>
  <si>
    <t>ACCBB00050</t>
  </si>
  <si>
    <t>ACCBB00051</t>
  </si>
  <si>
    <t xml:space="preserve"> OBJECT DECOR BLOCCHET FORAT
OTTAGONALE</t>
  </si>
  <si>
    <t>Z1006503</t>
  </si>
  <si>
    <t>ACCBB00052</t>
  </si>
  <si>
    <t>Z1006338</t>
  </si>
  <si>
    <t>ACCBB00053</t>
  </si>
  <si>
    <t xml:space="preserve"> MAGAZINE INSERT MAXALTO PARIS</t>
  </si>
  <si>
    <t>Z1006327</t>
  </si>
  <si>
    <t>ACCBB00054</t>
  </si>
  <si>
    <t>SMALL BOWL</t>
  </si>
  <si>
    <t>Z1006315</t>
  </si>
  <si>
    <t>ACCBB00055</t>
  </si>
  <si>
    <t>BOX 35X35X12 BLACK</t>
  </si>
  <si>
    <t>Z1006316</t>
  </si>
  <si>
    <t>ACCBB00056</t>
  </si>
  <si>
    <t>BOX 35X20X12 BLACK</t>
  </si>
  <si>
    <t>ABK009</t>
  </si>
  <si>
    <t>ACCBB00057</t>
  </si>
  <si>
    <t>COPPIA FORME PER SCARPE</t>
  </si>
  <si>
    <t>Z1006335</t>
  </si>
  <si>
    <t>ACCBB00058</t>
  </si>
  <si>
    <t>MUM TEAPOT</t>
  </si>
  <si>
    <t>Z1006350</t>
  </si>
  <si>
    <t>ACCBB00059</t>
  </si>
  <si>
    <t>TANGRAM GAME</t>
  </si>
  <si>
    <t>Z1006351</t>
  </si>
  <si>
    <t>ACCBB00060</t>
  </si>
  <si>
    <t>TRIS GAME</t>
  </si>
  <si>
    <t>Z1006371</t>
  </si>
  <si>
    <t>ACCBB00061</t>
  </si>
  <si>
    <t>PLATE 29CM WHITE</t>
  </si>
  <si>
    <t>Z1006360</t>
  </si>
  <si>
    <t>ACCBB00062</t>
  </si>
  <si>
    <t>PLATE FUSION PLATE D27 WHITE</t>
  </si>
  <si>
    <t>Z1006387</t>
  </si>
  <si>
    <t>ACCBB00063</t>
  </si>
  <si>
    <t>SET N1 CARAFE N4 GLASSES N4 GLASSES</t>
  </si>
  <si>
    <t xml:space="preserve"> Z1006334</t>
  </si>
  <si>
    <t>ACCBB00064</t>
  </si>
  <si>
    <t xml:space="preserve"> SPHERICAL CONTAINER</t>
  </si>
  <si>
    <t>Z1006329</t>
  </si>
  <si>
    <t>ACCBB00065</t>
  </si>
  <si>
    <t>MEDIUM BOWL</t>
  </si>
  <si>
    <t>Z1006311</t>
  </si>
  <si>
    <t>ACCBB00066</t>
  </si>
  <si>
    <t>INSIDE OUT FLOWER VASE</t>
  </si>
  <si>
    <t>NNH-VT-2026-001-2303-DH-0005640</t>
  </si>
  <si>
    <t>DH-0005640</t>
  </si>
  <si>
    <t>W16/2026</t>
  </si>
  <si>
    <t>Panton Chair (new height)
Polypropylene
Colour: bordeaux
Dimensions: 500x610x860mm
Seat heigh: 440mm</t>
  </si>
  <si>
    <t>5089468/1</t>
  </si>
  <si>
    <t>SEE260003124</t>
  </si>
  <si>
    <t>CSNU 870 918-4 SEAL: 018817</t>
  </si>
  <si>
    <t>Hamburg</t>
  </si>
  <si>
    <t>NHH-VT-2026-002-2703-DH-0005756</t>
  </si>
  <si>
    <t>DH-0005756</t>
  </si>
  <si>
    <t>27/072026</t>
  </si>
  <si>
    <t>W17/2026</t>
  </si>
  <si>
    <t>42193500</t>
  </si>
  <si>
    <t>CHRVT00045</t>
  </si>
  <si>
    <t>Grand Executive Highback
Size: 675x460x1250-1370 mm, seat height: 405-505 mm
Base: polished aluminium
Cover material: Leather L20
Colour of seat/ backrest cover: marron, L69
Base on: castors hard, braked, with castor protection</t>
  </si>
  <si>
    <t>Miniatures
Heart-Shaped Cone Chair
H 149 x W 169 x D 100 mm</t>
  </si>
  <si>
    <t>Miniatures
Ball Chair
Aarnio, 1965
H 210 x W 190 x D 175 mm</t>
  </si>
  <si>
    <t>Miniatures
Tulip Chair
Saarinen, 1956
H 135 x B 85 x T 90 mm</t>
  </si>
  <si>
    <t>Physix
Five star base
Base: Aluminum base, polished
Cover material:Trioknit
Frame: Soft Grey
Base on: Caster Hard, braked
Packing: standard, in plastic bag</t>
  </si>
  <si>
    <t xml:space="preserve"> Panton Chair (new height)
Polypropylene
Colour: soft mint
Dimensions: 500x610x860mm
Seat heigh: 440mm</t>
  </si>
  <si>
    <t>Panton Chair (new height)
Polypropylene
Colour: classic red
Dimensions: 500x610x860mm
Seat heigh: 440mm</t>
  </si>
  <si>
    <t>SPAVT00003</t>
  </si>
  <si>
    <t>Aluminium Five-star base polished/degreased for ID Chair</t>
  </si>
  <si>
    <t>SPAVT00004</t>
  </si>
  <si>
    <t>Five-star base aluminium polished/degreased 50/340 for Physix</t>
  </si>
  <si>
    <t>SPAVT00005</t>
  </si>
  <si>
    <t>Armest left RAL9005 deep black
complete with bolt
For Physix</t>
  </si>
  <si>
    <t>SPAVT00006</t>
  </si>
  <si>
    <t>Armest right soft grey
complete with bolt
For Physix</t>
  </si>
  <si>
    <t>NNH-CS-2026-002-1002</t>
  </si>
  <si>
    <t>DH-0005570</t>
  </si>
  <si>
    <t>CLGCA00006</t>
  </si>
  <si>
    <t>Utrecht armchair
Size: 64x85x70 cm, seat height: 37cm
Stitching: blanket stitching, Natural thread
Cover: Fabric L, Amande Ortigia 13L662</t>
  </si>
  <si>
    <t>42%+10%+2%</t>
  </si>
  <si>
    <t>NNH-CS-2026-002.003</t>
  </si>
  <si>
    <t>936/2026/01</t>
  </si>
  <si>
    <t>Genova</t>
  </si>
  <si>
    <t>Scarpa 925 armchair
Size: 66x67x71 cm, Seat height: 36 cm
Frame: Solid Wood, ashwood stained black
Upholstered In Bordeaux saddle leather</t>
  </si>
  <si>
    <t>4 Chaise longue à reglage continu, durable chaise longue with black base
Size: 160x56,4x69 cm
Frame: chrome
Loose pad: hairyskin black/brown/white 13Z229
Headroll /  footsleeve: extra leather - grafite 13Y414</t>
  </si>
  <si>
    <t>NNH-CS-2026-003-1804-DH-0005705</t>
  </si>
  <si>
    <t>09805000</t>
  </si>
  <si>
    <t>“You Are Art” mirror
limited-edition
Pietro Terzini, 2025
Size: 92x183cm</t>
  </si>
  <si>
    <t>42%+12%</t>
  </si>
  <si>
    <t>09804000</t>
  </si>
  <si>
    <t>"No Risk No Story" mirror
limited-edition
Pietro Terzini, 2025
Size: 92x183cm</t>
  </si>
  <si>
    <t>GHOST BOX storage cabinets top
Size: 270x47x2 cm
Material: mat marble - Carnico Grey- MO3</t>
  </si>
  <si>
    <t>HILL HOUSE 1 chair
Size: 41x35x141 cm
Structure: ashwood stained black
Seat upholstered: special velvet lavender</t>
  </si>
  <si>
    <t>920072F1=029</t>
  </si>
  <si>
    <t>Metal Base for Wax, Stone, Light floor lamp
Material: Metal
Size: 23x22x4 cm</t>
  </si>
  <si>
    <t xml:space="preserve">920535TC=059 </t>
  </si>
  <si>
    <t>Tabletop of Table à plateau interchangeable
Material: Marble
Color: Carrara White
Size: 75x75x2 cm</t>
  </si>
  <si>
    <t>920554AG=039</t>
  </si>
  <si>
    <t>IVORY BASE for BOWY TABLE Outdoor low table
Material: structure: textured enamel aluminium - ivory
Size: 70x70x30 cm</t>
  </si>
  <si>
    <t>IVORY BASE for BOWY TABLE Outdoor low table
Material: structure: textured enamel aluminium - ivory
Size: 90x90x35 cm</t>
  </si>
  <si>
    <t>Đợi sản xuất</t>
  </si>
  <si>
    <t>NNH-CS-2026-001-2605</t>
  </si>
  <si>
    <t>586S0L10
58600L10
586T0010
58600C10
58600A10
58600C20
586P0010
2x 09045000
4x 090 40</t>
  </si>
  <si>
    <t>SFACA00017</t>
  </si>
  <si>
    <t>Ardys Sofa
upholstered: Fabric cat O- OSLO CORDA O351
1x 586 S0 L1 : chaise longue elements, left armrest, W100 x D143 cm
1x 586 00 L1: intermediate element, W85 x D143 cm
1x586 T0 01: square side table 85×85 cm, glossy enamelled cement top- color Gesso Top/4, upholstered base
1x586 00 C1: intermediate/end units, W85xD100 cm
1x586 00 A1 : corner unit, with 2 backrests, 100×100 cm
1x586 00 C2: intermediate/end units, W128 x D100 cm 
1x 586 P0 01: pouf, 85x85 cm
Cushion: 
2x 090 45: square cushion 45x45 cm, O351 OSLO CORDA
2x 090 40: square cushion 40x40 cm, O357 OSLO RAME, 
2x 090 40: square cushion 40x40 cm, F178 FALKLAND MINERALE</t>
  </si>
  <si>
    <t>586 00 01</t>
  </si>
  <si>
    <t>CLGCA00008</t>
  </si>
  <si>
    <t>Ardys Armchair
Size: 100x85x70 cm
upholstered: L682 ORTIGIA MARRONE</t>
  </si>
  <si>
    <t>587Q1000</t>
  </si>
  <si>
    <t>TBLCA00021</t>
  </si>
  <si>
    <t xml:space="preserve">Ardys - Low Table
Size: 85×85x29 cm
side table with glossy enamelled cement top and base
Color: Rosso Amaranto /2 </t>
  </si>
  <si>
    <t>NNH-CS-2026-004-1206</t>
  </si>
  <si>
    <t>ZIG-ZAG chair
Size: 37x43x74 cm
Material: Natural cherry</t>
  </si>
  <si>
    <t>4 Chaise longue à reglage continu, durable chaise longue with black base
Size: 160x56,4x69 cm
frame: chrome
loose pad: hairyskin - black/brown/white
headroll /  footsleeve: extra leather - grafite
00413Z229/NEW13Y414</t>
  </si>
  <si>
    <t>004CC000</t>
  </si>
  <si>
    <t>CLGCA00007</t>
  </si>
  <si>
    <t>Chaise longue 4 with self supporting leather pad and leather headrest
Chrome frame and black base
1M MARRONE + 13Y419
Size: 160x69 cm</t>
  </si>
  <si>
    <t>Scarpa 925
armchair with black stained solid ashwood frame, upholstery in saddle leather
Bordeaux saddle leather
Dimension: 66x67x71 cm
Seat height: 36 cm</t>
  </si>
  <si>
    <t>CAB 412 chair - standard
Size: 52x49x82cm
cover: saddle leather - tabacco
color: 139C1H</t>
  </si>
  <si>
    <t>CAB 412 chair - standard
Size: 52x49x82cm
cover: plus saddle leather - BORDEAUX
color: 139C2K</t>
  </si>
  <si>
    <t>CAB 413 armchair - standard
Size: 62x52x82cm
cover: saddle leather - tabacco
color: 139C1H</t>
  </si>
  <si>
    <t>CAB 413 armchair - standard
Size: 62x52x82cm
cover: plus saddle leather - BORDEAUX
139C2K</t>
  </si>
  <si>
    <t>CAB TAB table
Size: 240x95x74 cm
structure: saddle leather - bordeaux plus
top: glossy marble - Levanto Red-ML9</t>
  </si>
  <si>
    <t>05361000</t>
  </si>
  <si>
    <t>CHRCA00039</t>
  </si>
  <si>
    <t>Capitol Complex Armchair
Small armchair with upholstered backrest and seat
Size: 69x61x74 cm, seat height: 37 cm
Structure-frame: Oak Stained Dark Walnut
Cover: Osaka Carta da Zucchero 13O042</t>
  </si>
  <si>
    <t>05321000</t>
  </si>
  <si>
    <t>CHRCA00036</t>
  </si>
  <si>
    <t>Capitol Complex Armchair
Small armchair with upholstered backrest and seat
Size: 69x61x74 cm, seat height: 37 cm
Structure-frame: Oak stained black
Cover: Fabric L, Roccia - Ortigia 13L650</t>
  </si>
  <si>
    <t>LC12 - Table La Roche
Dimension: 160 X 120 Cm
Structure-Frame: Chrome-Plated
Top: Clear Glass</t>
  </si>
  <si>
    <t>CHRCA00040</t>
  </si>
  <si>
    <t>7 Fauteuil Tournant, durable
swivel chair with 4 legs
Chrome Frame
Dimension: 60x58x73 cm
Leather SCOZIA (X Grade) 
Coating color: 13X332 CASTAGNA</t>
  </si>
  <si>
    <t>CHRCA00041</t>
  </si>
  <si>
    <t>7 Fauteuil Tournant, durable
swivel chair with 4 legs
Chrome Frame
Dimension: 60x58x73 cm
Leather SCOZIA (X Grade) 
Coating color: 13X333 MOKA</t>
  </si>
  <si>
    <t>UTRECHT armchair with blanket stitching
Size: 64x85x70 cm
Stitching: Natural Thread
Cover: Fabric VINO - Ortigia 13L653</t>
  </si>
  <si>
    <t>CLGCA00009</t>
  </si>
  <si>
    <t>UTRECHT armchair with blanket stitching
Size: 64x85x70 cm
Stitching: Natural Thread
Cover: Fabric 13L664- Ortigia Prusia</t>
  </si>
  <si>
    <t>149DV290</t>
  </si>
  <si>
    <t>TBLCA00022</t>
  </si>
  <si>
    <t>Treflo oval table, 
glossy lacquered base and back-lacquered fluted glass top
double base
Size: 295x124xH74 cm
Color: Pinot Noi</t>
  </si>
  <si>
    <t>8KRKF1211209</t>
  </si>
  <si>
    <t>CHRCA00042</t>
  </si>
  <si>
    <t>Scarpa 121 Chair
Frame: ashwood stained black 
Cover: Saddle leather
Color: KK Bordeaux
Size: 47x54x80 cm
Seat height:45 cm</t>
  </si>
  <si>
    <t>3521E000</t>
  </si>
  <si>
    <t>CHRCA00037</t>
  </si>
  <si>
    <t>Dalila outdoor chair
Size: 53x61x77 cm
Color: beige</t>
  </si>
  <si>
    <t>3521B000</t>
  </si>
  <si>
    <t>CHRCA00038</t>
  </si>
  <si>
    <t>Dalila outdoor chair
Size: 53x61x77 cm
Color: blue</t>
  </si>
  <si>
    <t>SORIANA 3-seater sofa
Size: 250x105x71 cm
Structure: chrome
cover: L fabric Cemento /13L012</t>
  </si>
  <si>
    <t>568A2420
568B2620</t>
  </si>
  <si>
    <t>SFACA00018</t>
  </si>
  <si>
    <t>Mon-Cloud sofa
Size: 3543x1569x818 mm
1 module x Intermediate or terminal element with pouf - can not be used individually width 205 cm - pouf on the left - 568A2420
1 module x Curved end unit - Can not be used individually width 210 cm - Right 568B2620
Color material: FOX - Mattone 13FF09
Base: Nero LO514</t>
  </si>
  <si>
    <t>17601000</t>
  </si>
  <si>
    <t>CHRCA00043</t>
  </si>
  <si>
    <t>Plintea
Upholstered small armchair
fixed base
Size: 59x53x75 cm
Zip color: Nero
Cover: Fabric, Category O, OSLO RAME 13O357</t>
  </si>
  <si>
    <t>L2921130
L2990010
L2981M30
L2980020
S2103000
MA313000
C0101000
D1302000
D13F8000
KA104000</t>
  </si>
  <si>
    <t>BEDCA00002</t>
  </si>
  <si>
    <t>Volage EX-S Night
for mattress size 180 x 200 cm
1x L2921130: bed with quilted headboard, equipped for bar for accessories
Metal base: polished chrome
Electrical outlet type: E for USB (USB-A)
Cover: fabric L, Linus AVORIO 13L282
1x L2990010 : equipped bar, kit 2 lamps with lampshade in pleated canvas color, kit 2 adjustable spotlights
1x L2981M30: kit of 2 side shelves-bedside table, marble category 3 - Calacatta oro Lucido 139ML5
1x L2980020: kit of 2 side shelves-bedside table with drawer, american walnut
2xS2103000: Slatted Base
1xMA313000: Mattress
1xEM113000: Quilt Piuma top
4xC0101000: Pillow 50x80 cm
1xD1302000: Summer bed set
2xD13F8000: Set 2 pillowcases
1xKA104000: Throw grey</t>
  </si>
  <si>
    <t>KA201006</t>
  </si>
  <si>
    <t>SFERICO 1 glass tableware
 Size: Ø 7, h 14,4 cm
clear mouth blown glass
Set of 6 glass</t>
  </si>
  <si>
    <t>KA202006</t>
  </si>
  <si>
    <t>SFERICO 2 glass tableware
Size: Ø 7, h 14,4 cm
clear mouth blown glass
Set of 6 glass</t>
  </si>
  <si>
    <t>KA206006</t>
  </si>
  <si>
    <t>SFERICO 6 glass tableware
Size: Ø 75, h 10,5 cm
clear mouth blown glass
Set of 6 glass</t>
  </si>
  <si>
    <t>KA910004</t>
  </si>
  <si>
    <t>ACCCA00094</t>
  </si>
  <si>
    <t>Glass Carafe
N.1 Masterbox containing 4 sets of 1 carafe + 1 glass in extra-clear blown glass (201873)
4 sets of 1 carafe + 1 glass</t>
  </si>
  <si>
    <t>KA920004</t>
  </si>
  <si>
    <t>ACCCA00095</t>
  </si>
  <si>
    <t>Glass Carafe
N.1 Masterbox containing 4 sets of 4 glasses in extra-clear blown glass (201876)
4 sets of 4 glasses</t>
  </si>
  <si>
    <t>KA101004</t>
  </si>
  <si>
    <t>ACCCA00096</t>
  </si>
  <si>
    <t>5-in-1
N.1 masterbox containing 4 sets of 5 glasses in extra-clear blown glass (202277)</t>
  </si>
  <si>
    <t>LC Porcellane - Service Prunier coffee service for two
Size: cup ø 10 cm, saucer ø 12.5 cm
porcelain</t>
  </si>
  <si>
    <t>LC Porcellane - Service Prunier set of two dessert plates
Size: Ø 20 cm
porcelain</t>
  </si>
  <si>
    <t>LC Porcellane - Service Prunier set of two soup plates
Size: Ø 21 cm
porcelain</t>
  </si>
  <si>
    <t>LC Porcellane - Service Prunier set of two flat plates
Size: Ø 27 cm
porcelain</t>
  </si>
  <si>
    <t>Le Due Facce della Luna - table cutlery set 24-piece set (6 cutlery for 4 place settings)
Size: 
stainless steel</t>
  </si>
  <si>
    <t>175N1000</t>
  </si>
  <si>
    <t>ACCCA00097</t>
  </si>
  <si>
    <t>Glyntea
centerpiece in polished stainless steel with 
Canaletto walnut
rectangular, 56x25 cm</t>
  </si>
  <si>
    <t>175N2000</t>
  </si>
  <si>
    <t>ACCCA00098</t>
  </si>
  <si>
    <t>Glyntea
centerpiece in polished stainless steel with 
Canaletto walnut
rectangular, 63x32 cm</t>
  </si>
  <si>
    <t>175N3000</t>
  </si>
  <si>
    <t>ACCCA00099</t>
  </si>
  <si>
    <t>Glyntea
centerpiece in polished stainless steel with 
Canaletto walnut
square, 44x44 cm</t>
  </si>
  <si>
    <t>175F1000</t>
  </si>
  <si>
    <t>ACCCA00100</t>
  </si>
  <si>
    <t>Glyntea
centerpiece in polished stainless steel with black stained ashwood details
rectangular, 56x25 cm</t>
  </si>
  <si>
    <t>175F2000</t>
  </si>
  <si>
    <t>ACCCA00101</t>
  </si>
  <si>
    <t>Glyntea
stainless steel with black stained ashwood details
rectangular, 63x32 cm</t>
  </si>
  <si>
    <t>175F3000</t>
  </si>
  <si>
    <t>ACCCA00102</t>
  </si>
  <si>
    <t>Glyntea
stainless steel with black stained ashwood details
square, 44x44 cm</t>
  </si>
  <si>
    <t>IMPRONTA cylindrical vase in hand-decorated glazed ceramic "Bocca"
Size: Ø 10, h 31 cm
red/white</t>
  </si>
  <si>
    <t>Sestiere
blown vase in colored Murano glass
Size: 27x27x26 cm
Pale blue and petroleum green cord with black rigadin</t>
  </si>
  <si>
    <t>SESTIERE blown vase in colored Murano glass
Size: 23x23x37 cm
topaz body and periwinkle cords</t>
  </si>
  <si>
    <t>08842000</t>
  </si>
  <si>
    <t>ACCCA00103</t>
  </si>
  <si>
    <t xml:space="preserve">JELLY
blown venetian glass pin tray
Size: Ø 40x16 cm
Color: amethyst </t>
  </si>
  <si>
    <t>08841000</t>
  </si>
  <si>
    <t>ACCCA00104</t>
  </si>
  <si>
    <t xml:space="preserve">JELLY
blown venetian glass pin tray
Size: Ø 40x16 cm
Color: smoked anthracite </t>
  </si>
  <si>
    <t>08831000</t>
  </si>
  <si>
    <t>ACCCA00105</t>
  </si>
  <si>
    <t>CORAL
blown venetian glass vase
Size: Ø 21x41 cm
Color: transparent amethyst</t>
  </si>
  <si>
    <t>08822000</t>
  </si>
  <si>
    <t>ACCCA00106</t>
  </si>
  <si>
    <t>CORAL
blown venetian glass vase
Size: Ø 15x34 cm
Color: transparent green</t>
  </si>
  <si>
    <t>KA303020</t>
  </si>
  <si>
    <t>ACCCA00107</t>
  </si>
  <si>
    <t>Clessidra
N.1 Masterbox containing 2 blown glass vases, h. 30 cm
Size: DI 13.6x30 cm
extra clear</t>
  </si>
  <si>
    <t>KA303021</t>
  </si>
  <si>
    <t>ACCCA00108</t>
  </si>
  <si>
    <t>Clessidra
N.1 Masterbox containing 2 blown glass vases, h. 30 cm
Size: DI 13.6x30 cm
green</t>
  </si>
  <si>
    <t>KA303022</t>
  </si>
  <si>
    <t>ACCCA00109</t>
  </si>
  <si>
    <t xml:space="preserve">Clessidra
N.1 Masterbox containing 2 blown glass vases, h. 30 cm
Size: DI 13.6x30 cm
layered green </t>
  </si>
  <si>
    <t>08801000</t>
  </si>
  <si>
    <t>ACCCA00110</t>
  </si>
  <si>
    <t>SILVAN
SILVAN, blown venetian glass vase
Size: Ø 24, h 25 cm
Color: shaded amethyst</t>
  </si>
  <si>
    <t>08802000</t>
  </si>
  <si>
    <t>ACCCA00111</t>
  </si>
  <si>
    <t xml:space="preserve">SILVAN
SILVAN, blown venetian glass vase
Size: Ø 24, h 25 cm
Color: shaded pink </t>
  </si>
  <si>
    <t>08811000</t>
  </si>
  <si>
    <t>ACCCA00112</t>
  </si>
  <si>
    <t>SILVAN
SILVAN, blown venetian glass vase
Size: Ø 37, h 38 cm
Color: shaded amethyst</t>
  </si>
  <si>
    <t>08812000</t>
  </si>
  <si>
    <t>ACCCA00113</t>
  </si>
  <si>
    <t xml:space="preserve">SILVAN
SILVAN, blown venetian glass vase
Size: Ø 37, h 38 cm
Color: shaded pink </t>
  </si>
  <si>
    <t>D1101000</t>
  </si>
  <si>
    <t>ACCCA00114</t>
  </si>
  <si>
    <t>Toncloud
plaid 60% wool - 40% cotton, 146x190 cm, colors:rosso e perla</t>
  </si>
  <si>
    <t>D1102000</t>
  </si>
  <si>
    <t>ACCCA00115</t>
  </si>
  <si>
    <t>Toncloud
plaid 60% wool - 40% cotton, 146x190 cm, bordeaux e ciano</t>
  </si>
  <si>
    <t>D1103000</t>
  </si>
  <si>
    <t>ACCCA00116</t>
  </si>
  <si>
    <t xml:space="preserve">Toncloud
plaid 60% wool - 40% cotton, 146x190 cm, AVORIO &amp; PRATO </t>
  </si>
  <si>
    <t>Mirror " No Risk No Story"
Size: 92x183 cm</t>
  </si>
  <si>
    <t>Mirror " You are art "
Size: 92x183 cm</t>
  </si>
  <si>
    <t>79850A00</t>
  </si>
  <si>
    <t>ACCCA00117</t>
  </si>
  <si>
    <t>Hooptical
backlit mirror with backlit glass decorations
SIZE: 50X50 CM
chromatic composition I
Transparent and light green decoration</t>
  </si>
  <si>
    <t>79850C00</t>
  </si>
  <si>
    <t>ACCCA00118</t>
  </si>
  <si>
    <t>Hooptical
backlit mirror with backlit glass decorations
SIZE: 50X50 CM
chromatic composition III
Purple and pink decoration</t>
  </si>
  <si>
    <t>79890BC0</t>
  </si>
  <si>
    <t>ACCCA00119</t>
  </si>
  <si>
    <t>Hooptical
backlit mirror with backlit glass decorations
chromatic composition II+III 
Size: 90 x 90 cm
Emerald and purple double decoration</t>
  </si>
  <si>
    <t>089 28</t>
  </si>
  <si>
    <t>LPLCA00003</t>
  </si>
  <si>
    <t>Starburst suspension Lamp
linear chandelier, black structure, lampshade in white marbled glass
Vetro marmorizzato bian
White marbled glass
Size: 120x60x50 cm</t>
  </si>
  <si>
    <t>127T1020</t>
  </si>
  <si>
    <t>LTLCA00006</t>
  </si>
  <si>
    <t>Fluxus-E-table lamp with borosilicate glass stems, aluminum base:
Base: Round- 
Champagne aluminium-mat gold anodized aluminium
Material: Glass
Size: D 33 x H 58 cm</t>
  </si>
  <si>
    <t>127T2020</t>
  </si>
  <si>
    <t>LTLCA00007</t>
  </si>
  <si>
    <t>Fluxus-E- table lamp with borosilicate glass stems, aluminum base:
Base: Oval- 
Champagne aluminium-mat gold anodized aluminium
Material: Glass
Size: 47x22 xH 58 cm</t>
  </si>
  <si>
    <t>073T1010</t>
  </si>
  <si>
    <t>LTLCA00008</t>
  </si>
  <si>
    <t>Fluid Joinery Light
table lamp in glass coated
Size: 37x34x35 cm
Color: Fumé</t>
  </si>
  <si>
    <t>073T1020</t>
  </si>
  <si>
    <t>LTLCA00009</t>
  </si>
  <si>
    <t>Fluid Joinery Light
table lamp in glass coated
Size: 37x34x35 cm
Color: Bronze</t>
  </si>
  <si>
    <t>Wax, Stone, Light - Floor V floor lamp, base in polished stainless steel
Size: 23x22x146 cm
body: bianco</t>
  </si>
  <si>
    <t>NNH-FH-2026-003-0806</t>
  </si>
  <si>
    <t>TBLFH00100</t>
  </si>
  <si>
    <t>PK61 coffee table
Tabletop: Granite Rolled, Grey White
Base Steel: Brushed Spring Steel - Matt</t>
  </si>
  <si>
    <t>CLGFH00081</t>
  </si>
  <si>
    <t>PK22 Lounge chair
Upholstery Haze, Dark Brown
Base Steel: Brushed Spring Steel - Matt</t>
  </si>
  <si>
    <t>NNH-LPS-2026-002-2502-DH-0005573</t>
  </si>
  <si>
    <t>DH-0005573</t>
  </si>
  <si>
    <t>LTLLP00018</t>
  </si>
  <si>
    <t>PH 3½-2½ Table Lamp
Color: High Lustre Chrome Plated
Shade: White opal glass.
Cord length: 2.5 m
Size: DI330 x H465 mm</t>
  </si>
  <si>
    <t>NNH-LPS-2026-003-1805-DH-0058602</t>
  </si>
  <si>
    <t>DH-0058602</t>
  </si>
  <si>
    <t>SPALP00019</t>
  </si>
  <si>
    <t>Panthella Floor Lamp diffuser (V2)</t>
  </si>
  <si>
    <t>NNH-LPS-2026-004-2605</t>
  </si>
  <si>
    <t>Campaign Drop 3</t>
  </si>
  <si>
    <t>LPLLP00063</t>
  </si>
  <si>
    <t>PH 5 320 PENDANT
Size: 320x320x175 mm
Color: OPAL BLUE GREY</t>
  </si>
  <si>
    <t>45% + 15%</t>
  </si>
  <si>
    <t>LPLLP00064</t>
  </si>
  <si>
    <t>PH 5 320 PENDANT
Size: 320x320x175 mm
Color: OPAL PALE ROSE</t>
  </si>
  <si>
    <t>LPLLP00065</t>
  </si>
  <si>
    <t>PH 5 320 PENDANT
Size: 320x320x175 mm
Color: OPAL WHITE</t>
  </si>
  <si>
    <t>LPLLP00066</t>
  </si>
  <si>
    <t>PH 5 320 PENDANT
Size: 320x320x175 mm
Color: OPAL BEIGE</t>
  </si>
  <si>
    <t>NNH-FLOS-2026-004-0206-DH-0058712</t>
  </si>
  <si>
    <t>NNH-FLOS-2026-003-0705</t>
  </si>
  <si>
    <t>CAMPAIGN</t>
  </si>
  <si>
    <t>F3814009</t>
  </si>
  <si>
    <t>LWLFL00026</t>
  </si>
  <si>
    <t>MAAP by Erwan Bouroullec
wall- Maap W1 
Material: Glass
Size: H1550mm, L1550mm, W220 mm
Material: back plate made of steel
Diffuser made of lightweight tear-proof fiber sheet material ( Tyvek)</t>
  </si>
  <si>
    <t>51%+10%</t>
  </si>
  <si>
    <t>F3817009</t>
  </si>
  <si>
    <t>LWLFL00027</t>
  </si>
  <si>
    <t>MAAP by Erwan Bouroullec
wall- Maap W2
Color: Glass
Size: H1550mm, L2400mm, W220 mm
Material: back plate made of steel
Diffuser made of lightweight tear-proof fiber sheet material ( Tyvek)</t>
  </si>
  <si>
    <t>F3820009</t>
  </si>
  <si>
    <t>LWLFL00028</t>
  </si>
  <si>
    <t>MAAP by Erwan Bouroullec
wall- Maap W3
Color: Glass
Size: H1550mm, L3200mm, W220 mm
Material: back plate made of steel,
Diffuser made of lightweight tear-proof fiber sheet material ( Tyvek)</t>
  </si>
  <si>
    <t>DH-0058712</t>
  </si>
  <si>
    <t>F2500000</t>
  </si>
  <si>
    <t>LPLFL00077</t>
  </si>
  <si>
    <t>Frisbi pendant
Achille Castiglioni, 1978
Color: Chrome
Size: ø 600x 730 mm</t>
  </si>
  <si>
    <t>51%</t>
  </si>
  <si>
    <t>D305F08CDEA21</t>
  </si>
  <si>
    <t>LFLFL00046</t>
  </si>
  <si>
    <t>Nocturne Floor by Konstantin Grcic
Nocturne Floor 2- Cone
Color: Silver
H2055mm, ∅370mm / ∅550mm
Materials
Structure in extruded aluminum
Blown borosilicate glass</t>
  </si>
  <si>
    <t>D305F08CDEAB1</t>
  </si>
  <si>
    <t>LFLFL00047</t>
  </si>
  <si>
    <t>Nocturne Floor by Konstantin Grcic
Nocturne Floor 2-Cone
Color: Back
H2055mm, ∅370mm / ∅550mm
Materials
Structure in extruded aluminum
Blown borosilicate glass</t>
  </si>
  <si>
    <t>D305W02CEEA21</t>
  </si>
  <si>
    <t>LWLFL00024</t>
  </si>
  <si>
    <t>Nocturne Wall by Kostantin Grcic
Nocturne Wall - Cone
Color: Silver
size: H250mm, ∅160m
Materials
Structure in extruded aluminum
Blown borosilicate glass</t>
  </si>
  <si>
    <t>D305W02CEEAB1</t>
  </si>
  <si>
    <t>LWLFL00025</t>
  </si>
  <si>
    <t>Nocturne Wall by Kostantin Grcic
Nocturne Wall - Cone
Color: Back
size: H250mm, ∅160m
Materials
Structure in extruded aluminum
Blown borosilicate glass</t>
  </si>
  <si>
    <t>NNH-FLOS-2026-005-1006</t>
  </si>
  <si>
    <t>F0303000</t>
  </si>
  <si>
    <t>ARCO LED
Floor lamp
Size: W2200/2150 x H2400 mm
Color: Steel</t>
  </si>
  <si>
    <t>F0267000</t>
  </si>
  <si>
    <t>LFLFL00017</t>
  </si>
  <si>
    <t>Noctambule Floor 3 High Cylinder Cone Big Base
Size: Ø550 x H1970 mm
Color: Black</t>
  </si>
  <si>
    <t>F0276000</t>
  </si>
  <si>
    <t>NOCTAMBULE SUSPENSION
3 Low Cylinders
Size: Ø250 x1390 mm
Cable:4m</t>
  </si>
  <si>
    <t>F0277000</t>
  </si>
  <si>
    <t>LPLFL00078</t>
  </si>
  <si>
    <t>NOCTAMBULE SUSPENSION
4 Low Cylinders
Size: Ø250 x1840 mm
Cable:4m</t>
  </si>
  <si>
    <t>F0278000</t>
  </si>
  <si>
    <t>LPLFL00079</t>
  </si>
  <si>
    <t>NOCTAMBULE SUSPENSION
5 Low Cylinders
Size: Ø250 x2290 mm
Cable:4m</t>
  </si>
  <si>
    <t>LUCE CILINDRICA S1
Size: Ø100x1656mm
Material: glass, aluminum, steel, polycarbonate</t>
  </si>
  <si>
    <t>LUCE CILINDRICA S2
Size: Ø100x2070 mm
Material: glass, aluminum, steel, polycarbonate</t>
  </si>
  <si>
    <t>LUCE ORIZZONTALE S1
Size: Ø103x1656 mm
Material: glass, aluminum, steel, polycarbonate</t>
  </si>
  <si>
    <t>F3744000</t>
  </si>
  <si>
    <t>LPLFL00080</t>
  </si>
  <si>
    <t>LUCE ORIZZONTALE S2
Size: Ø103x2072 mm
Material: glass, aluminum, steel, polycarbonate</t>
  </si>
  <si>
    <t>LUCE SFERICA S2
Size: Ø200x2070 mm
Material: glass, aluminum, steel, polycarbonate</t>
  </si>
  <si>
    <t>VISCONTEA
Size: Ø680mm, H490mm
Material: cocoon, steel</t>
  </si>
  <si>
    <t>TACCIA SMALL
Achille and Pier Giacomo Castiglioni, 1962 
Size:  ∅373 x 485 mm
Materials:  glass, aluminum
Color: Silver</t>
  </si>
  <si>
    <t>TACCIA SMALL
Achille and Pier Giacomo Castiglioni, 1962 
Size:  ∅373 x 485 mm
Materials:  glass, aluminum
Color: Black</t>
  </si>
  <si>
    <t>NNH-FLOS-2026-006-0407-DH-0058765</t>
  </si>
  <si>
    <t>DH-0058765</t>
  </si>
  <si>
    <t>FA533232</t>
  </si>
  <si>
    <t>PLATTER 210
Color: Anthracite/Pale Blue
CCT (K): 3000K
Power: 11W
Size: 210x210x69mm
Non Dimmable
Integrated power supply 220-240V ON/OFF</t>
  </si>
  <si>
    <t>NNH-FA-2026-002-2606</t>
  </si>
  <si>
    <t>DH-0058870</t>
  </si>
  <si>
    <t>R185300V01BI00</t>
  </si>
  <si>
    <t>SPAFA00025</t>
  </si>
  <si>
    <t>Top diffuser of Fontana Small table lamp
Size Ø20x19.5 cm
Material: Glass,
Color: White</t>
  </si>
  <si>
    <t>DH-0058002</t>
  </si>
  <si>
    <t>F185300100BINE</t>
  </si>
  <si>
    <t>LTLFA00015</t>
  </si>
  <si>
    <t>Fontana Small table lamp
Size Ø20x34 cm
White color
Material: Glass
Bulb not included.</t>
  </si>
  <si>
    <t>NNH-EC-2026-007-0906-DH-0005693</t>
  </si>
  <si>
    <t>DH-0005693</t>
  </si>
  <si>
    <t>LSLEC00055</t>
  </si>
  <si>
    <t>Dim Dali DT6, 8W, 2500K, 15D, 40*L600 mm, Black color, 4m wire</t>
  </si>
  <si>
    <t>NNH-EC-2026-008-1206-DH-0005309</t>
  </si>
  <si>
    <t>DH-0005309</t>
  </si>
  <si>
    <t>LTREC00009</t>
  </si>
  <si>
    <t>Body of Track Light, size 48*L105mm, Aluminum, Black color</t>
  </si>
  <si>
    <t>SPAEC00026</t>
  </si>
  <si>
    <t>Track for Dim triac Tracklight - 2m, black</t>
  </si>
  <si>
    <t xml:space="preserve">	
SPAEC00027</t>
  </si>
  <si>
    <t>Track for Dim triac Tracklight - 1.5m, black</t>
  </si>
  <si>
    <t>SPAEC00028</t>
  </si>
  <si>
    <t>Track for Dim triac Tracklight - 1m, black</t>
  </si>
  <si>
    <t>SPAEC00029</t>
  </si>
  <si>
    <t>Straight connector, black</t>
  </si>
  <si>
    <t>NNH-EC-2026-009-2306-DH-0005633</t>
  </si>
  <si>
    <t>DH-0005633</t>
  </si>
  <si>
    <t>LTECH Driver LM-36-24-G1T2</t>
  </si>
  <si>
    <t>NNH-KN-2026-001-1206</t>
  </si>
  <si>
    <t>Saarinen high Oval dinning Table
244 White base, Arabescato marble
W244xH73xD137</t>
  </si>
  <si>
    <t>Saarinen high Oval dinning Table
198 White base, Arabescato marble
W198xH73xD121</t>
  </si>
  <si>
    <t>165TR MA 2</t>
  </si>
  <si>
    <t>TBLKN00014</t>
  </si>
  <si>
    <t>Saarinen high Round dinning Table
Round table, 72/73x152, white base
Marble top - Arabescato</t>
  </si>
  <si>
    <t>657C1C2KW/VPBLK</t>
  </si>
  <si>
    <t>Ghế Pollock armchair, Knoll, model 657C1C2KW/VPBLK, kích thước 70.5x64x66 cm, chiều cao ghế ngồi 41cm, chân đen, màu Nature cowhide, đệm màu VP black</t>
  </si>
  <si>
    <t>Wassily lounge chair with chrome structure (iconic)
Upholstery: Green bauhaus
Seat height: 42cm
H73xW79xD69
Arm height: 58.5cm</t>
  </si>
  <si>
    <t>Wassily lounge chair with chrome structure (iconic)
Upholstery: cowhide natural CP2 (light brown)
Seat height: 42cm
H73xW79xD69
Arm height: 58.5cm</t>
  </si>
  <si>
    <t xml:space="preserve">50 L HH </t>
  </si>
  <si>
    <t>CLGKN00008</t>
  </si>
  <si>
    <t>Wassily lounge chair with chrome structure (iconic)
Upholstery:  Spinneybeck Haired Hide
Seat height: 42cm
H73xW79xD69
Arm height: 58.5cm</t>
  </si>
  <si>
    <t>250LCR120E</t>
  </si>
  <si>
    <t>CLGKN00009</t>
  </si>
  <si>
    <t>Barcelona Chair Relax
Chrome structure
Size: 75x77x77 cm
Color: Fabric Eva 120EVA Wine &amp; belting leather 1905 Red</t>
  </si>
  <si>
    <t>D6022SS G2</t>
  </si>
  <si>
    <t>TBLKN00015</t>
  </si>
  <si>
    <t>D'Urso Coffee Table 
Side: Small
Size: 56x56x37 cm
stainless steel structure
Top: clear glass</t>
  </si>
  <si>
    <t>D6048SS GCW</t>
  </si>
  <si>
    <t>TBLKN00016</t>
  </si>
  <si>
    <t>D'Urso Coffee Table 
Side: Large
stainless steel structure
Size: 122x122x37 cm
Top: wired glass</t>
  </si>
  <si>
    <t>THÔNG TIN CHUNG</t>
  </si>
  <si>
    <t>BẢO HIỂM</t>
  </si>
  <si>
    <t>THUẾ</t>
  </si>
  <si>
    <t>VẬN CHUYỂN</t>
  </si>
  <si>
    <t>KHAI HẢI QUAN VÀ CÁC PHI PHÍ LIÊN QUAN</t>
  </si>
  <si>
    <t>Hãng</t>
  </si>
  <si>
    <t>Số Bill</t>
  </si>
  <si>
    <t>SC</t>
  </si>
  <si>
    <t>Invoice</t>
  </si>
  <si>
    <t>Bảo hiểm (chưa VAT)
=Total/1.1 (10%)</t>
  </si>
  <si>
    <t>Thanh toán</t>
  </si>
  <si>
    <t>Thuế NK</t>
  </si>
  <si>
    <t>Thuế VAT</t>
  </si>
  <si>
    <t>EXW+OF</t>
  </si>
  <si>
    <t>Local charge (include VAT)</t>
  </si>
  <si>
    <t>Lưu kho (include VAT)</t>
  </si>
  <si>
    <t>Trucking nội địa (include VAT)</t>
  </si>
  <si>
    <t>Phí Dịch vụ khai Hải quan (+VAT)</t>
  </si>
  <si>
    <t>Lệ phí hải quan</t>
  </si>
  <si>
    <t>Phí sử dụng cơ sở hạ tầng (SEA)</t>
  </si>
  <si>
    <t>Phí dịch vụ chi ngoài (+VAT)</t>
  </si>
  <si>
    <t>Phí dịch vụ bốc dỡ (AIR) (+VAT)</t>
  </si>
  <si>
    <t>Chuyển bãi nội bộ (SEA) (+VAT)</t>
  </si>
  <si>
    <t>Phí rút đóng kiểm hóa (SEA) (+VAT)</t>
  </si>
  <si>
    <t>Phí nâng cont</t>
  </si>
  <si>
    <t>Phí hạ rỗng</t>
  </si>
  <si>
    <t>THỬ NGHIỆM</t>
  </si>
  <si>
    <t>Thông báo nhập kho</t>
  </si>
  <si>
    <t>Cost 6</t>
  </si>
  <si>
    <t>HĐ</t>
  </si>
  <si>
    <t>Số tiền</t>
  </si>
  <si>
    <t>250401582/0111</t>
  </si>
  <si>
    <t>4963</t>
  </si>
  <si>
    <t>Đã TT</t>
  </si>
  <si>
    <t>17199</t>
  </si>
  <si>
    <t>18465</t>
  </si>
  <si>
    <t>1853</t>
  </si>
  <si>
    <t>1350202</t>
  </si>
  <si>
    <t>Rồi</t>
  </si>
  <si>
    <t>Vitra</t>
  </si>
  <si>
    <t>FRA-00011902</t>
  </si>
  <si>
    <t>18908</t>
  </si>
  <si>
    <t>19546</t>
  </si>
  <si>
    <t>234093 bach viet+'231456 dynamic (lưu kho +phục vụ hàng nhập)</t>
  </si>
  <si>
    <t>1995</t>
  </si>
  <si>
    <t>NNH-VT-03-231224-DH-0002612; SC-VT-2025-180125-STOCK</t>
  </si>
  <si>
    <t>5991</t>
  </si>
  <si>
    <t>6496</t>
  </si>
  <si>
    <t>6497</t>
  </si>
  <si>
    <t>6846</t>
  </si>
  <si>
    <t>7186</t>
  </si>
  <si>
    <t>2130</t>
  </si>
  <si>
    <t>1515372</t>
  </si>
  <si>
    <t>3679</t>
  </si>
  <si>
    <t>1022138</t>
  </si>
  <si>
    <t>1025647 savino chi ho</t>
  </si>
  <si>
    <t>277585 savino chi hộ</t>
  </si>
  <si>
    <t>NNH-USM-2025-007-2406 (AIR)</t>
  </si>
  <si>
    <t>1767</t>
  </si>
  <si>
    <t>245701</t>
  </si>
  <si>
    <t>1785</t>
  </si>
  <si>
    <t>VIABIZZUNO 1st</t>
  </si>
  <si>
    <t>NNH-VB-2025-001-1503 (đợt 1)</t>
  </si>
  <si>
    <t>2773</t>
  </si>
  <si>
    <t>2774</t>
  </si>
  <si>
    <t>3216 30/08/2025</t>
  </si>
  <si>
    <t>2148</t>
  </si>
  <si>
    <t>229273</t>
  </si>
  <si>
    <t>6685</t>
  </si>
  <si>
    <t>21694 13/ 08/ 2025</t>
  </si>
  <si>
    <t>22430  20/ 08/ 2025</t>
  </si>
  <si>
    <t>6415</t>
  </si>
  <si>
    <t>14190 13/08/2025</t>
  </si>
  <si>
    <t>14189 13/08/2025</t>
  </si>
  <si>
    <t>14450 18/08/2025</t>
  </si>
  <si>
    <t>2181</t>
  </si>
  <si>
    <t>1630440</t>
  </si>
  <si>
    <t>NNH-KN-2025-003-2503-SR Date 25/03/2025; NNH-KN-2025-002-1103-DH-0002924 Date 11/03/2025</t>
  </si>
  <si>
    <t>6917</t>
  </si>
  <si>
    <t>3022 19/08/2025</t>
  </si>
  <si>
    <t>3023 19/08/2025</t>
  </si>
  <si>
    <t>3217 30/08/2025</t>
  </si>
  <si>
    <t>2362</t>
  </si>
  <si>
    <t xml:space="preserve">618-37227794 </t>
  </si>
  <si>
    <t>1977 25/08/2025</t>
  </si>
  <si>
    <t>281857</t>
  </si>
  <si>
    <t>2140 09/09/2025</t>
  </si>
  <si>
    <t>2411</t>
  </si>
  <si>
    <t>Santa&amp;Cole 2 &amp;BD</t>
  </si>
  <si>
    <t>CP</t>
  </si>
  <si>
    <t>-</t>
  </si>
  <si>
    <t>VIABIZZUNO 2rd</t>
  </si>
  <si>
    <t>3299 08/09/2025</t>
  </si>
  <si>
    <t>Flos mini button</t>
  </si>
  <si>
    <t>5623 08/09/2025</t>
  </si>
  <si>
    <t>263092 10/09/2025</t>
  </si>
  <si>
    <t>5728 10/09/2025</t>
  </si>
  <si>
    <t>Stoff</t>
  </si>
  <si>
    <t>8037</t>
  </si>
  <si>
    <t>6017 22/09/2025</t>
  </si>
  <si>
    <t>6171 29/09/2025</t>
  </si>
  <si>
    <t>8038</t>
  </si>
  <si>
    <t>6016 22/09/2025</t>
  </si>
  <si>
    <t>116945 25/09/2025</t>
  </si>
  <si>
    <t>6172 29/09/2025</t>
  </si>
  <si>
    <t>1931623</t>
  </si>
  <si>
    <t>không lấy HĐ</t>
  </si>
  <si>
    <t>3705 18/10/2025</t>
  </si>
  <si>
    <t>Nine United</t>
  </si>
  <si>
    <t>142502762202</t>
  </si>
  <si>
    <t>9041</t>
  </si>
  <si>
    <t>261408 22/09/2025</t>
  </si>
  <si>
    <t>269651 29/09/2025 &amp; 269074 26/09/2025</t>
  </si>
  <si>
    <t>6361 07/10/2025</t>
  </si>
  <si>
    <t>4854 &amp; 4831</t>
  </si>
  <si>
    <t>1300172 Long hoàng</t>
  </si>
  <si>
    <t>285158 long hoàng</t>
  </si>
  <si>
    <t>ECOLUX 6</t>
  </si>
  <si>
    <t>9760</t>
  </si>
  <si>
    <t xml:space="preserve">6274 02/10/2025 </t>
  </si>
  <si>
    <t>6697 20/10/2025</t>
  </si>
  <si>
    <t>2723</t>
  </si>
  <si>
    <t>ECOLUX 7-9</t>
  </si>
  <si>
    <t>NNH-EC-2025-007-0208-DH-0003828
NNH-EC-2025-009-0708-DH-0003753</t>
  </si>
  <si>
    <t>9378</t>
  </si>
  <si>
    <t xml:space="preserve">6323 03/10/2025 </t>
  </si>
  <si>
    <t>ECOLUX routine</t>
  </si>
  <si>
    <t>Long hoàng</t>
  </si>
  <si>
    <t>7052 03/11/2025 đã cấn trừ 1USD cho lô sau</t>
  </si>
  <si>
    <t>Frizt hansen 002</t>
  </si>
  <si>
    <t>251084200</t>
  </si>
  <si>
    <t>9168</t>
  </si>
  <si>
    <t>2652 31/10/2025</t>
  </si>
  <si>
    <t>2850 25/11/2025</t>
  </si>
  <si>
    <t>239277 poco đã chi hộ</t>
  </si>
  <si>
    <t>403793 poco đã chi hộ</t>
  </si>
  <si>
    <t>Flos SPRING CP</t>
  </si>
  <si>
    <t>8912</t>
  </si>
  <si>
    <t>DB</t>
  </si>
  <si>
    <t>4068 29/10/2025</t>
  </si>
  <si>
    <t>4069 29/10/2025</t>
  </si>
  <si>
    <t>Cassina/1</t>
  </si>
  <si>
    <t>001-002-003(1)-004(1)</t>
  </si>
  <si>
    <t>8913</t>
  </si>
  <si>
    <t>4066 29/10/2025</t>
  </si>
  <si>
    <t>4067 29/10/2025 +90K</t>
  </si>
  <si>
    <t>00311168</t>
  </si>
  <si>
    <t>1476121 D.B</t>
  </si>
  <si>
    <t>329438 D.B</t>
  </si>
  <si>
    <t>USM Fedex</t>
  </si>
  <si>
    <t>40294 24/11/2025</t>
  </si>
  <si>
    <t>ECOLUX thủ thiêm</t>
  </si>
  <si>
    <t>2742 11/11/2025</t>
  </si>
  <si>
    <t>2851 25/11/2025</t>
  </si>
  <si>
    <t>3145 600k chi ngoài hải quan</t>
  </si>
  <si>
    <t>USM-008</t>
  </si>
  <si>
    <t>9776</t>
  </si>
  <si>
    <t>7374 25/11/2025</t>
  </si>
  <si>
    <t>7373 25/11/2025</t>
  </si>
  <si>
    <t>8281 02/12/2025</t>
  </si>
  <si>
    <t>Fritz hansen 006</t>
  </si>
  <si>
    <t>072505392</t>
  </si>
  <si>
    <t>10371</t>
  </si>
  <si>
    <t xml:space="preserve">TCI </t>
  </si>
  <si>
    <t>11452 03/12/2025</t>
  </si>
  <si>
    <t>11451 03/12/2025</t>
  </si>
  <si>
    <t>11769 16/12/2025</t>
  </si>
  <si>
    <t>269526 TCI đã chi hộ</t>
  </si>
  <si>
    <t>271148 TCI đã chi hộ</t>
  </si>
  <si>
    <t>Ecolux Akyn</t>
  </si>
  <si>
    <t>7871 08/12/2025 đã cấn trừ 1USD cho lô sau</t>
  </si>
  <si>
    <t>Cassina/2</t>
  </si>
  <si>
    <t>003(2)-004(2)</t>
  </si>
  <si>
    <t>10680</t>
  </si>
  <si>
    <t>3111 ngày 15/12/2025</t>
  </si>
  <si>
    <t>3221 25/12/2025</t>
  </si>
  <si>
    <t>377148</t>
  </si>
  <si>
    <t>1689041</t>
  </si>
  <si>
    <t>1596</t>
  </si>
  <si>
    <t>207216 ngày 16/12/2025</t>
  </si>
  <si>
    <t>207215 ngày 16/12/2025</t>
  </si>
  <si>
    <t>382088 18/12/2025</t>
  </si>
  <si>
    <t>10063 25/12/2025</t>
  </si>
  <si>
    <t>Vitra Akyn</t>
  </si>
  <si>
    <t>10882</t>
  </si>
  <si>
    <t>11883 ngày 15/12/2025</t>
  </si>
  <si>
    <t>12108 19/12/2025</t>
  </si>
  <si>
    <t>NNH-USM-2025-015-0610
NNH-USM-2025-016-1011</t>
  </si>
  <si>
    <t>12111 26/12/2025</t>
  </si>
  <si>
    <t>Flos Euroluce</t>
  </si>
  <si>
    <t>NNH-FLOS-2025-003-2504-SPRING CP
NNH-FLOS-2025-010-2909
NNH-FLOS-2025-011-0910
NNH-FLOS-2025-012-1110-DH-0004264</t>
  </si>
  <si>
    <t>1022</t>
  </si>
  <si>
    <t>23 ngày 05/01/2026</t>
  </si>
  <si>
    <t>137 15/01/2026</t>
  </si>
  <si>
    <t>1733</t>
  </si>
  <si>
    <t>267 ngày 15/01/2026</t>
  </si>
  <si>
    <t>266 15/01/2026</t>
  </si>
  <si>
    <t>7241 19/01/2026</t>
  </si>
  <si>
    <t>501 23/01/2026</t>
  </si>
  <si>
    <t>Cassina</t>
  </si>
  <si>
    <t>NNH-CS-2025-0512-005</t>
  </si>
  <si>
    <t>1432</t>
  </si>
  <si>
    <t>364 ngày 02/02/2026</t>
  </si>
  <si>
    <t xml:space="preserve"> '428 ngày 09/02/2026</t>
  </si>
  <si>
    <t>428 ngày 09/02/2026</t>
  </si>
  <si>
    <t>747 ngày 03/02/2026</t>
  </si>
  <si>
    <t>879 ngày 09/02/2026</t>
  </si>
  <si>
    <t>16650 05/02/2026</t>
  </si>
  <si>
    <t>Santa cole</t>
  </si>
  <si>
    <t>NNH-S&amp;C-2025-002-3112</t>
  </si>
  <si>
    <t>2851</t>
  </si>
  <si>
    <t>1327 ngày 16/03/2026</t>
  </si>
  <si>
    <t>1494 ngày 25/03/2026</t>
  </si>
  <si>
    <t>73200 ngày 19/03/2026</t>
  </si>
  <si>
    <t>1495 ngày 25/03/2026</t>
  </si>
  <si>
    <t>không lấy hóa đơn</t>
  </si>
  <si>
    <t>CNL/000159409</t>
  </si>
  <si>
    <t>NNH-FLOS-2026-001-0201-DH-0005239
NNH-FLOS-2026-002-1002-DH-0005565</t>
  </si>
  <si>
    <t>2886</t>
  </si>
  <si>
    <t>2191 ngày 19/03/2026</t>
  </si>
  <si>
    <t>2526 ngày 30/03/2026</t>
  </si>
  <si>
    <t>88102 23/03/2026</t>
  </si>
  <si>
    <t>2527 ngày 30/03/2026</t>
  </si>
  <si>
    <t>Martineli luce</t>
  </si>
  <si>
    <t>NNH-ML-2025-001-1112</t>
  </si>
  <si>
    <t>22371 ngày 30/03/2026</t>
  </si>
  <si>
    <t>không HĐ</t>
  </si>
  <si>
    <t>7913938992</t>
  </si>
  <si>
    <t>DAP HDL</t>
  </si>
  <si>
    <t>738-05977296</t>
  </si>
  <si>
    <t>3398</t>
  </si>
  <si>
    <t>794 ngày 31/03/2026</t>
  </si>
  <si>
    <t>795 ngày 31/03/2026</t>
  </si>
  <si>
    <t>104145</t>
  </si>
  <si>
    <t>864 ngày 06/04/2026</t>
  </si>
  <si>
    <t>2840</t>
  </si>
  <si>
    <t>10897 ngày 07/05/2026</t>
  </si>
  <si>
    <t>10896 ngày 07/05/2026</t>
  </si>
  <si>
    <t>12642 ngày 27/05/2026</t>
  </si>
  <si>
    <t>Nine United Akyn</t>
  </si>
  <si>
    <t>4634</t>
  </si>
  <si>
    <t>1997 ngày 05/05/2026</t>
  </si>
  <si>
    <t>1996 ngày 05/05/2026</t>
  </si>
  <si>
    <t>57398</t>
  </si>
  <si>
    <t>1742836933</t>
  </si>
  <si>
    <t>86156 ngày 20/05/2026</t>
  </si>
  <si>
    <t>26-E-11-03-5047-90A</t>
  </si>
  <si>
    <t>3568</t>
  </si>
  <si>
    <t>1277 ngày 20/05/2026</t>
  </si>
  <si>
    <t>1357 ngày 28/05/2026</t>
  </si>
  <si>
    <t>NNH-CS-2025-003-2805-SR
NNH-CS-2025-004-0407-STOCK
&amp; Appendix NNH-CS-2025-004-0407-STOCK
NNH-CS-2025-006-0512-DH-0005097</t>
  </si>
  <si>
    <t>4038</t>
  </si>
  <si>
    <t>2452 ngày 02/06/2026</t>
  </si>
  <si>
    <t>2453 ngày 02/06/2026</t>
  </si>
  <si>
    <t>69456</t>
  </si>
  <si>
    <t>2652 ngày 16/06/2026</t>
  </si>
  <si>
    <t>61 6018 0876</t>
  </si>
  <si>
    <t>102092 ngày 10/06/2026</t>
  </si>
  <si>
    <t>28703</t>
  </si>
  <si>
    <t>NNH-EC-2026-005-1804-DH-0005693
NNH-EC-2026-006-2504-DH-0005761</t>
  </si>
  <si>
    <t>Tiểu ngạch</t>
  </si>
  <si>
    <t>NNH-USM-2026-001-1201; NNH-USM-2026-002-0503</t>
  </si>
  <si>
    <t>7051</t>
  </si>
  <si>
    <t>2771 ngày 23/06/2026</t>
  </si>
  <si>
    <t>2770 ngày 23/06/2026</t>
  </si>
  <si>
    <t>203745 ngày 26/06/2026</t>
  </si>
  <si>
    <t>2938 ngày 30/06/2026</t>
  </si>
  <si>
    <t>B&amp;B Hồ Chí Minh 1st</t>
  </si>
  <si>
    <t>NNH-B&amp;B-2026-001-0302 &amp; NNH-B&amp;B-2026-002-1102</t>
  </si>
  <si>
    <t>5415</t>
  </si>
  <si>
    <t>1610 ngày 22/06/2026</t>
  </si>
  <si>
    <t>1611 ngày 22/06/2026</t>
  </si>
  <si>
    <t>chung với HĐ trucking</t>
  </si>
  <si>
    <t>1716 ngày 30/06/2026</t>
  </si>
  <si>
    <t>873722 ngày 27/06/2026</t>
  </si>
  <si>
    <t>142835 ngày 29/06/2026</t>
  </si>
  <si>
    <t>B&amp;B Ha Noi 1st</t>
  </si>
  <si>
    <t>628/2026/01</t>
  </si>
  <si>
    <t>NNH-B&amp;B-2026-003-01</t>
  </si>
  <si>
    <t>Lô 122</t>
  </si>
  <si>
    <t>5414 ngày 15/05/2026</t>
  </si>
  <si>
    <t>ECOLUX STOCK</t>
  </si>
  <si>
    <t>Lô 123</t>
  </si>
  <si>
    <t>Lô 124</t>
  </si>
  <si>
    <t>Lô 125</t>
  </si>
  <si>
    <t>7020 ngày 17/06/2026</t>
  </si>
  <si>
    <t>B&amp;B HCM 2RD</t>
  </si>
  <si>
    <t>HBL-202600502</t>
  </si>
  <si>
    <t>NNH-B&amp;B-2026-001-0302
NNH-B&amp;B-2026-002-1102
&amp; Appendix AP-NNH-B&amp;B-2026-001-2503</t>
  </si>
  <si>
    <t>NNH-B&amp;B-2026-001.002-02</t>
  </si>
  <si>
    <t>Lô 126</t>
  </si>
  <si>
    <t>7279 ngày 23/06/2026</t>
  </si>
  <si>
    <t>B&amp;B HN 2RD</t>
  </si>
  <si>
    <t>866/2026/01</t>
  </si>
  <si>
    <t>NNH-B&amp;B-2026-003-2402
NNH-B&amp;B-2026-005-2402</t>
  </si>
  <si>
    <t>NNH-B&amp;B-2026-003-005-02</t>
  </si>
  <si>
    <t>Lô 127</t>
  </si>
  <si>
    <t>7777 ngày 02/07/2026</t>
  </si>
  <si>
    <t>Gửi tt</t>
  </si>
  <si>
    <t>Lô 128</t>
  </si>
  <si>
    <t>B&amp;B HN 3RD</t>
  </si>
  <si>
    <t>Lô 129</t>
  </si>
  <si>
    <t>DEPOSIT</t>
  </si>
  <si>
    <t>CONTRACT NO.</t>
  </si>
  <si>
    <t>PO NO.</t>
  </si>
  <si>
    <t>Order confirmation No.</t>
  </si>
  <si>
    <t>TOTAL CONTRACT VALUE</t>
  </si>
  <si>
    <t>TOTAL CONTRACT VALUE FROM DETAIL LIST</t>
  </si>
  <si>
    <t>LOADING'</t>
  </si>
  <si>
    <t>Tình trạng</t>
  </si>
  <si>
    <t>SHIPPING TYPE (CBM-LCL/20/40)</t>
  </si>
  <si>
    <t>ATD</t>
  </si>
  <si>
    <t>ATA</t>
  </si>
  <si>
    <t>Ghi chú</t>
  </si>
  <si>
    <t>% DPS</t>
  </si>
  <si>
    <t>DEPOSIT VALUE</t>
  </si>
  <si>
    <t>DEPOSIT DATE</t>
  </si>
  <si>
    <t>TIỀN CỌC CÒN LẠI</t>
  </si>
  <si>
    <t>INVOICE</t>
  </si>
  <si>
    <t>NGÀY</t>
  </si>
  <si>
    <t>AMOUNT INVOICE</t>
  </si>
  <si>
    <t>AMOUNT INVOICE FROM LOADING LIST DETAILS</t>
  </si>
  <si>
    <t>SỐ TIỀN THANH TOÁN THỰC TẾ</t>
  </si>
  <si>
    <t>BALANCE</t>
  </si>
  <si>
    <t>Full loading</t>
  </si>
  <si>
    <t>CONT 40</t>
  </si>
  <si>
    <t>Bill: SDBJOS016565</t>
  </si>
  <si>
    <t>Đã nhập kho</t>
  </si>
  <si>
    <t>1st loading</t>
  </si>
  <si>
    <t>102088938, 102089021, 102089057</t>
  </si>
  <si>
    <t>2rd loading</t>
  </si>
  <si>
    <t>Bill: 01/25/300247</t>
  </si>
  <si>
    <t>NNH-USM-2025-007-1106-DH-0003293; NNH-USM-2025-008-0307-02; NNH-USM-2025-007-2406-DH-0003650</t>
  </si>
  <si>
    <t>E: 29.07.25</t>
  </si>
  <si>
    <t>E: 31.07.25</t>
  </si>
  <si>
    <r>
      <rPr>
        <sz val="8"/>
        <rFont val="Calibri"/>
        <family val="2"/>
      </rPr>
      <t xml:space="preserve">the cost differs EUR 4.28
Khi hàng về Tạo mã tủ mới cho CA để lấy mã đó xuất bán cho khách hàng + đổi hình 
</t>
    </r>
    <r>
      <rPr>
        <sz val="8"/>
        <color rgb="FFFF0000"/>
        <rFont val="Calibri"/>
        <family val="2"/>
      </rPr>
      <t>Chưa có chứng từ
ETD ZRH: 29.07.25
ETA SGN: 31.07.25
102089021</t>
    </r>
  </si>
  <si>
    <t>Chưa có</t>
  </si>
  <si>
    <t>TT đủ, thiếu 4.28 eur so với SO USM gửi, sẽ TT vào HĐ 008 sea</t>
  </si>
  <si>
    <r>
      <rPr>
        <sz val="9"/>
        <color rgb="FFFF0000"/>
        <rFont val="Aptos Narrow"/>
        <family val="2"/>
        <scheme val="minor"/>
      </rPr>
      <t>DH-0003650 (SO: 102088938) (1,040.41 eur)</t>
    </r>
    <r>
      <rPr>
        <sz val="9"/>
        <color theme="1"/>
        <rFont val="Aptos Narrow"/>
        <family val="2"/>
        <scheme val="minor"/>
      </rPr>
      <t xml:space="preserve">
DH-0003293 (SO: 102088814) (405.59 + 47.88 (102088866)  (bổ sung sau) = 453.47 eur
Total: 1,493.88 eur
</t>
    </r>
    <r>
      <rPr>
        <sz val="9"/>
        <color rgb="FFFF0000"/>
        <rFont val="Aptos Narrow"/>
        <family val="2"/>
        <scheme val="minor"/>
      </rPr>
      <t>1 shipment - air (-02) 2.036,32 eur (SO: 102089057)</t>
    </r>
  </si>
  <si>
    <t>Khi hàng về Tạo mã tủ mới cho CA để lấy mã đó xuất bán cho khách hàng</t>
  </si>
  <si>
    <t>macnel</t>
  </si>
  <si>
    <t>28/12/2025</t>
  </si>
  <si>
    <t>CP WORD</t>
  </si>
  <si>
    <t>E: 17/08</t>
  </si>
  <si>
    <t>Bill: 250402065/0413</t>
  </si>
  <si>
    <t>Còn 1 lô chưa về tới 25/07</t>
  </si>
  <si>
    <t>MINI BUTTON</t>
  </si>
  <si>
    <t>chưa</t>
  </si>
  <si>
    <t>15/08/2025
DA2FT252272JGB4</t>
  </si>
  <si>
    <t>Chưa</t>
  </si>
  <si>
    <t>SO2504153-2</t>
  </si>
  <si>
    <t>NNH-EC-2025-008-0208-SAMPLE</t>
  </si>
  <si>
    <t>RMB</t>
  </si>
  <si>
    <t>NNH-NU-2025-002-1807-DH-0003701
NNH-NU-2025-003-2207-DH-0003785
NNH-NU-2025-004-2507-DH-0003806
+ Stock</t>
  </si>
  <si>
    <t>E: 19/09/2025</t>
  </si>
  <si>
    <t>E: 22/09/2025</t>
  </si>
  <si>
    <t>PO-NNH-LPS-2025-001-1801-DROP1; NNH-LPS-2025-002-2702-PANTHELLA; NNH-LPS-2025-003-1905-DH-0003379</t>
  </si>
  <si>
    <t>E: 07/08/2025</t>
  </si>
  <si>
    <t>E: 30/09/2025</t>
  </si>
  <si>
    <t>07/09/2025
DA2FT25190K9PTN</t>
  </si>
  <si>
    <t>25/06/2025
NCTFT25176QMDT0</t>
  </si>
  <si>
    <t>Gửi chứng từ cho XNK</t>
  </si>
  <si>
    <t>1st</t>
  </si>
  <si>
    <r>
      <t xml:space="preserve">sửa hợp đồng, mã dòng số 2+3 bỏ bóng, lệch 68.2 sẽ làm phụ lục hợp đồng thay đổi giá dòng 2 và 3 lúc làm chứng từ theo đơn giá mới
</t>
    </r>
    <r>
      <rPr>
        <b/>
        <sz val="8"/>
        <color rgb="FFFF0000"/>
        <rFont val="Calibri"/>
        <family val="2"/>
      </rPr>
      <t xml:space="preserve">3 cái spring cm rớt,  F1040009 (2pcs), + F1040015 (1pcs), </t>
    </r>
  </si>
  <si>
    <t>09/07/2025
DA2FT25190YRXQW</t>
  </si>
  <si>
    <t>E: 30/10/2025</t>
  </si>
  <si>
    <t>Superellipse+ Series 7 Stock: OC 80166685
Series 7 Concert Chairs: OC 80166687
7:14 AM: OC 80166680
PK 24 Neck cushion: OC 80166684
Series 7 leather campaign: OC 80166727</t>
  </si>
  <si>
    <t>routine tầng trệt</t>
  </si>
  <si>
    <t>NNH-EC-2025-016-0511-DH TABLE</t>
  </si>
  <si>
    <t>PI NAN-024</t>
  </si>
  <si>
    <t>DH-0004380 hạn giao hàng 20/11/2025</t>
  </si>
  <si>
    <t>A: 29/09/2025</t>
  </si>
  <si>
    <t>ETA SIN: 12-NOV
E: 25/11/2025</t>
  </si>
  <si>
    <t>28/08/2025
DA2FT25240HDZQ5</t>
  </si>
  <si>
    <t>102089227; 102089228</t>
  </si>
  <si>
    <t>102089368; 102089369</t>
  </si>
  <si>
    <t>NNH-FH-2025-006-2608-SR</t>
  </si>
  <si>
    <t>OC 80178267
OC 80178268
OC 80178360</t>
  </si>
  <si>
    <t>ETA: 06/12/2025</t>
  </si>
  <si>
    <t>NNH-EC-2025-015-2510-DH-0003934-AKYN</t>
  </si>
  <si>
    <t>DH-0003934 hạn giao hàng 10/12/2025</t>
  </si>
  <si>
    <t>23324459</t>
  </si>
  <si>
    <t>E: 15/12/2025</t>
  </si>
  <si>
    <t>DH-0003679 hạn giao hàng 28/02/2026</t>
  </si>
  <si>
    <t>2nd loading</t>
  </si>
  <si>
    <t>A: 28/10</t>
  </si>
  <si>
    <t>E: 08/12</t>
  </si>
  <si>
    <t>Expeditors</t>
  </si>
  <si>
    <t>DH-0003762 hạn giao hàng 17/01/2026</t>
  </si>
  <si>
    <t>Marketing</t>
  </si>
  <si>
    <t>CPN</t>
  </si>
  <si>
    <t>3.479,40</t>
  </si>
  <si>
    <t>29,20</t>
  </si>
  <si>
    <t>Hàng F.O.C 4 pcs USM Haller, tube, 350mm, model 10736</t>
  </si>
  <si>
    <t>E: 20/11/2025</t>
  </si>
  <si>
    <t xml:space="preserve">Trừ 750 debit cho hợp đồng này
3 cái spring cm rớt,  F1040009 (2pcs), + F1040015 (1pcs), </t>
  </si>
  <si>
    <t>DH-0004260; DH-0004110 hạn giao hàng 10/01/2026</t>
  </si>
  <si>
    <t>DH-0004325 hạn giao hàng 30/01/2026</t>
  </si>
  <si>
    <t>hạn giao 30/01</t>
  </si>
  <si>
    <t>Martinelli luce s.p.a.</t>
  </si>
  <si>
    <t>A: 09/03/2026</t>
  </si>
  <si>
    <t>Hạn giao hàng 01/02/2026
Đã thanh toán, fedex</t>
  </si>
  <si>
    <t>Hạn giao hàng: 10/03/2026
Thanh toán rmb</t>
  </si>
  <si>
    <t>SCN-PV26-00406</t>
  </si>
  <si>
    <t>E: 14/03/2026</t>
  </si>
  <si>
    <t>E: 15/03/2026</t>
  </si>
  <si>
    <t>Hạn giao hàng: 15/04/2026
Đã thanh toán, check cước
ETD 14.3 ETA 15.3 ( Around 15:05 hrs)</t>
  </si>
  <si>
    <t>E: 17/03/2026</t>
  </si>
  <si>
    <t>Hạn giao hàng: 20/03/2026, đã thanh toán</t>
  </si>
  <si>
    <t>Hạn giao hàng: 31/03/2026, đã thanh toán</t>
  </si>
  <si>
    <t>PH 3/2 Academy ship đi riêng DAP by air</t>
  </si>
  <si>
    <t>VIABIZZUNO 
S.P.A</t>
  </si>
  <si>
    <t>Đã thanh toán, check cước</t>
  </si>
  <si>
    <t>KN-2025-004-3010-DH-0004200</t>
  </si>
  <si>
    <t>COI0005027</t>
  </si>
  <si>
    <t>A: 12/03/2026</t>
  </si>
  <si>
    <t>Hạn giao hàng: 06/2026
Đã thanh toán</t>
  </si>
  <si>
    <t>A: 28/03/2026</t>
  </si>
  <si>
    <t>hạn giao hàng: 15/06/2026
Đã thanh toán</t>
  </si>
  <si>
    <t>3rd loading</t>
  </si>
  <si>
    <t>A: 08/04/2026</t>
  </si>
  <si>
    <t>Hạn giao hàng: 09/06/2026
Đã thanh toán</t>
  </si>
  <si>
    <t xml:space="preserve">PI 65390 </t>
  </si>
  <si>
    <t>OC C7120</t>
  </si>
  <si>
    <t>Đợi sản xuất, 31/05/2026</t>
  </si>
  <si>
    <t>Hạn giao hàng: 10/08/2026
Đã deposit 30%</t>
  </si>
  <si>
    <t>PI 68742</t>
  </si>
  <si>
    <t>Hạn giao hàng: 17/11/2026
Deposit 30%: 07/05/2026</t>
  </si>
  <si>
    <t>OC 1009547</t>
  </si>
  <si>
    <t>Đợi sản xuất, 19/06/2026</t>
  </si>
  <si>
    <t>Hạn giao hàng: 20/08/2026
Chưa thanh toán</t>
  </si>
  <si>
    <t>Đợi sản xuất, CW 16/2026</t>
  </si>
  <si>
    <t>Hạn giao hàng: 06/09/2026</t>
  </si>
  <si>
    <t>NNH-VT-2026-002-2703-DH-0005756</t>
  </si>
  <si>
    <t>Hạn giao hàng: 27/07/2026</t>
  </si>
  <si>
    <t>Đợi sản xuất, dự kiến WK 17 / 04-22-2026</t>
  </si>
  <si>
    <t>Hạn giao hàng: 05/07/2026</t>
  </si>
  <si>
    <t>AKYN</t>
  </si>
  <si>
    <t>Hạn giao hàng: 01/07/2026</t>
  </si>
  <si>
    <t>Đợi sản xuất, dự kiến 21/05/2026</t>
  </si>
  <si>
    <t>Hạn giao hàng: 10/09/2026</t>
  </si>
  <si>
    <t>Đợi sản xuất, dự kiến WK 21 / 05-21-2026</t>
  </si>
  <si>
    <t>Hạn giao hàng: 05/11/2026</t>
  </si>
  <si>
    <t>Hạn giao hàng: 09/11/2026</t>
  </si>
  <si>
    <t>NNH-USM-2026-006-0104-DH-00052</t>
  </si>
  <si>
    <t>Hạn giao hàng:</t>
  </si>
  <si>
    <t>B&amp;B</t>
  </si>
  <si>
    <t>01st  Hồ Chí Minh</t>
  </si>
  <si>
    <t>01st  loading</t>
  </si>
  <si>
    <t>Đã deposit 17,064.68 EUR</t>
  </si>
  <si>
    <t>01st  Hà Nội</t>
  </si>
  <si>
    <t>02rd  Hồ Chí Minh</t>
  </si>
  <si>
    <t>Chờ sản xuất</t>
  </si>
  <si>
    <t>02rd  Hà Nội</t>
  </si>
  <si>
    <t>Đã deposit 30% (11,888.07 EUR)</t>
  </si>
  <si>
    <t>Đã deposit 103,927.8 EUR</t>
  </si>
  <si>
    <t>Đã deposit 30% (19,254.45 EUR)</t>
  </si>
  <si>
    <t>end</t>
  </si>
  <si>
    <t>STT</t>
  </si>
  <si>
    <t>Category</t>
  </si>
  <si>
    <t>Code</t>
  </si>
  <si>
    <t>Sub Category</t>
  </si>
  <si>
    <t>Loại sản phẩm</t>
  </si>
  <si>
    <t>Description</t>
  </si>
  <si>
    <t>1 Suplier - 1 brand</t>
  </si>
  <si>
    <t>1 Suplier - nhiều brand</t>
  </si>
  <si>
    <t>Nhiều Suplier - 1 brand</t>
  </si>
  <si>
    <t>Tên sản phẩm</t>
  </si>
  <si>
    <t>Mã SKU</t>
  </si>
  <si>
    <t>Sub category</t>
  </si>
  <si>
    <t>Mã tìm kiếm</t>
  </si>
  <si>
    <t>Notes</t>
  </si>
  <si>
    <t>A</t>
  </si>
  <si>
    <t>Ghế</t>
  </si>
  <si>
    <r>
      <t xml:space="preserve">- Tất cả các ghế ngồi bao gồm không tay vịn và có tay vịn (armchair), dining chair (ghế ăn), stool (ghế đẩu), bar stools (ghê bar), office chair (ghế văn phòng) và có chiều cao chỗ ngồi (Seat Height) </t>
    </r>
    <r>
      <rPr>
        <sz val="10"/>
        <color rgb="FFFF0000"/>
        <rFont val="Aptos Narrow"/>
        <family val="2"/>
        <scheme val="minor"/>
      </rPr>
      <t xml:space="preserve">thường phải cao từ 45cm trở lên  </t>
    </r>
    <r>
      <rPr>
        <sz val="10"/>
        <color theme="1"/>
        <rFont val="Aptos Narrow"/>
        <family val="2"/>
        <scheme val="minor"/>
      </rPr>
      <t>/ Thường được dùng cho bàn ăn, bếp, bàn làm việc,....
Riêng trường hợp ghế trẻ em, dù có độ cao thấp hơn 45 cm vẫn phân vào nhóm này</t>
    </r>
  </si>
  <si>
    <t>CHR</t>
  </si>
  <si>
    <t>Brand</t>
  </si>
  <si>
    <t>Supplier</t>
  </si>
  <si>
    <t>Supplier Code= brand code</t>
  </si>
  <si>
    <t>Brand Code</t>
  </si>
  <si>
    <t>Supplier Code</t>
  </si>
  <si>
    <t>B</t>
  </si>
  <si>
    <t>Ghế bành</t>
  </si>
  <si>
    <r>
      <t xml:space="preserve">Các loại ghế dạng Lounge/easy chair, ghế bành, ghế có thể ng ra, có cả tay vịn hoặc không có tay vịn, và phải có chiều cao chỗ ngồi </t>
    </r>
    <r>
      <rPr>
        <sz val="10"/>
        <color rgb="FFFF0000"/>
        <rFont val="Aptos Narrow"/>
        <family val="2"/>
        <scheme val="minor"/>
      </rPr>
      <t>(Seat Height) thường phải cao dưới 45cm</t>
    </r>
    <r>
      <rPr>
        <sz val="10"/>
        <color theme="1"/>
        <rFont val="Aptos Narrow"/>
        <family val="2"/>
        <scheme val="minor"/>
      </rPr>
      <t xml:space="preserve"> (Trừ ghế dành cho trẻ em) và có chỗ ngồi rộng hơn ghế thông thường. Thường được sử dụng cho phòng khách, phòng nghỉ ngơi,...</t>
    </r>
  </si>
  <si>
    <t>CLG</t>
  </si>
  <si>
    <t>nanoHome</t>
  </si>
  <si>
    <t>OT</t>
  </si>
  <si>
    <t>NH</t>
  </si>
  <si>
    <t>NINE UNITED TAK CO., LIMITED</t>
  </si>
  <si>
    <t>NU</t>
  </si>
  <si>
    <t>AT</t>
  </si>
  <si>
    <t>Nanoco Premium</t>
  </si>
  <si>
    <t>Amazi Lighting Tech Co.,Ltd</t>
  </si>
  <si>
    <t>AM</t>
  </si>
  <si>
    <t>NP</t>
  </si>
  <si>
    <t xml:space="preserve">Công thức: Categories_Sub-Categories_Brand_Supplier_Random No.
A_AAA_AA_AA_No. (6 ký tự)
</t>
  </si>
  <si>
    <t>C</t>
  </si>
  <si>
    <t>Bàn</t>
  </si>
  <si>
    <t>Các loại bàn, bao gồm bàn ăn, bàn cafe, bàn phụ (side table), bàn làm việc, bàn bar, ...</t>
  </si>
  <si>
    <t>TBL</t>
  </si>
  <si>
    <t>C. Nhung recommend</t>
  </si>
  <si>
    <t>FRITZ HANSENS A/S</t>
  </si>
  <si>
    <t>FH</t>
  </si>
  <si>
    <t>HA</t>
  </si>
  <si>
    <t>Zhongshan Ecolux Lighting Co.,Ltd</t>
  </si>
  <si>
    <t>EC</t>
  </si>
  <si>
    <t>Xe Đẩy AJ™ TROLLEY, L67x W59 x H54.7 cm, Mặt Gỗ Ash Đen, Khung Thép Stainless Steel</t>
  </si>
  <si>
    <t>Furniture</t>
  </si>
  <si>
    <t>A_TRL_FH_FH_000001</t>
  </si>
  <si>
    <t>D</t>
  </si>
  <si>
    <t>Các ghế Sofa, Đi-văng (Daybed), Bench (ghế băng), các ghế và dành cho 2 người trở lên.</t>
  </si>
  <si>
    <t>SFA</t>
  </si>
  <si>
    <t>FCH</t>
  </si>
  <si>
    <t>FLOS SPA</t>
  </si>
  <si>
    <t>FL</t>
  </si>
  <si>
    <t>Verpan</t>
  </si>
  <si>
    <t>VP</t>
  </si>
  <si>
    <t>OML</t>
  </si>
  <si>
    <t>OM</t>
  </si>
  <si>
    <t>Set Tô Thủy Tinh SPIN BOWL (2 pcs), Ø8.5 X H3.5 cm, Bằng Borosilicate Glass, Màu Hồng Light Pink Sọc Xanh</t>
  </si>
  <si>
    <t>ACCHA00185</t>
  </si>
  <si>
    <t>Accessories</t>
  </si>
  <si>
    <t>Dining</t>
  </si>
  <si>
    <t>D_ADN_HA_NU_000002</t>
  </si>
  <si>
    <t>E</t>
  </si>
  <si>
    <t>Giường</t>
  </si>
  <si>
    <t>BED</t>
  </si>
  <si>
    <t>FLC</t>
  </si>
  <si>
    <t>LP</t>
  </si>
  <si>
    <t>NANOCO</t>
  </si>
  <si>
    <t>CÔNG TY CỔ PHẦN THIẾT BỊ ĐIỆN PHƯỚC THẠNH</t>
  </si>
  <si>
    <t>PT</t>
  </si>
  <si>
    <t>Xe đẩy</t>
  </si>
  <si>
    <t>Các loại xe đẩy có bánh xe (trừ ghế có bánh xe)</t>
  </si>
  <si>
    <t>TRL</t>
  </si>
  <si>
    <t>FTA</t>
  </si>
  <si>
    <t>Muuto A/S</t>
  </si>
  <si>
    <t>MT</t>
  </si>
  <si>
    <t>PANASONIC</t>
  </si>
  <si>
    <t>Tủ kệ</t>
  </si>
  <si>
    <t>Các loại Tủ và kệ. Bao gồm cả để dưới đất và treo tường</t>
  </si>
  <si>
    <t>CAB</t>
  </si>
  <si>
    <t>FSO</t>
  </si>
  <si>
    <t>USM U. Schärer Söhne AG</t>
  </si>
  <si>
    <t>US</t>
  </si>
  <si>
    <t>Kingsdown</t>
  </si>
  <si>
    <t>CÔNG TY TNHH COMFORT BEDDING</t>
  </si>
  <si>
    <t>CB</t>
  </si>
  <si>
    <t>Ngoại thất</t>
  </si>
  <si>
    <t>Các ngoại thất ngoài trời như bàn, ghế, dù,...</t>
  </si>
  <si>
    <t>OUT</t>
  </si>
  <si>
    <t>FBE</t>
  </si>
  <si>
    <t>Fontana Arte</t>
  </si>
  <si>
    <t>FONTANA ARTE SPA</t>
  </si>
  <si>
    <t>FA</t>
  </si>
  <si>
    <t>Lady Americana</t>
  </si>
  <si>
    <t>Question:</t>
  </si>
  <si>
    <t>Bên nào là bên xây dựng mã? Nanoco hay nanoHome</t>
  </si>
  <si>
    <t>Khác</t>
  </si>
  <si>
    <t>Các sản phẩm nội thất khác chưa được phân loại</t>
  </si>
  <si>
    <t>FOT</t>
  </si>
  <si>
    <t>FTR</t>
  </si>
  <si>
    <t>BD Barcelona</t>
  </si>
  <si>
    <t>BD BARCELONA 1972, S.L</t>
  </si>
  <si>
    <t>BD</t>
  </si>
  <si>
    <t>Meanwell</t>
  </si>
  <si>
    <t>CÔNG TY TNHH KỸ THUẬT ĐIỆN HIỆP LỰC</t>
  </si>
  <si>
    <t>HL</t>
  </si>
  <si>
    <t>Nếu nanoco nhập =&gt; thì phai theo ma nanoco</t>
  </si>
  <si>
    <t>Volta</t>
  </si>
  <si>
    <t>CONTI STUDIO &amp; DESIGN, S.L</t>
  </si>
  <si>
    <t>VO</t>
  </si>
  <si>
    <t>NanoHome nhap nanoco Premium =&gt; Nanoco có ban dc ko? vì nanoco se nhap len SAP</t>
  </si>
  <si>
    <t>Đèn thả</t>
  </si>
  <si>
    <t>Đèn thả, đèn chùm, đèn gắn trần</t>
  </si>
  <si>
    <t>LPL</t>
  </si>
  <si>
    <t>FOU</t>
  </si>
  <si>
    <t>STOFF Nagel</t>
  </si>
  <si>
    <t>STOFF COPENHAGEN APS</t>
  </si>
  <si>
    <t>ST</t>
  </si>
  <si>
    <t>Đèn bàn</t>
  </si>
  <si>
    <t xml:space="preserve">Đèn bàn </t>
  </si>
  <si>
    <t>LTL</t>
  </si>
  <si>
    <t>FOF</t>
  </si>
  <si>
    <t>Vin Gallery</t>
  </si>
  <si>
    <t>CÔNG TY TNHH VINGALLERY</t>
  </si>
  <si>
    <t>VG</t>
  </si>
  <si>
    <t>CHI NHÁNH CÔNG TY CỔ PHẦN ZEGAL VIỆT NAM</t>
  </si>
  <si>
    <t>ZG</t>
  </si>
  <si>
    <t>Đèn sàn</t>
  </si>
  <si>
    <t>LFL</t>
  </si>
  <si>
    <t>Catherine Denoual Maison</t>
  </si>
  <si>
    <t>CÔNG TY TNHH CON ONG</t>
  </si>
  <si>
    <t>CD</t>
  </si>
  <si>
    <t>Zegal</t>
  </si>
  <si>
    <t>Đèn tường</t>
  </si>
  <si>
    <t>Đèn gắn tường</t>
  </si>
  <si>
    <t>LWL</t>
  </si>
  <si>
    <t>LPE</t>
  </si>
  <si>
    <t>FARO</t>
  </si>
  <si>
    <t>FARO BARCELONA</t>
  </si>
  <si>
    <t>FR</t>
  </si>
  <si>
    <t>Các sản phẩm decor lighting khác chưa được phân loại</t>
  </si>
  <si>
    <t>DOT</t>
  </si>
  <si>
    <t>LTA</t>
  </si>
  <si>
    <t>Terzani</t>
  </si>
  <si>
    <t>TERZANI S.R.L</t>
  </si>
  <si>
    <t>TE</t>
  </si>
  <si>
    <t>Linh Cầm</t>
  </si>
  <si>
    <t>CÔNG TY TNHH LINH CẦM</t>
  </si>
  <si>
    <t>LC</t>
  </si>
  <si>
    <t>LDL</t>
  </si>
  <si>
    <t>LWA</t>
  </si>
  <si>
    <t>Ichi Home</t>
  </si>
  <si>
    <t>CÔNG TY TNHH TOWEL MUSEUM</t>
  </si>
  <si>
    <t>IC</t>
  </si>
  <si>
    <t>LSL</t>
  </si>
  <si>
    <t>LOD</t>
  </si>
  <si>
    <t>Ginger Gallery</t>
  </si>
  <si>
    <t>GR</t>
  </si>
  <si>
    <t>LLN</t>
  </si>
  <si>
    <t>HOMA</t>
  </si>
  <si>
    <t>CÔNG TY CỔ PHẦN CÔNG NGHỆ HOMA</t>
  </si>
  <si>
    <t>HM</t>
  </si>
  <si>
    <t>LTR</t>
  </si>
  <si>
    <t>LDO</t>
  </si>
  <si>
    <t>Hafele</t>
  </si>
  <si>
    <t>CÔNG TY TNHH KHÁNH VY HOME VIỆT NAM</t>
  </si>
  <si>
    <t>HF</t>
  </si>
  <si>
    <t>Bollar, đèn kiến trúc, trang trí ngoài trời</t>
  </si>
  <si>
    <t>LAO</t>
  </si>
  <si>
    <t>LSP</t>
  </si>
  <si>
    <t>Kitz</t>
  </si>
  <si>
    <t>Công ty TNHH Callme</t>
  </si>
  <si>
    <t>KZ</t>
  </si>
  <si>
    <t>Nanoco Lighting</t>
  </si>
  <si>
    <t>Đèn Nanoco Lighting thuộc nhóm LT từ Nanoco</t>
  </si>
  <si>
    <t>NLT</t>
  </si>
  <si>
    <t>LLI</t>
  </si>
  <si>
    <t>Vitra International AG</t>
  </si>
  <si>
    <t>VT</t>
  </si>
  <si>
    <t>Các sản phẩm Architecture Lighting khác chưa được phân loại</t>
  </si>
  <si>
    <t>LOT</t>
  </si>
  <si>
    <t>Martinelli Luce</t>
  </si>
  <si>
    <t>ML</t>
  </si>
  <si>
    <t>LOU</t>
  </si>
  <si>
    <t>Knoll International S.P.A</t>
  </si>
  <si>
    <t>KN</t>
  </si>
  <si>
    <t>Bình hoa</t>
  </si>
  <si>
    <t>Các dạng bình hoa, lọ hoa</t>
  </si>
  <si>
    <t>AVS</t>
  </si>
  <si>
    <t>LNA</t>
  </si>
  <si>
    <t>Herman Miller</t>
  </si>
  <si>
    <t>MillerKnoll (check)</t>
  </si>
  <si>
    <t>HE</t>
  </si>
  <si>
    <t>Chân nến</t>
  </si>
  <si>
    <t>Các dạng chân nến, cho dù là chân nến cắm được hoa thì vẫn là chân nến</t>
  </si>
  <si>
    <t>ACH</t>
  </si>
  <si>
    <t>LOA</t>
  </si>
  <si>
    <t>Santa &amp; Cole</t>
  </si>
  <si>
    <t>Khối trang trí</t>
  </si>
  <si>
    <t>Đồ trang trí như tượng, khối/tượng điêu khắc, các vật dụng có thể trưng bày, không có mục đích sử dụng cụ thể. Vd: khối trang trí volta, Knot, miniature, etc.</t>
  </si>
  <si>
    <t>ASC</t>
  </si>
  <si>
    <t>Cassina S.p.A.</t>
  </si>
  <si>
    <t>CS</t>
  </si>
  <si>
    <t>Giỏ, hộp đựng, crate, inos, thùng rác</t>
  </si>
  <si>
    <t>AOG</t>
  </si>
  <si>
    <t>AVA</t>
  </si>
  <si>
    <t>CARL HANSEN</t>
  </si>
  <si>
    <t>Carl Hansen &amp; Søn Møbelfabrik A/S</t>
  </si>
  <si>
    <t>CH</t>
  </si>
  <si>
    <t>Nhà bếp</t>
  </si>
  <si>
    <t>Các phụ kiện liên quan đến nhà bếp và bàn ăn như chén, dĩa, bát, âu cơm, etc.</t>
  </si>
  <si>
    <t>ADN</t>
  </si>
  <si>
    <t>ACA</t>
  </si>
  <si>
    <t>Koichi</t>
  </si>
  <si>
    <t>KJ</t>
  </si>
  <si>
    <t>Khay</t>
  </si>
  <si>
    <t>Các loại khay trang trí có thể đặt trên bàn, trên tủ, ... (Vd: Kaleido, USM Tray, Perforated Tray ...)</t>
  </si>
  <si>
    <t>ATR</t>
  </si>
  <si>
    <t>D'MIA</t>
  </si>
  <si>
    <t>DM</t>
  </si>
  <si>
    <t>Túi xách</t>
  </si>
  <si>
    <t>Các túi tote bag, túi xách</t>
  </si>
  <si>
    <t>ACC</t>
  </si>
  <si>
    <t>AOR</t>
  </si>
  <si>
    <t>LLadro</t>
  </si>
  <si>
    <t>LL</t>
  </si>
  <si>
    <t>Throw</t>
  </si>
  <si>
    <t>Khăn</t>
  </si>
  <si>
    <t xml:space="preserve">Khăn phủ </t>
  </si>
  <si>
    <t>AKI</t>
  </si>
  <si>
    <t>Meikosha</t>
  </si>
  <si>
    <t>ME</t>
  </si>
  <si>
    <t>Gương</t>
  </si>
  <si>
    <t>Các loại gương, kính, etc.</t>
  </si>
  <si>
    <t>AMR</t>
  </si>
  <si>
    <t>Gối (Bao gồm cả cả cushion, pillow)</t>
  </si>
  <si>
    <t>Gối, đệm ghế, gối sofa, ... dùng để trang trí</t>
  </si>
  <si>
    <t>ACS</t>
  </si>
  <si>
    <t>ABA</t>
  </si>
  <si>
    <t>Bình nước</t>
  </si>
  <si>
    <t>Các dạng bình nước, bình pha chế, bình rượu, Bình sữa, French press thực phẩm</t>
  </si>
  <si>
    <t>ABT</t>
  </si>
  <si>
    <t>ATH</t>
  </si>
  <si>
    <t>Tejas</t>
  </si>
  <si>
    <t>TEJAS Lighting Co, Ltd.</t>
  </si>
  <si>
    <t>TJ</t>
  </si>
  <si>
    <t>Thảm (bao gồm Rug và Carpet)</t>
  </si>
  <si>
    <t>Thảm trải sàn</t>
  </si>
  <si>
    <t>ARU</t>
  </si>
  <si>
    <t>AMI</t>
  </si>
  <si>
    <t>Nghệ thuật</t>
  </si>
  <si>
    <t>Tranh, đĩa trang trí, các loại hình hội họa trang trí</t>
  </si>
  <si>
    <t>APA</t>
  </si>
  <si>
    <t>ACU</t>
  </si>
  <si>
    <t>Fluorelite</t>
  </si>
  <si>
    <t>CÔNG TY TNHH CHIẾU SÁNG LIGHTART</t>
  </si>
  <si>
    <t>FU</t>
  </si>
  <si>
    <t>Office</t>
  </si>
  <si>
    <t>Văn phòng</t>
  </si>
  <si>
    <t>Bìa kẹp, bìa hồ sơ, phụ kiện văn phòng, giấy note, sổ</t>
  </si>
  <si>
    <t>AOF</t>
  </si>
  <si>
    <t>ABO</t>
  </si>
  <si>
    <t>Unios</t>
  </si>
  <si>
    <t>Công Ty TNHH Unios</t>
  </si>
  <si>
    <t>UN</t>
  </si>
  <si>
    <t>Bedding</t>
  </si>
  <si>
    <t>Chăn nệm</t>
  </si>
  <si>
    <t>Các sản phẩm chăn ga gối nệm dùng cho phòng ngủ</t>
  </si>
  <si>
    <t>ANBI</t>
  </si>
  <si>
    <t>ANBI LED LIGHTING COMPANY LIMITED</t>
  </si>
  <si>
    <t>AB</t>
  </si>
  <si>
    <t>Clothes</t>
  </si>
  <si>
    <t>Quần áo</t>
  </si>
  <si>
    <t>Tất cả các loại quần áo vải vóc theo dạng quần áo như đầm, áo tắm, áo mưa, ...</t>
  </si>
  <si>
    <t>ACL</t>
  </si>
  <si>
    <t>AAR</t>
  </si>
  <si>
    <t>AMAZI</t>
  </si>
  <si>
    <t>Gift</t>
  </si>
  <si>
    <t>Quà tặng</t>
  </si>
  <si>
    <t>Giấy gói quà, hộp quà, thiệp, etc.</t>
  </si>
  <si>
    <t>AGF</t>
  </si>
  <si>
    <t>Eaton</t>
  </si>
  <si>
    <t>EATON LIGHTING SYSTEMS</t>
  </si>
  <si>
    <t>EA</t>
  </si>
  <si>
    <t>Tất cả các loại đồ trang trí khác không thuộc nhóm trên: bình tưới cây</t>
  </si>
  <si>
    <t>AOT</t>
  </si>
  <si>
    <t>ABE</t>
  </si>
  <si>
    <t>Kim Phát</t>
  </si>
  <si>
    <t>CÔNG TY TNHH LYK</t>
  </si>
  <si>
    <t>KP</t>
  </si>
  <si>
    <t>Đồ cho thú cưng</t>
  </si>
  <si>
    <t>Tất cả đồ cho thú cưng như giường, dây đeo cổ, dây dắt chó, bát ăn cho chó,…</t>
  </si>
  <si>
    <t>APE</t>
  </si>
  <si>
    <t>Đồng hồ</t>
  </si>
  <si>
    <t>Các loại đồng hồ, đồ dùng chỉ giờ, đồng hồ cát,…</t>
  </si>
  <si>
    <t>AGI</t>
  </si>
  <si>
    <t>Lightcraft</t>
  </si>
  <si>
    <t>LIGHTCRAFT PTE.PTE.LTD</t>
  </si>
  <si>
    <t>LI</t>
  </si>
  <si>
    <t>Sách</t>
  </si>
  <si>
    <t>ABK</t>
  </si>
  <si>
    <t>AOA</t>
  </si>
  <si>
    <t>Kingled</t>
  </si>
  <si>
    <t>CÔNG TY TNHH THƯƠNG MẠI XUẤT NHẬP KHẨU TUẤN DÉCOR</t>
  </si>
  <si>
    <t>KI</t>
  </si>
  <si>
    <t>Vinaled</t>
  </si>
  <si>
    <t>CÔNG TY CỔ PHẦN VINALED</t>
  </si>
  <si>
    <t>VI</t>
  </si>
  <si>
    <t>Sản phẩm marketing, sample, catalogs, quà tặng từ hãng</t>
  </si>
  <si>
    <t>OMK</t>
  </si>
  <si>
    <t>ACK</t>
  </si>
  <si>
    <t>RẠNG ĐÔNG</t>
  </si>
  <si>
    <t>CÔNG TY CỔ PHẦN BÓNG ĐÈN PHÍCH NƯỚC RẠNG ĐÔNG</t>
  </si>
  <si>
    <t>RD</t>
  </si>
  <si>
    <t>Delivery</t>
  </si>
  <si>
    <t>Dịch vụ giao hàng, vận chuyển lắp đặt</t>
  </si>
  <si>
    <t>ODL</t>
  </si>
  <si>
    <t>Liên Minh</t>
  </si>
  <si>
    <t>CT TNHH TÍCH HỢP HỆ THỐNG LIÊN MINH</t>
  </si>
  <si>
    <t>LM</t>
  </si>
  <si>
    <t>Commision</t>
  </si>
  <si>
    <t>Hoa hồng</t>
  </si>
  <si>
    <t>OCM</t>
  </si>
  <si>
    <t>WELLUX</t>
  </si>
  <si>
    <t>WL</t>
  </si>
  <si>
    <t>Service</t>
  </si>
  <si>
    <t>Dịch vụ cho thuê không gian, dịch vụ tư vấn thiết kê nôi thất</t>
  </si>
  <si>
    <t>OSV</t>
  </si>
  <si>
    <t>OMA</t>
  </si>
  <si>
    <t>Secoco</t>
  </si>
  <si>
    <t>SE</t>
  </si>
  <si>
    <t>Home Appliances</t>
  </si>
  <si>
    <t>Phân loại dòng hàng Home Appliance của Phước Thạnh vào nhóm này và các dòng hàng Home Appliances của các đối tác khác như Samsung, B&amp;O (TV, loa, máy chiếu, tủ lạnh, ...)</t>
  </si>
  <si>
    <t>OHA</t>
  </si>
  <si>
    <t>ODE</t>
  </si>
  <si>
    <t>BOKE</t>
  </si>
  <si>
    <t>BO</t>
  </si>
  <si>
    <t>ECM</t>
  </si>
  <si>
    <t>Thiết bị điện</t>
  </si>
  <si>
    <t>Phân loại dòng hàng ECM của Phước Thạnh vào nhóm này</t>
  </si>
  <si>
    <t>OCO</t>
  </si>
  <si>
    <t xml:space="preserve">cadivi </t>
  </si>
  <si>
    <t>Bao gồm linh kiện, bộ phận, bóng đèn, link kiện USM, etc Lưu ý ở mỗi loại sản phẩm phía trên đều có thể có sparepart</t>
  </si>
  <si>
    <t>SPA</t>
  </si>
  <si>
    <t>OSE</t>
  </si>
  <si>
    <t>DP</t>
  </si>
  <si>
    <t>DP LIGHTING</t>
  </si>
  <si>
    <t>Các sản phẩm chưa phân loại được tạm thời để vào đây</t>
  </si>
  <si>
    <t>OOT</t>
  </si>
  <si>
    <t>District Eight</t>
  </si>
  <si>
    <t>CÔNG TY TNHH THIẾT KẾ QUẬN TÁM</t>
  </si>
  <si>
    <t>DE</t>
  </si>
  <si>
    <t>Samsung</t>
  </si>
  <si>
    <t>SS</t>
  </si>
  <si>
    <t>Other</t>
  </si>
  <si>
    <t>Moise</t>
  </si>
  <si>
    <t>MO</t>
  </si>
  <si>
    <t>PIGMENT GALLERY</t>
  </si>
  <si>
    <t>PI</t>
  </si>
  <si>
    <t>UNITE</t>
  </si>
  <si>
    <t>Philips</t>
  </si>
  <si>
    <t>Huỳnh Trần</t>
  </si>
  <si>
    <t>Kinto</t>
  </si>
  <si>
    <t>LGV</t>
  </si>
  <si>
    <t>Stoelzle Jive</t>
  </si>
  <si>
    <t>PANASONIC COMMERCIAL</t>
  </si>
  <si>
    <t>Thegioiinan</t>
  </si>
  <si>
    <t>PHAIDON</t>
  </si>
  <si>
    <t>LIOA</t>
  </si>
  <si>
    <t>ANFACO</t>
  </si>
  <si>
    <t>SM</t>
  </si>
  <si>
    <t>CASAMBI</t>
  </si>
  <si>
    <t>PCE</t>
  </si>
  <si>
    <t>PHƯỚC THẠNH</t>
  </si>
  <si>
    <t>NANOCO/PANASONIC</t>
  </si>
  <si>
    <t>Stoelzle</t>
  </si>
  <si>
    <t>Hario</t>
  </si>
  <si>
    <t xml:space="preserve">Koichi </t>
  </si>
  <si>
    <t>NUT GARDEN</t>
  </si>
  <si>
    <t>Thuận Nhân</t>
  </si>
  <si>
    <t>Bosch</t>
  </si>
  <si>
    <t>B&amp;O</t>
  </si>
  <si>
    <t>COMFORT BEDDING</t>
  </si>
  <si>
    <t>AN GIA ANH</t>
  </si>
  <si>
    <t>MONOPOLY</t>
  </si>
  <si>
    <t>s</t>
  </si>
  <si>
    <t>Quy tắc:
- Trường hợp 1 supplier - 1 brand: Mã code Sub Category gồm 2 ký tự, lấy giống như Brand code</t>
  </si>
  <si>
    <t>Quy tắc:
- Trường hợp 1 supplier - nhiều brand: Mã code Sub Category gồm 2 ký tự lấy theo tên Supplier</t>
  </si>
  <si>
    <t>Quy tắc:
- Trường hợp nhiều supplier - 1 brand: Mã code Sub Category gồm 2 ký tự lấy theo tên Supplier</t>
  </si>
  <si>
    <t>Quy tắc:
- Mã brand có 2 ký tự
- Nếu brand có 2 âm tiết thì lấy 2 ký tự đầu của mỗi âm
- Nếu brand có 1 âm tiết thì lấy 2 ký tự đầu của brand</t>
  </si>
  <si>
    <r>
      <rPr>
        <sz val="10"/>
        <color theme="1"/>
        <rFont val="Times New Roman"/>
        <family val="1"/>
      </rPr>
      <t xml:space="preserve">- Tất cả các ghế ngồi bao gồm không tay vịn và có tay vịn (armchair), dining chair (ghế ăn), stool (ghế đẩu), bar stools (ghê bar), office chair (ghế văn phòng) và có chiều cao chỗ ngồi (Seat Height) </t>
    </r>
    <r>
      <rPr>
        <sz val="10"/>
        <color rgb="FFFF0000"/>
        <rFont val="Times New Roman"/>
        <family val="1"/>
      </rPr>
      <t xml:space="preserve">thường phải cao từ 45cm trở lên  </t>
    </r>
    <r>
      <rPr>
        <sz val="10"/>
        <color theme="1"/>
        <rFont val="Times New Roman"/>
        <family val="1"/>
      </rPr>
      <t>/ Thường được dùng cho bàn ăn, bếp, bàn làm việc,....
Riêng trường hợp ghế trẻ em, dù có độ cao thấp hơn 45 cm vẫn phân vào nhóm này</t>
    </r>
  </si>
  <si>
    <r>
      <rPr>
        <sz val="10"/>
        <color theme="1"/>
        <rFont val="Times New Roman"/>
        <family val="1"/>
      </rPr>
      <t xml:space="preserve">Các loại ghế dạng Lounge/easy chair, ghế bành, ghế có thể ng ra, có cả tay vịn hoặc không có tay vịn, và phải có chiều cao chỗ ngồi </t>
    </r>
    <r>
      <rPr>
        <sz val="10"/>
        <color rgb="FFFF0000"/>
        <rFont val="Times New Roman"/>
        <family val="1"/>
      </rPr>
      <t>(Seat Height) thường phải cao dưới 45cm</t>
    </r>
    <r>
      <rPr>
        <sz val="10"/>
        <color theme="1"/>
        <rFont val="Times New Roman"/>
        <family val="1"/>
      </rPr>
      <t xml:space="preserve"> (Trừ ghế dành cho trẻ em) và có chỗ ngồi rộng hơn ghế thông thường. Thường được sử dụng cho phòng khách, phòng nghỉ ngơi,...</t>
    </r>
  </si>
  <si>
    <r>
      <rPr>
        <sz val="10"/>
        <color theme="1"/>
        <rFont val="Times New Roman"/>
        <family val="1"/>
      </rPr>
      <t>T</t>
    </r>
    <r>
      <rPr>
        <sz val="10"/>
        <color theme="1"/>
        <rFont val="Times New Roman"/>
        <family val="1"/>
      </rPr>
      <t>BL</t>
    </r>
  </si>
  <si>
    <r>
      <rPr>
        <sz val="10"/>
        <color theme="1"/>
        <rFont val="Times New Roman"/>
        <family val="1"/>
      </rPr>
      <t>S</t>
    </r>
    <r>
      <rPr>
        <sz val="10"/>
        <color theme="1"/>
        <rFont val="Times New Roman"/>
        <family val="1"/>
      </rPr>
      <t>FA</t>
    </r>
  </si>
  <si>
    <r>
      <rPr>
        <sz val="10"/>
        <color theme="1"/>
        <rFont val="Times New Roman"/>
        <family val="1"/>
      </rPr>
      <t>B</t>
    </r>
    <r>
      <rPr>
        <sz val="10"/>
        <color theme="1"/>
        <rFont val="Times New Roman"/>
        <family val="1"/>
      </rPr>
      <t>ED</t>
    </r>
  </si>
  <si>
    <r>
      <rPr>
        <sz val="10"/>
        <color theme="1"/>
        <rFont val="Times New Roman"/>
        <family val="1"/>
      </rPr>
      <t>C</t>
    </r>
    <r>
      <rPr>
        <sz val="10"/>
        <color theme="1"/>
        <rFont val="Times New Roman"/>
        <family val="1"/>
      </rPr>
      <t>AB</t>
    </r>
  </si>
  <si>
    <t>1) Cách đặt tên mã loại sản phẩm theo cách sử dụng 2 chữ cái đầu tiên</t>
  </si>
  <si>
    <t>2) Loại đèn Kiến trúc Nanoco Premium hiện tại đang chưa được rõ vì đang có trường hợp như sau.
- nanoHome nhập trực tiếp từ các nhà cung cấp như Ecolux, Amazi, ...
- nanoco nhập từ các nhà cung cấp trên, và nanoHome mua lại từ nanoco</t>
  </si>
  <si>
    <t>Hiện tại có sản phẩm Nanoco Premium do Phước Thạnh nhập từ các nhà cung cấp như Ecolux, Amazi,... , tuy nhiên cũng có sản phẩm do nanoHome tự nhập từ cùng các nhà cung cấp này.</t>
  </si>
  <si>
    <t>OEC</t>
  </si>
  <si>
    <t>OSP</t>
  </si>
  <si>
    <t>OOO</t>
  </si>
  <si>
    <t>Nệm</t>
  </si>
  <si>
    <t>Tranh</t>
  </si>
  <si>
    <t>Lưu ý</t>
  </si>
  <si>
    <t>* Nếu sản phẩm vừa gắn tường, vừa gắn trần được thì phân loại là đèn trần</t>
  </si>
  <si>
    <t>* Nếu sản phẩm là outdoor lighting thì phân loại là Arch Lighting</t>
  </si>
  <si>
    <t>* Nếu sản phẩm nội thất trưng bày được outdoor thì sẽ phân vào nhóm Outdoor, dù tên có là Lounge, Chair, etc đi nữa</t>
  </si>
  <si>
    <t>* Tất cả các sản phẩm không bán từ hãng bao gồm Marketing Material, Gift from Brands, Sample tất cả đều phân nhóm Marketing</t>
  </si>
  <si>
    <t>* Các sản phẩm phân loại theo chức năng thực tế, cho dù hãng có phân loại là accessories như Dot, S7 Children Chair thì vẫn phân là Chair</t>
  </si>
  <si>
    <t>* Các sản USM phân thành nhóm riêng, dù sản phẩm có chức năng là gì đi nữa</t>
  </si>
  <si>
    <t>* Tất cả các phụ kiện gắn kèm theo sản phẩm sẽ phân loại theo sản phẩm chính. Vd: Đệm ghế Palissade sẽ phân thành Outdoor.</t>
  </si>
  <si>
    <t>* Các Spare-part nếu có sẽ phân loại luôn vào nhóm chính, vd Sparepart USM =&gt; USM</t>
  </si>
  <si>
    <t>* Các hãng có mã làm không tốt, cụ thể là Linh Cầm nên làm lại mã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</si>
</sst>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_-* #,##0_-;\-* #,##0_-;_-* &quot;-&quot;_-;_-@_-"/>
    <numFmt numFmtId="165" formatCode="_-* #,##0.00_-;\-* #,##0.00_-;_-* &quot;-&quot;??_-;_-@_-"/>
    <numFmt numFmtId="166" formatCode="&quot; &quot;* #,##0.00&quot; &quot;;&quot; &quot;* &quot;(&quot;#,##0.00&quot;)&quot;;&quot; &quot;* &quot;-&quot;#&quot; &quot;;&quot; &quot;@&quot; &quot;"/>
    <numFmt numFmtId="167" formatCode="&quot; &quot;* #,##0&quot; &quot;;&quot; &quot;* &quot;(&quot;#,##0&quot;)&quot;;&quot; &quot;* &quot;-&quot;#&quot; &quot;;&quot; &quot;@&quot; &quot;"/>
    <numFmt numFmtId="168" formatCode="dd/mm/yy"/>
    <numFmt numFmtId="169" formatCode="yyyy\-mm\-dd"/>
    <numFmt numFmtId="170" formatCode="_(* #,##0_);_(* \(#,##0\);_(* &quot;-&quot;??_);_(@_)"/>
    <numFmt numFmtId="171" formatCode="0.0%"/>
    <numFmt numFmtId="172" formatCode="[$$-409]#,##0.00"/>
    <numFmt numFmtId="173" formatCode="#,##0&quot; &quot;;&quot;-&quot;#,##0&quot; &quot;"/>
    <numFmt numFmtId="174" formatCode="_(* #,##0.000_);_(* \(#,##0.000\);_(* &quot;-&quot;??_);_(@_)"/>
    <numFmt numFmtId="175" formatCode="_-* #,##0.00_-;\-* #,##0.00_-;_-* &quot;-&quot;_-;_-@_-"/>
    <numFmt numFmtId="176" formatCode="&quot; &quot;* #,##0.000&quot; &quot;;&quot; &quot;* &quot;(&quot;#,##0.000&quot;)&quot;;&quot; &quot;* &quot;-&quot;#.00&quot; &quot;;&quot; &quot;@&quot; &quot;"/>
    <numFmt numFmtId="177" formatCode="#,##0.000"/>
    <numFmt numFmtId="178" formatCode="dd/mm/yyyy;@"/>
    <numFmt numFmtId="179" formatCode="0.000%"/>
  </numFmts>
  <fonts count="74">
    <font>
      <sz val="11"/>
      <color theme="1"/>
      <name val="Aptos Narrow"/>
      <family val="2"/>
      <scheme val="minor"/>
    </font>
    <font>
      <sz val="10"/>
      <color rgb="FF000000"/>
      <name val="Arial"/>
      <family val="2"/>
    </font>
    <font>
      <u/>
      <sz val="11"/>
      <color theme="10"/>
      <name val="Aptos Narrow"/>
      <family val="2"/>
      <scheme val="minor"/>
    </font>
    <font>
      <sz val="11"/>
      <color theme="1"/>
      <name val="Aptos Narrow"/>
      <family val="2"/>
      <scheme val="minor"/>
    </font>
    <font>
      <sz val="8"/>
      <color rgb="FFFF0000"/>
      <name val="Aptos Narrow"/>
      <family val="2"/>
      <scheme val="minor"/>
    </font>
    <font>
      <sz val="10"/>
      <color rgb="FF000000"/>
      <name val="Calibri"/>
      <family val="2"/>
    </font>
    <font>
      <b/>
      <sz val="9"/>
      <color indexed="81"/>
      <name val="Tahoma"/>
      <family val="2"/>
    </font>
    <font>
      <sz val="9"/>
      <color indexed="81"/>
      <name val="Tahoma"/>
      <family val="2"/>
    </font>
    <font>
      <sz val="8"/>
      <color theme="1"/>
      <name val="Calibri"/>
      <family val="2"/>
    </font>
    <font>
      <sz val="8"/>
      <color theme="0"/>
      <name val="Calibri"/>
      <family val="2"/>
    </font>
    <font>
      <i/>
      <sz val="8"/>
      <color theme="0"/>
      <name val="Calibri"/>
      <family val="2"/>
    </font>
    <font>
      <b/>
      <sz val="8"/>
      <color theme="0"/>
      <name val="Calibri"/>
      <family val="2"/>
    </font>
    <font>
      <sz val="8"/>
      <color rgb="FFFF0000"/>
      <name val="Calibri"/>
      <family val="2"/>
    </font>
    <font>
      <sz val="8"/>
      <name val="Calibri"/>
      <family val="2"/>
    </font>
    <font>
      <sz val="7"/>
      <name val="Calibri"/>
      <family val="2"/>
    </font>
    <font>
      <sz val="9"/>
      <name val="Aptos Narrow"/>
      <family val="2"/>
      <scheme val="minor"/>
    </font>
    <font>
      <sz val="9"/>
      <color theme="1"/>
      <name val="Aptos Narrow"/>
      <family val="2"/>
      <scheme val="minor"/>
    </font>
    <font>
      <sz val="8"/>
      <color rgb="FF000000"/>
      <name val="Calibri"/>
      <family val="2"/>
    </font>
    <font>
      <u/>
      <sz val="8"/>
      <color theme="10"/>
      <name val="Calibri"/>
      <family val="2"/>
    </font>
    <font>
      <b/>
      <sz val="8"/>
      <color rgb="FF000000"/>
      <name val="Calibri"/>
      <family val="2"/>
    </font>
    <font>
      <b/>
      <sz val="8"/>
      <color rgb="FFFF0000"/>
      <name val="Calibri"/>
      <family val="2"/>
    </font>
    <font>
      <i/>
      <sz val="8"/>
      <color theme="2" tint="-0.499984740745262"/>
      <name val="Calibri"/>
      <family val="2"/>
    </font>
    <font>
      <b/>
      <sz val="7"/>
      <color rgb="FF000000"/>
      <name val="Calibri"/>
      <family val="2"/>
    </font>
    <font>
      <u/>
      <sz val="7"/>
      <color theme="10"/>
      <name val="Calibri"/>
      <family val="2"/>
    </font>
    <font>
      <b/>
      <sz val="8"/>
      <color theme="1"/>
      <name val="Calibri"/>
      <family val="2"/>
    </font>
    <font>
      <b/>
      <sz val="8"/>
      <name val="Calibri"/>
      <family val="2"/>
    </font>
    <font>
      <sz val="8"/>
      <name val="Aptos Narrow"/>
      <family val="2"/>
      <scheme val="minor"/>
    </font>
    <font>
      <sz val="9"/>
      <color rgb="FFFF0000"/>
      <name val="Aptos Narrow"/>
      <family val="2"/>
      <scheme val="minor"/>
    </font>
    <font>
      <sz val="10"/>
      <color theme="1"/>
      <name val="Calibri"/>
      <family val="2"/>
    </font>
    <font>
      <b/>
      <sz val="10"/>
      <color theme="0"/>
      <name val="Calibri"/>
      <family val="2"/>
    </font>
    <font>
      <b/>
      <sz val="10"/>
      <name val="Calibri"/>
      <family val="2"/>
    </font>
    <font>
      <sz val="10"/>
      <name val="Calibri"/>
      <family val="2"/>
    </font>
    <font>
      <b/>
      <i/>
      <sz val="9"/>
      <name val="Calibri"/>
      <family val="2"/>
    </font>
    <font>
      <b/>
      <i/>
      <sz val="9"/>
      <color theme="3" tint="9.9978637043366805E-2"/>
      <name val="Calibri"/>
      <family val="2"/>
    </font>
    <font>
      <i/>
      <sz val="9"/>
      <name val="Calibri"/>
      <family val="2"/>
    </font>
    <font>
      <sz val="10"/>
      <color theme="1" tint="0.499984740745262"/>
      <name val="Calibri"/>
      <family val="2"/>
    </font>
    <font>
      <i/>
      <sz val="10"/>
      <color theme="4" tint="-0.249977111117893"/>
      <name val="Calibri"/>
      <family val="2"/>
    </font>
    <font>
      <i/>
      <sz val="10"/>
      <color theme="3" tint="9.9978637043366805E-2"/>
      <name val="Calibri"/>
      <family val="2"/>
    </font>
    <font>
      <b/>
      <sz val="8"/>
      <color theme="0" tint="-0.14999847407452621"/>
      <name val="Calibri"/>
      <family val="2"/>
    </font>
    <font>
      <sz val="10"/>
      <color rgb="FFC00000"/>
      <name val="Calibri"/>
      <family val="2"/>
    </font>
    <font>
      <i/>
      <sz val="9"/>
      <color rgb="FFC00000"/>
      <name val="Calibri"/>
      <family val="2"/>
    </font>
    <font>
      <b/>
      <sz val="8"/>
      <color theme="0" tint="-0.34998626667073579"/>
      <name val="Calibri"/>
      <family val="2"/>
    </font>
    <font>
      <i/>
      <sz val="7"/>
      <color theme="0"/>
      <name val="Calibri"/>
      <family val="2"/>
    </font>
    <font>
      <b/>
      <sz val="6"/>
      <color theme="0" tint="-0.249977111117893"/>
      <name val="Calibri"/>
      <family val="2"/>
    </font>
    <font>
      <sz val="6"/>
      <color theme="0" tint="-0.249977111117893"/>
      <name val="Calibri"/>
      <family val="2"/>
    </font>
    <font>
      <sz val="10"/>
      <color theme="1"/>
      <name val="Arial"/>
      <family val="2"/>
    </font>
    <font>
      <sz val="10"/>
      <color theme="1"/>
      <name val="Times New Roman"/>
      <family val="1"/>
    </font>
    <font>
      <sz val="10"/>
      <color rgb="FF000000"/>
      <name val="Times New Roman"/>
      <family val="1"/>
    </font>
    <font>
      <b/>
      <sz val="10"/>
      <color theme="1"/>
      <name val="Times New Roman"/>
      <family val="1"/>
    </font>
    <font>
      <sz val="10"/>
      <name val="Arial"/>
      <family val="2"/>
    </font>
    <font>
      <b/>
      <sz val="11"/>
      <color rgb="FF000000"/>
      <name val="Times New Roman"/>
      <family val="1"/>
    </font>
    <font>
      <sz val="11"/>
      <color rgb="FF000000"/>
      <name val="Times New Roman"/>
      <family val="1"/>
    </font>
    <font>
      <sz val="10"/>
      <color rgb="FFFF0000"/>
      <name val="Times New Roman"/>
      <family val="1"/>
    </font>
    <font>
      <sz val="11"/>
      <color theme="1"/>
      <name val="Times New Roman"/>
      <family val="2"/>
    </font>
    <font>
      <sz val="10"/>
      <color rgb="FF000000"/>
      <name val="Roboto"/>
    </font>
    <font>
      <sz val="11"/>
      <color theme="1"/>
      <name val="Times New Roman"/>
      <family val="1"/>
    </font>
    <font>
      <sz val="12"/>
      <color rgb="FF222222"/>
      <name val="Arial"/>
      <family val="2"/>
    </font>
    <font>
      <b/>
      <sz val="7"/>
      <color rgb="FF33475B"/>
      <name val="Montserrat"/>
    </font>
    <font>
      <i/>
      <sz val="10"/>
      <color theme="1"/>
      <name val="Times New Roman"/>
      <family val="1"/>
    </font>
    <font>
      <sz val="11"/>
      <color rgb="FFFF0000"/>
      <name val="Times New Roman"/>
      <family val="2"/>
    </font>
    <font>
      <sz val="9"/>
      <color rgb="FF081B3A"/>
      <name val="Segoe UI"/>
      <family val="2"/>
    </font>
    <font>
      <sz val="10"/>
      <color theme="5" tint="-0.249977111117893"/>
      <name val="Calibri"/>
      <family val="2"/>
    </font>
    <font>
      <b/>
      <sz val="8"/>
      <color theme="4" tint="0.39997558519241921"/>
      <name val="Calibri"/>
      <family val="2"/>
    </font>
    <font>
      <sz val="10"/>
      <color theme="1"/>
      <name val="Aptos Narrow"/>
      <family val="2"/>
      <scheme val="minor"/>
    </font>
    <font>
      <b/>
      <sz val="10"/>
      <color theme="0"/>
      <name val="Aptos Narrow"/>
      <family val="2"/>
      <scheme val="minor"/>
    </font>
    <font>
      <b/>
      <sz val="10"/>
      <color theme="1"/>
      <name val="Aptos Narrow"/>
      <family val="2"/>
      <scheme val="minor"/>
    </font>
    <font>
      <sz val="10"/>
      <color rgb="FFFF0000"/>
      <name val="Aptos Narrow"/>
      <family val="2"/>
      <scheme val="minor"/>
    </font>
    <font>
      <sz val="10"/>
      <color rgb="FF000000"/>
      <name val="Aptos Narrow"/>
      <family val="2"/>
      <scheme val="minor"/>
    </font>
    <font>
      <i/>
      <sz val="10"/>
      <color theme="1"/>
      <name val="Aptos Narrow"/>
      <family val="2"/>
      <scheme val="minor"/>
    </font>
    <font>
      <b/>
      <sz val="10"/>
      <color rgb="FF000000"/>
      <name val="Aptos Narrow"/>
      <family val="2"/>
      <scheme val="minor"/>
    </font>
    <font>
      <sz val="10"/>
      <color rgb="FF222222"/>
      <name val="Aptos Narrow"/>
      <family val="2"/>
      <scheme val="minor"/>
    </font>
    <font>
      <b/>
      <sz val="10"/>
      <color rgb="FF33475B"/>
      <name val="Aptos Narrow"/>
      <family val="2"/>
      <scheme val="minor"/>
    </font>
    <font>
      <sz val="10"/>
      <color rgb="FF081B3A"/>
      <name val="Aptos Narrow"/>
      <family val="2"/>
      <scheme val="minor"/>
    </font>
    <font>
      <sz val="10"/>
      <color rgb="FF000000"/>
      <name val="Aptos"/>
      <family val="2"/>
    </font>
  </fonts>
  <fills count="53">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499984740745262"/>
        <bgColor indexed="64"/>
      </patternFill>
    </fill>
    <fill>
      <patternFill patternType="solid">
        <fgColor theme="0"/>
        <bgColor indexed="64"/>
      </patternFill>
    </fill>
    <fill>
      <patternFill patternType="solid">
        <fgColor theme="8" tint="0.59999389629810485"/>
        <bgColor rgb="FF7030A0"/>
      </patternFill>
    </fill>
    <fill>
      <patternFill patternType="solid">
        <fgColor theme="8" tint="0.59999389629810485"/>
        <bgColor rgb="FF00B050"/>
      </patternFill>
    </fill>
    <fill>
      <patternFill patternType="solid">
        <fgColor theme="9" tint="0.59999389629810485"/>
        <bgColor rgb="FFF1A983"/>
      </patternFill>
    </fill>
    <fill>
      <patternFill patternType="solid">
        <fgColor theme="9" tint="0.59999389629810485"/>
        <bgColor rgb="FFFBE4D5"/>
      </patternFill>
    </fill>
    <fill>
      <patternFill patternType="solid">
        <fgColor theme="9" tint="0.59999389629810485"/>
        <bgColor rgb="FFFFFF00"/>
      </patternFill>
    </fill>
    <fill>
      <patternFill patternType="solid">
        <fgColor theme="9" tint="0.59999389629810485"/>
        <bgColor rgb="FF7030A0"/>
      </patternFill>
    </fill>
    <fill>
      <patternFill patternType="solid">
        <fgColor rgb="FFE1F7CB"/>
        <bgColor rgb="FFFBE4D5"/>
      </patternFill>
    </fill>
    <fill>
      <patternFill patternType="solid">
        <fgColor theme="4" tint="-0.249977111117893"/>
        <bgColor rgb="FFFBE4D5"/>
      </patternFill>
    </fill>
    <fill>
      <patternFill patternType="solid">
        <fgColor theme="4" tint="-0.249977111117893"/>
        <bgColor rgb="FFFFFF00"/>
      </patternFill>
    </fill>
    <fill>
      <patternFill patternType="solid">
        <fgColor theme="4" tint="0.39997558519241921"/>
        <bgColor rgb="FFFFFF00"/>
      </patternFill>
    </fill>
    <fill>
      <patternFill patternType="solid">
        <fgColor theme="4" tint="0.39997558519241921"/>
        <bgColor rgb="FFFBE4D5"/>
      </patternFill>
    </fill>
    <fill>
      <patternFill patternType="solid">
        <fgColor theme="5" tint="-0.249977111117893"/>
        <bgColor rgb="FFFBE4D5"/>
      </patternFill>
    </fill>
    <fill>
      <patternFill patternType="solid">
        <fgColor theme="5" tint="-0.249977111117893"/>
        <bgColor rgb="FFFFFF00"/>
      </patternFill>
    </fill>
    <fill>
      <patternFill patternType="solid">
        <fgColor theme="8" tint="-0.499984740745262"/>
        <bgColor indexed="64"/>
      </patternFill>
    </fill>
    <fill>
      <patternFill patternType="solid">
        <fgColor theme="8" tint="-0.249977111117893"/>
        <bgColor indexed="64"/>
      </patternFill>
    </fill>
    <fill>
      <patternFill patternType="solid">
        <fgColor theme="3"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theme="7" tint="0.39997558519241921"/>
        <bgColor rgb="FFD9EAD3"/>
      </patternFill>
    </fill>
    <fill>
      <patternFill patternType="solid">
        <fgColor rgb="FFEFEFEF"/>
        <bgColor rgb="FFEFEFEF"/>
      </patternFill>
    </fill>
    <fill>
      <patternFill patternType="solid">
        <fgColor rgb="FFB7B7B7"/>
        <bgColor rgb="FFB7B7B7"/>
      </patternFill>
    </fill>
    <fill>
      <patternFill patternType="solid">
        <fgColor rgb="FFF4CCCC"/>
        <bgColor rgb="FFF4CCCC"/>
      </patternFill>
    </fill>
    <fill>
      <patternFill patternType="solid">
        <fgColor rgb="FFD0E0E3"/>
        <bgColor rgb="FFD0E0E3"/>
      </patternFill>
    </fill>
    <fill>
      <patternFill patternType="solid">
        <fgColor theme="7" tint="0.39997558519241921"/>
        <bgColor rgb="FFFCE5CD"/>
      </patternFill>
    </fill>
    <fill>
      <patternFill patternType="solid">
        <fgColor rgb="FFFCE5CD"/>
        <bgColor rgb="FFFCE5CD"/>
      </patternFill>
    </fill>
    <fill>
      <patternFill patternType="solid">
        <fgColor rgb="FFEAD1DC"/>
        <bgColor rgb="FFEAD1DC"/>
      </patternFill>
    </fill>
    <fill>
      <patternFill patternType="solid">
        <fgColor rgb="FFFFF2CC"/>
        <bgColor rgb="FFFFF2CC"/>
      </patternFill>
    </fill>
    <fill>
      <patternFill patternType="solid">
        <fgColor rgb="FFFFE599"/>
        <bgColor rgb="FFFFE599"/>
      </patternFill>
    </fill>
    <fill>
      <patternFill patternType="solid">
        <fgColor rgb="FFC9DAF8"/>
        <bgColor rgb="FFC9DAF8"/>
      </patternFill>
    </fill>
    <fill>
      <patternFill patternType="solid">
        <fgColor theme="7" tint="0.39997558519241921"/>
        <bgColor rgb="FFFFFF00"/>
      </patternFill>
    </fill>
    <fill>
      <patternFill patternType="solid">
        <fgColor rgb="FFD9D2E9"/>
        <bgColor rgb="FFD9D2E9"/>
      </patternFill>
    </fill>
    <fill>
      <patternFill patternType="solid">
        <fgColor rgb="FF999999"/>
        <bgColor rgb="FF999999"/>
      </patternFill>
    </fill>
    <fill>
      <patternFill patternType="solid">
        <fgColor theme="7" tint="0.39997558519241921"/>
        <bgColor rgb="FF999999"/>
      </patternFill>
    </fill>
    <fill>
      <patternFill patternType="solid">
        <fgColor theme="2" tint="-0.249977111117893"/>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00B050"/>
        <bgColor indexed="64"/>
      </patternFill>
    </fill>
    <fill>
      <patternFill patternType="solid">
        <fgColor rgb="FF00B050"/>
        <bgColor rgb="FFD9EAD3"/>
      </patternFill>
    </fill>
    <fill>
      <patternFill patternType="solid">
        <fgColor rgb="FF00B050"/>
        <bgColor rgb="FFF4CCCC"/>
      </patternFill>
    </fill>
  </fills>
  <borders count="28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2" tint="-9.9948118533890809E-2"/>
      </left>
      <right style="thin">
        <color theme="2" tint="-9.9948118533890809E-2"/>
      </right>
      <top style="thin">
        <color theme="0" tint="-0.24994659260841701"/>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double">
        <color theme="1" tint="0.14996795556505021"/>
      </top>
      <bottom style="dashDotDot">
        <color theme="1" tint="0.499984740745262"/>
      </bottom>
      <diagonal/>
    </border>
    <border>
      <left style="thin">
        <color theme="1" tint="0.499984740745262"/>
      </left>
      <right style="thin">
        <color theme="1" tint="0.499984740745262"/>
      </right>
      <top style="dashDotDot">
        <color theme="1" tint="0.499984740745262"/>
      </top>
      <bottom style="double">
        <color theme="1" tint="0.14996795556505021"/>
      </bottom>
      <diagonal/>
    </border>
    <border>
      <left style="thin">
        <color theme="1" tint="0.499984740745262"/>
      </left>
      <right style="thin">
        <color theme="1" tint="0.499984740745262"/>
      </right>
      <top style="double">
        <color theme="1" tint="0.14996795556505021"/>
      </top>
      <bottom/>
      <diagonal/>
    </border>
    <border>
      <left style="thin">
        <color theme="1" tint="0.499984740745262"/>
      </left>
      <right style="thin">
        <color theme="1" tint="0.499984740745262"/>
      </right>
      <top/>
      <bottom style="double">
        <color theme="1" tint="0.14996795556505021"/>
      </bottom>
      <diagonal/>
    </border>
    <border>
      <left style="thin">
        <color theme="0" tint="-0.14996795556505021"/>
      </left>
      <right/>
      <top style="thin">
        <color theme="0" tint="-0.14996795556505021"/>
      </top>
      <bottom style="thin">
        <color theme="0" tint="-0.14996795556505021"/>
      </bottom>
      <diagonal/>
    </border>
    <border>
      <left style="thick">
        <color theme="1" tint="0.499984740745262"/>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style="thin">
        <color theme="1" tint="0.499984740745262"/>
      </right>
      <top/>
      <bottom/>
      <diagonal/>
    </border>
    <border>
      <left/>
      <right/>
      <top style="thin">
        <color theme="1" tint="0.499984740745262"/>
      </top>
      <bottom style="thin">
        <color theme="1" tint="0.499984740745262"/>
      </bottom>
      <diagonal/>
    </border>
    <border>
      <left/>
      <right/>
      <top style="thin">
        <color theme="1" tint="0.499984740745262"/>
      </top>
      <bottom/>
      <diagonal/>
    </border>
    <border>
      <left/>
      <right/>
      <top/>
      <bottom style="thin">
        <color theme="1" tint="0.499984740745262"/>
      </bottom>
      <diagonal/>
    </border>
    <border>
      <left style="thin">
        <color theme="2" tint="-9.9948118533890809E-2"/>
      </left>
      <right style="thin">
        <color theme="2" tint="-9.9948118533890809E-2"/>
      </right>
      <top style="thin">
        <color theme="8" tint="-0.24994659260841701"/>
      </top>
      <bottom style="thin">
        <color theme="8" tint="-0.24994659260841701"/>
      </bottom>
      <diagonal/>
    </border>
    <border>
      <left style="thin">
        <color theme="2" tint="-9.9948118533890809E-2"/>
      </left>
      <right/>
      <top style="thin">
        <color theme="8" tint="-0.24994659260841701"/>
      </top>
      <bottom style="thin">
        <color theme="8" tint="-0.24994659260841701"/>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1" tint="0.499984740745262"/>
      </left>
      <right style="thin">
        <color theme="1" tint="0.499984740745262"/>
      </right>
      <top/>
      <bottom/>
      <diagonal/>
    </border>
    <border>
      <left style="thin">
        <color theme="1" tint="0.499984740745262"/>
      </left>
      <right/>
      <top/>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medium">
        <color theme="5" tint="-0.24994659260841701"/>
      </left>
      <right style="thin">
        <color theme="1" tint="0.499984740745262"/>
      </right>
      <top style="medium">
        <color theme="5" tint="-0.24994659260841701"/>
      </top>
      <bottom style="thin">
        <color theme="1" tint="0.499984740745262"/>
      </bottom>
      <diagonal/>
    </border>
    <border>
      <left style="thin">
        <color theme="1" tint="0.499984740745262"/>
      </left>
      <right style="medium">
        <color theme="5" tint="-0.24994659260841701"/>
      </right>
      <top style="medium">
        <color theme="5" tint="-0.24994659260841701"/>
      </top>
      <bottom style="thin">
        <color theme="1" tint="0.499984740745262"/>
      </bottom>
      <diagonal/>
    </border>
    <border>
      <left/>
      <right style="thin">
        <color theme="1" tint="0.499984740745262"/>
      </right>
      <top/>
      <bottom style="thin">
        <color theme="1" tint="0.499984740745262"/>
      </bottom>
      <diagonal/>
    </border>
    <border>
      <left style="thick">
        <color theme="5" tint="-0.24994659260841701"/>
      </left>
      <right style="thin">
        <color theme="1" tint="0.499984740745262"/>
      </right>
      <top style="thick">
        <color theme="5" tint="-0.24994659260841701"/>
      </top>
      <bottom style="thin">
        <color theme="1" tint="0.499984740745262"/>
      </bottom>
      <diagonal/>
    </border>
    <border>
      <left style="thin">
        <color theme="1" tint="0.499984740745262"/>
      </left>
      <right style="thick">
        <color theme="5" tint="-0.24994659260841701"/>
      </right>
      <top style="thick">
        <color theme="5" tint="-0.24994659260841701"/>
      </top>
      <bottom style="thin">
        <color theme="1" tint="0.499984740745262"/>
      </bottom>
      <diagonal/>
    </border>
    <border>
      <left style="thick">
        <color theme="5" tint="-0.24994659260841701"/>
      </left>
      <right style="thin">
        <color theme="1" tint="0.499984740745262"/>
      </right>
      <top style="thin">
        <color theme="1" tint="0.499984740745262"/>
      </top>
      <bottom style="thick">
        <color theme="5" tint="-0.24994659260841701"/>
      </bottom>
      <diagonal/>
    </border>
    <border>
      <left style="thin">
        <color theme="1" tint="0.499984740745262"/>
      </left>
      <right style="thick">
        <color theme="5" tint="-0.24994659260841701"/>
      </right>
      <top style="thin">
        <color theme="1" tint="0.499984740745262"/>
      </top>
      <bottom style="thick">
        <color theme="5"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style="medium">
        <color theme="9" tint="-0.499984740745262"/>
      </right>
      <top/>
      <bottom style="thin">
        <color theme="2" tint="-0.24994659260841701"/>
      </bottom>
      <diagonal/>
    </border>
    <border>
      <left/>
      <right/>
      <top/>
      <bottom style="thin">
        <color theme="2" tint="-0.24994659260841701"/>
      </bottom>
      <diagonal/>
    </border>
    <border>
      <left style="thin">
        <color theme="2" tint="-0.24994659260841701"/>
      </left>
      <right style="thin">
        <color theme="2" tint="-0.24994659260841701"/>
      </right>
      <top/>
      <bottom/>
      <diagonal/>
    </border>
    <border>
      <left style="medium">
        <color theme="8" tint="-0.24994659260841701"/>
      </left>
      <right style="thin">
        <color theme="2" tint="-0.24994659260841701"/>
      </right>
      <top style="thin">
        <color theme="2" tint="-0.24994659260841701"/>
      </top>
      <bottom/>
      <diagonal/>
    </border>
    <border>
      <left style="thin">
        <color theme="2" tint="-0.24994659260841701"/>
      </left>
      <right style="medium">
        <color theme="8" tint="-0.24994659260841701"/>
      </right>
      <top style="thin">
        <color theme="2" tint="-0.24994659260841701"/>
      </top>
      <bottom/>
      <diagonal/>
    </border>
    <border>
      <left style="medium">
        <color theme="8" tint="-0.24994659260841701"/>
      </left>
      <right/>
      <top style="medium">
        <color theme="8" tint="-0.24994659260841701"/>
      </top>
      <bottom style="thin">
        <color theme="2" tint="-9.9948118533890809E-2"/>
      </bottom>
      <diagonal/>
    </border>
    <border>
      <left/>
      <right/>
      <top style="medium">
        <color theme="8" tint="-0.24994659260841701"/>
      </top>
      <bottom style="thin">
        <color theme="2" tint="-9.9948118533890809E-2"/>
      </bottom>
      <diagonal/>
    </border>
    <border>
      <left/>
      <right style="medium">
        <color theme="8" tint="-0.24994659260841701"/>
      </right>
      <top style="medium">
        <color theme="8" tint="-0.24994659260841701"/>
      </top>
      <bottom style="thin">
        <color theme="2" tint="-9.9948118533890809E-2"/>
      </bottom>
      <diagonal/>
    </border>
    <border>
      <left style="medium">
        <color theme="8" tint="-0.24994659260841701"/>
      </left>
      <right style="thin">
        <color theme="0" tint="-0.14996795556505021"/>
      </right>
      <top style="thin">
        <color theme="2" tint="-9.9948118533890809E-2"/>
      </top>
      <bottom style="thin">
        <color theme="2" tint="-0.24994659260841701"/>
      </bottom>
      <diagonal/>
    </border>
    <border>
      <left style="thin">
        <color theme="0" tint="-0.14996795556505021"/>
      </left>
      <right style="thin">
        <color theme="0" tint="-0.14996795556505021"/>
      </right>
      <top style="thin">
        <color theme="2" tint="-9.9948118533890809E-2"/>
      </top>
      <bottom style="thin">
        <color theme="2" tint="-0.24994659260841701"/>
      </bottom>
      <diagonal/>
    </border>
    <border>
      <left style="thin">
        <color theme="0" tint="-0.14996795556505021"/>
      </left>
      <right style="medium">
        <color theme="8" tint="-0.24994659260841701"/>
      </right>
      <top style="thin">
        <color theme="2" tint="-9.9948118533890809E-2"/>
      </top>
      <bottom style="thin">
        <color theme="2" tint="-0.24994659260841701"/>
      </bottom>
      <diagonal/>
    </border>
    <border>
      <left style="medium">
        <color theme="4" tint="-0.24994659260841701"/>
      </left>
      <right/>
      <top style="medium">
        <color theme="4" tint="-0.24994659260841701"/>
      </top>
      <bottom/>
      <diagonal/>
    </border>
    <border>
      <left/>
      <right/>
      <top style="medium">
        <color theme="4" tint="-0.24994659260841701"/>
      </top>
      <bottom/>
      <diagonal/>
    </border>
    <border>
      <left/>
      <right style="medium">
        <color theme="4" tint="-0.24994659260841701"/>
      </right>
      <top style="medium">
        <color theme="4" tint="-0.24994659260841701"/>
      </top>
      <bottom/>
      <diagonal/>
    </border>
    <border>
      <left style="medium">
        <color theme="4" tint="-0.24994659260841701"/>
      </left>
      <right/>
      <top/>
      <bottom/>
      <diagonal/>
    </border>
    <border>
      <left/>
      <right style="medium">
        <color theme="4" tint="-0.24994659260841701"/>
      </right>
      <top/>
      <bottom/>
      <diagonal/>
    </border>
    <border>
      <left style="medium">
        <color theme="4"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medium">
        <color theme="4" tint="-0.24994659260841701"/>
      </right>
      <top style="thin">
        <color theme="2" tint="-0.24994659260841701"/>
      </top>
      <bottom style="thin">
        <color theme="2" tint="-0.24994659260841701"/>
      </bottom>
      <diagonal/>
    </border>
    <border>
      <left style="medium">
        <color theme="4" tint="0.39994506668294322"/>
      </left>
      <right/>
      <top style="medium">
        <color theme="4" tint="0.39994506668294322"/>
      </top>
      <bottom/>
      <diagonal/>
    </border>
    <border>
      <left/>
      <right/>
      <top style="medium">
        <color theme="4" tint="0.39994506668294322"/>
      </top>
      <bottom/>
      <diagonal/>
    </border>
    <border>
      <left/>
      <right style="medium">
        <color theme="4" tint="0.39994506668294322"/>
      </right>
      <top style="medium">
        <color theme="4" tint="0.39994506668294322"/>
      </top>
      <bottom/>
      <diagonal/>
    </border>
    <border>
      <left style="medium">
        <color theme="4" tint="0.39994506668294322"/>
      </left>
      <right/>
      <top/>
      <bottom/>
      <diagonal/>
    </border>
    <border>
      <left/>
      <right style="medium">
        <color theme="4" tint="0.39994506668294322"/>
      </right>
      <top/>
      <bottom/>
      <diagonal/>
    </border>
    <border>
      <left style="medium">
        <color theme="4" tint="0.39994506668294322"/>
      </left>
      <right style="thin">
        <color theme="2" tint="-0.24994659260841701"/>
      </right>
      <top style="thin">
        <color theme="2" tint="-0.24994659260841701"/>
      </top>
      <bottom/>
      <diagonal/>
    </border>
    <border>
      <left style="thin">
        <color theme="2" tint="-0.24994659260841701"/>
      </left>
      <right style="medium">
        <color theme="4" tint="0.39994506668294322"/>
      </right>
      <top style="thin">
        <color theme="2" tint="-0.24994659260841701"/>
      </top>
      <bottom/>
      <diagonal/>
    </border>
    <border>
      <left style="medium">
        <color theme="5" tint="-0.24994659260841701"/>
      </left>
      <right/>
      <top style="medium">
        <color theme="5" tint="-0.24994659260841701"/>
      </top>
      <bottom/>
      <diagonal/>
    </border>
    <border>
      <left/>
      <right/>
      <top style="medium">
        <color theme="5" tint="-0.24994659260841701"/>
      </top>
      <bottom/>
      <diagonal/>
    </border>
    <border>
      <left/>
      <right style="medium">
        <color theme="5" tint="-0.24994659260841701"/>
      </right>
      <top style="medium">
        <color theme="5" tint="-0.24994659260841701"/>
      </top>
      <bottom/>
      <diagonal/>
    </border>
    <border>
      <left style="medium">
        <color theme="5" tint="-0.24994659260841701"/>
      </left>
      <right style="thin">
        <color theme="2" tint="-0.24994659260841701"/>
      </right>
      <top/>
      <bottom/>
      <diagonal/>
    </border>
    <border>
      <left style="thin">
        <color theme="2" tint="-0.24994659260841701"/>
      </left>
      <right style="medium">
        <color theme="5" tint="-0.24994659260841701"/>
      </right>
      <top/>
      <bottom/>
      <diagonal/>
    </border>
    <border>
      <left style="medium">
        <color theme="5" tint="-0.24994659260841701"/>
      </left>
      <right/>
      <top/>
      <bottom style="thin">
        <color theme="0" tint="-0.14996795556505021"/>
      </bottom>
      <diagonal/>
    </border>
    <border>
      <left/>
      <right/>
      <top/>
      <bottom style="thin">
        <color theme="0" tint="-0.14996795556505021"/>
      </bottom>
      <diagonal/>
    </border>
    <border>
      <left/>
      <right style="medium">
        <color theme="5" tint="-0.24994659260841701"/>
      </right>
      <top/>
      <bottom style="thin">
        <color theme="0" tint="-0.14996795556505021"/>
      </bottom>
      <diagonal/>
    </border>
    <border>
      <left/>
      <right/>
      <top style="medium">
        <color theme="8" tint="-0.24994659260841701"/>
      </top>
      <bottom/>
      <diagonal/>
    </border>
    <border>
      <left/>
      <right style="medium">
        <color theme="8" tint="-0.24994659260841701"/>
      </right>
      <top style="medium">
        <color theme="8" tint="-0.24994659260841701"/>
      </top>
      <bottom/>
      <diagonal/>
    </border>
    <border>
      <left/>
      <right style="medium">
        <color theme="8" tint="-0.24994659260841701"/>
      </right>
      <top/>
      <bottom/>
      <diagonal/>
    </border>
    <border>
      <left style="thin">
        <color theme="2" tint="-0.24994659260841701"/>
      </left>
      <right style="medium">
        <color theme="8" tint="-0.24994659260841701"/>
      </right>
      <top style="thin">
        <color theme="2" tint="-0.24994659260841701"/>
      </top>
      <bottom style="thin">
        <color theme="2" tint="-0.24994659260841701"/>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style="thin">
        <color theme="2" tint="-0.24994659260841701"/>
      </right>
      <top/>
      <bottom style="thin">
        <color theme="2" tint="-0.24994659260841701"/>
      </bottom>
      <diagonal/>
    </border>
    <border>
      <left style="medium">
        <color theme="9" tint="-0.499984740745262"/>
      </left>
      <right/>
      <top/>
      <bottom/>
      <diagonal/>
    </border>
    <border>
      <left style="thin">
        <color theme="2" tint="-0.24994659260841701"/>
      </left>
      <right/>
      <top/>
      <bottom style="thin">
        <color theme="2" tint="-0.24994659260841701"/>
      </bottom>
      <diagonal/>
    </border>
    <border>
      <left style="medium">
        <color theme="9"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theme="9" tint="-0.499984740745262"/>
      </right>
      <top style="thin">
        <color theme="0" tint="-0.14996795556505021"/>
      </top>
      <bottom style="thin">
        <color theme="0" tint="-0.14996795556505021"/>
      </bottom>
      <diagonal/>
    </border>
    <border>
      <left style="thin">
        <color theme="1" tint="0.499984740745262"/>
      </left>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ck">
        <color theme="5" tint="-0.24994659260841701"/>
      </left>
      <right style="thin">
        <color theme="0" tint="-0.34998626667073579"/>
      </right>
      <top style="thin">
        <color theme="0" tint="-0.34998626667073579"/>
      </top>
      <bottom style="thin">
        <color theme="1" tint="0.499984740745262"/>
      </bottom>
      <diagonal/>
    </border>
    <border>
      <left style="thin">
        <color theme="0" tint="-0.34998626667073579"/>
      </left>
      <right style="thin">
        <color theme="0" tint="-0.34998626667073579"/>
      </right>
      <top style="thin">
        <color theme="0" tint="-0.34998626667073579"/>
      </top>
      <bottom style="thin">
        <color theme="1" tint="0.499984740745262"/>
      </bottom>
      <diagonal/>
    </border>
    <border>
      <left style="thin">
        <color theme="0" tint="-0.34998626667073579"/>
      </left>
      <right style="thin">
        <color theme="1" tint="0.499984740745262"/>
      </right>
      <top style="thin">
        <color theme="0" tint="-0.34998626667073579"/>
      </top>
      <bottom style="thin">
        <color theme="1" tint="0.499984740745262"/>
      </bottom>
      <diagonal/>
    </border>
    <border>
      <left style="thick">
        <color theme="5" tint="-0.24994659260841701"/>
      </left>
      <right style="thin">
        <color theme="0" tint="-0.34998626667073579"/>
      </right>
      <top/>
      <bottom style="thin">
        <color theme="1" tint="0.499984740745262"/>
      </bottom>
      <diagonal/>
    </border>
    <border>
      <left style="thin">
        <color theme="0" tint="-0.34998626667073579"/>
      </left>
      <right style="thin">
        <color theme="0" tint="-0.34998626667073579"/>
      </right>
      <top style="thin">
        <color theme="1" tint="0.499984740745262"/>
      </top>
      <bottom style="thin">
        <color theme="1" tint="0.499984740745262"/>
      </bottom>
      <diagonal/>
    </border>
    <border>
      <left/>
      <right style="thin">
        <color theme="0" tint="-0.34998626667073579"/>
      </right>
      <top style="thin">
        <color theme="0" tint="-0.34998626667073579"/>
      </top>
      <bottom style="thin">
        <color theme="1" tint="0.499984740745262"/>
      </bottom>
      <diagonal/>
    </border>
    <border>
      <left/>
      <right style="thin">
        <color theme="0" tint="-0.34998626667073579"/>
      </right>
      <top/>
      <bottom style="thin">
        <color theme="1"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499984740745262"/>
      </right>
      <top style="thin">
        <color theme="0" tint="-0.499984740745262"/>
      </top>
      <bottom style="thin">
        <color theme="0" tint="-0.34998626667073579"/>
      </bottom>
      <diagonal/>
    </border>
    <border>
      <left style="thin">
        <color theme="0" tint="-0.499984740745262"/>
      </left>
      <right/>
      <top style="thin">
        <color theme="0" tint="-0.499984740745262"/>
      </top>
      <bottom/>
      <diagonal/>
    </border>
    <border>
      <left style="thin">
        <color theme="0" tint="-0.499984740745262"/>
      </left>
      <right style="thin">
        <color theme="0" tint="-0.499984740745262"/>
      </right>
      <top style="dotted">
        <color theme="0" tint="-0.34998626667073579"/>
      </top>
      <bottom style="dotted">
        <color theme="0" tint="-0.34998626667073579"/>
      </bottom>
      <diagonal/>
    </border>
    <border>
      <left style="thin">
        <color theme="0" tint="-0.499984740745262"/>
      </left>
      <right/>
      <top style="dotted">
        <color theme="0" tint="-0.34998626667073579"/>
      </top>
      <bottom style="dotted">
        <color theme="0" tint="-0.34998626667073579"/>
      </bottom>
      <diagonal/>
    </border>
    <border>
      <left/>
      <right/>
      <top style="dotted">
        <color theme="0" tint="-0.34998626667073579"/>
      </top>
      <bottom style="dotted">
        <color theme="0" tint="-0.34998626667073579"/>
      </bottom>
      <diagonal/>
    </border>
    <border>
      <left/>
      <right style="thin">
        <color theme="0" tint="-0.499984740745262"/>
      </right>
      <top style="dotted">
        <color theme="0" tint="-0.34998626667073579"/>
      </top>
      <bottom style="dotted">
        <color theme="0" tint="-0.34998626667073579"/>
      </bottom>
      <diagonal/>
    </border>
    <border>
      <left/>
      <right style="thin">
        <color theme="0" tint="-0.499984740745262"/>
      </right>
      <top/>
      <bottom/>
      <diagonal/>
    </border>
    <border>
      <left style="thin">
        <color theme="0" tint="-0.499984740745262"/>
      </left>
      <right style="thin">
        <color theme="1" tint="0.499984740745262"/>
      </right>
      <top style="thin">
        <color theme="0" tint="-0.499984740745262"/>
      </top>
      <bottom/>
      <diagonal/>
    </border>
    <border>
      <left style="thin">
        <color theme="0" tint="-0.499984740745262"/>
      </left>
      <right style="thin">
        <color theme="1" tint="0.499984740745262"/>
      </right>
      <top/>
      <bottom/>
      <diagonal/>
    </border>
    <border>
      <left style="thin">
        <color theme="0" tint="-0.24994659260841701"/>
      </left>
      <right style="medium">
        <color theme="5" tint="-0.24994659260841701"/>
      </right>
      <top style="medium">
        <color theme="5" tint="-0.24994659260841701"/>
      </top>
      <bottom style="thin">
        <color theme="0" tint="-0.24994659260841701"/>
      </bottom>
      <diagonal/>
    </border>
    <border>
      <left style="thin">
        <color theme="0" tint="-0.24994659260841701"/>
      </left>
      <right style="medium">
        <color theme="5" tint="-0.24994659260841701"/>
      </right>
      <top style="thin">
        <color theme="0" tint="-0.24994659260841701"/>
      </top>
      <bottom style="thin">
        <color theme="0" tint="-0.24994659260841701"/>
      </bottom>
      <diagonal/>
    </border>
    <border>
      <left style="thin">
        <color theme="0" tint="-0.24994659260841701"/>
      </left>
      <right style="medium">
        <color theme="5" tint="-0.24994659260841701"/>
      </right>
      <top style="thin">
        <color theme="0" tint="-0.24994659260841701"/>
      </top>
      <bottom style="medium">
        <color theme="5" tint="-0.24994659260841701"/>
      </bottom>
      <diagonal/>
    </border>
    <border>
      <left style="medium">
        <color theme="5" tint="-0.24994659260841701"/>
      </left>
      <right style="thin">
        <color theme="0" tint="-0.24994659260841701"/>
      </right>
      <top style="medium">
        <color theme="5" tint="-0.24994659260841701"/>
      </top>
      <bottom/>
      <diagonal/>
    </border>
    <border>
      <left style="medium">
        <color theme="5" tint="-0.24994659260841701"/>
      </left>
      <right style="thin">
        <color theme="0" tint="-0.24994659260841701"/>
      </right>
      <top/>
      <bottom/>
      <diagonal/>
    </border>
    <border>
      <left style="medium">
        <color theme="5" tint="-0.24994659260841701"/>
      </left>
      <right style="thin">
        <color theme="0" tint="-0.24994659260841701"/>
      </right>
      <top/>
      <bottom style="medium">
        <color theme="5" tint="-0.24994659260841701"/>
      </bottom>
      <diagonal/>
    </border>
    <border>
      <left style="thin">
        <color theme="0" tint="-0.34998626667073579"/>
      </left>
      <right style="thin">
        <color theme="1" tint="0.499984740745262"/>
      </right>
      <top style="thin">
        <color theme="0" tint="-0.34998626667073579"/>
      </top>
      <bottom style="thin">
        <color theme="0" tint="-0.34998626667073579"/>
      </bottom>
      <diagonal/>
    </border>
    <border>
      <left style="thin">
        <color theme="1" tint="0.499984740745262"/>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1" tint="0.499984740745262"/>
      </right>
      <top style="thin">
        <color theme="0" tint="-0.34998626667073579"/>
      </top>
      <bottom/>
      <diagonal/>
    </border>
    <border>
      <left style="thin">
        <color theme="0" tint="-0.499984740745262"/>
      </left>
      <right style="thin">
        <color theme="0" tint="-0.499984740745262"/>
      </right>
      <top style="dotted">
        <color theme="0" tint="-0.34998626667073579"/>
      </top>
      <bottom/>
      <diagonal/>
    </border>
    <border>
      <left style="thin">
        <color theme="0" tint="-0.499984740745262"/>
      </left>
      <right/>
      <top style="dotted">
        <color theme="0" tint="-0.34998626667073579"/>
      </top>
      <bottom/>
      <diagonal/>
    </border>
    <border>
      <left/>
      <right/>
      <top style="dotted">
        <color theme="0" tint="-0.34998626667073579"/>
      </top>
      <bottom/>
      <diagonal/>
    </border>
    <border>
      <left/>
      <right style="thin">
        <color theme="0" tint="-0.499984740745262"/>
      </right>
      <top style="dotted">
        <color theme="0" tint="-0.34998626667073579"/>
      </top>
      <bottom/>
      <diagonal/>
    </border>
    <border>
      <left style="thin">
        <color theme="1" tint="0.499984740745262"/>
      </left>
      <right style="thin">
        <color theme="0" tint="-0.499984740745262"/>
      </right>
      <top style="thin">
        <color theme="0" tint="-0.499984740745262"/>
      </top>
      <bottom/>
      <diagonal/>
    </border>
    <border>
      <left style="thin">
        <color theme="1" tint="0.499984740745262"/>
      </left>
      <right style="thin">
        <color theme="0" tint="-0.499984740745262"/>
      </right>
      <top/>
      <bottom/>
      <diagonal/>
    </border>
    <border>
      <left style="thin">
        <color theme="0" tint="-0.499984740745262"/>
      </left>
      <right style="thin">
        <color theme="1" tint="0.499984740745262"/>
      </right>
      <top style="thin">
        <color theme="1" tint="0.499984740745262"/>
      </top>
      <bottom/>
      <diagonal/>
    </border>
    <border>
      <left style="thin">
        <color theme="0"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indexed="64"/>
      </bottom>
      <diagonal/>
    </border>
    <border>
      <left style="thin">
        <color indexed="64"/>
      </left>
      <right style="thin">
        <color theme="1" tint="0.499984740745262"/>
      </right>
      <top style="thin">
        <color indexed="64"/>
      </top>
      <bottom style="dashDotDot">
        <color theme="1" tint="0.499984740745262"/>
      </bottom>
      <diagonal/>
    </border>
    <border>
      <left style="thin">
        <color theme="1" tint="0.499984740745262"/>
      </left>
      <right style="thin">
        <color theme="1" tint="0.499984740745262"/>
      </right>
      <top style="thin">
        <color indexed="64"/>
      </top>
      <bottom style="dashDotDot">
        <color theme="1" tint="0.499984740745262"/>
      </bottom>
      <diagonal/>
    </border>
    <border>
      <left style="thin">
        <color indexed="64"/>
      </left>
      <right style="thin">
        <color theme="1" tint="0.499984740745262"/>
      </right>
      <top style="dashDotDot">
        <color theme="1" tint="0.499984740745262"/>
      </top>
      <bottom style="thin">
        <color indexed="64"/>
      </bottom>
      <diagonal/>
    </border>
    <border>
      <left style="thin">
        <color theme="1" tint="0.499984740745262"/>
      </left>
      <right style="thin">
        <color theme="1" tint="0.499984740745262"/>
      </right>
      <top style="dashDotDot">
        <color theme="1" tint="0.499984740745262"/>
      </top>
      <bottom style="thin">
        <color indexed="64"/>
      </bottom>
      <diagonal/>
    </border>
    <border>
      <left style="thin">
        <color theme="2" tint="-9.9948118533890809E-2"/>
      </left>
      <right style="thin">
        <color theme="2" tint="-9.9948118533890809E-2"/>
      </right>
      <top/>
      <bottom/>
      <diagonal/>
    </border>
    <border>
      <left style="thin">
        <color theme="0" tint="-0.14996795556505021"/>
      </left>
      <right/>
      <top/>
      <bottom/>
      <diagonal/>
    </border>
    <border>
      <left/>
      <right style="thin">
        <color theme="0" tint="-0.14996795556505021"/>
      </right>
      <top/>
      <bottom/>
      <diagonal/>
    </border>
    <border>
      <left style="thick">
        <color theme="5" tint="-0.24994659260841701"/>
      </left>
      <right/>
      <top style="thin">
        <color theme="0" tint="-0.24994659260841701"/>
      </top>
      <bottom/>
      <diagonal/>
    </border>
    <border>
      <left style="thick">
        <color theme="5" tint="-0.24994659260841701"/>
      </left>
      <right/>
      <top/>
      <bottom style="thin">
        <color theme="0" tint="-0.2499465926084170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rgb="FFC00000"/>
      </left>
      <right style="thin">
        <color theme="1" tint="0.499984740745262"/>
      </right>
      <top style="medium">
        <color rgb="FFC00000"/>
      </top>
      <bottom/>
      <diagonal/>
    </border>
    <border>
      <left/>
      <right style="medium">
        <color rgb="FFC00000"/>
      </right>
      <top style="medium">
        <color rgb="FFC00000"/>
      </top>
      <bottom style="thin">
        <color theme="1" tint="0.499984740745262"/>
      </bottom>
      <diagonal/>
    </border>
    <border>
      <left style="medium">
        <color rgb="FFC00000"/>
      </left>
      <right style="thin">
        <color theme="1" tint="0.499984740745262"/>
      </right>
      <top/>
      <bottom/>
      <diagonal/>
    </border>
    <border>
      <left/>
      <right style="medium">
        <color rgb="FFC00000"/>
      </right>
      <top style="thin">
        <color theme="1" tint="0.499984740745262"/>
      </top>
      <bottom style="thin">
        <color theme="1" tint="0.499984740745262"/>
      </bottom>
      <diagonal/>
    </border>
    <border>
      <left style="medium">
        <color rgb="FFC00000"/>
      </left>
      <right style="thin">
        <color theme="1" tint="0.499984740745262"/>
      </right>
      <top/>
      <bottom style="medium">
        <color rgb="FFC00000"/>
      </bottom>
      <diagonal/>
    </border>
    <border>
      <left/>
      <right style="medium">
        <color rgb="FFC00000"/>
      </right>
      <top style="thin">
        <color theme="1" tint="0.499984740745262"/>
      </top>
      <bottom style="medium">
        <color rgb="FFC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2F5496"/>
      </left>
      <right style="thin">
        <color rgb="FF2F5496"/>
      </right>
      <top style="dotted">
        <color rgb="FF2F5496"/>
      </top>
      <bottom style="thin">
        <color rgb="FF2F5496"/>
      </bottom>
      <diagonal/>
    </border>
    <border>
      <left style="thin">
        <color rgb="FF000000"/>
      </left>
      <right style="thin">
        <color rgb="FF000000"/>
      </right>
      <top style="thin">
        <color rgb="FF000000"/>
      </top>
      <bottom/>
      <diagonal/>
    </border>
    <border>
      <left/>
      <right style="thin">
        <color theme="2" tint="-0.24994659260841701"/>
      </right>
      <top style="thin">
        <color theme="2" tint="-0.24994659260841701"/>
      </top>
      <bottom style="thin">
        <color theme="2" tint="-0.24994659260841701"/>
      </bottom>
      <diagonal/>
    </border>
    <border>
      <left style="medium">
        <color theme="8" tint="-0.24994659260841701"/>
      </left>
      <right/>
      <top style="medium">
        <color theme="8" tint="-0.24994659260841701"/>
      </top>
      <bottom/>
      <diagonal/>
    </border>
    <border>
      <left style="medium">
        <color theme="8" tint="-0.24994659260841701"/>
      </left>
      <right/>
      <top/>
      <bottom style="thin">
        <color theme="2" tint="-0.24994659260841701"/>
      </bottom>
      <diagonal/>
    </border>
    <border>
      <left style="medium">
        <color theme="5" tint="-0.24994659260841701"/>
      </left>
      <right style="thin">
        <color theme="1" tint="0.499984740745262"/>
      </right>
      <top style="thin">
        <color theme="1" tint="0.499984740745262"/>
      </top>
      <bottom style="medium">
        <color theme="5" tint="-0.24994659260841701"/>
      </bottom>
      <diagonal/>
    </border>
    <border>
      <left style="thin">
        <color theme="1" tint="0.499984740745262"/>
      </left>
      <right style="medium">
        <color theme="5" tint="-0.24994659260841701"/>
      </right>
      <top style="thin">
        <color theme="1" tint="0.499984740745262"/>
      </top>
      <bottom style="medium">
        <color theme="5" tint="-0.24994659260841701"/>
      </bottom>
      <diagonal/>
    </border>
    <border>
      <left style="thin">
        <color theme="2" tint="-0.24994659260841701"/>
      </left>
      <right/>
      <top/>
      <bottom/>
      <diagonal/>
    </border>
    <border>
      <left style="thin">
        <color theme="1" tint="0.499984740745262"/>
      </left>
      <right style="medium">
        <color theme="5" tint="-0.24994659260841701"/>
      </right>
      <top style="medium">
        <color theme="5" tint="-0.24994659260841701"/>
      </top>
      <bottom style="thin">
        <color theme="0" tint="-0.24994659260841701"/>
      </bottom>
      <diagonal/>
    </border>
    <border>
      <left style="thin">
        <color theme="1" tint="0.499984740745262"/>
      </left>
      <right style="medium">
        <color theme="5" tint="-0.24994659260841701"/>
      </right>
      <top style="thin">
        <color theme="0" tint="-0.24994659260841701"/>
      </top>
      <bottom style="thin">
        <color theme="0" tint="-0.24994659260841701"/>
      </bottom>
      <diagonal/>
    </border>
    <border>
      <left style="medium">
        <color theme="5" tint="-0.24994659260841701"/>
      </left>
      <right style="thin">
        <color theme="1" tint="0.499984740745262"/>
      </right>
      <top style="medium">
        <color theme="5" tint="-0.24994659260841701"/>
      </top>
      <bottom/>
      <diagonal/>
    </border>
    <border>
      <left style="medium">
        <color theme="5" tint="-0.24994659260841701"/>
      </left>
      <right style="thin">
        <color theme="1" tint="0.499984740745262"/>
      </right>
      <top/>
      <bottom/>
      <diagonal/>
    </border>
    <border>
      <left style="medium">
        <color theme="5" tint="-0.24994659260841701"/>
      </left>
      <right style="thin">
        <color theme="1" tint="0.499984740745262"/>
      </right>
      <top/>
      <bottom style="medium">
        <color theme="5" tint="-0.24994659260841701"/>
      </bottom>
      <diagonal/>
    </border>
    <border>
      <left style="medium">
        <color theme="5" tint="-0.24994659260841701"/>
      </left>
      <right style="thin">
        <color theme="0" tint="-0.499984740745262"/>
      </right>
      <top style="medium">
        <color theme="5" tint="-0.24994659260841701"/>
      </top>
      <bottom/>
      <diagonal/>
    </border>
    <border>
      <left/>
      <right style="medium">
        <color theme="5" tint="-0.24994659260841701"/>
      </right>
      <top style="medium">
        <color theme="5" tint="-0.24994659260841701"/>
      </top>
      <bottom style="thin">
        <color theme="1" tint="0.499984740745262"/>
      </bottom>
      <diagonal/>
    </border>
    <border>
      <left style="medium">
        <color theme="5" tint="-0.24994659260841701"/>
      </left>
      <right style="thin">
        <color theme="0" tint="-0.499984740745262"/>
      </right>
      <top/>
      <bottom style="medium">
        <color theme="5" tint="-0.24994659260841701"/>
      </bottom>
      <diagonal/>
    </border>
    <border>
      <left/>
      <right style="medium">
        <color theme="5" tint="-0.24994659260841701"/>
      </right>
      <top style="thin">
        <color theme="1" tint="0.499984740745262"/>
      </top>
      <bottom style="medium">
        <color theme="5" tint="-0.24994659260841701"/>
      </bottom>
      <diagonal/>
    </border>
    <border>
      <left style="medium">
        <color theme="5" tint="-0.24994659260841701"/>
      </left>
      <right style="thin">
        <color theme="0" tint="-0.499984740745262"/>
      </right>
      <top/>
      <bottom/>
      <diagonal/>
    </border>
    <border>
      <left/>
      <right style="medium">
        <color theme="5" tint="-0.24994659260841701"/>
      </right>
      <top style="thin">
        <color theme="1" tint="0.499984740745262"/>
      </top>
      <bottom style="thin">
        <color theme="1" tint="0.499984740745262"/>
      </bottom>
      <diagonal/>
    </border>
    <border>
      <left style="thin">
        <color theme="1" tint="0.499984740745262"/>
      </left>
      <right style="thin">
        <color theme="1" tint="0.499984740745262"/>
      </right>
      <top style="thin">
        <color theme="0" tint="-0.34998626667073579"/>
      </top>
      <bottom style="thin">
        <color theme="0" tint="-0.34998626667073579"/>
      </bottom>
      <diagonal/>
    </border>
    <border>
      <left style="medium">
        <color theme="5" tint="-0.24994659260841701"/>
      </left>
      <right style="thin">
        <color theme="1" tint="0.499984740745262"/>
      </right>
      <top style="thin">
        <color theme="0" tint="-0.34998626667073579"/>
      </top>
      <bottom style="thin">
        <color theme="0" tint="-0.34998626667073579"/>
      </bottom>
      <diagonal/>
    </border>
    <border>
      <left style="thin">
        <color theme="1" tint="0.499984740745262"/>
      </left>
      <right style="thin">
        <color theme="1" tint="0.499984740745262"/>
      </right>
      <top/>
      <bottom style="thin">
        <color theme="0" tint="-0.34998626667073579"/>
      </bottom>
      <diagonal/>
    </border>
    <border>
      <left style="medium">
        <color theme="5" tint="-0.24994659260841701"/>
      </left>
      <right style="thin">
        <color theme="1" tint="0.499984740745262"/>
      </right>
      <top style="thin">
        <color theme="0" tint="-0.34998626667073579"/>
      </top>
      <bottom style="medium">
        <color theme="5" tint="-0.24994659260841701"/>
      </bottom>
      <diagonal/>
    </border>
    <border>
      <left style="thin">
        <color theme="1" tint="0.499984740745262"/>
      </left>
      <right style="medium">
        <color theme="5" tint="-0.24994659260841701"/>
      </right>
      <top style="medium">
        <color theme="5" tint="-0.24994659260841701"/>
      </top>
      <bottom/>
      <diagonal/>
    </border>
    <border>
      <left style="thin">
        <color theme="1" tint="0.499984740745262"/>
      </left>
      <right style="medium">
        <color theme="5" tint="-0.24994659260841701"/>
      </right>
      <top/>
      <bottom style="medium">
        <color theme="5" tint="-0.24994659260841701"/>
      </bottom>
      <diagonal/>
    </border>
    <border>
      <left style="medium">
        <color theme="5" tint="-0.24994659260841701"/>
      </left>
      <right style="thin">
        <color theme="1" tint="0.499984740745262"/>
      </right>
      <top style="thin">
        <color theme="1" tint="0.499984740745262"/>
      </top>
      <bottom/>
      <diagonal/>
    </border>
    <border>
      <left style="medium">
        <color theme="5" tint="-0.24994659260841701"/>
      </left>
      <right style="thin">
        <color theme="1" tint="0.499984740745262"/>
      </right>
      <top/>
      <bottom style="thin">
        <color theme="1" tint="0.499984740745262"/>
      </bottom>
      <diagonal/>
    </border>
    <border>
      <left style="thin">
        <color theme="1" tint="0.499984740745262"/>
      </left>
      <right style="medium">
        <color theme="5" tint="-0.24994659260841701"/>
      </right>
      <top/>
      <bottom/>
      <diagonal/>
    </border>
    <border>
      <left style="thin">
        <color theme="1" tint="0.499984740745262"/>
      </left>
      <right style="medium">
        <color theme="5" tint="-0.24994659260841701"/>
      </right>
      <top/>
      <bottom style="thin">
        <color theme="1" tint="0.499984740745262"/>
      </bottom>
      <diagonal/>
    </border>
    <border>
      <left style="thin">
        <color theme="1" tint="0.499984740745262"/>
      </left>
      <right style="medium">
        <color theme="5" tint="-0.24994659260841701"/>
      </right>
      <top style="thin">
        <color theme="0" tint="-0.24994659260841701"/>
      </top>
      <bottom/>
      <diagonal/>
    </border>
    <border>
      <left style="medium">
        <color theme="5" tint="-0.24994659260841701"/>
      </left>
      <right style="thin">
        <color theme="1" tint="0.499984740745262"/>
      </right>
      <top style="thin">
        <color theme="0" tint="-0.34998626667073579"/>
      </top>
      <bottom style="thin">
        <color theme="1" tint="0.499984740745262"/>
      </bottom>
      <diagonal/>
    </border>
    <border>
      <left style="thin">
        <color theme="1" tint="0.499984740745262"/>
      </left>
      <right style="medium">
        <color theme="5" tint="-0.24994659260841701"/>
      </right>
      <top style="thin">
        <color theme="0" tint="-0.34998626667073579"/>
      </top>
      <bottom style="thin">
        <color theme="1" tint="0.499984740745262"/>
      </bottom>
      <diagonal/>
    </border>
    <border>
      <left style="medium">
        <color theme="5" tint="-0.24994659260841701"/>
      </left>
      <right style="thin">
        <color theme="1" tint="0.499984740745262"/>
      </right>
      <top style="medium">
        <color theme="5" tint="-0.24994659260841701"/>
      </top>
      <bottom style="thin">
        <color theme="0" tint="-0.34998626667073579"/>
      </bottom>
      <diagonal/>
    </border>
    <border>
      <left style="thin">
        <color theme="1" tint="0.499984740745262"/>
      </left>
      <right/>
      <top style="thin">
        <color theme="0" tint="-0.34998626667073579"/>
      </top>
      <bottom/>
      <diagonal/>
    </border>
    <border>
      <left style="thin">
        <color theme="1" tint="0.499984740745262"/>
      </left>
      <right/>
      <top/>
      <bottom style="thin">
        <color theme="0" tint="-0.34998626667073579"/>
      </bottom>
      <diagonal/>
    </border>
    <border>
      <left style="thin">
        <color theme="1" tint="0.499984740745262"/>
      </left>
      <right style="thin">
        <color theme="1" tint="0.499984740745262"/>
      </right>
      <top style="thin">
        <color theme="0" tint="-0.34998626667073579"/>
      </top>
      <bottom/>
      <diagonal/>
    </border>
    <border>
      <left style="medium">
        <color theme="5" tint="-0.24994659260841701"/>
      </left>
      <right style="thin">
        <color theme="1" tint="0.499984740745262"/>
      </right>
      <top style="thin">
        <color theme="0" tint="-0.34998626667073579"/>
      </top>
      <bottom/>
      <diagonal/>
    </border>
    <border>
      <left style="medium">
        <color theme="5" tint="-0.24994659260841701"/>
      </left>
      <right style="thin">
        <color theme="1" tint="0.499984740745262"/>
      </right>
      <top/>
      <bottom style="thin">
        <color theme="0" tint="-0.34998626667073579"/>
      </bottom>
      <diagonal/>
    </border>
    <border>
      <left style="thin">
        <color theme="1" tint="0.499984740745262"/>
      </left>
      <right style="medium">
        <color theme="5" tint="-0.24994659260841701"/>
      </right>
      <top style="thin">
        <color theme="0" tint="-0.34998626667073579"/>
      </top>
      <bottom/>
      <diagonal/>
    </border>
    <border>
      <left style="thin">
        <color theme="0" tint="-0.34998626667073579"/>
      </left>
      <right style="thin">
        <color theme="1" tint="0.499984740745262"/>
      </right>
      <top/>
      <bottom/>
      <diagonal/>
    </border>
    <border>
      <left style="thin">
        <color theme="0" tint="-0.34998626667073579"/>
      </left>
      <right style="thin">
        <color theme="1" tint="0.499984740745262"/>
      </right>
      <top/>
      <bottom style="thin">
        <color theme="0" tint="-0.34998626667073579"/>
      </bottom>
      <diagonal/>
    </border>
    <border>
      <left style="thin">
        <color theme="0" tint="-0.24994659260841701"/>
      </left>
      <right style="thin">
        <color theme="0" tint="-0.24994659260841701"/>
      </right>
      <top style="thin">
        <color theme="0" tint="-0.34998626667073579"/>
      </top>
      <bottom/>
      <diagonal/>
    </border>
    <border>
      <left style="thin">
        <color theme="0" tint="-0.24994659260841701"/>
      </left>
      <right style="thin">
        <color theme="0" tint="-0.24994659260841701"/>
      </right>
      <top/>
      <bottom style="thin">
        <color theme="0" tint="-0.34998626667073579"/>
      </bottom>
      <diagonal/>
    </border>
    <border>
      <left style="thin">
        <color theme="0" tint="-0.24994659260841701"/>
      </left>
      <right style="thin">
        <color theme="1" tint="0.499984740745262"/>
      </right>
      <top style="thin">
        <color theme="0" tint="-0.34998626667073579"/>
      </top>
      <bottom/>
      <diagonal/>
    </border>
    <border>
      <left style="thin">
        <color theme="0" tint="-0.24994659260841701"/>
      </left>
      <right style="thin">
        <color theme="1" tint="0.499984740745262"/>
      </right>
      <top/>
      <bottom style="thin">
        <color theme="0" tint="-0.34998626667073579"/>
      </bottom>
      <diagonal/>
    </border>
    <border>
      <left style="thin">
        <color theme="1" tint="0.499984740745262"/>
      </left>
      <right style="thin">
        <color theme="0" tint="-0.24994659260841701"/>
      </right>
      <top style="thin">
        <color theme="0" tint="-0.34998626667073579"/>
      </top>
      <bottom/>
      <diagonal/>
    </border>
    <border>
      <left style="thin">
        <color theme="1" tint="0.499984740745262"/>
      </left>
      <right style="thin">
        <color theme="0" tint="-0.24994659260841701"/>
      </right>
      <top/>
      <bottom style="thin">
        <color theme="0" tint="-0.34998626667073579"/>
      </bottom>
      <diagonal/>
    </border>
    <border>
      <left style="medium">
        <color theme="5" tint="-0.24994659260841701"/>
      </left>
      <right style="thin">
        <color theme="1" tint="0.499984740745262"/>
      </right>
      <top style="thin">
        <color theme="1" tint="0.499984740745262"/>
      </top>
      <bottom style="thin">
        <color theme="1" tint="0.499984740745262"/>
      </bottom>
      <diagonal/>
    </border>
    <border>
      <left style="thin">
        <color theme="0" tint="-0.499984740745262"/>
      </left>
      <right style="medium">
        <color theme="5" tint="-0.24994659260841701"/>
      </right>
      <top style="thin">
        <color theme="1" tint="0.499984740745262"/>
      </top>
      <bottom style="thin">
        <color indexed="64"/>
      </bottom>
      <diagonal/>
    </border>
    <border>
      <left style="medium">
        <color theme="5" tint="-0.24994659260841701"/>
      </left>
      <right style="thin">
        <color theme="0" tint="-0.499984740745262"/>
      </right>
      <top/>
      <bottom style="thin">
        <color indexed="64"/>
      </bottom>
      <diagonal/>
    </border>
    <border>
      <left style="thin">
        <color theme="1" tint="0.499984740745262"/>
      </left>
      <right style="medium">
        <color theme="5" tint="-0.24994659260841701"/>
      </right>
      <top style="thin">
        <color theme="1" tint="0.499984740745262"/>
      </top>
      <bottom/>
      <diagonal/>
    </border>
    <border>
      <left style="thin">
        <color theme="1" tint="0.499984740745262"/>
      </left>
      <right style="medium">
        <color theme="5" tint="-0.24994659260841701"/>
      </right>
      <top style="thin">
        <color indexed="64"/>
      </top>
      <bottom style="medium">
        <color theme="5" tint="-0.24994659260841701"/>
      </bottom>
      <diagonal/>
    </border>
    <border>
      <left style="medium">
        <color theme="5" tint="-0.24994659260841701"/>
      </left>
      <right style="thin">
        <color theme="1" tint="0.499984740745262"/>
      </right>
      <top style="thin">
        <color indexed="64"/>
      </top>
      <bottom style="medium">
        <color theme="5" tint="-0.24994659260841701"/>
      </bottom>
      <diagonal/>
    </border>
    <border>
      <left style="medium">
        <color theme="5" tint="-0.24994659260841701"/>
      </left>
      <right style="thin">
        <color theme="1" tint="0.499984740745262"/>
      </right>
      <top/>
      <bottom style="thin">
        <color indexed="64"/>
      </bottom>
      <diagonal/>
    </border>
    <border>
      <left style="thin">
        <color theme="1" tint="0.499984740745262"/>
      </left>
      <right style="medium">
        <color theme="5" tint="-0.24994659260841701"/>
      </right>
      <top/>
      <bottom style="thin">
        <color indexed="64"/>
      </bottom>
      <diagonal/>
    </border>
    <border>
      <left style="thin">
        <color theme="1" tint="0.499984740745262"/>
      </left>
      <right style="thin">
        <color theme="1" tint="0.499984740745262"/>
      </right>
      <top/>
      <bottom style="double">
        <color indexed="64"/>
      </bottom>
      <diagonal/>
    </border>
    <border>
      <left style="double">
        <color theme="1"/>
      </left>
      <right style="thin">
        <color theme="2" tint="-0.24994659260841701"/>
      </right>
      <top style="double">
        <color theme="1"/>
      </top>
      <bottom style="thin">
        <color theme="2" tint="-0.24994659260841701"/>
      </bottom>
      <diagonal/>
    </border>
    <border>
      <left style="thin">
        <color theme="1" tint="0.499984740745262"/>
      </left>
      <right style="thin">
        <color theme="1" tint="0.499984740745262"/>
      </right>
      <top style="double">
        <color theme="1"/>
      </top>
      <bottom style="thin">
        <color theme="1" tint="0.499984740745262"/>
      </bottom>
      <diagonal/>
    </border>
    <border>
      <left style="thin">
        <color theme="1" tint="0.499984740745262"/>
      </left>
      <right style="thin">
        <color theme="1" tint="0.499984740745262"/>
      </right>
      <top style="double">
        <color theme="1"/>
      </top>
      <bottom/>
      <diagonal/>
    </border>
    <border>
      <left style="thin">
        <color theme="1" tint="0.499984740745262"/>
      </left>
      <right style="double">
        <color theme="1"/>
      </right>
      <top style="double">
        <color theme="1"/>
      </top>
      <bottom style="thin">
        <color theme="1" tint="0.499984740745262"/>
      </bottom>
      <diagonal/>
    </border>
    <border>
      <left style="thin">
        <color theme="1" tint="0.499984740745262"/>
      </left>
      <right style="thin">
        <color theme="1" tint="0.499984740745262"/>
      </right>
      <top style="thin">
        <color theme="1" tint="0.499984740745262"/>
      </top>
      <bottom style="double">
        <color theme="1"/>
      </bottom>
      <diagonal/>
    </border>
    <border>
      <left style="thin">
        <color theme="1" tint="0.499984740745262"/>
      </left>
      <right style="thin">
        <color theme="1" tint="0.499984740745262"/>
      </right>
      <top/>
      <bottom style="double">
        <color theme="1"/>
      </bottom>
      <diagonal/>
    </border>
    <border>
      <left style="thin">
        <color theme="1" tint="0.499984740745262"/>
      </left>
      <right style="double">
        <color theme="1"/>
      </right>
      <top style="thin">
        <color theme="1" tint="0.499984740745262"/>
      </top>
      <bottom style="double">
        <color theme="1"/>
      </bottom>
      <diagonal/>
    </border>
    <border>
      <left style="double">
        <color theme="1"/>
      </left>
      <right style="thin">
        <color theme="1" tint="0.499984740745262"/>
      </right>
      <top style="double">
        <color theme="1"/>
      </top>
      <bottom/>
      <diagonal/>
    </border>
    <border>
      <left style="thin">
        <color theme="1" tint="0.499984740745262"/>
      </left>
      <right style="double">
        <color theme="1"/>
      </right>
      <top style="double">
        <color theme="1"/>
      </top>
      <bottom/>
      <diagonal/>
    </border>
    <border>
      <left style="double">
        <color theme="1"/>
      </left>
      <right style="thin">
        <color theme="1" tint="0.499984740745262"/>
      </right>
      <top style="thin">
        <color theme="1" tint="0.499984740745262"/>
      </top>
      <bottom style="double">
        <color theme="1"/>
      </bottom>
      <diagonal/>
    </border>
    <border>
      <left style="double">
        <color theme="1"/>
      </left>
      <right style="thin">
        <color theme="1" tint="0.499984740745262"/>
      </right>
      <top/>
      <bottom style="double">
        <color theme="1"/>
      </bottom>
      <diagonal/>
    </border>
    <border>
      <left style="thin">
        <color theme="1" tint="0.499984740745262"/>
      </left>
      <right style="double">
        <color theme="1"/>
      </right>
      <top/>
      <bottom style="double">
        <color theme="1"/>
      </bottom>
      <diagonal/>
    </border>
    <border>
      <left style="double">
        <color indexed="64"/>
      </left>
      <right style="thin">
        <color theme="1" tint="0.499984740745262"/>
      </right>
      <top style="double">
        <color indexed="64"/>
      </top>
      <bottom style="thin">
        <color theme="0" tint="-0.499984740745262"/>
      </bottom>
      <diagonal/>
    </border>
    <border>
      <left style="thin">
        <color theme="1" tint="0.499984740745262"/>
      </left>
      <right style="thin">
        <color theme="1" tint="0.499984740745262"/>
      </right>
      <top style="double">
        <color indexed="64"/>
      </top>
      <bottom style="thin">
        <color theme="0" tint="-0.499984740745262"/>
      </bottom>
      <diagonal/>
    </border>
    <border>
      <left style="thin">
        <color theme="1" tint="0.499984740745262"/>
      </left>
      <right style="double">
        <color indexed="64"/>
      </right>
      <top style="double">
        <color indexed="64"/>
      </top>
      <bottom style="thin">
        <color theme="0" tint="-0.499984740745262"/>
      </bottom>
      <diagonal/>
    </border>
    <border>
      <left style="double">
        <color indexed="64"/>
      </left>
      <right style="thin">
        <color theme="1"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0" tint="-0.499984740745262"/>
      </top>
      <bottom style="thin">
        <color theme="0" tint="-0.499984740745262"/>
      </bottom>
      <diagonal/>
    </border>
    <border>
      <left style="thin">
        <color theme="1" tint="0.499984740745262"/>
      </left>
      <right style="double">
        <color indexed="64"/>
      </right>
      <top style="thin">
        <color theme="0" tint="-0.499984740745262"/>
      </top>
      <bottom style="thin">
        <color theme="0" tint="-0.499984740745262"/>
      </bottom>
      <diagonal/>
    </border>
    <border>
      <left style="thin">
        <color theme="1" tint="0.499984740745262"/>
      </left>
      <right style="thin">
        <color theme="1" tint="0.499984740745262"/>
      </right>
      <top style="double">
        <color indexed="64"/>
      </top>
      <bottom/>
      <diagonal/>
    </border>
    <border>
      <left style="double">
        <color indexed="64"/>
      </left>
      <right style="thin">
        <color theme="1" tint="0.499984740745262"/>
      </right>
      <top style="double">
        <color indexed="64"/>
      </top>
      <bottom style="thin">
        <color theme="1" tint="0.34998626667073579"/>
      </bottom>
      <diagonal/>
    </border>
    <border>
      <left style="thin">
        <color theme="1" tint="0.499984740745262"/>
      </left>
      <right style="thin">
        <color theme="1" tint="0.499984740745262"/>
      </right>
      <top style="double">
        <color indexed="64"/>
      </top>
      <bottom style="thin">
        <color theme="1" tint="0.34998626667073579"/>
      </bottom>
      <diagonal/>
    </border>
    <border>
      <left style="thin">
        <color theme="1" tint="0.499984740745262"/>
      </left>
      <right style="double">
        <color indexed="64"/>
      </right>
      <top style="double">
        <color indexed="64"/>
      </top>
      <bottom style="thin">
        <color theme="1" tint="0.34998626667073579"/>
      </bottom>
      <diagonal/>
    </border>
    <border>
      <left style="double">
        <color indexed="64"/>
      </left>
      <right style="thin">
        <color theme="1" tint="0.499984740745262"/>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34998626667073579"/>
      </top>
      <bottom style="thin">
        <color theme="1" tint="0.34998626667073579"/>
      </bottom>
      <diagonal/>
    </border>
    <border>
      <left style="thin">
        <color theme="1" tint="0.499984740745262"/>
      </left>
      <right style="double">
        <color indexed="64"/>
      </right>
      <top style="thin">
        <color theme="1" tint="0.34998626667073579"/>
      </top>
      <bottom style="thin">
        <color theme="1" tint="0.34998626667073579"/>
      </bottom>
      <diagonal/>
    </border>
    <border>
      <left style="double">
        <color indexed="64"/>
      </left>
      <right style="thin">
        <color theme="2" tint="-0.24994659260841701"/>
      </right>
      <top style="thin">
        <color theme="1" tint="0.34998626667073579"/>
      </top>
      <bottom style="thin">
        <color theme="1" tint="0.34998626667073579"/>
      </bottom>
      <diagonal/>
    </border>
    <border>
      <left style="double">
        <color indexed="64"/>
      </left>
      <right style="thin">
        <color theme="2" tint="-0.24994659260841701"/>
      </right>
      <top style="thin">
        <color theme="1" tint="0.34998626667073579"/>
      </top>
      <bottom style="double">
        <color indexed="64"/>
      </bottom>
      <diagonal/>
    </border>
    <border>
      <left style="thin">
        <color theme="1" tint="0.499984740745262"/>
      </left>
      <right style="thin">
        <color theme="1" tint="0.499984740745262"/>
      </right>
      <top style="thin">
        <color theme="1" tint="0.34998626667073579"/>
      </top>
      <bottom style="double">
        <color indexed="64"/>
      </bottom>
      <diagonal/>
    </border>
    <border>
      <left style="thin">
        <color theme="1" tint="0.499984740745262"/>
      </left>
      <right style="double">
        <color indexed="64"/>
      </right>
      <top style="thin">
        <color theme="1" tint="0.34998626667073579"/>
      </top>
      <bottom style="double">
        <color indexed="64"/>
      </bottom>
      <diagonal/>
    </border>
    <border>
      <left style="thin">
        <color theme="1" tint="0.499984740745262"/>
      </left>
      <right style="thin">
        <color theme="1" tint="0.499984740745262"/>
      </right>
      <top/>
      <bottom style="thin">
        <color theme="1" tint="0.34998626667073579"/>
      </bottom>
      <diagonal/>
    </border>
    <border>
      <left/>
      <right/>
      <top/>
      <bottom style="double">
        <color theme="1"/>
      </bottom>
      <diagonal/>
    </border>
    <border>
      <left style="double">
        <color theme="1"/>
      </left>
      <right style="thin">
        <color theme="2" tint="-0.24994659260841701"/>
      </right>
      <top style="double">
        <color theme="1"/>
      </top>
      <bottom style="double">
        <color theme="1"/>
      </bottom>
      <diagonal/>
    </border>
    <border>
      <left style="thin">
        <color theme="1" tint="0.499984740745262"/>
      </left>
      <right style="thin">
        <color theme="1" tint="0.499984740745262"/>
      </right>
      <top style="double">
        <color theme="1"/>
      </top>
      <bottom style="double">
        <color theme="1"/>
      </bottom>
      <diagonal/>
    </border>
    <border>
      <left style="thin">
        <color theme="1" tint="0.499984740745262"/>
      </left>
      <right style="double">
        <color theme="1"/>
      </right>
      <top style="double">
        <color theme="1"/>
      </top>
      <bottom style="double">
        <color theme="1"/>
      </bottom>
      <diagonal/>
    </border>
    <border>
      <left style="double">
        <color theme="1"/>
      </left>
      <right style="thin">
        <color theme="1" tint="0.499984740745262"/>
      </right>
      <top style="double">
        <color theme="1"/>
      </top>
      <bottom style="thin">
        <color theme="1" tint="0.24994659260841701"/>
      </bottom>
      <diagonal/>
    </border>
    <border>
      <left style="thin">
        <color theme="1" tint="0.499984740745262"/>
      </left>
      <right style="thin">
        <color theme="1" tint="0.499984740745262"/>
      </right>
      <top style="double">
        <color theme="1"/>
      </top>
      <bottom style="thin">
        <color theme="1" tint="0.24994659260841701"/>
      </bottom>
      <diagonal/>
    </border>
    <border>
      <left style="thin">
        <color theme="1" tint="0.499984740745262"/>
      </left>
      <right style="double">
        <color theme="1"/>
      </right>
      <top style="double">
        <color theme="1"/>
      </top>
      <bottom style="thin">
        <color theme="1" tint="0.24994659260841701"/>
      </bottom>
      <diagonal/>
    </border>
    <border>
      <left style="double">
        <color theme="1"/>
      </left>
      <right style="thin">
        <color theme="1" tint="0.499984740745262"/>
      </right>
      <top style="thin">
        <color theme="1" tint="0.24994659260841701"/>
      </top>
      <bottom style="thin">
        <color theme="1" tint="0.24994659260841701"/>
      </bottom>
      <diagonal/>
    </border>
    <border>
      <left style="thin">
        <color theme="1" tint="0.499984740745262"/>
      </left>
      <right style="thin">
        <color theme="1" tint="0.499984740745262"/>
      </right>
      <top style="thin">
        <color theme="1" tint="0.24994659260841701"/>
      </top>
      <bottom style="thin">
        <color theme="1" tint="0.24994659260841701"/>
      </bottom>
      <diagonal/>
    </border>
    <border>
      <left style="thin">
        <color theme="1" tint="0.499984740745262"/>
      </left>
      <right style="double">
        <color theme="1"/>
      </right>
      <top style="thin">
        <color theme="1" tint="0.24994659260841701"/>
      </top>
      <bottom style="thin">
        <color theme="1" tint="0.24994659260841701"/>
      </bottom>
      <diagonal/>
    </border>
    <border>
      <left style="double">
        <color theme="1"/>
      </left>
      <right style="thin">
        <color theme="1" tint="0.499984740745262"/>
      </right>
      <top style="thin">
        <color theme="1" tint="0.24994659260841701"/>
      </top>
      <bottom style="double">
        <color theme="1"/>
      </bottom>
      <diagonal/>
    </border>
    <border>
      <left style="thin">
        <color theme="1" tint="0.499984740745262"/>
      </left>
      <right style="thin">
        <color theme="1" tint="0.499984740745262"/>
      </right>
      <top style="thin">
        <color theme="1" tint="0.24994659260841701"/>
      </top>
      <bottom style="double">
        <color theme="1"/>
      </bottom>
      <diagonal/>
    </border>
    <border>
      <left style="thin">
        <color theme="1" tint="0.499984740745262"/>
      </left>
      <right style="double">
        <color theme="1"/>
      </right>
      <top style="thin">
        <color theme="1" tint="0.24994659260841701"/>
      </top>
      <bottom style="double">
        <color theme="1"/>
      </bottom>
      <diagonal/>
    </border>
    <border>
      <left style="double">
        <color theme="1" tint="0.14996795556505021"/>
      </left>
      <right style="thin">
        <color theme="2" tint="-0.24994659260841701"/>
      </right>
      <top style="double">
        <color theme="1" tint="0.14996795556505021"/>
      </top>
      <bottom style="double">
        <color theme="1" tint="0.14996795556505021"/>
      </bottom>
      <diagonal/>
    </border>
    <border>
      <left style="thin">
        <color theme="1" tint="0.499984740745262"/>
      </left>
      <right style="thin">
        <color theme="1" tint="0.499984740745262"/>
      </right>
      <top style="double">
        <color theme="1" tint="0.14996795556505021"/>
      </top>
      <bottom style="double">
        <color theme="1" tint="0.14996795556505021"/>
      </bottom>
      <diagonal/>
    </border>
    <border>
      <left style="thin">
        <color theme="1" tint="0.499984740745262"/>
      </left>
      <right style="double">
        <color theme="1" tint="0.14996795556505021"/>
      </right>
      <top style="double">
        <color theme="1" tint="0.14996795556505021"/>
      </top>
      <bottom style="double">
        <color theme="1" tint="0.14996795556505021"/>
      </bottom>
      <diagonal/>
    </border>
    <border>
      <left style="double">
        <color theme="1" tint="0.24994659260841701"/>
      </left>
      <right style="thin">
        <color theme="1" tint="0.499984740745262"/>
      </right>
      <top style="double">
        <color theme="1" tint="0.24994659260841701"/>
      </top>
      <bottom style="double">
        <color theme="1" tint="0.24994659260841701"/>
      </bottom>
      <diagonal/>
    </border>
    <border>
      <left style="thin">
        <color theme="1" tint="0.499984740745262"/>
      </left>
      <right style="thin">
        <color theme="1" tint="0.499984740745262"/>
      </right>
      <top style="double">
        <color theme="1" tint="0.24994659260841701"/>
      </top>
      <bottom style="double">
        <color theme="1" tint="0.24994659260841701"/>
      </bottom>
      <diagonal/>
    </border>
    <border>
      <left style="thin">
        <color theme="1" tint="0.499984740745262"/>
      </left>
      <right style="double">
        <color theme="1" tint="0.24994659260841701"/>
      </right>
      <top style="double">
        <color theme="1" tint="0.24994659260841701"/>
      </top>
      <bottom style="double">
        <color theme="1" tint="0.24994659260841701"/>
      </bottom>
      <diagonal/>
    </border>
    <border>
      <left style="thin">
        <color theme="1" tint="0.499984740745262"/>
      </left>
      <right style="thin">
        <color theme="1" tint="0.499984740745262"/>
      </right>
      <top/>
      <bottom style="thin">
        <color theme="0" tint="-0.499984740745262"/>
      </bottom>
      <diagonal/>
    </border>
    <border>
      <left style="thin">
        <color theme="1" tint="0.499984740745262"/>
      </left>
      <right style="thin">
        <color theme="1" tint="0.499984740745262"/>
      </right>
      <top style="thin">
        <color theme="0" tint="-0.499984740745262"/>
      </top>
      <bottom/>
      <diagonal/>
    </border>
    <border>
      <left style="double">
        <color theme="1"/>
      </left>
      <right style="thin">
        <color theme="1" tint="0.499984740745262"/>
      </right>
      <top style="thin">
        <color theme="1" tint="0.24994659260841701"/>
      </top>
      <bottom style="thin">
        <color theme="1" tint="0.34998626667073579"/>
      </bottom>
      <diagonal/>
    </border>
    <border>
      <left style="thin">
        <color theme="1" tint="0.499984740745262"/>
      </left>
      <right style="thin">
        <color theme="1" tint="0.499984740745262"/>
      </right>
      <top style="thin">
        <color theme="1" tint="0.24994659260841701"/>
      </top>
      <bottom style="thin">
        <color theme="1" tint="0.34998626667073579"/>
      </bottom>
      <diagonal/>
    </border>
    <border>
      <left style="double">
        <color theme="1"/>
      </left>
      <right style="thin">
        <color theme="1" tint="0.499984740745262"/>
      </right>
      <top style="thin">
        <color theme="1" tint="0.34998626667073579"/>
      </top>
      <bottom style="thin">
        <color theme="1" tint="0.34998626667073579"/>
      </bottom>
      <diagonal/>
    </border>
    <border>
      <left style="double">
        <color theme="1"/>
      </left>
      <right style="thin">
        <color theme="1" tint="0.499984740745262"/>
      </right>
      <top style="thin">
        <color theme="1" tint="0.34998626667073579"/>
      </top>
      <bottom style="thin">
        <color theme="1" tint="0.24994659260841701"/>
      </bottom>
      <diagonal/>
    </border>
    <border>
      <left style="thin">
        <color theme="1" tint="0.499984740745262"/>
      </left>
      <right style="thin">
        <color theme="1" tint="0.499984740745262"/>
      </right>
      <top style="thin">
        <color theme="1" tint="0.34998626667073579"/>
      </top>
      <bottom style="thin">
        <color theme="1" tint="0.24994659260841701"/>
      </bottom>
      <diagonal/>
    </border>
    <border>
      <left style="thin">
        <color theme="1" tint="0.499984740745262"/>
      </left>
      <right style="thin">
        <color theme="1" tint="0.499984740745262"/>
      </right>
      <top style="thin">
        <color theme="1" tint="0.24994659260841701"/>
      </top>
      <bottom/>
      <diagonal/>
    </border>
    <border>
      <left style="thin">
        <color theme="1" tint="0.499984740745262"/>
      </left>
      <right style="thin">
        <color theme="1" tint="0.499984740745262"/>
      </right>
      <top/>
      <bottom style="thin">
        <color theme="1" tint="0.24994659260841701"/>
      </bottom>
      <diagonal/>
    </border>
    <border>
      <left style="thin">
        <color theme="1" tint="0.499984740745262"/>
      </left>
      <right style="double">
        <color theme="1"/>
      </right>
      <top style="thin">
        <color theme="1" tint="0.24994659260841701"/>
      </top>
      <bottom/>
      <diagonal/>
    </border>
    <border>
      <left style="thin">
        <color theme="1" tint="0.499984740745262"/>
      </left>
      <right style="double">
        <color theme="1"/>
      </right>
      <top/>
      <bottom style="thin">
        <color theme="1" tint="0.34998626667073579"/>
      </bottom>
      <diagonal/>
    </border>
    <border>
      <left style="thin">
        <color theme="1" tint="0.499984740745262"/>
      </left>
      <right style="thin">
        <color theme="1" tint="0.499984740745262"/>
      </right>
      <top style="thin">
        <color theme="1" tint="0.34998626667073579"/>
      </top>
      <bottom/>
      <diagonal/>
    </border>
    <border>
      <left/>
      <right/>
      <top style="thin">
        <color theme="1" tint="0.24994659260841701"/>
      </top>
      <bottom/>
      <diagonal/>
    </border>
    <border>
      <left/>
      <right/>
      <top/>
      <bottom style="thin">
        <color theme="1" tint="0.24994659260841701"/>
      </bottom>
      <diagonal/>
    </border>
    <border>
      <left style="double">
        <color indexed="64"/>
      </left>
      <right style="thin">
        <color theme="1" tint="0.499984740745262"/>
      </right>
      <top style="thin">
        <color theme="0" tint="-0.499984740745262"/>
      </top>
      <bottom style="thin">
        <color theme="1" tint="0.24994659260841701"/>
      </bottom>
      <diagonal/>
    </border>
    <border>
      <left style="thin">
        <color theme="1" tint="0.499984740745262"/>
      </left>
      <right style="thin">
        <color theme="1" tint="0.499984740745262"/>
      </right>
      <top style="thin">
        <color theme="0" tint="-0.499984740745262"/>
      </top>
      <bottom style="thin">
        <color theme="1" tint="0.24994659260841701"/>
      </bottom>
      <diagonal/>
    </border>
    <border>
      <left style="thin">
        <color theme="1" tint="0.499984740745262"/>
      </left>
      <right style="double">
        <color indexed="64"/>
      </right>
      <top style="thin">
        <color theme="0" tint="-0.499984740745262"/>
      </top>
      <bottom style="thin">
        <color theme="1" tint="0.24994659260841701"/>
      </bottom>
      <diagonal/>
    </border>
    <border>
      <left style="double">
        <color indexed="64"/>
      </left>
      <right style="thin">
        <color theme="1" tint="0.499984740745262"/>
      </right>
      <top style="thin">
        <color theme="1" tint="0.24994659260841701"/>
      </top>
      <bottom style="thin">
        <color theme="1" tint="0.24994659260841701"/>
      </bottom>
      <diagonal/>
    </border>
    <border>
      <left style="thin">
        <color theme="1" tint="0.499984740745262"/>
      </left>
      <right style="double">
        <color indexed="64"/>
      </right>
      <top style="thin">
        <color theme="1" tint="0.24994659260841701"/>
      </top>
      <bottom style="thin">
        <color theme="1" tint="0.24994659260841701"/>
      </bottom>
      <diagonal/>
    </border>
    <border>
      <left style="double">
        <color indexed="64"/>
      </left>
      <right style="thin">
        <color theme="1" tint="0.499984740745262"/>
      </right>
      <top style="thin">
        <color theme="1" tint="0.24994659260841701"/>
      </top>
      <bottom style="double">
        <color indexed="64"/>
      </bottom>
      <diagonal/>
    </border>
    <border>
      <left style="thin">
        <color theme="1" tint="0.499984740745262"/>
      </left>
      <right style="thin">
        <color theme="1" tint="0.499984740745262"/>
      </right>
      <top style="thin">
        <color theme="1" tint="0.24994659260841701"/>
      </top>
      <bottom style="double">
        <color indexed="64"/>
      </bottom>
      <diagonal/>
    </border>
    <border>
      <left style="thin">
        <color theme="1" tint="0.499984740745262"/>
      </left>
      <right style="double">
        <color indexed="64"/>
      </right>
      <top style="thin">
        <color theme="1" tint="0.24994659260841701"/>
      </top>
      <bottom style="double">
        <color indexed="64"/>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1">
    <xf numFmtId="0" fontId="0" fillId="0" borderId="0"/>
    <xf numFmtId="43" fontId="3" fillId="0" borderId="0" applyFont="0" applyFill="0" applyBorder="0" applyAlignment="0" applyProtection="0"/>
    <xf numFmtId="0" fontId="2" fillId="0" borderId="0" applyNumberFormat="0" applyFill="0" applyBorder="0" applyAlignment="0" applyProtection="0"/>
    <xf numFmtId="0" fontId="1" fillId="0" borderId="0"/>
    <xf numFmtId="9" fontId="1" fillId="0" borderId="0" applyFont="0" applyFill="0" applyBorder="0" applyAlignment="0" applyProtection="0"/>
    <xf numFmtId="166" fontId="1" fillId="0" borderId="0" applyFont="0" applyFill="0" applyBorder="0" applyAlignment="0" applyProtection="0"/>
    <xf numFmtId="0" fontId="5" fillId="0" borderId="0" applyNumberFormat="0" applyBorder="0" applyProtection="0"/>
    <xf numFmtId="9" fontId="3" fillId="0" borderId="0" applyFont="0" applyFill="0" applyBorder="0" applyAlignment="0" applyProtection="0"/>
    <xf numFmtId="164" fontId="3" fillId="0" borderId="0" applyFont="0" applyFill="0" applyBorder="0" applyAlignment="0" applyProtection="0"/>
    <xf numFmtId="0" fontId="45" fillId="0" borderId="0"/>
    <xf numFmtId="0" fontId="53" fillId="0" borderId="0"/>
  </cellStyleXfs>
  <cellXfs count="1322">
    <xf numFmtId="0" fontId="0" fillId="0" borderId="0" xfId="0"/>
    <xf numFmtId="0" fontId="9" fillId="5" borderId="2" xfId="0" applyFont="1" applyFill="1" applyBorder="1" applyAlignment="1">
      <alignment horizontal="center" vertical="center" wrapText="1"/>
    </xf>
    <xf numFmtId="0" fontId="8" fillId="0" borderId="0" xfId="0" applyFont="1" applyAlignment="1">
      <alignment vertical="center"/>
    </xf>
    <xf numFmtId="0" fontId="8" fillId="0" borderId="0" xfId="0" applyFont="1" applyAlignment="1">
      <alignment vertical="center" wrapText="1"/>
    </xf>
    <xf numFmtId="0" fontId="9" fillId="5"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8" fillId="0" borderId="4" xfId="0" applyFont="1" applyBorder="1" applyAlignment="1">
      <alignment vertical="center" wrapText="1"/>
    </xf>
    <xf numFmtId="0" fontId="8" fillId="0" borderId="4" xfId="0" applyFont="1" applyBorder="1" applyAlignment="1">
      <alignment vertical="center"/>
    </xf>
    <xf numFmtId="43" fontId="8" fillId="0" borderId="4" xfId="1" applyFont="1" applyFill="1" applyBorder="1" applyAlignment="1">
      <alignment vertical="center"/>
    </xf>
    <xf numFmtId="0" fontId="8" fillId="0" borderId="5" xfId="0" applyFont="1" applyBorder="1" applyAlignment="1">
      <alignment vertical="center"/>
    </xf>
    <xf numFmtId="0" fontId="8" fillId="0" borderId="5" xfId="0" applyFont="1" applyBorder="1" applyAlignment="1">
      <alignment vertical="center" wrapText="1"/>
    </xf>
    <xf numFmtId="43" fontId="8" fillId="0" borderId="5" xfId="1" applyFont="1" applyFill="1" applyBorder="1" applyAlignment="1">
      <alignment vertical="center"/>
    </xf>
    <xf numFmtId="0" fontId="8" fillId="0" borderId="6" xfId="0" applyFont="1" applyBorder="1" applyAlignment="1">
      <alignment vertical="center" wrapText="1"/>
    </xf>
    <xf numFmtId="43" fontId="8" fillId="0" borderId="0" xfId="1" applyFont="1" applyFill="1" applyBorder="1" applyAlignment="1">
      <alignment vertical="center"/>
    </xf>
    <xf numFmtId="0" fontId="8" fillId="0" borderId="16" xfId="0" applyFont="1" applyBorder="1" applyAlignment="1">
      <alignment vertical="center" wrapText="1"/>
    </xf>
    <xf numFmtId="0" fontId="8" fillId="0" borderId="16" xfId="0" applyFont="1" applyBorder="1" applyAlignment="1">
      <alignment vertical="center"/>
    </xf>
    <xf numFmtId="0" fontId="8" fillId="0" borderId="17" xfId="0" applyFont="1" applyBorder="1" applyAlignment="1">
      <alignment vertical="center" wrapText="1"/>
    </xf>
    <xf numFmtId="43" fontId="8" fillId="0" borderId="16" xfId="1" applyFont="1" applyFill="1" applyBorder="1" applyAlignment="1">
      <alignment vertical="center"/>
    </xf>
    <xf numFmtId="4" fontId="15" fillId="0" borderId="19" xfId="1" applyNumberFormat="1" applyFont="1" applyFill="1" applyBorder="1" applyAlignment="1">
      <alignment horizontal="left" vertical="center" wrapText="1"/>
    </xf>
    <xf numFmtId="43" fontId="16" fillId="0" borderId="20" xfId="1" applyFont="1" applyFill="1" applyBorder="1" applyAlignment="1">
      <alignment horizontal="left" vertical="center" wrapText="1"/>
    </xf>
    <xf numFmtId="0" fontId="8" fillId="0" borderId="6" xfId="0" applyFont="1" applyBorder="1" applyAlignment="1">
      <alignment vertical="center"/>
    </xf>
    <xf numFmtId="0" fontId="8" fillId="0" borderId="0" xfId="0" applyFont="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wrapText="1"/>
    </xf>
    <xf numFmtId="0" fontId="8" fillId="0" borderId="16" xfId="0" applyFont="1" applyBorder="1" applyAlignment="1">
      <alignment horizontal="left" vertical="center" wrapText="1"/>
    </xf>
    <xf numFmtId="0" fontId="8" fillId="0" borderId="22" xfId="0" applyFont="1" applyBorder="1" applyAlignment="1">
      <alignment horizontal="center" vertical="center"/>
    </xf>
    <xf numFmtId="0" fontId="8" fillId="0" borderId="22" xfId="0" applyFont="1" applyBorder="1" applyAlignment="1">
      <alignment vertical="center"/>
    </xf>
    <xf numFmtId="0" fontId="9" fillId="0" borderId="3" xfId="0" applyFont="1" applyBorder="1" applyAlignment="1">
      <alignment horizontal="center" vertical="center" wrapText="1"/>
    </xf>
    <xf numFmtId="0" fontId="8" fillId="0" borderId="0" xfId="0" applyFont="1" applyAlignment="1">
      <alignment horizontal="center" vertical="center"/>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16" xfId="0" applyFont="1" applyBorder="1" applyAlignment="1">
      <alignment horizontal="center" vertical="center"/>
    </xf>
    <xf numFmtId="0" fontId="8" fillId="0" borderId="6" xfId="0" applyFont="1" applyBorder="1" applyAlignment="1">
      <alignment horizontal="center" vertical="center"/>
    </xf>
    <xf numFmtId="43" fontId="12" fillId="0" borderId="4" xfId="1" applyFont="1" applyFill="1" applyBorder="1" applyAlignment="1">
      <alignment vertical="center"/>
    </xf>
    <xf numFmtId="0" fontId="12" fillId="0" borderId="0" xfId="0" applyFont="1" applyAlignment="1">
      <alignment vertical="center"/>
    </xf>
    <xf numFmtId="43" fontId="8" fillId="0" borderId="5" xfId="1" applyFont="1" applyFill="1" applyBorder="1" applyAlignment="1">
      <alignment horizontal="center" vertical="center"/>
    </xf>
    <xf numFmtId="0" fontId="8" fillId="0" borderId="24" xfId="0" applyFont="1" applyBorder="1" applyAlignment="1">
      <alignment horizontal="left" vertical="center" wrapText="1"/>
    </xf>
    <xf numFmtId="0" fontId="8" fillId="0" borderId="22" xfId="0" applyFont="1" applyBorder="1" applyAlignment="1">
      <alignment vertical="center" wrapText="1"/>
    </xf>
    <xf numFmtId="0" fontId="28" fillId="0" borderId="0" xfId="0" applyFont="1" applyAlignment="1">
      <alignment vertical="center"/>
    </xf>
    <xf numFmtId="43" fontId="24" fillId="0" borderId="0" xfId="1" applyFont="1" applyAlignment="1">
      <alignment vertical="center"/>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9" fillId="0" borderId="94" xfId="0" applyFont="1" applyBorder="1" applyAlignment="1">
      <alignment horizontal="center" vertical="center"/>
    </xf>
    <xf numFmtId="0" fontId="30" fillId="0" borderId="0" xfId="0" applyFont="1" applyAlignment="1">
      <alignment horizontal="center" vertical="center"/>
    </xf>
    <xf numFmtId="0" fontId="30" fillId="0" borderId="0" xfId="0" applyFont="1" applyAlignment="1">
      <alignment horizontal="center" vertical="center" wrapText="1"/>
    </xf>
    <xf numFmtId="0" fontId="29" fillId="0" borderId="0" xfId="0" applyFont="1" applyAlignment="1">
      <alignment horizontal="center" vertical="center" wrapText="1"/>
    </xf>
    <xf numFmtId="170" fontId="29" fillId="22" borderId="93" xfId="1" applyNumberFormat="1" applyFont="1" applyFill="1" applyBorder="1" applyAlignment="1">
      <alignment horizontal="center" vertical="center" wrapText="1"/>
    </xf>
    <xf numFmtId="0" fontId="28" fillId="0" borderId="0" xfId="0" applyFont="1" applyAlignment="1">
      <alignment horizontal="center" vertical="center" wrapText="1"/>
    </xf>
    <xf numFmtId="0" fontId="32" fillId="0" borderId="97" xfId="0" applyFont="1" applyBorder="1" applyAlignment="1">
      <alignment horizontal="center" vertical="center"/>
    </xf>
    <xf numFmtId="0" fontId="32" fillId="0" borderId="94" xfId="0" applyFont="1" applyBorder="1" applyAlignment="1">
      <alignment horizontal="center" vertical="center"/>
    </xf>
    <xf numFmtId="170" fontId="32" fillId="0" borderId="98" xfId="1" applyNumberFormat="1" applyFont="1" applyBorder="1" applyAlignment="1">
      <alignment horizontal="center" vertical="center"/>
    </xf>
    <xf numFmtId="0" fontId="32" fillId="0" borderId="99" xfId="0" applyFont="1" applyBorder="1" applyAlignment="1">
      <alignment horizontal="center" vertical="center" wrapText="1"/>
    </xf>
    <xf numFmtId="0" fontId="32" fillId="0" borderId="0" xfId="0" applyFont="1" applyAlignment="1">
      <alignment horizontal="center" vertical="center" wrapText="1"/>
    </xf>
    <xf numFmtId="170" fontId="32" fillId="0" borderId="97" xfId="1" applyNumberFormat="1" applyFont="1" applyBorder="1" applyAlignment="1">
      <alignment horizontal="center" vertical="center" wrapText="1"/>
    </xf>
    <xf numFmtId="170" fontId="32" fillId="0" borderId="99" xfId="1" applyNumberFormat="1" applyFont="1" applyBorder="1" applyAlignment="1">
      <alignment horizontal="center" vertical="center" wrapText="1"/>
    </xf>
    <xf numFmtId="0" fontId="32" fillId="0" borderId="100" xfId="0" applyFont="1" applyBorder="1" applyAlignment="1">
      <alignment horizontal="center" vertical="center" wrapText="1"/>
    </xf>
    <xf numFmtId="49" fontId="33" fillId="0" borderId="92" xfId="0" applyNumberFormat="1" applyFont="1" applyBorder="1" applyAlignment="1">
      <alignment horizontal="center" vertical="center"/>
    </xf>
    <xf numFmtId="170" fontId="34" fillId="0" borderId="92" xfId="1" applyNumberFormat="1" applyFont="1" applyBorder="1" applyAlignment="1">
      <alignment horizontal="center" vertical="center"/>
    </xf>
    <xf numFmtId="170" fontId="32" fillId="0" borderId="92" xfId="1" applyNumberFormat="1" applyFont="1" applyBorder="1" applyAlignment="1">
      <alignment horizontal="center" vertical="center"/>
    </xf>
    <xf numFmtId="0" fontId="31" fillId="0" borderId="101" xfId="0" applyFont="1" applyBorder="1" applyAlignment="1">
      <alignment vertical="center"/>
    </xf>
    <xf numFmtId="0" fontId="35" fillId="0" borderId="94" xfId="0" applyFont="1" applyBorder="1" applyAlignment="1">
      <alignment horizontal="center" vertical="center"/>
    </xf>
    <xf numFmtId="49" fontId="36" fillId="0" borderId="102" xfId="0" applyNumberFormat="1" applyFont="1" applyBorder="1" applyAlignment="1">
      <alignment horizontal="center" vertical="center" wrapText="1"/>
    </xf>
    <xf numFmtId="170" fontId="35" fillId="0" borderId="103" xfId="1" applyNumberFormat="1" applyFont="1" applyFill="1" applyBorder="1" applyAlignment="1">
      <alignment vertical="center" wrapText="1"/>
    </xf>
    <xf numFmtId="0" fontId="35" fillId="0" borderId="104" xfId="0" applyFont="1" applyBorder="1" applyAlignment="1">
      <alignment horizontal="center" vertical="center" wrapText="1"/>
    </xf>
    <xf numFmtId="0" fontId="35" fillId="0" borderId="0" xfId="0" applyFont="1" applyAlignment="1">
      <alignment horizontal="center" vertical="center" wrapText="1"/>
    </xf>
    <xf numFmtId="170" fontId="31" fillId="0" borderId="101" xfId="1" applyNumberFormat="1" applyFont="1" applyFill="1" applyBorder="1" applyAlignment="1">
      <alignment horizontal="center" vertical="center" wrapText="1"/>
    </xf>
    <xf numFmtId="170" fontId="31" fillId="0" borderId="104" xfId="1" applyNumberFormat="1" applyFont="1" applyFill="1" applyBorder="1" applyAlignment="1">
      <alignment horizontal="center" vertical="center" wrapText="1"/>
    </xf>
    <xf numFmtId="0" fontId="35" fillId="0" borderId="0" xfId="0" applyFont="1" applyAlignment="1">
      <alignment horizontal="right" vertical="center" wrapText="1"/>
    </xf>
    <xf numFmtId="0" fontId="31" fillId="0" borderId="102" xfId="0" applyFont="1" applyBorder="1" applyAlignment="1">
      <alignment horizontal="center" vertical="center" wrapText="1"/>
    </xf>
    <xf numFmtId="49" fontId="37" fillId="0" borderId="102" xfId="0" quotePrefix="1" applyNumberFormat="1" applyFont="1" applyBorder="1" applyAlignment="1">
      <alignment horizontal="center" vertical="center"/>
    </xf>
    <xf numFmtId="170" fontId="31" fillId="0" borderId="104" xfId="1" applyNumberFormat="1" applyFont="1" applyFill="1" applyBorder="1" applyAlignment="1">
      <alignment horizontal="center" vertical="center"/>
    </xf>
    <xf numFmtId="49" fontId="37" fillId="0" borderId="102" xfId="0" quotePrefix="1" applyNumberFormat="1" applyFont="1" applyBorder="1" applyAlignment="1">
      <alignment horizontal="left" vertical="center"/>
    </xf>
    <xf numFmtId="0" fontId="36" fillId="0" borderId="102" xfId="0" quotePrefix="1" applyFont="1" applyBorder="1" applyAlignment="1">
      <alignment horizontal="center" vertical="center" wrapText="1"/>
    </xf>
    <xf numFmtId="170" fontId="31" fillId="0" borderId="104" xfId="1" applyNumberFormat="1" applyFont="1" applyBorder="1" applyAlignment="1">
      <alignment horizontal="center" vertical="center" wrapText="1"/>
    </xf>
    <xf numFmtId="170" fontId="31" fillId="0" borderId="103" xfId="1" applyNumberFormat="1" applyFont="1" applyBorder="1" applyAlignment="1">
      <alignment horizontal="center" vertical="center" wrapText="1"/>
    </xf>
    <xf numFmtId="49" fontId="37" fillId="0" borderId="102" xfId="0" applyNumberFormat="1" applyFont="1" applyBorder="1" applyAlignment="1">
      <alignment horizontal="center" vertical="center"/>
    </xf>
    <xf numFmtId="170" fontId="28" fillId="0" borderId="104" xfId="1" applyNumberFormat="1" applyFont="1" applyBorder="1" applyAlignment="1">
      <alignment horizontal="center" vertical="center"/>
    </xf>
    <xf numFmtId="0" fontId="28" fillId="0" borderId="101" xfId="0" applyFont="1" applyBorder="1" applyAlignment="1">
      <alignment vertical="center"/>
    </xf>
    <xf numFmtId="0" fontId="28" fillId="0" borderId="101" xfId="0" applyFont="1" applyBorder="1" applyAlignment="1">
      <alignment horizontal="center" vertical="center"/>
    </xf>
    <xf numFmtId="0" fontId="28" fillId="0" borderId="94" xfId="0" applyFont="1" applyBorder="1" applyAlignment="1">
      <alignment horizontal="center" vertical="center"/>
    </xf>
    <xf numFmtId="170" fontId="28" fillId="0" borderId="103" xfId="1" applyNumberFormat="1" applyFont="1" applyBorder="1" applyAlignment="1">
      <alignment horizontal="center" vertical="center" wrapText="1"/>
    </xf>
    <xf numFmtId="0" fontId="28" fillId="0" borderId="104" xfId="0" applyFont="1" applyBorder="1" applyAlignment="1">
      <alignment horizontal="center" vertical="center" wrapText="1"/>
    </xf>
    <xf numFmtId="170" fontId="28" fillId="0" borderId="101" xfId="1" applyNumberFormat="1" applyFont="1" applyBorder="1" applyAlignment="1">
      <alignment horizontal="center" vertical="center" wrapText="1"/>
    </xf>
    <xf numFmtId="170" fontId="28" fillId="0" borderId="104" xfId="1" applyNumberFormat="1" applyFont="1" applyBorder="1" applyAlignment="1">
      <alignment horizontal="center" vertical="center" wrapText="1"/>
    </xf>
    <xf numFmtId="0" fontId="28" fillId="0" borderId="0" xfId="0" applyFont="1" applyAlignment="1">
      <alignment horizontal="right" vertical="center" wrapText="1"/>
    </xf>
    <xf numFmtId="0" fontId="28" fillId="0" borderId="102" xfId="0" applyFont="1" applyBorder="1" applyAlignment="1">
      <alignment horizontal="center" vertical="center" wrapText="1"/>
    </xf>
    <xf numFmtId="49" fontId="36" fillId="0" borderId="102" xfId="0" quotePrefix="1" applyNumberFormat="1" applyFont="1" applyBorder="1" applyAlignment="1">
      <alignment horizontal="center" vertical="center" wrapText="1"/>
    </xf>
    <xf numFmtId="170" fontId="28" fillId="0" borderId="103" xfId="1" applyNumberFormat="1" applyFont="1" applyBorder="1" applyAlignment="1">
      <alignment vertical="center" wrapText="1"/>
    </xf>
    <xf numFmtId="0" fontId="36" fillId="0" borderId="102" xfId="0" applyFont="1" applyBorder="1" applyAlignment="1">
      <alignment horizontal="center" vertical="center" wrapText="1"/>
    </xf>
    <xf numFmtId="0" fontId="28" fillId="0" borderId="0" xfId="0" applyFont="1" applyAlignment="1">
      <alignment horizontal="center" vertical="center"/>
    </xf>
    <xf numFmtId="49" fontId="36" fillId="0" borderId="0" xfId="0" applyNumberFormat="1" applyFont="1" applyAlignment="1">
      <alignment horizontal="center" vertical="center" wrapText="1"/>
    </xf>
    <xf numFmtId="170" fontId="28" fillId="0" borderId="0" xfId="1" applyNumberFormat="1" applyFont="1" applyAlignment="1">
      <alignment vertical="center" wrapText="1"/>
    </xf>
    <xf numFmtId="170" fontId="28" fillId="0" borderId="0" xfId="1" applyNumberFormat="1" applyFont="1" applyAlignment="1">
      <alignment horizontal="center" vertical="center" wrapText="1"/>
    </xf>
    <xf numFmtId="3" fontId="28" fillId="0" borderId="0" xfId="0" applyNumberFormat="1" applyFont="1" applyAlignment="1">
      <alignment horizontal="center" vertical="center" wrapText="1"/>
    </xf>
    <xf numFmtId="49" fontId="37" fillId="0" borderId="0" xfId="0" applyNumberFormat="1" applyFont="1" applyAlignment="1">
      <alignment horizontal="center" vertical="center"/>
    </xf>
    <xf numFmtId="170" fontId="28" fillId="0" borderId="0" xfId="1" applyNumberFormat="1" applyFont="1" applyAlignment="1">
      <alignment horizontal="center" vertical="center"/>
    </xf>
    <xf numFmtId="0" fontId="36" fillId="0" borderId="0" xfId="0" applyFont="1" applyAlignment="1">
      <alignment horizontal="center" vertical="center" wrapText="1"/>
    </xf>
    <xf numFmtId="0" fontId="31" fillId="0" borderId="101" xfId="0" applyFont="1" applyBorder="1" applyAlignment="1">
      <alignment horizontal="center" vertical="center"/>
    </xf>
    <xf numFmtId="0" fontId="39" fillId="0" borderId="95" xfId="0" applyFont="1" applyBorder="1" applyAlignment="1">
      <alignment horizontal="center" vertical="center"/>
    </xf>
    <xf numFmtId="0" fontId="39" fillId="0" borderId="94" xfId="0" applyFont="1" applyBorder="1" applyAlignment="1">
      <alignment horizontal="center" vertical="center"/>
    </xf>
    <xf numFmtId="0" fontId="39" fillId="0" borderId="94" xfId="0" applyFont="1" applyBorder="1" applyAlignment="1">
      <alignment horizontal="center" vertical="center" wrapText="1"/>
    </xf>
    <xf numFmtId="0" fontId="39" fillId="0" borderId="0" xfId="0" applyFont="1" applyAlignment="1">
      <alignment horizontal="center" vertical="center" wrapText="1"/>
    </xf>
    <xf numFmtId="0" fontId="39" fillId="0" borderId="105" xfId="0" applyFont="1" applyBorder="1" applyAlignment="1">
      <alignment horizontal="center" vertical="center" wrapText="1"/>
    </xf>
    <xf numFmtId="170" fontId="39" fillId="0" borderId="95" xfId="1" applyNumberFormat="1" applyFont="1" applyFill="1" applyBorder="1" applyAlignment="1">
      <alignment horizontal="center" vertical="center" wrapText="1"/>
    </xf>
    <xf numFmtId="170" fontId="39" fillId="0" borderId="105" xfId="1" applyNumberFormat="1" applyFont="1" applyFill="1" applyBorder="1" applyAlignment="1">
      <alignment horizontal="center" vertical="center" wrapText="1"/>
    </xf>
    <xf numFmtId="0" fontId="39" fillId="0" borderId="95" xfId="0" applyFont="1" applyBorder="1" applyAlignment="1">
      <alignment horizontal="center" vertical="center" wrapText="1"/>
    </xf>
    <xf numFmtId="170" fontId="31" fillId="0" borderId="103" xfId="1" applyNumberFormat="1" applyFont="1" applyFill="1" applyBorder="1" applyAlignment="1">
      <alignment vertical="center" wrapText="1"/>
    </xf>
    <xf numFmtId="0" fontId="31" fillId="0" borderId="104" xfId="0" applyFont="1" applyBorder="1" applyAlignment="1">
      <alignment horizontal="center" vertical="center" wrapText="1"/>
    </xf>
    <xf numFmtId="0" fontId="13" fillId="0" borderId="0" xfId="0" applyFont="1" applyAlignment="1">
      <alignment vertical="center"/>
    </xf>
    <xf numFmtId="43" fontId="8" fillId="0" borderId="9" xfId="1" applyFont="1" applyFill="1" applyBorder="1" applyAlignment="1">
      <alignment vertical="center"/>
    </xf>
    <xf numFmtId="14"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25" fillId="0" borderId="3" xfId="0" applyFont="1" applyBorder="1" applyAlignment="1">
      <alignment vertical="center"/>
    </xf>
    <xf numFmtId="14" fontId="25" fillId="0" borderId="3" xfId="0" applyNumberFormat="1" applyFont="1" applyBorder="1" applyAlignment="1">
      <alignment vertical="center"/>
    </xf>
    <xf numFmtId="43" fontId="8" fillId="0" borderId="0" xfId="1" applyFont="1" applyFill="1" applyAlignment="1">
      <alignment vertical="center"/>
    </xf>
    <xf numFmtId="0" fontId="13" fillId="0" borderId="4" xfId="0" applyFont="1" applyBorder="1" applyAlignment="1">
      <alignment vertical="center"/>
    </xf>
    <xf numFmtId="14" fontId="13" fillId="0" borderId="4" xfId="0" applyNumberFormat="1" applyFont="1" applyBorder="1" applyAlignment="1">
      <alignment vertical="center"/>
    </xf>
    <xf numFmtId="43" fontId="13" fillId="0" borderId="4" xfId="1" applyFont="1" applyFill="1" applyBorder="1" applyAlignment="1">
      <alignment vertical="center"/>
    </xf>
    <xf numFmtId="14" fontId="13" fillId="0" borderId="4" xfId="0" applyNumberFormat="1" applyFont="1" applyBorder="1" applyAlignment="1">
      <alignment horizontal="right" vertical="center"/>
    </xf>
    <xf numFmtId="14" fontId="8" fillId="0" borderId="4" xfId="0" applyNumberFormat="1" applyFont="1" applyBorder="1" applyAlignment="1">
      <alignment horizontal="center" vertical="center"/>
    </xf>
    <xf numFmtId="14" fontId="8" fillId="0" borderId="4" xfId="0" applyNumberFormat="1" applyFont="1" applyBorder="1" applyAlignment="1">
      <alignment vertical="center"/>
    </xf>
    <xf numFmtId="14" fontId="8" fillId="0" borderId="4" xfId="0" applyNumberFormat="1" applyFont="1" applyBorder="1" applyAlignment="1">
      <alignment horizontal="right" vertical="center"/>
    </xf>
    <xf numFmtId="0" fontId="12" fillId="0" borderId="4" xfId="0" applyFont="1" applyBorder="1" applyAlignment="1">
      <alignment vertical="center" wrapText="1"/>
    </xf>
    <xf numFmtId="0" fontId="8" fillId="0" borderId="7" xfId="0" applyFont="1" applyBorder="1" applyAlignment="1">
      <alignment vertical="center"/>
    </xf>
    <xf numFmtId="0" fontId="8" fillId="0" borderId="7" xfId="0" applyFont="1" applyBorder="1" applyAlignment="1">
      <alignment horizontal="left" vertical="center" wrapText="1"/>
    </xf>
    <xf numFmtId="0" fontId="8" fillId="0" borderId="7" xfId="0" applyFont="1" applyBorder="1" applyAlignment="1">
      <alignment horizontal="center" vertical="center"/>
    </xf>
    <xf numFmtId="14" fontId="8" fillId="0" borderId="7" xfId="0" applyNumberFormat="1" applyFont="1" applyBorder="1" applyAlignment="1">
      <alignment horizontal="center" vertical="center"/>
    </xf>
    <xf numFmtId="0" fontId="8" fillId="0" borderId="7" xfId="0" applyFont="1" applyBorder="1" applyAlignment="1">
      <alignment horizontal="center" vertical="center" wrapText="1"/>
    </xf>
    <xf numFmtId="14" fontId="8" fillId="0" borderId="7" xfId="0" applyNumberFormat="1" applyFont="1" applyBorder="1" applyAlignment="1">
      <alignment vertical="center"/>
    </xf>
    <xf numFmtId="43" fontId="8" fillId="0" borderId="7" xfId="1" applyFont="1" applyFill="1" applyBorder="1" applyAlignment="1">
      <alignment vertical="center"/>
    </xf>
    <xf numFmtId="14" fontId="8" fillId="0" borderId="7" xfId="0" applyNumberFormat="1" applyFont="1" applyBorder="1" applyAlignment="1">
      <alignment horizontal="right" vertical="center"/>
    </xf>
    <xf numFmtId="14" fontId="8" fillId="0" borderId="0" xfId="0" applyNumberFormat="1" applyFont="1" applyAlignment="1">
      <alignment horizontal="center" vertical="center"/>
    </xf>
    <xf numFmtId="0" fontId="13" fillId="0" borderId="8" xfId="0" applyFont="1" applyBorder="1" applyAlignment="1">
      <alignment vertical="center"/>
    </xf>
    <xf numFmtId="0" fontId="13" fillId="0" borderId="8" xfId="0" applyFont="1" applyBorder="1" applyAlignment="1">
      <alignment vertical="center" wrapText="1"/>
    </xf>
    <xf numFmtId="0" fontId="13" fillId="0" borderId="8" xfId="0" applyFont="1" applyBorder="1" applyAlignment="1">
      <alignment horizontal="center" vertical="center"/>
    </xf>
    <xf numFmtId="14" fontId="13" fillId="0" borderId="8" xfId="0" applyNumberFormat="1" applyFont="1" applyBorder="1" applyAlignment="1">
      <alignment horizontal="center" vertical="center"/>
    </xf>
    <xf numFmtId="14" fontId="13" fillId="0" borderId="8" xfId="0" applyNumberFormat="1" applyFont="1" applyBorder="1" applyAlignment="1">
      <alignment horizontal="left" vertical="center" wrapText="1"/>
    </xf>
    <xf numFmtId="14" fontId="13" fillId="0" borderId="8" xfId="0" applyNumberFormat="1" applyFont="1" applyBorder="1" applyAlignment="1">
      <alignment vertical="center"/>
    </xf>
    <xf numFmtId="43" fontId="13" fillId="0" borderId="8" xfId="1" applyFont="1" applyFill="1" applyBorder="1" applyAlignment="1">
      <alignment vertical="center"/>
    </xf>
    <xf numFmtId="14" fontId="13" fillId="0" borderId="8" xfId="0" applyNumberFormat="1" applyFont="1" applyBorder="1" applyAlignment="1">
      <alignment horizontal="right" vertical="center"/>
    </xf>
    <xf numFmtId="14" fontId="8" fillId="0" borderId="5" xfId="0" applyNumberFormat="1" applyFont="1" applyBorder="1" applyAlignment="1">
      <alignment vertical="center"/>
    </xf>
    <xf numFmtId="14" fontId="8" fillId="0" borderId="5" xfId="0" applyNumberFormat="1" applyFont="1" applyBorder="1" applyAlignment="1">
      <alignment horizontal="right" vertical="center"/>
    </xf>
    <xf numFmtId="0" fontId="4" fillId="0" borderId="21" xfId="0" applyFont="1" applyBorder="1" applyAlignment="1">
      <alignment vertical="center"/>
    </xf>
    <xf numFmtId="0" fontId="8" fillId="0" borderId="24" xfId="0" applyFont="1" applyBorder="1" applyAlignment="1">
      <alignment vertical="center" wrapText="1"/>
    </xf>
    <xf numFmtId="14" fontId="8" fillId="0" borderId="16" xfId="0" applyNumberFormat="1" applyFont="1" applyBorder="1" applyAlignment="1">
      <alignment vertical="center"/>
    </xf>
    <xf numFmtId="14" fontId="8" fillId="0" borderId="16" xfId="0" applyNumberFormat="1" applyFont="1" applyBorder="1" applyAlignment="1">
      <alignment horizontal="right" vertical="center"/>
    </xf>
    <xf numFmtId="0" fontId="8" fillId="0" borderId="84" xfId="0" applyFont="1" applyBorder="1" applyAlignment="1">
      <alignment horizontal="center" vertical="center"/>
    </xf>
    <xf numFmtId="14" fontId="8" fillId="0" borderId="84" xfId="0" applyNumberFormat="1" applyFont="1" applyBorder="1" applyAlignment="1">
      <alignment horizontal="left" vertical="center"/>
    </xf>
    <xf numFmtId="0" fontId="12" fillId="0" borderId="28" xfId="0" applyFont="1" applyBorder="1" applyAlignment="1">
      <alignment vertical="center" wrapText="1"/>
    </xf>
    <xf numFmtId="0" fontId="8" fillId="0" borderId="87" xfId="0" applyFont="1" applyBorder="1" applyAlignment="1">
      <alignment horizontal="center" vertical="center"/>
    </xf>
    <xf numFmtId="9" fontId="8" fillId="0" borderId="4" xfId="7" applyFont="1" applyFill="1" applyBorder="1" applyAlignment="1">
      <alignment vertical="center"/>
    </xf>
    <xf numFmtId="175" fontId="8" fillId="0" borderId="4" xfId="8" applyNumberFormat="1" applyFont="1" applyFill="1" applyBorder="1" applyAlignment="1">
      <alignment horizontal="right" vertical="center"/>
    </xf>
    <xf numFmtId="14" fontId="8" fillId="0" borderId="16" xfId="0" applyNumberFormat="1" applyFont="1" applyBorder="1" applyAlignment="1">
      <alignment horizontal="center" vertical="center"/>
    </xf>
    <xf numFmtId="0" fontId="12" fillId="0" borderId="24" xfId="0" applyFont="1" applyBorder="1" applyAlignment="1">
      <alignment vertical="center" wrapText="1"/>
    </xf>
    <xf numFmtId="43" fontId="8" fillId="0" borderId="4" xfId="1" applyFont="1" applyFill="1" applyBorder="1" applyAlignment="1">
      <alignment horizontal="center" vertical="center"/>
    </xf>
    <xf numFmtId="174" fontId="8" fillId="0" borderId="4" xfId="1" applyNumberFormat="1" applyFont="1" applyFill="1" applyBorder="1" applyAlignment="1">
      <alignment vertical="center"/>
    </xf>
    <xf numFmtId="14" fontId="8" fillId="0" borderId="6" xfId="0" applyNumberFormat="1" applyFont="1" applyBorder="1" applyAlignment="1">
      <alignment vertical="center"/>
    </xf>
    <xf numFmtId="0" fontId="9" fillId="22" borderId="13" xfId="0" applyFont="1" applyFill="1" applyBorder="1" applyAlignment="1">
      <alignment horizontal="center" vertical="center" wrapText="1"/>
    </xf>
    <xf numFmtId="0" fontId="9" fillId="22" borderId="2" xfId="0" applyFont="1" applyFill="1" applyBorder="1" applyAlignment="1">
      <alignment horizontal="center" vertical="center" wrapText="1"/>
    </xf>
    <xf numFmtId="14" fontId="9" fillId="22" borderId="2" xfId="0" applyNumberFormat="1" applyFont="1" applyFill="1" applyBorder="1" applyAlignment="1">
      <alignment horizontal="center" vertical="center" wrapText="1"/>
    </xf>
    <xf numFmtId="0" fontId="9" fillId="24" borderId="12" xfId="0" applyFont="1" applyFill="1" applyBorder="1" applyAlignment="1">
      <alignment horizontal="center" vertical="center" wrapText="1"/>
    </xf>
    <xf numFmtId="0" fontId="9" fillId="24" borderId="2" xfId="0" applyFont="1" applyFill="1" applyBorder="1" applyAlignment="1">
      <alignment horizontal="center" vertical="center" wrapText="1"/>
    </xf>
    <xf numFmtId="14" fontId="9" fillId="24" borderId="2" xfId="0" applyNumberFormat="1" applyFont="1" applyFill="1" applyBorder="1" applyAlignment="1">
      <alignment horizontal="center" vertical="center" wrapText="1"/>
    </xf>
    <xf numFmtId="0" fontId="9" fillId="24" borderId="11" xfId="0" applyFont="1" applyFill="1" applyBorder="1" applyAlignment="1">
      <alignment horizontal="center" vertical="center" wrapText="1"/>
    </xf>
    <xf numFmtId="0" fontId="9" fillId="25" borderId="2" xfId="0" applyFont="1" applyFill="1" applyBorder="1" applyAlignment="1">
      <alignment horizontal="center" vertical="center" wrapText="1"/>
    </xf>
    <xf numFmtId="168" fontId="9" fillId="25" borderId="2" xfId="0" applyNumberFormat="1" applyFont="1" applyFill="1" applyBorder="1" applyAlignment="1">
      <alignment horizontal="center" vertical="center" wrapText="1"/>
    </xf>
    <xf numFmtId="43" fontId="9" fillId="25" borderId="2" xfId="1" applyFont="1" applyFill="1" applyBorder="1" applyAlignment="1">
      <alignment horizontal="center" vertical="center" wrapText="1"/>
    </xf>
    <xf numFmtId="14" fontId="9" fillId="25" borderId="2" xfId="0" applyNumberFormat="1" applyFont="1" applyFill="1" applyBorder="1" applyAlignment="1">
      <alignment horizontal="center" vertical="center" wrapText="1"/>
    </xf>
    <xf numFmtId="170" fontId="28" fillId="0" borderId="104" xfId="1" applyNumberFormat="1" applyFont="1" applyFill="1" applyBorder="1" applyAlignment="1">
      <alignment horizontal="center" vertical="center"/>
    </xf>
    <xf numFmtId="0" fontId="8" fillId="0" borderId="108" xfId="0" applyFont="1" applyBorder="1" applyAlignment="1">
      <alignment horizontal="left"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28" fillId="0" borderId="117" xfId="0" applyFont="1" applyBorder="1" applyAlignment="1">
      <alignment vertical="center"/>
    </xf>
    <xf numFmtId="0" fontId="28" fillId="0" borderId="117" xfId="0" applyFont="1" applyBorder="1" applyAlignment="1">
      <alignment horizontal="center" vertical="center"/>
    </xf>
    <xf numFmtId="49" fontId="36" fillId="0" borderId="118" xfId="0" applyNumberFormat="1" applyFont="1" applyBorder="1" applyAlignment="1">
      <alignment horizontal="center" vertical="center" wrapText="1"/>
    </xf>
    <xf numFmtId="170" fontId="28" fillId="0" borderId="119" xfId="1" applyNumberFormat="1" applyFont="1" applyBorder="1" applyAlignment="1">
      <alignment vertical="center" wrapText="1"/>
    </xf>
    <xf numFmtId="0" fontId="28" fillId="0" borderId="120" xfId="0" applyFont="1" applyBorder="1" applyAlignment="1">
      <alignment horizontal="center" vertical="center" wrapText="1"/>
    </xf>
    <xf numFmtId="170" fontId="28" fillId="0" borderId="117" xfId="1" applyNumberFormat="1" applyFont="1" applyBorder="1" applyAlignment="1">
      <alignment horizontal="center" vertical="center" wrapText="1"/>
    </xf>
    <xf numFmtId="170" fontId="28" fillId="0" borderId="120" xfId="1" applyNumberFormat="1" applyFont="1" applyBorder="1" applyAlignment="1">
      <alignment horizontal="center" vertical="center" wrapText="1"/>
    </xf>
    <xf numFmtId="0" fontId="28" fillId="0" borderId="118" xfId="0" applyFont="1" applyBorder="1" applyAlignment="1">
      <alignment horizontal="center" vertical="center" wrapText="1"/>
    </xf>
    <xf numFmtId="170" fontId="28" fillId="0" borderId="120" xfId="1" applyNumberFormat="1" applyFont="1" applyBorder="1" applyAlignment="1">
      <alignment horizontal="center" vertical="center"/>
    </xf>
    <xf numFmtId="0" fontId="36" fillId="0" borderId="118" xfId="0" applyFont="1" applyBorder="1" applyAlignment="1">
      <alignment horizontal="center" vertical="center" wrapText="1"/>
    </xf>
    <xf numFmtId="170" fontId="28" fillId="0" borderId="119" xfId="1" applyNumberFormat="1" applyFont="1" applyBorder="1" applyAlignment="1">
      <alignment horizontal="center" vertical="center" wrapText="1"/>
    </xf>
    <xf numFmtId="14" fontId="8" fillId="0" borderId="22" xfId="0" applyNumberFormat="1" applyFont="1" applyBorder="1" applyAlignment="1">
      <alignment horizontal="center" vertical="center"/>
    </xf>
    <xf numFmtId="43" fontId="8" fillId="0" borderId="22" xfId="1" applyFont="1" applyFill="1" applyBorder="1" applyAlignment="1">
      <alignment horizontal="center" vertical="center"/>
    </xf>
    <xf numFmtId="0" fontId="8" fillId="0" borderId="22" xfId="0" applyFont="1" applyBorder="1" applyAlignment="1">
      <alignment horizontal="center" vertical="center" wrapText="1"/>
    </xf>
    <xf numFmtId="14" fontId="8" fillId="0" borderId="6" xfId="0" applyNumberFormat="1" applyFont="1" applyBorder="1" applyAlignment="1">
      <alignment horizontal="center" vertical="center" wrapText="1"/>
    </xf>
    <xf numFmtId="0" fontId="8" fillId="0" borderId="125" xfId="0" applyFont="1" applyBorder="1" applyAlignment="1">
      <alignment horizontal="left" vertical="center" wrapText="1"/>
    </xf>
    <xf numFmtId="0" fontId="12" fillId="0" borderId="22" xfId="0" applyFont="1" applyBorder="1" applyAlignment="1">
      <alignment vertical="center" wrapText="1"/>
    </xf>
    <xf numFmtId="14" fontId="8" fillId="0" borderId="22" xfId="0" applyNumberFormat="1" applyFont="1" applyBorder="1" applyAlignment="1">
      <alignment vertical="center"/>
    </xf>
    <xf numFmtId="43" fontId="8" fillId="0" borderId="22" xfId="1" applyFont="1" applyFill="1" applyBorder="1" applyAlignment="1">
      <alignment vertical="center"/>
    </xf>
    <xf numFmtId="14" fontId="8" fillId="0" borderId="22" xfId="0" applyNumberFormat="1" applyFont="1" applyBorder="1" applyAlignment="1">
      <alignment horizontal="right" vertical="center"/>
    </xf>
    <xf numFmtId="0" fontId="8" fillId="0" borderId="127" xfId="0" applyFont="1" applyBorder="1" applyAlignment="1">
      <alignment horizontal="left" vertical="center" wrapText="1"/>
    </xf>
    <xf numFmtId="0" fontId="8" fillId="0" borderId="127" xfId="0" applyFont="1" applyBorder="1" applyAlignment="1">
      <alignment horizontal="center" vertical="center"/>
    </xf>
    <xf numFmtId="14" fontId="8" fillId="0" borderId="127" xfId="0" applyNumberFormat="1" applyFont="1" applyBorder="1" applyAlignment="1">
      <alignment horizontal="center" vertical="center"/>
    </xf>
    <xf numFmtId="0" fontId="8" fillId="0" borderId="127" xfId="0" applyFont="1" applyBorder="1" applyAlignment="1">
      <alignment horizontal="center" vertical="center" wrapText="1"/>
    </xf>
    <xf numFmtId="0" fontId="8" fillId="0" borderId="127" xfId="0" applyFont="1" applyBorder="1" applyAlignment="1">
      <alignment vertical="center"/>
    </xf>
    <xf numFmtId="14" fontId="8" fillId="0" borderId="127" xfId="0" applyNumberFormat="1" applyFont="1" applyBorder="1" applyAlignment="1">
      <alignment vertical="center"/>
    </xf>
    <xf numFmtId="43" fontId="8" fillId="0" borderId="127" xfId="1" applyFont="1" applyFill="1" applyBorder="1" applyAlignment="1">
      <alignment vertical="center"/>
    </xf>
    <xf numFmtId="14" fontId="8" fillId="0" borderId="127" xfId="0" applyNumberFormat="1" applyFont="1" applyBorder="1" applyAlignment="1">
      <alignment horizontal="right" vertical="center"/>
    </xf>
    <xf numFmtId="0" fontId="8" fillId="0" borderId="129" xfId="0" applyFont="1" applyBorder="1" applyAlignment="1">
      <alignment vertical="center" wrapText="1"/>
    </xf>
    <xf numFmtId="0" fontId="8" fillId="0" borderId="129" xfId="0" applyFont="1" applyBorder="1" applyAlignment="1">
      <alignment horizontal="center" vertical="center"/>
    </xf>
    <xf numFmtId="14" fontId="8" fillId="0" borderId="129" xfId="0" applyNumberFormat="1" applyFont="1" applyBorder="1" applyAlignment="1">
      <alignment horizontal="center" vertical="center"/>
    </xf>
    <xf numFmtId="0" fontId="8" fillId="0" borderId="129" xfId="0" applyFont="1" applyBorder="1" applyAlignment="1">
      <alignment vertical="center"/>
    </xf>
    <xf numFmtId="14" fontId="8" fillId="0" borderId="129" xfId="0" applyNumberFormat="1" applyFont="1" applyBorder="1" applyAlignment="1">
      <alignment vertical="center"/>
    </xf>
    <xf numFmtId="43" fontId="8" fillId="0" borderId="129" xfId="1" applyFont="1" applyFill="1" applyBorder="1" applyAlignment="1">
      <alignment vertical="center"/>
    </xf>
    <xf numFmtId="14" fontId="8" fillId="0" borderId="129" xfId="0" applyNumberFormat="1" applyFont="1" applyBorder="1" applyAlignment="1">
      <alignment horizontal="right" vertical="center"/>
    </xf>
    <xf numFmtId="43" fontId="8" fillId="0" borderId="0" xfId="1" applyFont="1" applyFill="1" applyAlignment="1">
      <alignment horizontal="center" vertical="center"/>
    </xf>
    <xf numFmtId="43" fontId="13" fillId="0" borderId="4" xfId="1" applyFont="1" applyFill="1" applyBorder="1" applyAlignment="1">
      <alignment horizontal="center" vertical="center"/>
    </xf>
    <xf numFmtId="43" fontId="8" fillId="0" borderId="7" xfId="1" applyFont="1" applyFill="1" applyBorder="1" applyAlignment="1">
      <alignment horizontal="center" vertical="center"/>
    </xf>
    <xf numFmtId="43" fontId="13" fillId="0" borderId="8" xfId="1" applyFont="1" applyFill="1" applyBorder="1" applyAlignment="1">
      <alignment horizontal="center" vertical="center"/>
    </xf>
    <xf numFmtId="43" fontId="8" fillId="0" borderId="16" xfId="1" applyFont="1" applyFill="1" applyBorder="1" applyAlignment="1">
      <alignment horizontal="center" vertical="center"/>
    </xf>
    <xf numFmtId="0" fontId="14" fillId="0" borderId="4" xfId="0" applyFont="1" applyBorder="1" applyAlignment="1">
      <alignment vertical="center" wrapText="1"/>
    </xf>
    <xf numFmtId="0" fontId="8" fillId="0" borderId="0" xfId="0" applyFont="1" applyAlignment="1">
      <alignment horizontal="left" vertical="center"/>
    </xf>
    <xf numFmtId="0" fontId="13" fillId="0" borderId="4" xfId="0" applyFont="1" applyBorder="1" applyAlignment="1">
      <alignment horizontal="center" vertical="center"/>
    </xf>
    <xf numFmtId="0" fontId="8" fillId="0" borderId="4" xfId="0" quotePrefix="1" applyFont="1" applyBorder="1" applyAlignment="1">
      <alignment horizontal="center" vertical="center"/>
    </xf>
    <xf numFmtId="0" fontId="13" fillId="0" borderId="8" xfId="0" quotePrefix="1" applyFont="1" applyBorder="1" applyAlignment="1">
      <alignment horizontal="center" vertical="center"/>
    </xf>
    <xf numFmtId="0" fontId="13" fillId="0" borderId="5" xfId="0" applyFont="1" applyBorder="1" applyAlignment="1">
      <alignment horizontal="center" vertical="center"/>
    </xf>
    <xf numFmtId="0" fontId="25" fillId="0" borderId="130" xfId="0" applyFont="1" applyBorder="1" applyAlignment="1">
      <alignment vertical="center"/>
    </xf>
    <xf numFmtId="0" fontId="9" fillId="0" borderId="131" xfId="0" applyFont="1" applyBorder="1" applyAlignment="1">
      <alignment horizontal="center" vertical="center" wrapText="1"/>
    </xf>
    <xf numFmtId="43" fontId="13" fillId="0" borderId="22" xfId="1" applyFont="1" applyFill="1" applyBorder="1" applyAlignment="1">
      <alignment vertical="center"/>
    </xf>
    <xf numFmtId="174" fontId="8" fillId="0" borderId="22" xfId="1" applyNumberFormat="1" applyFont="1" applyFill="1" applyBorder="1" applyAlignment="1">
      <alignment vertical="center"/>
    </xf>
    <xf numFmtId="0" fontId="9" fillId="0" borderId="132" xfId="0" applyFont="1" applyBorder="1" applyAlignment="1">
      <alignment horizontal="center" vertical="center" wrapText="1"/>
    </xf>
    <xf numFmtId="0" fontId="13" fillId="0" borderId="15" xfId="0" applyFont="1" applyBorder="1" applyAlignment="1">
      <alignment horizontal="left" vertical="center" wrapText="1"/>
    </xf>
    <xf numFmtId="0" fontId="14" fillId="0" borderId="22" xfId="0" applyFont="1" applyBorder="1" applyAlignment="1">
      <alignment vertical="center" wrapText="1"/>
    </xf>
    <xf numFmtId="0" fontId="13" fillId="0" borderId="22" xfId="0" applyFont="1" applyBorder="1" applyAlignment="1">
      <alignment vertical="center" wrapText="1"/>
    </xf>
    <xf numFmtId="0" fontId="12" fillId="0" borderId="15" xfId="0" applyFont="1" applyBorder="1" applyAlignment="1">
      <alignment vertical="center" wrapText="1"/>
    </xf>
    <xf numFmtId="0" fontId="8" fillId="0" borderId="15" xfId="0" applyFont="1" applyBorder="1" applyAlignment="1">
      <alignment vertical="center" wrapText="1"/>
    </xf>
    <xf numFmtId="0" fontId="8" fillId="0" borderId="15" xfId="0" applyFont="1" applyBorder="1" applyAlignment="1">
      <alignment horizontal="left" vertical="center" wrapText="1"/>
    </xf>
    <xf numFmtId="14" fontId="8" fillId="0" borderId="28" xfId="0" applyNumberFormat="1" applyFont="1" applyBorder="1" applyAlignment="1">
      <alignment horizontal="center" vertical="center"/>
    </xf>
    <xf numFmtId="14" fontId="8" fillId="0" borderId="24" xfId="0" applyNumberFormat="1" applyFont="1" applyBorder="1" applyAlignment="1">
      <alignment horizontal="center" vertical="center"/>
    </xf>
    <xf numFmtId="0" fontId="43" fillId="0" borderId="3" xfId="0" applyFont="1" applyBorder="1" applyAlignment="1">
      <alignment vertical="center" wrapText="1"/>
    </xf>
    <xf numFmtId="0" fontId="44" fillId="25" borderId="2" xfId="0" applyFont="1" applyFill="1" applyBorder="1" applyAlignment="1">
      <alignment horizontal="center" vertical="center" wrapText="1"/>
    </xf>
    <xf numFmtId="43" fontId="44" fillId="0" borderId="4" xfId="1" applyFont="1" applyFill="1" applyBorder="1" applyAlignment="1">
      <alignment vertical="center" wrapText="1"/>
    </xf>
    <xf numFmtId="43" fontId="44" fillId="0" borderId="7" xfId="1" applyFont="1" applyFill="1" applyBorder="1" applyAlignment="1">
      <alignment vertical="center" wrapText="1"/>
    </xf>
    <xf numFmtId="43" fontId="44" fillId="0" borderId="8" xfId="1" applyFont="1" applyFill="1" applyBorder="1" applyAlignment="1">
      <alignment vertical="center" wrapText="1"/>
    </xf>
    <xf numFmtId="43" fontId="44" fillId="0" borderId="22" xfId="1" applyFont="1" applyFill="1" applyBorder="1" applyAlignment="1">
      <alignment vertical="center" wrapText="1"/>
    </xf>
    <xf numFmtId="43" fontId="44" fillId="0" borderId="127" xfId="1" applyFont="1" applyFill="1" applyBorder="1" applyAlignment="1">
      <alignment vertical="center" wrapText="1"/>
    </xf>
    <xf numFmtId="43" fontId="44" fillId="0" borderId="129" xfId="1" applyFont="1" applyFill="1" applyBorder="1" applyAlignment="1">
      <alignment vertical="center" wrapText="1"/>
    </xf>
    <xf numFmtId="43" fontId="44" fillId="0" borderId="16" xfId="1" applyFont="1" applyFill="1" applyBorder="1" applyAlignment="1">
      <alignment vertical="center" wrapText="1"/>
    </xf>
    <xf numFmtId="43" fontId="44" fillId="0" borderId="5" xfId="1" applyFont="1" applyFill="1" applyBorder="1" applyAlignment="1">
      <alignment vertical="center" wrapText="1"/>
    </xf>
    <xf numFmtId="174" fontId="44" fillId="0" borderId="4" xfId="1" applyNumberFormat="1" applyFont="1" applyFill="1" applyBorder="1" applyAlignment="1">
      <alignment vertical="center" wrapText="1"/>
    </xf>
    <xf numFmtId="0" fontId="44" fillId="0" borderId="0" xfId="0" applyFont="1" applyAlignment="1">
      <alignment vertical="center" wrapText="1"/>
    </xf>
    <xf numFmtId="14" fontId="8" fillId="0" borderId="22" xfId="0" applyNumberFormat="1" applyFont="1" applyBorder="1" applyAlignment="1">
      <alignment horizontal="center" vertical="center" wrapText="1"/>
    </xf>
    <xf numFmtId="14" fontId="8" fillId="0" borderId="5" xfId="0" applyNumberFormat="1" applyFont="1" applyBorder="1" applyAlignment="1">
      <alignment horizontal="center" vertical="center" wrapText="1"/>
    </xf>
    <xf numFmtId="14" fontId="13" fillId="0" borderId="4" xfId="0" applyNumberFormat="1" applyFont="1" applyBorder="1" applyAlignment="1">
      <alignment horizontal="center" vertical="center" wrapText="1"/>
    </xf>
    <xf numFmtId="14" fontId="8" fillId="0" borderId="4" xfId="0" applyNumberFormat="1" applyFont="1" applyBorder="1" applyAlignment="1">
      <alignment horizontal="center" vertical="center" wrapText="1"/>
    </xf>
    <xf numFmtId="14" fontId="8" fillId="0" borderId="7" xfId="0" applyNumberFormat="1" applyFont="1" applyBorder="1" applyAlignment="1">
      <alignment horizontal="center" vertical="center" wrapText="1"/>
    </xf>
    <xf numFmtId="14" fontId="13" fillId="0" borderId="8" xfId="0" applyNumberFormat="1" applyFont="1" applyBorder="1" applyAlignment="1">
      <alignment horizontal="center" vertical="center" wrapText="1"/>
    </xf>
    <xf numFmtId="14" fontId="8" fillId="0" borderId="127" xfId="0" applyNumberFormat="1" applyFont="1" applyBorder="1" applyAlignment="1">
      <alignment horizontal="center" vertical="center" wrapText="1"/>
    </xf>
    <xf numFmtId="14" fontId="8" fillId="0" borderId="129" xfId="0" applyNumberFormat="1" applyFont="1" applyBorder="1" applyAlignment="1">
      <alignment horizontal="center" vertical="center" wrapText="1"/>
    </xf>
    <xf numFmtId="14" fontId="8" fillId="0" borderId="16" xfId="0" applyNumberFormat="1" applyFont="1" applyBorder="1" applyAlignment="1">
      <alignment horizontal="center" vertical="center" wrapText="1"/>
    </xf>
    <xf numFmtId="0" fontId="8" fillId="0" borderId="24" xfId="0" applyFont="1" applyBorder="1" applyAlignment="1">
      <alignment horizontal="left" vertical="center"/>
    </xf>
    <xf numFmtId="0" fontId="8" fillId="0" borderId="8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4" xfId="0" applyFont="1" applyBorder="1" applyAlignment="1">
      <alignment horizontal="center" vertical="center" wrapText="1"/>
    </xf>
    <xf numFmtId="0" fontId="10" fillId="4" borderId="0" xfId="0" applyFont="1" applyFill="1" applyAlignment="1">
      <alignment horizontal="center" vertical="center" wrapText="1"/>
    </xf>
    <xf numFmtId="0" fontId="8" fillId="0" borderId="138" xfId="0" applyFont="1" applyBorder="1" applyAlignment="1">
      <alignment horizontal="left" vertical="center" wrapText="1"/>
    </xf>
    <xf numFmtId="0" fontId="8" fillId="0" borderId="140" xfId="0" applyFont="1" applyBorder="1" applyAlignment="1">
      <alignment horizontal="left" vertical="center" wrapText="1"/>
    </xf>
    <xf numFmtId="0" fontId="8" fillId="0" borderId="142" xfId="0" applyFont="1" applyBorder="1" applyAlignment="1">
      <alignment horizontal="left" vertical="center" wrapText="1"/>
    </xf>
    <xf numFmtId="0" fontId="13" fillId="0" borderId="4" xfId="0" applyFont="1" applyBorder="1" applyAlignment="1">
      <alignment horizontal="center" vertical="center" wrapText="1"/>
    </xf>
    <xf numFmtId="0" fontId="13" fillId="0" borderId="6" xfId="0" applyFont="1" applyBorder="1" applyAlignment="1">
      <alignment vertical="center" wrapText="1"/>
    </xf>
    <xf numFmtId="0" fontId="13" fillId="0" borderId="6" xfId="0" applyFont="1" applyBorder="1" applyAlignment="1">
      <alignment horizontal="left" vertical="center" wrapText="1"/>
    </xf>
    <xf numFmtId="0" fontId="13" fillId="0" borderId="4" xfId="0" applyFont="1" applyBorder="1" applyAlignment="1">
      <alignment horizontal="left" vertical="center" wrapText="1"/>
    </xf>
    <xf numFmtId="0" fontId="13" fillId="0" borderId="4" xfId="0" applyFont="1" applyBorder="1" applyAlignment="1">
      <alignment vertical="center" wrapText="1"/>
    </xf>
    <xf numFmtId="14" fontId="13" fillId="0" borderId="4" xfId="0" applyNumberFormat="1" applyFont="1" applyBorder="1" applyAlignment="1">
      <alignment horizontal="center" vertical="center"/>
    </xf>
    <xf numFmtId="0" fontId="13" fillId="0" borderId="4" xfId="0" quotePrefix="1" applyFont="1" applyBorder="1" applyAlignment="1">
      <alignment horizontal="center" vertical="center"/>
    </xf>
    <xf numFmtId="0" fontId="9" fillId="22" borderId="2" xfId="0" applyFont="1" applyFill="1" applyBorder="1" applyAlignment="1">
      <alignment horizontal="left" vertical="center" wrapText="1"/>
    </xf>
    <xf numFmtId="0" fontId="13" fillId="0" borderId="8" xfId="0" applyFont="1" applyBorder="1" applyAlignment="1">
      <alignment horizontal="left" vertical="center" wrapText="1"/>
    </xf>
    <xf numFmtId="0" fontId="8" fillId="0" borderId="22" xfId="0" applyFont="1" applyBorder="1" applyAlignment="1">
      <alignment horizontal="left" vertical="center" wrapText="1"/>
    </xf>
    <xf numFmtId="0" fontId="8" fillId="0" borderId="129" xfId="0" applyFont="1" applyBorder="1" applyAlignment="1">
      <alignment horizontal="left" vertical="center" wrapText="1"/>
    </xf>
    <xf numFmtId="0" fontId="8" fillId="0" borderId="30" xfId="0" applyFont="1" applyBorder="1" applyAlignment="1">
      <alignment horizontal="left" vertical="center" wrapText="1"/>
    </xf>
    <xf numFmtId="0" fontId="8" fillId="0" borderId="32" xfId="0" applyFont="1" applyBorder="1" applyAlignment="1">
      <alignment horizontal="left" vertical="center" wrapText="1"/>
    </xf>
    <xf numFmtId="0" fontId="8" fillId="0" borderId="115" xfId="0" applyFont="1" applyBorder="1" applyAlignment="1">
      <alignment horizontal="left" vertical="center" wrapText="1"/>
    </xf>
    <xf numFmtId="0" fontId="8" fillId="0" borderId="27" xfId="0" applyFont="1" applyBorder="1" applyAlignment="1">
      <alignment horizontal="left" vertical="center" wrapText="1"/>
    </xf>
    <xf numFmtId="0" fontId="8" fillId="0" borderId="126" xfId="0" applyFont="1" applyBorder="1" applyAlignment="1">
      <alignment horizontal="center" vertical="center"/>
    </xf>
    <xf numFmtId="0" fontId="8" fillId="0" borderId="128" xfId="0" applyFont="1" applyBorder="1" applyAlignment="1">
      <alignment horizontal="center" vertical="center"/>
    </xf>
    <xf numFmtId="0" fontId="8" fillId="0" borderId="29" xfId="0" applyFont="1" applyBorder="1" applyAlignment="1">
      <alignment horizontal="center" vertical="center"/>
    </xf>
    <xf numFmtId="0" fontId="8" fillId="0" borderId="31" xfId="0" applyFont="1" applyBorder="1" applyAlignment="1">
      <alignment horizontal="center" vertical="center"/>
    </xf>
    <xf numFmtId="0" fontId="8" fillId="0" borderId="114" xfId="0" applyFont="1" applyBorder="1" applyAlignment="1">
      <alignment horizontal="center" vertical="center"/>
    </xf>
    <xf numFmtId="0" fontId="8" fillId="0" borderId="26" xfId="0" applyFont="1" applyBorder="1" applyAlignment="1">
      <alignment horizontal="center" vertical="center"/>
    </xf>
    <xf numFmtId="0" fontId="13" fillId="0" borderId="6"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left" vertical="center" wrapText="1"/>
    </xf>
    <xf numFmtId="0" fontId="13" fillId="0" borderId="84" xfId="0" applyFont="1" applyBorder="1" applyAlignment="1">
      <alignment horizontal="center" vertical="center"/>
    </xf>
    <xf numFmtId="14" fontId="13" fillId="0" borderId="84" xfId="0" applyNumberFormat="1" applyFont="1" applyBorder="1" applyAlignment="1">
      <alignment horizontal="center" vertical="center"/>
    </xf>
    <xf numFmtId="14" fontId="13" fillId="0" borderId="85" xfId="0" applyNumberFormat="1"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left" vertical="center" wrapText="1"/>
    </xf>
    <xf numFmtId="0" fontId="13" fillId="0" borderId="87" xfId="0" applyFont="1" applyBorder="1" applyAlignment="1">
      <alignment horizontal="center" vertical="center"/>
    </xf>
    <xf numFmtId="0" fontId="13" fillId="0" borderId="5" xfId="0" applyFont="1" applyBorder="1" applyAlignment="1">
      <alignment horizontal="left" vertical="center" wrapText="1"/>
    </xf>
    <xf numFmtId="0" fontId="28" fillId="0" borderId="101" xfId="0" applyFont="1" applyBorder="1" applyAlignment="1">
      <alignment horizontal="left" vertical="center"/>
    </xf>
    <xf numFmtId="0" fontId="35" fillId="0" borderId="0" xfId="0" applyFont="1" applyAlignment="1">
      <alignment horizontal="left" vertical="center" wrapText="1"/>
    </xf>
    <xf numFmtId="0" fontId="28" fillId="0" borderId="0" xfId="0" applyFont="1" applyAlignment="1">
      <alignment horizontal="left" vertical="center" wrapText="1"/>
    </xf>
    <xf numFmtId="0" fontId="31" fillId="0" borderId="0" xfId="0" applyFont="1" applyAlignment="1">
      <alignment horizontal="center" vertical="center"/>
    </xf>
    <xf numFmtId="0" fontId="31" fillId="0" borderId="94" xfId="0" applyFont="1" applyBorder="1" applyAlignment="1">
      <alignment horizontal="center" vertical="center" wrapText="1"/>
    </xf>
    <xf numFmtId="0" fontId="31" fillId="0" borderId="101" xfId="0" applyFont="1" applyBorder="1" applyAlignment="1">
      <alignment horizontal="center" vertical="center" wrapText="1"/>
    </xf>
    <xf numFmtId="0" fontId="31" fillId="0" borderId="117" xfId="0" applyFont="1" applyBorder="1" applyAlignment="1">
      <alignment horizontal="center" vertical="center" wrapText="1"/>
    </xf>
    <xf numFmtId="0" fontId="29" fillId="26" borderId="90" xfId="0" applyFont="1" applyFill="1" applyBorder="1" applyAlignment="1">
      <alignment horizontal="center" vertical="center" wrapText="1"/>
    </xf>
    <xf numFmtId="0" fontId="45" fillId="0" borderId="0" xfId="9"/>
    <xf numFmtId="0" fontId="45" fillId="27" borderId="0" xfId="9" applyFill="1"/>
    <xf numFmtId="0" fontId="46" fillId="0" borderId="143" xfId="9" applyFont="1" applyBorder="1" applyAlignment="1">
      <alignment vertical="center"/>
    </xf>
    <xf numFmtId="0" fontId="46" fillId="0" borderId="144" xfId="9" applyFont="1" applyBorder="1" applyAlignment="1">
      <alignment vertical="center"/>
    </xf>
    <xf numFmtId="0" fontId="47" fillId="28" borderId="0" xfId="9" applyFont="1" applyFill="1" applyAlignment="1">
      <alignment horizontal="left"/>
    </xf>
    <xf numFmtId="0" fontId="48" fillId="29" borderId="144" xfId="9" applyFont="1" applyFill="1" applyBorder="1" applyAlignment="1">
      <alignment horizontal="center" vertical="center"/>
    </xf>
    <xf numFmtId="0" fontId="48" fillId="30" borderId="144" xfId="9" applyFont="1" applyFill="1" applyBorder="1" applyAlignment="1">
      <alignment horizontal="center" vertical="center"/>
    </xf>
    <xf numFmtId="0" fontId="48" fillId="29" borderId="0" xfId="9" applyFont="1" applyFill="1" applyAlignment="1">
      <alignment horizontal="center" vertical="center"/>
    </xf>
    <xf numFmtId="0" fontId="48" fillId="31" borderId="144" xfId="9" applyFont="1" applyFill="1" applyBorder="1" applyAlignment="1">
      <alignment horizontal="center" vertical="center"/>
    </xf>
    <xf numFmtId="0" fontId="48" fillId="32" borderId="0" xfId="9" applyFont="1" applyFill="1" applyAlignment="1">
      <alignment horizontal="center" vertical="center"/>
    </xf>
    <xf numFmtId="0" fontId="28" fillId="0" borderId="0" xfId="9" applyFont="1"/>
    <xf numFmtId="0" fontId="50" fillId="29" borderId="0" xfId="9" applyFont="1" applyFill="1" applyAlignment="1">
      <alignment horizontal="center" vertical="center"/>
    </xf>
    <xf numFmtId="0" fontId="50" fillId="29" borderId="144" xfId="9" applyFont="1" applyFill="1" applyBorder="1" applyAlignment="1">
      <alignment horizontal="center" vertical="center"/>
    </xf>
    <xf numFmtId="0" fontId="50" fillId="34" borderId="144" xfId="9" applyFont="1" applyFill="1" applyBorder="1" applyAlignment="1">
      <alignment horizontal="center" vertical="center"/>
    </xf>
    <xf numFmtId="0" fontId="48" fillId="34" borderId="144" xfId="9" applyFont="1" applyFill="1" applyBorder="1" applyAlignment="1">
      <alignment horizontal="center" vertical="center"/>
    </xf>
    <xf numFmtId="0" fontId="46" fillId="0" borderId="0" xfId="9" applyFont="1" applyAlignment="1">
      <alignment vertical="center"/>
    </xf>
    <xf numFmtId="0" fontId="46" fillId="0" borderId="144" xfId="9" applyFont="1" applyBorder="1" applyAlignment="1">
      <alignment horizontal="center" vertical="center"/>
    </xf>
    <xf numFmtId="0" fontId="46" fillId="35" borderId="144" xfId="9" applyFont="1" applyFill="1" applyBorder="1" applyAlignment="1">
      <alignment vertical="center"/>
    </xf>
    <xf numFmtId="0" fontId="46" fillId="27" borderId="144" xfId="9" applyFont="1" applyFill="1" applyBorder="1" applyAlignment="1">
      <alignment horizontal="center" vertical="center"/>
    </xf>
    <xf numFmtId="0" fontId="48" fillId="29" borderId="146" xfId="9" applyFont="1" applyFill="1" applyBorder="1" applyAlignment="1">
      <alignment horizontal="center" vertical="center"/>
    </xf>
    <xf numFmtId="0" fontId="48" fillId="29" borderId="144" xfId="9" applyFont="1" applyFill="1" applyBorder="1" applyAlignment="1">
      <alignment horizontal="left" vertical="center"/>
    </xf>
    <xf numFmtId="0" fontId="48" fillId="36" borderId="144" xfId="9" applyFont="1" applyFill="1" applyBorder="1" applyAlignment="1">
      <alignment horizontal="center" vertical="center"/>
    </xf>
    <xf numFmtId="0" fontId="48" fillId="37" borderId="144" xfId="9" applyFont="1" applyFill="1" applyBorder="1" applyAlignment="1">
      <alignment horizontal="center" vertical="center"/>
    </xf>
    <xf numFmtId="0" fontId="51" fillId="0" borderId="0" xfId="9" applyFont="1" applyAlignment="1">
      <alignment horizontal="left" vertical="center"/>
    </xf>
    <xf numFmtId="0" fontId="51" fillId="0" borderId="144" xfId="9" applyFont="1" applyBorder="1" applyAlignment="1">
      <alignment horizontal="left" vertical="center"/>
    </xf>
    <xf numFmtId="0" fontId="47" fillId="0" borderId="146" xfId="9" applyFont="1" applyBorder="1" applyAlignment="1">
      <alignment horizontal="center" vertical="center"/>
    </xf>
    <xf numFmtId="0" fontId="47" fillId="0" borderId="144" xfId="9" applyFont="1" applyBorder="1" applyAlignment="1">
      <alignment horizontal="left" vertical="center"/>
    </xf>
    <xf numFmtId="0" fontId="47" fillId="0" borderId="144" xfId="9" applyFont="1" applyBorder="1" applyAlignment="1">
      <alignment horizontal="center" vertical="center"/>
    </xf>
    <xf numFmtId="0" fontId="46" fillId="27" borderId="144" xfId="9" applyFont="1" applyFill="1" applyBorder="1" applyAlignment="1">
      <alignment vertical="center"/>
    </xf>
    <xf numFmtId="0" fontId="53" fillId="0" borderId="147" xfId="10" applyBorder="1" applyAlignment="1">
      <alignment horizontal="left"/>
    </xf>
    <xf numFmtId="0" fontId="47" fillId="32" borderId="0" xfId="9" applyFont="1" applyFill="1" applyAlignment="1">
      <alignment horizontal="center" vertical="center"/>
    </xf>
    <xf numFmtId="0" fontId="47" fillId="37" borderId="148" xfId="9" applyFont="1" applyFill="1" applyBorder="1" applyAlignment="1">
      <alignment horizontal="center" vertical="center"/>
    </xf>
    <xf numFmtId="0" fontId="47" fillId="38" borderId="149" xfId="9" applyFont="1" applyFill="1" applyBorder="1" applyAlignment="1">
      <alignment vertical="center"/>
    </xf>
    <xf numFmtId="0" fontId="47" fillId="38" borderId="149" xfId="9" applyFont="1" applyFill="1" applyBorder="1" applyAlignment="1">
      <alignment horizontal="left" vertical="center"/>
    </xf>
    <xf numFmtId="0" fontId="47" fillId="38" borderId="149" xfId="9" applyFont="1" applyFill="1" applyBorder="1" applyAlignment="1">
      <alignment horizontal="center" vertical="center"/>
    </xf>
    <xf numFmtId="0" fontId="5" fillId="0" borderId="0" xfId="9" applyFont="1"/>
    <xf numFmtId="0" fontId="47" fillId="39" borderId="149" xfId="9" applyFont="1" applyFill="1" applyBorder="1" applyAlignment="1">
      <alignment vertical="center"/>
    </xf>
    <xf numFmtId="0" fontId="47" fillId="39" borderId="149" xfId="9" applyFont="1" applyFill="1" applyBorder="1" applyAlignment="1">
      <alignment horizontal="left" vertical="center"/>
    </xf>
    <xf numFmtId="0" fontId="47" fillId="39" borderId="149" xfId="9" applyFont="1" applyFill="1" applyBorder="1" applyAlignment="1">
      <alignment horizontal="center" vertical="center"/>
    </xf>
    <xf numFmtId="0" fontId="46" fillId="0" borderId="0" xfId="9" applyFont="1" applyAlignment="1">
      <alignment horizontal="center" vertical="center"/>
    </xf>
    <xf numFmtId="0" fontId="47" fillId="37" borderId="149" xfId="9" applyFont="1" applyFill="1" applyBorder="1" applyAlignment="1">
      <alignment vertical="center"/>
    </xf>
    <xf numFmtId="0" fontId="47" fillId="37" borderId="149" xfId="9" applyFont="1" applyFill="1" applyBorder="1" applyAlignment="1">
      <alignment horizontal="left" vertical="center"/>
    </xf>
    <xf numFmtId="0" fontId="47" fillId="37" borderId="149" xfId="9" applyFont="1" applyFill="1" applyBorder="1" applyAlignment="1">
      <alignment horizontal="center" vertical="center"/>
    </xf>
    <xf numFmtId="0" fontId="46" fillId="30" borderId="0" xfId="9" applyFont="1" applyFill="1" applyAlignment="1">
      <alignment vertical="center"/>
    </xf>
    <xf numFmtId="0" fontId="46" fillId="40" borderId="144" xfId="9" applyFont="1" applyFill="1" applyBorder="1" applyAlignment="1">
      <alignment vertical="center"/>
    </xf>
    <xf numFmtId="0" fontId="46" fillId="30" borderId="143" xfId="9" applyFont="1" applyFill="1" applyBorder="1" applyAlignment="1">
      <alignment vertical="center"/>
    </xf>
    <xf numFmtId="0" fontId="47" fillId="41" borderId="149" xfId="9" applyFont="1" applyFill="1" applyBorder="1" applyAlignment="1">
      <alignment vertical="center"/>
    </xf>
    <xf numFmtId="0" fontId="47" fillId="41" borderId="149" xfId="9" applyFont="1" applyFill="1" applyBorder="1" applyAlignment="1">
      <alignment horizontal="left" vertical="center"/>
    </xf>
    <xf numFmtId="0" fontId="47" fillId="41" borderId="149" xfId="9" applyFont="1" applyFill="1" applyBorder="1" applyAlignment="1">
      <alignment horizontal="center" vertical="center"/>
    </xf>
    <xf numFmtId="0" fontId="54" fillId="28" borderId="144" xfId="9" applyFont="1" applyFill="1" applyBorder="1" applyAlignment="1">
      <alignment vertical="center"/>
    </xf>
    <xf numFmtId="0" fontId="46" fillId="37" borderId="144" xfId="9" applyFont="1" applyFill="1" applyBorder="1" applyAlignment="1">
      <alignment vertical="center"/>
    </xf>
    <xf numFmtId="0" fontId="47" fillId="35" borderId="149" xfId="9" applyFont="1" applyFill="1" applyBorder="1" applyAlignment="1">
      <alignment vertical="center"/>
    </xf>
    <xf numFmtId="0" fontId="47" fillId="35" borderId="149" xfId="9" applyFont="1" applyFill="1" applyBorder="1" applyAlignment="1">
      <alignment horizontal="left" vertical="center"/>
    </xf>
    <xf numFmtId="0" fontId="47" fillId="35" borderId="149" xfId="9" applyFont="1" applyFill="1" applyBorder="1" applyAlignment="1">
      <alignment horizontal="center" vertical="center"/>
    </xf>
    <xf numFmtId="0" fontId="46" fillId="34" borderId="143" xfId="9" applyFont="1" applyFill="1" applyBorder="1" applyAlignment="1">
      <alignment vertical="center"/>
    </xf>
    <xf numFmtId="0" fontId="48" fillId="42" borderId="144" xfId="9" applyFont="1" applyFill="1" applyBorder="1" applyAlignment="1">
      <alignment horizontal="center" vertical="center"/>
    </xf>
    <xf numFmtId="0" fontId="47" fillId="30" borderId="144" xfId="9" applyFont="1" applyFill="1" applyBorder="1" applyAlignment="1">
      <alignment horizontal="center" vertical="center"/>
    </xf>
    <xf numFmtId="0" fontId="28" fillId="0" borderId="0" xfId="9" applyFont="1" applyAlignment="1">
      <alignment horizontal="center"/>
    </xf>
    <xf numFmtId="0" fontId="46" fillId="0" borderId="0" xfId="9" applyFont="1"/>
    <xf numFmtId="0" fontId="54" fillId="28" borderId="0" xfId="9" applyFont="1" applyFill="1" applyAlignment="1">
      <alignment vertical="center"/>
    </xf>
    <xf numFmtId="0" fontId="46" fillId="34" borderId="144" xfId="9" applyFont="1" applyFill="1" applyBorder="1" applyAlignment="1">
      <alignment vertical="center"/>
    </xf>
    <xf numFmtId="0" fontId="28" fillId="0" borderId="0" xfId="9" applyFont="1" applyAlignment="1">
      <alignment horizontal="left"/>
    </xf>
    <xf numFmtId="0" fontId="47" fillId="30" borderId="146" xfId="9" applyFont="1" applyFill="1" applyBorder="1" applyAlignment="1">
      <alignment horizontal="center" vertical="center"/>
    </xf>
    <xf numFmtId="0" fontId="47" fillId="30" borderId="144" xfId="9" applyFont="1" applyFill="1" applyBorder="1" applyAlignment="1">
      <alignment horizontal="left" vertical="center"/>
    </xf>
    <xf numFmtId="0" fontId="47" fillId="30" borderId="144" xfId="9" applyFont="1" applyFill="1" applyBorder="1" applyAlignment="1">
      <alignment vertical="center"/>
    </xf>
    <xf numFmtId="0" fontId="55" fillId="0" borderId="0" xfId="9" applyFont="1" applyAlignment="1">
      <alignment vertical="center"/>
    </xf>
    <xf numFmtId="0" fontId="47" fillId="28" borderId="144" xfId="9" applyFont="1" applyFill="1" applyBorder="1" applyAlignment="1">
      <alignment horizontal="left" vertical="center"/>
    </xf>
    <xf numFmtId="0" fontId="46" fillId="43" borderId="144" xfId="9" applyFont="1" applyFill="1" applyBorder="1" applyAlignment="1">
      <alignment vertical="center"/>
    </xf>
    <xf numFmtId="0" fontId="28" fillId="0" borderId="146" xfId="9" applyFont="1" applyBorder="1" applyAlignment="1">
      <alignment vertical="center"/>
    </xf>
    <xf numFmtId="0" fontId="46" fillId="0" borderId="150" xfId="9" applyFont="1" applyBorder="1" applyAlignment="1">
      <alignment vertical="center"/>
    </xf>
    <xf numFmtId="0" fontId="28" fillId="27" borderId="0" xfId="9" applyFont="1" applyFill="1" applyAlignment="1">
      <alignment horizontal="center" vertical="center"/>
    </xf>
    <xf numFmtId="0" fontId="28" fillId="0" borderId="0" xfId="9" applyFont="1" applyAlignment="1">
      <alignment horizontal="center" vertical="center"/>
    </xf>
    <xf numFmtId="0" fontId="47" fillId="0" borderId="146" xfId="9" applyFont="1" applyBorder="1" applyAlignment="1">
      <alignment vertical="center"/>
    </xf>
    <xf numFmtId="0" fontId="46" fillId="27" borderId="150" xfId="9" applyFont="1" applyFill="1" applyBorder="1" applyAlignment="1">
      <alignment horizontal="center" vertical="center"/>
    </xf>
    <xf numFmtId="0" fontId="46" fillId="0" borderId="150" xfId="9" applyFont="1" applyBorder="1" applyAlignment="1">
      <alignment horizontal="center" vertical="center"/>
    </xf>
    <xf numFmtId="0" fontId="46" fillId="30" borderId="144" xfId="9" applyFont="1" applyFill="1" applyBorder="1" applyAlignment="1">
      <alignment vertical="center"/>
    </xf>
    <xf numFmtId="0" fontId="47" fillId="0" borderId="144" xfId="9" applyFont="1" applyBorder="1" applyAlignment="1">
      <alignment vertical="center"/>
    </xf>
    <xf numFmtId="0" fontId="56" fillId="0" borderId="0" xfId="10" applyFont="1" applyAlignment="1">
      <alignment horizontal="left"/>
    </xf>
    <xf numFmtId="0" fontId="56" fillId="0" borderId="0" xfId="10" applyFont="1"/>
    <xf numFmtId="0" fontId="48" fillId="27" borderId="144" xfId="9" applyFont="1" applyFill="1" applyBorder="1" applyAlignment="1">
      <alignment horizontal="center" vertical="center"/>
    </xf>
    <xf numFmtId="0" fontId="48" fillId="0" borderId="144" xfId="9" applyFont="1" applyBorder="1" applyAlignment="1">
      <alignment horizontal="center" vertical="center"/>
    </xf>
    <xf numFmtId="0" fontId="55" fillId="0" borderId="144" xfId="9" applyFont="1" applyBorder="1" applyAlignment="1">
      <alignment horizontal="left" vertical="center"/>
    </xf>
    <xf numFmtId="0" fontId="55" fillId="0" borderId="144" xfId="9" applyFont="1" applyBorder="1" applyAlignment="1">
      <alignment vertical="center"/>
    </xf>
    <xf numFmtId="0" fontId="47" fillId="30" borderId="149" xfId="9" applyFont="1" applyFill="1" applyBorder="1" applyAlignment="1">
      <alignment horizontal="left" vertical="center"/>
    </xf>
    <xf numFmtId="3" fontId="0" fillId="0" borderId="0" xfId="0" applyNumberFormat="1" applyAlignment="1">
      <alignment horizontal="center" vertical="top" wrapText="1"/>
    </xf>
    <xf numFmtId="0" fontId="28" fillId="32" borderId="0" xfId="9" applyFont="1" applyFill="1" applyAlignment="1">
      <alignment vertical="center"/>
    </xf>
    <xf numFmtId="0" fontId="28" fillId="44" borderId="146" xfId="9" applyFont="1" applyFill="1" applyBorder="1" applyAlignment="1">
      <alignment vertical="center"/>
    </xf>
    <xf numFmtId="0" fontId="47" fillId="44" borderId="144" xfId="9" applyFont="1" applyFill="1" applyBorder="1" applyAlignment="1">
      <alignment horizontal="left" vertical="center"/>
    </xf>
    <xf numFmtId="0" fontId="28" fillId="44" borderId="0" xfId="9" applyFont="1" applyFill="1"/>
    <xf numFmtId="0" fontId="28" fillId="45" borderId="0" xfId="9" applyFont="1" applyFill="1"/>
    <xf numFmtId="0" fontId="28" fillId="0" borderId="151" xfId="9" applyFont="1" applyBorder="1" applyAlignment="1">
      <alignment horizontal="left" vertical="center"/>
    </xf>
    <xf numFmtId="0" fontId="28" fillId="0" borderId="151" xfId="9" applyFont="1" applyBorder="1" applyAlignment="1">
      <alignment vertical="center"/>
    </xf>
    <xf numFmtId="0" fontId="47" fillId="0" borderId="151" xfId="9" applyFont="1" applyBorder="1" applyAlignment="1">
      <alignment horizontal="center" vertical="center"/>
    </xf>
    <xf numFmtId="0" fontId="46" fillId="39" borderId="144" xfId="9" applyFont="1" applyFill="1" applyBorder="1" applyAlignment="1">
      <alignment vertical="center"/>
    </xf>
    <xf numFmtId="0" fontId="28" fillId="0" borderId="0" xfId="9" applyFont="1" applyAlignment="1">
      <alignment vertical="center"/>
    </xf>
    <xf numFmtId="0" fontId="28" fillId="0" borderId="147" xfId="9" applyFont="1" applyBorder="1" applyAlignment="1">
      <alignment horizontal="left" vertical="center"/>
    </xf>
    <xf numFmtId="0" fontId="28" fillId="0" borderId="147" xfId="9" applyFont="1" applyBorder="1" applyAlignment="1">
      <alignment horizontal="center" vertical="center"/>
    </xf>
    <xf numFmtId="0" fontId="48" fillId="37" borderId="147" xfId="9" applyFont="1" applyFill="1" applyBorder="1" applyAlignment="1">
      <alignment horizontal="center" vertical="center"/>
    </xf>
    <xf numFmtId="0" fontId="55" fillId="0" borderId="147" xfId="9" applyFont="1" applyBorder="1" applyAlignment="1">
      <alignment horizontal="left" vertical="center"/>
    </xf>
    <xf numFmtId="0" fontId="55" fillId="0" borderId="147" xfId="9" applyFont="1" applyBorder="1" applyAlignment="1">
      <alignment horizontal="center" vertical="center"/>
    </xf>
    <xf numFmtId="0" fontId="57" fillId="0" borderId="147" xfId="10" applyFont="1" applyBorder="1" applyAlignment="1">
      <alignment horizontal="center"/>
    </xf>
    <xf numFmtId="0" fontId="28" fillId="0" borderId="147" xfId="9" applyFont="1" applyBorder="1" applyAlignment="1">
      <alignment horizontal="left"/>
    </xf>
    <xf numFmtId="0" fontId="28" fillId="0" borderId="147" xfId="9" applyFont="1" applyBorder="1"/>
    <xf numFmtId="0" fontId="46" fillId="27" borderId="0" xfId="9" applyFont="1" applyFill="1" applyAlignment="1">
      <alignment horizontal="center" vertical="center"/>
    </xf>
    <xf numFmtId="0" fontId="58" fillId="0" borderId="0" xfId="9" applyFont="1" applyAlignment="1">
      <alignment vertical="center"/>
    </xf>
    <xf numFmtId="0" fontId="59" fillId="0" borderId="147" xfId="10" applyFont="1" applyBorder="1" applyAlignment="1">
      <alignment horizontal="left"/>
    </xf>
    <xf numFmtId="0" fontId="28" fillId="32" borderId="0" xfId="9" applyFont="1" applyFill="1"/>
    <xf numFmtId="0" fontId="53" fillId="0" borderId="0" xfId="10" applyAlignment="1">
      <alignment horizontal="left"/>
    </xf>
    <xf numFmtId="0" fontId="0" fillId="0" borderId="147" xfId="0" applyBorder="1" applyAlignment="1">
      <alignment horizontal="left"/>
    </xf>
    <xf numFmtId="0" fontId="53" fillId="0" borderId="144" xfId="0" applyFont="1" applyBorder="1" applyAlignment="1">
      <alignment vertical="center"/>
    </xf>
    <xf numFmtId="0" fontId="52" fillId="0" borderId="0" xfId="9" applyFont="1" applyAlignment="1">
      <alignment horizontal="center" vertical="center"/>
    </xf>
    <xf numFmtId="0" fontId="28" fillId="27" borderId="0" xfId="9" applyFont="1" applyFill="1"/>
    <xf numFmtId="0" fontId="60" fillId="0" borderId="0" xfId="0" applyFont="1"/>
    <xf numFmtId="0" fontId="52" fillId="0" borderId="0" xfId="9" applyFont="1" applyAlignment="1">
      <alignment vertical="center"/>
    </xf>
    <xf numFmtId="0" fontId="5" fillId="27" borderId="0" xfId="9" applyFont="1" applyFill="1"/>
    <xf numFmtId="0" fontId="5" fillId="0" borderId="0" xfId="9" applyFont="1" applyAlignment="1">
      <alignment horizontal="left"/>
    </xf>
    <xf numFmtId="0" fontId="45" fillId="0" borderId="0" xfId="9" applyAlignment="1">
      <alignment horizontal="left"/>
    </xf>
    <xf numFmtId="0" fontId="28" fillId="46" borderId="94" xfId="0" applyFont="1" applyFill="1" applyBorder="1" applyAlignment="1">
      <alignment horizontal="center" vertical="center"/>
    </xf>
    <xf numFmtId="0" fontId="28" fillId="46" borderId="0" xfId="0" applyFont="1" applyFill="1" applyAlignment="1">
      <alignment horizontal="center" vertical="center" wrapText="1"/>
    </xf>
    <xf numFmtId="0" fontId="28" fillId="46" borderId="0" xfId="0" applyFont="1" applyFill="1" applyAlignment="1">
      <alignment horizontal="right" vertical="center" wrapText="1"/>
    </xf>
    <xf numFmtId="0" fontId="28" fillId="46" borderId="0" xfId="0" applyFont="1" applyFill="1" applyAlignment="1">
      <alignment vertical="center"/>
    </xf>
    <xf numFmtId="0" fontId="28" fillId="46" borderId="0" xfId="0" applyFont="1" applyFill="1" applyAlignment="1">
      <alignment horizontal="left" vertical="center" wrapText="1"/>
    </xf>
    <xf numFmtId="0" fontId="28" fillId="46" borderId="101" xfId="0" applyFont="1" applyFill="1" applyBorder="1" applyAlignment="1">
      <alignment vertical="center"/>
    </xf>
    <xf numFmtId="0" fontId="28" fillId="46" borderId="101" xfId="0" applyFont="1" applyFill="1" applyBorder="1" applyAlignment="1">
      <alignment horizontal="center" vertical="center"/>
    </xf>
    <xf numFmtId="49" fontId="36" fillId="46" borderId="102" xfId="0" applyNumberFormat="1" applyFont="1" applyFill="1" applyBorder="1" applyAlignment="1">
      <alignment horizontal="center" vertical="center" wrapText="1"/>
    </xf>
    <xf numFmtId="170" fontId="28" fillId="46" borderId="103" xfId="1" applyNumberFormat="1" applyFont="1" applyFill="1" applyBorder="1" applyAlignment="1">
      <alignment vertical="center" wrapText="1"/>
    </xf>
    <xf numFmtId="0" fontId="28" fillId="46" borderId="104" xfId="0" applyFont="1" applyFill="1" applyBorder="1" applyAlignment="1">
      <alignment horizontal="center" vertical="center" wrapText="1"/>
    </xf>
    <xf numFmtId="170" fontId="28" fillId="46" borderId="101" xfId="1" applyNumberFormat="1" applyFont="1" applyFill="1" applyBorder="1" applyAlignment="1">
      <alignment horizontal="center" vertical="center" wrapText="1"/>
    </xf>
    <xf numFmtId="170" fontId="28" fillId="46" borderId="104" xfId="1" applyNumberFormat="1" applyFont="1" applyFill="1" applyBorder="1" applyAlignment="1">
      <alignment horizontal="center" vertical="center" wrapText="1"/>
    </xf>
    <xf numFmtId="0" fontId="28" fillId="46" borderId="102" xfId="0" applyFont="1" applyFill="1" applyBorder="1" applyAlignment="1">
      <alignment horizontal="center" vertical="center" wrapText="1"/>
    </xf>
    <xf numFmtId="170" fontId="28" fillId="46" borderId="104" xfId="1" applyNumberFormat="1" applyFont="1" applyFill="1" applyBorder="1" applyAlignment="1">
      <alignment horizontal="center" vertical="center"/>
    </xf>
    <xf numFmtId="0" fontId="36" fillId="46" borderId="102" xfId="0" applyFont="1" applyFill="1" applyBorder="1" applyAlignment="1">
      <alignment horizontal="center" vertical="center" wrapText="1"/>
    </xf>
    <xf numFmtId="170" fontId="28" fillId="46" borderId="103" xfId="1" applyNumberFormat="1" applyFont="1" applyFill="1" applyBorder="1" applyAlignment="1">
      <alignment horizontal="center" vertical="center" wrapText="1"/>
    </xf>
    <xf numFmtId="0" fontId="31" fillId="46" borderId="101" xfId="0" applyFont="1" applyFill="1" applyBorder="1" applyAlignment="1">
      <alignment horizontal="center" vertical="center" wrapText="1"/>
    </xf>
    <xf numFmtId="170" fontId="61" fillId="0" borderId="104" xfId="1" applyNumberFormat="1" applyFont="1" applyFill="1" applyBorder="1" applyAlignment="1">
      <alignment horizontal="center" vertical="center"/>
    </xf>
    <xf numFmtId="170" fontId="28" fillId="0" borderId="104" xfId="1" applyNumberFormat="1" applyFont="1" applyFill="1" applyBorder="1" applyAlignment="1">
      <alignment horizontal="center" vertical="center" wrapText="1"/>
    </xf>
    <xf numFmtId="170" fontId="28" fillId="0" borderId="103" xfId="1" applyNumberFormat="1" applyFont="1" applyFill="1" applyBorder="1" applyAlignment="1">
      <alignment horizontal="center" vertical="center" wrapText="1"/>
    </xf>
    <xf numFmtId="0" fontId="36" fillId="0" borderId="102" xfId="0" quotePrefix="1" applyFont="1" applyBorder="1" applyAlignment="1">
      <alignment horizontal="left" vertical="center"/>
    </xf>
    <xf numFmtId="3" fontId="36" fillId="0" borderId="102" xfId="0" quotePrefix="1" applyNumberFormat="1" applyFont="1" applyBorder="1" applyAlignment="1">
      <alignment horizontal="center" vertical="center" wrapText="1"/>
    </xf>
    <xf numFmtId="0" fontId="28" fillId="0" borderId="117" xfId="0" quotePrefix="1" applyFont="1" applyBorder="1" applyAlignment="1">
      <alignment vertical="center"/>
    </xf>
    <xf numFmtId="0" fontId="8" fillId="0" borderId="26" xfId="0" applyFont="1" applyBorder="1" applyAlignment="1">
      <alignment vertical="center" wrapText="1"/>
    </xf>
    <xf numFmtId="0" fontId="8" fillId="0" borderId="155" xfId="0" applyFont="1" applyBorder="1" applyAlignment="1">
      <alignment vertical="center" wrapText="1"/>
    </xf>
    <xf numFmtId="0" fontId="8" fillId="0" borderId="156" xfId="0" applyFont="1" applyBorder="1" applyAlignment="1">
      <alignment horizontal="left" vertical="center" wrapText="1"/>
    </xf>
    <xf numFmtId="49" fontId="36" fillId="0" borderId="118" xfId="0" quotePrefix="1" applyNumberFormat="1" applyFont="1" applyBorder="1" applyAlignment="1">
      <alignment horizontal="center" vertical="center" wrapText="1"/>
    </xf>
    <xf numFmtId="170" fontId="28" fillId="0" borderId="119" xfId="1" applyNumberFormat="1" applyFont="1" applyFill="1" applyBorder="1" applyAlignment="1">
      <alignment vertical="center" wrapText="1"/>
    </xf>
    <xf numFmtId="170" fontId="31" fillId="0" borderId="101" xfId="1" applyNumberFormat="1" applyFont="1" applyBorder="1" applyAlignment="1">
      <alignment horizontal="center" vertical="center" wrapText="1"/>
    </xf>
    <xf numFmtId="170" fontId="31" fillId="0" borderId="117" xfId="1" applyNumberFormat="1" applyFont="1" applyBorder="1" applyAlignment="1">
      <alignment horizontal="center" vertical="center" wrapText="1"/>
    </xf>
    <xf numFmtId="170" fontId="31" fillId="0" borderId="120" xfId="1" applyNumberFormat="1" applyFont="1" applyBorder="1" applyAlignment="1">
      <alignment horizontal="center" vertical="center" wrapText="1"/>
    </xf>
    <xf numFmtId="0" fontId="8" fillId="0" borderId="158" xfId="0" applyFont="1" applyBorder="1" applyAlignment="1">
      <alignment horizontal="left" vertical="center" wrapText="1"/>
    </xf>
    <xf numFmtId="0" fontId="8" fillId="0" borderId="159" xfId="0" applyFont="1" applyBorder="1" applyAlignment="1">
      <alignment vertical="center" wrapText="1"/>
    </xf>
    <xf numFmtId="170" fontId="31" fillId="0" borderId="104" xfId="1" applyNumberFormat="1" applyFont="1" applyBorder="1" applyAlignment="1">
      <alignment horizontal="center" vertical="center"/>
    </xf>
    <xf numFmtId="0" fontId="28" fillId="0" borderId="101" xfId="0" quotePrefix="1" applyFont="1" applyBorder="1" applyAlignment="1">
      <alignment vertical="center"/>
    </xf>
    <xf numFmtId="0" fontId="31" fillId="0" borderId="101" xfId="0" quotePrefix="1" applyFont="1" applyBorder="1" applyAlignment="1">
      <alignment horizontal="left" vertical="center"/>
    </xf>
    <xf numFmtId="0" fontId="31" fillId="0" borderId="101" xfId="0" applyFont="1" applyBorder="1" applyAlignment="1">
      <alignment horizontal="left" vertical="center"/>
    </xf>
    <xf numFmtId="0" fontId="28" fillId="0" borderId="117" xfId="0" applyFont="1" applyBorder="1" applyAlignment="1">
      <alignment horizontal="left" vertical="center"/>
    </xf>
    <xf numFmtId="0" fontId="28" fillId="0" borderId="117" xfId="0" quotePrefix="1" applyFont="1" applyBorder="1" applyAlignment="1">
      <alignment horizontal="left" vertical="center"/>
    </xf>
    <xf numFmtId="0" fontId="28" fillId="46" borderId="101" xfId="0" applyFont="1" applyFill="1" applyBorder="1" applyAlignment="1">
      <alignment horizontal="left" vertical="center"/>
    </xf>
    <xf numFmtId="170" fontId="19" fillId="0" borderId="33" xfId="1" applyNumberFormat="1" applyFont="1" applyFill="1" applyBorder="1" applyAlignment="1" applyProtection="1">
      <alignment horizontal="center" vertical="center"/>
    </xf>
    <xf numFmtId="0" fontId="8" fillId="0" borderId="164" xfId="0" applyFont="1" applyBorder="1" applyAlignment="1">
      <alignment horizontal="left" vertical="center" wrapText="1"/>
    </xf>
    <xf numFmtId="0" fontId="8" fillId="0" borderId="166" xfId="0" applyFont="1" applyBorder="1" applyAlignment="1">
      <alignment horizontal="left" vertical="center" wrapText="1"/>
    </xf>
    <xf numFmtId="0" fontId="8" fillId="0" borderId="168" xfId="0" applyFont="1" applyBorder="1" applyAlignment="1">
      <alignment horizontal="left" vertical="center" wrapText="1"/>
    </xf>
    <xf numFmtId="0" fontId="13" fillId="0" borderId="83" xfId="0" applyFont="1" applyBorder="1" applyAlignment="1">
      <alignment horizontal="center" vertical="center" wrapText="1"/>
    </xf>
    <xf numFmtId="0" fontId="13" fillId="0" borderId="8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xf numFmtId="0" fontId="8" fillId="0" borderId="129"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88" xfId="0" applyFont="1" applyBorder="1" applyAlignment="1">
      <alignment horizontal="center" vertical="center" wrapText="1"/>
    </xf>
    <xf numFmtId="0" fontId="8" fillId="0" borderId="89" xfId="0" applyFont="1" applyBorder="1" applyAlignment="1">
      <alignment horizontal="center" vertical="center" wrapText="1"/>
    </xf>
    <xf numFmtId="0" fontId="8" fillId="0" borderId="81" xfId="0" applyFont="1" applyBorder="1" applyAlignment="1">
      <alignment horizontal="center" vertical="center" wrapText="1"/>
    </xf>
    <xf numFmtId="0" fontId="42" fillId="4" borderId="15" xfId="0" applyFont="1" applyFill="1" applyBorder="1" applyAlignment="1">
      <alignment horizontal="center" vertical="center" wrapText="1"/>
    </xf>
    <xf numFmtId="14" fontId="8" fillId="0" borderId="4" xfId="0" applyNumberFormat="1" applyFont="1" applyBorder="1" applyAlignment="1">
      <alignment horizontal="left" vertical="center"/>
    </xf>
    <xf numFmtId="0" fontId="8" fillId="0" borderId="169" xfId="0" applyFont="1" applyBorder="1" applyAlignment="1">
      <alignment vertical="center" wrapText="1"/>
    </xf>
    <xf numFmtId="0" fontId="8" fillId="0" borderId="169" xfId="0" applyFont="1" applyBorder="1" applyAlignment="1">
      <alignment horizontal="left" vertical="center" wrapText="1"/>
    </xf>
    <xf numFmtId="43" fontId="8" fillId="0" borderId="169" xfId="1" applyFont="1" applyFill="1" applyBorder="1" applyAlignment="1">
      <alignment vertical="center"/>
    </xf>
    <xf numFmtId="0" fontId="8" fillId="0" borderId="169" xfId="0" applyFont="1" applyBorder="1" applyAlignment="1">
      <alignment horizontal="center" vertical="center"/>
    </xf>
    <xf numFmtId="0" fontId="8" fillId="0" borderId="170" xfId="0" applyFont="1" applyBorder="1" applyAlignment="1">
      <alignment horizontal="center" vertical="center"/>
    </xf>
    <xf numFmtId="0" fontId="13" fillId="0" borderId="24" xfId="1" quotePrefix="1" applyNumberFormat="1" applyFont="1" applyBorder="1" applyAlignment="1">
      <alignment horizontal="left" vertical="center" wrapText="1"/>
    </xf>
    <xf numFmtId="0" fontId="8" fillId="0" borderId="176" xfId="0" applyFont="1" applyBorder="1" applyAlignment="1">
      <alignment vertical="center" wrapText="1"/>
    </xf>
    <xf numFmtId="0" fontId="8" fillId="0" borderId="178" xfId="0" applyFont="1" applyBorder="1" applyAlignment="1">
      <alignment horizontal="left" vertical="center" wrapText="1"/>
    </xf>
    <xf numFmtId="0" fontId="8" fillId="0" borderId="162" xfId="0" applyFont="1" applyBorder="1" applyAlignment="1">
      <alignment vertical="center" wrapText="1"/>
    </xf>
    <xf numFmtId="0" fontId="8" fillId="0" borderId="174" xfId="0" applyFont="1" applyBorder="1" applyAlignment="1">
      <alignment horizontal="left" vertical="center" wrapText="1"/>
    </xf>
    <xf numFmtId="0" fontId="8" fillId="0" borderId="179" xfId="0" applyFont="1" applyBorder="1" applyAlignment="1">
      <alignment vertical="center" wrapText="1"/>
    </xf>
    <xf numFmtId="0" fontId="8" fillId="0" borderId="180" xfId="0" applyFont="1" applyBorder="1" applyAlignment="1">
      <alignment vertical="center" wrapText="1"/>
    </xf>
    <xf numFmtId="0" fontId="8" fillId="0" borderId="181" xfId="0" applyFont="1" applyBorder="1" applyAlignment="1">
      <alignment horizontal="left" vertical="center" wrapText="1"/>
    </xf>
    <xf numFmtId="170" fontId="28" fillId="0" borderId="120" xfId="1" applyNumberFormat="1" applyFont="1" applyFill="1" applyBorder="1" applyAlignment="1">
      <alignment horizontal="center" vertical="center" wrapText="1"/>
    </xf>
    <xf numFmtId="49" fontId="36" fillId="0" borderId="118" xfId="0" applyNumberFormat="1" applyFont="1" applyBorder="1" applyAlignment="1">
      <alignment horizontal="center" vertical="center"/>
    </xf>
    <xf numFmtId="170" fontId="28" fillId="0" borderId="119" xfId="1" applyNumberFormat="1" applyFont="1" applyFill="1" applyBorder="1" applyAlignment="1">
      <alignment vertical="center"/>
    </xf>
    <xf numFmtId="170" fontId="28" fillId="0" borderId="117" xfId="1" applyNumberFormat="1" applyFont="1" applyBorder="1" applyAlignment="1">
      <alignment horizontal="center" vertical="center"/>
    </xf>
    <xf numFmtId="0" fontId="28" fillId="0" borderId="0" xfId="0" applyFont="1" applyAlignment="1">
      <alignment horizontal="right" vertical="center"/>
    </xf>
    <xf numFmtId="0" fontId="28" fillId="0" borderId="118" xfId="0" applyFont="1" applyBorder="1" applyAlignment="1">
      <alignment horizontal="center" vertical="center"/>
    </xf>
    <xf numFmtId="170" fontId="28" fillId="0" borderId="103" xfId="1" applyNumberFormat="1" applyFont="1" applyBorder="1" applyAlignment="1">
      <alignment horizontal="center" vertical="center"/>
    </xf>
    <xf numFmtId="0" fontId="36" fillId="0" borderId="118" xfId="0" applyFont="1" applyBorder="1" applyAlignment="1">
      <alignment horizontal="center" vertical="center"/>
    </xf>
    <xf numFmtId="0" fontId="28" fillId="0" borderId="0" xfId="0" applyFont="1" applyAlignment="1">
      <alignment horizontal="left" vertical="center"/>
    </xf>
    <xf numFmtId="49" fontId="36" fillId="0" borderId="118" xfId="0" quotePrefix="1" applyNumberFormat="1" applyFont="1" applyBorder="1" applyAlignment="1">
      <alignment horizontal="center" vertical="center"/>
    </xf>
    <xf numFmtId="170" fontId="28" fillId="0" borderId="119" xfId="1" applyNumberFormat="1" applyFont="1" applyBorder="1" applyAlignment="1">
      <alignment horizontal="center" vertical="center"/>
    </xf>
    <xf numFmtId="49" fontId="36" fillId="0" borderId="102" xfId="0" applyNumberFormat="1" applyFont="1" applyBorder="1" applyAlignment="1">
      <alignment horizontal="center" vertical="center"/>
    </xf>
    <xf numFmtId="0" fontId="28" fillId="0" borderId="104" xfId="0" applyFont="1" applyBorder="1" applyAlignment="1">
      <alignment horizontal="center" vertical="center"/>
    </xf>
    <xf numFmtId="170" fontId="37" fillId="0" borderId="0" xfId="0" applyNumberFormat="1" applyFont="1" applyAlignment="1">
      <alignment horizontal="center" vertical="center" wrapText="1"/>
    </xf>
    <xf numFmtId="0" fontId="8" fillId="3" borderId="170" xfId="0" applyFont="1" applyFill="1" applyBorder="1" applyAlignment="1">
      <alignment horizontal="center" vertical="center"/>
    </xf>
    <xf numFmtId="0" fontId="8" fillId="0" borderId="182" xfId="0" applyFont="1" applyBorder="1" applyAlignment="1">
      <alignment horizontal="center" vertical="center"/>
    </xf>
    <xf numFmtId="43" fontId="8" fillId="0" borderId="4" xfId="1" applyFont="1" applyFill="1" applyBorder="1" applyAlignment="1">
      <alignment horizontal="right" vertical="center"/>
    </xf>
    <xf numFmtId="0" fontId="36" fillId="0" borderId="118" xfId="0" applyFont="1" applyBorder="1" applyAlignment="1">
      <alignment horizontal="left" vertical="center"/>
    </xf>
    <xf numFmtId="0" fontId="36" fillId="0" borderId="102" xfId="0" applyFont="1" applyBorder="1" applyAlignment="1">
      <alignment horizontal="center" vertical="center"/>
    </xf>
    <xf numFmtId="0" fontId="8" fillId="0" borderId="198" xfId="0" applyFont="1" applyBorder="1" applyAlignment="1">
      <alignment horizontal="left" vertical="center" wrapText="1"/>
    </xf>
    <xf numFmtId="0" fontId="8" fillId="0" borderId="175" xfId="0" applyFont="1" applyBorder="1" applyAlignment="1">
      <alignment vertical="center" wrapText="1"/>
    </xf>
    <xf numFmtId="0" fontId="8" fillId="0" borderId="200" xfId="0" applyFont="1" applyBorder="1" applyAlignment="1">
      <alignment horizontal="left" vertical="center" wrapText="1"/>
    </xf>
    <xf numFmtId="0" fontId="8" fillId="0" borderId="201" xfId="0" applyFont="1" applyBorder="1" applyAlignment="1">
      <alignment horizontal="left" vertical="center" wrapText="1"/>
    </xf>
    <xf numFmtId="0" fontId="8" fillId="0" borderId="202" xfId="0" applyFont="1" applyBorder="1" applyAlignment="1">
      <alignment vertical="center" wrapText="1"/>
    </xf>
    <xf numFmtId="0" fontId="8" fillId="0" borderId="24" xfId="0" applyFont="1" applyBorder="1" applyAlignment="1">
      <alignment horizontal="center" vertical="center" wrapText="1"/>
    </xf>
    <xf numFmtId="0" fontId="8" fillId="0" borderId="197" xfId="0" applyFont="1" applyBorder="1" applyAlignment="1">
      <alignment horizontal="center" vertical="center"/>
    </xf>
    <xf numFmtId="0" fontId="8" fillId="0" borderId="155" xfId="0" applyFont="1" applyBorder="1" applyAlignment="1">
      <alignment horizontal="center" vertical="center"/>
    </xf>
    <xf numFmtId="0" fontId="8" fillId="0" borderId="176" xfId="0" applyFont="1" applyBorder="1" applyAlignment="1">
      <alignment horizontal="center" vertical="center"/>
    </xf>
    <xf numFmtId="0" fontId="8" fillId="3" borderId="172" xfId="0" applyFont="1" applyFill="1" applyBorder="1" applyAlignment="1">
      <alignment horizontal="center" vertical="center"/>
    </xf>
    <xf numFmtId="170" fontId="28" fillId="0" borderId="120" xfId="1" applyNumberFormat="1" applyFont="1" applyFill="1" applyBorder="1" applyAlignment="1">
      <alignment horizontal="center" vertical="center"/>
    </xf>
    <xf numFmtId="170" fontId="31" fillId="0" borderId="117" xfId="0" applyNumberFormat="1" applyFont="1" applyBorder="1" applyAlignment="1">
      <alignment horizontal="center" vertical="center"/>
    </xf>
    <xf numFmtId="0" fontId="37" fillId="0" borderId="102" xfId="0" applyFont="1" applyBorder="1" applyAlignment="1">
      <alignment horizontal="center" vertical="center"/>
    </xf>
    <xf numFmtId="0" fontId="37" fillId="0" borderId="102" xfId="0" quotePrefix="1" applyFont="1" applyBorder="1" applyAlignment="1">
      <alignment horizontal="center" vertical="center" wrapText="1"/>
    </xf>
    <xf numFmtId="0" fontId="37" fillId="0" borderId="118" xfId="0" applyFont="1" applyBorder="1" applyAlignment="1">
      <alignment horizontal="center" vertical="center" wrapText="1"/>
    </xf>
    <xf numFmtId="0" fontId="8" fillId="47" borderId="4" xfId="0" applyFont="1" applyFill="1" applyBorder="1" applyAlignment="1">
      <alignment horizontal="center" vertical="center"/>
    </xf>
    <xf numFmtId="14" fontId="8" fillId="47" borderId="4" xfId="0" applyNumberFormat="1" applyFont="1" applyFill="1" applyBorder="1" applyAlignment="1">
      <alignment horizontal="center" vertical="center"/>
    </xf>
    <xf numFmtId="0" fontId="8" fillId="47" borderId="4" xfId="0" applyFont="1" applyFill="1" applyBorder="1" applyAlignment="1">
      <alignment vertical="center" wrapText="1"/>
    </xf>
    <xf numFmtId="0" fontId="8" fillId="47" borderId="4" xfId="0" applyFont="1" applyFill="1" applyBorder="1" applyAlignment="1">
      <alignment vertical="center"/>
    </xf>
    <xf numFmtId="14" fontId="8" fillId="47" borderId="4" xfId="0" applyNumberFormat="1" applyFont="1" applyFill="1" applyBorder="1" applyAlignment="1">
      <alignment vertical="center"/>
    </xf>
    <xf numFmtId="43" fontId="8" fillId="47" borderId="4" xfId="1" applyFont="1" applyFill="1" applyBorder="1" applyAlignment="1">
      <alignment vertical="center"/>
    </xf>
    <xf numFmtId="43" fontId="44" fillId="47" borderId="4" xfId="1" applyFont="1" applyFill="1" applyBorder="1" applyAlignment="1">
      <alignment vertical="center" wrapText="1"/>
    </xf>
    <xf numFmtId="14" fontId="8" fillId="47" borderId="4" xfId="0" applyNumberFormat="1" applyFont="1" applyFill="1" applyBorder="1" applyAlignment="1">
      <alignment horizontal="right" vertical="center"/>
    </xf>
    <xf numFmtId="14" fontId="8" fillId="47" borderId="4" xfId="0" applyNumberFormat="1" applyFont="1" applyFill="1" applyBorder="1" applyAlignment="1">
      <alignment horizontal="center" vertical="center" wrapText="1"/>
    </xf>
    <xf numFmtId="43" fontId="8" fillId="47" borderId="4" xfId="1" applyFont="1" applyFill="1" applyBorder="1" applyAlignment="1">
      <alignment horizontal="center" vertical="center"/>
    </xf>
    <xf numFmtId="0" fontId="8" fillId="3" borderId="5" xfId="0" applyFont="1" applyFill="1" applyBorder="1" applyAlignment="1">
      <alignment vertical="center"/>
    </xf>
    <xf numFmtId="0" fontId="8" fillId="3" borderId="4" xfId="0" applyFont="1" applyFill="1" applyBorder="1" applyAlignment="1">
      <alignment vertical="center"/>
    </xf>
    <xf numFmtId="14" fontId="8" fillId="3" borderId="4" xfId="0" applyNumberFormat="1" applyFont="1" applyFill="1" applyBorder="1" applyAlignment="1">
      <alignment vertical="center"/>
    </xf>
    <xf numFmtId="43" fontId="8" fillId="3" borderId="4" xfId="1" applyFont="1" applyFill="1" applyBorder="1" applyAlignment="1">
      <alignment vertical="center"/>
    </xf>
    <xf numFmtId="43" fontId="44" fillId="3" borderId="4" xfId="1" applyFont="1" applyFill="1" applyBorder="1" applyAlignment="1">
      <alignment vertical="center" wrapText="1"/>
    </xf>
    <xf numFmtId="0" fontId="8" fillId="3" borderId="4" xfId="0" applyFont="1" applyFill="1" applyBorder="1" applyAlignment="1">
      <alignment horizontal="center" vertical="center"/>
    </xf>
    <xf numFmtId="14" fontId="8" fillId="3" borderId="4" xfId="0" applyNumberFormat="1" applyFont="1" applyFill="1" applyBorder="1" applyAlignment="1">
      <alignment horizontal="right" vertical="center"/>
    </xf>
    <xf numFmtId="14" fontId="8" fillId="3" borderId="4" xfId="0" applyNumberFormat="1" applyFont="1" applyFill="1" applyBorder="1" applyAlignment="1">
      <alignment horizontal="center" vertical="center" wrapText="1"/>
    </xf>
    <xf numFmtId="43" fontId="8" fillId="3" borderId="4" xfId="1" applyFont="1" applyFill="1" applyBorder="1" applyAlignment="1">
      <alignment horizontal="center" vertical="center"/>
    </xf>
    <xf numFmtId="43" fontId="8" fillId="6" borderId="22" xfId="1" applyFont="1" applyFill="1" applyBorder="1" applyAlignment="1">
      <alignment vertical="center"/>
    </xf>
    <xf numFmtId="9" fontId="8" fillId="3" borderId="4" xfId="7" applyFont="1" applyFill="1" applyBorder="1" applyAlignment="1">
      <alignment vertical="center"/>
    </xf>
    <xf numFmtId="0" fontId="28" fillId="0" borderId="120" xfId="0" applyFont="1" applyBorder="1" applyAlignment="1">
      <alignment horizontal="center" vertical="center"/>
    </xf>
    <xf numFmtId="170" fontId="31" fillId="0" borderId="120" xfId="1" applyNumberFormat="1" applyFont="1" applyFill="1" applyBorder="1" applyAlignment="1">
      <alignment horizontal="center" vertical="center" wrapText="1"/>
    </xf>
    <xf numFmtId="0" fontId="36" fillId="0" borderId="118" xfId="0" quotePrefix="1" applyFont="1" applyBorder="1" applyAlignment="1">
      <alignment horizontal="center" vertical="center" wrapText="1"/>
    </xf>
    <xf numFmtId="0" fontId="8" fillId="0" borderId="207" xfId="0" applyFont="1" applyBorder="1" applyAlignment="1">
      <alignment vertical="center" wrapText="1"/>
    </xf>
    <xf numFmtId="0" fontId="8" fillId="0" borderId="207" xfId="0" applyFont="1" applyBorder="1" applyAlignment="1">
      <alignment horizontal="left" vertical="center" wrapText="1"/>
    </xf>
    <xf numFmtId="43" fontId="8" fillId="0" borderId="207" xfId="1" applyFont="1" applyFill="1" applyBorder="1" applyAlignment="1">
      <alignment vertical="center"/>
    </xf>
    <xf numFmtId="0" fontId="8" fillId="0" borderId="207" xfId="0" applyFont="1" applyBorder="1" applyAlignment="1">
      <alignment horizontal="center" vertical="center"/>
    </xf>
    <xf numFmtId="0" fontId="8" fillId="0" borderId="210" xfId="0" applyFont="1" applyBorder="1" applyAlignment="1">
      <alignment vertical="center" wrapText="1"/>
    </xf>
    <xf numFmtId="0" fontId="8" fillId="0" borderId="210" xfId="0" applyFont="1" applyBorder="1" applyAlignment="1">
      <alignment horizontal="left" vertical="center" wrapText="1"/>
    </xf>
    <xf numFmtId="43" fontId="8" fillId="0" borderId="210" xfId="1" applyFont="1" applyFill="1" applyBorder="1" applyAlignment="1">
      <alignment vertical="center"/>
    </xf>
    <xf numFmtId="0" fontId="8" fillId="0" borderId="210" xfId="0" applyFont="1" applyBorder="1" applyAlignment="1">
      <alignment horizontal="center" vertical="center"/>
    </xf>
    <xf numFmtId="0" fontId="8" fillId="0" borderId="216" xfId="0" applyFont="1" applyBorder="1" applyAlignment="1">
      <alignment horizontal="center" vertical="center" wrapText="1"/>
    </xf>
    <xf numFmtId="0" fontId="8" fillId="0" borderId="211" xfId="0" applyFont="1" applyBorder="1" applyAlignment="1">
      <alignment vertical="center" wrapText="1"/>
    </xf>
    <xf numFmtId="0" fontId="8" fillId="0" borderId="211" xfId="0" applyFont="1" applyBorder="1" applyAlignment="1">
      <alignment horizontal="left" vertical="center" wrapText="1"/>
    </xf>
    <xf numFmtId="43" fontId="8" fillId="0" borderId="211" xfId="1" applyFont="1" applyFill="1" applyBorder="1" applyAlignment="1">
      <alignment vertical="center"/>
    </xf>
    <xf numFmtId="0" fontId="8" fillId="0" borderId="211" xfId="0" applyFont="1" applyBorder="1" applyAlignment="1">
      <alignment horizontal="center" vertical="center"/>
    </xf>
    <xf numFmtId="0" fontId="8" fillId="0" borderId="211" xfId="0" applyFont="1" applyBorder="1" applyAlignment="1">
      <alignment horizontal="center" vertical="center" wrapText="1"/>
    </xf>
    <xf numFmtId="14" fontId="8" fillId="0" borderId="211" xfId="0" applyNumberFormat="1" applyFont="1" applyBorder="1" applyAlignment="1">
      <alignment horizontal="center" vertical="center"/>
    </xf>
    <xf numFmtId="0" fontId="8" fillId="0" borderId="217" xfId="0" applyFont="1" applyBorder="1" applyAlignment="1">
      <alignment vertical="center" wrapText="1"/>
    </xf>
    <xf numFmtId="0" fontId="8" fillId="0" borderId="218" xfId="0" applyFont="1" applyBorder="1" applyAlignment="1">
      <alignment horizontal="center" vertical="center" wrapText="1"/>
    </xf>
    <xf numFmtId="0" fontId="8" fillId="0" borderId="219" xfId="0" applyFont="1" applyBorder="1" applyAlignment="1">
      <alignment vertical="center" wrapText="1"/>
    </xf>
    <xf numFmtId="0" fontId="8" fillId="0" borderId="219" xfId="0" applyFont="1" applyBorder="1" applyAlignment="1">
      <alignment horizontal="left" vertical="center" wrapText="1"/>
    </xf>
    <xf numFmtId="43" fontId="12" fillId="0" borderId="219" xfId="1" applyFont="1" applyFill="1" applyBorder="1" applyAlignment="1">
      <alignment vertical="center"/>
    </xf>
    <xf numFmtId="43" fontId="8" fillId="0" borderId="219" xfId="1" applyFont="1" applyFill="1" applyBorder="1" applyAlignment="1">
      <alignment vertical="center"/>
    </xf>
    <xf numFmtId="0" fontId="8" fillId="0" borderId="219" xfId="0" applyFont="1" applyBorder="1" applyAlignment="1">
      <alignment horizontal="center" vertical="center"/>
    </xf>
    <xf numFmtId="0" fontId="8" fillId="0" borderId="219" xfId="0" applyFont="1" applyBorder="1" applyAlignment="1">
      <alignment horizontal="center" vertical="center" wrapText="1"/>
    </xf>
    <xf numFmtId="14" fontId="8" fillId="0" borderId="219" xfId="0" applyNumberFormat="1" applyFont="1" applyBorder="1" applyAlignment="1">
      <alignment horizontal="center" vertical="center"/>
    </xf>
    <xf numFmtId="0" fontId="8" fillId="0" borderId="220" xfId="0" applyFont="1" applyBorder="1" applyAlignment="1">
      <alignment vertical="center" wrapText="1"/>
    </xf>
    <xf numFmtId="0" fontId="8" fillId="0" borderId="221" xfId="0" applyFont="1" applyBorder="1" applyAlignment="1">
      <alignment horizontal="center" vertical="center" wrapText="1"/>
    </xf>
    <xf numFmtId="0" fontId="8" fillId="0" borderId="222" xfId="0" applyFont="1" applyBorder="1" applyAlignment="1">
      <alignment vertical="center" wrapText="1"/>
    </xf>
    <xf numFmtId="0" fontId="8" fillId="0" borderId="222" xfId="0" applyFont="1" applyBorder="1" applyAlignment="1">
      <alignment horizontal="left" vertical="center" wrapText="1"/>
    </xf>
    <xf numFmtId="43" fontId="8" fillId="0" borderId="222" xfId="1" applyFont="1" applyFill="1" applyBorder="1" applyAlignment="1">
      <alignment vertical="center"/>
    </xf>
    <xf numFmtId="0" fontId="8" fillId="0" borderId="222" xfId="0" applyFont="1" applyBorder="1" applyAlignment="1">
      <alignment horizontal="center" vertical="center"/>
    </xf>
    <xf numFmtId="0" fontId="8" fillId="0" borderId="222" xfId="0" applyFont="1" applyBorder="1" applyAlignment="1">
      <alignment horizontal="center" vertical="center" wrapText="1"/>
    </xf>
    <xf numFmtId="14" fontId="8" fillId="0" borderId="222" xfId="0" applyNumberFormat="1" applyFont="1" applyBorder="1" applyAlignment="1">
      <alignment horizontal="center" vertical="center"/>
    </xf>
    <xf numFmtId="0" fontId="8" fillId="0" borderId="223" xfId="0" applyFont="1" applyBorder="1" applyAlignment="1">
      <alignment vertical="center" wrapText="1"/>
    </xf>
    <xf numFmtId="0" fontId="8" fillId="0" borderId="208" xfId="0" applyFont="1" applyBorder="1" applyAlignment="1">
      <alignment horizontal="center" vertical="center"/>
    </xf>
    <xf numFmtId="0" fontId="8" fillId="0" borderId="214" xfId="0" applyFont="1" applyBorder="1" applyAlignment="1">
      <alignment vertical="center" wrapText="1"/>
    </xf>
    <xf numFmtId="0" fontId="8" fillId="0" borderId="212" xfId="0" applyFont="1" applyBorder="1" applyAlignment="1">
      <alignment vertical="center" wrapText="1"/>
    </xf>
    <xf numFmtId="0" fontId="8" fillId="0" borderId="207" xfId="0" applyFont="1" applyBorder="1" applyAlignment="1">
      <alignment horizontal="center" vertical="center" wrapText="1"/>
    </xf>
    <xf numFmtId="14" fontId="8" fillId="0" borderId="207" xfId="0" applyNumberFormat="1" applyFont="1" applyBorder="1" applyAlignment="1">
      <alignment horizontal="center" vertical="center"/>
    </xf>
    <xf numFmtId="0" fontId="8" fillId="0" borderId="209" xfId="0" applyFont="1" applyBorder="1" applyAlignment="1">
      <alignment vertical="center" wrapText="1"/>
    </xf>
    <xf numFmtId="49" fontId="17" fillId="0" borderId="33" xfId="3" applyNumberFormat="1" applyFont="1" applyBorder="1" applyAlignment="1">
      <alignment horizontal="center" vertical="center" wrapText="1"/>
    </xf>
    <xf numFmtId="0" fontId="8" fillId="0" borderId="213" xfId="0" applyFont="1" applyBorder="1" applyAlignment="1">
      <alignment horizontal="center" vertical="center" wrapText="1"/>
    </xf>
    <xf numFmtId="0" fontId="8" fillId="0" borderId="208" xfId="0" applyFont="1" applyBorder="1" applyAlignment="1">
      <alignment vertical="center" wrapText="1"/>
    </xf>
    <xf numFmtId="0" fontId="8" fillId="0" borderId="208" xfId="0" applyFont="1" applyBorder="1" applyAlignment="1">
      <alignment horizontal="left" vertical="center" wrapText="1"/>
    </xf>
    <xf numFmtId="43" fontId="8" fillId="0" borderId="208" xfId="1" applyFont="1" applyFill="1" applyBorder="1" applyAlignment="1">
      <alignment vertical="center"/>
    </xf>
    <xf numFmtId="0" fontId="8" fillId="0" borderId="215" xfId="0" applyFont="1" applyBorder="1" applyAlignment="1">
      <alignment horizontal="center" vertical="center" wrapText="1"/>
    </xf>
    <xf numFmtId="0" fontId="37" fillId="0" borderId="0" xfId="0" applyFont="1" applyAlignment="1">
      <alignment horizontal="center" vertical="center"/>
    </xf>
    <xf numFmtId="0" fontId="8" fillId="0" borderId="15" xfId="0" applyFont="1" applyBorder="1" applyAlignment="1">
      <alignment horizontal="center" vertical="center"/>
    </xf>
    <xf numFmtId="0" fontId="8" fillId="0" borderId="224" xfId="0" applyFont="1" applyBorder="1" applyAlignment="1">
      <alignment horizontal="center" vertical="center"/>
    </xf>
    <xf numFmtId="0" fontId="36" fillId="0" borderId="102" xfId="0" quotePrefix="1" applyFont="1" applyBorder="1" applyAlignment="1">
      <alignment horizontal="center" vertical="center"/>
    </xf>
    <xf numFmtId="170" fontId="28" fillId="0" borderId="104" xfId="1" applyNumberFormat="1" applyFont="1" applyFill="1" applyBorder="1" applyAlignment="1">
      <alignment vertical="center" wrapText="1"/>
    </xf>
    <xf numFmtId="170" fontId="28" fillId="46" borderId="104" xfId="1" applyNumberFormat="1" applyFont="1" applyFill="1" applyBorder="1" applyAlignment="1">
      <alignment vertical="center" wrapText="1"/>
    </xf>
    <xf numFmtId="170" fontId="39" fillId="0" borderId="105" xfId="1" applyNumberFormat="1" applyFont="1" applyBorder="1" applyAlignment="1">
      <alignment horizontal="center" vertical="center" wrapText="1"/>
    </xf>
    <xf numFmtId="49" fontId="17" fillId="3" borderId="35" xfId="3" applyNumberFormat="1" applyFont="1" applyFill="1" applyBorder="1" applyAlignment="1">
      <alignment horizontal="center" vertical="center" wrapText="1"/>
    </xf>
    <xf numFmtId="0" fontId="8" fillId="3" borderId="6" xfId="0" applyFont="1" applyFill="1" applyBorder="1" applyAlignment="1">
      <alignment vertical="center" wrapText="1"/>
    </xf>
    <xf numFmtId="0" fontId="8" fillId="3" borderId="6" xfId="0" applyFont="1" applyFill="1" applyBorder="1" applyAlignment="1">
      <alignment horizontal="left" vertical="center" wrapText="1"/>
    </xf>
    <xf numFmtId="43" fontId="8" fillId="3" borderId="6" xfId="1" applyFont="1" applyFill="1" applyBorder="1" applyAlignment="1">
      <alignment vertical="center"/>
    </xf>
    <xf numFmtId="0" fontId="8" fillId="3" borderId="6" xfId="0" applyFont="1" applyFill="1" applyBorder="1" applyAlignment="1">
      <alignment horizontal="center" vertical="center"/>
    </xf>
    <xf numFmtId="0" fontId="8" fillId="3" borderId="6" xfId="0" applyFont="1" applyFill="1" applyBorder="1" applyAlignment="1">
      <alignment horizontal="center" vertical="center" wrapText="1"/>
    </xf>
    <xf numFmtId="14" fontId="8" fillId="3" borderId="6" xfId="0" applyNumberFormat="1" applyFont="1" applyFill="1" applyBorder="1" applyAlignment="1">
      <alignment horizontal="center" vertical="center"/>
    </xf>
    <xf numFmtId="0" fontId="8" fillId="3" borderId="22" xfId="0" applyFont="1" applyFill="1" applyBorder="1" applyAlignment="1">
      <alignment vertical="center" wrapText="1"/>
    </xf>
    <xf numFmtId="43" fontId="8" fillId="3" borderId="22" xfId="1" applyFont="1" applyFill="1" applyBorder="1" applyAlignment="1">
      <alignment vertical="center"/>
    </xf>
    <xf numFmtId="0" fontId="8" fillId="3" borderId="0" xfId="0" applyFont="1" applyFill="1" applyAlignment="1">
      <alignment vertical="center"/>
    </xf>
    <xf numFmtId="0" fontId="8" fillId="0" borderId="226" xfId="0" applyFont="1" applyBorder="1" applyAlignment="1">
      <alignment horizontal="center" vertical="center"/>
    </xf>
    <xf numFmtId="0" fontId="8" fillId="0" borderId="229" xfId="0" applyFont="1" applyBorder="1" applyAlignment="1">
      <alignment horizontal="left" vertical="center" wrapText="1"/>
    </xf>
    <xf numFmtId="43" fontId="8" fillId="0" borderId="229" xfId="1" applyFont="1" applyFill="1" applyBorder="1" applyAlignment="1">
      <alignment vertical="center"/>
    </xf>
    <xf numFmtId="0" fontId="8" fillId="0" borderId="229" xfId="0" applyFont="1" applyBorder="1" applyAlignment="1">
      <alignment horizontal="center" vertical="center"/>
    </xf>
    <xf numFmtId="0" fontId="8" fillId="0" borderId="229" xfId="0" applyFont="1" applyBorder="1" applyAlignment="1">
      <alignment horizontal="center" vertical="center" wrapText="1"/>
    </xf>
    <xf numFmtId="14" fontId="8" fillId="0" borderId="229" xfId="0" applyNumberFormat="1" applyFont="1" applyBorder="1" applyAlignment="1">
      <alignment horizontal="center" vertical="center"/>
    </xf>
    <xf numFmtId="0" fontId="8" fillId="0" borderId="230" xfId="0" applyFont="1" applyBorder="1" applyAlignment="1">
      <alignment vertical="center" wrapText="1"/>
    </xf>
    <xf numFmtId="0" fontId="8" fillId="0" borderId="233" xfId="0" applyFont="1" applyBorder="1" applyAlignment="1">
      <alignment horizontal="left" vertical="center" wrapText="1"/>
    </xf>
    <xf numFmtId="43" fontId="8" fillId="0" borderId="233" xfId="1" applyFont="1" applyFill="1" applyBorder="1" applyAlignment="1">
      <alignment vertical="center"/>
    </xf>
    <xf numFmtId="0" fontId="8" fillId="0" borderId="233" xfId="0" applyFont="1" applyBorder="1" applyAlignment="1">
      <alignment horizontal="center" vertical="center"/>
    </xf>
    <xf numFmtId="0" fontId="8" fillId="0" borderId="233" xfId="0" applyFont="1" applyBorder="1" applyAlignment="1">
      <alignment horizontal="center" vertical="center" wrapText="1"/>
    </xf>
    <xf numFmtId="14" fontId="8" fillId="0" borderId="233" xfId="0" applyNumberFormat="1" applyFont="1" applyBorder="1" applyAlignment="1">
      <alignment horizontal="center" vertical="center"/>
    </xf>
    <xf numFmtId="0" fontId="8" fillId="0" borderId="234" xfId="0" applyFont="1" applyBorder="1" applyAlignment="1">
      <alignment vertical="center" wrapText="1"/>
    </xf>
    <xf numFmtId="0" fontId="8" fillId="47" borderId="229" xfId="0" applyFont="1" applyFill="1" applyBorder="1" applyAlignment="1">
      <alignment horizontal="center" vertical="center"/>
    </xf>
    <xf numFmtId="0" fontId="8" fillId="0" borderId="238" xfId="0" applyFont="1" applyBorder="1" applyAlignment="1">
      <alignment vertical="center" wrapText="1"/>
    </xf>
    <xf numFmtId="0" fontId="8" fillId="0" borderId="238" xfId="0" applyFont="1" applyBorder="1" applyAlignment="1">
      <alignment horizontal="left" vertical="center" wrapText="1"/>
    </xf>
    <xf numFmtId="43" fontId="8" fillId="0" borderId="238" xfId="1" applyFont="1" applyFill="1" applyBorder="1" applyAlignment="1">
      <alignment vertical="center"/>
    </xf>
    <xf numFmtId="0" fontId="8" fillId="0" borderId="238" xfId="0" applyFont="1" applyBorder="1" applyAlignment="1">
      <alignment horizontal="center" vertical="center"/>
    </xf>
    <xf numFmtId="0" fontId="8" fillId="0" borderId="238" xfId="0" applyFont="1" applyBorder="1" applyAlignment="1">
      <alignment horizontal="center" vertical="center" wrapText="1"/>
    </xf>
    <xf numFmtId="14" fontId="8" fillId="0" borderId="238" xfId="0" applyNumberFormat="1" applyFont="1" applyBorder="1" applyAlignment="1">
      <alignment horizontal="center" vertical="center"/>
    </xf>
    <xf numFmtId="0" fontId="8" fillId="0" borderId="239" xfId="0" applyFont="1" applyBorder="1" applyAlignment="1">
      <alignment vertical="center" wrapText="1"/>
    </xf>
    <xf numFmtId="0" fontId="8" fillId="0" borderId="236" xfId="0" applyFont="1" applyBorder="1" applyAlignment="1">
      <alignment vertical="center" wrapText="1"/>
    </xf>
    <xf numFmtId="0" fontId="8" fillId="0" borderId="236" xfId="0" applyFont="1" applyBorder="1" applyAlignment="1">
      <alignment horizontal="left" vertical="center" wrapText="1"/>
    </xf>
    <xf numFmtId="43" fontId="8" fillId="0" borderId="236" xfId="1" applyFont="1" applyFill="1" applyBorder="1" applyAlignment="1">
      <alignment vertical="center"/>
    </xf>
    <xf numFmtId="0" fontId="8" fillId="0" borderId="236" xfId="0" applyFont="1" applyBorder="1" applyAlignment="1">
      <alignment horizontal="center" vertical="center"/>
    </xf>
    <xf numFmtId="0" fontId="8" fillId="0" borderId="236" xfId="0" applyFont="1" applyBorder="1" applyAlignment="1">
      <alignment horizontal="center" vertical="center" wrapText="1"/>
    </xf>
    <xf numFmtId="14" fontId="8" fillId="0" borderId="236" xfId="0" applyNumberFormat="1" applyFont="1" applyBorder="1" applyAlignment="1">
      <alignment horizontal="center" vertical="center"/>
    </xf>
    <xf numFmtId="0" fontId="8" fillId="0" borderId="240" xfId="0" applyFont="1" applyBorder="1" applyAlignment="1">
      <alignment horizontal="center" vertical="center" wrapText="1"/>
    </xf>
    <xf numFmtId="0" fontId="8" fillId="0" borderId="241" xfId="0" applyFont="1" applyBorder="1" applyAlignment="1">
      <alignment vertical="center" wrapText="1"/>
    </xf>
    <xf numFmtId="0" fontId="8" fillId="0" borderId="241" xfId="0" applyFont="1" applyBorder="1" applyAlignment="1">
      <alignment horizontal="left" vertical="center" wrapText="1"/>
    </xf>
    <xf numFmtId="43" fontId="8" fillId="0" borderId="241" xfId="1" applyFont="1" applyFill="1" applyBorder="1" applyAlignment="1">
      <alignment vertical="center"/>
    </xf>
    <xf numFmtId="0" fontId="8" fillId="0" borderId="241" xfId="0" applyFont="1" applyBorder="1" applyAlignment="1">
      <alignment horizontal="center" vertical="center"/>
    </xf>
    <xf numFmtId="0" fontId="8" fillId="0" borderId="241" xfId="0" applyFont="1" applyBorder="1" applyAlignment="1">
      <alignment horizontal="center" vertical="center" wrapText="1"/>
    </xf>
    <xf numFmtId="14" fontId="8" fillId="0" borderId="241" xfId="0" applyNumberFormat="1" applyFont="1" applyBorder="1" applyAlignment="1">
      <alignment horizontal="center" vertical="center"/>
    </xf>
    <xf numFmtId="0" fontId="8" fillId="0" borderId="243" xfId="0" applyFont="1" applyBorder="1" applyAlignment="1">
      <alignment horizontal="center" vertical="center" wrapText="1"/>
    </xf>
    <xf numFmtId="0" fontId="8" fillId="0" borderId="244" xfId="0" applyFont="1" applyBorder="1" applyAlignment="1">
      <alignment vertical="center" wrapText="1"/>
    </xf>
    <xf numFmtId="0" fontId="8" fillId="0" borderId="244" xfId="0" applyFont="1" applyBorder="1" applyAlignment="1">
      <alignment horizontal="left" vertical="center" wrapText="1"/>
    </xf>
    <xf numFmtId="43" fontId="8" fillId="0" borderId="244" xfId="1" applyFont="1" applyFill="1" applyBorder="1" applyAlignment="1">
      <alignment vertical="center"/>
    </xf>
    <xf numFmtId="0" fontId="8" fillId="0" borderId="244" xfId="0" applyFont="1" applyBorder="1" applyAlignment="1">
      <alignment horizontal="center" vertical="center"/>
    </xf>
    <xf numFmtId="0" fontId="8" fillId="0" borderId="244" xfId="0" applyFont="1" applyBorder="1" applyAlignment="1">
      <alignment horizontal="center" vertical="center" wrapText="1"/>
    </xf>
    <xf numFmtId="14" fontId="8" fillId="0" borderId="244" xfId="0" applyNumberFormat="1" applyFont="1" applyBorder="1" applyAlignment="1">
      <alignment horizontal="center" vertical="center"/>
    </xf>
    <xf numFmtId="0" fontId="8" fillId="0" borderId="245" xfId="0" applyFont="1" applyBorder="1" applyAlignment="1">
      <alignment vertical="center" wrapText="1"/>
    </xf>
    <xf numFmtId="0" fontId="8" fillId="0" borderId="246" xfId="0" applyFont="1" applyBorder="1" applyAlignment="1">
      <alignment horizontal="center" vertical="center" wrapText="1"/>
    </xf>
    <xf numFmtId="0" fontId="8" fillId="0" borderId="247" xfId="0" applyFont="1" applyBorder="1" applyAlignment="1">
      <alignment vertical="center" wrapText="1"/>
    </xf>
    <xf numFmtId="0" fontId="8" fillId="0" borderId="247" xfId="0" applyFont="1" applyBorder="1" applyAlignment="1">
      <alignment horizontal="left" vertical="center" wrapText="1"/>
    </xf>
    <xf numFmtId="43" fontId="8" fillId="0" borderId="247" xfId="1" applyFont="1" applyFill="1" applyBorder="1" applyAlignment="1">
      <alignment vertical="center"/>
    </xf>
    <xf numFmtId="0" fontId="8" fillId="0" borderId="247" xfId="0" applyFont="1" applyBorder="1" applyAlignment="1">
      <alignment horizontal="center" vertical="center"/>
    </xf>
    <xf numFmtId="0" fontId="8" fillId="0" borderId="247" xfId="0" applyFont="1" applyBorder="1" applyAlignment="1">
      <alignment horizontal="center" vertical="center" wrapText="1"/>
    </xf>
    <xf numFmtId="14" fontId="8" fillId="0" borderId="247" xfId="0" applyNumberFormat="1" applyFont="1" applyBorder="1" applyAlignment="1">
      <alignment horizontal="center" vertical="center"/>
    </xf>
    <xf numFmtId="0" fontId="8" fillId="0" borderId="248" xfId="0" applyFont="1" applyBorder="1" applyAlignment="1">
      <alignment vertical="center" wrapText="1"/>
    </xf>
    <xf numFmtId="0" fontId="8" fillId="0" borderId="17" xfId="0" applyFont="1" applyBorder="1" applyAlignment="1">
      <alignment horizontal="center" vertical="center" wrapText="1"/>
    </xf>
    <xf numFmtId="0" fontId="8" fillId="0" borderId="17" xfId="0" applyFont="1" applyBorder="1" applyAlignment="1">
      <alignment horizontal="left" vertical="center" wrapText="1"/>
    </xf>
    <xf numFmtId="43" fontId="8" fillId="0" borderId="17" xfId="1" applyFont="1" applyFill="1" applyBorder="1" applyAlignment="1">
      <alignment vertical="center"/>
    </xf>
    <xf numFmtId="0" fontId="8" fillId="0" borderId="17" xfId="0" applyFont="1" applyBorder="1" applyAlignment="1">
      <alignment horizontal="center" vertical="center"/>
    </xf>
    <xf numFmtId="14" fontId="8" fillId="0" borderId="17" xfId="0" applyNumberFormat="1" applyFont="1" applyBorder="1" applyAlignment="1">
      <alignment horizontal="center" vertical="center"/>
    </xf>
    <xf numFmtId="0" fontId="8" fillId="0" borderId="250" xfId="0" applyFont="1" applyBorder="1" applyAlignment="1">
      <alignment horizontal="center" vertical="center" wrapText="1"/>
    </xf>
    <xf numFmtId="0" fontId="8" fillId="0" borderId="250" xfId="0" applyFont="1" applyBorder="1" applyAlignment="1">
      <alignment horizontal="center" vertical="center"/>
    </xf>
    <xf numFmtId="14" fontId="8" fillId="0" borderId="250" xfId="0" applyNumberFormat="1" applyFont="1" applyBorder="1" applyAlignment="1">
      <alignment horizontal="center" vertical="center"/>
    </xf>
    <xf numFmtId="0" fontId="8" fillId="0" borderId="251" xfId="0" applyFont="1" applyBorder="1" applyAlignment="1">
      <alignment vertical="center" wrapText="1"/>
    </xf>
    <xf numFmtId="0" fontId="8" fillId="2" borderId="253" xfId="0" applyFont="1" applyFill="1" applyBorder="1" applyAlignment="1">
      <alignment horizontal="center" vertical="center"/>
    </xf>
    <xf numFmtId="0" fontId="8" fillId="2" borderId="253" xfId="0" applyFont="1" applyFill="1" applyBorder="1" applyAlignment="1">
      <alignment horizontal="center" vertical="center" wrapText="1"/>
    </xf>
    <xf numFmtId="14" fontId="8" fillId="2" borderId="253" xfId="0" applyNumberFormat="1" applyFont="1" applyFill="1" applyBorder="1" applyAlignment="1">
      <alignment horizontal="center" vertical="center"/>
    </xf>
    <xf numFmtId="0" fontId="8" fillId="2" borderId="254" xfId="0" applyFont="1" applyFill="1" applyBorder="1" applyAlignment="1">
      <alignment vertical="center" wrapText="1"/>
    </xf>
    <xf numFmtId="0" fontId="8" fillId="47" borderId="250" xfId="0" applyFont="1" applyFill="1" applyBorder="1" applyAlignment="1">
      <alignment vertical="center" wrapText="1"/>
    </xf>
    <xf numFmtId="0" fontId="8" fillId="47" borderId="250" xfId="0" applyFont="1" applyFill="1" applyBorder="1" applyAlignment="1">
      <alignment horizontal="left" vertical="center" wrapText="1"/>
    </xf>
    <xf numFmtId="43" fontId="8" fillId="47" borderId="250" xfId="1" applyFont="1" applyFill="1" applyBorder="1" applyAlignment="1">
      <alignment vertical="center"/>
    </xf>
    <xf numFmtId="0" fontId="8" fillId="47" borderId="250" xfId="0" applyFont="1" applyFill="1" applyBorder="1" applyAlignment="1">
      <alignment horizontal="center" vertical="center"/>
    </xf>
    <xf numFmtId="0" fontId="8" fillId="47" borderId="252" xfId="0" applyFont="1" applyFill="1" applyBorder="1" applyAlignment="1">
      <alignment horizontal="center" vertical="center" wrapText="1"/>
    </xf>
    <xf numFmtId="0" fontId="8" fillId="47" borderId="253" xfId="0" applyFont="1" applyFill="1" applyBorder="1" applyAlignment="1">
      <alignment vertical="center" wrapText="1"/>
    </xf>
    <xf numFmtId="0" fontId="8" fillId="47" borderId="253" xfId="0" applyFont="1" applyFill="1" applyBorder="1" applyAlignment="1">
      <alignment horizontal="left" vertical="center" wrapText="1"/>
    </xf>
    <xf numFmtId="43" fontId="8" fillId="47" borderId="253" xfId="1" applyFont="1" applyFill="1" applyBorder="1" applyAlignment="1">
      <alignment vertical="center"/>
    </xf>
    <xf numFmtId="0" fontId="8" fillId="47" borderId="253" xfId="0" applyFont="1" applyFill="1" applyBorder="1" applyAlignment="1">
      <alignment horizontal="center" vertical="center"/>
    </xf>
    <xf numFmtId="0" fontId="8" fillId="47" borderId="226" xfId="0" applyFont="1" applyFill="1" applyBorder="1" applyAlignment="1">
      <alignment horizontal="left" vertical="center" wrapText="1"/>
    </xf>
    <xf numFmtId="43" fontId="8" fillId="47" borderId="226" xfId="1" applyFont="1" applyFill="1" applyBorder="1" applyAlignment="1">
      <alignment vertical="center"/>
    </xf>
    <xf numFmtId="0" fontId="8" fillId="47" borderId="226" xfId="0" applyFont="1" applyFill="1" applyBorder="1" applyAlignment="1">
      <alignment horizontal="center" vertical="center"/>
    </xf>
    <xf numFmtId="0" fontId="8" fillId="47" borderId="229" xfId="0" applyFont="1" applyFill="1" applyBorder="1" applyAlignment="1">
      <alignment horizontal="left" vertical="center" wrapText="1"/>
    </xf>
    <xf numFmtId="43" fontId="8" fillId="47" borderId="229" xfId="1" applyFont="1" applyFill="1" applyBorder="1" applyAlignment="1">
      <alignment vertical="center"/>
    </xf>
    <xf numFmtId="0" fontId="8" fillId="47" borderId="229" xfId="0" applyFont="1" applyFill="1" applyBorder="1" applyAlignment="1">
      <alignment vertical="center" wrapText="1"/>
    </xf>
    <xf numFmtId="14" fontId="8" fillId="0" borderId="242" xfId="0" applyNumberFormat="1" applyFont="1" applyBorder="1" applyAlignment="1">
      <alignment vertical="center" wrapText="1"/>
    </xf>
    <xf numFmtId="49" fontId="17" fillId="0" borderId="206" xfId="3" applyNumberFormat="1" applyFont="1" applyBorder="1" applyAlignment="1">
      <alignment horizontal="center" vertical="center" wrapText="1"/>
    </xf>
    <xf numFmtId="49" fontId="17" fillId="47" borderId="249" xfId="3" applyNumberFormat="1" applyFont="1" applyFill="1" applyBorder="1" applyAlignment="1">
      <alignment horizontal="center" vertical="center" wrapText="1"/>
    </xf>
    <xf numFmtId="49" fontId="17" fillId="0" borderId="0" xfId="3" applyNumberFormat="1" applyFont="1" applyAlignment="1">
      <alignment horizontal="center" vertical="center" wrapText="1"/>
    </xf>
    <xf numFmtId="49" fontId="17" fillId="0" borderId="231" xfId="3" applyNumberFormat="1" applyFont="1" applyBorder="1" applyAlignment="1">
      <alignment horizontal="center" vertical="center" wrapText="1"/>
    </xf>
    <xf numFmtId="49" fontId="17" fillId="0" borderId="232" xfId="3" applyNumberFormat="1" applyFont="1" applyBorder="1" applyAlignment="1">
      <alignment horizontal="center" vertical="center" wrapText="1"/>
    </xf>
    <xf numFmtId="49" fontId="17" fillId="0" borderId="237" xfId="3" applyNumberFormat="1" applyFont="1" applyBorder="1" applyAlignment="1">
      <alignment horizontal="center" vertical="center" wrapText="1"/>
    </xf>
    <xf numFmtId="0" fontId="8" fillId="0" borderId="257" xfId="0" applyFont="1" applyBorder="1" applyAlignment="1">
      <alignment horizontal="center" vertical="center" wrapText="1"/>
    </xf>
    <xf numFmtId="0" fontId="8" fillId="0" borderId="258" xfId="0" applyFont="1" applyBorder="1" applyAlignment="1">
      <alignment vertical="center" wrapText="1"/>
    </xf>
    <xf numFmtId="0" fontId="8" fillId="0" borderId="258" xfId="0" applyFont="1" applyBorder="1" applyAlignment="1">
      <alignment horizontal="left" vertical="center" wrapText="1"/>
    </xf>
    <xf numFmtId="43" fontId="8" fillId="0" borderId="258" xfId="1" applyFont="1" applyFill="1" applyBorder="1" applyAlignment="1">
      <alignment vertical="center"/>
    </xf>
    <xf numFmtId="0" fontId="8" fillId="0" borderId="258" xfId="0" applyFont="1" applyBorder="1" applyAlignment="1">
      <alignment horizontal="center" vertical="center"/>
    </xf>
    <xf numFmtId="0" fontId="9" fillId="0" borderId="0" xfId="0" applyFont="1" applyAlignment="1">
      <alignment horizontal="center" vertical="center" wrapText="1"/>
    </xf>
    <xf numFmtId="0" fontId="10" fillId="0" borderId="15" xfId="0" applyFont="1" applyBorder="1" applyAlignment="1">
      <alignment horizontal="center" vertical="center" wrapText="1"/>
    </xf>
    <xf numFmtId="0" fontId="13" fillId="0" borderId="15" xfId="0" applyFont="1" applyBorder="1" applyAlignment="1">
      <alignment horizontal="center" vertical="center"/>
    </xf>
    <xf numFmtId="0" fontId="13" fillId="0" borderId="22" xfId="0" applyFont="1" applyBorder="1" applyAlignment="1">
      <alignment horizontal="center" vertical="center"/>
    </xf>
    <xf numFmtId="0" fontId="8" fillId="3" borderId="259" xfId="0" applyFont="1" applyFill="1" applyBorder="1" applyAlignment="1">
      <alignment horizontal="center" vertical="center" wrapText="1"/>
    </xf>
    <xf numFmtId="0" fontId="8" fillId="3" borderId="229" xfId="0" applyFont="1" applyFill="1" applyBorder="1" applyAlignment="1">
      <alignment vertical="center" wrapText="1"/>
    </xf>
    <xf numFmtId="0" fontId="8" fillId="3" borderId="229" xfId="0" applyFont="1" applyFill="1" applyBorder="1" applyAlignment="1">
      <alignment horizontal="left" vertical="center" wrapText="1"/>
    </xf>
    <xf numFmtId="43" fontId="8" fillId="3" borderId="229" xfId="1" applyFont="1" applyFill="1" applyBorder="1" applyAlignment="1">
      <alignment vertical="center"/>
    </xf>
    <xf numFmtId="0" fontId="8" fillId="3" borderId="229" xfId="0" applyFont="1" applyFill="1" applyBorder="1" applyAlignment="1">
      <alignment horizontal="center" vertical="center"/>
    </xf>
    <xf numFmtId="0" fontId="8" fillId="3" borderId="260" xfId="0" applyFont="1" applyFill="1" applyBorder="1" applyAlignment="1">
      <alignment horizontal="center" vertical="center" wrapText="1"/>
    </xf>
    <xf numFmtId="0" fontId="8" fillId="3" borderId="261" xfId="0" applyFont="1" applyFill="1" applyBorder="1" applyAlignment="1">
      <alignment vertical="center" wrapText="1"/>
    </xf>
    <xf numFmtId="0" fontId="8" fillId="3" borderId="261" xfId="0" applyFont="1" applyFill="1" applyBorder="1" applyAlignment="1">
      <alignment horizontal="left" vertical="center" wrapText="1"/>
    </xf>
    <xf numFmtId="43" fontId="8" fillId="3" borderId="261" xfId="1" applyFont="1" applyFill="1" applyBorder="1" applyAlignment="1">
      <alignment vertical="center"/>
    </xf>
    <xf numFmtId="0" fontId="8" fillId="3" borderId="261" xfId="0" applyFont="1" applyFill="1" applyBorder="1" applyAlignment="1">
      <alignment horizontal="center" vertical="center"/>
    </xf>
    <xf numFmtId="0" fontId="8" fillId="3" borderId="263" xfId="0" applyFont="1" applyFill="1" applyBorder="1" applyAlignment="1">
      <alignment vertical="center" wrapText="1"/>
    </xf>
    <xf numFmtId="0" fontId="8" fillId="3" borderId="263" xfId="0" applyFont="1" applyFill="1" applyBorder="1" applyAlignment="1">
      <alignment horizontal="left" vertical="center" wrapText="1"/>
    </xf>
    <xf numFmtId="43" fontId="8" fillId="3" borderId="244" xfId="1" applyFont="1" applyFill="1" applyBorder="1" applyAlignment="1">
      <alignment vertical="center"/>
    </xf>
    <xf numFmtId="0" fontId="8" fillId="3" borderId="244" xfId="0" applyFont="1" applyFill="1" applyBorder="1" applyAlignment="1">
      <alignment horizontal="center" vertical="center"/>
    </xf>
    <xf numFmtId="0" fontId="8" fillId="0" borderId="263" xfId="0" applyFont="1" applyBorder="1" applyAlignment="1">
      <alignment horizontal="center" vertical="center"/>
    </xf>
    <xf numFmtId="0" fontId="8" fillId="0" borderId="267" xfId="0" applyFont="1" applyBorder="1" applyAlignment="1">
      <alignment horizontal="center" vertical="center" wrapText="1"/>
    </xf>
    <xf numFmtId="0" fontId="8" fillId="0" borderId="267" xfId="0" applyFont="1" applyBorder="1" applyAlignment="1">
      <alignment vertical="center" wrapText="1"/>
    </xf>
    <xf numFmtId="0" fontId="8" fillId="0" borderId="267" xfId="0" applyFont="1" applyBorder="1" applyAlignment="1">
      <alignment horizontal="left" vertical="center" wrapText="1"/>
    </xf>
    <xf numFmtId="43" fontId="8" fillId="0" borderId="267" xfId="1" applyFont="1" applyFill="1" applyBorder="1" applyAlignment="1">
      <alignment vertical="center"/>
    </xf>
    <xf numFmtId="0" fontId="8" fillId="0" borderId="267" xfId="0" applyFont="1" applyBorder="1" applyAlignment="1">
      <alignment horizontal="center" vertical="center"/>
    </xf>
    <xf numFmtId="0" fontId="8" fillId="0" borderId="268" xfId="0" applyFont="1" applyBorder="1" applyAlignment="1">
      <alignment horizontal="center" vertical="center" wrapText="1"/>
    </xf>
    <xf numFmtId="0" fontId="8" fillId="0" borderId="269" xfId="0" applyFont="1" applyBorder="1" applyAlignment="1">
      <alignment horizontal="center" vertical="center" wrapText="1"/>
    </xf>
    <xf numFmtId="0" fontId="8" fillId="0" borderId="270" xfId="0" applyFont="1" applyBorder="1" applyAlignment="1">
      <alignment vertical="center" wrapText="1"/>
    </xf>
    <xf numFmtId="0" fontId="8" fillId="0" borderId="270" xfId="0" applyFont="1" applyBorder="1" applyAlignment="1">
      <alignment horizontal="left" vertical="center" wrapText="1"/>
    </xf>
    <xf numFmtId="43" fontId="8" fillId="0" borderId="270" xfId="1" applyFont="1" applyFill="1" applyBorder="1" applyAlignment="1">
      <alignment vertical="center"/>
    </xf>
    <xf numFmtId="0" fontId="8" fillId="0" borderId="270" xfId="0" applyFont="1" applyBorder="1" applyAlignment="1">
      <alignment horizontal="center" vertical="center"/>
    </xf>
    <xf numFmtId="0" fontId="8" fillId="0" borderId="270" xfId="0" applyFont="1" applyBorder="1" applyAlignment="1">
      <alignment horizontal="center" vertical="center" wrapText="1"/>
    </xf>
    <xf numFmtId="14" fontId="8" fillId="0" borderId="270" xfId="0" applyNumberFormat="1" applyFont="1" applyBorder="1" applyAlignment="1">
      <alignment horizontal="center" vertical="center"/>
    </xf>
    <xf numFmtId="0" fontId="8" fillId="0" borderId="271" xfId="0" applyFont="1" applyBorder="1" applyAlignment="1">
      <alignment vertical="center" wrapText="1"/>
    </xf>
    <xf numFmtId="0" fontId="8" fillId="0" borderId="272" xfId="0" applyFont="1" applyBorder="1" applyAlignment="1">
      <alignment horizontal="center" vertical="center" wrapText="1"/>
    </xf>
    <xf numFmtId="0" fontId="8" fillId="0" borderId="273" xfId="0" applyFont="1" applyBorder="1" applyAlignment="1">
      <alignment vertical="center" wrapText="1"/>
    </xf>
    <xf numFmtId="0" fontId="8" fillId="0" borderId="274" xfId="0" applyFont="1" applyBorder="1" applyAlignment="1">
      <alignment horizontal="center" vertical="center" wrapText="1"/>
    </xf>
    <xf numFmtId="0" fontId="8" fillId="0" borderId="275" xfId="0" applyFont="1" applyBorder="1" applyAlignment="1">
      <alignment vertical="center" wrapText="1"/>
    </xf>
    <xf numFmtId="0" fontId="8" fillId="0" borderId="275" xfId="0" applyFont="1" applyBorder="1" applyAlignment="1">
      <alignment horizontal="left" vertical="center" wrapText="1"/>
    </xf>
    <xf numFmtId="43" fontId="8" fillId="0" borderId="275" xfId="1" applyFont="1" applyFill="1" applyBorder="1" applyAlignment="1">
      <alignment vertical="center"/>
    </xf>
    <xf numFmtId="0" fontId="8" fillId="0" borderId="275" xfId="0" applyFont="1" applyBorder="1" applyAlignment="1">
      <alignment horizontal="center" vertical="center"/>
    </xf>
    <xf numFmtId="0" fontId="8" fillId="0" borderId="275" xfId="0" applyFont="1" applyBorder="1" applyAlignment="1">
      <alignment horizontal="center" vertical="center" wrapText="1"/>
    </xf>
    <xf numFmtId="14" fontId="8" fillId="0" borderId="275" xfId="0" applyNumberFormat="1" applyFont="1" applyBorder="1" applyAlignment="1">
      <alignment horizontal="center" vertical="center"/>
    </xf>
    <xf numFmtId="0" fontId="8" fillId="0" borderId="276" xfId="0" applyFont="1" applyBorder="1" applyAlignment="1">
      <alignment vertical="center" wrapText="1"/>
    </xf>
    <xf numFmtId="170" fontId="28" fillId="0" borderId="119" xfId="1" applyNumberFormat="1" applyFont="1" applyFill="1" applyBorder="1" applyAlignment="1">
      <alignment horizontal="center" vertical="center"/>
    </xf>
    <xf numFmtId="170" fontId="28" fillId="0" borderId="117" xfId="1" applyNumberFormat="1" applyFont="1" applyFill="1" applyBorder="1" applyAlignment="1">
      <alignment horizontal="center" vertical="center" wrapText="1"/>
    </xf>
    <xf numFmtId="0" fontId="31" fillId="0" borderId="104" xfId="0" applyFont="1" applyBorder="1" applyAlignment="1">
      <alignment horizontal="center" vertical="center"/>
    </xf>
    <xf numFmtId="0" fontId="37" fillId="0" borderId="118" xfId="0" applyFont="1" applyBorder="1" applyAlignment="1">
      <alignment horizontal="center" vertical="center"/>
    </xf>
    <xf numFmtId="170" fontId="28" fillId="0" borderId="104" xfId="1" applyNumberFormat="1" applyFont="1" applyFill="1" applyBorder="1" applyAlignment="1">
      <alignment vertical="center"/>
    </xf>
    <xf numFmtId="49" fontId="36" fillId="49" borderId="118" xfId="0" applyNumberFormat="1" applyFont="1" applyFill="1" applyBorder="1" applyAlignment="1">
      <alignment horizontal="center" vertical="center"/>
    </xf>
    <xf numFmtId="170" fontId="28" fillId="49" borderId="119" xfId="1" applyNumberFormat="1" applyFont="1" applyFill="1" applyBorder="1" applyAlignment="1">
      <alignment horizontal="center" vertical="center"/>
    </xf>
    <xf numFmtId="0" fontId="28" fillId="0" borderId="117" xfId="0" quotePrefix="1" applyFont="1" applyBorder="1" applyAlignment="1">
      <alignment horizontal="center" vertical="center"/>
    </xf>
    <xf numFmtId="49" fontId="36" fillId="0" borderId="118" xfId="0" applyNumberFormat="1" applyFont="1" applyBorder="1" applyAlignment="1">
      <alignment horizontal="left" vertical="center"/>
    </xf>
    <xf numFmtId="49" fontId="36" fillId="49" borderId="118" xfId="0" applyNumberFormat="1" applyFont="1" applyFill="1" applyBorder="1" applyAlignment="1">
      <alignment horizontal="left" vertical="center"/>
    </xf>
    <xf numFmtId="0" fontId="31" fillId="49" borderId="120" xfId="0" applyFont="1" applyFill="1" applyBorder="1" applyAlignment="1">
      <alignment horizontal="center" vertical="center" wrapText="1"/>
    </xf>
    <xf numFmtId="49" fontId="36" fillId="49" borderId="118" xfId="0" applyNumberFormat="1" applyFont="1" applyFill="1" applyBorder="1" applyAlignment="1">
      <alignment horizontal="left" vertical="center" wrapText="1"/>
    </xf>
    <xf numFmtId="170" fontId="28" fillId="49" borderId="119" xfId="1" applyNumberFormat="1" applyFont="1" applyFill="1" applyBorder="1" applyAlignment="1">
      <alignment vertical="center" wrapText="1"/>
    </xf>
    <xf numFmtId="0" fontId="28" fillId="49" borderId="120" xfId="0" applyFont="1" applyFill="1" applyBorder="1" applyAlignment="1">
      <alignment horizontal="center" vertical="center" wrapText="1"/>
    </xf>
    <xf numFmtId="0" fontId="28" fillId="49" borderId="120" xfId="0" applyFont="1" applyFill="1" applyBorder="1" applyAlignment="1">
      <alignment horizontal="center" vertical="center"/>
    </xf>
    <xf numFmtId="49" fontId="37" fillId="0" borderId="102" xfId="0" applyNumberFormat="1" applyFont="1" applyBorder="1" applyAlignment="1">
      <alignment horizontal="left" vertical="center"/>
    </xf>
    <xf numFmtId="0" fontId="28" fillId="0" borderId="101" xfId="0" applyFont="1" applyBorder="1" applyAlignment="1">
      <alignment horizontal="center" vertical="center" wrapText="1"/>
    </xf>
    <xf numFmtId="0" fontId="63" fillId="0" borderId="0" xfId="9" applyFont="1"/>
    <xf numFmtId="0" fontId="64" fillId="50" borderId="1" xfId="9" applyFont="1" applyFill="1" applyBorder="1" applyAlignment="1">
      <alignment horizontal="center" vertical="center"/>
    </xf>
    <xf numFmtId="0" fontId="63" fillId="0" borderId="1" xfId="9" applyFont="1" applyBorder="1" applyAlignment="1">
      <alignment horizontal="center" vertical="center"/>
    </xf>
    <xf numFmtId="0" fontId="63" fillId="0" borderId="1" xfId="9" applyFont="1" applyBorder="1" applyAlignment="1">
      <alignment vertical="center"/>
    </xf>
    <xf numFmtId="0" fontId="63" fillId="0" borderId="0" xfId="9" applyFont="1" applyAlignment="1">
      <alignment horizontal="left"/>
    </xf>
    <xf numFmtId="0" fontId="65" fillId="0" borderId="0" xfId="9" applyFont="1" applyAlignment="1">
      <alignment horizontal="center" vertical="center"/>
    </xf>
    <xf numFmtId="0" fontId="63" fillId="0" borderId="0" xfId="9" applyFont="1" applyAlignment="1">
      <alignment vertical="center"/>
    </xf>
    <xf numFmtId="0" fontId="67" fillId="0" borderId="0" xfId="9" applyFont="1" applyAlignment="1">
      <alignment horizontal="center" vertical="center"/>
    </xf>
    <xf numFmtId="0" fontId="67" fillId="0" borderId="0" xfId="9" applyFont="1"/>
    <xf numFmtId="0" fontId="63" fillId="0" borderId="0" xfId="9" applyFont="1" applyAlignment="1">
      <alignment vertical="top" wrapText="1"/>
    </xf>
    <xf numFmtId="0" fontId="63" fillId="30" borderId="0" xfId="9" applyFont="1" applyFill="1" applyAlignment="1">
      <alignment vertical="center"/>
    </xf>
    <xf numFmtId="0" fontId="63" fillId="0" borderId="0" xfId="9" applyFont="1" applyAlignment="1">
      <alignment horizontal="center" vertical="center"/>
    </xf>
    <xf numFmtId="0" fontId="67" fillId="0" borderId="0" xfId="9" applyFont="1" applyAlignment="1">
      <alignment vertical="center"/>
    </xf>
    <xf numFmtId="0" fontId="66" fillId="0" borderId="0" xfId="9" applyFont="1" applyAlignment="1">
      <alignment vertical="center"/>
    </xf>
    <xf numFmtId="0" fontId="63" fillId="0" borderId="0" xfId="9" applyFont="1" applyAlignment="1">
      <alignment horizontal="center"/>
    </xf>
    <xf numFmtId="0" fontId="68" fillId="0" borderId="0" xfId="9" applyFont="1" applyAlignment="1">
      <alignment vertical="center"/>
    </xf>
    <xf numFmtId="0" fontId="66" fillId="0" borderId="0" xfId="9" applyFont="1" applyAlignment="1">
      <alignment horizontal="center" vertical="center"/>
    </xf>
    <xf numFmtId="0" fontId="67" fillId="0" borderId="0" xfId="9" applyFont="1" applyAlignment="1">
      <alignment horizontal="left"/>
    </xf>
    <xf numFmtId="0" fontId="67" fillId="0" borderId="0" xfId="9" applyFont="1" applyAlignment="1">
      <alignment horizontal="left" vertical="center"/>
    </xf>
    <xf numFmtId="0" fontId="64" fillId="50" borderId="280" xfId="9" applyFont="1" applyFill="1" applyBorder="1" applyAlignment="1">
      <alignment horizontal="center" vertical="center"/>
    </xf>
    <xf numFmtId="0" fontId="63" fillId="0" borderId="1" xfId="9" applyFont="1" applyBorder="1"/>
    <xf numFmtId="0" fontId="67" fillId="0" borderId="1" xfId="9" applyFont="1" applyBorder="1" applyAlignment="1">
      <alignment vertical="center"/>
    </xf>
    <xf numFmtId="0" fontId="67" fillId="0" borderId="1" xfId="9" applyFont="1" applyBorder="1" applyAlignment="1">
      <alignment horizontal="left" vertical="center"/>
    </xf>
    <xf numFmtId="0" fontId="63" fillId="0" borderId="278" xfId="9" applyFont="1" applyBorder="1"/>
    <xf numFmtId="0" fontId="73" fillId="0" borderId="1" xfId="9" applyFont="1" applyBorder="1" applyAlignment="1">
      <alignment vertical="center"/>
    </xf>
    <xf numFmtId="0" fontId="63" fillId="0" borderId="1" xfId="9" applyFont="1" applyBorder="1" applyAlignment="1">
      <alignment horizontal="left"/>
    </xf>
    <xf numFmtId="0" fontId="65" fillId="0" borderId="1" xfId="9" applyFont="1" applyBorder="1" applyAlignment="1">
      <alignment horizontal="left" vertical="center"/>
    </xf>
    <xf numFmtId="0" fontId="67" fillId="0" borderId="1" xfId="9" applyFont="1" applyBorder="1" applyAlignment="1">
      <alignment horizontal="left"/>
    </xf>
    <xf numFmtId="0" fontId="70" fillId="0" borderId="1" xfId="10" applyFont="1" applyBorder="1" applyAlignment="1">
      <alignment horizontal="left"/>
    </xf>
    <xf numFmtId="0" fontId="63" fillId="0" borderId="1" xfId="9" applyFont="1" applyBorder="1" applyAlignment="1">
      <alignment horizontal="left" vertical="center"/>
    </xf>
    <xf numFmtId="0" fontId="66" fillId="0" borderId="1" xfId="10" applyFont="1" applyBorder="1" applyAlignment="1">
      <alignment horizontal="left"/>
    </xf>
    <xf numFmtId="0" fontId="63" fillId="0" borderId="1" xfId="10" applyFont="1" applyBorder="1" applyAlignment="1">
      <alignment horizontal="left"/>
    </xf>
    <xf numFmtId="0" fontId="63" fillId="0" borderId="1" xfId="0" applyFont="1" applyBorder="1" applyAlignment="1">
      <alignment horizontal="left"/>
    </xf>
    <xf numFmtId="0" fontId="71" fillId="0" borderId="1" xfId="10" applyFont="1" applyBorder="1" applyAlignment="1">
      <alignment horizontal="left"/>
    </xf>
    <xf numFmtId="0" fontId="63" fillId="0" borderId="1" xfId="0" applyFont="1" applyBorder="1" applyAlignment="1">
      <alignment horizontal="left" vertical="center"/>
    </xf>
    <xf numFmtId="0" fontId="72" fillId="0" borderId="1" xfId="0" applyFont="1" applyBorder="1" applyAlignment="1">
      <alignment horizontal="left"/>
    </xf>
    <xf numFmtId="0" fontId="69" fillId="0" borderId="0" xfId="9" applyFont="1" applyAlignment="1">
      <alignment horizontal="center" vertical="center"/>
    </xf>
    <xf numFmtId="3" fontId="63" fillId="0" borderId="0" xfId="0" applyNumberFormat="1" applyFont="1" applyAlignment="1">
      <alignment horizontal="center" vertical="top" wrapText="1"/>
    </xf>
    <xf numFmtId="0" fontId="63" fillId="0" borderId="0" xfId="0" applyFont="1"/>
    <xf numFmtId="0" fontId="64" fillId="51" borderId="1" xfId="9" applyFont="1" applyFill="1" applyBorder="1" applyAlignment="1">
      <alignment horizontal="center" vertical="center"/>
    </xf>
    <xf numFmtId="0" fontId="64" fillId="52" borderId="1" xfId="9" applyFont="1" applyFill="1" applyBorder="1" applyAlignment="1">
      <alignment horizontal="center" vertical="center"/>
    </xf>
    <xf numFmtId="49" fontId="11" fillId="14" borderId="52" xfId="3" applyNumberFormat="1" applyFont="1" applyFill="1" applyBorder="1" applyAlignment="1">
      <alignment horizontal="center" vertical="center" wrapText="1"/>
    </xf>
    <xf numFmtId="49" fontId="11" fillId="14" borderId="33" xfId="3" applyNumberFormat="1" applyFont="1" applyFill="1" applyBorder="1" applyAlignment="1">
      <alignment horizontal="center" vertical="center" wrapText="1"/>
    </xf>
    <xf numFmtId="14" fontId="11" fillId="15" borderId="33" xfId="3" applyNumberFormat="1" applyFont="1" applyFill="1" applyBorder="1" applyAlignment="1">
      <alignment horizontal="center" vertical="center" wrapText="1"/>
    </xf>
    <xf numFmtId="0" fontId="11" fillId="15" borderId="33" xfId="3" applyFont="1" applyFill="1" applyBorder="1" applyAlignment="1">
      <alignment horizontal="center" vertical="center" wrapText="1"/>
    </xf>
    <xf numFmtId="0" fontId="11" fillId="14" borderId="33" xfId="3" applyFont="1" applyFill="1" applyBorder="1" applyAlignment="1">
      <alignment horizontal="center" vertical="center" wrapText="1"/>
    </xf>
    <xf numFmtId="0" fontId="11" fillId="14" borderId="53" xfId="3" applyFont="1" applyFill="1" applyBorder="1" applyAlignment="1">
      <alignment horizontal="center" vertical="center" wrapText="1"/>
    </xf>
    <xf numFmtId="0" fontId="11" fillId="16" borderId="59" xfId="3" applyFont="1" applyFill="1" applyBorder="1" applyAlignment="1">
      <alignment horizontal="center" vertical="center" wrapText="1"/>
    </xf>
    <xf numFmtId="0" fontId="11" fillId="16" borderId="35" xfId="3" applyFont="1" applyFill="1" applyBorder="1" applyAlignment="1">
      <alignment horizontal="center" vertical="center" wrapText="1"/>
    </xf>
    <xf numFmtId="0" fontId="11" fillId="17" borderId="60" xfId="3" applyFont="1" applyFill="1" applyBorder="1" applyAlignment="1">
      <alignment horizontal="center" vertical="center" wrapText="1"/>
    </xf>
    <xf numFmtId="49" fontId="11" fillId="18" borderId="64" xfId="3" applyNumberFormat="1" applyFont="1" applyFill="1" applyBorder="1" applyAlignment="1">
      <alignment horizontal="center" vertical="center" wrapText="1"/>
    </xf>
    <xf numFmtId="0" fontId="11" fillId="18" borderId="38" xfId="3" applyFont="1" applyFill="1" applyBorder="1" applyAlignment="1">
      <alignment horizontal="center" vertical="center" wrapText="1"/>
    </xf>
    <xf numFmtId="43" fontId="11" fillId="18" borderId="38" xfId="1" applyFont="1" applyFill="1" applyBorder="1" applyAlignment="1" applyProtection="1">
      <alignment horizontal="center" vertical="center" wrapText="1"/>
    </xf>
    <xf numFmtId="166" fontId="11" fillId="19" borderId="38" xfId="3" applyNumberFormat="1" applyFont="1" applyFill="1" applyBorder="1" applyAlignment="1">
      <alignment horizontal="center" vertical="center" wrapText="1"/>
    </xf>
    <xf numFmtId="43" fontId="11" fillId="18" borderId="157" xfId="1" applyFont="1" applyFill="1" applyBorder="1" applyAlignment="1" applyProtection="1">
      <alignment horizontal="center" vertical="center" wrapText="1"/>
    </xf>
    <xf numFmtId="175" fontId="11" fillId="19" borderId="65" xfId="8" applyNumberFormat="1" applyFont="1" applyFill="1" applyBorder="1" applyAlignment="1" applyProtection="1">
      <alignment horizontal="center" vertical="center" wrapText="1"/>
    </xf>
    <xf numFmtId="3" fontId="11" fillId="20" borderId="152" xfId="3" applyNumberFormat="1" applyFont="1" applyFill="1" applyBorder="1" applyAlignment="1">
      <alignment horizontal="center" vertical="center" wrapText="1"/>
    </xf>
    <xf numFmtId="0" fontId="11" fillId="20" borderId="152" xfId="3" applyFont="1" applyFill="1" applyBorder="1" applyAlignment="1">
      <alignment horizontal="center" vertical="center" wrapText="1"/>
    </xf>
    <xf numFmtId="9" fontId="11" fillId="20" borderId="33" xfId="4" applyFont="1" applyFill="1" applyBorder="1" applyAlignment="1" applyProtection="1">
      <alignment horizontal="center" vertical="center" wrapText="1"/>
    </xf>
    <xf numFmtId="43" fontId="11" fillId="20" borderId="33" xfId="1" applyFont="1" applyFill="1" applyBorder="1" applyAlignment="1" applyProtection="1">
      <alignment horizontal="center" vertical="center" wrapText="1"/>
    </xf>
    <xf numFmtId="167" fontId="11" fillId="20" borderId="33" xfId="5" applyNumberFormat="1" applyFont="1" applyFill="1" applyBorder="1" applyAlignment="1" applyProtection="1">
      <alignment horizontal="center" vertical="center" wrapText="1"/>
    </xf>
    <xf numFmtId="49" fontId="11" fillId="20" borderId="33" xfId="3" applyNumberFormat="1" applyFont="1" applyFill="1" applyBorder="1" applyAlignment="1">
      <alignment horizontal="center" vertical="center" wrapText="1"/>
    </xf>
    <xf numFmtId="178" fontId="11" fillId="20" borderId="33" xfId="3" applyNumberFormat="1" applyFont="1" applyFill="1" applyBorder="1" applyAlignment="1">
      <alignment horizontal="right" vertical="center" wrapText="1"/>
    </xf>
    <xf numFmtId="0" fontId="11" fillId="20" borderId="33" xfId="3" applyFont="1" applyFill="1" applyBorder="1" applyAlignment="1">
      <alignment horizontal="center" vertical="center" wrapText="1"/>
    </xf>
    <xf numFmtId="2" fontId="11" fillId="20" borderId="33" xfId="3" applyNumberFormat="1" applyFont="1" applyFill="1" applyBorder="1" applyAlignment="1">
      <alignment horizontal="center" vertical="center" wrapText="1"/>
    </xf>
    <xf numFmtId="14" fontId="11" fillId="20" borderId="33" xfId="3" applyNumberFormat="1" applyFont="1" applyFill="1" applyBorder="1" applyAlignment="1">
      <alignment horizontal="center" vertical="center" wrapText="1"/>
    </xf>
    <xf numFmtId="178" fontId="11" fillId="20" borderId="33" xfId="3" applyNumberFormat="1" applyFont="1" applyFill="1" applyBorder="1" applyAlignment="1">
      <alignment horizontal="center" vertical="center" wrapText="1"/>
    </xf>
    <xf numFmtId="14" fontId="11" fillId="20" borderId="72" xfId="3" applyNumberFormat="1" applyFont="1" applyFill="1" applyBorder="1" applyAlignment="1">
      <alignment horizontal="center" vertical="center" wrapText="1"/>
    </xf>
    <xf numFmtId="10" fontId="25" fillId="13" borderId="76" xfId="7" applyNumberFormat="1" applyFont="1" applyFill="1" applyBorder="1" applyAlignment="1" applyProtection="1">
      <alignment horizontal="center" vertical="center" wrapText="1"/>
    </xf>
    <xf numFmtId="10" fontId="25" fillId="13" borderId="34" xfId="7" applyNumberFormat="1" applyFont="1" applyFill="1" applyBorder="1" applyAlignment="1" applyProtection="1">
      <alignment horizontal="center" vertical="center" wrapText="1"/>
    </xf>
    <xf numFmtId="170" fontId="25" fillId="13" borderId="34" xfId="1" applyNumberFormat="1" applyFont="1" applyFill="1" applyBorder="1" applyAlignment="1" applyProtection="1">
      <alignment horizontal="center" vertical="center" wrapText="1"/>
    </xf>
    <xf numFmtId="170" fontId="38" fillId="13" borderId="34" xfId="1" applyNumberFormat="1" applyFont="1" applyFill="1" applyBorder="1" applyAlignment="1" applyProtection="1">
      <alignment horizontal="center" vertical="center" wrapText="1"/>
    </xf>
    <xf numFmtId="170" fontId="24" fillId="13" borderId="34" xfId="1" applyNumberFormat="1" applyFont="1" applyFill="1" applyBorder="1" applyAlignment="1" applyProtection="1">
      <alignment horizontal="center" vertical="center" wrapText="1"/>
    </xf>
    <xf numFmtId="170" fontId="25" fillId="13" borderId="78" xfId="1" applyNumberFormat="1" applyFont="1" applyFill="1" applyBorder="1" applyAlignment="1" applyProtection="1">
      <alignment horizontal="center" vertical="center" wrapText="1"/>
    </xf>
    <xf numFmtId="170" fontId="25" fillId="9" borderId="76" xfId="1" applyNumberFormat="1" applyFont="1" applyFill="1" applyBorder="1" applyAlignment="1" applyProtection="1">
      <alignment horizontal="center" vertical="center" wrapText="1"/>
    </xf>
    <xf numFmtId="170" fontId="41" fillId="10" borderId="34" xfId="1" applyNumberFormat="1" applyFont="1" applyFill="1" applyBorder="1" applyAlignment="1" applyProtection="1">
      <alignment horizontal="center" vertical="center" wrapText="1"/>
    </xf>
    <xf numFmtId="170" fontId="41" fillId="9" borderId="34" xfId="1" applyNumberFormat="1" applyFont="1" applyFill="1" applyBorder="1" applyAlignment="1" applyProtection="1">
      <alignment horizontal="center" vertical="center" wrapText="1"/>
    </xf>
    <xf numFmtId="170" fontId="25" fillId="11" borderId="34" xfId="1" applyNumberFormat="1" applyFont="1" applyFill="1" applyBorder="1" applyAlignment="1" applyProtection="1">
      <alignment horizontal="center" vertical="center" wrapText="1"/>
    </xf>
    <xf numFmtId="170" fontId="25" fillId="10" borderId="34" xfId="1" applyNumberFormat="1" applyFont="1" applyFill="1" applyBorder="1" applyAlignment="1" applyProtection="1">
      <alignment horizontal="center" vertical="center" wrapText="1"/>
    </xf>
    <xf numFmtId="170" fontId="25" fillId="12" borderId="34" xfId="1" applyNumberFormat="1" applyFont="1" applyFill="1" applyBorder="1" applyAlignment="1" applyProtection="1">
      <alignment horizontal="center" vertical="center" wrapText="1"/>
    </xf>
    <xf numFmtId="170" fontId="25" fillId="7" borderId="39" xfId="1" applyNumberFormat="1" applyFont="1" applyFill="1" applyBorder="1" applyAlignment="1" applyProtection="1">
      <alignment horizontal="center" vertical="center" wrapText="1"/>
    </xf>
    <xf numFmtId="170" fontId="25" fillId="7" borderId="35" xfId="1" applyNumberFormat="1" applyFont="1" applyFill="1" applyBorder="1" applyAlignment="1" applyProtection="1">
      <alignment horizontal="center" vertical="center" wrapText="1"/>
    </xf>
    <xf numFmtId="170" fontId="25" fillId="8" borderId="40" xfId="1" applyNumberFormat="1" applyFont="1" applyFill="1" applyBorder="1" applyAlignment="1" applyProtection="1">
      <alignment horizontal="center" vertical="center" wrapText="1"/>
    </xf>
    <xf numFmtId="49" fontId="17" fillId="0" borderId="33" xfId="3" applyNumberFormat="1" applyFont="1" applyBorder="1" applyAlignment="1">
      <alignment vertical="center"/>
    </xf>
    <xf numFmtId="0" fontId="17" fillId="0" borderId="33" xfId="3" applyFont="1" applyBorder="1" applyAlignment="1">
      <alignment vertical="center"/>
    </xf>
    <xf numFmtId="14" fontId="17" fillId="0" borderId="33" xfId="3" applyNumberFormat="1" applyFont="1" applyBorder="1" applyAlignment="1">
      <alignment horizontal="center" vertical="center"/>
    </xf>
    <xf numFmtId="0" fontId="17" fillId="0" borderId="33" xfId="3" applyFont="1" applyBorder="1" applyAlignment="1">
      <alignment horizontal="center" vertical="center"/>
    </xf>
    <xf numFmtId="0" fontId="17" fillId="0" borderId="33" xfId="3" applyFont="1" applyBorder="1" applyAlignment="1">
      <alignment horizontal="left" vertical="center"/>
    </xf>
    <xf numFmtId="2" fontId="17" fillId="0" borderId="33" xfId="3" applyNumberFormat="1" applyFont="1" applyBorder="1" applyAlignment="1">
      <alignment horizontal="center" vertical="center"/>
    </xf>
    <xf numFmtId="49" fontId="17" fillId="0" borderId="33" xfId="3" applyNumberFormat="1" applyFont="1" applyBorder="1" applyAlignment="1">
      <alignment horizontal="left" vertical="center"/>
    </xf>
    <xf numFmtId="43" fontId="17" fillId="0" borderId="33" xfId="1" applyFont="1" applyBorder="1" applyAlignment="1" applyProtection="1">
      <alignment horizontal="right" vertical="center"/>
    </xf>
    <xf numFmtId="166" fontId="17" fillId="0" borderId="33" xfId="3" applyNumberFormat="1" applyFont="1" applyBorder="1" applyAlignment="1">
      <alignment horizontal="right" vertical="center"/>
    </xf>
    <xf numFmtId="9" fontId="17" fillId="0" borderId="33" xfId="3" applyNumberFormat="1" applyFont="1" applyBorder="1" applyAlignment="1">
      <alignment horizontal="center" vertical="center"/>
    </xf>
    <xf numFmtId="43" fontId="17" fillId="0" borderId="33" xfId="1" applyFont="1" applyFill="1" applyBorder="1" applyAlignment="1" applyProtection="1">
      <alignment horizontal="right" vertical="center"/>
    </xf>
    <xf numFmtId="175" fontId="17" fillId="0" borderId="33" xfId="8" applyNumberFormat="1" applyFont="1" applyBorder="1" applyAlignment="1" applyProtection="1">
      <alignment horizontal="right" vertical="center"/>
    </xf>
    <xf numFmtId="3" fontId="17" fillId="0" borderId="33" xfId="3" applyNumberFormat="1" applyFont="1" applyBorder="1" applyAlignment="1">
      <alignment horizontal="right" vertical="center"/>
    </xf>
    <xf numFmtId="167" fontId="17" fillId="0" borderId="33" xfId="3" applyNumberFormat="1" applyFont="1" applyBorder="1" applyAlignment="1">
      <alignment horizontal="right" vertical="center"/>
    </xf>
    <xf numFmtId="9" fontId="17" fillId="0" borderId="33" xfId="4" applyFont="1" applyFill="1" applyBorder="1" applyAlignment="1" applyProtection="1">
      <alignment horizontal="center" vertical="center"/>
    </xf>
    <xf numFmtId="43" fontId="17" fillId="0" borderId="33" xfId="1" applyFont="1" applyFill="1" applyBorder="1" applyAlignment="1" applyProtection="1">
      <alignment horizontal="left" vertical="center"/>
    </xf>
    <xf numFmtId="167" fontId="17" fillId="0" borderId="33" xfId="5" applyNumberFormat="1" applyFont="1" applyFill="1" applyBorder="1" applyAlignment="1" applyProtection="1">
      <alignment horizontal="left" vertical="center"/>
    </xf>
    <xf numFmtId="49" fontId="17" fillId="0" borderId="33" xfId="3" quotePrefix="1" applyNumberFormat="1" applyFont="1" applyBorder="1" applyAlignment="1">
      <alignment horizontal="left" vertical="center"/>
    </xf>
    <xf numFmtId="178" fontId="17" fillId="0" borderId="33" xfId="3" applyNumberFormat="1" applyFont="1" applyBorder="1" applyAlignment="1">
      <alignment horizontal="right" vertical="center"/>
    </xf>
    <xf numFmtId="2" fontId="17" fillId="0" borderId="33" xfId="3" applyNumberFormat="1" applyFont="1" applyBorder="1" applyAlignment="1">
      <alignment vertical="center"/>
    </xf>
    <xf numFmtId="14" fontId="17" fillId="0" borderId="33" xfId="3" applyNumberFormat="1" applyFont="1" applyBorder="1" applyAlignment="1">
      <alignment vertical="center"/>
    </xf>
    <xf numFmtId="3" fontId="17" fillId="0" borderId="33" xfId="3" applyNumberFormat="1" applyFont="1" applyBorder="1" applyAlignment="1">
      <alignment horizontal="center" vertical="center"/>
    </xf>
    <xf numFmtId="14" fontId="17" fillId="0" borderId="33" xfId="3" applyNumberFormat="1" applyFont="1" applyBorder="1" applyAlignment="1">
      <alignment horizontal="left" vertical="center"/>
    </xf>
    <xf numFmtId="178" fontId="17" fillId="0" borderId="33" xfId="3" applyNumberFormat="1" applyFont="1" applyBorder="1" applyAlignment="1">
      <alignment horizontal="left" vertical="center"/>
    </xf>
    <xf numFmtId="168" fontId="17" fillId="0" borderId="33" xfId="3" applyNumberFormat="1" applyFont="1" applyBorder="1" applyAlignment="1">
      <alignment horizontal="center" vertical="center"/>
    </xf>
    <xf numFmtId="14" fontId="17" fillId="0" borderId="33" xfId="3" applyNumberFormat="1" applyFont="1" applyBorder="1" applyAlignment="1">
      <alignment horizontal="right" vertical="center"/>
    </xf>
    <xf numFmtId="10" fontId="17" fillId="0" borderId="33" xfId="7" applyNumberFormat="1" applyFont="1" applyFill="1" applyBorder="1" applyAlignment="1" applyProtection="1">
      <alignment horizontal="center" vertical="center"/>
    </xf>
    <xf numFmtId="170" fontId="17" fillId="0" borderId="33" xfId="1" applyNumberFormat="1" applyFont="1" applyFill="1" applyBorder="1" applyAlignment="1" applyProtection="1">
      <alignment horizontal="center" vertical="center"/>
    </xf>
    <xf numFmtId="170" fontId="17" fillId="0" borderId="33" xfId="1" applyNumberFormat="1" applyFont="1" applyFill="1" applyBorder="1" applyAlignment="1" applyProtection="1">
      <alignment vertical="center"/>
    </xf>
    <xf numFmtId="172" fontId="17" fillId="0" borderId="33" xfId="3" applyNumberFormat="1" applyFont="1" applyBorder="1" applyAlignment="1">
      <alignment vertical="center"/>
    </xf>
    <xf numFmtId="171" fontId="17" fillId="0" borderId="33" xfId="4" applyNumberFormat="1" applyFont="1" applyFill="1" applyBorder="1" applyAlignment="1" applyProtection="1">
      <alignment horizontal="center" vertical="center"/>
    </xf>
    <xf numFmtId="49" fontId="17" fillId="0" borderId="33" xfId="3" quotePrefix="1" applyNumberFormat="1" applyFont="1" applyBorder="1" applyAlignment="1">
      <alignment vertical="center"/>
    </xf>
    <xf numFmtId="0" fontId="17" fillId="0" borderId="33" xfId="3" quotePrefix="1" applyFont="1" applyBorder="1" applyAlignment="1">
      <alignment vertical="center"/>
    </xf>
    <xf numFmtId="49" fontId="12" fillId="0" borderId="33" xfId="3" applyNumberFormat="1" applyFont="1" applyBorder="1" applyAlignment="1">
      <alignment horizontal="left" vertical="center"/>
    </xf>
    <xf numFmtId="3" fontId="17" fillId="0" borderId="34" xfId="3" applyNumberFormat="1" applyFont="1" applyBorder="1" applyAlignment="1">
      <alignment horizontal="center" vertical="center"/>
    </xf>
    <xf numFmtId="10" fontId="17" fillId="0" borderId="34" xfId="7" applyNumberFormat="1" applyFont="1" applyFill="1" applyBorder="1" applyAlignment="1" applyProtection="1">
      <alignment horizontal="center" vertical="center"/>
    </xf>
    <xf numFmtId="170" fontId="19" fillId="0" borderId="34" xfId="1" applyNumberFormat="1" applyFont="1" applyFill="1" applyBorder="1" applyAlignment="1" applyProtection="1">
      <alignment horizontal="center" vertical="center"/>
    </xf>
    <xf numFmtId="49" fontId="62" fillId="0" borderId="33" xfId="3" applyNumberFormat="1" applyFont="1" applyBorder="1" applyAlignment="1">
      <alignment horizontal="left" vertical="center"/>
    </xf>
    <xf numFmtId="3" fontId="13" fillId="0" borderId="33" xfId="3" applyNumberFormat="1" applyFont="1" applyBorder="1" applyAlignment="1">
      <alignment horizontal="center" vertical="center"/>
    </xf>
    <xf numFmtId="10" fontId="13" fillId="0" borderId="33" xfId="7" applyNumberFormat="1" applyFont="1" applyFill="1" applyBorder="1" applyAlignment="1" applyProtection="1">
      <alignment horizontal="center" vertical="center"/>
    </xf>
    <xf numFmtId="43" fontId="12" fillId="0" borderId="33" xfId="1" applyFont="1" applyFill="1" applyBorder="1" applyAlignment="1" applyProtection="1">
      <alignment horizontal="right" vertical="center"/>
    </xf>
    <xf numFmtId="0" fontId="8" fillId="0" borderId="33" xfId="3" applyFont="1" applyBorder="1" applyAlignment="1">
      <alignment horizontal="left" vertical="center"/>
    </xf>
    <xf numFmtId="169" fontId="17" fillId="0" borderId="33" xfId="3" applyNumberFormat="1" applyFont="1" applyBorder="1" applyAlignment="1">
      <alignment horizontal="right" vertical="center"/>
    </xf>
    <xf numFmtId="9" fontId="12" fillId="0" borderId="33" xfId="3" applyNumberFormat="1" applyFont="1" applyBorder="1" applyAlignment="1">
      <alignment horizontal="center" vertical="center"/>
    </xf>
    <xf numFmtId="172" fontId="17" fillId="0" borderId="33" xfId="3" applyNumberFormat="1" applyFont="1" applyBorder="1" applyAlignment="1">
      <alignment horizontal="center" vertical="center"/>
    </xf>
    <xf numFmtId="0" fontId="17" fillId="0" borderId="33" xfId="6" applyFont="1" applyBorder="1" applyAlignment="1" applyProtection="1">
      <alignment vertical="center"/>
    </xf>
    <xf numFmtId="172" fontId="17" fillId="0" borderId="33" xfId="3" applyNumberFormat="1" applyFont="1" applyBorder="1" applyAlignment="1">
      <alignment horizontal="left" vertical="center"/>
    </xf>
    <xf numFmtId="173" fontId="17" fillId="0" borderId="33" xfId="3" applyNumberFormat="1" applyFont="1" applyBorder="1" applyAlignment="1">
      <alignment horizontal="center" vertical="center"/>
    </xf>
    <xf numFmtId="3" fontId="17" fillId="2" borderId="33" xfId="3" applyNumberFormat="1" applyFont="1" applyFill="1" applyBorder="1" applyAlignment="1">
      <alignment horizontal="right" vertical="center"/>
    </xf>
    <xf numFmtId="165" fontId="17" fillId="2" borderId="33" xfId="3" applyNumberFormat="1" applyFont="1" applyFill="1" applyBorder="1" applyAlignment="1">
      <alignment horizontal="right" vertical="center"/>
    </xf>
    <xf numFmtId="9" fontId="17" fillId="2" borderId="33" xfId="4" applyFont="1" applyFill="1" applyBorder="1" applyAlignment="1" applyProtection="1">
      <alignment horizontal="center" vertical="center"/>
    </xf>
    <xf numFmtId="49" fontId="17" fillId="2" borderId="33" xfId="3" applyNumberFormat="1" applyFont="1" applyFill="1" applyBorder="1" applyAlignment="1">
      <alignment horizontal="left" vertical="center"/>
    </xf>
    <xf numFmtId="178" fontId="17" fillId="2" borderId="33" xfId="3" applyNumberFormat="1" applyFont="1" applyFill="1" applyBorder="1" applyAlignment="1">
      <alignment horizontal="right" vertical="center"/>
    </xf>
    <xf numFmtId="0" fontId="17" fillId="2" borderId="33" xfId="3" applyFont="1" applyFill="1" applyBorder="1" applyAlignment="1">
      <alignment horizontal="left" vertical="center"/>
    </xf>
    <xf numFmtId="43" fontId="12" fillId="0" borderId="33" xfId="1" applyFont="1" applyFill="1" applyBorder="1" applyAlignment="1" applyProtection="1">
      <alignment horizontal="left" vertical="center"/>
    </xf>
    <xf numFmtId="0" fontId="8" fillId="0" borderId="33" xfId="3" applyFont="1" applyBorder="1" applyAlignment="1">
      <alignment vertical="center"/>
    </xf>
    <xf numFmtId="0" fontId="17" fillId="0" borderId="33" xfId="3" applyFont="1" applyBorder="1" applyAlignment="1">
      <alignment horizontal="right" vertical="center"/>
    </xf>
    <xf numFmtId="174" fontId="17" fillId="0" borderId="33" xfId="3" applyNumberFormat="1" applyFont="1" applyBorder="1" applyAlignment="1">
      <alignment horizontal="right" vertical="center"/>
    </xf>
    <xf numFmtId="0" fontId="17" fillId="0" borderId="33" xfId="3" quotePrefix="1" applyFont="1" applyBorder="1" applyAlignment="1">
      <alignment horizontal="center" vertical="center"/>
    </xf>
    <xf numFmtId="171" fontId="17" fillId="0" borderId="33" xfId="3" applyNumberFormat="1" applyFont="1" applyBorder="1" applyAlignment="1">
      <alignment horizontal="center" vertical="center"/>
    </xf>
    <xf numFmtId="0" fontId="17" fillId="0" borderId="33" xfId="3" quotePrefix="1" applyFont="1" applyBorder="1" applyAlignment="1">
      <alignment horizontal="left" vertical="center"/>
    </xf>
    <xf numFmtId="49" fontId="17" fillId="0" borderId="33" xfId="3" applyNumberFormat="1" applyFont="1" applyBorder="1" applyAlignment="1">
      <alignment horizontal="center" vertical="center"/>
    </xf>
    <xf numFmtId="49" fontId="13" fillId="0" borderId="33" xfId="3" applyNumberFormat="1" applyFont="1" applyBorder="1" applyAlignment="1">
      <alignment vertical="center"/>
    </xf>
    <xf numFmtId="174" fontId="17" fillId="0" borderId="33" xfId="1" applyNumberFormat="1" applyFont="1" applyFill="1" applyBorder="1" applyAlignment="1" applyProtection="1">
      <alignment horizontal="right" vertical="center"/>
    </xf>
    <xf numFmtId="176" fontId="17" fillId="0" borderId="33" xfId="3" applyNumberFormat="1" applyFont="1" applyBorder="1" applyAlignment="1">
      <alignment horizontal="right" vertical="center"/>
    </xf>
    <xf numFmtId="171" fontId="17" fillId="0" borderId="33" xfId="7" applyNumberFormat="1" applyFont="1" applyFill="1" applyBorder="1" applyAlignment="1" applyProtection="1">
      <alignment horizontal="center" vertical="center"/>
    </xf>
    <xf numFmtId="9" fontId="17" fillId="0" borderId="33" xfId="7" applyFont="1" applyFill="1" applyBorder="1" applyAlignment="1" applyProtection="1">
      <alignment horizontal="center" vertical="center"/>
    </xf>
    <xf numFmtId="49" fontId="8" fillId="0" borderId="33" xfId="3" applyNumberFormat="1" applyFont="1" applyBorder="1" applyAlignment="1">
      <alignment vertical="center"/>
    </xf>
    <xf numFmtId="172" fontId="13" fillId="0" borderId="33" xfId="3" applyNumberFormat="1" applyFont="1" applyBorder="1" applyAlignment="1">
      <alignment horizontal="left" vertical="center"/>
    </xf>
    <xf numFmtId="0" fontId="12" fillId="2" borderId="33" xfId="3" applyFont="1" applyFill="1" applyBorder="1" applyAlignment="1">
      <alignment horizontal="left" vertical="center"/>
    </xf>
    <xf numFmtId="49" fontId="17" fillId="3" borderId="33" xfId="3" applyNumberFormat="1" applyFont="1" applyFill="1" applyBorder="1" applyAlignment="1">
      <alignment vertical="center"/>
    </xf>
    <xf numFmtId="3" fontId="17" fillId="48" borderId="33" xfId="3" applyNumberFormat="1" applyFont="1" applyFill="1" applyBorder="1" applyAlignment="1">
      <alignment horizontal="right" vertical="center"/>
    </xf>
    <xf numFmtId="49" fontId="17" fillId="48" borderId="33" xfId="3" applyNumberFormat="1" applyFont="1" applyFill="1" applyBorder="1" applyAlignment="1">
      <alignment vertical="center"/>
    </xf>
    <xf numFmtId="10" fontId="12" fillId="0" borderId="33" xfId="7" applyNumberFormat="1" applyFont="1" applyFill="1" applyBorder="1" applyAlignment="1" applyProtection="1">
      <alignment horizontal="center" vertical="center"/>
    </xf>
    <xf numFmtId="172" fontId="17" fillId="0" borderId="33" xfId="3" quotePrefix="1" applyNumberFormat="1" applyFont="1" applyBorder="1" applyAlignment="1">
      <alignment horizontal="left" vertical="center"/>
    </xf>
    <xf numFmtId="0" fontId="23" fillId="0" borderId="0" xfId="2" applyFont="1" applyAlignment="1" applyProtection="1">
      <alignment horizontal="left" vertical="center"/>
      <protection locked="0"/>
    </xf>
    <xf numFmtId="49" fontId="19" fillId="0" borderId="0" xfId="3" applyNumberFormat="1" applyFont="1" applyAlignment="1" applyProtection="1">
      <alignment vertical="center"/>
      <protection locked="0"/>
    </xf>
    <xf numFmtId="49" fontId="18" fillId="0" borderId="0" xfId="2" applyNumberFormat="1" applyFont="1" applyAlignment="1" applyProtection="1">
      <alignment vertical="center"/>
      <protection locked="0"/>
    </xf>
    <xf numFmtId="14" fontId="19" fillId="0" borderId="0" xfId="3" applyNumberFormat="1" applyFont="1" applyAlignment="1" applyProtection="1">
      <alignment horizontal="center" vertical="center"/>
      <protection locked="0"/>
    </xf>
    <xf numFmtId="0" fontId="18" fillId="0" borderId="0" xfId="2" applyFont="1" applyAlignment="1" applyProtection="1">
      <alignment vertical="center"/>
      <protection locked="0"/>
    </xf>
    <xf numFmtId="0" fontId="19" fillId="0" borderId="0" xfId="3" applyFont="1" applyAlignment="1" applyProtection="1">
      <alignment horizontal="center" vertical="center"/>
      <protection locked="0"/>
    </xf>
    <xf numFmtId="0" fontId="19" fillId="0" borderId="0" xfId="3" applyFont="1" applyAlignment="1" applyProtection="1">
      <alignment horizontal="left" vertical="center"/>
      <protection locked="0"/>
    </xf>
    <xf numFmtId="2" fontId="19" fillId="0" borderId="0" xfId="3" applyNumberFormat="1" applyFont="1" applyAlignment="1" applyProtection="1">
      <alignment horizontal="center" vertical="center"/>
      <protection locked="0"/>
    </xf>
    <xf numFmtId="49" fontId="19" fillId="0" borderId="0" xfId="3" applyNumberFormat="1" applyFont="1" applyAlignment="1" applyProtection="1">
      <alignment horizontal="left" vertical="center"/>
      <protection locked="0"/>
    </xf>
    <xf numFmtId="43" fontId="19" fillId="0" borderId="0" xfId="1" applyFont="1" applyAlignment="1" applyProtection="1">
      <alignment horizontal="right" vertical="center"/>
      <protection locked="0"/>
    </xf>
    <xf numFmtId="166" fontId="19" fillId="0" borderId="0" xfId="3" applyNumberFormat="1" applyFont="1" applyAlignment="1" applyProtection="1">
      <alignment horizontal="right" vertical="center"/>
      <protection locked="0"/>
    </xf>
    <xf numFmtId="43" fontId="19" fillId="0" borderId="0" xfId="1" applyFont="1" applyAlignment="1" applyProtection="1">
      <alignment horizontal="left" vertical="center"/>
      <protection locked="0"/>
    </xf>
    <xf numFmtId="175" fontId="19" fillId="0" borderId="0" xfId="8" applyNumberFormat="1" applyFont="1" applyAlignment="1" applyProtection="1">
      <alignment horizontal="right" vertical="center"/>
      <protection locked="0"/>
    </xf>
    <xf numFmtId="3" fontId="19" fillId="0" borderId="0" xfId="3" applyNumberFormat="1" applyFont="1" applyAlignment="1" applyProtection="1">
      <alignment horizontal="right" vertical="center"/>
      <protection locked="0"/>
    </xf>
    <xf numFmtId="0" fontId="19" fillId="0" borderId="0" xfId="3" applyFont="1" applyAlignment="1" applyProtection="1">
      <alignment horizontal="right" vertical="center"/>
      <protection locked="0"/>
    </xf>
    <xf numFmtId="9" fontId="17" fillId="0" borderId="0" xfId="4" applyFont="1" applyAlignment="1" applyProtection="1">
      <alignment horizontal="center" vertical="center"/>
      <protection locked="0"/>
    </xf>
    <xf numFmtId="43" fontId="17" fillId="0" borderId="0" xfId="1" applyFont="1" applyAlignment="1" applyProtection="1">
      <alignment horizontal="left" vertical="center"/>
      <protection locked="0"/>
    </xf>
    <xf numFmtId="167" fontId="17" fillId="0" borderId="0" xfId="5" applyNumberFormat="1" applyFont="1" applyAlignment="1" applyProtection="1">
      <alignment horizontal="left" vertical="center"/>
      <protection locked="0"/>
    </xf>
    <xf numFmtId="178" fontId="19" fillId="0" borderId="0" xfId="3" applyNumberFormat="1" applyFont="1" applyAlignment="1" applyProtection="1">
      <alignment horizontal="right" vertical="center"/>
      <protection locked="0"/>
    </xf>
    <xf numFmtId="0" fontId="17" fillId="0" borderId="0" xfId="3" applyFont="1" applyAlignment="1" applyProtection="1">
      <alignment horizontal="left" vertical="center"/>
      <protection locked="0"/>
    </xf>
    <xf numFmtId="14" fontId="17" fillId="0" borderId="0" xfId="3" applyNumberFormat="1" applyFont="1" applyAlignment="1" applyProtection="1">
      <alignment horizontal="center" vertical="center"/>
      <protection locked="0"/>
    </xf>
    <xf numFmtId="168" fontId="19" fillId="0" borderId="0" xfId="3" applyNumberFormat="1" applyFont="1" applyAlignment="1" applyProtection="1">
      <alignment horizontal="center" vertical="center"/>
      <protection locked="0"/>
    </xf>
    <xf numFmtId="0" fontId="17" fillId="0" borderId="0" xfId="3" applyFont="1" applyAlignment="1" applyProtection="1">
      <alignment horizontal="center" vertical="center"/>
      <protection locked="0"/>
    </xf>
    <xf numFmtId="49" fontId="17" fillId="0" borderId="0" xfId="3" applyNumberFormat="1" applyFont="1" applyAlignment="1" applyProtection="1">
      <alignment horizontal="left" vertical="center"/>
      <protection locked="0"/>
    </xf>
    <xf numFmtId="14" fontId="17" fillId="0" borderId="0" xfId="3" applyNumberFormat="1" applyFont="1" applyAlignment="1" applyProtection="1">
      <alignment horizontal="left" vertical="center"/>
      <protection locked="0"/>
    </xf>
    <xf numFmtId="178" fontId="17" fillId="0" borderId="0" xfId="3" applyNumberFormat="1" applyFont="1" applyAlignment="1" applyProtection="1">
      <alignment horizontal="left" vertical="center"/>
      <protection locked="0"/>
    </xf>
    <xf numFmtId="14" fontId="17" fillId="0" borderId="0" xfId="3" applyNumberFormat="1" applyFont="1" applyAlignment="1" applyProtection="1">
      <alignment horizontal="right" vertical="center"/>
      <protection locked="0"/>
    </xf>
    <xf numFmtId="3" fontId="17" fillId="0" borderId="0" xfId="3" applyNumberFormat="1" applyFont="1" applyAlignment="1" applyProtection="1">
      <alignment horizontal="center" vertical="center"/>
      <protection locked="0"/>
    </xf>
    <xf numFmtId="10" fontId="17" fillId="0" borderId="0" xfId="7" applyNumberFormat="1" applyFont="1" applyAlignment="1" applyProtection="1">
      <alignment horizontal="center" vertical="center"/>
      <protection locked="0"/>
    </xf>
    <xf numFmtId="170" fontId="19" fillId="0" borderId="0" xfId="1" applyNumberFormat="1" applyFont="1" applyAlignment="1" applyProtection="1">
      <alignment horizontal="center" vertical="center"/>
      <protection locked="0"/>
    </xf>
    <xf numFmtId="170" fontId="17" fillId="0" borderId="0" xfId="1" applyNumberFormat="1" applyFont="1" applyAlignment="1" applyProtection="1">
      <alignment vertical="center"/>
      <protection locked="0"/>
    </xf>
    <xf numFmtId="0" fontId="17" fillId="0" borderId="0" xfId="3" applyFont="1" applyProtection="1">
      <protection locked="0"/>
    </xf>
    <xf numFmtId="170" fontId="17" fillId="0" borderId="0" xfId="1" applyNumberFormat="1" applyFont="1" applyAlignment="1" applyProtection="1">
      <protection locked="0"/>
    </xf>
    <xf numFmtId="49" fontId="19" fillId="0" borderId="47" xfId="3" applyNumberFormat="1" applyFont="1" applyBorder="1" applyAlignment="1" applyProtection="1">
      <alignment vertical="center"/>
      <protection locked="0"/>
    </xf>
    <xf numFmtId="49" fontId="17" fillId="0" borderId="48" xfId="3" applyNumberFormat="1" applyFont="1" applyBorder="1" applyProtection="1">
      <protection locked="0"/>
    </xf>
    <xf numFmtId="49" fontId="19" fillId="0" borderId="48" xfId="3" applyNumberFormat="1" applyFont="1" applyBorder="1" applyAlignment="1" applyProtection="1">
      <alignment horizontal="center" vertical="center"/>
      <protection locked="0"/>
    </xf>
    <xf numFmtId="49" fontId="19" fillId="0" borderId="48" xfId="3" applyNumberFormat="1" applyFont="1" applyBorder="1" applyAlignment="1" applyProtection="1">
      <alignment vertical="center"/>
      <protection locked="0"/>
    </xf>
    <xf numFmtId="0" fontId="20" fillId="0" borderId="48" xfId="3" applyFont="1" applyBorder="1" applyAlignment="1" applyProtection="1">
      <alignment horizontal="center" vertical="center"/>
      <protection locked="0"/>
    </xf>
    <xf numFmtId="0" fontId="18" fillId="0" borderId="48" xfId="2" applyFont="1" applyBorder="1" applyAlignment="1" applyProtection="1">
      <alignment vertical="center"/>
      <protection locked="0"/>
    </xf>
    <xf numFmtId="0" fontId="22" fillId="0" borderId="48" xfId="3" applyFont="1" applyBorder="1" applyAlignment="1" applyProtection="1">
      <alignment horizontal="center" vertical="center"/>
      <protection locked="0"/>
    </xf>
    <xf numFmtId="0" fontId="19" fillId="0" borderId="48" xfId="3" applyFont="1" applyBorder="1" applyAlignment="1" applyProtection="1">
      <alignment horizontal="center" vertical="center"/>
      <protection locked="0"/>
    </xf>
    <xf numFmtId="14" fontId="19" fillId="0" borderId="48" xfId="3" applyNumberFormat="1" applyFont="1" applyBorder="1" applyAlignment="1" applyProtection="1">
      <alignment horizontal="center" vertical="center"/>
      <protection locked="0"/>
    </xf>
    <xf numFmtId="0" fontId="19" fillId="0" borderId="48" xfId="3" applyFont="1" applyBorder="1" applyAlignment="1" applyProtection="1">
      <alignment horizontal="left" vertical="center"/>
      <protection locked="0"/>
    </xf>
    <xf numFmtId="0" fontId="19" fillId="0" borderId="49" xfId="3" applyFont="1" applyBorder="1" applyAlignment="1" applyProtection="1">
      <alignment horizontal="center" vertical="center"/>
      <protection locked="0"/>
    </xf>
    <xf numFmtId="0" fontId="19" fillId="0" borderId="54" xfId="3" applyFont="1" applyBorder="1" applyAlignment="1" applyProtection="1">
      <alignment vertical="center"/>
      <protection locked="0"/>
    </xf>
    <xf numFmtId="0" fontId="19" fillId="0" borderId="55" xfId="3" applyFont="1" applyBorder="1" applyAlignment="1" applyProtection="1">
      <alignment vertical="center"/>
      <protection locked="0"/>
    </xf>
    <xf numFmtId="0" fontId="19" fillId="0" borderId="56" xfId="3" applyFont="1" applyBorder="1" applyAlignment="1" applyProtection="1">
      <alignment vertical="center"/>
      <protection locked="0"/>
    </xf>
    <xf numFmtId="49" fontId="19" fillId="0" borderId="61" xfId="3" applyNumberFormat="1" applyFont="1" applyBorder="1" applyAlignment="1" applyProtection="1">
      <alignment horizontal="left" vertical="center"/>
      <protection locked="0"/>
    </xf>
    <xf numFmtId="0" fontId="20" fillId="0" borderId="62" xfId="3" applyFont="1" applyBorder="1" applyAlignment="1" applyProtection="1">
      <alignment horizontal="left" vertical="center"/>
      <protection locked="0"/>
    </xf>
    <xf numFmtId="0" fontId="19" fillId="0" borderId="62" xfId="3" applyFont="1" applyBorder="1" applyAlignment="1" applyProtection="1">
      <alignment horizontal="center" vertical="center"/>
      <protection locked="0"/>
    </xf>
    <xf numFmtId="0" fontId="20" fillId="0" borderId="62" xfId="3" applyFont="1" applyBorder="1" applyAlignment="1" applyProtection="1">
      <alignment horizontal="center" vertical="center"/>
      <protection locked="0"/>
    </xf>
    <xf numFmtId="43" fontId="19" fillId="0" borderId="62" xfId="1" applyFont="1" applyBorder="1" applyAlignment="1" applyProtection="1">
      <alignment horizontal="right" vertical="center"/>
      <protection locked="0"/>
    </xf>
    <xf numFmtId="166" fontId="19" fillId="0" borderId="62" xfId="3" applyNumberFormat="1" applyFont="1" applyBorder="1" applyAlignment="1" applyProtection="1">
      <alignment horizontal="right" vertical="center"/>
      <protection locked="0"/>
    </xf>
    <xf numFmtId="43" fontId="19" fillId="0" borderId="62" xfId="1" applyFont="1" applyBorder="1" applyAlignment="1" applyProtection="1">
      <alignment horizontal="left" vertical="center"/>
      <protection locked="0"/>
    </xf>
    <xf numFmtId="179" fontId="20" fillId="0" borderId="63" xfId="7" applyNumberFormat="1" applyFont="1" applyBorder="1" applyAlignment="1" applyProtection="1">
      <alignment horizontal="center" vertical="center"/>
      <protection locked="0"/>
    </xf>
    <xf numFmtId="3" fontId="19" fillId="0" borderId="153" xfId="1" applyNumberFormat="1" applyFont="1" applyBorder="1" applyAlignment="1" applyProtection="1">
      <alignment horizontal="center" vertical="center"/>
      <protection locked="0"/>
    </xf>
    <xf numFmtId="170" fontId="19" fillId="0" borderId="69" xfId="1" applyNumberFormat="1" applyFont="1" applyBorder="1" applyAlignment="1" applyProtection="1">
      <alignment horizontal="left" vertical="center"/>
      <protection locked="0"/>
    </xf>
    <xf numFmtId="9" fontId="17" fillId="0" borderId="69" xfId="4" applyFont="1" applyBorder="1" applyAlignment="1" applyProtection="1">
      <alignment horizontal="center" vertical="center"/>
      <protection locked="0"/>
    </xf>
    <xf numFmtId="43" fontId="17" fillId="0" borderId="69" xfId="1" applyFont="1" applyBorder="1" applyAlignment="1" applyProtection="1">
      <alignment horizontal="left" vertical="center"/>
      <protection locked="0"/>
    </xf>
    <xf numFmtId="167" fontId="17" fillId="0" borderId="69" xfId="5" applyNumberFormat="1" applyFont="1" applyBorder="1" applyAlignment="1" applyProtection="1">
      <alignment horizontal="left" vertical="center"/>
      <protection locked="0"/>
    </xf>
    <xf numFmtId="43" fontId="19" fillId="0" borderId="69" xfId="3" applyNumberFormat="1" applyFont="1" applyBorder="1" applyAlignment="1" applyProtection="1">
      <alignment horizontal="left" vertical="center"/>
      <protection locked="0"/>
    </xf>
    <xf numFmtId="178" fontId="19" fillId="0" borderId="69" xfId="3" applyNumberFormat="1" applyFont="1" applyBorder="1" applyAlignment="1" applyProtection="1">
      <alignment horizontal="right" vertical="center"/>
      <protection locked="0"/>
    </xf>
    <xf numFmtId="0" fontId="19" fillId="0" borderId="69" xfId="3" applyFont="1" applyBorder="1" applyAlignment="1" applyProtection="1">
      <alignment horizontal="left" vertical="center"/>
      <protection locked="0"/>
    </xf>
    <xf numFmtId="0" fontId="17" fillId="0" borderId="69" xfId="3" applyFont="1" applyBorder="1" applyAlignment="1" applyProtection="1">
      <alignment horizontal="left" vertical="center"/>
      <protection locked="0"/>
    </xf>
    <xf numFmtId="2" fontId="19" fillId="0" borderId="69" xfId="3" applyNumberFormat="1" applyFont="1" applyBorder="1" applyAlignment="1" applyProtection="1">
      <alignment horizontal="center" vertical="center"/>
      <protection locked="0"/>
    </xf>
    <xf numFmtId="14" fontId="17" fillId="0" borderId="69" xfId="3" applyNumberFormat="1" applyFont="1" applyBorder="1" applyAlignment="1" applyProtection="1">
      <alignment horizontal="center" vertical="center"/>
      <protection locked="0"/>
    </xf>
    <xf numFmtId="14" fontId="19" fillId="0" borderId="69" xfId="3" applyNumberFormat="1" applyFont="1" applyBorder="1" applyAlignment="1" applyProtection="1">
      <alignment horizontal="center" vertical="center"/>
      <protection locked="0"/>
    </xf>
    <xf numFmtId="168" fontId="19" fillId="0" borderId="69" xfId="3" applyNumberFormat="1" applyFont="1" applyBorder="1" applyAlignment="1" applyProtection="1">
      <alignment horizontal="center" vertical="center"/>
      <protection locked="0"/>
    </xf>
    <xf numFmtId="0" fontId="19" fillId="0" borderId="69" xfId="3" applyFont="1" applyBorder="1" applyAlignment="1" applyProtection="1">
      <alignment horizontal="center" vertical="center"/>
      <protection locked="0"/>
    </xf>
    <xf numFmtId="0" fontId="17" fillId="0" borderId="69" xfId="3" applyFont="1" applyBorder="1" applyAlignment="1" applyProtection="1">
      <alignment horizontal="center" vertical="center"/>
      <protection locked="0"/>
    </xf>
    <xf numFmtId="49" fontId="17" fillId="0" borderId="69" xfId="3" applyNumberFormat="1" applyFont="1" applyBorder="1" applyAlignment="1" applyProtection="1">
      <alignment horizontal="left" vertical="center"/>
      <protection locked="0"/>
    </xf>
    <xf numFmtId="14" fontId="17" fillId="0" borderId="69" xfId="3" applyNumberFormat="1" applyFont="1" applyBorder="1" applyAlignment="1" applyProtection="1">
      <alignment horizontal="left" vertical="center"/>
      <protection locked="0"/>
    </xf>
    <xf numFmtId="178" fontId="17" fillId="0" borderId="69" xfId="3" applyNumberFormat="1" applyFont="1" applyBorder="1" applyAlignment="1" applyProtection="1">
      <alignment horizontal="left" vertical="center"/>
      <protection locked="0"/>
    </xf>
    <xf numFmtId="14" fontId="20" fillId="0" borderId="70" xfId="3" applyNumberFormat="1" applyFont="1" applyBorder="1" applyAlignment="1" applyProtection="1">
      <alignment horizontal="right" vertical="center"/>
      <protection locked="0"/>
    </xf>
    <xf numFmtId="3" fontId="13" fillId="0" borderId="73" xfId="3" applyNumberFormat="1" applyFont="1" applyBorder="1" applyAlignment="1" applyProtection="1">
      <alignment horizontal="left" vertical="center"/>
      <protection locked="0"/>
    </xf>
    <xf numFmtId="3" fontId="19" fillId="0" borderId="74" xfId="3" applyNumberFormat="1" applyFont="1" applyBorder="1" applyAlignment="1" applyProtection="1">
      <alignment vertical="center"/>
      <protection locked="0"/>
    </xf>
    <xf numFmtId="170" fontId="19" fillId="0" borderId="73" xfId="1" applyNumberFormat="1" applyFont="1" applyBorder="1" applyAlignment="1" applyProtection="1">
      <alignment vertical="center"/>
      <protection locked="0"/>
    </xf>
    <xf numFmtId="170" fontId="19" fillId="0" borderId="74" xfId="1" applyNumberFormat="1" applyFont="1" applyBorder="1" applyAlignment="1" applyProtection="1">
      <alignment vertical="center"/>
      <protection locked="0"/>
    </xf>
    <xf numFmtId="170" fontId="19" fillId="0" borderId="75" xfId="1" applyNumberFormat="1" applyFont="1" applyBorder="1" applyAlignment="1" applyProtection="1">
      <alignment vertical="center"/>
      <protection locked="0"/>
    </xf>
    <xf numFmtId="170" fontId="19" fillId="0" borderId="41" xfId="1" applyNumberFormat="1" applyFont="1" applyBorder="1" applyAlignment="1" applyProtection="1">
      <alignment vertical="center"/>
      <protection locked="0"/>
    </xf>
    <xf numFmtId="170" fontId="19" fillId="0" borderId="42" xfId="1" applyNumberFormat="1" applyFont="1" applyBorder="1" applyAlignment="1" applyProtection="1">
      <alignment vertical="center"/>
      <protection locked="0"/>
    </xf>
    <xf numFmtId="170" fontId="19" fillId="0" borderId="43" xfId="1" applyNumberFormat="1" applyFont="1" applyBorder="1" applyAlignment="1" applyProtection="1">
      <alignment vertical="center"/>
      <protection locked="0"/>
    </xf>
    <xf numFmtId="43" fontId="17" fillId="0" borderId="0" xfId="1" applyFont="1" applyAlignment="1" applyProtection="1">
      <protection locked="0"/>
    </xf>
    <xf numFmtId="9" fontId="17" fillId="0" borderId="0" xfId="7" applyFont="1" applyAlignment="1" applyProtection="1">
      <protection locked="0"/>
    </xf>
    <xf numFmtId="49" fontId="19" fillId="0" borderId="50" xfId="3" applyNumberFormat="1" applyFont="1" applyBorder="1" applyAlignment="1" applyProtection="1">
      <alignment vertical="center"/>
      <protection locked="0"/>
    </xf>
    <xf numFmtId="49" fontId="17" fillId="0" borderId="0" xfId="3" applyNumberFormat="1" applyFont="1" applyProtection="1">
      <protection locked="0"/>
    </xf>
    <xf numFmtId="0" fontId="19" fillId="0" borderId="0" xfId="3" applyFont="1" applyAlignment="1" applyProtection="1">
      <alignment vertical="center"/>
      <protection locked="0"/>
    </xf>
    <xf numFmtId="0" fontId="17" fillId="0" borderId="0" xfId="3" applyFont="1" applyAlignment="1" applyProtection="1">
      <alignment horizontal="center"/>
      <protection locked="0"/>
    </xf>
    <xf numFmtId="0" fontId="19" fillId="0" borderId="51" xfId="3" applyFont="1" applyBorder="1" applyAlignment="1" applyProtection="1">
      <alignment horizontal="center" vertical="center"/>
      <protection locked="0"/>
    </xf>
    <xf numFmtId="0" fontId="19" fillId="0" borderId="57" xfId="3" applyFont="1" applyBorder="1" applyAlignment="1" applyProtection="1">
      <alignment horizontal="center" vertical="center"/>
      <protection locked="0"/>
    </xf>
    <xf numFmtId="0" fontId="19" fillId="0" borderId="58" xfId="3" applyFont="1" applyBorder="1" applyAlignment="1" applyProtection="1">
      <alignment horizontal="left" vertical="center"/>
      <protection locked="0"/>
    </xf>
    <xf numFmtId="49" fontId="19" fillId="0" borderId="66" xfId="3" applyNumberFormat="1" applyFont="1" applyBorder="1" applyAlignment="1" applyProtection="1">
      <alignment horizontal="left" vertical="center"/>
      <protection locked="0"/>
    </xf>
    <xf numFmtId="0" fontId="19" fillId="0" borderId="67" xfId="3" applyFont="1" applyBorder="1" applyAlignment="1" applyProtection="1">
      <alignment horizontal="left" vertical="center"/>
      <protection locked="0"/>
    </xf>
    <xf numFmtId="43" fontId="19" fillId="0" borderId="67" xfId="1" applyFont="1" applyBorder="1" applyAlignment="1" applyProtection="1">
      <alignment horizontal="left" vertical="center"/>
      <protection locked="0"/>
    </xf>
    <xf numFmtId="164" fontId="19" fillId="0" borderId="67" xfId="8" applyFont="1" applyBorder="1" applyAlignment="1" applyProtection="1">
      <alignment horizontal="center" vertical="center"/>
      <protection locked="0"/>
    </xf>
    <xf numFmtId="0" fontId="19" fillId="0" borderId="67" xfId="3" applyFont="1" applyBorder="1" applyAlignment="1" applyProtection="1">
      <alignment horizontal="center" vertical="center"/>
      <protection locked="0"/>
    </xf>
    <xf numFmtId="43" fontId="19" fillId="0" borderId="67" xfId="1" applyFont="1" applyBorder="1" applyAlignment="1" applyProtection="1">
      <alignment horizontal="right" vertical="center"/>
      <protection locked="0"/>
    </xf>
    <xf numFmtId="167" fontId="19" fillId="0" borderId="67" xfId="3" applyNumberFormat="1" applyFont="1" applyBorder="1" applyAlignment="1" applyProtection="1">
      <alignment horizontal="right" vertical="center"/>
      <protection locked="0"/>
    </xf>
    <xf numFmtId="175" fontId="19" fillId="0" borderId="68" xfId="8" applyNumberFormat="1" applyFont="1" applyBorder="1" applyAlignment="1" applyProtection="1">
      <alignment horizontal="right" vertical="center"/>
      <protection locked="0"/>
    </xf>
    <xf numFmtId="3" fontId="19" fillId="0" borderId="154" xfId="1" applyNumberFormat="1" applyFont="1" applyBorder="1" applyAlignment="1" applyProtection="1">
      <alignment horizontal="center" vertical="center"/>
      <protection locked="0"/>
    </xf>
    <xf numFmtId="170" fontId="19" fillId="0" borderId="37" xfId="1" applyNumberFormat="1" applyFont="1" applyBorder="1" applyAlignment="1" applyProtection="1">
      <alignment horizontal="left" vertical="center"/>
      <protection locked="0"/>
    </xf>
    <xf numFmtId="9" fontId="17" fillId="0" borderId="0" xfId="4" applyFont="1" applyBorder="1" applyAlignment="1" applyProtection="1">
      <alignment horizontal="center" vertical="center"/>
      <protection locked="0"/>
    </xf>
    <xf numFmtId="170" fontId="19" fillId="0" borderId="0" xfId="1" applyNumberFormat="1" applyFont="1" applyBorder="1" applyAlignment="1" applyProtection="1">
      <alignment horizontal="right" vertical="center"/>
      <protection locked="0"/>
    </xf>
    <xf numFmtId="167" fontId="19" fillId="0" borderId="0" xfId="3" applyNumberFormat="1" applyFont="1" applyAlignment="1" applyProtection="1">
      <alignment horizontal="right" vertical="center"/>
      <protection locked="0"/>
    </xf>
    <xf numFmtId="14" fontId="17" fillId="0" borderId="71" xfId="3" applyNumberFormat="1" applyFont="1" applyBorder="1" applyAlignment="1" applyProtection="1">
      <alignment horizontal="right" vertical="center"/>
      <protection locked="0"/>
    </xf>
    <xf numFmtId="0" fontId="13" fillId="0" borderId="77" xfId="1" applyNumberFormat="1" applyFont="1" applyFill="1" applyBorder="1" applyAlignment="1" applyProtection="1">
      <alignment horizontal="left" vertical="center"/>
      <protection locked="0"/>
    </xf>
    <xf numFmtId="0" fontId="21" fillId="0" borderId="0" xfId="1" applyNumberFormat="1" applyFont="1" applyBorder="1" applyAlignment="1" applyProtection="1">
      <alignment horizontal="center"/>
      <protection locked="0"/>
    </xf>
    <xf numFmtId="0" fontId="40" fillId="0" borderId="0" xfId="1" applyNumberFormat="1" applyFont="1" applyBorder="1" applyAlignment="1" applyProtection="1">
      <alignment horizontal="center"/>
      <protection locked="0"/>
    </xf>
    <xf numFmtId="170" fontId="19" fillId="0" borderId="79" xfId="1" applyNumberFormat="1" applyFont="1" applyBorder="1" applyAlignment="1" applyProtection="1">
      <alignment horizontal="right" vertical="center"/>
      <protection locked="0"/>
    </xf>
    <xf numFmtId="170" fontId="19" fillId="0" borderId="2" xfId="1" applyNumberFormat="1" applyFont="1" applyBorder="1" applyAlignment="1" applyProtection="1">
      <alignment horizontal="right" vertical="center"/>
      <protection locked="0"/>
    </xf>
    <xf numFmtId="170" fontId="19" fillId="0" borderId="80" xfId="1" applyNumberFormat="1" applyFont="1" applyBorder="1" applyAlignment="1" applyProtection="1">
      <alignment horizontal="right" vertical="center"/>
      <protection locked="0"/>
    </xf>
    <xf numFmtId="170" fontId="19" fillId="0" borderId="44" xfId="1" applyNumberFormat="1" applyFont="1" applyBorder="1" applyAlignment="1" applyProtection="1">
      <alignment horizontal="right" vertical="center"/>
      <protection locked="0"/>
    </xf>
    <xf numFmtId="170" fontId="19" fillId="0" borderId="45" xfId="1" applyNumberFormat="1" applyFont="1" applyBorder="1" applyAlignment="1" applyProtection="1">
      <alignment horizontal="right" vertical="center"/>
      <protection locked="0"/>
    </xf>
    <xf numFmtId="170" fontId="19" fillId="0" borderId="46" xfId="1" applyNumberFormat="1" applyFont="1" applyBorder="1" applyAlignment="1" applyProtection="1">
      <alignment horizontal="right" vertical="center"/>
      <protection locked="0"/>
    </xf>
    <xf numFmtId="0" fontId="13" fillId="0" borderId="0" xfId="3" applyFont="1" applyAlignment="1" applyProtection="1">
      <alignment horizontal="center" vertical="center" wrapText="1"/>
      <protection locked="0"/>
    </xf>
    <xf numFmtId="170" fontId="25" fillId="0" borderId="0" xfId="1" applyNumberFormat="1" applyFont="1" applyAlignment="1" applyProtection="1">
      <alignment horizontal="center" vertical="center" wrapText="1"/>
      <protection locked="0"/>
    </xf>
    <xf numFmtId="0" fontId="25" fillId="0" borderId="0" xfId="3" applyFont="1" applyAlignment="1" applyProtection="1">
      <alignment horizontal="center" vertical="center" wrapText="1"/>
      <protection locked="0"/>
    </xf>
    <xf numFmtId="170" fontId="13" fillId="0" borderId="0" xfId="1" applyNumberFormat="1" applyFont="1" applyAlignment="1" applyProtection="1">
      <alignment horizontal="center" vertical="center" wrapText="1"/>
      <protection locked="0"/>
    </xf>
    <xf numFmtId="0" fontId="17" fillId="0" borderId="0" xfId="3" applyFont="1" applyAlignment="1" applyProtection="1">
      <alignment vertical="center"/>
      <protection locked="0"/>
    </xf>
    <xf numFmtId="49" fontId="17" fillId="0" borderId="33" xfId="3" applyNumberFormat="1" applyFont="1" applyBorder="1" applyAlignment="1" applyProtection="1">
      <alignment vertical="center"/>
      <protection locked="0"/>
    </xf>
    <xf numFmtId="14" fontId="17" fillId="0" borderId="33" xfId="3" applyNumberFormat="1" applyFont="1" applyBorder="1" applyAlignment="1" applyProtection="1">
      <alignment horizontal="center" vertical="center"/>
      <protection locked="0"/>
    </xf>
    <xf numFmtId="0" fontId="17" fillId="0" borderId="33" xfId="3" applyFont="1" applyBorder="1" applyAlignment="1" applyProtection="1">
      <alignment horizontal="center" vertical="center"/>
      <protection locked="0"/>
    </xf>
    <xf numFmtId="0" fontId="17" fillId="0" borderId="33" xfId="3" applyFont="1" applyBorder="1" applyAlignment="1" applyProtection="1">
      <alignment horizontal="left" vertical="center"/>
      <protection locked="0"/>
    </xf>
    <xf numFmtId="2" fontId="17" fillId="0" borderId="33" xfId="3" applyNumberFormat="1" applyFont="1" applyBorder="1" applyAlignment="1" applyProtection="1">
      <alignment horizontal="center" vertical="center"/>
      <protection locked="0"/>
    </xf>
    <xf numFmtId="49" fontId="17" fillId="0" borderId="33" xfId="3" applyNumberFormat="1" applyFont="1" applyBorder="1" applyAlignment="1" applyProtection="1">
      <alignment horizontal="left" vertical="center"/>
      <protection locked="0"/>
    </xf>
    <xf numFmtId="43" fontId="17" fillId="0" borderId="33" xfId="1" applyFont="1" applyBorder="1" applyAlignment="1" applyProtection="1">
      <alignment horizontal="right" vertical="center"/>
      <protection locked="0"/>
    </xf>
    <xf numFmtId="166" fontId="17" fillId="0" borderId="33" xfId="3" applyNumberFormat="1" applyFont="1" applyBorder="1" applyAlignment="1" applyProtection="1">
      <alignment horizontal="right" vertical="center"/>
      <protection locked="0"/>
    </xf>
    <xf numFmtId="43" fontId="17" fillId="0" borderId="33" xfId="1" applyFont="1" applyFill="1" applyBorder="1" applyAlignment="1" applyProtection="1">
      <alignment horizontal="right" vertical="center"/>
      <protection locked="0"/>
    </xf>
    <xf numFmtId="175" fontId="17" fillId="0" borderId="33" xfId="8" applyNumberFormat="1" applyFont="1" applyBorder="1" applyAlignment="1" applyProtection="1">
      <alignment horizontal="right" vertical="center"/>
      <protection locked="0"/>
    </xf>
    <xf numFmtId="3" fontId="17" fillId="0" borderId="33" xfId="3" applyNumberFormat="1" applyFont="1" applyBorder="1" applyAlignment="1" applyProtection="1">
      <alignment horizontal="right" vertical="center"/>
      <protection locked="0"/>
    </xf>
    <xf numFmtId="167" fontId="17" fillId="0" borderId="33" xfId="3" applyNumberFormat="1" applyFont="1" applyBorder="1" applyAlignment="1" applyProtection="1">
      <alignment horizontal="right" vertical="center"/>
      <protection locked="0"/>
    </xf>
    <xf numFmtId="9" fontId="17" fillId="0" borderId="33" xfId="4" applyFont="1" applyFill="1" applyBorder="1" applyAlignment="1" applyProtection="1">
      <alignment horizontal="center" vertical="center"/>
      <protection locked="0"/>
    </xf>
    <xf numFmtId="43" fontId="17" fillId="0" borderId="33" xfId="1" applyFont="1" applyFill="1" applyBorder="1" applyAlignment="1" applyProtection="1">
      <alignment horizontal="left" vertical="center"/>
      <protection locked="0"/>
    </xf>
    <xf numFmtId="167" fontId="17" fillId="0" borderId="33" xfId="5" applyNumberFormat="1" applyFont="1" applyFill="1" applyBorder="1" applyAlignment="1" applyProtection="1">
      <alignment horizontal="left" vertical="center"/>
      <protection locked="0"/>
    </xf>
    <xf numFmtId="178" fontId="17" fillId="0" borderId="33" xfId="3" applyNumberFormat="1" applyFont="1" applyBorder="1" applyAlignment="1" applyProtection="1">
      <alignment horizontal="right" vertical="center"/>
      <protection locked="0"/>
    </xf>
    <xf numFmtId="3" fontId="17" fillId="0" borderId="33" xfId="3" applyNumberFormat="1" applyFont="1" applyBorder="1" applyAlignment="1" applyProtection="1">
      <alignment horizontal="center" vertical="center"/>
      <protection locked="0"/>
    </xf>
    <xf numFmtId="14" fontId="17" fillId="0" borderId="33" xfId="3" applyNumberFormat="1" applyFont="1" applyBorder="1" applyAlignment="1" applyProtection="1">
      <alignment horizontal="left" vertical="center"/>
      <protection locked="0"/>
    </xf>
    <xf numFmtId="178" fontId="17" fillId="0" borderId="33" xfId="3" applyNumberFormat="1" applyFont="1" applyBorder="1" applyAlignment="1" applyProtection="1">
      <alignment horizontal="left" vertical="center"/>
      <protection locked="0"/>
    </xf>
    <xf numFmtId="168" fontId="17" fillId="0" borderId="33" xfId="3" applyNumberFormat="1" applyFont="1" applyBorder="1" applyAlignment="1" applyProtection="1">
      <alignment horizontal="center" vertical="center"/>
      <protection locked="0"/>
    </xf>
    <xf numFmtId="14" fontId="17" fillId="0" borderId="33" xfId="3" applyNumberFormat="1" applyFont="1" applyBorder="1" applyAlignment="1" applyProtection="1">
      <alignment horizontal="right" vertical="center"/>
      <protection locked="0"/>
    </xf>
    <xf numFmtId="10" fontId="17" fillId="0" borderId="33" xfId="7" applyNumberFormat="1" applyFont="1" applyFill="1" applyBorder="1" applyAlignment="1" applyProtection="1">
      <alignment horizontal="center" vertical="center"/>
      <protection locked="0"/>
    </xf>
    <xf numFmtId="170" fontId="19" fillId="0" borderId="33" xfId="1" applyNumberFormat="1" applyFont="1" applyFill="1" applyBorder="1" applyAlignment="1" applyProtection="1">
      <alignment horizontal="center" vertical="center"/>
      <protection locked="0"/>
    </xf>
    <xf numFmtId="170" fontId="17" fillId="0" borderId="33" xfId="1" applyNumberFormat="1" applyFont="1" applyFill="1" applyBorder="1" applyAlignment="1" applyProtection="1">
      <alignment horizontal="center" vertical="center"/>
      <protection locked="0"/>
    </xf>
    <xf numFmtId="170" fontId="17" fillId="0" borderId="33" xfId="1" applyNumberFormat="1" applyFont="1" applyFill="1" applyBorder="1" applyAlignment="1" applyProtection="1">
      <alignment vertical="center"/>
      <protection locked="0"/>
    </xf>
    <xf numFmtId="172" fontId="17" fillId="0" borderId="33" xfId="3" applyNumberFormat="1" applyFont="1" applyBorder="1" applyAlignment="1" applyProtection="1">
      <alignment vertical="center"/>
      <protection locked="0"/>
    </xf>
    <xf numFmtId="170" fontId="17" fillId="0" borderId="0" xfId="1" applyNumberFormat="1" applyFont="1" applyAlignment="1" applyProtection="1">
      <alignment horizontal="center" vertical="center"/>
      <protection locked="0"/>
    </xf>
    <xf numFmtId="9" fontId="12" fillId="0" borderId="0" xfId="7" applyFont="1" applyAlignment="1" applyProtection="1">
      <protection locked="0"/>
    </xf>
    <xf numFmtId="9" fontId="20" fillId="0" borderId="0" xfId="7" applyFont="1" applyAlignment="1" applyProtection="1">
      <protection locked="0"/>
    </xf>
    <xf numFmtId="170" fontId="17" fillId="0" borderId="0" xfId="3" applyNumberFormat="1" applyFont="1" applyProtection="1">
      <protection locked="0"/>
    </xf>
    <xf numFmtId="172" fontId="17" fillId="0" borderId="33" xfId="3" applyNumberFormat="1" applyFont="1" applyBorder="1" applyAlignment="1" applyProtection="1">
      <alignment horizontal="center" vertical="center"/>
      <protection locked="0"/>
    </xf>
    <xf numFmtId="0" fontId="17" fillId="0" borderId="33" xfId="6" applyFont="1" applyBorder="1" applyAlignment="1" applyProtection="1">
      <alignment vertical="center"/>
      <protection locked="0"/>
    </xf>
    <xf numFmtId="172" fontId="17" fillId="0" borderId="33" xfId="3" applyNumberFormat="1" applyFont="1" applyBorder="1" applyAlignment="1" applyProtection="1">
      <alignment horizontal="left" vertical="center"/>
      <protection locked="0"/>
    </xf>
    <xf numFmtId="173" fontId="17" fillId="0" borderId="33" xfId="3" applyNumberFormat="1" applyFont="1" applyBorder="1" applyAlignment="1" applyProtection="1">
      <alignment horizontal="center" vertical="center"/>
      <protection locked="0"/>
    </xf>
    <xf numFmtId="49" fontId="13" fillId="0" borderId="33" xfId="3" applyNumberFormat="1" applyFont="1" applyBorder="1" applyAlignment="1" applyProtection="1">
      <alignment vertical="center"/>
      <protection locked="0"/>
    </xf>
    <xf numFmtId="49" fontId="17" fillId="3" borderId="33" xfId="3" applyNumberFormat="1" applyFont="1" applyFill="1" applyBorder="1" applyAlignment="1" applyProtection="1">
      <alignment vertical="center"/>
      <protection locked="0"/>
    </xf>
    <xf numFmtId="9" fontId="17" fillId="0" borderId="0" xfId="7" applyFont="1" applyProtection="1">
      <protection locked="0"/>
    </xf>
    <xf numFmtId="14" fontId="17" fillId="3" borderId="33" xfId="3" applyNumberFormat="1" applyFont="1" applyFill="1" applyBorder="1" applyAlignment="1" applyProtection="1">
      <alignment horizontal="center" vertical="center"/>
      <protection locked="0"/>
    </xf>
    <xf numFmtId="172" fontId="17" fillId="3" borderId="33" xfId="3" applyNumberFormat="1" applyFont="1" applyFill="1" applyBorder="1" applyAlignment="1" applyProtection="1">
      <alignment vertical="center"/>
      <protection locked="0"/>
    </xf>
    <xf numFmtId="172" fontId="17" fillId="3" borderId="33" xfId="3" applyNumberFormat="1" applyFont="1" applyFill="1" applyBorder="1" applyAlignment="1" applyProtection="1">
      <alignment horizontal="center" vertical="center"/>
      <protection locked="0"/>
    </xf>
    <xf numFmtId="0" fontId="17" fillId="3" borderId="33" xfId="3" applyFont="1" applyFill="1" applyBorder="1" applyAlignment="1" applyProtection="1">
      <alignment horizontal="left" vertical="center"/>
      <protection locked="0"/>
    </xf>
    <xf numFmtId="2" fontId="17" fillId="3" borderId="33" xfId="3" applyNumberFormat="1" applyFont="1" applyFill="1" applyBorder="1" applyAlignment="1" applyProtection="1">
      <alignment horizontal="center" vertical="center"/>
      <protection locked="0"/>
    </xf>
    <xf numFmtId="0" fontId="17" fillId="3" borderId="33" xfId="3" applyFont="1" applyFill="1" applyBorder="1" applyAlignment="1" applyProtection="1">
      <alignment horizontal="center" vertical="center"/>
      <protection locked="0"/>
    </xf>
    <xf numFmtId="49" fontId="17" fillId="3" borderId="33" xfId="3" applyNumberFormat="1" applyFont="1" applyFill="1" applyBorder="1" applyAlignment="1" applyProtection="1">
      <alignment horizontal="left" vertical="center"/>
      <protection locked="0"/>
    </xf>
    <xf numFmtId="172" fontId="17" fillId="3" borderId="33" xfId="3" applyNumberFormat="1" applyFont="1" applyFill="1" applyBorder="1" applyAlignment="1" applyProtection="1">
      <alignment horizontal="left" vertical="center"/>
      <protection locked="0"/>
    </xf>
    <xf numFmtId="173" fontId="17" fillId="3" borderId="33" xfId="3" applyNumberFormat="1" applyFont="1" applyFill="1" applyBorder="1" applyAlignment="1" applyProtection="1">
      <alignment horizontal="center" vertical="center"/>
      <protection locked="0"/>
    </xf>
    <xf numFmtId="43" fontId="17" fillId="3" borderId="33" xfId="1" applyFont="1" applyFill="1" applyBorder="1" applyAlignment="1" applyProtection="1">
      <alignment horizontal="right" vertical="center"/>
      <protection locked="0"/>
    </xf>
    <xf numFmtId="166" fontId="17" fillId="3" borderId="33" xfId="3" applyNumberFormat="1" applyFont="1" applyFill="1" applyBorder="1" applyAlignment="1" applyProtection="1">
      <alignment horizontal="right" vertical="center"/>
      <protection locked="0"/>
    </xf>
    <xf numFmtId="9" fontId="17" fillId="3" borderId="33" xfId="3" applyNumberFormat="1" applyFont="1" applyFill="1" applyBorder="1" applyAlignment="1" applyProtection="1">
      <alignment horizontal="center" vertical="center"/>
      <protection locked="0"/>
    </xf>
    <xf numFmtId="175" fontId="17" fillId="3" borderId="33" xfId="8" applyNumberFormat="1" applyFont="1" applyFill="1" applyBorder="1" applyAlignment="1" applyProtection="1">
      <alignment horizontal="right" vertical="center"/>
      <protection locked="0"/>
    </xf>
    <xf numFmtId="3" fontId="17" fillId="3" borderId="33" xfId="3" applyNumberFormat="1" applyFont="1" applyFill="1" applyBorder="1" applyAlignment="1" applyProtection="1">
      <alignment horizontal="right" vertical="center"/>
      <protection locked="0"/>
    </xf>
    <xf numFmtId="9" fontId="17" fillId="3" borderId="33" xfId="4" applyFont="1" applyFill="1" applyBorder="1" applyAlignment="1" applyProtection="1">
      <alignment horizontal="center" vertical="center"/>
      <protection locked="0"/>
    </xf>
    <xf numFmtId="43" fontId="17" fillId="3" borderId="33" xfId="1" applyFont="1" applyFill="1" applyBorder="1" applyAlignment="1" applyProtection="1">
      <alignment horizontal="left" vertical="center"/>
      <protection locked="0"/>
    </xf>
    <xf numFmtId="167" fontId="17" fillId="3" borderId="33" xfId="5" applyNumberFormat="1" applyFont="1" applyFill="1" applyBorder="1" applyAlignment="1" applyProtection="1">
      <alignment horizontal="left" vertical="center"/>
      <protection locked="0"/>
    </xf>
    <xf numFmtId="178" fontId="17" fillId="3" borderId="33" xfId="3" applyNumberFormat="1" applyFont="1" applyFill="1" applyBorder="1" applyAlignment="1" applyProtection="1">
      <alignment horizontal="right" vertical="center"/>
      <protection locked="0"/>
    </xf>
    <xf numFmtId="14" fontId="17" fillId="3" borderId="33" xfId="3" applyNumberFormat="1" applyFont="1" applyFill="1" applyBorder="1" applyAlignment="1" applyProtection="1">
      <alignment horizontal="left" vertical="center"/>
      <protection locked="0"/>
    </xf>
    <xf numFmtId="178" fontId="17" fillId="3" borderId="33" xfId="3" applyNumberFormat="1" applyFont="1" applyFill="1" applyBorder="1" applyAlignment="1" applyProtection="1">
      <alignment horizontal="left" vertical="center"/>
      <protection locked="0"/>
    </xf>
    <xf numFmtId="168" fontId="17" fillId="3" borderId="33" xfId="3" applyNumberFormat="1" applyFont="1" applyFill="1" applyBorder="1" applyAlignment="1" applyProtection="1">
      <alignment horizontal="center" vertical="center"/>
      <protection locked="0"/>
    </xf>
    <xf numFmtId="14" fontId="17" fillId="3" borderId="33" xfId="3" applyNumberFormat="1" applyFont="1" applyFill="1" applyBorder="1" applyAlignment="1" applyProtection="1">
      <alignment horizontal="right" vertical="center"/>
      <protection locked="0"/>
    </xf>
    <xf numFmtId="3" fontId="17" fillId="3" borderId="33" xfId="3" applyNumberFormat="1" applyFont="1" applyFill="1" applyBorder="1" applyAlignment="1" applyProtection="1">
      <alignment horizontal="center" vertical="center"/>
      <protection locked="0"/>
    </xf>
    <xf numFmtId="10" fontId="17" fillId="3" borderId="33" xfId="7" applyNumberFormat="1" applyFont="1" applyFill="1" applyBorder="1" applyAlignment="1" applyProtection="1">
      <alignment horizontal="center" vertical="center"/>
      <protection locked="0"/>
    </xf>
    <xf numFmtId="170" fontId="19" fillId="3" borderId="33" xfId="1" applyNumberFormat="1" applyFont="1" applyFill="1" applyBorder="1" applyAlignment="1" applyProtection="1">
      <alignment horizontal="center" vertical="center"/>
      <protection locked="0"/>
    </xf>
    <xf numFmtId="170" fontId="17" fillId="3" borderId="33" xfId="1" applyNumberFormat="1" applyFont="1" applyFill="1" applyBorder="1" applyAlignment="1" applyProtection="1">
      <alignment horizontal="center" vertical="center"/>
      <protection locked="0"/>
    </xf>
    <xf numFmtId="170" fontId="17" fillId="3" borderId="33" xfId="1" applyNumberFormat="1" applyFont="1" applyFill="1" applyBorder="1" applyAlignment="1" applyProtection="1">
      <alignment vertical="center"/>
      <protection locked="0"/>
    </xf>
    <xf numFmtId="49" fontId="17" fillId="0" borderId="0" xfId="3" applyNumberFormat="1" applyFont="1" applyAlignment="1" applyProtection="1">
      <alignment vertical="center"/>
      <protection locked="0"/>
    </xf>
    <xf numFmtId="172" fontId="17" fillId="0" borderId="0" xfId="3" applyNumberFormat="1" applyFont="1" applyAlignment="1" applyProtection="1">
      <alignment vertical="center"/>
      <protection locked="0"/>
    </xf>
    <xf numFmtId="172" fontId="17" fillId="0" borderId="0" xfId="3" applyNumberFormat="1" applyFont="1" applyAlignment="1" applyProtection="1">
      <alignment horizontal="center" vertical="center"/>
      <protection locked="0"/>
    </xf>
    <xf numFmtId="2" fontId="17" fillId="0" borderId="0" xfId="3" applyNumberFormat="1" applyFont="1" applyAlignment="1" applyProtection="1">
      <alignment horizontal="center" vertical="center"/>
      <protection locked="0"/>
    </xf>
    <xf numFmtId="172" fontId="17" fillId="0" borderId="0" xfId="3" applyNumberFormat="1" applyFont="1" applyAlignment="1" applyProtection="1">
      <alignment horizontal="left" vertical="center"/>
      <protection locked="0"/>
    </xf>
    <xf numFmtId="173" fontId="17" fillId="0" borderId="0" xfId="3" applyNumberFormat="1" applyFont="1" applyAlignment="1" applyProtection="1">
      <alignment horizontal="center" vertical="center"/>
      <protection locked="0"/>
    </xf>
    <xf numFmtId="43" fontId="17" fillId="0" borderId="0" xfId="1" applyFont="1" applyAlignment="1" applyProtection="1">
      <alignment horizontal="right" vertical="center"/>
      <protection locked="0"/>
    </xf>
    <xf numFmtId="166" fontId="17" fillId="0" borderId="0" xfId="3" applyNumberFormat="1" applyFont="1" applyAlignment="1" applyProtection="1">
      <alignment horizontal="right" vertical="center"/>
      <protection locked="0"/>
    </xf>
    <xf numFmtId="9" fontId="17" fillId="0" borderId="0" xfId="3" applyNumberFormat="1" applyFont="1" applyAlignment="1" applyProtection="1">
      <alignment horizontal="center" vertical="center"/>
      <protection locked="0"/>
    </xf>
    <xf numFmtId="175" fontId="17" fillId="0" borderId="0" xfId="8" applyNumberFormat="1" applyFont="1" applyAlignment="1" applyProtection="1">
      <alignment horizontal="right" vertical="center"/>
      <protection locked="0"/>
    </xf>
    <xf numFmtId="3" fontId="17" fillId="0" borderId="0" xfId="3" applyNumberFormat="1" applyFont="1" applyAlignment="1" applyProtection="1">
      <alignment horizontal="right" vertical="center"/>
      <protection locked="0"/>
    </xf>
    <xf numFmtId="9" fontId="17" fillId="0" borderId="0" xfId="4" applyFont="1" applyFill="1" applyBorder="1" applyAlignment="1" applyProtection="1">
      <alignment horizontal="center" vertical="center"/>
      <protection locked="0"/>
    </xf>
    <xf numFmtId="43" fontId="17" fillId="0" borderId="0" xfId="1" applyFont="1" applyFill="1" applyBorder="1" applyAlignment="1" applyProtection="1">
      <alignment horizontal="left" vertical="center"/>
      <protection locked="0"/>
    </xf>
    <xf numFmtId="167" fontId="17" fillId="0" borderId="0" xfId="5" applyNumberFormat="1" applyFont="1" applyFill="1" applyBorder="1" applyAlignment="1" applyProtection="1">
      <alignment horizontal="left" vertical="center"/>
      <protection locked="0"/>
    </xf>
    <xf numFmtId="178" fontId="17" fillId="0" borderId="0" xfId="3" applyNumberFormat="1" applyFont="1" applyAlignment="1" applyProtection="1">
      <alignment horizontal="right" vertical="center"/>
      <protection locked="0"/>
    </xf>
    <xf numFmtId="168" fontId="17" fillId="0" borderId="0" xfId="3" applyNumberFormat="1" applyFont="1" applyAlignment="1" applyProtection="1">
      <alignment horizontal="center" vertical="center"/>
      <protection locked="0"/>
    </xf>
    <xf numFmtId="179" fontId="17" fillId="0" borderId="0" xfId="7" applyNumberFormat="1" applyFont="1" applyAlignment="1" applyProtection="1">
      <alignment horizontal="right" vertical="center"/>
      <protection locked="0"/>
    </xf>
    <xf numFmtId="43" fontId="17" fillId="0" borderId="0" xfId="1" applyFont="1" applyAlignment="1" applyProtection="1">
      <alignment horizontal="center" vertical="center"/>
      <protection locked="0"/>
    </xf>
    <xf numFmtId="14" fontId="17" fillId="0" borderId="0" xfId="3" applyNumberFormat="1" applyFont="1" applyAlignment="1" applyProtection="1">
      <alignment horizontal="center"/>
      <protection locked="0"/>
    </xf>
    <xf numFmtId="0" fontId="17" fillId="0" borderId="0" xfId="3" applyFont="1" applyAlignment="1" applyProtection="1">
      <alignment horizontal="left"/>
      <protection locked="0"/>
    </xf>
    <xf numFmtId="43" fontId="17" fillId="0" borderId="0" xfId="1" applyFont="1" applyAlignment="1" applyProtection="1">
      <alignment vertical="center"/>
      <protection locked="0"/>
    </xf>
    <xf numFmtId="175" fontId="17" fillId="0" borderId="0" xfId="8" applyNumberFormat="1" applyFont="1" applyAlignment="1" applyProtection="1">
      <alignment vertical="center"/>
      <protection locked="0"/>
    </xf>
    <xf numFmtId="3" fontId="17" fillId="0" borderId="0" xfId="3" applyNumberFormat="1" applyFont="1" applyAlignment="1" applyProtection="1">
      <alignment vertical="center"/>
      <protection locked="0"/>
    </xf>
    <xf numFmtId="43" fontId="17" fillId="0" borderId="0" xfId="1" applyFont="1" applyFill="1" applyBorder="1" applyAlignment="1" applyProtection="1">
      <alignment vertical="center"/>
      <protection locked="0"/>
    </xf>
    <xf numFmtId="167" fontId="17" fillId="0" borderId="0" xfId="5" applyNumberFormat="1" applyFont="1" applyFill="1" applyBorder="1" applyAlignment="1" applyProtection="1">
      <alignment vertical="center"/>
      <protection locked="0"/>
    </xf>
    <xf numFmtId="14" fontId="17" fillId="0" borderId="0" xfId="3" applyNumberFormat="1" applyFont="1" applyProtection="1">
      <protection locked="0"/>
    </xf>
    <xf numFmtId="178" fontId="17" fillId="0" borderId="0" xfId="3" applyNumberFormat="1" applyFont="1" applyProtection="1">
      <protection locked="0"/>
    </xf>
    <xf numFmtId="0" fontId="17" fillId="0" borderId="0" xfId="3" applyFont="1" applyAlignment="1" applyProtection="1">
      <alignment horizontal="right"/>
      <protection locked="0"/>
    </xf>
    <xf numFmtId="10" fontId="17" fillId="0" borderId="0" xfId="7" applyNumberFormat="1" applyFont="1" applyAlignment="1" applyProtection="1">
      <protection locked="0"/>
    </xf>
    <xf numFmtId="170" fontId="19" fillId="0" borderId="0" xfId="1" applyNumberFormat="1" applyFont="1" applyAlignment="1" applyProtection="1">
      <protection locked="0"/>
    </xf>
    <xf numFmtId="0" fontId="13" fillId="0" borderId="33" xfId="3" applyFont="1" applyBorder="1" applyAlignment="1">
      <alignment horizontal="left" vertical="center"/>
    </xf>
    <xf numFmtId="0" fontId="13" fillId="0" borderId="33" xfId="3" applyFont="1" applyBorder="1" applyAlignment="1">
      <alignment vertical="center"/>
    </xf>
    <xf numFmtId="0" fontId="25" fillId="0" borderId="33" xfId="3" applyFont="1" applyBorder="1" applyAlignment="1">
      <alignment horizontal="left" vertical="center"/>
    </xf>
    <xf numFmtId="0" fontId="13" fillId="0" borderId="33" xfId="3" applyFont="1" applyBorder="1" applyAlignment="1">
      <alignment horizontal="center" vertical="center"/>
    </xf>
    <xf numFmtId="0" fontId="13" fillId="0" borderId="33" xfId="3" applyFont="1" applyBorder="1" applyAlignment="1" applyProtection="1">
      <alignment horizontal="left" vertical="center"/>
      <protection locked="0"/>
    </xf>
    <xf numFmtId="49" fontId="37" fillId="0" borderId="118" xfId="0" applyNumberFormat="1" applyFont="1" applyBorder="1" applyAlignment="1">
      <alignment horizontal="left" vertical="center"/>
    </xf>
    <xf numFmtId="0" fontId="29" fillId="23" borderId="281" xfId="0" applyFont="1" applyFill="1" applyBorder="1" applyAlignment="1">
      <alignment horizontal="center" vertical="center" wrapText="1"/>
    </xf>
    <xf numFmtId="0" fontId="29" fillId="21" borderId="281" xfId="0" applyFont="1" applyFill="1" applyBorder="1" applyAlignment="1">
      <alignment horizontal="center" vertical="center" wrapText="1"/>
    </xf>
    <xf numFmtId="0" fontId="29" fillId="5" borderId="281" xfId="0" applyFont="1" applyFill="1" applyBorder="1" applyAlignment="1">
      <alignment horizontal="center" vertical="center"/>
    </xf>
    <xf numFmtId="0" fontId="29" fillId="22" borderId="281" xfId="0" applyFont="1" applyFill="1" applyBorder="1" applyAlignment="1">
      <alignment horizontal="center" vertical="center" wrapText="1"/>
    </xf>
    <xf numFmtId="0" fontId="28" fillId="0" borderId="117" xfId="0" applyFont="1" applyBorder="1" applyAlignment="1">
      <alignment horizontal="center" vertical="center" wrapText="1"/>
    </xf>
    <xf numFmtId="0" fontId="28" fillId="46" borderId="101" xfId="0" applyFont="1" applyFill="1" applyBorder="1" applyAlignment="1">
      <alignment horizontal="center" vertical="center" wrapText="1"/>
    </xf>
    <xf numFmtId="49" fontId="37" fillId="0" borderId="102" xfId="1" quotePrefix="1" applyNumberFormat="1" applyFont="1" applyFill="1" applyBorder="1" applyAlignment="1">
      <alignment horizontal="left" vertical="center"/>
    </xf>
    <xf numFmtId="49" fontId="37" fillId="46" borderId="102" xfId="0" applyNumberFormat="1" applyFont="1" applyFill="1" applyBorder="1" applyAlignment="1">
      <alignment horizontal="left" vertical="center"/>
    </xf>
    <xf numFmtId="170" fontId="37" fillId="0" borderId="118" xfId="0" applyNumberFormat="1" applyFont="1" applyBorder="1" applyAlignment="1">
      <alignment horizontal="left" vertical="center"/>
    </xf>
    <xf numFmtId="0" fontId="32" fillId="0" borderId="92" xfId="0" applyFont="1" applyBorder="1" applyAlignment="1">
      <alignment horizontal="center" vertical="center"/>
    </xf>
    <xf numFmtId="0" fontId="32" fillId="0" borderId="92" xfId="0" applyFont="1" applyBorder="1" applyAlignment="1">
      <alignment horizontal="center" vertical="center" wrapText="1"/>
    </xf>
    <xf numFmtId="0" fontId="34" fillId="0" borderId="0" xfId="0" applyFont="1" applyAlignment="1">
      <alignment horizontal="center" vertical="center"/>
    </xf>
    <xf numFmtId="170" fontId="25" fillId="42" borderId="36" xfId="1" applyNumberFormat="1" applyFont="1" applyFill="1" applyBorder="1" applyAlignment="1" applyProtection="1">
      <alignment horizontal="center" vertical="center" wrapText="1"/>
    </xf>
    <xf numFmtId="170" fontId="19" fillId="0" borderId="33" xfId="1" applyNumberFormat="1" applyFont="1" applyFill="1" applyBorder="1" applyAlignment="1" applyProtection="1">
      <alignment vertical="center"/>
    </xf>
    <xf numFmtId="170" fontId="19" fillId="0" borderId="0" xfId="1" applyNumberFormat="1" applyFont="1" applyAlignment="1" applyProtection="1">
      <alignment vertical="center"/>
      <protection locked="0"/>
    </xf>
    <xf numFmtId="170" fontId="19" fillId="0" borderId="33" xfId="1" applyNumberFormat="1" applyFont="1" applyFill="1" applyBorder="1" applyAlignment="1" applyProtection="1">
      <alignment vertical="center"/>
      <protection locked="0"/>
    </xf>
    <xf numFmtId="170" fontId="19" fillId="3" borderId="33" xfId="1" applyNumberFormat="1" applyFont="1" applyFill="1" applyBorder="1" applyAlignment="1" applyProtection="1">
      <alignment vertical="center"/>
      <protection locked="0"/>
    </xf>
    <xf numFmtId="170" fontId="19" fillId="0" borderId="33" xfId="1" applyNumberFormat="1" applyFont="1" applyFill="1" applyBorder="1" applyAlignment="1" applyProtection="1">
      <alignment horizontal="center" vertical="center" wrapText="1"/>
    </xf>
    <xf numFmtId="0" fontId="29" fillId="21" borderId="281" xfId="0" applyFont="1" applyFill="1" applyBorder="1" applyAlignment="1">
      <alignment horizontal="center" vertical="center"/>
    </xf>
    <xf numFmtId="0" fontId="29" fillId="22" borderId="281" xfId="0" applyFont="1" applyFill="1" applyBorder="1" applyAlignment="1">
      <alignment horizontal="center" vertical="center" wrapText="1"/>
    </xf>
    <xf numFmtId="0" fontId="29" fillId="23" borderId="281" xfId="0" applyFont="1" applyFill="1" applyBorder="1" applyAlignment="1">
      <alignment horizontal="center" vertical="center" wrapText="1"/>
    </xf>
    <xf numFmtId="0" fontId="29" fillId="21" borderId="281" xfId="0" applyFont="1" applyFill="1" applyBorder="1" applyAlignment="1">
      <alignment horizontal="center" vertical="center" wrapText="1"/>
    </xf>
    <xf numFmtId="0" fontId="29" fillId="22" borderId="90" xfId="0" applyFont="1" applyFill="1" applyBorder="1" applyAlignment="1">
      <alignment horizontal="center" vertical="center" wrapText="1"/>
    </xf>
    <xf numFmtId="0" fontId="29" fillId="22" borderId="91" xfId="0" applyFont="1" applyFill="1" applyBorder="1" applyAlignment="1">
      <alignment horizontal="center" vertical="center" wrapText="1"/>
    </xf>
    <xf numFmtId="0" fontId="28" fillId="0" borderId="101" xfId="0" applyFont="1" applyBorder="1" applyAlignment="1">
      <alignment horizontal="center" vertical="center" wrapText="1"/>
    </xf>
    <xf numFmtId="0" fontId="29" fillId="5" borderId="281" xfId="0" applyFont="1" applyFill="1" applyBorder="1" applyAlignment="1">
      <alignment horizontal="center" vertical="center"/>
    </xf>
    <xf numFmtId="0" fontId="29" fillId="23" borderId="281" xfId="0" applyFont="1" applyFill="1" applyBorder="1" applyAlignment="1">
      <alignment horizontal="center" vertical="center"/>
    </xf>
    <xf numFmtId="0" fontId="29" fillId="25" borderId="90" xfId="0" applyFont="1" applyFill="1" applyBorder="1" applyAlignment="1">
      <alignment horizontal="center" vertical="center" wrapText="1"/>
    </xf>
    <xf numFmtId="0" fontId="29" fillId="25" borderId="96" xfId="0" applyFont="1" applyFill="1" applyBorder="1" applyAlignment="1">
      <alignment horizontal="center" vertical="center" wrapText="1"/>
    </xf>
    <xf numFmtId="0" fontId="8" fillId="47" borderId="6" xfId="0" applyFont="1" applyFill="1" applyBorder="1" applyAlignment="1">
      <alignment horizontal="center" vertical="center"/>
    </xf>
    <xf numFmtId="0" fontId="8" fillId="47" borderId="22" xfId="0" applyFont="1" applyFill="1" applyBorder="1" applyAlignment="1">
      <alignment horizontal="center" vertical="center"/>
    </xf>
    <xf numFmtId="0" fontId="8" fillId="47" borderId="5" xfId="0" applyFont="1" applyFill="1" applyBorder="1" applyAlignment="1">
      <alignment horizontal="center" vertical="center"/>
    </xf>
    <xf numFmtId="0" fontId="8" fillId="0" borderId="106" xfId="0" applyFont="1" applyBorder="1" applyAlignment="1">
      <alignment horizontal="center" vertical="center"/>
    </xf>
    <xf numFmtId="0" fontId="8" fillId="0" borderId="107" xfId="0" applyFont="1" applyBorder="1" applyAlignment="1">
      <alignment horizontal="center" vertical="center"/>
    </xf>
    <xf numFmtId="0" fontId="8" fillId="0" borderId="6" xfId="0" applyFont="1" applyBorder="1" applyAlignment="1">
      <alignment horizontal="center" vertical="center"/>
    </xf>
    <xf numFmtId="0" fontId="8" fillId="0" borderId="22" xfId="0" applyFont="1" applyBorder="1" applyAlignment="1">
      <alignment horizontal="center" vertical="center"/>
    </xf>
    <xf numFmtId="0" fontId="8" fillId="0" borderId="5" xfId="0" applyFont="1" applyBorder="1" applyAlignment="1">
      <alignment horizontal="center" vertical="center"/>
    </xf>
    <xf numFmtId="0" fontId="8" fillId="0" borderId="173" xfId="0" applyFont="1" applyBorder="1" applyAlignment="1">
      <alignment horizontal="left" vertical="center"/>
    </xf>
    <xf numFmtId="0" fontId="8" fillId="0" borderId="174" xfId="0" applyFont="1" applyBorder="1" applyAlignment="1">
      <alignment horizontal="left" vertical="center"/>
    </xf>
    <xf numFmtId="0" fontId="8" fillId="0" borderId="185" xfId="0" applyFont="1" applyBorder="1" applyAlignment="1">
      <alignment horizontal="center" vertical="center"/>
    </xf>
    <xf numFmtId="0" fontId="8" fillId="0" borderId="171" xfId="0" applyFont="1" applyBorder="1" applyAlignment="1">
      <alignment horizontal="center" vertical="center"/>
    </xf>
    <xf numFmtId="0" fontId="8" fillId="0" borderId="6" xfId="0" applyFont="1" applyBorder="1" applyAlignment="1">
      <alignment horizontal="left" vertical="center"/>
    </xf>
    <xf numFmtId="0" fontId="8" fillId="0" borderId="22" xfId="0" applyFont="1" applyBorder="1" applyAlignment="1">
      <alignment horizontal="left" vertical="center"/>
    </xf>
    <xf numFmtId="0" fontId="8" fillId="0" borderId="5" xfId="0" applyFont="1" applyBorder="1" applyAlignment="1">
      <alignment horizontal="left" vertical="center"/>
    </xf>
    <xf numFmtId="0" fontId="8" fillId="0" borderId="160" xfId="0" applyFont="1" applyBorder="1" applyAlignment="1">
      <alignment horizontal="center" vertical="center" wrapText="1"/>
    </xf>
    <xf numFmtId="0" fontId="8" fillId="0" borderId="161" xfId="0" applyFont="1" applyBorder="1" applyAlignment="1">
      <alignment horizontal="center" vertical="center" wrapText="1"/>
    </xf>
    <xf numFmtId="0" fontId="8" fillId="0" borderId="163" xfId="0" applyFont="1" applyBorder="1" applyAlignment="1">
      <alignment horizontal="center" vertical="center" wrapText="1"/>
    </xf>
    <xf numFmtId="0" fontId="8" fillId="0" borderId="167" xfId="0" applyFont="1" applyBorder="1" applyAlignment="1">
      <alignment horizontal="center" vertical="center" wrapText="1"/>
    </xf>
    <xf numFmtId="0" fontId="8" fillId="0" borderId="199" xfId="0" applyFont="1" applyBorder="1" applyAlignment="1">
      <alignment horizontal="center" vertical="center" wrapText="1"/>
    </xf>
    <xf numFmtId="0" fontId="8" fillId="0" borderId="160" xfId="0" applyFont="1" applyBorder="1" applyAlignment="1">
      <alignment horizontal="center" vertical="center"/>
    </xf>
    <xf numFmtId="0" fontId="8" fillId="0" borderId="161" xfId="0" applyFont="1" applyBorder="1" applyAlignment="1">
      <alignment horizontal="center" vertical="center"/>
    </xf>
    <xf numFmtId="0" fontId="8" fillId="0" borderId="203" xfId="0" applyFont="1" applyBorder="1" applyAlignment="1">
      <alignment horizontal="center" vertical="center"/>
    </xf>
    <xf numFmtId="0" fontId="8" fillId="0" borderId="173" xfId="0" applyFont="1" applyBorder="1" applyAlignment="1">
      <alignment horizontal="left" vertical="center" wrapText="1"/>
    </xf>
    <xf numFmtId="0" fontId="8" fillId="0" borderId="177" xfId="0" applyFont="1" applyBorder="1" applyAlignment="1">
      <alignment horizontal="left" vertical="center" wrapText="1"/>
    </xf>
    <xf numFmtId="0" fontId="8" fillId="0" borderId="204" xfId="0" applyFont="1" applyBorder="1" applyAlignment="1">
      <alignment horizontal="left" vertical="center" wrapText="1"/>
    </xf>
    <xf numFmtId="0" fontId="8" fillId="0" borderId="177" xfId="0" applyFont="1" applyBorder="1" applyAlignment="1">
      <alignment horizontal="left" vertical="center"/>
    </xf>
    <xf numFmtId="0" fontId="8" fillId="0" borderId="25" xfId="0" applyFont="1" applyBorder="1" applyAlignment="1">
      <alignment horizontal="center" vertical="center"/>
    </xf>
    <xf numFmtId="0" fontId="8" fillId="0" borderId="15" xfId="0" applyFont="1" applyBorder="1" applyAlignment="1">
      <alignment horizontal="center" vertical="center"/>
    </xf>
    <xf numFmtId="0" fontId="8" fillId="0" borderId="28" xfId="0" applyFont="1" applyBorder="1" applyAlignment="1">
      <alignment horizontal="center" vertical="center"/>
    </xf>
    <xf numFmtId="14" fontId="8" fillId="0" borderId="25" xfId="0" applyNumberFormat="1" applyFont="1" applyBorder="1" applyAlignment="1">
      <alignment horizontal="center" vertical="center"/>
    </xf>
    <xf numFmtId="14" fontId="8" fillId="0" borderId="15" xfId="0" applyNumberFormat="1" applyFont="1" applyBorder="1" applyAlignment="1">
      <alignment horizontal="center" vertical="center"/>
    </xf>
    <xf numFmtId="14" fontId="8" fillId="0" borderId="28" xfId="0" applyNumberFormat="1" applyFont="1" applyBorder="1" applyAlignment="1">
      <alignment horizontal="center" vertical="center"/>
    </xf>
    <xf numFmtId="14" fontId="8" fillId="0" borderId="6" xfId="0" applyNumberFormat="1" applyFont="1" applyBorder="1" applyAlignment="1">
      <alignment horizontal="center" vertical="center"/>
    </xf>
    <xf numFmtId="14" fontId="8" fillId="0" borderId="22" xfId="0" applyNumberFormat="1" applyFont="1" applyBorder="1" applyAlignment="1">
      <alignment horizontal="center" vertical="center"/>
    </xf>
    <xf numFmtId="14" fontId="8" fillId="0" borderId="5" xfId="0" applyNumberFormat="1" applyFont="1" applyBorder="1" applyAlignment="1">
      <alignment horizontal="center" vertical="center"/>
    </xf>
    <xf numFmtId="0" fontId="8" fillId="0" borderId="191" xfId="0" applyFont="1" applyBorder="1" applyAlignment="1">
      <alignment horizontal="center" vertical="center"/>
    </xf>
    <xf numFmtId="0" fontId="8" fillId="0" borderId="192" xfId="0" applyFont="1" applyBorder="1" applyAlignment="1">
      <alignment horizontal="center" vertical="center"/>
    </xf>
    <xf numFmtId="0" fontId="8" fillId="0" borderId="195" xfId="0" applyFont="1" applyBorder="1" applyAlignment="1">
      <alignment horizontal="center" vertical="center" wrapText="1"/>
    </xf>
    <xf numFmtId="0" fontId="8" fillId="0" borderId="196" xfId="0" applyFont="1" applyBorder="1" applyAlignment="1">
      <alignment horizontal="center" vertical="center" wrapText="1"/>
    </xf>
    <xf numFmtId="0" fontId="8" fillId="47" borderId="6" xfId="0" applyFont="1" applyFill="1" applyBorder="1" applyAlignment="1">
      <alignment horizontal="center" vertical="center" wrapText="1"/>
    </xf>
    <xf numFmtId="0" fontId="8" fillId="47" borderId="22" xfId="0" applyFont="1" applyFill="1" applyBorder="1" applyAlignment="1">
      <alignment horizontal="center" vertical="center" wrapText="1"/>
    </xf>
    <xf numFmtId="0" fontId="8" fillId="47" borderId="5" xfId="0" applyFont="1" applyFill="1" applyBorder="1" applyAlignment="1">
      <alignment horizontal="center" vertical="center" wrapText="1"/>
    </xf>
    <xf numFmtId="0" fontId="8" fillId="0" borderId="9" xfId="0" applyFont="1" applyBorder="1" applyAlignment="1">
      <alignment horizontal="center" vertical="center" wrapText="1"/>
    </xf>
    <xf numFmtId="0" fontId="8" fillId="0" borderId="12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1" xfId="0" applyFont="1" applyBorder="1" applyAlignment="1">
      <alignment horizontal="center" vertical="center" wrapText="1"/>
    </xf>
    <xf numFmtId="0" fontId="8" fillId="0" borderId="112" xfId="0" applyFont="1" applyBorder="1" applyAlignment="1">
      <alignment horizontal="center" vertical="center" wrapText="1"/>
    </xf>
    <xf numFmtId="0" fontId="8" fillId="0" borderId="113" xfId="0" applyFont="1" applyBorder="1" applyAlignment="1">
      <alignment horizontal="center" vertical="center" wrapText="1"/>
    </xf>
    <xf numFmtId="0" fontId="8" fillId="0" borderId="165" xfId="0" applyFont="1" applyBorder="1" applyAlignment="1">
      <alignment horizontal="center" vertical="center" wrapText="1"/>
    </xf>
    <xf numFmtId="0" fontId="8" fillId="0" borderId="137" xfId="0" applyFont="1" applyBorder="1" applyAlignment="1">
      <alignment horizontal="center" vertical="center" wrapText="1"/>
    </xf>
    <xf numFmtId="0" fontId="8" fillId="0" borderId="139" xfId="0" applyFont="1" applyBorder="1" applyAlignment="1">
      <alignment horizontal="center" vertical="center" wrapText="1"/>
    </xf>
    <xf numFmtId="0" fontId="8" fillId="0" borderId="141" xfId="0" applyFont="1" applyBorder="1" applyAlignment="1">
      <alignment horizontal="center"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43" fontId="8" fillId="0" borderId="9" xfId="1" applyFont="1" applyFill="1" applyBorder="1" applyAlignment="1">
      <alignment horizontal="center" vertical="center"/>
    </xf>
    <xf numFmtId="43" fontId="8" fillId="0" borderId="125" xfId="1" applyFont="1" applyFill="1" applyBorder="1" applyAlignment="1">
      <alignment horizontal="center" vertical="center"/>
    </xf>
    <xf numFmtId="0" fontId="8" fillId="0" borderId="125" xfId="0" applyFont="1" applyBorder="1" applyAlignment="1">
      <alignment horizontal="left" vertical="center" wrapText="1"/>
    </xf>
    <xf numFmtId="43" fontId="8" fillId="0" borderId="10" xfId="1" applyFont="1" applyFill="1" applyBorder="1" applyAlignment="1">
      <alignment horizontal="center" vertical="center"/>
    </xf>
    <xf numFmtId="0" fontId="8" fillId="6" borderId="9" xfId="0" applyFont="1" applyFill="1" applyBorder="1" applyAlignment="1">
      <alignment horizontal="left" vertical="center" wrapText="1"/>
    </xf>
    <xf numFmtId="0" fontId="8" fillId="6" borderId="125" xfId="0" applyFont="1" applyFill="1" applyBorder="1" applyAlignment="1">
      <alignment horizontal="left" vertical="center" wrapText="1"/>
    </xf>
    <xf numFmtId="0" fontId="8" fillId="6" borderId="10" xfId="0" applyFont="1" applyFill="1" applyBorder="1" applyAlignment="1">
      <alignment horizontal="left"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14" fontId="8" fillId="0" borderId="183" xfId="0" applyNumberFormat="1" applyFont="1" applyBorder="1" applyAlignment="1">
      <alignment horizontal="center" vertical="center"/>
    </xf>
    <xf numFmtId="14" fontId="8" fillId="0" borderId="23" xfId="0" applyNumberFormat="1" applyFont="1" applyBorder="1" applyAlignment="1">
      <alignment horizontal="center" vertical="center"/>
    </xf>
    <xf numFmtId="14" fontId="8" fillId="0" borderId="184" xfId="0" applyNumberFormat="1" applyFont="1" applyBorder="1" applyAlignment="1">
      <alignment horizontal="center" vertical="center"/>
    </xf>
    <xf numFmtId="0" fontId="8" fillId="0" borderId="162" xfId="0" applyFont="1" applyBorder="1" applyAlignment="1">
      <alignment horizontal="center" vertical="center"/>
    </xf>
    <xf numFmtId="0" fontId="8" fillId="0" borderId="174" xfId="0" applyFont="1" applyBorder="1" applyAlignment="1">
      <alignment horizontal="left" vertical="center" wrapText="1"/>
    </xf>
    <xf numFmtId="0" fontId="8" fillId="0" borderId="175" xfId="0" applyFont="1" applyBorder="1" applyAlignment="1">
      <alignment horizontal="center" vertical="center" wrapText="1"/>
    </xf>
    <xf numFmtId="0" fontId="8" fillId="0" borderId="176" xfId="0" applyFont="1" applyBorder="1" applyAlignment="1">
      <alignment horizontal="center" vertical="center" wrapText="1"/>
    </xf>
    <xf numFmtId="0" fontId="8" fillId="0" borderId="121" xfId="0" applyFont="1" applyBorder="1" applyAlignment="1">
      <alignment horizontal="left" vertical="center" wrapText="1"/>
    </xf>
    <xf numFmtId="0" fontId="8" fillId="0" borderId="122" xfId="0" applyFont="1" applyBorder="1" applyAlignment="1">
      <alignment horizontal="left" vertical="center" wrapText="1"/>
    </xf>
    <xf numFmtId="0" fontId="8" fillId="0" borderId="123" xfId="0" applyFont="1" applyBorder="1" applyAlignment="1">
      <alignment horizontal="center" vertical="center" wrapText="1"/>
    </xf>
    <xf numFmtId="0" fontId="8" fillId="0" borderId="107" xfId="0" applyFont="1" applyBorder="1" applyAlignment="1">
      <alignment horizontal="center" vertical="center" wrapText="1"/>
    </xf>
    <xf numFmtId="0" fontId="8" fillId="0" borderId="124" xfId="0" applyFont="1" applyBorder="1" applyAlignment="1">
      <alignment horizontal="center" vertical="center" wrapText="1"/>
    </xf>
    <xf numFmtId="0" fontId="8" fillId="0" borderId="125" xfId="0" applyFont="1" applyBorder="1" applyAlignment="1">
      <alignment horizontal="center" vertical="center"/>
    </xf>
    <xf numFmtId="0" fontId="8" fillId="0" borderId="133" xfId="0" applyFont="1" applyBorder="1" applyAlignment="1">
      <alignment horizontal="center" vertical="center" wrapText="1"/>
    </xf>
    <xf numFmtId="0" fontId="8" fillId="0" borderId="134" xfId="0" applyFont="1" applyBorder="1" applyAlignment="1">
      <alignment horizontal="center" vertical="center" wrapText="1"/>
    </xf>
    <xf numFmtId="14" fontId="8" fillId="0" borderId="135" xfId="1" applyNumberFormat="1" applyFont="1" applyFill="1" applyBorder="1" applyAlignment="1">
      <alignment horizontal="center" vertical="center"/>
    </xf>
    <xf numFmtId="14" fontId="8" fillId="0" borderId="136" xfId="1" applyNumberFormat="1" applyFont="1" applyFill="1" applyBorder="1" applyAlignment="1">
      <alignment horizontal="center" vertical="center"/>
    </xf>
    <xf numFmtId="0" fontId="8" fillId="0" borderId="188" xfId="0" applyFont="1" applyBorder="1" applyAlignment="1">
      <alignment horizontal="left" vertical="center" wrapText="1"/>
    </xf>
    <xf numFmtId="0" fontId="8" fillId="0" borderId="186" xfId="0" applyFont="1" applyBorder="1" applyAlignment="1">
      <alignment horizontal="center" vertical="center" wrapText="1"/>
    </xf>
    <xf numFmtId="0" fontId="8" fillId="0" borderId="187" xfId="0" applyFont="1" applyBorder="1" applyAlignment="1">
      <alignment horizontal="center" vertical="center" wrapText="1"/>
    </xf>
    <xf numFmtId="0" fontId="8" fillId="0" borderId="135" xfId="0" applyFont="1" applyBorder="1" applyAlignment="1">
      <alignment horizontal="center" vertical="center"/>
    </xf>
    <xf numFmtId="0" fontId="8" fillId="0" borderId="136" xfId="0" applyFont="1" applyBorder="1" applyAlignment="1">
      <alignment horizontal="center" vertical="center"/>
    </xf>
    <xf numFmtId="14" fontId="8" fillId="0" borderId="116" xfId="1" applyNumberFormat="1" applyFont="1" applyFill="1" applyBorder="1" applyAlignment="1">
      <alignment horizontal="center" vertical="center"/>
    </xf>
    <xf numFmtId="14" fontId="8" fillId="0" borderId="189" xfId="1" applyNumberFormat="1" applyFont="1" applyFill="1" applyBorder="1" applyAlignment="1">
      <alignment horizontal="center" vertical="center"/>
    </xf>
    <xf numFmtId="14" fontId="8" fillId="0" borderId="190" xfId="1" applyNumberFormat="1" applyFont="1" applyFill="1" applyBorder="1" applyAlignment="1">
      <alignment horizontal="center" vertical="center"/>
    </xf>
    <xf numFmtId="0" fontId="13" fillId="0" borderId="25" xfId="0" applyFont="1" applyBorder="1" applyAlignment="1">
      <alignment horizontal="left" vertical="center" wrapText="1"/>
    </xf>
    <xf numFmtId="0" fontId="13" fillId="0" borderId="28" xfId="0" applyFont="1" applyBorder="1" applyAlignment="1">
      <alignment horizontal="left" vertical="center" wrapText="1"/>
    </xf>
    <xf numFmtId="0" fontId="8" fillId="0" borderId="135" xfId="0" applyFont="1" applyBorder="1" applyAlignment="1">
      <alignment horizontal="left" vertical="center" wrapText="1"/>
    </xf>
    <xf numFmtId="0" fontId="8" fillId="0" borderId="136" xfId="0" applyFont="1" applyBorder="1" applyAlignment="1">
      <alignment horizontal="left" vertical="center" wrapText="1"/>
    </xf>
    <xf numFmtId="14" fontId="8" fillId="0" borderId="6" xfId="0" applyNumberFormat="1" applyFont="1" applyBorder="1" applyAlignment="1">
      <alignment horizontal="center" vertical="center" wrapText="1"/>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8" fillId="0" borderId="185"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171" xfId="0" applyFont="1" applyBorder="1" applyAlignment="1">
      <alignment horizontal="center" vertical="center" wrapText="1"/>
    </xf>
    <xf numFmtId="0" fontId="12" fillId="0" borderId="6" xfId="0" applyFont="1" applyBorder="1" applyAlignment="1">
      <alignment horizontal="center" vertical="center" wrapText="1"/>
    </xf>
    <xf numFmtId="0" fontId="8" fillId="0" borderId="5" xfId="0" applyFont="1" applyBorder="1" applyAlignment="1">
      <alignment horizontal="center" vertical="center" wrapText="1"/>
    </xf>
    <xf numFmtId="43" fontId="44" fillId="0" borderId="6" xfId="1" applyFont="1" applyFill="1" applyBorder="1" applyAlignment="1">
      <alignment horizontal="center" vertical="center" wrapText="1"/>
    </xf>
    <xf numFmtId="43" fontId="44" fillId="0" borderId="22" xfId="1" applyFont="1" applyFill="1" applyBorder="1" applyAlignment="1">
      <alignment horizontal="center" vertical="center" wrapText="1"/>
    </xf>
    <xf numFmtId="43" fontId="44" fillId="0" borderId="5" xfId="1" applyFont="1" applyFill="1" applyBorder="1" applyAlignment="1">
      <alignment horizontal="center" vertical="center" wrapText="1"/>
    </xf>
    <xf numFmtId="14" fontId="8" fillId="0" borderId="22" xfId="0" applyNumberFormat="1" applyFont="1" applyBorder="1" applyAlignment="1">
      <alignment horizontal="center" vertical="center" wrapText="1"/>
    </xf>
    <xf numFmtId="14" fontId="8" fillId="0" borderId="5" xfId="0" applyNumberFormat="1" applyFont="1" applyBorder="1" applyAlignment="1">
      <alignment horizontal="center" vertical="center" wrapText="1"/>
    </xf>
    <xf numFmtId="43" fontId="8" fillId="0" borderId="6" xfId="1" applyFont="1" applyFill="1" applyBorder="1" applyAlignment="1">
      <alignment horizontal="center" vertical="center"/>
    </xf>
    <xf numFmtId="43" fontId="8" fillId="0" borderId="22" xfId="1" applyFont="1" applyFill="1" applyBorder="1" applyAlignment="1">
      <alignment horizontal="center" vertical="center"/>
    </xf>
    <xf numFmtId="43" fontId="8" fillId="0" borderId="5" xfId="1" applyFont="1" applyFill="1" applyBorder="1" applyAlignment="1">
      <alignment horizontal="center" vertical="center"/>
    </xf>
    <xf numFmtId="177" fontId="8" fillId="0" borderId="6" xfId="0" applyNumberFormat="1" applyFont="1" applyBorder="1" applyAlignment="1">
      <alignment horizontal="center" vertical="center"/>
    </xf>
    <xf numFmtId="177" fontId="8" fillId="0" borderId="22" xfId="0" applyNumberFormat="1" applyFont="1" applyBorder="1" applyAlignment="1">
      <alignment horizontal="center" vertical="center"/>
    </xf>
    <xf numFmtId="177" fontId="8" fillId="0" borderId="5" xfId="0" applyNumberFormat="1" applyFont="1" applyBorder="1" applyAlignment="1">
      <alignment horizontal="center" vertical="center"/>
    </xf>
    <xf numFmtId="174" fontId="8" fillId="0" borderId="6" xfId="1" applyNumberFormat="1" applyFont="1" applyBorder="1" applyAlignment="1">
      <alignment horizontal="center" vertical="center"/>
    </xf>
    <xf numFmtId="174" fontId="8" fillId="0" borderId="22" xfId="1" applyNumberFormat="1" applyFont="1" applyBorder="1" applyAlignment="1">
      <alignment horizontal="center" vertical="center"/>
    </xf>
    <xf numFmtId="174" fontId="8" fillId="0" borderId="5" xfId="1" applyNumberFormat="1" applyFont="1" applyBorder="1" applyAlignment="1">
      <alignment horizontal="center" vertical="center"/>
    </xf>
    <xf numFmtId="0" fontId="8" fillId="0" borderId="6" xfId="0" quotePrefix="1" applyFont="1" applyBorder="1" applyAlignment="1">
      <alignment horizontal="center" vertical="center"/>
    </xf>
    <xf numFmtId="0" fontId="8" fillId="0" borderId="208" xfId="0" applyFont="1" applyBorder="1" applyAlignment="1">
      <alignment horizontal="center" vertical="center"/>
    </xf>
    <xf numFmtId="0" fontId="8" fillId="0" borderId="211" xfId="0" applyFont="1" applyBorder="1" applyAlignment="1">
      <alignment horizontal="center" vertical="center"/>
    </xf>
    <xf numFmtId="0" fontId="8" fillId="0" borderId="208" xfId="0" applyFont="1" applyBorder="1" applyAlignment="1">
      <alignment horizontal="center" vertical="center" wrapText="1"/>
    </xf>
    <xf numFmtId="0" fontId="8" fillId="0" borderId="211" xfId="0" applyFont="1" applyBorder="1" applyAlignment="1">
      <alignment horizontal="center" vertical="center" wrapText="1"/>
    </xf>
    <xf numFmtId="14" fontId="8" fillId="0" borderId="208" xfId="0" applyNumberFormat="1" applyFont="1" applyBorder="1" applyAlignment="1">
      <alignment horizontal="center" vertical="center"/>
    </xf>
    <xf numFmtId="14" fontId="8" fillId="0" borderId="211" xfId="0" applyNumberFormat="1" applyFont="1" applyBorder="1" applyAlignment="1">
      <alignment horizontal="center" vertical="center"/>
    </xf>
    <xf numFmtId="14" fontId="8" fillId="0" borderId="193" xfId="1" applyNumberFormat="1" applyFont="1" applyFill="1" applyBorder="1" applyAlignment="1">
      <alignment horizontal="center" vertical="center"/>
    </xf>
    <xf numFmtId="14" fontId="8" fillId="0" borderId="194" xfId="1" applyNumberFormat="1" applyFont="1" applyFill="1" applyBorder="1" applyAlignment="1">
      <alignment horizontal="center" vertical="center"/>
    </xf>
    <xf numFmtId="14" fontId="8" fillId="0" borderId="191" xfId="1" applyNumberFormat="1" applyFont="1" applyFill="1" applyBorder="1" applyAlignment="1">
      <alignment horizontal="center" vertical="center"/>
    </xf>
    <xf numFmtId="14" fontId="8" fillId="0" borderId="192" xfId="1" applyNumberFormat="1" applyFont="1" applyFill="1" applyBorder="1" applyAlignment="1">
      <alignment horizontal="center" vertical="center"/>
    </xf>
    <xf numFmtId="0" fontId="8"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5" xfId="0" applyFont="1" applyBorder="1" applyAlignment="1">
      <alignment horizontal="center" vertical="center" wrapText="1"/>
    </xf>
    <xf numFmtId="49" fontId="17" fillId="47" borderId="225" xfId="3" applyNumberFormat="1" applyFont="1" applyFill="1" applyBorder="1" applyAlignment="1">
      <alignment horizontal="center" vertical="center" wrapText="1"/>
    </xf>
    <xf numFmtId="49" fontId="17" fillId="47" borderId="228" xfId="3" applyNumberFormat="1" applyFont="1" applyFill="1" applyBorder="1" applyAlignment="1">
      <alignment horizontal="center" vertical="center" wrapText="1"/>
    </xf>
    <xf numFmtId="0" fontId="8" fillId="0" borderId="224" xfId="0" applyFont="1" applyBorder="1" applyAlignment="1">
      <alignment horizontal="center" vertical="center"/>
    </xf>
    <xf numFmtId="0" fontId="8" fillId="0" borderId="255" xfId="0" applyFont="1" applyBorder="1" applyAlignment="1">
      <alignment horizontal="center" vertical="center"/>
    </xf>
    <xf numFmtId="0" fontId="8" fillId="0" borderId="262" xfId="0" applyFont="1" applyBorder="1" applyAlignment="1">
      <alignment horizontal="center" vertical="center"/>
    </xf>
    <xf numFmtId="0" fontId="8" fillId="0" borderId="235" xfId="0" applyFont="1" applyBorder="1" applyAlignment="1">
      <alignment horizontal="center" vertical="center"/>
    </xf>
    <xf numFmtId="0" fontId="8" fillId="0" borderId="262" xfId="0" applyFont="1" applyBorder="1" applyAlignment="1">
      <alignment horizontal="center" vertical="center" wrapText="1"/>
    </xf>
    <xf numFmtId="0" fontId="8" fillId="0" borderId="263" xfId="0" applyFont="1" applyBorder="1" applyAlignment="1">
      <alignment horizontal="center" vertical="center" wrapText="1"/>
    </xf>
    <xf numFmtId="0" fontId="8" fillId="0" borderId="264" xfId="0" applyFont="1" applyBorder="1" applyAlignment="1">
      <alignment horizontal="left" vertical="center" wrapText="1"/>
    </xf>
    <xf numFmtId="0" fontId="8" fillId="0" borderId="265" xfId="0" applyFont="1" applyBorder="1" applyAlignment="1">
      <alignment horizontal="left" vertical="center" wrapText="1"/>
    </xf>
    <xf numFmtId="0" fontId="8" fillId="0" borderId="256" xfId="0" applyFont="1" applyBorder="1" applyAlignment="1">
      <alignment horizontal="center" vertical="center"/>
    </xf>
    <xf numFmtId="0" fontId="8" fillId="0" borderId="205" xfId="0" applyFont="1" applyBorder="1" applyAlignment="1">
      <alignment horizontal="center" vertical="center"/>
    </xf>
    <xf numFmtId="0" fontId="8" fillId="0" borderId="226" xfId="0" applyFont="1" applyBorder="1" applyAlignment="1">
      <alignment horizontal="center" vertical="center" wrapText="1"/>
    </xf>
    <xf numFmtId="0" fontId="8" fillId="0" borderId="229" xfId="0" applyFont="1" applyBorder="1" applyAlignment="1">
      <alignment horizontal="center" vertical="center" wrapText="1"/>
    </xf>
    <xf numFmtId="0" fontId="8" fillId="0" borderId="226" xfId="0" applyFont="1" applyBorder="1" applyAlignment="1">
      <alignment horizontal="center" vertical="center"/>
    </xf>
    <xf numFmtId="0" fontId="8" fillId="0" borderId="229" xfId="0" applyFont="1" applyBorder="1" applyAlignment="1">
      <alignment horizontal="center" vertical="center"/>
    </xf>
    <xf numFmtId="0" fontId="8" fillId="0" borderId="227" xfId="0" applyFont="1" applyBorder="1" applyAlignment="1">
      <alignment horizontal="left" vertical="center" wrapText="1"/>
    </xf>
    <xf numFmtId="0" fontId="8" fillId="0" borderId="230" xfId="0" applyFont="1" applyBorder="1" applyAlignment="1">
      <alignment horizontal="left" vertical="center" wrapText="1"/>
    </xf>
    <xf numFmtId="0" fontId="8" fillId="0" borderId="235" xfId="0" applyFont="1" applyBorder="1" applyAlignment="1">
      <alignment horizontal="center" vertical="center" wrapText="1"/>
    </xf>
    <xf numFmtId="0" fontId="8" fillId="0" borderId="266" xfId="0" applyFont="1" applyBorder="1" applyAlignment="1">
      <alignment horizontal="center" vertical="center"/>
    </xf>
    <xf numFmtId="0" fontId="8" fillId="0" borderId="263" xfId="0" applyFont="1" applyBorder="1" applyAlignment="1">
      <alignment horizontal="center" vertical="center"/>
    </xf>
    <xf numFmtId="0" fontId="64" fillId="50" borderId="277" xfId="9" applyFont="1" applyFill="1" applyBorder="1" applyAlignment="1">
      <alignment horizontal="center" vertical="center"/>
    </xf>
    <xf numFmtId="0" fontId="64" fillId="50" borderId="278" xfId="9" applyFont="1" applyFill="1" applyBorder="1" applyAlignment="1">
      <alignment horizontal="center" vertical="center"/>
    </xf>
    <xf numFmtId="0" fontId="64" fillId="50" borderId="279" xfId="9" applyFont="1" applyFill="1" applyBorder="1" applyAlignment="1">
      <alignment horizontal="center" vertical="center"/>
    </xf>
    <xf numFmtId="0" fontId="48" fillId="33" borderId="143" xfId="9" applyFont="1" applyFill="1" applyBorder="1" applyAlignment="1">
      <alignment horizontal="center" vertical="center"/>
    </xf>
    <xf numFmtId="0" fontId="48" fillId="33" borderId="0" xfId="9" applyFont="1" applyFill="1" applyAlignment="1">
      <alignment horizontal="center" vertical="center"/>
    </xf>
    <xf numFmtId="0" fontId="49" fillId="0" borderId="145" xfId="9" applyFont="1" applyBorder="1" applyAlignment="1"/>
    <xf numFmtId="0" fontId="49" fillId="0" borderId="146" xfId="9" applyFont="1" applyBorder="1" applyAlignment="1"/>
    <xf numFmtId="0" fontId="49" fillId="0" borderId="0" xfId="9" applyFont="1" applyAlignment="1"/>
    <xf numFmtId="0" fontId="28" fillId="0" borderId="0" xfId="9" applyFont="1" applyAlignment="1"/>
    <xf numFmtId="0" fontId="45" fillId="0" borderId="0" xfId="9" applyAlignment="1"/>
  </cellXfs>
  <cellStyles count="11">
    <cellStyle name="Comma" xfId="1" builtinId="3"/>
    <cellStyle name="Comma [0]" xfId="8" builtinId="6"/>
    <cellStyle name="Comma 2" xfId="5" xr:uid="{0A904DC1-0519-4455-907E-0534173D3B35}"/>
    <cellStyle name="Hyperlink" xfId="2" builtinId="8"/>
    <cellStyle name="Normal" xfId="0" builtinId="0"/>
    <cellStyle name="Normal 2" xfId="10" xr:uid="{1D41902D-CA96-420F-AFF6-04CF94F1AD46}"/>
    <cellStyle name="Normal 3" xfId="9" xr:uid="{A3FC7059-D44F-4E10-9305-03DAD361FA20}"/>
    <cellStyle name="Normal 3 2" xfId="6" xr:uid="{32004126-9988-4E4E-A822-7121384AF6C8}"/>
    <cellStyle name="Normal 4" xfId="3" xr:uid="{EC6185DE-AB1E-4F2B-A902-A539B41579D5}"/>
    <cellStyle name="Percent" xfId="7" builtinId="5"/>
    <cellStyle name="Percent 2" xfId="4" xr:uid="{F40FA7A3-9F25-4A29-A1C6-CC87B2D150FC}"/>
  </cellStyles>
  <dxfs count="148">
    <dxf>
      <font>
        <color theme="0" tint="-0.14996795556505021"/>
      </font>
    </dxf>
    <dxf>
      <font>
        <color rgb="FFBFBFBF"/>
      </font>
      <fill>
        <patternFill patternType="none"/>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BFBFBF"/>
      </font>
      <fill>
        <patternFill patternType="none"/>
      </fill>
    </dxf>
    <dxf>
      <font>
        <color rgb="FFBFBFBF"/>
      </font>
      <fill>
        <patternFill patternType="none"/>
      </fill>
    </dxf>
    <dxf>
      <font>
        <color rgb="FFBFBFBF"/>
      </font>
      <fill>
        <patternFill patternType="none"/>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1499679555650502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BFBFBF"/>
      </font>
      <fill>
        <patternFill patternType="none"/>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BFBFBF"/>
      </font>
      <fill>
        <patternFill patternType="none"/>
      </fill>
    </dxf>
    <dxf>
      <font>
        <color rgb="FFBFBFBF"/>
      </font>
      <fill>
        <patternFill patternType="none"/>
      </fill>
    </dxf>
    <dxf>
      <font>
        <color rgb="FFBFBFBF"/>
      </font>
      <fill>
        <patternFill patternType="none"/>
      </fill>
    </dxf>
    <dxf>
      <fill>
        <patternFill>
          <bgColor theme="0" tint="-0.14996795556505021"/>
        </patternFill>
      </fill>
    </dxf>
    <dxf>
      <fill>
        <patternFill>
          <bgColor theme="3" tint="0.749961851863155"/>
        </patternFill>
      </fill>
    </dxf>
    <dxf>
      <fill>
        <patternFill>
          <bgColor rgb="FFF8FDD3"/>
        </patternFill>
      </fill>
    </dxf>
    <dxf>
      <font>
        <b val="0"/>
        <i/>
        <color theme="0" tint="-0.34998626667073579"/>
      </font>
    </dxf>
    <dxf>
      <font>
        <b/>
        <i val="0"/>
        <color rgb="FFC00000"/>
      </font>
    </dxf>
    <dxf>
      <font>
        <b val="0"/>
        <i/>
        <color theme="0" tint="-0.34998626667073579"/>
      </font>
    </dxf>
    <dxf>
      <font>
        <b val="0"/>
        <i/>
        <color theme="0" tint="-0.34998626667073579"/>
      </font>
    </dxf>
    <dxf>
      <font>
        <b/>
        <i val="0"/>
        <color rgb="FFC00000"/>
      </font>
    </dxf>
    <dxf>
      <font>
        <b/>
        <i val="0"/>
        <color rgb="FFC00000"/>
      </font>
    </dxf>
    <dxf>
      <font>
        <b val="0"/>
        <i/>
        <color theme="0" tint="-0.34998626667073579"/>
      </font>
    </dxf>
    <dxf>
      <font>
        <b/>
        <i val="0"/>
        <color rgb="FFC00000"/>
      </font>
    </dxf>
    <dxf>
      <font>
        <b val="0"/>
        <i/>
        <color theme="0" tint="-0.34998626667073579"/>
      </font>
    </dxf>
    <dxf>
      <font>
        <b/>
        <i val="0"/>
        <color rgb="FFC00000"/>
      </font>
    </dxf>
    <dxf>
      <font>
        <b val="0"/>
        <i/>
        <color theme="0" tint="-0.34998626667073579"/>
      </font>
    </dxf>
    <dxf>
      <font>
        <b/>
        <i val="0"/>
        <color rgb="FFC00000"/>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val="0"/>
        <i/>
        <color theme="0" tint="-0.3499862666707357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ill>
        <patternFill>
          <bgColor theme="0" tint="-0.14996795556505021"/>
        </patternFill>
      </fill>
    </dxf>
    <dxf>
      <fill>
        <patternFill>
          <bgColor rgb="FFD1EFFB"/>
        </patternFill>
      </fill>
    </dxf>
    <dxf>
      <fill>
        <patternFill>
          <bgColor rgb="FFFFFFD9"/>
        </patternFill>
      </fill>
    </dxf>
    <dxf>
      <fill>
        <patternFill>
          <bgColor rgb="FFFFCDFF"/>
        </patternFill>
      </fill>
    </dxf>
  </dxfs>
  <tableStyles count="0" defaultTableStyle="TableStyleMedium2" defaultPivotStyle="PivotStyleLight16"/>
  <colors>
    <mruColors>
      <color rgb="FFD1EFFB"/>
      <color rgb="FF1D85B3"/>
      <color rgb="FFFFCDFF"/>
      <color rgb="FFFFF8CD"/>
      <color rgb="FFF8FDD3"/>
      <color rgb="FFFFFFD9"/>
      <color rgb="FFFFFFEF"/>
      <color rgb="FFFEFBD6"/>
      <color rgb="FFB5E6A2"/>
      <color rgb="FFE1F7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27211</xdr:rowOff>
    </xdr:from>
    <xdr:to>
      <xdr:col>3</xdr:col>
      <xdr:colOff>18142</xdr:colOff>
      <xdr:row>20</xdr:row>
      <xdr:rowOff>9070</xdr:rowOff>
    </xdr:to>
    <xdr:sp macro="" textlink="">
      <xdr:nvSpPr>
        <xdr:cNvPr id="2" name="Rectangle 1">
          <a:extLst>
            <a:ext uri="{FF2B5EF4-FFF2-40B4-BE49-F238E27FC236}">
              <a16:creationId xmlns:a16="http://schemas.microsoft.com/office/drawing/2014/main" id="{46897373-1A4D-CE59-90CA-0DBEFA748082}"/>
            </a:ext>
          </a:extLst>
        </xdr:cNvPr>
        <xdr:cNvSpPr/>
      </xdr:nvSpPr>
      <xdr:spPr>
        <a:xfrm>
          <a:off x="0" y="1406068"/>
          <a:ext cx="2422071" cy="2050145"/>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lumMod val="85000"/>
                  <a:lumOff val="15000"/>
                </a:schemeClr>
              </a:solidFill>
              <a:latin typeface="Aptos Narrow" panose="020B0004020202020204" pitchFamily="34" charset="0"/>
            </a:rPr>
            <a:t>Quy tắc:</a:t>
          </a:r>
        </a:p>
        <a:p>
          <a:pPr algn="l"/>
          <a:r>
            <a:rPr lang="vi-VN" sz="1100">
              <a:solidFill>
                <a:schemeClr val="tx1">
                  <a:lumMod val="85000"/>
                  <a:lumOff val="15000"/>
                </a:schemeClr>
              </a:solidFill>
              <a:latin typeface="Aptos Narrow" panose="020B0004020202020204" pitchFamily="34" charset="0"/>
            </a:rPr>
            <a:t>- Trường hợp 1 supplier - 1 brand: Mã code Sub Category gồm 2 ký tự, lấy giống như Brand code</a:t>
          </a:r>
        </a:p>
        <a:p>
          <a:pPr algn="l"/>
          <a:endParaRPr lang="vi-VN" sz="1100">
            <a:solidFill>
              <a:schemeClr val="tx1">
                <a:lumMod val="85000"/>
                <a:lumOff val="15000"/>
              </a:schemeClr>
            </a:solidFill>
            <a:latin typeface="Aptos Narrow" panose="020B0004020202020204" pitchFamily="34" charset="0"/>
          </a:endParaRPr>
        </a:p>
        <a:p>
          <a:pPr algn="l"/>
          <a:r>
            <a:rPr lang="vi-VN" sz="1100">
              <a:solidFill>
                <a:schemeClr val="tx1">
                  <a:lumMod val="85000"/>
                  <a:lumOff val="15000"/>
                </a:schemeClr>
              </a:solidFill>
              <a:latin typeface="Aptos Narrow" panose="020B0004020202020204" pitchFamily="34" charset="0"/>
            </a:rPr>
            <a:t>Quy tắc:</a:t>
          </a:r>
        </a:p>
        <a:p>
          <a:pPr algn="l"/>
          <a:r>
            <a:rPr lang="vi-VN" sz="1100">
              <a:solidFill>
                <a:schemeClr val="tx1">
                  <a:lumMod val="85000"/>
                  <a:lumOff val="15000"/>
                </a:schemeClr>
              </a:solidFill>
              <a:latin typeface="Aptos Narrow" panose="020B0004020202020204" pitchFamily="34" charset="0"/>
            </a:rPr>
            <a:t>- Mã brand có 2 ký tự</a:t>
          </a:r>
        </a:p>
        <a:p>
          <a:pPr algn="l"/>
          <a:r>
            <a:rPr lang="vi-VN" sz="1100">
              <a:solidFill>
                <a:schemeClr val="tx1">
                  <a:lumMod val="85000"/>
                  <a:lumOff val="15000"/>
                </a:schemeClr>
              </a:solidFill>
              <a:latin typeface="Aptos Narrow" panose="020B0004020202020204" pitchFamily="34" charset="0"/>
            </a:rPr>
            <a:t>- Nếu brand có 2 âm tiết thì lấy 2 ký tự đầu của mỗi âm</a:t>
          </a:r>
        </a:p>
        <a:p>
          <a:pPr algn="l"/>
          <a:r>
            <a:rPr lang="vi-VN" sz="1100">
              <a:solidFill>
                <a:schemeClr val="tx1">
                  <a:lumMod val="85000"/>
                  <a:lumOff val="15000"/>
                </a:schemeClr>
              </a:solidFill>
              <a:latin typeface="Aptos Narrow" panose="020B0004020202020204" pitchFamily="34" charset="0"/>
            </a:rPr>
            <a:t>- Nếu brand có 1 âm tiết thì lấy 2 ký tự đầu của brand</a:t>
          </a:r>
          <a:endParaRPr lang="en-US" sz="1100">
            <a:solidFill>
              <a:schemeClr val="tx1">
                <a:lumMod val="85000"/>
                <a:lumOff val="15000"/>
              </a:schemeClr>
            </a:solidFill>
            <a:latin typeface="Aptos Narrow" panose="020B0004020202020204" pitchFamily="34" charset="0"/>
          </a:endParaRPr>
        </a:p>
      </xdr:txBody>
    </xdr:sp>
    <xdr:clientData/>
  </xdr:twoCellAnchor>
  <xdr:twoCellAnchor>
    <xdr:from>
      <xdr:col>0</xdr:col>
      <xdr:colOff>0</xdr:colOff>
      <xdr:row>21</xdr:row>
      <xdr:rowOff>7257</xdr:rowOff>
    </xdr:from>
    <xdr:to>
      <xdr:col>3</xdr:col>
      <xdr:colOff>18142</xdr:colOff>
      <xdr:row>57</xdr:row>
      <xdr:rowOff>72572</xdr:rowOff>
    </xdr:to>
    <xdr:sp macro="" textlink="">
      <xdr:nvSpPr>
        <xdr:cNvPr id="3" name="Rectangle 2">
          <a:extLst>
            <a:ext uri="{FF2B5EF4-FFF2-40B4-BE49-F238E27FC236}">
              <a16:creationId xmlns:a16="http://schemas.microsoft.com/office/drawing/2014/main" id="{45E1E745-CAB4-4BA1-ACE8-235926CA592D}"/>
            </a:ext>
          </a:extLst>
        </xdr:cNvPr>
        <xdr:cNvSpPr/>
      </xdr:nvSpPr>
      <xdr:spPr>
        <a:xfrm>
          <a:off x="0" y="3626757"/>
          <a:ext cx="2422071" cy="6270172"/>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lumMod val="85000"/>
                  <a:lumOff val="15000"/>
                </a:schemeClr>
              </a:solidFill>
              <a:latin typeface="Aptos Narrow" panose="020B0004020202020204" pitchFamily="34" charset="0"/>
            </a:rPr>
            <a:t>Lưu ý</a:t>
          </a:r>
        </a:p>
        <a:p>
          <a:pPr algn="l"/>
          <a:r>
            <a:rPr lang="vi-VN" sz="1100">
              <a:solidFill>
                <a:schemeClr val="tx1">
                  <a:lumMod val="85000"/>
                  <a:lumOff val="15000"/>
                </a:schemeClr>
              </a:solidFill>
              <a:latin typeface="Aptos Narrow" panose="020B0004020202020204" pitchFamily="34" charset="0"/>
            </a:rPr>
            <a:t>* Nếu sản phẩm vừa gắn tường, vừa gắn trần được thì phân loại là đèn trần</a:t>
          </a:r>
        </a:p>
        <a:p>
          <a:pPr algn="l"/>
          <a:r>
            <a:rPr lang="vi-VN" sz="1100">
              <a:solidFill>
                <a:schemeClr val="tx1">
                  <a:lumMod val="85000"/>
                  <a:lumOff val="15000"/>
                </a:schemeClr>
              </a:solidFill>
              <a:latin typeface="Aptos Narrow" panose="020B0004020202020204" pitchFamily="34" charset="0"/>
            </a:rPr>
            <a:t>* Nếu sản phẩm là outdoor lighting thì phân loại là Arch Lighting</a:t>
          </a:r>
        </a:p>
        <a:p>
          <a:pPr algn="l"/>
          <a:r>
            <a:rPr lang="vi-VN" sz="1100">
              <a:solidFill>
                <a:schemeClr val="tx1">
                  <a:lumMod val="85000"/>
                  <a:lumOff val="15000"/>
                </a:schemeClr>
              </a:solidFill>
              <a:latin typeface="Aptos Narrow" panose="020B0004020202020204" pitchFamily="34" charset="0"/>
            </a:rPr>
            <a:t>* Nếu sản phẩm nội thất trưng bày được outdoor thì sẽ phân vào nhóm Outdoor, dù tên có là Lounge, Chair, etc đi nữa</a:t>
          </a:r>
        </a:p>
        <a:p>
          <a:pPr algn="l"/>
          <a:r>
            <a:rPr lang="vi-VN" sz="1100">
              <a:solidFill>
                <a:schemeClr val="tx1">
                  <a:lumMod val="85000"/>
                  <a:lumOff val="15000"/>
                </a:schemeClr>
              </a:solidFill>
              <a:latin typeface="Aptos Narrow" panose="020B0004020202020204" pitchFamily="34" charset="0"/>
            </a:rPr>
            <a:t>* Tất cả các sản phẩm không bán từ hãng bao gồm Marketing Material, Gift from Brands, Sample tất cả đều phân nhóm Marketing</a:t>
          </a:r>
        </a:p>
        <a:p>
          <a:pPr algn="l"/>
          <a:r>
            <a:rPr lang="vi-VN" sz="1100">
              <a:solidFill>
                <a:schemeClr val="tx1">
                  <a:lumMod val="85000"/>
                  <a:lumOff val="15000"/>
                </a:schemeClr>
              </a:solidFill>
              <a:latin typeface="Aptos Narrow" panose="020B0004020202020204" pitchFamily="34" charset="0"/>
            </a:rPr>
            <a:t>* Các sản phẩm phân loại theo chức năng thực tế, cho dù hãng có phân loại là accessories như Dot, S7 Children Chair thì vẫn phân là Chair</a:t>
          </a:r>
        </a:p>
        <a:p>
          <a:pPr algn="l"/>
          <a:r>
            <a:rPr lang="vi-VN" sz="1100">
              <a:solidFill>
                <a:schemeClr val="tx1">
                  <a:lumMod val="85000"/>
                  <a:lumOff val="15000"/>
                </a:schemeClr>
              </a:solidFill>
              <a:latin typeface="Aptos Narrow" panose="020B0004020202020204" pitchFamily="34" charset="0"/>
            </a:rPr>
            <a:t>* Các sản USM phân thành nhóm riêng, dù sản phẩm có chức năng là gì đi nữa</a:t>
          </a:r>
        </a:p>
        <a:p>
          <a:pPr algn="l"/>
          <a:r>
            <a:rPr lang="vi-VN" sz="1100">
              <a:solidFill>
                <a:schemeClr val="tx1">
                  <a:lumMod val="85000"/>
                  <a:lumOff val="15000"/>
                </a:schemeClr>
              </a:solidFill>
              <a:latin typeface="Aptos Narrow" panose="020B0004020202020204" pitchFamily="34" charset="0"/>
            </a:rPr>
            <a:t>* Tất cả các phụ kiện gắn kèm theo sản phẩm sẽ phân loại theo sản phẩm chính. Vd: Đệm ghế Palissade sẽ phân thành Outdoor.</a:t>
          </a:r>
        </a:p>
        <a:p>
          <a:pPr algn="l"/>
          <a:r>
            <a:rPr lang="vi-VN" sz="1100">
              <a:solidFill>
                <a:schemeClr val="tx1">
                  <a:lumMod val="85000"/>
                  <a:lumOff val="15000"/>
                </a:schemeClr>
              </a:solidFill>
              <a:latin typeface="Aptos Narrow" panose="020B0004020202020204" pitchFamily="34" charset="0"/>
            </a:rPr>
            <a:t>* Các Spare-part nếu có sẽ phân loại luôn vào nhóm chính, vd Sparepart USM =&gt; USM</a:t>
          </a:r>
        </a:p>
        <a:p>
          <a:pPr algn="l"/>
          <a:r>
            <a:rPr lang="vi-VN" sz="1100">
              <a:solidFill>
                <a:schemeClr val="tx1">
                  <a:lumMod val="85000"/>
                  <a:lumOff val="15000"/>
                </a:schemeClr>
              </a:solidFill>
              <a:latin typeface="Aptos Narrow" panose="020B0004020202020204" pitchFamily="34" charset="0"/>
            </a:rPr>
            <a:t>* Các hãng có mã làm không tốt, cụ thể là Linh Cầm nên làm lại mã</a:t>
          </a:r>
          <a:endParaRPr lang="en-US" sz="1100">
            <a:solidFill>
              <a:schemeClr val="tx1">
                <a:lumMod val="85000"/>
                <a:lumOff val="15000"/>
              </a:schemeClr>
            </a:solidFill>
            <a:latin typeface="Aptos Narrow" panose="020B0004020202020204" pitchFamily="34" charset="0"/>
          </a:endParaRPr>
        </a:p>
      </xdr:txBody>
    </xdr:sp>
    <xdr:clientData/>
  </xdr:twoCellAnchor>
  <xdr:twoCellAnchor>
    <xdr:from>
      <xdr:col>17</xdr:col>
      <xdr:colOff>127000</xdr:colOff>
      <xdr:row>35</xdr:row>
      <xdr:rowOff>90716</xdr:rowOff>
    </xdr:from>
    <xdr:to>
      <xdr:col>19</xdr:col>
      <xdr:colOff>798285</xdr:colOff>
      <xdr:row>43</xdr:row>
      <xdr:rowOff>99787</xdr:rowOff>
    </xdr:to>
    <xdr:sp macro="" textlink="">
      <xdr:nvSpPr>
        <xdr:cNvPr id="4" name="Rectangle 3">
          <a:extLst>
            <a:ext uri="{FF2B5EF4-FFF2-40B4-BE49-F238E27FC236}">
              <a16:creationId xmlns:a16="http://schemas.microsoft.com/office/drawing/2014/main" id="{06DBCB83-3347-4AAC-928D-80177837CACF}"/>
            </a:ext>
          </a:extLst>
        </xdr:cNvPr>
        <xdr:cNvSpPr/>
      </xdr:nvSpPr>
      <xdr:spPr>
        <a:xfrm>
          <a:off x="14777357" y="6123216"/>
          <a:ext cx="2422071" cy="1387928"/>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lumMod val="85000"/>
                  <a:lumOff val="15000"/>
                </a:schemeClr>
              </a:solidFill>
              <a:latin typeface="Aptos Narrow" panose="020B0004020202020204" pitchFamily="34" charset="0"/>
            </a:rPr>
            <a:t>2) Loại đèn Kiến trúc Nanoco Premium hiện tại đang chưa được rõ vì đang có trường hợp như sau.</a:t>
          </a:r>
        </a:p>
        <a:p>
          <a:pPr algn="l"/>
          <a:r>
            <a:rPr lang="vi-VN" sz="1100">
              <a:solidFill>
                <a:schemeClr val="tx1">
                  <a:lumMod val="85000"/>
                  <a:lumOff val="15000"/>
                </a:schemeClr>
              </a:solidFill>
              <a:latin typeface="Aptos Narrow" panose="020B0004020202020204" pitchFamily="34" charset="0"/>
            </a:rPr>
            <a:t>- nanoHome nhập trực tiếp từ các nhà cung cấp như Ecolux, Amazi, ...</a:t>
          </a:r>
        </a:p>
        <a:p>
          <a:pPr algn="l"/>
          <a:r>
            <a:rPr lang="vi-VN" sz="1100">
              <a:solidFill>
                <a:schemeClr val="tx1">
                  <a:lumMod val="85000"/>
                  <a:lumOff val="15000"/>
                </a:schemeClr>
              </a:solidFill>
              <a:latin typeface="Aptos Narrow" panose="020B0004020202020204" pitchFamily="34" charset="0"/>
            </a:rPr>
            <a:t>- nanoco nhập từ các nhà cung cấp trên, và nanoHome mua lại từ nanoco</a:t>
          </a:r>
          <a:endParaRPr lang="en-US" sz="1100">
            <a:solidFill>
              <a:schemeClr val="tx1">
                <a:lumMod val="85000"/>
                <a:lumOff val="15000"/>
              </a:schemeClr>
            </a:solidFill>
            <a:latin typeface="Aptos Narrow" panose="020B0004020202020204" pitchFamily="34" charset="0"/>
          </a:endParaRPr>
        </a:p>
      </xdr:txBody>
    </xdr:sp>
    <xdr:clientData/>
  </xdr:twoCellAnchor>
  <xdr:twoCellAnchor>
    <xdr:from>
      <xdr:col>17</xdr:col>
      <xdr:colOff>125186</xdr:colOff>
      <xdr:row>45</xdr:row>
      <xdr:rowOff>25402</xdr:rowOff>
    </xdr:from>
    <xdr:to>
      <xdr:col>19</xdr:col>
      <xdr:colOff>796471</xdr:colOff>
      <xdr:row>51</xdr:row>
      <xdr:rowOff>54429</xdr:rowOff>
    </xdr:to>
    <xdr:sp macro="" textlink="">
      <xdr:nvSpPr>
        <xdr:cNvPr id="5" name="Rectangle 4">
          <a:extLst>
            <a:ext uri="{FF2B5EF4-FFF2-40B4-BE49-F238E27FC236}">
              <a16:creationId xmlns:a16="http://schemas.microsoft.com/office/drawing/2014/main" id="{DE74B120-04A9-44CB-A34C-932DDAC9725F}"/>
            </a:ext>
          </a:extLst>
        </xdr:cNvPr>
        <xdr:cNvSpPr/>
      </xdr:nvSpPr>
      <xdr:spPr>
        <a:xfrm>
          <a:off x="14775543" y="7781473"/>
          <a:ext cx="2422071" cy="106317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1100">
              <a:solidFill>
                <a:schemeClr val="tx1">
                  <a:lumMod val="85000"/>
                  <a:lumOff val="15000"/>
                </a:schemeClr>
              </a:solidFill>
              <a:latin typeface="Aptos Narrow" panose="020B0004020202020204" pitchFamily="34" charset="0"/>
            </a:rPr>
            <a:t>Hiện tại có sản phẩm Nanoco Premium do Phước Thạnh nhập từ các nhà cung cấp như Ecolux, Amazi,... , tuy nhiên cũng có sản phẩm do nanoHome tự nhập từ cùng các nhà cung cấp này.</a:t>
          </a:r>
          <a:endParaRPr lang="en-US" sz="1100">
            <a:solidFill>
              <a:schemeClr val="tx1">
                <a:lumMod val="85000"/>
                <a:lumOff val="15000"/>
              </a:schemeClr>
            </a:solidFill>
            <a:latin typeface="Aptos Narrow" panose="020B00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misapp.misa.vn/crm/sale-order/view/8381/37" TargetMode="External"/><Relationship Id="rId7" Type="http://schemas.openxmlformats.org/officeDocument/2006/relationships/comments" Target="../comments1.xml"/><Relationship Id="rId2" Type="http://schemas.openxmlformats.org/officeDocument/2006/relationships/hyperlink" Target="https://amisapp.misa.vn/crm/sale-order/view/8381/37" TargetMode="External"/><Relationship Id="rId1" Type="http://schemas.openxmlformats.org/officeDocument/2006/relationships/hyperlink" Target="https://amisapp.misa.vn/crm/product/view/36522/45"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amisapp.misa.vn/crm/product/view/64162/4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C378-92F0-4BDF-8A47-0418EDB631EB}">
  <sheetPr codeName="Sheet1">
    <tabColor rgb="FFFF0000"/>
  </sheetPr>
  <dimension ref="A1:CH3396"/>
  <sheetViews>
    <sheetView showGridLines="0" tabSelected="1" zoomScaleNormal="100" zoomScaleSheetLayoutView="130" workbookViewId="0">
      <pane xSplit="5" ySplit="4" topLeftCell="F2303" activePane="bottomRight" state="frozen"/>
      <selection pane="bottomRight" activeCell="A2589" sqref="A2589"/>
      <selection pane="bottomLeft" activeCell="A5" sqref="A5"/>
      <selection pane="topRight" activeCell="F1" sqref="F1"/>
    </sheetView>
  </sheetViews>
  <sheetFormatPr defaultColWidth="12.42578125" defaultRowHeight="10.15"/>
  <cols>
    <col min="1" max="1" width="1.42578125" style="945" customWidth="1"/>
    <col min="2" max="2" width="11.7109375" style="999" customWidth="1"/>
    <col min="3" max="3" width="11.28515625" style="999" customWidth="1"/>
    <col min="4" max="4" width="9.85546875" style="999" customWidth="1"/>
    <col min="5" max="5" width="22.42578125" style="999" customWidth="1"/>
    <col min="6" max="6" width="9.5703125" style="1115" customWidth="1"/>
    <col min="7" max="7" width="10.140625" style="945" customWidth="1"/>
    <col min="8" max="8" width="14" style="1001" customWidth="1"/>
    <col min="9" max="9" width="11.28515625" style="1001" customWidth="1"/>
    <col min="10" max="10" width="11.42578125" style="1115" hidden="1" customWidth="1"/>
    <col min="11" max="11" width="10.42578125" style="1115" hidden="1" customWidth="1"/>
    <col min="12" max="12" width="14" style="1116" customWidth="1"/>
    <col min="13" max="13" width="9" style="936" customWidth="1"/>
    <col min="14" max="14" width="9.85546875" style="1001" hidden="1" customWidth="1"/>
    <col min="15" max="16" width="12.42578125" style="945" hidden="1" customWidth="1"/>
    <col min="17" max="17" width="13.85546875" style="945" hidden="1" customWidth="1"/>
    <col min="18" max="18" width="12.85546875" style="937" customWidth="1"/>
    <col min="19" max="19" width="12.42578125" style="933" customWidth="1"/>
    <col min="20" max="20" width="24.85546875" style="1032" customWidth="1"/>
    <col min="21" max="21" width="7.85546875" style="1032" customWidth="1"/>
    <col min="22" max="22" width="4.5703125" style="1032" customWidth="1"/>
    <col min="23" max="23" width="10.5703125" style="1117" customWidth="1"/>
    <col min="24" max="24" width="10.42578125" style="1032" customWidth="1"/>
    <col min="25" max="25" width="8.5703125" style="1032" customWidth="1"/>
    <col min="26" max="26" width="10" style="1117" customWidth="1"/>
    <col min="27" max="27" width="6.140625" style="930" customWidth="1"/>
    <col min="28" max="28" width="9.7109375" style="930" customWidth="1"/>
    <col min="29" max="29" width="9.85546875" style="1118" customWidth="1"/>
    <col min="30" max="30" width="11.5703125" style="1119" customWidth="1"/>
    <col min="31" max="31" width="11.5703125" style="1032" customWidth="1"/>
    <col min="32" max="32" width="9.5703125" style="1108" customWidth="1"/>
    <col min="33" max="33" width="11.42578125" style="1120" customWidth="1"/>
    <col min="34" max="34" width="6.42578125" style="1108" customWidth="1"/>
    <col min="35" max="35" width="13.5703125" style="1121" customWidth="1"/>
    <col min="36" max="36" width="18.85546875" style="937" customWidth="1"/>
    <col min="37" max="37" width="9.5703125" style="1111" customWidth="1"/>
    <col min="38" max="38" width="15.7109375" style="1032" customWidth="1"/>
    <col min="39" max="39" width="10.42578125" style="1032" customWidth="1"/>
    <col min="40" max="40" width="9.5703125" style="1032" customWidth="1"/>
    <col min="41" max="41" width="9" style="1032" customWidth="1"/>
    <col min="42" max="42" width="8.5703125" style="945" customWidth="1"/>
    <col min="43" max="43" width="10.42578125" style="945" customWidth="1"/>
    <col min="44" max="44" width="9.5703125" style="945" customWidth="1"/>
    <col min="45" max="46" width="10.42578125" style="945" customWidth="1"/>
    <col min="47" max="47" width="10.5703125" style="1001" customWidth="1"/>
    <col min="48" max="48" width="11.7109375" style="999" customWidth="1"/>
    <col min="49" max="49" width="11.5703125" style="1122" customWidth="1"/>
    <col min="50" max="50" width="11.5703125" style="1123" hidden="1" customWidth="1"/>
    <col min="51" max="51" width="27.7109375" style="945" hidden="1" customWidth="1"/>
    <col min="52" max="52" width="12.5703125" style="945" hidden="1" customWidth="1"/>
    <col min="53" max="53" width="6" style="945" customWidth="1"/>
    <col min="54" max="54" width="9.5703125" style="945" hidden="1" customWidth="1"/>
    <col min="55" max="55" width="9" style="1124" customWidth="1"/>
    <col min="56" max="56" width="6.42578125" style="1001" customWidth="1"/>
    <col min="57" max="57" width="8.42578125" style="1125" customWidth="1"/>
    <col min="58" max="58" width="9.28515625" style="1126" customWidth="1"/>
    <col min="59" max="59" width="4.140625" style="1126" customWidth="1"/>
    <col min="60" max="60" width="9.7109375" style="1126" customWidth="1"/>
    <col min="61" max="61" width="10" style="1126" customWidth="1"/>
    <col min="62" max="62" width="8.42578125" style="1126" customWidth="1"/>
    <col min="63" max="63" width="9.28515625" style="1126" customWidth="1"/>
    <col min="64" max="64" width="8.42578125" style="1126" customWidth="1"/>
    <col min="65" max="65" width="4.7109375" style="1126" customWidth="1"/>
    <col min="66" max="66" width="8.42578125" style="1126" customWidth="1"/>
    <col min="67" max="67" width="9.85546875" style="946" customWidth="1"/>
    <col min="68" max="69" width="7.5703125" style="946" customWidth="1"/>
    <col min="70" max="70" width="9.28515625" style="946" customWidth="1"/>
    <col min="71" max="71" width="9.42578125" style="946" customWidth="1"/>
    <col min="72" max="72" width="12.7109375" style="946" customWidth="1"/>
    <col min="73" max="73" width="8.42578125" style="946" customWidth="1"/>
    <col min="74" max="74" width="9.5703125" style="946" customWidth="1"/>
    <col min="75" max="75" width="10.5703125" style="946" customWidth="1"/>
    <col min="76" max="76" width="11" style="1126" customWidth="1"/>
    <col min="77" max="77" width="12.7109375" style="946" customWidth="1"/>
    <col min="78" max="78" width="12.42578125" style="946" customWidth="1"/>
    <col min="79" max="79" width="13.42578125" style="946" customWidth="1"/>
    <col min="80" max="80" width="9.5703125" style="946" customWidth="1"/>
    <col min="81" max="82" width="12.42578125" style="945" customWidth="1"/>
    <col min="83" max="83" width="9" style="945" customWidth="1"/>
    <col min="84" max="84" width="12.42578125" style="946" customWidth="1"/>
    <col min="85" max="86" width="12.42578125" style="945" customWidth="1"/>
    <col min="87" max="16384" width="12.42578125" style="945"/>
  </cols>
  <sheetData>
    <row r="1" spans="1:86" ht="10.9" thickBot="1">
      <c r="A1" s="914"/>
      <c r="B1" s="915"/>
      <c r="C1" s="916"/>
      <c r="D1" s="915"/>
      <c r="E1" s="915"/>
      <c r="F1" s="917"/>
      <c r="G1" s="918"/>
      <c r="H1" s="919"/>
      <c r="I1" s="919"/>
      <c r="J1" s="917"/>
      <c r="K1" s="917"/>
      <c r="L1" s="920"/>
      <c r="M1" s="921"/>
      <c r="N1" s="919"/>
      <c r="O1" s="919"/>
      <c r="P1" s="919"/>
      <c r="Q1" s="920"/>
      <c r="R1" s="922"/>
      <c r="S1" s="920"/>
      <c r="T1" s="920"/>
      <c r="U1" s="919"/>
      <c r="V1" s="919"/>
      <c r="W1" s="923"/>
      <c r="X1" s="924"/>
      <c r="Y1" s="919"/>
      <c r="Z1" s="923"/>
      <c r="AA1" s="925"/>
      <c r="AB1" s="925"/>
      <c r="AC1" s="926"/>
      <c r="AD1" s="927"/>
      <c r="AE1" s="928"/>
      <c r="AF1" s="929"/>
      <c r="AG1" s="930"/>
      <c r="AH1" s="929"/>
      <c r="AI1" s="931"/>
      <c r="AJ1" s="922"/>
      <c r="AK1" s="932"/>
      <c r="AL1" s="920"/>
      <c r="AM1" s="933"/>
      <c r="AN1" s="921"/>
      <c r="AO1" s="921"/>
      <c r="AP1" s="934"/>
      <c r="AQ1" s="917"/>
      <c r="AR1" s="917"/>
      <c r="AS1" s="935"/>
      <c r="AT1" s="919"/>
      <c r="AU1" s="936"/>
      <c r="AV1" s="937"/>
      <c r="AW1" s="938"/>
      <c r="AX1" s="939"/>
      <c r="AY1" s="933"/>
      <c r="AZ1" s="935"/>
      <c r="BA1" s="919"/>
      <c r="BB1" s="935"/>
      <c r="BC1" s="940"/>
      <c r="BD1" s="941"/>
      <c r="BE1" s="942"/>
      <c r="BF1" s="943"/>
      <c r="BG1" s="943"/>
      <c r="BH1" s="943"/>
      <c r="BI1" s="943"/>
      <c r="BJ1" s="943"/>
      <c r="BK1" s="943"/>
      <c r="BL1" s="943"/>
      <c r="BM1" s="943"/>
      <c r="BN1" s="943"/>
      <c r="BO1" s="943"/>
      <c r="BP1" s="943"/>
      <c r="BQ1" s="943"/>
      <c r="BR1" s="943"/>
      <c r="BS1" s="943"/>
      <c r="BT1" s="943"/>
      <c r="BU1" s="943"/>
      <c r="BV1" s="944"/>
      <c r="BW1" s="944"/>
      <c r="BX1" s="1147"/>
      <c r="BY1" s="944"/>
      <c r="BZ1" s="944"/>
      <c r="CA1" s="944"/>
      <c r="CB1" s="944"/>
    </row>
    <row r="2" spans="1:86">
      <c r="B2" s="947"/>
      <c r="C2" s="948"/>
      <c r="D2" s="949" t="s">
        <v>0</v>
      </c>
      <c r="E2" s="950"/>
      <c r="F2" s="951"/>
      <c r="G2" s="952"/>
      <c r="H2" s="953"/>
      <c r="I2" s="954"/>
      <c r="J2" s="955"/>
      <c r="K2" s="955"/>
      <c r="L2" s="956"/>
      <c r="M2" s="954"/>
      <c r="N2" s="957"/>
      <c r="O2" s="958"/>
      <c r="P2" s="959" t="s">
        <v>1</v>
      </c>
      <c r="Q2" s="960"/>
      <c r="R2" s="961"/>
      <c r="S2" s="962"/>
      <c r="T2" s="963" t="s">
        <v>2</v>
      </c>
      <c r="U2" s="964"/>
      <c r="V2" s="963"/>
      <c r="W2" s="965"/>
      <c r="X2" s="966"/>
      <c r="Y2" s="963"/>
      <c r="Z2" s="965"/>
      <c r="AA2" s="967"/>
      <c r="AB2" s="967"/>
      <c r="AC2" s="968"/>
      <c r="AD2" s="969" t="s">
        <v>3</v>
      </c>
      <c r="AE2" s="970">
        <v>32000</v>
      </c>
      <c r="AF2" s="971"/>
      <c r="AG2" s="972"/>
      <c r="AH2" s="971"/>
      <c r="AI2" s="973"/>
      <c r="AJ2" s="974" t="s">
        <v>4</v>
      </c>
      <c r="AK2" s="975"/>
      <c r="AL2" s="976"/>
      <c r="AM2" s="977"/>
      <c r="AN2" s="978"/>
      <c r="AO2" s="978"/>
      <c r="AP2" s="979"/>
      <c r="AQ2" s="980"/>
      <c r="AR2" s="980"/>
      <c r="AS2" s="981"/>
      <c r="AT2" s="982"/>
      <c r="AU2" s="983"/>
      <c r="AV2" s="984"/>
      <c r="AW2" s="985"/>
      <c r="AX2" s="986"/>
      <c r="AY2" s="977"/>
      <c r="AZ2" s="981"/>
      <c r="BA2" s="982"/>
      <c r="BB2" s="981"/>
      <c r="BC2" s="987"/>
      <c r="BD2" s="988" t="str" cm="1">
        <f t="array" ref="BD2">"Max Lô "&amp;MAX(IFERROR(IF(VALUE(SUBSTITUTE($BD$5:$BD$12797,"Lô ",""))&lt;1000, VALUE(SUBSTITUTE($BD$5:$BD$12797,"Lô ",""))), ""))</f>
        <v>Max Lô 121</v>
      </c>
      <c r="BE2" s="989"/>
      <c r="BF2" s="989"/>
      <c r="BG2" s="989"/>
      <c r="BH2" s="989" t="s">
        <v>5</v>
      </c>
      <c r="BI2" s="989"/>
      <c r="BJ2" s="989"/>
      <c r="BK2" s="989"/>
      <c r="BL2" s="989"/>
      <c r="BM2" s="989"/>
      <c r="BN2" s="989"/>
      <c r="BO2" s="990"/>
      <c r="BP2" s="991"/>
      <c r="BQ2" s="991"/>
      <c r="BR2" s="991"/>
      <c r="BS2" s="991" t="s">
        <v>6</v>
      </c>
      <c r="BT2" s="991"/>
      <c r="BU2" s="991"/>
      <c r="BV2" s="991"/>
      <c r="BW2" s="991"/>
      <c r="BX2" s="992"/>
      <c r="BY2" s="993"/>
      <c r="BZ2" s="994" t="s">
        <v>7</v>
      </c>
      <c r="CA2" s="995"/>
      <c r="CB2" s="944"/>
      <c r="CC2" s="946">
        <f>SUBTOTAL(9,$CF$960:$CF$1832)</f>
        <v>24678680705.377647</v>
      </c>
      <c r="CD2" s="946">
        <f>SUBTOTAL(9,$BZ$960:$BZ$1832)</f>
        <v>25425752297.245693</v>
      </c>
      <c r="CE2" s="946"/>
      <c r="CF2" s="946">
        <f>CD2-CC2</f>
        <v>747071591.86804581</v>
      </c>
      <c r="CG2" s="996">
        <f>SUBTOTAL(9,BX960:BX1832)</f>
        <v>681838127.2997694</v>
      </c>
      <c r="CH2" s="997">
        <f>CG2/CC2</f>
        <v>2.7628629562486798E-2</v>
      </c>
    </row>
    <row r="3" spans="1:86" ht="12">
      <c r="B3" s="998"/>
      <c r="D3" s="915"/>
      <c r="E3" s="915"/>
      <c r="F3" s="917"/>
      <c r="G3" s="1000"/>
      <c r="I3" s="919"/>
      <c r="J3" s="917"/>
      <c r="K3" s="917"/>
      <c r="L3" s="920"/>
      <c r="M3" s="921"/>
      <c r="N3" s="1002"/>
      <c r="O3" s="1003"/>
      <c r="P3" s="919"/>
      <c r="Q3" s="1004"/>
      <c r="R3" s="1005"/>
      <c r="S3" s="1006"/>
      <c r="T3" s="1007"/>
      <c r="U3" s="1008">
        <f>SUBTOTAL(9,U5:U96855)</f>
        <v>61959.42</v>
      </c>
      <c r="V3" s="1009"/>
      <c r="W3" s="1010"/>
      <c r="X3" s="1011"/>
      <c r="Y3" s="1009"/>
      <c r="Z3" s="1010"/>
      <c r="AA3" s="1012"/>
      <c r="AB3" s="1012">
        <f>SUBTOTAL(9,AB5:AB96855)</f>
        <v>2702174.6621120018</v>
      </c>
      <c r="AC3" s="1012">
        <f>SUBTOTAL(9,AC5:AC96855)</f>
        <v>2729429.1021120013</v>
      </c>
      <c r="AD3" s="1013" t="s">
        <v>8</v>
      </c>
      <c r="AE3" s="1014">
        <v>27000</v>
      </c>
      <c r="AF3" s="1015"/>
      <c r="AG3" s="1016"/>
      <c r="AH3" s="1015"/>
      <c r="AI3" s="1017"/>
      <c r="AJ3" s="922"/>
      <c r="AK3" s="932"/>
      <c r="AL3" s="920"/>
      <c r="AM3" s="933"/>
      <c r="AN3" s="921"/>
      <c r="AO3" s="921"/>
      <c r="AP3" s="934"/>
      <c r="AQ3" s="917"/>
      <c r="AR3" s="917"/>
      <c r="AS3" s="935"/>
      <c r="AT3" s="919"/>
      <c r="AU3" s="936"/>
      <c r="AV3" s="937"/>
      <c r="AW3" s="938"/>
      <c r="AX3" s="939"/>
      <c r="AY3" s="933"/>
      <c r="AZ3" s="935"/>
      <c r="BA3" s="919"/>
      <c r="BB3" s="935"/>
      <c r="BC3" s="1018"/>
      <c r="BD3" s="1019" t="str" cm="1">
        <f t="array" ref="BD3">"Max Lô "&amp;MAX(IFERROR(IF(VALUE(SUBSTITUTE($BD$5:$BD$12797,"Lô ",""))&gt;1000, VALUE(SUBSTITUTE($BD$5:$BD$12797,"Lô ",""))), ""))</f>
        <v>Max Lô 0</v>
      </c>
      <c r="BE3" s="1020"/>
      <c r="BF3" s="1021" t="s">
        <v>9</v>
      </c>
      <c r="BG3" s="1021"/>
      <c r="BH3" s="1021"/>
      <c r="BI3" s="1021" t="s">
        <v>10</v>
      </c>
      <c r="BJ3" s="1021" t="s">
        <v>11</v>
      </c>
      <c r="BK3" s="1021"/>
      <c r="BL3" s="1021" t="s">
        <v>12</v>
      </c>
      <c r="BM3" s="1020"/>
      <c r="BN3" s="1021" t="s">
        <v>13</v>
      </c>
      <c r="BO3" s="1022" t="s">
        <v>14</v>
      </c>
      <c r="BP3" s="1023"/>
      <c r="BQ3" s="1023"/>
      <c r="BR3" s="1023"/>
      <c r="BS3" s="1023"/>
      <c r="BT3" s="1023"/>
      <c r="BU3" s="1023"/>
      <c r="BV3" s="1023"/>
      <c r="BW3" s="1023"/>
      <c r="BX3" s="1024">
        <f>SUBTOTAL(109,BX5:BX12824)</f>
        <v>2302902961.6235442</v>
      </c>
      <c r="BY3" s="1025">
        <f>SUBTOTAL(109,BY5:BY1018144)</f>
        <v>31958354828.382309</v>
      </c>
      <c r="BZ3" s="1026">
        <f>SUBTOTAL(109,BZ5:BZ1018144)</f>
        <v>63065271500.0756</v>
      </c>
      <c r="CA3" s="1027">
        <f>SUBTOTAL(109,CA5:CA1018144)</f>
        <v>32570550242.380177</v>
      </c>
      <c r="CB3" s="944"/>
    </row>
    <row r="4" spans="1:86" s="1028" customFormat="1" ht="30.6" customHeight="1">
      <c r="B4" s="797" t="s">
        <v>15</v>
      </c>
      <c r="C4" s="798" t="s">
        <v>16</v>
      </c>
      <c r="D4" s="798" t="s">
        <v>17</v>
      </c>
      <c r="E4" s="798" t="s">
        <v>18</v>
      </c>
      <c r="F4" s="799" t="s">
        <v>19</v>
      </c>
      <c r="G4" s="800" t="s">
        <v>20</v>
      </c>
      <c r="H4" s="800" t="s">
        <v>21</v>
      </c>
      <c r="I4" s="801" t="s">
        <v>22</v>
      </c>
      <c r="J4" s="799" t="s">
        <v>23</v>
      </c>
      <c r="K4" s="799" t="s">
        <v>24</v>
      </c>
      <c r="L4" s="801" t="s">
        <v>25</v>
      </c>
      <c r="M4" s="801" t="s">
        <v>26</v>
      </c>
      <c r="N4" s="802" t="s">
        <v>27</v>
      </c>
      <c r="O4" s="803" t="s">
        <v>28</v>
      </c>
      <c r="P4" s="804" t="s">
        <v>29</v>
      </c>
      <c r="Q4" s="805" t="s">
        <v>30</v>
      </c>
      <c r="R4" s="806" t="s">
        <v>31</v>
      </c>
      <c r="S4" s="807" t="s">
        <v>32</v>
      </c>
      <c r="T4" s="807" t="s">
        <v>33</v>
      </c>
      <c r="U4" s="807" t="s">
        <v>34</v>
      </c>
      <c r="V4" s="807" t="s">
        <v>35</v>
      </c>
      <c r="W4" s="808" t="s">
        <v>36</v>
      </c>
      <c r="X4" s="809" t="s">
        <v>37</v>
      </c>
      <c r="Y4" s="807" t="s">
        <v>38</v>
      </c>
      <c r="Z4" s="808" t="s">
        <v>39</v>
      </c>
      <c r="AA4" s="808" t="s">
        <v>40</v>
      </c>
      <c r="AB4" s="810" t="s">
        <v>41</v>
      </c>
      <c r="AC4" s="811" t="s">
        <v>42</v>
      </c>
      <c r="AD4" s="812" t="s">
        <v>43</v>
      </c>
      <c r="AE4" s="813" t="s">
        <v>44</v>
      </c>
      <c r="AF4" s="814" t="s">
        <v>45</v>
      </c>
      <c r="AG4" s="815" t="s">
        <v>46</v>
      </c>
      <c r="AH4" s="814" t="s">
        <v>47</v>
      </c>
      <c r="AI4" s="816" t="s">
        <v>48</v>
      </c>
      <c r="AJ4" s="817" t="s">
        <v>49</v>
      </c>
      <c r="AK4" s="818" t="s">
        <v>50</v>
      </c>
      <c r="AL4" s="819" t="s">
        <v>51</v>
      </c>
      <c r="AM4" s="819" t="s">
        <v>52</v>
      </c>
      <c r="AN4" s="820" t="s">
        <v>53</v>
      </c>
      <c r="AO4" s="820" t="s">
        <v>54</v>
      </c>
      <c r="AP4" s="821" t="s">
        <v>55</v>
      </c>
      <c r="AQ4" s="821" t="s">
        <v>56</v>
      </c>
      <c r="AR4" s="821" t="s">
        <v>57</v>
      </c>
      <c r="AS4" s="819" t="s">
        <v>58</v>
      </c>
      <c r="AT4" s="819" t="s">
        <v>59</v>
      </c>
      <c r="AU4" s="819" t="s">
        <v>60</v>
      </c>
      <c r="AV4" s="817" t="s">
        <v>61</v>
      </c>
      <c r="AW4" s="821" t="s">
        <v>62</v>
      </c>
      <c r="AX4" s="822" t="s">
        <v>63</v>
      </c>
      <c r="AY4" s="819" t="s">
        <v>64</v>
      </c>
      <c r="AZ4" s="819" t="s">
        <v>65</v>
      </c>
      <c r="BA4" s="819" t="s">
        <v>66</v>
      </c>
      <c r="BB4" s="819" t="s">
        <v>67</v>
      </c>
      <c r="BC4" s="823" t="s">
        <v>68</v>
      </c>
      <c r="BD4" s="824" t="s">
        <v>69</v>
      </c>
      <c r="BE4" s="825" t="s">
        <v>70</v>
      </c>
      <c r="BF4" s="826" t="s">
        <v>71</v>
      </c>
      <c r="BG4" s="827" t="s">
        <v>72</v>
      </c>
      <c r="BH4" s="827" t="s">
        <v>73</v>
      </c>
      <c r="BI4" s="826" t="s">
        <v>74</v>
      </c>
      <c r="BJ4" s="826" t="s">
        <v>75</v>
      </c>
      <c r="BK4" s="828" t="s">
        <v>76</v>
      </c>
      <c r="BL4" s="826" t="s">
        <v>77</v>
      </c>
      <c r="BM4" s="827" t="s">
        <v>78</v>
      </c>
      <c r="BN4" s="829" t="s">
        <v>79</v>
      </c>
      <c r="BO4" s="830" t="s">
        <v>80</v>
      </c>
      <c r="BP4" s="831" t="s">
        <v>81</v>
      </c>
      <c r="BQ4" s="832" t="s">
        <v>82</v>
      </c>
      <c r="BR4" s="833" t="s">
        <v>83</v>
      </c>
      <c r="BS4" s="833" t="s">
        <v>84</v>
      </c>
      <c r="BT4" s="834" t="s">
        <v>85</v>
      </c>
      <c r="BU4" s="835" t="s">
        <v>86</v>
      </c>
      <c r="BV4" s="831" t="s">
        <v>87</v>
      </c>
      <c r="BW4" s="833" t="s">
        <v>88</v>
      </c>
      <c r="BX4" s="1145" t="s">
        <v>89</v>
      </c>
      <c r="BY4" s="836" t="s">
        <v>90</v>
      </c>
      <c r="BZ4" s="837" t="s">
        <v>91</v>
      </c>
      <c r="CA4" s="838" t="s">
        <v>92</v>
      </c>
      <c r="CB4" s="1029" t="s">
        <v>93</v>
      </c>
      <c r="CC4" s="1030" t="s">
        <v>94</v>
      </c>
      <c r="CD4" s="1030" t="s">
        <v>95</v>
      </c>
      <c r="CE4" s="1030" t="s">
        <v>96</v>
      </c>
      <c r="CF4" s="1031" t="s">
        <v>97</v>
      </c>
    </row>
    <row r="5" spans="1:86">
      <c r="A5" s="1032"/>
      <c r="B5" s="839" t="s">
        <v>98</v>
      </c>
      <c r="C5" s="840" t="s">
        <v>99</v>
      </c>
      <c r="D5" s="839" t="s">
        <v>100</v>
      </c>
      <c r="E5" s="839" t="str">
        <f t="shared" ref="E5:E48" si="0">D5</f>
        <v>SC-LPS-03-091023- DH-0001464&amp;1471&amp;1379</v>
      </c>
      <c r="F5" s="841">
        <v>45208</v>
      </c>
      <c r="G5" s="840" t="s">
        <v>101</v>
      </c>
      <c r="H5" s="842" t="s">
        <v>102</v>
      </c>
      <c r="I5" s="842" t="s">
        <v>103</v>
      </c>
      <c r="J5" s="841" t="s">
        <v>104</v>
      </c>
      <c r="K5" s="841" t="s">
        <v>105</v>
      </c>
      <c r="L5" s="843" t="s">
        <v>106</v>
      </c>
      <c r="M5" s="844" t="s">
        <v>107</v>
      </c>
      <c r="N5" s="841"/>
      <c r="O5" s="841" t="s">
        <v>108</v>
      </c>
      <c r="P5" s="841" t="s">
        <v>109</v>
      </c>
      <c r="Q5" s="843" t="s">
        <v>110</v>
      </c>
      <c r="R5" s="845" t="s">
        <v>111</v>
      </c>
      <c r="S5" s="1127" t="s">
        <v>112</v>
      </c>
      <c r="T5" s="843" t="s">
        <v>113</v>
      </c>
      <c r="U5" s="842">
        <v>2</v>
      </c>
      <c r="V5" s="842" t="s">
        <v>3</v>
      </c>
      <c r="W5" s="846"/>
      <c r="X5" s="847">
        <f t="shared" ref="X5:X64" si="1">W5*U5</f>
        <v>0</v>
      </c>
      <c r="Y5" s="848"/>
      <c r="Z5" s="849">
        <v>620</v>
      </c>
      <c r="AA5" s="849"/>
      <c r="AB5" s="849">
        <f t="shared" ref="AB5:AB64" si="2">IF(AA5="F.O.C", 0, Z5*U5)</f>
        <v>1240</v>
      </c>
      <c r="AC5" s="850">
        <f t="shared" ref="AC5:AC64" si="3">Z5*U5</f>
        <v>1240</v>
      </c>
      <c r="AD5" s="851"/>
      <c r="AE5" s="852">
        <v>25700.560000000001</v>
      </c>
      <c r="AF5" s="853">
        <v>0</v>
      </c>
      <c r="AG5" s="854">
        <f t="shared" ref="AG5:AG64" si="4">(AC5*AE5+BO5+BP5+BQ5+BS5)*AF5</f>
        <v>0</v>
      </c>
      <c r="AH5" s="853"/>
      <c r="AI5" s="855">
        <f t="shared" ref="AI5:AI64" si="5">(AC5*AE5+AG5+BF5+BG5+BH5+BJ5)*AH5</f>
        <v>0</v>
      </c>
      <c r="AJ5" s="856" t="s">
        <v>114</v>
      </c>
      <c r="AK5" s="857" t="s">
        <v>115</v>
      </c>
      <c r="AL5" s="840"/>
      <c r="AM5" s="840"/>
      <c r="AN5" s="858"/>
      <c r="AO5" s="844" t="s">
        <v>116</v>
      </c>
      <c r="AP5" s="859"/>
      <c r="AQ5" s="859" t="s">
        <v>117</v>
      </c>
      <c r="AR5" s="859"/>
      <c r="AS5" s="840"/>
      <c r="AT5" s="840"/>
      <c r="AU5" s="860"/>
      <c r="AV5" s="839" t="s">
        <v>118</v>
      </c>
      <c r="AW5" s="861">
        <v>45272</v>
      </c>
      <c r="AX5" s="862" t="s">
        <v>119</v>
      </c>
      <c r="AY5" s="843"/>
      <c r="AZ5" s="842"/>
      <c r="BA5" s="842" t="s">
        <v>120</v>
      </c>
      <c r="BB5" s="863" t="s">
        <v>121</v>
      </c>
      <c r="BC5" s="864">
        <v>45274</v>
      </c>
      <c r="BD5" s="860" t="s">
        <v>122</v>
      </c>
      <c r="BE5" s="865" cm="1">
        <f t="array" ref="BE5">IF(BD5="","",AC5/SUMPRODUCT(--(BD5=$BD$4:$BD$12824),$AC$4:$AC$12824))</f>
        <v>0.5890736342042755</v>
      </c>
      <c r="BF5" s="458"/>
      <c r="BG5" s="458"/>
      <c r="BH5" s="458"/>
      <c r="BI5" s="458">
        <v>11951100</v>
      </c>
      <c r="BJ5" s="458"/>
      <c r="BK5" s="458"/>
      <c r="BL5" s="458"/>
      <c r="BM5" s="458"/>
      <c r="BN5" s="458">
        <v>600000</v>
      </c>
      <c r="BO5" s="866">
        <f>VLOOKUP(BD5,$BD$4:$BN$12824,3,0)*BE5</f>
        <v>0</v>
      </c>
      <c r="BP5" s="866"/>
      <c r="BQ5" s="866"/>
      <c r="BR5" s="866">
        <f>VLOOKUP(BD5,$BD$4:$BN$12824,6,0)*BE5</f>
        <v>7040077.9097387167</v>
      </c>
      <c r="BS5" s="866">
        <f>VLOOKUP(BD5,$BD$4:$BN$12824,7,0)*BE5</f>
        <v>0</v>
      </c>
      <c r="BT5" s="866"/>
      <c r="BU5" s="866">
        <f>VLOOKUP(BD5,$BD$4:$BN$12824,9,0)*BE5</f>
        <v>0</v>
      </c>
      <c r="BV5" s="867"/>
      <c r="BW5" s="867">
        <f>VLOOKUP(BD5,$BD$4:$BN$12824,11,0)*BE5</f>
        <v>353444.18052256532</v>
      </c>
      <c r="BX5" s="1146">
        <f>SUM(BO5:BW5)</f>
        <v>7393522.0902612824</v>
      </c>
      <c r="BY5" s="867">
        <f>(AB5*AE5+AG5+BX5)/U5</f>
        <v>19631108.245130643</v>
      </c>
      <c r="BZ5" s="867">
        <f t="shared" ref="BZ5:BZ64" si="6">BY5*U5</f>
        <v>39262216.490261286</v>
      </c>
      <c r="CA5" s="867">
        <f>_xlfn.MAXIFS($BY$4:$BY$12824,$S$4:$S$12824,$S5)</f>
        <v>19631108.245130643</v>
      </c>
      <c r="CB5" s="1032"/>
      <c r="CF5" s="946">
        <f t="shared" ref="CF5:CF68" si="7">AC5*AE5</f>
        <v>31868694.400000002</v>
      </c>
    </row>
    <row r="6" spans="1:86">
      <c r="A6" s="1032"/>
      <c r="B6" s="839" t="s">
        <v>98</v>
      </c>
      <c r="C6" s="840" t="s">
        <v>99</v>
      </c>
      <c r="D6" s="839" t="s">
        <v>100</v>
      </c>
      <c r="E6" s="839" t="str">
        <f t="shared" si="0"/>
        <v>SC-LPS-03-091023- DH-0001464&amp;1471&amp;1379</v>
      </c>
      <c r="F6" s="841">
        <v>45208</v>
      </c>
      <c r="G6" s="840" t="s">
        <v>101</v>
      </c>
      <c r="H6" s="842" t="s">
        <v>102</v>
      </c>
      <c r="I6" s="842" t="s">
        <v>103</v>
      </c>
      <c r="J6" s="841" t="s">
        <v>104</v>
      </c>
      <c r="K6" s="841" t="s">
        <v>105</v>
      </c>
      <c r="L6" s="843" t="s">
        <v>106</v>
      </c>
      <c r="M6" s="844" t="s">
        <v>107</v>
      </c>
      <c r="N6" s="841"/>
      <c r="O6" s="841" t="s">
        <v>108</v>
      </c>
      <c r="P6" s="841" t="s">
        <v>123</v>
      </c>
      <c r="Q6" s="843" t="s">
        <v>124</v>
      </c>
      <c r="R6" s="845" t="s">
        <v>125</v>
      </c>
      <c r="S6" s="1127" t="s">
        <v>126</v>
      </c>
      <c r="T6" s="843" t="s">
        <v>127</v>
      </c>
      <c r="U6" s="842">
        <v>1</v>
      </c>
      <c r="V6" s="842" t="s">
        <v>3</v>
      </c>
      <c r="W6" s="846"/>
      <c r="X6" s="847">
        <f t="shared" si="1"/>
        <v>0</v>
      </c>
      <c r="Y6" s="848"/>
      <c r="Z6" s="849">
        <v>755</v>
      </c>
      <c r="AA6" s="849"/>
      <c r="AB6" s="849">
        <f t="shared" si="2"/>
        <v>755</v>
      </c>
      <c r="AC6" s="850">
        <f t="shared" si="3"/>
        <v>755</v>
      </c>
      <c r="AD6" s="851"/>
      <c r="AE6" s="852">
        <v>25700.560000000001</v>
      </c>
      <c r="AF6" s="853">
        <v>0</v>
      </c>
      <c r="AG6" s="854">
        <f t="shared" si="4"/>
        <v>0</v>
      </c>
      <c r="AH6" s="853"/>
      <c r="AI6" s="855">
        <f t="shared" si="5"/>
        <v>0</v>
      </c>
      <c r="AJ6" s="856" t="s">
        <v>114</v>
      </c>
      <c r="AK6" s="857" t="s">
        <v>115</v>
      </c>
      <c r="AL6" s="840"/>
      <c r="AM6" s="840"/>
      <c r="AN6" s="858"/>
      <c r="AO6" s="844" t="s">
        <v>116</v>
      </c>
      <c r="AP6" s="859"/>
      <c r="AQ6" s="859" t="s">
        <v>117</v>
      </c>
      <c r="AR6" s="859"/>
      <c r="AS6" s="840"/>
      <c r="AT6" s="840"/>
      <c r="AU6" s="860"/>
      <c r="AV6" s="839" t="s">
        <v>118</v>
      </c>
      <c r="AW6" s="861">
        <v>45272</v>
      </c>
      <c r="AX6" s="862" t="s">
        <v>119</v>
      </c>
      <c r="AY6" s="843"/>
      <c r="AZ6" s="842"/>
      <c r="BA6" s="842" t="s">
        <v>120</v>
      </c>
      <c r="BB6" s="863" t="s">
        <v>121</v>
      </c>
      <c r="BC6" s="864">
        <v>45274</v>
      </c>
      <c r="BD6" s="860" t="s">
        <v>122</v>
      </c>
      <c r="BE6" s="865" cm="1">
        <f t="array" ref="BE6">IF(BD6="","",AC6/SUMPRODUCT(--(BD6=$BD$4:$BD$12824),$AC$4:$AC$12824))</f>
        <v>0.35866983372921613</v>
      </c>
      <c r="BF6" s="458"/>
      <c r="BG6" s="458"/>
      <c r="BH6" s="458"/>
      <c r="BI6" s="458"/>
      <c r="BJ6" s="458"/>
      <c r="BK6" s="458"/>
      <c r="BL6" s="458"/>
      <c r="BM6" s="458"/>
      <c r="BN6" s="458"/>
      <c r="BO6" s="866">
        <f>VLOOKUP(BD6,$BD$4:$BN$12824,3,0)*BE6</f>
        <v>0</v>
      </c>
      <c r="BP6" s="866"/>
      <c r="BQ6" s="866"/>
      <c r="BR6" s="866">
        <f>VLOOKUP(BD6,$BD$4:$BN$12824,6,0)*BE6</f>
        <v>4286499.0498812348</v>
      </c>
      <c r="BS6" s="866">
        <f>VLOOKUP(BD6,$BD$4:$BN$12824,7,0)*BE6</f>
        <v>0</v>
      </c>
      <c r="BT6" s="866"/>
      <c r="BU6" s="866">
        <f>VLOOKUP(BD6,$BD$4:$BN$12824,9,0)*BE6</f>
        <v>0</v>
      </c>
      <c r="BV6" s="867"/>
      <c r="BW6" s="867">
        <f>VLOOKUP(BD6,$BD$4:$BN$12824,11,0)*BE6</f>
        <v>215201.90023752968</v>
      </c>
      <c r="BX6" s="1146">
        <f t="shared" ref="BX6:BX7" si="8">SUM(BO6:BW6)</f>
        <v>4501700.9501187643</v>
      </c>
      <c r="BY6" s="867">
        <f t="shared" ref="BY6:BY69" si="9">(AB6*AE6+AG6+BX6)/U6</f>
        <v>23905623.750118766</v>
      </c>
      <c r="BZ6" s="867">
        <f t="shared" si="6"/>
        <v>23905623.750118766</v>
      </c>
      <c r="CA6" s="867">
        <f>_xlfn.MAXIFS($BY$4:$BY$12824,$S$4:$S$12824,$S6)</f>
        <v>23905623.750118766</v>
      </c>
      <c r="CB6" s="1032"/>
      <c r="CF6" s="946">
        <f t="shared" si="7"/>
        <v>19403922.800000001</v>
      </c>
    </row>
    <row r="7" spans="1:86">
      <c r="A7" s="1032"/>
      <c r="B7" s="839" t="s">
        <v>98</v>
      </c>
      <c r="C7" s="840" t="s">
        <v>99</v>
      </c>
      <c r="D7" s="839" t="s">
        <v>100</v>
      </c>
      <c r="E7" s="839" t="str">
        <f t="shared" si="0"/>
        <v>SC-LPS-03-091023- DH-0001464&amp;1471&amp;1379</v>
      </c>
      <c r="F7" s="841">
        <v>45208</v>
      </c>
      <c r="G7" s="840" t="s">
        <v>101</v>
      </c>
      <c r="H7" s="842" t="s">
        <v>102</v>
      </c>
      <c r="I7" s="842" t="s">
        <v>103</v>
      </c>
      <c r="J7" s="841" t="s">
        <v>104</v>
      </c>
      <c r="K7" s="841" t="s">
        <v>105</v>
      </c>
      <c r="L7" s="843" t="s">
        <v>106</v>
      </c>
      <c r="M7" s="844" t="s">
        <v>107</v>
      </c>
      <c r="N7" s="841"/>
      <c r="O7" s="841" t="s">
        <v>108</v>
      </c>
      <c r="P7" s="841" t="s">
        <v>123</v>
      </c>
      <c r="Q7" s="843" t="s">
        <v>124</v>
      </c>
      <c r="R7" s="845" t="s">
        <v>128</v>
      </c>
      <c r="S7" s="1127" t="s">
        <v>129</v>
      </c>
      <c r="T7" s="843" t="s">
        <v>130</v>
      </c>
      <c r="U7" s="842">
        <v>1</v>
      </c>
      <c r="V7" s="842" t="s">
        <v>3</v>
      </c>
      <c r="W7" s="846"/>
      <c r="X7" s="847">
        <f t="shared" si="1"/>
        <v>0</v>
      </c>
      <c r="Y7" s="848"/>
      <c r="Z7" s="849">
        <v>110</v>
      </c>
      <c r="AA7" s="849"/>
      <c r="AB7" s="849">
        <f t="shared" si="2"/>
        <v>110</v>
      </c>
      <c r="AC7" s="850">
        <f t="shared" si="3"/>
        <v>110</v>
      </c>
      <c r="AD7" s="851"/>
      <c r="AE7" s="852">
        <v>25700.560000000001</v>
      </c>
      <c r="AF7" s="853">
        <v>0</v>
      </c>
      <c r="AG7" s="854">
        <f t="shared" si="4"/>
        <v>0</v>
      </c>
      <c r="AH7" s="853"/>
      <c r="AI7" s="855">
        <f t="shared" si="5"/>
        <v>0</v>
      </c>
      <c r="AJ7" s="856" t="s">
        <v>114</v>
      </c>
      <c r="AK7" s="857" t="s">
        <v>115</v>
      </c>
      <c r="AL7" s="840"/>
      <c r="AM7" s="840"/>
      <c r="AN7" s="858"/>
      <c r="AO7" s="844" t="s">
        <v>116</v>
      </c>
      <c r="AP7" s="859"/>
      <c r="AQ7" s="859" t="s">
        <v>117</v>
      </c>
      <c r="AR7" s="859"/>
      <c r="AS7" s="840"/>
      <c r="AT7" s="840"/>
      <c r="AU7" s="860"/>
      <c r="AV7" s="839" t="s">
        <v>118</v>
      </c>
      <c r="AW7" s="861">
        <v>45272</v>
      </c>
      <c r="AX7" s="862" t="s">
        <v>119</v>
      </c>
      <c r="AY7" s="843"/>
      <c r="AZ7" s="842"/>
      <c r="BA7" s="842" t="s">
        <v>120</v>
      </c>
      <c r="BB7" s="863" t="s">
        <v>121</v>
      </c>
      <c r="BC7" s="864">
        <v>45274</v>
      </c>
      <c r="BD7" s="860" t="s">
        <v>122</v>
      </c>
      <c r="BE7" s="865" cm="1">
        <f t="array" ref="BE7">IF(BD7="","",AC7/SUMPRODUCT(--(BD7=$BD$4:$BD$12824),$AC$4:$AC$12824))</f>
        <v>5.2256532066508314E-2</v>
      </c>
      <c r="BF7" s="458"/>
      <c r="BG7" s="458"/>
      <c r="BH7" s="458"/>
      <c r="BI7" s="458"/>
      <c r="BJ7" s="458"/>
      <c r="BK7" s="458"/>
      <c r="BL7" s="458"/>
      <c r="BM7" s="458"/>
      <c r="BN7" s="458"/>
      <c r="BO7" s="866">
        <f>VLOOKUP(BD7,$BD$4:$BN$12824,3,0)*BE7</f>
        <v>0</v>
      </c>
      <c r="BP7" s="866"/>
      <c r="BQ7" s="866"/>
      <c r="BR7" s="866">
        <f>VLOOKUP(BD7,$BD$4:$BN$12824,6,0)*BE7</f>
        <v>624523.04038004752</v>
      </c>
      <c r="BS7" s="866">
        <f>VLOOKUP(BD7,$BD$4:$BN$12824,7,0)*BE7</f>
        <v>0</v>
      </c>
      <c r="BT7" s="866"/>
      <c r="BU7" s="866">
        <f>VLOOKUP(BD7,$BD$4:$BN$12824,9,0)*BE7</f>
        <v>0</v>
      </c>
      <c r="BV7" s="867"/>
      <c r="BW7" s="867">
        <f>VLOOKUP(BD7,$BD$4:$BN$12824,11,0)*BE7</f>
        <v>31353.91923990499</v>
      </c>
      <c r="BX7" s="1146">
        <f t="shared" si="8"/>
        <v>655876.95961995248</v>
      </c>
      <c r="BY7" s="867">
        <f t="shared" si="9"/>
        <v>3482938.5596199525</v>
      </c>
      <c r="BZ7" s="867">
        <f t="shared" si="6"/>
        <v>3482938.5596199525</v>
      </c>
      <c r="CA7" s="867">
        <f>_xlfn.MAXIFS($BY$4:$BY$12824,$S$4:$S$12824,$S7)</f>
        <v>3482938.5596199525</v>
      </c>
      <c r="CB7" s="1032"/>
      <c r="CF7" s="946">
        <f t="shared" si="7"/>
        <v>2827061.6</v>
      </c>
    </row>
    <row r="8" spans="1:86">
      <c r="A8" s="1032"/>
      <c r="B8" s="839" t="s">
        <v>98</v>
      </c>
      <c r="C8" s="839" t="s">
        <v>131</v>
      </c>
      <c r="D8" s="839" t="s">
        <v>132</v>
      </c>
      <c r="E8" s="839" t="str">
        <f t="shared" si="0"/>
        <v>SC-NINE UNITED-120923-Ms Thao &amp; Stock</v>
      </c>
      <c r="F8" s="841">
        <v>45181</v>
      </c>
      <c r="G8" s="840" t="s">
        <v>133</v>
      </c>
      <c r="H8" s="842" t="s">
        <v>134</v>
      </c>
      <c r="I8" s="842"/>
      <c r="J8" s="841"/>
      <c r="K8" s="841"/>
      <c r="L8" s="843" t="s">
        <v>106</v>
      </c>
      <c r="M8" s="844" t="s">
        <v>107</v>
      </c>
      <c r="N8" s="841"/>
      <c r="O8" s="841" t="s">
        <v>135</v>
      </c>
      <c r="P8" s="841" t="s">
        <v>136</v>
      </c>
      <c r="Q8" s="843"/>
      <c r="R8" s="845" t="s">
        <v>137</v>
      </c>
      <c r="S8" s="1127" t="s">
        <v>138</v>
      </c>
      <c r="T8" s="843" t="s">
        <v>139</v>
      </c>
      <c r="U8" s="842">
        <v>1</v>
      </c>
      <c r="V8" s="842" t="s">
        <v>8</v>
      </c>
      <c r="W8" s="846"/>
      <c r="X8" s="847">
        <f t="shared" si="1"/>
        <v>0</v>
      </c>
      <c r="Y8" s="848"/>
      <c r="Z8" s="849">
        <v>83.22</v>
      </c>
      <c r="AA8" s="849"/>
      <c r="AB8" s="849">
        <f t="shared" si="2"/>
        <v>83.22</v>
      </c>
      <c r="AC8" s="850">
        <f t="shared" si="3"/>
        <v>83.22</v>
      </c>
      <c r="AD8" s="851"/>
      <c r="AE8" s="852">
        <v>24090</v>
      </c>
      <c r="AF8" s="853">
        <v>0</v>
      </c>
      <c r="AG8" s="854">
        <f t="shared" si="4"/>
        <v>0</v>
      </c>
      <c r="AH8" s="853"/>
      <c r="AI8" s="855">
        <f t="shared" si="5"/>
        <v>0</v>
      </c>
      <c r="AJ8" s="845" t="s">
        <v>140</v>
      </c>
      <c r="AK8" s="857">
        <v>45226</v>
      </c>
      <c r="AL8" s="840"/>
      <c r="AM8" s="840"/>
      <c r="AN8" s="858"/>
      <c r="AO8" s="844" t="s">
        <v>141</v>
      </c>
      <c r="AP8" s="859"/>
      <c r="AQ8" s="859" t="s">
        <v>142</v>
      </c>
      <c r="AR8" s="859"/>
      <c r="AS8" s="840"/>
      <c r="AT8" s="840"/>
      <c r="AU8" s="860"/>
      <c r="AV8" s="839" t="s">
        <v>143</v>
      </c>
      <c r="AW8" s="861">
        <v>45269</v>
      </c>
      <c r="AX8" s="862" t="s">
        <v>144</v>
      </c>
      <c r="AY8" s="843"/>
      <c r="AZ8" s="842"/>
      <c r="BA8" s="842" t="s">
        <v>120</v>
      </c>
      <c r="BB8" s="863" t="s">
        <v>121</v>
      </c>
      <c r="BC8" s="864">
        <v>45150</v>
      </c>
      <c r="BD8" s="860" t="s">
        <v>145</v>
      </c>
      <c r="BE8" s="865" cm="1">
        <f t="array" ref="BE8">IF(BD8="","",AC8/SUMPRODUCT(--(BD8=$BD$4:$BD$12824),$AC$4:$AC$12824))</f>
        <v>9.2820312055598483E-3</v>
      </c>
      <c r="BF8" s="458">
        <v>21196560</v>
      </c>
      <c r="BG8" s="458"/>
      <c r="BH8" s="458"/>
      <c r="BI8" s="458">
        <v>10647120</v>
      </c>
      <c r="BJ8" s="458">
        <v>450000</v>
      </c>
      <c r="BK8" s="458"/>
      <c r="BL8" s="458">
        <v>500000</v>
      </c>
      <c r="BM8" s="458"/>
      <c r="BN8" s="458">
        <v>1890000</v>
      </c>
      <c r="BO8" s="866">
        <f>VLOOKUP(BD8,$BD$4:$BN$12824,3,0)*BE8</f>
        <v>196747.13137052165</v>
      </c>
      <c r="BP8" s="866"/>
      <c r="BQ8" s="866"/>
      <c r="BR8" s="866">
        <f>VLOOKUP(BD8,$BD$4:$BN$12824,6,0)*BE8</f>
        <v>98826.900089340372</v>
      </c>
      <c r="BS8" s="866">
        <f>VLOOKUP(BD8,$BD$4:$BN$12824,7,0)*BE8</f>
        <v>4176.9140425019314</v>
      </c>
      <c r="BT8" s="866"/>
      <c r="BU8" s="866">
        <f>VLOOKUP(BD8,$BD$4:$BN$12824,9,0)*BE8</f>
        <v>4641.0156027799239</v>
      </c>
      <c r="BV8" s="867"/>
      <c r="BW8" s="867">
        <f>VLOOKUP(BD8,$BD$4:$BN$12824,11,0)*BE8</f>
        <v>17543.038978508113</v>
      </c>
      <c r="BX8" s="1146">
        <f t="shared" ref="BX8:BX40" si="10">SUM(BO8:BW8)</f>
        <v>321935.00008365198</v>
      </c>
      <c r="BY8" s="867">
        <f t="shared" si="9"/>
        <v>2326704.8000836521</v>
      </c>
      <c r="BZ8" s="867">
        <f t="shared" si="6"/>
        <v>2326704.8000836521</v>
      </c>
      <c r="CA8" s="867">
        <f>_xlfn.MAXIFS($BY$4:$BY$12824,$S$4:$S$12824,$S8)</f>
        <v>2945788.5366996443</v>
      </c>
      <c r="CB8" s="1032"/>
      <c r="CF8" s="946">
        <f t="shared" si="7"/>
        <v>2004769.8</v>
      </c>
    </row>
    <row r="9" spans="1:86">
      <c r="A9" s="1032"/>
      <c r="B9" s="839" t="s">
        <v>98</v>
      </c>
      <c r="C9" s="839" t="s">
        <v>131</v>
      </c>
      <c r="D9" s="839" t="s">
        <v>132</v>
      </c>
      <c r="E9" s="839" t="str">
        <f t="shared" si="0"/>
        <v>SC-NINE UNITED-120923-Ms Thao &amp; Stock</v>
      </c>
      <c r="F9" s="841">
        <v>45181</v>
      </c>
      <c r="G9" s="840" t="s">
        <v>133</v>
      </c>
      <c r="H9" s="842" t="s">
        <v>134</v>
      </c>
      <c r="I9" s="842"/>
      <c r="J9" s="841"/>
      <c r="K9" s="841"/>
      <c r="L9" s="843" t="s">
        <v>106</v>
      </c>
      <c r="M9" s="844" t="s">
        <v>107</v>
      </c>
      <c r="N9" s="841"/>
      <c r="O9" s="841" t="s">
        <v>135</v>
      </c>
      <c r="P9" s="841" t="s">
        <v>136</v>
      </c>
      <c r="Q9" s="843"/>
      <c r="R9" s="845" t="s">
        <v>146</v>
      </c>
      <c r="S9" s="1127" t="s">
        <v>147</v>
      </c>
      <c r="T9" s="843" t="s">
        <v>148</v>
      </c>
      <c r="U9" s="842">
        <v>1</v>
      </c>
      <c r="V9" s="842" t="s">
        <v>8</v>
      </c>
      <c r="W9" s="846"/>
      <c r="X9" s="847">
        <f t="shared" si="1"/>
        <v>0</v>
      </c>
      <c r="Y9" s="848"/>
      <c r="Z9" s="849">
        <v>51.87</v>
      </c>
      <c r="AA9" s="849"/>
      <c r="AB9" s="849">
        <f t="shared" si="2"/>
        <v>51.87</v>
      </c>
      <c r="AC9" s="850">
        <f t="shared" si="3"/>
        <v>51.87</v>
      </c>
      <c r="AD9" s="851"/>
      <c r="AE9" s="852">
        <v>24090</v>
      </c>
      <c r="AF9" s="853">
        <v>0</v>
      </c>
      <c r="AG9" s="854">
        <f t="shared" si="4"/>
        <v>0</v>
      </c>
      <c r="AH9" s="853"/>
      <c r="AI9" s="855">
        <f t="shared" si="5"/>
        <v>0</v>
      </c>
      <c r="AJ9" s="845" t="s">
        <v>140</v>
      </c>
      <c r="AK9" s="857">
        <v>45226</v>
      </c>
      <c r="AL9" s="840"/>
      <c r="AM9" s="840"/>
      <c r="AN9" s="858"/>
      <c r="AO9" s="844" t="s">
        <v>141</v>
      </c>
      <c r="AP9" s="859"/>
      <c r="AQ9" s="859" t="s">
        <v>142</v>
      </c>
      <c r="AR9" s="859"/>
      <c r="AS9" s="840"/>
      <c r="AT9" s="840"/>
      <c r="AU9" s="860"/>
      <c r="AV9" s="839" t="s">
        <v>143</v>
      </c>
      <c r="AW9" s="861">
        <v>45269</v>
      </c>
      <c r="AX9" s="862" t="s">
        <v>144</v>
      </c>
      <c r="AY9" s="843"/>
      <c r="AZ9" s="842"/>
      <c r="BA9" s="842" t="s">
        <v>120</v>
      </c>
      <c r="BB9" s="863" t="s">
        <v>121</v>
      </c>
      <c r="BC9" s="864">
        <v>45150</v>
      </c>
      <c r="BD9" s="860" t="s">
        <v>145</v>
      </c>
      <c r="BE9" s="865" cm="1">
        <f t="array" ref="BE9">IF(BD9="","",AC9/SUMPRODUCT(--(BD9=$BD$4:$BD$12824),$AC$4:$AC$12824))</f>
        <v>5.7853756144242889E-3</v>
      </c>
      <c r="BF9" s="458"/>
      <c r="BG9" s="458"/>
      <c r="BH9" s="458"/>
      <c r="BI9" s="458"/>
      <c r="BJ9" s="458"/>
      <c r="BK9" s="458"/>
      <c r="BL9" s="458"/>
      <c r="BM9" s="458"/>
      <c r="BN9" s="458"/>
      <c r="BO9" s="866">
        <f>VLOOKUP(BD9,$BD$4:$BN$12824,3,0)*BE9</f>
        <v>122630.06133368131</v>
      </c>
      <c r="BP9" s="866"/>
      <c r="BQ9" s="866"/>
      <c r="BR9" s="866">
        <f>VLOOKUP(BD9,$BD$4:$BN$12824,6,0)*BE9</f>
        <v>61597.588411849138</v>
      </c>
      <c r="BS9" s="866">
        <f>VLOOKUP(BD9,$BD$4:$BN$12824,7,0)*BE9</f>
        <v>2603.4190264909298</v>
      </c>
      <c r="BT9" s="866"/>
      <c r="BU9" s="866">
        <f>VLOOKUP(BD9,$BD$4:$BN$12824,9,0)*BE9</f>
        <v>2892.6878072121444</v>
      </c>
      <c r="BV9" s="867"/>
      <c r="BW9" s="867">
        <f>VLOOKUP(BD9,$BD$4:$BN$12824,11,0)*BE9</f>
        <v>10934.359911261907</v>
      </c>
      <c r="BX9" s="1146">
        <f t="shared" si="10"/>
        <v>200658.11649049545</v>
      </c>
      <c r="BY9" s="867">
        <f t="shared" si="9"/>
        <v>1450206.4164904954</v>
      </c>
      <c r="BZ9" s="867">
        <f t="shared" si="6"/>
        <v>1450206.4164904954</v>
      </c>
      <c r="CA9" s="867">
        <f>_xlfn.MAXIFS($BY$4:$BY$12824,$S$4:$S$12824,$S9)</f>
        <v>1450206.4164904954</v>
      </c>
      <c r="CB9" s="1032"/>
      <c r="CF9" s="946">
        <f t="shared" si="7"/>
        <v>1249548.3</v>
      </c>
    </row>
    <row r="10" spans="1:86">
      <c r="A10" s="1032"/>
      <c r="B10" s="839" t="s">
        <v>98</v>
      </c>
      <c r="C10" s="839" t="s">
        <v>131</v>
      </c>
      <c r="D10" s="839" t="s">
        <v>132</v>
      </c>
      <c r="E10" s="839" t="str">
        <f t="shared" si="0"/>
        <v>SC-NINE UNITED-120923-Ms Thao &amp; Stock</v>
      </c>
      <c r="F10" s="841">
        <v>45181</v>
      </c>
      <c r="G10" s="868" t="s">
        <v>149</v>
      </c>
      <c r="H10" s="842" t="s">
        <v>134</v>
      </c>
      <c r="I10" s="842"/>
      <c r="J10" s="841"/>
      <c r="K10" s="841"/>
      <c r="L10" s="843" t="s">
        <v>106</v>
      </c>
      <c r="M10" s="844" t="s">
        <v>107</v>
      </c>
      <c r="N10" s="841"/>
      <c r="O10" s="841" t="s">
        <v>150</v>
      </c>
      <c r="P10" s="841" t="s">
        <v>151</v>
      </c>
      <c r="Q10" s="843"/>
      <c r="R10" s="845" t="s">
        <v>152</v>
      </c>
      <c r="S10" s="1127" t="s">
        <v>153</v>
      </c>
      <c r="T10" s="843" t="s">
        <v>154</v>
      </c>
      <c r="U10" s="842">
        <v>1</v>
      </c>
      <c r="V10" s="842" t="s">
        <v>8</v>
      </c>
      <c r="W10" s="846"/>
      <c r="X10" s="847">
        <f t="shared" si="1"/>
        <v>0</v>
      </c>
      <c r="Y10" s="848"/>
      <c r="Z10" s="849">
        <v>2259.5</v>
      </c>
      <c r="AA10" s="849"/>
      <c r="AB10" s="849">
        <f t="shared" si="2"/>
        <v>2259.5</v>
      </c>
      <c r="AC10" s="850">
        <f t="shared" si="3"/>
        <v>2259.5</v>
      </c>
      <c r="AD10" s="851"/>
      <c r="AE10" s="852">
        <v>24090</v>
      </c>
      <c r="AF10" s="853">
        <v>0.25</v>
      </c>
      <c r="AG10" s="854">
        <f t="shared" si="4"/>
        <v>14971657.18490365</v>
      </c>
      <c r="AH10" s="853"/>
      <c r="AI10" s="855">
        <f t="shared" si="5"/>
        <v>0</v>
      </c>
      <c r="AJ10" s="845" t="s">
        <v>140</v>
      </c>
      <c r="AK10" s="857">
        <v>45226</v>
      </c>
      <c r="AL10" s="840"/>
      <c r="AM10" s="840"/>
      <c r="AN10" s="858"/>
      <c r="AO10" s="844" t="s">
        <v>141</v>
      </c>
      <c r="AP10" s="859"/>
      <c r="AQ10" s="859" t="s">
        <v>142</v>
      </c>
      <c r="AR10" s="859"/>
      <c r="AS10" s="840"/>
      <c r="AT10" s="840"/>
      <c r="AU10" s="860"/>
      <c r="AV10" s="839" t="s">
        <v>143</v>
      </c>
      <c r="AW10" s="861">
        <v>45269</v>
      </c>
      <c r="AX10" s="862" t="s">
        <v>144</v>
      </c>
      <c r="AY10" s="843"/>
      <c r="AZ10" s="842"/>
      <c r="BA10" s="842" t="s">
        <v>120</v>
      </c>
      <c r="BB10" s="863" t="s">
        <v>121</v>
      </c>
      <c r="BC10" s="864">
        <v>45150</v>
      </c>
      <c r="BD10" s="860" t="s">
        <v>145</v>
      </c>
      <c r="BE10" s="865" cm="1">
        <f t="array" ref="BE10">IF(BD10="","",AC10/SUMPRODUCT(--(BD10=$BD$4:$BD$12824),$AC$4:$AC$12824))</f>
        <v>0.2520157355078404</v>
      </c>
      <c r="BF10" s="458"/>
      <c r="BG10" s="458"/>
      <c r="BH10" s="458"/>
      <c r="BI10" s="458"/>
      <c r="BJ10" s="458"/>
      <c r="BK10" s="458"/>
      <c r="BL10" s="458"/>
      <c r="BM10" s="458"/>
      <c r="BN10" s="458"/>
      <c r="BO10" s="866">
        <f>VLOOKUP(BD10,$BD$4:$BN$12824,3,0)*BE10</f>
        <v>5341866.6586360699</v>
      </c>
      <c r="BP10" s="866"/>
      <c r="BQ10" s="866"/>
      <c r="BR10" s="866">
        <f>VLOOKUP(BD10,$BD$4:$BN$12824,6,0)*BE10</f>
        <v>2683241.7778402376</v>
      </c>
      <c r="BS10" s="866">
        <f>VLOOKUP(BD10,$BD$4:$BN$12824,7,0)*BE10</f>
        <v>113407.08097852817</v>
      </c>
      <c r="BT10" s="866"/>
      <c r="BU10" s="866">
        <f>VLOOKUP(BD10,$BD$4:$BN$12824,9,0)*BE10</f>
        <v>126007.8677539202</v>
      </c>
      <c r="BV10" s="867"/>
      <c r="BW10" s="867">
        <f>VLOOKUP(BD10,$BD$4:$BN$12824,11,0)*BE10</f>
        <v>476309.74010981835</v>
      </c>
      <c r="BX10" s="1146">
        <f t="shared" si="10"/>
        <v>8740833.1253185738</v>
      </c>
      <c r="BY10" s="867">
        <f t="shared" si="9"/>
        <v>78143845.310222223</v>
      </c>
      <c r="BZ10" s="867">
        <f t="shared" si="6"/>
        <v>78143845.310222223</v>
      </c>
      <c r="CA10" s="867">
        <f>_xlfn.MAXIFS($BY$4:$BY$12824,$S$4:$S$12824,$S10)</f>
        <v>78143845.310222223</v>
      </c>
      <c r="CB10" s="1032"/>
      <c r="CF10" s="946">
        <f t="shared" si="7"/>
        <v>54431355</v>
      </c>
    </row>
    <row r="11" spans="1:86">
      <c r="A11" s="1032"/>
      <c r="B11" s="839" t="s">
        <v>98</v>
      </c>
      <c r="C11" s="839" t="s">
        <v>131</v>
      </c>
      <c r="D11" s="839" t="s">
        <v>132</v>
      </c>
      <c r="E11" s="839" t="str">
        <f t="shared" si="0"/>
        <v>SC-NINE UNITED-120923-Ms Thao &amp; Stock</v>
      </c>
      <c r="F11" s="841">
        <v>45181</v>
      </c>
      <c r="G11" s="840" t="s">
        <v>155</v>
      </c>
      <c r="H11" s="842" t="s">
        <v>134</v>
      </c>
      <c r="I11" s="842"/>
      <c r="J11" s="841"/>
      <c r="K11" s="841"/>
      <c r="L11" s="843" t="s">
        <v>106</v>
      </c>
      <c r="M11" s="844" t="s">
        <v>107</v>
      </c>
      <c r="N11" s="841"/>
      <c r="O11" s="841" t="s">
        <v>150</v>
      </c>
      <c r="P11" s="841" t="s">
        <v>156</v>
      </c>
      <c r="Q11" s="843"/>
      <c r="R11" s="845" t="s">
        <v>157</v>
      </c>
      <c r="S11" s="1127" t="s">
        <v>158</v>
      </c>
      <c r="T11" s="843" t="s">
        <v>159</v>
      </c>
      <c r="U11" s="842">
        <v>1</v>
      </c>
      <c r="V11" s="842" t="s">
        <v>8</v>
      </c>
      <c r="W11" s="846"/>
      <c r="X11" s="847">
        <f t="shared" si="1"/>
        <v>0</v>
      </c>
      <c r="Y11" s="848"/>
      <c r="Z11" s="849">
        <v>268.39999999999998</v>
      </c>
      <c r="AA11" s="849"/>
      <c r="AB11" s="849">
        <f t="shared" si="2"/>
        <v>268.39999999999998</v>
      </c>
      <c r="AC11" s="850">
        <f t="shared" si="3"/>
        <v>268.39999999999998</v>
      </c>
      <c r="AD11" s="851"/>
      <c r="AE11" s="852">
        <v>24090</v>
      </c>
      <c r="AF11" s="853">
        <v>0.05</v>
      </c>
      <c r="AG11" s="854">
        <f t="shared" si="4"/>
        <v>355688.67346122058</v>
      </c>
      <c r="AH11" s="853"/>
      <c r="AI11" s="855">
        <f t="shared" si="5"/>
        <v>0</v>
      </c>
      <c r="AJ11" s="845" t="s">
        <v>140</v>
      </c>
      <c r="AK11" s="857">
        <v>45226</v>
      </c>
      <c r="AL11" s="840"/>
      <c r="AM11" s="840"/>
      <c r="AN11" s="858"/>
      <c r="AO11" s="844" t="s">
        <v>141</v>
      </c>
      <c r="AP11" s="859"/>
      <c r="AQ11" s="859" t="s">
        <v>142</v>
      </c>
      <c r="AR11" s="859"/>
      <c r="AS11" s="840"/>
      <c r="AT11" s="840"/>
      <c r="AU11" s="860"/>
      <c r="AV11" s="839" t="s">
        <v>143</v>
      </c>
      <c r="AW11" s="861">
        <v>45269</v>
      </c>
      <c r="AX11" s="862" t="s">
        <v>144</v>
      </c>
      <c r="AY11" s="843"/>
      <c r="AZ11" s="842"/>
      <c r="BA11" s="842" t="s">
        <v>120</v>
      </c>
      <c r="BB11" s="863" t="s">
        <v>121</v>
      </c>
      <c r="BC11" s="864">
        <v>45150</v>
      </c>
      <c r="BD11" s="860" t="s">
        <v>145</v>
      </c>
      <c r="BE11" s="865" cm="1">
        <f t="array" ref="BE11">IF(BD11="","",AC11/SUMPRODUCT(--(BD11=$BD$4:$BD$12824),$AC$4:$AC$12824))</f>
        <v>2.9936279446914963E-2</v>
      </c>
      <c r="BF11" s="458"/>
      <c r="BG11" s="458"/>
      <c r="BH11" s="458"/>
      <c r="BI11" s="458"/>
      <c r="BJ11" s="458"/>
      <c r="BK11" s="458"/>
      <c r="BL11" s="458"/>
      <c r="BM11" s="458"/>
      <c r="BN11" s="458"/>
      <c r="BO11" s="866">
        <f>VLOOKUP(BD11,$BD$4:$BN$12824,3,0)*BE11</f>
        <v>634546.1434732998</v>
      </c>
      <c r="BP11" s="866"/>
      <c r="BQ11" s="866"/>
      <c r="BR11" s="866">
        <f>VLOOKUP(BD11,$BD$4:$BN$12824,6,0)*BE11</f>
        <v>318735.15962483722</v>
      </c>
      <c r="BS11" s="866">
        <f>VLOOKUP(BD11,$BD$4:$BN$12824,7,0)*BE11</f>
        <v>13471.325751111734</v>
      </c>
      <c r="BT11" s="866"/>
      <c r="BU11" s="866">
        <f>VLOOKUP(BD11,$BD$4:$BN$12824,9,0)*BE11</f>
        <v>14968.139723457482</v>
      </c>
      <c r="BV11" s="867"/>
      <c r="BW11" s="867">
        <f>VLOOKUP(BD11,$BD$4:$BN$12824,11,0)*BE11</f>
        <v>56579.568154669279</v>
      </c>
      <c r="BX11" s="1146">
        <f t="shared" si="10"/>
        <v>1038300.3367273755</v>
      </c>
      <c r="BY11" s="867">
        <f t="shared" si="9"/>
        <v>7859745.0101885945</v>
      </c>
      <c r="BZ11" s="867">
        <f t="shared" si="6"/>
        <v>7859745.0101885945</v>
      </c>
      <c r="CA11" s="867">
        <f>_xlfn.MAXIFS($BY$4:$BY$12824,$S$4:$S$12824,$S11)</f>
        <v>7859745.0101885945</v>
      </c>
      <c r="CB11" s="1032"/>
      <c r="CF11" s="946">
        <f t="shared" si="7"/>
        <v>6465755.9999999991</v>
      </c>
    </row>
    <row r="12" spans="1:86">
      <c r="A12" s="1032"/>
      <c r="B12" s="839" t="s">
        <v>98</v>
      </c>
      <c r="C12" s="839" t="s">
        <v>131</v>
      </c>
      <c r="D12" s="839" t="s">
        <v>132</v>
      </c>
      <c r="E12" s="839" t="str">
        <f t="shared" si="0"/>
        <v>SC-NINE UNITED-120923-Ms Thao &amp; Stock</v>
      </c>
      <c r="F12" s="841">
        <v>45181</v>
      </c>
      <c r="G12" s="840" t="s">
        <v>155</v>
      </c>
      <c r="H12" s="842" t="s">
        <v>134</v>
      </c>
      <c r="I12" s="842"/>
      <c r="J12" s="841"/>
      <c r="K12" s="841"/>
      <c r="L12" s="843" t="s">
        <v>106</v>
      </c>
      <c r="M12" s="844" t="s">
        <v>107</v>
      </c>
      <c r="N12" s="841"/>
      <c r="O12" s="841" t="s">
        <v>108</v>
      </c>
      <c r="P12" s="841" t="s">
        <v>160</v>
      </c>
      <c r="Q12" s="843"/>
      <c r="R12" s="845" t="s">
        <v>161</v>
      </c>
      <c r="S12" s="1127" t="s">
        <v>162</v>
      </c>
      <c r="T12" s="843" t="s">
        <v>163</v>
      </c>
      <c r="U12" s="842">
        <v>6</v>
      </c>
      <c r="V12" s="842" t="s">
        <v>8</v>
      </c>
      <c r="W12" s="846"/>
      <c r="X12" s="847">
        <f t="shared" si="1"/>
        <v>0</v>
      </c>
      <c r="Y12" s="848"/>
      <c r="Z12" s="849">
        <v>100.1</v>
      </c>
      <c r="AA12" s="849"/>
      <c r="AB12" s="849">
        <f t="shared" si="2"/>
        <v>600.59999999999991</v>
      </c>
      <c r="AC12" s="850">
        <f t="shared" si="3"/>
        <v>600.59999999999991</v>
      </c>
      <c r="AD12" s="851"/>
      <c r="AE12" s="852">
        <v>24090</v>
      </c>
      <c r="AF12" s="853">
        <v>0</v>
      </c>
      <c r="AG12" s="854">
        <f t="shared" si="4"/>
        <v>0</v>
      </c>
      <c r="AH12" s="853"/>
      <c r="AI12" s="855">
        <f t="shared" si="5"/>
        <v>0</v>
      </c>
      <c r="AJ12" s="845" t="s">
        <v>140</v>
      </c>
      <c r="AK12" s="857">
        <v>45226</v>
      </c>
      <c r="AL12" s="840"/>
      <c r="AM12" s="840"/>
      <c r="AN12" s="858"/>
      <c r="AO12" s="844" t="s">
        <v>141</v>
      </c>
      <c r="AP12" s="859"/>
      <c r="AQ12" s="859" t="s">
        <v>142</v>
      </c>
      <c r="AR12" s="859"/>
      <c r="AS12" s="840"/>
      <c r="AT12" s="840"/>
      <c r="AU12" s="860"/>
      <c r="AV12" s="839" t="s">
        <v>143</v>
      </c>
      <c r="AW12" s="861">
        <v>45269</v>
      </c>
      <c r="AX12" s="862" t="s">
        <v>144</v>
      </c>
      <c r="AY12" s="843"/>
      <c r="AZ12" s="842"/>
      <c r="BA12" s="842" t="s">
        <v>120</v>
      </c>
      <c r="BB12" s="863" t="s">
        <v>121</v>
      </c>
      <c r="BC12" s="864">
        <v>45269</v>
      </c>
      <c r="BD12" s="860" t="s">
        <v>145</v>
      </c>
      <c r="BE12" s="865" cm="1">
        <f t="array" ref="BE12">IF(BD12="","",AC12/SUMPRODUCT(--(BD12=$BD$4:$BD$12824),$AC$4:$AC$12824))</f>
        <v>6.6988559745965445E-2</v>
      </c>
      <c r="BF12" s="458"/>
      <c r="BG12" s="458"/>
      <c r="BH12" s="458"/>
      <c r="BI12" s="458"/>
      <c r="BJ12" s="458"/>
      <c r="BK12" s="458"/>
      <c r="BL12" s="458"/>
      <c r="BM12" s="458"/>
      <c r="BN12" s="458"/>
      <c r="BO12" s="866">
        <f>VLOOKUP(BD12,$BD$4:$BN$12824,3,0)*BE12</f>
        <v>1419927.0259689414</v>
      </c>
      <c r="BP12" s="866"/>
      <c r="BQ12" s="866"/>
      <c r="BR12" s="866">
        <f>VLOOKUP(BD12,$BD$4:$BN$12824,6,0)*BE12</f>
        <v>713235.2342424636</v>
      </c>
      <c r="BS12" s="866">
        <f>VLOOKUP(BD12,$BD$4:$BN$12824,7,0)*BE12</f>
        <v>30144.851885684449</v>
      </c>
      <c r="BT12" s="866"/>
      <c r="BU12" s="866">
        <f>VLOOKUP(BD12,$BD$4:$BN$12824,9,0)*BE12</f>
        <v>33494.279872982719</v>
      </c>
      <c r="BV12" s="867"/>
      <c r="BW12" s="867">
        <f>VLOOKUP(BD12,$BD$4:$BN$12824,11,0)*BE12</f>
        <v>126608.37791987469</v>
      </c>
      <c r="BX12" s="1146">
        <f t="shared" si="10"/>
        <v>2323409.7698899466</v>
      </c>
      <c r="BY12" s="867">
        <f t="shared" si="9"/>
        <v>2798643.961648324</v>
      </c>
      <c r="BZ12" s="867">
        <f t="shared" si="6"/>
        <v>16791863.769889943</v>
      </c>
      <c r="CA12" s="867">
        <f>_xlfn.MAXIFS($BY$4:$BY$12824,$S$4:$S$12824,$S12)</f>
        <v>4101317.8229847006</v>
      </c>
      <c r="CB12" s="1032"/>
      <c r="CF12" s="946">
        <f t="shared" si="7"/>
        <v>14468453.999999998</v>
      </c>
    </row>
    <row r="13" spans="1:86">
      <c r="A13" s="1032"/>
      <c r="B13" s="839" t="s">
        <v>98</v>
      </c>
      <c r="C13" s="839" t="s">
        <v>131</v>
      </c>
      <c r="D13" s="839" t="s">
        <v>132</v>
      </c>
      <c r="E13" s="839" t="str">
        <f t="shared" si="0"/>
        <v>SC-NINE UNITED-120923-Ms Thao &amp; Stock</v>
      </c>
      <c r="F13" s="841">
        <v>45181</v>
      </c>
      <c r="G13" s="840" t="s">
        <v>155</v>
      </c>
      <c r="H13" s="842" t="s">
        <v>134</v>
      </c>
      <c r="I13" s="842"/>
      <c r="J13" s="841"/>
      <c r="K13" s="841"/>
      <c r="L13" s="843" t="s">
        <v>106</v>
      </c>
      <c r="M13" s="844" t="s">
        <v>107</v>
      </c>
      <c r="N13" s="841"/>
      <c r="O13" s="841" t="s">
        <v>108</v>
      </c>
      <c r="P13" s="841" t="s">
        <v>160</v>
      </c>
      <c r="Q13" s="843"/>
      <c r="R13" s="845" t="s">
        <v>164</v>
      </c>
      <c r="S13" s="1127" t="s">
        <v>165</v>
      </c>
      <c r="T13" s="843" t="s">
        <v>166</v>
      </c>
      <c r="U13" s="842">
        <v>2</v>
      </c>
      <c r="V13" s="842" t="s">
        <v>8</v>
      </c>
      <c r="W13" s="846"/>
      <c r="X13" s="847">
        <f t="shared" si="1"/>
        <v>0</v>
      </c>
      <c r="Y13" s="848"/>
      <c r="Z13" s="849">
        <v>100.1</v>
      </c>
      <c r="AA13" s="849"/>
      <c r="AB13" s="849">
        <f t="shared" si="2"/>
        <v>200.2</v>
      </c>
      <c r="AC13" s="850">
        <f t="shared" si="3"/>
        <v>200.2</v>
      </c>
      <c r="AD13" s="851"/>
      <c r="AE13" s="852">
        <v>24090</v>
      </c>
      <c r="AF13" s="853">
        <v>0</v>
      </c>
      <c r="AG13" s="854">
        <f t="shared" si="4"/>
        <v>0</v>
      </c>
      <c r="AH13" s="853"/>
      <c r="AI13" s="855">
        <f t="shared" si="5"/>
        <v>0</v>
      </c>
      <c r="AJ13" s="845" t="s">
        <v>140</v>
      </c>
      <c r="AK13" s="857">
        <v>45226</v>
      </c>
      <c r="AL13" s="840"/>
      <c r="AM13" s="840"/>
      <c r="AN13" s="858"/>
      <c r="AO13" s="844" t="s">
        <v>141</v>
      </c>
      <c r="AP13" s="859"/>
      <c r="AQ13" s="859" t="s">
        <v>142</v>
      </c>
      <c r="AR13" s="859"/>
      <c r="AS13" s="840"/>
      <c r="AT13" s="840"/>
      <c r="AU13" s="860"/>
      <c r="AV13" s="839" t="s">
        <v>143</v>
      </c>
      <c r="AW13" s="861">
        <v>45269</v>
      </c>
      <c r="AX13" s="862" t="s">
        <v>144</v>
      </c>
      <c r="AY13" s="843"/>
      <c r="AZ13" s="842"/>
      <c r="BA13" s="842" t="s">
        <v>120</v>
      </c>
      <c r="BB13" s="863" t="s">
        <v>121</v>
      </c>
      <c r="BC13" s="864">
        <v>45269</v>
      </c>
      <c r="BD13" s="860" t="s">
        <v>145</v>
      </c>
      <c r="BE13" s="865" cm="1">
        <f t="array" ref="BE13">IF(BD13="","",AC13/SUMPRODUCT(--(BD13=$BD$4:$BD$12824),$AC$4:$AC$12824))</f>
        <v>2.2329519915321817E-2</v>
      </c>
      <c r="BF13" s="458"/>
      <c r="BG13" s="458"/>
      <c r="BH13" s="458"/>
      <c r="BI13" s="458"/>
      <c r="BJ13" s="458"/>
      <c r="BK13" s="458"/>
      <c r="BL13" s="458"/>
      <c r="BM13" s="458"/>
      <c r="BN13" s="458"/>
      <c r="BO13" s="866">
        <f>VLOOKUP(BD13,$BD$4:$BN$12824,3,0)*BE13</f>
        <v>473309.00865631382</v>
      </c>
      <c r="BP13" s="866"/>
      <c r="BQ13" s="866"/>
      <c r="BR13" s="866">
        <f>VLOOKUP(BD13,$BD$4:$BN$12824,6,0)*BE13</f>
        <v>237745.07808082123</v>
      </c>
      <c r="BS13" s="866">
        <f>VLOOKUP(BD13,$BD$4:$BN$12824,7,0)*BE13</f>
        <v>10048.283961894818</v>
      </c>
      <c r="BT13" s="866"/>
      <c r="BU13" s="866">
        <f>VLOOKUP(BD13,$BD$4:$BN$12824,9,0)*BE13</f>
        <v>11164.759957660908</v>
      </c>
      <c r="BV13" s="867"/>
      <c r="BW13" s="867">
        <f>VLOOKUP(BD13,$BD$4:$BN$12824,11,0)*BE13</f>
        <v>42202.792639958236</v>
      </c>
      <c r="BX13" s="1146">
        <f t="shared" si="10"/>
        <v>774469.92329664901</v>
      </c>
      <c r="BY13" s="867">
        <f t="shared" si="9"/>
        <v>2798643.9616483245</v>
      </c>
      <c r="BZ13" s="867">
        <f t="shared" si="6"/>
        <v>5597287.923296649</v>
      </c>
      <c r="CA13" s="867">
        <f>_xlfn.MAXIFS($BY$4:$BY$12824,$S$4:$S$12824,$S13)</f>
        <v>2798643.9616483245</v>
      </c>
      <c r="CB13" s="1032"/>
      <c r="CF13" s="946">
        <f t="shared" si="7"/>
        <v>4822818</v>
      </c>
    </row>
    <row r="14" spans="1:86">
      <c r="A14" s="1032"/>
      <c r="B14" s="839" t="s">
        <v>98</v>
      </c>
      <c r="C14" s="839" t="s">
        <v>131</v>
      </c>
      <c r="D14" s="839" t="s">
        <v>132</v>
      </c>
      <c r="E14" s="839" t="str">
        <f t="shared" si="0"/>
        <v>SC-NINE UNITED-120923-Ms Thao &amp; Stock</v>
      </c>
      <c r="F14" s="841">
        <v>45181</v>
      </c>
      <c r="G14" s="840" t="s">
        <v>155</v>
      </c>
      <c r="H14" s="842" t="s">
        <v>134</v>
      </c>
      <c r="I14" s="842"/>
      <c r="J14" s="841"/>
      <c r="K14" s="841"/>
      <c r="L14" s="843" t="s">
        <v>106</v>
      </c>
      <c r="M14" s="844" t="s">
        <v>107</v>
      </c>
      <c r="N14" s="841"/>
      <c r="O14" s="841" t="s">
        <v>108</v>
      </c>
      <c r="P14" s="841" t="s">
        <v>160</v>
      </c>
      <c r="Q14" s="843"/>
      <c r="R14" s="845" t="s">
        <v>167</v>
      </c>
      <c r="S14" s="1127" t="s">
        <v>168</v>
      </c>
      <c r="T14" s="843" t="s">
        <v>169</v>
      </c>
      <c r="U14" s="842">
        <v>2</v>
      </c>
      <c r="V14" s="842" t="s">
        <v>8</v>
      </c>
      <c r="W14" s="846"/>
      <c r="X14" s="847">
        <f t="shared" si="1"/>
        <v>0</v>
      </c>
      <c r="Y14" s="848"/>
      <c r="Z14" s="849">
        <v>100.1</v>
      </c>
      <c r="AA14" s="849"/>
      <c r="AB14" s="849">
        <f t="shared" si="2"/>
        <v>200.2</v>
      </c>
      <c r="AC14" s="850">
        <f t="shared" si="3"/>
        <v>200.2</v>
      </c>
      <c r="AD14" s="851"/>
      <c r="AE14" s="852">
        <v>24090</v>
      </c>
      <c r="AF14" s="853">
        <v>0</v>
      </c>
      <c r="AG14" s="854">
        <f t="shared" si="4"/>
        <v>0</v>
      </c>
      <c r="AH14" s="853"/>
      <c r="AI14" s="855">
        <f t="shared" si="5"/>
        <v>0</v>
      </c>
      <c r="AJ14" s="845" t="s">
        <v>140</v>
      </c>
      <c r="AK14" s="857">
        <v>45226</v>
      </c>
      <c r="AL14" s="840"/>
      <c r="AM14" s="840"/>
      <c r="AN14" s="858"/>
      <c r="AO14" s="844" t="s">
        <v>141</v>
      </c>
      <c r="AP14" s="859"/>
      <c r="AQ14" s="859" t="s">
        <v>142</v>
      </c>
      <c r="AR14" s="859"/>
      <c r="AS14" s="840"/>
      <c r="AT14" s="840"/>
      <c r="AU14" s="860"/>
      <c r="AV14" s="839" t="s">
        <v>143</v>
      </c>
      <c r="AW14" s="861">
        <v>45269</v>
      </c>
      <c r="AX14" s="862" t="s">
        <v>144</v>
      </c>
      <c r="AY14" s="843"/>
      <c r="AZ14" s="842"/>
      <c r="BA14" s="842" t="s">
        <v>120</v>
      </c>
      <c r="BB14" s="863" t="s">
        <v>121</v>
      </c>
      <c r="BC14" s="864">
        <v>45269</v>
      </c>
      <c r="BD14" s="860" t="s">
        <v>145</v>
      </c>
      <c r="BE14" s="865" cm="1">
        <f t="array" ref="BE14">IF(BD14="","",AC14/SUMPRODUCT(--(BD14=$BD$4:$BD$12824),$AC$4:$AC$12824))</f>
        <v>2.2329519915321817E-2</v>
      </c>
      <c r="BF14" s="458"/>
      <c r="BG14" s="458"/>
      <c r="BH14" s="458"/>
      <c r="BI14" s="458"/>
      <c r="BJ14" s="458"/>
      <c r="BK14" s="458"/>
      <c r="BL14" s="458"/>
      <c r="BM14" s="458"/>
      <c r="BN14" s="458"/>
      <c r="BO14" s="866">
        <f>VLOOKUP(BD14,$BD$4:$BN$12824,3,0)*BE14</f>
        <v>473309.00865631382</v>
      </c>
      <c r="BP14" s="866"/>
      <c r="BQ14" s="866"/>
      <c r="BR14" s="866">
        <f>VLOOKUP(BD14,$BD$4:$BN$12824,6,0)*BE14</f>
        <v>237745.07808082123</v>
      </c>
      <c r="BS14" s="866">
        <f>VLOOKUP(BD14,$BD$4:$BN$12824,7,0)*BE14</f>
        <v>10048.283961894818</v>
      </c>
      <c r="BT14" s="866"/>
      <c r="BU14" s="866">
        <f>VLOOKUP(BD14,$BD$4:$BN$12824,9,0)*BE14</f>
        <v>11164.759957660908</v>
      </c>
      <c r="BV14" s="867"/>
      <c r="BW14" s="867">
        <f>VLOOKUP(BD14,$BD$4:$BN$12824,11,0)*BE14</f>
        <v>42202.792639958236</v>
      </c>
      <c r="BX14" s="1146">
        <f t="shared" si="10"/>
        <v>774469.92329664901</v>
      </c>
      <c r="BY14" s="867">
        <f t="shared" si="9"/>
        <v>2798643.9616483245</v>
      </c>
      <c r="BZ14" s="867">
        <f t="shared" si="6"/>
        <v>5597287.923296649</v>
      </c>
      <c r="CA14" s="867">
        <f>_xlfn.MAXIFS($BY$4:$BY$12824,$S$4:$S$12824,$S14)</f>
        <v>2798643.9616483245</v>
      </c>
      <c r="CB14" s="1032"/>
      <c r="CF14" s="946">
        <f t="shared" si="7"/>
        <v>4822818</v>
      </c>
    </row>
    <row r="15" spans="1:86">
      <c r="A15" s="1032"/>
      <c r="B15" s="839" t="s">
        <v>98</v>
      </c>
      <c r="C15" s="839" t="s">
        <v>131</v>
      </c>
      <c r="D15" s="839" t="s">
        <v>132</v>
      </c>
      <c r="E15" s="839" t="str">
        <f t="shared" si="0"/>
        <v>SC-NINE UNITED-120923-Ms Thao &amp; Stock</v>
      </c>
      <c r="F15" s="841">
        <v>45181</v>
      </c>
      <c r="G15" s="840" t="s">
        <v>155</v>
      </c>
      <c r="H15" s="842" t="s">
        <v>134</v>
      </c>
      <c r="I15" s="842"/>
      <c r="J15" s="841"/>
      <c r="K15" s="841"/>
      <c r="L15" s="843" t="s">
        <v>106</v>
      </c>
      <c r="M15" s="844" t="s">
        <v>107</v>
      </c>
      <c r="N15" s="841"/>
      <c r="O15" s="841" t="s">
        <v>108</v>
      </c>
      <c r="P15" s="841" t="s">
        <v>160</v>
      </c>
      <c r="Q15" s="843"/>
      <c r="R15" s="845" t="s">
        <v>170</v>
      </c>
      <c r="S15" s="1127" t="s">
        <v>171</v>
      </c>
      <c r="T15" s="843" t="s">
        <v>172</v>
      </c>
      <c r="U15" s="842">
        <v>2</v>
      </c>
      <c r="V15" s="842" t="s">
        <v>8</v>
      </c>
      <c r="W15" s="846"/>
      <c r="X15" s="847">
        <f t="shared" si="1"/>
        <v>0</v>
      </c>
      <c r="Y15" s="848"/>
      <c r="Z15" s="849">
        <v>100.1</v>
      </c>
      <c r="AA15" s="849"/>
      <c r="AB15" s="849">
        <f t="shared" si="2"/>
        <v>200.2</v>
      </c>
      <c r="AC15" s="850">
        <f t="shared" si="3"/>
        <v>200.2</v>
      </c>
      <c r="AD15" s="851"/>
      <c r="AE15" s="852">
        <v>24090</v>
      </c>
      <c r="AF15" s="853">
        <v>0</v>
      </c>
      <c r="AG15" s="854">
        <f t="shared" si="4"/>
        <v>0</v>
      </c>
      <c r="AH15" s="853"/>
      <c r="AI15" s="855">
        <f t="shared" si="5"/>
        <v>0</v>
      </c>
      <c r="AJ15" s="845" t="s">
        <v>140</v>
      </c>
      <c r="AK15" s="857">
        <v>45226</v>
      </c>
      <c r="AL15" s="840"/>
      <c r="AM15" s="840"/>
      <c r="AN15" s="858"/>
      <c r="AO15" s="844" t="s">
        <v>141</v>
      </c>
      <c r="AP15" s="859"/>
      <c r="AQ15" s="859" t="s">
        <v>142</v>
      </c>
      <c r="AR15" s="859"/>
      <c r="AS15" s="840"/>
      <c r="AT15" s="840"/>
      <c r="AU15" s="860"/>
      <c r="AV15" s="839" t="s">
        <v>143</v>
      </c>
      <c r="AW15" s="861">
        <v>45269</v>
      </c>
      <c r="AX15" s="862" t="s">
        <v>144</v>
      </c>
      <c r="AY15" s="843"/>
      <c r="AZ15" s="842"/>
      <c r="BA15" s="842" t="s">
        <v>120</v>
      </c>
      <c r="BB15" s="863" t="s">
        <v>121</v>
      </c>
      <c r="BC15" s="864">
        <v>45269</v>
      </c>
      <c r="BD15" s="860" t="s">
        <v>145</v>
      </c>
      <c r="BE15" s="865" cm="1">
        <f t="array" ref="BE15">IF(BD15="","",AC15/SUMPRODUCT(--(BD15=$BD$4:$BD$12824),$AC$4:$AC$12824))</f>
        <v>2.2329519915321817E-2</v>
      </c>
      <c r="BF15" s="458"/>
      <c r="BG15" s="458"/>
      <c r="BH15" s="458"/>
      <c r="BI15" s="458"/>
      <c r="BJ15" s="458"/>
      <c r="BK15" s="458"/>
      <c r="BL15" s="458"/>
      <c r="BM15" s="458"/>
      <c r="BN15" s="458"/>
      <c r="BO15" s="866">
        <f>VLOOKUP(BD15,$BD$4:$BN$12824,3,0)*BE15</f>
        <v>473309.00865631382</v>
      </c>
      <c r="BP15" s="866"/>
      <c r="BQ15" s="866"/>
      <c r="BR15" s="866">
        <f>VLOOKUP(BD15,$BD$4:$BN$12824,6,0)*BE15</f>
        <v>237745.07808082123</v>
      </c>
      <c r="BS15" s="866">
        <f>VLOOKUP(BD15,$BD$4:$BN$12824,7,0)*BE15</f>
        <v>10048.283961894818</v>
      </c>
      <c r="BT15" s="866"/>
      <c r="BU15" s="866">
        <f>VLOOKUP(BD15,$BD$4:$BN$12824,9,0)*BE15</f>
        <v>11164.759957660908</v>
      </c>
      <c r="BV15" s="867"/>
      <c r="BW15" s="867">
        <f>VLOOKUP(BD15,$BD$4:$BN$12824,11,0)*BE15</f>
        <v>42202.792639958236</v>
      </c>
      <c r="BX15" s="1146">
        <f t="shared" si="10"/>
        <v>774469.92329664901</v>
      </c>
      <c r="BY15" s="867">
        <f t="shared" si="9"/>
        <v>2798643.9616483245</v>
      </c>
      <c r="BZ15" s="867">
        <f t="shared" si="6"/>
        <v>5597287.923296649</v>
      </c>
      <c r="CA15" s="867">
        <f>_xlfn.MAXIFS($BY$4:$BY$12824,$S$4:$S$12824,$S15)</f>
        <v>4101317.822984701</v>
      </c>
      <c r="CB15" s="1032"/>
      <c r="CF15" s="946">
        <f t="shared" si="7"/>
        <v>4822818</v>
      </c>
    </row>
    <row r="16" spans="1:86">
      <c r="A16" s="1032"/>
      <c r="B16" s="839" t="s">
        <v>98</v>
      </c>
      <c r="C16" s="839" t="s">
        <v>131</v>
      </c>
      <c r="D16" s="839" t="s">
        <v>132</v>
      </c>
      <c r="E16" s="839" t="str">
        <f t="shared" si="0"/>
        <v>SC-NINE UNITED-120923-Ms Thao &amp; Stock</v>
      </c>
      <c r="F16" s="841">
        <v>45181</v>
      </c>
      <c r="G16" s="840" t="s">
        <v>155</v>
      </c>
      <c r="H16" s="842" t="s">
        <v>134</v>
      </c>
      <c r="I16" s="842"/>
      <c r="J16" s="841"/>
      <c r="K16" s="841"/>
      <c r="L16" s="843" t="s">
        <v>106</v>
      </c>
      <c r="M16" s="844" t="s">
        <v>107</v>
      </c>
      <c r="N16" s="841"/>
      <c r="O16" s="841" t="s">
        <v>108</v>
      </c>
      <c r="P16" s="841" t="s">
        <v>160</v>
      </c>
      <c r="Q16" s="843"/>
      <c r="R16" s="845" t="s">
        <v>173</v>
      </c>
      <c r="S16" s="1127" t="s">
        <v>174</v>
      </c>
      <c r="T16" s="843" t="s">
        <v>175</v>
      </c>
      <c r="U16" s="842">
        <v>6</v>
      </c>
      <c r="V16" s="842" t="s">
        <v>8</v>
      </c>
      <c r="W16" s="846"/>
      <c r="X16" s="847">
        <f t="shared" si="1"/>
        <v>0</v>
      </c>
      <c r="Y16" s="848"/>
      <c r="Z16" s="849">
        <v>100.1</v>
      </c>
      <c r="AA16" s="849"/>
      <c r="AB16" s="849">
        <f t="shared" si="2"/>
        <v>600.59999999999991</v>
      </c>
      <c r="AC16" s="850">
        <f t="shared" si="3"/>
        <v>600.59999999999991</v>
      </c>
      <c r="AD16" s="851"/>
      <c r="AE16" s="852">
        <v>24090</v>
      </c>
      <c r="AF16" s="853">
        <v>0</v>
      </c>
      <c r="AG16" s="854">
        <f t="shared" si="4"/>
        <v>0</v>
      </c>
      <c r="AH16" s="853"/>
      <c r="AI16" s="855">
        <f t="shared" si="5"/>
        <v>0</v>
      </c>
      <c r="AJ16" s="845" t="s">
        <v>140</v>
      </c>
      <c r="AK16" s="857">
        <v>45226</v>
      </c>
      <c r="AL16" s="840"/>
      <c r="AM16" s="840"/>
      <c r="AN16" s="858"/>
      <c r="AO16" s="844" t="s">
        <v>141</v>
      </c>
      <c r="AP16" s="859"/>
      <c r="AQ16" s="859" t="s">
        <v>142</v>
      </c>
      <c r="AR16" s="859"/>
      <c r="AS16" s="840"/>
      <c r="AT16" s="840"/>
      <c r="AU16" s="860"/>
      <c r="AV16" s="839" t="s">
        <v>143</v>
      </c>
      <c r="AW16" s="861">
        <v>45269</v>
      </c>
      <c r="AX16" s="862" t="s">
        <v>144</v>
      </c>
      <c r="AY16" s="843"/>
      <c r="AZ16" s="842"/>
      <c r="BA16" s="842" t="s">
        <v>120</v>
      </c>
      <c r="BB16" s="863" t="s">
        <v>121</v>
      </c>
      <c r="BC16" s="864">
        <v>45269</v>
      </c>
      <c r="BD16" s="860" t="s">
        <v>145</v>
      </c>
      <c r="BE16" s="865" cm="1">
        <f t="array" ref="BE16">IF(BD16="","",AC16/SUMPRODUCT(--(BD16=$BD$4:$BD$12824),$AC$4:$AC$12824))</f>
        <v>6.6988559745965445E-2</v>
      </c>
      <c r="BF16" s="458"/>
      <c r="BG16" s="458"/>
      <c r="BH16" s="458"/>
      <c r="BI16" s="458"/>
      <c r="BJ16" s="458"/>
      <c r="BK16" s="458"/>
      <c r="BL16" s="458"/>
      <c r="BM16" s="458"/>
      <c r="BN16" s="458"/>
      <c r="BO16" s="866">
        <f>VLOOKUP(BD16,$BD$4:$BN$12824,3,0)*BE16</f>
        <v>1419927.0259689414</v>
      </c>
      <c r="BP16" s="866"/>
      <c r="BQ16" s="866"/>
      <c r="BR16" s="866">
        <f>VLOOKUP(BD16,$BD$4:$BN$12824,6,0)*BE16</f>
        <v>713235.2342424636</v>
      </c>
      <c r="BS16" s="866">
        <f>VLOOKUP(BD16,$BD$4:$BN$12824,7,0)*BE16</f>
        <v>30144.851885684449</v>
      </c>
      <c r="BT16" s="866"/>
      <c r="BU16" s="866">
        <f>VLOOKUP(BD16,$BD$4:$BN$12824,9,0)*BE16</f>
        <v>33494.279872982719</v>
      </c>
      <c r="BV16" s="867"/>
      <c r="BW16" s="867">
        <f>VLOOKUP(BD16,$BD$4:$BN$12824,11,0)*BE16</f>
        <v>126608.37791987469</v>
      </c>
      <c r="BX16" s="1146">
        <f t="shared" si="10"/>
        <v>2323409.7698899466</v>
      </c>
      <c r="BY16" s="867">
        <f t="shared" si="9"/>
        <v>2798643.961648324</v>
      </c>
      <c r="BZ16" s="867">
        <f t="shared" si="6"/>
        <v>16791863.769889943</v>
      </c>
      <c r="CA16" s="867">
        <f>_xlfn.MAXIFS($BY$4:$BY$12824,$S$4:$S$12824,$S16)</f>
        <v>4101317.8229847006</v>
      </c>
      <c r="CB16" s="1032"/>
      <c r="CF16" s="946">
        <f t="shared" si="7"/>
        <v>14468453.999999998</v>
      </c>
    </row>
    <row r="17" spans="1:84">
      <c r="A17" s="1032"/>
      <c r="B17" s="839" t="s">
        <v>98</v>
      </c>
      <c r="C17" s="839" t="s">
        <v>131</v>
      </c>
      <c r="D17" s="839" t="s">
        <v>132</v>
      </c>
      <c r="E17" s="839" t="str">
        <f t="shared" si="0"/>
        <v>SC-NINE UNITED-120923-Ms Thao &amp; Stock</v>
      </c>
      <c r="F17" s="841">
        <v>45181</v>
      </c>
      <c r="G17" s="840" t="s">
        <v>155</v>
      </c>
      <c r="H17" s="842" t="s">
        <v>134</v>
      </c>
      <c r="I17" s="842"/>
      <c r="J17" s="841"/>
      <c r="K17" s="841"/>
      <c r="L17" s="843" t="s">
        <v>106</v>
      </c>
      <c r="M17" s="844" t="s">
        <v>107</v>
      </c>
      <c r="N17" s="841"/>
      <c r="O17" s="841" t="s">
        <v>150</v>
      </c>
      <c r="P17" s="841" t="s">
        <v>156</v>
      </c>
      <c r="Q17" s="843"/>
      <c r="R17" s="845" t="s">
        <v>176</v>
      </c>
      <c r="S17" s="1127" t="s">
        <v>177</v>
      </c>
      <c r="T17" s="843" t="s">
        <v>178</v>
      </c>
      <c r="U17" s="842">
        <v>1</v>
      </c>
      <c r="V17" s="842" t="s">
        <v>8</v>
      </c>
      <c r="W17" s="846"/>
      <c r="X17" s="847">
        <f t="shared" si="1"/>
        <v>0</v>
      </c>
      <c r="Y17" s="848"/>
      <c r="Z17" s="849">
        <v>251.9</v>
      </c>
      <c r="AA17" s="849"/>
      <c r="AB17" s="849">
        <f t="shared" si="2"/>
        <v>251.9</v>
      </c>
      <c r="AC17" s="850">
        <f t="shared" si="3"/>
        <v>251.9</v>
      </c>
      <c r="AD17" s="851"/>
      <c r="AE17" s="852">
        <v>24090</v>
      </c>
      <c r="AF17" s="853">
        <v>0.05</v>
      </c>
      <c r="AG17" s="854">
        <f t="shared" si="4"/>
        <v>333822.5664861456</v>
      </c>
      <c r="AH17" s="853"/>
      <c r="AI17" s="855">
        <f t="shared" si="5"/>
        <v>0</v>
      </c>
      <c r="AJ17" s="845" t="s">
        <v>140</v>
      </c>
      <c r="AK17" s="857">
        <v>45226</v>
      </c>
      <c r="AL17" s="840"/>
      <c r="AM17" s="840"/>
      <c r="AN17" s="858"/>
      <c r="AO17" s="844" t="s">
        <v>141</v>
      </c>
      <c r="AP17" s="859"/>
      <c r="AQ17" s="859" t="s">
        <v>142</v>
      </c>
      <c r="AR17" s="859"/>
      <c r="AS17" s="840"/>
      <c r="AT17" s="840"/>
      <c r="AU17" s="860"/>
      <c r="AV17" s="839" t="s">
        <v>143</v>
      </c>
      <c r="AW17" s="861">
        <v>45269</v>
      </c>
      <c r="AX17" s="862" t="s">
        <v>144</v>
      </c>
      <c r="AY17" s="843"/>
      <c r="AZ17" s="842"/>
      <c r="BA17" s="842" t="s">
        <v>120</v>
      </c>
      <c r="BB17" s="863" t="s">
        <v>121</v>
      </c>
      <c r="BC17" s="864">
        <v>45150</v>
      </c>
      <c r="BD17" s="860" t="s">
        <v>145</v>
      </c>
      <c r="BE17" s="865" cm="1">
        <f t="array" ref="BE17">IF(BD17="","",AC17/SUMPRODUCT(--(BD17=$BD$4:$BD$12824),$AC$4:$AC$12824))</f>
        <v>2.809593439894888E-2</v>
      </c>
      <c r="BF17" s="458"/>
      <c r="BG17" s="458"/>
      <c r="BH17" s="458"/>
      <c r="BI17" s="458"/>
      <c r="BJ17" s="458"/>
      <c r="BK17" s="458"/>
      <c r="BL17" s="458"/>
      <c r="BM17" s="458"/>
      <c r="BN17" s="458"/>
      <c r="BO17" s="866">
        <f>VLOOKUP(BD17,$BD$4:$BN$12824,3,0)*BE17</f>
        <v>595537.15924338391</v>
      </c>
      <c r="BP17" s="866"/>
      <c r="BQ17" s="866"/>
      <c r="BR17" s="866">
        <f>VLOOKUP(BD17,$BD$4:$BN$12824,6,0)*BE17</f>
        <v>299140.78505773662</v>
      </c>
      <c r="BS17" s="866">
        <f>VLOOKUP(BD17,$BD$4:$BN$12824,7,0)*BE17</f>
        <v>12643.170479526996</v>
      </c>
      <c r="BT17" s="866"/>
      <c r="BU17" s="866">
        <f>VLOOKUP(BD17,$BD$4:$BN$12824,9,0)*BE17</f>
        <v>14047.96719947444</v>
      </c>
      <c r="BV17" s="867"/>
      <c r="BW17" s="867">
        <f>VLOOKUP(BD17,$BD$4:$BN$12824,11,0)*BE17</f>
        <v>53101.316014013384</v>
      </c>
      <c r="BX17" s="1146">
        <f t="shared" si="10"/>
        <v>974470.39799413527</v>
      </c>
      <c r="BY17" s="867">
        <f t="shared" si="9"/>
        <v>7376563.9644802809</v>
      </c>
      <c r="BZ17" s="867">
        <f t="shared" si="6"/>
        <v>7376563.9644802809</v>
      </c>
      <c r="CA17" s="867">
        <f>_xlfn.MAXIFS($BY$4:$BY$12824,$S$4:$S$12824,$S17)</f>
        <v>7376563.9644802809</v>
      </c>
      <c r="CB17" s="1032"/>
      <c r="CF17" s="946">
        <f t="shared" si="7"/>
        <v>6068271</v>
      </c>
    </row>
    <row r="18" spans="1:84">
      <c r="A18" s="1032"/>
      <c r="B18" s="839" t="s">
        <v>98</v>
      </c>
      <c r="C18" s="839" t="s">
        <v>131</v>
      </c>
      <c r="D18" s="839" t="s">
        <v>132</v>
      </c>
      <c r="E18" s="839" t="str">
        <f t="shared" si="0"/>
        <v>SC-NINE UNITED-120923-Ms Thao &amp; Stock</v>
      </c>
      <c r="F18" s="841">
        <v>45181</v>
      </c>
      <c r="G18" s="840" t="s">
        <v>155</v>
      </c>
      <c r="H18" s="842" t="s">
        <v>134</v>
      </c>
      <c r="I18" s="842"/>
      <c r="J18" s="841"/>
      <c r="K18" s="841"/>
      <c r="L18" s="843" t="s">
        <v>106</v>
      </c>
      <c r="M18" s="844" t="s">
        <v>107</v>
      </c>
      <c r="N18" s="841"/>
      <c r="O18" s="841" t="s">
        <v>150</v>
      </c>
      <c r="P18" s="841" t="s">
        <v>156</v>
      </c>
      <c r="Q18" s="843"/>
      <c r="R18" s="845" t="s">
        <v>179</v>
      </c>
      <c r="S18" s="1127" t="s">
        <v>180</v>
      </c>
      <c r="T18" s="843" t="s">
        <v>181</v>
      </c>
      <c r="U18" s="842">
        <v>1</v>
      </c>
      <c r="V18" s="842" t="s">
        <v>8</v>
      </c>
      <c r="W18" s="846"/>
      <c r="X18" s="847">
        <f t="shared" si="1"/>
        <v>0</v>
      </c>
      <c r="Y18" s="848"/>
      <c r="Z18" s="849">
        <v>251.9</v>
      </c>
      <c r="AA18" s="849"/>
      <c r="AB18" s="849">
        <f t="shared" si="2"/>
        <v>251.9</v>
      </c>
      <c r="AC18" s="850">
        <f t="shared" si="3"/>
        <v>251.9</v>
      </c>
      <c r="AD18" s="851"/>
      <c r="AE18" s="852">
        <v>24090</v>
      </c>
      <c r="AF18" s="853">
        <v>0.05</v>
      </c>
      <c r="AG18" s="854">
        <f t="shared" si="4"/>
        <v>333822.5664861456</v>
      </c>
      <c r="AH18" s="853"/>
      <c r="AI18" s="855">
        <f t="shared" si="5"/>
        <v>0</v>
      </c>
      <c r="AJ18" s="845" t="s">
        <v>140</v>
      </c>
      <c r="AK18" s="857">
        <v>45226</v>
      </c>
      <c r="AL18" s="840"/>
      <c r="AM18" s="840"/>
      <c r="AN18" s="858"/>
      <c r="AO18" s="844" t="s">
        <v>141</v>
      </c>
      <c r="AP18" s="859"/>
      <c r="AQ18" s="859" t="s">
        <v>142</v>
      </c>
      <c r="AR18" s="859"/>
      <c r="AS18" s="840"/>
      <c r="AT18" s="840"/>
      <c r="AU18" s="860"/>
      <c r="AV18" s="839" t="s">
        <v>143</v>
      </c>
      <c r="AW18" s="861">
        <v>45269</v>
      </c>
      <c r="AX18" s="862" t="s">
        <v>144</v>
      </c>
      <c r="AY18" s="843"/>
      <c r="AZ18" s="842"/>
      <c r="BA18" s="842" t="s">
        <v>120</v>
      </c>
      <c r="BB18" s="863" t="s">
        <v>121</v>
      </c>
      <c r="BC18" s="864">
        <v>45150</v>
      </c>
      <c r="BD18" s="860" t="s">
        <v>145</v>
      </c>
      <c r="BE18" s="865" cm="1">
        <f t="array" ref="BE18">IF(BD18="","",AC18/SUMPRODUCT(--(BD18=$BD$4:$BD$12824),$AC$4:$AC$12824))</f>
        <v>2.809593439894888E-2</v>
      </c>
      <c r="BF18" s="458"/>
      <c r="BG18" s="458"/>
      <c r="BH18" s="458"/>
      <c r="BI18" s="458"/>
      <c r="BJ18" s="458"/>
      <c r="BK18" s="458"/>
      <c r="BL18" s="458"/>
      <c r="BM18" s="458"/>
      <c r="BN18" s="458"/>
      <c r="BO18" s="866">
        <f>VLOOKUP(BD18,$BD$4:$BN$12824,3,0)*BE18</f>
        <v>595537.15924338391</v>
      </c>
      <c r="BP18" s="866"/>
      <c r="BQ18" s="866"/>
      <c r="BR18" s="866">
        <f>VLOOKUP(BD18,$BD$4:$BN$12824,6,0)*BE18</f>
        <v>299140.78505773662</v>
      </c>
      <c r="BS18" s="866">
        <f>VLOOKUP(BD18,$BD$4:$BN$12824,7,0)*BE18</f>
        <v>12643.170479526996</v>
      </c>
      <c r="BT18" s="866"/>
      <c r="BU18" s="866">
        <f>VLOOKUP(BD18,$BD$4:$BN$12824,9,0)*BE18</f>
        <v>14047.96719947444</v>
      </c>
      <c r="BV18" s="867"/>
      <c r="BW18" s="867">
        <f>VLOOKUP(BD18,$BD$4:$BN$12824,11,0)*BE18</f>
        <v>53101.316014013384</v>
      </c>
      <c r="BX18" s="1146">
        <f t="shared" si="10"/>
        <v>974470.39799413527</v>
      </c>
      <c r="BY18" s="867">
        <f t="shared" si="9"/>
        <v>7376563.9644802809</v>
      </c>
      <c r="BZ18" s="867">
        <f t="shared" si="6"/>
        <v>7376563.9644802809</v>
      </c>
      <c r="CA18" s="867">
        <f>_xlfn.MAXIFS($BY$4:$BY$12824,$S$4:$S$12824,$S18)</f>
        <v>7376563.9644802809</v>
      </c>
      <c r="CB18" s="1032"/>
      <c r="CF18" s="946">
        <f t="shared" si="7"/>
        <v>6068271</v>
      </c>
    </row>
    <row r="19" spans="1:84">
      <c r="A19" s="1032"/>
      <c r="B19" s="839" t="s">
        <v>98</v>
      </c>
      <c r="C19" s="839" t="s">
        <v>131</v>
      </c>
      <c r="D19" s="839" t="s">
        <v>132</v>
      </c>
      <c r="E19" s="839" t="str">
        <f t="shared" si="0"/>
        <v>SC-NINE UNITED-120923-Ms Thao &amp; Stock</v>
      </c>
      <c r="F19" s="841">
        <v>45181</v>
      </c>
      <c r="G19" s="840" t="s">
        <v>133</v>
      </c>
      <c r="H19" s="842" t="s">
        <v>134</v>
      </c>
      <c r="I19" s="842"/>
      <c r="J19" s="841"/>
      <c r="K19" s="841"/>
      <c r="L19" s="843" t="s">
        <v>106</v>
      </c>
      <c r="M19" s="844" t="s">
        <v>107</v>
      </c>
      <c r="N19" s="841"/>
      <c r="O19" s="841" t="s">
        <v>135</v>
      </c>
      <c r="P19" s="841" t="s">
        <v>182</v>
      </c>
      <c r="Q19" s="843"/>
      <c r="R19" s="845" t="s">
        <v>183</v>
      </c>
      <c r="S19" s="1127" t="s">
        <v>184</v>
      </c>
      <c r="T19" s="843" t="s">
        <v>185</v>
      </c>
      <c r="U19" s="842">
        <v>4</v>
      </c>
      <c r="V19" s="842" t="s">
        <v>8</v>
      </c>
      <c r="W19" s="846"/>
      <c r="X19" s="847">
        <f t="shared" si="1"/>
        <v>0</v>
      </c>
      <c r="Y19" s="848"/>
      <c r="Z19" s="849">
        <v>31.6</v>
      </c>
      <c r="AA19" s="849"/>
      <c r="AB19" s="849">
        <f t="shared" si="2"/>
        <v>126.4</v>
      </c>
      <c r="AC19" s="850">
        <f t="shared" si="3"/>
        <v>126.4</v>
      </c>
      <c r="AD19" s="851"/>
      <c r="AE19" s="852">
        <v>24090</v>
      </c>
      <c r="AF19" s="853">
        <v>0.15</v>
      </c>
      <c r="AG19" s="854">
        <f t="shared" si="4"/>
        <v>502522.89484536077</v>
      </c>
      <c r="AH19" s="853"/>
      <c r="AI19" s="855">
        <f t="shared" si="5"/>
        <v>0</v>
      </c>
      <c r="AJ19" s="845" t="s">
        <v>140</v>
      </c>
      <c r="AK19" s="857">
        <v>45226</v>
      </c>
      <c r="AL19" s="840"/>
      <c r="AM19" s="840"/>
      <c r="AN19" s="858"/>
      <c r="AO19" s="844" t="s">
        <v>141</v>
      </c>
      <c r="AP19" s="859"/>
      <c r="AQ19" s="859" t="s">
        <v>142</v>
      </c>
      <c r="AR19" s="859"/>
      <c r="AS19" s="840"/>
      <c r="AT19" s="840"/>
      <c r="AU19" s="860"/>
      <c r="AV19" s="839" t="s">
        <v>143</v>
      </c>
      <c r="AW19" s="861">
        <v>45269</v>
      </c>
      <c r="AX19" s="862" t="s">
        <v>144</v>
      </c>
      <c r="AY19" s="843"/>
      <c r="AZ19" s="842"/>
      <c r="BA19" s="842" t="s">
        <v>120</v>
      </c>
      <c r="BB19" s="863" t="s">
        <v>121</v>
      </c>
      <c r="BC19" s="864">
        <v>45150</v>
      </c>
      <c r="BD19" s="860" t="s">
        <v>145</v>
      </c>
      <c r="BE19" s="865" cm="1">
        <f t="array" ref="BE19">IF(BD19="","",AC19/SUMPRODUCT(--(BD19=$BD$4:$BD$12824),$AC$4:$AC$12824))</f>
        <v>1.4098158428055334E-2</v>
      </c>
      <c r="BF19" s="458"/>
      <c r="BG19" s="458"/>
      <c r="BH19" s="458"/>
      <c r="BI19" s="458"/>
      <c r="BJ19" s="458"/>
      <c r="BK19" s="458"/>
      <c r="BL19" s="458"/>
      <c r="BM19" s="458"/>
      <c r="BN19" s="458"/>
      <c r="BO19" s="866">
        <f>VLOOKUP(BD19,$BD$4:$BN$12824,3,0)*BE19</f>
        <v>298832.46100978059</v>
      </c>
      <c r="BP19" s="866"/>
      <c r="BQ19" s="866"/>
      <c r="BR19" s="866">
        <f>VLOOKUP(BD19,$BD$4:$BN$12824,6,0)*BE19</f>
        <v>150104.78456251649</v>
      </c>
      <c r="BS19" s="866">
        <f>VLOOKUP(BD19,$BD$4:$BN$12824,7,0)*BE19</f>
        <v>6344.1712926249002</v>
      </c>
      <c r="BT19" s="866"/>
      <c r="BU19" s="866">
        <f>VLOOKUP(BD19,$BD$4:$BN$12824,9,0)*BE19</f>
        <v>7049.0792140276671</v>
      </c>
      <c r="BV19" s="867"/>
      <c r="BW19" s="867">
        <f>VLOOKUP(BD19,$BD$4:$BN$12824,11,0)*BE19</f>
        <v>26645.519429024582</v>
      </c>
      <c r="BX19" s="1146">
        <f t="shared" si="10"/>
        <v>488976.01550797425</v>
      </c>
      <c r="BY19" s="867">
        <f t="shared" si="9"/>
        <v>1009118.7275883338</v>
      </c>
      <c r="BZ19" s="867">
        <f t="shared" si="6"/>
        <v>4036474.9103533351</v>
      </c>
      <c r="CA19" s="867">
        <f>_xlfn.MAXIFS($BY$4:$BY$12824,$S$4:$S$12824,$S19)</f>
        <v>1009118.7275883338</v>
      </c>
      <c r="CB19" s="1032"/>
      <c r="CF19" s="946">
        <f t="shared" si="7"/>
        <v>3044976</v>
      </c>
    </row>
    <row r="20" spans="1:84">
      <c r="A20" s="1032"/>
      <c r="B20" s="839" t="s">
        <v>98</v>
      </c>
      <c r="C20" s="839" t="s">
        <v>131</v>
      </c>
      <c r="D20" s="839" t="s">
        <v>132</v>
      </c>
      <c r="E20" s="839" t="str">
        <f t="shared" si="0"/>
        <v>SC-NINE UNITED-120923-Ms Thao &amp; Stock</v>
      </c>
      <c r="F20" s="841">
        <v>45181</v>
      </c>
      <c r="G20" s="840" t="s">
        <v>133</v>
      </c>
      <c r="H20" s="842" t="s">
        <v>134</v>
      </c>
      <c r="I20" s="842"/>
      <c r="J20" s="841"/>
      <c r="K20" s="841"/>
      <c r="L20" s="843" t="s">
        <v>106</v>
      </c>
      <c r="M20" s="844" t="s">
        <v>107</v>
      </c>
      <c r="N20" s="841"/>
      <c r="O20" s="841" t="s">
        <v>135</v>
      </c>
      <c r="P20" s="841" t="s">
        <v>186</v>
      </c>
      <c r="Q20" s="843"/>
      <c r="R20" s="845" t="s">
        <v>187</v>
      </c>
      <c r="S20" s="1127" t="s">
        <v>188</v>
      </c>
      <c r="T20" s="843" t="s">
        <v>189</v>
      </c>
      <c r="U20" s="842">
        <v>24</v>
      </c>
      <c r="V20" s="842" t="s">
        <v>8</v>
      </c>
      <c r="W20" s="846"/>
      <c r="X20" s="847">
        <f t="shared" si="1"/>
        <v>0</v>
      </c>
      <c r="Y20" s="848"/>
      <c r="Z20" s="849">
        <v>2.4</v>
      </c>
      <c r="AA20" s="849"/>
      <c r="AB20" s="849">
        <f t="shared" si="2"/>
        <v>57.599999999999994</v>
      </c>
      <c r="AC20" s="850">
        <f t="shared" si="3"/>
        <v>57.599999999999994</v>
      </c>
      <c r="AD20" s="851"/>
      <c r="AE20" s="852">
        <v>24090</v>
      </c>
      <c r="AF20" s="853">
        <v>0</v>
      </c>
      <c r="AG20" s="854">
        <f t="shared" si="4"/>
        <v>0</v>
      </c>
      <c r="AH20" s="853"/>
      <c r="AI20" s="855">
        <f t="shared" si="5"/>
        <v>0</v>
      </c>
      <c r="AJ20" s="845" t="s">
        <v>140</v>
      </c>
      <c r="AK20" s="857">
        <v>45226</v>
      </c>
      <c r="AL20" s="840"/>
      <c r="AM20" s="840"/>
      <c r="AN20" s="858"/>
      <c r="AO20" s="844" t="s">
        <v>141</v>
      </c>
      <c r="AP20" s="859"/>
      <c r="AQ20" s="859" t="s">
        <v>142</v>
      </c>
      <c r="AR20" s="859"/>
      <c r="AS20" s="840"/>
      <c r="AT20" s="840"/>
      <c r="AU20" s="860"/>
      <c r="AV20" s="839" t="s">
        <v>143</v>
      </c>
      <c r="AW20" s="861">
        <v>45269</v>
      </c>
      <c r="AX20" s="862" t="s">
        <v>144</v>
      </c>
      <c r="AY20" s="843"/>
      <c r="AZ20" s="842"/>
      <c r="BA20" s="842" t="s">
        <v>120</v>
      </c>
      <c r="BB20" s="863" t="s">
        <v>121</v>
      </c>
      <c r="BC20" s="864">
        <v>45150</v>
      </c>
      <c r="BD20" s="860" t="s">
        <v>145</v>
      </c>
      <c r="BE20" s="865" cm="1">
        <f t="array" ref="BE20">IF(BD20="","",AC20/SUMPRODUCT(--(BD20=$BD$4:$BD$12824),$AC$4:$AC$12824))</f>
        <v>6.4244772583543289E-3</v>
      </c>
      <c r="BF20" s="458"/>
      <c r="BG20" s="458"/>
      <c r="BH20" s="458"/>
      <c r="BI20" s="458"/>
      <c r="BJ20" s="458"/>
      <c r="BK20" s="458"/>
      <c r="BL20" s="458"/>
      <c r="BM20" s="458"/>
      <c r="BN20" s="458"/>
      <c r="BO20" s="866">
        <f>VLOOKUP(BD20,$BD$4:$BN$12824,3,0)*BE20</f>
        <v>136176.81767534305</v>
      </c>
      <c r="BP20" s="866"/>
      <c r="BQ20" s="866"/>
      <c r="BR20" s="866">
        <f>VLOOKUP(BD20,$BD$4:$BN$12824,6,0)*BE20</f>
        <v>68402.180306969545</v>
      </c>
      <c r="BS20" s="866">
        <f>VLOOKUP(BD20,$BD$4:$BN$12824,7,0)*BE20</f>
        <v>2891.0147662594482</v>
      </c>
      <c r="BT20" s="866"/>
      <c r="BU20" s="866">
        <f>VLOOKUP(BD20,$BD$4:$BN$12824,9,0)*BE20</f>
        <v>3212.2386291771645</v>
      </c>
      <c r="BV20" s="867"/>
      <c r="BW20" s="867">
        <f>VLOOKUP(BD20,$BD$4:$BN$12824,11,0)*BE20</f>
        <v>12142.262018289681</v>
      </c>
      <c r="BX20" s="1146">
        <f t="shared" si="10"/>
        <v>222824.51339603885</v>
      </c>
      <c r="BY20" s="867">
        <f t="shared" si="9"/>
        <v>67100.35472483495</v>
      </c>
      <c r="BZ20" s="867">
        <f t="shared" si="6"/>
        <v>1610408.5133960387</v>
      </c>
      <c r="CA20" s="867">
        <f>_xlfn.MAXIFS($BY$4:$BY$12824,$S$4:$S$12824,$S20)</f>
        <v>67100.35472483495</v>
      </c>
      <c r="CB20" s="1032"/>
      <c r="CF20" s="946">
        <f t="shared" si="7"/>
        <v>1387583.9999999998</v>
      </c>
    </row>
    <row r="21" spans="1:84">
      <c r="A21" s="1032"/>
      <c r="B21" s="839" t="s">
        <v>98</v>
      </c>
      <c r="C21" s="839" t="s">
        <v>131</v>
      </c>
      <c r="D21" s="839" t="s">
        <v>132</v>
      </c>
      <c r="E21" s="839" t="str">
        <f t="shared" si="0"/>
        <v>SC-NINE UNITED-120923-Ms Thao &amp; Stock</v>
      </c>
      <c r="F21" s="841">
        <v>45181</v>
      </c>
      <c r="G21" s="840" t="s">
        <v>133</v>
      </c>
      <c r="H21" s="842" t="s">
        <v>134</v>
      </c>
      <c r="I21" s="842"/>
      <c r="J21" s="841"/>
      <c r="K21" s="841"/>
      <c r="L21" s="843" t="s">
        <v>106</v>
      </c>
      <c r="M21" s="844" t="s">
        <v>107</v>
      </c>
      <c r="N21" s="841"/>
      <c r="O21" s="841" t="s">
        <v>135</v>
      </c>
      <c r="P21" s="841" t="s">
        <v>186</v>
      </c>
      <c r="Q21" s="843"/>
      <c r="R21" s="845" t="s">
        <v>190</v>
      </c>
      <c r="S21" s="1127" t="s">
        <v>191</v>
      </c>
      <c r="T21" s="843" t="s">
        <v>192</v>
      </c>
      <c r="U21" s="842">
        <v>24</v>
      </c>
      <c r="V21" s="842" t="s">
        <v>8</v>
      </c>
      <c r="W21" s="846"/>
      <c r="X21" s="847">
        <f t="shared" si="1"/>
        <v>0</v>
      </c>
      <c r="Y21" s="848"/>
      <c r="Z21" s="849">
        <v>2.4</v>
      </c>
      <c r="AA21" s="849"/>
      <c r="AB21" s="849">
        <f t="shared" si="2"/>
        <v>57.599999999999994</v>
      </c>
      <c r="AC21" s="850">
        <f t="shared" si="3"/>
        <v>57.599999999999994</v>
      </c>
      <c r="AD21" s="851"/>
      <c r="AE21" s="852">
        <v>24090</v>
      </c>
      <c r="AF21" s="853">
        <v>0</v>
      </c>
      <c r="AG21" s="854">
        <f t="shared" si="4"/>
        <v>0</v>
      </c>
      <c r="AH21" s="853"/>
      <c r="AI21" s="855">
        <f t="shared" si="5"/>
        <v>0</v>
      </c>
      <c r="AJ21" s="845" t="s">
        <v>140</v>
      </c>
      <c r="AK21" s="857">
        <v>45226</v>
      </c>
      <c r="AL21" s="840"/>
      <c r="AM21" s="840"/>
      <c r="AN21" s="858"/>
      <c r="AO21" s="844" t="s">
        <v>141</v>
      </c>
      <c r="AP21" s="859"/>
      <c r="AQ21" s="859" t="s">
        <v>142</v>
      </c>
      <c r="AR21" s="859"/>
      <c r="AS21" s="840"/>
      <c r="AT21" s="840"/>
      <c r="AU21" s="860"/>
      <c r="AV21" s="839" t="s">
        <v>143</v>
      </c>
      <c r="AW21" s="861">
        <v>45269</v>
      </c>
      <c r="AX21" s="862" t="s">
        <v>144</v>
      </c>
      <c r="AY21" s="843"/>
      <c r="AZ21" s="842"/>
      <c r="BA21" s="842" t="s">
        <v>120</v>
      </c>
      <c r="BB21" s="863" t="s">
        <v>121</v>
      </c>
      <c r="BC21" s="864">
        <v>45150</v>
      </c>
      <c r="BD21" s="860" t="s">
        <v>145</v>
      </c>
      <c r="BE21" s="865" cm="1">
        <f t="array" ref="BE21">IF(BD21="","",AC21/SUMPRODUCT(--(BD21=$BD$4:$BD$12824),$AC$4:$AC$12824))</f>
        <v>6.4244772583543289E-3</v>
      </c>
      <c r="BF21" s="458"/>
      <c r="BG21" s="458"/>
      <c r="BH21" s="458"/>
      <c r="BI21" s="458"/>
      <c r="BJ21" s="458"/>
      <c r="BK21" s="458"/>
      <c r="BL21" s="458"/>
      <c r="BM21" s="458"/>
      <c r="BN21" s="458"/>
      <c r="BO21" s="866">
        <f>VLOOKUP(BD21,$BD$4:$BN$12824,3,0)*BE21</f>
        <v>136176.81767534305</v>
      </c>
      <c r="BP21" s="866"/>
      <c r="BQ21" s="866"/>
      <c r="BR21" s="866">
        <f>VLOOKUP(BD21,$BD$4:$BN$12824,6,0)*BE21</f>
        <v>68402.180306969545</v>
      </c>
      <c r="BS21" s="866">
        <f>VLOOKUP(BD21,$BD$4:$BN$12824,7,0)*BE21</f>
        <v>2891.0147662594482</v>
      </c>
      <c r="BT21" s="866"/>
      <c r="BU21" s="866">
        <f>VLOOKUP(BD21,$BD$4:$BN$12824,9,0)*BE21</f>
        <v>3212.2386291771645</v>
      </c>
      <c r="BV21" s="867"/>
      <c r="BW21" s="867">
        <f>VLOOKUP(BD21,$BD$4:$BN$12824,11,0)*BE21</f>
        <v>12142.262018289681</v>
      </c>
      <c r="BX21" s="1146">
        <f t="shared" si="10"/>
        <v>222824.51339603885</v>
      </c>
      <c r="BY21" s="867">
        <f t="shared" si="9"/>
        <v>67100.35472483495</v>
      </c>
      <c r="BZ21" s="867">
        <f t="shared" si="6"/>
        <v>1610408.5133960387</v>
      </c>
      <c r="CA21" s="867">
        <f>_xlfn.MAXIFS($BY$4:$BY$12824,$S$4:$S$12824,$S21)</f>
        <v>67100.35472483495</v>
      </c>
      <c r="CB21" s="1032"/>
      <c r="CF21" s="946">
        <f t="shared" si="7"/>
        <v>1387583.9999999998</v>
      </c>
    </row>
    <row r="22" spans="1:84">
      <c r="A22" s="1032"/>
      <c r="B22" s="839" t="s">
        <v>98</v>
      </c>
      <c r="C22" s="839" t="s">
        <v>131</v>
      </c>
      <c r="D22" s="839" t="s">
        <v>132</v>
      </c>
      <c r="E22" s="839" t="str">
        <f t="shared" si="0"/>
        <v>SC-NINE UNITED-120923-Ms Thao &amp; Stock</v>
      </c>
      <c r="F22" s="841">
        <v>45181</v>
      </c>
      <c r="G22" s="840" t="s">
        <v>133</v>
      </c>
      <c r="H22" s="842" t="s">
        <v>134</v>
      </c>
      <c r="I22" s="842"/>
      <c r="J22" s="841"/>
      <c r="K22" s="841"/>
      <c r="L22" s="843" t="s">
        <v>106</v>
      </c>
      <c r="M22" s="844" t="s">
        <v>107</v>
      </c>
      <c r="N22" s="841"/>
      <c r="O22" s="841" t="s">
        <v>135</v>
      </c>
      <c r="P22" s="841" t="s">
        <v>186</v>
      </c>
      <c r="Q22" s="843"/>
      <c r="R22" s="845" t="s">
        <v>193</v>
      </c>
      <c r="S22" s="1127" t="s">
        <v>194</v>
      </c>
      <c r="T22" s="843" t="s">
        <v>195</v>
      </c>
      <c r="U22" s="842">
        <v>24</v>
      </c>
      <c r="V22" s="842" t="s">
        <v>8</v>
      </c>
      <c r="W22" s="846"/>
      <c r="X22" s="847">
        <f t="shared" si="1"/>
        <v>0</v>
      </c>
      <c r="Y22" s="848"/>
      <c r="Z22" s="849">
        <v>2.4</v>
      </c>
      <c r="AA22" s="849"/>
      <c r="AB22" s="849">
        <f t="shared" si="2"/>
        <v>57.599999999999994</v>
      </c>
      <c r="AC22" s="850">
        <f t="shared" si="3"/>
        <v>57.599999999999994</v>
      </c>
      <c r="AD22" s="851"/>
      <c r="AE22" s="852">
        <v>24090</v>
      </c>
      <c r="AF22" s="853">
        <v>0</v>
      </c>
      <c r="AG22" s="854">
        <f t="shared" si="4"/>
        <v>0</v>
      </c>
      <c r="AH22" s="853"/>
      <c r="AI22" s="855">
        <f t="shared" si="5"/>
        <v>0</v>
      </c>
      <c r="AJ22" s="845" t="s">
        <v>140</v>
      </c>
      <c r="AK22" s="857">
        <v>45226</v>
      </c>
      <c r="AL22" s="840"/>
      <c r="AM22" s="840"/>
      <c r="AN22" s="858"/>
      <c r="AO22" s="844" t="s">
        <v>141</v>
      </c>
      <c r="AP22" s="859"/>
      <c r="AQ22" s="859" t="s">
        <v>142</v>
      </c>
      <c r="AR22" s="859"/>
      <c r="AS22" s="840"/>
      <c r="AT22" s="840"/>
      <c r="AU22" s="860"/>
      <c r="AV22" s="839" t="s">
        <v>143</v>
      </c>
      <c r="AW22" s="861">
        <v>45269</v>
      </c>
      <c r="AX22" s="862" t="s">
        <v>144</v>
      </c>
      <c r="AY22" s="843"/>
      <c r="AZ22" s="842"/>
      <c r="BA22" s="842" t="s">
        <v>120</v>
      </c>
      <c r="BB22" s="863" t="s">
        <v>121</v>
      </c>
      <c r="BC22" s="864">
        <v>45150</v>
      </c>
      <c r="BD22" s="860" t="s">
        <v>145</v>
      </c>
      <c r="BE22" s="865" cm="1">
        <f t="array" ref="BE22">IF(BD22="","",AC22/SUMPRODUCT(--(BD22=$BD$4:$BD$12824),$AC$4:$AC$12824))</f>
        <v>6.4244772583543289E-3</v>
      </c>
      <c r="BF22" s="458"/>
      <c r="BG22" s="458"/>
      <c r="BH22" s="458"/>
      <c r="BI22" s="458"/>
      <c r="BJ22" s="458"/>
      <c r="BK22" s="458"/>
      <c r="BL22" s="458"/>
      <c r="BM22" s="458"/>
      <c r="BN22" s="458"/>
      <c r="BO22" s="866">
        <f>VLOOKUP(BD22,$BD$4:$BN$12824,3,0)*BE22</f>
        <v>136176.81767534305</v>
      </c>
      <c r="BP22" s="866"/>
      <c r="BQ22" s="866"/>
      <c r="BR22" s="866">
        <f>VLOOKUP(BD22,$BD$4:$BN$12824,6,0)*BE22</f>
        <v>68402.180306969545</v>
      </c>
      <c r="BS22" s="866">
        <f>VLOOKUP(BD22,$BD$4:$BN$12824,7,0)*BE22</f>
        <v>2891.0147662594482</v>
      </c>
      <c r="BT22" s="866"/>
      <c r="BU22" s="866">
        <f>VLOOKUP(BD22,$BD$4:$BN$12824,9,0)*BE22</f>
        <v>3212.2386291771645</v>
      </c>
      <c r="BV22" s="867"/>
      <c r="BW22" s="867">
        <f>VLOOKUP(BD22,$BD$4:$BN$12824,11,0)*BE22</f>
        <v>12142.262018289681</v>
      </c>
      <c r="BX22" s="1146">
        <f t="shared" si="10"/>
        <v>222824.51339603885</v>
      </c>
      <c r="BY22" s="867">
        <f t="shared" si="9"/>
        <v>67100.35472483495</v>
      </c>
      <c r="BZ22" s="867">
        <f t="shared" si="6"/>
        <v>1610408.5133960387</v>
      </c>
      <c r="CA22" s="867">
        <f>_xlfn.MAXIFS($BY$4:$BY$12824,$S$4:$S$12824,$S22)</f>
        <v>67100.35472483495</v>
      </c>
      <c r="CB22" s="1032"/>
      <c r="CF22" s="946">
        <f t="shared" si="7"/>
        <v>1387583.9999999998</v>
      </c>
    </row>
    <row r="23" spans="1:84">
      <c r="A23" s="1032"/>
      <c r="B23" s="839" t="s">
        <v>98</v>
      </c>
      <c r="C23" s="839" t="s">
        <v>131</v>
      </c>
      <c r="D23" s="839" t="s">
        <v>132</v>
      </c>
      <c r="E23" s="839" t="str">
        <f t="shared" si="0"/>
        <v>SC-NINE UNITED-120923-Ms Thao &amp; Stock</v>
      </c>
      <c r="F23" s="841">
        <v>45181</v>
      </c>
      <c r="G23" s="840" t="s">
        <v>133</v>
      </c>
      <c r="H23" s="842" t="s">
        <v>134</v>
      </c>
      <c r="I23" s="842"/>
      <c r="J23" s="841"/>
      <c r="K23" s="841"/>
      <c r="L23" s="843" t="s">
        <v>106</v>
      </c>
      <c r="M23" s="844" t="s">
        <v>107</v>
      </c>
      <c r="N23" s="841"/>
      <c r="O23" s="841" t="s">
        <v>135</v>
      </c>
      <c r="P23" s="841" t="s">
        <v>186</v>
      </c>
      <c r="Q23" s="843"/>
      <c r="R23" s="845" t="s">
        <v>196</v>
      </c>
      <c r="S23" s="1127" t="s">
        <v>197</v>
      </c>
      <c r="T23" s="843" t="s">
        <v>198</v>
      </c>
      <c r="U23" s="842">
        <v>24</v>
      </c>
      <c r="V23" s="842" t="s">
        <v>8</v>
      </c>
      <c r="W23" s="846"/>
      <c r="X23" s="847">
        <f t="shared" si="1"/>
        <v>0</v>
      </c>
      <c r="Y23" s="848"/>
      <c r="Z23" s="849">
        <v>2.4</v>
      </c>
      <c r="AA23" s="849"/>
      <c r="AB23" s="849">
        <f t="shared" si="2"/>
        <v>57.599999999999994</v>
      </c>
      <c r="AC23" s="850">
        <f t="shared" si="3"/>
        <v>57.599999999999994</v>
      </c>
      <c r="AD23" s="851"/>
      <c r="AE23" s="852">
        <v>24090</v>
      </c>
      <c r="AF23" s="853">
        <v>0</v>
      </c>
      <c r="AG23" s="854">
        <f t="shared" si="4"/>
        <v>0</v>
      </c>
      <c r="AH23" s="853"/>
      <c r="AI23" s="855">
        <f t="shared" si="5"/>
        <v>0</v>
      </c>
      <c r="AJ23" s="845" t="s">
        <v>140</v>
      </c>
      <c r="AK23" s="857">
        <v>45226</v>
      </c>
      <c r="AL23" s="840"/>
      <c r="AM23" s="840"/>
      <c r="AN23" s="858"/>
      <c r="AO23" s="844" t="s">
        <v>141</v>
      </c>
      <c r="AP23" s="859"/>
      <c r="AQ23" s="859" t="s">
        <v>142</v>
      </c>
      <c r="AR23" s="859"/>
      <c r="AS23" s="840"/>
      <c r="AT23" s="840"/>
      <c r="AU23" s="860"/>
      <c r="AV23" s="839" t="s">
        <v>143</v>
      </c>
      <c r="AW23" s="861">
        <v>45269</v>
      </c>
      <c r="AX23" s="862" t="s">
        <v>144</v>
      </c>
      <c r="AY23" s="843"/>
      <c r="AZ23" s="842"/>
      <c r="BA23" s="842" t="s">
        <v>120</v>
      </c>
      <c r="BB23" s="863" t="s">
        <v>121</v>
      </c>
      <c r="BC23" s="864">
        <v>45150</v>
      </c>
      <c r="BD23" s="860" t="s">
        <v>145</v>
      </c>
      <c r="BE23" s="865" cm="1">
        <f t="array" ref="BE23">IF(BD23="","",AC23/SUMPRODUCT(--(BD23=$BD$4:$BD$12824),$AC$4:$AC$12824))</f>
        <v>6.4244772583543289E-3</v>
      </c>
      <c r="BF23" s="458"/>
      <c r="BG23" s="458"/>
      <c r="BH23" s="458"/>
      <c r="BI23" s="458"/>
      <c r="BJ23" s="458"/>
      <c r="BK23" s="458"/>
      <c r="BL23" s="458"/>
      <c r="BM23" s="458"/>
      <c r="BN23" s="458"/>
      <c r="BO23" s="866">
        <f>VLOOKUP(BD23,$BD$4:$BN$12824,3,0)*BE23</f>
        <v>136176.81767534305</v>
      </c>
      <c r="BP23" s="866"/>
      <c r="BQ23" s="866"/>
      <c r="BR23" s="866">
        <f>VLOOKUP(BD23,$BD$4:$BN$12824,6,0)*BE23</f>
        <v>68402.180306969545</v>
      </c>
      <c r="BS23" s="866">
        <f>VLOOKUP(BD23,$BD$4:$BN$12824,7,0)*BE23</f>
        <v>2891.0147662594482</v>
      </c>
      <c r="BT23" s="866"/>
      <c r="BU23" s="866">
        <f>VLOOKUP(BD23,$BD$4:$BN$12824,9,0)*BE23</f>
        <v>3212.2386291771645</v>
      </c>
      <c r="BV23" s="867"/>
      <c r="BW23" s="867">
        <f>VLOOKUP(BD23,$BD$4:$BN$12824,11,0)*BE23</f>
        <v>12142.262018289681</v>
      </c>
      <c r="BX23" s="1146">
        <f t="shared" si="10"/>
        <v>222824.51339603885</v>
      </c>
      <c r="BY23" s="867">
        <f t="shared" si="9"/>
        <v>67100.35472483495</v>
      </c>
      <c r="BZ23" s="867">
        <f t="shared" si="6"/>
        <v>1610408.5133960387</v>
      </c>
      <c r="CA23" s="867">
        <f>_xlfn.MAXIFS($BY$4:$BY$12824,$S$4:$S$12824,$S23)</f>
        <v>67100.35472483495</v>
      </c>
      <c r="CB23" s="1032"/>
      <c r="CF23" s="946">
        <f t="shared" si="7"/>
        <v>1387583.9999999998</v>
      </c>
    </row>
    <row r="24" spans="1:84">
      <c r="A24" s="1032"/>
      <c r="B24" s="839" t="s">
        <v>98</v>
      </c>
      <c r="C24" s="839" t="s">
        <v>131</v>
      </c>
      <c r="D24" s="839" t="s">
        <v>132</v>
      </c>
      <c r="E24" s="839" t="str">
        <f t="shared" si="0"/>
        <v>SC-NINE UNITED-120923-Ms Thao &amp; Stock</v>
      </c>
      <c r="F24" s="841">
        <v>45181</v>
      </c>
      <c r="G24" s="840" t="s">
        <v>133</v>
      </c>
      <c r="H24" s="842" t="s">
        <v>134</v>
      </c>
      <c r="I24" s="842"/>
      <c r="J24" s="841"/>
      <c r="K24" s="841"/>
      <c r="L24" s="843" t="s">
        <v>106</v>
      </c>
      <c r="M24" s="844" t="s">
        <v>107</v>
      </c>
      <c r="N24" s="841"/>
      <c r="O24" s="841" t="s">
        <v>135</v>
      </c>
      <c r="P24" s="841" t="s">
        <v>186</v>
      </c>
      <c r="Q24" s="843"/>
      <c r="R24" s="845" t="s">
        <v>199</v>
      </c>
      <c r="S24" s="1127" t="s">
        <v>200</v>
      </c>
      <c r="T24" s="843" t="s">
        <v>201</v>
      </c>
      <c r="U24" s="842">
        <v>24</v>
      </c>
      <c r="V24" s="842" t="s">
        <v>8</v>
      </c>
      <c r="W24" s="846"/>
      <c r="X24" s="847">
        <f t="shared" si="1"/>
        <v>0</v>
      </c>
      <c r="Y24" s="848"/>
      <c r="Z24" s="849">
        <v>2.4</v>
      </c>
      <c r="AA24" s="849"/>
      <c r="AB24" s="849">
        <f t="shared" si="2"/>
        <v>57.599999999999994</v>
      </c>
      <c r="AC24" s="850">
        <f t="shared" si="3"/>
        <v>57.599999999999994</v>
      </c>
      <c r="AD24" s="851"/>
      <c r="AE24" s="852">
        <v>24090</v>
      </c>
      <c r="AF24" s="853">
        <v>0</v>
      </c>
      <c r="AG24" s="854">
        <f t="shared" si="4"/>
        <v>0</v>
      </c>
      <c r="AH24" s="853"/>
      <c r="AI24" s="855">
        <f t="shared" si="5"/>
        <v>0</v>
      </c>
      <c r="AJ24" s="845" t="s">
        <v>140</v>
      </c>
      <c r="AK24" s="857">
        <v>45226</v>
      </c>
      <c r="AL24" s="840"/>
      <c r="AM24" s="840"/>
      <c r="AN24" s="858"/>
      <c r="AO24" s="844" t="s">
        <v>141</v>
      </c>
      <c r="AP24" s="859"/>
      <c r="AQ24" s="859" t="s">
        <v>142</v>
      </c>
      <c r="AR24" s="859"/>
      <c r="AS24" s="840"/>
      <c r="AT24" s="840"/>
      <c r="AU24" s="860"/>
      <c r="AV24" s="839" t="s">
        <v>143</v>
      </c>
      <c r="AW24" s="861">
        <v>45269</v>
      </c>
      <c r="AX24" s="862" t="s">
        <v>144</v>
      </c>
      <c r="AY24" s="843"/>
      <c r="AZ24" s="842"/>
      <c r="BA24" s="842" t="s">
        <v>120</v>
      </c>
      <c r="BB24" s="863" t="s">
        <v>121</v>
      </c>
      <c r="BC24" s="864">
        <v>45150</v>
      </c>
      <c r="BD24" s="860" t="s">
        <v>145</v>
      </c>
      <c r="BE24" s="865" cm="1">
        <f t="array" ref="BE24">IF(BD24="","",AC24/SUMPRODUCT(--(BD24=$BD$4:$BD$12824),$AC$4:$AC$12824))</f>
        <v>6.4244772583543289E-3</v>
      </c>
      <c r="BF24" s="458"/>
      <c r="BG24" s="458"/>
      <c r="BH24" s="458"/>
      <c r="BI24" s="458"/>
      <c r="BJ24" s="458"/>
      <c r="BK24" s="458"/>
      <c r="BL24" s="458"/>
      <c r="BM24" s="458"/>
      <c r="BN24" s="458"/>
      <c r="BO24" s="866">
        <f>VLOOKUP(BD24,$BD$4:$BN$12824,3,0)*BE24</f>
        <v>136176.81767534305</v>
      </c>
      <c r="BP24" s="866"/>
      <c r="BQ24" s="866"/>
      <c r="BR24" s="866">
        <f>VLOOKUP(BD24,$BD$4:$BN$12824,6,0)*BE24</f>
        <v>68402.180306969545</v>
      </c>
      <c r="BS24" s="866">
        <f>VLOOKUP(BD24,$BD$4:$BN$12824,7,0)*BE24</f>
        <v>2891.0147662594482</v>
      </c>
      <c r="BT24" s="866"/>
      <c r="BU24" s="866">
        <f>VLOOKUP(BD24,$BD$4:$BN$12824,9,0)*BE24</f>
        <v>3212.2386291771645</v>
      </c>
      <c r="BV24" s="867"/>
      <c r="BW24" s="867">
        <f>VLOOKUP(BD24,$BD$4:$BN$12824,11,0)*BE24</f>
        <v>12142.262018289681</v>
      </c>
      <c r="BX24" s="1146">
        <f t="shared" si="10"/>
        <v>222824.51339603885</v>
      </c>
      <c r="BY24" s="867">
        <f t="shared" si="9"/>
        <v>67100.35472483495</v>
      </c>
      <c r="BZ24" s="867">
        <f t="shared" si="6"/>
        <v>1610408.5133960387</v>
      </c>
      <c r="CA24" s="867">
        <f>_xlfn.MAXIFS($BY$4:$BY$12824,$S$4:$S$12824,$S24)</f>
        <v>67100.35472483495</v>
      </c>
      <c r="CB24" s="1032"/>
      <c r="CF24" s="946">
        <f t="shared" si="7"/>
        <v>1387583.9999999998</v>
      </c>
    </row>
    <row r="25" spans="1:84">
      <c r="A25" s="1032"/>
      <c r="B25" s="839" t="s">
        <v>98</v>
      </c>
      <c r="C25" s="839" t="s">
        <v>131</v>
      </c>
      <c r="D25" s="839" t="s">
        <v>132</v>
      </c>
      <c r="E25" s="839" t="str">
        <f t="shared" si="0"/>
        <v>SC-NINE UNITED-120923-Ms Thao &amp; Stock</v>
      </c>
      <c r="F25" s="841">
        <v>45181</v>
      </c>
      <c r="G25" s="840" t="s">
        <v>133</v>
      </c>
      <c r="H25" s="842" t="s">
        <v>134</v>
      </c>
      <c r="I25" s="842"/>
      <c r="J25" s="841"/>
      <c r="K25" s="841"/>
      <c r="L25" s="843" t="s">
        <v>106</v>
      </c>
      <c r="M25" s="844" t="s">
        <v>107</v>
      </c>
      <c r="N25" s="841"/>
      <c r="O25" s="841" t="s">
        <v>135</v>
      </c>
      <c r="P25" s="841" t="s">
        <v>186</v>
      </c>
      <c r="Q25" s="843"/>
      <c r="R25" s="845" t="s">
        <v>202</v>
      </c>
      <c r="S25" s="1127" t="s">
        <v>203</v>
      </c>
      <c r="T25" s="843" t="s">
        <v>204</v>
      </c>
      <c r="U25" s="842">
        <v>24</v>
      </c>
      <c r="V25" s="842" t="s">
        <v>8</v>
      </c>
      <c r="W25" s="846"/>
      <c r="X25" s="847">
        <f t="shared" si="1"/>
        <v>0</v>
      </c>
      <c r="Y25" s="848"/>
      <c r="Z25" s="849">
        <v>2.4</v>
      </c>
      <c r="AA25" s="849"/>
      <c r="AB25" s="849">
        <f t="shared" si="2"/>
        <v>57.599999999999994</v>
      </c>
      <c r="AC25" s="850">
        <f t="shared" si="3"/>
        <v>57.599999999999994</v>
      </c>
      <c r="AD25" s="851"/>
      <c r="AE25" s="852">
        <v>24090</v>
      </c>
      <c r="AF25" s="853">
        <v>0</v>
      </c>
      <c r="AG25" s="854">
        <f t="shared" si="4"/>
        <v>0</v>
      </c>
      <c r="AH25" s="853"/>
      <c r="AI25" s="855">
        <f t="shared" si="5"/>
        <v>0</v>
      </c>
      <c r="AJ25" s="845" t="s">
        <v>140</v>
      </c>
      <c r="AK25" s="857">
        <v>45226</v>
      </c>
      <c r="AL25" s="840"/>
      <c r="AM25" s="840"/>
      <c r="AN25" s="858"/>
      <c r="AO25" s="844" t="s">
        <v>141</v>
      </c>
      <c r="AP25" s="859"/>
      <c r="AQ25" s="859" t="s">
        <v>142</v>
      </c>
      <c r="AR25" s="859"/>
      <c r="AS25" s="840"/>
      <c r="AT25" s="840"/>
      <c r="AU25" s="860"/>
      <c r="AV25" s="839" t="s">
        <v>143</v>
      </c>
      <c r="AW25" s="861">
        <v>45269</v>
      </c>
      <c r="AX25" s="862" t="s">
        <v>144</v>
      </c>
      <c r="AY25" s="843"/>
      <c r="AZ25" s="842"/>
      <c r="BA25" s="842" t="s">
        <v>120</v>
      </c>
      <c r="BB25" s="863" t="s">
        <v>121</v>
      </c>
      <c r="BC25" s="864">
        <v>45150</v>
      </c>
      <c r="BD25" s="860" t="s">
        <v>145</v>
      </c>
      <c r="BE25" s="865" cm="1">
        <f t="array" ref="BE25">IF(BD25="","",AC25/SUMPRODUCT(--(BD25=$BD$4:$BD$12824),$AC$4:$AC$12824))</f>
        <v>6.4244772583543289E-3</v>
      </c>
      <c r="BF25" s="458"/>
      <c r="BG25" s="458"/>
      <c r="BH25" s="458"/>
      <c r="BI25" s="458"/>
      <c r="BJ25" s="458"/>
      <c r="BK25" s="458"/>
      <c r="BL25" s="458"/>
      <c r="BM25" s="458"/>
      <c r="BN25" s="458"/>
      <c r="BO25" s="866">
        <f>VLOOKUP(BD25,$BD$4:$BN$12824,3,0)*BE25</f>
        <v>136176.81767534305</v>
      </c>
      <c r="BP25" s="866"/>
      <c r="BQ25" s="866"/>
      <c r="BR25" s="866">
        <f>VLOOKUP(BD25,$BD$4:$BN$12824,6,0)*BE25</f>
        <v>68402.180306969545</v>
      </c>
      <c r="BS25" s="866">
        <f>VLOOKUP(BD25,$BD$4:$BN$12824,7,0)*BE25</f>
        <v>2891.0147662594482</v>
      </c>
      <c r="BT25" s="866"/>
      <c r="BU25" s="866">
        <f>VLOOKUP(BD25,$BD$4:$BN$12824,9,0)*BE25</f>
        <v>3212.2386291771645</v>
      </c>
      <c r="BV25" s="867"/>
      <c r="BW25" s="867">
        <f>VLOOKUP(BD25,$BD$4:$BN$12824,11,0)*BE25</f>
        <v>12142.262018289681</v>
      </c>
      <c r="BX25" s="1146">
        <f t="shared" si="10"/>
        <v>222824.51339603885</v>
      </c>
      <c r="BY25" s="867">
        <f t="shared" si="9"/>
        <v>67100.35472483495</v>
      </c>
      <c r="BZ25" s="867">
        <f t="shared" si="6"/>
        <v>1610408.5133960387</v>
      </c>
      <c r="CA25" s="867">
        <f>_xlfn.MAXIFS($BY$4:$BY$12824,$S$4:$S$12824,$S25)</f>
        <v>67100.35472483495</v>
      </c>
      <c r="CB25" s="1032"/>
      <c r="CF25" s="946">
        <f t="shared" si="7"/>
        <v>1387583.9999999998</v>
      </c>
    </row>
    <row r="26" spans="1:84">
      <c r="A26" s="1032"/>
      <c r="B26" s="839" t="s">
        <v>98</v>
      </c>
      <c r="C26" s="839" t="s">
        <v>131</v>
      </c>
      <c r="D26" s="839" t="s">
        <v>132</v>
      </c>
      <c r="E26" s="839" t="str">
        <f t="shared" si="0"/>
        <v>SC-NINE UNITED-120923-Ms Thao &amp; Stock</v>
      </c>
      <c r="F26" s="841">
        <v>45181</v>
      </c>
      <c r="G26" s="840" t="s">
        <v>133</v>
      </c>
      <c r="H26" s="842" t="s">
        <v>134</v>
      </c>
      <c r="I26" s="842"/>
      <c r="J26" s="841"/>
      <c r="K26" s="841"/>
      <c r="L26" s="843" t="s">
        <v>106</v>
      </c>
      <c r="M26" s="844" t="s">
        <v>107</v>
      </c>
      <c r="N26" s="841"/>
      <c r="O26" s="841" t="s">
        <v>135</v>
      </c>
      <c r="P26" s="841" t="s">
        <v>186</v>
      </c>
      <c r="Q26" s="843"/>
      <c r="R26" s="845" t="s">
        <v>205</v>
      </c>
      <c r="S26" s="1127" t="s">
        <v>206</v>
      </c>
      <c r="T26" s="843" t="s">
        <v>207</v>
      </c>
      <c r="U26" s="842">
        <v>24</v>
      </c>
      <c r="V26" s="842" t="s">
        <v>8</v>
      </c>
      <c r="W26" s="846"/>
      <c r="X26" s="847">
        <f t="shared" si="1"/>
        <v>0</v>
      </c>
      <c r="Y26" s="848"/>
      <c r="Z26" s="849">
        <v>2.4</v>
      </c>
      <c r="AA26" s="849"/>
      <c r="AB26" s="849">
        <f t="shared" si="2"/>
        <v>57.599999999999994</v>
      </c>
      <c r="AC26" s="850">
        <f t="shared" si="3"/>
        <v>57.599999999999994</v>
      </c>
      <c r="AD26" s="851"/>
      <c r="AE26" s="852">
        <v>24090</v>
      </c>
      <c r="AF26" s="853">
        <v>0</v>
      </c>
      <c r="AG26" s="854">
        <f t="shared" si="4"/>
        <v>0</v>
      </c>
      <c r="AH26" s="853"/>
      <c r="AI26" s="855">
        <f t="shared" si="5"/>
        <v>0</v>
      </c>
      <c r="AJ26" s="845" t="s">
        <v>140</v>
      </c>
      <c r="AK26" s="857">
        <v>45226</v>
      </c>
      <c r="AL26" s="840"/>
      <c r="AM26" s="840"/>
      <c r="AN26" s="858"/>
      <c r="AO26" s="844" t="s">
        <v>141</v>
      </c>
      <c r="AP26" s="859"/>
      <c r="AQ26" s="859" t="s">
        <v>142</v>
      </c>
      <c r="AR26" s="859"/>
      <c r="AS26" s="840"/>
      <c r="AT26" s="840"/>
      <c r="AU26" s="860"/>
      <c r="AV26" s="839" t="s">
        <v>143</v>
      </c>
      <c r="AW26" s="861">
        <v>45269</v>
      </c>
      <c r="AX26" s="862" t="s">
        <v>144</v>
      </c>
      <c r="AY26" s="843"/>
      <c r="AZ26" s="842"/>
      <c r="BA26" s="842" t="s">
        <v>120</v>
      </c>
      <c r="BB26" s="863" t="s">
        <v>121</v>
      </c>
      <c r="BC26" s="864">
        <v>45150</v>
      </c>
      <c r="BD26" s="860" t="s">
        <v>145</v>
      </c>
      <c r="BE26" s="865" cm="1">
        <f t="array" ref="BE26">IF(BD26="","",AC26/SUMPRODUCT(--(BD26=$BD$4:$BD$12824),$AC$4:$AC$12824))</f>
        <v>6.4244772583543289E-3</v>
      </c>
      <c r="BF26" s="458"/>
      <c r="BG26" s="458"/>
      <c r="BH26" s="458"/>
      <c r="BI26" s="458"/>
      <c r="BJ26" s="458"/>
      <c r="BK26" s="458"/>
      <c r="BL26" s="458"/>
      <c r="BM26" s="458"/>
      <c r="BN26" s="458"/>
      <c r="BO26" s="866">
        <f>VLOOKUP(BD26,$BD$4:$BN$12824,3,0)*BE26</f>
        <v>136176.81767534305</v>
      </c>
      <c r="BP26" s="866"/>
      <c r="BQ26" s="866"/>
      <c r="BR26" s="866">
        <f>VLOOKUP(BD26,$BD$4:$BN$12824,6,0)*BE26</f>
        <v>68402.180306969545</v>
      </c>
      <c r="BS26" s="866">
        <f>VLOOKUP(BD26,$BD$4:$BN$12824,7,0)*BE26</f>
        <v>2891.0147662594482</v>
      </c>
      <c r="BT26" s="866"/>
      <c r="BU26" s="866">
        <f>VLOOKUP(BD26,$BD$4:$BN$12824,9,0)*BE26</f>
        <v>3212.2386291771645</v>
      </c>
      <c r="BV26" s="867"/>
      <c r="BW26" s="867">
        <f>VLOOKUP(BD26,$BD$4:$BN$12824,11,0)*BE26</f>
        <v>12142.262018289681</v>
      </c>
      <c r="BX26" s="1146">
        <f t="shared" si="10"/>
        <v>222824.51339603885</v>
      </c>
      <c r="BY26" s="867">
        <f t="shared" si="9"/>
        <v>67100.35472483495</v>
      </c>
      <c r="BZ26" s="867">
        <f t="shared" si="6"/>
        <v>1610408.5133960387</v>
      </c>
      <c r="CA26" s="867">
        <f>_xlfn.MAXIFS($BY$4:$BY$12824,$S$4:$S$12824,$S26)</f>
        <v>67100.35472483495</v>
      </c>
      <c r="CB26" s="1032"/>
      <c r="CF26" s="946">
        <f t="shared" si="7"/>
        <v>1387583.9999999998</v>
      </c>
    </row>
    <row r="27" spans="1:84">
      <c r="A27" s="1032"/>
      <c r="B27" s="839" t="s">
        <v>98</v>
      </c>
      <c r="C27" s="839" t="s">
        <v>131</v>
      </c>
      <c r="D27" s="839" t="s">
        <v>132</v>
      </c>
      <c r="E27" s="839" t="str">
        <f t="shared" si="0"/>
        <v>SC-NINE UNITED-120923-Ms Thao &amp; Stock</v>
      </c>
      <c r="F27" s="841">
        <v>45181</v>
      </c>
      <c r="G27" s="840" t="s">
        <v>133</v>
      </c>
      <c r="H27" s="842" t="s">
        <v>134</v>
      </c>
      <c r="I27" s="842"/>
      <c r="J27" s="841"/>
      <c r="K27" s="841"/>
      <c r="L27" s="843" t="s">
        <v>106</v>
      </c>
      <c r="M27" s="844" t="s">
        <v>107</v>
      </c>
      <c r="N27" s="841"/>
      <c r="O27" s="841" t="s">
        <v>135</v>
      </c>
      <c r="P27" s="841" t="s">
        <v>186</v>
      </c>
      <c r="Q27" s="843"/>
      <c r="R27" s="845" t="s">
        <v>208</v>
      </c>
      <c r="S27" s="1127" t="s">
        <v>209</v>
      </c>
      <c r="T27" s="843" t="s">
        <v>210</v>
      </c>
      <c r="U27" s="842">
        <v>24</v>
      </c>
      <c r="V27" s="842" t="s">
        <v>8</v>
      </c>
      <c r="W27" s="846"/>
      <c r="X27" s="847">
        <f t="shared" si="1"/>
        <v>0</v>
      </c>
      <c r="Y27" s="848"/>
      <c r="Z27" s="849">
        <v>2.4</v>
      </c>
      <c r="AA27" s="849"/>
      <c r="AB27" s="849">
        <f t="shared" si="2"/>
        <v>57.599999999999994</v>
      </c>
      <c r="AC27" s="850">
        <f t="shared" si="3"/>
        <v>57.599999999999994</v>
      </c>
      <c r="AD27" s="851"/>
      <c r="AE27" s="852">
        <v>24090</v>
      </c>
      <c r="AF27" s="853">
        <v>0</v>
      </c>
      <c r="AG27" s="854">
        <f t="shared" si="4"/>
        <v>0</v>
      </c>
      <c r="AH27" s="853"/>
      <c r="AI27" s="855">
        <f t="shared" si="5"/>
        <v>0</v>
      </c>
      <c r="AJ27" s="845" t="s">
        <v>140</v>
      </c>
      <c r="AK27" s="857">
        <v>45226</v>
      </c>
      <c r="AL27" s="840"/>
      <c r="AM27" s="840"/>
      <c r="AN27" s="858"/>
      <c r="AO27" s="844" t="s">
        <v>141</v>
      </c>
      <c r="AP27" s="859"/>
      <c r="AQ27" s="859" t="s">
        <v>142</v>
      </c>
      <c r="AR27" s="859"/>
      <c r="AS27" s="840"/>
      <c r="AT27" s="840"/>
      <c r="AU27" s="860"/>
      <c r="AV27" s="839" t="s">
        <v>143</v>
      </c>
      <c r="AW27" s="861">
        <v>45269</v>
      </c>
      <c r="AX27" s="862" t="s">
        <v>144</v>
      </c>
      <c r="AY27" s="843"/>
      <c r="AZ27" s="842"/>
      <c r="BA27" s="842" t="s">
        <v>120</v>
      </c>
      <c r="BB27" s="863" t="s">
        <v>121</v>
      </c>
      <c r="BC27" s="864">
        <v>45150</v>
      </c>
      <c r="BD27" s="860" t="s">
        <v>145</v>
      </c>
      <c r="BE27" s="865" cm="1">
        <f t="array" ref="BE27">IF(BD27="","",AC27/SUMPRODUCT(--(BD27=$BD$4:$BD$12824),$AC$4:$AC$12824))</f>
        <v>6.4244772583543289E-3</v>
      </c>
      <c r="BF27" s="458"/>
      <c r="BG27" s="458"/>
      <c r="BH27" s="458"/>
      <c r="BI27" s="458"/>
      <c r="BJ27" s="458"/>
      <c r="BK27" s="458"/>
      <c r="BL27" s="458"/>
      <c r="BM27" s="458"/>
      <c r="BN27" s="458"/>
      <c r="BO27" s="866">
        <f>VLOOKUP(BD27,$BD$4:$BN$12824,3,0)*BE27</f>
        <v>136176.81767534305</v>
      </c>
      <c r="BP27" s="866"/>
      <c r="BQ27" s="866"/>
      <c r="BR27" s="866">
        <f>VLOOKUP(BD27,$BD$4:$BN$12824,6,0)*BE27</f>
        <v>68402.180306969545</v>
      </c>
      <c r="BS27" s="866">
        <f>VLOOKUP(BD27,$BD$4:$BN$12824,7,0)*BE27</f>
        <v>2891.0147662594482</v>
      </c>
      <c r="BT27" s="866"/>
      <c r="BU27" s="866">
        <f>VLOOKUP(BD27,$BD$4:$BN$12824,9,0)*BE27</f>
        <v>3212.2386291771645</v>
      </c>
      <c r="BV27" s="867"/>
      <c r="BW27" s="867">
        <f>VLOOKUP(BD27,$BD$4:$BN$12824,11,0)*BE27</f>
        <v>12142.262018289681</v>
      </c>
      <c r="BX27" s="1146">
        <f t="shared" si="10"/>
        <v>222824.51339603885</v>
      </c>
      <c r="BY27" s="867">
        <f t="shared" si="9"/>
        <v>67100.35472483495</v>
      </c>
      <c r="BZ27" s="867">
        <f t="shared" si="6"/>
        <v>1610408.5133960387</v>
      </c>
      <c r="CA27" s="867">
        <f>_xlfn.MAXIFS($BY$4:$BY$12824,$S$4:$S$12824,$S27)</f>
        <v>67100.35472483495</v>
      </c>
      <c r="CB27" s="1032"/>
      <c r="CF27" s="946">
        <f t="shared" si="7"/>
        <v>1387583.9999999998</v>
      </c>
    </row>
    <row r="28" spans="1:84">
      <c r="A28" s="1032"/>
      <c r="B28" s="839" t="s">
        <v>98</v>
      </c>
      <c r="C28" s="839" t="s">
        <v>131</v>
      </c>
      <c r="D28" s="839" t="s">
        <v>132</v>
      </c>
      <c r="E28" s="839" t="str">
        <f t="shared" si="0"/>
        <v>SC-NINE UNITED-120923-Ms Thao &amp; Stock</v>
      </c>
      <c r="F28" s="841">
        <v>45181</v>
      </c>
      <c r="G28" s="840" t="s">
        <v>133</v>
      </c>
      <c r="H28" s="842" t="s">
        <v>134</v>
      </c>
      <c r="I28" s="842"/>
      <c r="J28" s="841"/>
      <c r="K28" s="841"/>
      <c r="L28" s="843" t="s">
        <v>106</v>
      </c>
      <c r="M28" s="844" t="s">
        <v>107</v>
      </c>
      <c r="N28" s="841"/>
      <c r="O28" s="841" t="s">
        <v>135</v>
      </c>
      <c r="P28" s="841" t="s">
        <v>186</v>
      </c>
      <c r="Q28" s="843"/>
      <c r="R28" s="845" t="s">
        <v>211</v>
      </c>
      <c r="S28" s="1127" t="s">
        <v>212</v>
      </c>
      <c r="T28" s="843" t="s">
        <v>213</v>
      </c>
      <c r="U28" s="842">
        <v>24</v>
      </c>
      <c r="V28" s="842" t="s">
        <v>8</v>
      </c>
      <c r="W28" s="846"/>
      <c r="X28" s="847">
        <f t="shared" si="1"/>
        <v>0</v>
      </c>
      <c r="Y28" s="848"/>
      <c r="Z28" s="849">
        <v>2.4</v>
      </c>
      <c r="AA28" s="849"/>
      <c r="AB28" s="849">
        <f t="shared" si="2"/>
        <v>57.599999999999994</v>
      </c>
      <c r="AC28" s="850">
        <f t="shared" si="3"/>
        <v>57.599999999999994</v>
      </c>
      <c r="AD28" s="851"/>
      <c r="AE28" s="852">
        <v>24090</v>
      </c>
      <c r="AF28" s="853">
        <v>0</v>
      </c>
      <c r="AG28" s="854">
        <f t="shared" si="4"/>
        <v>0</v>
      </c>
      <c r="AH28" s="853"/>
      <c r="AI28" s="855">
        <f t="shared" si="5"/>
        <v>0</v>
      </c>
      <c r="AJ28" s="845" t="s">
        <v>140</v>
      </c>
      <c r="AK28" s="857">
        <v>45226</v>
      </c>
      <c r="AL28" s="840"/>
      <c r="AM28" s="840"/>
      <c r="AN28" s="858"/>
      <c r="AO28" s="844" t="s">
        <v>141</v>
      </c>
      <c r="AP28" s="859"/>
      <c r="AQ28" s="859" t="s">
        <v>142</v>
      </c>
      <c r="AR28" s="859"/>
      <c r="AS28" s="840"/>
      <c r="AT28" s="840"/>
      <c r="AU28" s="860"/>
      <c r="AV28" s="839" t="s">
        <v>143</v>
      </c>
      <c r="AW28" s="861">
        <v>45269</v>
      </c>
      <c r="AX28" s="862" t="s">
        <v>144</v>
      </c>
      <c r="AY28" s="843"/>
      <c r="AZ28" s="842"/>
      <c r="BA28" s="842" t="s">
        <v>120</v>
      </c>
      <c r="BB28" s="863" t="s">
        <v>121</v>
      </c>
      <c r="BC28" s="864">
        <v>45150</v>
      </c>
      <c r="BD28" s="860" t="s">
        <v>145</v>
      </c>
      <c r="BE28" s="865" cm="1">
        <f t="array" ref="BE28">IF(BD28="","",AC28/SUMPRODUCT(--(BD28=$BD$4:$BD$12824),$AC$4:$AC$12824))</f>
        <v>6.4244772583543289E-3</v>
      </c>
      <c r="BF28" s="458"/>
      <c r="BG28" s="458"/>
      <c r="BH28" s="458"/>
      <c r="BI28" s="458"/>
      <c r="BJ28" s="458"/>
      <c r="BK28" s="458"/>
      <c r="BL28" s="458"/>
      <c r="BM28" s="458"/>
      <c r="BN28" s="458"/>
      <c r="BO28" s="866">
        <f>VLOOKUP(BD28,$BD$4:$BN$12824,3,0)*BE28</f>
        <v>136176.81767534305</v>
      </c>
      <c r="BP28" s="866"/>
      <c r="BQ28" s="866"/>
      <c r="BR28" s="866">
        <f>VLOOKUP(BD28,$BD$4:$BN$12824,6,0)*BE28</f>
        <v>68402.180306969545</v>
      </c>
      <c r="BS28" s="866">
        <f>VLOOKUP(BD28,$BD$4:$BN$12824,7,0)*BE28</f>
        <v>2891.0147662594482</v>
      </c>
      <c r="BT28" s="866"/>
      <c r="BU28" s="866">
        <f>VLOOKUP(BD28,$BD$4:$BN$12824,9,0)*BE28</f>
        <v>3212.2386291771645</v>
      </c>
      <c r="BV28" s="867"/>
      <c r="BW28" s="867">
        <f>VLOOKUP(BD28,$BD$4:$BN$12824,11,0)*BE28</f>
        <v>12142.262018289681</v>
      </c>
      <c r="BX28" s="1146">
        <f t="shared" si="10"/>
        <v>222824.51339603885</v>
      </c>
      <c r="BY28" s="867">
        <f t="shared" si="9"/>
        <v>67100.35472483495</v>
      </c>
      <c r="BZ28" s="867">
        <f t="shared" si="6"/>
        <v>1610408.5133960387</v>
      </c>
      <c r="CA28" s="867">
        <f>_xlfn.MAXIFS($BY$4:$BY$12824,$S$4:$S$12824,$S28)</f>
        <v>67100.35472483495</v>
      </c>
      <c r="CB28" s="1032"/>
      <c r="CF28" s="946">
        <f t="shared" si="7"/>
        <v>1387583.9999999998</v>
      </c>
    </row>
    <row r="29" spans="1:84">
      <c r="A29" s="1032"/>
      <c r="B29" s="839" t="s">
        <v>98</v>
      </c>
      <c r="C29" s="839" t="s">
        <v>131</v>
      </c>
      <c r="D29" s="839" t="s">
        <v>132</v>
      </c>
      <c r="E29" s="839" t="str">
        <f t="shared" si="0"/>
        <v>SC-NINE UNITED-120923-Ms Thao &amp; Stock</v>
      </c>
      <c r="F29" s="841">
        <v>45181</v>
      </c>
      <c r="G29" s="840" t="s">
        <v>133</v>
      </c>
      <c r="H29" s="842" t="s">
        <v>134</v>
      </c>
      <c r="I29" s="842"/>
      <c r="J29" s="841"/>
      <c r="K29" s="841"/>
      <c r="L29" s="843" t="s">
        <v>106</v>
      </c>
      <c r="M29" s="844" t="s">
        <v>107</v>
      </c>
      <c r="N29" s="841"/>
      <c r="O29" s="841" t="s">
        <v>135</v>
      </c>
      <c r="P29" s="841" t="s">
        <v>186</v>
      </c>
      <c r="Q29" s="843"/>
      <c r="R29" s="845" t="s">
        <v>214</v>
      </c>
      <c r="S29" s="1127" t="s">
        <v>215</v>
      </c>
      <c r="T29" s="843" t="s">
        <v>216</v>
      </c>
      <c r="U29" s="842">
        <v>12</v>
      </c>
      <c r="V29" s="842" t="s">
        <v>8</v>
      </c>
      <c r="W29" s="846"/>
      <c r="X29" s="847">
        <f t="shared" si="1"/>
        <v>0</v>
      </c>
      <c r="Y29" s="848"/>
      <c r="Z29" s="849">
        <v>4.8</v>
      </c>
      <c r="AA29" s="849"/>
      <c r="AB29" s="849">
        <f t="shared" si="2"/>
        <v>57.599999999999994</v>
      </c>
      <c r="AC29" s="850">
        <f t="shared" si="3"/>
        <v>57.599999999999994</v>
      </c>
      <c r="AD29" s="851"/>
      <c r="AE29" s="852">
        <v>24090</v>
      </c>
      <c r="AF29" s="853">
        <v>0</v>
      </c>
      <c r="AG29" s="854">
        <f t="shared" si="4"/>
        <v>0</v>
      </c>
      <c r="AH29" s="853"/>
      <c r="AI29" s="855">
        <f t="shared" si="5"/>
        <v>0</v>
      </c>
      <c r="AJ29" s="845" t="s">
        <v>140</v>
      </c>
      <c r="AK29" s="857">
        <v>45226</v>
      </c>
      <c r="AL29" s="840"/>
      <c r="AM29" s="840"/>
      <c r="AN29" s="858"/>
      <c r="AO29" s="844" t="s">
        <v>141</v>
      </c>
      <c r="AP29" s="859"/>
      <c r="AQ29" s="859" t="s">
        <v>142</v>
      </c>
      <c r="AR29" s="859"/>
      <c r="AS29" s="840"/>
      <c r="AT29" s="840"/>
      <c r="AU29" s="860"/>
      <c r="AV29" s="839" t="s">
        <v>143</v>
      </c>
      <c r="AW29" s="861">
        <v>45269</v>
      </c>
      <c r="AX29" s="862" t="s">
        <v>144</v>
      </c>
      <c r="AY29" s="843"/>
      <c r="AZ29" s="842"/>
      <c r="BA29" s="842" t="s">
        <v>120</v>
      </c>
      <c r="BB29" s="863" t="s">
        <v>121</v>
      </c>
      <c r="BC29" s="864">
        <v>45150</v>
      </c>
      <c r="BD29" s="860" t="s">
        <v>145</v>
      </c>
      <c r="BE29" s="865" cm="1">
        <f t="array" ref="BE29">IF(BD29="","",AC29/SUMPRODUCT(--(BD29=$BD$4:$BD$12824),$AC$4:$AC$12824))</f>
        <v>6.4244772583543289E-3</v>
      </c>
      <c r="BF29" s="458"/>
      <c r="BG29" s="458"/>
      <c r="BH29" s="458"/>
      <c r="BI29" s="458"/>
      <c r="BJ29" s="458"/>
      <c r="BK29" s="458"/>
      <c r="BL29" s="458"/>
      <c r="BM29" s="458"/>
      <c r="BN29" s="458"/>
      <c r="BO29" s="866">
        <f>VLOOKUP(BD29,$BD$4:$BN$12824,3,0)*BE29</f>
        <v>136176.81767534305</v>
      </c>
      <c r="BP29" s="866"/>
      <c r="BQ29" s="866"/>
      <c r="BR29" s="866">
        <f>VLOOKUP(BD29,$BD$4:$BN$12824,6,0)*BE29</f>
        <v>68402.180306969545</v>
      </c>
      <c r="BS29" s="866">
        <f>VLOOKUP(BD29,$BD$4:$BN$12824,7,0)*BE29</f>
        <v>2891.0147662594482</v>
      </c>
      <c r="BT29" s="866"/>
      <c r="BU29" s="866">
        <f>VLOOKUP(BD29,$BD$4:$BN$12824,9,0)*BE29</f>
        <v>3212.2386291771645</v>
      </c>
      <c r="BV29" s="867"/>
      <c r="BW29" s="867">
        <f>VLOOKUP(BD29,$BD$4:$BN$12824,11,0)*BE29</f>
        <v>12142.262018289681</v>
      </c>
      <c r="BX29" s="1146">
        <f t="shared" si="10"/>
        <v>222824.51339603885</v>
      </c>
      <c r="BY29" s="867">
        <f t="shared" si="9"/>
        <v>134200.7094496699</v>
      </c>
      <c r="BZ29" s="867">
        <f t="shared" si="6"/>
        <v>1610408.5133960387</v>
      </c>
      <c r="CA29" s="867">
        <f>_xlfn.MAXIFS($BY$4:$BY$12824,$S$4:$S$12824,$S29)</f>
        <v>134200.7094496699</v>
      </c>
      <c r="CB29" s="1032"/>
      <c r="CF29" s="946">
        <f t="shared" si="7"/>
        <v>1387583.9999999998</v>
      </c>
    </row>
    <row r="30" spans="1:84">
      <c r="A30" s="1032"/>
      <c r="B30" s="839" t="s">
        <v>98</v>
      </c>
      <c r="C30" s="839" t="s">
        <v>131</v>
      </c>
      <c r="D30" s="839" t="s">
        <v>132</v>
      </c>
      <c r="E30" s="839" t="str">
        <f t="shared" si="0"/>
        <v>SC-NINE UNITED-120923-Ms Thao &amp; Stock</v>
      </c>
      <c r="F30" s="841">
        <v>45181</v>
      </c>
      <c r="G30" s="840" t="s">
        <v>133</v>
      </c>
      <c r="H30" s="842" t="s">
        <v>134</v>
      </c>
      <c r="I30" s="842"/>
      <c r="J30" s="841"/>
      <c r="K30" s="841"/>
      <c r="L30" s="843" t="s">
        <v>106</v>
      </c>
      <c r="M30" s="844" t="s">
        <v>107</v>
      </c>
      <c r="N30" s="841"/>
      <c r="O30" s="841" t="s">
        <v>135</v>
      </c>
      <c r="P30" s="841" t="s">
        <v>186</v>
      </c>
      <c r="Q30" s="843"/>
      <c r="R30" s="845" t="s">
        <v>217</v>
      </c>
      <c r="S30" s="1127" t="s">
        <v>218</v>
      </c>
      <c r="T30" s="843" t="s">
        <v>219</v>
      </c>
      <c r="U30" s="842">
        <v>12</v>
      </c>
      <c r="V30" s="842" t="s">
        <v>8</v>
      </c>
      <c r="W30" s="846"/>
      <c r="X30" s="847">
        <f t="shared" si="1"/>
        <v>0</v>
      </c>
      <c r="Y30" s="848"/>
      <c r="Z30" s="849">
        <v>4.8</v>
      </c>
      <c r="AA30" s="849"/>
      <c r="AB30" s="849">
        <f t="shared" si="2"/>
        <v>57.599999999999994</v>
      </c>
      <c r="AC30" s="850">
        <f t="shared" si="3"/>
        <v>57.599999999999994</v>
      </c>
      <c r="AD30" s="851"/>
      <c r="AE30" s="852">
        <v>24090</v>
      </c>
      <c r="AF30" s="853">
        <v>0</v>
      </c>
      <c r="AG30" s="854">
        <f t="shared" si="4"/>
        <v>0</v>
      </c>
      <c r="AH30" s="853"/>
      <c r="AI30" s="855">
        <f t="shared" si="5"/>
        <v>0</v>
      </c>
      <c r="AJ30" s="845" t="s">
        <v>140</v>
      </c>
      <c r="AK30" s="857">
        <v>45226</v>
      </c>
      <c r="AL30" s="840"/>
      <c r="AM30" s="840"/>
      <c r="AN30" s="858"/>
      <c r="AO30" s="844" t="s">
        <v>141</v>
      </c>
      <c r="AP30" s="859"/>
      <c r="AQ30" s="859" t="s">
        <v>142</v>
      </c>
      <c r="AR30" s="859"/>
      <c r="AS30" s="840"/>
      <c r="AT30" s="840"/>
      <c r="AU30" s="860"/>
      <c r="AV30" s="839" t="s">
        <v>143</v>
      </c>
      <c r="AW30" s="861">
        <v>45269</v>
      </c>
      <c r="AX30" s="862" t="s">
        <v>144</v>
      </c>
      <c r="AY30" s="843"/>
      <c r="AZ30" s="842"/>
      <c r="BA30" s="842" t="s">
        <v>120</v>
      </c>
      <c r="BB30" s="863" t="s">
        <v>121</v>
      </c>
      <c r="BC30" s="864">
        <v>45150</v>
      </c>
      <c r="BD30" s="860" t="s">
        <v>145</v>
      </c>
      <c r="BE30" s="865" cm="1">
        <f t="array" ref="BE30">IF(BD30="","",AC30/SUMPRODUCT(--(BD30=$BD$4:$BD$12824),$AC$4:$AC$12824))</f>
        <v>6.4244772583543289E-3</v>
      </c>
      <c r="BF30" s="458"/>
      <c r="BG30" s="458"/>
      <c r="BH30" s="458"/>
      <c r="BI30" s="458"/>
      <c r="BJ30" s="458"/>
      <c r="BK30" s="458"/>
      <c r="BL30" s="458"/>
      <c r="BM30" s="458"/>
      <c r="BN30" s="458"/>
      <c r="BO30" s="866">
        <f>VLOOKUP(BD30,$BD$4:$BN$12824,3,0)*BE30</f>
        <v>136176.81767534305</v>
      </c>
      <c r="BP30" s="866"/>
      <c r="BQ30" s="866"/>
      <c r="BR30" s="866">
        <f>VLOOKUP(BD30,$BD$4:$BN$12824,6,0)*BE30</f>
        <v>68402.180306969545</v>
      </c>
      <c r="BS30" s="866">
        <f>VLOOKUP(BD30,$BD$4:$BN$12824,7,0)*BE30</f>
        <v>2891.0147662594482</v>
      </c>
      <c r="BT30" s="866"/>
      <c r="BU30" s="866">
        <f>VLOOKUP(BD30,$BD$4:$BN$12824,9,0)*BE30</f>
        <v>3212.2386291771645</v>
      </c>
      <c r="BV30" s="867"/>
      <c r="BW30" s="867">
        <f>VLOOKUP(BD30,$BD$4:$BN$12824,11,0)*BE30</f>
        <v>12142.262018289681</v>
      </c>
      <c r="BX30" s="1146">
        <f t="shared" si="10"/>
        <v>222824.51339603885</v>
      </c>
      <c r="BY30" s="867">
        <f t="shared" si="9"/>
        <v>134200.7094496699</v>
      </c>
      <c r="BZ30" s="867">
        <f t="shared" si="6"/>
        <v>1610408.5133960387</v>
      </c>
      <c r="CA30" s="867">
        <f>_xlfn.MAXIFS($BY$4:$BY$12824,$S$4:$S$12824,$S30)</f>
        <v>134200.7094496699</v>
      </c>
      <c r="CB30" s="1032"/>
      <c r="CF30" s="946">
        <f t="shared" si="7"/>
        <v>1387583.9999999998</v>
      </c>
    </row>
    <row r="31" spans="1:84">
      <c r="A31" s="1032"/>
      <c r="B31" s="839" t="s">
        <v>98</v>
      </c>
      <c r="C31" s="839" t="s">
        <v>131</v>
      </c>
      <c r="D31" s="839" t="s">
        <v>132</v>
      </c>
      <c r="E31" s="839" t="str">
        <f t="shared" si="0"/>
        <v>SC-NINE UNITED-120923-Ms Thao &amp; Stock</v>
      </c>
      <c r="F31" s="841">
        <v>45181</v>
      </c>
      <c r="G31" s="840" t="s">
        <v>133</v>
      </c>
      <c r="H31" s="842" t="s">
        <v>134</v>
      </c>
      <c r="I31" s="842"/>
      <c r="J31" s="841"/>
      <c r="K31" s="841"/>
      <c r="L31" s="843" t="s">
        <v>106</v>
      </c>
      <c r="M31" s="844" t="s">
        <v>107</v>
      </c>
      <c r="N31" s="841"/>
      <c r="O31" s="841" t="s">
        <v>135</v>
      </c>
      <c r="P31" s="841" t="s">
        <v>220</v>
      </c>
      <c r="Q31" s="843"/>
      <c r="R31" s="845" t="s">
        <v>221</v>
      </c>
      <c r="S31" s="1127" t="s">
        <v>222</v>
      </c>
      <c r="T31" s="843" t="s">
        <v>223</v>
      </c>
      <c r="U31" s="842">
        <v>6</v>
      </c>
      <c r="V31" s="842" t="s">
        <v>8</v>
      </c>
      <c r="W31" s="846"/>
      <c r="X31" s="847">
        <f t="shared" si="1"/>
        <v>0</v>
      </c>
      <c r="Y31" s="848"/>
      <c r="Z31" s="849">
        <v>32.799999999999997</v>
      </c>
      <c r="AA31" s="849"/>
      <c r="AB31" s="849">
        <f t="shared" si="2"/>
        <v>196.79999999999998</v>
      </c>
      <c r="AC31" s="850">
        <f t="shared" si="3"/>
        <v>196.79999999999998</v>
      </c>
      <c r="AD31" s="851"/>
      <c r="AE31" s="852">
        <v>24090</v>
      </c>
      <c r="AF31" s="853">
        <v>0</v>
      </c>
      <c r="AG31" s="854">
        <f t="shared" si="4"/>
        <v>0</v>
      </c>
      <c r="AH31" s="853"/>
      <c r="AI31" s="855">
        <f t="shared" si="5"/>
        <v>0</v>
      </c>
      <c r="AJ31" s="845" t="s">
        <v>140</v>
      </c>
      <c r="AK31" s="857">
        <v>45226</v>
      </c>
      <c r="AL31" s="840"/>
      <c r="AM31" s="840"/>
      <c r="AN31" s="858"/>
      <c r="AO31" s="844" t="s">
        <v>141</v>
      </c>
      <c r="AP31" s="859"/>
      <c r="AQ31" s="859" t="s">
        <v>142</v>
      </c>
      <c r="AR31" s="859"/>
      <c r="AS31" s="840"/>
      <c r="AT31" s="840"/>
      <c r="AU31" s="860"/>
      <c r="AV31" s="839" t="s">
        <v>143</v>
      </c>
      <c r="AW31" s="861">
        <v>45269</v>
      </c>
      <c r="AX31" s="862" t="s">
        <v>144</v>
      </c>
      <c r="AY31" s="843"/>
      <c r="AZ31" s="842"/>
      <c r="BA31" s="842" t="s">
        <v>120</v>
      </c>
      <c r="BB31" s="863" t="s">
        <v>121</v>
      </c>
      <c r="BC31" s="864">
        <v>45150</v>
      </c>
      <c r="BD31" s="860" t="s">
        <v>145</v>
      </c>
      <c r="BE31" s="865" cm="1">
        <f t="array" ref="BE31">IF(BD31="","",AC31/SUMPRODUCT(--(BD31=$BD$4:$BD$12824),$AC$4:$AC$12824))</f>
        <v>2.1950297299377291E-2</v>
      </c>
      <c r="BF31" s="458"/>
      <c r="BG31" s="458"/>
      <c r="BH31" s="458"/>
      <c r="BI31" s="458"/>
      <c r="BJ31" s="458"/>
      <c r="BK31" s="458"/>
      <c r="BL31" s="458"/>
      <c r="BM31" s="458"/>
      <c r="BN31" s="458"/>
      <c r="BO31" s="866">
        <f>VLOOKUP(BD31,$BD$4:$BN$12824,3,0)*BE31</f>
        <v>465270.7937240887</v>
      </c>
      <c r="BP31" s="866"/>
      <c r="BQ31" s="866"/>
      <c r="BR31" s="866">
        <f>VLOOKUP(BD31,$BD$4:$BN$12824,6,0)*BE31</f>
        <v>233707.44938214595</v>
      </c>
      <c r="BS31" s="866">
        <f>VLOOKUP(BD31,$BD$4:$BN$12824,7,0)*BE31</f>
        <v>9877.633784719781</v>
      </c>
      <c r="BT31" s="866"/>
      <c r="BU31" s="866">
        <f>VLOOKUP(BD31,$BD$4:$BN$12824,9,0)*BE31</f>
        <v>10975.148649688645</v>
      </c>
      <c r="BV31" s="867"/>
      <c r="BW31" s="867">
        <f>VLOOKUP(BD31,$BD$4:$BN$12824,11,0)*BE31</f>
        <v>41486.061895823077</v>
      </c>
      <c r="BX31" s="1146">
        <f t="shared" si="10"/>
        <v>761317.08743646613</v>
      </c>
      <c r="BY31" s="867">
        <f t="shared" si="9"/>
        <v>917038.18123941112</v>
      </c>
      <c r="BZ31" s="867">
        <f t="shared" si="6"/>
        <v>5502229.0874364665</v>
      </c>
      <c r="CA31" s="867">
        <f>_xlfn.MAXIFS($BY$4:$BY$12824,$S$4:$S$12824,$S31)</f>
        <v>917038.18123941112</v>
      </c>
      <c r="CB31" s="1032"/>
      <c r="CF31" s="946">
        <f t="shared" si="7"/>
        <v>4740912</v>
      </c>
    </row>
    <row r="32" spans="1:84">
      <c r="A32" s="1032"/>
      <c r="B32" s="839" t="s">
        <v>98</v>
      </c>
      <c r="C32" s="839" t="s">
        <v>131</v>
      </c>
      <c r="D32" s="839" t="s">
        <v>132</v>
      </c>
      <c r="E32" s="839" t="str">
        <f t="shared" si="0"/>
        <v>SC-NINE UNITED-120923-Ms Thao &amp; Stock</v>
      </c>
      <c r="F32" s="841">
        <v>45181</v>
      </c>
      <c r="G32" s="840" t="s">
        <v>133</v>
      </c>
      <c r="H32" s="842" t="s">
        <v>134</v>
      </c>
      <c r="I32" s="842"/>
      <c r="J32" s="841"/>
      <c r="K32" s="841"/>
      <c r="L32" s="843" t="s">
        <v>106</v>
      </c>
      <c r="M32" s="844" t="s">
        <v>107</v>
      </c>
      <c r="N32" s="841"/>
      <c r="O32" s="841" t="s">
        <v>135</v>
      </c>
      <c r="P32" s="841" t="s">
        <v>186</v>
      </c>
      <c r="Q32" s="843"/>
      <c r="R32" s="845" t="s">
        <v>224</v>
      </c>
      <c r="S32" s="1127" t="s">
        <v>225</v>
      </c>
      <c r="T32" s="843" t="s">
        <v>226</v>
      </c>
      <c r="U32" s="842">
        <v>24</v>
      </c>
      <c r="V32" s="842" t="s">
        <v>8</v>
      </c>
      <c r="W32" s="846"/>
      <c r="X32" s="847">
        <f t="shared" si="1"/>
        <v>0</v>
      </c>
      <c r="Y32" s="848"/>
      <c r="Z32" s="849">
        <v>2.8</v>
      </c>
      <c r="AA32" s="849"/>
      <c r="AB32" s="849">
        <f t="shared" si="2"/>
        <v>67.199999999999989</v>
      </c>
      <c r="AC32" s="850">
        <f t="shared" si="3"/>
        <v>67.199999999999989</v>
      </c>
      <c r="AD32" s="851"/>
      <c r="AE32" s="852">
        <v>24090</v>
      </c>
      <c r="AF32" s="853">
        <v>0</v>
      </c>
      <c r="AG32" s="854">
        <f t="shared" si="4"/>
        <v>0</v>
      </c>
      <c r="AH32" s="853"/>
      <c r="AI32" s="855">
        <f t="shared" si="5"/>
        <v>0</v>
      </c>
      <c r="AJ32" s="845" t="s">
        <v>140</v>
      </c>
      <c r="AK32" s="857">
        <v>45226</v>
      </c>
      <c r="AL32" s="840"/>
      <c r="AM32" s="840"/>
      <c r="AN32" s="858"/>
      <c r="AO32" s="844" t="s">
        <v>141</v>
      </c>
      <c r="AP32" s="859"/>
      <c r="AQ32" s="859" t="s">
        <v>142</v>
      </c>
      <c r="AR32" s="859"/>
      <c r="AS32" s="840"/>
      <c r="AT32" s="840"/>
      <c r="AU32" s="860"/>
      <c r="AV32" s="839" t="s">
        <v>143</v>
      </c>
      <c r="AW32" s="861">
        <v>45269</v>
      </c>
      <c r="AX32" s="862" t="s">
        <v>144</v>
      </c>
      <c r="AY32" s="843"/>
      <c r="AZ32" s="842"/>
      <c r="BA32" s="842" t="s">
        <v>120</v>
      </c>
      <c r="BB32" s="863" t="s">
        <v>121</v>
      </c>
      <c r="BC32" s="864">
        <v>45150</v>
      </c>
      <c r="BD32" s="860" t="s">
        <v>145</v>
      </c>
      <c r="BE32" s="865" cm="1">
        <f t="array" ref="BE32">IF(BD32="","",AC32/SUMPRODUCT(--(BD32=$BD$4:$BD$12824),$AC$4:$AC$12824))</f>
        <v>7.4952234680800492E-3</v>
      </c>
      <c r="BF32" s="458"/>
      <c r="BG32" s="458"/>
      <c r="BH32" s="458"/>
      <c r="BI32" s="458"/>
      <c r="BJ32" s="458"/>
      <c r="BK32" s="458"/>
      <c r="BL32" s="458"/>
      <c r="BM32" s="458"/>
      <c r="BN32" s="458"/>
      <c r="BO32" s="866">
        <f>VLOOKUP(BD32,$BD$4:$BN$12824,3,0)*BE32</f>
        <v>158872.95395456685</v>
      </c>
      <c r="BP32" s="866"/>
      <c r="BQ32" s="866"/>
      <c r="BR32" s="866">
        <f>VLOOKUP(BD32,$BD$4:$BN$12824,6,0)*BE32</f>
        <v>79802.543691464452</v>
      </c>
      <c r="BS32" s="866">
        <f>VLOOKUP(BD32,$BD$4:$BN$12824,7,0)*BE32</f>
        <v>3372.8505606360222</v>
      </c>
      <c r="BT32" s="866"/>
      <c r="BU32" s="866">
        <f>VLOOKUP(BD32,$BD$4:$BN$12824,9,0)*BE32</f>
        <v>3747.6117340400247</v>
      </c>
      <c r="BV32" s="867"/>
      <c r="BW32" s="867">
        <f>VLOOKUP(BD32,$BD$4:$BN$12824,11,0)*BE32</f>
        <v>14165.972354671292</v>
      </c>
      <c r="BX32" s="1146">
        <f t="shared" si="10"/>
        <v>259961.93229537865</v>
      </c>
      <c r="BY32" s="867">
        <f t="shared" si="9"/>
        <v>78283.747178974096</v>
      </c>
      <c r="BZ32" s="867">
        <f t="shared" si="6"/>
        <v>1878809.9322953783</v>
      </c>
      <c r="CA32" s="867">
        <f>_xlfn.MAXIFS($BY$4:$BY$12824,$S$4:$S$12824,$S32)</f>
        <v>78283.747178974096</v>
      </c>
      <c r="CB32" s="1032"/>
      <c r="CF32" s="946">
        <f t="shared" si="7"/>
        <v>1618847.9999999998</v>
      </c>
    </row>
    <row r="33" spans="1:84">
      <c r="A33" s="1032"/>
      <c r="B33" s="839" t="s">
        <v>98</v>
      </c>
      <c r="C33" s="839" t="s">
        <v>131</v>
      </c>
      <c r="D33" s="839" t="s">
        <v>132</v>
      </c>
      <c r="E33" s="839" t="str">
        <f t="shared" si="0"/>
        <v>SC-NINE UNITED-120923-Ms Thao &amp; Stock</v>
      </c>
      <c r="F33" s="841">
        <v>45181</v>
      </c>
      <c r="G33" s="840" t="s">
        <v>133</v>
      </c>
      <c r="H33" s="842" t="s">
        <v>134</v>
      </c>
      <c r="I33" s="842"/>
      <c r="J33" s="841"/>
      <c r="K33" s="841"/>
      <c r="L33" s="843" t="s">
        <v>106</v>
      </c>
      <c r="M33" s="844" t="s">
        <v>107</v>
      </c>
      <c r="N33" s="841"/>
      <c r="O33" s="841" t="s">
        <v>135</v>
      </c>
      <c r="P33" s="841" t="s">
        <v>186</v>
      </c>
      <c r="Q33" s="843"/>
      <c r="R33" s="845" t="s">
        <v>227</v>
      </c>
      <c r="S33" s="1127" t="s">
        <v>228</v>
      </c>
      <c r="T33" s="843" t="s">
        <v>229</v>
      </c>
      <c r="U33" s="842">
        <v>24</v>
      </c>
      <c r="V33" s="842" t="s">
        <v>8</v>
      </c>
      <c r="W33" s="846"/>
      <c r="X33" s="847">
        <f t="shared" si="1"/>
        <v>0</v>
      </c>
      <c r="Y33" s="848"/>
      <c r="Z33" s="849">
        <v>2.8</v>
      </c>
      <c r="AA33" s="849"/>
      <c r="AB33" s="849">
        <f t="shared" si="2"/>
        <v>67.199999999999989</v>
      </c>
      <c r="AC33" s="850">
        <f t="shared" si="3"/>
        <v>67.199999999999989</v>
      </c>
      <c r="AD33" s="851"/>
      <c r="AE33" s="852">
        <v>24090</v>
      </c>
      <c r="AF33" s="853">
        <v>0</v>
      </c>
      <c r="AG33" s="854">
        <f t="shared" si="4"/>
        <v>0</v>
      </c>
      <c r="AH33" s="853"/>
      <c r="AI33" s="855">
        <f t="shared" si="5"/>
        <v>0</v>
      </c>
      <c r="AJ33" s="845" t="s">
        <v>140</v>
      </c>
      <c r="AK33" s="857">
        <v>45226</v>
      </c>
      <c r="AL33" s="840"/>
      <c r="AM33" s="840"/>
      <c r="AN33" s="858"/>
      <c r="AO33" s="844" t="s">
        <v>141</v>
      </c>
      <c r="AP33" s="859"/>
      <c r="AQ33" s="859" t="s">
        <v>142</v>
      </c>
      <c r="AR33" s="859"/>
      <c r="AS33" s="840"/>
      <c r="AT33" s="840"/>
      <c r="AU33" s="860"/>
      <c r="AV33" s="839" t="s">
        <v>143</v>
      </c>
      <c r="AW33" s="861">
        <v>45269</v>
      </c>
      <c r="AX33" s="862" t="s">
        <v>144</v>
      </c>
      <c r="AY33" s="843"/>
      <c r="AZ33" s="842"/>
      <c r="BA33" s="842" t="s">
        <v>120</v>
      </c>
      <c r="BB33" s="863" t="s">
        <v>121</v>
      </c>
      <c r="BC33" s="864">
        <v>45150</v>
      </c>
      <c r="BD33" s="860" t="s">
        <v>145</v>
      </c>
      <c r="BE33" s="865" cm="1">
        <f t="array" ref="BE33">IF(BD33="","",AC33/SUMPRODUCT(--(BD33=$BD$4:$BD$12824),$AC$4:$AC$12824))</f>
        <v>7.4952234680800492E-3</v>
      </c>
      <c r="BF33" s="458"/>
      <c r="BG33" s="458"/>
      <c r="BH33" s="458"/>
      <c r="BI33" s="458"/>
      <c r="BJ33" s="458"/>
      <c r="BK33" s="458"/>
      <c r="BL33" s="458"/>
      <c r="BM33" s="458"/>
      <c r="BN33" s="458"/>
      <c r="BO33" s="866">
        <f>VLOOKUP(BD33,$BD$4:$BN$12824,3,0)*BE33</f>
        <v>158872.95395456685</v>
      </c>
      <c r="BP33" s="866"/>
      <c r="BQ33" s="866"/>
      <c r="BR33" s="866">
        <f>VLOOKUP(BD33,$BD$4:$BN$12824,6,0)*BE33</f>
        <v>79802.543691464452</v>
      </c>
      <c r="BS33" s="866">
        <f>VLOOKUP(BD33,$BD$4:$BN$12824,7,0)*BE33</f>
        <v>3372.8505606360222</v>
      </c>
      <c r="BT33" s="866"/>
      <c r="BU33" s="866">
        <f>VLOOKUP(BD33,$BD$4:$BN$12824,9,0)*BE33</f>
        <v>3747.6117340400247</v>
      </c>
      <c r="BV33" s="867"/>
      <c r="BW33" s="867">
        <f>VLOOKUP(BD33,$BD$4:$BN$12824,11,0)*BE33</f>
        <v>14165.972354671292</v>
      </c>
      <c r="BX33" s="1146">
        <f t="shared" si="10"/>
        <v>259961.93229537865</v>
      </c>
      <c r="BY33" s="867">
        <f t="shared" si="9"/>
        <v>78283.747178974096</v>
      </c>
      <c r="BZ33" s="867">
        <f t="shared" si="6"/>
        <v>1878809.9322953783</v>
      </c>
      <c r="CA33" s="867">
        <f>_xlfn.MAXIFS($BY$4:$BY$12824,$S$4:$S$12824,$S33)</f>
        <v>78283.747178974096</v>
      </c>
      <c r="CB33" s="1032"/>
      <c r="CF33" s="946">
        <f t="shared" si="7"/>
        <v>1618847.9999999998</v>
      </c>
    </row>
    <row r="34" spans="1:84">
      <c r="A34" s="1032"/>
      <c r="B34" s="839" t="s">
        <v>98</v>
      </c>
      <c r="C34" s="839" t="s">
        <v>131</v>
      </c>
      <c r="D34" s="839" t="s">
        <v>132</v>
      </c>
      <c r="E34" s="839" t="str">
        <f t="shared" si="0"/>
        <v>SC-NINE UNITED-120923-Ms Thao &amp; Stock</v>
      </c>
      <c r="F34" s="841">
        <v>45181</v>
      </c>
      <c r="G34" s="840" t="s">
        <v>133</v>
      </c>
      <c r="H34" s="842" t="s">
        <v>134</v>
      </c>
      <c r="I34" s="842"/>
      <c r="J34" s="841"/>
      <c r="K34" s="841"/>
      <c r="L34" s="843" t="s">
        <v>106</v>
      </c>
      <c r="M34" s="844" t="s">
        <v>107</v>
      </c>
      <c r="N34" s="841"/>
      <c r="O34" s="841" t="s">
        <v>135</v>
      </c>
      <c r="P34" s="841" t="s">
        <v>186</v>
      </c>
      <c r="Q34" s="843"/>
      <c r="R34" s="845" t="s">
        <v>230</v>
      </c>
      <c r="S34" s="1127" t="s">
        <v>231</v>
      </c>
      <c r="T34" s="843" t="s">
        <v>232</v>
      </c>
      <c r="U34" s="842">
        <v>24</v>
      </c>
      <c r="V34" s="842" t="s">
        <v>8</v>
      </c>
      <c r="W34" s="846"/>
      <c r="X34" s="847">
        <f t="shared" si="1"/>
        <v>0</v>
      </c>
      <c r="Y34" s="848"/>
      <c r="Z34" s="849">
        <v>2.8</v>
      </c>
      <c r="AA34" s="849"/>
      <c r="AB34" s="849">
        <f t="shared" si="2"/>
        <v>67.199999999999989</v>
      </c>
      <c r="AC34" s="850">
        <f t="shared" si="3"/>
        <v>67.199999999999989</v>
      </c>
      <c r="AD34" s="851"/>
      <c r="AE34" s="852">
        <v>24090</v>
      </c>
      <c r="AF34" s="853">
        <v>0</v>
      </c>
      <c r="AG34" s="854">
        <f t="shared" si="4"/>
        <v>0</v>
      </c>
      <c r="AH34" s="853"/>
      <c r="AI34" s="855">
        <f t="shared" si="5"/>
        <v>0</v>
      </c>
      <c r="AJ34" s="845" t="s">
        <v>140</v>
      </c>
      <c r="AK34" s="857">
        <v>45226</v>
      </c>
      <c r="AL34" s="840"/>
      <c r="AM34" s="840"/>
      <c r="AN34" s="858"/>
      <c r="AO34" s="844" t="s">
        <v>141</v>
      </c>
      <c r="AP34" s="859"/>
      <c r="AQ34" s="859" t="s">
        <v>142</v>
      </c>
      <c r="AR34" s="859"/>
      <c r="AS34" s="840"/>
      <c r="AT34" s="840"/>
      <c r="AU34" s="860"/>
      <c r="AV34" s="839" t="s">
        <v>143</v>
      </c>
      <c r="AW34" s="861">
        <v>45269</v>
      </c>
      <c r="AX34" s="862" t="s">
        <v>144</v>
      </c>
      <c r="AY34" s="843"/>
      <c r="AZ34" s="842"/>
      <c r="BA34" s="842" t="s">
        <v>120</v>
      </c>
      <c r="BB34" s="863" t="s">
        <v>121</v>
      </c>
      <c r="BC34" s="864">
        <v>45150</v>
      </c>
      <c r="BD34" s="860" t="s">
        <v>145</v>
      </c>
      <c r="BE34" s="865" cm="1">
        <f t="array" ref="BE34">IF(BD34="","",AC34/SUMPRODUCT(--(BD34=$BD$4:$BD$12824),$AC$4:$AC$12824))</f>
        <v>7.4952234680800492E-3</v>
      </c>
      <c r="BF34" s="458"/>
      <c r="BG34" s="458"/>
      <c r="BH34" s="458"/>
      <c r="BI34" s="458"/>
      <c r="BJ34" s="458"/>
      <c r="BK34" s="458"/>
      <c r="BL34" s="458"/>
      <c r="BM34" s="458"/>
      <c r="BN34" s="458"/>
      <c r="BO34" s="866">
        <f>VLOOKUP(BD34,$BD$4:$BN$12824,3,0)*BE34</f>
        <v>158872.95395456685</v>
      </c>
      <c r="BP34" s="866"/>
      <c r="BQ34" s="866"/>
      <c r="BR34" s="866">
        <f>VLOOKUP(BD34,$BD$4:$BN$12824,6,0)*BE34</f>
        <v>79802.543691464452</v>
      </c>
      <c r="BS34" s="866">
        <f>VLOOKUP(BD34,$BD$4:$BN$12824,7,0)*BE34</f>
        <v>3372.8505606360222</v>
      </c>
      <c r="BT34" s="866"/>
      <c r="BU34" s="866">
        <f>VLOOKUP(BD34,$BD$4:$BN$12824,9,0)*BE34</f>
        <v>3747.6117340400247</v>
      </c>
      <c r="BV34" s="867"/>
      <c r="BW34" s="867">
        <f>VLOOKUP(BD34,$BD$4:$BN$12824,11,0)*BE34</f>
        <v>14165.972354671292</v>
      </c>
      <c r="BX34" s="1146">
        <f t="shared" si="10"/>
        <v>259961.93229537865</v>
      </c>
      <c r="BY34" s="867">
        <f t="shared" si="9"/>
        <v>78283.747178974096</v>
      </c>
      <c r="BZ34" s="867">
        <f t="shared" si="6"/>
        <v>1878809.9322953783</v>
      </c>
      <c r="CA34" s="867">
        <f>_xlfn.MAXIFS($BY$4:$BY$12824,$S$4:$S$12824,$S34)</f>
        <v>78283.747178974096</v>
      </c>
      <c r="CB34" s="1032"/>
      <c r="CF34" s="946">
        <f t="shared" si="7"/>
        <v>1618847.9999999998</v>
      </c>
    </row>
    <row r="35" spans="1:84">
      <c r="A35" s="1032"/>
      <c r="B35" s="839" t="s">
        <v>98</v>
      </c>
      <c r="C35" s="839" t="s">
        <v>131</v>
      </c>
      <c r="D35" s="839" t="s">
        <v>132</v>
      </c>
      <c r="E35" s="839" t="str">
        <f t="shared" si="0"/>
        <v>SC-NINE UNITED-120923-Ms Thao &amp; Stock</v>
      </c>
      <c r="F35" s="841">
        <v>45181</v>
      </c>
      <c r="G35" s="840" t="s">
        <v>133</v>
      </c>
      <c r="H35" s="842" t="s">
        <v>134</v>
      </c>
      <c r="I35" s="842"/>
      <c r="J35" s="841"/>
      <c r="K35" s="841"/>
      <c r="L35" s="843" t="s">
        <v>106</v>
      </c>
      <c r="M35" s="844" t="s">
        <v>107</v>
      </c>
      <c r="N35" s="841"/>
      <c r="O35" s="841" t="s">
        <v>135</v>
      </c>
      <c r="P35" s="841" t="s">
        <v>186</v>
      </c>
      <c r="Q35" s="843"/>
      <c r="R35" s="845" t="s">
        <v>233</v>
      </c>
      <c r="S35" s="1127" t="s">
        <v>234</v>
      </c>
      <c r="T35" s="843" t="s">
        <v>235</v>
      </c>
      <c r="U35" s="842">
        <v>24</v>
      </c>
      <c r="V35" s="842" t="s">
        <v>8</v>
      </c>
      <c r="W35" s="846"/>
      <c r="X35" s="847">
        <f t="shared" si="1"/>
        <v>0</v>
      </c>
      <c r="Y35" s="848"/>
      <c r="Z35" s="849">
        <v>2.8</v>
      </c>
      <c r="AA35" s="849"/>
      <c r="AB35" s="849">
        <f t="shared" si="2"/>
        <v>67.199999999999989</v>
      </c>
      <c r="AC35" s="850">
        <f t="shared" si="3"/>
        <v>67.199999999999989</v>
      </c>
      <c r="AD35" s="851"/>
      <c r="AE35" s="852">
        <v>24090</v>
      </c>
      <c r="AF35" s="853">
        <v>0</v>
      </c>
      <c r="AG35" s="854">
        <f t="shared" si="4"/>
        <v>0</v>
      </c>
      <c r="AH35" s="853"/>
      <c r="AI35" s="855">
        <f t="shared" si="5"/>
        <v>0</v>
      </c>
      <c r="AJ35" s="845" t="s">
        <v>140</v>
      </c>
      <c r="AK35" s="857">
        <v>45226</v>
      </c>
      <c r="AL35" s="840"/>
      <c r="AM35" s="840"/>
      <c r="AN35" s="858"/>
      <c r="AO35" s="844" t="s">
        <v>141</v>
      </c>
      <c r="AP35" s="859"/>
      <c r="AQ35" s="859" t="s">
        <v>142</v>
      </c>
      <c r="AR35" s="859"/>
      <c r="AS35" s="840"/>
      <c r="AT35" s="840"/>
      <c r="AU35" s="860"/>
      <c r="AV35" s="839" t="s">
        <v>143</v>
      </c>
      <c r="AW35" s="861">
        <v>45269</v>
      </c>
      <c r="AX35" s="862" t="s">
        <v>144</v>
      </c>
      <c r="AY35" s="843"/>
      <c r="AZ35" s="842"/>
      <c r="BA35" s="842" t="s">
        <v>120</v>
      </c>
      <c r="BB35" s="863" t="s">
        <v>121</v>
      </c>
      <c r="BC35" s="864">
        <v>45150</v>
      </c>
      <c r="BD35" s="860" t="s">
        <v>145</v>
      </c>
      <c r="BE35" s="865" cm="1">
        <f t="array" ref="BE35">IF(BD35="","",AC35/SUMPRODUCT(--(BD35=$BD$4:$BD$12824),$AC$4:$AC$12824))</f>
        <v>7.4952234680800492E-3</v>
      </c>
      <c r="BF35" s="458"/>
      <c r="BG35" s="458"/>
      <c r="BH35" s="458"/>
      <c r="BI35" s="458"/>
      <c r="BJ35" s="458"/>
      <c r="BK35" s="458"/>
      <c r="BL35" s="458"/>
      <c r="BM35" s="458"/>
      <c r="BN35" s="458"/>
      <c r="BO35" s="866">
        <f>VLOOKUP(BD35,$BD$4:$BN$12824,3,0)*BE35</f>
        <v>158872.95395456685</v>
      </c>
      <c r="BP35" s="866"/>
      <c r="BQ35" s="866"/>
      <c r="BR35" s="866">
        <f>VLOOKUP(BD35,$BD$4:$BN$12824,6,0)*BE35</f>
        <v>79802.543691464452</v>
      </c>
      <c r="BS35" s="866">
        <f>VLOOKUP(BD35,$BD$4:$BN$12824,7,0)*BE35</f>
        <v>3372.8505606360222</v>
      </c>
      <c r="BT35" s="866"/>
      <c r="BU35" s="866">
        <f>VLOOKUP(BD35,$BD$4:$BN$12824,9,0)*BE35</f>
        <v>3747.6117340400247</v>
      </c>
      <c r="BV35" s="867"/>
      <c r="BW35" s="867">
        <f>VLOOKUP(BD35,$BD$4:$BN$12824,11,0)*BE35</f>
        <v>14165.972354671292</v>
      </c>
      <c r="BX35" s="1146">
        <f t="shared" si="10"/>
        <v>259961.93229537865</v>
      </c>
      <c r="BY35" s="867">
        <f t="shared" si="9"/>
        <v>78283.747178974096</v>
      </c>
      <c r="BZ35" s="867">
        <f t="shared" si="6"/>
        <v>1878809.9322953783</v>
      </c>
      <c r="CA35" s="867">
        <f>_xlfn.MAXIFS($BY$4:$BY$12824,$S$4:$S$12824,$S35)</f>
        <v>78283.747178974096</v>
      </c>
      <c r="CB35" s="1032"/>
      <c r="CF35" s="946">
        <f t="shared" si="7"/>
        <v>1618847.9999999998</v>
      </c>
    </row>
    <row r="36" spans="1:84">
      <c r="A36" s="1032"/>
      <c r="B36" s="839" t="s">
        <v>98</v>
      </c>
      <c r="C36" s="839" t="s">
        <v>131</v>
      </c>
      <c r="D36" s="839" t="s">
        <v>132</v>
      </c>
      <c r="E36" s="839" t="str">
        <f t="shared" si="0"/>
        <v>SC-NINE UNITED-120923-Ms Thao &amp; Stock</v>
      </c>
      <c r="F36" s="841">
        <v>45181</v>
      </c>
      <c r="G36" s="840" t="s">
        <v>133</v>
      </c>
      <c r="H36" s="842" t="s">
        <v>134</v>
      </c>
      <c r="I36" s="842"/>
      <c r="J36" s="841"/>
      <c r="K36" s="841"/>
      <c r="L36" s="843" t="s">
        <v>106</v>
      </c>
      <c r="M36" s="844" t="s">
        <v>107</v>
      </c>
      <c r="N36" s="841"/>
      <c r="O36" s="841" t="s">
        <v>135</v>
      </c>
      <c r="P36" s="841" t="s">
        <v>186</v>
      </c>
      <c r="Q36" s="843"/>
      <c r="R36" s="845" t="s">
        <v>236</v>
      </c>
      <c r="S36" s="1127" t="s">
        <v>237</v>
      </c>
      <c r="T36" s="843" t="s">
        <v>238</v>
      </c>
      <c r="U36" s="842">
        <v>24</v>
      </c>
      <c r="V36" s="842" t="s">
        <v>8</v>
      </c>
      <c r="W36" s="846"/>
      <c r="X36" s="847">
        <f t="shared" si="1"/>
        <v>0</v>
      </c>
      <c r="Y36" s="848"/>
      <c r="Z36" s="849">
        <v>2.8</v>
      </c>
      <c r="AA36" s="849"/>
      <c r="AB36" s="849">
        <f t="shared" si="2"/>
        <v>67.199999999999989</v>
      </c>
      <c r="AC36" s="850">
        <f t="shared" si="3"/>
        <v>67.199999999999989</v>
      </c>
      <c r="AD36" s="851"/>
      <c r="AE36" s="852">
        <v>24090</v>
      </c>
      <c r="AF36" s="853">
        <v>0</v>
      </c>
      <c r="AG36" s="854">
        <f t="shared" si="4"/>
        <v>0</v>
      </c>
      <c r="AH36" s="853"/>
      <c r="AI36" s="855">
        <f t="shared" si="5"/>
        <v>0</v>
      </c>
      <c r="AJ36" s="845" t="s">
        <v>140</v>
      </c>
      <c r="AK36" s="857">
        <v>45226</v>
      </c>
      <c r="AL36" s="840"/>
      <c r="AM36" s="840"/>
      <c r="AN36" s="858"/>
      <c r="AO36" s="844" t="s">
        <v>141</v>
      </c>
      <c r="AP36" s="859"/>
      <c r="AQ36" s="859" t="s">
        <v>142</v>
      </c>
      <c r="AR36" s="859"/>
      <c r="AS36" s="840"/>
      <c r="AT36" s="840"/>
      <c r="AU36" s="860"/>
      <c r="AV36" s="839" t="s">
        <v>143</v>
      </c>
      <c r="AW36" s="861">
        <v>45269</v>
      </c>
      <c r="AX36" s="862" t="s">
        <v>144</v>
      </c>
      <c r="AY36" s="843"/>
      <c r="AZ36" s="842"/>
      <c r="BA36" s="842" t="s">
        <v>120</v>
      </c>
      <c r="BB36" s="863" t="s">
        <v>121</v>
      </c>
      <c r="BC36" s="864">
        <v>45150</v>
      </c>
      <c r="BD36" s="860" t="s">
        <v>145</v>
      </c>
      <c r="BE36" s="865" cm="1">
        <f t="array" ref="BE36">IF(BD36="","",AC36/SUMPRODUCT(--(BD36=$BD$4:$BD$12824),$AC$4:$AC$12824))</f>
        <v>7.4952234680800492E-3</v>
      </c>
      <c r="BF36" s="458"/>
      <c r="BG36" s="458"/>
      <c r="BH36" s="458"/>
      <c r="BI36" s="458"/>
      <c r="BJ36" s="458"/>
      <c r="BK36" s="458"/>
      <c r="BL36" s="458"/>
      <c r="BM36" s="458"/>
      <c r="BN36" s="458"/>
      <c r="BO36" s="866">
        <f>VLOOKUP(BD36,$BD$4:$BN$12824,3,0)*BE36</f>
        <v>158872.95395456685</v>
      </c>
      <c r="BP36" s="866"/>
      <c r="BQ36" s="866"/>
      <c r="BR36" s="866">
        <f>VLOOKUP(BD36,$BD$4:$BN$12824,6,0)*BE36</f>
        <v>79802.543691464452</v>
      </c>
      <c r="BS36" s="866">
        <f>VLOOKUP(BD36,$BD$4:$BN$12824,7,0)*BE36</f>
        <v>3372.8505606360222</v>
      </c>
      <c r="BT36" s="866"/>
      <c r="BU36" s="866">
        <f>VLOOKUP(BD36,$BD$4:$BN$12824,9,0)*BE36</f>
        <v>3747.6117340400247</v>
      </c>
      <c r="BV36" s="867"/>
      <c r="BW36" s="867">
        <f>VLOOKUP(BD36,$BD$4:$BN$12824,11,0)*BE36</f>
        <v>14165.972354671292</v>
      </c>
      <c r="BX36" s="1146">
        <f t="shared" si="10"/>
        <v>259961.93229537865</v>
      </c>
      <c r="BY36" s="867">
        <f t="shared" si="9"/>
        <v>78283.747178974096</v>
      </c>
      <c r="BZ36" s="867">
        <f t="shared" si="6"/>
        <v>1878809.9322953783</v>
      </c>
      <c r="CA36" s="867">
        <f>_xlfn.MAXIFS($BY$4:$BY$12824,$S$4:$S$12824,$S36)</f>
        <v>78283.747178974096</v>
      </c>
      <c r="CB36" s="1032"/>
      <c r="CF36" s="946">
        <f t="shared" si="7"/>
        <v>1618847.9999999998</v>
      </c>
    </row>
    <row r="37" spans="1:84">
      <c r="A37" s="1032"/>
      <c r="B37" s="839" t="s">
        <v>98</v>
      </c>
      <c r="C37" s="839" t="s">
        <v>131</v>
      </c>
      <c r="D37" s="839" t="s">
        <v>132</v>
      </c>
      <c r="E37" s="839" t="str">
        <f t="shared" si="0"/>
        <v>SC-NINE UNITED-120923-Ms Thao &amp; Stock</v>
      </c>
      <c r="F37" s="841">
        <v>45181</v>
      </c>
      <c r="G37" s="840" t="s">
        <v>133</v>
      </c>
      <c r="H37" s="842" t="s">
        <v>134</v>
      </c>
      <c r="I37" s="842"/>
      <c r="J37" s="841"/>
      <c r="K37" s="841"/>
      <c r="L37" s="843" t="s">
        <v>106</v>
      </c>
      <c r="M37" s="844" t="s">
        <v>107</v>
      </c>
      <c r="N37" s="841"/>
      <c r="O37" s="841" t="s">
        <v>135</v>
      </c>
      <c r="P37" s="841" t="s">
        <v>186</v>
      </c>
      <c r="Q37" s="843"/>
      <c r="R37" s="845" t="s">
        <v>239</v>
      </c>
      <c r="S37" s="1127" t="s">
        <v>240</v>
      </c>
      <c r="T37" s="843" t="s">
        <v>241</v>
      </c>
      <c r="U37" s="842">
        <v>24</v>
      </c>
      <c r="V37" s="842" t="s">
        <v>8</v>
      </c>
      <c r="W37" s="846"/>
      <c r="X37" s="847">
        <f t="shared" si="1"/>
        <v>0</v>
      </c>
      <c r="Y37" s="848"/>
      <c r="Z37" s="849">
        <v>2.8</v>
      </c>
      <c r="AA37" s="849"/>
      <c r="AB37" s="849">
        <f t="shared" si="2"/>
        <v>67.199999999999989</v>
      </c>
      <c r="AC37" s="850">
        <f t="shared" si="3"/>
        <v>67.199999999999989</v>
      </c>
      <c r="AD37" s="851"/>
      <c r="AE37" s="852">
        <v>24090</v>
      </c>
      <c r="AF37" s="853">
        <v>0</v>
      </c>
      <c r="AG37" s="854">
        <f t="shared" si="4"/>
        <v>0</v>
      </c>
      <c r="AH37" s="853"/>
      <c r="AI37" s="855">
        <f t="shared" si="5"/>
        <v>0</v>
      </c>
      <c r="AJ37" s="845" t="s">
        <v>140</v>
      </c>
      <c r="AK37" s="857">
        <v>45226</v>
      </c>
      <c r="AL37" s="840"/>
      <c r="AM37" s="840"/>
      <c r="AN37" s="858"/>
      <c r="AO37" s="844" t="s">
        <v>141</v>
      </c>
      <c r="AP37" s="859"/>
      <c r="AQ37" s="859" t="s">
        <v>142</v>
      </c>
      <c r="AR37" s="859"/>
      <c r="AS37" s="840"/>
      <c r="AT37" s="840"/>
      <c r="AU37" s="860"/>
      <c r="AV37" s="839" t="s">
        <v>143</v>
      </c>
      <c r="AW37" s="861">
        <v>45269</v>
      </c>
      <c r="AX37" s="862" t="s">
        <v>144</v>
      </c>
      <c r="AY37" s="843"/>
      <c r="AZ37" s="842"/>
      <c r="BA37" s="842" t="s">
        <v>120</v>
      </c>
      <c r="BB37" s="863" t="s">
        <v>121</v>
      </c>
      <c r="BC37" s="864">
        <v>45150</v>
      </c>
      <c r="BD37" s="860" t="s">
        <v>145</v>
      </c>
      <c r="BE37" s="865" cm="1">
        <f t="array" ref="BE37">IF(BD37="","",AC37/SUMPRODUCT(--(BD37=$BD$4:$BD$12824),$AC$4:$AC$12824))</f>
        <v>7.4952234680800492E-3</v>
      </c>
      <c r="BF37" s="458"/>
      <c r="BG37" s="458"/>
      <c r="BH37" s="458"/>
      <c r="BI37" s="458"/>
      <c r="BJ37" s="458"/>
      <c r="BK37" s="458"/>
      <c r="BL37" s="458"/>
      <c r="BM37" s="458"/>
      <c r="BN37" s="458"/>
      <c r="BO37" s="866">
        <f>VLOOKUP(BD37,$BD$4:$BN$12824,3,0)*BE37</f>
        <v>158872.95395456685</v>
      </c>
      <c r="BP37" s="866"/>
      <c r="BQ37" s="866"/>
      <c r="BR37" s="866">
        <f>VLOOKUP(BD37,$BD$4:$BN$12824,6,0)*BE37</f>
        <v>79802.543691464452</v>
      </c>
      <c r="BS37" s="866">
        <f>VLOOKUP(BD37,$BD$4:$BN$12824,7,0)*BE37</f>
        <v>3372.8505606360222</v>
      </c>
      <c r="BT37" s="866"/>
      <c r="BU37" s="866">
        <f>VLOOKUP(BD37,$BD$4:$BN$12824,9,0)*BE37</f>
        <v>3747.6117340400247</v>
      </c>
      <c r="BV37" s="867"/>
      <c r="BW37" s="867">
        <f>VLOOKUP(BD37,$BD$4:$BN$12824,11,0)*BE37</f>
        <v>14165.972354671292</v>
      </c>
      <c r="BX37" s="1146">
        <f t="shared" si="10"/>
        <v>259961.93229537865</v>
      </c>
      <c r="BY37" s="867">
        <f t="shared" si="9"/>
        <v>78283.747178974096</v>
      </c>
      <c r="BZ37" s="867">
        <f t="shared" si="6"/>
        <v>1878809.9322953783</v>
      </c>
      <c r="CA37" s="867">
        <f>_xlfn.MAXIFS($BY$4:$BY$12824,$S$4:$S$12824,$S37)</f>
        <v>78283.747178974096</v>
      </c>
      <c r="CB37" s="1032"/>
      <c r="CF37" s="946">
        <f t="shared" si="7"/>
        <v>1618847.9999999998</v>
      </c>
    </row>
    <row r="38" spans="1:84">
      <c r="A38" s="1032"/>
      <c r="B38" s="839" t="s">
        <v>98</v>
      </c>
      <c r="C38" s="839" t="s">
        <v>131</v>
      </c>
      <c r="D38" s="839" t="s">
        <v>132</v>
      </c>
      <c r="E38" s="839" t="str">
        <f t="shared" si="0"/>
        <v>SC-NINE UNITED-120923-Ms Thao &amp; Stock</v>
      </c>
      <c r="F38" s="841">
        <v>45181</v>
      </c>
      <c r="G38" s="840" t="s">
        <v>133</v>
      </c>
      <c r="H38" s="842" t="s">
        <v>134</v>
      </c>
      <c r="I38" s="842"/>
      <c r="J38" s="841"/>
      <c r="K38" s="841"/>
      <c r="L38" s="843" t="s">
        <v>106</v>
      </c>
      <c r="M38" s="844" t="s">
        <v>107</v>
      </c>
      <c r="N38" s="841"/>
      <c r="O38" s="841" t="s">
        <v>135</v>
      </c>
      <c r="P38" s="841" t="s">
        <v>186</v>
      </c>
      <c r="Q38" s="843"/>
      <c r="R38" s="845" t="s">
        <v>242</v>
      </c>
      <c r="S38" s="1127" t="s">
        <v>243</v>
      </c>
      <c r="T38" s="843" t="s">
        <v>244</v>
      </c>
      <c r="U38" s="842">
        <v>12</v>
      </c>
      <c r="V38" s="842" t="s">
        <v>8</v>
      </c>
      <c r="W38" s="846"/>
      <c r="X38" s="847">
        <f t="shared" si="1"/>
        <v>0</v>
      </c>
      <c r="Y38" s="848"/>
      <c r="Z38" s="849">
        <v>6</v>
      </c>
      <c r="AA38" s="849"/>
      <c r="AB38" s="849">
        <f t="shared" si="2"/>
        <v>72</v>
      </c>
      <c r="AC38" s="850">
        <f t="shared" si="3"/>
        <v>72</v>
      </c>
      <c r="AD38" s="851"/>
      <c r="AE38" s="852">
        <v>24090</v>
      </c>
      <c r="AF38" s="853">
        <v>0</v>
      </c>
      <c r="AG38" s="854">
        <f t="shared" si="4"/>
        <v>0</v>
      </c>
      <c r="AH38" s="853"/>
      <c r="AI38" s="855">
        <f t="shared" si="5"/>
        <v>0</v>
      </c>
      <c r="AJ38" s="845" t="s">
        <v>140</v>
      </c>
      <c r="AK38" s="857">
        <v>45226</v>
      </c>
      <c r="AL38" s="840"/>
      <c r="AM38" s="840"/>
      <c r="AN38" s="858"/>
      <c r="AO38" s="844" t="s">
        <v>141</v>
      </c>
      <c r="AP38" s="859"/>
      <c r="AQ38" s="859" t="s">
        <v>142</v>
      </c>
      <c r="AR38" s="859"/>
      <c r="AS38" s="840"/>
      <c r="AT38" s="840"/>
      <c r="AU38" s="860"/>
      <c r="AV38" s="839" t="s">
        <v>143</v>
      </c>
      <c r="AW38" s="861">
        <v>45269</v>
      </c>
      <c r="AX38" s="862" t="s">
        <v>144</v>
      </c>
      <c r="AY38" s="843"/>
      <c r="AZ38" s="842"/>
      <c r="BA38" s="842" t="s">
        <v>120</v>
      </c>
      <c r="BB38" s="863" t="s">
        <v>121</v>
      </c>
      <c r="BC38" s="864">
        <v>45150</v>
      </c>
      <c r="BD38" s="860" t="s">
        <v>145</v>
      </c>
      <c r="BE38" s="865" cm="1">
        <f t="array" ref="BE38">IF(BD38="","",AC38/SUMPRODUCT(--(BD38=$BD$4:$BD$12824),$AC$4:$AC$12824))</f>
        <v>8.0305965729429111E-3</v>
      </c>
      <c r="BF38" s="458"/>
      <c r="BG38" s="458"/>
      <c r="BH38" s="458"/>
      <c r="BI38" s="458"/>
      <c r="BJ38" s="458"/>
      <c r="BK38" s="458"/>
      <c r="BL38" s="458"/>
      <c r="BM38" s="458"/>
      <c r="BN38" s="458"/>
      <c r="BO38" s="866">
        <f>VLOOKUP(BD38,$BD$4:$BN$12824,3,0)*BE38</f>
        <v>170221.0220941788</v>
      </c>
      <c r="BP38" s="866"/>
      <c r="BQ38" s="866"/>
      <c r="BR38" s="866">
        <f>VLOOKUP(BD38,$BD$4:$BN$12824,6,0)*BE38</f>
        <v>85502.725383711921</v>
      </c>
      <c r="BS38" s="866">
        <f>VLOOKUP(BD38,$BD$4:$BN$12824,7,0)*BE38</f>
        <v>3613.7684578243102</v>
      </c>
      <c r="BT38" s="866"/>
      <c r="BU38" s="866">
        <f>VLOOKUP(BD38,$BD$4:$BN$12824,9,0)*BE38</f>
        <v>4015.2982864714554</v>
      </c>
      <c r="BV38" s="867"/>
      <c r="BW38" s="867">
        <f>VLOOKUP(BD38,$BD$4:$BN$12824,11,0)*BE38</f>
        <v>15177.827522862102</v>
      </c>
      <c r="BX38" s="1146">
        <f t="shared" si="10"/>
        <v>278530.64174504858</v>
      </c>
      <c r="BY38" s="867">
        <f t="shared" si="9"/>
        <v>167750.88681208738</v>
      </c>
      <c r="BZ38" s="867">
        <f t="shared" si="6"/>
        <v>2013010.6417450486</v>
      </c>
      <c r="CA38" s="867">
        <f>_xlfn.MAXIFS($BY$4:$BY$12824,$S$4:$S$12824,$S38)</f>
        <v>167750.88681208738</v>
      </c>
      <c r="CB38" s="1032"/>
      <c r="CF38" s="946">
        <f t="shared" si="7"/>
        <v>1734480</v>
      </c>
    </row>
    <row r="39" spans="1:84">
      <c r="A39" s="1032"/>
      <c r="B39" s="839" t="s">
        <v>98</v>
      </c>
      <c r="C39" s="839" t="s">
        <v>131</v>
      </c>
      <c r="D39" s="839" t="s">
        <v>245</v>
      </c>
      <c r="E39" s="839" t="str">
        <f t="shared" si="0"/>
        <v>SC-Nine United-271023- DH-00014531303</v>
      </c>
      <c r="F39" s="841">
        <v>45226</v>
      </c>
      <c r="G39" s="840" t="s">
        <v>133</v>
      </c>
      <c r="H39" s="842" t="s">
        <v>102</v>
      </c>
      <c r="I39" s="842" t="s">
        <v>246</v>
      </c>
      <c r="J39" s="841" t="s">
        <v>247</v>
      </c>
      <c r="K39" s="841" t="s">
        <v>248</v>
      </c>
      <c r="L39" s="843" t="s">
        <v>106</v>
      </c>
      <c r="M39" s="844" t="s">
        <v>107</v>
      </c>
      <c r="N39" s="841"/>
      <c r="O39" s="841" t="s">
        <v>150</v>
      </c>
      <c r="P39" s="841" t="s">
        <v>151</v>
      </c>
      <c r="Q39" s="843"/>
      <c r="R39" s="845" t="s">
        <v>249</v>
      </c>
      <c r="S39" s="1127" t="s">
        <v>250</v>
      </c>
      <c r="T39" s="843" t="s">
        <v>251</v>
      </c>
      <c r="U39" s="842">
        <v>16</v>
      </c>
      <c r="V39" s="842" t="s">
        <v>8</v>
      </c>
      <c r="W39" s="846"/>
      <c r="X39" s="847">
        <f t="shared" si="1"/>
        <v>0</v>
      </c>
      <c r="Y39" s="848"/>
      <c r="Z39" s="849">
        <v>148.77000000000001</v>
      </c>
      <c r="AA39" s="849"/>
      <c r="AB39" s="849">
        <f t="shared" si="2"/>
        <v>2380.3200000000002</v>
      </c>
      <c r="AC39" s="850">
        <f t="shared" si="3"/>
        <v>2380.3200000000002</v>
      </c>
      <c r="AD39" s="851"/>
      <c r="AE39" s="852">
        <v>24090</v>
      </c>
      <c r="AF39" s="853">
        <v>0</v>
      </c>
      <c r="AG39" s="854">
        <f t="shared" si="4"/>
        <v>0</v>
      </c>
      <c r="AH39" s="853"/>
      <c r="AI39" s="855">
        <f t="shared" si="5"/>
        <v>0</v>
      </c>
      <c r="AJ39" s="845" t="s">
        <v>140</v>
      </c>
      <c r="AK39" s="857">
        <v>45226</v>
      </c>
      <c r="AL39" s="840"/>
      <c r="AM39" s="840"/>
      <c r="AN39" s="858"/>
      <c r="AO39" s="844" t="s">
        <v>141</v>
      </c>
      <c r="AP39" s="859"/>
      <c r="AQ39" s="859" t="s">
        <v>142</v>
      </c>
      <c r="AR39" s="859"/>
      <c r="AS39" s="840"/>
      <c r="AT39" s="840"/>
      <c r="AU39" s="860"/>
      <c r="AV39" s="839" t="s">
        <v>143</v>
      </c>
      <c r="AW39" s="861">
        <v>45269</v>
      </c>
      <c r="AX39" s="862" t="s">
        <v>144</v>
      </c>
      <c r="AY39" s="843"/>
      <c r="AZ39" s="842"/>
      <c r="BA39" s="842" t="s">
        <v>120</v>
      </c>
      <c r="BB39" s="863" t="s">
        <v>121</v>
      </c>
      <c r="BC39" s="864">
        <v>45150</v>
      </c>
      <c r="BD39" s="860" t="s">
        <v>145</v>
      </c>
      <c r="BE39" s="865" cm="1">
        <f t="array" ref="BE39">IF(BD39="","",AC39/SUMPRODUCT(--(BD39=$BD$4:$BD$12824),$AC$4:$AC$12824))</f>
        <v>0.26549152270149268</v>
      </c>
      <c r="BF39" s="458"/>
      <c r="BG39" s="458"/>
      <c r="BH39" s="458"/>
      <c r="BI39" s="458"/>
      <c r="BJ39" s="458"/>
      <c r="BK39" s="458"/>
      <c r="BL39" s="458"/>
      <c r="BM39" s="458"/>
      <c r="BN39" s="458"/>
      <c r="BO39" s="866">
        <f>VLOOKUP(BD39,$BD$4:$BN$12824,3,0)*BE39</f>
        <v>5627506.9904335514</v>
      </c>
      <c r="BP39" s="866"/>
      <c r="BQ39" s="866"/>
      <c r="BR39" s="866">
        <f>VLOOKUP(BD39,$BD$4:$BN$12824,6,0)*BE39</f>
        <v>2826720.1011855169</v>
      </c>
      <c r="BS39" s="866">
        <f>VLOOKUP(BD39,$BD$4:$BN$12824,7,0)*BE39</f>
        <v>119471.18521567171</v>
      </c>
      <c r="BT39" s="866"/>
      <c r="BU39" s="866">
        <f>VLOOKUP(BD39,$BD$4:$BN$12824,9,0)*BE39</f>
        <v>132745.76135074632</v>
      </c>
      <c r="BV39" s="867"/>
      <c r="BW39" s="867">
        <f>VLOOKUP(BD39,$BD$4:$BN$12824,11,0)*BE39</f>
        <v>501778.97790582117</v>
      </c>
      <c r="BX39" s="1146">
        <f t="shared" si="10"/>
        <v>9208223.0160913095</v>
      </c>
      <c r="BY39" s="867">
        <f t="shared" si="9"/>
        <v>4159383.2385057071</v>
      </c>
      <c r="BZ39" s="867">
        <f t="shared" si="6"/>
        <v>66550131.816091314</v>
      </c>
      <c r="CA39" s="867">
        <f>_xlfn.MAXIFS($BY$4:$BY$12824,$S$4:$S$12824,$S39)</f>
        <v>4159383.2385057071</v>
      </c>
      <c r="CB39" s="1032"/>
      <c r="CF39" s="946">
        <f t="shared" si="7"/>
        <v>57341908.800000004</v>
      </c>
    </row>
    <row r="40" spans="1:84">
      <c r="A40" s="1032"/>
      <c r="B40" s="839" t="s">
        <v>98</v>
      </c>
      <c r="C40" s="839" t="s">
        <v>131</v>
      </c>
      <c r="D40" s="839" t="s">
        <v>245</v>
      </c>
      <c r="E40" s="839" t="str">
        <f t="shared" si="0"/>
        <v>SC-Nine United-271023- DH-00014531303</v>
      </c>
      <c r="F40" s="841">
        <v>45226</v>
      </c>
      <c r="G40" s="840" t="s">
        <v>155</v>
      </c>
      <c r="H40" s="842" t="s">
        <v>102</v>
      </c>
      <c r="I40" s="842" t="s">
        <v>246</v>
      </c>
      <c r="J40" s="841" t="s">
        <v>247</v>
      </c>
      <c r="K40" s="841" t="s">
        <v>248</v>
      </c>
      <c r="L40" s="843" t="s">
        <v>106</v>
      </c>
      <c r="M40" s="844" t="s">
        <v>107</v>
      </c>
      <c r="N40" s="841"/>
      <c r="O40" s="841" t="s">
        <v>108</v>
      </c>
      <c r="P40" s="841" t="s">
        <v>109</v>
      </c>
      <c r="Q40" s="843"/>
      <c r="R40" s="845">
        <v>200600</v>
      </c>
      <c r="S40" s="1127" t="s">
        <v>252</v>
      </c>
      <c r="T40" s="843" t="s">
        <v>253</v>
      </c>
      <c r="U40" s="842">
        <v>2</v>
      </c>
      <c r="V40" s="842" t="s">
        <v>8</v>
      </c>
      <c r="W40" s="846"/>
      <c r="X40" s="847">
        <f t="shared" si="1"/>
        <v>0</v>
      </c>
      <c r="Y40" s="848"/>
      <c r="Z40" s="849">
        <v>92.4</v>
      </c>
      <c r="AA40" s="849"/>
      <c r="AB40" s="849">
        <f t="shared" si="2"/>
        <v>184.8</v>
      </c>
      <c r="AC40" s="850">
        <f t="shared" si="3"/>
        <v>184.8</v>
      </c>
      <c r="AD40" s="851"/>
      <c r="AE40" s="852">
        <v>24090</v>
      </c>
      <c r="AF40" s="853">
        <v>0</v>
      </c>
      <c r="AG40" s="854">
        <f t="shared" si="4"/>
        <v>0</v>
      </c>
      <c r="AH40" s="853"/>
      <c r="AI40" s="855">
        <f t="shared" si="5"/>
        <v>0</v>
      </c>
      <c r="AJ40" s="845" t="s">
        <v>140</v>
      </c>
      <c r="AK40" s="857">
        <v>45226</v>
      </c>
      <c r="AL40" s="840"/>
      <c r="AM40" s="840"/>
      <c r="AN40" s="858"/>
      <c r="AO40" s="844" t="s">
        <v>141</v>
      </c>
      <c r="AP40" s="859"/>
      <c r="AQ40" s="859" t="s">
        <v>142</v>
      </c>
      <c r="AR40" s="859"/>
      <c r="AS40" s="840"/>
      <c r="AT40" s="840"/>
      <c r="AU40" s="860"/>
      <c r="AV40" s="839" t="s">
        <v>143</v>
      </c>
      <c r="AW40" s="861">
        <v>45269</v>
      </c>
      <c r="AX40" s="862" t="s">
        <v>144</v>
      </c>
      <c r="AY40" s="843"/>
      <c r="AZ40" s="842"/>
      <c r="BA40" s="842" t="s">
        <v>120</v>
      </c>
      <c r="BB40" s="863" t="s">
        <v>121</v>
      </c>
      <c r="BC40" s="864">
        <v>45150</v>
      </c>
      <c r="BD40" s="860" t="s">
        <v>145</v>
      </c>
      <c r="BE40" s="865" cm="1">
        <f t="array" ref="BE40">IF(BD40="","",AC40/SUMPRODUCT(--(BD40=$BD$4:$BD$12824),$AC$4:$AC$12824))</f>
        <v>2.061186453722014E-2</v>
      </c>
      <c r="BF40" s="458"/>
      <c r="BG40" s="458"/>
      <c r="BH40" s="458"/>
      <c r="BI40" s="458"/>
      <c r="BJ40" s="458"/>
      <c r="BK40" s="458"/>
      <c r="BL40" s="458"/>
      <c r="BM40" s="458"/>
      <c r="BN40" s="458"/>
      <c r="BO40" s="866">
        <f>VLOOKUP(BD40,$BD$4:$BN$12824,3,0)*BE40</f>
        <v>436900.62337505893</v>
      </c>
      <c r="BP40" s="866"/>
      <c r="BQ40" s="866"/>
      <c r="BR40" s="866">
        <f>VLOOKUP(BD40,$BD$4:$BN$12824,6,0)*BE40</f>
        <v>219456.99515152731</v>
      </c>
      <c r="BS40" s="866">
        <f>VLOOKUP(BD40,$BD$4:$BN$12824,7,0)*BE40</f>
        <v>9275.3390417490627</v>
      </c>
      <c r="BT40" s="866"/>
      <c r="BU40" s="866">
        <f>VLOOKUP(BD40,$BD$4:$BN$12824,9,0)*BE40</f>
        <v>10305.93226861007</v>
      </c>
      <c r="BV40" s="867"/>
      <c r="BW40" s="867">
        <f>VLOOKUP(BD40,$BD$4:$BN$12824,11,0)*BE40</f>
        <v>38956.423975346064</v>
      </c>
      <c r="BX40" s="1146">
        <f t="shared" si="10"/>
        <v>714895.31381229137</v>
      </c>
      <c r="BY40" s="867">
        <f t="shared" si="9"/>
        <v>2583363.6569061456</v>
      </c>
      <c r="BZ40" s="867">
        <f t="shared" si="6"/>
        <v>5166727.3138122912</v>
      </c>
      <c r="CA40" s="867">
        <f>_xlfn.MAXIFS($BY$4:$BY$12824,$S$4:$S$12824,$S40)</f>
        <v>2583363.6569061456</v>
      </c>
      <c r="CB40" s="1032"/>
      <c r="CF40" s="946">
        <f t="shared" si="7"/>
        <v>4451832</v>
      </c>
    </row>
    <row r="41" spans="1:84">
      <c r="A41" s="1032"/>
      <c r="B41" s="839" t="s">
        <v>98</v>
      </c>
      <c r="C41" s="839" t="s">
        <v>254</v>
      </c>
      <c r="D41" s="839" t="s">
        <v>255</v>
      </c>
      <c r="E41" s="839" t="str">
        <f t="shared" si="0"/>
        <v>SC-FLOS-110923-STOCK&amp;MR HIEN</v>
      </c>
      <c r="F41" s="841">
        <v>45180</v>
      </c>
      <c r="G41" s="840" t="s">
        <v>254</v>
      </c>
      <c r="H41" s="842" t="s">
        <v>134</v>
      </c>
      <c r="I41" s="842"/>
      <c r="J41" s="841"/>
      <c r="K41" s="841"/>
      <c r="L41" s="843" t="s">
        <v>106</v>
      </c>
      <c r="M41" s="844" t="s">
        <v>107</v>
      </c>
      <c r="N41" s="841"/>
      <c r="O41" s="841" t="s">
        <v>108</v>
      </c>
      <c r="P41" s="841" t="s">
        <v>109</v>
      </c>
      <c r="Q41" s="843"/>
      <c r="R41" s="845" t="s">
        <v>256</v>
      </c>
      <c r="S41" s="1127" t="s">
        <v>257</v>
      </c>
      <c r="T41" s="843" t="s">
        <v>258</v>
      </c>
      <c r="U41" s="842">
        <v>2</v>
      </c>
      <c r="V41" s="842" t="s">
        <v>3</v>
      </c>
      <c r="W41" s="846"/>
      <c r="X41" s="847">
        <f t="shared" si="1"/>
        <v>0</v>
      </c>
      <c r="Y41" s="848"/>
      <c r="Z41" s="849">
        <v>1893.65</v>
      </c>
      <c r="AA41" s="849"/>
      <c r="AB41" s="849">
        <f t="shared" si="2"/>
        <v>3787.3</v>
      </c>
      <c r="AC41" s="850">
        <f t="shared" si="3"/>
        <v>3787.3</v>
      </c>
      <c r="AD41" s="851"/>
      <c r="AE41" s="852">
        <v>26199.57</v>
      </c>
      <c r="AF41" s="853">
        <v>0</v>
      </c>
      <c r="AG41" s="854">
        <f t="shared" si="4"/>
        <v>0</v>
      </c>
      <c r="AH41" s="853"/>
      <c r="AI41" s="855">
        <f t="shared" si="5"/>
        <v>0</v>
      </c>
      <c r="AJ41" s="845" t="s">
        <v>259</v>
      </c>
      <c r="AK41" s="857">
        <v>45203</v>
      </c>
      <c r="AL41" s="840"/>
      <c r="AM41" s="840"/>
      <c r="AN41" s="858"/>
      <c r="AO41" s="844" t="s">
        <v>141</v>
      </c>
      <c r="AP41" s="859"/>
      <c r="AQ41" s="859" t="s">
        <v>142</v>
      </c>
      <c r="AR41" s="859"/>
      <c r="AS41" s="840"/>
      <c r="AT41" s="840"/>
      <c r="AU41" s="860"/>
      <c r="AV41" s="839" t="s">
        <v>260</v>
      </c>
      <c r="AW41" s="861">
        <v>45266</v>
      </c>
      <c r="AX41" s="862" t="s">
        <v>261</v>
      </c>
      <c r="AY41" s="843"/>
      <c r="AZ41" s="842"/>
      <c r="BA41" s="842" t="s">
        <v>120</v>
      </c>
      <c r="BB41" s="863" t="s">
        <v>121</v>
      </c>
      <c r="BC41" s="864">
        <v>45150</v>
      </c>
      <c r="BD41" s="860" t="s">
        <v>262</v>
      </c>
      <c r="BE41" s="865" cm="1">
        <f t="array" ref="BE41">IF(BD41="","",AC41/SUMPRODUCT(--(BD41=$BD$4:$BD$12824),$AC$4:$AC$12824))</f>
        <v>0.38016893943576441</v>
      </c>
      <c r="BF41" s="458">
        <v>7649033</v>
      </c>
      <c r="BG41" s="458"/>
      <c r="BH41" s="458"/>
      <c r="BI41" s="458">
        <v>5093772</v>
      </c>
      <c r="BJ41" s="458"/>
      <c r="BK41" s="458"/>
      <c r="BL41" s="458"/>
      <c r="BM41" s="458"/>
      <c r="BN41" s="458">
        <v>600000</v>
      </c>
      <c r="BO41" s="866">
        <f>VLOOKUP(BD41,$BD$4:$BN$12824,3,0)*BE41</f>
        <v>2907924.7633191631</v>
      </c>
      <c r="BP41" s="866"/>
      <c r="BQ41" s="866"/>
      <c r="BR41" s="866">
        <f>VLOOKUP(BD41,$BD$4:$BN$12824,6,0)*BE41</f>
        <v>1936493.8989675925</v>
      </c>
      <c r="BS41" s="866">
        <f>VLOOKUP(BD41,$BD$4:$BN$12824,7,0)*BE41</f>
        <v>0</v>
      </c>
      <c r="BT41" s="866"/>
      <c r="BU41" s="866">
        <f>VLOOKUP(BD41,$BD$4:$BN$12824,9,0)*BE41</f>
        <v>0</v>
      </c>
      <c r="BV41" s="867"/>
      <c r="BW41" s="867">
        <f>VLOOKUP(BD41,$BD$4:$BN$12824,11,0)*BE41</f>
        <v>228101.36366145866</v>
      </c>
      <c r="BX41" s="1146">
        <f t="shared" ref="BX41:BX44" si="11">SUM(BO41:BW41)</f>
        <v>5072520.0259482143</v>
      </c>
      <c r="BY41" s="867">
        <f t="shared" si="9"/>
        <v>52149075.743474111</v>
      </c>
      <c r="BZ41" s="867">
        <f t="shared" si="6"/>
        <v>104298151.48694822</v>
      </c>
      <c r="CA41" s="867">
        <f>_xlfn.MAXIFS($BY$4:$BY$12824,$S$4:$S$12824,$S41)</f>
        <v>52511523.23007372</v>
      </c>
      <c r="CB41" s="1032"/>
      <c r="CF41" s="946">
        <f t="shared" si="7"/>
        <v>99225631.46100001</v>
      </c>
    </row>
    <row r="42" spans="1:84">
      <c r="A42" s="1032"/>
      <c r="B42" s="839" t="s">
        <v>98</v>
      </c>
      <c r="C42" s="839" t="s">
        <v>254</v>
      </c>
      <c r="D42" s="839" t="s">
        <v>255</v>
      </c>
      <c r="E42" s="839" t="str">
        <f t="shared" si="0"/>
        <v>SC-FLOS-110923-STOCK&amp;MR HIEN</v>
      </c>
      <c r="F42" s="841">
        <v>45180</v>
      </c>
      <c r="G42" s="840" t="s">
        <v>254</v>
      </c>
      <c r="H42" s="842" t="s">
        <v>134</v>
      </c>
      <c r="I42" s="842"/>
      <c r="J42" s="841"/>
      <c r="K42" s="841"/>
      <c r="L42" s="843" t="s">
        <v>106</v>
      </c>
      <c r="M42" s="844" t="s">
        <v>107</v>
      </c>
      <c r="N42" s="841"/>
      <c r="O42" s="841" t="s">
        <v>108</v>
      </c>
      <c r="P42" s="841" t="s">
        <v>109</v>
      </c>
      <c r="Q42" s="843"/>
      <c r="R42" s="845" t="s">
        <v>263</v>
      </c>
      <c r="S42" s="1127" t="s">
        <v>264</v>
      </c>
      <c r="T42" s="843" t="s">
        <v>265</v>
      </c>
      <c r="U42" s="842">
        <v>4</v>
      </c>
      <c r="V42" s="842" t="s">
        <v>3</v>
      </c>
      <c r="W42" s="846"/>
      <c r="X42" s="847">
        <f t="shared" si="1"/>
        <v>0</v>
      </c>
      <c r="Y42" s="848"/>
      <c r="Z42" s="849">
        <v>811.25</v>
      </c>
      <c r="AA42" s="849"/>
      <c r="AB42" s="849">
        <f t="shared" si="2"/>
        <v>3245</v>
      </c>
      <c r="AC42" s="850">
        <f t="shared" si="3"/>
        <v>3245</v>
      </c>
      <c r="AD42" s="851"/>
      <c r="AE42" s="852">
        <v>26199.57</v>
      </c>
      <c r="AF42" s="853">
        <v>0</v>
      </c>
      <c r="AG42" s="854">
        <f t="shared" si="4"/>
        <v>0</v>
      </c>
      <c r="AH42" s="853"/>
      <c r="AI42" s="855">
        <f t="shared" si="5"/>
        <v>0</v>
      </c>
      <c r="AJ42" s="845" t="s">
        <v>259</v>
      </c>
      <c r="AK42" s="857">
        <v>45203</v>
      </c>
      <c r="AL42" s="840"/>
      <c r="AM42" s="840"/>
      <c r="AN42" s="858"/>
      <c r="AO42" s="844" t="s">
        <v>141</v>
      </c>
      <c r="AP42" s="859"/>
      <c r="AQ42" s="859" t="s">
        <v>142</v>
      </c>
      <c r="AR42" s="859"/>
      <c r="AS42" s="840"/>
      <c r="AT42" s="840"/>
      <c r="AU42" s="860"/>
      <c r="AV42" s="839" t="s">
        <v>260</v>
      </c>
      <c r="AW42" s="861">
        <v>45266</v>
      </c>
      <c r="AX42" s="862" t="s">
        <v>261</v>
      </c>
      <c r="AY42" s="843"/>
      <c r="AZ42" s="842"/>
      <c r="BA42" s="842" t="s">
        <v>120</v>
      </c>
      <c r="BB42" s="863" t="s">
        <v>121</v>
      </c>
      <c r="BC42" s="864">
        <v>45150</v>
      </c>
      <c r="BD42" s="860" t="s">
        <v>262</v>
      </c>
      <c r="BE42" s="865" cm="1">
        <f t="array" ref="BE42">IF(BD42="","",AC42/SUMPRODUCT(--(BD42=$BD$4:$BD$12824),$AC$4:$AC$12824))</f>
        <v>0.32573289902280134</v>
      </c>
      <c r="BF42" s="458"/>
      <c r="BG42" s="458"/>
      <c r="BH42" s="458"/>
      <c r="BI42" s="458"/>
      <c r="BJ42" s="458"/>
      <c r="BK42" s="458"/>
      <c r="BL42" s="458"/>
      <c r="BM42" s="458"/>
      <c r="BN42" s="458"/>
      <c r="BO42" s="866">
        <f>VLOOKUP(BD42,$BD$4:$BN$12824,3,0)*BE42</f>
        <v>2491541.6938110753</v>
      </c>
      <c r="BP42" s="866"/>
      <c r="BQ42" s="866"/>
      <c r="BR42" s="866">
        <f>VLOOKUP(BD42,$BD$4:$BN$12824,6,0)*BE42</f>
        <v>1659209.1205211729</v>
      </c>
      <c r="BS42" s="866">
        <f>VLOOKUP(BD42,$BD$4:$BN$12824,7,0)*BE42</f>
        <v>0</v>
      </c>
      <c r="BT42" s="866"/>
      <c r="BU42" s="866">
        <f>VLOOKUP(BD42,$BD$4:$BN$12824,9,0)*BE42</f>
        <v>0</v>
      </c>
      <c r="BV42" s="867"/>
      <c r="BW42" s="867">
        <f>VLOOKUP(BD42,$BD$4:$BN$12824,11,0)*BE42</f>
        <v>195439.7394136808</v>
      </c>
      <c r="BX42" s="1146">
        <f t="shared" si="11"/>
        <v>4346190.5537459292</v>
      </c>
      <c r="BY42" s="867">
        <f t="shared" si="9"/>
        <v>22340948.800936483</v>
      </c>
      <c r="BZ42" s="867">
        <f t="shared" si="6"/>
        <v>89363795.203745931</v>
      </c>
      <c r="CA42" s="867">
        <f>_xlfn.MAXIFS($BY$4:$BY$12824,$S$4:$S$12824,$S42)</f>
        <v>22340948.800936483</v>
      </c>
      <c r="CB42" s="1032"/>
      <c r="CF42" s="946">
        <f t="shared" si="7"/>
        <v>85017604.650000006</v>
      </c>
    </row>
    <row r="43" spans="1:84">
      <c r="A43" s="1032"/>
      <c r="B43" s="839" t="s">
        <v>98</v>
      </c>
      <c r="C43" s="839" t="s">
        <v>254</v>
      </c>
      <c r="D43" s="839" t="s">
        <v>255</v>
      </c>
      <c r="E43" s="839" t="str">
        <f t="shared" si="0"/>
        <v>SC-FLOS-110923-STOCK&amp;MR HIEN</v>
      </c>
      <c r="F43" s="841">
        <v>45180</v>
      </c>
      <c r="G43" s="840" t="s">
        <v>254</v>
      </c>
      <c r="H43" s="842" t="s">
        <v>134</v>
      </c>
      <c r="I43" s="842"/>
      <c r="J43" s="841"/>
      <c r="K43" s="841"/>
      <c r="L43" s="843" t="s">
        <v>106</v>
      </c>
      <c r="M43" s="844" t="s">
        <v>107</v>
      </c>
      <c r="N43" s="841"/>
      <c r="O43" s="841" t="s">
        <v>108</v>
      </c>
      <c r="P43" s="841" t="s">
        <v>109</v>
      </c>
      <c r="Q43" s="843"/>
      <c r="R43" s="845" t="s">
        <v>266</v>
      </c>
      <c r="S43" s="1127" t="s">
        <v>267</v>
      </c>
      <c r="T43" s="843" t="s">
        <v>268</v>
      </c>
      <c r="U43" s="842">
        <v>1</v>
      </c>
      <c r="V43" s="842" t="s">
        <v>3</v>
      </c>
      <c r="W43" s="846"/>
      <c r="X43" s="847">
        <f t="shared" si="1"/>
        <v>0</v>
      </c>
      <c r="Y43" s="848"/>
      <c r="Z43" s="849">
        <v>1036.75</v>
      </c>
      <c r="AA43" s="849"/>
      <c r="AB43" s="849">
        <f t="shared" si="2"/>
        <v>1036.75</v>
      </c>
      <c r="AC43" s="850">
        <f t="shared" si="3"/>
        <v>1036.75</v>
      </c>
      <c r="AD43" s="851"/>
      <c r="AE43" s="852">
        <v>26199.57</v>
      </c>
      <c r="AF43" s="853">
        <v>0</v>
      </c>
      <c r="AG43" s="854">
        <f t="shared" si="4"/>
        <v>0</v>
      </c>
      <c r="AH43" s="853"/>
      <c r="AI43" s="855">
        <f t="shared" si="5"/>
        <v>0</v>
      </c>
      <c r="AJ43" s="845" t="s">
        <v>259</v>
      </c>
      <c r="AK43" s="857">
        <v>45203</v>
      </c>
      <c r="AL43" s="840"/>
      <c r="AM43" s="840"/>
      <c r="AN43" s="858"/>
      <c r="AO43" s="844" t="s">
        <v>141</v>
      </c>
      <c r="AP43" s="859"/>
      <c r="AQ43" s="859" t="s">
        <v>142</v>
      </c>
      <c r="AR43" s="859"/>
      <c r="AS43" s="840"/>
      <c r="AT43" s="840"/>
      <c r="AU43" s="860"/>
      <c r="AV43" s="839" t="s">
        <v>260</v>
      </c>
      <c r="AW43" s="861">
        <v>45266</v>
      </c>
      <c r="AX43" s="862" t="s">
        <v>261</v>
      </c>
      <c r="AY43" s="843"/>
      <c r="AZ43" s="842"/>
      <c r="BA43" s="842" t="s">
        <v>120</v>
      </c>
      <c r="BB43" s="863" t="s">
        <v>121</v>
      </c>
      <c r="BC43" s="864">
        <v>45150</v>
      </c>
      <c r="BD43" s="860" t="s">
        <v>262</v>
      </c>
      <c r="BE43" s="865" cm="1">
        <f t="array" ref="BE43">IF(BD43="","",AC43/SUMPRODUCT(--(BD43=$BD$4:$BD$12824),$AC$4:$AC$12824))</f>
        <v>0.10406890078948822</v>
      </c>
      <c r="BF43" s="458"/>
      <c r="BG43" s="458"/>
      <c r="BH43" s="458"/>
      <c r="BI43" s="458"/>
      <c r="BJ43" s="458"/>
      <c r="BK43" s="458"/>
      <c r="BL43" s="458"/>
      <c r="BM43" s="458"/>
      <c r="BN43" s="458"/>
      <c r="BO43" s="866">
        <f>VLOOKUP(BD43,$BD$4:$BN$12824,3,0)*BE43</f>
        <v>796026.45641252142</v>
      </c>
      <c r="BP43" s="866"/>
      <c r="BQ43" s="866"/>
      <c r="BR43" s="866">
        <f>VLOOKUP(BD43,$BD$4:$BN$12824,6,0)*BE43</f>
        <v>530103.25291227293</v>
      </c>
      <c r="BS43" s="866">
        <f>VLOOKUP(BD43,$BD$4:$BN$12824,7,0)*BE43</f>
        <v>0</v>
      </c>
      <c r="BT43" s="866"/>
      <c r="BU43" s="866">
        <f>VLOOKUP(BD43,$BD$4:$BN$12824,9,0)*BE43</f>
        <v>0</v>
      </c>
      <c r="BV43" s="867"/>
      <c r="BW43" s="867">
        <f>VLOOKUP(BD43,$BD$4:$BN$12824,11,0)*BE43</f>
        <v>62441.34047369293</v>
      </c>
      <c r="BX43" s="1146">
        <f t="shared" si="11"/>
        <v>1388571.0497984872</v>
      </c>
      <c r="BY43" s="867">
        <f t="shared" si="9"/>
        <v>28550975.247298487</v>
      </c>
      <c r="BZ43" s="867">
        <f t="shared" si="6"/>
        <v>28550975.247298487</v>
      </c>
      <c r="CA43" s="867">
        <f>_xlfn.MAXIFS($BY$4:$BY$12824,$S$4:$S$12824,$S43)</f>
        <v>29844309.742437471</v>
      </c>
      <c r="CB43" s="1032"/>
      <c r="CF43" s="946">
        <f t="shared" si="7"/>
        <v>27162404.197499998</v>
      </c>
    </row>
    <row r="44" spans="1:84">
      <c r="A44" s="1032"/>
      <c r="B44" s="839" t="s">
        <v>98</v>
      </c>
      <c r="C44" s="839" t="s">
        <v>254</v>
      </c>
      <c r="D44" s="839" t="s">
        <v>255</v>
      </c>
      <c r="E44" s="839" t="str">
        <f t="shared" si="0"/>
        <v>SC-FLOS-110923-STOCK&amp;MR HIEN</v>
      </c>
      <c r="F44" s="841">
        <v>45180</v>
      </c>
      <c r="G44" s="840" t="s">
        <v>254</v>
      </c>
      <c r="H44" s="842" t="s">
        <v>134</v>
      </c>
      <c r="I44" s="842"/>
      <c r="J44" s="841"/>
      <c r="K44" s="841"/>
      <c r="L44" s="843" t="s">
        <v>106</v>
      </c>
      <c r="M44" s="844" t="s">
        <v>107</v>
      </c>
      <c r="N44" s="841"/>
      <c r="O44" s="841" t="s">
        <v>108</v>
      </c>
      <c r="P44" s="841" t="s">
        <v>269</v>
      </c>
      <c r="Q44" s="843"/>
      <c r="R44" s="845" t="s">
        <v>270</v>
      </c>
      <c r="S44" s="1127" t="s">
        <v>271</v>
      </c>
      <c r="T44" s="843" t="s">
        <v>272</v>
      </c>
      <c r="U44" s="842">
        <v>2</v>
      </c>
      <c r="V44" s="842" t="s">
        <v>3</v>
      </c>
      <c r="W44" s="846"/>
      <c r="X44" s="847">
        <f t="shared" si="1"/>
        <v>0</v>
      </c>
      <c r="Y44" s="848"/>
      <c r="Z44" s="849">
        <v>946.55</v>
      </c>
      <c r="AA44" s="849"/>
      <c r="AB44" s="849">
        <f t="shared" si="2"/>
        <v>1893.1</v>
      </c>
      <c r="AC44" s="850">
        <f t="shared" si="3"/>
        <v>1893.1</v>
      </c>
      <c r="AD44" s="851"/>
      <c r="AE44" s="852">
        <v>26199.57</v>
      </c>
      <c r="AF44" s="853">
        <v>0</v>
      </c>
      <c r="AG44" s="854">
        <f t="shared" si="4"/>
        <v>0</v>
      </c>
      <c r="AH44" s="853"/>
      <c r="AI44" s="855">
        <f t="shared" si="5"/>
        <v>0</v>
      </c>
      <c r="AJ44" s="845" t="s">
        <v>259</v>
      </c>
      <c r="AK44" s="857">
        <v>45203</v>
      </c>
      <c r="AL44" s="840"/>
      <c r="AM44" s="840"/>
      <c r="AN44" s="858"/>
      <c r="AO44" s="844" t="s">
        <v>141</v>
      </c>
      <c r="AP44" s="859"/>
      <c r="AQ44" s="859" t="s">
        <v>142</v>
      </c>
      <c r="AR44" s="859"/>
      <c r="AS44" s="840"/>
      <c r="AT44" s="840"/>
      <c r="AU44" s="860"/>
      <c r="AV44" s="839" t="s">
        <v>260</v>
      </c>
      <c r="AW44" s="861">
        <v>45266</v>
      </c>
      <c r="AX44" s="862" t="s">
        <v>261</v>
      </c>
      <c r="AY44" s="843"/>
      <c r="AZ44" s="842"/>
      <c r="BA44" s="842" t="s">
        <v>120</v>
      </c>
      <c r="BB44" s="863" t="s">
        <v>121</v>
      </c>
      <c r="BC44" s="864">
        <v>45150</v>
      </c>
      <c r="BD44" s="860" t="s">
        <v>262</v>
      </c>
      <c r="BE44" s="865" cm="1">
        <f t="array" ref="BE44">IF(BD44="","",AC44/SUMPRODUCT(--(BD44=$BD$4:$BD$12824),$AC$4:$AC$12824))</f>
        <v>0.19002926075194612</v>
      </c>
      <c r="BF44" s="458"/>
      <c r="BG44" s="458"/>
      <c r="BH44" s="458"/>
      <c r="BI44" s="458"/>
      <c r="BJ44" s="458"/>
      <c r="BK44" s="458"/>
      <c r="BL44" s="458"/>
      <c r="BM44" s="458"/>
      <c r="BN44" s="458"/>
      <c r="BO44" s="866">
        <f>VLOOKUP(BD44,$BD$4:$BN$12824,3,0)*BE44</f>
        <v>1453540.0864572406</v>
      </c>
      <c r="BP44" s="866"/>
      <c r="BQ44" s="866"/>
      <c r="BR44" s="866">
        <f>VLOOKUP(BD44,$BD$4:$BN$12824,6,0)*BE44</f>
        <v>967965.72759896214</v>
      </c>
      <c r="BS44" s="866">
        <f>VLOOKUP(BD44,$BD$4:$BN$12824,7,0)*BE44</f>
        <v>0</v>
      </c>
      <c r="BT44" s="866"/>
      <c r="BU44" s="866">
        <f>VLOOKUP(BD44,$BD$4:$BN$12824,9,0)*BE44</f>
        <v>0</v>
      </c>
      <c r="BV44" s="867"/>
      <c r="BW44" s="867">
        <f>VLOOKUP(BD44,$BD$4:$BN$12824,11,0)*BE44</f>
        <v>114017.55645116768</v>
      </c>
      <c r="BX44" s="1146">
        <f t="shared" si="11"/>
        <v>2535523.3705073707</v>
      </c>
      <c r="BY44" s="867">
        <f t="shared" si="9"/>
        <v>26066964.668753684</v>
      </c>
      <c r="BZ44" s="867">
        <f t="shared" si="6"/>
        <v>52133929.337507367</v>
      </c>
      <c r="CA44" s="867">
        <f>_xlfn.MAXIFS($BY$4:$BY$12824,$S$4:$S$12824,$S44)</f>
        <v>26066964.668753684</v>
      </c>
      <c r="CB44" s="1032"/>
      <c r="CF44" s="946">
        <f t="shared" si="7"/>
        <v>49598405.967</v>
      </c>
    </row>
    <row r="45" spans="1:84">
      <c r="A45" s="1032"/>
      <c r="B45" s="839" t="s">
        <v>98</v>
      </c>
      <c r="C45" s="839" t="s">
        <v>273</v>
      </c>
      <c r="D45" s="839" t="s">
        <v>274</v>
      </c>
      <c r="E45" s="839" t="str">
        <f t="shared" si="0"/>
        <v>SC-USM-15-220823-A TAI&amp;CAMPAIGN</v>
      </c>
      <c r="F45" s="841">
        <v>45160</v>
      </c>
      <c r="G45" s="840" t="s">
        <v>273</v>
      </c>
      <c r="H45" s="842" t="s">
        <v>134</v>
      </c>
      <c r="I45" s="842"/>
      <c r="J45" s="841"/>
      <c r="K45" s="841"/>
      <c r="L45" s="843" t="s">
        <v>106</v>
      </c>
      <c r="M45" s="844" t="s">
        <v>275</v>
      </c>
      <c r="N45" s="841"/>
      <c r="O45" s="841" t="s">
        <v>150</v>
      </c>
      <c r="P45" s="841" t="s">
        <v>276</v>
      </c>
      <c r="Q45" s="843"/>
      <c r="R45" s="845" t="s">
        <v>277</v>
      </c>
      <c r="S45" s="1127" t="s">
        <v>277</v>
      </c>
      <c r="T45" s="843" t="s">
        <v>278</v>
      </c>
      <c r="U45" s="842">
        <v>1</v>
      </c>
      <c r="V45" s="842" t="s">
        <v>3</v>
      </c>
      <c r="W45" s="846"/>
      <c r="X45" s="847">
        <f t="shared" si="1"/>
        <v>0</v>
      </c>
      <c r="Y45" s="848"/>
      <c r="Z45" s="849">
        <v>746.2</v>
      </c>
      <c r="AA45" s="849"/>
      <c r="AB45" s="849">
        <f t="shared" si="2"/>
        <v>746.2</v>
      </c>
      <c r="AC45" s="850">
        <f t="shared" si="3"/>
        <v>746.2</v>
      </c>
      <c r="AD45" s="851"/>
      <c r="AE45" s="852">
        <v>25889.59</v>
      </c>
      <c r="AF45" s="853">
        <v>0.1</v>
      </c>
      <c r="AG45" s="854">
        <f t="shared" si="4"/>
        <v>2499664.6141885212</v>
      </c>
      <c r="AH45" s="853"/>
      <c r="AI45" s="855">
        <f t="shared" si="5"/>
        <v>0</v>
      </c>
      <c r="AJ45" s="845" t="s">
        <v>279</v>
      </c>
      <c r="AK45" s="857">
        <v>45244</v>
      </c>
      <c r="AL45" s="840"/>
      <c r="AM45" s="840"/>
      <c r="AN45" s="858"/>
      <c r="AO45" s="844" t="s">
        <v>116</v>
      </c>
      <c r="AP45" s="859"/>
      <c r="AQ45" s="859" t="s">
        <v>280</v>
      </c>
      <c r="AR45" s="859"/>
      <c r="AS45" s="840"/>
      <c r="AT45" s="840"/>
      <c r="AU45" s="860"/>
      <c r="AV45" s="839" t="s">
        <v>281</v>
      </c>
      <c r="AW45" s="861">
        <v>45252</v>
      </c>
      <c r="AX45" s="862" t="s">
        <v>282</v>
      </c>
      <c r="AY45" s="843"/>
      <c r="AZ45" s="842"/>
      <c r="BA45" s="842" t="s">
        <v>120</v>
      </c>
      <c r="BB45" s="863" t="s">
        <v>121</v>
      </c>
      <c r="BC45" s="864">
        <v>45253</v>
      </c>
      <c r="BD45" s="860" t="s">
        <v>283</v>
      </c>
      <c r="BE45" s="865" cm="1">
        <f t="array" ref="BE45">IF(BD45="","",AC45/SUMPRODUCT(--(BD45=$BD$4:$BD$12824),$AC$4:$AC$12824))</f>
        <v>0.28697571743929357</v>
      </c>
      <c r="BF45" s="458">
        <v>19785068</v>
      </c>
      <c r="BG45" s="458"/>
      <c r="BH45" s="458"/>
      <c r="BI45" s="458">
        <f>(486480+851340+ 467360)</f>
        <v>1805180</v>
      </c>
      <c r="BJ45" s="458"/>
      <c r="BK45" s="458"/>
      <c r="BL45" s="458"/>
      <c r="BM45" s="458"/>
      <c r="BN45" s="458">
        <v>600000</v>
      </c>
      <c r="BO45" s="866">
        <f>VLOOKUP(BD45,$BD$4:$BN$12824,3,0)*BE45</f>
        <v>5677834.0838852087</v>
      </c>
      <c r="BP45" s="866"/>
      <c r="BQ45" s="866"/>
      <c r="BR45" s="866">
        <f>VLOOKUP(BD45,$BD$4:$BN$12824,6,0)*BE45</f>
        <v>518042.82560706395</v>
      </c>
      <c r="BS45" s="866">
        <f>VLOOKUP(BD45,$BD$4:$BN$12824,7,0)*BE45</f>
        <v>0</v>
      </c>
      <c r="BT45" s="866"/>
      <c r="BU45" s="866">
        <f>VLOOKUP(BD45,$BD$4:$BN$12824,9,0)*BE45</f>
        <v>0</v>
      </c>
      <c r="BV45" s="867"/>
      <c r="BW45" s="867">
        <f>VLOOKUP(BD45,$BD$4:$BN$12824,11,0)*BE45</f>
        <v>172185.43046357614</v>
      </c>
      <c r="BX45" s="1146">
        <f t="shared" ref="BX45:BX48" si="12">SUM(BO45:BW45)</f>
        <v>6368062.3399558486</v>
      </c>
      <c r="BY45" s="867">
        <f t="shared" si="9"/>
        <v>28186539.012144372</v>
      </c>
      <c r="BZ45" s="867">
        <f t="shared" si="6"/>
        <v>28186539.012144372</v>
      </c>
      <c r="CA45" s="867">
        <f>_xlfn.MAXIFS($BY$4:$BY$12824,$S$4:$S$12824,$S45)</f>
        <v>28186539.012144372</v>
      </c>
      <c r="CB45" s="1032"/>
      <c r="CF45" s="946">
        <f t="shared" si="7"/>
        <v>19318812.058000002</v>
      </c>
    </row>
    <row r="46" spans="1:84">
      <c r="A46" s="1032"/>
      <c r="B46" s="839" t="s">
        <v>98</v>
      </c>
      <c r="C46" s="839" t="s">
        <v>273</v>
      </c>
      <c r="D46" s="839" t="s">
        <v>274</v>
      </c>
      <c r="E46" s="839" t="str">
        <f t="shared" si="0"/>
        <v>SC-USM-15-220823-A TAI&amp;CAMPAIGN</v>
      </c>
      <c r="F46" s="841">
        <v>45160</v>
      </c>
      <c r="G46" s="840" t="s">
        <v>273</v>
      </c>
      <c r="H46" s="842" t="s">
        <v>134</v>
      </c>
      <c r="I46" s="842"/>
      <c r="J46" s="841"/>
      <c r="K46" s="841"/>
      <c r="L46" s="843" t="s">
        <v>106</v>
      </c>
      <c r="M46" s="844" t="s">
        <v>275</v>
      </c>
      <c r="N46" s="841"/>
      <c r="O46" s="841" t="s">
        <v>150</v>
      </c>
      <c r="P46" s="841" t="s">
        <v>276</v>
      </c>
      <c r="Q46" s="843"/>
      <c r="R46" s="845" t="s">
        <v>284</v>
      </c>
      <c r="S46" s="1127" t="s">
        <v>284</v>
      </c>
      <c r="T46" s="843" t="s">
        <v>285</v>
      </c>
      <c r="U46" s="842">
        <v>1</v>
      </c>
      <c r="V46" s="842" t="s">
        <v>3</v>
      </c>
      <c r="W46" s="846"/>
      <c r="X46" s="847">
        <f t="shared" si="1"/>
        <v>0</v>
      </c>
      <c r="Y46" s="848"/>
      <c r="Z46" s="849">
        <v>946.75</v>
      </c>
      <c r="AA46" s="849"/>
      <c r="AB46" s="849">
        <f t="shared" si="2"/>
        <v>946.75</v>
      </c>
      <c r="AC46" s="850">
        <f t="shared" si="3"/>
        <v>946.75</v>
      </c>
      <c r="AD46" s="851"/>
      <c r="AE46" s="852">
        <v>25889.59</v>
      </c>
      <c r="AF46" s="853">
        <v>0.1</v>
      </c>
      <c r="AG46" s="854">
        <f t="shared" si="4"/>
        <v>3171478.7905159239</v>
      </c>
      <c r="AH46" s="853"/>
      <c r="AI46" s="855">
        <f t="shared" si="5"/>
        <v>0</v>
      </c>
      <c r="AJ46" s="845" t="s">
        <v>279</v>
      </c>
      <c r="AK46" s="857">
        <v>45244</v>
      </c>
      <c r="AL46" s="840"/>
      <c r="AM46" s="840"/>
      <c r="AN46" s="858"/>
      <c r="AO46" s="844" t="s">
        <v>116</v>
      </c>
      <c r="AP46" s="859"/>
      <c r="AQ46" s="859" t="s">
        <v>280</v>
      </c>
      <c r="AR46" s="859"/>
      <c r="AS46" s="840"/>
      <c r="AT46" s="840"/>
      <c r="AU46" s="860"/>
      <c r="AV46" s="839" t="s">
        <v>281</v>
      </c>
      <c r="AW46" s="861">
        <v>45252</v>
      </c>
      <c r="AX46" s="862" t="s">
        <v>282</v>
      </c>
      <c r="AY46" s="843"/>
      <c r="AZ46" s="842"/>
      <c r="BA46" s="842" t="s">
        <v>120</v>
      </c>
      <c r="BB46" s="863" t="s">
        <v>121</v>
      </c>
      <c r="BC46" s="864">
        <v>45253</v>
      </c>
      <c r="BD46" s="860" t="s">
        <v>283</v>
      </c>
      <c r="BE46" s="865" cm="1">
        <f t="array" ref="BE46">IF(BD46="","",AC46/SUMPRODUCT(--(BD46=$BD$4:$BD$12824),$AC$4:$AC$12824))</f>
        <v>0.36410380660097991</v>
      </c>
      <c r="BF46" s="458"/>
      <c r="BG46" s="458"/>
      <c r="BH46" s="458"/>
      <c r="BI46" s="458"/>
      <c r="BJ46" s="458"/>
      <c r="BK46" s="458"/>
      <c r="BL46" s="458"/>
      <c r="BM46" s="458"/>
      <c r="BN46" s="458"/>
      <c r="BO46" s="866">
        <f>VLOOKUP(BD46,$BD$4:$BN$12824,3,0)*BE46</f>
        <v>7203818.5726592364</v>
      </c>
      <c r="BP46" s="866"/>
      <c r="BQ46" s="866"/>
      <c r="BR46" s="866">
        <f>VLOOKUP(BD46,$BD$4:$BN$12824,6,0)*BE46</f>
        <v>657272.90959995694</v>
      </c>
      <c r="BS46" s="866">
        <f>VLOOKUP(BD46,$BD$4:$BN$12824,7,0)*BE46</f>
        <v>0</v>
      </c>
      <c r="BT46" s="866"/>
      <c r="BU46" s="866">
        <f>VLOOKUP(BD46,$BD$4:$BN$12824,9,0)*BE46</f>
        <v>0</v>
      </c>
      <c r="BV46" s="867"/>
      <c r="BW46" s="867">
        <f>VLOOKUP(BD46,$BD$4:$BN$12824,11,0)*BE46</f>
        <v>218462.28396058796</v>
      </c>
      <c r="BX46" s="1146">
        <f t="shared" si="12"/>
        <v>8079553.7662197817</v>
      </c>
      <c r="BY46" s="867">
        <f t="shared" si="9"/>
        <v>35762001.889235705</v>
      </c>
      <c r="BZ46" s="867">
        <f t="shared" si="6"/>
        <v>35762001.889235705</v>
      </c>
      <c r="CA46" s="867">
        <f>_xlfn.MAXIFS($BY$4:$BY$12824,$S$4:$S$12824,$S46)</f>
        <v>35762001.889235705</v>
      </c>
      <c r="CB46" s="1032"/>
      <c r="CF46" s="946">
        <f t="shared" si="7"/>
        <v>24510969.3325</v>
      </c>
    </row>
    <row r="47" spans="1:84">
      <c r="A47" s="1032"/>
      <c r="B47" s="839" t="s">
        <v>98</v>
      </c>
      <c r="C47" s="839" t="s">
        <v>273</v>
      </c>
      <c r="D47" s="839" t="s">
        <v>274</v>
      </c>
      <c r="E47" s="839" t="str">
        <f t="shared" si="0"/>
        <v>SC-USM-15-220823-A TAI&amp;CAMPAIGN</v>
      </c>
      <c r="F47" s="841">
        <v>45160</v>
      </c>
      <c r="G47" s="840" t="s">
        <v>273</v>
      </c>
      <c r="H47" s="842" t="s">
        <v>134</v>
      </c>
      <c r="I47" s="842"/>
      <c r="J47" s="841"/>
      <c r="K47" s="841"/>
      <c r="L47" s="843" t="s">
        <v>106</v>
      </c>
      <c r="M47" s="844" t="s">
        <v>275</v>
      </c>
      <c r="N47" s="841"/>
      <c r="O47" s="841" t="s">
        <v>150</v>
      </c>
      <c r="P47" s="841" t="s">
        <v>276</v>
      </c>
      <c r="Q47" s="843"/>
      <c r="R47" s="845" t="s">
        <v>286</v>
      </c>
      <c r="S47" s="1127" t="s">
        <v>286</v>
      </c>
      <c r="T47" s="843" t="s">
        <v>287</v>
      </c>
      <c r="U47" s="842">
        <v>1</v>
      </c>
      <c r="V47" s="842" t="s">
        <v>3</v>
      </c>
      <c r="W47" s="846"/>
      <c r="X47" s="847">
        <f t="shared" si="1"/>
        <v>0</v>
      </c>
      <c r="Y47" s="848"/>
      <c r="Z47" s="849">
        <v>671.66</v>
      </c>
      <c r="AA47" s="849"/>
      <c r="AB47" s="849">
        <f t="shared" si="2"/>
        <v>671.66</v>
      </c>
      <c r="AC47" s="850">
        <f t="shared" si="3"/>
        <v>671.66</v>
      </c>
      <c r="AD47" s="851"/>
      <c r="AE47" s="852">
        <v>25889.59</v>
      </c>
      <c r="AF47" s="853">
        <v>0.1</v>
      </c>
      <c r="AG47" s="854">
        <f t="shared" si="4"/>
        <v>2249966.1414712705</v>
      </c>
      <c r="AH47" s="853"/>
      <c r="AI47" s="855">
        <f t="shared" si="5"/>
        <v>0</v>
      </c>
      <c r="AJ47" s="845" t="s">
        <v>279</v>
      </c>
      <c r="AK47" s="857">
        <v>45244</v>
      </c>
      <c r="AL47" s="840"/>
      <c r="AM47" s="840"/>
      <c r="AN47" s="858"/>
      <c r="AO47" s="844" t="s">
        <v>116</v>
      </c>
      <c r="AP47" s="859"/>
      <c r="AQ47" s="859" t="s">
        <v>280</v>
      </c>
      <c r="AR47" s="859"/>
      <c r="AS47" s="840"/>
      <c r="AT47" s="840"/>
      <c r="AU47" s="860"/>
      <c r="AV47" s="839" t="s">
        <v>281</v>
      </c>
      <c r="AW47" s="861">
        <v>45252</v>
      </c>
      <c r="AX47" s="862" t="s">
        <v>282</v>
      </c>
      <c r="AY47" s="843"/>
      <c r="AZ47" s="842"/>
      <c r="BA47" s="842" t="s">
        <v>120</v>
      </c>
      <c r="BB47" s="863" t="s">
        <v>121</v>
      </c>
      <c r="BC47" s="864">
        <v>45253</v>
      </c>
      <c r="BD47" s="860" t="s">
        <v>283</v>
      </c>
      <c r="BE47" s="865" cm="1">
        <f t="array" ref="BE47">IF(BD47="","",AC47/SUMPRODUCT(--(BD47=$BD$4:$BD$12824),$AC$4:$AC$12824))</f>
        <v>0.2583089123228034</v>
      </c>
      <c r="BF47" s="458"/>
      <c r="BG47" s="458"/>
      <c r="BH47" s="458"/>
      <c r="BI47" s="458"/>
      <c r="BJ47" s="458"/>
      <c r="BK47" s="458"/>
      <c r="BL47" s="458"/>
      <c r="BM47" s="458"/>
      <c r="BN47" s="458"/>
      <c r="BO47" s="866">
        <f>VLOOKUP(BD47,$BD$4:$BN$12824,3,0)*BE47</f>
        <v>5110659.3953127032</v>
      </c>
      <c r="BP47" s="866"/>
      <c r="BQ47" s="866"/>
      <c r="BR47" s="866">
        <f>VLOOKUP(BD47,$BD$4:$BN$12824,6,0)*BE47</f>
        <v>466294.08234687825</v>
      </c>
      <c r="BS47" s="866">
        <f>VLOOKUP(BD47,$BD$4:$BN$12824,7,0)*BE47</f>
        <v>0</v>
      </c>
      <c r="BT47" s="866"/>
      <c r="BU47" s="866">
        <f>VLOOKUP(BD47,$BD$4:$BN$12824,9,0)*BE47</f>
        <v>0</v>
      </c>
      <c r="BV47" s="867"/>
      <c r="BW47" s="867">
        <f>VLOOKUP(BD47,$BD$4:$BN$12824,11,0)*BE47</f>
        <v>154985.34739368205</v>
      </c>
      <c r="BX47" s="1146">
        <f t="shared" si="12"/>
        <v>5731938.8250532635</v>
      </c>
      <c r="BY47" s="867">
        <f t="shared" si="9"/>
        <v>25370906.985924534</v>
      </c>
      <c r="BZ47" s="867">
        <f t="shared" si="6"/>
        <v>25370906.985924534</v>
      </c>
      <c r="CA47" s="867">
        <f>_xlfn.MAXIFS($BY$4:$BY$12824,$S$4:$S$12824,$S47)</f>
        <v>25370906.985924534</v>
      </c>
      <c r="CB47" s="1032"/>
      <c r="CF47" s="946">
        <f t="shared" si="7"/>
        <v>17389002.019400001</v>
      </c>
    </row>
    <row r="48" spans="1:84">
      <c r="A48" s="1032"/>
      <c r="B48" s="839" t="s">
        <v>98</v>
      </c>
      <c r="C48" s="839" t="s">
        <v>273</v>
      </c>
      <c r="D48" s="839" t="s">
        <v>274</v>
      </c>
      <c r="E48" s="839" t="str">
        <f t="shared" si="0"/>
        <v>SC-USM-15-220823-A TAI&amp;CAMPAIGN</v>
      </c>
      <c r="F48" s="841">
        <v>45160</v>
      </c>
      <c r="G48" s="840" t="s">
        <v>273</v>
      </c>
      <c r="H48" s="842" t="s">
        <v>134</v>
      </c>
      <c r="I48" s="842"/>
      <c r="J48" s="841"/>
      <c r="K48" s="841"/>
      <c r="L48" s="843" t="s">
        <v>106</v>
      </c>
      <c r="M48" s="844" t="s">
        <v>275</v>
      </c>
      <c r="N48" s="841"/>
      <c r="O48" s="841" t="s">
        <v>150</v>
      </c>
      <c r="P48" s="841" t="s">
        <v>276</v>
      </c>
      <c r="Q48" s="843"/>
      <c r="R48" s="845" t="s">
        <v>288</v>
      </c>
      <c r="S48" s="1127" t="s">
        <v>288</v>
      </c>
      <c r="T48" s="843" t="s">
        <v>289</v>
      </c>
      <c r="U48" s="842">
        <v>1</v>
      </c>
      <c r="V48" s="842" t="s">
        <v>3</v>
      </c>
      <c r="W48" s="846"/>
      <c r="X48" s="847">
        <f t="shared" si="1"/>
        <v>0</v>
      </c>
      <c r="Y48" s="848"/>
      <c r="Z48" s="849">
        <v>235.61</v>
      </c>
      <c r="AA48" s="849"/>
      <c r="AB48" s="849">
        <f t="shared" si="2"/>
        <v>235.61</v>
      </c>
      <c r="AC48" s="850">
        <f t="shared" si="3"/>
        <v>235.61</v>
      </c>
      <c r="AD48" s="851"/>
      <c r="AE48" s="852">
        <v>25889.59</v>
      </c>
      <c r="AF48" s="853">
        <v>0.1</v>
      </c>
      <c r="AG48" s="854">
        <f t="shared" si="4"/>
        <v>789260.22480428498</v>
      </c>
      <c r="AH48" s="853"/>
      <c r="AI48" s="855">
        <f t="shared" si="5"/>
        <v>0</v>
      </c>
      <c r="AJ48" s="845" t="s">
        <v>279</v>
      </c>
      <c r="AK48" s="857">
        <v>45244</v>
      </c>
      <c r="AL48" s="840"/>
      <c r="AM48" s="840"/>
      <c r="AN48" s="858"/>
      <c r="AO48" s="844" t="s">
        <v>116</v>
      </c>
      <c r="AP48" s="859"/>
      <c r="AQ48" s="859" t="s">
        <v>280</v>
      </c>
      <c r="AR48" s="859"/>
      <c r="AS48" s="840"/>
      <c r="AT48" s="840"/>
      <c r="AU48" s="860"/>
      <c r="AV48" s="839" t="s">
        <v>281</v>
      </c>
      <c r="AW48" s="861">
        <v>45252</v>
      </c>
      <c r="AX48" s="862" t="s">
        <v>282</v>
      </c>
      <c r="AY48" s="843"/>
      <c r="AZ48" s="842"/>
      <c r="BA48" s="842" t="s">
        <v>120</v>
      </c>
      <c r="BB48" s="863" t="s">
        <v>121</v>
      </c>
      <c r="BC48" s="864">
        <v>45253</v>
      </c>
      <c r="BD48" s="860" t="s">
        <v>283</v>
      </c>
      <c r="BE48" s="865" cm="1">
        <f t="array" ref="BE48">IF(BD48="","",AC48/SUMPRODUCT(--(BD48=$BD$4:$BD$12824),$AC$4:$AC$12824))</f>
        <v>9.061156363692302E-2</v>
      </c>
      <c r="BF48" s="458"/>
      <c r="BG48" s="458"/>
      <c r="BH48" s="458"/>
      <c r="BI48" s="458"/>
      <c r="BJ48" s="458"/>
      <c r="BK48" s="458"/>
      <c r="BL48" s="458"/>
      <c r="BM48" s="458"/>
      <c r="BN48" s="458"/>
      <c r="BO48" s="866">
        <f>VLOOKUP(BD48,$BD$4:$BN$12824,3,0)*BE48</f>
        <v>1792755.9481428494</v>
      </c>
      <c r="BP48" s="866"/>
      <c r="BQ48" s="866"/>
      <c r="BR48" s="866">
        <f>VLOOKUP(BD48,$BD$4:$BN$12824,6,0)*BE48</f>
        <v>163570.18244610069</v>
      </c>
      <c r="BS48" s="866">
        <f>VLOOKUP(BD48,$BD$4:$BN$12824,7,0)*BE48</f>
        <v>0</v>
      </c>
      <c r="BT48" s="866"/>
      <c r="BU48" s="866">
        <f>VLOOKUP(BD48,$BD$4:$BN$12824,9,0)*BE48</f>
        <v>0</v>
      </c>
      <c r="BV48" s="867"/>
      <c r="BW48" s="867">
        <f>VLOOKUP(BD48,$BD$4:$BN$12824,11,0)*BE48</f>
        <v>54366.938182153812</v>
      </c>
      <c r="BX48" s="1146">
        <f t="shared" si="12"/>
        <v>2010693.0687711039</v>
      </c>
      <c r="BY48" s="867">
        <f t="shared" si="9"/>
        <v>8899799.5934753884</v>
      </c>
      <c r="BZ48" s="867">
        <f t="shared" si="6"/>
        <v>8899799.5934753884</v>
      </c>
      <c r="CA48" s="867">
        <f>_xlfn.MAXIFS($BY$4:$BY$12824,$S$4:$S$12824,$S48)</f>
        <v>8899799.5934753884</v>
      </c>
      <c r="CB48" s="1032"/>
      <c r="CF48" s="946">
        <f t="shared" si="7"/>
        <v>6099846.2999</v>
      </c>
    </row>
    <row r="49" spans="1:84">
      <c r="A49" s="1032"/>
      <c r="B49" s="839" t="s">
        <v>98</v>
      </c>
      <c r="C49" s="839" t="s">
        <v>273</v>
      </c>
      <c r="D49" s="839" t="s">
        <v>290</v>
      </c>
      <c r="E49" s="839" t="s">
        <v>290</v>
      </c>
      <c r="F49" s="841">
        <v>45106</v>
      </c>
      <c r="G49" s="840" t="s">
        <v>273</v>
      </c>
      <c r="H49" s="842" t="s">
        <v>134</v>
      </c>
      <c r="I49" s="842"/>
      <c r="J49" s="841"/>
      <c r="K49" s="841"/>
      <c r="L49" s="843" t="s">
        <v>106</v>
      </c>
      <c r="M49" s="844" t="s">
        <v>275</v>
      </c>
      <c r="N49" s="841"/>
      <c r="O49" s="841" t="s">
        <v>150</v>
      </c>
      <c r="P49" s="841" t="s">
        <v>276</v>
      </c>
      <c r="Q49" s="843"/>
      <c r="R49" s="845" t="s">
        <v>291</v>
      </c>
      <c r="S49" s="1127" t="s">
        <v>291</v>
      </c>
      <c r="T49" s="843" t="s">
        <v>292</v>
      </c>
      <c r="U49" s="842">
        <v>1</v>
      </c>
      <c r="V49" s="842" t="s">
        <v>3</v>
      </c>
      <c r="W49" s="846"/>
      <c r="X49" s="847">
        <f t="shared" si="1"/>
        <v>0</v>
      </c>
      <c r="Y49" s="848"/>
      <c r="Z49" s="849">
        <v>2962.41</v>
      </c>
      <c r="AA49" s="849"/>
      <c r="AB49" s="849">
        <f t="shared" si="2"/>
        <v>2962.41</v>
      </c>
      <c r="AC49" s="850">
        <f t="shared" si="3"/>
        <v>2962.41</v>
      </c>
      <c r="AD49" s="851"/>
      <c r="AE49" s="852">
        <v>25590.880000000001</v>
      </c>
      <c r="AF49" s="853">
        <v>0.1</v>
      </c>
      <c r="AG49" s="854">
        <f t="shared" si="4"/>
        <v>7794876.2748403586</v>
      </c>
      <c r="AH49" s="853"/>
      <c r="AI49" s="855">
        <f t="shared" si="5"/>
        <v>0</v>
      </c>
      <c r="AJ49" s="845" t="s">
        <v>293</v>
      </c>
      <c r="AK49" s="857" t="s">
        <v>294</v>
      </c>
      <c r="AL49" s="840"/>
      <c r="AM49" s="840"/>
      <c r="AN49" s="858"/>
      <c r="AO49" s="844" t="s">
        <v>141</v>
      </c>
      <c r="AP49" s="859"/>
      <c r="AQ49" s="859" t="s">
        <v>295</v>
      </c>
      <c r="AR49" s="859"/>
      <c r="AS49" s="840"/>
      <c r="AT49" s="840"/>
      <c r="AU49" s="860"/>
      <c r="AV49" s="839" t="s">
        <v>296</v>
      </c>
      <c r="AW49" s="861">
        <v>45189</v>
      </c>
      <c r="AX49" s="862" t="s">
        <v>297</v>
      </c>
      <c r="AY49" s="843"/>
      <c r="AZ49" s="842"/>
      <c r="BA49" s="842" t="s">
        <v>120</v>
      </c>
      <c r="BB49" s="863" t="s">
        <v>121</v>
      </c>
      <c r="BC49" s="864">
        <v>45195</v>
      </c>
      <c r="BD49" s="860" t="s">
        <v>298</v>
      </c>
      <c r="BE49" s="865" cm="1">
        <f t="array" ref="BE49">IF(BD49="","",AC49/SUMPRODUCT(--(BD49=$BD$4:$BD$12824),$AC$4:$AC$12824))</f>
        <v>3.4175753270906419E-2</v>
      </c>
      <c r="BF49" s="458">
        <v>60393000</v>
      </c>
      <c r="BG49" s="458"/>
      <c r="BH49" s="458"/>
      <c r="BI49" s="458">
        <v>4104000</v>
      </c>
      <c r="BJ49" s="458">
        <v>2168428</v>
      </c>
      <c r="BK49" s="458"/>
      <c r="BL49" s="458">
        <v>500000</v>
      </c>
      <c r="BM49" s="458"/>
      <c r="BN49" s="458"/>
      <c r="BO49" s="866">
        <f>VLOOKUP(BD49,$BD$4:$BN$12824,3,0)*BE49</f>
        <v>2063976.2672898513</v>
      </c>
      <c r="BP49" s="866"/>
      <c r="BQ49" s="866"/>
      <c r="BR49" s="866">
        <f>VLOOKUP(BD49,$BD$4:$BN$12824,6,0)*BE49</f>
        <v>140257.29142379994</v>
      </c>
      <c r="BS49" s="866">
        <f>VLOOKUP(BD49,$BD$4:$BN$12824,7,0)*BE49</f>
        <v>74107.660313725064</v>
      </c>
      <c r="BT49" s="866"/>
      <c r="BU49" s="866">
        <f>VLOOKUP(BD49,$BD$4:$BN$12824,9,0)*BE49</f>
        <v>17087.876635453209</v>
      </c>
      <c r="BV49" s="867"/>
      <c r="BW49" s="867">
        <f>VLOOKUP(BD49,$BD$4:$BN$12824,11,0)*BE49</f>
        <v>0</v>
      </c>
      <c r="BX49" s="1146">
        <f t="shared" ref="BX49:BX90" si="13">SUM(BO49:BW49)</f>
        <v>2295429.0956628295</v>
      </c>
      <c r="BY49" s="867">
        <f t="shared" si="9"/>
        <v>85900984.191303194</v>
      </c>
      <c r="BZ49" s="867">
        <f t="shared" si="6"/>
        <v>85900984.191303194</v>
      </c>
      <c r="CA49" s="867">
        <f>_xlfn.MAXIFS($BY$4:$BY$12824,$S$4:$S$12824,$S49)</f>
        <v>85900984.191303194</v>
      </c>
      <c r="CB49" s="1032"/>
      <c r="CF49" s="946">
        <f t="shared" si="7"/>
        <v>75810678.820800006</v>
      </c>
    </row>
    <row r="50" spans="1:84">
      <c r="A50" s="1032"/>
      <c r="B50" s="839" t="s">
        <v>98</v>
      </c>
      <c r="C50" s="839" t="s">
        <v>273</v>
      </c>
      <c r="D50" s="839" t="s">
        <v>290</v>
      </c>
      <c r="E50" s="839" t="s">
        <v>290</v>
      </c>
      <c r="F50" s="841">
        <v>45106</v>
      </c>
      <c r="G50" s="840" t="s">
        <v>273</v>
      </c>
      <c r="H50" s="842" t="s">
        <v>134</v>
      </c>
      <c r="I50" s="842"/>
      <c r="J50" s="841"/>
      <c r="K50" s="841"/>
      <c r="L50" s="843" t="s">
        <v>106</v>
      </c>
      <c r="M50" s="844" t="s">
        <v>275</v>
      </c>
      <c r="N50" s="841"/>
      <c r="O50" s="841" t="s">
        <v>150</v>
      </c>
      <c r="P50" s="841" t="s">
        <v>276</v>
      </c>
      <c r="Q50" s="843"/>
      <c r="R50" s="845" t="s">
        <v>299</v>
      </c>
      <c r="S50" s="1127" t="s">
        <v>299</v>
      </c>
      <c r="T50" s="843" t="s">
        <v>300</v>
      </c>
      <c r="U50" s="842">
        <v>1</v>
      </c>
      <c r="V50" s="842" t="s">
        <v>3</v>
      </c>
      <c r="W50" s="846"/>
      <c r="X50" s="847">
        <f t="shared" si="1"/>
        <v>0</v>
      </c>
      <c r="Y50" s="848"/>
      <c r="Z50" s="849">
        <v>7665.29</v>
      </c>
      <c r="AA50" s="849"/>
      <c r="AB50" s="849">
        <f t="shared" si="2"/>
        <v>7665.29</v>
      </c>
      <c r="AC50" s="850">
        <f t="shared" si="3"/>
        <v>7665.29</v>
      </c>
      <c r="AD50" s="851"/>
      <c r="AE50" s="852">
        <v>25590.880000000001</v>
      </c>
      <c r="AF50" s="853">
        <v>0.1</v>
      </c>
      <c r="AG50" s="854">
        <f t="shared" si="4"/>
        <v>20169384.778194457</v>
      </c>
      <c r="AH50" s="853"/>
      <c r="AI50" s="855">
        <f t="shared" si="5"/>
        <v>0</v>
      </c>
      <c r="AJ50" s="845" t="s">
        <v>293</v>
      </c>
      <c r="AK50" s="857" t="s">
        <v>294</v>
      </c>
      <c r="AL50" s="840"/>
      <c r="AM50" s="840"/>
      <c r="AN50" s="858"/>
      <c r="AO50" s="844" t="s">
        <v>141</v>
      </c>
      <c r="AP50" s="859"/>
      <c r="AQ50" s="859" t="s">
        <v>295</v>
      </c>
      <c r="AR50" s="859"/>
      <c r="AS50" s="840"/>
      <c r="AT50" s="840"/>
      <c r="AU50" s="860"/>
      <c r="AV50" s="839" t="s">
        <v>296</v>
      </c>
      <c r="AW50" s="861">
        <v>45189</v>
      </c>
      <c r="AX50" s="862" t="s">
        <v>297</v>
      </c>
      <c r="AY50" s="843"/>
      <c r="AZ50" s="842"/>
      <c r="BA50" s="842" t="s">
        <v>120</v>
      </c>
      <c r="BB50" s="863" t="s">
        <v>121</v>
      </c>
      <c r="BC50" s="864">
        <v>45195</v>
      </c>
      <c r="BD50" s="860" t="s">
        <v>298</v>
      </c>
      <c r="BE50" s="865" cm="1">
        <f t="array" ref="BE50">IF(BD50="","",AC50/SUMPRODUCT(--(BD50=$BD$4:$BD$12824),$AC$4:$AC$12824))</f>
        <v>8.8430385999894098E-2</v>
      </c>
      <c r="BF50" s="458"/>
      <c r="BG50" s="458"/>
      <c r="BH50" s="458"/>
      <c r="BI50" s="458"/>
      <c r="BJ50" s="458"/>
      <c r="BK50" s="458"/>
      <c r="BL50" s="458"/>
      <c r="BM50" s="458"/>
      <c r="BN50" s="458"/>
      <c r="BO50" s="866">
        <f>VLOOKUP(BD50,$BD$4:$BN$12824,3,0)*BE50</f>
        <v>5340576.3016916038</v>
      </c>
      <c r="BP50" s="866"/>
      <c r="BQ50" s="866"/>
      <c r="BR50" s="866">
        <f>VLOOKUP(BD50,$BD$4:$BN$12824,6,0)*BE50</f>
        <v>362918.30414356536</v>
      </c>
      <c r="BS50" s="866">
        <f>VLOOKUP(BD50,$BD$4:$BN$12824,7,0)*BE50</f>
        <v>191754.92505297836</v>
      </c>
      <c r="BT50" s="866"/>
      <c r="BU50" s="866">
        <f>VLOOKUP(BD50,$BD$4:$BN$12824,9,0)*BE50</f>
        <v>44215.192999947052</v>
      </c>
      <c r="BV50" s="867"/>
      <c r="BW50" s="867">
        <f>VLOOKUP(BD50,$BD$4:$BN$12824,11,0)*BE50</f>
        <v>0</v>
      </c>
      <c r="BX50" s="1146">
        <f t="shared" si="13"/>
        <v>5939464.7238880945</v>
      </c>
      <c r="BY50" s="867">
        <f t="shared" si="9"/>
        <v>222270366.05728257</v>
      </c>
      <c r="BZ50" s="867">
        <f t="shared" si="6"/>
        <v>222270366.05728257</v>
      </c>
      <c r="CA50" s="867">
        <f>_xlfn.MAXIFS($BY$4:$BY$12824,$S$4:$S$12824,$S50)</f>
        <v>222270366.05728257</v>
      </c>
      <c r="CB50" s="1032"/>
      <c r="CF50" s="946">
        <f t="shared" si="7"/>
        <v>196161516.55520001</v>
      </c>
    </row>
    <row r="51" spans="1:84">
      <c r="A51" s="1032"/>
      <c r="B51" s="839" t="s">
        <v>98</v>
      </c>
      <c r="C51" s="839" t="s">
        <v>273</v>
      </c>
      <c r="D51" s="839" t="s">
        <v>290</v>
      </c>
      <c r="E51" s="839" t="s">
        <v>290</v>
      </c>
      <c r="F51" s="841">
        <v>45106</v>
      </c>
      <c r="G51" s="840" t="s">
        <v>273</v>
      </c>
      <c r="H51" s="842" t="s">
        <v>134</v>
      </c>
      <c r="I51" s="842"/>
      <c r="J51" s="841"/>
      <c r="K51" s="841"/>
      <c r="L51" s="843" t="s">
        <v>106</v>
      </c>
      <c r="M51" s="844" t="s">
        <v>275</v>
      </c>
      <c r="N51" s="841"/>
      <c r="O51" s="841" t="s">
        <v>150</v>
      </c>
      <c r="P51" s="841" t="s">
        <v>276</v>
      </c>
      <c r="Q51" s="843"/>
      <c r="R51" s="845" t="s">
        <v>301</v>
      </c>
      <c r="S51" s="1127" t="s">
        <v>301</v>
      </c>
      <c r="T51" s="843" t="s">
        <v>302</v>
      </c>
      <c r="U51" s="842">
        <v>1</v>
      </c>
      <c r="V51" s="842" t="s">
        <v>3</v>
      </c>
      <c r="W51" s="846"/>
      <c r="X51" s="847">
        <f t="shared" si="1"/>
        <v>0</v>
      </c>
      <c r="Y51" s="848"/>
      <c r="Z51" s="849">
        <v>2935.7</v>
      </c>
      <c r="AA51" s="849"/>
      <c r="AB51" s="849">
        <f t="shared" si="2"/>
        <v>2935.7</v>
      </c>
      <c r="AC51" s="850">
        <f t="shared" si="3"/>
        <v>2935.7</v>
      </c>
      <c r="AD51" s="851"/>
      <c r="AE51" s="852">
        <v>25590.880000000001</v>
      </c>
      <c r="AF51" s="853">
        <v>0.1</v>
      </c>
      <c r="AG51" s="854">
        <f t="shared" si="4"/>
        <v>7724595.2721091397</v>
      </c>
      <c r="AH51" s="853"/>
      <c r="AI51" s="855">
        <f t="shared" si="5"/>
        <v>0</v>
      </c>
      <c r="AJ51" s="845" t="s">
        <v>293</v>
      </c>
      <c r="AK51" s="857" t="s">
        <v>294</v>
      </c>
      <c r="AL51" s="840"/>
      <c r="AM51" s="840"/>
      <c r="AN51" s="858"/>
      <c r="AO51" s="844" t="s">
        <v>141</v>
      </c>
      <c r="AP51" s="859"/>
      <c r="AQ51" s="859" t="s">
        <v>295</v>
      </c>
      <c r="AR51" s="859"/>
      <c r="AS51" s="840"/>
      <c r="AT51" s="840"/>
      <c r="AU51" s="860"/>
      <c r="AV51" s="839" t="s">
        <v>296</v>
      </c>
      <c r="AW51" s="861">
        <v>45189</v>
      </c>
      <c r="AX51" s="862" t="s">
        <v>297</v>
      </c>
      <c r="AY51" s="843"/>
      <c r="AZ51" s="842"/>
      <c r="BA51" s="842" t="s">
        <v>120</v>
      </c>
      <c r="BB51" s="863" t="s">
        <v>121</v>
      </c>
      <c r="BC51" s="864">
        <v>45195</v>
      </c>
      <c r="BD51" s="860" t="s">
        <v>298</v>
      </c>
      <c r="BE51" s="865" cm="1">
        <f t="array" ref="BE51">IF(BD51="","",AC51/SUMPRODUCT(--(BD51=$BD$4:$BD$12824),$AC$4:$AC$12824))</f>
        <v>3.3867614164615964E-2</v>
      </c>
      <c r="BF51" s="458"/>
      <c r="BG51" s="458"/>
      <c r="BH51" s="458"/>
      <c r="BI51" s="458"/>
      <c r="BJ51" s="458"/>
      <c r="BK51" s="458"/>
      <c r="BL51" s="458"/>
      <c r="BM51" s="458"/>
      <c r="BN51" s="458"/>
      <c r="BO51" s="866">
        <f>VLOOKUP(BD51,$BD$4:$BN$12824,3,0)*BE51</f>
        <v>2045366.8222436518</v>
      </c>
      <c r="BP51" s="866"/>
      <c r="BQ51" s="866"/>
      <c r="BR51" s="866">
        <f>VLOOKUP(BD51,$BD$4:$BN$12824,6,0)*BE51</f>
        <v>138992.6885315839</v>
      </c>
      <c r="BS51" s="866">
        <f>VLOOKUP(BD51,$BD$4:$BN$12824,7,0)*BE51</f>
        <v>73439.482847749867</v>
      </c>
      <c r="BT51" s="866"/>
      <c r="BU51" s="866">
        <f>VLOOKUP(BD51,$BD$4:$BN$12824,9,0)*BE51</f>
        <v>16933.807082307983</v>
      </c>
      <c r="BV51" s="867"/>
      <c r="BW51" s="867">
        <f>VLOOKUP(BD51,$BD$4:$BN$12824,11,0)*BE51</f>
        <v>0</v>
      </c>
      <c r="BX51" s="1146">
        <f t="shared" si="13"/>
        <v>2274732.8007052937</v>
      </c>
      <c r="BY51" s="867">
        <f t="shared" si="9"/>
        <v>85126474.488814428</v>
      </c>
      <c r="BZ51" s="867">
        <f t="shared" si="6"/>
        <v>85126474.488814428</v>
      </c>
      <c r="CA51" s="867">
        <f>_xlfn.MAXIFS($BY$4:$BY$12824,$S$4:$S$12824,$S51)</f>
        <v>85126474.488814428</v>
      </c>
      <c r="CB51" s="1032"/>
      <c r="CF51" s="946">
        <f t="shared" si="7"/>
        <v>75127146.415999994</v>
      </c>
    </row>
    <row r="52" spans="1:84">
      <c r="A52" s="1032"/>
      <c r="B52" s="839" t="s">
        <v>98</v>
      </c>
      <c r="C52" s="839" t="s">
        <v>273</v>
      </c>
      <c r="D52" s="839" t="s">
        <v>290</v>
      </c>
      <c r="E52" s="839" t="s">
        <v>290</v>
      </c>
      <c r="F52" s="841">
        <v>45106</v>
      </c>
      <c r="G52" s="840" t="s">
        <v>273</v>
      </c>
      <c r="H52" s="842" t="s">
        <v>134</v>
      </c>
      <c r="I52" s="842"/>
      <c r="J52" s="841"/>
      <c r="K52" s="841"/>
      <c r="L52" s="843" t="s">
        <v>106</v>
      </c>
      <c r="M52" s="844" t="s">
        <v>275</v>
      </c>
      <c r="N52" s="841"/>
      <c r="O52" s="841" t="s">
        <v>150</v>
      </c>
      <c r="P52" s="841" t="s">
        <v>276</v>
      </c>
      <c r="Q52" s="843"/>
      <c r="R52" s="845" t="s">
        <v>303</v>
      </c>
      <c r="S52" s="1127" t="s">
        <v>303</v>
      </c>
      <c r="T52" s="843" t="s">
        <v>304</v>
      </c>
      <c r="U52" s="842">
        <v>1</v>
      </c>
      <c r="V52" s="842" t="s">
        <v>3</v>
      </c>
      <c r="W52" s="846"/>
      <c r="X52" s="847">
        <f t="shared" si="1"/>
        <v>0</v>
      </c>
      <c r="Y52" s="848"/>
      <c r="Z52" s="849">
        <v>849.3</v>
      </c>
      <c r="AA52" s="849"/>
      <c r="AB52" s="849">
        <f t="shared" si="2"/>
        <v>849.3</v>
      </c>
      <c r="AC52" s="850">
        <f t="shared" si="3"/>
        <v>849.3</v>
      </c>
      <c r="AD52" s="851"/>
      <c r="AE52" s="852">
        <v>25590.880000000001</v>
      </c>
      <c r="AF52" s="853">
        <v>0.1</v>
      </c>
      <c r="AG52" s="854">
        <f t="shared" si="4"/>
        <v>2234730.6484321603</v>
      </c>
      <c r="AH52" s="853"/>
      <c r="AI52" s="855">
        <f t="shared" si="5"/>
        <v>0</v>
      </c>
      <c r="AJ52" s="845" t="s">
        <v>293</v>
      </c>
      <c r="AK52" s="857" t="s">
        <v>294</v>
      </c>
      <c r="AL52" s="840"/>
      <c r="AM52" s="840"/>
      <c r="AN52" s="858"/>
      <c r="AO52" s="844" t="s">
        <v>141</v>
      </c>
      <c r="AP52" s="859"/>
      <c r="AQ52" s="859" t="s">
        <v>295</v>
      </c>
      <c r="AR52" s="859"/>
      <c r="AS52" s="840"/>
      <c r="AT52" s="840"/>
      <c r="AU52" s="860"/>
      <c r="AV52" s="839" t="s">
        <v>296</v>
      </c>
      <c r="AW52" s="861">
        <v>45189</v>
      </c>
      <c r="AX52" s="862" t="s">
        <v>297</v>
      </c>
      <c r="AY52" s="843"/>
      <c r="AZ52" s="842"/>
      <c r="BA52" s="842" t="s">
        <v>120</v>
      </c>
      <c r="BB52" s="863" t="s">
        <v>121</v>
      </c>
      <c r="BC52" s="864">
        <v>45195</v>
      </c>
      <c r="BD52" s="860" t="s">
        <v>298</v>
      </c>
      <c r="BE52" s="865" cm="1">
        <f t="array" ref="BE52">IF(BD52="","",AC52/SUMPRODUCT(--(BD52=$BD$4:$BD$12824),$AC$4:$AC$12824))</f>
        <v>9.7979237353981469E-3</v>
      </c>
      <c r="BF52" s="458"/>
      <c r="BG52" s="458"/>
      <c r="BH52" s="458"/>
      <c r="BI52" s="458"/>
      <c r="BJ52" s="458"/>
      <c r="BK52" s="458"/>
      <c r="BL52" s="458"/>
      <c r="BM52" s="458"/>
      <c r="BN52" s="458"/>
      <c r="BO52" s="866">
        <f>VLOOKUP(BD52,$BD$4:$BN$12824,3,0)*BE52</f>
        <v>591726.00815190026</v>
      </c>
      <c r="BP52" s="866"/>
      <c r="BQ52" s="866"/>
      <c r="BR52" s="866">
        <f>VLOOKUP(BD52,$BD$4:$BN$12824,6,0)*BE52</f>
        <v>40210.679010073996</v>
      </c>
      <c r="BS52" s="866">
        <f>VLOOKUP(BD52,$BD$4:$BN$12824,7,0)*BE52</f>
        <v>21246.092169701933</v>
      </c>
      <c r="BT52" s="866"/>
      <c r="BU52" s="866">
        <f>VLOOKUP(BD52,$BD$4:$BN$12824,9,0)*BE52</f>
        <v>4898.9618676990731</v>
      </c>
      <c r="BV52" s="867"/>
      <c r="BW52" s="867">
        <f>VLOOKUP(BD52,$BD$4:$BN$12824,11,0)*BE52</f>
        <v>0</v>
      </c>
      <c r="BX52" s="1146">
        <f t="shared" si="13"/>
        <v>658081.74119937525</v>
      </c>
      <c r="BY52" s="867">
        <f t="shared" si="9"/>
        <v>24627146.773631535</v>
      </c>
      <c r="BZ52" s="867">
        <f t="shared" si="6"/>
        <v>24627146.773631535</v>
      </c>
      <c r="CA52" s="867">
        <f>_xlfn.MAXIFS($BY$4:$BY$12824,$S$4:$S$12824,$S52)</f>
        <v>24627146.773631535</v>
      </c>
      <c r="CB52" s="1032"/>
      <c r="CF52" s="946">
        <f t="shared" si="7"/>
        <v>21734334.384</v>
      </c>
    </row>
    <row r="53" spans="1:84">
      <c r="A53" s="1032"/>
      <c r="B53" s="839" t="s">
        <v>98</v>
      </c>
      <c r="C53" s="839" t="s">
        <v>273</v>
      </c>
      <c r="D53" s="839" t="s">
        <v>290</v>
      </c>
      <c r="E53" s="839" t="s">
        <v>290</v>
      </c>
      <c r="F53" s="841">
        <v>45106</v>
      </c>
      <c r="G53" s="840" t="s">
        <v>273</v>
      </c>
      <c r="H53" s="842" t="s">
        <v>134</v>
      </c>
      <c r="I53" s="842"/>
      <c r="J53" s="841"/>
      <c r="K53" s="841"/>
      <c r="L53" s="843" t="s">
        <v>106</v>
      </c>
      <c r="M53" s="844" t="s">
        <v>275</v>
      </c>
      <c r="N53" s="841"/>
      <c r="O53" s="841" t="s">
        <v>150</v>
      </c>
      <c r="P53" s="841" t="s">
        <v>276</v>
      </c>
      <c r="Q53" s="843"/>
      <c r="R53" s="845" t="s">
        <v>305</v>
      </c>
      <c r="S53" s="1127" t="s">
        <v>305</v>
      </c>
      <c r="T53" s="843" t="s">
        <v>306</v>
      </c>
      <c r="U53" s="842">
        <v>1</v>
      </c>
      <c r="V53" s="842" t="s">
        <v>3</v>
      </c>
      <c r="W53" s="846"/>
      <c r="X53" s="847">
        <f t="shared" si="1"/>
        <v>0</v>
      </c>
      <c r="Y53" s="848"/>
      <c r="Z53" s="849">
        <v>826.37</v>
      </c>
      <c r="AA53" s="849"/>
      <c r="AB53" s="849">
        <f t="shared" si="2"/>
        <v>826.37</v>
      </c>
      <c r="AC53" s="850">
        <f t="shared" si="3"/>
        <v>826.37</v>
      </c>
      <c r="AD53" s="851"/>
      <c r="AE53" s="852">
        <v>25590.880000000001</v>
      </c>
      <c r="AF53" s="853">
        <v>0.1</v>
      </c>
      <c r="AG53" s="854">
        <f t="shared" si="4"/>
        <v>2174395.8153124745</v>
      </c>
      <c r="AH53" s="853"/>
      <c r="AI53" s="855">
        <f t="shared" si="5"/>
        <v>0</v>
      </c>
      <c r="AJ53" s="845" t="s">
        <v>293</v>
      </c>
      <c r="AK53" s="857" t="s">
        <v>294</v>
      </c>
      <c r="AL53" s="840"/>
      <c r="AM53" s="840"/>
      <c r="AN53" s="858"/>
      <c r="AO53" s="844" t="s">
        <v>141</v>
      </c>
      <c r="AP53" s="859"/>
      <c r="AQ53" s="859" t="s">
        <v>295</v>
      </c>
      <c r="AR53" s="859"/>
      <c r="AS53" s="840"/>
      <c r="AT53" s="840"/>
      <c r="AU53" s="860"/>
      <c r="AV53" s="839" t="s">
        <v>296</v>
      </c>
      <c r="AW53" s="861">
        <v>45189</v>
      </c>
      <c r="AX53" s="862" t="s">
        <v>297</v>
      </c>
      <c r="AY53" s="843"/>
      <c r="AZ53" s="842"/>
      <c r="BA53" s="842" t="s">
        <v>120</v>
      </c>
      <c r="BB53" s="863" t="s">
        <v>121</v>
      </c>
      <c r="BC53" s="864">
        <v>45195</v>
      </c>
      <c r="BD53" s="860" t="s">
        <v>298</v>
      </c>
      <c r="BE53" s="865" cm="1">
        <f t="array" ref="BE53">IF(BD53="","",AC53/SUMPRODUCT(--(BD53=$BD$4:$BD$12824),$AC$4:$AC$12824))</f>
        <v>9.5333924846590923E-3</v>
      </c>
      <c r="BF53" s="458"/>
      <c r="BG53" s="458"/>
      <c r="BH53" s="458"/>
      <c r="BI53" s="458"/>
      <c r="BJ53" s="458"/>
      <c r="BK53" s="458"/>
      <c r="BL53" s="458"/>
      <c r="BM53" s="458"/>
      <c r="BN53" s="458"/>
      <c r="BO53" s="866">
        <f>VLOOKUP(BD53,$BD$4:$BN$12824,3,0)*BE53</f>
        <v>575750.17232601659</v>
      </c>
      <c r="BP53" s="866"/>
      <c r="BQ53" s="866"/>
      <c r="BR53" s="866">
        <f>VLOOKUP(BD53,$BD$4:$BN$12824,6,0)*BE53</f>
        <v>39125.042757040916</v>
      </c>
      <c r="BS53" s="866">
        <f>VLOOKUP(BD53,$BD$4:$BN$12824,7,0)*BE53</f>
        <v>20672.475198724347</v>
      </c>
      <c r="BT53" s="866"/>
      <c r="BU53" s="866">
        <f>VLOOKUP(BD53,$BD$4:$BN$12824,9,0)*BE53</f>
        <v>4766.6962423295463</v>
      </c>
      <c r="BV53" s="867"/>
      <c r="BW53" s="867">
        <f>VLOOKUP(BD53,$BD$4:$BN$12824,11,0)*BE53</f>
        <v>0</v>
      </c>
      <c r="BX53" s="1146">
        <f t="shared" si="13"/>
        <v>640314.38652411138</v>
      </c>
      <c r="BY53" s="867">
        <f t="shared" si="9"/>
        <v>23962245.707436588</v>
      </c>
      <c r="BZ53" s="867">
        <f t="shared" si="6"/>
        <v>23962245.707436588</v>
      </c>
      <c r="CA53" s="867">
        <f>_xlfn.MAXIFS($BY$4:$BY$12824,$S$4:$S$12824,$S53)</f>
        <v>23962245.707436588</v>
      </c>
      <c r="CB53" s="1032"/>
      <c r="CF53" s="946">
        <f t="shared" si="7"/>
        <v>21147535.505600002</v>
      </c>
    </row>
    <row r="54" spans="1:84">
      <c r="A54" s="1032"/>
      <c r="B54" s="839" t="s">
        <v>98</v>
      </c>
      <c r="C54" s="839" t="s">
        <v>273</v>
      </c>
      <c r="D54" s="839" t="s">
        <v>290</v>
      </c>
      <c r="E54" s="839" t="s">
        <v>290</v>
      </c>
      <c r="F54" s="841">
        <v>45106</v>
      </c>
      <c r="G54" s="840" t="s">
        <v>273</v>
      </c>
      <c r="H54" s="842" t="s">
        <v>134</v>
      </c>
      <c r="I54" s="842"/>
      <c r="J54" s="841"/>
      <c r="K54" s="841"/>
      <c r="L54" s="843" t="s">
        <v>106</v>
      </c>
      <c r="M54" s="844" t="s">
        <v>275</v>
      </c>
      <c r="N54" s="841"/>
      <c r="O54" s="841" t="s">
        <v>150</v>
      </c>
      <c r="P54" s="841" t="s">
        <v>276</v>
      </c>
      <c r="Q54" s="843"/>
      <c r="R54" s="845" t="s">
        <v>307</v>
      </c>
      <c r="S54" s="1127" t="s">
        <v>307</v>
      </c>
      <c r="T54" s="843" t="s">
        <v>308</v>
      </c>
      <c r="U54" s="842">
        <v>1</v>
      </c>
      <c r="V54" s="842" t="s">
        <v>3</v>
      </c>
      <c r="W54" s="846"/>
      <c r="X54" s="847">
        <f t="shared" si="1"/>
        <v>0</v>
      </c>
      <c r="Y54" s="848"/>
      <c r="Z54" s="849">
        <v>767.53</v>
      </c>
      <c r="AA54" s="849"/>
      <c r="AB54" s="849">
        <f t="shared" si="2"/>
        <v>767.53</v>
      </c>
      <c r="AC54" s="850">
        <f t="shared" si="3"/>
        <v>767.53</v>
      </c>
      <c r="AD54" s="851"/>
      <c r="AE54" s="852">
        <v>25590.880000000001</v>
      </c>
      <c r="AF54" s="853">
        <v>0.1</v>
      </c>
      <c r="AG54" s="854">
        <f t="shared" si="4"/>
        <v>2019572.3708832406</v>
      </c>
      <c r="AH54" s="853"/>
      <c r="AI54" s="855">
        <f t="shared" si="5"/>
        <v>0</v>
      </c>
      <c r="AJ54" s="845" t="s">
        <v>293</v>
      </c>
      <c r="AK54" s="857" t="s">
        <v>294</v>
      </c>
      <c r="AL54" s="840"/>
      <c r="AM54" s="840"/>
      <c r="AN54" s="858"/>
      <c r="AO54" s="844" t="s">
        <v>141</v>
      </c>
      <c r="AP54" s="859"/>
      <c r="AQ54" s="859" t="s">
        <v>295</v>
      </c>
      <c r="AR54" s="859"/>
      <c r="AS54" s="840"/>
      <c r="AT54" s="840"/>
      <c r="AU54" s="860"/>
      <c r="AV54" s="839" t="s">
        <v>296</v>
      </c>
      <c r="AW54" s="861">
        <v>45189</v>
      </c>
      <c r="AX54" s="862" t="s">
        <v>297</v>
      </c>
      <c r="AY54" s="843"/>
      <c r="AZ54" s="842"/>
      <c r="BA54" s="842" t="s">
        <v>120</v>
      </c>
      <c r="BB54" s="863" t="s">
        <v>121</v>
      </c>
      <c r="BC54" s="864">
        <v>45195</v>
      </c>
      <c r="BD54" s="860" t="s">
        <v>298</v>
      </c>
      <c r="BE54" s="865" cm="1">
        <f t="array" ref="BE54">IF(BD54="","",AC54/SUMPRODUCT(--(BD54=$BD$4:$BD$12824),$AC$4:$AC$12824))</f>
        <v>8.8545866061817257E-3</v>
      </c>
      <c r="BF54" s="458"/>
      <c r="BG54" s="458"/>
      <c r="BH54" s="458"/>
      <c r="BI54" s="458"/>
      <c r="BJ54" s="458"/>
      <c r="BK54" s="458"/>
      <c r="BL54" s="458"/>
      <c r="BM54" s="458"/>
      <c r="BN54" s="458"/>
      <c r="BO54" s="866">
        <f>VLOOKUP(BD54,$BD$4:$BN$12824,3,0)*BE54</f>
        <v>534755.04890713294</v>
      </c>
      <c r="BP54" s="866"/>
      <c r="BQ54" s="866"/>
      <c r="BR54" s="866">
        <f>VLOOKUP(BD54,$BD$4:$BN$12824,6,0)*BE54</f>
        <v>36339.223431769802</v>
      </c>
      <c r="BS54" s="866">
        <f>VLOOKUP(BD54,$BD$4:$BN$12824,7,0)*BE54</f>
        <v>19200.533525269428</v>
      </c>
      <c r="BT54" s="866"/>
      <c r="BU54" s="866">
        <f>VLOOKUP(BD54,$BD$4:$BN$12824,9,0)*BE54</f>
        <v>4427.2933030908625</v>
      </c>
      <c r="BV54" s="867"/>
      <c r="BW54" s="867">
        <f>VLOOKUP(BD54,$BD$4:$BN$12824,11,0)*BE54</f>
        <v>0</v>
      </c>
      <c r="BX54" s="1146">
        <f t="shared" si="13"/>
        <v>594722.09916726302</v>
      </c>
      <c r="BY54" s="867">
        <f t="shared" si="9"/>
        <v>22256062.596450504</v>
      </c>
      <c r="BZ54" s="867">
        <f t="shared" si="6"/>
        <v>22256062.596450504</v>
      </c>
      <c r="CA54" s="867">
        <f>_xlfn.MAXIFS($BY$4:$BY$12824,$S$4:$S$12824,$S54)</f>
        <v>25848824.762930132</v>
      </c>
      <c r="CB54" s="1032"/>
      <c r="CF54" s="946">
        <f t="shared" si="7"/>
        <v>19641768.126400001</v>
      </c>
    </row>
    <row r="55" spans="1:84">
      <c r="A55" s="1032"/>
      <c r="B55" s="839" t="s">
        <v>98</v>
      </c>
      <c r="C55" s="839" t="s">
        <v>273</v>
      </c>
      <c r="D55" s="839" t="s">
        <v>290</v>
      </c>
      <c r="E55" s="839" t="s">
        <v>290</v>
      </c>
      <c r="F55" s="841">
        <v>45106</v>
      </c>
      <c r="G55" s="840" t="s">
        <v>273</v>
      </c>
      <c r="H55" s="842" t="s">
        <v>134</v>
      </c>
      <c r="I55" s="842"/>
      <c r="J55" s="841"/>
      <c r="K55" s="841"/>
      <c r="L55" s="843" t="s">
        <v>106</v>
      </c>
      <c r="M55" s="844" t="s">
        <v>275</v>
      </c>
      <c r="N55" s="841"/>
      <c r="O55" s="841" t="s">
        <v>150</v>
      </c>
      <c r="P55" s="841" t="s">
        <v>276</v>
      </c>
      <c r="Q55" s="843"/>
      <c r="R55" s="845" t="s">
        <v>309</v>
      </c>
      <c r="S55" s="1127" t="s">
        <v>309</v>
      </c>
      <c r="T55" s="843" t="s">
        <v>310</v>
      </c>
      <c r="U55" s="842">
        <v>6</v>
      </c>
      <c r="V55" s="842" t="s">
        <v>3</v>
      </c>
      <c r="W55" s="846"/>
      <c r="X55" s="847">
        <f t="shared" si="1"/>
        <v>0</v>
      </c>
      <c r="Y55" s="848"/>
      <c r="Z55" s="849">
        <v>605.08000000000004</v>
      </c>
      <c r="AA55" s="849"/>
      <c r="AB55" s="849">
        <f t="shared" si="2"/>
        <v>3630.4800000000005</v>
      </c>
      <c r="AC55" s="850">
        <f t="shared" si="3"/>
        <v>3630.4800000000005</v>
      </c>
      <c r="AD55" s="851"/>
      <c r="AE55" s="852">
        <v>25590.880000000001</v>
      </c>
      <c r="AF55" s="853">
        <v>0.1</v>
      </c>
      <c r="AG55" s="854">
        <f t="shared" si="4"/>
        <v>9552743.3468974344</v>
      </c>
      <c r="AH55" s="853"/>
      <c r="AI55" s="855">
        <f t="shared" si="5"/>
        <v>0</v>
      </c>
      <c r="AJ55" s="845" t="s">
        <v>293</v>
      </c>
      <c r="AK55" s="857" t="s">
        <v>294</v>
      </c>
      <c r="AL55" s="840"/>
      <c r="AM55" s="840"/>
      <c r="AN55" s="858"/>
      <c r="AO55" s="844" t="s">
        <v>141</v>
      </c>
      <c r="AP55" s="859"/>
      <c r="AQ55" s="859" t="s">
        <v>295</v>
      </c>
      <c r="AR55" s="859"/>
      <c r="AS55" s="840"/>
      <c r="AT55" s="840"/>
      <c r="AU55" s="860"/>
      <c r="AV55" s="839" t="s">
        <v>296</v>
      </c>
      <c r="AW55" s="861">
        <v>45189</v>
      </c>
      <c r="AX55" s="862" t="s">
        <v>297</v>
      </c>
      <c r="AY55" s="843"/>
      <c r="AZ55" s="842"/>
      <c r="BA55" s="842" t="s">
        <v>120</v>
      </c>
      <c r="BB55" s="863" t="s">
        <v>121</v>
      </c>
      <c r="BC55" s="864">
        <v>45195</v>
      </c>
      <c r="BD55" s="860" t="s">
        <v>298</v>
      </c>
      <c r="BE55" s="865" cm="1">
        <f t="array" ref="BE55">IF(BD55="","",AC55/SUMPRODUCT(--(BD55=$BD$4:$BD$12824),$AC$4:$AC$12824))</f>
        <v>4.1882922598479068E-2</v>
      </c>
      <c r="BF55" s="458"/>
      <c r="BG55" s="458"/>
      <c r="BH55" s="458"/>
      <c r="BI55" s="458"/>
      <c r="BJ55" s="458"/>
      <c r="BK55" s="458"/>
      <c r="BL55" s="458"/>
      <c r="BM55" s="458"/>
      <c r="BN55" s="458"/>
      <c r="BO55" s="866">
        <f>VLOOKUP(BD55,$BD$4:$BN$12824,3,0)*BE55</f>
        <v>2529435.3444899465</v>
      </c>
      <c r="BP55" s="866"/>
      <c r="BQ55" s="866"/>
      <c r="BR55" s="866">
        <f>VLOOKUP(BD55,$BD$4:$BN$12824,6,0)*BE55</f>
        <v>171887.51434415809</v>
      </c>
      <c r="BS55" s="866">
        <f>VLOOKUP(BD55,$BD$4:$BN$12824,7,0)*BE55</f>
        <v>90820.102084374768</v>
      </c>
      <c r="BT55" s="866"/>
      <c r="BU55" s="866">
        <f>VLOOKUP(BD55,$BD$4:$BN$12824,9,0)*BE55</f>
        <v>20941.461299239534</v>
      </c>
      <c r="BV55" s="867"/>
      <c r="BW55" s="867">
        <f>VLOOKUP(BD55,$BD$4:$BN$12824,11,0)*BE55</f>
        <v>0</v>
      </c>
      <c r="BX55" s="1146">
        <f t="shared" si="13"/>
        <v>2813084.4222177193</v>
      </c>
      <c r="BY55" s="867">
        <f t="shared" si="9"/>
        <v>17545500.96525253</v>
      </c>
      <c r="BZ55" s="867">
        <f t="shared" si="6"/>
        <v>105273005.79151517</v>
      </c>
      <c r="CA55" s="867">
        <f>_xlfn.MAXIFS($BY$4:$BY$12824,$S$4:$S$12824,$S55)</f>
        <v>17545500.96525253</v>
      </c>
      <c r="CB55" s="1032"/>
      <c r="CF55" s="946">
        <f t="shared" si="7"/>
        <v>92907178.022400022</v>
      </c>
    </row>
    <row r="56" spans="1:84">
      <c r="A56" s="1032"/>
      <c r="B56" s="839" t="s">
        <v>98</v>
      </c>
      <c r="C56" s="839" t="s">
        <v>273</v>
      </c>
      <c r="D56" s="839" t="s">
        <v>290</v>
      </c>
      <c r="E56" s="839" t="s">
        <v>290</v>
      </c>
      <c r="F56" s="841">
        <v>45106</v>
      </c>
      <c r="G56" s="840" t="s">
        <v>273</v>
      </c>
      <c r="H56" s="842" t="s">
        <v>134</v>
      </c>
      <c r="I56" s="842"/>
      <c r="J56" s="841"/>
      <c r="K56" s="841"/>
      <c r="L56" s="843" t="s">
        <v>106</v>
      </c>
      <c r="M56" s="844" t="s">
        <v>275</v>
      </c>
      <c r="N56" s="841"/>
      <c r="O56" s="841" t="s">
        <v>150</v>
      </c>
      <c r="P56" s="841" t="s">
        <v>276</v>
      </c>
      <c r="Q56" s="843"/>
      <c r="R56" s="845" t="s">
        <v>311</v>
      </c>
      <c r="S56" s="1127" t="s">
        <v>311</v>
      </c>
      <c r="T56" s="843" t="s">
        <v>312</v>
      </c>
      <c r="U56" s="842">
        <v>1</v>
      </c>
      <c r="V56" s="842" t="s">
        <v>3</v>
      </c>
      <c r="W56" s="846"/>
      <c r="X56" s="847">
        <f t="shared" si="1"/>
        <v>0</v>
      </c>
      <c r="Y56" s="848"/>
      <c r="Z56" s="849">
        <v>2234.88</v>
      </c>
      <c r="AA56" s="849"/>
      <c r="AB56" s="849">
        <f t="shared" si="2"/>
        <v>2234.88</v>
      </c>
      <c r="AC56" s="850">
        <f t="shared" si="3"/>
        <v>2234.88</v>
      </c>
      <c r="AD56" s="851"/>
      <c r="AE56" s="852">
        <v>25590.880000000001</v>
      </c>
      <c r="AF56" s="853">
        <v>0.1</v>
      </c>
      <c r="AG56" s="854">
        <f t="shared" si="4"/>
        <v>5880554.3760368153</v>
      </c>
      <c r="AH56" s="853"/>
      <c r="AI56" s="855">
        <f t="shared" si="5"/>
        <v>0</v>
      </c>
      <c r="AJ56" s="845" t="s">
        <v>293</v>
      </c>
      <c r="AK56" s="857" t="s">
        <v>294</v>
      </c>
      <c r="AL56" s="840"/>
      <c r="AM56" s="840"/>
      <c r="AN56" s="858"/>
      <c r="AO56" s="844" t="s">
        <v>141</v>
      </c>
      <c r="AP56" s="859"/>
      <c r="AQ56" s="859" t="s">
        <v>295</v>
      </c>
      <c r="AR56" s="859"/>
      <c r="AS56" s="840"/>
      <c r="AT56" s="840"/>
      <c r="AU56" s="860"/>
      <c r="AV56" s="839" t="s">
        <v>296</v>
      </c>
      <c r="AW56" s="861">
        <v>45189</v>
      </c>
      <c r="AX56" s="862" t="s">
        <v>297</v>
      </c>
      <c r="AY56" s="843"/>
      <c r="AZ56" s="842"/>
      <c r="BA56" s="842" t="s">
        <v>120</v>
      </c>
      <c r="BB56" s="863" t="s">
        <v>121</v>
      </c>
      <c r="BC56" s="864">
        <v>45195</v>
      </c>
      <c r="BD56" s="860" t="s">
        <v>298</v>
      </c>
      <c r="BE56" s="865" cm="1">
        <f t="array" ref="BE56">IF(BD56="","",AC56/SUMPRODUCT(--(BD56=$BD$4:$BD$12824),$AC$4:$AC$12824))</f>
        <v>2.5782625453628413E-2</v>
      </c>
      <c r="BF56" s="458"/>
      <c r="BG56" s="458"/>
      <c r="BH56" s="458"/>
      <c r="BI56" s="458"/>
      <c r="BJ56" s="458"/>
      <c r="BK56" s="458"/>
      <c r="BL56" s="458"/>
      <c r="BM56" s="458"/>
      <c r="BN56" s="458"/>
      <c r="BO56" s="866">
        <f>VLOOKUP(BD56,$BD$4:$BN$12824,3,0)*BE56</f>
        <v>1557090.0990209808</v>
      </c>
      <c r="BP56" s="866"/>
      <c r="BQ56" s="866"/>
      <c r="BR56" s="866">
        <f>VLOOKUP(BD56,$BD$4:$BN$12824,6,0)*BE56</f>
        <v>105811.89486169101</v>
      </c>
      <c r="BS56" s="866">
        <f>VLOOKUP(BD56,$BD$4:$BN$12824,7,0)*BE56</f>
        <v>55907.766947160555</v>
      </c>
      <c r="BT56" s="866"/>
      <c r="BU56" s="866">
        <f>VLOOKUP(BD56,$BD$4:$BN$12824,9,0)*BE56</f>
        <v>12891.312726814207</v>
      </c>
      <c r="BV56" s="867"/>
      <c r="BW56" s="867">
        <f>VLOOKUP(BD56,$BD$4:$BN$12824,11,0)*BE56</f>
        <v>0</v>
      </c>
      <c r="BX56" s="1146">
        <f t="shared" si="13"/>
        <v>1731701.0735566465</v>
      </c>
      <c r="BY56" s="867">
        <f t="shared" si="9"/>
        <v>64804801.34399347</v>
      </c>
      <c r="BZ56" s="867">
        <f t="shared" si="6"/>
        <v>64804801.34399347</v>
      </c>
      <c r="CA56" s="867">
        <f>_xlfn.MAXIFS($BY$4:$BY$12824,$S$4:$S$12824,$S56)</f>
        <v>64804801.34399347</v>
      </c>
      <c r="CB56" s="1032"/>
      <c r="CF56" s="946">
        <f t="shared" si="7"/>
        <v>57192545.894400008</v>
      </c>
    </row>
    <row r="57" spans="1:84">
      <c r="A57" s="1032"/>
      <c r="B57" s="839" t="s">
        <v>98</v>
      </c>
      <c r="C57" s="839" t="s">
        <v>273</v>
      </c>
      <c r="D57" s="839" t="s">
        <v>290</v>
      </c>
      <c r="E57" s="839" t="s">
        <v>290</v>
      </c>
      <c r="F57" s="841">
        <v>45106</v>
      </c>
      <c r="G57" s="840" t="s">
        <v>273</v>
      </c>
      <c r="H57" s="842" t="s">
        <v>134</v>
      </c>
      <c r="I57" s="842"/>
      <c r="J57" s="841"/>
      <c r="K57" s="841"/>
      <c r="L57" s="843" t="s">
        <v>106</v>
      </c>
      <c r="M57" s="844" t="s">
        <v>275</v>
      </c>
      <c r="N57" s="841"/>
      <c r="O57" s="841" t="s">
        <v>150</v>
      </c>
      <c r="P57" s="841" t="s">
        <v>276</v>
      </c>
      <c r="Q57" s="843"/>
      <c r="R57" s="845" t="s">
        <v>313</v>
      </c>
      <c r="S57" s="1127" t="s">
        <v>313</v>
      </c>
      <c r="T57" s="843" t="s">
        <v>314</v>
      </c>
      <c r="U57" s="842">
        <v>1</v>
      </c>
      <c r="V57" s="842" t="s">
        <v>3</v>
      </c>
      <c r="W57" s="846"/>
      <c r="X57" s="847">
        <f t="shared" si="1"/>
        <v>0</v>
      </c>
      <c r="Y57" s="848"/>
      <c r="Z57" s="849">
        <v>1556.33</v>
      </c>
      <c r="AA57" s="849"/>
      <c r="AB57" s="849">
        <f t="shared" si="2"/>
        <v>1556.33</v>
      </c>
      <c r="AC57" s="850">
        <f t="shared" si="3"/>
        <v>1556.33</v>
      </c>
      <c r="AD57" s="851"/>
      <c r="AE57" s="852">
        <v>25590.880000000001</v>
      </c>
      <c r="AF57" s="853">
        <v>0.1</v>
      </c>
      <c r="AG57" s="854">
        <f t="shared" si="4"/>
        <v>4095111.6802948597</v>
      </c>
      <c r="AH57" s="853"/>
      <c r="AI57" s="855">
        <f t="shared" si="5"/>
        <v>0</v>
      </c>
      <c r="AJ57" s="845" t="s">
        <v>293</v>
      </c>
      <c r="AK57" s="857" t="s">
        <v>294</v>
      </c>
      <c r="AL57" s="840"/>
      <c r="AM57" s="840"/>
      <c r="AN57" s="858"/>
      <c r="AO57" s="844" t="s">
        <v>141</v>
      </c>
      <c r="AP57" s="859"/>
      <c r="AQ57" s="859" t="s">
        <v>295</v>
      </c>
      <c r="AR57" s="859"/>
      <c r="AS57" s="840"/>
      <c r="AT57" s="840"/>
      <c r="AU57" s="860"/>
      <c r="AV57" s="839" t="s">
        <v>296</v>
      </c>
      <c r="AW57" s="861">
        <v>45189</v>
      </c>
      <c r="AX57" s="862" t="s">
        <v>297</v>
      </c>
      <c r="AY57" s="843"/>
      <c r="AZ57" s="842"/>
      <c r="BA57" s="842" t="s">
        <v>120</v>
      </c>
      <c r="BB57" s="863" t="s">
        <v>121</v>
      </c>
      <c r="BC57" s="864">
        <v>45195</v>
      </c>
      <c r="BD57" s="860" t="s">
        <v>298</v>
      </c>
      <c r="BE57" s="865" cm="1">
        <f t="array" ref="BE57">IF(BD57="","",AC57/SUMPRODUCT(--(BD57=$BD$4:$BD$12824),$AC$4:$AC$12824))</f>
        <v>1.7954553923363002E-2</v>
      </c>
      <c r="BF57" s="458"/>
      <c r="BG57" s="458"/>
      <c r="BH57" s="458"/>
      <c r="BI57" s="458"/>
      <c r="BJ57" s="458"/>
      <c r="BK57" s="458"/>
      <c r="BL57" s="458"/>
      <c r="BM57" s="458"/>
      <c r="BN57" s="458"/>
      <c r="BO57" s="866">
        <f>VLOOKUP(BD57,$BD$4:$BN$12824,3,0)*BE57</f>
        <v>1084329.3750936617</v>
      </c>
      <c r="BP57" s="866"/>
      <c r="BQ57" s="866"/>
      <c r="BR57" s="866">
        <f>VLOOKUP(BD57,$BD$4:$BN$12824,6,0)*BE57</f>
        <v>73685.489301481764</v>
      </c>
      <c r="BS57" s="866">
        <f>VLOOKUP(BD57,$BD$4:$BN$12824,7,0)*BE57</f>
        <v>38933.157454930188</v>
      </c>
      <c r="BT57" s="866"/>
      <c r="BU57" s="866">
        <f>VLOOKUP(BD57,$BD$4:$BN$12824,9,0)*BE57</f>
        <v>8977.2769616815003</v>
      </c>
      <c r="BV57" s="867"/>
      <c r="BW57" s="867">
        <f>VLOOKUP(BD57,$BD$4:$BN$12824,11,0)*BE57</f>
        <v>0</v>
      </c>
      <c r="BX57" s="1146">
        <f t="shared" si="13"/>
        <v>1205925.2988117551</v>
      </c>
      <c r="BY57" s="867">
        <f t="shared" si="9"/>
        <v>45128891.249506615</v>
      </c>
      <c r="BZ57" s="867">
        <f t="shared" si="6"/>
        <v>45128891.249506615</v>
      </c>
      <c r="CA57" s="867">
        <f>_xlfn.MAXIFS($BY$4:$BY$12824,$S$4:$S$12824,$S57)</f>
        <v>45128891.249506615</v>
      </c>
      <c r="CB57" s="1032"/>
      <c r="CF57" s="946">
        <f t="shared" si="7"/>
        <v>39827854.270400003</v>
      </c>
    </row>
    <row r="58" spans="1:84">
      <c r="A58" s="1032"/>
      <c r="B58" s="839" t="s">
        <v>98</v>
      </c>
      <c r="C58" s="839" t="s">
        <v>273</v>
      </c>
      <c r="D58" s="839" t="s">
        <v>290</v>
      </c>
      <c r="E58" s="839" t="s">
        <v>290</v>
      </c>
      <c r="F58" s="841">
        <v>45106</v>
      </c>
      <c r="G58" s="840" t="s">
        <v>273</v>
      </c>
      <c r="H58" s="842" t="s">
        <v>134</v>
      </c>
      <c r="I58" s="842"/>
      <c r="J58" s="841"/>
      <c r="K58" s="841"/>
      <c r="L58" s="843" t="s">
        <v>106</v>
      </c>
      <c r="M58" s="844" t="s">
        <v>275</v>
      </c>
      <c r="N58" s="841"/>
      <c r="O58" s="841" t="s">
        <v>150</v>
      </c>
      <c r="P58" s="841" t="s">
        <v>276</v>
      </c>
      <c r="Q58" s="843"/>
      <c r="R58" s="845" t="s">
        <v>315</v>
      </c>
      <c r="S58" s="1127" t="s">
        <v>315</v>
      </c>
      <c r="T58" s="843" t="s">
        <v>316</v>
      </c>
      <c r="U58" s="842">
        <v>1</v>
      </c>
      <c r="V58" s="842" t="s">
        <v>3</v>
      </c>
      <c r="W58" s="846"/>
      <c r="X58" s="847">
        <f t="shared" si="1"/>
        <v>0</v>
      </c>
      <c r="Y58" s="848"/>
      <c r="Z58" s="849">
        <v>4889.76</v>
      </c>
      <c r="AA58" s="849"/>
      <c r="AB58" s="849">
        <f t="shared" si="2"/>
        <v>4889.76</v>
      </c>
      <c r="AC58" s="850">
        <f t="shared" si="3"/>
        <v>4889.76</v>
      </c>
      <c r="AD58" s="851"/>
      <c r="AE58" s="852">
        <v>25590.880000000001</v>
      </c>
      <c r="AF58" s="853">
        <v>0.1</v>
      </c>
      <c r="AG58" s="854">
        <f t="shared" si="4"/>
        <v>12866238.708910445</v>
      </c>
      <c r="AH58" s="853"/>
      <c r="AI58" s="855">
        <f t="shared" si="5"/>
        <v>0</v>
      </c>
      <c r="AJ58" s="845" t="s">
        <v>293</v>
      </c>
      <c r="AK58" s="857" t="s">
        <v>294</v>
      </c>
      <c r="AL58" s="840"/>
      <c r="AM58" s="840"/>
      <c r="AN58" s="858"/>
      <c r="AO58" s="844" t="s">
        <v>141</v>
      </c>
      <c r="AP58" s="859"/>
      <c r="AQ58" s="859" t="s">
        <v>295</v>
      </c>
      <c r="AR58" s="859"/>
      <c r="AS58" s="840"/>
      <c r="AT58" s="840"/>
      <c r="AU58" s="860"/>
      <c r="AV58" s="839" t="s">
        <v>296</v>
      </c>
      <c r="AW58" s="861">
        <v>45189</v>
      </c>
      <c r="AX58" s="862" t="s">
        <v>297</v>
      </c>
      <c r="AY58" s="843"/>
      <c r="AZ58" s="842"/>
      <c r="BA58" s="842" t="s">
        <v>120</v>
      </c>
      <c r="BB58" s="863" t="s">
        <v>121</v>
      </c>
      <c r="BC58" s="864">
        <v>45195</v>
      </c>
      <c r="BD58" s="860" t="s">
        <v>298</v>
      </c>
      <c r="BE58" s="865" cm="1">
        <f t="array" ref="BE58">IF(BD58="","",AC58/SUMPRODUCT(--(BD58=$BD$4:$BD$12824),$AC$4:$AC$12824))</f>
        <v>5.6410568190745844E-2</v>
      </c>
      <c r="BF58" s="458"/>
      <c r="BG58" s="458"/>
      <c r="BH58" s="458"/>
      <c r="BI58" s="458"/>
      <c r="BJ58" s="458"/>
      <c r="BK58" s="458"/>
      <c r="BL58" s="458"/>
      <c r="BM58" s="458"/>
      <c r="BN58" s="458"/>
      <c r="BO58" s="866">
        <f>VLOOKUP(BD58,$BD$4:$BN$12824,3,0)*BE58</f>
        <v>3406803.4447437138</v>
      </c>
      <c r="BP58" s="866"/>
      <c r="BQ58" s="866"/>
      <c r="BR58" s="866">
        <f>VLOOKUP(BD58,$BD$4:$BN$12824,6,0)*BE58</f>
        <v>231508.97185482093</v>
      </c>
      <c r="BS58" s="866">
        <f>VLOOKUP(BD58,$BD$4:$BN$12824,7,0)*BE58</f>
        <v>122322.25556072262</v>
      </c>
      <c r="BT58" s="866"/>
      <c r="BU58" s="866">
        <f>VLOOKUP(BD58,$BD$4:$BN$12824,9,0)*BE58</f>
        <v>28205.284095372921</v>
      </c>
      <c r="BV58" s="867"/>
      <c r="BW58" s="867">
        <f>VLOOKUP(BD58,$BD$4:$BN$12824,11,0)*BE58</f>
        <v>0</v>
      </c>
      <c r="BX58" s="1146">
        <f t="shared" si="13"/>
        <v>3788839.9562546303</v>
      </c>
      <c r="BY58" s="867">
        <f t="shared" si="9"/>
        <v>141788340.05396509</v>
      </c>
      <c r="BZ58" s="867">
        <f t="shared" si="6"/>
        <v>141788340.05396509</v>
      </c>
      <c r="CA58" s="867">
        <f>_xlfn.MAXIFS($BY$4:$BY$12824,$S$4:$S$12824,$S58)</f>
        <v>141788340.05396509</v>
      </c>
      <c r="CB58" s="1032"/>
      <c r="CF58" s="946">
        <f t="shared" si="7"/>
        <v>125133261.38880001</v>
      </c>
    </row>
    <row r="59" spans="1:84">
      <c r="A59" s="1032"/>
      <c r="B59" s="839" t="s">
        <v>98</v>
      </c>
      <c r="C59" s="839" t="s">
        <v>273</v>
      </c>
      <c r="D59" s="839" t="s">
        <v>290</v>
      </c>
      <c r="E59" s="839" t="s">
        <v>290</v>
      </c>
      <c r="F59" s="841">
        <v>45106</v>
      </c>
      <c r="G59" s="840" t="s">
        <v>273</v>
      </c>
      <c r="H59" s="842" t="s">
        <v>134</v>
      </c>
      <c r="I59" s="842"/>
      <c r="J59" s="841"/>
      <c r="K59" s="841"/>
      <c r="L59" s="843" t="s">
        <v>106</v>
      </c>
      <c r="M59" s="844" t="s">
        <v>275</v>
      </c>
      <c r="N59" s="841"/>
      <c r="O59" s="841" t="s">
        <v>150</v>
      </c>
      <c r="P59" s="841" t="s">
        <v>276</v>
      </c>
      <c r="Q59" s="843"/>
      <c r="R59" s="845" t="s">
        <v>317</v>
      </c>
      <c r="S59" s="1127" t="s">
        <v>317</v>
      </c>
      <c r="T59" s="843" t="s">
        <v>318</v>
      </c>
      <c r="U59" s="842">
        <v>1</v>
      </c>
      <c r="V59" s="842" t="s">
        <v>3</v>
      </c>
      <c r="W59" s="846"/>
      <c r="X59" s="847">
        <f t="shared" si="1"/>
        <v>0</v>
      </c>
      <c r="Y59" s="848"/>
      <c r="Z59" s="849">
        <v>3944.7</v>
      </c>
      <c r="AA59" s="849"/>
      <c r="AB59" s="849">
        <f t="shared" si="2"/>
        <v>3944.7</v>
      </c>
      <c r="AC59" s="850">
        <f t="shared" si="3"/>
        <v>3944.7</v>
      </c>
      <c r="AD59" s="851"/>
      <c r="AE59" s="852">
        <v>25590.880000000001</v>
      </c>
      <c r="AF59" s="853">
        <v>0.1</v>
      </c>
      <c r="AG59" s="854">
        <f t="shared" si="4"/>
        <v>10379538.430319488</v>
      </c>
      <c r="AH59" s="853"/>
      <c r="AI59" s="855">
        <f t="shared" si="5"/>
        <v>0</v>
      </c>
      <c r="AJ59" s="845" t="s">
        <v>293</v>
      </c>
      <c r="AK59" s="857" t="s">
        <v>294</v>
      </c>
      <c r="AL59" s="840"/>
      <c r="AM59" s="840"/>
      <c r="AN59" s="858"/>
      <c r="AO59" s="844" t="s">
        <v>141</v>
      </c>
      <c r="AP59" s="859"/>
      <c r="AQ59" s="859" t="s">
        <v>295</v>
      </c>
      <c r="AR59" s="859"/>
      <c r="AS59" s="840"/>
      <c r="AT59" s="840"/>
      <c r="AU59" s="860"/>
      <c r="AV59" s="839" t="s">
        <v>296</v>
      </c>
      <c r="AW59" s="861">
        <v>45189</v>
      </c>
      <c r="AX59" s="862" t="s">
        <v>297</v>
      </c>
      <c r="AY59" s="843"/>
      <c r="AZ59" s="842"/>
      <c r="BA59" s="842" t="s">
        <v>120</v>
      </c>
      <c r="BB59" s="863" t="s">
        <v>121</v>
      </c>
      <c r="BC59" s="864">
        <v>45195</v>
      </c>
      <c r="BD59" s="860" t="s">
        <v>298</v>
      </c>
      <c r="BE59" s="865" cm="1">
        <f t="array" ref="BE59">IF(BD59="","",AC59/SUMPRODUCT(--(BD59=$BD$4:$BD$12824),$AC$4:$AC$12824))</f>
        <v>4.5507912114712196E-2</v>
      </c>
      <c r="BF59" s="458"/>
      <c r="BG59" s="458"/>
      <c r="BH59" s="458"/>
      <c r="BI59" s="458"/>
      <c r="BJ59" s="458"/>
      <c r="BK59" s="458"/>
      <c r="BL59" s="458"/>
      <c r="BM59" s="458"/>
      <c r="BN59" s="458"/>
      <c r="BO59" s="866">
        <f>VLOOKUP(BD59,$BD$4:$BN$12824,3,0)*BE59</f>
        <v>2748359.3363438137</v>
      </c>
      <c r="BP59" s="866"/>
      <c r="BQ59" s="866"/>
      <c r="BR59" s="866">
        <f>VLOOKUP(BD59,$BD$4:$BN$12824,6,0)*BE59</f>
        <v>186764.47131877884</v>
      </c>
      <c r="BS59" s="866">
        <f>VLOOKUP(BD59,$BD$4:$BN$12824,7,0)*BE59</f>
        <v>98680.630851081136</v>
      </c>
      <c r="BT59" s="866"/>
      <c r="BU59" s="866">
        <f>VLOOKUP(BD59,$BD$4:$BN$12824,9,0)*BE59</f>
        <v>22753.956057356099</v>
      </c>
      <c r="BV59" s="867"/>
      <c r="BW59" s="867">
        <f>VLOOKUP(BD59,$BD$4:$BN$12824,11,0)*BE59</f>
        <v>0</v>
      </c>
      <c r="BX59" s="1146">
        <f t="shared" si="13"/>
        <v>3056558.39457103</v>
      </c>
      <c r="BY59" s="867">
        <f t="shared" si="9"/>
        <v>114384441.16089052</v>
      </c>
      <c r="BZ59" s="867">
        <f t="shared" si="6"/>
        <v>114384441.16089052</v>
      </c>
      <c r="CA59" s="867">
        <f>_xlfn.MAXIFS($BY$4:$BY$12824,$S$4:$S$12824,$S59)</f>
        <v>114384441.16089052</v>
      </c>
      <c r="CB59" s="1032"/>
      <c r="CF59" s="946">
        <f t="shared" si="7"/>
        <v>100948344.336</v>
      </c>
    </row>
    <row r="60" spans="1:84">
      <c r="A60" s="1032"/>
      <c r="B60" s="839" t="s">
        <v>98</v>
      </c>
      <c r="C60" s="839" t="s">
        <v>273</v>
      </c>
      <c r="D60" s="839" t="s">
        <v>290</v>
      </c>
      <c r="E60" s="839" t="s">
        <v>290</v>
      </c>
      <c r="F60" s="841">
        <v>45106</v>
      </c>
      <c r="G60" s="840" t="s">
        <v>273</v>
      </c>
      <c r="H60" s="842" t="s">
        <v>134</v>
      </c>
      <c r="I60" s="842"/>
      <c r="J60" s="841"/>
      <c r="K60" s="841"/>
      <c r="L60" s="843" t="s">
        <v>106</v>
      </c>
      <c r="M60" s="844" t="s">
        <v>275</v>
      </c>
      <c r="N60" s="841"/>
      <c r="O60" s="841" t="s">
        <v>150</v>
      </c>
      <c r="P60" s="841" t="s">
        <v>276</v>
      </c>
      <c r="Q60" s="843"/>
      <c r="R60" s="845" t="s">
        <v>319</v>
      </c>
      <c r="S60" s="1127" t="s">
        <v>319</v>
      </c>
      <c r="T60" s="843" t="s">
        <v>320</v>
      </c>
      <c r="U60" s="842">
        <v>1</v>
      </c>
      <c r="V60" s="842" t="s">
        <v>3</v>
      </c>
      <c r="W60" s="846"/>
      <c r="X60" s="847">
        <f t="shared" si="1"/>
        <v>0</v>
      </c>
      <c r="Y60" s="848"/>
      <c r="Z60" s="849">
        <v>1613.7</v>
      </c>
      <c r="AA60" s="849"/>
      <c r="AB60" s="849">
        <f t="shared" si="2"/>
        <v>1613.7</v>
      </c>
      <c r="AC60" s="850">
        <f t="shared" si="3"/>
        <v>1613.7</v>
      </c>
      <c r="AD60" s="851"/>
      <c r="AE60" s="852">
        <v>25590.880000000001</v>
      </c>
      <c r="AF60" s="853">
        <v>0.1</v>
      </c>
      <c r="AG60" s="854">
        <f t="shared" si="4"/>
        <v>4246067.1698751645</v>
      </c>
      <c r="AH60" s="853"/>
      <c r="AI60" s="855">
        <f t="shared" si="5"/>
        <v>0</v>
      </c>
      <c r="AJ60" s="845" t="s">
        <v>293</v>
      </c>
      <c r="AK60" s="857" t="s">
        <v>294</v>
      </c>
      <c r="AL60" s="840"/>
      <c r="AM60" s="840"/>
      <c r="AN60" s="858"/>
      <c r="AO60" s="844" t="s">
        <v>141</v>
      </c>
      <c r="AP60" s="859"/>
      <c r="AQ60" s="859" t="s">
        <v>295</v>
      </c>
      <c r="AR60" s="859"/>
      <c r="AS60" s="840"/>
      <c r="AT60" s="840"/>
      <c r="AU60" s="860"/>
      <c r="AV60" s="839" t="s">
        <v>296</v>
      </c>
      <c r="AW60" s="861">
        <v>45189</v>
      </c>
      <c r="AX60" s="862" t="s">
        <v>297</v>
      </c>
      <c r="AY60" s="843"/>
      <c r="AZ60" s="842"/>
      <c r="BA60" s="842" t="s">
        <v>120</v>
      </c>
      <c r="BB60" s="863" t="s">
        <v>121</v>
      </c>
      <c r="BC60" s="864">
        <v>45195</v>
      </c>
      <c r="BD60" s="860" t="s">
        <v>298</v>
      </c>
      <c r="BE60" s="865" cm="1">
        <f t="array" ref="BE60">IF(BD60="","",AC60/SUMPRODUCT(--(BD60=$BD$4:$BD$12824),$AC$4:$AC$12824))</f>
        <v>1.8616401191348157E-2</v>
      </c>
      <c r="BF60" s="458"/>
      <c r="BG60" s="458"/>
      <c r="BH60" s="458"/>
      <c r="BI60" s="458"/>
      <c r="BJ60" s="458"/>
      <c r="BK60" s="458"/>
      <c r="BL60" s="458"/>
      <c r="BM60" s="458"/>
      <c r="BN60" s="458"/>
      <c r="BO60" s="866">
        <f>VLOOKUP(BD60,$BD$4:$BN$12824,3,0)*BE60</f>
        <v>1124300.3171490892</v>
      </c>
      <c r="BP60" s="866"/>
      <c r="BQ60" s="866"/>
      <c r="BR60" s="866">
        <f>VLOOKUP(BD60,$BD$4:$BN$12824,6,0)*BE60</f>
        <v>76401.710489292833</v>
      </c>
      <c r="BS60" s="866">
        <f>VLOOKUP(BD60,$BD$4:$BN$12824,7,0)*BE60</f>
        <v>40368.325602552701</v>
      </c>
      <c r="BT60" s="866"/>
      <c r="BU60" s="866">
        <f>VLOOKUP(BD60,$BD$4:$BN$12824,9,0)*BE60</f>
        <v>9308.2005956740795</v>
      </c>
      <c r="BV60" s="867"/>
      <c r="BW60" s="867">
        <f>VLOOKUP(BD60,$BD$4:$BN$12824,11,0)*BE60</f>
        <v>0</v>
      </c>
      <c r="BX60" s="1146">
        <f t="shared" si="13"/>
        <v>1250378.5538366088</v>
      </c>
      <c r="BY60" s="867">
        <f t="shared" si="9"/>
        <v>46792448.779711775</v>
      </c>
      <c r="BZ60" s="867">
        <f t="shared" si="6"/>
        <v>46792448.779711775</v>
      </c>
      <c r="CA60" s="867">
        <f>_xlfn.MAXIFS($BY$4:$BY$12824,$S$4:$S$12824,$S60)</f>
        <v>46792448.779711775</v>
      </c>
      <c r="CB60" s="1032"/>
      <c r="CF60" s="946">
        <f t="shared" si="7"/>
        <v>41296003.056000002</v>
      </c>
    </row>
    <row r="61" spans="1:84">
      <c r="A61" s="1032"/>
      <c r="B61" s="839" t="s">
        <v>98</v>
      </c>
      <c r="C61" s="839" t="s">
        <v>273</v>
      </c>
      <c r="D61" s="839" t="s">
        <v>290</v>
      </c>
      <c r="E61" s="839" t="s">
        <v>290</v>
      </c>
      <c r="F61" s="841">
        <v>45106</v>
      </c>
      <c r="G61" s="840" t="s">
        <v>273</v>
      </c>
      <c r="H61" s="842" t="s">
        <v>134</v>
      </c>
      <c r="I61" s="842"/>
      <c r="J61" s="841"/>
      <c r="K61" s="841"/>
      <c r="L61" s="843" t="s">
        <v>106</v>
      </c>
      <c r="M61" s="844" t="s">
        <v>275</v>
      </c>
      <c r="N61" s="841"/>
      <c r="O61" s="841" t="s">
        <v>150</v>
      </c>
      <c r="P61" s="841" t="s">
        <v>276</v>
      </c>
      <c r="Q61" s="843"/>
      <c r="R61" s="845" t="s">
        <v>321</v>
      </c>
      <c r="S61" s="1127" t="s">
        <v>321</v>
      </c>
      <c r="T61" s="843" t="s">
        <v>322</v>
      </c>
      <c r="U61" s="842">
        <v>1</v>
      </c>
      <c r="V61" s="842" t="s">
        <v>3</v>
      </c>
      <c r="W61" s="846"/>
      <c r="X61" s="847">
        <f t="shared" si="1"/>
        <v>0</v>
      </c>
      <c r="Y61" s="848"/>
      <c r="Z61" s="849">
        <v>1331</v>
      </c>
      <c r="AA61" s="849"/>
      <c r="AB61" s="849">
        <f t="shared" si="2"/>
        <v>1331</v>
      </c>
      <c r="AC61" s="850">
        <f t="shared" si="3"/>
        <v>1331</v>
      </c>
      <c r="AD61" s="851"/>
      <c r="AE61" s="852">
        <v>25590.880000000001</v>
      </c>
      <c r="AF61" s="853">
        <v>0.1</v>
      </c>
      <c r="AG61" s="854">
        <f t="shared" si="4"/>
        <v>3502209.4584519081</v>
      </c>
      <c r="AH61" s="853"/>
      <c r="AI61" s="855">
        <f t="shared" si="5"/>
        <v>0</v>
      </c>
      <c r="AJ61" s="845" t="s">
        <v>293</v>
      </c>
      <c r="AK61" s="857" t="s">
        <v>294</v>
      </c>
      <c r="AL61" s="840"/>
      <c r="AM61" s="840"/>
      <c r="AN61" s="858"/>
      <c r="AO61" s="844" t="s">
        <v>141</v>
      </c>
      <c r="AP61" s="859"/>
      <c r="AQ61" s="859" t="s">
        <v>295</v>
      </c>
      <c r="AR61" s="859"/>
      <c r="AS61" s="840"/>
      <c r="AT61" s="840"/>
      <c r="AU61" s="860"/>
      <c r="AV61" s="839" t="s">
        <v>296</v>
      </c>
      <c r="AW61" s="861">
        <v>45189</v>
      </c>
      <c r="AX61" s="862" t="s">
        <v>297</v>
      </c>
      <c r="AY61" s="843"/>
      <c r="AZ61" s="842"/>
      <c r="BA61" s="842" t="s">
        <v>120</v>
      </c>
      <c r="BB61" s="863" t="s">
        <v>121</v>
      </c>
      <c r="BC61" s="864">
        <v>45195</v>
      </c>
      <c r="BD61" s="860" t="s">
        <v>298</v>
      </c>
      <c r="BE61" s="865" cm="1">
        <f t="array" ref="BE61">IF(BD61="","",AC61/SUMPRODUCT(--(BD61=$BD$4:$BD$12824),$AC$4:$AC$12824))</f>
        <v>1.5355041200771146E-2</v>
      </c>
      <c r="BF61" s="458"/>
      <c r="BG61" s="458"/>
      <c r="BH61" s="458"/>
      <c r="BI61" s="458"/>
      <c r="BJ61" s="458"/>
      <c r="BK61" s="458"/>
      <c r="BL61" s="458"/>
      <c r="BM61" s="458"/>
      <c r="BN61" s="458"/>
      <c r="BO61" s="866">
        <f>VLOOKUP(BD61,$BD$4:$BN$12824,3,0)*BE61</f>
        <v>927337.0032381718</v>
      </c>
      <c r="BP61" s="866"/>
      <c r="BQ61" s="866"/>
      <c r="BR61" s="866">
        <f>VLOOKUP(BD61,$BD$4:$BN$12824,6,0)*BE61</f>
        <v>63017.089087964785</v>
      </c>
      <c r="BS61" s="866">
        <f>VLOOKUP(BD61,$BD$4:$BN$12824,7,0)*BE61</f>
        <v>33296.301280905776</v>
      </c>
      <c r="BT61" s="866"/>
      <c r="BU61" s="866">
        <f>VLOOKUP(BD61,$BD$4:$BN$12824,9,0)*BE61</f>
        <v>7677.5206003855728</v>
      </c>
      <c r="BV61" s="867"/>
      <c r="BW61" s="867">
        <f>VLOOKUP(BD61,$BD$4:$BN$12824,11,0)*BE61</f>
        <v>0</v>
      </c>
      <c r="BX61" s="1146">
        <f t="shared" si="13"/>
        <v>1031327.9142074279</v>
      </c>
      <c r="BY61" s="867">
        <f t="shared" si="9"/>
        <v>38594998.652659342</v>
      </c>
      <c r="BZ61" s="867">
        <f t="shared" si="6"/>
        <v>38594998.652659342</v>
      </c>
      <c r="CA61" s="867">
        <f>_xlfn.MAXIFS($BY$4:$BY$12824,$S$4:$S$12824,$S61)</f>
        <v>38594998.652659342</v>
      </c>
      <c r="CB61" s="1032"/>
      <c r="CF61" s="946">
        <f t="shared" si="7"/>
        <v>34061461.280000001</v>
      </c>
    </row>
    <row r="62" spans="1:84">
      <c r="A62" s="1032"/>
      <c r="B62" s="839" t="s">
        <v>98</v>
      </c>
      <c r="C62" s="839" t="s">
        <v>273</v>
      </c>
      <c r="D62" s="839" t="s">
        <v>290</v>
      </c>
      <c r="E62" s="839" t="s">
        <v>290</v>
      </c>
      <c r="F62" s="841">
        <v>45106</v>
      </c>
      <c r="G62" s="840" t="s">
        <v>273</v>
      </c>
      <c r="H62" s="842" t="s">
        <v>134</v>
      </c>
      <c r="I62" s="842"/>
      <c r="J62" s="841"/>
      <c r="K62" s="841"/>
      <c r="L62" s="843" t="s">
        <v>106</v>
      </c>
      <c r="M62" s="844" t="s">
        <v>275</v>
      </c>
      <c r="N62" s="841"/>
      <c r="O62" s="841" t="s">
        <v>150</v>
      </c>
      <c r="P62" s="841" t="s">
        <v>276</v>
      </c>
      <c r="Q62" s="843"/>
      <c r="R62" s="845" t="s">
        <v>323</v>
      </c>
      <c r="S62" s="1127" t="s">
        <v>323</v>
      </c>
      <c r="T62" s="843" t="s">
        <v>324</v>
      </c>
      <c r="U62" s="842">
        <v>1</v>
      </c>
      <c r="V62" s="842" t="s">
        <v>3</v>
      </c>
      <c r="W62" s="846"/>
      <c r="X62" s="847">
        <f t="shared" si="1"/>
        <v>0</v>
      </c>
      <c r="Y62" s="848"/>
      <c r="Z62" s="849">
        <v>3123.55</v>
      </c>
      <c r="AA62" s="849"/>
      <c r="AB62" s="849">
        <f t="shared" si="2"/>
        <v>3123.55</v>
      </c>
      <c r="AC62" s="850">
        <f t="shared" si="3"/>
        <v>3123.55</v>
      </c>
      <c r="AD62" s="851"/>
      <c r="AE62" s="852">
        <v>25590.880000000001</v>
      </c>
      <c r="AF62" s="853">
        <v>0.1</v>
      </c>
      <c r="AG62" s="854">
        <f t="shared" si="4"/>
        <v>8218877.8016134165</v>
      </c>
      <c r="AH62" s="853"/>
      <c r="AI62" s="855">
        <f t="shared" si="5"/>
        <v>0</v>
      </c>
      <c r="AJ62" s="845" t="s">
        <v>293</v>
      </c>
      <c r="AK62" s="857" t="s">
        <v>294</v>
      </c>
      <c r="AL62" s="840"/>
      <c r="AM62" s="840"/>
      <c r="AN62" s="858"/>
      <c r="AO62" s="844" t="s">
        <v>141</v>
      </c>
      <c r="AP62" s="859"/>
      <c r="AQ62" s="859" t="s">
        <v>295</v>
      </c>
      <c r="AR62" s="859"/>
      <c r="AS62" s="840"/>
      <c r="AT62" s="840"/>
      <c r="AU62" s="860"/>
      <c r="AV62" s="839" t="s">
        <v>296</v>
      </c>
      <c r="AW62" s="861">
        <v>45189</v>
      </c>
      <c r="AX62" s="862" t="s">
        <v>297</v>
      </c>
      <c r="AY62" s="843"/>
      <c r="AZ62" s="842"/>
      <c r="BA62" s="842" t="s">
        <v>120</v>
      </c>
      <c r="BB62" s="863" t="s">
        <v>121</v>
      </c>
      <c r="BC62" s="864">
        <v>45195</v>
      </c>
      <c r="BD62" s="860" t="s">
        <v>298</v>
      </c>
      <c r="BE62" s="865" cm="1">
        <f t="array" ref="BE62">IF(BD62="","",AC62/SUMPRODUCT(--(BD62=$BD$4:$BD$12824),$AC$4:$AC$12824))</f>
        <v>3.6034740002005045E-2</v>
      </c>
      <c r="BF62" s="458"/>
      <c r="BG62" s="458"/>
      <c r="BH62" s="458"/>
      <c r="BI62" s="458"/>
      <c r="BJ62" s="458"/>
      <c r="BK62" s="458"/>
      <c r="BL62" s="458"/>
      <c r="BM62" s="458"/>
      <c r="BN62" s="458"/>
      <c r="BO62" s="866">
        <f>VLOOKUP(BD62,$BD$4:$BN$12824,3,0)*BE62</f>
        <v>2176246.0529410904</v>
      </c>
      <c r="BP62" s="866"/>
      <c r="BQ62" s="866"/>
      <c r="BR62" s="866">
        <f>VLOOKUP(BD62,$BD$4:$BN$12824,6,0)*BE62</f>
        <v>147886.57296822869</v>
      </c>
      <c r="BS62" s="866">
        <f>VLOOKUP(BD62,$BD$4:$BN$12824,7,0)*BE62</f>
        <v>78138.739193067799</v>
      </c>
      <c r="BT62" s="866"/>
      <c r="BU62" s="866">
        <f>VLOOKUP(BD62,$BD$4:$BN$12824,9,0)*BE62</f>
        <v>18017.370001002524</v>
      </c>
      <c r="BV62" s="867"/>
      <c r="BW62" s="867">
        <f>VLOOKUP(BD62,$BD$4:$BN$12824,11,0)*BE62</f>
        <v>0</v>
      </c>
      <c r="BX62" s="1146">
        <f t="shared" si="13"/>
        <v>2420288.7351033897</v>
      </c>
      <c r="BY62" s="867">
        <f t="shared" si="9"/>
        <v>90573559.760716811</v>
      </c>
      <c r="BZ62" s="867">
        <f t="shared" si="6"/>
        <v>90573559.760716811</v>
      </c>
      <c r="CA62" s="867">
        <f>_xlfn.MAXIFS($BY$4:$BY$12824,$S$4:$S$12824,$S62)</f>
        <v>90573559.760716811</v>
      </c>
      <c r="CB62" s="1032"/>
      <c r="CF62" s="946">
        <f t="shared" si="7"/>
        <v>79934393.224000007</v>
      </c>
    </row>
    <row r="63" spans="1:84">
      <c r="A63" s="1032"/>
      <c r="B63" s="839" t="s">
        <v>98</v>
      </c>
      <c r="C63" s="839" t="s">
        <v>273</v>
      </c>
      <c r="D63" s="839" t="s">
        <v>290</v>
      </c>
      <c r="E63" s="839" t="s">
        <v>290</v>
      </c>
      <c r="F63" s="841">
        <v>45106</v>
      </c>
      <c r="G63" s="840" t="s">
        <v>273</v>
      </c>
      <c r="H63" s="842" t="s">
        <v>134</v>
      </c>
      <c r="I63" s="842"/>
      <c r="J63" s="841"/>
      <c r="K63" s="841"/>
      <c r="L63" s="843" t="s">
        <v>106</v>
      </c>
      <c r="M63" s="844" t="s">
        <v>275</v>
      </c>
      <c r="N63" s="841"/>
      <c r="O63" s="841" t="s">
        <v>150</v>
      </c>
      <c r="P63" s="841" t="s">
        <v>276</v>
      </c>
      <c r="Q63" s="843"/>
      <c r="R63" s="845" t="s">
        <v>325</v>
      </c>
      <c r="S63" s="1127" t="s">
        <v>325</v>
      </c>
      <c r="T63" s="843" t="s">
        <v>326</v>
      </c>
      <c r="U63" s="842">
        <v>1</v>
      </c>
      <c r="V63" s="842" t="s">
        <v>3</v>
      </c>
      <c r="W63" s="846"/>
      <c r="X63" s="847">
        <f t="shared" si="1"/>
        <v>0</v>
      </c>
      <c r="Y63" s="848"/>
      <c r="Z63" s="849">
        <v>3082.35</v>
      </c>
      <c r="AA63" s="849"/>
      <c r="AB63" s="849">
        <f t="shared" si="2"/>
        <v>3082.35</v>
      </c>
      <c r="AC63" s="850">
        <f t="shared" si="3"/>
        <v>3082.35</v>
      </c>
      <c r="AD63" s="851"/>
      <c r="AE63" s="852">
        <v>25590.880000000001</v>
      </c>
      <c r="AF63" s="853">
        <v>0.1</v>
      </c>
      <c r="AG63" s="854">
        <f t="shared" si="4"/>
        <v>8110469.815371329</v>
      </c>
      <c r="AH63" s="853"/>
      <c r="AI63" s="855">
        <f t="shared" si="5"/>
        <v>0</v>
      </c>
      <c r="AJ63" s="845" t="s">
        <v>293</v>
      </c>
      <c r="AK63" s="857" t="s">
        <v>294</v>
      </c>
      <c r="AL63" s="840"/>
      <c r="AM63" s="840"/>
      <c r="AN63" s="858"/>
      <c r="AO63" s="844" t="s">
        <v>141</v>
      </c>
      <c r="AP63" s="859"/>
      <c r="AQ63" s="859" t="s">
        <v>295</v>
      </c>
      <c r="AR63" s="859"/>
      <c r="AS63" s="840"/>
      <c r="AT63" s="840"/>
      <c r="AU63" s="860"/>
      <c r="AV63" s="839" t="s">
        <v>296</v>
      </c>
      <c r="AW63" s="861">
        <v>45189</v>
      </c>
      <c r="AX63" s="862" t="s">
        <v>297</v>
      </c>
      <c r="AY63" s="843"/>
      <c r="AZ63" s="842"/>
      <c r="BA63" s="842" t="s">
        <v>120</v>
      </c>
      <c r="BB63" s="863" t="s">
        <v>121</v>
      </c>
      <c r="BC63" s="864">
        <v>45195</v>
      </c>
      <c r="BD63" s="860" t="s">
        <v>298</v>
      </c>
      <c r="BE63" s="865" cm="1">
        <f t="array" ref="BE63">IF(BD63="","",AC63/SUMPRODUCT(--(BD63=$BD$4:$BD$12824),$AC$4:$AC$12824))</f>
        <v>3.5559437449434211E-2</v>
      </c>
      <c r="BF63" s="458"/>
      <c r="BG63" s="458"/>
      <c r="BH63" s="458"/>
      <c r="BI63" s="458"/>
      <c r="BJ63" s="458"/>
      <c r="BK63" s="458"/>
      <c r="BL63" s="458"/>
      <c r="BM63" s="458"/>
      <c r="BN63" s="458"/>
      <c r="BO63" s="866">
        <f>VLOOKUP(BD63,$BD$4:$BN$12824,3,0)*BE63</f>
        <v>2147541.1058836803</v>
      </c>
      <c r="BP63" s="866"/>
      <c r="BQ63" s="866"/>
      <c r="BR63" s="866">
        <f>VLOOKUP(BD63,$BD$4:$BN$12824,6,0)*BE63</f>
        <v>145935.931292478</v>
      </c>
      <c r="BS63" s="866">
        <f>VLOOKUP(BD63,$BD$4:$BN$12824,7,0)*BE63</f>
        <v>77108.079829601731</v>
      </c>
      <c r="BT63" s="866"/>
      <c r="BU63" s="866">
        <f>VLOOKUP(BD63,$BD$4:$BN$12824,9,0)*BE63</f>
        <v>17779.718724717106</v>
      </c>
      <c r="BV63" s="867"/>
      <c r="BW63" s="867">
        <f>VLOOKUP(BD63,$BD$4:$BN$12824,11,0)*BE63</f>
        <v>0</v>
      </c>
      <c r="BX63" s="1146">
        <f t="shared" si="13"/>
        <v>2388364.8357304768</v>
      </c>
      <c r="BY63" s="867">
        <f t="shared" si="9"/>
        <v>89378883.619101807</v>
      </c>
      <c r="BZ63" s="867">
        <f t="shared" si="6"/>
        <v>89378883.619101807</v>
      </c>
      <c r="CA63" s="867">
        <f>_xlfn.MAXIFS($BY$4:$BY$12824,$S$4:$S$12824,$S63)</f>
        <v>89378883.619101807</v>
      </c>
      <c r="CB63" s="1032"/>
      <c r="CF63" s="946">
        <f t="shared" si="7"/>
        <v>78880048.967999995</v>
      </c>
    </row>
    <row r="64" spans="1:84">
      <c r="A64" s="1032"/>
      <c r="B64" s="839" t="s">
        <v>98</v>
      </c>
      <c r="C64" s="839" t="s">
        <v>273</v>
      </c>
      <c r="D64" s="839" t="s">
        <v>290</v>
      </c>
      <c r="E64" s="839" t="s">
        <v>290</v>
      </c>
      <c r="F64" s="841">
        <v>45106</v>
      </c>
      <c r="G64" s="840" t="s">
        <v>273</v>
      </c>
      <c r="H64" s="842" t="s">
        <v>134</v>
      </c>
      <c r="I64" s="842"/>
      <c r="J64" s="841"/>
      <c r="K64" s="841"/>
      <c r="L64" s="843" t="s">
        <v>106</v>
      </c>
      <c r="M64" s="844" t="s">
        <v>275</v>
      </c>
      <c r="N64" s="841"/>
      <c r="O64" s="841" t="s">
        <v>150</v>
      </c>
      <c r="P64" s="841" t="s">
        <v>276</v>
      </c>
      <c r="Q64" s="843"/>
      <c r="R64" s="845" t="s">
        <v>327</v>
      </c>
      <c r="S64" s="1127" t="s">
        <v>327</v>
      </c>
      <c r="T64" s="843" t="s">
        <v>328</v>
      </c>
      <c r="U64" s="842">
        <v>1</v>
      </c>
      <c r="V64" s="842" t="s">
        <v>3</v>
      </c>
      <c r="W64" s="846"/>
      <c r="X64" s="847">
        <f t="shared" si="1"/>
        <v>0</v>
      </c>
      <c r="Y64" s="848"/>
      <c r="Z64" s="849">
        <v>1547.29</v>
      </c>
      <c r="AA64" s="849"/>
      <c r="AB64" s="849">
        <f t="shared" si="2"/>
        <v>1547.29</v>
      </c>
      <c r="AC64" s="850">
        <f t="shared" si="3"/>
        <v>1547.29</v>
      </c>
      <c r="AD64" s="851"/>
      <c r="AE64" s="852">
        <v>25590.880000000001</v>
      </c>
      <c r="AF64" s="853">
        <v>0.1</v>
      </c>
      <c r="AG64" s="854">
        <f t="shared" si="4"/>
        <v>4071325.0736048482</v>
      </c>
      <c r="AH64" s="853"/>
      <c r="AI64" s="855">
        <f t="shared" si="5"/>
        <v>0</v>
      </c>
      <c r="AJ64" s="845" t="s">
        <v>293</v>
      </c>
      <c r="AK64" s="857" t="s">
        <v>294</v>
      </c>
      <c r="AL64" s="840"/>
      <c r="AM64" s="840"/>
      <c r="AN64" s="858"/>
      <c r="AO64" s="844" t="s">
        <v>141</v>
      </c>
      <c r="AP64" s="859"/>
      <c r="AQ64" s="859" t="s">
        <v>295</v>
      </c>
      <c r="AR64" s="859"/>
      <c r="AS64" s="840"/>
      <c r="AT64" s="840"/>
      <c r="AU64" s="860"/>
      <c r="AV64" s="839" t="s">
        <v>296</v>
      </c>
      <c r="AW64" s="861">
        <v>45189</v>
      </c>
      <c r="AX64" s="862" t="s">
        <v>297</v>
      </c>
      <c r="AY64" s="843"/>
      <c r="AZ64" s="842"/>
      <c r="BA64" s="842" t="s">
        <v>120</v>
      </c>
      <c r="BB64" s="863" t="s">
        <v>121</v>
      </c>
      <c r="BC64" s="864">
        <v>45195</v>
      </c>
      <c r="BD64" s="860" t="s">
        <v>298</v>
      </c>
      <c r="BE64" s="865" cm="1">
        <f t="array" ref="BE64">IF(BD64="","",AC64/SUMPRODUCT(--(BD64=$BD$4:$BD$12824),$AC$4:$AC$12824))</f>
        <v>1.7850264237070763E-2</v>
      </c>
      <c r="BF64" s="458"/>
      <c r="BG64" s="458"/>
      <c r="BH64" s="458"/>
      <c r="BI64" s="458"/>
      <c r="BJ64" s="458"/>
      <c r="BK64" s="458"/>
      <c r="BL64" s="458"/>
      <c r="BM64" s="458"/>
      <c r="BN64" s="458"/>
      <c r="BO64" s="866">
        <f>VLOOKUP(BD64,$BD$4:$BN$12824,3,0)*BE64</f>
        <v>1078031.0080694146</v>
      </c>
      <c r="BP64" s="866"/>
      <c r="BQ64" s="866"/>
      <c r="BR64" s="866">
        <f>VLOOKUP(BD64,$BD$4:$BN$12824,6,0)*BE64</f>
        <v>73257.48442893842</v>
      </c>
      <c r="BS64" s="866">
        <f>VLOOKUP(BD64,$BD$4:$BN$12824,7,0)*BE64</f>
        <v>38707.012779062883</v>
      </c>
      <c r="BT64" s="866"/>
      <c r="BU64" s="866">
        <f>VLOOKUP(BD64,$BD$4:$BN$12824,9,0)*BE64</f>
        <v>8925.1321185353809</v>
      </c>
      <c r="BV64" s="867"/>
      <c r="BW64" s="867">
        <f>VLOOKUP(BD64,$BD$4:$BN$12824,11,0)*BE64</f>
        <v>0</v>
      </c>
      <c r="BX64" s="1146">
        <f t="shared" si="13"/>
        <v>1198920.6373959514</v>
      </c>
      <c r="BY64" s="867">
        <f t="shared" si="9"/>
        <v>44866758.426200792</v>
      </c>
      <c r="BZ64" s="867">
        <f t="shared" si="6"/>
        <v>44866758.426200792</v>
      </c>
      <c r="CA64" s="867">
        <f>_xlfn.MAXIFS($BY$4:$BY$12824,$S$4:$S$12824,$S64)</f>
        <v>44866758.426200792</v>
      </c>
      <c r="CB64" s="1032"/>
      <c r="CF64" s="946">
        <f t="shared" si="7"/>
        <v>39596512.7152</v>
      </c>
    </row>
    <row r="65" spans="1:84">
      <c r="A65" s="1032"/>
      <c r="B65" s="839" t="s">
        <v>98</v>
      </c>
      <c r="C65" s="839" t="s">
        <v>273</v>
      </c>
      <c r="D65" s="839" t="s">
        <v>290</v>
      </c>
      <c r="E65" s="839" t="s">
        <v>290</v>
      </c>
      <c r="F65" s="841">
        <v>45106</v>
      </c>
      <c r="G65" s="840" t="s">
        <v>273</v>
      </c>
      <c r="H65" s="842" t="s">
        <v>134</v>
      </c>
      <c r="I65" s="842"/>
      <c r="J65" s="841"/>
      <c r="K65" s="841"/>
      <c r="L65" s="843" t="s">
        <v>106</v>
      </c>
      <c r="M65" s="844" t="s">
        <v>275</v>
      </c>
      <c r="N65" s="841"/>
      <c r="O65" s="841" t="s">
        <v>150</v>
      </c>
      <c r="P65" s="841" t="s">
        <v>276</v>
      </c>
      <c r="Q65" s="843"/>
      <c r="R65" s="845" t="s">
        <v>329</v>
      </c>
      <c r="S65" s="1127" t="s">
        <v>329</v>
      </c>
      <c r="T65" s="843" t="s">
        <v>330</v>
      </c>
      <c r="U65" s="842">
        <v>1</v>
      </c>
      <c r="V65" s="842" t="s">
        <v>3</v>
      </c>
      <c r="W65" s="846"/>
      <c r="X65" s="847">
        <f t="shared" ref="X65:X128" si="14">W65*U65</f>
        <v>0</v>
      </c>
      <c r="Y65" s="848"/>
      <c r="Z65" s="849">
        <v>778.62</v>
      </c>
      <c r="AA65" s="849"/>
      <c r="AB65" s="849">
        <f t="shared" ref="AB65:AB128" si="15">IF(AA65="F.O.C", 0, Z65*U65)</f>
        <v>778.62</v>
      </c>
      <c r="AC65" s="850">
        <f t="shared" ref="AC65:AC128" si="16">Z65*U65</f>
        <v>778.62</v>
      </c>
      <c r="AD65" s="851"/>
      <c r="AE65" s="852">
        <v>25590.880000000001</v>
      </c>
      <c r="AF65" s="853">
        <v>0.1</v>
      </c>
      <c r="AG65" s="854">
        <f t="shared" ref="AG65:AG128" si="17">(AC65*AE65+BO65+BP65+BQ65+BS65)*AF65</f>
        <v>2048753.0642673366</v>
      </c>
      <c r="AH65" s="853"/>
      <c r="AI65" s="855">
        <f t="shared" ref="AI65:AI128" si="18">(AC65*AE65+AG65+BF65+BG65+BH65+BJ65)*AH65</f>
        <v>0</v>
      </c>
      <c r="AJ65" s="845" t="s">
        <v>293</v>
      </c>
      <c r="AK65" s="857" t="s">
        <v>294</v>
      </c>
      <c r="AL65" s="840"/>
      <c r="AM65" s="840"/>
      <c r="AN65" s="858"/>
      <c r="AO65" s="844" t="s">
        <v>141</v>
      </c>
      <c r="AP65" s="859"/>
      <c r="AQ65" s="859" t="s">
        <v>295</v>
      </c>
      <c r="AR65" s="859"/>
      <c r="AS65" s="840"/>
      <c r="AT65" s="840"/>
      <c r="AU65" s="860"/>
      <c r="AV65" s="839" t="s">
        <v>296</v>
      </c>
      <c r="AW65" s="861">
        <v>45189</v>
      </c>
      <c r="AX65" s="862" t="s">
        <v>297</v>
      </c>
      <c r="AY65" s="843"/>
      <c r="AZ65" s="842"/>
      <c r="BA65" s="842" t="s">
        <v>120</v>
      </c>
      <c r="BB65" s="863" t="s">
        <v>121</v>
      </c>
      <c r="BC65" s="864">
        <v>45195</v>
      </c>
      <c r="BD65" s="860" t="s">
        <v>298</v>
      </c>
      <c r="BE65" s="865" cm="1">
        <f t="array" ref="BE65">IF(BD65="","",AC65/SUMPRODUCT(--(BD65=$BD$4:$BD$12824),$AC$4:$AC$12824))</f>
        <v>8.9825260554052822E-3</v>
      </c>
      <c r="BF65" s="458"/>
      <c r="BG65" s="458"/>
      <c r="BH65" s="458"/>
      <c r="BI65" s="458"/>
      <c r="BJ65" s="458"/>
      <c r="BK65" s="458"/>
      <c r="BL65" s="458"/>
      <c r="BM65" s="458"/>
      <c r="BN65" s="458"/>
      <c r="BO65" s="866">
        <f>VLOOKUP(BD65,$BD$4:$BN$12824,3,0)*BE65</f>
        <v>542481.69606409117</v>
      </c>
      <c r="BP65" s="866"/>
      <c r="BQ65" s="866"/>
      <c r="BR65" s="866">
        <f>VLOOKUP(BD65,$BD$4:$BN$12824,6,0)*BE65</f>
        <v>36864.286931383278</v>
      </c>
      <c r="BS65" s="866">
        <f>VLOOKUP(BD65,$BD$4:$BN$12824,7,0)*BE65</f>
        <v>19477.961009270366</v>
      </c>
      <c r="BT65" s="866"/>
      <c r="BU65" s="866">
        <f>VLOOKUP(BD65,$BD$4:$BN$12824,9,0)*BE65</f>
        <v>4491.263027702641</v>
      </c>
      <c r="BV65" s="867"/>
      <c r="BW65" s="867">
        <f>VLOOKUP(BD65,$BD$4:$BN$12824,11,0)*BE65</f>
        <v>0</v>
      </c>
      <c r="BX65" s="1146">
        <f t="shared" si="13"/>
        <v>603315.20703244756</v>
      </c>
      <c r="BY65" s="867">
        <f t="shared" si="9"/>
        <v>22577639.256899785</v>
      </c>
      <c r="BZ65" s="867">
        <f t="shared" ref="BZ65:BZ128" si="19">BY65*U65</f>
        <v>22577639.256899785</v>
      </c>
      <c r="CA65" s="867">
        <f>_xlfn.MAXIFS($BY$4:$BY$12824,$S$4:$S$12824,$S65)</f>
        <v>22577639.256899785</v>
      </c>
      <c r="CB65" s="1032"/>
      <c r="CF65" s="946">
        <f t="shared" si="7"/>
        <v>19925570.985600002</v>
      </c>
    </row>
    <row r="66" spans="1:84">
      <c r="A66" s="1032"/>
      <c r="B66" s="839" t="s">
        <v>98</v>
      </c>
      <c r="C66" s="839" t="s">
        <v>273</v>
      </c>
      <c r="D66" s="839" t="s">
        <v>290</v>
      </c>
      <c r="E66" s="839" t="s">
        <v>290</v>
      </c>
      <c r="F66" s="841">
        <v>45106</v>
      </c>
      <c r="G66" s="840" t="s">
        <v>273</v>
      </c>
      <c r="H66" s="842" t="s">
        <v>134</v>
      </c>
      <c r="I66" s="842"/>
      <c r="J66" s="841"/>
      <c r="K66" s="841"/>
      <c r="L66" s="843" t="s">
        <v>106</v>
      </c>
      <c r="M66" s="844" t="s">
        <v>275</v>
      </c>
      <c r="N66" s="841"/>
      <c r="O66" s="841" t="s">
        <v>150</v>
      </c>
      <c r="P66" s="841" t="s">
        <v>276</v>
      </c>
      <c r="Q66" s="843"/>
      <c r="R66" s="845" t="s">
        <v>331</v>
      </c>
      <c r="S66" s="1127" t="s">
        <v>331</v>
      </c>
      <c r="T66" s="843" t="s">
        <v>332</v>
      </c>
      <c r="U66" s="842">
        <v>1</v>
      </c>
      <c r="V66" s="842" t="s">
        <v>3</v>
      </c>
      <c r="W66" s="846"/>
      <c r="X66" s="847">
        <f t="shared" si="14"/>
        <v>0</v>
      </c>
      <c r="Y66" s="848"/>
      <c r="Z66" s="849">
        <v>421.67</v>
      </c>
      <c r="AA66" s="849"/>
      <c r="AB66" s="849">
        <f t="shared" si="15"/>
        <v>421.67</v>
      </c>
      <c r="AC66" s="850">
        <f t="shared" si="16"/>
        <v>421.67</v>
      </c>
      <c r="AD66" s="851"/>
      <c r="AE66" s="852">
        <v>25590.880000000001</v>
      </c>
      <c r="AF66" s="853">
        <v>0.1</v>
      </c>
      <c r="AG66" s="854">
        <f t="shared" si="17"/>
        <v>1109524.1640461429</v>
      </c>
      <c r="AH66" s="853"/>
      <c r="AI66" s="855">
        <f t="shared" si="18"/>
        <v>0</v>
      </c>
      <c r="AJ66" s="845" t="s">
        <v>293</v>
      </c>
      <c r="AK66" s="857" t="s">
        <v>294</v>
      </c>
      <c r="AL66" s="840"/>
      <c r="AM66" s="840"/>
      <c r="AN66" s="858"/>
      <c r="AO66" s="844" t="s">
        <v>141</v>
      </c>
      <c r="AP66" s="859"/>
      <c r="AQ66" s="859" t="s">
        <v>295</v>
      </c>
      <c r="AR66" s="859"/>
      <c r="AS66" s="840"/>
      <c r="AT66" s="840"/>
      <c r="AU66" s="860"/>
      <c r="AV66" s="839" t="s">
        <v>296</v>
      </c>
      <c r="AW66" s="861">
        <v>45189</v>
      </c>
      <c r="AX66" s="862" t="s">
        <v>297</v>
      </c>
      <c r="AY66" s="843"/>
      <c r="AZ66" s="842"/>
      <c r="BA66" s="842" t="s">
        <v>120</v>
      </c>
      <c r="BB66" s="863" t="s">
        <v>121</v>
      </c>
      <c r="BC66" s="864">
        <v>45195</v>
      </c>
      <c r="BD66" s="860" t="s">
        <v>298</v>
      </c>
      <c r="BE66" s="865" cm="1">
        <f t="array" ref="BE66">IF(BD66="","",AC66/SUMPRODUCT(--(BD66=$BD$4:$BD$12824),$AC$4:$AC$12824))</f>
        <v>4.8645831879257466E-3</v>
      </c>
      <c r="BF66" s="458"/>
      <c r="BG66" s="458"/>
      <c r="BH66" s="458"/>
      <c r="BI66" s="458"/>
      <c r="BJ66" s="458"/>
      <c r="BK66" s="458"/>
      <c r="BL66" s="458"/>
      <c r="BM66" s="458"/>
      <c r="BN66" s="458"/>
      <c r="BO66" s="866">
        <f>VLOOKUP(BD66,$BD$4:$BN$12824,3,0)*BE66</f>
        <v>293786.77246839961</v>
      </c>
      <c r="BP66" s="866"/>
      <c r="BQ66" s="866"/>
      <c r="BR66" s="866">
        <f>VLOOKUP(BD66,$BD$4:$BN$12824,6,0)*BE66</f>
        <v>19964.249403247264</v>
      </c>
      <c r="BS66" s="866">
        <f>VLOOKUP(BD66,$BD$4:$BN$12824,7,0)*BE66</f>
        <v>10548.49839302745</v>
      </c>
      <c r="BT66" s="866"/>
      <c r="BU66" s="866">
        <f>VLOOKUP(BD66,$BD$4:$BN$12824,9,0)*BE66</f>
        <v>2432.2915939628733</v>
      </c>
      <c r="BV66" s="867"/>
      <c r="BW66" s="867">
        <f>VLOOKUP(BD66,$BD$4:$BN$12824,11,0)*BE66</f>
        <v>0</v>
      </c>
      <c r="BX66" s="1146">
        <f t="shared" si="13"/>
        <v>326731.8118586372</v>
      </c>
      <c r="BY66" s="867">
        <f t="shared" si="9"/>
        <v>12227162.345504781</v>
      </c>
      <c r="BZ66" s="867">
        <f t="shared" si="19"/>
        <v>12227162.345504781</v>
      </c>
      <c r="CA66" s="867">
        <f>_xlfn.MAXIFS($BY$4:$BY$12824,$S$4:$S$12824,$S66)</f>
        <v>12227162.345504781</v>
      </c>
      <c r="CB66" s="1032"/>
      <c r="CF66" s="946">
        <f t="shared" si="7"/>
        <v>10790906.369600002</v>
      </c>
    </row>
    <row r="67" spans="1:84">
      <c r="A67" s="1032"/>
      <c r="B67" s="839" t="s">
        <v>98</v>
      </c>
      <c r="C67" s="839" t="s">
        <v>273</v>
      </c>
      <c r="D67" s="839" t="s">
        <v>290</v>
      </c>
      <c r="E67" s="839" t="s">
        <v>290</v>
      </c>
      <c r="F67" s="841">
        <v>45106</v>
      </c>
      <c r="G67" s="840" t="s">
        <v>273</v>
      </c>
      <c r="H67" s="842" t="s">
        <v>134</v>
      </c>
      <c r="I67" s="842"/>
      <c r="J67" s="841"/>
      <c r="K67" s="841"/>
      <c r="L67" s="843" t="s">
        <v>106</v>
      </c>
      <c r="M67" s="844" t="s">
        <v>275</v>
      </c>
      <c r="N67" s="841"/>
      <c r="O67" s="841" t="s">
        <v>150</v>
      </c>
      <c r="P67" s="841" t="s">
        <v>276</v>
      </c>
      <c r="Q67" s="843"/>
      <c r="R67" s="845" t="s">
        <v>333</v>
      </c>
      <c r="S67" s="1127" t="s">
        <v>333</v>
      </c>
      <c r="T67" s="843" t="s">
        <v>334</v>
      </c>
      <c r="U67" s="842">
        <v>1</v>
      </c>
      <c r="V67" s="842" t="s">
        <v>3</v>
      </c>
      <c r="W67" s="846"/>
      <c r="X67" s="847">
        <f t="shared" si="14"/>
        <v>0</v>
      </c>
      <c r="Y67" s="848"/>
      <c r="Z67" s="849">
        <v>448</v>
      </c>
      <c r="AA67" s="849"/>
      <c r="AB67" s="849">
        <f t="shared" si="15"/>
        <v>448</v>
      </c>
      <c r="AC67" s="850">
        <f t="shared" si="16"/>
        <v>448</v>
      </c>
      <c r="AD67" s="851"/>
      <c r="AE67" s="852">
        <v>25590.880000000001</v>
      </c>
      <c r="AF67" s="853">
        <v>0.1</v>
      </c>
      <c r="AG67" s="854">
        <f t="shared" si="17"/>
        <v>1178805.2872926032</v>
      </c>
      <c r="AH67" s="853"/>
      <c r="AI67" s="855">
        <f t="shared" si="18"/>
        <v>0</v>
      </c>
      <c r="AJ67" s="845" t="s">
        <v>293</v>
      </c>
      <c r="AK67" s="857" t="s">
        <v>294</v>
      </c>
      <c r="AL67" s="840"/>
      <c r="AM67" s="840"/>
      <c r="AN67" s="858"/>
      <c r="AO67" s="844" t="s">
        <v>141</v>
      </c>
      <c r="AP67" s="859"/>
      <c r="AQ67" s="859" t="s">
        <v>295</v>
      </c>
      <c r="AR67" s="859"/>
      <c r="AS67" s="840"/>
      <c r="AT67" s="840"/>
      <c r="AU67" s="860"/>
      <c r="AV67" s="839" t="s">
        <v>296</v>
      </c>
      <c r="AW67" s="861">
        <v>45189</v>
      </c>
      <c r="AX67" s="862" t="s">
        <v>297</v>
      </c>
      <c r="AY67" s="843"/>
      <c r="AZ67" s="842"/>
      <c r="BA67" s="842" t="s">
        <v>120</v>
      </c>
      <c r="BB67" s="863" t="s">
        <v>121</v>
      </c>
      <c r="BC67" s="864">
        <v>45195</v>
      </c>
      <c r="BD67" s="860" t="s">
        <v>298</v>
      </c>
      <c r="BE67" s="865" cm="1">
        <f t="array" ref="BE67">IF(BD67="","",AC67/SUMPRODUCT(--(BD67=$BD$4:$BD$12824),$AC$4:$AC$12824))</f>
        <v>5.1683384357216174E-3</v>
      </c>
      <c r="BF67" s="458"/>
      <c r="BG67" s="458"/>
      <c r="BH67" s="458"/>
      <c r="BI67" s="458"/>
      <c r="BJ67" s="458"/>
      <c r="BK67" s="458"/>
      <c r="BL67" s="458"/>
      <c r="BM67" s="458"/>
      <c r="BN67" s="458"/>
      <c r="BO67" s="866">
        <f>VLOOKUP(BD67,$BD$4:$BN$12824,3,0)*BE67</f>
        <v>312131.46314853564</v>
      </c>
      <c r="BP67" s="866"/>
      <c r="BQ67" s="866"/>
      <c r="BR67" s="866">
        <f>VLOOKUP(BD67,$BD$4:$BN$12824,6,0)*BE67</f>
        <v>21210.860940201517</v>
      </c>
      <c r="BS67" s="866">
        <f>VLOOKUP(BD67,$BD$4:$BN$12824,7,0)*BE67</f>
        <v>11207.169777494955</v>
      </c>
      <c r="BT67" s="866"/>
      <c r="BU67" s="866">
        <f>VLOOKUP(BD67,$BD$4:$BN$12824,9,0)*BE67</f>
        <v>2584.1692178608087</v>
      </c>
      <c r="BV67" s="867"/>
      <c r="BW67" s="867">
        <f>VLOOKUP(BD67,$BD$4:$BN$12824,11,0)*BE67</f>
        <v>0</v>
      </c>
      <c r="BX67" s="1146">
        <f t="shared" si="13"/>
        <v>347133.6630840929</v>
      </c>
      <c r="BY67" s="867">
        <f t="shared" si="9"/>
        <v>12990653.190376697</v>
      </c>
      <c r="BZ67" s="867">
        <f t="shared" si="19"/>
        <v>12990653.190376697</v>
      </c>
      <c r="CA67" s="867">
        <f>_xlfn.MAXIFS($BY$4:$BY$12824,$S$4:$S$12824,$S67)</f>
        <v>12990653.190376697</v>
      </c>
      <c r="CB67" s="1032"/>
      <c r="CF67" s="946">
        <f t="shared" si="7"/>
        <v>11464714.24</v>
      </c>
    </row>
    <row r="68" spans="1:84">
      <c r="A68" s="1032"/>
      <c r="B68" s="839" t="s">
        <v>98</v>
      </c>
      <c r="C68" s="839" t="s">
        <v>273</v>
      </c>
      <c r="D68" s="839" t="s">
        <v>290</v>
      </c>
      <c r="E68" s="839" t="s">
        <v>290</v>
      </c>
      <c r="F68" s="841">
        <v>45106</v>
      </c>
      <c r="G68" s="840" t="s">
        <v>273</v>
      </c>
      <c r="H68" s="842" t="s">
        <v>134</v>
      </c>
      <c r="I68" s="842"/>
      <c r="J68" s="841"/>
      <c r="K68" s="841"/>
      <c r="L68" s="843" t="s">
        <v>106</v>
      </c>
      <c r="M68" s="844" t="s">
        <v>275</v>
      </c>
      <c r="N68" s="841"/>
      <c r="O68" s="841" t="s">
        <v>150</v>
      </c>
      <c r="P68" s="841" t="s">
        <v>276</v>
      </c>
      <c r="Q68" s="843"/>
      <c r="R68" s="845" t="s">
        <v>335</v>
      </c>
      <c r="S68" s="1127" t="s">
        <v>335</v>
      </c>
      <c r="T68" s="843" t="s">
        <v>336</v>
      </c>
      <c r="U68" s="842">
        <v>1</v>
      </c>
      <c r="V68" s="842" t="s">
        <v>3</v>
      </c>
      <c r="W68" s="846"/>
      <c r="X68" s="847">
        <f t="shared" si="14"/>
        <v>0</v>
      </c>
      <c r="Y68" s="848"/>
      <c r="Z68" s="849">
        <v>4637.8999999999996</v>
      </c>
      <c r="AA68" s="849"/>
      <c r="AB68" s="849">
        <f t="shared" si="15"/>
        <v>4637.8999999999996</v>
      </c>
      <c r="AC68" s="850">
        <f t="shared" si="16"/>
        <v>4637.8999999999996</v>
      </c>
      <c r="AD68" s="851"/>
      <c r="AE68" s="852">
        <v>25590.880000000001</v>
      </c>
      <c r="AF68" s="853">
        <v>0.1</v>
      </c>
      <c r="AG68" s="854">
        <f t="shared" si="17"/>
        <v>12203529.111460634</v>
      </c>
      <c r="AH68" s="853"/>
      <c r="AI68" s="855">
        <f t="shared" si="18"/>
        <v>0</v>
      </c>
      <c r="AJ68" s="845" t="s">
        <v>293</v>
      </c>
      <c r="AK68" s="857" t="s">
        <v>294</v>
      </c>
      <c r="AL68" s="840"/>
      <c r="AM68" s="840"/>
      <c r="AN68" s="858"/>
      <c r="AO68" s="844" t="s">
        <v>141</v>
      </c>
      <c r="AP68" s="859"/>
      <c r="AQ68" s="859" t="s">
        <v>295</v>
      </c>
      <c r="AR68" s="859"/>
      <c r="AS68" s="840"/>
      <c r="AT68" s="840"/>
      <c r="AU68" s="860"/>
      <c r="AV68" s="839" t="s">
        <v>296</v>
      </c>
      <c r="AW68" s="861">
        <v>45189</v>
      </c>
      <c r="AX68" s="862" t="s">
        <v>297</v>
      </c>
      <c r="AY68" s="843"/>
      <c r="AZ68" s="842"/>
      <c r="BA68" s="842" t="s">
        <v>120</v>
      </c>
      <c r="BB68" s="863" t="s">
        <v>121</v>
      </c>
      <c r="BC68" s="864">
        <v>45195</v>
      </c>
      <c r="BD68" s="860" t="s">
        <v>298</v>
      </c>
      <c r="BE68" s="865" cm="1">
        <f t="array" ref="BE68">IF(BD68="","",AC68/SUMPRODUCT(--(BD68=$BD$4:$BD$12824),$AC$4:$AC$12824))</f>
        <v>5.3504992926413593E-2</v>
      </c>
      <c r="BF68" s="458"/>
      <c r="BG68" s="458"/>
      <c r="BH68" s="458"/>
      <c r="BI68" s="458"/>
      <c r="BJ68" s="458"/>
      <c r="BK68" s="458"/>
      <c r="BL68" s="458"/>
      <c r="BM68" s="458"/>
      <c r="BN68" s="458"/>
      <c r="BO68" s="866">
        <f>VLOOKUP(BD68,$BD$4:$BN$12824,3,0)*BE68</f>
        <v>3231327.037804896</v>
      </c>
      <c r="BP68" s="866"/>
      <c r="BQ68" s="866"/>
      <c r="BR68" s="866">
        <f>VLOOKUP(BD68,$BD$4:$BN$12824,6,0)*BE68</f>
        <v>219584.49097000138</v>
      </c>
      <c r="BS68" s="866">
        <f>VLOOKUP(BD68,$BD$4:$BN$12824,7,0)*BE68</f>
        <v>116021.72480143717</v>
      </c>
      <c r="BT68" s="866"/>
      <c r="BU68" s="866">
        <f>VLOOKUP(BD68,$BD$4:$BN$12824,9,0)*BE68</f>
        <v>26752.496463206797</v>
      </c>
      <c r="BV68" s="867"/>
      <c r="BW68" s="867">
        <f>VLOOKUP(BD68,$BD$4:$BN$12824,11,0)*BE68</f>
        <v>0</v>
      </c>
      <c r="BX68" s="1146">
        <f t="shared" si="13"/>
        <v>3593685.7500395412</v>
      </c>
      <c r="BY68" s="867">
        <f t="shared" si="9"/>
        <v>134485157.21350017</v>
      </c>
      <c r="BZ68" s="867">
        <f t="shared" si="19"/>
        <v>134485157.21350017</v>
      </c>
      <c r="CA68" s="867">
        <f>_xlfn.MAXIFS($BY$4:$BY$12824,$S$4:$S$12824,$S68)</f>
        <v>134485157.21350017</v>
      </c>
      <c r="CB68" s="1032"/>
      <c r="CF68" s="946">
        <f t="shared" si="7"/>
        <v>118687942.352</v>
      </c>
    </row>
    <row r="69" spans="1:84">
      <c r="A69" s="1032"/>
      <c r="B69" s="839" t="s">
        <v>98</v>
      </c>
      <c r="C69" s="839" t="s">
        <v>273</v>
      </c>
      <c r="D69" s="839" t="s">
        <v>290</v>
      </c>
      <c r="E69" s="839" t="s">
        <v>290</v>
      </c>
      <c r="F69" s="841">
        <v>45106</v>
      </c>
      <c r="G69" s="840" t="s">
        <v>273</v>
      </c>
      <c r="H69" s="842" t="s">
        <v>134</v>
      </c>
      <c r="I69" s="842"/>
      <c r="J69" s="841"/>
      <c r="K69" s="841"/>
      <c r="L69" s="843" t="s">
        <v>106</v>
      </c>
      <c r="M69" s="844" t="s">
        <v>275</v>
      </c>
      <c r="N69" s="841"/>
      <c r="O69" s="841" t="s">
        <v>150</v>
      </c>
      <c r="P69" s="841" t="s">
        <v>276</v>
      </c>
      <c r="Q69" s="843"/>
      <c r="R69" s="845" t="s">
        <v>337</v>
      </c>
      <c r="S69" s="1127" t="s">
        <v>337</v>
      </c>
      <c r="T69" s="843" t="s">
        <v>338</v>
      </c>
      <c r="U69" s="842">
        <v>6</v>
      </c>
      <c r="V69" s="842" t="s">
        <v>3</v>
      </c>
      <c r="W69" s="846"/>
      <c r="X69" s="847">
        <f t="shared" si="14"/>
        <v>0</v>
      </c>
      <c r="Y69" s="848"/>
      <c r="Z69" s="849">
        <v>1416.7</v>
      </c>
      <c r="AA69" s="849"/>
      <c r="AB69" s="849">
        <f t="shared" si="15"/>
        <v>8500.2000000000007</v>
      </c>
      <c r="AC69" s="850">
        <f t="shared" si="16"/>
        <v>8500.2000000000007</v>
      </c>
      <c r="AD69" s="851"/>
      <c r="AE69" s="852">
        <v>25590.880000000001</v>
      </c>
      <c r="AF69" s="853">
        <v>0.1</v>
      </c>
      <c r="AG69" s="854">
        <f t="shared" si="17"/>
        <v>22366251.569295954</v>
      </c>
      <c r="AH69" s="853"/>
      <c r="AI69" s="855">
        <f t="shared" si="18"/>
        <v>0</v>
      </c>
      <c r="AJ69" s="845" t="s">
        <v>293</v>
      </c>
      <c r="AK69" s="857" t="s">
        <v>294</v>
      </c>
      <c r="AL69" s="840"/>
      <c r="AM69" s="840"/>
      <c r="AN69" s="858"/>
      <c r="AO69" s="844" t="s">
        <v>141</v>
      </c>
      <c r="AP69" s="859"/>
      <c r="AQ69" s="859" t="s">
        <v>295</v>
      </c>
      <c r="AR69" s="859"/>
      <c r="AS69" s="840"/>
      <c r="AT69" s="840"/>
      <c r="AU69" s="860"/>
      <c r="AV69" s="839" t="s">
        <v>296</v>
      </c>
      <c r="AW69" s="861">
        <v>45189</v>
      </c>
      <c r="AX69" s="862" t="s">
        <v>297</v>
      </c>
      <c r="AY69" s="843"/>
      <c r="AZ69" s="842"/>
      <c r="BA69" s="842" t="s">
        <v>120</v>
      </c>
      <c r="BB69" s="863" t="s">
        <v>121</v>
      </c>
      <c r="BC69" s="864">
        <v>45195</v>
      </c>
      <c r="BD69" s="860" t="s">
        <v>298</v>
      </c>
      <c r="BE69" s="865" cm="1">
        <f t="array" ref="BE69">IF(BD69="","",AC69/SUMPRODUCT(--(BD69=$BD$4:$BD$12824),$AC$4:$AC$12824))</f>
        <v>9.8062299935984143E-2</v>
      </c>
      <c r="BF69" s="458"/>
      <c r="BG69" s="458"/>
      <c r="BH69" s="458"/>
      <c r="BI69" s="458"/>
      <c r="BJ69" s="458"/>
      <c r="BK69" s="458"/>
      <c r="BL69" s="458"/>
      <c r="BM69" s="458"/>
      <c r="BN69" s="458"/>
      <c r="BO69" s="866">
        <f>VLOOKUP(BD69,$BD$4:$BN$12824,3,0)*BE69</f>
        <v>5922276.4800338903</v>
      </c>
      <c r="BP69" s="866"/>
      <c r="BQ69" s="866"/>
      <c r="BR69" s="866">
        <f>VLOOKUP(BD69,$BD$4:$BN$12824,6,0)*BE69</f>
        <v>402447.67893727892</v>
      </c>
      <c r="BS69" s="866">
        <f>VLOOKUP(BD69,$BD$4:$BN$12824,7,0)*BE69</f>
        <v>212641.03692558623</v>
      </c>
      <c r="BT69" s="866"/>
      <c r="BU69" s="866">
        <f>VLOOKUP(BD69,$BD$4:$BN$12824,9,0)*BE69</f>
        <v>49031.149967992074</v>
      </c>
      <c r="BV69" s="867"/>
      <c r="BW69" s="867">
        <f>VLOOKUP(BD69,$BD$4:$BN$12824,11,0)*BE69</f>
        <v>0</v>
      </c>
      <c r="BX69" s="1146">
        <f t="shared" si="13"/>
        <v>6586396.3458647467</v>
      </c>
      <c r="BY69" s="867">
        <f t="shared" si="9"/>
        <v>41080041.015193455</v>
      </c>
      <c r="BZ69" s="867">
        <f t="shared" si="19"/>
        <v>246480246.09116071</v>
      </c>
      <c r="CA69" s="867">
        <f>_xlfn.MAXIFS($BY$4:$BY$12824,$S$4:$S$12824,$S69)</f>
        <v>41080041.015193455</v>
      </c>
      <c r="CB69" s="1032"/>
      <c r="CF69" s="946">
        <f t="shared" ref="CF69:CF132" si="20">AC69*AE69</f>
        <v>217527598.17600003</v>
      </c>
    </row>
    <row r="70" spans="1:84">
      <c r="A70" s="1032"/>
      <c r="B70" s="839" t="s">
        <v>98</v>
      </c>
      <c r="C70" s="839" t="s">
        <v>273</v>
      </c>
      <c r="D70" s="839" t="s">
        <v>290</v>
      </c>
      <c r="E70" s="839" t="s">
        <v>290</v>
      </c>
      <c r="F70" s="841">
        <v>45106</v>
      </c>
      <c r="G70" s="840" t="s">
        <v>273</v>
      </c>
      <c r="H70" s="842" t="s">
        <v>134</v>
      </c>
      <c r="I70" s="842"/>
      <c r="J70" s="841"/>
      <c r="K70" s="841"/>
      <c r="L70" s="843" t="s">
        <v>106</v>
      </c>
      <c r="M70" s="844" t="s">
        <v>275</v>
      </c>
      <c r="N70" s="841"/>
      <c r="O70" s="841" t="s">
        <v>150</v>
      </c>
      <c r="P70" s="841" t="s">
        <v>276</v>
      </c>
      <c r="Q70" s="843"/>
      <c r="R70" s="845" t="s">
        <v>339</v>
      </c>
      <c r="S70" s="1127" t="s">
        <v>339</v>
      </c>
      <c r="T70" s="843" t="s">
        <v>340</v>
      </c>
      <c r="U70" s="842">
        <v>1</v>
      </c>
      <c r="V70" s="842" t="s">
        <v>3</v>
      </c>
      <c r="W70" s="846"/>
      <c r="X70" s="847">
        <f t="shared" si="14"/>
        <v>0</v>
      </c>
      <c r="Y70" s="848"/>
      <c r="Z70" s="849">
        <v>1740.59</v>
      </c>
      <c r="AA70" s="849"/>
      <c r="AB70" s="849">
        <f t="shared" si="15"/>
        <v>1740.59</v>
      </c>
      <c r="AC70" s="850">
        <f t="shared" si="16"/>
        <v>1740.59</v>
      </c>
      <c r="AD70" s="851"/>
      <c r="AE70" s="852">
        <v>25590.880000000001</v>
      </c>
      <c r="AF70" s="853">
        <v>0.1</v>
      </c>
      <c r="AG70" s="854">
        <f t="shared" si="17"/>
        <v>4579947.9799299827</v>
      </c>
      <c r="AH70" s="853"/>
      <c r="AI70" s="855">
        <f t="shared" si="18"/>
        <v>0</v>
      </c>
      <c r="AJ70" s="845" t="s">
        <v>293</v>
      </c>
      <c r="AK70" s="857" t="s">
        <v>294</v>
      </c>
      <c r="AL70" s="840"/>
      <c r="AM70" s="840"/>
      <c r="AN70" s="858"/>
      <c r="AO70" s="844" t="s">
        <v>141</v>
      </c>
      <c r="AP70" s="859"/>
      <c r="AQ70" s="859" t="s">
        <v>295</v>
      </c>
      <c r="AR70" s="859"/>
      <c r="AS70" s="840"/>
      <c r="AT70" s="840"/>
      <c r="AU70" s="860"/>
      <c r="AV70" s="839" t="s">
        <v>296</v>
      </c>
      <c r="AW70" s="861">
        <v>45189</v>
      </c>
      <c r="AX70" s="862" t="s">
        <v>297</v>
      </c>
      <c r="AY70" s="843"/>
      <c r="AZ70" s="842"/>
      <c r="BA70" s="842" t="s">
        <v>120</v>
      </c>
      <c r="BB70" s="863" t="s">
        <v>121</v>
      </c>
      <c r="BC70" s="864">
        <v>45195</v>
      </c>
      <c r="BD70" s="860" t="s">
        <v>298</v>
      </c>
      <c r="BE70" s="865" cm="1">
        <f t="array" ref="BE70">IF(BD70="","",AC70/SUMPRODUCT(--(BD70=$BD$4:$BD$12824),$AC$4:$AC$12824))</f>
        <v>2.008026383444797E-2</v>
      </c>
      <c r="BF70" s="458"/>
      <c r="BG70" s="458"/>
      <c r="BH70" s="458"/>
      <c r="BI70" s="458"/>
      <c r="BJ70" s="458"/>
      <c r="BK70" s="458"/>
      <c r="BL70" s="458"/>
      <c r="BM70" s="458"/>
      <c r="BN70" s="458"/>
      <c r="BO70" s="866">
        <f>VLOOKUP(BD70,$BD$4:$BN$12824,3,0)*BE70</f>
        <v>1212707.3737538164</v>
      </c>
      <c r="BP70" s="866"/>
      <c r="BQ70" s="866"/>
      <c r="BR70" s="866">
        <f>VLOOKUP(BD70,$BD$4:$BN$12824,6,0)*BE70</f>
        <v>82409.402776574469</v>
      </c>
      <c r="BS70" s="866">
        <f>VLOOKUP(BD70,$BD$4:$BN$12824,7,0)*BE70</f>
        <v>43542.606346004344</v>
      </c>
      <c r="BT70" s="866"/>
      <c r="BU70" s="866">
        <f>VLOOKUP(BD70,$BD$4:$BN$12824,9,0)*BE70</f>
        <v>10040.131917223986</v>
      </c>
      <c r="BV70" s="867"/>
      <c r="BW70" s="867">
        <f>VLOOKUP(BD70,$BD$4:$BN$12824,11,0)*BE70</f>
        <v>0</v>
      </c>
      <c r="BX70" s="1146">
        <f t="shared" si="13"/>
        <v>1348699.5147936193</v>
      </c>
      <c r="BY70" s="867">
        <f t="shared" ref="BY70:BY133" si="21">(AB70*AE70+AG70+BX70)/U70</f>
        <v>50471877.313923605</v>
      </c>
      <c r="BZ70" s="867">
        <f t="shared" si="19"/>
        <v>50471877.313923605</v>
      </c>
      <c r="CA70" s="867">
        <f>_xlfn.MAXIFS($BY$4:$BY$12824,$S$4:$S$12824,$S70)</f>
        <v>50471877.313923605</v>
      </c>
      <c r="CB70" s="1032"/>
      <c r="CF70" s="946">
        <f t="shared" si="20"/>
        <v>44543229.819200002</v>
      </c>
    </row>
    <row r="71" spans="1:84">
      <c r="A71" s="1032"/>
      <c r="B71" s="839" t="s">
        <v>98</v>
      </c>
      <c r="C71" s="839" t="s">
        <v>273</v>
      </c>
      <c r="D71" s="839" t="s">
        <v>290</v>
      </c>
      <c r="E71" s="839" t="s">
        <v>290</v>
      </c>
      <c r="F71" s="841">
        <v>45106</v>
      </c>
      <c r="G71" s="840" t="s">
        <v>273</v>
      </c>
      <c r="H71" s="842" t="s">
        <v>134</v>
      </c>
      <c r="I71" s="842"/>
      <c r="J71" s="841"/>
      <c r="K71" s="841"/>
      <c r="L71" s="843" t="s">
        <v>106</v>
      </c>
      <c r="M71" s="844" t="s">
        <v>275</v>
      </c>
      <c r="N71" s="841"/>
      <c r="O71" s="841" t="s">
        <v>150</v>
      </c>
      <c r="P71" s="841" t="s">
        <v>276</v>
      </c>
      <c r="Q71" s="843"/>
      <c r="R71" s="845" t="s">
        <v>341</v>
      </c>
      <c r="S71" s="1127" t="s">
        <v>341</v>
      </c>
      <c r="T71" s="843" t="s">
        <v>342</v>
      </c>
      <c r="U71" s="842">
        <v>1</v>
      </c>
      <c r="V71" s="842" t="s">
        <v>3</v>
      </c>
      <c r="W71" s="846"/>
      <c r="X71" s="847">
        <f t="shared" si="14"/>
        <v>0</v>
      </c>
      <c r="Y71" s="848"/>
      <c r="Z71" s="849">
        <v>1596.05</v>
      </c>
      <c r="AA71" s="849"/>
      <c r="AB71" s="849">
        <f t="shared" si="15"/>
        <v>1596.05</v>
      </c>
      <c r="AC71" s="850">
        <f t="shared" si="16"/>
        <v>1596.05</v>
      </c>
      <c r="AD71" s="851"/>
      <c r="AE71" s="852">
        <v>25590.880000000001</v>
      </c>
      <c r="AF71" s="853">
        <v>0.1</v>
      </c>
      <c r="AG71" s="854">
        <f t="shared" si="17"/>
        <v>4199625.3990699984</v>
      </c>
      <c r="AH71" s="853"/>
      <c r="AI71" s="855">
        <f t="shared" si="18"/>
        <v>0</v>
      </c>
      <c r="AJ71" s="845" t="s">
        <v>293</v>
      </c>
      <c r="AK71" s="857" t="s">
        <v>294</v>
      </c>
      <c r="AL71" s="840"/>
      <c r="AM71" s="840"/>
      <c r="AN71" s="858"/>
      <c r="AO71" s="844" t="s">
        <v>141</v>
      </c>
      <c r="AP71" s="859"/>
      <c r="AQ71" s="859" t="s">
        <v>295</v>
      </c>
      <c r="AR71" s="859"/>
      <c r="AS71" s="840"/>
      <c r="AT71" s="840"/>
      <c r="AU71" s="860"/>
      <c r="AV71" s="839" t="s">
        <v>296</v>
      </c>
      <c r="AW71" s="861">
        <v>45189</v>
      </c>
      <c r="AX71" s="862" t="s">
        <v>297</v>
      </c>
      <c r="AY71" s="843"/>
      <c r="AZ71" s="842"/>
      <c r="BA71" s="842" t="s">
        <v>120</v>
      </c>
      <c r="BB71" s="863" t="s">
        <v>121</v>
      </c>
      <c r="BC71" s="864">
        <v>45195</v>
      </c>
      <c r="BD71" s="860" t="s">
        <v>298</v>
      </c>
      <c r="BE71" s="865" cm="1">
        <f t="array" ref="BE71">IF(BD71="","",AC71/SUMPRODUCT(--(BD71=$BD$4:$BD$12824),$AC$4:$AC$12824))</f>
        <v>1.8412782500744393E-2</v>
      </c>
      <c r="BF71" s="458"/>
      <c r="BG71" s="458"/>
      <c r="BH71" s="458"/>
      <c r="BI71" s="458"/>
      <c r="BJ71" s="458"/>
      <c r="BK71" s="458"/>
      <c r="BL71" s="458"/>
      <c r="BM71" s="458"/>
      <c r="BN71" s="458"/>
      <c r="BO71" s="866">
        <f>VLOOKUP(BD71,$BD$4:$BN$12824,3,0)*BE71</f>
        <v>1112003.1735674562</v>
      </c>
      <c r="BP71" s="866"/>
      <c r="BQ71" s="866"/>
      <c r="BR71" s="866">
        <f>VLOOKUP(BD71,$BD$4:$BN$12824,6,0)*BE71</f>
        <v>75566.059383054991</v>
      </c>
      <c r="BS71" s="866">
        <f>VLOOKUP(BD71,$BD$4:$BN$12824,7,0)*BE71</f>
        <v>39926.793132524159</v>
      </c>
      <c r="BT71" s="866"/>
      <c r="BU71" s="866">
        <f>VLOOKUP(BD71,$BD$4:$BN$12824,9,0)*BE71</f>
        <v>9206.3912503721967</v>
      </c>
      <c r="BV71" s="867"/>
      <c r="BW71" s="867">
        <f>VLOOKUP(BD71,$BD$4:$BN$12824,11,0)*BE71</f>
        <v>0</v>
      </c>
      <c r="BX71" s="1146">
        <f t="shared" si="13"/>
        <v>1236702.4173334076</v>
      </c>
      <c r="BY71" s="867">
        <f t="shared" si="21"/>
        <v>46280651.840403408</v>
      </c>
      <c r="BZ71" s="867">
        <f t="shared" si="19"/>
        <v>46280651.840403408</v>
      </c>
      <c r="CA71" s="867">
        <f>_xlfn.MAXIFS($BY$4:$BY$12824,$S$4:$S$12824,$S71)</f>
        <v>46280651.840403408</v>
      </c>
      <c r="CB71" s="1032"/>
      <c r="CF71" s="946">
        <f t="shared" si="20"/>
        <v>40844324.024000004</v>
      </c>
    </row>
    <row r="72" spans="1:84">
      <c r="A72" s="1032"/>
      <c r="B72" s="839" t="s">
        <v>98</v>
      </c>
      <c r="C72" s="839" t="s">
        <v>273</v>
      </c>
      <c r="D72" s="839" t="s">
        <v>290</v>
      </c>
      <c r="E72" s="839" t="s">
        <v>290</v>
      </c>
      <c r="F72" s="841">
        <v>45106</v>
      </c>
      <c r="G72" s="840" t="s">
        <v>273</v>
      </c>
      <c r="H72" s="842" t="s">
        <v>134</v>
      </c>
      <c r="I72" s="842"/>
      <c r="J72" s="841"/>
      <c r="K72" s="841"/>
      <c r="L72" s="843" t="s">
        <v>106</v>
      </c>
      <c r="M72" s="844" t="s">
        <v>275</v>
      </c>
      <c r="N72" s="841"/>
      <c r="O72" s="841" t="s">
        <v>150</v>
      </c>
      <c r="P72" s="841" t="s">
        <v>276</v>
      </c>
      <c r="Q72" s="843"/>
      <c r="R72" s="845" t="s">
        <v>343</v>
      </c>
      <c r="S72" s="1127" t="s">
        <v>343</v>
      </c>
      <c r="T72" s="843" t="s">
        <v>344</v>
      </c>
      <c r="U72" s="842">
        <v>1</v>
      </c>
      <c r="V72" s="842" t="s">
        <v>3</v>
      </c>
      <c r="W72" s="846"/>
      <c r="X72" s="847">
        <f t="shared" si="14"/>
        <v>0</v>
      </c>
      <c r="Y72" s="848"/>
      <c r="Z72" s="849">
        <v>1950.27</v>
      </c>
      <c r="AA72" s="849"/>
      <c r="AB72" s="849">
        <f t="shared" si="15"/>
        <v>1950.27</v>
      </c>
      <c r="AC72" s="850">
        <f t="shared" si="16"/>
        <v>1950.27</v>
      </c>
      <c r="AD72" s="851"/>
      <c r="AE72" s="852">
        <v>25590.880000000001</v>
      </c>
      <c r="AF72" s="853">
        <v>0.1</v>
      </c>
      <c r="AG72" s="854">
        <f t="shared" si="17"/>
        <v>5131670.9545717528</v>
      </c>
      <c r="AH72" s="853"/>
      <c r="AI72" s="855">
        <f t="shared" si="18"/>
        <v>0</v>
      </c>
      <c r="AJ72" s="845" t="s">
        <v>293</v>
      </c>
      <c r="AK72" s="857" t="s">
        <v>294</v>
      </c>
      <c r="AL72" s="840"/>
      <c r="AM72" s="840"/>
      <c r="AN72" s="858"/>
      <c r="AO72" s="844" t="s">
        <v>141</v>
      </c>
      <c r="AP72" s="859"/>
      <c r="AQ72" s="859" t="s">
        <v>295</v>
      </c>
      <c r="AR72" s="859"/>
      <c r="AS72" s="840"/>
      <c r="AT72" s="840"/>
      <c r="AU72" s="860"/>
      <c r="AV72" s="839" t="s">
        <v>296</v>
      </c>
      <c r="AW72" s="861">
        <v>45189</v>
      </c>
      <c r="AX72" s="862" t="s">
        <v>297</v>
      </c>
      <c r="AY72" s="843"/>
      <c r="AZ72" s="842"/>
      <c r="BA72" s="842" t="s">
        <v>120</v>
      </c>
      <c r="BB72" s="863" t="s">
        <v>121</v>
      </c>
      <c r="BC72" s="864">
        <v>45195</v>
      </c>
      <c r="BD72" s="860" t="s">
        <v>298</v>
      </c>
      <c r="BE72" s="865" cm="1">
        <f t="array" ref="BE72">IF(BD72="","",AC72/SUMPRODUCT(--(BD72=$BD$4:$BD$12824),$AC$4:$AC$12824))</f>
        <v>2.2499230805881249E-2</v>
      </c>
      <c r="BF72" s="458"/>
      <c r="BG72" s="458"/>
      <c r="BH72" s="458"/>
      <c r="BI72" s="458"/>
      <c r="BJ72" s="458"/>
      <c r="BK72" s="458"/>
      <c r="BL72" s="458"/>
      <c r="BM72" s="458"/>
      <c r="BN72" s="458"/>
      <c r="BO72" s="866">
        <f>VLOOKUP(BD72,$BD$4:$BN$12824,3,0)*BE72</f>
        <v>1358796.0460595863</v>
      </c>
      <c r="BP72" s="866"/>
      <c r="BQ72" s="866"/>
      <c r="BR72" s="866">
        <f>VLOOKUP(BD72,$BD$4:$BN$12824,6,0)*BE72</f>
        <v>92336.843227336649</v>
      </c>
      <c r="BS72" s="866">
        <f>VLOOKUP(BD72,$BD$4:$BN$12824,7,0)*BE72</f>
        <v>48787.962057935467</v>
      </c>
      <c r="BT72" s="866"/>
      <c r="BU72" s="866">
        <f>VLOOKUP(BD72,$BD$4:$BN$12824,9,0)*BE72</f>
        <v>11249.615402940624</v>
      </c>
      <c r="BV72" s="867"/>
      <c r="BW72" s="867">
        <f>VLOOKUP(BD72,$BD$4:$BN$12824,11,0)*BE72</f>
        <v>0</v>
      </c>
      <c r="BX72" s="1146">
        <f t="shared" si="13"/>
        <v>1511170.4667477992</v>
      </c>
      <c r="BY72" s="867">
        <f t="shared" si="21"/>
        <v>56551966.958919555</v>
      </c>
      <c r="BZ72" s="867">
        <f t="shared" si="19"/>
        <v>56551966.958919555</v>
      </c>
      <c r="CA72" s="867">
        <f>_xlfn.MAXIFS($BY$4:$BY$12824,$S$4:$S$12824,$S72)</f>
        <v>56551966.958919555</v>
      </c>
      <c r="CB72" s="1032"/>
      <c r="CF72" s="946">
        <f t="shared" si="20"/>
        <v>49909125.537600003</v>
      </c>
    </row>
    <row r="73" spans="1:84">
      <c r="A73" s="1032"/>
      <c r="B73" s="839" t="s">
        <v>98</v>
      </c>
      <c r="C73" s="839" t="s">
        <v>273</v>
      </c>
      <c r="D73" s="839" t="s">
        <v>290</v>
      </c>
      <c r="E73" s="839" t="s">
        <v>290</v>
      </c>
      <c r="F73" s="841">
        <v>45106</v>
      </c>
      <c r="G73" s="840" t="s">
        <v>273</v>
      </c>
      <c r="H73" s="842" t="s">
        <v>134</v>
      </c>
      <c r="I73" s="842"/>
      <c r="J73" s="841"/>
      <c r="K73" s="841"/>
      <c r="L73" s="843" t="s">
        <v>106</v>
      </c>
      <c r="M73" s="844" t="s">
        <v>275</v>
      </c>
      <c r="N73" s="841"/>
      <c r="O73" s="841" t="s">
        <v>150</v>
      </c>
      <c r="P73" s="841" t="s">
        <v>276</v>
      </c>
      <c r="Q73" s="843"/>
      <c r="R73" s="845" t="s">
        <v>345</v>
      </c>
      <c r="S73" s="1127" t="s">
        <v>345</v>
      </c>
      <c r="T73" s="843" t="s">
        <v>346</v>
      </c>
      <c r="U73" s="842">
        <v>1</v>
      </c>
      <c r="V73" s="842" t="s">
        <v>3</v>
      </c>
      <c r="W73" s="846"/>
      <c r="X73" s="847">
        <f t="shared" si="14"/>
        <v>0</v>
      </c>
      <c r="Y73" s="848"/>
      <c r="Z73" s="849">
        <v>1701.06</v>
      </c>
      <c r="AA73" s="849"/>
      <c r="AB73" s="849">
        <f t="shared" si="15"/>
        <v>1701.06</v>
      </c>
      <c r="AC73" s="850">
        <f t="shared" si="16"/>
        <v>1701.06</v>
      </c>
      <c r="AD73" s="851"/>
      <c r="AE73" s="852">
        <v>25590.880000000001</v>
      </c>
      <c r="AF73" s="853">
        <v>0.1</v>
      </c>
      <c r="AG73" s="854">
        <f t="shared" si="17"/>
        <v>4475934.2008972224</v>
      </c>
      <c r="AH73" s="853"/>
      <c r="AI73" s="855">
        <f t="shared" si="18"/>
        <v>0</v>
      </c>
      <c r="AJ73" s="845" t="s">
        <v>293</v>
      </c>
      <c r="AK73" s="857" t="s">
        <v>294</v>
      </c>
      <c r="AL73" s="840"/>
      <c r="AM73" s="840"/>
      <c r="AN73" s="858"/>
      <c r="AO73" s="844" t="s">
        <v>141</v>
      </c>
      <c r="AP73" s="859"/>
      <c r="AQ73" s="859" t="s">
        <v>295</v>
      </c>
      <c r="AR73" s="859"/>
      <c r="AS73" s="840"/>
      <c r="AT73" s="840"/>
      <c r="AU73" s="860"/>
      <c r="AV73" s="839" t="s">
        <v>296</v>
      </c>
      <c r="AW73" s="861">
        <v>45189</v>
      </c>
      <c r="AX73" s="862" t="s">
        <v>297</v>
      </c>
      <c r="AY73" s="843"/>
      <c r="AZ73" s="842"/>
      <c r="BA73" s="842" t="s">
        <v>120</v>
      </c>
      <c r="BB73" s="863" t="s">
        <v>121</v>
      </c>
      <c r="BC73" s="864">
        <v>45195</v>
      </c>
      <c r="BD73" s="860" t="s">
        <v>298</v>
      </c>
      <c r="BE73" s="865" cm="1">
        <f t="array" ref="BE73">IF(BD73="","",AC73/SUMPRODUCT(--(BD73=$BD$4:$BD$12824),$AC$4:$AC$12824))</f>
        <v>1.9624227186313872E-2</v>
      </c>
      <c r="BF73" s="458"/>
      <c r="BG73" s="458"/>
      <c r="BH73" s="458"/>
      <c r="BI73" s="458"/>
      <c r="BJ73" s="458"/>
      <c r="BK73" s="458"/>
      <c r="BL73" s="458"/>
      <c r="BM73" s="458"/>
      <c r="BN73" s="458"/>
      <c r="BO73" s="866">
        <f>VLOOKUP(BD73,$BD$4:$BN$12824,3,0)*BE73</f>
        <v>1185165.9524630536</v>
      </c>
      <c r="BP73" s="866"/>
      <c r="BQ73" s="866"/>
      <c r="BR73" s="866">
        <f>VLOOKUP(BD73,$BD$4:$BN$12824,6,0)*BE73</f>
        <v>80537.828372632124</v>
      </c>
      <c r="BS73" s="866">
        <f>VLOOKUP(BD73,$BD$4:$BN$12824,7,0)*BE73</f>
        <v>42553.723709164216</v>
      </c>
      <c r="BT73" s="866"/>
      <c r="BU73" s="866">
        <f>VLOOKUP(BD73,$BD$4:$BN$12824,9,0)*BE73</f>
        <v>9812.1135931569352</v>
      </c>
      <c r="BV73" s="867"/>
      <c r="BW73" s="867">
        <f>VLOOKUP(BD73,$BD$4:$BN$12824,11,0)*BE73</f>
        <v>0</v>
      </c>
      <c r="BX73" s="1146">
        <f t="shared" si="13"/>
        <v>1318069.6181380069</v>
      </c>
      <c r="BY73" s="867">
        <f t="shared" si="21"/>
        <v>49325626.151835233</v>
      </c>
      <c r="BZ73" s="867">
        <f t="shared" si="19"/>
        <v>49325626.151835233</v>
      </c>
      <c r="CA73" s="867">
        <f>_xlfn.MAXIFS($BY$4:$BY$12824,$S$4:$S$12824,$S73)</f>
        <v>49325626.151835233</v>
      </c>
      <c r="CB73" s="1032"/>
      <c r="CF73" s="946">
        <f t="shared" si="20"/>
        <v>43531622.332800001</v>
      </c>
    </row>
    <row r="74" spans="1:84">
      <c r="A74" s="1032"/>
      <c r="B74" s="839" t="s">
        <v>98</v>
      </c>
      <c r="C74" s="839" t="s">
        <v>273</v>
      </c>
      <c r="D74" s="839" t="s">
        <v>290</v>
      </c>
      <c r="E74" s="839" t="s">
        <v>290</v>
      </c>
      <c r="F74" s="841">
        <v>45106</v>
      </c>
      <c r="G74" s="840" t="s">
        <v>273</v>
      </c>
      <c r="H74" s="842" t="s">
        <v>134</v>
      </c>
      <c r="I74" s="842"/>
      <c r="J74" s="841"/>
      <c r="K74" s="841"/>
      <c r="L74" s="843" t="s">
        <v>106</v>
      </c>
      <c r="M74" s="844" t="s">
        <v>275</v>
      </c>
      <c r="N74" s="841"/>
      <c r="O74" s="841" t="s">
        <v>150</v>
      </c>
      <c r="P74" s="841" t="s">
        <v>276</v>
      </c>
      <c r="Q74" s="843"/>
      <c r="R74" s="845" t="s">
        <v>347</v>
      </c>
      <c r="S74" s="1127" t="s">
        <v>347</v>
      </c>
      <c r="T74" s="843" t="s">
        <v>348</v>
      </c>
      <c r="U74" s="842">
        <v>1</v>
      </c>
      <c r="V74" s="842" t="s">
        <v>3</v>
      </c>
      <c r="W74" s="846"/>
      <c r="X74" s="847">
        <f t="shared" si="14"/>
        <v>0</v>
      </c>
      <c r="Y74" s="848"/>
      <c r="Z74" s="849">
        <v>1211.0999999999999</v>
      </c>
      <c r="AA74" s="849"/>
      <c r="AB74" s="849">
        <f t="shared" si="15"/>
        <v>1211.0999999999999</v>
      </c>
      <c r="AC74" s="850">
        <f t="shared" si="16"/>
        <v>1211.0999999999999</v>
      </c>
      <c r="AD74" s="851"/>
      <c r="AE74" s="852">
        <v>25590.880000000001</v>
      </c>
      <c r="AF74" s="853">
        <v>0.1</v>
      </c>
      <c r="AG74" s="854">
        <f t="shared" si="17"/>
        <v>3186721.1683930173</v>
      </c>
      <c r="AH74" s="853"/>
      <c r="AI74" s="855">
        <f t="shared" si="18"/>
        <v>0</v>
      </c>
      <c r="AJ74" s="845" t="s">
        <v>293</v>
      </c>
      <c r="AK74" s="857" t="s">
        <v>294</v>
      </c>
      <c r="AL74" s="840"/>
      <c r="AM74" s="840"/>
      <c r="AN74" s="858"/>
      <c r="AO74" s="844" t="s">
        <v>141</v>
      </c>
      <c r="AP74" s="859"/>
      <c r="AQ74" s="859" t="s">
        <v>295</v>
      </c>
      <c r="AR74" s="859"/>
      <c r="AS74" s="840"/>
      <c r="AT74" s="840"/>
      <c r="AU74" s="860"/>
      <c r="AV74" s="839" t="s">
        <v>296</v>
      </c>
      <c r="AW74" s="861">
        <v>45189</v>
      </c>
      <c r="AX74" s="862" t="s">
        <v>297</v>
      </c>
      <c r="AY74" s="843"/>
      <c r="AZ74" s="842"/>
      <c r="BA74" s="842" t="s">
        <v>120</v>
      </c>
      <c r="BB74" s="863" t="s">
        <v>121</v>
      </c>
      <c r="BC74" s="864">
        <v>45195</v>
      </c>
      <c r="BD74" s="860" t="s">
        <v>298</v>
      </c>
      <c r="BE74" s="865" cm="1">
        <f t="array" ref="BE74">IF(BD74="","",AC74/SUMPRODUCT(--(BD74=$BD$4:$BD$12824),$AC$4:$AC$12824))</f>
        <v>1.3971818481032256E-2</v>
      </c>
      <c r="BF74" s="458"/>
      <c r="BG74" s="458"/>
      <c r="BH74" s="458"/>
      <c r="BI74" s="458"/>
      <c r="BJ74" s="458"/>
      <c r="BK74" s="458"/>
      <c r="BL74" s="458"/>
      <c r="BM74" s="458"/>
      <c r="BN74" s="458"/>
      <c r="BO74" s="866">
        <f>VLOOKUP(BD74,$BD$4:$BN$12824,3,0)*BE74</f>
        <v>843800.033524981</v>
      </c>
      <c r="BP74" s="866"/>
      <c r="BQ74" s="866"/>
      <c r="BR74" s="866">
        <f>VLOOKUP(BD74,$BD$4:$BN$12824,6,0)*BE74</f>
        <v>57340.343046156377</v>
      </c>
      <c r="BS74" s="866">
        <f>VLOOKUP(BD74,$BD$4:$BN$12824,7,0)*BE74</f>
        <v>30296.882405187815</v>
      </c>
      <c r="BT74" s="866"/>
      <c r="BU74" s="866">
        <f>VLOOKUP(BD74,$BD$4:$BN$12824,9,0)*BE74</f>
        <v>6985.9092405161282</v>
      </c>
      <c r="BV74" s="867"/>
      <c r="BW74" s="867">
        <f>VLOOKUP(BD74,$BD$4:$BN$12824,11,0)*BE74</f>
        <v>0</v>
      </c>
      <c r="BX74" s="1146">
        <f t="shared" si="13"/>
        <v>938423.1682168413</v>
      </c>
      <c r="BY74" s="867">
        <f t="shared" si="21"/>
        <v>35118259.104609855</v>
      </c>
      <c r="BZ74" s="867">
        <f t="shared" si="19"/>
        <v>35118259.104609855</v>
      </c>
      <c r="CA74" s="867">
        <f>_xlfn.MAXIFS($BY$4:$BY$12824,$S$4:$S$12824,$S74)</f>
        <v>35118259.104609855</v>
      </c>
      <c r="CB74" s="1032"/>
      <c r="CF74" s="946">
        <f t="shared" si="20"/>
        <v>30993114.767999999</v>
      </c>
    </row>
    <row r="75" spans="1:84">
      <c r="A75" s="1032"/>
      <c r="B75" s="839" t="s">
        <v>98</v>
      </c>
      <c r="C75" s="839" t="s">
        <v>273</v>
      </c>
      <c r="D75" s="839" t="s">
        <v>290</v>
      </c>
      <c r="E75" s="839" t="s">
        <v>290</v>
      </c>
      <c r="F75" s="841">
        <v>45106</v>
      </c>
      <c r="G75" s="840" t="s">
        <v>273</v>
      </c>
      <c r="H75" s="842" t="s">
        <v>134</v>
      </c>
      <c r="I75" s="842"/>
      <c r="J75" s="841"/>
      <c r="K75" s="841"/>
      <c r="L75" s="843" t="s">
        <v>106</v>
      </c>
      <c r="M75" s="844" t="s">
        <v>275</v>
      </c>
      <c r="N75" s="841"/>
      <c r="O75" s="841" t="s">
        <v>150</v>
      </c>
      <c r="P75" s="841" t="s">
        <v>276</v>
      </c>
      <c r="Q75" s="843"/>
      <c r="R75" s="845" t="s">
        <v>349</v>
      </c>
      <c r="S75" s="1127" t="s">
        <v>349</v>
      </c>
      <c r="T75" s="843" t="s">
        <v>350</v>
      </c>
      <c r="U75" s="842">
        <v>1</v>
      </c>
      <c r="V75" s="842" t="s">
        <v>3</v>
      </c>
      <c r="W75" s="846"/>
      <c r="X75" s="847">
        <f t="shared" si="14"/>
        <v>0</v>
      </c>
      <c r="Y75" s="848"/>
      <c r="Z75" s="849">
        <v>743.01</v>
      </c>
      <c r="AA75" s="849"/>
      <c r="AB75" s="849">
        <f t="shared" si="15"/>
        <v>743.01</v>
      </c>
      <c r="AC75" s="850">
        <f t="shared" si="16"/>
        <v>743.01</v>
      </c>
      <c r="AD75" s="851"/>
      <c r="AE75" s="852">
        <v>25590.880000000001</v>
      </c>
      <c r="AF75" s="853">
        <v>0.1</v>
      </c>
      <c r="AG75" s="854">
        <f t="shared" si="17"/>
        <v>1955053.8314983863</v>
      </c>
      <c r="AH75" s="853"/>
      <c r="AI75" s="855">
        <f t="shared" si="18"/>
        <v>0</v>
      </c>
      <c r="AJ75" s="845" t="s">
        <v>293</v>
      </c>
      <c r="AK75" s="857" t="s">
        <v>294</v>
      </c>
      <c r="AL75" s="840"/>
      <c r="AM75" s="840"/>
      <c r="AN75" s="858"/>
      <c r="AO75" s="844" t="s">
        <v>141</v>
      </c>
      <c r="AP75" s="859"/>
      <c r="AQ75" s="859" t="s">
        <v>295</v>
      </c>
      <c r="AR75" s="859"/>
      <c r="AS75" s="840"/>
      <c r="AT75" s="840"/>
      <c r="AU75" s="860"/>
      <c r="AV75" s="839" t="s">
        <v>296</v>
      </c>
      <c r="AW75" s="861">
        <v>45189</v>
      </c>
      <c r="AX75" s="862" t="s">
        <v>297</v>
      </c>
      <c r="AY75" s="843"/>
      <c r="AZ75" s="842"/>
      <c r="BA75" s="842" t="s">
        <v>120</v>
      </c>
      <c r="BB75" s="863" t="s">
        <v>121</v>
      </c>
      <c r="BC75" s="864">
        <v>45195</v>
      </c>
      <c r="BD75" s="860" t="s">
        <v>298</v>
      </c>
      <c r="BE75" s="865" cm="1">
        <f t="array" ref="BE75">IF(BD75="","",AC75/SUMPRODUCT(--(BD75=$BD$4:$BD$12824),$AC$4:$AC$12824))</f>
        <v>8.5717123685837473E-3</v>
      </c>
      <c r="BF75" s="458"/>
      <c r="BG75" s="458"/>
      <c r="BH75" s="458"/>
      <c r="BI75" s="458"/>
      <c r="BJ75" s="458"/>
      <c r="BK75" s="458"/>
      <c r="BL75" s="458"/>
      <c r="BM75" s="458"/>
      <c r="BN75" s="458"/>
      <c r="BO75" s="866">
        <f>VLOOKUP(BD75,$BD$4:$BN$12824,3,0)*BE75</f>
        <v>517671.42507587827</v>
      </c>
      <c r="BP75" s="866"/>
      <c r="BQ75" s="866"/>
      <c r="BR75" s="866">
        <f>VLOOKUP(BD75,$BD$4:$BN$12824,6,0)*BE75</f>
        <v>35178.307560667701</v>
      </c>
      <c r="BS75" s="866">
        <f>VLOOKUP(BD75,$BD$4:$BN$12824,7,0)*BE75</f>
        <v>18587.14110798332</v>
      </c>
      <c r="BT75" s="866"/>
      <c r="BU75" s="866">
        <f>VLOOKUP(BD75,$BD$4:$BN$12824,9,0)*BE75</f>
        <v>4285.8561842918734</v>
      </c>
      <c r="BV75" s="867"/>
      <c r="BW75" s="867">
        <f>VLOOKUP(BD75,$BD$4:$BN$12824,11,0)*BE75</f>
        <v>0</v>
      </c>
      <c r="BX75" s="1146">
        <f t="shared" si="13"/>
        <v>575722.72992882121</v>
      </c>
      <c r="BY75" s="867">
        <f t="shared" si="21"/>
        <v>21545056.310227208</v>
      </c>
      <c r="BZ75" s="867">
        <f t="shared" si="19"/>
        <v>21545056.310227208</v>
      </c>
      <c r="CA75" s="867">
        <f>_xlfn.MAXIFS($BY$4:$BY$12824,$S$4:$S$12824,$S75)</f>
        <v>21545056.310227208</v>
      </c>
      <c r="CB75" s="1032"/>
      <c r="CF75" s="946">
        <f t="shared" si="20"/>
        <v>19014279.748800002</v>
      </c>
    </row>
    <row r="76" spans="1:84">
      <c r="A76" s="1032"/>
      <c r="B76" s="839" t="s">
        <v>98</v>
      </c>
      <c r="C76" s="839" t="s">
        <v>273</v>
      </c>
      <c r="D76" s="839" t="s">
        <v>290</v>
      </c>
      <c r="E76" s="839" t="s">
        <v>290</v>
      </c>
      <c r="F76" s="841">
        <v>45106</v>
      </c>
      <c r="G76" s="840" t="s">
        <v>273</v>
      </c>
      <c r="H76" s="842" t="s">
        <v>134</v>
      </c>
      <c r="I76" s="842"/>
      <c r="J76" s="841"/>
      <c r="K76" s="841"/>
      <c r="L76" s="843" t="s">
        <v>106</v>
      </c>
      <c r="M76" s="844" t="s">
        <v>275</v>
      </c>
      <c r="N76" s="841"/>
      <c r="O76" s="841" t="s">
        <v>150</v>
      </c>
      <c r="P76" s="841" t="s">
        <v>276</v>
      </c>
      <c r="Q76" s="843"/>
      <c r="R76" s="845" t="s">
        <v>351</v>
      </c>
      <c r="S76" s="1127" t="s">
        <v>351</v>
      </c>
      <c r="T76" s="843" t="s">
        <v>352</v>
      </c>
      <c r="U76" s="842">
        <v>3</v>
      </c>
      <c r="V76" s="842" t="s">
        <v>3</v>
      </c>
      <c r="W76" s="846"/>
      <c r="X76" s="847">
        <f t="shared" si="14"/>
        <v>0</v>
      </c>
      <c r="Y76" s="848"/>
      <c r="Z76" s="849">
        <v>519.35</v>
      </c>
      <c r="AA76" s="849"/>
      <c r="AB76" s="849">
        <f t="shared" si="15"/>
        <v>1558.0500000000002</v>
      </c>
      <c r="AC76" s="850">
        <f t="shared" si="16"/>
        <v>1558.0500000000002</v>
      </c>
      <c r="AD76" s="851"/>
      <c r="AE76" s="852">
        <v>25590.880000000001</v>
      </c>
      <c r="AF76" s="853">
        <v>0.1</v>
      </c>
      <c r="AG76" s="854">
        <f t="shared" si="17"/>
        <v>4099637.4505942869</v>
      </c>
      <c r="AH76" s="853"/>
      <c r="AI76" s="855">
        <f t="shared" si="18"/>
        <v>0</v>
      </c>
      <c r="AJ76" s="845" t="s">
        <v>293</v>
      </c>
      <c r="AK76" s="857" t="s">
        <v>294</v>
      </c>
      <c r="AL76" s="840"/>
      <c r="AM76" s="840"/>
      <c r="AN76" s="858"/>
      <c r="AO76" s="844" t="s">
        <v>141</v>
      </c>
      <c r="AP76" s="859"/>
      <c r="AQ76" s="859" t="s">
        <v>295</v>
      </c>
      <c r="AR76" s="859"/>
      <c r="AS76" s="840"/>
      <c r="AT76" s="840"/>
      <c r="AU76" s="860"/>
      <c r="AV76" s="839" t="s">
        <v>296</v>
      </c>
      <c r="AW76" s="861">
        <v>45189</v>
      </c>
      <c r="AX76" s="862" t="s">
        <v>297</v>
      </c>
      <c r="AY76" s="843"/>
      <c r="AZ76" s="842"/>
      <c r="BA76" s="842" t="s">
        <v>120</v>
      </c>
      <c r="BB76" s="863" t="s">
        <v>121</v>
      </c>
      <c r="BC76" s="864">
        <v>45195</v>
      </c>
      <c r="BD76" s="860" t="s">
        <v>298</v>
      </c>
      <c r="BE76" s="865" cm="1">
        <f t="array" ref="BE76">IF(BD76="","",AC76/SUMPRODUCT(--(BD76=$BD$4:$BD$12824),$AC$4:$AC$12824))</f>
        <v>1.7974396651285866E-2</v>
      </c>
      <c r="BF76" s="458"/>
      <c r="BG76" s="458"/>
      <c r="BH76" s="458"/>
      <c r="BI76" s="458"/>
      <c r="BJ76" s="458"/>
      <c r="BK76" s="458"/>
      <c r="BL76" s="458"/>
      <c r="BM76" s="458"/>
      <c r="BN76" s="458"/>
      <c r="BO76" s="866">
        <f>VLOOKUP(BD76,$BD$4:$BN$12824,3,0)*BE76</f>
        <v>1085527.7369611072</v>
      </c>
      <c r="BP76" s="866"/>
      <c r="BQ76" s="866"/>
      <c r="BR76" s="866">
        <f>VLOOKUP(BD76,$BD$4:$BN$12824,6,0)*BE76</f>
        <v>73766.923856877198</v>
      </c>
      <c r="BS76" s="866">
        <f>VLOOKUP(BD76,$BD$4:$BN$12824,7,0)*BE76</f>
        <v>38976.184981754508</v>
      </c>
      <c r="BT76" s="866"/>
      <c r="BU76" s="866">
        <f>VLOOKUP(BD76,$BD$4:$BN$12824,9,0)*BE76</f>
        <v>8987.1983256429321</v>
      </c>
      <c r="BV76" s="867"/>
      <c r="BW76" s="867">
        <f>VLOOKUP(BD76,$BD$4:$BN$12824,11,0)*BE76</f>
        <v>0</v>
      </c>
      <c r="BX76" s="1146">
        <f t="shared" si="13"/>
        <v>1207258.0441253819</v>
      </c>
      <c r="BY76" s="867">
        <f t="shared" si="21"/>
        <v>15059588.692906559</v>
      </c>
      <c r="BZ76" s="867">
        <f t="shared" si="19"/>
        <v>45178766.078719676</v>
      </c>
      <c r="CA76" s="867">
        <f>_xlfn.MAXIFS($BY$4:$BY$12824,$S$4:$S$12824,$S76)</f>
        <v>15059588.692906559</v>
      </c>
      <c r="CB76" s="1032"/>
      <c r="CF76" s="946">
        <f t="shared" si="20"/>
        <v>39871870.584000006</v>
      </c>
    </row>
    <row r="77" spans="1:84">
      <c r="A77" s="1032"/>
      <c r="B77" s="839" t="s">
        <v>98</v>
      </c>
      <c r="C77" s="839" t="s">
        <v>273</v>
      </c>
      <c r="D77" s="839" t="s">
        <v>290</v>
      </c>
      <c r="E77" s="839" t="s">
        <v>290</v>
      </c>
      <c r="F77" s="841">
        <v>45106</v>
      </c>
      <c r="G77" s="840" t="s">
        <v>273</v>
      </c>
      <c r="H77" s="842" t="s">
        <v>134</v>
      </c>
      <c r="I77" s="842"/>
      <c r="J77" s="841"/>
      <c r="K77" s="841"/>
      <c r="L77" s="843" t="s">
        <v>106</v>
      </c>
      <c r="M77" s="844" t="s">
        <v>275</v>
      </c>
      <c r="N77" s="841"/>
      <c r="O77" s="841" t="s">
        <v>150</v>
      </c>
      <c r="P77" s="841" t="s">
        <v>276</v>
      </c>
      <c r="Q77" s="843"/>
      <c r="R77" s="845" t="s">
        <v>353</v>
      </c>
      <c r="S77" s="1127" t="s">
        <v>353</v>
      </c>
      <c r="T77" s="843" t="s">
        <v>354</v>
      </c>
      <c r="U77" s="842">
        <v>1</v>
      </c>
      <c r="V77" s="842" t="s">
        <v>3</v>
      </c>
      <c r="W77" s="846"/>
      <c r="X77" s="847">
        <f t="shared" si="14"/>
        <v>0</v>
      </c>
      <c r="Y77" s="848"/>
      <c r="Z77" s="849">
        <v>778.58</v>
      </c>
      <c r="AA77" s="849"/>
      <c r="AB77" s="849">
        <f t="shared" si="15"/>
        <v>778.58</v>
      </c>
      <c r="AC77" s="850">
        <f t="shared" si="16"/>
        <v>778.58</v>
      </c>
      <c r="AD77" s="851"/>
      <c r="AE77" s="852">
        <v>25590.880000000001</v>
      </c>
      <c r="AF77" s="853">
        <v>0.1</v>
      </c>
      <c r="AG77" s="854">
        <f t="shared" si="17"/>
        <v>2048647.8137952564</v>
      </c>
      <c r="AH77" s="853"/>
      <c r="AI77" s="855">
        <f t="shared" si="18"/>
        <v>0</v>
      </c>
      <c r="AJ77" s="845" t="s">
        <v>293</v>
      </c>
      <c r="AK77" s="857" t="s">
        <v>294</v>
      </c>
      <c r="AL77" s="840"/>
      <c r="AM77" s="840"/>
      <c r="AN77" s="858"/>
      <c r="AO77" s="844" t="s">
        <v>141</v>
      </c>
      <c r="AP77" s="859"/>
      <c r="AQ77" s="859" t="s">
        <v>295</v>
      </c>
      <c r="AR77" s="859"/>
      <c r="AS77" s="840"/>
      <c r="AT77" s="840"/>
      <c r="AU77" s="860"/>
      <c r="AV77" s="839" t="s">
        <v>296</v>
      </c>
      <c r="AW77" s="861">
        <v>45189</v>
      </c>
      <c r="AX77" s="862" t="s">
        <v>297</v>
      </c>
      <c r="AY77" s="843"/>
      <c r="AZ77" s="842"/>
      <c r="BA77" s="842" t="s">
        <v>120</v>
      </c>
      <c r="BB77" s="863" t="s">
        <v>121</v>
      </c>
      <c r="BC77" s="864">
        <v>45195</v>
      </c>
      <c r="BD77" s="860" t="s">
        <v>298</v>
      </c>
      <c r="BE77" s="865" cm="1">
        <f t="array" ref="BE77">IF(BD77="","",AC77/SUMPRODUCT(--(BD77=$BD$4:$BD$12824),$AC$4:$AC$12824))</f>
        <v>8.9820645966163775E-3</v>
      </c>
      <c r="BF77" s="458"/>
      <c r="BG77" s="458"/>
      <c r="BH77" s="458"/>
      <c r="BI77" s="458"/>
      <c r="BJ77" s="458"/>
      <c r="BK77" s="458"/>
      <c r="BL77" s="458"/>
      <c r="BM77" s="458"/>
      <c r="BN77" s="458"/>
      <c r="BO77" s="866">
        <f>VLOOKUP(BD77,$BD$4:$BN$12824,3,0)*BE77</f>
        <v>542453.8271834529</v>
      </c>
      <c r="BP77" s="866"/>
      <c r="BQ77" s="866"/>
      <c r="BR77" s="866">
        <f>VLOOKUP(BD77,$BD$4:$BN$12824,6,0)*BE77</f>
        <v>36862.393104513612</v>
      </c>
      <c r="BS77" s="866">
        <f>VLOOKUP(BD77,$BD$4:$BN$12824,7,0)*BE77</f>
        <v>19476.960369111657</v>
      </c>
      <c r="BT77" s="866"/>
      <c r="BU77" s="866">
        <f>VLOOKUP(BD77,$BD$4:$BN$12824,9,0)*BE77</f>
        <v>4491.0322983081887</v>
      </c>
      <c r="BV77" s="867"/>
      <c r="BW77" s="867">
        <f>VLOOKUP(BD77,$BD$4:$BN$12824,11,0)*BE77</f>
        <v>0</v>
      </c>
      <c r="BX77" s="1146">
        <f t="shared" si="13"/>
        <v>603284.21295538638</v>
      </c>
      <c r="BY77" s="867">
        <f t="shared" si="21"/>
        <v>22576479.377150644</v>
      </c>
      <c r="BZ77" s="867">
        <f t="shared" si="19"/>
        <v>22576479.377150644</v>
      </c>
      <c r="CA77" s="867">
        <f>_xlfn.MAXIFS($BY$4:$BY$12824,$S$4:$S$12824,$S77)</f>
        <v>22576479.377150644</v>
      </c>
      <c r="CB77" s="1032"/>
      <c r="CF77" s="946">
        <f t="shared" si="20"/>
        <v>19924547.350400001</v>
      </c>
    </row>
    <row r="78" spans="1:84">
      <c r="A78" s="1032"/>
      <c r="B78" s="839" t="s">
        <v>98</v>
      </c>
      <c r="C78" s="839" t="s">
        <v>273</v>
      </c>
      <c r="D78" s="839" t="s">
        <v>290</v>
      </c>
      <c r="E78" s="839" t="s">
        <v>290</v>
      </c>
      <c r="F78" s="841">
        <v>45106</v>
      </c>
      <c r="G78" s="840" t="s">
        <v>273</v>
      </c>
      <c r="H78" s="842" t="s">
        <v>134</v>
      </c>
      <c r="I78" s="842"/>
      <c r="J78" s="841"/>
      <c r="K78" s="841"/>
      <c r="L78" s="843" t="s">
        <v>106</v>
      </c>
      <c r="M78" s="844" t="s">
        <v>275</v>
      </c>
      <c r="N78" s="841"/>
      <c r="O78" s="841" t="s">
        <v>150</v>
      </c>
      <c r="P78" s="841" t="s">
        <v>276</v>
      </c>
      <c r="Q78" s="843"/>
      <c r="R78" s="845" t="s">
        <v>355</v>
      </c>
      <c r="S78" s="1127" t="s">
        <v>355</v>
      </c>
      <c r="T78" s="843" t="s">
        <v>356</v>
      </c>
      <c r="U78" s="842">
        <v>1</v>
      </c>
      <c r="V78" s="842" t="s">
        <v>3</v>
      </c>
      <c r="W78" s="846"/>
      <c r="X78" s="847">
        <f t="shared" si="14"/>
        <v>0</v>
      </c>
      <c r="Y78" s="848"/>
      <c r="Z78" s="849">
        <v>1112.18</v>
      </c>
      <c r="AA78" s="849"/>
      <c r="AB78" s="849">
        <f t="shared" si="15"/>
        <v>1112.18</v>
      </c>
      <c r="AC78" s="850">
        <f t="shared" si="16"/>
        <v>1112.18</v>
      </c>
      <c r="AD78" s="851"/>
      <c r="AE78" s="852">
        <v>25590.880000000001</v>
      </c>
      <c r="AF78" s="853">
        <v>0.1</v>
      </c>
      <c r="AG78" s="854">
        <f t="shared" si="17"/>
        <v>2926436.7509399275</v>
      </c>
      <c r="AH78" s="853"/>
      <c r="AI78" s="855">
        <f t="shared" si="18"/>
        <v>0</v>
      </c>
      <c r="AJ78" s="845" t="s">
        <v>293</v>
      </c>
      <c r="AK78" s="857" t="s">
        <v>294</v>
      </c>
      <c r="AL78" s="840"/>
      <c r="AM78" s="840"/>
      <c r="AN78" s="858"/>
      <c r="AO78" s="844" t="s">
        <v>141</v>
      </c>
      <c r="AP78" s="859"/>
      <c r="AQ78" s="859" t="s">
        <v>295</v>
      </c>
      <c r="AR78" s="859"/>
      <c r="AS78" s="840"/>
      <c r="AT78" s="840"/>
      <c r="AU78" s="860"/>
      <c r="AV78" s="839" t="s">
        <v>296</v>
      </c>
      <c r="AW78" s="861">
        <v>45189</v>
      </c>
      <c r="AX78" s="862" t="s">
        <v>297</v>
      </c>
      <c r="AY78" s="843"/>
      <c r="AZ78" s="842"/>
      <c r="BA78" s="842" t="s">
        <v>120</v>
      </c>
      <c r="BB78" s="863" t="s">
        <v>121</v>
      </c>
      <c r="BC78" s="864">
        <v>45195</v>
      </c>
      <c r="BD78" s="860" t="s">
        <v>298</v>
      </c>
      <c r="BE78" s="865" cm="1">
        <f t="array" ref="BE78">IF(BD78="","",AC78/SUMPRODUCT(--(BD78=$BD$4:$BD$12824),$AC$4:$AC$12824))</f>
        <v>1.2830630896073369E-2</v>
      </c>
      <c r="BF78" s="458"/>
      <c r="BG78" s="458"/>
      <c r="BH78" s="458"/>
      <c r="BI78" s="458"/>
      <c r="BJ78" s="458"/>
      <c r="BK78" s="458"/>
      <c r="BL78" s="458"/>
      <c r="BM78" s="458"/>
      <c r="BN78" s="458"/>
      <c r="BO78" s="866">
        <f>VLOOKUP(BD78,$BD$4:$BN$12824,3,0)*BE78</f>
        <v>774880.29170655902</v>
      </c>
      <c r="BP78" s="866"/>
      <c r="BQ78" s="866"/>
      <c r="BR78" s="866">
        <f>VLOOKUP(BD78,$BD$4:$BN$12824,6,0)*BE78</f>
        <v>52656.909197485104</v>
      </c>
      <c r="BS78" s="866">
        <f>VLOOKUP(BD78,$BD$4:$BN$12824,7,0)*BE78</f>
        <v>27822.299292710584</v>
      </c>
      <c r="BT78" s="866"/>
      <c r="BU78" s="866">
        <f>VLOOKUP(BD78,$BD$4:$BN$12824,9,0)*BE78</f>
        <v>6415.3154480366848</v>
      </c>
      <c r="BV78" s="867"/>
      <c r="BW78" s="867">
        <f>VLOOKUP(BD78,$BD$4:$BN$12824,11,0)*BE78</f>
        <v>0</v>
      </c>
      <c r="BX78" s="1146">
        <f t="shared" si="13"/>
        <v>861774.81564479135</v>
      </c>
      <c r="BY78" s="867">
        <f t="shared" si="21"/>
        <v>32249876.484984726</v>
      </c>
      <c r="BZ78" s="867">
        <f t="shared" si="19"/>
        <v>32249876.484984726</v>
      </c>
      <c r="CA78" s="867">
        <f>_xlfn.MAXIFS($BY$4:$BY$12824,$S$4:$S$12824,$S78)</f>
        <v>32249876.484984726</v>
      </c>
      <c r="CB78" s="1032"/>
      <c r="CF78" s="946">
        <f t="shared" si="20"/>
        <v>28461664.918400005</v>
      </c>
    </row>
    <row r="79" spans="1:84">
      <c r="A79" s="1032"/>
      <c r="B79" s="839" t="s">
        <v>98</v>
      </c>
      <c r="C79" s="839" t="s">
        <v>273</v>
      </c>
      <c r="D79" s="839" t="s">
        <v>290</v>
      </c>
      <c r="E79" s="839" t="s">
        <v>290</v>
      </c>
      <c r="F79" s="841">
        <v>45106</v>
      </c>
      <c r="G79" s="840" t="s">
        <v>273</v>
      </c>
      <c r="H79" s="842" t="s">
        <v>134</v>
      </c>
      <c r="I79" s="842"/>
      <c r="J79" s="841"/>
      <c r="K79" s="841"/>
      <c r="L79" s="843" t="s">
        <v>106</v>
      </c>
      <c r="M79" s="844" t="s">
        <v>275</v>
      </c>
      <c r="N79" s="841"/>
      <c r="O79" s="841" t="s">
        <v>150</v>
      </c>
      <c r="P79" s="841" t="s">
        <v>276</v>
      </c>
      <c r="Q79" s="843"/>
      <c r="R79" s="845" t="s">
        <v>357</v>
      </c>
      <c r="S79" s="1127" t="s">
        <v>357</v>
      </c>
      <c r="T79" s="843" t="s">
        <v>358</v>
      </c>
      <c r="U79" s="842">
        <v>1</v>
      </c>
      <c r="V79" s="842" t="s">
        <v>3</v>
      </c>
      <c r="W79" s="846"/>
      <c r="X79" s="847">
        <f t="shared" si="14"/>
        <v>0</v>
      </c>
      <c r="Y79" s="848"/>
      <c r="Z79" s="849">
        <v>297.16000000000003</v>
      </c>
      <c r="AA79" s="849"/>
      <c r="AB79" s="849">
        <f t="shared" si="15"/>
        <v>297.16000000000003</v>
      </c>
      <c r="AC79" s="850">
        <f t="shared" si="16"/>
        <v>297.16000000000003</v>
      </c>
      <c r="AD79" s="851"/>
      <c r="AE79" s="852">
        <v>25590.880000000001</v>
      </c>
      <c r="AF79" s="853">
        <v>0.1</v>
      </c>
      <c r="AG79" s="854">
        <f t="shared" si="17"/>
        <v>781905.75708006695</v>
      </c>
      <c r="AH79" s="853"/>
      <c r="AI79" s="855">
        <f t="shared" si="18"/>
        <v>0</v>
      </c>
      <c r="AJ79" s="845" t="s">
        <v>293</v>
      </c>
      <c r="AK79" s="857" t="s">
        <v>294</v>
      </c>
      <c r="AL79" s="840"/>
      <c r="AM79" s="840"/>
      <c r="AN79" s="858"/>
      <c r="AO79" s="844" t="s">
        <v>141</v>
      </c>
      <c r="AP79" s="859"/>
      <c r="AQ79" s="859" t="s">
        <v>295</v>
      </c>
      <c r="AR79" s="859"/>
      <c r="AS79" s="840"/>
      <c r="AT79" s="840"/>
      <c r="AU79" s="860"/>
      <c r="AV79" s="839" t="s">
        <v>296</v>
      </c>
      <c r="AW79" s="861">
        <v>45189</v>
      </c>
      <c r="AX79" s="862" t="s">
        <v>297</v>
      </c>
      <c r="AY79" s="843"/>
      <c r="AZ79" s="842"/>
      <c r="BA79" s="842" t="s">
        <v>120</v>
      </c>
      <c r="BB79" s="863" t="s">
        <v>121</v>
      </c>
      <c r="BC79" s="864">
        <v>45195</v>
      </c>
      <c r="BD79" s="860" t="s">
        <v>298</v>
      </c>
      <c r="BE79" s="865" cm="1">
        <f t="array" ref="BE79">IF(BD79="","",AC79/SUMPRODUCT(--(BD79=$BD$4:$BD$12824),$AC$4:$AC$12824))</f>
        <v>3.4281773427657053E-3</v>
      </c>
      <c r="BF79" s="458"/>
      <c r="BG79" s="458"/>
      <c r="BH79" s="458"/>
      <c r="BI79" s="458"/>
      <c r="BJ79" s="458"/>
      <c r="BK79" s="458"/>
      <c r="BL79" s="458"/>
      <c r="BM79" s="458"/>
      <c r="BN79" s="458"/>
      <c r="BO79" s="866">
        <f>VLOOKUP(BD79,$BD$4:$BN$12824,3,0)*BE79</f>
        <v>207037.91426164925</v>
      </c>
      <c r="BP79" s="866"/>
      <c r="BQ79" s="866"/>
      <c r="BR79" s="866">
        <f>VLOOKUP(BD79,$BD$4:$BN$12824,6,0)*BE79</f>
        <v>14069.239814710454</v>
      </c>
      <c r="BS79" s="866">
        <f>VLOOKUP(BD79,$BD$4:$BN$12824,7,0)*BE79</f>
        <v>7433.755739018753</v>
      </c>
      <c r="BT79" s="866"/>
      <c r="BU79" s="866">
        <f>VLOOKUP(BD79,$BD$4:$BN$12824,9,0)*BE79</f>
        <v>1714.0886713828527</v>
      </c>
      <c r="BV79" s="867"/>
      <c r="BW79" s="867">
        <f>VLOOKUP(BD79,$BD$4:$BN$12824,11,0)*BE79</f>
        <v>0</v>
      </c>
      <c r="BX79" s="1146">
        <f t="shared" si="13"/>
        <v>230254.99848676132</v>
      </c>
      <c r="BY79" s="867">
        <f t="shared" si="21"/>
        <v>8616746.6563668288</v>
      </c>
      <c r="BZ79" s="867">
        <f t="shared" si="19"/>
        <v>8616746.6563668288</v>
      </c>
      <c r="CA79" s="867">
        <f>_xlfn.MAXIFS($BY$4:$BY$12824,$S$4:$S$12824,$S79)</f>
        <v>8616746.6563668288</v>
      </c>
      <c r="CB79" s="1032"/>
      <c r="CF79" s="946">
        <f t="shared" si="20"/>
        <v>7604585.9008000009</v>
      </c>
    </row>
    <row r="80" spans="1:84">
      <c r="A80" s="1032"/>
      <c r="B80" s="839" t="s">
        <v>98</v>
      </c>
      <c r="C80" s="839" t="s">
        <v>273</v>
      </c>
      <c r="D80" s="839" t="s">
        <v>290</v>
      </c>
      <c r="E80" s="839" t="s">
        <v>290</v>
      </c>
      <c r="F80" s="841">
        <v>45106</v>
      </c>
      <c r="G80" s="840" t="s">
        <v>273</v>
      </c>
      <c r="H80" s="842" t="s">
        <v>134</v>
      </c>
      <c r="I80" s="842"/>
      <c r="J80" s="841"/>
      <c r="K80" s="841"/>
      <c r="L80" s="843" t="s">
        <v>106</v>
      </c>
      <c r="M80" s="844" t="s">
        <v>275</v>
      </c>
      <c r="N80" s="841"/>
      <c r="O80" s="841" t="s">
        <v>150</v>
      </c>
      <c r="P80" s="841" t="s">
        <v>276</v>
      </c>
      <c r="Q80" s="843"/>
      <c r="R80" s="845" t="s">
        <v>359</v>
      </c>
      <c r="S80" s="1127" t="s">
        <v>359</v>
      </c>
      <c r="T80" s="843" t="s">
        <v>360</v>
      </c>
      <c r="U80" s="842">
        <v>1</v>
      </c>
      <c r="V80" s="842" t="s">
        <v>3</v>
      </c>
      <c r="W80" s="846"/>
      <c r="X80" s="847">
        <f t="shared" si="14"/>
        <v>0</v>
      </c>
      <c r="Y80" s="848"/>
      <c r="Z80" s="849">
        <v>1725.8</v>
      </c>
      <c r="AA80" s="849"/>
      <c r="AB80" s="849">
        <f t="shared" si="15"/>
        <v>1725.8</v>
      </c>
      <c r="AC80" s="850">
        <f t="shared" si="16"/>
        <v>1725.8</v>
      </c>
      <c r="AD80" s="851"/>
      <c r="AE80" s="852">
        <v>25590.880000000001</v>
      </c>
      <c r="AF80" s="853">
        <v>0.1</v>
      </c>
      <c r="AG80" s="854">
        <f t="shared" si="17"/>
        <v>4541031.6178785143</v>
      </c>
      <c r="AH80" s="853"/>
      <c r="AI80" s="855">
        <f t="shared" si="18"/>
        <v>0</v>
      </c>
      <c r="AJ80" s="845" t="s">
        <v>293</v>
      </c>
      <c r="AK80" s="857" t="s">
        <v>294</v>
      </c>
      <c r="AL80" s="840"/>
      <c r="AM80" s="840"/>
      <c r="AN80" s="858"/>
      <c r="AO80" s="844" t="s">
        <v>141</v>
      </c>
      <c r="AP80" s="859"/>
      <c r="AQ80" s="859" t="s">
        <v>295</v>
      </c>
      <c r="AR80" s="859"/>
      <c r="AS80" s="840"/>
      <c r="AT80" s="840"/>
      <c r="AU80" s="860"/>
      <c r="AV80" s="839" t="s">
        <v>296</v>
      </c>
      <c r="AW80" s="861">
        <v>45189</v>
      </c>
      <c r="AX80" s="862" t="s">
        <v>297</v>
      </c>
      <c r="AY80" s="843"/>
      <c r="AZ80" s="842"/>
      <c r="BA80" s="842" t="s">
        <v>120</v>
      </c>
      <c r="BB80" s="863" t="s">
        <v>121</v>
      </c>
      <c r="BC80" s="864">
        <v>45195</v>
      </c>
      <c r="BD80" s="860" t="s">
        <v>298</v>
      </c>
      <c r="BE80" s="865" cm="1">
        <f t="array" ref="BE80">IF(BD80="","",AC80/SUMPRODUCT(--(BD80=$BD$4:$BD$12824),$AC$4:$AC$12824))</f>
        <v>1.990963944725082E-2</v>
      </c>
      <c r="BF80" s="458"/>
      <c r="BG80" s="458"/>
      <c r="BH80" s="458"/>
      <c r="BI80" s="458"/>
      <c r="BJ80" s="458"/>
      <c r="BK80" s="458"/>
      <c r="BL80" s="458"/>
      <c r="BM80" s="458"/>
      <c r="BN80" s="458"/>
      <c r="BO80" s="866">
        <f>VLOOKUP(BD80,$BD$4:$BN$12824,3,0)*BE80</f>
        <v>1202402.8551378187</v>
      </c>
      <c r="BP80" s="866"/>
      <c r="BQ80" s="866"/>
      <c r="BR80" s="866">
        <f>VLOOKUP(BD80,$BD$4:$BN$12824,6,0)*BE80</f>
        <v>81709.160291517357</v>
      </c>
      <c r="BS80" s="866">
        <f>VLOOKUP(BD80,$BD$4:$BN$12824,7,0)*BE80</f>
        <v>43172.619647323198</v>
      </c>
      <c r="BT80" s="866"/>
      <c r="BU80" s="866">
        <f>VLOOKUP(BD80,$BD$4:$BN$12824,9,0)*BE80</f>
        <v>9954.8197236254091</v>
      </c>
      <c r="BV80" s="867"/>
      <c r="BW80" s="867">
        <f>VLOOKUP(BD80,$BD$4:$BN$12824,11,0)*BE80</f>
        <v>0</v>
      </c>
      <c r="BX80" s="1146">
        <f t="shared" si="13"/>
        <v>1337239.4548002847</v>
      </c>
      <c r="BY80" s="867">
        <f t="shared" si="21"/>
        <v>50043011.776678801</v>
      </c>
      <c r="BZ80" s="867">
        <f t="shared" si="19"/>
        <v>50043011.776678801</v>
      </c>
      <c r="CA80" s="867">
        <f>_xlfn.MAXIFS($BY$4:$BY$12824,$S$4:$S$12824,$S80)</f>
        <v>50043011.776678801</v>
      </c>
      <c r="CB80" s="1032"/>
      <c r="CF80" s="946">
        <f t="shared" si="20"/>
        <v>44164740.704000004</v>
      </c>
    </row>
    <row r="81" spans="1:84">
      <c r="A81" s="1032"/>
      <c r="B81" s="839" t="s">
        <v>98</v>
      </c>
      <c r="C81" s="839" t="s">
        <v>273</v>
      </c>
      <c r="D81" s="839" t="s">
        <v>290</v>
      </c>
      <c r="E81" s="839" t="s">
        <v>290</v>
      </c>
      <c r="F81" s="841">
        <v>45106</v>
      </c>
      <c r="G81" s="840" t="s">
        <v>273</v>
      </c>
      <c r="H81" s="842" t="s">
        <v>134</v>
      </c>
      <c r="I81" s="842"/>
      <c r="J81" s="841"/>
      <c r="K81" s="841"/>
      <c r="L81" s="843" t="s">
        <v>106</v>
      </c>
      <c r="M81" s="844" t="s">
        <v>275</v>
      </c>
      <c r="N81" s="841"/>
      <c r="O81" s="841" t="s">
        <v>150</v>
      </c>
      <c r="P81" s="841" t="s">
        <v>276</v>
      </c>
      <c r="Q81" s="843"/>
      <c r="R81" s="845" t="s">
        <v>361</v>
      </c>
      <c r="S81" s="1127" t="s">
        <v>361</v>
      </c>
      <c r="T81" s="843" t="s">
        <v>362</v>
      </c>
      <c r="U81" s="842">
        <v>1</v>
      </c>
      <c r="V81" s="842" t="s">
        <v>3</v>
      </c>
      <c r="W81" s="846"/>
      <c r="X81" s="847">
        <f t="shared" si="14"/>
        <v>0</v>
      </c>
      <c r="Y81" s="848"/>
      <c r="Z81" s="849">
        <v>272.06</v>
      </c>
      <c r="AA81" s="849"/>
      <c r="AB81" s="849">
        <f t="shared" si="15"/>
        <v>272.06</v>
      </c>
      <c r="AC81" s="850">
        <f t="shared" si="16"/>
        <v>272.06</v>
      </c>
      <c r="AD81" s="851"/>
      <c r="AE81" s="852">
        <v>25590.880000000001</v>
      </c>
      <c r="AF81" s="853">
        <v>0.1</v>
      </c>
      <c r="AG81" s="854">
        <f t="shared" si="17"/>
        <v>715861.08585005719</v>
      </c>
      <c r="AH81" s="853"/>
      <c r="AI81" s="855">
        <f t="shared" si="18"/>
        <v>0</v>
      </c>
      <c r="AJ81" s="845" t="s">
        <v>293</v>
      </c>
      <c r="AK81" s="857" t="s">
        <v>294</v>
      </c>
      <c r="AL81" s="840"/>
      <c r="AM81" s="840"/>
      <c r="AN81" s="858"/>
      <c r="AO81" s="844" t="s">
        <v>141</v>
      </c>
      <c r="AP81" s="859"/>
      <c r="AQ81" s="859" t="s">
        <v>295</v>
      </c>
      <c r="AR81" s="859"/>
      <c r="AS81" s="840"/>
      <c r="AT81" s="840"/>
      <c r="AU81" s="860"/>
      <c r="AV81" s="839" t="s">
        <v>296</v>
      </c>
      <c r="AW81" s="861">
        <v>45189</v>
      </c>
      <c r="AX81" s="862" t="s">
        <v>297</v>
      </c>
      <c r="AY81" s="843"/>
      <c r="AZ81" s="842"/>
      <c r="BA81" s="842" t="s">
        <v>120</v>
      </c>
      <c r="BB81" s="863" t="s">
        <v>121</v>
      </c>
      <c r="BC81" s="864">
        <v>45195</v>
      </c>
      <c r="BD81" s="860" t="s">
        <v>298</v>
      </c>
      <c r="BE81" s="865" cm="1">
        <f t="array" ref="BE81">IF(BD81="","",AC81/SUMPRODUCT(--(BD81=$BD$4:$BD$12824),$AC$4:$AC$12824))</f>
        <v>3.1386119527286233E-3</v>
      </c>
      <c r="BF81" s="458"/>
      <c r="BG81" s="458"/>
      <c r="BH81" s="458"/>
      <c r="BI81" s="458"/>
      <c r="BJ81" s="458"/>
      <c r="BK81" s="458"/>
      <c r="BL81" s="458"/>
      <c r="BM81" s="458"/>
      <c r="BN81" s="458"/>
      <c r="BO81" s="866">
        <f>VLOOKUP(BD81,$BD$4:$BN$12824,3,0)*BE81</f>
        <v>189550.19166113975</v>
      </c>
      <c r="BP81" s="866"/>
      <c r="BQ81" s="866"/>
      <c r="BR81" s="866">
        <f>VLOOKUP(BD81,$BD$4:$BN$12824,6,0)*BE81</f>
        <v>12880.86345399827</v>
      </c>
      <c r="BS81" s="866">
        <f>VLOOKUP(BD81,$BD$4:$BN$12824,7,0)*BE81</f>
        <v>6805.8540394314232</v>
      </c>
      <c r="BT81" s="866"/>
      <c r="BU81" s="866">
        <f>VLOOKUP(BD81,$BD$4:$BN$12824,9,0)*BE81</f>
        <v>1569.3059763643116</v>
      </c>
      <c r="BV81" s="867"/>
      <c r="BW81" s="867">
        <f>VLOOKUP(BD81,$BD$4:$BN$12824,11,0)*BE81</f>
        <v>0</v>
      </c>
      <c r="BX81" s="1146">
        <f t="shared" si="13"/>
        <v>210806.21513093376</v>
      </c>
      <c r="BY81" s="867">
        <f t="shared" si="21"/>
        <v>7888922.1137809912</v>
      </c>
      <c r="BZ81" s="867">
        <f t="shared" si="19"/>
        <v>7888922.1137809912</v>
      </c>
      <c r="CA81" s="867">
        <f>_xlfn.MAXIFS($BY$4:$BY$12824,$S$4:$S$12824,$S81)</f>
        <v>7888922.1137809912</v>
      </c>
      <c r="CB81" s="1032"/>
      <c r="CF81" s="946">
        <f t="shared" si="20"/>
        <v>6962254.8128000004</v>
      </c>
    </row>
    <row r="82" spans="1:84">
      <c r="A82" s="1032"/>
      <c r="B82" s="839" t="s">
        <v>98</v>
      </c>
      <c r="C82" s="839" t="s">
        <v>273</v>
      </c>
      <c r="D82" s="839" t="s">
        <v>290</v>
      </c>
      <c r="E82" s="839" t="s">
        <v>290</v>
      </c>
      <c r="F82" s="841">
        <v>45106</v>
      </c>
      <c r="G82" s="840" t="s">
        <v>273</v>
      </c>
      <c r="H82" s="842" t="s">
        <v>134</v>
      </c>
      <c r="I82" s="842"/>
      <c r="J82" s="841"/>
      <c r="K82" s="841"/>
      <c r="L82" s="843" t="s">
        <v>106</v>
      </c>
      <c r="M82" s="844" t="s">
        <v>275</v>
      </c>
      <c r="N82" s="841"/>
      <c r="O82" s="841" t="s">
        <v>150</v>
      </c>
      <c r="P82" s="841" t="s">
        <v>276</v>
      </c>
      <c r="Q82" s="843"/>
      <c r="R82" s="845" t="s">
        <v>363</v>
      </c>
      <c r="S82" s="1127" t="s">
        <v>363</v>
      </c>
      <c r="T82" s="843" t="s">
        <v>364</v>
      </c>
      <c r="U82" s="842">
        <v>1</v>
      </c>
      <c r="V82" s="842" t="s">
        <v>3</v>
      </c>
      <c r="W82" s="846"/>
      <c r="X82" s="847">
        <f t="shared" si="14"/>
        <v>0</v>
      </c>
      <c r="Y82" s="848"/>
      <c r="Z82" s="849">
        <v>254.88</v>
      </c>
      <c r="AA82" s="849"/>
      <c r="AB82" s="849">
        <f t="shared" si="15"/>
        <v>254.88</v>
      </c>
      <c r="AC82" s="850">
        <f t="shared" si="16"/>
        <v>254.88</v>
      </c>
      <c r="AD82" s="851"/>
      <c r="AE82" s="852">
        <v>25590.880000000001</v>
      </c>
      <c r="AF82" s="853">
        <v>0.1</v>
      </c>
      <c r="AG82" s="854">
        <f t="shared" si="17"/>
        <v>670656.00809182739</v>
      </c>
      <c r="AH82" s="853"/>
      <c r="AI82" s="855">
        <f t="shared" si="18"/>
        <v>0</v>
      </c>
      <c r="AJ82" s="845" t="s">
        <v>293</v>
      </c>
      <c r="AK82" s="857" t="s">
        <v>294</v>
      </c>
      <c r="AL82" s="840"/>
      <c r="AM82" s="840"/>
      <c r="AN82" s="858"/>
      <c r="AO82" s="844" t="s">
        <v>141</v>
      </c>
      <c r="AP82" s="859"/>
      <c r="AQ82" s="859" t="s">
        <v>295</v>
      </c>
      <c r="AR82" s="859"/>
      <c r="AS82" s="840"/>
      <c r="AT82" s="840"/>
      <c r="AU82" s="860"/>
      <c r="AV82" s="839" t="s">
        <v>296</v>
      </c>
      <c r="AW82" s="861">
        <v>45189</v>
      </c>
      <c r="AX82" s="862" t="s">
        <v>297</v>
      </c>
      <c r="AY82" s="843"/>
      <c r="AZ82" s="842"/>
      <c r="BA82" s="842" t="s">
        <v>120</v>
      </c>
      <c r="BB82" s="863" t="s">
        <v>121</v>
      </c>
      <c r="BC82" s="864">
        <v>45195</v>
      </c>
      <c r="BD82" s="860" t="s">
        <v>298</v>
      </c>
      <c r="BE82" s="865" cm="1">
        <f t="array" ref="BE82">IF(BD82="","",AC82/SUMPRODUCT(--(BD82=$BD$4:$BD$12824),$AC$4:$AC$12824))</f>
        <v>2.9404154028944774E-3</v>
      </c>
      <c r="BF82" s="458"/>
      <c r="BG82" s="458"/>
      <c r="BH82" s="458"/>
      <c r="BI82" s="458"/>
      <c r="BJ82" s="458"/>
      <c r="BK82" s="458"/>
      <c r="BL82" s="458"/>
      <c r="BM82" s="458"/>
      <c r="BN82" s="458"/>
      <c r="BO82" s="866">
        <f>VLOOKUP(BD82,$BD$4:$BN$12824,3,0)*BE82</f>
        <v>177580.50742700617</v>
      </c>
      <c r="BP82" s="866"/>
      <c r="BQ82" s="866"/>
      <c r="BR82" s="866">
        <f>VLOOKUP(BD82,$BD$4:$BN$12824,6,0)*BE82</f>
        <v>12067.464813478935</v>
      </c>
      <c r="BS82" s="866">
        <f>VLOOKUP(BD82,$BD$4:$BN$12824,7,0)*BE82</f>
        <v>6376.0790912676657</v>
      </c>
      <c r="BT82" s="866"/>
      <c r="BU82" s="866">
        <f>VLOOKUP(BD82,$BD$4:$BN$12824,9,0)*BE82</f>
        <v>1470.2077014472386</v>
      </c>
      <c r="BV82" s="867"/>
      <c r="BW82" s="867">
        <f>VLOOKUP(BD82,$BD$4:$BN$12824,11,0)*BE82</f>
        <v>0</v>
      </c>
      <c r="BX82" s="1146">
        <f t="shared" si="13"/>
        <v>197494.25903320001</v>
      </c>
      <c r="BY82" s="867">
        <f t="shared" si="21"/>
        <v>7390753.7615250284</v>
      </c>
      <c r="BZ82" s="867">
        <f t="shared" si="19"/>
        <v>7390753.7615250284</v>
      </c>
      <c r="CA82" s="867">
        <f>_xlfn.MAXIFS($BY$4:$BY$12824,$S$4:$S$12824,$S82)</f>
        <v>8623938.5336315539</v>
      </c>
      <c r="CB82" s="1032"/>
      <c r="CF82" s="946">
        <f t="shared" si="20"/>
        <v>6522603.4944000002</v>
      </c>
    </row>
    <row r="83" spans="1:84">
      <c r="A83" s="1032"/>
      <c r="B83" s="839" t="s">
        <v>98</v>
      </c>
      <c r="C83" s="839" t="s">
        <v>273</v>
      </c>
      <c r="D83" s="839" t="s">
        <v>290</v>
      </c>
      <c r="E83" s="839" t="s">
        <v>290</v>
      </c>
      <c r="F83" s="841">
        <v>45106</v>
      </c>
      <c r="G83" s="840" t="s">
        <v>273</v>
      </c>
      <c r="H83" s="842" t="s">
        <v>134</v>
      </c>
      <c r="I83" s="842"/>
      <c r="J83" s="841"/>
      <c r="K83" s="841"/>
      <c r="L83" s="843" t="s">
        <v>106</v>
      </c>
      <c r="M83" s="844" t="s">
        <v>275</v>
      </c>
      <c r="N83" s="841"/>
      <c r="O83" s="841" t="s">
        <v>150</v>
      </c>
      <c r="P83" s="841" t="s">
        <v>276</v>
      </c>
      <c r="Q83" s="843"/>
      <c r="R83" s="845" t="s">
        <v>365</v>
      </c>
      <c r="S83" s="1127" t="s">
        <v>365</v>
      </c>
      <c r="T83" s="843" t="s">
        <v>366</v>
      </c>
      <c r="U83" s="842">
        <v>1</v>
      </c>
      <c r="V83" s="842" t="s">
        <v>3</v>
      </c>
      <c r="W83" s="846"/>
      <c r="X83" s="847">
        <f t="shared" si="14"/>
        <v>0</v>
      </c>
      <c r="Y83" s="848"/>
      <c r="Z83" s="849">
        <v>641.48</v>
      </c>
      <c r="AA83" s="849"/>
      <c r="AB83" s="849">
        <f t="shared" si="15"/>
        <v>641.48</v>
      </c>
      <c r="AC83" s="850">
        <f t="shared" si="16"/>
        <v>641.48</v>
      </c>
      <c r="AD83" s="851"/>
      <c r="AE83" s="852">
        <v>25590.880000000001</v>
      </c>
      <c r="AF83" s="853">
        <v>0.1</v>
      </c>
      <c r="AG83" s="854">
        <f t="shared" si="17"/>
        <v>1687901.8207420965</v>
      </c>
      <c r="AH83" s="853"/>
      <c r="AI83" s="855">
        <f t="shared" si="18"/>
        <v>0</v>
      </c>
      <c r="AJ83" s="845" t="s">
        <v>293</v>
      </c>
      <c r="AK83" s="857" t="s">
        <v>294</v>
      </c>
      <c r="AL83" s="840"/>
      <c r="AM83" s="840"/>
      <c r="AN83" s="858"/>
      <c r="AO83" s="844" t="s">
        <v>141</v>
      </c>
      <c r="AP83" s="859"/>
      <c r="AQ83" s="859" t="s">
        <v>295</v>
      </c>
      <c r="AR83" s="859"/>
      <c r="AS83" s="840"/>
      <c r="AT83" s="840"/>
      <c r="AU83" s="860"/>
      <c r="AV83" s="839" t="s">
        <v>296</v>
      </c>
      <c r="AW83" s="861">
        <v>45189</v>
      </c>
      <c r="AX83" s="862" t="s">
        <v>297</v>
      </c>
      <c r="AY83" s="843"/>
      <c r="AZ83" s="842"/>
      <c r="BA83" s="842" t="s">
        <v>120</v>
      </c>
      <c r="BB83" s="863" t="s">
        <v>121</v>
      </c>
      <c r="BC83" s="864">
        <v>45195</v>
      </c>
      <c r="BD83" s="860" t="s">
        <v>298</v>
      </c>
      <c r="BE83" s="865" cm="1">
        <f t="array" ref="BE83">IF(BD83="","",AC83/SUMPRODUCT(--(BD83=$BD$4:$BD$12824),$AC$4:$AC$12824))</f>
        <v>7.4004145976488914E-3</v>
      </c>
      <c r="BF83" s="458"/>
      <c r="BG83" s="458"/>
      <c r="BH83" s="458"/>
      <c r="BI83" s="458"/>
      <c r="BJ83" s="458"/>
      <c r="BK83" s="458"/>
      <c r="BL83" s="458"/>
      <c r="BM83" s="458"/>
      <c r="BN83" s="458"/>
      <c r="BO83" s="866">
        <f>VLOOKUP(BD83,$BD$4:$BN$12824,3,0)*BE83</f>
        <v>446933.23879580951</v>
      </c>
      <c r="BP83" s="866"/>
      <c r="BQ83" s="866"/>
      <c r="BR83" s="866">
        <f>VLOOKUP(BD83,$BD$4:$BN$12824,6,0)*BE83</f>
        <v>30371.30150875105</v>
      </c>
      <c r="BS83" s="866">
        <f>VLOOKUP(BD83,$BD$4:$BN$12824,7,0)*BE83</f>
        <v>16047.26622515059</v>
      </c>
      <c r="BT83" s="866"/>
      <c r="BU83" s="866">
        <f>VLOOKUP(BD83,$BD$4:$BN$12824,9,0)*BE83</f>
        <v>3700.2072988244458</v>
      </c>
      <c r="BV83" s="867"/>
      <c r="BW83" s="867">
        <f>VLOOKUP(BD83,$BD$4:$BN$12824,11,0)*BE83</f>
        <v>0</v>
      </c>
      <c r="BX83" s="1146">
        <f t="shared" si="13"/>
        <v>497052.01382853562</v>
      </c>
      <c r="BY83" s="867">
        <f t="shared" si="21"/>
        <v>18600991.53697063</v>
      </c>
      <c r="BZ83" s="867">
        <f t="shared" si="19"/>
        <v>18600991.53697063</v>
      </c>
      <c r="CA83" s="867">
        <f>_xlfn.MAXIFS($BY$4:$BY$12824,$S$4:$S$12824,$S83)</f>
        <v>18600991.53697063</v>
      </c>
      <c r="CB83" s="1032"/>
      <c r="CF83" s="946">
        <f t="shared" si="20"/>
        <v>16416037.702400001</v>
      </c>
    </row>
    <row r="84" spans="1:84">
      <c r="A84" s="1032"/>
      <c r="B84" s="839" t="s">
        <v>98</v>
      </c>
      <c r="C84" s="839" t="s">
        <v>273</v>
      </c>
      <c r="D84" s="839" t="s">
        <v>290</v>
      </c>
      <c r="E84" s="839" t="s">
        <v>290</v>
      </c>
      <c r="F84" s="841">
        <v>45106</v>
      </c>
      <c r="G84" s="840" t="s">
        <v>273</v>
      </c>
      <c r="H84" s="842" t="s">
        <v>134</v>
      </c>
      <c r="I84" s="842"/>
      <c r="J84" s="841"/>
      <c r="K84" s="841"/>
      <c r="L84" s="843" t="s">
        <v>106</v>
      </c>
      <c r="M84" s="844" t="s">
        <v>275</v>
      </c>
      <c r="N84" s="841"/>
      <c r="O84" s="841" t="s">
        <v>150</v>
      </c>
      <c r="P84" s="841" t="s">
        <v>276</v>
      </c>
      <c r="Q84" s="843"/>
      <c r="R84" s="845" t="s">
        <v>367</v>
      </c>
      <c r="S84" s="1127" t="s">
        <v>367</v>
      </c>
      <c r="T84" s="843" t="s">
        <v>368</v>
      </c>
      <c r="U84" s="842">
        <v>1</v>
      </c>
      <c r="V84" s="842" t="s">
        <v>3</v>
      </c>
      <c r="W84" s="846"/>
      <c r="X84" s="847">
        <f t="shared" si="14"/>
        <v>0</v>
      </c>
      <c r="Y84" s="848"/>
      <c r="Z84" s="849">
        <v>841.4</v>
      </c>
      <c r="AA84" s="849"/>
      <c r="AB84" s="849">
        <f t="shared" si="15"/>
        <v>841.4</v>
      </c>
      <c r="AC84" s="850">
        <f t="shared" si="16"/>
        <v>841.4</v>
      </c>
      <c r="AD84" s="851"/>
      <c r="AE84" s="852">
        <v>25590.880000000001</v>
      </c>
      <c r="AF84" s="853">
        <v>0.1</v>
      </c>
      <c r="AG84" s="854">
        <f t="shared" si="17"/>
        <v>2213943.6801964203</v>
      </c>
      <c r="AH84" s="853"/>
      <c r="AI84" s="855">
        <f t="shared" si="18"/>
        <v>0</v>
      </c>
      <c r="AJ84" s="845" t="s">
        <v>293</v>
      </c>
      <c r="AK84" s="857" t="s">
        <v>294</v>
      </c>
      <c r="AL84" s="840"/>
      <c r="AM84" s="840"/>
      <c r="AN84" s="858"/>
      <c r="AO84" s="844" t="s">
        <v>141</v>
      </c>
      <c r="AP84" s="859"/>
      <c r="AQ84" s="859" t="s">
        <v>295</v>
      </c>
      <c r="AR84" s="859"/>
      <c r="AS84" s="840"/>
      <c r="AT84" s="840"/>
      <c r="AU84" s="860"/>
      <c r="AV84" s="839" t="s">
        <v>296</v>
      </c>
      <c r="AW84" s="861">
        <v>45189</v>
      </c>
      <c r="AX84" s="862" t="s">
        <v>297</v>
      </c>
      <c r="AY84" s="843"/>
      <c r="AZ84" s="842"/>
      <c r="BA84" s="842" t="s">
        <v>120</v>
      </c>
      <c r="BB84" s="863" t="s">
        <v>121</v>
      </c>
      <c r="BC84" s="864">
        <v>45195</v>
      </c>
      <c r="BD84" s="860" t="s">
        <v>298</v>
      </c>
      <c r="BE84" s="865" cm="1">
        <f t="array" ref="BE84">IF(BD84="","",AC84/SUMPRODUCT(--(BD84=$BD$4:$BD$12824),$AC$4:$AC$12824))</f>
        <v>9.7067856245896637E-3</v>
      </c>
      <c r="BF84" s="458"/>
      <c r="BG84" s="458"/>
      <c r="BH84" s="458"/>
      <c r="BI84" s="458"/>
      <c r="BJ84" s="458"/>
      <c r="BK84" s="458"/>
      <c r="BL84" s="458"/>
      <c r="BM84" s="458"/>
      <c r="BN84" s="458"/>
      <c r="BO84" s="866">
        <f>VLOOKUP(BD84,$BD$4:$BN$12824,3,0)*BE84</f>
        <v>586221.90422584361</v>
      </c>
      <c r="BP84" s="866"/>
      <c r="BQ84" s="866"/>
      <c r="BR84" s="866">
        <f>VLOOKUP(BD84,$BD$4:$BN$12824,6,0)*BE84</f>
        <v>39836.648203315977</v>
      </c>
      <c r="BS84" s="866">
        <f>VLOOKUP(BD84,$BD$4:$BN$12824,7,0)*BE84</f>
        <v>21048.465738357714</v>
      </c>
      <c r="BT84" s="866"/>
      <c r="BU84" s="866">
        <f>VLOOKUP(BD84,$BD$4:$BN$12824,9,0)*BE84</f>
        <v>4853.3928122948319</v>
      </c>
      <c r="BV84" s="867"/>
      <c r="BW84" s="867">
        <f>VLOOKUP(BD84,$BD$4:$BN$12824,11,0)*BE84</f>
        <v>0</v>
      </c>
      <c r="BX84" s="1146">
        <f t="shared" si="13"/>
        <v>651960.41097981227</v>
      </c>
      <c r="BY84" s="867">
        <f t="shared" si="21"/>
        <v>24398070.52317623</v>
      </c>
      <c r="BZ84" s="867">
        <f t="shared" si="19"/>
        <v>24398070.52317623</v>
      </c>
      <c r="CA84" s="867">
        <f>_xlfn.MAXIFS($BY$4:$BY$12824,$S$4:$S$12824,$S84)</f>
        <v>24398070.52317623</v>
      </c>
      <c r="CB84" s="1032"/>
      <c r="CF84" s="946">
        <f t="shared" si="20"/>
        <v>21532166.432</v>
      </c>
    </row>
    <row r="85" spans="1:84">
      <c r="A85" s="1032"/>
      <c r="B85" s="839" t="s">
        <v>98</v>
      </c>
      <c r="C85" s="839" t="s">
        <v>273</v>
      </c>
      <c r="D85" s="839" t="s">
        <v>290</v>
      </c>
      <c r="E85" s="839" t="s">
        <v>290</v>
      </c>
      <c r="F85" s="841">
        <v>45106</v>
      </c>
      <c r="G85" s="840" t="s">
        <v>273</v>
      </c>
      <c r="H85" s="842" t="s">
        <v>134</v>
      </c>
      <c r="I85" s="842"/>
      <c r="J85" s="841"/>
      <c r="K85" s="841"/>
      <c r="L85" s="843" t="s">
        <v>106</v>
      </c>
      <c r="M85" s="844" t="s">
        <v>275</v>
      </c>
      <c r="N85" s="841"/>
      <c r="O85" s="841" t="s">
        <v>150</v>
      </c>
      <c r="P85" s="841" t="s">
        <v>276</v>
      </c>
      <c r="Q85" s="843"/>
      <c r="R85" s="845" t="s">
        <v>369</v>
      </c>
      <c r="S85" s="1127" t="s">
        <v>369</v>
      </c>
      <c r="T85" s="843" t="s">
        <v>370</v>
      </c>
      <c r="U85" s="842">
        <v>1</v>
      </c>
      <c r="V85" s="842" t="s">
        <v>3</v>
      </c>
      <c r="W85" s="846"/>
      <c r="X85" s="847">
        <f t="shared" si="14"/>
        <v>0</v>
      </c>
      <c r="Y85" s="848"/>
      <c r="Z85" s="849">
        <v>1929.7</v>
      </c>
      <c r="AA85" s="849"/>
      <c r="AB85" s="849">
        <f t="shared" si="15"/>
        <v>1929.7</v>
      </c>
      <c r="AC85" s="850">
        <f t="shared" si="16"/>
        <v>1929.7</v>
      </c>
      <c r="AD85" s="851"/>
      <c r="AE85" s="852">
        <v>25590.880000000001</v>
      </c>
      <c r="AF85" s="853">
        <v>0.1</v>
      </c>
      <c r="AG85" s="854">
        <f t="shared" si="17"/>
        <v>5077545.899304769</v>
      </c>
      <c r="AH85" s="853"/>
      <c r="AI85" s="855">
        <f t="shared" si="18"/>
        <v>0</v>
      </c>
      <c r="AJ85" s="845" t="s">
        <v>293</v>
      </c>
      <c r="AK85" s="857" t="s">
        <v>294</v>
      </c>
      <c r="AL85" s="840"/>
      <c r="AM85" s="840"/>
      <c r="AN85" s="858"/>
      <c r="AO85" s="844" t="s">
        <v>141</v>
      </c>
      <c r="AP85" s="859"/>
      <c r="AQ85" s="859" t="s">
        <v>295</v>
      </c>
      <c r="AR85" s="859"/>
      <c r="AS85" s="840"/>
      <c r="AT85" s="840"/>
      <c r="AU85" s="860"/>
      <c r="AV85" s="839" t="s">
        <v>296</v>
      </c>
      <c r="AW85" s="861">
        <v>45189</v>
      </c>
      <c r="AX85" s="862" t="s">
        <v>297</v>
      </c>
      <c r="AY85" s="843"/>
      <c r="AZ85" s="842"/>
      <c r="BA85" s="842" t="s">
        <v>120</v>
      </c>
      <c r="BB85" s="863" t="s">
        <v>121</v>
      </c>
      <c r="BC85" s="864">
        <v>45195</v>
      </c>
      <c r="BD85" s="860" t="s">
        <v>298</v>
      </c>
      <c r="BE85" s="865" cm="1">
        <f t="array" ref="BE85">IF(BD85="","",AC85/SUMPRODUCT(--(BD85=$BD$4:$BD$12824),$AC$4:$AC$12824))</f>
        <v>2.2261925623687513E-2</v>
      </c>
      <c r="BF85" s="458"/>
      <c r="BG85" s="458"/>
      <c r="BH85" s="458"/>
      <c r="BI85" s="458"/>
      <c r="BJ85" s="458"/>
      <c r="BK85" s="458"/>
      <c r="BL85" s="458"/>
      <c r="BM85" s="458"/>
      <c r="BN85" s="458"/>
      <c r="BO85" s="866">
        <f>VLOOKUP(BD85,$BD$4:$BN$12824,3,0)*BE85</f>
        <v>1344464.4741913599</v>
      </c>
      <c r="BP85" s="866"/>
      <c r="BQ85" s="866"/>
      <c r="BR85" s="866">
        <f>VLOOKUP(BD85,$BD$4:$BN$12824,6,0)*BE85</f>
        <v>91362.94275961355</v>
      </c>
      <c r="BS85" s="866">
        <f>VLOOKUP(BD85,$BD$4:$BN$12824,7,0)*BE85</f>
        <v>48273.38285632147</v>
      </c>
      <c r="BT85" s="866"/>
      <c r="BU85" s="866">
        <f>VLOOKUP(BD85,$BD$4:$BN$12824,9,0)*BE85</f>
        <v>11130.962811843756</v>
      </c>
      <c r="BV85" s="867"/>
      <c r="BW85" s="867">
        <f>VLOOKUP(BD85,$BD$4:$BN$12824,11,0)*BE85</f>
        <v>0</v>
      </c>
      <c r="BX85" s="1146">
        <f t="shared" si="13"/>
        <v>1495231.7626191387</v>
      </c>
      <c r="BY85" s="867">
        <f t="shared" si="21"/>
        <v>55955498.797923908</v>
      </c>
      <c r="BZ85" s="867">
        <f t="shared" si="19"/>
        <v>55955498.797923908</v>
      </c>
      <c r="CA85" s="867">
        <f>_xlfn.MAXIFS($BY$4:$BY$12824,$S$4:$S$12824,$S85)</f>
        <v>55955498.797923908</v>
      </c>
      <c r="CB85" s="1032"/>
      <c r="CF85" s="946">
        <f t="shared" si="20"/>
        <v>49382721.136</v>
      </c>
    </row>
    <row r="86" spans="1:84">
      <c r="A86" s="1032"/>
      <c r="B86" s="839" t="s">
        <v>98</v>
      </c>
      <c r="C86" s="839" t="s">
        <v>273</v>
      </c>
      <c r="D86" s="839" t="s">
        <v>290</v>
      </c>
      <c r="E86" s="839" t="s">
        <v>290</v>
      </c>
      <c r="F86" s="841">
        <v>45106</v>
      </c>
      <c r="G86" s="840" t="s">
        <v>273</v>
      </c>
      <c r="H86" s="842" t="s">
        <v>134</v>
      </c>
      <c r="I86" s="842"/>
      <c r="J86" s="841"/>
      <c r="K86" s="841"/>
      <c r="L86" s="843" t="s">
        <v>106</v>
      </c>
      <c r="M86" s="844" t="s">
        <v>275</v>
      </c>
      <c r="N86" s="841"/>
      <c r="O86" s="841" t="s">
        <v>150</v>
      </c>
      <c r="P86" s="841" t="s">
        <v>276</v>
      </c>
      <c r="Q86" s="843"/>
      <c r="R86" s="845" t="s">
        <v>371</v>
      </c>
      <c r="S86" s="1127" t="s">
        <v>371</v>
      </c>
      <c r="T86" s="843" t="s">
        <v>372</v>
      </c>
      <c r="U86" s="842">
        <v>1</v>
      </c>
      <c r="V86" s="842" t="s">
        <v>3</v>
      </c>
      <c r="W86" s="846"/>
      <c r="X86" s="847">
        <f t="shared" si="14"/>
        <v>0</v>
      </c>
      <c r="Y86" s="848"/>
      <c r="Z86" s="849">
        <v>515.36</v>
      </c>
      <c r="AA86" s="849"/>
      <c r="AB86" s="849">
        <f t="shared" si="15"/>
        <v>515.36</v>
      </c>
      <c r="AC86" s="850">
        <f t="shared" si="16"/>
        <v>515.36</v>
      </c>
      <c r="AD86" s="851"/>
      <c r="AE86" s="852">
        <v>25590.880000000001</v>
      </c>
      <c r="AF86" s="853">
        <v>0.1</v>
      </c>
      <c r="AG86" s="854">
        <f t="shared" si="17"/>
        <v>1356047.0822748125</v>
      </c>
      <c r="AH86" s="853"/>
      <c r="AI86" s="855">
        <f t="shared" si="18"/>
        <v>0</v>
      </c>
      <c r="AJ86" s="845" t="s">
        <v>293</v>
      </c>
      <c r="AK86" s="857" t="s">
        <v>294</v>
      </c>
      <c r="AL86" s="840"/>
      <c r="AM86" s="840"/>
      <c r="AN86" s="858"/>
      <c r="AO86" s="844" t="s">
        <v>141</v>
      </c>
      <c r="AP86" s="859"/>
      <c r="AQ86" s="859" t="s">
        <v>295</v>
      </c>
      <c r="AR86" s="859"/>
      <c r="AS86" s="840"/>
      <c r="AT86" s="840"/>
      <c r="AU86" s="860"/>
      <c r="AV86" s="839" t="s">
        <v>296</v>
      </c>
      <c r="AW86" s="861">
        <v>45189</v>
      </c>
      <c r="AX86" s="862" t="s">
        <v>297</v>
      </c>
      <c r="AY86" s="843"/>
      <c r="AZ86" s="842"/>
      <c r="BA86" s="842" t="s">
        <v>120</v>
      </c>
      <c r="BB86" s="863" t="s">
        <v>121</v>
      </c>
      <c r="BC86" s="864">
        <v>45195</v>
      </c>
      <c r="BD86" s="860" t="s">
        <v>298</v>
      </c>
      <c r="BE86" s="865" cm="1">
        <f t="array" ref="BE86">IF(BD86="","",AC86/SUMPRODUCT(--(BD86=$BD$4:$BD$12824),$AC$4:$AC$12824))</f>
        <v>5.9454350362354753E-3</v>
      </c>
      <c r="BF86" s="458"/>
      <c r="BG86" s="458"/>
      <c r="BH86" s="458"/>
      <c r="BI86" s="458"/>
      <c r="BJ86" s="458"/>
      <c r="BK86" s="458"/>
      <c r="BL86" s="458"/>
      <c r="BM86" s="458"/>
      <c r="BN86" s="458"/>
      <c r="BO86" s="866">
        <f>VLOOKUP(BD86,$BD$4:$BN$12824,3,0)*BE86</f>
        <v>359062.65814336907</v>
      </c>
      <c r="BP86" s="866"/>
      <c r="BQ86" s="866"/>
      <c r="BR86" s="866">
        <f>VLOOKUP(BD86,$BD$4:$BN$12824,6,0)*BE86</f>
        <v>24400.065388710391</v>
      </c>
      <c r="BS86" s="866">
        <f>VLOOKUP(BD86,$BD$4:$BN$12824,7,0)*BE86</f>
        <v>12892.247804754019</v>
      </c>
      <c r="BT86" s="866"/>
      <c r="BU86" s="866">
        <f>VLOOKUP(BD86,$BD$4:$BN$12824,9,0)*BE86</f>
        <v>2972.7175181177377</v>
      </c>
      <c r="BV86" s="867"/>
      <c r="BW86" s="867">
        <f>VLOOKUP(BD86,$BD$4:$BN$12824,11,0)*BE86</f>
        <v>0</v>
      </c>
      <c r="BX86" s="1146">
        <f t="shared" si="13"/>
        <v>399327.68885495124</v>
      </c>
      <c r="BY86" s="867">
        <f t="shared" si="21"/>
        <v>14943890.687929766</v>
      </c>
      <c r="BZ86" s="867">
        <f t="shared" si="19"/>
        <v>14943890.687929766</v>
      </c>
      <c r="CA86" s="867">
        <f>_xlfn.MAXIFS($BY$4:$BY$12824,$S$4:$S$12824,$S86)</f>
        <v>14943890.687929766</v>
      </c>
      <c r="CB86" s="1032"/>
      <c r="CF86" s="946">
        <f t="shared" si="20"/>
        <v>13188515.916800002</v>
      </c>
    </row>
    <row r="87" spans="1:84">
      <c r="A87" s="1032"/>
      <c r="B87" s="839" t="s">
        <v>98</v>
      </c>
      <c r="C87" s="839" t="s">
        <v>273</v>
      </c>
      <c r="D87" s="839" t="s">
        <v>290</v>
      </c>
      <c r="E87" s="839" t="s">
        <v>290</v>
      </c>
      <c r="F87" s="841">
        <v>45106</v>
      </c>
      <c r="G87" s="840" t="s">
        <v>273</v>
      </c>
      <c r="H87" s="842" t="s">
        <v>134</v>
      </c>
      <c r="I87" s="842"/>
      <c r="J87" s="841"/>
      <c r="K87" s="841"/>
      <c r="L87" s="843" t="s">
        <v>106</v>
      </c>
      <c r="M87" s="844" t="s">
        <v>275</v>
      </c>
      <c r="N87" s="841"/>
      <c r="O87" s="841" t="s">
        <v>150</v>
      </c>
      <c r="P87" s="841" t="s">
        <v>276</v>
      </c>
      <c r="Q87" s="843"/>
      <c r="R87" s="845" t="s">
        <v>373</v>
      </c>
      <c r="S87" s="1127" t="s">
        <v>373</v>
      </c>
      <c r="T87" s="843" t="s">
        <v>374</v>
      </c>
      <c r="U87" s="842">
        <v>1</v>
      </c>
      <c r="V87" s="842" t="s">
        <v>3</v>
      </c>
      <c r="W87" s="846"/>
      <c r="X87" s="847">
        <f t="shared" si="14"/>
        <v>0</v>
      </c>
      <c r="Y87" s="848"/>
      <c r="Z87" s="849">
        <v>2024.7</v>
      </c>
      <c r="AA87" s="849"/>
      <c r="AB87" s="849">
        <f t="shared" si="15"/>
        <v>2024.7</v>
      </c>
      <c r="AC87" s="850">
        <f t="shared" si="16"/>
        <v>2024.7</v>
      </c>
      <c r="AD87" s="851"/>
      <c r="AE87" s="852">
        <v>25590.880000000001</v>
      </c>
      <c r="AF87" s="853">
        <v>0.1</v>
      </c>
      <c r="AG87" s="854">
        <f t="shared" si="17"/>
        <v>5327515.7704940476</v>
      </c>
      <c r="AH87" s="853"/>
      <c r="AI87" s="855">
        <f t="shared" si="18"/>
        <v>0</v>
      </c>
      <c r="AJ87" s="845" t="s">
        <v>293</v>
      </c>
      <c r="AK87" s="857" t="s">
        <v>294</v>
      </c>
      <c r="AL87" s="840"/>
      <c r="AM87" s="840"/>
      <c r="AN87" s="858"/>
      <c r="AO87" s="844" t="s">
        <v>141</v>
      </c>
      <c r="AP87" s="859"/>
      <c r="AQ87" s="859" t="s">
        <v>295</v>
      </c>
      <c r="AR87" s="859"/>
      <c r="AS87" s="840"/>
      <c r="AT87" s="840"/>
      <c r="AU87" s="860"/>
      <c r="AV87" s="839" t="s">
        <v>296</v>
      </c>
      <c r="AW87" s="861">
        <v>45189</v>
      </c>
      <c r="AX87" s="862" t="s">
        <v>297</v>
      </c>
      <c r="AY87" s="843"/>
      <c r="AZ87" s="842"/>
      <c r="BA87" s="842" t="s">
        <v>120</v>
      </c>
      <c r="BB87" s="863" t="s">
        <v>121</v>
      </c>
      <c r="BC87" s="864">
        <v>45195</v>
      </c>
      <c r="BD87" s="860" t="s">
        <v>298</v>
      </c>
      <c r="BE87" s="865" cm="1">
        <f t="array" ref="BE87">IF(BD87="","",AC87/SUMPRODUCT(--(BD87=$BD$4:$BD$12824),$AC$4:$AC$12824))</f>
        <v>2.335789024733384E-2</v>
      </c>
      <c r="BF87" s="458"/>
      <c r="BG87" s="458"/>
      <c r="BH87" s="458"/>
      <c r="BI87" s="458"/>
      <c r="BJ87" s="458"/>
      <c r="BK87" s="458"/>
      <c r="BL87" s="458"/>
      <c r="BM87" s="458"/>
      <c r="BN87" s="458"/>
      <c r="BO87" s="866">
        <f>VLOOKUP(BD87,$BD$4:$BN$12824,3,0)*BE87</f>
        <v>1410653.0657072326</v>
      </c>
      <c r="BP87" s="866"/>
      <c r="BQ87" s="866"/>
      <c r="BR87" s="866">
        <f>VLOOKUP(BD87,$BD$4:$BN$12824,6,0)*BE87</f>
        <v>95860.781575058078</v>
      </c>
      <c r="BS87" s="866">
        <f>VLOOKUP(BD87,$BD$4:$BN$12824,7,0)*BE87</f>
        <v>50649.903233245626</v>
      </c>
      <c r="BT87" s="866"/>
      <c r="BU87" s="866">
        <f>VLOOKUP(BD87,$BD$4:$BN$12824,9,0)*BE87</f>
        <v>11678.945123666919</v>
      </c>
      <c r="BV87" s="867"/>
      <c r="BW87" s="867">
        <f>VLOOKUP(BD87,$BD$4:$BN$12824,11,0)*BE87</f>
        <v>0</v>
      </c>
      <c r="BX87" s="1146">
        <f t="shared" si="13"/>
        <v>1568842.6956392033</v>
      </c>
      <c r="BY87" s="867">
        <f t="shared" si="21"/>
        <v>58710213.202133246</v>
      </c>
      <c r="BZ87" s="867">
        <f t="shared" si="19"/>
        <v>58710213.202133246</v>
      </c>
      <c r="CA87" s="867">
        <f>_xlfn.MAXIFS($BY$4:$BY$12824,$S$4:$S$12824,$S87)</f>
        <v>58710213.202133246</v>
      </c>
      <c r="CB87" s="1032"/>
      <c r="CF87" s="946">
        <f t="shared" si="20"/>
        <v>51813854.736000001</v>
      </c>
    </row>
    <row r="88" spans="1:84">
      <c r="A88" s="1032"/>
      <c r="B88" s="839" t="s">
        <v>98</v>
      </c>
      <c r="C88" s="839" t="s">
        <v>273</v>
      </c>
      <c r="D88" s="839" t="s">
        <v>290</v>
      </c>
      <c r="E88" s="839" t="s">
        <v>290</v>
      </c>
      <c r="F88" s="841">
        <v>45106</v>
      </c>
      <c r="G88" s="840" t="s">
        <v>273</v>
      </c>
      <c r="H88" s="842" t="s">
        <v>134</v>
      </c>
      <c r="I88" s="842"/>
      <c r="J88" s="841"/>
      <c r="K88" s="841"/>
      <c r="L88" s="843" t="s">
        <v>106</v>
      </c>
      <c r="M88" s="844" t="s">
        <v>275</v>
      </c>
      <c r="N88" s="841"/>
      <c r="O88" s="841" t="s">
        <v>150</v>
      </c>
      <c r="P88" s="841" t="s">
        <v>276</v>
      </c>
      <c r="Q88" s="843"/>
      <c r="R88" s="845" t="s">
        <v>375</v>
      </c>
      <c r="S88" s="1127" t="s">
        <v>375</v>
      </c>
      <c r="T88" s="843" t="s">
        <v>376</v>
      </c>
      <c r="U88" s="842">
        <v>1</v>
      </c>
      <c r="V88" s="842" t="s">
        <v>3</v>
      </c>
      <c r="W88" s="846"/>
      <c r="X88" s="847">
        <f t="shared" si="14"/>
        <v>0</v>
      </c>
      <c r="Y88" s="848"/>
      <c r="Z88" s="849">
        <v>3261.2</v>
      </c>
      <c r="AA88" s="849"/>
      <c r="AB88" s="849">
        <f t="shared" si="15"/>
        <v>3261.2</v>
      </c>
      <c r="AC88" s="850">
        <f t="shared" si="16"/>
        <v>3261.2</v>
      </c>
      <c r="AD88" s="851"/>
      <c r="AE88" s="852">
        <v>25590.880000000001</v>
      </c>
      <c r="AF88" s="853">
        <v>0.1</v>
      </c>
      <c r="AG88" s="854">
        <f t="shared" si="17"/>
        <v>8581070.988657672</v>
      </c>
      <c r="AH88" s="853"/>
      <c r="AI88" s="855">
        <f t="shared" si="18"/>
        <v>0</v>
      </c>
      <c r="AJ88" s="845" t="s">
        <v>293</v>
      </c>
      <c r="AK88" s="857" t="s">
        <v>294</v>
      </c>
      <c r="AL88" s="840"/>
      <c r="AM88" s="840"/>
      <c r="AN88" s="858"/>
      <c r="AO88" s="844" t="s">
        <v>141</v>
      </c>
      <c r="AP88" s="859"/>
      <c r="AQ88" s="859" t="s">
        <v>295</v>
      </c>
      <c r="AR88" s="859"/>
      <c r="AS88" s="840"/>
      <c r="AT88" s="840"/>
      <c r="AU88" s="860"/>
      <c r="AV88" s="839" t="s">
        <v>296</v>
      </c>
      <c r="AW88" s="861">
        <v>45189</v>
      </c>
      <c r="AX88" s="862" t="s">
        <v>297</v>
      </c>
      <c r="AY88" s="843"/>
      <c r="AZ88" s="842"/>
      <c r="BA88" s="842" t="s">
        <v>120</v>
      </c>
      <c r="BB88" s="863" t="s">
        <v>121</v>
      </c>
      <c r="BC88" s="864">
        <v>45195</v>
      </c>
      <c r="BD88" s="860" t="s">
        <v>298</v>
      </c>
      <c r="BE88" s="865" cm="1">
        <f t="array" ref="BE88">IF(BD88="","",AC88/SUMPRODUCT(--(BD88=$BD$4:$BD$12824),$AC$4:$AC$12824))</f>
        <v>3.7622735059319956E-2</v>
      </c>
      <c r="BF88" s="458"/>
      <c r="BG88" s="458"/>
      <c r="BH88" s="458"/>
      <c r="BI88" s="458"/>
      <c r="BJ88" s="458"/>
      <c r="BK88" s="458"/>
      <c r="BL88" s="458"/>
      <c r="BM88" s="458"/>
      <c r="BN88" s="458"/>
      <c r="BO88" s="866">
        <f>VLOOKUP(BD88,$BD$4:$BN$12824,3,0)*BE88</f>
        <v>2272149.8384375102</v>
      </c>
      <c r="BP88" s="866"/>
      <c r="BQ88" s="866"/>
      <c r="BR88" s="866">
        <f>VLOOKUP(BD88,$BD$4:$BN$12824,6,0)*BE88</f>
        <v>154403.70468344909</v>
      </c>
      <c r="BS88" s="866">
        <f>VLOOKUP(BD88,$BD$4:$BN$12824,7,0)*BE88</f>
        <v>81582.192139211053</v>
      </c>
      <c r="BT88" s="866"/>
      <c r="BU88" s="866">
        <f>VLOOKUP(BD88,$BD$4:$BN$12824,9,0)*BE88</f>
        <v>18811.367529659979</v>
      </c>
      <c r="BV88" s="867"/>
      <c r="BW88" s="867">
        <f>VLOOKUP(BD88,$BD$4:$BN$12824,11,0)*BE88</f>
        <v>0</v>
      </c>
      <c r="BX88" s="1146">
        <f t="shared" si="13"/>
        <v>2526947.1027898304</v>
      </c>
      <c r="BY88" s="867">
        <f t="shared" si="21"/>
        <v>94564995.947447494</v>
      </c>
      <c r="BZ88" s="867">
        <f t="shared" si="19"/>
        <v>94564995.947447494</v>
      </c>
      <c r="CA88" s="867">
        <f>_xlfn.MAXIFS($BY$4:$BY$12824,$S$4:$S$12824,$S88)</f>
        <v>94564995.947447494</v>
      </c>
      <c r="CB88" s="1032"/>
      <c r="CF88" s="946">
        <f t="shared" si="20"/>
        <v>83456977.855999991</v>
      </c>
    </row>
    <row r="89" spans="1:84">
      <c r="A89" s="1032"/>
      <c r="B89" s="839" t="s">
        <v>98</v>
      </c>
      <c r="C89" s="839" t="s">
        <v>273</v>
      </c>
      <c r="D89" s="839" t="s">
        <v>290</v>
      </c>
      <c r="E89" s="839" t="s">
        <v>290</v>
      </c>
      <c r="F89" s="841">
        <v>45106</v>
      </c>
      <c r="G89" s="840" t="s">
        <v>273</v>
      </c>
      <c r="H89" s="842" t="s">
        <v>134</v>
      </c>
      <c r="I89" s="842"/>
      <c r="J89" s="841"/>
      <c r="K89" s="841"/>
      <c r="L89" s="843" t="s">
        <v>106</v>
      </c>
      <c r="M89" s="844" t="s">
        <v>275</v>
      </c>
      <c r="N89" s="841"/>
      <c r="O89" s="841" t="s">
        <v>150</v>
      </c>
      <c r="P89" s="841" t="s">
        <v>276</v>
      </c>
      <c r="Q89" s="843"/>
      <c r="R89" s="845" t="s">
        <v>377</v>
      </c>
      <c r="S89" s="1127" t="s">
        <v>377</v>
      </c>
      <c r="T89" s="843" t="s">
        <v>378</v>
      </c>
      <c r="U89" s="842">
        <v>1</v>
      </c>
      <c r="V89" s="842" t="s">
        <v>3</v>
      </c>
      <c r="W89" s="846"/>
      <c r="X89" s="847">
        <f t="shared" si="14"/>
        <v>0</v>
      </c>
      <c r="Y89" s="848"/>
      <c r="Z89" s="849">
        <v>3593.77</v>
      </c>
      <c r="AA89" s="849"/>
      <c r="AB89" s="849">
        <f t="shared" si="15"/>
        <v>3593.77</v>
      </c>
      <c r="AC89" s="850">
        <f t="shared" si="16"/>
        <v>3593.77</v>
      </c>
      <c r="AD89" s="851"/>
      <c r="AE89" s="852">
        <v>25590.880000000001</v>
      </c>
      <c r="AF89" s="853">
        <v>0.1</v>
      </c>
      <c r="AG89" s="854">
        <f t="shared" si="17"/>
        <v>9456149.7261462919</v>
      </c>
      <c r="AH89" s="853"/>
      <c r="AI89" s="855">
        <f t="shared" si="18"/>
        <v>0</v>
      </c>
      <c r="AJ89" s="845" t="s">
        <v>293</v>
      </c>
      <c r="AK89" s="857" t="s">
        <v>294</v>
      </c>
      <c r="AL89" s="840"/>
      <c r="AM89" s="840"/>
      <c r="AN89" s="858"/>
      <c r="AO89" s="844" t="s">
        <v>141</v>
      </c>
      <c r="AP89" s="859"/>
      <c r="AQ89" s="859" t="s">
        <v>295</v>
      </c>
      <c r="AR89" s="859"/>
      <c r="AS89" s="840"/>
      <c r="AT89" s="840"/>
      <c r="AU89" s="860"/>
      <c r="AV89" s="839" t="s">
        <v>296</v>
      </c>
      <c r="AW89" s="861">
        <v>45189</v>
      </c>
      <c r="AX89" s="862" t="s">
        <v>297</v>
      </c>
      <c r="AY89" s="843"/>
      <c r="AZ89" s="842"/>
      <c r="BA89" s="842" t="s">
        <v>120</v>
      </c>
      <c r="BB89" s="863" t="s">
        <v>121</v>
      </c>
      <c r="BC89" s="864">
        <v>45195</v>
      </c>
      <c r="BD89" s="860" t="s">
        <v>298</v>
      </c>
      <c r="BE89" s="865" cm="1">
        <f t="array" ref="BE89">IF(BD89="","",AC89/SUMPRODUCT(--(BD89=$BD$4:$BD$12824),$AC$4:$AC$12824))</f>
        <v>4.1459418794962677E-2</v>
      </c>
      <c r="BF89" s="458"/>
      <c r="BG89" s="458"/>
      <c r="BH89" s="458"/>
      <c r="BI89" s="458"/>
      <c r="BJ89" s="458"/>
      <c r="BK89" s="458"/>
      <c r="BL89" s="458"/>
      <c r="BM89" s="458"/>
      <c r="BN89" s="458"/>
      <c r="BO89" s="866">
        <f>VLOOKUP(BD89,$BD$4:$BN$12824,3,0)*BE89</f>
        <v>2503858.679284181</v>
      </c>
      <c r="BP89" s="866"/>
      <c r="BQ89" s="866"/>
      <c r="BR89" s="866">
        <f>VLOOKUP(BD89,$BD$4:$BN$12824,6,0)*BE89</f>
        <v>170149.45473452684</v>
      </c>
      <c r="BS89" s="866">
        <f>VLOOKUP(BD89,$BD$4:$BN$12824,7,0)*BE89</f>
        <v>89901.764578723334</v>
      </c>
      <c r="BT89" s="866"/>
      <c r="BU89" s="866">
        <f>VLOOKUP(BD89,$BD$4:$BN$12824,9,0)*BE89</f>
        <v>20729.70939748134</v>
      </c>
      <c r="BV89" s="867"/>
      <c r="BW89" s="867">
        <f>VLOOKUP(BD89,$BD$4:$BN$12824,11,0)*BE89</f>
        <v>0</v>
      </c>
      <c r="BX89" s="1146">
        <f t="shared" si="13"/>
        <v>2784639.6079949127</v>
      </c>
      <c r="BY89" s="867">
        <f t="shared" si="21"/>
        <v>104208526.15174121</v>
      </c>
      <c r="BZ89" s="867">
        <f t="shared" si="19"/>
        <v>104208526.15174121</v>
      </c>
      <c r="CA89" s="867">
        <f>_xlfn.MAXIFS($BY$4:$BY$12824,$S$4:$S$12824,$S89)</f>
        <v>104208526.15174121</v>
      </c>
      <c r="CB89" s="1032"/>
      <c r="CF89" s="946">
        <f t="shared" si="20"/>
        <v>91967736.817599997</v>
      </c>
    </row>
    <row r="90" spans="1:84">
      <c r="A90" s="1032"/>
      <c r="B90" s="839" t="s">
        <v>98</v>
      </c>
      <c r="C90" s="839" t="s">
        <v>273</v>
      </c>
      <c r="D90" s="839" t="s">
        <v>290</v>
      </c>
      <c r="E90" s="839" t="s">
        <v>290</v>
      </c>
      <c r="F90" s="841">
        <v>45106</v>
      </c>
      <c r="G90" s="840" t="s">
        <v>273</v>
      </c>
      <c r="H90" s="842" t="s">
        <v>134</v>
      </c>
      <c r="I90" s="842"/>
      <c r="J90" s="841"/>
      <c r="K90" s="841"/>
      <c r="L90" s="843" t="s">
        <v>106</v>
      </c>
      <c r="M90" s="844" t="s">
        <v>275</v>
      </c>
      <c r="N90" s="841"/>
      <c r="O90" s="841" t="s">
        <v>150</v>
      </c>
      <c r="P90" s="841" t="s">
        <v>276</v>
      </c>
      <c r="Q90" s="843"/>
      <c r="R90" s="845" t="s">
        <v>379</v>
      </c>
      <c r="S90" s="1127" t="s">
        <v>379</v>
      </c>
      <c r="T90" s="843" t="s">
        <v>380</v>
      </c>
      <c r="U90" s="842">
        <v>1</v>
      </c>
      <c r="V90" s="842" t="s">
        <v>3</v>
      </c>
      <c r="W90" s="846"/>
      <c r="X90" s="847">
        <f t="shared" si="14"/>
        <v>0</v>
      </c>
      <c r="Y90" s="848"/>
      <c r="Z90" s="849">
        <v>1186.2</v>
      </c>
      <c r="AA90" s="849"/>
      <c r="AB90" s="849">
        <f t="shared" si="15"/>
        <v>1186.2</v>
      </c>
      <c r="AC90" s="850">
        <f t="shared" si="16"/>
        <v>1186.2</v>
      </c>
      <c r="AD90" s="851"/>
      <c r="AE90" s="852">
        <v>25590.880000000001</v>
      </c>
      <c r="AF90" s="853">
        <v>0.1</v>
      </c>
      <c r="AG90" s="854">
        <f t="shared" si="17"/>
        <v>3121202.7495234064</v>
      </c>
      <c r="AH90" s="853"/>
      <c r="AI90" s="855">
        <f t="shared" si="18"/>
        <v>0</v>
      </c>
      <c r="AJ90" s="845" t="s">
        <v>293</v>
      </c>
      <c r="AK90" s="857" t="s">
        <v>294</v>
      </c>
      <c r="AL90" s="840"/>
      <c r="AM90" s="840"/>
      <c r="AN90" s="858"/>
      <c r="AO90" s="844" t="s">
        <v>141</v>
      </c>
      <c r="AP90" s="859"/>
      <c r="AQ90" s="859" t="s">
        <v>295</v>
      </c>
      <c r="AR90" s="859"/>
      <c r="AS90" s="840"/>
      <c r="AT90" s="840"/>
      <c r="AU90" s="860"/>
      <c r="AV90" s="839" t="s">
        <v>296</v>
      </c>
      <c r="AW90" s="861">
        <v>45189</v>
      </c>
      <c r="AX90" s="862" t="s">
        <v>297</v>
      </c>
      <c r="AY90" s="843"/>
      <c r="AZ90" s="842"/>
      <c r="BA90" s="842" t="s">
        <v>120</v>
      </c>
      <c r="BB90" s="863" t="s">
        <v>121</v>
      </c>
      <c r="BC90" s="864">
        <v>45195</v>
      </c>
      <c r="BD90" s="860" t="s">
        <v>298</v>
      </c>
      <c r="BE90" s="865" cm="1">
        <f t="array" ref="BE90">IF(BD90="","",AC90/SUMPRODUCT(--(BD90=$BD$4:$BD$12824),$AC$4:$AC$12824))</f>
        <v>1.3684560384939695E-2</v>
      </c>
      <c r="BF90" s="458"/>
      <c r="BG90" s="458"/>
      <c r="BH90" s="458"/>
      <c r="BI90" s="458"/>
      <c r="BJ90" s="458"/>
      <c r="BK90" s="458"/>
      <c r="BL90" s="458"/>
      <c r="BM90" s="458"/>
      <c r="BN90" s="458"/>
      <c r="BO90" s="866">
        <f>VLOOKUP(BD90,$BD$4:$BN$12824,3,0)*BE90</f>
        <v>826451.65532766294</v>
      </c>
      <c r="BP90" s="866"/>
      <c r="BQ90" s="866"/>
      <c r="BR90" s="866">
        <f>VLOOKUP(BD90,$BD$4:$BN$12824,6,0)*BE90</f>
        <v>56161.43581979251</v>
      </c>
      <c r="BS90" s="866">
        <f>VLOOKUP(BD90,$BD$4:$BN$12824,7,0)*BE90</f>
        <v>29673.983906394013</v>
      </c>
      <c r="BT90" s="866"/>
      <c r="BU90" s="866">
        <f>VLOOKUP(BD90,$BD$4:$BN$12824,9,0)*BE90</f>
        <v>6842.2801924698479</v>
      </c>
      <c r="BV90" s="867"/>
      <c r="BW90" s="867">
        <f>VLOOKUP(BD90,$BD$4:$BN$12824,11,0)*BE90</f>
        <v>0</v>
      </c>
      <c r="BX90" s="1146">
        <f t="shared" si="13"/>
        <v>919129.35524631932</v>
      </c>
      <c r="BY90" s="867">
        <f t="shared" si="21"/>
        <v>34396233.960769728</v>
      </c>
      <c r="BZ90" s="867">
        <f t="shared" si="19"/>
        <v>34396233.960769728</v>
      </c>
      <c r="CA90" s="867">
        <f>_xlfn.MAXIFS($BY$4:$BY$12824,$S$4:$S$12824,$S90)</f>
        <v>34396233.960769728</v>
      </c>
      <c r="CB90" s="1032"/>
      <c r="CF90" s="946">
        <f t="shared" si="20"/>
        <v>30355901.856000002</v>
      </c>
    </row>
    <row r="91" spans="1:84">
      <c r="A91" s="1032"/>
      <c r="B91" s="839" t="s">
        <v>98</v>
      </c>
      <c r="C91" s="839" t="s">
        <v>381</v>
      </c>
      <c r="D91" s="839" t="s">
        <v>382</v>
      </c>
      <c r="E91" s="839" t="s">
        <v>382</v>
      </c>
      <c r="F91" s="841">
        <v>45001</v>
      </c>
      <c r="G91" s="840" t="s">
        <v>383</v>
      </c>
      <c r="H91" s="842"/>
      <c r="I91" s="842"/>
      <c r="J91" s="841"/>
      <c r="K91" s="841"/>
      <c r="L91" s="843" t="s">
        <v>106</v>
      </c>
      <c r="M91" s="844" t="s">
        <v>107</v>
      </c>
      <c r="N91" s="841"/>
      <c r="O91" s="841" t="s">
        <v>150</v>
      </c>
      <c r="P91" s="841" t="s">
        <v>384</v>
      </c>
      <c r="Q91" s="843"/>
      <c r="R91" s="845" t="s">
        <v>385</v>
      </c>
      <c r="S91" s="1127" t="s">
        <v>386</v>
      </c>
      <c r="T91" s="843" t="s">
        <v>387</v>
      </c>
      <c r="U91" s="842">
        <v>1</v>
      </c>
      <c r="V91" s="842" t="s">
        <v>3</v>
      </c>
      <c r="W91" s="846"/>
      <c r="X91" s="847">
        <f t="shared" si="14"/>
        <v>0</v>
      </c>
      <c r="Y91" s="848"/>
      <c r="Z91" s="849">
        <v>732.5</v>
      </c>
      <c r="AA91" s="849"/>
      <c r="AB91" s="849">
        <f t="shared" si="15"/>
        <v>732.5</v>
      </c>
      <c r="AC91" s="850">
        <f t="shared" si="16"/>
        <v>732.5</v>
      </c>
      <c r="AD91" s="851"/>
      <c r="AE91" s="852">
        <v>25628.19</v>
      </c>
      <c r="AF91" s="853">
        <v>0</v>
      </c>
      <c r="AG91" s="854">
        <f t="shared" si="17"/>
        <v>0</v>
      </c>
      <c r="AH91" s="853"/>
      <c r="AI91" s="855">
        <f t="shared" si="18"/>
        <v>0</v>
      </c>
      <c r="AJ91" s="845" t="s">
        <v>388</v>
      </c>
      <c r="AK91" s="857" t="s">
        <v>389</v>
      </c>
      <c r="AL91" s="840"/>
      <c r="AM91" s="840"/>
      <c r="AN91" s="858"/>
      <c r="AO91" s="844" t="s">
        <v>141</v>
      </c>
      <c r="AP91" s="859"/>
      <c r="AQ91" s="859" t="s">
        <v>390</v>
      </c>
      <c r="AR91" s="859"/>
      <c r="AS91" s="840"/>
      <c r="AT91" s="840"/>
      <c r="AU91" s="860"/>
      <c r="AV91" s="839" t="s">
        <v>391</v>
      </c>
      <c r="AW91" s="861">
        <v>45154</v>
      </c>
      <c r="AX91" s="862" t="s">
        <v>392</v>
      </c>
      <c r="AY91" s="843"/>
      <c r="AZ91" s="842"/>
      <c r="BA91" s="842" t="s">
        <v>120</v>
      </c>
      <c r="BB91" s="863" t="s">
        <v>121</v>
      </c>
      <c r="BC91" s="864">
        <v>45156</v>
      </c>
      <c r="BD91" s="860" t="s">
        <v>393</v>
      </c>
      <c r="BE91" s="865" cm="1">
        <f t="array" ref="BE91">IF(BD91="","",AC91/SUMPRODUCT(--(BD91=$BD$4:$BD$12824),$AC$4:$AC$12824))</f>
        <v>0.15225524838910828</v>
      </c>
      <c r="BF91" s="458">
        <v>11991142</v>
      </c>
      <c r="BG91" s="458"/>
      <c r="BH91" s="458"/>
      <c r="BI91" s="458">
        <v>906784</v>
      </c>
      <c r="BJ91" s="458">
        <v>450000</v>
      </c>
      <c r="BK91" s="458"/>
      <c r="BL91" s="458">
        <v>4101</v>
      </c>
      <c r="BM91" s="458"/>
      <c r="BN91" s="458">
        <v>600000</v>
      </c>
      <c r="BO91" s="866">
        <f>VLOOKUP(BD91,$BD$4:$BN$12824,3,0)*BE91</f>
        <v>1825714.3036790686</v>
      </c>
      <c r="BP91" s="866"/>
      <c r="BQ91" s="866"/>
      <c r="BR91" s="866">
        <f>VLOOKUP(BD91,$BD$4:$BN$12824,6,0)*BE91</f>
        <v>138062.62315526916</v>
      </c>
      <c r="BS91" s="866">
        <f>VLOOKUP(BD91,$BD$4:$BN$12824,7,0)*BE91</f>
        <v>68514.861775098732</v>
      </c>
      <c r="BT91" s="866"/>
      <c r="BU91" s="866">
        <f>VLOOKUP(BD91,$BD$4:$BN$12824,9,0)*BE91</f>
        <v>624.39877364373308</v>
      </c>
      <c r="BV91" s="867"/>
      <c r="BW91" s="867">
        <f>VLOOKUP(BD91,$BD$4:$BN$12824,11,0)*BE91</f>
        <v>91353.149033464972</v>
      </c>
      <c r="BX91" s="1146">
        <f t="shared" ref="BX91:BX98" si="22">SUM(BO91:BW91)</f>
        <v>2124269.3364165453</v>
      </c>
      <c r="BY91" s="867">
        <f t="shared" si="21"/>
        <v>20896918.511416547</v>
      </c>
      <c r="BZ91" s="867">
        <f t="shared" si="19"/>
        <v>20896918.511416547</v>
      </c>
      <c r="CA91" s="867">
        <f>_xlfn.MAXIFS($BY$4:$BY$12824,$S$4:$S$12824,$S91)</f>
        <v>20896918.511416547</v>
      </c>
      <c r="CB91" s="1032"/>
      <c r="CF91" s="946">
        <f t="shared" si="20"/>
        <v>18772649.175000001</v>
      </c>
    </row>
    <row r="92" spans="1:84">
      <c r="A92" s="1032"/>
      <c r="B92" s="839" t="s">
        <v>98</v>
      </c>
      <c r="C92" s="839" t="s">
        <v>381</v>
      </c>
      <c r="D92" s="839" t="s">
        <v>382</v>
      </c>
      <c r="E92" s="839" t="s">
        <v>382</v>
      </c>
      <c r="F92" s="841">
        <v>45001</v>
      </c>
      <c r="G92" s="840" t="s">
        <v>383</v>
      </c>
      <c r="H92" s="842"/>
      <c r="I92" s="842"/>
      <c r="J92" s="841"/>
      <c r="K92" s="841"/>
      <c r="L92" s="843" t="s">
        <v>106</v>
      </c>
      <c r="M92" s="844" t="s">
        <v>107</v>
      </c>
      <c r="N92" s="841"/>
      <c r="O92" s="841" t="s">
        <v>150</v>
      </c>
      <c r="P92" s="841" t="s">
        <v>384</v>
      </c>
      <c r="Q92" s="843"/>
      <c r="R92" s="845" t="s">
        <v>394</v>
      </c>
      <c r="S92" s="1127" t="s">
        <v>395</v>
      </c>
      <c r="T92" s="843" t="s">
        <v>396</v>
      </c>
      <c r="U92" s="842">
        <v>1</v>
      </c>
      <c r="V92" s="842" t="s">
        <v>3</v>
      </c>
      <c r="W92" s="846"/>
      <c r="X92" s="847">
        <f t="shared" si="14"/>
        <v>0</v>
      </c>
      <c r="Y92" s="848"/>
      <c r="Z92" s="849">
        <v>203.5</v>
      </c>
      <c r="AA92" s="849"/>
      <c r="AB92" s="849">
        <f t="shared" si="15"/>
        <v>203.5</v>
      </c>
      <c r="AC92" s="850">
        <f t="shared" si="16"/>
        <v>203.5</v>
      </c>
      <c r="AD92" s="851"/>
      <c r="AE92" s="852">
        <v>25628.19</v>
      </c>
      <c r="AF92" s="853">
        <v>0</v>
      </c>
      <c r="AG92" s="854">
        <f t="shared" si="17"/>
        <v>0</v>
      </c>
      <c r="AH92" s="853"/>
      <c r="AI92" s="855">
        <f t="shared" si="18"/>
        <v>0</v>
      </c>
      <c r="AJ92" s="845" t="s">
        <v>388</v>
      </c>
      <c r="AK92" s="857" t="s">
        <v>389</v>
      </c>
      <c r="AL92" s="840"/>
      <c r="AM92" s="840"/>
      <c r="AN92" s="858"/>
      <c r="AO92" s="844" t="s">
        <v>141</v>
      </c>
      <c r="AP92" s="859"/>
      <c r="AQ92" s="859" t="s">
        <v>390</v>
      </c>
      <c r="AR92" s="859"/>
      <c r="AS92" s="840"/>
      <c r="AT92" s="840"/>
      <c r="AU92" s="860"/>
      <c r="AV92" s="839" t="s">
        <v>391</v>
      </c>
      <c r="AW92" s="861">
        <v>45154</v>
      </c>
      <c r="AX92" s="862" t="s">
        <v>392</v>
      </c>
      <c r="AY92" s="843"/>
      <c r="AZ92" s="842"/>
      <c r="BA92" s="842" t="s">
        <v>120</v>
      </c>
      <c r="BB92" s="863" t="s">
        <v>121</v>
      </c>
      <c r="BC92" s="864">
        <v>45156</v>
      </c>
      <c r="BD92" s="860" t="s">
        <v>393</v>
      </c>
      <c r="BE92" s="865" cm="1">
        <f t="array" ref="BE92">IF(BD92="","",AC92/SUMPRODUCT(--(BD92=$BD$4:$BD$12824),$AC$4:$AC$12824))</f>
        <v>4.2298898357929743E-2</v>
      </c>
      <c r="BF92" s="458"/>
      <c r="BG92" s="458"/>
      <c r="BH92" s="458"/>
      <c r="BI92" s="458"/>
      <c r="BJ92" s="458"/>
      <c r="BK92" s="458"/>
      <c r="BL92" s="458"/>
      <c r="BM92" s="458"/>
      <c r="BN92" s="458"/>
      <c r="BO92" s="866">
        <f>VLOOKUP(BD92,$BD$4:$BN$12824,3,0)*BE92</f>
        <v>507212.09665350238</v>
      </c>
      <c r="BP92" s="866"/>
      <c r="BQ92" s="866"/>
      <c r="BR92" s="866">
        <f>VLOOKUP(BD92,$BD$4:$BN$12824,6,0)*BE92</f>
        <v>38355.964248596967</v>
      </c>
      <c r="BS92" s="866">
        <f>VLOOKUP(BD92,$BD$4:$BN$12824,7,0)*BE92</f>
        <v>19034.504261068385</v>
      </c>
      <c r="BT92" s="866"/>
      <c r="BU92" s="866">
        <f>VLOOKUP(BD92,$BD$4:$BN$12824,9,0)*BE92</f>
        <v>173.46778216586986</v>
      </c>
      <c r="BV92" s="867"/>
      <c r="BW92" s="867">
        <f>VLOOKUP(BD92,$BD$4:$BN$12824,11,0)*BE92</f>
        <v>25379.339014757847</v>
      </c>
      <c r="BX92" s="1146">
        <f t="shared" si="22"/>
        <v>590155.37196009152</v>
      </c>
      <c r="BY92" s="867">
        <f t="shared" si="21"/>
        <v>5805492.0369600914</v>
      </c>
      <c r="BZ92" s="867">
        <f t="shared" si="19"/>
        <v>5805492.0369600914</v>
      </c>
      <c r="CA92" s="867">
        <f>_xlfn.MAXIFS($BY$4:$BY$12824,$S$4:$S$12824,$S92)</f>
        <v>5805492.0369600914</v>
      </c>
      <c r="CB92" s="1032"/>
      <c r="CF92" s="946">
        <f t="shared" si="20"/>
        <v>5215336.665</v>
      </c>
    </row>
    <row r="93" spans="1:84">
      <c r="A93" s="1032"/>
      <c r="B93" s="839" t="s">
        <v>98</v>
      </c>
      <c r="C93" s="839" t="s">
        <v>381</v>
      </c>
      <c r="D93" s="839" t="s">
        <v>382</v>
      </c>
      <c r="E93" s="839" t="s">
        <v>382</v>
      </c>
      <c r="F93" s="841">
        <v>45001</v>
      </c>
      <c r="G93" s="840" t="s">
        <v>383</v>
      </c>
      <c r="H93" s="842"/>
      <c r="I93" s="842"/>
      <c r="J93" s="841"/>
      <c r="K93" s="841"/>
      <c r="L93" s="843" t="s">
        <v>106</v>
      </c>
      <c r="M93" s="844" t="s">
        <v>107</v>
      </c>
      <c r="N93" s="841"/>
      <c r="O93" s="841" t="s">
        <v>150</v>
      </c>
      <c r="P93" s="841" t="s">
        <v>384</v>
      </c>
      <c r="Q93" s="843"/>
      <c r="R93" s="845" t="s">
        <v>397</v>
      </c>
      <c r="S93" s="1127" t="s">
        <v>398</v>
      </c>
      <c r="T93" s="843" t="s">
        <v>399</v>
      </c>
      <c r="U93" s="842">
        <v>1</v>
      </c>
      <c r="V93" s="842" t="s">
        <v>3</v>
      </c>
      <c r="W93" s="846"/>
      <c r="X93" s="847">
        <f t="shared" si="14"/>
        <v>0</v>
      </c>
      <c r="Y93" s="848"/>
      <c r="Z93" s="849">
        <v>377.5</v>
      </c>
      <c r="AA93" s="849"/>
      <c r="AB93" s="849">
        <f t="shared" si="15"/>
        <v>377.5</v>
      </c>
      <c r="AC93" s="850">
        <f t="shared" si="16"/>
        <v>377.5</v>
      </c>
      <c r="AD93" s="851"/>
      <c r="AE93" s="852">
        <v>25628.19</v>
      </c>
      <c r="AF93" s="853">
        <v>0</v>
      </c>
      <c r="AG93" s="854">
        <f t="shared" si="17"/>
        <v>0</v>
      </c>
      <c r="AH93" s="853"/>
      <c r="AI93" s="855">
        <f t="shared" si="18"/>
        <v>0</v>
      </c>
      <c r="AJ93" s="845" t="s">
        <v>388</v>
      </c>
      <c r="AK93" s="857" t="s">
        <v>389</v>
      </c>
      <c r="AL93" s="840"/>
      <c r="AM93" s="840"/>
      <c r="AN93" s="858"/>
      <c r="AO93" s="844" t="s">
        <v>141</v>
      </c>
      <c r="AP93" s="859"/>
      <c r="AQ93" s="859" t="s">
        <v>390</v>
      </c>
      <c r="AR93" s="859"/>
      <c r="AS93" s="840"/>
      <c r="AT93" s="840"/>
      <c r="AU93" s="860"/>
      <c r="AV93" s="839" t="s">
        <v>391</v>
      </c>
      <c r="AW93" s="861">
        <v>45154</v>
      </c>
      <c r="AX93" s="862" t="s">
        <v>392</v>
      </c>
      <c r="AY93" s="843"/>
      <c r="AZ93" s="842"/>
      <c r="BA93" s="842" t="s">
        <v>120</v>
      </c>
      <c r="BB93" s="863" t="s">
        <v>121</v>
      </c>
      <c r="BC93" s="864">
        <v>45156</v>
      </c>
      <c r="BD93" s="860" t="s">
        <v>393</v>
      </c>
      <c r="BE93" s="865" cm="1">
        <f t="array" ref="BE93">IF(BD93="","",AC93/SUMPRODUCT(--(BD93=$BD$4:$BD$12824),$AC$4:$AC$12824))</f>
        <v>7.8466015381417578E-2</v>
      </c>
      <c r="BF93" s="458"/>
      <c r="BG93" s="458"/>
      <c r="BH93" s="458"/>
      <c r="BI93" s="458"/>
      <c r="BJ93" s="458"/>
      <c r="BK93" s="458"/>
      <c r="BL93" s="458"/>
      <c r="BM93" s="458"/>
      <c r="BN93" s="458"/>
      <c r="BO93" s="866">
        <f>VLOOKUP(BD93,$BD$4:$BN$12824,3,0)*BE93</f>
        <v>940897.13261276239</v>
      </c>
      <c r="BP93" s="866"/>
      <c r="BQ93" s="866"/>
      <c r="BR93" s="866">
        <f>VLOOKUP(BD93,$BD$4:$BN$12824,6,0)*BE93</f>
        <v>71151.727291623363</v>
      </c>
      <c r="BS93" s="866">
        <f>VLOOKUP(BD93,$BD$4:$BN$12824,7,0)*BE93</f>
        <v>35309.70692163791</v>
      </c>
      <c r="BT93" s="866"/>
      <c r="BU93" s="866">
        <f>VLOOKUP(BD93,$BD$4:$BN$12824,9,0)*BE93</f>
        <v>321.78912907919351</v>
      </c>
      <c r="BV93" s="867"/>
      <c r="BW93" s="867">
        <f>VLOOKUP(BD93,$BD$4:$BN$12824,11,0)*BE93</f>
        <v>47079.609228850546</v>
      </c>
      <c r="BX93" s="1146">
        <f t="shared" si="22"/>
        <v>1094759.9651839533</v>
      </c>
      <c r="BY93" s="867">
        <f t="shared" si="21"/>
        <v>10769401.690183952</v>
      </c>
      <c r="BZ93" s="867">
        <f t="shared" si="19"/>
        <v>10769401.690183952</v>
      </c>
      <c r="CA93" s="867">
        <f>_xlfn.MAXIFS($BY$4:$BY$12824,$S$4:$S$12824,$S93)</f>
        <v>10769401.690183952</v>
      </c>
      <c r="CB93" s="1032"/>
      <c r="CF93" s="946">
        <f t="shared" si="20"/>
        <v>9674641.7249999996</v>
      </c>
    </row>
    <row r="94" spans="1:84">
      <c r="A94" s="1032"/>
      <c r="B94" s="839" t="s">
        <v>98</v>
      </c>
      <c r="C94" s="839" t="s">
        <v>381</v>
      </c>
      <c r="D94" s="839" t="s">
        <v>382</v>
      </c>
      <c r="E94" s="839" t="s">
        <v>382</v>
      </c>
      <c r="F94" s="841">
        <v>45001</v>
      </c>
      <c r="G94" s="840" t="s">
        <v>383</v>
      </c>
      <c r="H94" s="842"/>
      <c r="I94" s="842"/>
      <c r="J94" s="841"/>
      <c r="K94" s="841"/>
      <c r="L94" s="843" t="s">
        <v>106</v>
      </c>
      <c r="M94" s="844" t="s">
        <v>107</v>
      </c>
      <c r="N94" s="841"/>
      <c r="O94" s="841" t="s">
        <v>150</v>
      </c>
      <c r="P94" s="841" t="s">
        <v>384</v>
      </c>
      <c r="Q94" s="843"/>
      <c r="R94" s="845" t="s">
        <v>400</v>
      </c>
      <c r="S94" s="1127" t="s">
        <v>401</v>
      </c>
      <c r="T94" s="843" t="s">
        <v>402</v>
      </c>
      <c r="U94" s="842">
        <v>4</v>
      </c>
      <c r="V94" s="842" t="s">
        <v>3</v>
      </c>
      <c r="W94" s="846"/>
      <c r="X94" s="847">
        <f t="shared" si="14"/>
        <v>0</v>
      </c>
      <c r="Y94" s="848"/>
      <c r="Z94" s="849">
        <v>528</v>
      </c>
      <c r="AA94" s="849"/>
      <c r="AB94" s="849">
        <f t="shared" si="15"/>
        <v>2112</v>
      </c>
      <c r="AC94" s="850">
        <f t="shared" si="16"/>
        <v>2112</v>
      </c>
      <c r="AD94" s="851"/>
      <c r="AE94" s="852">
        <v>25628.19</v>
      </c>
      <c r="AF94" s="853">
        <v>0</v>
      </c>
      <c r="AG94" s="854">
        <f t="shared" si="17"/>
        <v>0</v>
      </c>
      <c r="AH94" s="853"/>
      <c r="AI94" s="855">
        <f t="shared" si="18"/>
        <v>0</v>
      </c>
      <c r="AJ94" s="845" t="s">
        <v>388</v>
      </c>
      <c r="AK94" s="857" t="s">
        <v>389</v>
      </c>
      <c r="AL94" s="840"/>
      <c r="AM94" s="840"/>
      <c r="AN94" s="858"/>
      <c r="AO94" s="844" t="s">
        <v>141</v>
      </c>
      <c r="AP94" s="859"/>
      <c r="AQ94" s="859" t="s">
        <v>390</v>
      </c>
      <c r="AR94" s="859"/>
      <c r="AS94" s="840"/>
      <c r="AT94" s="840"/>
      <c r="AU94" s="860"/>
      <c r="AV94" s="839" t="s">
        <v>391</v>
      </c>
      <c r="AW94" s="861">
        <v>45154</v>
      </c>
      <c r="AX94" s="862" t="s">
        <v>392</v>
      </c>
      <c r="AY94" s="843"/>
      <c r="AZ94" s="842"/>
      <c r="BA94" s="842" t="s">
        <v>120</v>
      </c>
      <c r="BB94" s="863" t="s">
        <v>121</v>
      </c>
      <c r="BC94" s="864">
        <v>45156</v>
      </c>
      <c r="BD94" s="860" t="s">
        <v>393</v>
      </c>
      <c r="BE94" s="865" cm="1">
        <f t="array" ref="BE94">IF(BD94="","",AC94/SUMPRODUCT(--(BD94=$BD$4:$BD$12824),$AC$4:$AC$12824))</f>
        <v>0.43899397214716274</v>
      </c>
      <c r="BF94" s="458"/>
      <c r="BG94" s="458"/>
      <c r="BH94" s="458"/>
      <c r="BI94" s="458"/>
      <c r="BJ94" s="458"/>
      <c r="BK94" s="458"/>
      <c r="BL94" s="458"/>
      <c r="BM94" s="458"/>
      <c r="BN94" s="458"/>
      <c r="BO94" s="866">
        <f>VLOOKUP(BD94,$BD$4:$BN$12824,3,0)*BE94</f>
        <v>5264039.0571606737</v>
      </c>
      <c r="BP94" s="866"/>
      <c r="BQ94" s="866"/>
      <c r="BR94" s="866">
        <f>VLOOKUP(BD94,$BD$4:$BN$12824,6,0)*BE94</f>
        <v>398072.71003949281</v>
      </c>
      <c r="BS94" s="866">
        <f>VLOOKUP(BD94,$BD$4:$BN$12824,7,0)*BE94</f>
        <v>197547.28746622324</v>
      </c>
      <c r="BT94" s="866"/>
      <c r="BU94" s="866">
        <f>VLOOKUP(BD94,$BD$4:$BN$12824,9,0)*BE94</f>
        <v>1800.3142797755145</v>
      </c>
      <c r="BV94" s="867"/>
      <c r="BW94" s="867">
        <f>VLOOKUP(BD94,$BD$4:$BN$12824,11,0)*BE94</f>
        <v>263396.38328829763</v>
      </c>
      <c r="BX94" s="1146">
        <f t="shared" si="22"/>
        <v>6124855.7522344626</v>
      </c>
      <c r="BY94" s="867">
        <f t="shared" si="21"/>
        <v>15062898.258058615</v>
      </c>
      <c r="BZ94" s="867">
        <f t="shared" si="19"/>
        <v>60251593.03223446</v>
      </c>
      <c r="CA94" s="867">
        <f>_xlfn.MAXIFS($BY$4:$BY$12824,$S$4:$S$12824,$S94)</f>
        <v>15062898.258058615</v>
      </c>
      <c r="CB94" s="1032"/>
      <c r="CF94" s="946">
        <f t="shared" si="20"/>
        <v>54126737.279999994</v>
      </c>
    </row>
    <row r="95" spans="1:84">
      <c r="A95" s="1032"/>
      <c r="B95" s="839" t="s">
        <v>98</v>
      </c>
      <c r="C95" s="839" t="s">
        <v>381</v>
      </c>
      <c r="D95" s="839" t="s">
        <v>382</v>
      </c>
      <c r="E95" s="839" t="s">
        <v>382</v>
      </c>
      <c r="F95" s="841">
        <v>45001</v>
      </c>
      <c r="G95" s="840" t="s">
        <v>383</v>
      </c>
      <c r="H95" s="842"/>
      <c r="I95" s="842"/>
      <c r="J95" s="841"/>
      <c r="K95" s="841"/>
      <c r="L95" s="843" t="s">
        <v>106</v>
      </c>
      <c r="M95" s="844" t="s">
        <v>107</v>
      </c>
      <c r="N95" s="841"/>
      <c r="O95" s="841" t="s">
        <v>150</v>
      </c>
      <c r="P95" s="841" t="s">
        <v>384</v>
      </c>
      <c r="Q95" s="843"/>
      <c r="R95" s="845" t="s">
        <v>403</v>
      </c>
      <c r="S95" s="1127" t="s">
        <v>404</v>
      </c>
      <c r="T95" s="843" t="s">
        <v>405</v>
      </c>
      <c r="U95" s="842">
        <v>1</v>
      </c>
      <c r="V95" s="842" t="s">
        <v>3</v>
      </c>
      <c r="W95" s="846"/>
      <c r="X95" s="847">
        <f t="shared" si="14"/>
        <v>0</v>
      </c>
      <c r="Y95" s="848"/>
      <c r="Z95" s="849">
        <v>310</v>
      </c>
      <c r="AA95" s="849"/>
      <c r="AB95" s="849">
        <f t="shared" si="15"/>
        <v>310</v>
      </c>
      <c r="AC95" s="850">
        <f t="shared" si="16"/>
        <v>310</v>
      </c>
      <c r="AD95" s="851"/>
      <c r="AE95" s="852">
        <v>25628.19</v>
      </c>
      <c r="AF95" s="853">
        <v>0</v>
      </c>
      <c r="AG95" s="854">
        <f t="shared" si="17"/>
        <v>0</v>
      </c>
      <c r="AH95" s="853"/>
      <c r="AI95" s="855">
        <f t="shared" si="18"/>
        <v>0</v>
      </c>
      <c r="AJ95" s="845" t="s">
        <v>388</v>
      </c>
      <c r="AK95" s="857" t="s">
        <v>389</v>
      </c>
      <c r="AL95" s="840"/>
      <c r="AM95" s="840"/>
      <c r="AN95" s="858"/>
      <c r="AO95" s="844" t="s">
        <v>141</v>
      </c>
      <c r="AP95" s="859"/>
      <c r="AQ95" s="859" t="s">
        <v>390</v>
      </c>
      <c r="AR95" s="859"/>
      <c r="AS95" s="840"/>
      <c r="AT95" s="840"/>
      <c r="AU95" s="860"/>
      <c r="AV95" s="839" t="s">
        <v>391</v>
      </c>
      <c r="AW95" s="861">
        <v>45154</v>
      </c>
      <c r="AX95" s="862" t="s">
        <v>392</v>
      </c>
      <c r="AY95" s="843"/>
      <c r="AZ95" s="842"/>
      <c r="BA95" s="842" t="s">
        <v>120</v>
      </c>
      <c r="BB95" s="863" t="s">
        <v>121</v>
      </c>
      <c r="BC95" s="864">
        <v>45156</v>
      </c>
      <c r="BD95" s="860" t="s">
        <v>393</v>
      </c>
      <c r="BE95" s="865" cm="1">
        <f t="array" ref="BE95">IF(BD95="","",AC95/SUMPRODUCT(--(BD95=$BD$4:$BD$12824),$AC$4:$AC$12824))</f>
        <v>6.4435668260236958E-2</v>
      </c>
      <c r="BF95" s="458"/>
      <c r="BG95" s="458"/>
      <c r="BH95" s="458"/>
      <c r="BI95" s="458"/>
      <c r="BJ95" s="458"/>
      <c r="BK95" s="458"/>
      <c r="BL95" s="458"/>
      <c r="BM95" s="458"/>
      <c r="BN95" s="458"/>
      <c r="BO95" s="866">
        <f>VLOOKUP(BD95,$BD$4:$BN$12824,3,0)*BE95</f>
        <v>772657.24797339435</v>
      </c>
      <c r="BP95" s="866"/>
      <c r="BQ95" s="866"/>
      <c r="BR95" s="866">
        <f>VLOOKUP(BD95,$BD$4:$BN$12824,6,0)*BE95</f>
        <v>58429.233007690709</v>
      </c>
      <c r="BS95" s="866">
        <f>VLOOKUP(BD95,$BD$4:$BN$12824,7,0)*BE95</f>
        <v>28996.050717106631</v>
      </c>
      <c r="BT95" s="866"/>
      <c r="BU95" s="866">
        <f>VLOOKUP(BD95,$BD$4:$BN$12824,9,0)*BE95</f>
        <v>264.25067553523178</v>
      </c>
      <c r="BV95" s="867"/>
      <c r="BW95" s="867">
        <f>VLOOKUP(BD95,$BD$4:$BN$12824,11,0)*BE95</f>
        <v>38661.400956142177</v>
      </c>
      <c r="BX95" s="1146">
        <f t="shared" si="22"/>
        <v>899008.18332986918</v>
      </c>
      <c r="BY95" s="867">
        <f t="shared" si="21"/>
        <v>8843747.0833298694</v>
      </c>
      <c r="BZ95" s="867">
        <f t="shared" si="19"/>
        <v>8843747.0833298694</v>
      </c>
      <c r="CA95" s="867">
        <f>_xlfn.MAXIFS($BY$4:$BY$12824,$S$4:$S$12824,$S95)</f>
        <v>8843747.0833298694</v>
      </c>
      <c r="CB95" s="1032"/>
      <c r="CF95" s="946">
        <f t="shared" si="20"/>
        <v>7944738.8999999994</v>
      </c>
    </row>
    <row r="96" spans="1:84">
      <c r="A96" s="1032"/>
      <c r="B96" s="839" t="s">
        <v>98</v>
      </c>
      <c r="C96" s="839" t="s">
        <v>381</v>
      </c>
      <c r="D96" s="839" t="s">
        <v>382</v>
      </c>
      <c r="E96" s="839" t="s">
        <v>382</v>
      </c>
      <c r="F96" s="841">
        <v>45001</v>
      </c>
      <c r="G96" s="840" t="s">
        <v>383</v>
      </c>
      <c r="H96" s="842"/>
      <c r="I96" s="842"/>
      <c r="J96" s="841"/>
      <c r="K96" s="841"/>
      <c r="L96" s="843" t="s">
        <v>106</v>
      </c>
      <c r="M96" s="844" t="s">
        <v>107</v>
      </c>
      <c r="N96" s="841"/>
      <c r="O96" s="841" t="s">
        <v>150</v>
      </c>
      <c r="P96" s="841" t="s">
        <v>384</v>
      </c>
      <c r="Q96" s="843"/>
      <c r="R96" s="845" t="s">
        <v>406</v>
      </c>
      <c r="S96" s="1127" t="s">
        <v>407</v>
      </c>
      <c r="T96" s="843" t="s">
        <v>408</v>
      </c>
      <c r="U96" s="842">
        <v>1</v>
      </c>
      <c r="V96" s="842" t="s">
        <v>3</v>
      </c>
      <c r="W96" s="846"/>
      <c r="X96" s="847">
        <f t="shared" si="14"/>
        <v>0</v>
      </c>
      <c r="Y96" s="848"/>
      <c r="Z96" s="849">
        <v>422.5</v>
      </c>
      <c r="AA96" s="849"/>
      <c r="AB96" s="849">
        <f t="shared" si="15"/>
        <v>422.5</v>
      </c>
      <c r="AC96" s="850">
        <f t="shared" si="16"/>
        <v>422.5</v>
      </c>
      <c r="AD96" s="851"/>
      <c r="AE96" s="852">
        <v>25628.19</v>
      </c>
      <c r="AF96" s="853">
        <v>0</v>
      </c>
      <c r="AG96" s="854">
        <f t="shared" si="17"/>
        <v>0</v>
      </c>
      <c r="AH96" s="853"/>
      <c r="AI96" s="855">
        <f t="shared" si="18"/>
        <v>0</v>
      </c>
      <c r="AJ96" s="845" t="s">
        <v>388</v>
      </c>
      <c r="AK96" s="857" t="s">
        <v>389</v>
      </c>
      <c r="AL96" s="840"/>
      <c r="AM96" s="840"/>
      <c r="AN96" s="858"/>
      <c r="AO96" s="844" t="s">
        <v>141</v>
      </c>
      <c r="AP96" s="859"/>
      <c r="AQ96" s="859" t="s">
        <v>390</v>
      </c>
      <c r="AR96" s="859"/>
      <c r="AS96" s="840"/>
      <c r="AT96" s="840"/>
      <c r="AU96" s="860"/>
      <c r="AV96" s="839" t="s">
        <v>391</v>
      </c>
      <c r="AW96" s="861">
        <v>45154</v>
      </c>
      <c r="AX96" s="862" t="s">
        <v>392</v>
      </c>
      <c r="AY96" s="843"/>
      <c r="AZ96" s="842"/>
      <c r="BA96" s="842" t="s">
        <v>120</v>
      </c>
      <c r="BB96" s="863" t="s">
        <v>121</v>
      </c>
      <c r="BC96" s="864">
        <v>45156</v>
      </c>
      <c r="BD96" s="860" t="s">
        <v>393</v>
      </c>
      <c r="BE96" s="865" cm="1">
        <f t="array" ref="BE96">IF(BD96="","",AC96/SUMPRODUCT(--(BD96=$BD$4:$BD$12824),$AC$4:$AC$12824))</f>
        <v>8.7819580128871338E-2</v>
      </c>
      <c r="BF96" s="458"/>
      <c r="BG96" s="458"/>
      <c r="BH96" s="458"/>
      <c r="BI96" s="458"/>
      <c r="BJ96" s="458"/>
      <c r="BK96" s="458"/>
      <c r="BL96" s="458"/>
      <c r="BM96" s="458"/>
      <c r="BN96" s="458"/>
      <c r="BO96" s="866">
        <f>VLOOKUP(BD96,$BD$4:$BN$12824,3,0)*BE96</f>
        <v>1053057.0557056745</v>
      </c>
      <c r="BP96" s="866"/>
      <c r="BQ96" s="866"/>
      <c r="BR96" s="866">
        <f>VLOOKUP(BD96,$BD$4:$BN$12824,6,0)*BE96</f>
        <v>79633.390147578466</v>
      </c>
      <c r="BS96" s="866">
        <f>VLOOKUP(BD96,$BD$4:$BN$12824,7,0)*BE96</f>
        <v>39518.811057992105</v>
      </c>
      <c r="BT96" s="866"/>
      <c r="BU96" s="866">
        <f>VLOOKUP(BD96,$BD$4:$BN$12824,9,0)*BE96</f>
        <v>360.14809810850136</v>
      </c>
      <c r="BV96" s="867"/>
      <c r="BW96" s="867">
        <f>VLOOKUP(BD96,$BD$4:$BN$12824,11,0)*BE96</f>
        <v>52691.748077322802</v>
      </c>
      <c r="BX96" s="1146">
        <f t="shared" si="22"/>
        <v>1225261.1530866763</v>
      </c>
      <c r="BY96" s="867">
        <f t="shared" si="21"/>
        <v>12053171.428086676</v>
      </c>
      <c r="BZ96" s="867">
        <f t="shared" si="19"/>
        <v>12053171.428086676</v>
      </c>
      <c r="CA96" s="867">
        <f>_xlfn.MAXIFS($BY$4:$BY$12824,$S$4:$S$12824,$S96)</f>
        <v>12053171.428086676</v>
      </c>
      <c r="CB96" s="1032"/>
      <c r="CF96" s="946">
        <f t="shared" si="20"/>
        <v>10827910.275</v>
      </c>
    </row>
    <row r="97" spans="1:84">
      <c r="A97" s="1032"/>
      <c r="B97" s="839" t="s">
        <v>98</v>
      </c>
      <c r="C97" s="839" t="s">
        <v>381</v>
      </c>
      <c r="D97" s="839" t="s">
        <v>382</v>
      </c>
      <c r="E97" s="839" t="s">
        <v>382</v>
      </c>
      <c r="F97" s="841">
        <v>45001</v>
      </c>
      <c r="G97" s="840" t="s">
        <v>383</v>
      </c>
      <c r="H97" s="842"/>
      <c r="I97" s="842"/>
      <c r="J97" s="841"/>
      <c r="K97" s="841"/>
      <c r="L97" s="843" t="s">
        <v>106</v>
      </c>
      <c r="M97" s="844" t="s">
        <v>107</v>
      </c>
      <c r="N97" s="841"/>
      <c r="O97" s="841" t="s">
        <v>150</v>
      </c>
      <c r="P97" s="841" t="s">
        <v>384</v>
      </c>
      <c r="Q97" s="843"/>
      <c r="R97" s="845" t="s">
        <v>409</v>
      </c>
      <c r="S97" s="1127" t="s">
        <v>410</v>
      </c>
      <c r="T97" s="843" t="s">
        <v>411</v>
      </c>
      <c r="U97" s="842">
        <v>1</v>
      </c>
      <c r="V97" s="842" t="s">
        <v>3</v>
      </c>
      <c r="W97" s="846"/>
      <c r="X97" s="847">
        <f t="shared" si="14"/>
        <v>0</v>
      </c>
      <c r="Y97" s="848"/>
      <c r="Z97" s="849">
        <v>416</v>
      </c>
      <c r="AA97" s="849"/>
      <c r="AB97" s="849">
        <f t="shared" si="15"/>
        <v>416</v>
      </c>
      <c r="AC97" s="850">
        <f t="shared" si="16"/>
        <v>416</v>
      </c>
      <c r="AD97" s="851"/>
      <c r="AE97" s="852">
        <v>25628.19</v>
      </c>
      <c r="AF97" s="853">
        <v>0</v>
      </c>
      <c r="AG97" s="854">
        <f t="shared" si="17"/>
        <v>0</v>
      </c>
      <c r="AH97" s="853"/>
      <c r="AI97" s="855">
        <f t="shared" si="18"/>
        <v>0</v>
      </c>
      <c r="AJ97" s="845" t="s">
        <v>388</v>
      </c>
      <c r="AK97" s="857" t="s">
        <v>389</v>
      </c>
      <c r="AL97" s="840"/>
      <c r="AM97" s="840"/>
      <c r="AN97" s="858"/>
      <c r="AO97" s="844" t="s">
        <v>141</v>
      </c>
      <c r="AP97" s="859"/>
      <c r="AQ97" s="859" t="s">
        <v>390</v>
      </c>
      <c r="AR97" s="859"/>
      <c r="AS97" s="840"/>
      <c r="AT97" s="840"/>
      <c r="AU97" s="860"/>
      <c r="AV97" s="839" t="s">
        <v>391</v>
      </c>
      <c r="AW97" s="861">
        <v>45154</v>
      </c>
      <c r="AX97" s="862" t="s">
        <v>392</v>
      </c>
      <c r="AY97" s="843"/>
      <c r="AZ97" s="842"/>
      <c r="BA97" s="842" t="s">
        <v>120</v>
      </c>
      <c r="BB97" s="863" t="s">
        <v>121</v>
      </c>
      <c r="BC97" s="864">
        <v>45156</v>
      </c>
      <c r="BD97" s="860" t="s">
        <v>393</v>
      </c>
      <c r="BE97" s="865" cm="1">
        <f t="array" ref="BE97">IF(BD97="","",AC97/SUMPRODUCT(--(BD97=$BD$4:$BD$12824),$AC$4:$AC$12824))</f>
        <v>8.6468509665350232E-2</v>
      </c>
      <c r="BF97" s="458"/>
      <c r="BG97" s="458"/>
      <c r="BH97" s="458"/>
      <c r="BI97" s="458"/>
      <c r="BJ97" s="458"/>
      <c r="BK97" s="458"/>
      <c r="BL97" s="458"/>
      <c r="BM97" s="458"/>
      <c r="BN97" s="458"/>
      <c r="BO97" s="866">
        <f>VLOOKUP(BD97,$BD$4:$BN$12824,3,0)*BE97</f>
        <v>1036856.1779255872</v>
      </c>
      <c r="BP97" s="866"/>
      <c r="BQ97" s="866"/>
      <c r="BR97" s="866">
        <f>VLOOKUP(BD97,$BD$4:$BN$12824,6,0)*BE97</f>
        <v>78408.261068384949</v>
      </c>
      <c r="BS97" s="866">
        <f>VLOOKUP(BD97,$BD$4:$BN$12824,7,0)*BE97</f>
        <v>38910.829349407606</v>
      </c>
      <c r="BT97" s="866"/>
      <c r="BU97" s="866">
        <f>VLOOKUP(BD97,$BD$4:$BN$12824,9,0)*BE97</f>
        <v>354.6073581376013</v>
      </c>
      <c r="BV97" s="867"/>
      <c r="BW97" s="867">
        <f>VLOOKUP(BD97,$BD$4:$BN$12824,11,0)*BE97</f>
        <v>51881.105799210141</v>
      </c>
      <c r="BX97" s="1146">
        <f t="shared" si="22"/>
        <v>1206410.9815007276</v>
      </c>
      <c r="BY97" s="867">
        <f t="shared" si="21"/>
        <v>11867738.021500727</v>
      </c>
      <c r="BZ97" s="867">
        <f t="shared" si="19"/>
        <v>11867738.021500727</v>
      </c>
      <c r="CA97" s="867">
        <f>_xlfn.MAXIFS($BY$4:$BY$12824,$S$4:$S$12824,$S97)</f>
        <v>11867738.021500727</v>
      </c>
      <c r="CB97" s="1032"/>
      <c r="CF97" s="946">
        <f t="shared" si="20"/>
        <v>10661327.039999999</v>
      </c>
    </row>
    <row r="98" spans="1:84">
      <c r="A98" s="1032"/>
      <c r="B98" s="839" t="s">
        <v>98</v>
      </c>
      <c r="C98" s="839" t="s">
        <v>381</v>
      </c>
      <c r="D98" s="839" t="s">
        <v>382</v>
      </c>
      <c r="E98" s="839" t="s">
        <v>382</v>
      </c>
      <c r="F98" s="841">
        <v>45001</v>
      </c>
      <c r="G98" s="840" t="s">
        <v>383</v>
      </c>
      <c r="H98" s="842"/>
      <c r="I98" s="842"/>
      <c r="J98" s="841"/>
      <c r="K98" s="841"/>
      <c r="L98" s="843" t="s">
        <v>106</v>
      </c>
      <c r="M98" s="844" t="s">
        <v>107</v>
      </c>
      <c r="N98" s="841"/>
      <c r="O98" s="841" t="s">
        <v>135</v>
      </c>
      <c r="P98" s="841" t="s">
        <v>136</v>
      </c>
      <c r="Q98" s="843"/>
      <c r="R98" s="845" t="s">
        <v>412</v>
      </c>
      <c r="S98" s="1127" t="s">
        <v>413</v>
      </c>
      <c r="T98" s="843" t="s">
        <v>414</v>
      </c>
      <c r="U98" s="842">
        <v>3</v>
      </c>
      <c r="V98" s="842" t="s">
        <v>3</v>
      </c>
      <c r="W98" s="846"/>
      <c r="X98" s="847">
        <f t="shared" si="14"/>
        <v>0</v>
      </c>
      <c r="Y98" s="848"/>
      <c r="Z98" s="849">
        <v>79</v>
      </c>
      <c r="AA98" s="849"/>
      <c r="AB98" s="849">
        <f t="shared" si="15"/>
        <v>237</v>
      </c>
      <c r="AC98" s="850">
        <f t="shared" si="16"/>
        <v>237</v>
      </c>
      <c r="AD98" s="851"/>
      <c r="AE98" s="852">
        <v>25628.19</v>
      </c>
      <c r="AF98" s="853">
        <v>0</v>
      </c>
      <c r="AG98" s="854">
        <f t="shared" si="17"/>
        <v>0</v>
      </c>
      <c r="AH98" s="853"/>
      <c r="AI98" s="855">
        <f t="shared" si="18"/>
        <v>0</v>
      </c>
      <c r="AJ98" s="845" t="s">
        <v>388</v>
      </c>
      <c r="AK98" s="857" t="s">
        <v>389</v>
      </c>
      <c r="AL98" s="840"/>
      <c r="AM98" s="840"/>
      <c r="AN98" s="858"/>
      <c r="AO98" s="844" t="s">
        <v>141</v>
      </c>
      <c r="AP98" s="859"/>
      <c r="AQ98" s="859" t="s">
        <v>390</v>
      </c>
      <c r="AR98" s="859"/>
      <c r="AS98" s="840"/>
      <c r="AT98" s="840"/>
      <c r="AU98" s="860"/>
      <c r="AV98" s="839" t="s">
        <v>391</v>
      </c>
      <c r="AW98" s="861">
        <v>45154</v>
      </c>
      <c r="AX98" s="862" t="s">
        <v>392</v>
      </c>
      <c r="AY98" s="843"/>
      <c r="AZ98" s="842"/>
      <c r="BA98" s="842" t="s">
        <v>120</v>
      </c>
      <c r="BB98" s="863" t="s">
        <v>121</v>
      </c>
      <c r="BC98" s="864">
        <v>45156</v>
      </c>
      <c r="BD98" s="860" t="s">
        <v>393</v>
      </c>
      <c r="BE98" s="865" cm="1">
        <f t="array" ref="BE98">IF(BD98="","",AC98/SUMPRODUCT(--(BD98=$BD$4:$BD$12824),$AC$4:$AC$12824))</f>
        <v>4.9262107669923096E-2</v>
      </c>
      <c r="BF98" s="458"/>
      <c r="BG98" s="458"/>
      <c r="BH98" s="458"/>
      <c r="BI98" s="458"/>
      <c r="BJ98" s="458"/>
      <c r="BK98" s="458"/>
      <c r="BL98" s="458"/>
      <c r="BM98" s="458"/>
      <c r="BN98" s="458"/>
      <c r="BO98" s="866">
        <f>VLOOKUP(BD98,$BD$4:$BN$12824,3,0)*BE98</f>
        <v>590708.92828933697</v>
      </c>
      <c r="BP98" s="866"/>
      <c r="BQ98" s="866"/>
      <c r="BR98" s="866">
        <f>VLOOKUP(BD98,$BD$4:$BN$12824,6,0)*BE98</f>
        <v>44670.091041363543</v>
      </c>
      <c r="BS98" s="866">
        <f>VLOOKUP(BD98,$BD$4:$BN$12824,7,0)*BE98</f>
        <v>22167.948451465392</v>
      </c>
      <c r="BT98" s="866"/>
      <c r="BU98" s="866">
        <f>VLOOKUP(BD98,$BD$4:$BN$12824,9,0)*BE98</f>
        <v>202.0239035543546</v>
      </c>
      <c r="BV98" s="867"/>
      <c r="BW98" s="867">
        <f>VLOOKUP(BD98,$BD$4:$BN$12824,11,0)*BE98</f>
        <v>29557.264601953859</v>
      </c>
      <c r="BX98" s="1146">
        <f t="shared" si="22"/>
        <v>687306.25628767407</v>
      </c>
      <c r="BY98" s="867">
        <f t="shared" si="21"/>
        <v>2253729.0954292244</v>
      </c>
      <c r="BZ98" s="867">
        <f t="shared" si="19"/>
        <v>6761187.2862876728</v>
      </c>
      <c r="CA98" s="867">
        <f>_xlfn.MAXIFS($BY$4:$BY$12824,$S$4:$S$12824,$S98)</f>
        <v>2647339.5319618317</v>
      </c>
      <c r="CB98" s="1032"/>
      <c r="CF98" s="946">
        <f t="shared" si="20"/>
        <v>6073881.0299999993</v>
      </c>
    </row>
    <row r="99" spans="1:84">
      <c r="A99" s="1032"/>
      <c r="B99" s="839" t="s">
        <v>98</v>
      </c>
      <c r="C99" s="839" t="s">
        <v>131</v>
      </c>
      <c r="D99" s="839" t="s">
        <v>415</v>
      </c>
      <c r="E99" s="839" t="s">
        <v>416</v>
      </c>
      <c r="F99" s="841">
        <v>45020</v>
      </c>
      <c r="G99" s="840" t="s">
        <v>133</v>
      </c>
      <c r="H99" s="842" t="s">
        <v>134</v>
      </c>
      <c r="I99" s="842"/>
      <c r="J99" s="841"/>
      <c r="K99" s="841"/>
      <c r="L99" s="843" t="s">
        <v>106</v>
      </c>
      <c r="M99" s="844" t="s">
        <v>417</v>
      </c>
      <c r="N99" s="841"/>
      <c r="O99" s="841" t="s">
        <v>150</v>
      </c>
      <c r="P99" s="841" t="s">
        <v>151</v>
      </c>
      <c r="Q99" s="843"/>
      <c r="R99" s="845" t="s">
        <v>418</v>
      </c>
      <c r="S99" s="1127" t="s">
        <v>419</v>
      </c>
      <c r="T99" s="843" t="s">
        <v>420</v>
      </c>
      <c r="U99" s="842">
        <v>10</v>
      </c>
      <c r="V99" s="842" t="s">
        <v>8</v>
      </c>
      <c r="W99" s="846"/>
      <c r="X99" s="847">
        <f t="shared" si="14"/>
        <v>0</v>
      </c>
      <c r="Y99" s="848"/>
      <c r="Z99" s="849">
        <v>109.782</v>
      </c>
      <c r="AA99" s="849"/>
      <c r="AB99" s="849">
        <f t="shared" si="15"/>
        <v>1097.82</v>
      </c>
      <c r="AC99" s="850">
        <f t="shared" si="16"/>
        <v>1097.82</v>
      </c>
      <c r="AD99" s="851"/>
      <c r="AE99" s="852">
        <v>23310</v>
      </c>
      <c r="AF99" s="853">
        <v>0</v>
      </c>
      <c r="AG99" s="854">
        <f t="shared" si="17"/>
        <v>0</v>
      </c>
      <c r="AH99" s="853"/>
      <c r="AI99" s="855">
        <f t="shared" si="18"/>
        <v>0</v>
      </c>
      <c r="AJ99" s="845" t="s">
        <v>421</v>
      </c>
      <c r="AK99" s="857" t="s">
        <v>422</v>
      </c>
      <c r="AL99" s="840"/>
      <c r="AM99" s="840"/>
      <c r="AN99" s="858"/>
      <c r="AO99" s="844" t="s">
        <v>141</v>
      </c>
      <c r="AP99" s="859"/>
      <c r="AQ99" s="859" t="s">
        <v>423</v>
      </c>
      <c r="AR99" s="859"/>
      <c r="AS99" s="840"/>
      <c r="AT99" s="840"/>
      <c r="AU99" s="860"/>
      <c r="AV99" s="839" t="s">
        <v>424</v>
      </c>
      <c r="AW99" s="861">
        <v>45086</v>
      </c>
      <c r="AX99" s="862" t="s">
        <v>425</v>
      </c>
      <c r="AY99" s="843"/>
      <c r="AZ99" s="842"/>
      <c r="BA99" s="842" t="s">
        <v>120</v>
      </c>
      <c r="BB99" s="863" t="s">
        <v>121</v>
      </c>
      <c r="BC99" s="864">
        <v>45086</v>
      </c>
      <c r="BD99" s="860" t="s">
        <v>426</v>
      </c>
      <c r="BE99" s="865" cm="1">
        <f t="array" ref="BE99">IF(BD99="","",AC99/SUMPRODUCT(--(BD99=$BD$4:$BD$12824),$AC$4:$AC$12824))</f>
        <v>2.5832025578273403E-2</v>
      </c>
      <c r="BF99" s="458"/>
      <c r="BG99" s="458"/>
      <c r="BH99" s="458"/>
      <c r="BI99" s="458">
        <f>(14088500+1064000+7400000+1318182+1065000+210000)</f>
        <v>25145682</v>
      </c>
      <c r="BJ99" s="458">
        <v>1324291</v>
      </c>
      <c r="BK99" s="458">
        <v>36450000</v>
      </c>
      <c r="BL99" s="458">
        <v>500000</v>
      </c>
      <c r="BM99" s="458"/>
      <c r="BN99" s="458">
        <f>1000000</f>
        <v>1000000</v>
      </c>
      <c r="BO99" s="866">
        <f>VLOOKUP(BD99,$BD$4:$BN$12824,3,0)*BE99</f>
        <v>0</v>
      </c>
      <c r="BP99" s="866"/>
      <c r="BQ99" s="866"/>
      <c r="BR99" s="866">
        <f>VLOOKUP(BD99,$BD$4:$BN$12824,6,0)*BE99</f>
        <v>649563.90060712909</v>
      </c>
      <c r="BS99" s="866">
        <f>VLOOKUP(BD99,$BD$4:$BN$12824,7,0)*BE99</f>
        <v>34209.118985077264</v>
      </c>
      <c r="BT99" s="866"/>
      <c r="BU99" s="866">
        <f>VLOOKUP(BD99,$BD$4:$BN$12824,9,0)*BE99</f>
        <v>12916.012789136701</v>
      </c>
      <c r="BV99" s="867"/>
      <c r="BW99" s="867">
        <f>VLOOKUP(BD99,$BD$4:$BN$12824,11,0)*BE99</f>
        <v>25832.025578273402</v>
      </c>
      <c r="BX99" s="1146">
        <f>SUM(BO99:BW99)</f>
        <v>722521.05795961642</v>
      </c>
      <c r="BY99" s="867">
        <f t="shared" si="21"/>
        <v>2631270.5257959617</v>
      </c>
      <c r="BZ99" s="867">
        <f t="shared" si="19"/>
        <v>26312705.257959619</v>
      </c>
      <c r="CA99" s="867">
        <f>_xlfn.MAXIFS($BY$4:$BY$12824,$S$4:$S$12824,$S99)</f>
        <v>4043720.0714882086</v>
      </c>
      <c r="CB99" s="1032"/>
      <c r="CF99" s="946">
        <f t="shared" si="20"/>
        <v>25590184.199999999</v>
      </c>
    </row>
    <row r="100" spans="1:84">
      <c r="A100" s="1032"/>
      <c r="B100" s="839" t="s">
        <v>98</v>
      </c>
      <c r="C100" s="839" t="s">
        <v>131</v>
      </c>
      <c r="D100" s="839" t="s">
        <v>415</v>
      </c>
      <c r="E100" s="839" t="s">
        <v>416</v>
      </c>
      <c r="F100" s="841">
        <v>45020</v>
      </c>
      <c r="G100" s="840" t="s">
        <v>133</v>
      </c>
      <c r="H100" s="842" t="s">
        <v>134</v>
      </c>
      <c r="I100" s="842"/>
      <c r="J100" s="841"/>
      <c r="K100" s="841"/>
      <c r="L100" s="843" t="s">
        <v>106</v>
      </c>
      <c r="M100" s="844" t="s">
        <v>417</v>
      </c>
      <c r="N100" s="841"/>
      <c r="O100" s="841" t="s">
        <v>150</v>
      </c>
      <c r="P100" s="841" t="s">
        <v>151</v>
      </c>
      <c r="Q100" s="843"/>
      <c r="R100" s="845" t="s">
        <v>427</v>
      </c>
      <c r="S100" s="1127" t="s">
        <v>428</v>
      </c>
      <c r="T100" s="843" t="s">
        <v>429</v>
      </c>
      <c r="U100" s="842">
        <v>26</v>
      </c>
      <c r="V100" s="842" t="s">
        <v>8</v>
      </c>
      <c r="W100" s="846"/>
      <c r="X100" s="847">
        <f t="shared" si="14"/>
        <v>0</v>
      </c>
      <c r="Y100" s="848"/>
      <c r="Z100" s="849">
        <v>109.78192</v>
      </c>
      <c r="AA100" s="849"/>
      <c r="AB100" s="849">
        <f t="shared" si="15"/>
        <v>2854.3299200000001</v>
      </c>
      <c r="AC100" s="850">
        <f t="shared" si="16"/>
        <v>2854.3299200000001</v>
      </c>
      <c r="AD100" s="851"/>
      <c r="AE100" s="852">
        <v>23310</v>
      </c>
      <c r="AF100" s="853">
        <v>0</v>
      </c>
      <c r="AG100" s="854">
        <f t="shared" si="17"/>
        <v>0</v>
      </c>
      <c r="AH100" s="853"/>
      <c r="AI100" s="855">
        <f t="shared" si="18"/>
        <v>0</v>
      </c>
      <c r="AJ100" s="845" t="s">
        <v>421</v>
      </c>
      <c r="AK100" s="857" t="s">
        <v>422</v>
      </c>
      <c r="AL100" s="840"/>
      <c r="AM100" s="840"/>
      <c r="AN100" s="858"/>
      <c r="AO100" s="844" t="s">
        <v>141</v>
      </c>
      <c r="AP100" s="859"/>
      <c r="AQ100" s="859" t="s">
        <v>423</v>
      </c>
      <c r="AR100" s="859"/>
      <c r="AS100" s="840"/>
      <c r="AT100" s="840"/>
      <c r="AU100" s="860"/>
      <c r="AV100" s="839" t="s">
        <v>424</v>
      </c>
      <c r="AW100" s="861">
        <v>45086</v>
      </c>
      <c r="AX100" s="862" t="s">
        <v>425</v>
      </c>
      <c r="AY100" s="843"/>
      <c r="AZ100" s="842"/>
      <c r="BA100" s="842" t="s">
        <v>120</v>
      </c>
      <c r="BB100" s="863" t="s">
        <v>121</v>
      </c>
      <c r="BC100" s="864">
        <v>45086</v>
      </c>
      <c r="BD100" s="860" t="s">
        <v>426</v>
      </c>
      <c r="BE100" s="865" cm="1">
        <f t="array" ref="BE100">IF(BD100="","",AC100/SUMPRODUCT(--(BD100=$BD$4:$BD$12824),$AC$4:$AC$12824))</f>
        <v>6.7163217560502711E-2</v>
      </c>
      <c r="BF100" s="458"/>
      <c r="BG100" s="458"/>
      <c r="BH100" s="458"/>
      <c r="BI100" s="458"/>
      <c r="BJ100" s="458"/>
      <c r="BK100" s="458"/>
      <c r="BL100" s="458"/>
      <c r="BM100" s="458"/>
      <c r="BN100" s="458"/>
      <c r="BO100" s="866">
        <f>VLOOKUP(BD100,$BD$4:$BN$12824,3,0)*BE100</f>
        <v>0</v>
      </c>
      <c r="BP100" s="866"/>
      <c r="BQ100" s="866"/>
      <c r="BR100" s="866">
        <f>VLOOKUP(BD100,$BD$4:$BN$12824,6,0)*BE100</f>
        <v>1688864.910873217</v>
      </c>
      <c r="BS100" s="866">
        <f>VLOOKUP(BD100,$BD$4:$BN$12824,7,0)*BE100</f>
        <v>88943.6445464157</v>
      </c>
      <c r="BT100" s="866"/>
      <c r="BU100" s="866">
        <f>VLOOKUP(BD100,$BD$4:$BN$12824,9,0)*BE100</f>
        <v>33581.608780251358</v>
      </c>
      <c r="BV100" s="867"/>
      <c r="BW100" s="867">
        <f>VLOOKUP(BD100,$BD$4:$BN$12824,11,0)*BE100</f>
        <v>67163.217560502715</v>
      </c>
      <c r="BX100" s="1146">
        <f t="shared" ref="BX100:BX135" si="23">SUM(BO100:BW100)</f>
        <v>1878553.3817603868</v>
      </c>
      <c r="BY100" s="867">
        <f t="shared" si="21"/>
        <v>2631268.6083446303</v>
      </c>
      <c r="BZ100" s="867">
        <f t="shared" si="19"/>
        <v>68412983.816960394</v>
      </c>
      <c r="CA100" s="867">
        <f>_xlfn.MAXIFS($BY$4:$BY$12824,$S$4:$S$12824,$S100)</f>
        <v>2631268.6083446303</v>
      </c>
      <c r="CB100" s="1032"/>
      <c r="CF100" s="946">
        <f t="shared" si="20"/>
        <v>66534430.435200006</v>
      </c>
    </row>
    <row r="101" spans="1:84">
      <c r="A101" s="1032"/>
      <c r="B101" s="839" t="s">
        <v>98</v>
      </c>
      <c r="C101" s="839" t="s">
        <v>131</v>
      </c>
      <c r="D101" s="839" t="s">
        <v>415</v>
      </c>
      <c r="E101" s="839" t="s">
        <v>416</v>
      </c>
      <c r="F101" s="841">
        <v>45020</v>
      </c>
      <c r="G101" s="840" t="s">
        <v>133</v>
      </c>
      <c r="H101" s="842" t="s">
        <v>134</v>
      </c>
      <c r="I101" s="842"/>
      <c r="J101" s="841"/>
      <c r="K101" s="841"/>
      <c r="L101" s="843" t="s">
        <v>106</v>
      </c>
      <c r="M101" s="844" t="s">
        <v>417</v>
      </c>
      <c r="N101" s="841"/>
      <c r="O101" s="841" t="s">
        <v>150</v>
      </c>
      <c r="P101" s="841" t="s">
        <v>151</v>
      </c>
      <c r="Q101" s="843"/>
      <c r="R101" s="845" t="s">
        <v>430</v>
      </c>
      <c r="S101" s="1127" t="s">
        <v>431</v>
      </c>
      <c r="T101" s="843" t="s">
        <v>432</v>
      </c>
      <c r="U101" s="842">
        <v>4</v>
      </c>
      <c r="V101" s="842" t="s">
        <v>8</v>
      </c>
      <c r="W101" s="846"/>
      <c r="X101" s="847">
        <f t="shared" si="14"/>
        <v>0</v>
      </c>
      <c r="Y101" s="848"/>
      <c r="Z101" s="849">
        <v>125.1725</v>
      </c>
      <c r="AA101" s="849"/>
      <c r="AB101" s="849">
        <f t="shared" si="15"/>
        <v>500.69</v>
      </c>
      <c r="AC101" s="850">
        <f t="shared" si="16"/>
        <v>500.69</v>
      </c>
      <c r="AD101" s="851"/>
      <c r="AE101" s="852">
        <v>23310</v>
      </c>
      <c r="AF101" s="853">
        <v>0</v>
      </c>
      <c r="AG101" s="854">
        <f t="shared" si="17"/>
        <v>0</v>
      </c>
      <c r="AH101" s="853"/>
      <c r="AI101" s="855">
        <f t="shared" si="18"/>
        <v>0</v>
      </c>
      <c r="AJ101" s="845" t="s">
        <v>421</v>
      </c>
      <c r="AK101" s="857" t="s">
        <v>422</v>
      </c>
      <c r="AL101" s="840"/>
      <c r="AM101" s="840"/>
      <c r="AN101" s="858"/>
      <c r="AO101" s="844" t="s">
        <v>141</v>
      </c>
      <c r="AP101" s="859"/>
      <c r="AQ101" s="859" t="s">
        <v>423</v>
      </c>
      <c r="AR101" s="859"/>
      <c r="AS101" s="840"/>
      <c r="AT101" s="840"/>
      <c r="AU101" s="860"/>
      <c r="AV101" s="839" t="s">
        <v>424</v>
      </c>
      <c r="AW101" s="861">
        <v>45086</v>
      </c>
      <c r="AX101" s="862" t="s">
        <v>425</v>
      </c>
      <c r="AY101" s="843"/>
      <c r="AZ101" s="842"/>
      <c r="BA101" s="842" t="s">
        <v>120</v>
      </c>
      <c r="BB101" s="863" t="s">
        <v>121</v>
      </c>
      <c r="BC101" s="864">
        <v>45086</v>
      </c>
      <c r="BD101" s="860" t="s">
        <v>426</v>
      </c>
      <c r="BE101" s="865" cm="1">
        <f t="array" ref="BE101">IF(BD101="","",AC101/SUMPRODUCT(--(BD101=$BD$4:$BD$12824),$AC$4:$AC$12824))</f>
        <v>1.1781382090675804E-2</v>
      </c>
      <c r="BF101" s="458"/>
      <c r="BG101" s="458"/>
      <c r="BH101" s="458"/>
      <c r="BI101" s="458"/>
      <c r="BJ101" s="458"/>
      <c r="BK101" s="458"/>
      <c r="BL101" s="458"/>
      <c r="BM101" s="458"/>
      <c r="BN101" s="458"/>
      <c r="BO101" s="866">
        <f>VLOOKUP(BD101,$BD$4:$BN$12824,3,0)*BE101</f>
        <v>0</v>
      </c>
      <c r="BP101" s="866"/>
      <c r="BQ101" s="866"/>
      <c r="BR101" s="866">
        <f>VLOOKUP(BD101,$BD$4:$BN$12824,6,0)*BE101</f>
        <v>296250.88757262891</v>
      </c>
      <c r="BS101" s="866">
        <f>VLOOKUP(BD101,$BD$4:$BN$12824,7,0)*BE101</f>
        <v>15601.978270243151</v>
      </c>
      <c r="BT101" s="866"/>
      <c r="BU101" s="866">
        <f>VLOOKUP(BD101,$BD$4:$BN$12824,9,0)*BE101</f>
        <v>5890.6910453379014</v>
      </c>
      <c r="BV101" s="867"/>
      <c r="BW101" s="867">
        <f>VLOOKUP(BD101,$BD$4:$BN$12824,11,0)*BE101</f>
        <v>11781.382090675803</v>
      </c>
      <c r="BX101" s="1146">
        <f t="shared" si="23"/>
        <v>329524.93897888577</v>
      </c>
      <c r="BY101" s="867">
        <f t="shared" si="21"/>
        <v>3000152.2097447217</v>
      </c>
      <c r="BZ101" s="867">
        <f t="shared" si="19"/>
        <v>12000608.838978887</v>
      </c>
      <c r="CA101" s="867">
        <f>_xlfn.MAXIFS($BY$4:$BY$12824,$S$4:$S$12824,$S101)</f>
        <v>3000152.2097447217</v>
      </c>
      <c r="CB101" s="1032"/>
      <c r="CF101" s="946">
        <f t="shared" si="20"/>
        <v>11671083.9</v>
      </c>
    </row>
    <row r="102" spans="1:84">
      <c r="A102" s="1032"/>
      <c r="B102" s="839" t="s">
        <v>98</v>
      </c>
      <c r="C102" s="839" t="s">
        <v>131</v>
      </c>
      <c r="D102" s="839" t="s">
        <v>415</v>
      </c>
      <c r="E102" s="839" t="s">
        <v>416</v>
      </c>
      <c r="F102" s="841">
        <v>45020</v>
      </c>
      <c r="G102" s="840" t="s">
        <v>133</v>
      </c>
      <c r="H102" s="842" t="s">
        <v>134</v>
      </c>
      <c r="I102" s="842"/>
      <c r="J102" s="841"/>
      <c r="K102" s="841"/>
      <c r="L102" s="843" t="s">
        <v>106</v>
      </c>
      <c r="M102" s="844" t="s">
        <v>417</v>
      </c>
      <c r="N102" s="841"/>
      <c r="O102" s="841" t="s">
        <v>150</v>
      </c>
      <c r="P102" s="841" t="s">
        <v>151</v>
      </c>
      <c r="Q102" s="843"/>
      <c r="R102" s="845" t="s">
        <v>433</v>
      </c>
      <c r="S102" s="1127" t="s">
        <v>434</v>
      </c>
      <c r="T102" s="843" t="s">
        <v>435</v>
      </c>
      <c r="U102" s="842">
        <v>24</v>
      </c>
      <c r="V102" s="842" t="s">
        <v>8</v>
      </c>
      <c r="W102" s="846"/>
      <c r="X102" s="847">
        <f t="shared" si="14"/>
        <v>0</v>
      </c>
      <c r="Y102" s="848"/>
      <c r="Z102" s="849">
        <v>125.17207999999999</v>
      </c>
      <c r="AA102" s="849"/>
      <c r="AB102" s="849">
        <f t="shared" si="15"/>
        <v>3004.1299199999999</v>
      </c>
      <c r="AC102" s="850">
        <f t="shared" si="16"/>
        <v>3004.1299199999999</v>
      </c>
      <c r="AD102" s="851"/>
      <c r="AE102" s="852">
        <v>23310</v>
      </c>
      <c r="AF102" s="853">
        <v>0</v>
      </c>
      <c r="AG102" s="854">
        <f t="shared" si="17"/>
        <v>0</v>
      </c>
      <c r="AH102" s="853"/>
      <c r="AI102" s="855">
        <f t="shared" si="18"/>
        <v>0</v>
      </c>
      <c r="AJ102" s="845" t="s">
        <v>421</v>
      </c>
      <c r="AK102" s="857" t="s">
        <v>422</v>
      </c>
      <c r="AL102" s="840"/>
      <c r="AM102" s="840"/>
      <c r="AN102" s="858"/>
      <c r="AO102" s="844" t="s">
        <v>141</v>
      </c>
      <c r="AP102" s="859"/>
      <c r="AQ102" s="859" t="s">
        <v>423</v>
      </c>
      <c r="AR102" s="859"/>
      <c r="AS102" s="840"/>
      <c r="AT102" s="840"/>
      <c r="AU102" s="860"/>
      <c r="AV102" s="839" t="s">
        <v>424</v>
      </c>
      <c r="AW102" s="861">
        <v>45086</v>
      </c>
      <c r="AX102" s="862" t="s">
        <v>425</v>
      </c>
      <c r="AY102" s="843"/>
      <c r="AZ102" s="842"/>
      <c r="BA102" s="842" t="s">
        <v>120</v>
      </c>
      <c r="BB102" s="863" t="s">
        <v>121</v>
      </c>
      <c r="BC102" s="864">
        <v>45086</v>
      </c>
      <c r="BD102" s="860" t="s">
        <v>426</v>
      </c>
      <c r="BE102" s="865" cm="1">
        <f t="array" ref="BE102">IF(BD102="","",AC102/SUMPRODUCT(--(BD102=$BD$4:$BD$12824),$AC$4:$AC$12824))</f>
        <v>7.0688055358707647E-2</v>
      </c>
      <c r="BF102" s="458"/>
      <c r="BG102" s="458"/>
      <c r="BH102" s="458"/>
      <c r="BI102" s="458"/>
      <c r="BJ102" s="458"/>
      <c r="BK102" s="458"/>
      <c r="BL102" s="458"/>
      <c r="BM102" s="458"/>
      <c r="BN102" s="458"/>
      <c r="BO102" s="866">
        <f>VLOOKUP(BD102,$BD$4:$BN$12824,3,0)*BE102</f>
        <v>0</v>
      </c>
      <c r="BP102" s="866"/>
      <c r="BQ102" s="866"/>
      <c r="BR102" s="866">
        <f>VLOOKUP(BD102,$BD$4:$BN$12824,6,0)*BE102</f>
        <v>1777499.3612484585</v>
      </c>
      <c r="BS102" s="866">
        <f>VLOOKUP(BD102,$BD$4:$BN$12824,7,0)*BE102</f>
        <v>93611.555519038302</v>
      </c>
      <c r="BT102" s="866"/>
      <c r="BU102" s="866">
        <f>VLOOKUP(BD102,$BD$4:$BN$12824,9,0)*BE102</f>
        <v>35344.027679353821</v>
      </c>
      <c r="BV102" s="867"/>
      <c r="BW102" s="867">
        <f>VLOOKUP(BD102,$BD$4:$BN$12824,11,0)*BE102</f>
        <v>70688.055358707643</v>
      </c>
      <c r="BX102" s="1146">
        <f t="shared" si="23"/>
        <v>1977142.9998055582</v>
      </c>
      <c r="BY102" s="867">
        <f t="shared" si="21"/>
        <v>3000142.1431252309</v>
      </c>
      <c r="BZ102" s="867">
        <f t="shared" si="19"/>
        <v>72003411.435005546</v>
      </c>
      <c r="CA102" s="867">
        <f>_xlfn.MAXIFS($BY$4:$BY$12824,$S$4:$S$12824,$S102)</f>
        <v>3000142.1431252309</v>
      </c>
      <c r="CB102" s="1032"/>
      <c r="CF102" s="946">
        <f t="shared" si="20"/>
        <v>70026268.435199991</v>
      </c>
    </row>
    <row r="103" spans="1:84">
      <c r="A103" s="1032"/>
      <c r="B103" s="839" t="s">
        <v>98</v>
      </c>
      <c r="C103" s="839" t="s">
        <v>131</v>
      </c>
      <c r="D103" s="839" t="s">
        <v>415</v>
      </c>
      <c r="E103" s="839" t="s">
        <v>416</v>
      </c>
      <c r="F103" s="841">
        <v>45020</v>
      </c>
      <c r="G103" s="840" t="s">
        <v>133</v>
      </c>
      <c r="H103" s="842" t="s">
        <v>134</v>
      </c>
      <c r="I103" s="842"/>
      <c r="J103" s="841"/>
      <c r="K103" s="841"/>
      <c r="L103" s="843" t="s">
        <v>106</v>
      </c>
      <c r="M103" s="844" t="s">
        <v>417</v>
      </c>
      <c r="N103" s="841"/>
      <c r="O103" s="841" t="s">
        <v>150</v>
      </c>
      <c r="P103" s="841" t="s">
        <v>151</v>
      </c>
      <c r="Q103" s="843"/>
      <c r="R103" s="845" t="s">
        <v>436</v>
      </c>
      <c r="S103" s="1127" t="s">
        <v>437</v>
      </c>
      <c r="T103" s="843" t="s">
        <v>438</v>
      </c>
      <c r="U103" s="842">
        <v>2</v>
      </c>
      <c r="V103" s="842" t="s">
        <v>8</v>
      </c>
      <c r="W103" s="846"/>
      <c r="X103" s="847">
        <f t="shared" si="14"/>
        <v>0</v>
      </c>
      <c r="Y103" s="848"/>
      <c r="Z103" s="849">
        <v>132.86500000000001</v>
      </c>
      <c r="AA103" s="849"/>
      <c r="AB103" s="849">
        <f t="shared" si="15"/>
        <v>265.73</v>
      </c>
      <c r="AC103" s="850">
        <f t="shared" si="16"/>
        <v>265.73</v>
      </c>
      <c r="AD103" s="851"/>
      <c r="AE103" s="852">
        <v>23310</v>
      </c>
      <c r="AF103" s="853">
        <v>0</v>
      </c>
      <c r="AG103" s="854">
        <f t="shared" si="17"/>
        <v>0</v>
      </c>
      <c r="AH103" s="853"/>
      <c r="AI103" s="855">
        <f t="shared" si="18"/>
        <v>0</v>
      </c>
      <c r="AJ103" s="845" t="s">
        <v>421</v>
      </c>
      <c r="AK103" s="857" t="s">
        <v>422</v>
      </c>
      <c r="AL103" s="840"/>
      <c r="AM103" s="840"/>
      <c r="AN103" s="858"/>
      <c r="AO103" s="844" t="s">
        <v>141</v>
      </c>
      <c r="AP103" s="859"/>
      <c r="AQ103" s="859" t="s">
        <v>423</v>
      </c>
      <c r="AR103" s="859"/>
      <c r="AS103" s="840"/>
      <c r="AT103" s="840"/>
      <c r="AU103" s="860"/>
      <c r="AV103" s="839" t="s">
        <v>424</v>
      </c>
      <c r="AW103" s="861">
        <v>45086</v>
      </c>
      <c r="AX103" s="862" t="s">
        <v>425</v>
      </c>
      <c r="AY103" s="843"/>
      <c r="AZ103" s="842"/>
      <c r="BA103" s="842" t="s">
        <v>120</v>
      </c>
      <c r="BB103" s="863" t="s">
        <v>121</v>
      </c>
      <c r="BC103" s="864">
        <v>45086</v>
      </c>
      <c r="BD103" s="860" t="s">
        <v>426</v>
      </c>
      <c r="BE103" s="865" cm="1">
        <f t="array" ref="BE103">IF(BD103="","",AC103/SUMPRODUCT(--(BD103=$BD$4:$BD$12824),$AC$4:$AC$12824))</f>
        <v>6.2527045935714346E-3</v>
      </c>
      <c r="BF103" s="458"/>
      <c r="BG103" s="458"/>
      <c r="BH103" s="458"/>
      <c r="BI103" s="458"/>
      <c r="BJ103" s="458"/>
      <c r="BK103" s="458"/>
      <c r="BL103" s="458"/>
      <c r="BM103" s="458"/>
      <c r="BN103" s="458"/>
      <c r="BO103" s="866">
        <f>VLOOKUP(BD103,$BD$4:$BN$12824,3,0)*BE103</f>
        <v>0</v>
      </c>
      <c r="BP103" s="866"/>
      <c r="BQ103" s="866"/>
      <c r="BR103" s="866">
        <f>VLOOKUP(BD103,$BD$4:$BN$12824,6,0)*BE103</f>
        <v>157228.52134988655</v>
      </c>
      <c r="BS103" s="866">
        <f>VLOOKUP(BD103,$BD$4:$BN$12824,7,0)*BE103</f>
        <v>8280.4004189253083</v>
      </c>
      <c r="BT103" s="866"/>
      <c r="BU103" s="866">
        <f>VLOOKUP(BD103,$BD$4:$BN$12824,9,0)*BE103</f>
        <v>3126.3522967857175</v>
      </c>
      <c r="BV103" s="867"/>
      <c r="BW103" s="867">
        <f>VLOOKUP(BD103,$BD$4:$BN$12824,11,0)*BE103</f>
        <v>6252.704593571435</v>
      </c>
      <c r="BX103" s="1146">
        <f t="shared" si="23"/>
        <v>174887.97865916899</v>
      </c>
      <c r="BY103" s="867">
        <f t="shared" si="21"/>
        <v>3184527.1393295848</v>
      </c>
      <c r="BZ103" s="867">
        <f t="shared" si="19"/>
        <v>6369054.2786591696</v>
      </c>
      <c r="CA103" s="867">
        <f>_xlfn.MAXIFS($BY$4:$BY$12824,$S$4:$S$12824,$S103)</f>
        <v>3548804.1908074636</v>
      </c>
      <c r="CB103" s="1032"/>
      <c r="CF103" s="946">
        <f t="shared" si="20"/>
        <v>6194166.3000000007</v>
      </c>
    </row>
    <row r="104" spans="1:84">
      <c r="A104" s="1032"/>
      <c r="B104" s="839" t="s">
        <v>98</v>
      </c>
      <c r="C104" s="839" t="s">
        <v>131</v>
      </c>
      <c r="D104" s="839" t="s">
        <v>415</v>
      </c>
      <c r="E104" s="839" t="s">
        <v>416</v>
      </c>
      <c r="F104" s="841">
        <v>45020</v>
      </c>
      <c r="G104" s="840" t="s">
        <v>133</v>
      </c>
      <c r="H104" s="842" t="s">
        <v>134</v>
      </c>
      <c r="I104" s="842"/>
      <c r="J104" s="841"/>
      <c r="K104" s="841"/>
      <c r="L104" s="843" t="s">
        <v>106</v>
      </c>
      <c r="M104" s="844" t="s">
        <v>417</v>
      </c>
      <c r="N104" s="841"/>
      <c r="O104" s="841" t="s">
        <v>150</v>
      </c>
      <c r="P104" s="841" t="s">
        <v>151</v>
      </c>
      <c r="Q104" s="843"/>
      <c r="R104" s="845" t="s">
        <v>439</v>
      </c>
      <c r="S104" s="1127" t="s">
        <v>440</v>
      </c>
      <c r="T104" s="843" t="s">
        <v>441</v>
      </c>
      <c r="U104" s="842">
        <v>6</v>
      </c>
      <c r="V104" s="842" t="s">
        <v>8</v>
      </c>
      <c r="W104" s="846"/>
      <c r="X104" s="847">
        <f t="shared" si="14"/>
        <v>0</v>
      </c>
      <c r="Y104" s="848"/>
      <c r="Z104" s="849">
        <v>132.86666</v>
      </c>
      <c r="AA104" s="849"/>
      <c r="AB104" s="849">
        <f t="shared" si="15"/>
        <v>797.19995999999992</v>
      </c>
      <c r="AC104" s="850">
        <f t="shared" si="16"/>
        <v>797.19995999999992</v>
      </c>
      <c r="AD104" s="851"/>
      <c r="AE104" s="852">
        <v>23310</v>
      </c>
      <c r="AF104" s="853">
        <v>0</v>
      </c>
      <c r="AG104" s="854">
        <f t="shared" si="17"/>
        <v>0</v>
      </c>
      <c r="AH104" s="853"/>
      <c r="AI104" s="855">
        <f t="shared" si="18"/>
        <v>0</v>
      </c>
      <c r="AJ104" s="845" t="s">
        <v>421</v>
      </c>
      <c r="AK104" s="857" t="s">
        <v>422</v>
      </c>
      <c r="AL104" s="840"/>
      <c r="AM104" s="840"/>
      <c r="AN104" s="858"/>
      <c r="AO104" s="844" t="s">
        <v>141</v>
      </c>
      <c r="AP104" s="859"/>
      <c r="AQ104" s="859" t="s">
        <v>423</v>
      </c>
      <c r="AR104" s="859"/>
      <c r="AS104" s="840"/>
      <c r="AT104" s="840"/>
      <c r="AU104" s="860"/>
      <c r="AV104" s="839" t="s">
        <v>424</v>
      </c>
      <c r="AW104" s="861">
        <v>45086</v>
      </c>
      <c r="AX104" s="862" t="s">
        <v>425</v>
      </c>
      <c r="AY104" s="843"/>
      <c r="AZ104" s="842"/>
      <c r="BA104" s="842" t="s">
        <v>120</v>
      </c>
      <c r="BB104" s="863" t="s">
        <v>121</v>
      </c>
      <c r="BC104" s="864">
        <v>45086</v>
      </c>
      <c r="BD104" s="860" t="s">
        <v>426</v>
      </c>
      <c r="BE104" s="865" cm="1">
        <f t="array" ref="BE104">IF(BD104="","",AC104/SUMPRODUCT(--(BD104=$BD$4:$BD$12824),$AC$4:$AC$12824))</f>
        <v>1.8758348142426384E-2</v>
      </c>
      <c r="BF104" s="458"/>
      <c r="BG104" s="458"/>
      <c r="BH104" s="458"/>
      <c r="BI104" s="458"/>
      <c r="BJ104" s="458"/>
      <c r="BK104" s="458"/>
      <c r="BL104" s="458"/>
      <c r="BM104" s="458"/>
      <c r="BN104" s="458"/>
      <c r="BO104" s="866">
        <f>VLOOKUP(BD104,$BD$4:$BN$12824,3,0)*BE104</f>
        <v>0</v>
      </c>
      <c r="BP104" s="866"/>
      <c r="BQ104" s="866"/>
      <c r="BR104" s="866">
        <f>VLOOKUP(BD104,$BD$4:$BN$12824,6,0)*BE104</f>
        <v>471691.45723474456</v>
      </c>
      <c r="BS104" s="866">
        <f>VLOOKUP(BD104,$BD$4:$BN$12824,7,0)*BE104</f>
        <v>24841.511619881978</v>
      </c>
      <c r="BT104" s="866"/>
      <c r="BU104" s="866">
        <f>VLOOKUP(BD104,$BD$4:$BN$12824,9,0)*BE104</f>
        <v>9379.1740712131923</v>
      </c>
      <c r="BV104" s="867"/>
      <c r="BW104" s="867">
        <f>VLOOKUP(BD104,$BD$4:$BN$12824,11,0)*BE104</f>
        <v>18758.348142426385</v>
      </c>
      <c r="BX104" s="1146">
        <f t="shared" si="23"/>
        <v>524670.4910682661</v>
      </c>
      <c r="BY104" s="867">
        <f t="shared" si="21"/>
        <v>3184566.9264447107</v>
      </c>
      <c r="BZ104" s="867">
        <f t="shared" si="19"/>
        <v>19107401.558668263</v>
      </c>
      <c r="CA104" s="867">
        <f>_xlfn.MAXIFS($BY$4:$BY$12824,$S$4:$S$12824,$S104)</f>
        <v>3184566.9264447107</v>
      </c>
      <c r="CB104" s="1032"/>
      <c r="CF104" s="946">
        <f t="shared" si="20"/>
        <v>18582731.067599997</v>
      </c>
    </row>
    <row r="105" spans="1:84">
      <c r="A105" s="1032"/>
      <c r="B105" s="839" t="s">
        <v>98</v>
      </c>
      <c r="C105" s="839" t="s">
        <v>131</v>
      </c>
      <c r="D105" s="839" t="s">
        <v>415</v>
      </c>
      <c r="E105" s="839" t="s">
        <v>416</v>
      </c>
      <c r="F105" s="841">
        <v>45020</v>
      </c>
      <c r="G105" s="840" t="s">
        <v>133</v>
      </c>
      <c r="H105" s="842" t="s">
        <v>134</v>
      </c>
      <c r="I105" s="842"/>
      <c r="J105" s="841"/>
      <c r="K105" s="841"/>
      <c r="L105" s="843" t="s">
        <v>106</v>
      </c>
      <c r="M105" s="844" t="s">
        <v>417</v>
      </c>
      <c r="N105" s="841"/>
      <c r="O105" s="841" t="s">
        <v>150</v>
      </c>
      <c r="P105" s="841" t="s">
        <v>151</v>
      </c>
      <c r="Q105" s="843"/>
      <c r="R105" s="845" t="s">
        <v>442</v>
      </c>
      <c r="S105" s="1127" t="s">
        <v>443</v>
      </c>
      <c r="T105" s="843" t="s">
        <v>444</v>
      </c>
      <c r="U105" s="842">
        <v>2</v>
      </c>
      <c r="V105" s="842" t="s">
        <v>8</v>
      </c>
      <c r="W105" s="846"/>
      <c r="X105" s="847">
        <f t="shared" si="14"/>
        <v>0</v>
      </c>
      <c r="Y105" s="848"/>
      <c r="Z105" s="849">
        <v>148.77000000000001</v>
      </c>
      <c r="AA105" s="849"/>
      <c r="AB105" s="849">
        <f t="shared" si="15"/>
        <v>297.54000000000002</v>
      </c>
      <c r="AC105" s="850">
        <f t="shared" si="16"/>
        <v>297.54000000000002</v>
      </c>
      <c r="AD105" s="851"/>
      <c r="AE105" s="852">
        <v>23310</v>
      </c>
      <c r="AF105" s="853">
        <v>0</v>
      </c>
      <c r="AG105" s="854">
        <f t="shared" si="17"/>
        <v>0</v>
      </c>
      <c r="AH105" s="853"/>
      <c r="AI105" s="855">
        <f t="shared" si="18"/>
        <v>0</v>
      </c>
      <c r="AJ105" s="845" t="s">
        <v>421</v>
      </c>
      <c r="AK105" s="857" t="s">
        <v>422</v>
      </c>
      <c r="AL105" s="840"/>
      <c r="AM105" s="840"/>
      <c r="AN105" s="858"/>
      <c r="AO105" s="844" t="s">
        <v>141</v>
      </c>
      <c r="AP105" s="859"/>
      <c r="AQ105" s="859" t="s">
        <v>423</v>
      </c>
      <c r="AR105" s="859"/>
      <c r="AS105" s="840"/>
      <c r="AT105" s="840"/>
      <c r="AU105" s="860"/>
      <c r="AV105" s="839" t="s">
        <v>424</v>
      </c>
      <c r="AW105" s="861">
        <v>45086</v>
      </c>
      <c r="AX105" s="862" t="s">
        <v>425</v>
      </c>
      <c r="AY105" s="843"/>
      <c r="AZ105" s="842"/>
      <c r="BA105" s="842" t="s">
        <v>120</v>
      </c>
      <c r="BB105" s="863" t="s">
        <v>121</v>
      </c>
      <c r="BC105" s="864">
        <v>45086</v>
      </c>
      <c r="BD105" s="860" t="s">
        <v>426</v>
      </c>
      <c r="BE105" s="865" cm="1">
        <f t="array" ref="BE105">IF(BD105="","",AC105/SUMPRODUCT(--(BD105=$BD$4:$BD$12824),$AC$4:$AC$12824))</f>
        <v>7.0012031941114839E-3</v>
      </c>
      <c r="BF105" s="458"/>
      <c r="BG105" s="458"/>
      <c r="BH105" s="458"/>
      <c r="BI105" s="458"/>
      <c r="BJ105" s="458"/>
      <c r="BK105" s="458"/>
      <c r="BL105" s="458"/>
      <c r="BM105" s="458"/>
      <c r="BN105" s="458"/>
      <c r="BO105" s="866">
        <f>VLOOKUP(BD105,$BD$4:$BN$12824,3,0)*BE105</f>
        <v>0</v>
      </c>
      <c r="BP105" s="866"/>
      <c r="BQ105" s="866"/>
      <c r="BR105" s="866">
        <f>VLOOKUP(BD105,$BD$4:$BN$12824,6,0)*BE105</f>
        <v>176050.02913651164</v>
      </c>
      <c r="BS105" s="866">
        <f>VLOOKUP(BD105,$BD$4:$BN$12824,7,0)*BE105</f>
        <v>9271.630379133092</v>
      </c>
      <c r="BT105" s="866"/>
      <c r="BU105" s="866">
        <f>VLOOKUP(BD105,$BD$4:$BN$12824,9,0)*BE105</f>
        <v>3500.6015970557419</v>
      </c>
      <c r="BV105" s="867"/>
      <c r="BW105" s="867">
        <f>VLOOKUP(BD105,$BD$4:$BN$12824,11,0)*BE105</f>
        <v>7001.2031941114838</v>
      </c>
      <c r="BX105" s="1146">
        <f t="shared" si="23"/>
        <v>195823.46430681198</v>
      </c>
      <c r="BY105" s="867">
        <f t="shared" si="21"/>
        <v>3565740.4321534061</v>
      </c>
      <c r="BZ105" s="867">
        <f t="shared" si="19"/>
        <v>7131480.8643068122</v>
      </c>
      <c r="CA105" s="867">
        <f>_xlfn.MAXIFS($BY$4:$BY$12824,$S$4:$S$12824,$S105)</f>
        <v>3565740.4321534061</v>
      </c>
      <c r="CB105" s="1032"/>
      <c r="CF105" s="946">
        <f t="shared" si="20"/>
        <v>6935657.4000000004</v>
      </c>
    </row>
    <row r="106" spans="1:84">
      <c r="A106" s="1032"/>
      <c r="B106" s="839" t="s">
        <v>98</v>
      </c>
      <c r="C106" s="839" t="s">
        <v>131</v>
      </c>
      <c r="D106" s="839" t="s">
        <v>415</v>
      </c>
      <c r="E106" s="839" t="s">
        <v>416</v>
      </c>
      <c r="F106" s="841">
        <v>45020</v>
      </c>
      <c r="G106" s="840" t="s">
        <v>133</v>
      </c>
      <c r="H106" s="842" t="s">
        <v>134</v>
      </c>
      <c r="I106" s="842"/>
      <c r="J106" s="841"/>
      <c r="K106" s="841"/>
      <c r="L106" s="843" t="s">
        <v>106</v>
      </c>
      <c r="M106" s="844" t="s">
        <v>417</v>
      </c>
      <c r="N106" s="841"/>
      <c r="O106" s="841" t="s">
        <v>150</v>
      </c>
      <c r="P106" s="841" t="s">
        <v>151</v>
      </c>
      <c r="Q106" s="843"/>
      <c r="R106" s="845" t="s">
        <v>249</v>
      </c>
      <c r="S106" s="1127" t="s">
        <v>250</v>
      </c>
      <c r="T106" s="843" t="s">
        <v>445</v>
      </c>
      <c r="U106" s="842">
        <v>17</v>
      </c>
      <c r="V106" s="842" t="s">
        <v>8</v>
      </c>
      <c r="W106" s="846"/>
      <c r="X106" s="847">
        <f t="shared" si="14"/>
        <v>0</v>
      </c>
      <c r="Y106" s="848"/>
      <c r="Z106" s="849">
        <v>148.77000000000001</v>
      </c>
      <c r="AA106" s="849"/>
      <c r="AB106" s="849">
        <f t="shared" si="15"/>
        <v>2529.09</v>
      </c>
      <c r="AC106" s="850">
        <f t="shared" si="16"/>
        <v>2529.09</v>
      </c>
      <c r="AD106" s="851"/>
      <c r="AE106" s="852">
        <v>23310</v>
      </c>
      <c r="AF106" s="853">
        <v>0</v>
      </c>
      <c r="AG106" s="854">
        <f t="shared" si="17"/>
        <v>0</v>
      </c>
      <c r="AH106" s="853"/>
      <c r="AI106" s="855">
        <f t="shared" si="18"/>
        <v>0</v>
      </c>
      <c r="AJ106" s="845" t="s">
        <v>421</v>
      </c>
      <c r="AK106" s="857" t="s">
        <v>422</v>
      </c>
      <c r="AL106" s="840"/>
      <c r="AM106" s="840"/>
      <c r="AN106" s="858"/>
      <c r="AO106" s="844" t="s">
        <v>141</v>
      </c>
      <c r="AP106" s="859"/>
      <c r="AQ106" s="859" t="s">
        <v>423</v>
      </c>
      <c r="AR106" s="859"/>
      <c r="AS106" s="840"/>
      <c r="AT106" s="840"/>
      <c r="AU106" s="860"/>
      <c r="AV106" s="839" t="s">
        <v>424</v>
      </c>
      <c r="AW106" s="861">
        <v>45086</v>
      </c>
      <c r="AX106" s="862" t="s">
        <v>425</v>
      </c>
      <c r="AY106" s="843"/>
      <c r="AZ106" s="842"/>
      <c r="BA106" s="842" t="s">
        <v>120</v>
      </c>
      <c r="BB106" s="863" t="s">
        <v>121</v>
      </c>
      <c r="BC106" s="864">
        <v>45086</v>
      </c>
      <c r="BD106" s="860" t="s">
        <v>426</v>
      </c>
      <c r="BE106" s="865" cm="1">
        <f t="array" ref="BE106">IF(BD106="","",AC106/SUMPRODUCT(--(BD106=$BD$4:$BD$12824),$AC$4:$AC$12824))</f>
        <v>5.9510227149947609E-2</v>
      </c>
      <c r="BF106" s="458"/>
      <c r="BG106" s="458"/>
      <c r="BH106" s="458"/>
      <c r="BI106" s="458"/>
      <c r="BJ106" s="458"/>
      <c r="BK106" s="458"/>
      <c r="BL106" s="458"/>
      <c r="BM106" s="458"/>
      <c r="BN106" s="458"/>
      <c r="BO106" s="866">
        <f>VLOOKUP(BD106,$BD$4:$BN$12824,3,0)*BE106</f>
        <v>0</v>
      </c>
      <c r="BP106" s="866"/>
      <c r="BQ106" s="866"/>
      <c r="BR106" s="866">
        <f>VLOOKUP(BD106,$BD$4:$BN$12824,6,0)*BE106</f>
        <v>1496425.2476603489</v>
      </c>
      <c r="BS106" s="866">
        <f>VLOOKUP(BD106,$BD$4:$BN$12824,7,0)*BE106</f>
        <v>78808.858222631272</v>
      </c>
      <c r="BT106" s="866"/>
      <c r="BU106" s="866">
        <f>VLOOKUP(BD106,$BD$4:$BN$12824,9,0)*BE106</f>
        <v>29755.113574973806</v>
      </c>
      <c r="BV106" s="867"/>
      <c r="BW106" s="867">
        <f>VLOOKUP(BD106,$BD$4:$BN$12824,11,0)*BE106</f>
        <v>59510.227149947612</v>
      </c>
      <c r="BX106" s="1146">
        <f t="shared" si="23"/>
        <v>1664499.4466079015</v>
      </c>
      <c r="BY106" s="867">
        <f t="shared" si="21"/>
        <v>3565740.4321534066</v>
      </c>
      <c r="BZ106" s="867">
        <f t="shared" si="19"/>
        <v>60617587.346607909</v>
      </c>
      <c r="CA106" s="867">
        <f>_xlfn.MAXIFS($BY$4:$BY$12824,$S$4:$S$12824,$S106)</f>
        <v>4159383.2385057071</v>
      </c>
      <c r="CB106" s="1032"/>
      <c r="CF106" s="946">
        <f t="shared" si="20"/>
        <v>58953087.900000006</v>
      </c>
    </row>
    <row r="107" spans="1:84">
      <c r="A107" s="1032"/>
      <c r="B107" s="839" t="s">
        <v>98</v>
      </c>
      <c r="C107" s="839" t="s">
        <v>131</v>
      </c>
      <c r="D107" s="839" t="s">
        <v>415</v>
      </c>
      <c r="E107" s="839" t="s">
        <v>416</v>
      </c>
      <c r="F107" s="841">
        <v>45020</v>
      </c>
      <c r="G107" s="840" t="s">
        <v>133</v>
      </c>
      <c r="H107" s="842" t="s">
        <v>134</v>
      </c>
      <c r="I107" s="842"/>
      <c r="J107" s="841"/>
      <c r="K107" s="841"/>
      <c r="L107" s="843"/>
      <c r="M107" s="844" t="s">
        <v>417</v>
      </c>
      <c r="N107" s="841"/>
      <c r="O107" s="841" t="s">
        <v>150</v>
      </c>
      <c r="P107" s="841" t="s">
        <v>151</v>
      </c>
      <c r="Q107" s="843"/>
      <c r="R107" s="845" t="s">
        <v>446</v>
      </c>
      <c r="S107" s="1127" t="s">
        <v>447</v>
      </c>
      <c r="T107" s="843" t="s">
        <v>448</v>
      </c>
      <c r="U107" s="842">
        <v>5</v>
      </c>
      <c r="V107" s="842" t="s">
        <v>8</v>
      </c>
      <c r="W107" s="846"/>
      <c r="X107" s="847">
        <f t="shared" si="14"/>
        <v>0</v>
      </c>
      <c r="Y107" s="848"/>
      <c r="Z107" s="849">
        <v>215.46</v>
      </c>
      <c r="AA107" s="849"/>
      <c r="AB107" s="849">
        <f t="shared" si="15"/>
        <v>1077.3</v>
      </c>
      <c r="AC107" s="850">
        <f t="shared" si="16"/>
        <v>1077.3</v>
      </c>
      <c r="AD107" s="851"/>
      <c r="AE107" s="852">
        <v>23310</v>
      </c>
      <c r="AF107" s="853">
        <v>0</v>
      </c>
      <c r="AG107" s="854">
        <f t="shared" si="17"/>
        <v>0</v>
      </c>
      <c r="AH107" s="853"/>
      <c r="AI107" s="855">
        <f t="shared" si="18"/>
        <v>0</v>
      </c>
      <c r="AJ107" s="845" t="s">
        <v>421</v>
      </c>
      <c r="AK107" s="857" t="s">
        <v>422</v>
      </c>
      <c r="AL107" s="840"/>
      <c r="AM107" s="840"/>
      <c r="AN107" s="858"/>
      <c r="AO107" s="844" t="s">
        <v>141</v>
      </c>
      <c r="AP107" s="859"/>
      <c r="AQ107" s="859" t="s">
        <v>423</v>
      </c>
      <c r="AR107" s="859"/>
      <c r="AS107" s="840"/>
      <c r="AT107" s="840"/>
      <c r="AU107" s="860"/>
      <c r="AV107" s="839" t="s">
        <v>424</v>
      </c>
      <c r="AW107" s="861">
        <v>45086</v>
      </c>
      <c r="AX107" s="862" t="s">
        <v>425</v>
      </c>
      <c r="AY107" s="843"/>
      <c r="AZ107" s="842"/>
      <c r="BA107" s="842" t="s">
        <v>120</v>
      </c>
      <c r="BB107" s="863" t="s">
        <v>121</v>
      </c>
      <c r="BC107" s="864">
        <v>45086</v>
      </c>
      <c r="BD107" s="860" t="s">
        <v>426</v>
      </c>
      <c r="BE107" s="865" cm="1">
        <f t="array" ref="BE107">IF(BD107="","",AC107/SUMPRODUCT(--(BD107=$BD$4:$BD$12824),$AC$4:$AC$12824))</f>
        <v>2.5349183978679506E-2</v>
      </c>
      <c r="BF107" s="458"/>
      <c r="BG107" s="458"/>
      <c r="BH107" s="458"/>
      <c r="BI107" s="458"/>
      <c r="BJ107" s="458"/>
      <c r="BK107" s="458"/>
      <c r="BL107" s="458"/>
      <c r="BM107" s="458"/>
      <c r="BN107" s="458"/>
      <c r="BO107" s="866">
        <f>VLOOKUP(BD107,$BD$4:$BN$12824,3,0)*BE107</f>
        <v>0</v>
      </c>
      <c r="BP107" s="866"/>
      <c r="BQ107" s="866"/>
      <c r="BR107" s="866">
        <f>VLOOKUP(BD107,$BD$4:$BN$12824,6,0)*BE107</f>
        <v>637422.51928736968</v>
      </c>
      <c r="BS107" s="866">
        <f>VLOOKUP(BD107,$BD$4:$BN$12824,7,0)*BE107</f>
        <v>33569.69620030946</v>
      </c>
      <c r="BT107" s="866"/>
      <c r="BU107" s="866">
        <f>VLOOKUP(BD107,$BD$4:$BN$12824,9,0)*BE107</f>
        <v>12674.591989339753</v>
      </c>
      <c r="BV107" s="867"/>
      <c r="BW107" s="867">
        <f>VLOOKUP(BD107,$BD$4:$BN$12824,11,0)*BE107</f>
        <v>25349.183978679506</v>
      </c>
      <c r="BX107" s="1146">
        <f t="shared" si="23"/>
        <v>709015.99145569839</v>
      </c>
      <c r="BY107" s="867">
        <f t="shared" si="21"/>
        <v>5164175.7982911393</v>
      </c>
      <c r="BZ107" s="867">
        <f t="shared" si="19"/>
        <v>25820878.991455697</v>
      </c>
      <c r="CA107" s="867">
        <f>_xlfn.MAXIFS($BY$4:$BY$12824,$S$4:$S$12824,$S107)</f>
        <v>5164175.7982911393</v>
      </c>
      <c r="CB107" s="1032"/>
      <c r="CF107" s="946">
        <f t="shared" si="20"/>
        <v>25111863</v>
      </c>
    </row>
    <row r="108" spans="1:84">
      <c r="A108" s="1032"/>
      <c r="B108" s="839" t="s">
        <v>98</v>
      </c>
      <c r="C108" s="839" t="s">
        <v>131</v>
      </c>
      <c r="D108" s="839" t="s">
        <v>415</v>
      </c>
      <c r="E108" s="839" t="s">
        <v>416</v>
      </c>
      <c r="F108" s="841">
        <v>45020</v>
      </c>
      <c r="G108" s="840" t="s">
        <v>133</v>
      </c>
      <c r="H108" s="842" t="s">
        <v>134</v>
      </c>
      <c r="I108" s="842"/>
      <c r="J108" s="841"/>
      <c r="K108" s="841"/>
      <c r="L108" s="843"/>
      <c r="M108" s="844" t="s">
        <v>417</v>
      </c>
      <c r="N108" s="841"/>
      <c r="O108" s="841" t="s">
        <v>150</v>
      </c>
      <c r="P108" s="841" t="s">
        <v>151</v>
      </c>
      <c r="Q108" s="843"/>
      <c r="R108" s="845" t="s">
        <v>449</v>
      </c>
      <c r="S108" s="1127" t="s">
        <v>450</v>
      </c>
      <c r="T108" s="843" t="s">
        <v>451</v>
      </c>
      <c r="U108" s="842">
        <v>5</v>
      </c>
      <c r="V108" s="842" t="s">
        <v>8</v>
      </c>
      <c r="W108" s="846"/>
      <c r="X108" s="847">
        <f t="shared" si="14"/>
        <v>0</v>
      </c>
      <c r="Y108" s="848"/>
      <c r="Z108" s="849">
        <v>215.46</v>
      </c>
      <c r="AA108" s="849"/>
      <c r="AB108" s="849">
        <f t="shared" si="15"/>
        <v>1077.3</v>
      </c>
      <c r="AC108" s="850">
        <f t="shared" si="16"/>
        <v>1077.3</v>
      </c>
      <c r="AD108" s="851"/>
      <c r="AE108" s="852">
        <v>23310</v>
      </c>
      <c r="AF108" s="853">
        <v>0</v>
      </c>
      <c r="AG108" s="854">
        <f t="shared" si="17"/>
        <v>0</v>
      </c>
      <c r="AH108" s="853"/>
      <c r="AI108" s="855">
        <f t="shared" si="18"/>
        <v>0</v>
      </c>
      <c r="AJ108" s="845" t="s">
        <v>421</v>
      </c>
      <c r="AK108" s="857" t="s">
        <v>422</v>
      </c>
      <c r="AL108" s="840"/>
      <c r="AM108" s="840"/>
      <c r="AN108" s="858"/>
      <c r="AO108" s="844" t="s">
        <v>141</v>
      </c>
      <c r="AP108" s="859"/>
      <c r="AQ108" s="859" t="s">
        <v>423</v>
      </c>
      <c r="AR108" s="859"/>
      <c r="AS108" s="840"/>
      <c r="AT108" s="840"/>
      <c r="AU108" s="860"/>
      <c r="AV108" s="839" t="s">
        <v>424</v>
      </c>
      <c r="AW108" s="861">
        <v>45086</v>
      </c>
      <c r="AX108" s="862" t="s">
        <v>425</v>
      </c>
      <c r="AY108" s="843"/>
      <c r="AZ108" s="842"/>
      <c r="BA108" s="842" t="s">
        <v>120</v>
      </c>
      <c r="BB108" s="863" t="s">
        <v>121</v>
      </c>
      <c r="BC108" s="864">
        <v>45086</v>
      </c>
      <c r="BD108" s="860" t="s">
        <v>426</v>
      </c>
      <c r="BE108" s="865" cm="1">
        <f t="array" ref="BE108">IF(BD108="","",AC108/SUMPRODUCT(--(BD108=$BD$4:$BD$12824),$AC$4:$AC$12824))</f>
        <v>2.5349183978679506E-2</v>
      </c>
      <c r="BF108" s="458"/>
      <c r="BG108" s="458"/>
      <c r="BH108" s="458"/>
      <c r="BI108" s="458"/>
      <c r="BJ108" s="458"/>
      <c r="BK108" s="458"/>
      <c r="BL108" s="458"/>
      <c r="BM108" s="458"/>
      <c r="BN108" s="458"/>
      <c r="BO108" s="866">
        <f>VLOOKUP(BD108,$BD$4:$BN$12824,3,0)*BE108</f>
        <v>0</v>
      </c>
      <c r="BP108" s="866"/>
      <c r="BQ108" s="866"/>
      <c r="BR108" s="866">
        <f>VLOOKUP(BD108,$BD$4:$BN$12824,6,0)*BE108</f>
        <v>637422.51928736968</v>
      </c>
      <c r="BS108" s="866">
        <f>VLOOKUP(BD108,$BD$4:$BN$12824,7,0)*BE108</f>
        <v>33569.69620030946</v>
      </c>
      <c r="BT108" s="866"/>
      <c r="BU108" s="866">
        <f>VLOOKUP(BD108,$BD$4:$BN$12824,9,0)*BE108</f>
        <v>12674.591989339753</v>
      </c>
      <c r="BV108" s="867"/>
      <c r="BW108" s="867">
        <f>VLOOKUP(BD108,$BD$4:$BN$12824,11,0)*BE108</f>
        <v>25349.183978679506</v>
      </c>
      <c r="BX108" s="1146">
        <f t="shared" si="23"/>
        <v>709015.99145569839</v>
      </c>
      <c r="BY108" s="867">
        <f t="shared" si="21"/>
        <v>5164175.7982911393</v>
      </c>
      <c r="BZ108" s="867">
        <f t="shared" si="19"/>
        <v>25820878.991455697</v>
      </c>
      <c r="CA108" s="867">
        <f>_xlfn.MAXIFS($BY$4:$BY$12824,$S$4:$S$12824,$S108)</f>
        <v>5164175.7982911393</v>
      </c>
      <c r="CB108" s="1032"/>
      <c r="CF108" s="946">
        <f t="shared" si="20"/>
        <v>25111863</v>
      </c>
    </row>
    <row r="109" spans="1:84">
      <c r="A109" s="1032"/>
      <c r="B109" s="839" t="s">
        <v>98</v>
      </c>
      <c r="C109" s="839" t="s">
        <v>131</v>
      </c>
      <c r="D109" s="839" t="s">
        <v>415</v>
      </c>
      <c r="E109" s="839" t="s">
        <v>416</v>
      </c>
      <c r="F109" s="841">
        <v>45020</v>
      </c>
      <c r="G109" s="840" t="s">
        <v>133</v>
      </c>
      <c r="H109" s="842" t="s">
        <v>134</v>
      </c>
      <c r="I109" s="842"/>
      <c r="J109" s="841"/>
      <c r="K109" s="841"/>
      <c r="L109" s="843"/>
      <c r="M109" s="844" t="s">
        <v>417</v>
      </c>
      <c r="N109" s="841"/>
      <c r="O109" s="841" t="s">
        <v>150</v>
      </c>
      <c r="P109" s="841" t="s">
        <v>151</v>
      </c>
      <c r="Q109" s="843"/>
      <c r="R109" s="845" t="s">
        <v>452</v>
      </c>
      <c r="S109" s="1127" t="s">
        <v>453</v>
      </c>
      <c r="T109" s="843" t="s">
        <v>454</v>
      </c>
      <c r="U109" s="842">
        <v>31</v>
      </c>
      <c r="V109" s="842" t="s">
        <v>8</v>
      </c>
      <c r="W109" s="846"/>
      <c r="X109" s="847">
        <f t="shared" si="14"/>
        <v>0</v>
      </c>
      <c r="Y109" s="848"/>
      <c r="Z109" s="849">
        <v>78.489031999999995</v>
      </c>
      <c r="AA109" s="849"/>
      <c r="AB109" s="849">
        <f t="shared" si="15"/>
        <v>2433.1599919999999</v>
      </c>
      <c r="AC109" s="850">
        <f t="shared" si="16"/>
        <v>2433.1599919999999</v>
      </c>
      <c r="AD109" s="851"/>
      <c r="AE109" s="852">
        <v>23310</v>
      </c>
      <c r="AF109" s="853">
        <v>0</v>
      </c>
      <c r="AG109" s="854">
        <f t="shared" si="17"/>
        <v>0</v>
      </c>
      <c r="AH109" s="853"/>
      <c r="AI109" s="855">
        <f t="shared" si="18"/>
        <v>0</v>
      </c>
      <c r="AJ109" s="845" t="s">
        <v>421</v>
      </c>
      <c r="AK109" s="857" t="s">
        <v>422</v>
      </c>
      <c r="AL109" s="840"/>
      <c r="AM109" s="840"/>
      <c r="AN109" s="858"/>
      <c r="AO109" s="844" t="s">
        <v>141</v>
      </c>
      <c r="AP109" s="859"/>
      <c r="AQ109" s="859" t="s">
        <v>423</v>
      </c>
      <c r="AR109" s="859"/>
      <c r="AS109" s="840"/>
      <c r="AT109" s="840"/>
      <c r="AU109" s="860"/>
      <c r="AV109" s="839" t="s">
        <v>424</v>
      </c>
      <c r="AW109" s="861">
        <v>45086</v>
      </c>
      <c r="AX109" s="862" t="s">
        <v>425</v>
      </c>
      <c r="AY109" s="843"/>
      <c r="AZ109" s="842"/>
      <c r="BA109" s="842" t="s">
        <v>120</v>
      </c>
      <c r="BB109" s="863" t="s">
        <v>121</v>
      </c>
      <c r="BC109" s="864">
        <v>45086</v>
      </c>
      <c r="BD109" s="860" t="s">
        <v>426</v>
      </c>
      <c r="BE109" s="865" cm="1">
        <f t="array" ref="BE109">IF(BD109="","",AC109/SUMPRODUCT(--(BD109=$BD$4:$BD$12824),$AC$4:$AC$12824))</f>
        <v>5.7252966013896185E-2</v>
      </c>
      <c r="BF109" s="458"/>
      <c r="BG109" s="458"/>
      <c r="BH109" s="458"/>
      <c r="BI109" s="458"/>
      <c r="BJ109" s="458"/>
      <c r="BK109" s="458"/>
      <c r="BL109" s="458"/>
      <c r="BM109" s="458"/>
      <c r="BN109" s="458"/>
      <c r="BO109" s="866">
        <f>VLOOKUP(BD109,$BD$4:$BN$12824,3,0)*BE109</f>
        <v>0</v>
      </c>
      <c r="BP109" s="866"/>
      <c r="BQ109" s="866"/>
      <c r="BR109" s="866">
        <f>VLOOKUP(BD109,$BD$4:$BN$12824,6,0)*BE109</f>
        <v>1439664.8769422411</v>
      </c>
      <c r="BS109" s="866">
        <f>VLOOKUP(BD109,$BD$4:$BN$12824,7,0)*BE109</f>
        <v>75819.587615508586</v>
      </c>
      <c r="BT109" s="866"/>
      <c r="BU109" s="866">
        <f>VLOOKUP(BD109,$BD$4:$BN$12824,9,0)*BE109</f>
        <v>28626.483006948092</v>
      </c>
      <c r="BV109" s="867"/>
      <c r="BW109" s="867">
        <f>VLOOKUP(BD109,$BD$4:$BN$12824,11,0)*BE109</f>
        <v>57252.966013896184</v>
      </c>
      <c r="BX109" s="1146">
        <f t="shared" si="23"/>
        <v>1601363.9135785941</v>
      </c>
      <c r="BY109" s="867">
        <f t="shared" si="21"/>
        <v>1881236.2363580188</v>
      </c>
      <c r="BZ109" s="867">
        <f t="shared" si="19"/>
        <v>58318323.327098586</v>
      </c>
      <c r="CA109" s="867">
        <f>_xlfn.MAXIFS($BY$4:$BY$12824,$S$4:$S$12824,$S109)</f>
        <v>1881236.2363580188</v>
      </c>
      <c r="CB109" s="1032"/>
      <c r="CF109" s="946">
        <f t="shared" si="20"/>
        <v>56716959.413519993</v>
      </c>
    </row>
    <row r="110" spans="1:84">
      <c r="A110" s="1032"/>
      <c r="B110" s="839" t="s">
        <v>98</v>
      </c>
      <c r="C110" s="839" t="s">
        <v>131</v>
      </c>
      <c r="D110" s="839" t="s">
        <v>415</v>
      </c>
      <c r="E110" s="839" t="s">
        <v>416</v>
      </c>
      <c r="F110" s="841">
        <v>45020</v>
      </c>
      <c r="G110" s="840" t="s">
        <v>133</v>
      </c>
      <c r="H110" s="842" t="s">
        <v>134</v>
      </c>
      <c r="I110" s="842"/>
      <c r="J110" s="841"/>
      <c r="K110" s="841"/>
      <c r="L110" s="843"/>
      <c r="M110" s="844" t="s">
        <v>417</v>
      </c>
      <c r="N110" s="841"/>
      <c r="O110" s="841" t="s">
        <v>150</v>
      </c>
      <c r="P110" s="841" t="s">
        <v>151</v>
      </c>
      <c r="Q110" s="843"/>
      <c r="R110" s="845" t="s">
        <v>455</v>
      </c>
      <c r="S110" s="1127" t="s">
        <v>456</v>
      </c>
      <c r="T110" s="843" t="s">
        <v>457</v>
      </c>
      <c r="U110" s="842">
        <v>4</v>
      </c>
      <c r="V110" s="842" t="s">
        <v>8</v>
      </c>
      <c r="W110" s="846"/>
      <c r="X110" s="847">
        <f t="shared" si="14"/>
        <v>0</v>
      </c>
      <c r="Y110" s="848"/>
      <c r="Z110" s="849">
        <v>321.13749999999999</v>
      </c>
      <c r="AA110" s="849"/>
      <c r="AB110" s="849">
        <f t="shared" si="15"/>
        <v>1284.55</v>
      </c>
      <c r="AC110" s="850">
        <f t="shared" si="16"/>
        <v>1284.55</v>
      </c>
      <c r="AD110" s="851"/>
      <c r="AE110" s="852">
        <v>23310</v>
      </c>
      <c r="AF110" s="853">
        <v>0</v>
      </c>
      <c r="AG110" s="854">
        <f t="shared" si="17"/>
        <v>0</v>
      </c>
      <c r="AH110" s="853"/>
      <c r="AI110" s="855">
        <f t="shared" si="18"/>
        <v>0</v>
      </c>
      <c r="AJ110" s="845" t="s">
        <v>421</v>
      </c>
      <c r="AK110" s="857" t="s">
        <v>422</v>
      </c>
      <c r="AL110" s="840"/>
      <c r="AM110" s="840"/>
      <c r="AN110" s="858"/>
      <c r="AO110" s="844" t="s">
        <v>141</v>
      </c>
      <c r="AP110" s="859"/>
      <c r="AQ110" s="859" t="s">
        <v>423</v>
      </c>
      <c r="AR110" s="859"/>
      <c r="AS110" s="840"/>
      <c r="AT110" s="840"/>
      <c r="AU110" s="860"/>
      <c r="AV110" s="839" t="s">
        <v>424</v>
      </c>
      <c r="AW110" s="861">
        <v>45086</v>
      </c>
      <c r="AX110" s="862" t="s">
        <v>425</v>
      </c>
      <c r="AY110" s="843"/>
      <c r="AZ110" s="842"/>
      <c r="BA110" s="842" t="s">
        <v>120</v>
      </c>
      <c r="BB110" s="863" t="s">
        <v>121</v>
      </c>
      <c r="BC110" s="864">
        <v>45086</v>
      </c>
      <c r="BD110" s="860" t="s">
        <v>426</v>
      </c>
      <c r="BE110" s="865" cm="1">
        <f t="array" ref="BE110">IF(BD110="","",AC110/SUMPRODUCT(--(BD110=$BD$4:$BD$12824),$AC$4:$AC$12824))</f>
        <v>3.0225837073993095E-2</v>
      </c>
      <c r="BF110" s="458"/>
      <c r="BG110" s="458"/>
      <c r="BH110" s="458"/>
      <c r="BI110" s="458"/>
      <c r="BJ110" s="458"/>
      <c r="BK110" s="458"/>
      <c r="BL110" s="458"/>
      <c r="BM110" s="458"/>
      <c r="BN110" s="458"/>
      <c r="BO110" s="866">
        <f>VLOOKUP(BD110,$BD$4:$BN$12824,3,0)*BE110</f>
        <v>0</v>
      </c>
      <c r="BP110" s="866"/>
      <c r="BQ110" s="866"/>
      <c r="BR110" s="866">
        <f>VLOOKUP(BD110,$BD$4:$BN$12824,6,0)*BE110</f>
        <v>760049.28724644089</v>
      </c>
      <c r="BS110" s="866">
        <f>VLOOKUP(BD110,$BD$4:$BN$12824,7,0)*BE110</f>
        <v>40027.804004555386</v>
      </c>
      <c r="BT110" s="866"/>
      <c r="BU110" s="866">
        <f>VLOOKUP(BD110,$BD$4:$BN$12824,9,0)*BE110</f>
        <v>15112.918536996547</v>
      </c>
      <c r="BV110" s="867"/>
      <c r="BW110" s="867">
        <f>VLOOKUP(BD110,$BD$4:$BN$12824,11,0)*BE110</f>
        <v>30225.837073993094</v>
      </c>
      <c r="BX110" s="1146">
        <f t="shared" si="23"/>
        <v>845415.84686198586</v>
      </c>
      <c r="BY110" s="867">
        <f t="shared" si="21"/>
        <v>7697069.0867154961</v>
      </c>
      <c r="BZ110" s="867">
        <f t="shared" si="19"/>
        <v>30788276.346861985</v>
      </c>
      <c r="CA110" s="867">
        <f>_xlfn.MAXIFS($BY$4:$BY$12824,$S$4:$S$12824,$S110)</f>
        <v>7697069.0867154961</v>
      </c>
      <c r="CB110" s="1032"/>
      <c r="CF110" s="946">
        <f t="shared" si="20"/>
        <v>29942860.5</v>
      </c>
    </row>
    <row r="111" spans="1:84">
      <c r="A111" s="1032"/>
      <c r="B111" s="839" t="s">
        <v>98</v>
      </c>
      <c r="C111" s="839" t="s">
        <v>131</v>
      </c>
      <c r="D111" s="839" t="s">
        <v>415</v>
      </c>
      <c r="E111" s="839" t="s">
        <v>416</v>
      </c>
      <c r="F111" s="841">
        <v>45020</v>
      </c>
      <c r="G111" s="840" t="s">
        <v>133</v>
      </c>
      <c r="H111" s="842" t="s">
        <v>134</v>
      </c>
      <c r="I111" s="842"/>
      <c r="J111" s="841"/>
      <c r="K111" s="841"/>
      <c r="L111" s="843"/>
      <c r="M111" s="844" t="s">
        <v>417</v>
      </c>
      <c r="N111" s="841"/>
      <c r="O111" s="841" t="s">
        <v>150</v>
      </c>
      <c r="P111" s="841" t="s">
        <v>151</v>
      </c>
      <c r="Q111" s="843"/>
      <c r="R111" s="845" t="s">
        <v>458</v>
      </c>
      <c r="S111" s="1127" t="s">
        <v>459</v>
      </c>
      <c r="T111" s="843" t="s">
        <v>460</v>
      </c>
      <c r="U111" s="842">
        <v>8</v>
      </c>
      <c r="V111" s="842" t="s">
        <v>8</v>
      </c>
      <c r="W111" s="846"/>
      <c r="X111" s="847">
        <f t="shared" si="14"/>
        <v>0</v>
      </c>
      <c r="Y111" s="848"/>
      <c r="Z111" s="849">
        <v>321.13749999999999</v>
      </c>
      <c r="AA111" s="849"/>
      <c r="AB111" s="849">
        <f t="shared" si="15"/>
        <v>2569.1</v>
      </c>
      <c r="AC111" s="850">
        <f t="shared" si="16"/>
        <v>2569.1</v>
      </c>
      <c r="AD111" s="851"/>
      <c r="AE111" s="852">
        <v>23310</v>
      </c>
      <c r="AF111" s="853">
        <v>0</v>
      </c>
      <c r="AG111" s="854">
        <f t="shared" si="17"/>
        <v>0</v>
      </c>
      <c r="AH111" s="853"/>
      <c r="AI111" s="855">
        <f t="shared" si="18"/>
        <v>0</v>
      </c>
      <c r="AJ111" s="845" t="s">
        <v>421</v>
      </c>
      <c r="AK111" s="857" t="s">
        <v>422</v>
      </c>
      <c r="AL111" s="840"/>
      <c r="AM111" s="840"/>
      <c r="AN111" s="858"/>
      <c r="AO111" s="844" t="s">
        <v>141</v>
      </c>
      <c r="AP111" s="859"/>
      <c r="AQ111" s="859" t="s">
        <v>423</v>
      </c>
      <c r="AR111" s="859"/>
      <c r="AS111" s="840"/>
      <c r="AT111" s="840"/>
      <c r="AU111" s="860"/>
      <c r="AV111" s="839" t="s">
        <v>424</v>
      </c>
      <c r="AW111" s="861">
        <v>45086</v>
      </c>
      <c r="AX111" s="862" t="s">
        <v>425</v>
      </c>
      <c r="AY111" s="843"/>
      <c r="AZ111" s="842"/>
      <c r="BA111" s="842" t="s">
        <v>120</v>
      </c>
      <c r="BB111" s="863" t="s">
        <v>121</v>
      </c>
      <c r="BC111" s="864">
        <v>45086</v>
      </c>
      <c r="BD111" s="860" t="s">
        <v>426</v>
      </c>
      <c r="BE111" s="865" cm="1">
        <f t="array" ref="BE111">IF(BD111="","",AC111/SUMPRODUCT(--(BD111=$BD$4:$BD$12824),$AC$4:$AC$12824))</f>
        <v>6.045167414798619E-2</v>
      </c>
      <c r="BF111" s="458"/>
      <c r="BG111" s="458"/>
      <c r="BH111" s="458"/>
      <c r="BI111" s="458"/>
      <c r="BJ111" s="458"/>
      <c r="BK111" s="458"/>
      <c r="BL111" s="458"/>
      <c r="BM111" s="458"/>
      <c r="BN111" s="458"/>
      <c r="BO111" s="866">
        <f>VLOOKUP(BD111,$BD$4:$BN$12824,3,0)*BE111</f>
        <v>0</v>
      </c>
      <c r="BP111" s="866"/>
      <c r="BQ111" s="866"/>
      <c r="BR111" s="866">
        <f>VLOOKUP(BD111,$BD$4:$BN$12824,6,0)*BE111</f>
        <v>1520098.5744928818</v>
      </c>
      <c r="BS111" s="866">
        <f>VLOOKUP(BD111,$BD$4:$BN$12824,7,0)*BE111</f>
        <v>80055.608009110772</v>
      </c>
      <c r="BT111" s="866"/>
      <c r="BU111" s="866">
        <f>VLOOKUP(BD111,$BD$4:$BN$12824,9,0)*BE111</f>
        <v>30225.837073993094</v>
      </c>
      <c r="BV111" s="867"/>
      <c r="BW111" s="867">
        <f>VLOOKUP(BD111,$BD$4:$BN$12824,11,0)*BE111</f>
        <v>60451.674147986188</v>
      </c>
      <c r="BX111" s="1146">
        <f t="shared" si="23"/>
        <v>1690831.6937239717</v>
      </c>
      <c r="BY111" s="867">
        <f t="shared" si="21"/>
        <v>7697069.0867154961</v>
      </c>
      <c r="BZ111" s="867">
        <f t="shared" si="19"/>
        <v>61576552.693723969</v>
      </c>
      <c r="CA111" s="867">
        <f>_xlfn.MAXIFS($BY$4:$BY$12824,$S$4:$S$12824,$S111)</f>
        <v>7697069.0867154961</v>
      </c>
      <c r="CB111" s="1032"/>
      <c r="CF111" s="946">
        <f t="shared" si="20"/>
        <v>59885721</v>
      </c>
    </row>
    <row r="112" spans="1:84">
      <c r="A112" s="1032"/>
      <c r="B112" s="839" t="s">
        <v>98</v>
      </c>
      <c r="C112" s="839" t="s">
        <v>131</v>
      </c>
      <c r="D112" s="839" t="s">
        <v>415</v>
      </c>
      <c r="E112" s="839" t="s">
        <v>416</v>
      </c>
      <c r="F112" s="841">
        <v>45020</v>
      </c>
      <c r="G112" s="840" t="s">
        <v>133</v>
      </c>
      <c r="H112" s="842" t="s">
        <v>134</v>
      </c>
      <c r="I112" s="842"/>
      <c r="J112" s="841"/>
      <c r="K112" s="841"/>
      <c r="L112" s="843"/>
      <c r="M112" s="844" t="s">
        <v>417</v>
      </c>
      <c r="N112" s="841"/>
      <c r="O112" s="841" t="s">
        <v>150</v>
      </c>
      <c r="P112" s="841" t="s">
        <v>461</v>
      </c>
      <c r="Q112" s="843"/>
      <c r="R112" s="845" t="s">
        <v>462</v>
      </c>
      <c r="S112" s="1127" t="s">
        <v>463</v>
      </c>
      <c r="T112" s="843" t="s">
        <v>464</v>
      </c>
      <c r="U112" s="842">
        <v>6</v>
      </c>
      <c r="V112" s="842" t="s">
        <v>8</v>
      </c>
      <c r="W112" s="846"/>
      <c r="X112" s="847">
        <f t="shared" si="14"/>
        <v>0</v>
      </c>
      <c r="Y112" s="848"/>
      <c r="Z112" s="849">
        <v>207.25165999999999</v>
      </c>
      <c r="AA112" s="849"/>
      <c r="AB112" s="849">
        <f t="shared" si="15"/>
        <v>1243.5099599999999</v>
      </c>
      <c r="AC112" s="850">
        <f t="shared" si="16"/>
        <v>1243.5099599999999</v>
      </c>
      <c r="AD112" s="851"/>
      <c r="AE112" s="852">
        <v>23310</v>
      </c>
      <c r="AF112" s="853">
        <v>0</v>
      </c>
      <c r="AG112" s="854">
        <f t="shared" si="17"/>
        <v>0</v>
      </c>
      <c r="AH112" s="853"/>
      <c r="AI112" s="855">
        <f t="shared" si="18"/>
        <v>0</v>
      </c>
      <c r="AJ112" s="845" t="s">
        <v>421</v>
      </c>
      <c r="AK112" s="857" t="s">
        <v>422</v>
      </c>
      <c r="AL112" s="840"/>
      <c r="AM112" s="840"/>
      <c r="AN112" s="858"/>
      <c r="AO112" s="844" t="s">
        <v>141</v>
      </c>
      <c r="AP112" s="859"/>
      <c r="AQ112" s="859" t="s">
        <v>423</v>
      </c>
      <c r="AR112" s="859"/>
      <c r="AS112" s="840"/>
      <c r="AT112" s="840"/>
      <c r="AU112" s="860"/>
      <c r="AV112" s="839" t="s">
        <v>424</v>
      </c>
      <c r="AW112" s="861">
        <v>45086</v>
      </c>
      <c r="AX112" s="862" t="s">
        <v>425</v>
      </c>
      <c r="AY112" s="843"/>
      <c r="AZ112" s="842"/>
      <c r="BA112" s="842" t="s">
        <v>120</v>
      </c>
      <c r="BB112" s="863" t="s">
        <v>121</v>
      </c>
      <c r="BC112" s="864">
        <v>45086</v>
      </c>
      <c r="BD112" s="860" t="s">
        <v>426</v>
      </c>
      <c r="BE112" s="865" cm="1">
        <f t="array" ref="BE112">IF(BD112="","",AC112/SUMPRODUCT(--(BD112=$BD$4:$BD$12824),$AC$4:$AC$12824))</f>
        <v>2.9260152933593606E-2</v>
      </c>
      <c r="BF112" s="458"/>
      <c r="BG112" s="458"/>
      <c r="BH112" s="458"/>
      <c r="BI112" s="458"/>
      <c r="BJ112" s="458"/>
      <c r="BK112" s="458"/>
      <c r="BL112" s="458"/>
      <c r="BM112" s="458"/>
      <c r="BN112" s="458"/>
      <c r="BO112" s="866">
        <f>VLOOKUP(BD112,$BD$4:$BN$12824,3,0)*BE112</f>
        <v>0</v>
      </c>
      <c r="BP112" s="866"/>
      <c r="BQ112" s="866"/>
      <c r="BR112" s="866">
        <f>VLOOKUP(BD112,$BD$4:$BN$12824,6,0)*BE112</f>
        <v>735766.50093951193</v>
      </c>
      <c r="BS112" s="866">
        <f>VLOOKUP(BD112,$BD$4:$BN$12824,7,0)*BE112</f>
        <v>38748.957188581611</v>
      </c>
      <c r="BT112" s="866"/>
      <c r="BU112" s="866">
        <f>VLOOKUP(BD112,$BD$4:$BN$12824,9,0)*BE112</f>
        <v>14630.076466796803</v>
      </c>
      <c r="BV112" s="867"/>
      <c r="BW112" s="867">
        <f>VLOOKUP(BD112,$BD$4:$BN$12824,11,0)*BE112</f>
        <v>29260.152933593607</v>
      </c>
      <c r="BX112" s="1146">
        <f t="shared" si="23"/>
        <v>818405.68752848392</v>
      </c>
      <c r="BY112" s="867">
        <f t="shared" si="21"/>
        <v>4967437.142521414</v>
      </c>
      <c r="BZ112" s="867">
        <f t="shared" si="19"/>
        <v>29804622.855128482</v>
      </c>
      <c r="CA112" s="867">
        <f>_xlfn.MAXIFS($BY$4:$BY$12824,$S$4:$S$12824,$S112)</f>
        <v>4967437.142521414</v>
      </c>
      <c r="CB112" s="1032"/>
      <c r="CF112" s="946">
        <f t="shared" si="20"/>
        <v>28986217.167599998</v>
      </c>
    </row>
    <row r="113" spans="1:84">
      <c r="A113" s="1032"/>
      <c r="B113" s="839" t="s">
        <v>98</v>
      </c>
      <c r="C113" s="839" t="s">
        <v>131</v>
      </c>
      <c r="D113" s="839" t="s">
        <v>465</v>
      </c>
      <c r="E113" s="839" t="s">
        <v>466</v>
      </c>
      <c r="F113" s="841">
        <v>45008</v>
      </c>
      <c r="G113" s="840" t="s">
        <v>133</v>
      </c>
      <c r="H113" s="842" t="s">
        <v>134</v>
      </c>
      <c r="I113" s="842"/>
      <c r="J113" s="841"/>
      <c r="K113" s="841"/>
      <c r="L113" s="843"/>
      <c r="M113" s="844" t="s">
        <v>417</v>
      </c>
      <c r="N113" s="841"/>
      <c r="O113" s="841" t="s">
        <v>135</v>
      </c>
      <c r="P113" s="841" t="s">
        <v>220</v>
      </c>
      <c r="Q113" s="843"/>
      <c r="R113" s="845" t="s">
        <v>467</v>
      </c>
      <c r="S113" s="1127" t="s">
        <v>468</v>
      </c>
      <c r="T113" s="843" t="s">
        <v>469</v>
      </c>
      <c r="U113" s="842">
        <v>60</v>
      </c>
      <c r="V113" s="842" t="s">
        <v>8</v>
      </c>
      <c r="W113" s="846"/>
      <c r="X113" s="847">
        <f t="shared" si="14"/>
        <v>0</v>
      </c>
      <c r="Y113" s="848"/>
      <c r="Z113" s="849">
        <v>3.04</v>
      </c>
      <c r="AA113" s="849"/>
      <c r="AB113" s="849">
        <f t="shared" si="15"/>
        <v>182.4</v>
      </c>
      <c r="AC113" s="850">
        <f t="shared" si="16"/>
        <v>182.4</v>
      </c>
      <c r="AD113" s="851"/>
      <c r="AE113" s="852">
        <v>23310</v>
      </c>
      <c r="AF113" s="853">
        <v>0</v>
      </c>
      <c r="AG113" s="854">
        <f t="shared" si="17"/>
        <v>0</v>
      </c>
      <c r="AH113" s="853"/>
      <c r="AI113" s="855">
        <f t="shared" si="18"/>
        <v>0</v>
      </c>
      <c r="AJ113" s="845" t="s">
        <v>421</v>
      </c>
      <c r="AK113" s="857" t="s">
        <v>422</v>
      </c>
      <c r="AL113" s="840"/>
      <c r="AM113" s="840"/>
      <c r="AN113" s="858"/>
      <c r="AO113" s="844" t="s">
        <v>141</v>
      </c>
      <c r="AP113" s="859"/>
      <c r="AQ113" s="859" t="s">
        <v>423</v>
      </c>
      <c r="AR113" s="859"/>
      <c r="AS113" s="840"/>
      <c r="AT113" s="840"/>
      <c r="AU113" s="860"/>
      <c r="AV113" s="839" t="s">
        <v>424</v>
      </c>
      <c r="AW113" s="861">
        <v>45086</v>
      </c>
      <c r="AX113" s="862" t="s">
        <v>425</v>
      </c>
      <c r="AY113" s="843"/>
      <c r="AZ113" s="842"/>
      <c r="BA113" s="842" t="s">
        <v>120</v>
      </c>
      <c r="BB113" s="863" t="s">
        <v>121</v>
      </c>
      <c r="BC113" s="864">
        <v>45086</v>
      </c>
      <c r="BD113" s="860" t="s">
        <v>426</v>
      </c>
      <c r="BE113" s="865" cm="1">
        <f t="array" ref="BE113">IF(BD113="","",AC113/SUMPRODUCT(--(BD113=$BD$4:$BD$12824),$AC$4:$AC$12824))</f>
        <v>4.2919253297235144E-3</v>
      </c>
      <c r="BF113" s="458"/>
      <c r="BG113" s="458"/>
      <c r="BH113" s="458"/>
      <c r="BI113" s="458"/>
      <c r="BJ113" s="458"/>
      <c r="BK113" s="458"/>
      <c r="BL113" s="458"/>
      <c r="BM113" s="458"/>
      <c r="BN113" s="458"/>
      <c r="BO113" s="866">
        <f>VLOOKUP(BD113,$BD$4:$BN$12824,3,0)*BE113</f>
        <v>0</v>
      </c>
      <c r="BP113" s="866"/>
      <c r="BQ113" s="866"/>
      <c r="BR113" s="866">
        <f>VLOOKUP(BD113,$BD$4:$BN$12824,6,0)*BE113</f>
        <v>107923.38950897264</v>
      </c>
      <c r="BS113" s="866">
        <f>VLOOKUP(BD113,$BD$4:$BN$12824,7,0)*BE113</f>
        <v>5683.7580868248824</v>
      </c>
      <c r="BT113" s="866"/>
      <c r="BU113" s="866">
        <f>VLOOKUP(BD113,$BD$4:$BN$12824,9,0)*BE113</f>
        <v>2145.9626648617573</v>
      </c>
      <c r="BV113" s="867"/>
      <c r="BW113" s="867">
        <f>VLOOKUP(BD113,$BD$4:$BN$12824,11,0)*BE113</f>
        <v>4291.9253297235146</v>
      </c>
      <c r="BX113" s="1146">
        <f t="shared" si="23"/>
        <v>120045.03559038279</v>
      </c>
      <c r="BY113" s="867">
        <f t="shared" si="21"/>
        <v>72863.15059317305</v>
      </c>
      <c r="BZ113" s="867">
        <f t="shared" si="19"/>
        <v>4371789.0355903832</v>
      </c>
      <c r="CA113" s="867">
        <f>_xlfn.MAXIFS($BY$4:$BY$12824,$S$4:$S$12824,$S113)</f>
        <v>72863.15059317305</v>
      </c>
      <c r="CB113" s="1032"/>
      <c r="CF113" s="946">
        <f t="shared" si="20"/>
        <v>4251744</v>
      </c>
    </row>
    <row r="114" spans="1:84">
      <c r="A114" s="1032"/>
      <c r="B114" s="839" t="s">
        <v>98</v>
      </c>
      <c r="C114" s="839" t="s">
        <v>131</v>
      </c>
      <c r="D114" s="839" t="s">
        <v>470</v>
      </c>
      <c r="E114" s="839" t="s">
        <v>471</v>
      </c>
      <c r="F114" s="841">
        <v>45026</v>
      </c>
      <c r="G114" s="840" t="s">
        <v>133</v>
      </c>
      <c r="H114" s="842" t="s">
        <v>134</v>
      </c>
      <c r="I114" s="842"/>
      <c r="J114" s="841"/>
      <c r="K114" s="841"/>
      <c r="L114" s="843"/>
      <c r="M114" s="844" t="s">
        <v>417</v>
      </c>
      <c r="N114" s="841"/>
      <c r="O114" s="841" t="s">
        <v>108</v>
      </c>
      <c r="P114" s="841" t="s">
        <v>160</v>
      </c>
      <c r="Q114" s="843"/>
      <c r="R114" s="845" t="s">
        <v>472</v>
      </c>
      <c r="S114" s="1127" t="s">
        <v>473</v>
      </c>
      <c r="T114" s="843" t="s">
        <v>474</v>
      </c>
      <c r="U114" s="842">
        <v>2</v>
      </c>
      <c r="V114" s="842" t="s">
        <v>8</v>
      </c>
      <c r="W114" s="846"/>
      <c r="X114" s="847">
        <f t="shared" si="14"/>
        <v>0</v>
      </c>
      <c r="Y114" s="848"/>
      <c r="Z114" s="849">
        <v>43.32</v>
      </c>
      <c r="AA114" s="849"/>
      <c r="AB114" s="849">
        <f t="shared" si="15"/>
        <v>86.64</v>
      </c>
      <c r="AC114" s="850">
        <f t="shared" si="16"/>
        <v>86.64</v>
      </c>
      <c r="AD114" s="851"/>
      <c r="AE114" s="852">
        <v>23310</v>
      </c>
      <c r="AF114" s="853">
        <v>0</v>
      </c>
      <c r="AG114" s="854">
        <f t="shared" si="17"/>
        <v>0</v>
      </c>
      <c r="AH114" s="853"/>
      <c r="AI114" s="855">
        <f t="shared" si="18"/>
        <v>0</v>
      </c>
      <c r="AJ114" s="845" t="s">
        <v>421</v>
      </c>
      <c r="AK114" s="857" t="s">
        <v>422</v>
      </c>
      <c r="AL114" s="840"/>
      <c r="AM114" s="840"/>
      <c r="AN114" s="858"/>
      <c r="AO114" s="844" t="s">
        <v>141</v>
      </c>
      <c r="AP114" s="859"/>
      <c r="AQ114" s="859" t="s">
        <v>423</v>
      </c>
      <c r="AR114" s="859"/>
      <c r="AS114" s="840"/>
      <c r="AT114" s="840"/>
      <c r="AU114" s="860"/>
      <c r="AV114" s="839" t="s">
        <v>424</v>
      </c>
      <c r="AW114" s="861">
        <v>45086</v>
      </c>
      <c r="AX114" s="862" t="s">
        <v>425</v>
      </c>
      <c r="AY114" s="843"/>
      <c r="AZ114" s="842"/>
      <c r="BA114" s="842" t="s">
        <v>120</v>
      </c>
      <c r="BB114" s="863" t="s">
        <v>121</v>
      </c>
      <c r="BC114" s="864">
        <v>45086</v>
      </c>
      <c r="BD114" s="860" t="s">
        <v>426</v>
      </c>
      <c r="BE114" s="865" cm="1">
        <f t="array" ref="BE114">IF(BD114="","",AC114/SUMPRODUCT(--(BD114=$BD$4:$BD$12824),$AC$4:$AC$12824))</f>
        <v>2.0386645316186696E-3</v>
      </c>
      <c r="BF114" s="458"/>
      <c r="BG114" s="458"/>
      <c r="BH114" s="458"/>
      <c r="BI114" s="458"/>
      <c r="BJ114" s="458"/>
      <c r="BK114" s="458"/>
      <c r="BL114" s="458"/>
      <c r="BM114" s="458"/>
      <c r="BN114" s="458"/>
      <c r="BO114" s="866">
        <f>VLOOKUP(BD114,$BD$4:$BN$12824,3,0)*BE114</f>
        <v>0</v>
      </c>
      <c r="BP114" s="866"/>
      <c r="BQ114" s="866"/>
      <c r="BR114" s="866">
        <f>VLOOKUP(BD114,$BD$4:$BN$12824,6,0)*BE114</f>
        <v>51263.61001676201</v>
      </c>
      <c r="BS114" s="866">
        <f>VLOOKUP(BD114,$BD$4:$BN$12824,7,0)*BE114</f>
        <v>2699.7850912418194</v>
      </c>
      <c r="BT114" s="866">
        <v>1323765.530423702</v>
      </c>
      <c r="BU114" s="866">
        <f>VLOOKUP(BD114,$BD$4:$BN$12824,9,0)*BE114</f>
        <v>1019.3322658093348</v>
      </c>
      <c r="BV114" s="867"/>
      <c r="BW114" s="867">
        <f>VLOOKUP(BD114,$BD$4:$BN$12824,11,0)*BE114</f>
        <v>2038.6645316186696</v>
      </c>
      <c r="BX114" s="1146">
        <f t="shared" si="23"/>
        <v>1380786.9223291338</v>
      </c>
      <c r="BY114" s="867">
        <f t="shared" si="21"/>
        <v>1700182.6611645669</v>
      </c>
      <c r="BZ114" s="867">
        <f t="shared" si="19"/>
        <v>3400365.3223291337</v>
      </c>
      <c r="CA114" s="867">
        <f>_xlfn.MAXIFS($BY$4:$BY$12824,$S$4:$S$12824,$S114)</f>
        <v>1700182.6611645669</v>
      </c>
      <c r="CB114" s="1032"/>
      <c r="CF114" s="946">
        <f t="shared" si="20"/>
        <v>2019578.4</v>
      </c>
    </row>
    <row r="115" spans="1:84">
      <c r="A115" s="1032"/>
      <c r="B115" s="839" t="s">
        <v>98</v>
      </c>
      <c r="C115" s="839" t="s">
        <v>131</v>
      </c>
      <c r="D115" s="839" t="s">
        <v>470</v>
      </c>
      <c r="E115" s="839" t="s">
        <v>471</v>
      </c>
      <c r="F115" s="841">
        <v>45026</v>
      </c>
      <c r="G115" s="840" t="s">
        <v>155</v>
      </c>
      <c r="H115" s="842" t="s">
        <v>134</v>
      </c>
      <c r="I115" s="842"/>
      <c r="J115" s="841"/>
      <c r="K115" s="841"/>
      <c r="L115" s="843"/>
      <c r="M115" s="844" t="s">
        <v>417</v>
      </c>
      <c r="N115" s="841"/>
      <c r="O115" s="841" t="s">
        <v>108</v>
      </c>
      <c r="P115" s="841" t="s">
        <v>160</v>
      </c>
      <c r="Q115" s="843"/>
      <c r="R115" s="845" t="s">
        <v>161</v>
      </c>
      <c r="S115" s="1127" t="s">
        <v>162</v>
      </c>
      <c r="T115" s="843" t="s">
        <v>475</v>
      </c>
      <c r="U115" s="842">
        <v>5</v>
      </c>
      <c r="V115" s="842" t="s">
        <v>8</v>
      </c>
      <c r="W115" s="846"/>
      <c r="X115" s="847">
        <f t="shared" si="14"/>
        <v>0</v>
      </c>
      <c r="Y115" s="848"/>
      <c r="Z115" s="849">
        <v>104.5</v>
      </c>
      <c r="AA115" s="849"/>
      <c r="AB115" s="849">
        <f t="shared" si="15"/>
        <v>522.5</v>
      </c>
      <c r="AC115" s="850">
        <f t="shared" si="16"/>
        <v>522.5</v>
      </c>
      <c r="AD115" s="851"/>
      <c r="AE115" s="852">
        <v>23310</v>
      </c>
      <c r="AF115" s="853">
        <v>0</v>
      </c>
      <c r="AG115" s="854">
        <f t="shared" si="17"/>
        <v>0</v>
      </c>
      <c r="AH115" s="853"/>
      <c r="AI115" s="855">
        <f t="shared" si="18"/>
        <v>0</v>
      </c>
      <c r="AJ115" s="845" t="s">
        <v>421</v>
      </c>
      <c r="AK115" s="857" t="s">
        <v>422</v>
      </c>
      <c r="AL115" s="840"/>
      <c r="AM115" s="840"/>
      <c r="AN115" s="858"/>
      <c r="AO115" s="844" t="s">
        <v>141</v>
      </c>
      <c r="AP115" s="859"/>
      <c r="AQ115" s="859" t="s">
        <v>423</v>
      </c>
      <c r="AR115" s="859"/>
      <c r="AS115" s="840"/>
      <c r="AT115" s="840"/>
      <c r="AU115" s="860"/>
      <c r="AV115" s="839" t="s">
        <v>424</v>
      </c>
      <c r="AW115" s="861">
        <v>45086</v>
      </c>
      <c r="AX115" s="862" t="s">
        <v>425</v>
      </c>
      <c r="AY115" s="843"/>
      <c r="AZ115" s="842"/>
      <c r="BA115" s="842" t="s">
        <v>120</v>
      </c>
      <c r="BB115" s="863" t="s">
        <v>121</v>
      </c>
      <c r="BC115" s="864">
        <v>45086</v>
      </c>
      <c r="BD115" s="860" t="s">
        <v>426</v>
      </c>
      <c r="BE115" s="865" cm="1">
        <f t="array" ref="BE115">IF(BD115="","",AC115/SUMPRODUCT(--(BD115=$BD$4:$BD$12824),$AC$4:$AC$12824))</f>
        <v>1.2294577767437151E-2</v>
      </c>
      <c r="BF115" s="458"/>
      <c r="BG115" s="458"/>
      <c r="BH115" s="458"/>
      <c r="BI115" s="458"/>
      <c r="BJ115" s="458"/>
      <c r="BK115" s="458"/>
      <c r="BL115" s="458"/>
      <c r="BM115" s="458"/>
      <c r="BN115" s="458"/>
      <c r="BO115" s="866">
        <f>VLOOKUP(BD115,$BD$4:$BN$12824,3,0)*BE115</f>
        <v>0</v>
      </c>
      <c r="BP115" s="866"/>
      <c r="BQ115" s="866"/>
      <c r="BR115" s="866">
        <f>VLOOKUP(BD115,$BD$4:$BN$12824,6,0)*BE115</f>
        <v>309155.54286424455</v>
      </c>
      <c r="BS115" s="866">
        <f>VLOOKUP(BD115,$BD$4:$BN$12824,7,0)*BE115</f>
        <v>16281.598686217112</v>
      </c>
      <c r="BT115" s="866">
        <v>7983235.1067218864</v>
      </c>
      <c r="BU115" s="866">
        <f>VLOOKUP(BD115,$BD$4:$BN$12824,9,0)*BE115</f>
        <v>6147.2888837185756</v>
      </c>
      <c r="BV115" s="867"/>
      <c r="BW115" s="867">
        <f>VLOOKUP(BD115,$BD$4:$BN$12824,11,0)*BE115</f>
        <v>12294.577767437151</v>
      </c>
      <c r="BX115" s="1146">
        <f>SUM(BO115:BW115)</f>
        <v>8327114.1149235042</v>
      </c>
      <c r="BY115" s="867">
        <f t="shared" si="21"/>
        <v>4101317.8229847006</v>
      </c>
      <c r="BZ115" s="867">
        <f>BY115*U115</f>
        <v>20506589.114923503</v>
      </c>
      <c r="CA115" s="867">
        <f>_xlfn.MAXIFS($BY$4:$BY$12824,$S$4:$S$12824,$S115)</f>
        <v>4101317.8229847006</v>
      </c>
      <c r="CB115" s="1032"/>
      <c r="CF115" s="946">
        <f t="shared" si="20"/>
        <v>12179475</v>
      </c>
    </row>
    <row r="116" spans="1:84">
      <c r="A116" s="1032"/>
      <c r="B116" s="839" t="s">
        <v>98</v>
      </c>
      <c r="C116" s="839" t="s">
        <v>131</v>
      </c>
      <c r="D116" s="839" t="s">
        <v>470</v>
      </c>
      <c r="E116" s="839" t="s">
        <v>471</v>
      </c>
      <c r="F116" s="841">
        <v>45026</v>
      </c>
      <c r="G116" s="840" t="s">
        <v>155</v>
      </c>
      <c r="H116" s="842" t="s">
        <v>134</v>
      </c>
      <c r="I116" s="842"/>
      <c r="J116" s="841"/>
      <c r="K116" s="841"/>
      <c r="L116" s="843"/>
      <c r="M116" s="844" t="s">
        <v>417</v>
      </c>
      <c r="N116" s="841"/>
      <c r="O116" s="841" t="s">
        <v>108</v>
      </c>
      <c r="P116" s="841" t="s">
        <v>160</v>
      </c>
      <c r="Q116" s="843"/>
      <c r="R116" s="845" t="s">
        <v>476</v>
      </c>
      <c r="S116" s="1127" t="s">
        <v>477</v>
      </c>
      <c r="T116" s="843" t="s">
        <v>478</v>
      </c>
      <c r="U116" s="842">
        <v>5</v>
      </c>
      <c r="V116" s="842" t="s">
        <v>8</v>
      </c>
      <c r="W116" s="846"/>
      <c r="X116" s="847">
        <f t="shared" si="14"/>
        <v>0</v>
      </c>
      <c r="Y116" s="848"/>
      <c r="Z116" s="849">
        <v>104.5</v>
      </c>
      <c r="AA116" s="849"/>
      <c r="AB116" s="849">
        <f t="shared" si="15"/>
        <v>522.5</v>
      </c>
      <c r="AC116" s="850">
        <f t="shared" si="16"/>
        <v>522.5</v>
      </c>
      <c r="AD116" s="851"/>
      <c r="AE116" s="852">
        <v>23310</v>
      </c>
      <c r="AF116" s="853">
        <v>0</v>
      </c>
      <c r="AG116" s="854">
        <f t="shared" si="17"/>
        <v>0</v>
      </c>
      <c r="AH116" s="853"/>
      <c r="AI116" s="855">
        <f t="shared" si="18"/>
        <v>0</v>
      </c>
      <c r="AJ116" s="845" t="s">
        <v>421</v>
      </c>
      <c r="AK116" s="857" t="s">
        <v>422</v>
      </c>
      <c r="AL116" s="840"/>
      <c r="AM116" s="840"/>
      <c r="AN116" s="858"/>
      <c r="AO116" s="844" t="s">
        <v>141</v>
      </c>
      <c r="AP116" s="859"/>
      <c r="AQ116" s="859" t="s">
        <v>423</v>
      </c>
      <c r="AR116" s="859"/>
      <c r="AS116" s="840"/>
      <c r="AT116" s="840"/>
      <c r="AU116" s="860"/>
      <c r="AV116" s="839" t="s">
        <v>424</v>
      </c>
      <c r="AW116" s="861">
        <v>45086</v>
      </c>
      <c r="AX116" s="862" t="s">
        <v>425</v>
      </c>
      <c r="AY116" s="843"/>
      <c r="AZ116" s="842"/>
      <c r="BA116" s="842" t="s">
        <v>120</v>
      </c>
      <c r="BB116" s="863" t="s">
        <v>121</v>
      </c>
      <c r="BC116" s="864">
        <v>45086</v>
      </c>
      <c r="BD116" s="860" t="s">
        <v>426</v>
      </c>
      <c r="BE116" s="865" cm="1">
        <f t="array" ref="BE116">IF(BD116="","",AC116/SUMPRODUCT(--(BD116=$BD$4:$BD$12824),$AC$4:$AC$12824))</f>
        <v>1.2294577767437151E-2</v>
      </c>
      <c r="BF116" s="458"/>
      <c r="BG116" s="458"/>
      <c r="BH116" s="458"/>
      <c r="BI116" s="458"/>
      <c r="BJ116" s="458"/>
      <c r="BK116" s="458"/>
      <c r="BL116" s="458"/>
      <c r="BM116" s="458"/>
      <c r="BN116" s="458"/>
      <c r="BO116" s="866">
        <f>VLOOKUP(BD116,$BD$4:$BN$12824,3,0)*BE116</f>
        <v>0</v>
      </c>
      <c r="BP116" s="866"/>
      <c r="BQ116" s="866"/>
      <c r="BR116" s="866">
        <f>VLOOKUP(BD116,$BD$4:$BN$12824,6,0)*BE116</f>
        <v>309155.54286424455</v>
      </c>
      <c r="BS116" s="866">
        <f>VLOOKUP(BD116,$BD$4:$BN$12824,7,0)*BE116</f>
        <v>16281.598686217112</v>
      </c>
      <c r="BT116" s="866">
        <v>7983235.1067218864</v>
      </c>
      <c r="BU116" s="866">
        <f>VLOOKUP(BD116,$BD$4:$BN$12824,9,0)*BE116</f>
        <v>6147.2888837185756</v>
      </c>
      <c r="BV116" s="867"/>
      <c r="BW116" s="867">
        <f>VLOOKUP(BD116,$BD$4:$BN$12824,11,0)*BE116</f>
        <v>12294.577767437151</v>
      </c>
      <c r="BX116" s="1146">
        <f t="shared" si="23"/>
        <v>8327114.1149235042</v>
      </c>
      <c r="BY116" s="867">
        <f t="shared" si="21"/>
        <v>4101317.8229847006</v>
      </c>
      <c r="BZ116" s="867">
        <f t="shared" si="19"/>
        <v>20506589.114923503</v>
      </c>
      <c r="CA116" s="867">
        <f>_xlfn.MAXIFS($BY$4:$BY$12824,$S$4:$S$12824,$S116)</f>
        <v>4101317.8229847006</v>
      </c>
      <c r="CB116" s="1032"/>
      <c r="CF116" s="946">
        <f t="shared" si="20"/>
        <v>12179475</v>
      </c>
    </row>
    <row r="117" spans="1:84">
      <c r="A117" s="1032"/>
      <c r="B117" s="839" t="s">
        <v>98</v>
      </c>
      <c r="C117" s="839" t="s">
        <v>131</v>
      </c>
      <c r="D117" s="839" t="s">
        <v>470</v>
      </c>
      <c r="E117" s="839" t="s">
        <v>471</v>
      </c>
      <c r="F117" s="841">
        <v>45026</v>
      </c>
      <c r="G117" s="840" t="s">
        <v>155</v>
      </c>
      <c r="H117" s="842" t="s">
        <v>134</v>
      </c>
      <c r="I117" s="842"/>
      <c r="J117" s="841"/>
      <c r="K117" s="841"/>
      <c r="L117" s="843"/>
      <c r="M117" s="844" t="s">
        <v>417</v>
      </c>
      <c r="N117" s="841"/>
      <c r="O117" s="841" t="s">
        <v>108</v>
      </c>
      <c r="P117" s="841" t="s">
        <v>160</v>
      </c>
      <c r="Q117" s="843"/>
      <c r="R117" s="845" t="s">
        <v>479</v>
      </c>
      <c r="S117" s="1127" t="s">
        <v>480</v>
      </c>
      <c r="T117" s="843" t="s">
        <v>481</v>
      </c>
      <c r="U117" s="842">
        <v>5</v>
      </c>
      <c r="V117" s="842" t="s">
        <v>8</v>
      </c>
      <c r="W117" s="846"/>
      <c r="X117" s="847">
        <f t="shared" si="14"/>
        <v>0</v>
      </c>
      <c r="Y117" s="848"/>
      <c r="Z117" s="849">
        <v>104.5</v>
      </c>
      <c r="AA117" s="849"/>
      <c r="AB117" s="849">
        <f t="shared" si="15"/>
        <v>522.5</v>
      </c>
      <c r="AC117" s="850">
        <f t="shared" si="16"/>
        <v>522.5</v>
      </c>
      <c r="AD117" s="851"/>
      <c r="AE117" s="852">
        <v>23310</v>
      </c>
      <c r="AF117" s="853">
        <v>0</v>
      </c>
      <c r="AG117" s="854">
        <f t="shared" si="17"/>
        <v>0</v>
      </c>
      <c r="AH117" s="853"/>
      <c r="AI117" s="855">
        <f t="shared" si="18"/>
        <v>0</v>
      </c>
      <c r="AJ117" s="845" t="s">
        <v>421</v>
      </c>
      <c r="AK117" s="857" t="s">
        <v>422</v>
      </c>
      <c r="AL117" s="840"/>
      <c r="AM117" s="840"/>
      <c r="AN117" s="858"/>
      <c r="AO117" s="844" t="s">
        <v>141</v>
      </c>
      <c r="AP117" s="859"/>
      <c r="AQ117" s="859" t="s">
        <v>423</v>
      </c>
      <c r="AR117" s="859"/>
      <c r="AS117" s="840"/>
      <c r="AT117" s="840"/>
      <c r="AU117" s="860"/>
      <c r="AV117" s="839" t="s">
        <v>424</v>
      </c>
      <c r="AW117" s="861">
        <v>45086</v>
      </c>
      <c r="AX117" s="862" t="s">
        <v>425</v>
      </c>
      <c r="AY117" s="843"/>
      <c r="AZ117" s="842"/>
      <c r="BA117" s="842" t="s">
        <v>120</v>
      </c>
      <c r="BB117" s="863" t="s">
        <v>121</v>
      </c>
      <c r="BC117" s="864">
        <v>45086</v>
      </c>
      <c r="BD117" s="860" t="s">
        <v>426</v>
      </c>
      <c r="BE117" s="865" cm="1">
        <f t="array" ref="BE117">IF(BD117="","",AC117/SUMPRODUCT(--(BD117=$BD$4:$BD$12824),$AC$4:$AC$12824))</f>
        <v>1.2294577767437151E-2</v>
      </c>
      <c r="BF117" s="458"/>
      <c r="BG117" s="458"/>
      <c r="BH117" s="458"/>
      <c r="BI117" s="458"/>
      <c r="BJ117" s="458"/>
      <c r="BK117" s="458"/>
      <c r="BL117" s="458"/>
      <c r="BM117" s="458"/>
      <c r="BN117" s="458"/>
      <c r="BO117" s="866">
        <f>VLOOKUP(BD117,$BD$4:$BN$12824,3,0)*BE117</f>
        <v>0</v>
      </c>
      <c r="BP117" s="866"/>
      <c r="BQ117" s="866"/>
      <c r="BR117" s="866">
        <f>VLOOKUP(BD117,$BD$4:$BN$12824,6,0)*BE117</f>
        <v>309155.54286424455</v>
      </c>
      <c r="BS117" s="866">
        <f>VLOOKUP(BD117,$BD$4:$BN$12824,7,0)*BE117</f>
        <v>16281.598686217112</v>
      </c>
      <c r="BT117" s="866">
        <v>7983235.1067218864</v>
      </c>
      <c r="BU117" s="866">
        <f>VLOOKUP(BD117,$BD$4:$BN$12824,9,0)*BE117</f>
        <v>6147.2888837185756</v>
      </c>
      <c r="BV117" s="867"/>
      <c r="BW117" s="867">
        <f>VLOOKUP(BD117,$BD$4:$BN$12824,11,0)*BE117</f>
        <v>12294.577767437151</v>
      </c>
      <c r="BX117" s="1146">
        <f t="shared" si="23"/>
        <v>8327114.1149235042</v>
      </c>
      <c r="BY117" s="867">
        <f t="shared" si="21"/>
        <v>4101317.8229847006</v>
      </c>
      <c r="BZ117" s="867">
        <f t="shared" si="19"/>
        <v>20506589.114923503</v>
      </c>
      <c r="CA117" s="867">
        <f>_xlfn.MAXIFS($BY$4:$BY$12824,$S$4:$S$12824,$S117)</f>
        <v>4101317.8229847006</v>
      </c>
      <c r="CB117" s="1032"/>
      <c r="CF117" s="946">
        <f t="shared" si="20"/>
        <v>12179475</v>
      </c>
    </row>
    <row r="118" spans="1:84">
      <c r="A118" s="1032"/>
      <c r="B118" s="839" t="s">
        <v>98</v>
      </c>
      <c r="C118" s="839" t="s">
        <v>131</v>
      </c>
      <c r="D118" s="839" t="s">
        <v>470</v>
      </c>
      <c r="E118" s="839" t="s">
        <v>471</v>
      </c>
      <c r="F118" s="841">
        <v>45026</v>
      </c>
      <c r="G118" s="840" t="s">
        <v>155</v>
      </c>
      <c r="H118" s="842" t="s">
        <v>134</v>
      </c>
      <c r="I118" s="842"/>
      <c r="J118" s="841"/>
      <c r="K118" s="841"/>
      <c r="L118" s="843"/>
      <c r="M118" s="844" t="s">
        <v>417</v>
      </c>
      <c r="N118" s="841"/>
      <c r="O118" s="841" t="s">
        <v>108</v>
      </c>
      <c r="P118" s="841" t="s">
        <v>160</v>
      </c>
      <c r="Q118" s="843"/>
      <c r="R118" s="845" t="s">
        <v>170</v>
      </c>
      <c r="S118" s="1127" t="s">
        <v>171</v>
      </c>
      <c r="T118" s="843" t="s">
        <v>482</v>
      </c>
      <c r="U118" s="842">
        <v>2</v>
      </c>
      <c r="V118" s="842" t="s">
        <v>8</v>
      </c>
      <c r="W118" s="846"/>
      <c r="X118" s="847">
        <f t="shared" si="14"/>
        <v>0</v>
      </c>
      <c r="Y118" s="848"/>
      <c r="Z118" s="849">
        <v>104.5</v>
      </c>
      <c r="AA118" s="849"/>
      <c r="AB118" s="849">
        <f t="shared" si="15"/>
        <v>209</v>
      </c>
      <c r="AC118" s="850">
        <f t="shared" si="16"/>
        <v>209</v>
      </c>
      <c r="AD118" s="851"/>
      <c r="AE118" s="852">
        <v>23310</v>
      </c>
      <c r="AF118" s="853">
        <v>0</v>
      </c>
      <c r="AG118" s="854">
        <f t="shared" si="17"/>
        <v>0</v>
      </c>
      <c r="AH118" s="853"/>
      <c r="AI118" s="855">
        <f t="shared" si="18"/>
        <v>0</v>
      </c>
      <c r="AJ118" s="845" t="s">
        <v>421</v>
      </c>
      <c r="AK118" s="857" t="s">
        <v>422</v>
      </c>
      <c r="AL118" s="840"/>
      <c r="AM118" s="840"/>
      <c r="AN118" s="858"/>
      <c r="AO118" s="844" t="s">
        <v>141</v>
      </c>
      <c r="AP118" s="859"/>
      <c r="AQ118" s="859" t="s">
        <v>423</v>
      </c>
      <c r="AR118" s="859"/>
      <c r="AS118" s="840"/>
      <c r="AT118" s="840"/>
      <c r="AU118" s="860"/>
      <c r="AV118" s="839" t="s">
        <v>424</v>
      </c>
      <c r="AW118" s="861">
        <v>45086</v>
      </c>
      <c r="AX118" s="862" t="s">
        <v>425</v>
      </c>
      <c r="AY118" s="843"/>
      <c r="AZ118" s="842"/>
      <c r="BA118" s="842" t="s">
        <v>120</v>
      </c>
      <c r="BB118" s="863" t="s">
        <v>121</v>
      </c>
      <c r="BC118" s="864">
        <v>45086</v>
      </c>
      <c r="BD118" s="860" t="s">
        <v>426</v>
      </c>
      <c r="BE118" s="865" cm="1">
        <f t="array" ref="BE118">IF(BD118="","",AC118/SUMPRODUCT(--(BD118=$BD$4:$BD$12824),$AC$4:$AC$12824))</f>
        <v>4.9178311069748605E-3</v>
      </c>
      <c r="BF118" s="458"/>
      <c r="BG118" s="458"/>
      <c r="BH118" s="458"/>
      <c r="BI118" s="458"/>
      <c r="BJ118" s="458"/>
      <c r="BK118" s="458"/>
      <c r="BL118" s="458"/>
      <c r="BM118" s="458"/>
      <c r="BN118" s="458"/>
      <c r="BO118" s="866">
        <f>VLOOKUP(BD118,$BD$4:$BN$12824,3,0)*BE118</f>
        <v>0</v>
      </c>
      <c r="BP118" s="866"/>
      <c r="BQ118" s="866"/>
      <c r="BR118" s="866">
        <f>VLOOKUP(BD118,$BD$4:$BN$12824,6,0)*BE118</f>
        <v>123662.21714569782</v>
      </c>
      <c r="BS118" s="866">
        <f>VLOOKUP(BD118,$BD$4:$BN$12824,7,0)*BE118</f>
        <v>6512.6394744868448</v>
      </c>
      <c r="BT118" s="866">
        <v>3193294.0426887549</v>
      </c>
      <c r="BU118" s="866">
        <f>VLOOKUP(BD118,$BD$4:$BN$12824,9,0)*BE118</f>
        <v>2458.9155534874303</v>
      </c>
      <c r="BV118" s="867"/>
      <c r="BW118" s="867">
        <f>VLOOKUP(BD118,$BD$4:$BN$12824,11,0)*BE118</f>
        <v>4917.8311069748606</v>
      </c>
      <c r="BX118" s="1146">
        <f t="shared" si="23"/>
        <v>3330845.6459694016</v>
      </c>
      <c r="BY118" s="867">
        <f t="shared" si="21"/>
        <v>4101317.822984701</v>
      </c>
      <c r="BZ118" s="867">
        <f t="shared" si="19"/>
        <v>8202635.645969402</v>
      </c>
      <c r="CA118" s="867">
        <f>_xlfn.MAXIFS($BY$4:$BY$12824,$S$4:$S$12824,$S118)</f>
        <v>4101317.822984701</v>
      </c>
      <c r="CB118" s="1032"/>
      <c r="CF118" s="946">
        <f t="shared" si="20"/>
        <v>4871790</v>
      </c>
    </row>
    <row r="119" spans="1:84">
      <c r="A119" s="1032"/>
      <c r="B119" s="839" t="s">
        <v>98</v>
      </c>
      <c r="C119" s="839" t="s">
        <v>131</v>
      </c>
      <c r="D119" s="839" t="s">
        <v>470</v>
      </c>
      <c r="E119" s="839" t="s">
        <v>471</v>
      </c>
      <c r="F119" s="841">
        <v>45026</v>
      </c>
      <c r="G119" s="840" t="s">
        <v>155</v>
      </c>
      <c r="H119" s="842" t="s">
        <v>134</v>
      </c>
      <c r="I119" s="842"/>
      <c r="J119" s="841"/>
      <c r="K119" s="841"/>
      <c r="L119" s="843"/>
      <c r="M119" s="844" t="s">
        <v>417</v>
      </c>
      <c r="N119" s="841"/>
      <c r="O119" s="841" t="s">
        <v>108</v>
      </c>
      <c r="P119" s="841" t="s">
        <v>160</v>
      </c>
      <c r="Q119" s="843"/>
      <c r="R119" s="845" t="s">
        <v>173</v>
      </c>
      <c r="S119" s="1127" t="s">
        <v>174</v>
      </c>
      <c r="T119" s="843" t="s">
        <v>483</v>
      </c>
      <c r="U119" s="842">
        <v>5</v>
      </c>
      <c r="V119" s="842" t="s">
        <v>8</v>
      </c>
      <c r="W119" s="846"/>
      <c r="X119" s="847">
        <f t="shared" si="14"/>
        <v>0</v>
      </c>
      <c r="Y119" s="848"/>
      <c r="Z119" s="849">
        <v>104.5</v>
      </c>
      <c r="AA119" s="849"/>
      <c r="AB119" s="849">
        <f t="shared" si="15"/>
        <v>522.5</v>
      </c>
      <c r="AC119" s="850">
        <f t="shared" si="16"/>
        <v>522.5</v>
      </c>
      <c r="AD119" s="851"/>
      <c r="AE119" s="852">
        <v>23310</v>
      </c>
      <c r="AF119" s="853">
        <v>0</v>
      </c>
      <c r="AG119" s="854">
        <f t="shared" si="17"/>
        <v>0</v>
      </c>
      <c r="AH119" s="853"/>
      <c r="AI119" s="855">
        <f t="shared" si="18"/>
        <v>0</v>
      </c>
      <c r="AJ119" s="845" t="s">
        <v>421</v>
      </c>
      <c r="AK119" s="857" t="s">
        <v>422</v>
      </c>
      <c r="AL119" s="840"/>
      <c r="AM119" s="840"/>
      <c r="AN119" s="858"/>
      <c r="AO119" s="844" t="s">
        <v>141</v>
      </c>
      <c r="AP119" s="859"/>
      <c r="AQ119" s="859" t="s">
        <v>423</v>
      </c>
      <c r="AR119" s="859"/>
      <c r="AS119" s="840"/>
      <c r="AT119" s="840"/>
      <c r="AU119" s="860"/>
      <c r="AV119" s="839" t="s">
        <v>424</v>
      </c>
      <c r="AW119" s="861">
        <v>45086</v>
      </c>
      <c r="AX119" s="862" t="s">
        <v>425</v>
      </c>
      <c r="AY119" s="843"/>
      <c r="AZ119" s="842"/>
      <c r="BA119" s="842" t="s">
        <v>120</v>
      </c>
      <c r="BB119" s="863" t="s">
        <v>121</v>
      </c>
      <c r="BC119" s="864">
        <v>45086</v>
      </c>
      <c r="BD119" s="860" t="s">
        <v>426</v>
      </c>
      <c r="BE119" s="865" cm="1">
        <f t="array" ref="BE119">IF(BD119="","",AC119/SUMPRODUCT(--(BD119=$BD$4:$BD$12824),$AC$4:$AC$12824))</f>
        <v>1.2294577767437151E-2</v>
      </c>
      <c r="BF119" s="458"/>
      <c r="BG119" s="458"/>
      <c r="BH119" s="458"/>
      <c r="BI119" s="458"/>
      <c r="BJ119" s="458"/>
      <c r="BK119" s="458"/>
      <c r="BL119" s="458"/>
      <c r="BM119" s="458"/>
      <c r="BN119" s="458"/>
      <c r="BO119" s="866">
        <f>VLOOKUP(BD119,$BD$4:$BN$12824,3,0)*BE119</f>
        <v>0</v>
      </c>
      <c r="BP119" s="866"/>
      <c r="BQ119" s="866"/>
      <c r="BR119" s="866">
        <f>VLOOKUP(BD119,$BD$4:$BN$12824,6,0)*BE119</f>
        <v>309155.54286424455</v>
      </c>
      <c r="BS119" s="866">
        <f>VLOOKUP(BD119,$BD$4:$BN$12824,7,0)*BE119</f>
        <v>16281.598686217112</v>
      </c>
      <c r="BT119" s="866">
        <v>7983235.1067218864</v>
      </c>
      <c r="BU119" s="866">
        <f>VLOOKUP(BD119,$BD$4:$BN$12824,9,0)*BE119</f>
        <v>6147.2888837185756</v>
      </c>
      <c r="BV119" s="867"/>
      <c r="BW119" s="867">
        <f>VLOOKUP(BD119,$BD$4:$BN$12824,11,0)*BE119</f>
        <v>12294.577767437151</v>
      </c>
      <c r="BX119" s="1146">
        <f t="shared" si="23"/>
        <v>8327114.1149235042</v>
      </c>
      <c r="BY119" s="867">
        <f t="shared" si="21"/>
        <v>4101317.8229847006</v>
      </c>
      <c r="BZ119" s="867">
        <f t="shared" si="19"/>
        <v>20506589.114923503</v>
      </c>
      <c r="CA119" s="867">
        <f>_xlfn.MAXIFS($BY$4:$BY$12824,$S$4:$S$12824,$S119)</f>
        <v>4101317.8229847006</v>
      </c>
      <c r="CB119" s="1032"/>
      <c r="CF119" s="946">
        <f t="shared" si="20"/>
        <v>12179475</v>
      </c>
    </row>
    <row r="120" spans="1:84">
      <c r="A120" s="1032"/>
      <c r="B120" s="839" t="s">
        <v>98</v>
      </c>
      <c r="C120" s="839" t="s">
        <v>131</v>
      </c>
      <c r="D120" s="839" t="s">
        <v>415</v>
      </c>
      <c r="E120" s="839" t="s">
        <v>416</v>
      </c>
      <c r="F120" s="841">
        <v>45020</v>
      </c>
      <c r="G120" s="840" t="s">
        <v>133</v>
      </c>
      <c r="H120" s="842" t="s">
        <v>134</v>
      </c>
      <c r="I120" s="842"/>
      <c r="J120" s="841"/>
      <c r="K120" s="841"/>
      <c r="L120" s="843"/>
      <c r="M120" s="844" t="s">
        <v>417</v>
      </c>
      <c r="N120" s="841"/>
      <c r="O120" s="841" t="s">
        <v>150</v>
      </c>
      <c r="P120" s="841" t="s">
        <v>151</v>
      </c>
      <c r="Q120" s="843"/>
      <c r="R120" s="845" t="s">
        <v>484</v>
      </c>
      <c r="S120" s="1127" t="s">
        <v>485</v>
      </c>
      <c r="T120" s="843" t="s">
        <v>486</v>
      </c>
      <c r="U120" s="842">
        <v>4</v>
      </c>
      <c r="V120" s="842" t="s">
        <v>8</v>
      </c>
      <c r="W120" s="846"/>
      <c r="X120" s="847">
        <f t="shared" si="14"/>
        <v>0</v>
      </c>
      <c r="Y120" s="848"/>
      <c r="Z120" s="849">
        <v>156.465</v>
      </c>
      <c r="AA120" s="849"/>
      <c r="AB120" s="849">
        <f t="shared" si="15"/>
        <v>625.86</v>
      </c>
      <c r="AC120" s="850">
        <f t="shared" si="16"/>
        <v>625.86</v>
      </c>
      <c r="AD120" s="851"/>
      <c r="AE120" s="852">
        <v>23310</v>
      </c>
      <c r="AF120" s="853">
        <v>0</v>
      </c>
      <c r="AG120" s="854">
        <f t="shared" si="17"/>
        <v>0</v>
      </c>
      <c r="AH120" s="853"/>
      <c r="AI120" s="855">
        <f t="shared" si="18"/>
        <v>0</v>
      </c>
      <c r="AJ120" s="845" t="s">
        <v>421</v>
      </c>
      <c r="AK120" s="857" t="s">
        <v>422</v>
      </c>
      <c r="AL120" s="840"/>
      <c r="AM120" s="840"/>
      <c r="AN120" s="858"/>
      <c r="AO120" s="844" t="s">
        <v>141</v>
      </c>
      <c r="AP120" s="859"/>
      <c r="AQ120" s="859" t="s">
        <v>423</v>
      </c>
      <c r="AR120" s="859"/>
      <c r="AS120" s="840"/>
      <c r="AT120" s="840"/>
      <c r="AU120" s="860"/>
      <c r="AV120" s="839" t="s">
        <v>424</v>
      </c>
      <c r="AW120" s="861">
        <v>45086</v>
      </c>
      <c r="AX120" s="862" t="s">
        <v>425</v>
      </c>
      <c r="AY120" s="843"/>
      <c r="AZ120" s="842"/>
      <c r="BA120" s="842" t="s">
        <v>120</v>
      </c>
      <c r="BB120" s="863" t="s">
        <v>121</v>
      </c>
      <c r="BC120" s="864">
        <v>45086</v>
      </c>
      <c r="BD120" s="860" t="s">
        <v>426</v>
      </c>
      <c r="BE120" s="865" cm="1">
        <f t="array" ref="BE120">IF(BD120="","",AC120/SUMPRODUCT(--(BD120=$BD$4:$BD$12824),$AC$4:$AC$12824))</f>
        <v>1.4726668787613809E-2</v>
      </c>
      <c r="BF120" s="458"/>
      <c r="BG120" s="458"/>
      <c r="BH120" s="458"/>
      <c r="BI120" s="458"/>
      <c r="BJ120" s="458"/>
      <c r="BK120" s="458"/>
      <c r="BL120" s="458"/>
      <c r="BM120" s="458"/>
      <c r="BN120" s="458"/>
      <c r="BO120" s="866">
        <f>VLOOKUP(BD120,$BD$4:$BN$12824,3,0)*BE120</f>
        <v>0</v>
      </c>
      <c r="BP120" s="866"/>
      <c r="BQ120" s="866"/>
      <c r="BR120" s="866">
        <f>VLOOKUP(BD120,$BD$4:$BN$12824,6,0)*BE120</f>
        <v>370312.13025266241</v>
      </c>
      <c r="BS120" s="866">
        <f>VLOOKUP(BD120,$BD$4:$BN$12824,7,0)*BE120</f>
        <v>19502.39493541788</v>
      </c>
      <c r="BT120" s="866"/>
      <c r="BU120" s="866">
        <f>VLOOKUP(BD120,$BD$4:$BN$12824,9,0)*BE120</f>
        <v>7363.3343938069047</v>
      </c>
      <c r="BV120" s="867"/>
      <c r="BW120" s="867">
        <f>VLOOKUP(BD120,$BD$4:$BN$12824,11,0)*BE120</f>
        <v>14726.668787613809</v>
      </c>
      <c r="BX120" s="1146">
        <f t="shared" si="23"/>
        <v>411904.528369501</v>
      </c>
      <c r="BY120" s="867">
        <f t="shared" si="21"/>
        <v>3750175.2820923752</v>
      </c>
      <c r="BZ120" s="867">
        <f t="shared" si="19"/>
        <v>15000701.128369501</v>
      </c>
      <c r="CA120" s="867">
        <f>_xlfn.MAXIFS($BY$4:$BY$12824,$S$4:$S$12824,$S120)</f>
        <v>3750175.2820923752</v>
      </c>
      <c r="CB120" s="1032"/>
      <c r="CF120" s="946">
        <f t="shared" si="20"/>
        <v>14588796.6</v>
      </c>
    </row>
    <row r="121" spans="1:84">
      <c r="A121" s="1032"/>
      <c r="B121" s="839" t="s">
        <v>98</v>
      </c>
      <c r="C121" s="839" t="s">
        <v>131</v>
      </c>
      <c r="D121" s="839" t="s">
        <v>415</v>
      </c>
      <c r="E121" s="839" t="s">
        <v>416</v>
      </c>
      <c r="F121" s="841">
        <v>45020</v>
      </c>
      <c r="G121" s="840" t="s">
        <v>133</v>
      </c>
      <c r="H121" s="842" t="s">
        <v>134</v>
      </c>
      <c r="I121" s="842"/>
      <c r="J121" s="841"/>
      <c r="K121" s="841"/>
      <c r="L121" s="843"/>
      <c r="M121" s="844" t="s">
        <v>417</v>
      </c>
      <c r="N121" s="841"/>
      <c r="O121" s="841" t="s">
        <v>150</v>
      </c>
      <c r="P121" s="841" t="s">
        <v>151</v>
      </c>
      <c r="Q121" s="843"/>
      <c r="R121" s="845" t="s">
        <v>487</v>
      </c>
      <c r="S121" s="1127" t="s">
        <v>488</v>
      </c>
      <c r="T121" s="843" t="s">
        <v>489</v>
      </c>
      <c r="U121" s="842">
        <v>12</v>
      </c>
      <c r="V121" s="842" t="s">
        <v>8</v>
      </c>
      <c r="W121" s="846"/>
      <c r="X121" s="847">
        <f t="shared" si="14"/>
        <v>0</v>
      </c>
      <c r="Y121" s="848"/>
      <c r="Z121" s="849">
        <v>156.465</v>
      </c>
      <c r="AA121" s="849"/>
      <c r="AB121" s="849">
        <f t="shared" si="15"/>
        <v>1877.58</v>
      </c>
      <c r="AC121" s="850">
        <f t="shared" si="16"/>
        <v>1877.58</v>
      </c>
      <c r="AD121" s="851"/>
      <c r="AE121" s="852">
        <v>23310</v>
      </c>
      <c r="AF121" s="853">
        <v>0</v>
      </c>
      <c r="AG121" s="854">
        <f t="shared" si="17"/>
        <v>0</v>
      </c>
      <c r="AH121" s="853"/>
      <c r="AI121" s="855">
        <f t="shared" si="18"/>
        <v>0</v>
      </c>
      <c r="AJ121" s="845" t="s">
        <v>421</v>
      </c>
      <c r="AK121" s="857" t="s">
        <v>422</v>
      </c>
      <c r="AL121" s="840"/>
      <c r="AM121" s="840"/>
      <c r="AN121" s="858"/>
      <c r="AO121" s="844" t="s">
        <v>141</v>
      </c>
      <c r="AP121" s="859"/>
      <c r="AQ121" s="859" t="s">
        <v>423</v>
      </c>
      <c r="AR121" s="859"/>
      <c r="AS121" s="840"/>
      <c r="AT121" s="840"/>
      <c r="AU121" s="860"/>
      <c r="AV121" s="839" t="s">
        <v>424</v>
      </c>
      <c r="AW121" s="861">
        <v>45086</v>
      </c>
      <c r="AX121" s="862" t="s">
        <v>425</v>
      </c>
      <c r="AY121" s="843"/>
      <c r="AZ121" s="842"/>
      <c r="BA121" s="842" t="s">
        <v>120</v>
      </c>
      <c r="BB121" s="863" t="s">
        <v>121</v>
      </c>
      <c r="BC121" s="864">
        <v>45086</v>
      </c>
      <c r="BD121" s="860" t="s">
        <v>426</v>
      </c>
      <c r="BE121" s="865" cm="1">
        <f t="array" ref="BE121">IF(BD121="","",AC121/SUMPRODUCT(--(BD121=$BD$4:$BD$12824),$AC$4:$AC$12824))</f>
        <v>4.4180006362841424E-2</v>
      </c>
      <c r="BF121" s="458"/>
      <c r="BG121" s="458"/>
      <c r="BH121" s="458"/>
      <c r="BI121" s="458"/>
      <c r="BJ121" s="458"/>
      <c r="BK121" s="458"/>
      <c r="BL121" s="458"/>
      <c r="BM121" s="458"/>
      <c r="BN121" s="458"/>
      <c r="BO121" s="866">
        <f>VLOOKUP(BD121,$BD$4:$BN$12824,3,0)*BE121</f>
        <v>0</v>
      </c>
      <c r="BP121" s="866"/>
      <c r="BQ121" s="866"/>
      <c r="BR121" s="866">
        <f>VLOOKUP(BD121,$BD$4:$BN$12824,6,0)*BE121</f>
        <v>1110936.390757987</v>
      </c>
      <c r="BS121" s="866">
        <f>VLOOKUP(BD121,$BD$4:$BN$12824,7,0)*BE121</f>
        <v>58507.18480625363</v>
      </c>
      <c r="BT121" s="866"/>
      <c r="BU121" s="866">
        <f>VLOOKUP(BD121,$BD$4:$BN$12824,9,0)*BE121</f>
        <v>22090.00318142071</v>
      </c>
      <c r="BV121" s="867"/>
      <c r="BW121" s="867">
        <f>VLOOKUP(BD121,$BD$4:$BN$12824,11,0)*BE121</f>
        <v>44180.006362841421</v>
      </c>
      <c r="BX121" s="1146">
        <f t="shared" si="23"/>
        <v>1235713.5851085028</v>
      </c>
      <c r="BY121" s="867">
        <f t="shared" si="21"/>
        <v>3750175.2820923752</v>
      </c>
      <c r="BZ121" s="867">
        <f t="shared" si="19"/>
        <v>45002103.385108501</v>
      </c>
      <c r="CA121" s="867">
        <f>_xlfn.MAXIFS($BY$4:$BY$12824,$S$4:$S$12824,$S121)</f>
        <v>3750175.2820923752</v>
      </c>
      <c r="CB121" s="1032"/>
      <c r="CF121" s="946">
        <f t="shared" si="20"/>
        <v>43766389.799999997</v>
      </c>
    </row>
    <row r="122" spans="1:84">
      <c r="A122" s="1032"/>
      <c r="B122" s="839" t="s">
        <v>98</v>
      </c>
      <c r="C122" s="839" t="s">
        <v>131</v>
      </c>
      <c r="D122" s="839" t="s">
        <v>415</v>
      </c>
      <c r="E122" s="839" t="s">
        <v>416</v>
      </c>
      <c r="F122" s="841">
        <v>45020</v>
      </c>
      <c r="G122" s="840" t="s">
        <v>133</v>
      </c>
      <c r="H122" s="842" t="s">
        <v>134</v>
      </c>
      <c r="I122" s="842"/>
      <c r="J122" s="841"/>
      <c r="K122" s="841"/>
      <c r="L122" s="843"/>
      <c r="M122" s="844" t="s">
        <v>417</v>
      </c>
      <c r="N122" s="841"/>
      <c r="O122" s="841" t="s">
        <v>150</v>
      </c>
      <c r="P122" s="841" t="s">
        <v>151</v>
      </c>
      <c r="Q122" s="843"/>
      <c r="R122" s="845" t="s">
        <v>490</v>
      </c>
      <c r="S122" s="1127" t="s">
        <v>491</v>
      </c>
      <c r="T122" s="843" t="s">
        <v>492</v>
      </c>
      <c r="U122" s="842">
        <v>4</v>
      </c>
      <c r="V122" s="842" t="s">
        <v>8</v>
      </c>
      <c r="W122" s="846"/>
      <c r="X122" s="847">
        <f t="shared" si="14"/>
        <v>0</v>
      </c>
      <c r="Y122" s="848"/>
      <c r="Z122" s="849">
        <v>184.16749999999999</v>
      </c>
      <c r="AA122" s="849"/>
      <c r="AB122" s="849">
        <f t="shared" si="15"/>
        <v>736.67</v>
      </c>
      <c r="AC122" s="850">
        <f t="shared" si="16"/>
        <v>736.67</v>
      </c>
      <c r="AD122" s="851"/>
      <c r="AE122" s="852">
        <v>23310</v>
      </c>
      <c r="AF122" s="853">
        <v>0</v>
      </c>
      <c r="AG122" s="854">
        <f t="shared" si="17"/>
        <v>0</v>
      </c>
      <c r="AH122" s="853"/>
      <c r="AI122" s="855">
        <f t="shared" si="18"/>
        <v>0</v>
      </c>
      <c r="AJ122" s="845" t="s">
        <v>421</v>
      </c>
      <c r="AK122" s="857" t="s">
        <v>422</v>
      </c>
      <c r="AL122" s="840"/>
      <c r="AM122" s="840"/>
      <c r="AN122" s="858"/>
      <c r="AO122" s="844" t="s">
        <v>141</v>
      </c>
      <c r="AP122" s="859"/>
      <c r="AQ122" s="859" t="s">
        <v>423</v>
      </c>
      <c r="AR122" s="859"/>
      <c r="AS122" s="840"/>
      <c r="AT122" s="840"/>
      <c r="AU122" s="860"/>
      <c r="AV122" s="839" t="s">
        <v>424</v>
      </c>
      <c r="AW122" s="861">
        <v>45086</v>
      </c>
      <c r="AX122" s="862" t="s">
        <v>425</v>
      </c>
      <c r="AY122" s="843"/>
      <c r="AZ122" s="842"/>
      <c r="BA122" s="842" t="s">
        <v>120</v>
      </c>
      <c r="BB122" s="863" t="s">
        <v>121</v>
      </c>
      <c r="BC122" s="864">
        <v>45086</v>
      </c>
      <c r="BD122" s="860" t="s">
        <v>426</v>
      </c>
      <c r="BE122" s="865" cm="1">
        <f t="array" ref="BE122">IF(BD122="","",AC122/SUMPRODUCT(--(BD122=$BD$4:$BD$12824),$AC$4:$AC$12824))</f>
        <v>1.7334060486005599E-2</v>
      </c>
      <c r="BF122" s="458"/>
      <c r="BG122" s="458"/>
      <c r="BH122" s="458"/>
      <c r="BI122" s="458"/>
      <c r="BJ122" s="458"/>
      <c r="BK122" s="458"/>
      <c r="BL122" s="458"/>
      <c r="BM122" s="458"/>
      <c r="BN122" s="458"/>
      <c r="BO122" s="866">
        <f>VLOOKUP(BD122,$BD$4:$BN$12824,3,0)*BE122</f>
        <v>0</v>
      </c>
      <c r="BP122" s="866"/>
      <c r="BQ122" s="866"/>
      <c r="BR122" s="866">
        <f>VLOOKUP(BD122,$BD$4:$BN$12824,6,0)*BE122</f>
        <v>435876.77274986223</v>
      </c>
      <c r="BS122" s="866">
        <f>VLOOKUP(BD122,$BD$4:$BN$12824,7,0)*BE122</f>
        <v>22955.340295072841</v>
      </c>
      <c r="BT122" s="866"/>
      <c r="BU122" s="866">
        <f>VLOOKUP(BD122,$BD$4:$BN$12824,9,0)*BE122</f>
        <v>8667.0302430027987</v>
      </c>
      <c r="BV122" s="867"/>
      <c r="BW122" s="867">
        <f>VLOOKUP(BD122,$BD$4:$BN$12824,11,0)*BE122</f>
        <v>17334.060486005597</v>
      </c>
      <c r="BX122" s="1146">
        <f t="shared" si="23"/>
        <v>484833.20377394347</v>
      </c>
      <c r="BY122" s="867">
        <f t="shared" si="21"/>
        <v>4414152.7259434853</v>
      </c>
      <c r="BZ122" s="867">
        <f t="shared" si="19"/>
        <v>17656610.903773941</v>
      </c>
      <c r="CA122" s="867">
        <f>_xlfn.MAXIFS($BY$4:$BY$12824,$S$4:$S$12824,$S122)</f>
        <v>4414152.7259434853</v>
      </c>
      <c r="CB122" s="1032"/>
      <c r="CF122" s="946">
        <f t="shared" si="20"/>
        <v>17171777.699999999</v>
      </c>
    </row>
    <row r="123" spans="1:84">
      <c r="A123" s="1032"/>
      <c r="B123" s="839" t="s">
        <v>98</v>
      </c>
      <c r="C123" s="839" t="s">
        <v>131</v>
      </c>
      <c r="D123" s="839" t="s">
        <v>415</v>
      </c>
      <c r="E123" s="839" t="s">
        <v>416</v>
      </c>
      <c r="F123" s="841">
        <v>45020</v>
      </c>
      <c r="G123" s="840" t="s">
        <v>133</v>
      </c>
      <c r="H123" s="842" t="s">
        <v>134</v>
      </c>
      <c r="I123" s="842"/>
      <c r="J123" s="841"/>
      <c r="K123" s="841"/>
      <c r="L123" s="843"/>
      <c r="M123" s="844" t="s">
        <v>417</v>
      </c>
      <c r="N123" s="841"/>
      <c r="O123" s="841" t="s">
        <v>150</v>
      </c>
      <c r="P123" s="841" t="s">
        <v>151</v>
      </c>
      <c r="Q123" s="843"/>
      <c r="R123" s="845" t="s">
        <v>493</v>
      </c>
      <c r="S123" s="1127" t="s">
        <v>494</v>
      </c>
      <c r="T123" s="843" t="s">
        <v>495</v>
      </c>
      <c r="U123" s="842">
        <v>10</v>
      </c>
      <c r="V123" s="842" t="s">
        <v>8</v>
      </c>
      <c r="W123" s="846"/>
      <c r="X123" s="847">
        <f t="shared" si="14"/>
        <v>0</v>
      </c>
      <c r="Y123" s="848"/>
      <c r="Z123" s="849">
        <v>184.167</v>
      </c>
      <c r="AA123" s="849"/>
      <c r="AB123" s="849">
        <f t="shared" si="15"/>
        <v>1841.67</v>
      </c>
      <c r="AC123" s="850">
        <f t="shared" si="16"/>
        <v>1841.67</v>
      </c>
      <c r="AD123" s="851"/>
      <c r="AE123" s="852">
        <v>23310</v>
      </c>
      <c r="AF123" s="853">
        <v>0</v>
      </c>
      <c r="AG123" s="854">
        <f t="shared" si="17"/>
        <v>0</v>
      </c>
      <c r="AH123" s="853"/>
      <c r="AI123" s="855">
        <f t="shared" si="18"/>
        <v>0</v>
      </c>
      <c r="AJ123" s="845" t="s">
        <v>421</v>
      </c>
      <c r="AK123" s="857" t="s">
        <v>422</v>
      </c>
      <c r="AL123" s="840"/>
      <c r="AM123" s="840"/>
      <c r="AN123" s="858"/>
      <c r="AO123" s="844" t="s">
        <v>141</v>
      </c>
      <c r="AP123" s="859"/>
      <c r="AQ123" s="859" t="s">
        <v>423</v>
      </c>
      <c r="AR123" s="859"/>
      <c r="AS123" s="840"/>
      <c r="AT123" s="840"/>
      <c r="AU123" s="860"/>
      <c r="AV123" s="839" t="s">
        <v>424</v>
      </c>
      <c r="AW123" s="861">
        <v>45086</v>
      </c>
      <c r="AX123" s="862" t="s">
        <v>425</v>
      </c>
      <c r="AY123" s="843"/>
      <c r="AZ123" s="842"/>
      <c r="BA123" s="842" t="s">
        <v>120</v>
      </c>
      <c r="BB123" s="863" t="s">
        <v>121</v>
      </c>
      <c r="BC123" s="864">
        <v>45086</v>
      </c>
      <c r="BD123" s="860" t="s">
        <v>426</v>
      </c>
      <c r="BE123" s="865" cm="1">
        <f t="array" ref="BE123">IF(BD123="","",AC123/SUMPRODUCT(--(BD123=$BD$4:$BD$12824),$AC$4:$AC$12824))</f>
        <v>4.3335033563552117E-2</v>
      </c>
      <c r="BF123" s="458"/>
      <c r="BG123" s="458"/>
      <c r="BH123" s="458"/>
      <c r="BI123" s="458"/>
      <c r="BJ123" s="458"/>
      <c r="BK123" s="458"/>
      <c r="BL123" s="458"/>
      <c r="BM123" s="458"/>
      <c r="BN123" s="458"/>
      <c r="BO123" s="866">
        <f>VLOOKUP(BD123,$BD$4:$BN$12824,3,0)*BE123</f>
        <v>0</v>
      </c>
      <c r="BP123" s="866"/>
      <c r="BQ123" s="866"/>
      <c r="BR123" s="866">
        <f>VLOOKUP(BD123,$BD$4:$BN$12824,6,0)*BE123</f>
        <v>1089688.9734484083</v>
      </c>
      <c r="BS123" s="866">
        <f>VLOOKUP(BD123,$BD$4:$BN$12824,7,0)*BE123</f>
        <v>57388.194932909995</v>
      </c>
      <c r="BT123" s="866"/>
      <c r="BU123" s="866">
        <f>VLOOKUP(BD123,$BD$4:$BN$12824,9,0)*BE123</f>
        <v>21667.516781776059</v>
      </c>
      <c r="BV123" s="867"/>
      <c r="BW123" s="867">
        <f>VLOOKUP(BD123,$BD$4:$BN$12824,11,0)*BE123</f>
        <v>43335.033563552119</v>
      </c>
      <c r="BX123" s="1146">
        <f t="shared" si="23"/>
        <v>1212079.7187266464</v>
      </c>
      <c r="BY123" s="867">
        <f t="shared" si="21"/>
        <v>4414140.7418726655</v>
      </c>
      <c r="BZ123" s="867">
        <f t="shared" si="19"/>
        <v>44141407.418726653</v>
      </c>
      <c r="CA123" s="867">
        <f>_xlfn.MAXIFS($BY$4:$BY$12824,$S$4:$S$12824,$S123)</f>
        <v>4414140.7418726655</v>
      </c>
      <c r="CB123" s="1032"/>
      <c r="CF123" s="946">
        <f t="shared" si="20"/>
        <v>42929327.700000003</v>
      </c>
    </row>
    <row r="124" spans="1:84">
      <c r="A124" s="1032"/>
      <c r="B124" s="839" t="s">
        <v>98</v>
      </c>
      <c r="C124" s="839" t="s">
        <v>131</v>
      </c>
      <c r="D124" s="839" t="s">
        <v>415</v>
      </c>
      <c r="E124" s="839" t="s">
        <v>416</v>
      </c>
      <c r="F124" s="841">
        <v>45020</v>
      </c>
      <c r="G124" s="840" t="s">
        <v>133</v>
      </c>
      <c r="H124" s="842" t="s">
        <v>134</v>
      </c>
      <c r="I124" s="842"/>
      <c r="J124" s="841"/>
      <c r="K124" s="841"/>
      <c r="L124" s="843"/>
      <c r="M124" s="844" t="s">
        <v>417</v>
      </c>
      <c r="N124" s="841"/>
      <c r="O124" s="841" t="s">
        <v>150</v>
      </c>
      <c r="P124" s="841" t="s">
        <v>151</v>
      </c>
      <c r="Q124" s="843"/>
      <c r="R124" s="845" t="s">
        <v>496</v>
      </c>
      <c r="S124" s="1127" t="s">
        <v>497</v>
      </c>
      <c r="T124" s="843" t="s">
        <v>498</v>
      </c>
      <c r="U124" s="842">
        <v>2</v>
      </c>
      <c r="V124" s="842" t="s">
        <v>8</v>
      </c>
      <c r="W124" s="846"/>
      <c r="X124" s="847">
        <f t="shared" si="14"/>
        <v>0</v>
      </c>
      <c r="Y124" s="848"/>
      <c r="Z124" s="849">
        <v>281.63499999999999</v>
      </c>
      <c r="AA124" s="849"/>
      <c r="AB124" s="849">
        <f t="shared" si="15"/>
        <v>563.27</v>
      </c>
      <c r="AC124" s="850">
        <f t="shared" si="16"/>
        <v>563.27</v>
      </c>
      <c r="AD124" s="851"/>
      <c r="AE124" s="852">
        <v>23310</v>
      </c>
      <c r="AF124" s="853">
        <v>0</v>
      </c>
      <c r="AG124" s="854">
        <f t="shared" si="17"/>
        <v>0</v>
      </c>
      <c r="AH124" s="853"/>
      <c r="AI124" s="855">
        <f t="shared" si="18"/>
        <v>0</v>
      </c>
      <c r="AJ124" s="845" t="s">
        <v>421</v>
      </c>
      <c r="AK124" s="857" t="s">
        <v>422</v>
      </c>
      <c r="AL124" s="840"/>
      <c r="AM124" s="840"/>
      <c r="AN124" s="858"/>
      <c r="AO124" s="844" t="s">
        <v>141</v>
      </c>
      <c r="AP124" s="859"/>
      <c r="AQ124" s="859" t="s">
        <v>423</v>
      </c>
      <c r="AR124" s="859"/>
      <c r="AS124" s="840"/>
      <c r="AT124" s="840"/>
      <c r="AU124" s="860"/>
      <c r="AV124" s="839" t="s">
        <v>424</v>
      </c>
      <c r="AW124" s="861">
        <v>45086</v>
      </c>
      <c r="AX124" s="862" t="s">
        <v>425</v>
      </c>
      <c r="AY124" s="843"/>
      <c r="AZ124" s="842"/>
      <c r="BA124" s="842" t="s">
        <v>120</v>
      </c>
      <c r="BB124" s="863" t="s">
        <v>121</v>
      </c>
      <c r="BC124" s="864">
        <v>45086</v>
      </c>
      <c r="BD124" s="860" t="s">
        <v>426</v>
      </c>
      <c r="BE124" s="865" cm="1">
        <f t="array" ref="BE124">IF(BD124="","",AC124/SUMPRODUCT(--(BD124=$BD$4:$BD$12824),$AC$4:$AC$12824))</f>
        <v>1.3253907787682916E-2</v>
      </c>
      <c r="BF124" s="458"/>
      <c r="BG124" s="458"/>
      <c r="BH124" s="458"/>
      <c r="BI124" s="458"/>
      <c r="BJ124" s="458"/>
      <c r="BK124" s="458"/>
      <c r="BL124" s="458"/>
      <c r="BM124" s="458"/>
      <c r="BN124" s="458"/>
      <c r="BO124" s="866">
        <f>VLOOKUP(BD124,$BD$4:$BN$12824,3,0)*BE124</f>
        <v>0</v>
      </c>
      <c r="BP124" s="866"/>
      <c r="BQ124" s="866"/>
      <c r="BR124" s="866">
        <f>VLOOKUP(BD124,$BD$4:$BN$12824,6,0)*BE124</f>
        <v>333278.5504863981</v>
      </c>
      <c r="BS124" s="866">
        <f>VLOOKUP(BD124,$BD$4:$BN$12824,7,0)*BE124</f>
        <v>17552.030798058397</v>
      </c>
      <c r="BT124" s="866"/>
      <c r="BU124" s="866">
        <f>VLOOKUP(BD124,$BD$4:$BN$12824,9,0)*BE124</f>
        <v>6626.953893841458</v>
      </c>
      <c r="BV124" s="867"/>
      <c r="BW124" s="867">
        <f>VLOOKUP(BD124,$BD$4:$BN$12824,11,0)*BE124</f>
        <v>13253.907787682916</v>
      </c>
      <c r="BX124" s="1146">
        <f t="shared" si="23"/>
        <v>370711.44296598085</v>
      </c>
      <c r="BY124" s="867">
        <f t="shared" si="21"/>
        <v>6750267.5714829899</v>
      </c>
      <c r="BZ124" s="867">
        <f t="shared" si="19"/>
        <v>13500535.14296598</v>
      </c>
      <c r="CA124" s="867">
        <f>_xlfn.MAXIFS($BY$4:$BY$12824,$S$4:$S$12824,$S124)</f>
        <v>6750267.5714829899</v>
      </c>
      <c r="CB124" s="1032"/>
      <c r="CF124" s="946">
        <f t="shared" si="20"/>
        <v>13129823.699999999</v>
      </c>
    </row>
    <row r="125" spans="1:84">
      <c r="A125" s="1032"/>
      <c r="B125" s="839" t="s">
        <v>98</v>
      </c>
      <c r="C125" s="839" t="s">
        <v>131</v>
      </c>
      <c r="D125" s="839" t="s">
        <v>415</v>
      </c>
      <c r="E125" s="839" t="s">
        <v>416</v>
      </c>
      <c r="F125" s="841">
        <v>45020</v>
      </c>
      <c r="G125" s="840" t="s">
        <v>133</v>
      </c>
      <c r="H125" s="842" t="s">
        <v>134</v>
      </c>
      <c r="I125" s="842"/>
      <c r="J125" s="841"/>
      <c r="K125" s="841"/>
      <c r="L125" s="843"/>
      <c r="M125" s="844" t="s">
        <v>417</v>
      </c>
      <c r="N125" s="841"/>
      <c r="O125" s="841" t="s">
        <v>150</v>
      </c>
      <c r="P125" s="841" t="s">
        <v>151</v>
      </c>
      <c r="Q125" s="843"/>
      <c r="R125" s="845" t="s">
        <v>499</v>
      </c>
      <c r="S125" s="1127" t="s">
        <v>500</v>
      </c>
      <c r="T125" s="843" t="s">
        <v>501</v>
      </c>
      <c r="U125" s="842">
        <v>6</v>
      </c>
      <c r="V125" s="842" t="s">
        <v>8</v>
      </c>
      <c r="W125" s="846"/>
      <c r="X125" s="847">
        <f t="shared" si="14"/>
        <v>0</v>
      </c>
      <c r="Y125" s="848"/>
      <c r="Z125" s="849">
        <v>281.63666000000001</v>
      </c>
      <c r="AA125" s="849"/>
      <c r="AB125" s="849">
        <f t="shared" si="15"/>
        <v>1689.81996</v>
      </c>
      <c r="AC125" s="850">
        <f t="shared" si="16"/>
        <v>1689.81996</v>
      </c>
      <c r="AD125" s="851"/>
      <c r="AE125" s="852">
        <v>23310</v>
      </c>
      <c r="AF125" s="853">
        <v>0</v>
      </c>
      <c r="AG125" s="854">
        <f t="shared" si="17"/>
        <v>0</v>
      </c>
      <c r="AH125" s="853"/>
      <c r="AI125" s="855">
        <f t="shared" si="18"/>
        <v>0</v>
      </c>
      <c r="AJ125" s="845" t="s">
        <v>421</v>
      </c>
      <c r="AK125" s="857" t="s">
        <v>422</v>
      </c>
      <c r="AL125" s="840"/>
      <c r="AM125" s="840"/>
      <c r="AN125" s="858"/>
      <c r="AO125" s="844" t="s">
        <v>141</v>
      </c>
      <c r="AP125" s="859"/>
      <c r="AQ125" s="859" t="s">
        <v>423</v>
      </c>
      <c r="AR125" s="859"/>
      <c r="AS125" s="840"/>
      <c r="AT125" s="840"/>
      <c r="AU125" s="860"/>
      <c r="AV125" s="839" t="s">
        <v>424</v>
      </c>
      <c r="AW125" s="861">
        <v>45086</v>
      </c>
      <c r="AX125" s="862" t="s">
        <v>425</v>
      </c>
      <c r="AY125" s="843"/>
      <c r="AZ125" s="842"/>
      <c r="BA125" s="842" t="s">
        <v>120</v>
      </c>
      <c r="BB125" s="863" t="s">
        <v>121</v>
      </c>
      <c r="BC125" s="864">
        <v>45086</v>
      </c>
      <c r="BD125" s="860" t="s">
        <v>426</v>
      </c>
      <c r="BE125" s="865" cm="1">
        <f t="array" ref="BE125">IF(BD125="","",AC125/SUMPRODUCT(--(BD125=$BD$4:$BD$12824),$AC$4:$AC$12824))</f>
        <v>3.9761957724760835E-2</v>
      </c>
      <c r="BF125" s="458"/>
      <c r="BG125" s="458"/>
      <c r="BH125" s="458"/>
      <c r="BI125" s="458"/>
      <c r="BJ125" s="458"/>
      <c r="BK125" s="458"/>
      <c r="BL125" s="458"/>
      <c r="BM125" s="458"/>
      <c r="BN125" s="458"/>
      <c r="BO125" s="866">
        <f>VLOOKUP(BD125,$BD$4:$BN$12824,3,0)*BE125</f>
        <v>0</v>
      </c>
      <c r="BP125" s="866"/>
      <c r="BQ125" s="866"/>
      <c r="BR125" s="866">
        <f>VLOOKUP(BD125,$BD$4:$BN$12824,6,0)*BE125</f>
        <v>999841.54464427952</v>
      </c>
      <c r="BS125" s="866">
        <f>VLOOKUP(BD125,$BD$4:$BN$12824,7,0)*BE125</f>
        <v>52656.402757281248</v>
      </c>
      <c r="BT125" s="866"/>
      <c r="BU125" s="866">
        <f>VLOOKUP(BD125,$BD$4:$BN$12824,9,0)*BE125</f>
        <v>19880.978862380416</v>
      </c>
      <c r="BV125" s="867"/>
      <c r="BW125" s="867">
        <f>VLOOKUP(BD125,$BD$4:$BN$12824,11,0)*BE125</f>
        <v>39761.957724760832</v>
      </c>
      <c r="BX125" s="1146">
        <f t="shared" si="23"/>
        <v>1112140.883988702</v>
      </c>
      <c r="BY125" s="867">
        <f t="shared" si="21"/>
        <v>6750307.3585981168</v>
      </c>
      <c r="BZ125" s="867">
        <f t="shared" si="19"/>
        <v>40501844.151588701</v>
      </c>
      <c r="CA125" s="867">
        <f>_xlfn.MAXIFS($BY$4:$BY$12824,$S$4:$S$12824,$S125)</f>
        <v>6750307.3585981168</v>
      </c>
      <c r="CB125" s="1032"/>
      <c r="CF125" s="946">
        <f t="shared" si="20"/>
        <v>39389703.2676</v>
      </c>
    </row>
    <row r="126" spans="1:84">
      <c r="A126" s="1032"/>
      <c r="B126" s="839" t="s">
        <v>98</v>
      </c>
      <c r="C126" s="839" t="s">
        <v>131</v>
      </c>
      <c r="D126" s="839" t="s">
        <v>415</v>
      </c>
      <c r="E126" s="839" t="s">
        <v>416</v>
      </c>
      <c r="F126" s="841">
        <v>45020</v>
      </c>
      <c r="G126" s="840" t="s">
        <v>133</v>
      </c>
      <c r="H126" s="842" t="s">
        <v>134</v>
      </c>
      <c r="I126" s="842"/>
      <c r="J126" s="841"/>
      <c r="K126" s="841"/>
      <c r="L126" s="843"/>
      <c r="M126" s="844" t="s">
        <v>417</v>
      </c>
      <c r="N126" s="841"/>
      <c r="O126" s="841" t="s">
        <v>150</v>
      </c>
      <c r="P126" s="841" t="s">
        <v>151</v>
      </c>
      <c r="Q126" s="843"/>
      <c r="R126" s="845" t="s">
        <v>502</v>
      </c>
      <c r="S126" s="1127" t="s">
        <v>503</v>
      </c>
      <c r="T126" s="843" t="s">
        <v>504</v>
      </c>
      <c r="U126" s="842">
        <v>6</v>
      </c>
      <c r="V126" s="842" t="s">
        <v>8</v>
      </c>
      <c r="W126" s="846"/>
      <c r="X126" s="847">
        <f t="shared" si="14"/>
        <v>0</v>
      </c>
      <c r="Y126" s="848"/>
      <c r="Z126" s="849">
        <v>101.57333</v>
      </c>
      <c r="AA126" s="849"/>
      <c r="AB126" s="849">
        <f t="shared" si="15"/>
        <v>609.43997999999999</v>
      </c>
      <c r="AC126" s="850">
        <f t="shared" si="16"/>
        <v>609.43997999999999</v>
      </c>
      <c r="AD126" s="851"/>
      <c r="AE126" s="852">
        <v>23310</v>
      </c>
      <c r="AF126" s="853">
        <v>0</v>
      </c>
      <c r="AG126" s="854">
        <f t="shared" si="17"/>
        <v>0</v>
      </c>
      <c r="AH126" s="853"/>
      <c r="AI126" s="855">
        <f t="shared" si="18"/>
        <v>0</v>
      </c>
      <c r="AJ126" s="845" t="s">
        <v>421</v>
      </c>
      <c r="AK126" s="857" t="s">
        <v>422</v>
      </c>
      <c r="AL126" s="840"/>
      <c r="AM126" s="840"/>
      <c r="AN126" s="858"/>
      <c r="AO126" s="844" t="s">
        <v>141</v>
      </c>
      <c r="AP126" s="859"/>
      <c r="AQ126" s="859" t="s">
        <v>423</v>
      </c>
      <c r="AR126" s="859"/>
      <c r="AS126" s="840"/>
      <c r="AT126" s="840"/>
      <c r="AU126" s="860"/>
      <c r="AV126" s="839" t="s">
        <v>424</v>
      </c>
      <c r="AW126" s="861">
        <v>45086</v>
      </c>
      <c r="AX126" s="862" t="s">
        <v>425</v>
      </c>
      <c r="AY126" s="843"/>
      <c r="AZ126" s="842"/>
      <c r="BA126" s="842" t="s">
        <v>120</v>
      </c>
      <c r="BB126" s="863" t="s">
        <v>121</v>
      </c>
      <c r="BC126" s="864">
        <v>45086</v>
      </c>
      <c r="BD126" s="860" t="s">
        <v>426</v>
      </c>
      <c r="BE126" s="865" cm="1">
        <f t="array" ref="BE126">IF(BD126="","",AC126/SUMPRODUCT(--(BD126=$BD$4:$BD$12824),$AC$4:$AC$12824))</f>
        <v>1.4340300916163335E-2</v>
      </c>
      <c r="BF126" s="458"/>
      <c r="BG126" s="458"/>
      <c r="BH126" s="458"/>
      <c r="BI126" s="458"/>
      <c r="BJ126" s="458"/>
      <c r="BK126" s="458"/>
      <c r="BL126" s="458"/>
      <c r="BM126" s="458"/>
      <c r="BN126" s="458"/>
      <c r="BO126" s="866">
        <f>VLOOKUP(BD126,$BD$4:$BN$12824,3,0)*BE126</f>
        <v>0</v>
      </c>
      <c r="BP126" s="866"/>
      <c r="BQ126" s="866"/>
      <c r="BR126" s="866">
        <f>VLOOKUP(BD126,$BD$4:$BN$12824,6,0)*BE126</f>
        <v>360596.64662215189</v>
      </c>
      <c r="BS126" s="866">
        <f>VLOOKUP(BD126,$BD$4:$BN$12824,7,0)*BE126</f>
        <v>18990.731440566859</v>
      </c>
      <c r="BT126" s="866"/>
      <c r="BU126" s="866">
        <f>VLOOKUP(BD126,$BD$4:$BN$12824,9,0)*BE126</f>
        <v>7170.1504580816672</v>
      </c>
      <c r="BV126" s="867"/>
      <c r="BW126" s="867">
        <f>VLOOKUP(BD126,$BD$4:$BN$12824,11,0)*BE126</f>
        <v>14340.300916163334</v>
      </c>
      <c r="BX126" s="1146">
        <f t="shared" si="23"/>
        <v>401097.82943696377</v>
      </c>
      <c r="BY126" s="867">
        <f t="shared" si="21"/>
        <v>2434523.9605394942</v>
      </c>
      <c r="BZ126" s="867">
        <f t="shared" si="19"/>
        <v>14607143.763236966</v>
      </c>
      <c r="CA126" s="867">
        <f>_xlfn.MAXIFS($BY$4:$BY$12824,$S$4:$S$12824,$S126)</f>
        <v>2434523.9605394942</v>
      </c>
      <c r="CB126" s="1032"/>
      <c r="CF126" s="946">
        <f t="shared" si="20"/>
        <v>14206045.933800001</v>
      </c>
    </row>
    <row r="127" spans="1:84">
      <c r="A127" s="1032"/>
      <c r="B127" s="839" t="s">
        <v>98</v>
      </c>
      <c r="C127" s="839" t="s">
        <v>131</v>
      </c>
      <c r="D127" s="839" t="s">
        <v>415</v>
      </c>
      <c r="E127" s="839" t="s">
        <v>416</v>
      </c>
      <c r="F127" s="841">
        <v>45020</v>
      </c>
      <c r="G127" s="840" t="s">
        <v>133</v>
      </c>
      <c r="H127" s="842" t="s">
        <v>134</v>
      </c>
      <c r="I127" s="842"/>
      <c r="J127" s="841"/>
      <c r="K127" s="841"/>
      <c r="L127" s="843"/>
      <c r="M127" s="844" t="s">
        <v>417</v>
      </c>
      <c r="N127" s="841"/>
      <c r="O127" s="841" t="s">
        <v>150</v>
      </c>
      <c r="P127" s="841" t="s">
        <v>151</v>
      </c>
      <c r="Q127" s="843"/>
      <c r="R127" s="845" t="s">
        <v>505</v>
      </c>
      <c r="S127" s="1127" t="s">
        <v>506</v>
      </c>
      <c r="T127" s="843" t="s">
        <v>507</v>
      </c>
      <c r="U127" s="842">
        <v>18</v>
      </c>
      <c r="V127" s="842" t="s">
        <v>8</v>
      </c>
      <c r="W127" s="846"/>
      <c r="X127" s="847">
        <f t="shared" si="14"/>
        <v>0</v>
      </c>
      <c r="Y127" s="848"/>
      <c r="Z127" s="849">
        <v>101.57388</v>
      </c>
      <c r="AA127" s="849"/>
      <c r="AB127" s="849">
        <f t="shared" si="15"/>
        <v>1828.3298400000001</v>
      </c>
      <c r="AC127" s="850">
        <f t="shared" si="16"/>
        <v>1828.3298400000001</v>
      </c>
      <c r="AD127" s="851"/>
      <c r="AE127" s="852">
        <v>23310</v>
      </c>
      <c r="AF127" s="853">
        <v>0</v>
      </c>
      <c r="AG127" s="854">
        <f t="shared" si="17"/>
        <v>0</v>
      </c>
      <c r="AH127" s="853"/>
      <c r="AI127" s="855">
        <f t="shared" si="18"/>
        <v>0</v>
      </c>
      <c r="AJ127" s="845" t="s">
        <v>421</v>
      </c>
      <c r="AK127" s="857" t="s">
        <v>422</v>
      </c>
      <c r="AL127" s="840"/>
      <c r="AM127" s="840"/>
      <c r="AN127" s="858"/>
      <c r="AO127" s="844" t="s">
        <v>141</v>
      </c>
      <c r="AP127" s="859"/>
      <c r="AQ127" s="859" t="s">
        <v>423</v>
      </c>
      <c r="AR127" s="859"/>
      <c r="AS127" s="840"/>
      <c r="AT127" s="840"/>
      <c r="AU127" s="860"/>
      <c r="AV127" s="839" t="s">
        <v>424</v>
      </c>
      <c r="AW127" s="861">
        <v>45086</v>
      </c>
      <c r="AX127" s="862" t="s">
        <v>425</v>
      </c>
      <c r="AY127" s="843"/>
      <c r="AZ127" s="842"/>
      <c r="BA127" s="842" t="s">
        <v>120</v>
      </c>
      <c r="BB127" s="863" t="s">
        <v>121</v>
      </c>
      <c r="BC127" s="864">
        <v>45086</v>
      </c>
      <c r="BD127" s="860" t="s">
        <v>426</v>
      </c>
      <c r="BE127" s="865" cm="1">
        <f t="array" ref="BE127">IF(BD127="","",AC127/SUMPRODUCT(--(BD127=$BD$4:$BD$12824),$AC$4:$AC$12824))</f>
        <v>4.3021135698384547E-2</v>
      </c>
      <c r="BF127" s="458"/>
      <c r="BG127" s="458"/>
      <c r="BH127" s="458"/>
      <c r="BI127" s="458"/>
      <c r="BJ127" s="458"/>
      <c r="BK127" s="458"/>
      <c r="BL127" s="458"/>
      <c r="BM127" s="458"/>
      <c r="BN127" s="458"/>
      <c r="BO127" s="866">
        <f>VLOOKUP(BD127,$BD$4:$BN$12824,3,0)*BE127</f>
        <v>0</v>
      </c>
      <c r="BP127" s="866"/>
      <c r="BQ127" s="866"/>
      <c r="BR127" s="866">
        <f>VLOOKUP(BD127,$BD$4:$BN$12824,6,0)*BE127</f>
        <v>1081795.7975504256</v>
      </c>
      <c r="BS127" s="866">
        <f>VLOOKUP(BD127,$BD$4:$BN$12824,7,0)*BE127</f>
        <v>56972.502815149368</v>
      </c>
      <c r="BT127" s="866"/>
      <c r="BU127" s="866">
        <f>VLOOKUP(BD127,$BD$4:$BN$12824,9,0)*BE127</f>
        <v>21510.567849192274</v>
      </c>
      <c r="BV127" s="867"/>
      <c r="BW127" s="867">
        <f>VLOOKUP(BD127,$BD$4:$BN$12824,11,0)*BE127</f>
        <v>43021.135698384547</v>
      </c>
      <c r="BX127" s="1146">
        <f t="shared" si="23"/>
        <v>1203300.0039131518</v>
      </c>
      <c r="BY127" s="867">
        <f t="shared" si="21"/>
        <v>2434537.1430173973</v>
      </c>
      <c r="BZ127" s="867">
        <f t="shared" si="19"/>
        <v>43821668.574313149</v>
      </c>
      <c r="CA127" s="867">
        <f>_xlfn.MAXIFS($BY$4:$BY$12824,$S$4:$S$12824,$S127)</f>
        <v>2434537.1430173973</v>
      </c>
      <c r="CB127" s="1032"/>
      <c r="CF127" s="946">
        <f t="shared" si="20"/>
        <v>42618368.5704</v>
      </c>
    </row>
    <row r="128" spans="1:84">
      <c r="A128" s="1032"/>
      <c r="B128" s="839" t="s">
        <v>98</v>
      </c>
      <c r="C128" s="839" t="s">
        <v>131</v>
      </c>
      <c r="D128" s="839" t="s">
        <v>415</v>
      </c>
      <c r="E128" s="839" t="s">
        <v>416</v>
      </c>
      <c r="F128" s="841">
        <v>45020</v>
      </c>
      <c r="G128" s="840" t="s">
        <v>133</v>
      </c>
      <c r="H128" s="842" t="s">
        <v>134</v>
      </c>
      <c r="I128" s="842"/>
      <c r="J128" s="841"/>
      <c r="K128" s="841"/>
      <c r="L128" s="843"/>
      <c r="M128" s="844" t="s">
        <v>417</v>
      </c>
      <c r="N128" s="841"/>
      <c r="O128" s="841" t="s">
        <v>150</v>
      </c>
      <c r="P128" s="841" t="s">
        <v>461</v>
      </c>
      <c r="Q128" s="843"/>
      <c r="R128" s="845" t="s">
        <v>508</v>
      </c>
      <c r="S128" s="1127" t="s">
        <v>509</v>
      </c>
      <c r="T128" s="843" t="s">
        <v>510</v>
      </c>
      <c r="U128" s="842">
        <v>2</v>
      </c>
      <c r="V128" s="842" t="s">
        <v>8</v>
      </c>
      <c r="W128" s="846"/>
      <c r="X128" s="847">
        <f t="shared" si="14"/>
        <v>0</v>
      </c>
      <c r="Y128" s="848"/>
      <c r="Z128" s="849">
        <v>215.46</v>
      </c>
      <c r="AA128" s="849"/>
      <c r="AB128" s="849">
        <f t="shared" si="15"/>
        <v>430.92</v>
      </c>
      <c r="AC128" s="850">
        <f t="shared" si="16"/>
        <v>430.92</v>
      </c>
      <c r="AD128" s="851"/>
      <c r="AE128" s="852">
        <v>23310</v>
      </c>
      <c r="AF128" s="853">
        <v>0.05</v>
      </c>
      <c r="AG128" s="854">
        <f t="shared" si="17"/>
        <v>502908.65392400627</v>
      </c>
      <c r="AH128" s="853"/>
      <c r="AI128" s="855">
        <f t="shared" si="18"/>
        <v>0</v>
      </c>
      <c r="AJ128" s="845" t="s">
        <v>421</v>
      </c>
      <c r="AK128" s="857" t="s">
        <v>422</v>
      </c>
      <c r="AL128" s="840"/>
      <c r="AM128" s="840"/>
      <c r="AN128" s="858"/>
      <c r="AO128" s="844" t="s">
        <v>141</v>
      </c>
      <c r="AP128" s="859"/>
      <c r="AQ128" s="859" t="s">
        <v>423</v>
      </c>
      <c r="AR128" s="859"/>
      <c r="AS128" s="840"/>
      <c r="AT128" s="840"/>
      <c r="AU128" s="860"/>
      <c r="AV128" s="839" t="s">
        <v>424</v>
      </c>
      <c r="AW128" s="861">
        <v>45086</v>
      </c>
      <c r="AX128" s="862" t="s">
        <v>425</v>
      </c>
      <c r="AY128" s="843"/>
      <c r="AZ128" s="842"/>
      <c r="BA128" s="842" t="s">
        <v>120</v>
      </c>
      <c r="BB128" s="863" t="s">
        <v>121</v>
      </c>
      <c r="BC128" s="864">
        <v>45086</v>
      </c>
      <c r="BD128" s="860" t="s">
        <v>426</v>
      </c>
      <c r="BE128" s="865" cm="1">
        <f t="array" ref="BE128">IF(BD128="","",AC128/SUMPRODUCT(--(BD128=$BD$4:$BD$12824),$AC$4:$AC$12824))</f>
        <v>1.0139673591471804E-2</v>
      </c>
      <c r="BF128" s="458"/>
      <c r="BG128" s="458"/>
      <c r="BH128" s="458"/>
      <c r="BI128" s="458"/>
      <c r="BJ128" s="458"/>
      <c r="BK128" s="458"/>
      <c r="BL128" s="458"/>
      <c r="BM128" s="458"/>
      <c r="BN128" s="458"/>
      <c r="BO128" s="866">
        <f>VLOOKUP(BD128,$BD$4:$BN$12824,3,0)*BE128</f>
        <v>0</v>
      </c>
      <c r="BP128" s="866"/>
      <c r="BQ128" s="866"/>
      <c r="BR128" s="866">
        <f>VLOOKUP(BD128,$BD$4:$BN$12824,6,0)*BE128</f>
        <v>254969.00771494789</v>
      </c>
      <c r="BS128" s="866">
        <f>VLOOKUP(BD128,$BD$4:$BN$12824,7,0)*BE128</f>
        <v>13427.878480123787</v>
      </c>
      <c r="BT128" s="866"/>
      <c r="BU128" s="866">
        <f>VLOOKUP(BD128,$BD$4:$BN$12824,9,0)*BE128</f>
        <v>5069.8367957359023</v>
      </c>
      <c r="BV128" s="867"/>
      <c r="BW128" s="867">
        <f>VLOOKUP(BD128,$BD$4:$BN$12824,11,0)*BE128</f>
        <v>10139.673591471805</v>
      </c>
      <c r="BX128" s="1146">
        <f t="shared" si="23"/>
        <v>283606.39658227941</v>
      </c>
      <c r="BY128" s="867">
        <f t="shared" si="21"/>
        <v>5415630.1252531437</v>
      </c>
      <c r="BZ128" s="867">
        <f t="shared" si="19"/>
        <v>10831260.250506287</v>
      </c>
      <c r="CA128" s="867">
        <f>_xlfn.MAXIFS($BY$4:$BY$12824,$S$4:$S$12824,$S128)</f>
        <v>5415630.1252531437</v>
      </c>
      <c r="CB128" s="1032"/>
      <c r="CF128" s="946">
        <f t="shared" si="20"/>
        <v>10044745.200000001</v>
      </c>
    </row>
    <row r="129" spans="1:84">
      <c r="A129" s="1032"/>
      <c r="B129" s="839" t="s">
        <v>98</v>
      </c>
      <c r="C129" s="839" t="s">
        <v>131</v>
      </c>
      <c r="D129" s="839" t="s">
        <v>415</v>
      </c>
      <c r="E129" s="839" t="s">
        <v>416</v>
      </c>
      <c r="F129" s="841">
        <v>45020</v>
      </c>
      <c r="G129" s="840" t="s">
        <v>133</v>
      </c>
      <c r="H129" s="842" t="s">
        <v>134</v>
      </c>
      <c r="I129" s="842"/>
      <c r="J129" s="841"/>
      <c r="K129" s="841"/>
      <c r="L129" s="843"/>
      <c r="M129" s="844" t="s">
        <v>417</v>
      </c>
      <c r="N129" s="841"/>
      <c r="O129" s="841" t="s">
        <v>150</v>
      </c>
      <c r="P129" s="841" t="s">
        <v>461</v>
      </c>
      <c r="Q129" s="843"/>
      <c r="R129" s="845" t="s">
        <v>511</v>
      </c>
      <c r="S129" s="1127" t="s">
        <v>512</v>
      </c>
      <c r="T129" s="843" t="s">
        <v>513</v>
      </c>
      <c r="U129" s="842">
        <v>6</v>
      </c>
      <c r="V129" s="842" t="s">
        <v>8</v>
      </c>
      <c r="W129" s="846"/>
      <c r="X129" s="847">
        <f t="shared" ref="X129:X192" si="24">W129*U129</f>
        <v>0</v>
      </c>
      <c r="Y129" s="848"/>
      <c r="Z129" s="849">
        <v>215.46</v>
      </c>
      <c r="AA129" s="849"/>
      <c r="AB129" s="849">
        <f t="shared" ref="AB129:AB192" si="25">IF(AA129="F.O.C", 0, Z129*U129)</f>
        <v>1292.76</v>
      </c>
      <c r="AC129" s="850">
        <f t="shared" ref="AC129:AC192" si="26">Z129*U129</f>
        <v>1292.76</v>
      </c>
      <c r="AD129" s="851"/>
      <c r="AE129" s="852">
        <v>23310</v>
      </c>
      <c r="AF129" s="853">
        <v>0.05</v>
      </c>
      <c r="AG129" s="854">
        <f t="shared" ref="AG129:AG192" si="27">(AC129*AE129+BO129+BP129+BQ129+BS129)*AF129</f>
        <v>1508725.9617720188</v>
      </c>
      <c r="AH129" s="853"/>
      <c r="AI129" s="855">
        <f t="shared" ref="AI129:AI192" si="28">(AC129*AE129+AG129+BF129+BG129+BH129+BJ129)*AH129</f>
        <v>0</v>
      </c>
      <c r="AJ129" s="845" t="s">
        <v>421</v>
      </c>
      <c r="AK129" s="857" t="s">
        <v>422</v>
      </c>
      <c r="AL129" s="840"/>
      <c r="AM129" s="840"/>
      <c r="AN129" s="858"/>
      <c r="AO129" s="844" t="s">
        <v>141</v>
      </c>
      <c r="AP129" s="859"/>
      <c r="AQ129" s="859" t="s">
        <v>423</v>
      </c>
      <c r="AR129" s="859"/>
      <c r="AS129" s="840"/>
      <c r="AT129" s="840"/>
      <c r="AU129" s="860"/>
      <c r="AV129" s="839" t="s">
        <v>424</v>
      </c>
      <c r="AW129" s="861">
        <v>45086</v>
      </c>
      <c r="AX129" s="862" t="s">
        <v>425</v>
      </c>
      <c r="AY129" s="843"/>
      <c r="AZ129" s="842"/>
      <c r="BA129" s="842" t="s">
        <v>120</v>
      </c>
      <c r="BB129" s="863" t="s">
        <v>121</v>
      </c>
      <c r="BC129" s="864">
        <v>45086</v>
      </c>
      <c r="BD129" s="860" t="s">
        <v>426</v>
      </c>
      <c r="BE129" s="865" cm="1">
        <f t="array" ref="BE129">IF(BD129="","",AC129/SUMPRODUCT(--(BD129=$BD$4:$BD$12824),$AC$4:$AC$12824))</f>
        <v>3.0419020774415408E-2</v>
      </c>
      <c r="BF129" s="458"/>
      <c r="BG129" s="458"/>
      <c r="BH129" s="458"/>
      <c r="BI129" s="458"/>
      <c r="BJ129" s="458"/>
      <c r="BK129" s="458"/>
      <c r="BL129" s="458"/>
      <c r="BM129" s="458"/>
      <c r="BN129" s="458"/>
      <c r="BO129" s="866">
        <f>VLOOKUP(BD129,$BD$4:$BN$12824,3,0)*BE129</f>
        <v>0</v>
      </c>
      <c r="BP129" s="866"/>
      <c r="BQ129" s="866"/>
      <c r="BR129" s="866">
        <f>VLOOKUP(BD129,$BD$4:$BN$12824,6,0)*BE129</f>
        <v>764907.02314484364</v>
      </c>
      <c r="BS129" s="866">
        <f>VLOOKUP(BD129,$BD$4:$BN$12824,7,0)*BE129</f>
        <v>40283.635440371356</v>
      </c>
      <c r="BT129" s="866"/>
      <c r="BU129" s="866">
        <f>VLOOKUP(BD129,$BD$4:$BN$12824,9,0)*BE129</f>
        <v>15209.510387207703</v>
      </c>
      <c r="BV129" s="867"/>
      <c r="BW129" s="867">
        <f>VLOOKUP(BD129,$BD$4:$BN$12824,11,0)*BE129</f>
        <v>30419.020774415407</v>
      </c>
      <c r="BX129" s="1146">
        <f t="shared" si="23"/>
        <v>850819.18974683818</v>
      </c>
      <c r="BY129" s="867">
        <f t="shared" si="21"/>
        <v>5415630.1252531428</v>
      </c>
      <c r="BZ129" s="867">
        <f t="shared" ref="BZ129:BZ192" si="29">BY129*U129</f>
        <v>32493780.751518857</v>
      </c>
      <c r="CA129" s="867">
        <f>_xlfn.MAXIFS($BY$4:$BY$12824,$S$4:$S$12824,$S129)</f>
        <v>5415630.1252531428</v>
      </c>
      <c r="CB129" s="1032"/>
      <c r="CF129" s="946">
        <f t="shared" si="20"/>
        <v>30134235.600000001</v>
      </c>
    </row>
    <row r="130" spans="1:84">
      <c r="A130" s="1032"/>
      <c r="B130" s="839" t="s">
        <v>98</v>
      </c>
      <c r="C130" s="839" t="s">
        <v>131</v>
      </c>
      <c r="D130" s="839" t="s">
        <v>415</v>
      </c>
      <c r="E130" s="839" t="s">
        <v>416</v>
      </c>
      <c r="F130" s="841">
        <v>45020</v>
      </c>
      <c r="G130" s="840" t="s">
        <v>133</v>
      </c>
      <c r="H130" s="842" t="s">
        <v>134</v>
      </c>
      <c r="I130" s="842"/>
      <c r="J130" s="841"/>
      <c r="K130" s="841"/>
      <c r="L130" s="843"/>
      <c r="M130" s="844" t="s">
        <v>417</v>
      </c>
      <c r="N130" s="841"/>
      <c r="O130" s="841" t="s">
        <v>150</v>
      </c>
      <c r="P130" s="841" t="s">
        <v>461</v>
      </c>
      <c r="Q130" s="843"/>
      <c r="R130" s="845" t="s">
        <v>514</v>
      </c>
      <c r="S130" s="1127" t="s">
        <v>515</v>
      </c>
      <c r="T130" s="843" t="s">
        <v>516</v>
      </c>
      <c r="U130" s="842">
        <v>2</v>
      </c>
      <c r="V130" s="842" t="s">
        <v>8</v>
      </c>
      <c r="W130" s="846"/>
      <c r="X130" s="847">
        <f t="shared" si="24"/>
        <v>0</v>
      </c>
      <c r="Y130" s="848"/>
      <c r="Z130" s="849">
        <v>399.11500000000001</v>
      </c>
      <c r="AA130" s="849"/>
      <c r="AB130" s="849">
        <f t="shared" si="25"/>
        <v>798.23</v>
      </c>
      <c r="AC130" s="850">
        <f t="shared" si="26"/>
        <v>798.23</v>
      </c>
      <c r="AD130" s="851"/>
      <c r="AE130" s="852">
        <v>23310</v>
      </c>
      <c r="AF130" s="853">
        <v>0.05</v>
      </c>
      <c r="AG130" s="854">
        <f t="shared" si="27"/>
        <v>931580.74543246895</v>
      </c>
      <c r="AH130" s="853"/>
      <c r="AI130" s="855">
        <f t="shared" si="28"/>
        <v>0</v>
      </c>
      <c r="AJ130" s="845" t="s">
        <v>421</v>
      </c>
      <c r="AK130" s="857" t="s">
        <v>422</v>
      </c>
      <c r="AL130" s="840"/>
      <c r="AM130" s="840"/>
      <c r="AN130" s="858"/>
      <c r="AO130" s="844" t="s">
        <v>141</v>
      </c>
      <c r="AP130" s="859"/>
      <c r="AQ130" s="859" t="s">
        <v>423</v>
      </c>
      <c r="AR130" s="859"/>
      <c r="AS130" s="840"/>
      <c r="AT130" s="840"/>
      <c r="AU130" s="860"/>
      <c r="AV130" s="839" t="s">
        <v>424</v>
      </c>
      <c r="AW130" s="861">
        <v>45086</v>
      </c>
      <c r="AX130" s="862" t="s">
        <v>425</v>
      </c>
      <c r="AY130" s="843"/>
      <c r="AZ130" s="842"/>
      <c r="BA130" s="842" t="s">
        <v>120</v>
      </c>
      <c r="BB130" s="863" t="s">
        <v>121</v>
      </c>
      <c r="BC130" s="864">
        <v>45086</v>
      </c>
      <c r="BD130" s="860" t="s">
        <v>426</v>
      </c>
      <c r="BE130" s="865" cm="1">
        <f t="array" ref="BE130">IF(BD130="","",AC130/SUMPRODUCT(--(BD130=$BD$4:$BD$12824),$AC$4:$AC$12824))</f>
        <v>1.8782585284787288E-2</v>
      </c>
      <c r="BF130" s="458"/>
      <c r="BG130" s="458"/>
      <c r="BH130" s="458"/>
      <c r="BI130" s="458"/>
      <c r="BJ130" s="458"/>
      <c r="BK130" s="458"/>
      <c r="BL130" s="458"/>
      <c r="BM130" s="458"/>
      <c r="BN130" s="458"/>
      <c r="BO130" s="866">
        <f>VLOOKUP(BD130,$BD$4:$BN$12824,3,0)*BE130</f>
        <v>0</v>
      </c>
      <c r="BP130" s="866"/>
      <c r="BQ130" s="866"/>
      <c r="BR130" s="866">
        <f>VLOOKUP(BD130,$BD$4:$BN$12824,6,0)*BE130</f>
        <v>472300.91670914058</v>
      </c>
      <c r="BS130" s="866">
        <f>VLOOKUP(BD130,$BD$4:$BN$12824,7,0)*BE130</f>
        <v>24873.608649376241</v>
      </c>
      <c r="BT130" s="866"/>
      <c r="BU130" s="866">
        <f>VLOOKUP(BD130,$BD$4:$BN$12824,9,0)*BE130</f>
        <v>9391.2926423936442</v>
      </c>
      <c r="BV130" s="867"/>
      <c r="BW130" s="867">
        <f>VLOOKUP(BD130,$BD$4:$BN$12824,11,0)*BE130</f>
        <v>18782.585284787288</v>
      </c>
      <c r="BX130" s="1146">
        <f t="shared" si="23"/>
        <v>525348.4032856978</v>
      </c>
      <c r="BY130" s="867">
        <f t="shared" si="21"/>
        <v>10031835.224359084</v>
      </c>
      <c r="BZ130" s="867">
        <f t="shared" si="29"/>
        <v>20063670.448718168</v>
      </c>
      <c r="CA130" s="867">
        <f>_xlfn.MAXIFS($BY$4:$BY$12824,$S$4:$S$12824,$S130)</f>
        <v>10031835.224359084</v>
      </c>
      <c r="CB130" s="1032"/>
      <c r="CF130" s="946">
        <f t="shared" si="20"/>
        <v>18606741.300000001</v>
      </c>
    </row>
    <row r="131" spans="1:84">
      <c r="A131" s="1032"/>
      <c r="B131" s="839" t="s">
        <v>98</v>
      </c>
      <c r="C131" s="839" t="s">
        <v>131</v>
      </c>
      <c r="D131" s="839" t="s">
        <v>415</v>
      </c>
      <c r="E131" s="839" t="s">
        <v>416</v>
      </c>
      <c r="F131" s="841">
        <v>45020</v>
      </c>
      <c r="G131" s="840" t="s">
        <v>133</v>
      </c>
      <c r="H131" s="842" t="s">
        <v>134</v>
      </c>
      <c r="I131" s="842"/>
      <c r="J131" s="841"/>
      <c r="K131" s="841"/>
      <c r="L131" s="843"/>
      <c r="M131" s="844" t="s">
        <v>417</v>
      </c>
      <c r="N131" s="841"/>
      <c r="O131" s="841" t="s">
        <v>150</v>
      </c>
      <c r="P131" s="841" t="s">
        <v>461</v>
      </c>
      <c r="Q131" s="843"/>
      <c r="R131" s="845" t="s">
        <v>517</v>
      </c>
      <c r="S131" s="1127" t="s">
        <v>518</v>
      </c>
      <c r="T131" s="843" t="s">
        <v>519</v>
      </c>
      <c r="U131" s="842">
        <v>13</v>
      </c>
      <c r="V131" s="842" t="s">
        <v>8</v>
      </c>
      <c r="W131" s="846"/>
      <c r="X131" s="847">
        <f t="shared" si="24"/>
        <v>0</v>
      </c>
      <c r="Y131" s="848"/>
      <c r="Z131" s="849">
        <v>399.11383999999998</v>
      </c>
      <c r="AA131" s="849"/>
      <c r="AB131" s="849">
        <f t="shared" si="25"/>
        <v>5188.4799199999998</v>
      </c>
      <c r="AC131" s="850">
        <f t="shared" si="26"/>
        <v>5188.4799199999998</v>
      </c>
      <c r="AD131" s="851"/>
      <c r="AE131" s="852">
        <v>23310</v>
      </c>
      <c r="AF131" s="853">
        <v>0.05</v>
      </c>
      <c r="AG131" s="854">
        <f t="shared" si="27"/>
        <v>6055257.2460756879</v>
      </c>
      <c r="AH131" s="853"/>
      <c r="AI131" s="855">
        <f t="shared" si="28"/>
        <v>0</v>
      </c>
      <c r="AJ131" s="845" t="s">
        <v>421</v>
      </c>
      <c r="AK131" s="857" t="s">
        <v>422</v>
      </c>
      <c r="AL131" s="840"/>
      <c r="AM131" s="840"/>
      <c r="AN131" s="858"/>
      <c r="AO131" s="844" t="s">
        <v>141</v>
      </c>
      <c r="AP131" s="859"/>
      <c r="AQ131" s="859" t="s">
        <v>423</v>
      </c>
      <c r="AR131" s="859"/>
      <c r="AS131" s="840"/>
      <c r="AT131" s="840"/>
      <c r="AU131" s="860"/>
      <c r="AV131" s="839" t="s">
        <v>424</v>
      </c>
      <c r="AW131" s="861">
        <v>45086</v>
      </c>
      <c r="AX131" s="862" t="s">
        <v>425</v>
      </c>
      <c r="AY131" s="843"/>
      <c r="AZ131" s="842"/>
      <c r="BA131" s="842" t="s">
        <v>120</v>
      </c>
      <c r="BB131" s="863" t="s">
        <v>121</v>
      </c>
      <c r="BC131" s="864">
        <v>45086</v>
      </c>
      <c r="BD131" s="860" t="s">
        <v>426</v>
      </c>
      <c r="BE131" s="865" cm="1">
        <f t="array" ref="BE131">IF(BD131="","",AC131/SUMPRODUCT(--(BD131=$BD$4:$BD$12824),$AC$4:$AC$12824))</f>
        <v>0.1220864495143083</v>
      </c>
      <c r="BF131" s="458"/>
      <c r="BG131" s="458"/>
      <c r="BH131" s="458"/>
      <c r="BI131" s="458"/>
      <c r="BJ131" s="458"/>
      <c r="BK131" s="458"/>
      <c r="BL131" s="458"/>
      <c r="BM131" s="458"/>
      <c r="BN131" s="458"/>
      <c r="BO131" s="866">
        <f>VLOOKUP(BD131,$BD$4:$BN$12824,3,0)*BE131</f>
        <v>0</v>
      </c>
      <c r="BP131" s="866"/>
      <c r="BQ131" s="866"/>
      <c r="BR131" s="866">
        <f>VLOOKUP(BD131,$BD$4:$BN$12824,6,0)*BE131</f>
        <v>3069947.0359958513</v>
      </c>
      <c r="BS131" s="866">
        <f>VLOOKUP(BD131,$BD$4:$BN$12824,7,0)*BE131</f>
        <v>161677.98631375286</v>
      </c>
      <c r="BT131" s="866"/>
      <c r="BU131" s="866">
        <f>VLOOKUP(BD131,$BD$4:$BN$12824,9,0)*BE131</f>
        <v>61043.224757154152</v>
      </c>
      <c r="BV131" s="867"/>
      <c r="BW131" s="867">
        <f>VLOOKUP(BD131,$BD$4:$BN$12824,11,0)*BE131</f>
        <v>122086.4495143083</v>
      </c>
      <c r="BX131" s="1146">
        <f t="shared" si="23"/>
        <v>3414754.6965810666</v>
      </c>
      <c r="BY131" s="867">
        <f t="shared" si="21"/>
        <v>10031806.067527441</v>
      </c>
      <c r="BZ131" s="867">
        <f t="shared" si="29"/>
        <v>130413478.87785673</v>
      </c>
      <c r="CA131" s="867">
        <f>_xlfn.MAXIFS($BY$4:$BY$12824,$S$4:$S$12824,$S131)</f>
        <v>10031806.067527441</v>
      </c>
      <c r="CB131" s="1032"/>
      <c r="CF131" s="946">
        <f t="shared" si="20"/>
        <v>120943466.93519999</v>
      </c>
    </row>
    <row r="132" spans="1:84">
      <c r="A132" s="1032"/>
      <c r="B132" s="839" t="s">
        <v>98</v>
      </c>
      <c r="C132" s="839" t="s">
        <v>131</v>
      </c>
      <c r="D132" s="839" t="s">
        <v>415</v>
      </c>
      <c r="E132" s="839" t="s">
        <v>416</v>
      </c>
      <c r="F132" s="841">
        <v>45020</v>
      </c>
      <c r="G132" s="840" t="s">
        <v>133</v>
      </c>
      <c r="H132" s="842" t="s">
        <v>134</v>
      </c>
      <c r="I132" s="842"/>
      <c r="J132" s="841"/>
      <c r="K132" s="841"/>
      <c r="L132" s="843"/>
      <c r="M132" s="844" t="s">
        <v>417</v>
      </c>
      <c r="N132" s="841"/>
      <c r="O132" s="841" t="s">
        <v>135</v>
      </c>
      <c r="P132" s="841" t="s">
        <v>136</v>
      </c>
      <c r="Q132" s="843"/>
      <c r="R132" s="845" t="s">
        <v>520</v>
      </c>
      <c r="S132" s="1127" t="s">
        <v>521</v>
      </c>
      <c r="T132" s="843" t="s">
        <v>522</v>
      </c>
      <c r="U132" s="842">
        <v>10</v>
      </c>
      <c r="V132" s="842" t="s">
        <v>8</v>
      </c>
      <c r="W132" s="846"/>
      <c r="X132" s="847">
        <f t="shared" si="24"/>
        <v>0</v>
      </c>
      <c r="Y132" s="848"/>
      <c r="Z132" s="849">
        <v>37.448999999999998</v>
      </c>
      <c r="AA132" s="849"/>
      <c r="AB132" s="849">
        <f t="shared" si="25"/>
        <v>374.49</v>
      </c>
      <c r="AC132" s="850">
        <f t="shared" si="26"/>
        <v>374.49</v>
      </c>
      <c r="AD132" s="851"/>
      <c r="AE132" s="852">
        <v>23310</v>
      </c>
      <c r="AF132" s="853">
        <v>0</v>
      </c>
      <c r="AG132" s="854">
        <f t="shared" si="27"/>
        <v>0</v>
      </c>
      <c r="AH132" s="853"/>
      <c r="AI132" s="855">
        <f t="shared" si="28"/>
        <v>0</v>
      </c>
      <c r="AJ132" s="845" t="s">
        <v>421</v>
      </c>
      <c r="AK132" s="857" t="s">
        <v>422</v>
      </c>
      <c r="AL132" s="840"/>
      <c r="AM132" s="840"/>
      <c r="AN132" s="858"/>
      <c r="AO132" s="844" t="s">
        <v>141</v>
      </c>
      <c r="AP132" s="859"/>
      <c r="AQ132" s="859" t="s">
        <v>423</v>
      </c>
      <c r="AR132" s="859"/>
      <c r="AS132" s="840"/>
      <c r="AT132" s="840"/>
      <c r="AU132" s="860"/>
      <c r="AV132" s="839" t="s">
        <v>424</v>
      </c>
      <c r="AW132" s="861">
        <v>45086</v>
      </c>
      <c r="AX132" s="862" t="s">
        <v>425</v>
      </c>
      <c r="AY132" s="843"/>
      <c r="AZ132" s="842"/>
      <c r="BA132" s="842" t="s">
        <v>120</v>
      </c>
      <c r="BB132" s="863" t="s">
        <v>121</v>
      </c>
      <c r="BC132" s="864">
        <v>45086</v>
      </c>
      <c r="BD132" s="860" t="s">
        <v>426</v>
      </c>
      <c r="BE132" s="865" cm="1">
        <f t="array" ref="BE132">IF(BD132="","",AC132/SUMPRODUCT(--(BD132=$BD$4:$BD$12824),$AC$4:$AC$12824))</f>
        <v>8.8118591925885909E-3</v>
      </c>
      <c r="BF132" s="458"/>
      <c r="BG132" s="458"/>
      <c r="BH132" s="458"/>
      <c r="BI132" s="458"/>
      <c r="BJ132" s="458"/>
      <c r="BK132" s="458"/>
      <c r="BL132" s="458"/>
      <c r="BM132" s="458"/>
      <c r="BN132" s="458"/>
      <c r="BO132" s="866">
        <f>VLOOKUP(BD132,$BD$4:$BN$12824,3,0)*BE132</f>
        <v>0</v>
      </c>
      <c r="BP132" s="866"/>
      <c r="BQ132" s="866"/>
      <c r="BR132" s="866">
        <f>VLOOKUP(BD132,$BD$4:$BN$12824,6,0)*BE132</f>
        <v>221580.20908560947</v>
      </c>
      <c r="BS132" s="866">
        <f>VLOOKUP(BD132,$BD$4:$BN$12824,7,0)*BE132</f>
        <v>11669.465822012338</v>
      </c>
      <c r="BT132" s="866"/>
      <c r="BU132" s="866">
        <f>VLOOKUP(BD132,$BD$4:$BN$12824,9,0)*BE132</f>
        <v>4405.9295962942952</v>
      </c>
      <c r="BV132" s="867"/>
      <c r="BW132" s="867">
        <f>VLOOKUP(BD132,$BD$4:$BN$12824,11,0)*BE132</f>
        <v>8811.8591925885903</v>
      </c>
      <c r="BX132" s="1146">
        <f t="shared" si="23"/>
        <v>246467.46369650471</v>
      </c>
      <c r="BY132" s="867">
        <f t="shared" si="21"/>
        <v>897582.93636965042</v>
      </c>
      <c r="BZ132" s="867">
        <f t="shared" si="29"/>
        <v>8975829.3636965044</v>
      </c>
      <c r="CA132" s="867">
        <f>_xlfn.MAXIFS($BY$4:$BY$12824,$S$4:$S$12824,$S132)</f>
        <v>897582.93636965042</v>
      </c>
      <c r="CB132" s="1032"/>
      <c r="CF132" s="946">
        <f t="shared" si="20"/>
        <v>8729361.9000000004</v>
      </c>
    </row>
    <row r="133" spans="1:84">
      <c r="A133" s="1032"/>
      <c r="B133" s="839" t="s">
        <v>98</v>
      </c>
      <c r="C133" s="839" t="s">
        <v>131</v>
      </c>
      <c r="D133" s="839" t="s">
        <v>415</v>
      </c>
      <c r="E133" s="839" t="s">
        <v>416</v>
      </c>
      <c r="F133" s="841">
        <v>45020</v>
      </c>
      <c r="G133" s="840" t="s">
        <v>133</v>
      </c>
      <c r="H133" s="842" t="s">
        <v>134</v>
      </c>
      <c r="I133" s="842"/>
      <c r="J133" s="841"/>
      <c r="K133" s="841"/>
      <c r="L133" s="843"/>
      <c r="M133" s="844" t="s">
        <v>417</v>
      </c>
      <c r="N133" s="841"/>
      <c r="O133" s="841" t="s">
        <v>135</v>
      </c>
      <c r="P133" s="841" t="s">
        <v>136</v>
      </c>
      <c r="Q133" s="843"/>
      <c r="R133" s="845" t="s">
        <v>523</v>
      </c>
      <c r="S133" s="1127" t="s">
        <v>524</v>
      </c>
      <c r="T133" s="843" t="s">
        <v>525</v>
      </c>
      <c r="U133" s="842">
        <v>5</v>
      </c>
      <c r="V133" s="842" t="s">
        <v>8</v>
      </c>
      <c r="W133" s="846"/>
      <c r="X133" s="847">
        <f t="shared" si="24"/>
        <v>0</v>
      </c>
      <c r="Y133" s="848"/>
      <c r="Z133" s="849">
        <v>68.23</v>
      </c>
      <c r="AA133" s="849"/>
      <c r="AB133" s="849">
        <f t="shared" si="25"/>
        <v>341.15000000000003</v>
      </c>
      <c r="AC133" s="850">
        <f t="shared" si="26"/>
        <v>341.15000000000003</v>
      </c>
      <c r="AD133" s="851"/>
      <c r="AE133" s="852">
        <v>23310</v>
      </c>
      <c r="AF133" s="853">
        <v>0</v>
      </c>
      <c r="AG133" s="854">
        <f t="shared" si="27"/>
        <v>0</v>
      </c>
      <c r="AH133" s="853"/>
      <c r="AI133" s="855">
        <f t="shared" si="28"/>
        <v>0</v>
      </c>
      <c r="AJ133" s="845" t="s">
        <v>421</v>
      </c>
      <c r="AK133" s="857" t="s">
        <v>422</v>
      </c>
      <c r="AL133" s="840"/>
      <c r="AM133" s="840"/>
      <c r="AN133" s="858"/>
      <c r="AO133" s="844" t="s">
        <v>141</v>
      </c>
      <c r="AP133" s="859"/>
      <c r="AQ133" s="859" t="s">
        <v>423</v>
      </c>
      <c r="AR133" s="859"/>
      <c r="AS133" s="840"/>
      <c r="AT133" s="840"/>
      <c r="AU133" s="860"/>
      <c r="AV133" s="839" t="s">
        <v>424</v>
      </c>
      <c r="AW133" s="861">
        <v>45086</v>
      </c>
      <c r="AX133" s="862" t="s">
        <v>425</v>
      </c>
      <c r="AY133" s="843"/>
      <c r="AZ133" s="842"/>
      <c r="BA133" s="842" t="s">
        <v>120</v>
      </c>
      <c r="BB133" s="863" t="s">
        <v>121</v>
      </c>
      <c r="BC133" s="864">
        <v>45086</v>
      </c>
      <c r="BD133" s="860" t="s">
        <v>426</v>
      </c>
      <c r="BE133" s="865" cm="1">
        <f t="array" ref="BE133">IF(BD133="","",AC133/SUMPRODUCT(--(BD133=$BD$4:$BD$12824),$AC$4:$AC$12824))</f>
        <v>8.0273592447104008E-3</v>
      </c>
      <c r="BF133" s="458"/>
      <c r="BG133" s="458"/>
      <c r="BH133" s="458"/>
      <c r="BI133" s="458"/>
      <c r="BJ133" s="458"/>
      <c r="BK133" s="458"/>
      <c r="BL133" s="458"/>
      <c r="BM133" s="458"/>
      <c r="BN133" s="458"/>
      <c r="BO133" s="866">
        <f>VLOOKUP(BD133,$BD$4:$BN$12824,3,0)*BE133</f>
        <v>0</v>
      </c>
      <c r="BP133" s="866"/>
      <c r="BQ133" s="866"/>
      <c r="BR133" s="866">
        <f>VLOOKUP(BD133,$BD$4:$BN$12824,6,0)*BE133</f>
        <v>201853.42286724792</v>
      </c>
      <c r="BS133" s="866">
        <f>VLOOKUP(BD133,$BD$4:$BN$12824,7,0)*BE133</f>
        <v>10630.559601536781</v>
      </c>
      <c r="BT133" s="866"/>
      <c r="BU133" s="866">
        <f>VLOOKUP(BD133,$BD$4:$BN$12824,9,0)*BE133</f>
        <v>4013.6796223552005</v>
      </c>
      <c r="BV133" s="867"/>
      <c r="BW133" s="867">
        <f>VLOOKUP(BD133,$BD$4:$BN$12824,11,0)*BE133</f>
        <v>8027.3592447104011</v>
      </c>
      <c r="BX133" s="1146">
        <f t="shared" si="23"/>
        <v>224525.0213358503</v>
      </c>
      <c r="BY133" s="867">
        <f t="shared" si="21"/>
        <v>1635346.3042671704</v>
      </c>
      <c r="BZ133" s="867">
        <f t="shared" si="29"/>
        <v>8176731.5213358514</v>
      </c>
      <c r="CA133" s="867">
        <f>_xlfn.MAXIFS($BY$4:$BY$12824,$S$4:$S$12824,$S133)</f>
        <v>1635346.3042671704</v>
      </c>
      <c r="CB133" s="1032"/>
      <c r="CF133" s="946">
        <f t="shared" ref="CF133:CF196" si="30">AC133*AE133</f>
        <v>7952206.5000000009</v>
      </c>
    </row>
    <row r="134" spans="1:84">
      <c r="A134" s="1032"/>
      <c r="B134" s="839" t="s">
        <v>98</v>
      </c>
      <c r="C134" s="839" t="s">
        <v>131</v>
      </c>
      <c r="D134" s="839" t="s">
        <v>415</v>
      </c>
      <c r="E134" s="839" t="s">
        <v>416</v>
      </c>
      <c r="F134" s="841">
        <v>45020</v>
      </c>
      <c r="G134" s="840" t="s">
        <v>133</v>
      </c>
      <c r="H134" s="842" t="s">
        <v>134</v>
      </c>
      <c r="I134" s="842"/>
      <c r="J134" s="841"/>
      <c r="K134" s="841"/>
      <c r="L134" s="843"/>
      <c r="M134" s="844" t="s">
        <v>417</v>
      </c>
      <c r="N134" s="841"/>
      <c r="O134" s="841" t="s">
        <v>135</v>
      </c>
      <c r="P134" s="841" t="s">
        <v>136</v>
      </c>
      <c r="Q134" s="843"/>
      <c r="R134" s="845" t="s">
        <v>526</v>
      </c>
      <c r="S134" s="1127" t="s">
        <v>527</v>
      </c>
      <c r="T134" s="843" t="s">
        <v>528</v>
      </c>
      <c r="U134" s="842">
        <v>10</v>
      </c>
      <c r="V134" s="842" t="s">
        <v>8</v>
      </c>
      <c r="W134" s="846"/>
      <c r="X134" s="847">
        <f t="shared" si="24"/>
        <v>0</v>
      </c>
      <c r="Y134" s="848"/>
      <c r="Z134" s="849">
        <v>46.683</v>
      </c>
      <c r="AA134" s="849"/>
      <c r="AB134" s="849">
        <f t="shared" si="25"/>
        <v>466.83</v>
      </c>
      <c r="AC134" s="850">
        <f t="shared" si="26"/>
        <v>466.83</v>
      </c>
      <c r="AD134" s="851"/>
      <c r="AE134" s="852">
        <v>23310</v>
      </c>
      <c r="AF134" s="853">
        <v>0</v>
      </c>
      <c r="AG134" s="854">
        <f t="shared" si="27"/>
        <v>0</v>
      </c>
      <c r="AH134" s="853"/>
      <c r="AI134" s="855">
        <f t="shared" si="28"/>
        <v>0</v>
      </c>
      <c r="AJ134" s="845" t="s">
        <v>421</v>
      </c>
      <c r="AK134" s="857" t="s">
        <v>422</v>
      </c>
      <c r="AL134" s="840"/>
      <c r="AM134" s="840"/>
      <c r="AN134" s="858"/>
      <c r="AO134" s="844" t="s">
        <v>141</v>
      </c>
      <c r="AP134" s="859"/>
      <c r="AQ134" s="859" t="s">
        <v>423</v>
      </c>
      <c r="AR134" s="859"/>
      <c r="AS134" s="840"/>
      <c r="AT134" s="840"/>
      <c r="AU134" s="860"/>
      <c r="AV134" s="839" t="s">
        <v>424</v>
      </c>
      <c r="AW134" s="861">
        <v>45086</v>
      </c>
      <c r="AX134" s="862" t="s">
        <v>425</v>
      </c>
      <c r="AY134" s="843"/>
      <c r="AZ134" s="842"/>
      <c r="BA134" s="842" t="s">
        <v>120</v>
      </c>
      <c r="BB134" s="863" t="s">
        <v>121</v>
      </c>
      <c r="BC134" s="864">
        <v>45086</v>
      </c>
      <c r="BD134" s="860" t="s">
        <v>426</v>
      </c>
      <c r="BE134" s="865" cm="1">
        <f t="array" ref="BE134">IF(BD134="","",AC134/SUMPRODUCT(--(BD134=$BD$4:$BD$12824),$AC$4:$AC$12824))</f>
        <v>1.098464639076112E-2</v>
      </c>
      <c r="BF134" s="458"/>
      <c r="BG134" s="458"/>
      <c r="BH134" s="458"/>
      <c r="BI134" s="458"/>
      <c r="BJ134" s="458"/>
      <c r="BK134" s="458"/>
      <c r="BL134" s="458"/>
      <c r="BM134" s="458"/>
      <c r="BN134" s="458"/>
      <c r="BO134" s="866">
        <f>VLOOKUP(BD134,$BD$4:$BN$12824,3,0)*BE134</f>
        <v>0</v>
      </c>
      <c r="BP134" s="866"/>
      <c r="BQ134" s="866"/>
      <c r="BR134" s="866">
        <f>VLOOKUP(BD134,$BD$4:$BN$12824,6,0)*BE134</f>
        <v>276216.42502452689</v>
      </c>
      <c r="BS134" s="866">
        <f>VLOOKUP(BD134,$BD$4:$BN$12824,7,0)*BE134</f>
        <v>14546.868353467435</v>
      </c>
      <c r="BT134" s="866"/>
      <c r="BU134" s="866">
        <f>VLOOKUP(BD134,$BD$4:$BN$12824,9,0)*BE134</f>
        <v>5492.3231953805598</v>
      </c>
      <c r="BV134" s="867"/>
      <c r="BW134" s="867">
        <f>VLOOKUP(BD134,$BD$4:$BN$12824,11,0)*BE134</f>
        <v>10984.64639076112</v>
      </c>
      <c r="BX134" s="1146">
        <f t="shared" si="23"/>
        <v>307240.26296413603</v>
      </c>
      <c r="BY134" s="867">
        <f t="shared" ref="BY134:BY197" si="31">(AB134*AE134+AG134+BX134)/U134</f>
        <v>1118904.7562964135</v>
      </c>
      <c r="BZ134" s="867">
        <f t="shared" si="29"/>
        <v>11189047.562964134</v>
      </c>
      <c r="CA134" s="867">
        <f>_xlfn.MAXIFS($BY$4:$BY$12824,$S$4:$S$12824,$S134)</f>
        <v>1118904.7562964135</v>
      </c>
      <c r="CB134" s="1032"/>
      <c r="CF134" s="946">
        <f t="shared" si="30"/>
        <v>10881807.299999999</v>
      </c>
    </row>
    <row r="135" spans="1:84">
      <c r="A135" s="1032"/>
      <c r="B135" s="839" t="s">
        <v>98</v>
      </c>
      <c r="C135" s="839" t="s">
        <v>131</v>
      </c>
      <c r="D135" s="839" t="s">
        <v>415</v>
      </c>
      <c r="E135" s="839" t="s">
        <v>416</v>
      </c>
      <c r="F135" s="841">
        <v>45020</v>
      </c>
      <c r="G135" s="840" t="s">
        <v>133</v>
      </c>
      <c r="H135" s="842" t="s">
        <v>134</v>
      </c>
      <c r="I135" s="842"/>
      <c r="J135" s="841"/>
      <c r="K135" s="841"/>
      <c r="L135" s="843"/>
      <c r="M135" s="844" t="s">
        <v>417</v>
      </c>
      <c r="N135" s="841"/>
      <c r="O135" s="841" t="s">
        <v>135</v>
      </c>
      <c r="P135" s="841" t="s">
        <v>136</v>
      </c>
      <c r="Q135" s="843"/>
      <c r="R135" s="845" t="s">
        <v>529</v>
      </c>
      <c r="S135" s="1127" t="s">
        <v>530</v>
      </c>
      <c r="T135" s="843" t="s">
        <v>531</v>
      </c>
      <c r="U135" s="842">
        <v>5</v>
      </c>
      <c r="V135" s="842" t="s">
        <v>8</v>
      </c>
      <c r="W135" s="846"/>
      <c r="X135" s="847">
        <f t="shared" si="24"/>
        <v>0</v>
      </c>
      <c r="Y135" s="848"/>
      <c r="Z135" s="849">
        <v>46.683999999999997</v>
      </c>
      <c r="AA135" s="849"/>
      <c r="AB135" s="849">
        <f t="shared" si="25"/>
        <v>233.42</v>
      </c>
      <c r="AC135" s="850">
        <f t="shared" si="26"/>
        <v>233.42</v>
      </c>
      <c r="AD135" s="851"/>
      <c r="AE135" s="852">
        <v>23310</v>
      </c>
      <c r="AF135" s="853">
        <v>0</v>
      </c>
      <c r="AG135" s="854">
        <f t="shared" si="27"/>
        <v>0</v>
      </c>
      <c r="AH135" s="853"/>
      <c r="AI135" s="855">
        <f t="shared" si="28"/>
        <v>0</v>
      </c>
      <c r="AJ135" s="845" t="s">
        <v>421</v>
      </c>
      <c r="AK135" s="857" t="s">
        <v>422</v>
      </c>
      <c r="AL135" s="840"/>
      <c r="AM135" s="840"/>
      <c r="AN135" s="858"/>
      <c r="AO135" s="844" t="s">
        <v>141</v>
      </c>
      <c r="AP135" s="859"/>
      <c r="AQ135" s="859" t="s">
        <v>423</v>
      </c>
      <c r="AR135" s="859"/>
      <c r="AS135" s="840"/>
      <c r="AT135" s="840"/>
      <c r="AU135" s="860"/>
      <c r="AV135" s="839" t="s">
        <v>424</v>
      </c>
      <c r="AW135" s="861">
        <v>45086</v>
      </c>
      <c r="AX135" s="862" t="s">
        <v>425</v>
      </c>
      <c r="AY135" s="843"/>
      <c r="AZ135" s="842"/>
      <c r="BA135" s="842" t="s">
        <v>120</v>
      </c>
      <c r="BB135" s="863" t="s">
        <v>121</v>
      </c>
      <c r="BC135" s="864">
        <v>45086</v>
      </c>
      <c r="BD135" s="860" t="s">
        <v>426</v>
      </c>
      <c r="BE135" s="865" cm="1">
        <f t="array" ref="BE135">IF(BD135="","",AC135/SUMPRODUCT(--(BD135=$BD$4:$BD$12824),$AC$4:$AC$12824))</f>
        <v>5.4924408468424489E-3</v>
      </c>
      <c r="BF135" s="458"/>
      <c r="BG135" s="458"/>
      <c r="BH135" s="458"/>
      <c r="BI135" s="458"/>
      <c r="BJ135" s="458"/>
      <c r="BK135" s="458"/>
      <c r="BL135" s="458"/>
      <c r="BM135" s="458"/>
      <c r="BN135" s="458"/>
      <c r="BO135" s="866">
        <f>VLOOKUP(BD135,$BD$4:$BN$12824,3,0)*BE135</f>
        <v>0</v>
      </c>
      <c r="BP135" s="866"/>
      <c r="BQ135" s="866"/>
      <c r="BR135" s="866">
        <f>VLOOKUP(BD135,$BD$4:$BN$12824,6,0)*BE135</f>
        <v>138111.17093851091</v>
      </c>
      <c r="BS135" s="866">
        <f>VLOOKUP(BD135,$BD$4:$BN$12824,7,0)*BE135</f>
        <v>7273.5899815058337</v>
      </c>
      <c r="BT135" s="866"/>
      <c r="BU135" s="866">
        <f>VLOOKUP(BD135,$BD$4:$BN$12824,9,0)*BE135</f>
        <v>2746.2204234212245</v>
      </c>
      <c r="BV135" s="867"/>
      <c r="BW135" s="867">
        <f>VLOOKUP(BD135,$BD$4:$BN$12824,11,0)*BE135</f>
        <v>5492.440846842449</v>
      </c>
      <c r="BX135" s="1146">
        <f t="shared" si="23"/>
        <v>153623.4221902804</v>
      </c>
      <c r="BY135" s="867">
        <f t="shared" si="31"/>
        <v>1118928.7244380559</v>
      </c>
      <c r="BZ135" s="867">
        <f t="shared" si="29"/>
        <v>5594643.6221902799</v>
      </c>
      <c r="CA135" s="867">
        <f>_xlfn.MAXIFS($BY$4:$BY$12824,$S$4:$S$12824,$S135)</f>
        <v>1118928.7244380559</v>
      </c>
      <c r="CB135" s="1032"/>
      <c r="CF135" s="946">
        <f t="shared" si="30"/>
        <v>5441020.1999999993</v>
      </c>
    </row>
    <row r="136" spans="1:84">
      <c r="A136" s="1032"/>
      <c r="B136" s="839" t="s">
        <v>98</v>
      </c>
      <c r="C136" s="839" t="s">
        <v>532</v>
      </c>
      <c r="D136" s="839" t="s">
        <v>533</v>
      </c>
      <c r="E136" s="839" t="str">
        <f>D136</f>
        <v>SC-MUUTO-02-070323-APPLE HCM-03</v>
      </c>
      <c r="F136" s="841">
        <v>44992</v>
      </c>
      <c r="G136" s="840" t="s">
        <v>534</v>
      </c>
      <c r="H136" s="842" t="s">
        <v>102</v>
      </c>
      <c r="I136" s="842"/>
      <c r="J136" s="841"/>
      <c r="K136" s="841"/>
      <c r="L136" s="843"/>
      <c r="M136" s="844" t="s">
        <v>535</v>
      </c>
      <c r="N136" s="841"/>
      <c r="O136" s="841" t="s">
        <v>150</v>
      </c>
      <c r="P136" s="841" t="s">
        <v>151</v>
      </c>
      <c r="Q136" s="843"/>
      <c r="R136" s="845" t="s">
        <v>536</v>
      </c>
      <c r="S136" s="1127" t="s">
        <v>537</v>
      </c>
      <c r="T136" s="843" t="s">
        <v>538</v>
      </c>
      <c r="U136" s="842">
        <v>16</v>
      </c>
      <c r="V136" s="842" t="s">
        <v>3</v>
      </c>
      <c r="W136" s="846"/>
      <c r="X136" s="847">
        <f t="shared" si="24"/>
        <v>0</v>
      </c>
      <c r="Y136" s="848"/>
      <c r="Z136" s="849">
        <v>242</v>
      </c>
      <c r="AA136" s="849"/>
      <c r="AB136" s="849">
        <f t="shared" si="25"/>
        <v>3872</v>
      </c>
      <c r="AC136" s="850">
        <f t="shared" si="26"/>
        <v>3872</v>
      </c>
      <c r="AD136" s="851"/>
      <c r="AE136" s="852">
        <v>25481.03</v>
      </c>
      <c r="AF136" s="853">
        <v>0</v>
      </c>
      <c r="AG136" s="854">
        <f t="shared" si="27"/>
        <v>0</v>
      </c>
      <c r="AH136" s="853"/>
      <c r="AI136" s="855">
        <f t="shared" si="28"/>
        <v>0</v>
      </c>
      <c r="AJ136" s="845" t="s">
        <v>539</v>
      </c>
      <c r="AK136" s="857" t="s">
        <v>540</v>
      </c>
      <c r="AL136" s="840"/>
      <c r="AM136" s="840"/>
      <c r="AN136" s="858"/>
      <c r="AO136" s="844" t="s">
        <v>141</v>
      </c>
      <c r="AP136" s="859"/>
      <c r="AQ136" s="859" t="s">
        <v>541</v>
      </c>
      <c r="AR136" s="859"/>
      <c r="AS136" s="840"/>
      <c r="AT136" s="840"/>
      <c r="AU136" s="860"/>
      <c r="AV136" s="839" t="s">
        <v>542</v>
      </c>
      <c r="AW136" s="861">
        <v>45057</v>
      </c>
      <c r="AX136" s="862" t="s">
        <v>543</v>
      </c>
      <c r="AY136" s="843"/>
      <c r="AZ136" s="842"/>
      <c r="BA136" s="842" t="s">
        <v>120</v>
      </c>
      <c r="BB136" s="863" t="s">
        <v>121</v>
      </c>
      <c r="BC136" s="864">
        <v>45061</v>
      </c>
      <c r="BD136" s="860" t="s">
        <v>544</v>
      </c>
      <c r="BE136" s="865" cm="1">
        <f t="array" ref="BE136">IF(BD136="","",AC136/SUMPRODUCT(--(BD136=$BD$4:$BD$12824),$AC$4:$AC$12824))</f>
        <v>1</v>
      </c>
      <c r="BF136" s="458"/>
      <c r="BG136" s="458"/>
      <c r="BH136" s="458"/>
      <c r="BI136" s="458"/>
      <c r="BJ136" s="458"/>
      <c r="BK136" s="458"/>
      <c r="BL136" s="458"/>
      <c r="BM136" s="458"/>
      <c r="BN136" s="866">
        <f>600000</f>
        <v>600000</v>
      </c>
      <c r="BO136" s="866">
        <f>VLOOKUP(BD136,$BD$4:$BN$12824,3,0)*BE136</f>
        <v>0</v>
      </c>
      <c r="BP136" s="866"/>
      <c r="BQ136" s="866"/>
      <c r="BR136" s="866">
        <f>VLOOKUP(BD136,$BD$4:$BN$12824,6,0)*BE136</f>
        <v>0</v>
      </c>
      <c r="BS136" s="866">
        <f>VLOOKUP(BD136,$BD$4:$BN$12824,7,0)*BE136</f>
        <v>0</v>
      </c>
      <c r="BT136" s="866"/>
      <c r="BU136" s="866">
        <f>VLOOKUP(BD136,$BD$4:$BN$12824,9,0)*BE136</f>
        <v>0</v>
      </c>
      <c r="BV136" s="867"/>
      <c r="BW136" s="867">
        <f>VLOOKUP(BD136,$BD$4:$BN$12824,11,0)*BE136</f>
        <v>600000</v>
      </c>
      <c r="BX136" s="1146">
        <f t="shared" ref="BX136" si="32">SUM(BO136:BW136)</f>
        <v>600000</v>
      </c>
      <c r="BY136" s="867">
        <f t="shared" si="31"/>
        <v>6203909.2599999998</v>
      </c>
      <c r="BZ136" s="867">
        <f t="shared" si="29"/>
        <v>99262548.159999996</v>
      </c>
      <c r="CA136" s="867">
        <f>_xlfn.MAXIFS($BY$4:$BY$12824,$S$4:$S$12824,$S136)</f>
        <v>6203909.2599999998</v>
      </c>
      <c r="CB136" s="1032"/>
      <c r="CF136" s="946">
        <f t="shared" si="30"/>
        <v>98662548.159999996</v>
      </c>
    </row>
    <row r="137" spans="1:84">
      <c r="A137" s="1032"/>
      <c r="B137" s="839" t="s">
        <v>98</v>
      </c>
      <c r="C137" s="839" t="s">
        <v>273</v>
      </c>
      <c r="D137" s="839" t="s">
        <v>545</v>
      </c>
      <c r="E137" s="839" t="s">
        <v>545</v>
      </c>
      <c r="F137" s="841">
        <v>44944</v>
      </c>
      <c r="G137" s="840" t="s">
        <v>273</v>
      </c>
      <c r="H137" s="842" t="s">
        <v>134</v>
      </c>
      <c r="I137" s="842"/>
      <c r="J137" s="841"/>
      <c r="K137" s="841"/>
      <c r="L137" s="843"/>
      <c r="M137" s="844" t="s">
        <v>275</v>
      </c>
      <c r="N137" s="841"/>
      <c r="O137" s="841" t="s">
        <v>150</v>
      </c>
      <c r="P137" s="841" t="s">
        <v>461</v>
      </c>
      <c r="Q137" s="843"/>
      <c r="R137" s="845" t="s">
        <v>546</v>
      </c>
      <c r="S137" s="1127" t="s">
        <v>546</v>
      </c>
      <c r="T137" s="843" t="s">
        <v>547</v>
      </c>
      <c r="U137" s="842">
        <v>1</v>
      </c>
      <c r="V137" s="842" t="s">
        <v>3</v>
      </c>
      <c r="W137" s="846"/>
      <c r="X137" s="847">
        <f t="shared" si="24"/>
        <v>0</v>
      </c>
      <c r="Y137" s="848"/>
      <c r="Z137" s="849">
        <v>601.55999999999995</v>
      </c>
      <c r="AA137" s="849"/>
      <c r="AB137" s="849">
        <f t="shared" si="25"/>
        <v>601.55999999999995</v>
      </c>
      <c r="AC137" s="850">
        <f t="shared" si="26"/>
        <v>601.55999999999995</v>
      </c>
      <c r="AD137" s="851"/>
      <c r="AE137" s="852">
        <v>25481.03</v>
      </c>
      <c r="AF137" s="853">
        <v>0.1</v>
      </c>
      <c r="AG137" s="854">
        <f t="shared" si="27"/>
        <v>1634467.8655515572</v>
      </c>
      <c r="AH137" s="853"/>
      <c r="AI137" s="855">
        <f t="shared" si="28"/>
        <v>0</v>
      </c>
      <c r="AJ137" s="845" t="s">
        <v>548</v>
      </c>
      <c r="AK137" s="857" t="s">
        <v>549</v>
      </c>
      <c r="AL137" s="840"/>
      <c r="AM137" s="840"/>
      <c r="AN137" s="858"/>
      <c r="AO137" s="844" t="s">
        <v>141</v>
      </c>
      <c r="AP137" s="859"/>
      <c r="AQ137" s="859" t="s">
        <v>550</v>
      </c>
      <c r="AR137" s="859"/>
      <c r="AS137" s="840"/>
      <c r="AT137" s="840"/>
      <c r="AU137" s="860"/>
      <c r="AV137" s="839" t="s">
        <v>551</v>
      </c>
      <c r="AW137" s="861">
        <v>45058</v>
      </c>
      <c r="AX137" s="862" t="s">
        <v>552</v>
      </c>
      <c r="AY137" s="843"/>
      <c r="AZ137" s="842"/>
      <c r="BA137" s="842" t="s">
        <v>120</v>
      </c>
      <c r="BB137" s="863" t="s">
        <v>121</v>
      </c>
      <c r="BC137" s="864">
        <v>45058</v>
      </c>
      <c r="BD137" s="860" t="s">
        <v>553</v>
      </c>
      <c r="BE137" s="865" cm="1">
        <f t="array" ref="BE137">IF(BD137="","",AC137/SUMPRODUCT(--(BD137=$BD$4:$BD$12824),$AC$4:$AC$12824))</f>
        <v>1.2835919771594064E-2</v>
      </c>
      <c r="BF137" s="458">
        <v>79177049</v>
      </c>
      <c r="BG137" s="458"/>
      <c r="BH137" s="458"/>
      <c r="BI137" s="458">
        <v>18950800</v>
      </c>
      <c r="BJ137" s="458"/>
      <c r="BK137" s="458"/>
      <c r="BL137" s="458"/>
      <c r="BM137" s="458"/>
      <c r="BN137" s="458"/>
      <c r="BO137" s="866">
        <f>VLOOKUP(BD137,$BD$4:$BN$12824,3,0)*BE137</f>
        <v>1016310.2487155721</v>
      </c>
      <c r="BP137" s="866"/>
      <c r="BQ137" s="866"/>
      <c r="BR137" s="866">
        <f>VLOOKUP(BD137,$BD$4:$BN$12824,6,0)*BE137</f>
        <v>243250.94840752479</v>
      </c>
      <c r="BS137" s="866">
        <f>VLOOKUP(BD137,$BD$4:$BN$12824,7,0)*BE137</f>
        <v>0</v>
      </c>
      <c r="BT137" s="866"/>
      <c r="BU137" s="866">
        <f>VLOOKUP(BD137,$BD$4:$BN$12824,9,0)*BE137</f>
        <v>0</v>
      </c>
      <c r="BV137" s="867"/>
      <c r="BW137" s="867">
        <f>VLOOKUP(BD137,$BD$4:$BN$12824,11,0)*BE137</f>
        <v>0</v>
      </c>
      <c r="BX137" s="1146">
        <f t="shared" ref="BX137:BX169" si="33">SUM(BO137:BW137)</f>
        <v>1259561.1971230968</v>
      </c>
      <c r="BY137" s="867">
        <f t="shared" si="31"/>
        <v>18222397.469474651</v>
      </c>
      <c r="BZ137" s="867">
        <f t="shared" si="29"/>
        <v>18222397.469474651</v>
      </c>
      <c r="CA137" s="867">
        <f>_xlfn.MAXIFS($BY$4:$BY$12824,$S$4:$S$12824,$S137)</f>
        <v>18222397.469474651</v>
      </c>
      <c r="CB137" s="1032"/>
      <c r="CF137" s="946">
        <f t="shared" si="30"/>
        <v>15328368.406799998</v>
      </c>
    </row>
    <row r="138" spans="1:84">
      <c r="A138" s="1032"/>
      <c r="B138" s="839" t="s">
        <v>98</v>
      </c>
      <c r="C138" s="839" t="s">
        <v>273</v>
      </c>
      <c r="D138" s="839" t="s">
        <v>545</v>
      </c>
      <c r="E138" s="839" t="s">
        <v>545</v>
      </c>
      <c r="F138" s="841">
        <v>44944</v>
      </c>
      <c r="G138" s="840" t="s">
        <v>273</v>
      </c>
      <c r="H138" s="842" t="s">
        <v>134</v>
      </c>
      <c r="I138" s="842"/>
      <c r="J138" s="841"/>
      <c r="K138" s="841"/>
      <c r="L138" s="843"/>
      <c r="M138" s="844" t="s">
        <v>275</v>
      </c>
      <c r="N138" s="841"/>
      <c r="O138" s="841" t="s">
        <v>150</v>
      </c>
      <c r="P138" s="841" t="s">
        <v>461</v>
      </c>
      <c r="Q138" s="843"/>
      <c r="R138" s="845" t="s">
        <v>554</v>
      </c>
      <c r="S138" s="1127" t="s">
        <v>554</v>
      </c>
      <c r="T138" s="843" t="s">
        <v>555</v>
      </c>
      <c r="U138" s="842">
        <v>1</v>
      </c>
      <c r="V138" s="842" t="s">
        <v>3</v>
      </c>
      <c r="W138" s="846"/>
      <c r="X138" s="847">
        <f t="shared" si="24"/>
        <v>0</v>
      </c>
      <c r="Y138" s="848"/>
      <c r="Z138" s="849">
        <v>601.55999999999995</v>
      </c>
      <c r="AA138" s="849"/>
      <c r="AB138" s="849">
        <f t="shared" si="25"/>
        <v>601.55999999999995</v>
      </c>
      <c r="AC138" s="850">
        <f t="shared" si="26"/>
        <v>601.55999999999995</v>
      </c>
      <c r="AD138" s="851"/>
      <c r="AE138" s="852">
        <v>25481.03</v>
      </c>
      <c r="AF138" s="853">
        <v>0.1</v>
      </c>
      <c r="AG138" s="854">
        <f t="shared" si="27"/>
        <v>1634467.8655515572</v>
      </c>
      <c r="AH138" s="853"/>
      <c r="AI138" s="855">
        <f t="shared" si="28"/>
        <v>0</v>
      </c>
      <c r="AJ138" s="845" t="s">
        <v>548</v>
      </c>
      <c r="AK138" s="857" t="s">
        <v>549</v>
      </c>
      <c r="AL138" s="840"/>
      <c r="AM138" s="840"/>
      <c r="AN138" s="858"/>
      <c r="AO138" s="844" t="s">
        <v>141</v>
      </c>
      <c r="AP138" s="859"/>
      <c r="AQ138" s="859" t="s">
        <v>550</v>
      </c>
      <c r="AR138" s="859"/>
      <c r="AS138" s="840"/>
      <c r="AT138" s="840"/>
      <c r="AU138" s="860"/>
      <c r="AV138" s="839" t="s">
        <v>551</v>
      </c>
      <c r="AW138" s="861">
        <v>45058</v>
      </c>
      <c r="AX138" s="862" t="s">
        <v>552</v>
      </c>
      <c r="AY138" s="843"/>
      <c r="AZ138" s="842"/>
      <c r="BA138" s="842" t="s">
        <v>120</v>
      </c>
      <c r="BB138" s="863" t="s">
        <v>121</v>
      </c>
      <c r="BC138" s="864">
        <v>45058</v>
      </c>
      <c r="BD138" s="860" t="s">
        <v>553</v>
      </c>
      <c r="BE138" s="865" cm="1">
        <f t="array" ref="BE138">IF(BD138="","",AC138/SUMPRODUCT(--(BD138=$BD$4:$BD$12824),$AC$4:$AC$12824))</f>
        <v>1.2835919771594064E-2</v>
      </c>
      <c r="BF138" s="458"/>
      <c r="BG138" s="458"/>
      <c r="BH138" s="458"/>
      <c r="BI138" s="458"/>
      <c r="BJ138" s="458"/>
      <c r="BK138" s="458"/>
      <c r="BL138" s="458"/>
      <c r="BM138" s="458"/>
      <c r="BN138" s="458"/>
      <c r="BO138" s="866">
        <f>VLOOKUP(BD138,$BD$4:$BN$12824,3,0)*BE138</f>
        <v>1016310.2487155721</v>
      </c>
      <c r="BP138" s="866"/>
      <c r="BQ138" s="866"/>
      <c r="BR138" s="866">
        <f>VLOOKUP(BD138,$BD$4:$BN$12824,6,0)*BE138</f>
        <v>243250.94840752479</v>
      </c>
      <c r="BS138" s="866">
        <f>VLOOKUP(BD138,$BD$4:$BN$12824,7,0)*BE138</f>
        <v>0</v>
      </c>
      <c r="BT138" s="866"/>
      <c r="BU138" s="866">
        <f>VLOOKUP(BD138,$BD$4:$BN$12824,9,0)*BE138</f>
        <v>0</v>
      </c>
      <c r="BV138" s="867"/>
      <c r="BW138" s="867">
        <f>VLOOKUP(BD138,$BD$4:$BN$12824,11,0)*BE138</f>
        <v>0</v>
      </c>
      <c r="BX138" s="1146">
        <f t="shared" si="33"/>
        <v>1259561.1971230968</v>
      </c>
      <c r="BY138" s="867">
        <f t="shared" si="31"/>
        <v>18222397.469474651</v>
      </c>
      <c r="BZ138" s="867">
        <f t="shared" si="29"/>
        <v>18222397.469474651</v>
      </c>
      <c r="CA138" s="867">
        <f>_xlfn.MAXIFS($BY$4:$BY$12824,$S$4:$S$12824,$S138)</f>
        <v>18222397.469474651</v>
      </c>
      <c r="CB138" s="1032"/>
      <c r="CF138" s="946">
        <f t="shared" si="30"/>
        <v>15328368.406799998</v>
      </c>
    </row>
    <row r="139" spans="1:84">
      <c r="A139" s="1032"/>
      <c r="B139" s="839" t="s">
        <v>98</v>
      </c>
      <c r="C139" s="839" t="s">
        <v>273</v>
      </c>
      <c r="D139" s="839" t="s">
        <v>545</v>
      </c>
      <c r="E139" s="839" t="s">
        <v>545</v>
      </c>
      <c r="F139" s="841">
        <v>44944</v>
      </c>
      <c r="G139" s="840" t="s">
        <v>273</v>
      </c>
      <c r="H139" s="842" t="s">
        <v>134</v>
      </c>
      <c r="I139" s="842"/>
      <c r="J139" s="841"/>
      <c r="K139" s="841"/>
      <c r="L139" s="843"/>
      <c r="M139" s="844" t="s">
        <v>275</v>
      </c>
      <c r="N139" s="841"/>
      <c r="O139" s="841" t="s">
        <v>150</v>
      </c>
      <c r="P139" s="841" t="s">
        <v>461</v>
      </c>
      <c r="Q139" s="843"/>
      <c r="R139" s="845" t="s">
        <v>556</v>
      </c>
      <c r="S139" s="1127" t="s">
        <v>556</v>
      </c>
      <c r="T139" s="843" t="s">
        <v>557</v>
      </c>
      <c r="U139" s="842">
        <v>2</v>
      </c>
      <c r="V139" s="842" t="s">
        <v>3</v>
      </c>
      <c r="W139" s="846"/>
      <c r="X139" s="847">
        <f t="shared" si="24"/>
        <v>0</v>
      </c>
      <c r="Y139" s="848"/>
      <c r="Z139" s="849">
        <v>581.15499999999997</v>
      </c>
      <c r="AA139" s="849"/>
      <c r="AB139" s="849">
        <f t="shared" si="25"/>
        <v>1162.31</v>
      </c>
      <c r="AC139" s="850">
        <f t="shared" si="26"/>
        <v>1162.31</v>
      </c>
      <c r="AD139" s="851"/>
      <c r="AE139" s="852">
        <v>25481.03</v>
      </c>
      <c r="AF139" s="853">
        <v>0.1</v>
      </c>
      <c r="AG139" s="854">
        <f t="shared" si="27"/>
        <v>3158052.9702926232</v>
      </c>
      <c r="AH139" s="853"/>
      <c r="AI139" s="855">
        <f t="shared" si="28"/>
        <v>0</v>
      </c>
      <c r="AJ139" s="845" t="s">
        <v>548</v>
      </c>
      <c r="AK139" s="857" t="s">
        <v>549</v>
      </c>
      <c r="AL139" s="840"/>
      <c r="AM139" s="840"/>
      <c r="AN139" s="858"/>
      <c r="AO139" s="844" t="s">
        <v>141</v>
      </c>
      <c r="AP139" s="859"/>
      <c r="AQ139" s="859" t="s">
        <v>550</v>
      </c>
      <c r="AR139" s="859"/>
      <c r="AS139" s="840"/>
      <c r="AT139" s="840"/>
      <c r="AU139" s="860"/>
      <c r="AV139" s="839" t="s">
        <v>551</v>
      </c>
      <c r="AW139" s="861">
        <v>45058</v>
      </c>
      <c r="AX139" s="862" t="s">
        <v>552</v>
      </c>
      <c r="AY139" s="843"/>
      <c r="AZ139" s="842"/>
      <c r="BA139" s="842" t="s">
        <v>120</v>
      </c>
      <c r="BB139" s="863" t="s">
        <v>121</v>
      </c>
      <c r="BC139" s="864">
        <v>45058</v>
      </c>
      <c r="BD139" s="860" t="s">
        <v>553</v>
      </c>
      <c r="BE139" s="865" cm="1">
        <f t="array" ref="BE139">IF(BD139="","",AC139/SUMPRODUCT(--(BD139=$BD$4:$BD$12824),$AC$4:$AC$12824))</f>
        <v>2.4801047127005614E-2</v>
      </c>
      <c r="BF139" s="458"/>
      <c r="BG139" s="458"/>
      <c r="BH139" s="458"/>
      <c r="BI139" s="458"/>
      <c r="BJ139" s="458"/>
      <c r="BK139" s="458"/>
      <c r="BL139" s="458"/>
      <c r="BM139" s="458"/>
      <c r="BN139" s="458"/>
      <c r="BO139" s="866">
        <f>VLOOKUP(BD139,$BD$4:$BN$12824,3,0)*BE139</f>
        <v>1963673.7236262327</v>
      </c>
      <c r="BP139" s="866"/>
      <c r="BQ139" s="866"/>
      <c r="BR139" s="866">
        <f>VLOOKUP(BD139,$BD$4:$BN$12824,6,0)*BE139</f>
        <v>469999.68389445799</v>
      </c>
      <c r="BS139" s="866">
        <f>VLOOKUP(BD139,$BD$4:$BN$12824,7,0)*BE139</f>
        <v>0</v>
      </c>
      <c r="BT139" s="866"/>
      <c r="BU139" s="866">
        <f>VLOOKUP(BD139,$BD$4:$BN$12824,9,0)*BE139</f>
        <v>0</v>
      </c>
      <c r="BV139" s="867"/>
      <c r="BW139" s="867">
        <f>VLOOKUP(BD139,$BD$4:$BN$12824,11,0)*BE139</f>
        <v>0</v>
      </c>
      <c r="BX139" s="1146">
        <f t="shared" si="33"/>
        <v>2433673.4075206909</v>
      </c>
      <c r="BY139" s="867">
        <f t="shared" si="31"/>
        <v>17604291.178556655</v>
      </c>
      <c r="BZ139" s="867">
        <f t="shared" si="29"/>
        <v>35208582.357113309</v>
      </c>
      <c r="CA139" s="867">
        <f>_xlfn.MAXIFS($BY$4:$BY$12824,$S$4:$S$12824,$S139)</f>
        <v>17604291.178556655</v>
      </c>
      <c r="CB139" s="1032"/>
      <c r="CF139" s="946">
        <f t="shared" si="30"/>
        <v>29616855.979299996</v>
      </c>
    </row>
    <row r="140" spans="1:84">
      <c r="A140" s="1032"/>
      <c r="B140" s="839" t="s">
        <v>98</v>
      </c>
      <c r="C140" s="839" t="s">
        <v>273</v>
      </c>
      <c r="D140" s="839" t="s">
        <v>545</v>
      </c>
      <c r="E140" s="839" t="s">
        <v>545</v>
      </c>
      <c r="F140" s="841">
        <v>44944</v>
      </c>
      <c r="G140" s="840" t="s">
        <v>273</v>
      </c>
      <c r="H140" s="842" t="s">
        <v>134</v>
      </c>
      <c r="I140" s="842"/>
      <c r="J140" s="841"/>
      <c r="K140" s="841"/>
      <c r="L140" s="843"/>
      <c r="M140" s="844" t="s">
        <v>275</v>
      </c>
      <c r="N140" s="841"/>
      <c r="O140" s="841" t="s">
        <v>150</v>
      </c>
      <c r="P140" s="841" t="s">
        <v>461</v>
      </c>
      <c r="Q140" s="843"/>
      <c r="R140" s="845" t="s">
        <v>558</v>
      </c>
      <c r="S140" s="1127" t="s">
        <v>558</v>
      </c>
      <c r="T140" s="843" t="s">
        <v>559</v>
      </c>
      <c r="U140" s="842">
        <v>1</v>
      </c>
      <c r="V140" s="842" t="s">
        <v>3</v>
      </c>
      <c r="W140" s="846"/>
      <c r="X140" s="847">
        <f t="shared" si="24"/>
        <v>0</v>
      </c>
      <c r="Y140" s="848"/>
      <c r="Z140" s="849">
        <v>581.16</v>
      </c>
      <c r="AA140" s="849"/>
      <c r="AB140" s="849">
        <f t="shared" si="25"/>
        <v>581.16</v>
      </c>
      <c r="AC140" s="850">
        <f t="shared" si="26"/>
        <v>581.16</v>
      </c>
      <c r="AD140" s="851"/>
      <c r="AE140" s="852">
        <v>25481.03</v>
      </c>
      <c r="AF140" s="853">
        <v>0.1</v>
      </c>
      <c r="AG140" s="854">
        <f t="shared" si="27"/>
        <v>1579040.0703902235</v>
      </c>
      <c r="AH140" s="853"/>
      <c r="AI140" s="855">
        <f t="shared" si="28"/>
        <v>0</v>
      </c>
      <c r="AJ140" s="845" t="s">
        <v>548</v>
      </c>
      <c r="AK140" s="857" t="s">
        <v>549</v>
      </c>
      <c r="AL140" s="840"/>
      <c r="AM140" s="840"/>
      <c r="AN140" s="858"/>
      <c r="AO140" s="844" t="s">
        <v>141</v>
      </c>
      <c r="AP140" s="859"/>
      <c r="AQ140" s="859" t="s">
        <v>550</v>
      </c>
      <c r="AR140" s="859"/>
      <c r="AS140" s="840"/>
      <c r="AT140" s="840"/>
      <c r="AU140" s="860"/>
      <c r="AV140" s="839" t="s">
        <v>551</v>
      </c>
      <c r="AW140" s="861">
        <v>45058</v>
      </c>
      <c r="AX140" s="862" t="s">
        <v>552</v>
      </c>
      <c r="AY140" s="843"/>
      <c r="AZ140" s="842"/>
      <c r="BA140" s="842" t="s">
        <v>120</v>
      </c>
      <c r="BB140" s="863" t="s">
        <v>121</v>
      </c>
      <c r="BC140" s="864">
        <v>45058</v>
      </c>
      <c r="BD140" s="860" t="s">
        <v>553</v>
      </c>
      <c r="BE140" s="865" cm="1">
        <f t="array" ref="BE140">IF(BD140="","",AC140/SUMPRODUCT(--(BD140=$BD$4:$BD$12824),$AC$4:$AC$12824))</f>
        <v>1.2400630252110523E-2</v>
      </c>
      <c r="BF140" s="458"/>
      <c r="BG140" s="458"/>
      <c r="BH140" s="458"/>
      <c r="BI140" s="458"/>
      <c r="BJ140" s="458"/>
      <c r="BK140" s="458"/>
      <c r="BL140" s="458"/>
      <c r="BM140" s="458"/>
      <c r="BN140" s="458"/>
      <c r="BO140" s="866">
        <f>VLOOKUP(BD140,$BD$4:$BN$12824,3,0)*BE140</f>
        <v>981845.30910223722</v>
      </c>
      <c r="BP140" s="866"/>
      <c r="BQ140" s="866"/>
      <c r="BR140" s="866">
        <f>VLOOKUP(BD140,$BD$4:$BN$12824,6,0)*BE140</f>
        <v>235001.8637816961</v>
      </c>
      <c r="BS140" s="866">
        <f>VLOOKUP(BD140,$BD$4:$BN$12824,7,0)*BE140</f>
        <v>0</v>
      </c>
      <c r="BT140" s="866"/>
      <c r="BU140" s="866">
        <f>VLOOKUP(BD140,$BD$4:$BN$12824,9,0)*BE140</f>
        <v>0</v>
      </c>
      <c r="BV140" s="867"/>
      <c r="BW140" s="867">
        <f>VLOOKUP(BD140,$BD$4:$BN$12824,11,0)*BE140</f>
        <v>0</v>
      </c>
      <c r="BX140" s="1146">
        <f t="shared" si="33"/>
        <v>1216847.1728839334</v>
      </c>
      <c r="BY140" s="867">
        <f t="shared" si="31"/>
        <v>17604442.638074152</v>
      </c>
      <c r="BZ140" s="867">
        <f t="shared" si="29"/>
        <v>17604442.638074152</v>
      </c>
      <c r="CA140" s="867">
        <f>_xlfn.MAXIFS($BY$4:$BY$12824,$S$4:$S$12824,$S140)</f>
        <v>17604442.638074152</v>
      </c>
      <c r="CB140" s="1032"/>
      <c r="CF140" s="946">
        <f t="shared" si="30"/>
        <v>14808555.394799998</v>
      </c>
    </row>
    <row r="141" spans="1:84">
      <c r="A141" s="1032"/>
      <c r="B141" s="839" t="s">
        <v>98</v>
      </c>
      <c r="C141" s="839" t="s">
        <v>273</v>
      </c>
      <c r="D141" s="839" t="s">
        <v>545</v>
      </c>
      <c r="E141" s="839" t="s">
        <v>545</v>
      </c>
      <c r="F141" s="841">
        <v>44944</v>
      </c>
      <c r="G141" s="840" t="s">
        <v>273</v>
      </c>
      <c r="H141" s="842" t="s">
        <v>134</v>
      </c>
      <c r="I141" s="842"/>
      <c r="J141" s="841"/>
      <c r="K141" s="841"/>
      <c r="L141" s="843"/>
      <c r="M141" s="844" t="s">
        <v>275</v>
      </c>
      <c r="N141" s="841"/>
      <c r="O141" s="841" t="s">
        <v>150</v>
      </c>
      <c r="P141" s="841" t="s">
        <v>461</v>
      </c>
      <c r="Q141" s="843"/>
      <c r="R141" s="845" t="s">
        <v>560</v>
      </c>
      <c r="S141" s="1127" t="s">
        <v>560</v>
      </c>
      <c r="T141" s="843" t="s">
        <v>561</v>
      </c>
      <c r="U141" s="842">
        <v>1</v>
      </c>
      <c r="V141" s="842" t="s">
        <v>3</v>
      </c>
      <c r="W141" s="846"/>
      <c r="X141" s="847">
        <f t="shared" si="24"/>
        <v>0</v>
      </c>
      <c r="Y141" s="848"/>
      <c r="Z141" s="849">
        <v>693.64</v>
      </c>
      <c r="AA141" s="849"/>
      <c r="AB141" s="849">
        <f t="shared" si="25"/>
        <v>693.64</v>
      </c>
      <c r="AC141" s="850">
        <f t="shared" si="26"/>
        <v>693.64</v>
      </c>
      <c r="AD141" s="851"/>
      <c r="AE141" s="852">
        <v>25481.03</v>
      </c>
      <c r="AF141" s="853">
        <v>0.1</v>
      </c>
      <c r="AG141" s="854">
        <f t="shared" si="27"/>
        <v>1884653.7174366352</v>
      </c>
      <c r="AH141" s="853"/>
      <c r="AI141" s="855">
        <f t="shared" si="28"/>
        <v>0</v>
      </c>
      <c r="AJ141" s="845" t="s">
        <v>548</v>
      </c>
      <c r="AK141" s="857" t="s">
        <v>549</v>
      </c>
      <c r="AL141" s="840"/>
      <c r="AM141" s="840"/>
      <c r="AN141" s="858"/>
      <c r="AO141" s="844" t="s">
        <v>141</v>
      </c>
      <c r="AP141" s="859"/>
      <c r="AQ141" s="859" t="s">
        <v>550</v>
      </c>
      <c r="AR141" s="859"/>
      <c r="AS141" s="840"/>
      <c r="AT141" s="840"/>
      <c r="AU141" s="860"/>
      <c r="AV141" s="839" t="s">
        <v>551</v>
      </c>
      <c r="AW141" s="861">
        <v>45058</v>
      </c>
      <c r="AX141" s="862" t="s">
        <v>552</v>
      </c>
      <c r="AY141" s="843"/>
      <c r="AZ141" s="842"/>
      <c r="BA141" s="842" t="s">
        <v>120</v>
      </c>
      <c r="BB141" s="863" t="s">
        <v>121</v>
      </c>
      <c r="BC141" s="864">
        <v>45058</v>
      </c>
      <c r="BD141" s="860" t="s">
        <v>553</v>
      </c>
      <c r="BE141" s="865" cm="1">
        <f t="array" ref="BE141">IF(BD141="","",AC141/SUMPRODUCT(--(BD141=$BD$4:$BD$12824),$AC$4:$AC$12824))</f>
        <v>1.4800697171302127E-2</v>
      </c>
      <c r="BF141" s="458"/>
      <c r="BG141" s="458"/>
      <c r="BH141" s="458"/>
      <c r="BI141" s="458"/>
      <c r="BJ141" s="458"/>
      <c r="BK141" s="458"/>
      <c r="BL141" s="458"/>
      <c r="BM141" s="458"/>
      <c r="BN141" s="458"/>
      <c r="BO141" s="866">
        <f>VLOOKUP(BD141,$BD$4:$BN$12824,3,0)*BE141</f>
        <v>1171875.52516635</v>
      </c>
      <c r="BP141" s="866"/>
      <c r="BQ141" s="866"/>
      <c r="BR141" s="866">
        <f>VLOOKUP(BD141,$BD$4:$BN$12824,6,0)*BE141</f>
        <v>280485.05195391236</v>
      </c>
      <c r="BS141" s="866">
        <f>VLOOKUP(BD141,$BD$4:$BN$12824,7,0)*BE141</f>
        <v>0</v>
      </c>
      <c r="BT141" s="866"/>
      <c r="BU141" s="866">
        <f>VLOOKUP(BD141,$BD$4:$BN$12824,9,0)*BE141</f>
        <v>0</v>
      </c>
      <c r="BV141" s="867"/>
      <c r="BW141" s="867">
        <f>VLOOKUP(BD141,$BD$4:$BN$12824,11,0)*BE141</f>
        <v>0</v>
      </c>
      <c r="BX141" s="1146">
        <f t="shared" si="33"/>
        <v>1452360.5771202622</v>
      </c>
      <c r="BY141" s="867">
        <f t="shared" si="31"/>
        <v>21011675.943756897</v>
      </c>
      <c r="BZ141" s="867">
        <f t="shared" si="29"/>
        <v>21011675.943756897</v>
      </c>
      <c r="CA141" s="867">
        <f>_xlfn.MAXIFS($BY$4:$BY$12824,$S$4:$S$12824,$S141)</f>
        <v>21011675.943756897</v>
      </c>
      <c r="CB141" s="1032"/>
      <c r="CF141" s="946">
        <f t="shared" si="30"/>
        <v>17674661.6492</v>
      </c>
    </row>
    <row r="142" spans="1:84">
      <c r="A142" s="1032"/>
      <c r="B142" s="839" t="s">
        <v>98</v>
      </c>
      <c r="C142" s="839" t="s">
        <v>273</v>
      </c>
      <c r="D142" s="839" t="s">
        <v>545</v>
      </c>
      <c r="E142" s="839" t="s">
        <v>545</v>
      </c>
      <c r="F142" s="841">
        <v>44944</v>
      </c>
      <c r="G142" s="840" t="s">
        <v>273</v>
      </c>
      <c r="H142" s="842" t="s">
        <v>134</v>
      </c>
      <c r="I142" s="842"/>
      <c r="J142" s="841"/>
      <c r="K142" s="841"/>
      <c r="L142" s="843"/>
      <c r="M142" s="844" t="s">
        <v>275</v>
      </c>
      <c r="N142" s="841"/>
      <c r="O142" s="841" t="s">
        <v>150</v>
      </c>
      <c r="P142" s="841" t="s">
        <v>461</v>
      </c>
      <c r="Q142" s="843"/>
      <c r="R142" s="845" t="s">
        <v>562</v>
      </c>
      <c r="S142" s="1127" t="s">
        <v>562</v>
      </c>
      <c r="T142" s="843" t="s">
        <v>563</v>
      </c>
      <c r="U142" s="842">
        <v>1</v>
      </c>
      <c r="V142" s="842" t="s">
        <v>3</v>
      </c>
      <c r="W142" s="846"/>
      <c r="X142" s="847">
        <f t="shared" si="24"/>
        <v>0</v>
      </c>
      <c r="Y142" s="848"/>
      <c r="Z142" s="849">
        <v>693.58</v>
      </c>
      <c r="AA142" s="849"/>
      <c r="AB142" s="849">
        <f t="shared" si="25"/>
        <v>693.58</v>
      </c>
      <c r="AC142" s="850">
        <f t="shared" si="26"/>
        <v>693.58</v>
      </c>
      <c r="AD142" s="851"/>
      <c r="AE142" s="852">
        <v>25481.03</v>
      </c>
      <c r="AF142" s="853">
        <v>0.1</v>
      </c>
      <c r="AG142" s="854">
        <f t="shared" si="27"/>
        <v>1884490.6945096899</v>
      </c>
      <c r="AH142" s="853"/>
      <c r="AI142" s="855">
        <f t="shared" si="28"/>
        <v>0</v>
      </c>
      <c r="AJ142" s="845" t="s">
        <v>548</v>
      </c>
      <c r="AK142" s="857" t="s">
        <v>549</v>
      </c>
      <c r="AL142" s="840"/>
      <c r="AM142" s="840"/>
      <c r="AN142" s="858"/>
      <c r="AO142" s="844" t="s">
        <v>141</v>
      </c>
      <c r="AP142" s="859"/>
      <c r="AQ142" s="859" t="s">
        <v>550</v>
      </c>
      <c r="AR142" s="859"/>
      <c r="AS142" s="840"/>
      <c r="AT142" s="840"/>
      <c r="AU142" s="860"/>
      <c r="AV142" s="839" t="s">
        <v>551</v>
      </c>
      <c r="AW142" s="861">
        <v>45058</v>
      </c>
      <c r="AX142" s="862" t="s">
        <v>552</v>
      </c>
      <c r="AY142" s="843"/>
      <c r="AZ142" s="842"/>
      <c r="BA142" s="842" t="s">
        <v>120</v>
      </c>
      <c r="BB142" s="863" t="s">
        <v>121</v>
      </c>
      <c r="BC142" s="864">
        <v>45058</v>
      </c>
      <c r="BD142" s="860" t="s">
        <v>553</v>
      </c>
      <c r="BE142" s="865" cm="1">
        <f t="array" ref="BE142">IF(BD142="","",AC142/SUMPRODUCT(--(BD142=$BD$4:$BD$12824),$AC$4:$AC$12824))</f>
        <v>1.479941690800953E-2</v>
      </c>
      <c r="BF142" s="458"/>
      <c r="BG142" s="458"/>
      <c r="BH142" s="458"/>
      <c r="BI142" s="458"/>
      <c r="BJ142" s="458"/>
      <c r="BK142" s="458"/>
      <c r="BL142" s="458"/>
      <c r="BM142" s="458"/>
      <c r="BN142" s="458"/>
      <c r="BO142" s="866">
        <f>VLOOKUP(BD142,$BD$4:$BN$12824,3,0)*BE142</f>
        <v>1171774.157696899</v>
      </c>
      <c r="BP142" s="866"/>
      <c r="BQ142" s="866"/>
      <c r="BR142" s="866">
        <f>VLOOKUP(BD142,$BD$4:$BN$12824,6,0)*BE142</f>
        <v>280460.78994030698</v>
      </c>
      <c r="BS142" s="866">
        <f>VLOOKUP(BD142,$BD$4:$BN$12824,7,0)*BE142</f>
        <v>0</v>
      </c>
      <c r="BT142" s="866"/>
      <c r="BU142" s="866">
        <f>VLOOKUP(BD142,$BD$4:$BN$12824,9,0)*BE142</f>
        <v>0</v>
      </c>
      <c r="BV142" s="867"/>
      <c r="BW142" s="867">
        <f>VLOOKUP(BD142,$BD$4:$BN$12824,11,0)*BE142</f>
        <v>0</v>
      </c>
      <c r="BX142" s="1146">
        <f t="shared" si="33"/>
        <v>1452234.9476372059</v>
      </c>
      <c r="BY142" s="867">
        <f t="shared" si="31"/>
        <v>21009858.429546893</v>
      </c>
      <c r="BZ142" s="867">
        <f t="shared" si="29"/>
        <v>21009858.429546893</v>
      </c>
      <c r="CA142" s="867">
        <f>_xlfn.MAXIFS($BY$4:$BY$12824,$S$4:$S$12824,$S142)</f>
        <v>21009858.429546893</v>
      </c>
      <c r="CB142" s="1032"/>
      <c r="CF142" s="946">
        <f t="shared" si="30"/>
        <v>17673132.7874</v>
      </c>
    </row>
    <row r="143" spans="1:84">
      <c r="A143" s="1032"/>
      <c r="B143" s="839" t="s">
        <v>98</v>
      </c>
      <c r="C143" s="839" t="s">
        <v>273</v>
      </c>
      <c r="D143" s="839" t="s">
        <v>545</v>
      </c>
      <c r="E143" s="839" t="s">
        <v>545</v>
      </c>
      <c r="F143" s="841">
        <v>44944</v>
      </c>
      <c r="G143" s="840" t="s">
        <v>273</v>
      </c>
      <c r="H143" s="842" t="s">
        <v>134</v>
      </c>
      <c r="I143" s="842"/>
      <c r="J143" s="841"/>
      <c r="K143" s="841"/>
      <c r="L143" s="843"/>
      <c r="M143" s="844" t="s">
        <v>275</v>
      </c>
      <c r="N143" s="841"/>
      <c r="O143" s="841" t="s">
        <v>150</v>
      </c>
      <c r="P143" s="841" t="s">
        <v>276</v>
      </c>
      <c r="Q143" s="843"/>
      <c r="R143" s="845" t="s">
        <v>564</v>
      </c>
      <c r="S143" s="1127" t="s">
        <v>564</v>
      </c>
      <c r="T143" s="843" t="s">
        <v>565</v>
      </c>
      <c r="U143" s="842">
        <v>2</v>
      </c>
      <c r="V143" s="842" t="s">
        <v>3</v>
      </c>
      <c r="W143" s="846"/>
      <c r="X143" s="847">
        <f t="shared" si="24"/>
        <v>0</v>
      </c>
      <c r="Y143" s="848"/>
      <c r="Z143" s="849">
        <v>149.23500000000001</v>
      </c>
      <c r="AA143" s="849"/>
      <c r="AB143" s="849">
        <f t="shared" si="25"/>
        <v>298.47000000000003</v>
      </c>
      <c r="AC143" s="850">
        <f t="shared" si="26"/>
        <v>298.47000000000003</v>
      </c>
      <c r="AD143" s="851"/>
      <c r="AE143" s="852">
        <v>25481.03</v>
      </c>
      <c r="AF143" s="853">
        <v>0.1</v>
      </c>
      <c r="AG143" s="854">
        <f t="shared" si="27"/>
        <v>810957.55008839234</v>
      </c>
      <c r="AH143" s="853"/>
      <c r="AI143" s="855">
        <f t="shared" si="28"/>
        <v>0</v>
      </c>
      <c r="AJ143" s="845" t="s">
        <v>548</v>
      </c>
      <c r="AK143" s="857" t="s">
        <v>549</v>
      </c>
      <c r="AL143" s="840"/>
      <c r="AM143" s="840"/>
      <c r="AN143" s="858"/>
      <c r="AO143" s="844" t="s">
        <v>141</v>
      </c>
      <c r="AP143" s="859"/>
      <c r="AQ143" s="859" t="s">
        <v>550</v>
      </c>
      <c r="AR143" s="859"/>
      <c r="AS143" s="840"/>
      <c r="AT143" s="840"/>
      <c r="AU143" s="860"/>
      <c r="AV143" s="839" t="s">
        <v>551</v>
      </c>
      <c r="AW143" s="861">
        <v>45058</v>
      </c>
      <c r="AX143" s="862" t="s">
        <v>552</v>
      </c>
      <c r="AY143" s="843"/>
      <c r="AZ143" s="842"/>
      <c r="BA143" s="842" t="s">
        <v>120</v>
      </c>
      <c r="BB143" s="863" t="s">
        <v>121</v>
      </c>
      <c r="BC143" s="864">
        <v>45058</v>
      </c>
      <c r="BD143" s="860" t="s">
        <v>553</v>
      </c>
      <c r="BE143" s="865" cm="1">
        <f t="array" ref="BE143">IF(BD143="","",AC143/SUMPRODUCT(--(BD143=$BD$4:$BD$12824),$AC$4:$AC$12824))</f>
        <v>6.3686697490319853E-3</v>
      </c>
      <c r="BF143" s="458"/>
      <c r="BG143" s="458"/>
      <c r="BH143" s="458"/>
      <c r="BI143" s="458"/>
      <c r="BJ143" s="458"/>
      <c r="BK143" s="458"/>
      <c r="BL143" s="458"/>
      <c r="BM143" s="458"/>
      <c r="BN143" s="458"/>
      <c r="BO143" s="866">
        <f>VLOOKUP(BD143,$BD$4:$BN$12824,3,0)*BE143</f>
        <v>504252.47678392322</v>
      </c>
      <c r="BP143" s="866"/>
      <c r="BQ143" s="866"/>
      <c r="BR143" s="866">
        <f>VLOOKUP(BD143,$BD$4:$BN$12824,6,0)*BE143</f>
        <v>120691.38667995535</v>
      </c>
      <c r="BS143" s="866">
        <f>VLOOKUP(BD143,$BD$4:$BN$12824,7,0)*BE143</f>
        <v>0</v>
      </c>
      <c r="BT143" s="866"/>
      <c r="BU143" s="866">
        <f>VLOOKUP(BD143,$BD$4:$BN$12824,9,0)*BE143</f>
        <v>0</v>
      </c>
      <c r="BV143" s="867"/>
      <c r="BW143" s="867">
        <f>VLOOKUP(BD143,$BD$4:$BN$12824,11,0)*BE143</f>
        <v>0</v>
      </c>
      <c r="BX143" s="1146">
        <f t="shared" si="33"/>
        <v>624943.86346387863</v>
      </c>
      <c r="BY143" s="867">
        <f t="shared" si="31"/>
        <v>4520612.2188261356</v>
      </c>
      <c r="BZ143" s="867">
        <f t="shared" si="29"/>
        <v>9041224.4376522712</v>
      </c>
      <c r="CA143" s="867">
        <f>_xlfn.MAXIFS($BY$4:$BY$12824,$S$4:$S$12824,$S143)</f>
        <v>4520612.2188261356</v>
      </c>
      <c r="CB143" s="1032"/>
      <c r="CF143" s="946">
        <f t="shared" si="30"/>
        <v>7605323.0241</v>
      </c>
    </row>
    <row r="144" spans="1:84">
      <c r="A144" s="1032"/>
      <c r="B144" s="839" t="s">
        <v>98</v>
      </c>
      <c r="C144" s="839" t="s">
        <v>273</v>
      </c>
      <c r="D144" s="839" t="s">
        <v>545</v>
      </c>
      <c r="E144" s="839" t="s">
        <v>545</v>
      </c>
      <c r="F144" s="841">
        <v>44944</v>
      </c>
      <c r="G144" s="840" t="s">
        <v>273</v>
      </c>
      <c r="H144" s="842" t="s">
        <v>134</v>
      </c>
      <c r="I144" s="842"/>
      <c r="J144" s="841"/>
      <c r="K144" s="841"/>
      <c r="L144" s="843"/>
      <c r="M144" s="844" t="s">
        <v>275</v>
      </c>
      <c r="N144" s="841"/>
      <c r="O144" s="841" t="s">
        <v>150</v>
      </c>
      <c r="P144" s="841" t="s">
        <v>276</v>
      </c>
      <c r="Q144" s="843"/>
      <c r="R144" s="845" t="s">
        <v>566</v>
      </c>
      <c r="S144" s="1127" t="s">
        <v>566</v>
      </c>
      <c r="T144" s="843" t="s">
        <v>567</v>
      </c>
      <c r="U144" s="842">
        <v>2</v>
      </c>
      <c r="V144" s="842" t="s">
        <v>3</v>
      </c>
      <c r="W144" s="846"/>
      <c r="X144" s="847">
        <f t="shared" si="24"/>
        <v>0</v>
      </c>
      <c r="Y144" s="848"/>
      <c r="Z144" s="849">
        <v>149.23500000000001</v>
      </c>
      <c r="AA144" s="849"/>
      <c r="AB144" s="849">
        <f t="shared" si="25"/>
        <v>298.47000000000003</v>
      </c>
      <c r="AC144" s="850">
        <f t="shared" si="26"/>
        <v>298.47000000000003</v>
      </c>
      <c r="AD144" s="851"/>
      <c r="AE144" s="852">
        <v>25481.03</v>
      </c>
      <c r="AF144" s="853">
        <v>0.1</v>
      </c>
      <c r="AG144" s="854">
        <f t="shared" si="27"/>
        <v>810957.55008839234</v>
      </c>
      <c r="AH144" s="853"/>
      <c r="AI144" s="855">
        <f t="shared" si="28"/>
        <v>0</v>
      </c>
      <c r="AJ144" s="845" t="s">
        <v>548</v>
      </c>
      <c r="AK144" s="857" t="s">
        <v>549</v>
      </c>
      <c r="AL144" s="840"/>
      <c r="AM144" s="840"/>
      <c r="AN144" s="858"/>
      <c r="AO144" s="844" t="s">
        <v>141</v>
      </c>
      <c r="AP144" s="859"/>
      <c r="AQ144" s="859" t="s">
        <v>550</v>
      </c>
      <c r="AR144" s="859"/>
      <c r="AS144" s="840"/>
      <c r="AT144" s="840"/>
      <c r="AU144" s="860"/>
      <c r="AV144" s="839" t="s">
        <v>551</v>
      </c>
      <c r="AW144" s="861">
        <v>45058</v>
      </c>
      <c r="AX144" s="862" t="s">
        <v>552</v>
      </c>
      <c r="AY144" s="843"/>
      <c r="AZ144" s="842"/>
      <c r="BA144" s="842" t="s">
        <v>120</v>
      </c>
      <c r="BB144" s="863" t="s">
        <v>121</v>
      </c>
      <c r="BC144" s="864">
        <v>45058</v>
      </c>
      <c r="BD144" s="860" t="s">
        <v>553</v>
      </c>
      <c r="BE144" s="865" cm="1">
        <f t="array" ref="BE144">IF(BD144="","",AC144/SUMPRODUCT(--(BD144=$BD$4:$BD$12824),$AC$4:$AC$12824))</f>
        <v>6.3686697490319853E-3</v>
      </c>
      <c r="BF144" s="458"/>
      <c r="BG144" s="458"/>
      <c r="BH144" s="458"/>
      <c r="BI144" s="458"/>
      <c r="BJ144" s="458"/>
      <c r="BK144" s="458"/>
      <c r="BL144" s="458"/>
      <c r="BM144" s="458"/>
      <c r="BN144" s="458"/>
      <c r="BO144" s="866">
        <f>VLOOKUP(BD144,$BD$4:$BN$12824,3,0)*BE144</f>
        <v>504252.47678392322</v>
      </c>
      <c r="BP144" s="866"/>
      <c r="BQ144" s="866"/>
      <c r="BR144" s="866">
        <f>VLOOKUP(BD144,$BD$4:$BN$12824,6,0)*BE144</f>
        <v>120691.38667995535</v>
      </c>
      <c r="BS144" s="866">
        <f>VLOOKUP(BD144,$BD$4:$BN$12824,7,0)*BE144</f>
        <v>0</v>
      </c>
      <c r="BT144" s="866"/>
      <c r="BU144" s="866">
        <f>VLOOKUP(BD144,$BD$4:$BN$12824,9,0)*BE144</f>
        <v>0</v>
      </c>
      <c r="BV144" s="867"/>
      <c r="BW144" s="867">
        <f>VLOOKUP(BD144,$BD$4:$BN$12824,11,0)*BE144</f>
        <v>0</v>
      </c>
      <c r="BX144" s="1146">
        <f t="shared" si="33"/>
        <v>624943.86346387863</v>
      </c>
      <c r="BY144" s="867">
        <f t="shared" si="31"/>
        <v>4520612.2188261356</v>
      </c>
      <c r="BZ144" s="867">
        <f t="shared" si="29"/>
        <v>9041224.4376522712</v>
      </c>
      <c r="CA144" s="867">
        <f>_xlfn.MAXIFS($BY$4:$BY$12824,$S$4:$S$12824,$S144)</f>
        <v>4520612.2188261356</v>
      </c>
      <c r="CB144" s="1032"/>
      <c r="CF144" s="946">
        <f t="shared" si="30"/>
        <v>7605323.0241</v>
      </c>
    </row>
    <row r="145" spans="1:84">
      <c r="A145" s="1032"/>
      <c r="B145" s="839" t="s">
        <v>98</v>
      </c>
      <c r="C145" s="839" t="s">
        <v>273</v>
      </c>
      <c r="D145" s="839" t="s">
        <v>545</v>
      </c>
      <c r="E145" s="839" t="s">
        <v>545</v>
      </c>
      <c r="F145" s="841">
        <v>44944</v>
      </c>
      <c r="G145" s="840" t="s">
        <v>273</v>
      </c>
      <c r="H145" s="842" t="s">
        <v>134</v>
      </c>
      <c r="I145" s="842"/>
      <c r="J145" s="841"/>
      <c r="K145" s="841"/>
      <c r="L145" s="843"/>
      <c r="M145" s="844" t="s">
        <v>275</v>
      </c>
      <c r="N145" s="841"/>
      <c r="O145" s="841" t="s">
        <v>150</v>
      </c>
      <c r="P145" s="841" t="s">
        <v>276</v>
      </c>
      <c r="Q145" s="843"/>
      <c r="R145" s="845" t="s">
        <v>568</v>
      </c>
      <c r="S145" s="1127" t="s">
        <v>568</v>
      </c>
      <c r="T145" s="843" t="s">
        <v>569</v>
      </c>
      <c r="U145" s="842">
        <v>2</v>
      </c>
      <c r="V145" s="842" t="s">
        <v>3</v>
      </c>
      <c r="W145" s="846"/>
      <c r="X145" s="847">
        <f t="shared" si="24"/>
        <v>0</v>
      </c>
      <c r="Y145" s="848"/>
      <c r="Z145" s="849">
        <v>149.23500000000001</v>
      </c>
      <c r="AA145" s="849"/>
      <c r="AB145" s="849">
        <f t="shared" si="25"/>
        <v>298.47000000000003</v>
      </c>
      <c r="AC145" s="850">
        <f t="shared" si="26"/>
        <v>298.47000000000003</v>
      </c>
      <c r="AD145" s="851"/>
      <c r="AE145" s="852">
        <v>25481.03</v>
      </c>
      <c r="AF145" s="853">
        <v>0.1</v>
      </c>
      <c r="AG145" s="854">
        <f t="shared" si="27"/>
        <v>810957.55008839234</v>
      </c>
      <c r="AH145" s="853"/>
      <c r="AI145" s="855">
        <f t="shared" si="28"/>
        <v>0</v>
      </c>
      <c r="AJ145" s="845" t="s">
        <v>548</v>
      </c>
      <c r="AK145" s="857" t="s">
        <v>549</v>
      </c>
      <c r="AL145" s="840"/>
      <c r="AM145" s="840"/>
      <c r="AN145" s="858"/>
      <c r="AO145" s="844" t="s">
        <v>141</v>
      </c>
      <c r="AP145" s="859"/>
      <c r="AQ145" s="859" t="s">
        <v>550</v>
      </c>
      <c r="AR145" s="859"/>
      <c r="AS145" s="840"/>
      <c r="AT145" s="840"/>
      <c r="AU145" s="860"/>
      <c r="AV145" s="839" t="s">
        <v>551</v>
      </c>
      <c r="AW145" s="861">
        <v>45058</v>
      </c>
      <c r="AX145" s="862" t="s">
        <v>552</v>
      </c>
      <c r="AY145" s="843"/>
      <c r="AZ145" s="842"/>
      <c r="BA145" s="842" t="s">
        <v>120</v>
      </c>
      <c r="BB145" s="863" t="s">
        <v>121</v>
      </c>
      <c r="BC145" s="864">
        <v>45058</v>
      </c>
      <c r="BD145" s="860" t="s">
        <v>553</v>
      </c>
      <c r="BE145" s="865" cm="1">
        <f t="array" ref="BE145">IF(BD145="","",AC145/SUMPRODUCT(--(BD145=$BD$4:$BD$12824),$AC$4:$AC$12824))</f>
        <v>6.3686697490319853E-3</v>
      </c>
      <c r="BF145" s="458"/>
      <c r="BG145" s="458"/>
      <c r="BH145" s="458"/>
      <c r="BI145" s="458"/>
      <c r="BJ145" s="458"/>
      <c r="BK145" s="458"/>
      <c r="BL145" s="458"/>
      <c r="BM145" s="458"/>
      <c r="BN145" s="458"/>
      <c r="BO145" s="866">
        <f>VLOOKUP(BD145,$BD$4:$BN$12824,3,0)*BE145</f>
        <v>504252.47678392322</v>
      </c>
      <c r="BP145" s="866"/>
      <c r="BQ145" s="866"/>
      <c r="BR145" s="866">
        <f>VLOOKUP(BD145,$BD$4:$BN$12824,6,0)*BE145</f>
        <v>120691.38667995535</v>
      </c>
      <c r="BS145" s="866">
        <f>VLOOKUP(BD145,$BD$4:$BN$12824,7,0)*BE145</f>
        <v>0</v>
      </c>
      <c r="BT145" s="866"/>
      <c r="BU145" s="866">
        <f>VLOOKUP(BD145,$BD$4:$BN$12824,9,0)*BE145</f>
        <v>0</v>
      </c>
      <c r="BV145" s="867"/>
      <c r="BW145" s="867">
        <f>VLOOKUP(BD145,$BD$4:$BN$12824,11,0)*BE145</f>
        <v>0</v>
      </c>
      <c r="BX145" s="1146">
        <f t="shared" si="33"/>
        <v>624943.86346387863</v>
      </c>
      <c r="BY145" s="867">
        <f t="shared" si="31"/>
        <v>4520612.2188261356</v>
      </c>
      <c r="BZ145" s="867">
        <f t="shared" si="29"/>
        <v>9041224.4376522712</v>
      </c>
      <c r="CA145" s="867">
        <f>_xlfn.MAXIFS($BY$4:$BY$12824,$S$4:$S$12824,$S145)</f>
        <v>4520612.2188261356</v>
      </c>
      <c r="CB145" s="1032"/>
      <c r="CF145" s="946">
        <f t="shared" si="30"/>
        <v>7605323.0241</v>
      </c>
    </row>
    <row r="146" spans="1:84">
      <c r="A146" s="1032"/>
      <c r="B146" s="839" t="s">
        <v>98</v>
      </c>
      <c r="C146" s="839" t="s">
        <v>273</v>
      </c>
      <c r="D146" s="839" t="s">
        <v>545</v>
      </c>
      <c r="E146" s="839" t="s">
        <v>545</v>
      </c>
      <c r="F146" s="841">
        <v>44944</v>
      </c>
      <c r="G146" s="840" t="s">
        <v>273</v>
      </c>
      <c r="H146" s="842" t="s">
        <v>134</v>
      </c>
      <c r="I146" s="842"/>
      <c r="J146" s="841"/>
      <c r="K146" s="841"/>
      <c r="L146" s="843"/>
      <c r="M146" s="844" t="s">
        <v>275</v>
      </c>
      <c r="N146" s="841"/>
      <c r="O146" s="841" t="s">
        <v>150</v>
      </c>
      <c r="P146" s="841" t="s">
        <v>276</v>
      </c>
      <c r="Q146" s="843"/>
      <c r="R146" s="845" t="s">
        <v>570</v>
      </c>
      <c r="S146" s="1127" t="s">
        <v>570</v>
      </c>
      <c r="T146" s="843" t="s">
        <v>571</v>
      </c>
      <c r="U146" s="842">
        <v>2</v>
      </c>
      <c r="V146" s="842" t="s">
        <v>3</v>
      </c>
      <c r="W146" s="846"/>
      <c r="X146" s="847">
        <f t="shared" si="24"/>
        <v>0</v>
      </c>
      <c r="Y146" s="848"/>
      <c r="Z146" s="849">
        <v>149.22499999999999</v>
      </c>
      <c r="AA146" s="849"/>
      <c r="AB146" s="849">
        <f t="shared" si="25"/>
        <v>298.45</v>
      </c>
      <c r="AC146" s="850">
        <f t="shared" si="26"/>
        <v>298.45</v>
      </c>
      <c r="AD146" s="851"/>
      <c r="AE146" s="852">
        <v>25481.03</v>
      </c>
      <c r="AF146" s="853">
        <v>0.1</v>
      </c>
      <c r="AG146" s="854">
        <f t="shared" si="27"/>
        <v>810903.20911274385</v>
      </c>
      <c r="AH146" s="853"/>
      <c r="AI146" s="855">
        <f t="shared" si="28"/>
        <v>0</v>
      </c>
      <c r="AJ146" s="845" t="s">
        <v>548</v>
      </c>
      <c r="AK146" s="857" t="s">
        <v>549</v>
      </c>
      <c r="AL146" s="840"/>
      <c r="AM146" s="840"/>
      <c r="AN146" s="858"/>
      <c r="AO146" s="844" t="s">
        <v>141</v>
      </c>
      <c r="AP146" s="859"/>
      <c r="AQ146" s="859" t="s">
        <v>550</v>
      </c>
      <c r="AR146" s="859"/>
      <c r="AS146" s="840"/>
      <c r="AT146" s="840"/>
      <c r="AU146" s="860"/>
      <c r="AV146" s="839" t="s">
        <v>551</v>
      </c>
      <c r="AW146" s="861">
        <v>45058</v>
      </c>
      <c r="AX146" s="862" t="s">
        <v>552</v>
      </c>
      <c r="AY146" s="843"/>
      <c r="AZ146" s="842"/>
      <c r="BA146" s="842" t="s">
        <v>120</v>
      </c>
      <c r="BB146" s="863" t="s">
        <v>121</v>
      </c>
      <c r="BC146" s="864">
        <v>45058</v>
      </c>
      <c r="BD146" s="860" t="s">
        <v>553</v>
      </c>
      <c r="BE146" s="865" cm="1">
        <f t="array" ref="BE146">IF(BD146="","",AC146/SUMPRODUCT(--(BD146=$BD$4:$BD$12824),$AC$4:$AC$12824))</f>
        <v>6.3682429946011181E-3</v>
      </c>
      <c r="BF146" s="458"/>
      <c r="BG146" s="458"/>
      <c r="BH146" s="458"/>
      <c r="BI146" s="458"/>
      <c r="BJ146" s="458"/>
      <c r="BK146" s="458"/>
      <c r="BL146" s="458"/>
      <c r="BM146" s="458"/>
      <c r="BN146" s="458"/>
      <c r="BO146" s="866">
        <f>VLOOKUP(BD146,$BD$4:$BN$12824,3,0)*BE146</f>
        <v>504218.68762743945</v>
      </c>
      <c r="BP146" s="866"/>
      <c r="BQ146" s="866"/>
      <c r="BR146" s="866">
        <f>VLOOKUP(BD146,$BD$4:$BN$12824,6,0)*BE146</f>
        <v>120683.29934208687</v>
      </c>
      <c r="BS146" s="866">
        <f>VLOOKUP(BD146,$BD$4:$BN$12824,7,0)*BE146</f>
        <v>0</v>
      </c>
      <c r="BT146" s="866"/>
      <c r="BU146" s="866">
        <f>VLOOKUP(BD146,$BD$4:$BN$12824,9,0)*BE146</f>
        <v>0</v>
      </c>
      <c r="BV146" s="867"/>
      <c r="BW146" s="867">
        <f>VLOOKUP(BD146,$BD$4:$BN$12824,11,0)*BE146</f>
        <v>0</v>
      </c>
      <c r="BX146" s="1146">
        <f t="shared" si="33"/>
        <v>624901.98696952628</v>
      </c>
      <c r="BY146" s="867">
        <f t="shared" si="31"/>
        <v>4520309.2997911349</v>
      </c>
      <c r="BZ146" s="867">
        <f t="shared" si="29"/>
        <v>9040618.5995822698</v>
      </c>
      <c r="CA146" s="867">
        <f>_xlfn.MAXIFS($BY$4:$BY$12824,$S$4:$S$12824,$S146)</f>
        <v>4520309.2997911349</v>
      </c>
      <c r="CB146" s="1032"/>
      <c r="CF146" s="946">
        <f t="shared" si="30"/>
        <v>7604813.4034999991</v>
      </c>
    </row>
    <row r="147" spans="1:84">
      <c r="A147" s="1032"/>
      <c r="B147" s="839" t="s">
        <v>98</v>
      </c>
      <c r="C147" s="839" t="s">
        <v>273</v>
      </c>
      <c r="D147" s="839" t="s">
        <v>545</v>
      </c>
      <c r="E147" s="839" t="s">
        <v>545</v>
      </c>
      <c r="F147" s="841">
        <v>44944</v>
      </c>
      <c r="G147" s="840" t="s">
        <v>273</v>
      </c>
      <c r="H147" s="842" t="s">
        <v>134</v>
      </c>
      <c r="I147" s="842"/>
      <c r="J147" s="841"/>
      <c r="K147" s="841"/>
      <c r="L147" s="843"/>
      <c r="M147" s="844" t="s">
        <v>275</v>
      </c>
      <c r="N147" s="841"/>
      <c r="O147" s="841" t="s">
        <v>150</v>
      </c>
      <c r="P147" s="841" t="s">
        <v>276</v>
      </c>
      <c r="Q147" s="843"/>
      <c r="R147" s="845" t="s">
        <v>572</v>
      </c>
      <c r="S147" s="1127" t="s">
        <v>572</v>
      </c>
      <c r="T147" s="843" t="s">
        <v>573</v>
      </c>
      <c r="U147" s="842">
        <v>1</v>
      </c>
      <c r="V147" s="842" t="s">
        <v>3</v>
      </c>
      <c r="W147" s="846"/>
      <c r="X147" s="847">
        <f t="shared" si="24"/>
        <v>0</v>
      </c>
      <c r="Y147" s="848"/>
      <c r="Z147" s="849">
        <v>1900.09</v>
      </c>
      <c r="AA147" s="849"/>
      <c r="AB147" s="849">
        <f t="shared" si="25"/>
        <v>1900.09</v>
      </c>
      <c r="AC147" s="850">
        <f t="shared" si="26"/>
        <v>1900.09</v>
      </c>
      <c r="AD147" s="851"/>
      <c r="AE147" s="852">
        <v>25481.03</v>
      </c>
      <c r="AF147" s="853">
        <v>0.1</v>
      </c>
      <c r="AG147" s="854">
        <f t="shared" si="27"/>
        <v>5162637.2209852021</v>
      </c>
      <c r="AH147" s="853"/>
      <c r="AI147" s="855">
        <f t="shared" si="28"/>
        <v>0</v>
      </c>
      <c r="AJ147" s="845" t="s">
        <v>548</v>
      </c>
      <c r="AK147" s="857" t="s">
        <v>549</v>
      </c>
      <c r="AL147" s="840"/>
      <c r="AM147" s="840"/>
      <c r="AN147" s="858"/>
      <c r="AO147" s="844" t="s">
        <v>141</v>
      </c>
      <c r="AP147" s="859"/>
      <c r="AQ147" s="859" t="s">
        <v>550</v>
      </c>
      <c r="AR147" s="859"/>
      <c r="AS147" s="840"/>
      <c r="AT147" s="840"/>
      <c r="AU147" s="860"/>
      <c r="AV147" s="839" t="s">
        <v>551</v>
      </c>
      <c r="AW147" s="861">
        <v>45058</v>
      </c>
      <c r="AX147" s="862" t="s">
        <v>552</v>
      </c>
      <c r="AY147" s="843"/>
      <c r="AZ147" s="842"/>
      <c r="BA147" s="842" t="s">
        <v>120</v>
      </c>
      <c r="BB147" s="863" t="s">
        <v>121</v>
      </c>
      <c r="BC147" s="864">
        <v>45058</v>
      </c>
      <c r="BD147" s="860" t="s">
        <v>553</v>
      </c>
      <c r="BE147" s="865" cm="1">
        <f t="array" ref="BE147">IF(BD147="","",AC147/SUMPRODUCT(--(BD147=$BD$4:$BD$12824),$AC$4:$AC$12824))</f>
        <v>4.0543591327229483E-2</v>
      </c>
      <c r="BF147" s="458"/>
      <c r="BG147" s="458"/>
      <c r="BH147" s="458"/>
      <c r="BI147" s="458"/>
      <c r="BJ147" s="458"/>
      <c r="BK147" s="458"/>
      <c r="BL147" s="458"/>
      <c r="BM147" s="458"/>
      <c r="BN147" s="458"/>
      <c r="BO147" s="866">
        <f>VLOOKUP(BD147,$BD$4:$BN$12824,3,0)*BE147</f>
        <v>3210121.9171520239</v>
      </c>
      <c r="BP147" s="866"/>
      <c r="BQ147" s="866"/>
      <c r="BR147" s="866">
        <f>VLOOKUP(BD147,$BD$4:$BN$12824,6,0)*BE147</f>
        <v>768333.49052406044</v>
      </c>
      <c r="BS147" s="866">
        <f>VLOOKUP(BD147,$BD$4:$BN$12824,7,0)*BE147</f>
        <v>0</v>
      </c>
      <c r="BT147" s="866"/>
      <c r="BU147" s="866">
        <f>VLOOKUP(BD147,$BD$4:$BN$12824,9,0)*BE147</f>
        <v>0</v>
      </c>
      <c r="BV147" s="867"/>
      <c r="BW147" s="867">
        <f>VLOOKUP(BD147,$BD$4:$BN$12824,11,0)*BE147</f>
        <v>0</v>
      </c>
      <c r="BX147" s="1146">
        <f t="shared" si="33"/>
        <v>3978455.4076760844</v>
      </c>
      <c r="BY147" s="867">
        <f t="shared" si="31"/>
        <v>57557342.921361282</v>
      </c>
      <c r="BZ147" s="867">
        <f t="shared" si="29"/>
        <v>57557342.921361282</v>
      </c>
      <c r="CA147" s="867">
        <f>_xlfn.MAXIFS($BY$4:$BY$12824,$S$4:$S$12824,$S147)</f>
        <v>57557342.921361282</v>
      </c>
      <c r="CB147" s="1032"/>
      <c r="CF147" s="946">
        <f t="shared" si="30"/>
        <v>48416250.292699993</v>
      </c>
    </row>
    <row r="148" spans="1:84">
      <c r="A148" s="1032"/>
      <c r="B148" s="839" t="s">
        <v>98</v>
      </c>
      <c r="C148" s="839" t="s">
        <v>273</v>
      </c>
      <c r="D148" s="839" t="s">
        <v>545</v>
      </c>
      <c r="E148" s="839" t="s">
        <v>545</v>
      </c>
      <c r="F148" s="841">
        <v>44944</v>
      </c>
      <c r="G148" s="840" t="s">
        <v>273</v>
      </c>
      <c r="H148" s="842" t="s">
        <v>134</v>
      </c>
      <c r="I148" s="842"/>
      <c r="J148" s="841"/>
      <c r="K148" s="841"/>
      <c r="L148" s="843"/>
      <c r="M148" s="844" t="s">
        <v>275</v>
      </c>
      <c r="N148" s="841"/>
      <c r="O148" s="841" t="s">
        <v>150</v>
      </c>
      <c r="P148" s="841" t="s">
        <v>276</v>
      </c>
      <c r="Q148" s="843"/>
      <c r="R148" s="845" t="s">
        <v>574</v>
      </c>
      <c r="S148" s="1127" t="s">
        <v>574</v>
      </c>
      <c r="T148" s="843" t="s">
        <v>575</v>
      </c>
      <c r="U148" s="842">
        <v>1</v>
      </c>
      <c r="V148" s="842" t="s">
        <v>3</v>
      </c>
      <c r="W148" s="846"/>
      <c r="X148" s="847">
        <f t="shared" si="24"/>
        <v>0</v>
      </c>
      <c r="Y148" s="848"/>
      <c r="Z148" s="849">
        <v>452.96</v>
      </c>
      <c r="AA148" s="849"/>
      <c r="AB148" s="849">
        <f t="shared" si="25"/>
        <v>452.96</v>
      </c>
      <c r="AC148" s="850">
        <f t="shared" si="26"/>
        <v>452.96</v>
      </c>
      <c r="AD148" s="851"/>
      <c r="AE148" s="852">
        <v>25481.03</v>
      </c>
      <c r="AF148" s="853">
        <v>0.1</v>
      </c>
      <c r="AG148" s="854">
        <f t="shared" si="27"/>
        <v>1230714.4164841967</v>
      </c>
      <c r="AH148" s="853"/>
      <c r="AI148" s="855">
        <f t="shared" si="28"/>
        <v>0</v>
      </c>
      <c r="AJ148" s="845" t="s">
        <v>548</v>
      </c>
      <c r="AK148" s="857" t="s">
        <v>549</v>
      </c>
      <c r="AL148" s="840"/>
      <c r="AM148" s="840"/>
      <c r="AN148" s="858"/>
      <c r="AO148" s="844" t="s">
        <v>141</v>
      </c>
      <c r="AP148" s="859"/>
      <c r="AQ148" s="859" t="s">
        <v>550</v>
      </c>
      <c r="AR148" s="859"/>
      <c r="AS148" s="840"/>
      <c r="AT148" s="840"/>
      <c r="AU148" s="860"/>
      <c r="AV148" s="839" t="s">
        <v>551</v>
      </c>
      <c r="AW148" s="861">
        <v>45058</v>
      </c>
      <c r="AX148" s="862" t="s">
        <v>552</v>
      </c>
      <c r="AY148" s="843"/>
      <c r="AZ148" s="842"/>
      <c r="BA148" s="842" t="s">
        <v>120</v>
      </c>
      <c r="BB148" s="863" t="s">
        <v>121</v>
      </c>
      <c r="BC148" s="864">
        <v>45058</v>
      </c>
      <c r="BD148" s="860" t="s">
        <v>553</v>
      </c>
      <c r="BE148" s="865" cm="1">
        <f t="array" ref="BE148">IF(BD148="","",AC148/SUMPRODUCT(--(BD148=$BD$4:$BD$12824),$AC$4:$AC$12824))</f>
        <v>9.6651343502580749E-3</v>
      </c>
      <c r="BF148" s="458"/>
      <c r="BG148" s="458"/>
      <c r="BH148" s="458"/>
      <c r="BI148" s="458"/>
      <c r="BJ148" s="458"/>
      <c r="BK148" s="458"/>
      <c r="BL148" s="458"/>
      <c r="BM148" s="458"/>
      <c r="BN148" s="458"/>
      <c r="BO148" s="866">
        <f>VLOOKUP(BD148,$BD$4:$BN$12824,3,0)*BE148</f>
        <v>765256.81604196678</v>
      </c>
      <c r="BP148" s="866"/>
      <c r="BQ148" s="866"/>
      <c r="BR148" s="866">
        <f>VLOOKUP(BD148,$BD$4:$BN$12824,6,0)*BE148</f>
        <v>183162.02804487073</v>
      </c>
      <c r="BS148" s="866">
        <f>VLOOKUP(BD148,$BD$4:$BN$12824,7,0)*BE148</f>
        <v>0</v>
      </c>
      <c r="BT148" s="866"/>
      <c r="BU148" s="866">
        <f>VLOOKUP(BD148,$BD$4:$BN$12824,9,0)*BE148</f>
        <v>0</v>
      </c>
      <c r="BV148" s="867"/>
      <c r="BW148" s="867">
        <f>VLOOKUP(BD148,$BD$4:$BN$12824,11,0)*BE148</f>
        <v>0</v>
      </c>
      <c r="BX148" s="1146">
        <f t="shared" si="33"/>
        <v>948418.84408683749</v>
      </c>
      <c r="BY148" s="867">
        <f t="shared" si="31"/>
        <v>13721020.609371033</v>
      </c>
      <c r="BZ148" s="867">
        <f t="shared" si="29"/>
        <v>13721020.609371033</v>
      </c>
      <c r="CA148" s="867">
        <f>_xlfn.MAXIFS($BY$4:$BY$12824,$S$4:$S$12824,$S148)</f>
        <v>13721020.609371033</v>
      </c>
      <c r="CB148" s="1032"/>
      <c r="CF148" s="946">
        <f t="shared" si="30"/>
        <v>11541887.3488</v>
      </c>
    </row>
    <row r="149" spans="1:84">
      <c r="A149" s="1032"/>
      <c r="B149" s="839" t="s">
        <v>98</v>
      </c>
      <c r="C149" s="839" t="s">
        <v>273</v>
      </c>
      <c r="D149" s="839" t="s">
        <v>545</v>
      </c>
      <c r="E149" s="839" t="s">
        <v>545</v>
      </c>
      <c r="F149" s="841">
        <v>44944</v>
      </c>
      <c r="G149" s="840" t="s">
        <v>273</v>
      </c>
      <c r="H149" s="842" t="s">
        <v>134</v>
      </c>
      <c r="I149" s="842"/>
      <c r="J149" s="841"/>
      <c r="K149" s="841"/>
      <c r="L149" s="843"/>
      <c r="M149" s="844" t="s">
        <v>275</v>
      </c>
      <c r="N149" s="841"/>
      <c r="O149" s="841" t="s">
        <v>150</v>
      </c>
      <c r="P149" s="841" t="s">
        <v>276</v>
      </c>
      <c r="Q149" s="843"/>
      <c r="R149" s="845" t="s">
        <v>576</v>
      </c>
      <c r="S149" s="1127" t="s">
        <v>576</v>
      </c>
      <c r="T149" s="843" t="s">
        <v>577</v>
      </c>
      <c r="U149" s="842">
        <v>1</v>
      </c>
      <c r="V149" s="842" t="s">
        <v>3</v>
      </c>
      <c r="W149" s="846"/>
      <c r="X149" s="847">
        <f t="shared" si="24"/>
        <v>0</v>
      </c>
      <c r="Y149" s="848"/>
      <c r="Z149" s="849">
        <v>452.96</v>
      </c>
      <c r="AA149" s="849"/>
      <c r="AB149" s="849">
        <f t="shared" si="25"/>
        <v>452.96</v>
      </c>
      <c r="AC149" s="850">
        <f t="shared" si="26"/>
        <v>452.96</v>
      </c>
      <c r="AD149" s="851"/>
      <c r="AE149" s="852">
        <v>25481.03</v>
      </c>
      <c r="AF149" s="853">
        <v>0.1</v>
      </c>
      <c r="AG149" s="854">
        <f t="shared" si="27"/>
        <v>1230714.4164841967</v>
      </c>
      <c r="AH149" s="853"/>
      <c r="AI149" s="855">
        <f t="shared" si="28"/>
        <v>0</v>
      </c>
      <c r="AJ149" s="845" t="s">
        <v>548</v>
      </c>
      <c r="AK149" s="857" t="s">
        <v>549</v>
      </c>
      <c r="AL149" s="840"/>
      <c r="AM149" s="840"/>
      <c r="AN149" s="858"/>
      <c r="AO149" s="844" t="s">
        <v>141</v>
      </c>
      <c r="AP149" s="859"/>
      <c r="AQ149" s="859" t="s">
        <v>550</v>
      </c>
      <c r="AR149" s="859"/>
      <c r="AS149" s="840"/>
      <c r="AT149" s="840"/>
      <c r="AU149" s="860"/>
      <c r="AV149" s="839" t="s">
        <v>551</v>
      </c>
      <c r="AW149" s="861">
        <v>45058</v>
      </c>
      <c r="AX149" s="862" t="s">
        <v>552</v>
      </c>
      <c r="AY149" s="843"/>
      <c r="AZ149" s="842"/>
      <c r="BA149" s="842" t="s">
        <v>120</v>
      </c>
      <c r="BB149" s="863" t="s">
        <v>121</v>
      </c>
      <c r="BC149" s="864">
        <v>45058</v>
      </c>
      <c r="BD149" s="860" t="s">
        <v>553</v>
      </c>
      <c r="BE149" s="865" cm="1">
        <f t="array" ref="BE149">IF(BD149="","",AC149/SUMPRODUCT(--(BD149=$BD$4:$BD$12824),$AC$4:$AC$12824))</f>
        <v>9.6651343502580749E-3</v>
      </c>
      <c r="BF149" s="458"/>
      <c r="BG149" s="458"/>
      <c r="BH149" s="458"/>
      <c r="BI149" s="458"/>
      <c r="BJ149" s="458"/>
      <c r="BK149" s="458"/>
      <c r="BL149" s="458"/>
      <c r="BM149" s="458"/>
      <c r="BN149" s="458"/>
      <c r="BO149" s="866">
        <f>VLOOKUP(BD149,$BD$4:$BN$12824,3,0)*BE149</f>
        <v>765256.81604196678</v>
      </c>
      <c r="BP149" s="866"/>
      <c r="BQ149" s="866"/>
      <c r="BR149" s="866">
        <f>VLOOKUP(BD149,$BD$4:$BN$12824,6,0)*BE149</f>
        <v>183162.02804487073</v>
      </c>
      <c r="BS149" s="866">
        <f>VLOOKUP(BD149,$BD$4:$BN$12824,7,0)*BE149</f>
        <v>0</v>
      </c>
      <c r="BT149" s="866"/>
      <c r="BU149" s="866">
        <f>VLOOKUP(BD149,$BD$4:$BN$12824,9,0)*BE149</f>
        <v>0</v>
      </c>
      <c r="BV149" s="867"/>
      <c r="BW149" s="867">
        <f>VLOOKUP(BD149,$BD$4:$BN$12824,11,0)*BE149</f>
        <v>0</v>
      </c>
      <c r="BX149" s="1146">
        <f t="shared" si="33"/>
        <v>948418.84408683749</v>
      </c>
      <c r="BY149" s="867">
        <f t="shared" si="31"/>
        <v>13721020.609371033</v>
      </c>
      <c r="BZ149" s="867">
        <f t="shared" si="29"/>
        <v>13721020.609371033</v>
      </c>
      <c r="CA149" s="867">
        <f>_xlfn.MAXIFS($BY$4:$BY$12824,$S$4:$S$12824,$S149)</f>
        <v>13721020.609371033</v>
      </c>
      <c r="CB149" s="1032"/>
      <c r="CF149" s="946">
        <f t="shared" si="30"/>
        <v>11541887.3488</v>
      </c>
    </row>
    <row r="150" spans="1:84">
      <c r="A150" s="1032"/>
      <c r="B150" s="839" t="s">
        <v>98</v>
      </c>
      <c r="C150" s="839" t="s">
        <v>273</v>
      </c>
      <c r="D150" s="839" t="s">
        <v>545</v>
      </c>
      <c r="E150" s="839" t="s">
        <v>545</v>
      </c>
      <c r="F150" s="841">
        <v>44944</v>
      </c>
      <c r="G150" s="840" t="s">
        <v>273</v>
      </c>
      <c r="H150" s="842" t="s">
        <v>134</v>
      </c>
      <c r="I150" s="842"/>
      <c r="J150" s="841"/>
      <c r="K150" s="841"/>
      <c r="L150" s="843"/>
      <c r="M150" s="844" t="s">
        <v>275</v>
      </c>
      <c r="N150" s="841"/>
      <c r="O150" s="841" t="s">
        <v>150</v>
      </c>
      <c r="P150" s="841" t="s">
        <v>276</v>
      </c>
      <c r="Q150" s="843"/>
      <c r="R150" s="845" t="s">
        <v>578</v>
      </c>
      <c r="S150" s="1127" t="s">
        <v>578</v>
      </c>
      <c r="T150" s="843" t="s">
        <v>579</v>
      </c>
      <c r="U150" s="842">
        <v>1</v>
      </c>
      <c r="V150" s="842" t="s">
        <v>3</v>
      </c>
      <c r="W150" s="846"/>
      <c r="X150" s="847">
        <f t="shared" si="24"/>
        <v>0</v>
      </c>
      <c r="Y150" s="848"/>
      <c r="Z150" s="849">
        <v>452.96</v>
      </c>
      <c r="AA150" s="849"/>
      <c r="AB150" s="849">
        <f t="shared" si="25"/>
        <v>452.96</v>
      </c>
      <c r="AC150" s="850">
        <f t="shared" si="26"/>
        <v>452.96</v>
      </c>
      <c r="AD150" s="851"/>
      <c r="AE150" s="852">
        <v>25481.03</v>
      </c>
      <c r="AF150" s="853">
        <v>0.1</v>
      </c>
      <c r="AG150" s="854">
        <f t="shared" si="27"/>
        <v>1230714.4164841967</v>
      </c>
      <c r="AH150" s="853"/>
      <c r="AI150" s="855">
        <f t="shared" si="28"/>
        <v>0</v>
      </c>
      <c r="AJ150" s="845" t="s">
        <v>548</v>
      </c>
      <c r="AK150" s="857" t="s">
        <v>549</v>
      </c>
      <c r="AL150" s="840"/>
      <c r="AM150" s="840"/>
      <c r="AN150" s="858"/>
      <c r="AO150" s="844" t="s">
        <v>141</v>
      </c>
      <c r="AP150" s="859"/>
      <c r="AQ150" s="859" t="s">
        <v>550</v>
      </c>
      <c r="AR150" s="859"/>
      <c r="AS150" s="840"/>
      <c r="AT150" s="840"/>
      <c r="AU150" s="860"/>
      <c r="AV150" s="839" t="s">
        <v>551</v>
      </c>
      <c r="AW150" s="861">
        <v>45058</v>
      </c>
      <c r="AX150" s="862" t="s">
        <v>552</v>
      </c>
      <c r="AY150" s="843"/>
      <c r="AZ150" s="842"/>
      <c r="BA150" s="842" t="s">
        <v>120</v>
      </c>
      <c r="BB150" s="863" t="s">
        <v>121</v>
      </c>
      <c r="BC150" s="864">
        <v>45058</v>
      </c>
      <c r="BD150" s="860" t="s">
        <v>553</v>
      </c>
      <c r="BE150" s="865" cm="1">
        <f t="array" ref="BE150">IF(BD150="","",AC150/SUMPRODUCT(--(BD150=$BD$4:$BD$12824),$AC$4:$AC$12824))</f>
        <v>9.6651343502580749E-3</v>
      </c>
      <c r="BF150" s="458"/>
      <c r="BG150" s="458"/>
      <c r="BH150" s="458"/>
      <c r="BI150" s="458"/>
      <c r="BJ150" s="458"/>
      <c r="BK150" s="458"/>
      <c r="BL150" s="458"/>
      <c r="BM150" s="458"/>
      <c r="BN150" s="458"/>
      <c r="BO150" s="866">
        <f>VLOOKUP(BD150,$BD$4:$BN$12824,3,0)*BE150</f>
        <v>765256.81604196678</v>
      </c>
      <c r="BP150" s="866"/>
      <c r="BQ150" s="866"/>
      <c r="BR150" s="866">
        <f>VLOOKUP(BD150,$BD$4:$BN$12824,6,0)*BE150</f>
        <v>183162.02804487073</v>
      </c>
      <c r="BS150" s="866">
        <f>VLOOKUP(BD150,$BD$4:$BN$12824,7,0)*BE150</f>
        <v>0</v>
      </c>
      <c r="BT150" s="866"/>
      <c r="BU150" s="866">
        <f>VLOOKUP(BD150,$BD$4:$BN$12824,9,0)*BE150</f>
        <v>0</v>
      </c>
      <c r="BV150" s="867"/>
      <c r="BW150" s="867">
        <f>VLOOKUP(BD150,$BD$4:$BN$12824,11,0)*BE150</f>
        <v>0</v>
      </c>
      <c r="BX150" s="1146">
        <f t="shared" si="33"/>
        <v>948418.84408683749</v>
      </c>
      <c r="BY150" s="867">
        <f t="shared" si="31"/>
        <v>13721020.609371033</v>
      </c>
      <c r="BZ150" s="867">
        <f t="shared" si="29"/>
        <v>13721020.609371033</v>
      </c>
      <c r="CA150" s="867">
        <f>_xlfn.MAXIFS($BY$4:$BY$12824,$S$4:$S$12824,$S150)</f>
        <v>13721020.609371033</v>
      </c>
      <c r="CB150" s="1032"/>
      <c r="CF150" s="946">
        <f t="shared" si="30"/>
        <v>11541887.3488</v>
      </c>
    </row>
    <row r="151" spans="1:84">
      <c r="A151" s="1032"/>
      <c r="B151" s="839" t="s">
        <v>98</v>
      </c>
      <c r="C151" s="839" t="s">
        <v>273</v>
      </c>
      <c r="D151" s="839" t="s">
        <v>545</v>
      </c>
      <c r="E151" s="839" t="s">
        <v>545</v>
      </c>
      <c r="F151" s="841">
        <v>44944</v>
      </c>
      <c r="G151" s="840" t="s">
        <v>273</v>
      </c>
      <c r="H151" s="842" t="s">
        <v>134</v>
      </c>
      <c r="I151" s="842"/>
      <c r="J151" s="841"/>
      <c r="K151" s="841"/>
      <c r="L151" s="843"/>
      <c r="M151" s="844" t="s">
        <v>275</v>
      </c>
      <c r="N151" s="841"/>
      <c r="O151" s="841" t="s">
        <v>150</v>
      </c>
      <c r="P151" s="841" t="s">
        <v>276</v>
      </c>
      <c r="Q151" s="843"/>
      <c r="R151" s="845" t="s">
        <v>580</v>
      </c>
      <c r="S151" s="1127" t="s">
        <v>580</v>
      </c>
      <c r="T151" s="843" t="s">
        <v>581</v>
      </c>
      <c r="U151" s="842">
        <v>1</v>
      </c>
      <c r="V151" s="842" t="s">
        <v>3</v>
      </c>
      <c r="W151" s="846"/>
      <c r="X151" s="847">
        <f t="shared" si="24"/>
        <v>0</v>
      </c>
      <c r="Y151" s="848"/>
      <c r="Z151" s="849">
        <v>452.96</v>
      </c>
      <c r="AA151" s="849"/>
      <c r="AB151" s="849">
        <f t="shared" si="25"/>
        <v>452.96</v>
      </c>
      <c r="AC151" s="850">
        <f t="shared" si="26"/>
        <v>452.96</v>
      </c>
      <c r="AD151" s="851"/>
      <c r="AE151" s="852">
        <v>25481.03</v>
      </c>
      <c r="AF151" s="853">
        <v>0.1</v>
      </c>
      <c r="AG151" s="854">
        <f t="shared" si="27"/>
        <v>1230714.4164841967</v>
      </c>
      <c r="AH151" s="853"/>
      <c r="AI151" s="855">
        <f t="shared" si="28"/>
        <v>0</v>
      </c>
      <c r="AJ151" s="845" t="s">
        <v>548</v>
      </c>
      <c r="AK151" s="857" t="s">
        <v>549</v>
      </c>
      <c r="AL151" s="840"/>
      <c r="AM151" s="840"/>
      <c r="AN151" s="858"/>
      <c r="AO151" s="844" t="s">
        <v>141</v>
      </c>
      <c r="AP151" s="859"/>
      <c r="AQ151" s="859" t="s">
        <v>550</v>
      </c>
      <c r="AR151" s="859"/>
      <c r="AS151" s="840"/>
      <c r="AT151" s="840"/>
      <c r="AU151" s="860"/>
      <c r="AV151" s="839" t="s">
        <v>551</v>
      </c>
      <c r="AW151" s="861">
        <v>45058</v>
      </c>
      <c r="AX151" s="862" t="s">
        <v>552</v>
      </c>
      <c r="AY151" s="843"/>
      <c r="AZ151" s="842"/>
      <c r="BA151" s="842" t="s">
        <v>120</v>
      </c>
      <c r="BB151" s="863" t="s">
        <v>121</v>
      </c>
      <c r="BC151" s="864">
        <v>45058</v>
      </c>
      <c r="BD151" s="860" t="s">
        <v>553</v>
      </c>
      <c r="BE151" s="865" cm="1">
        <f t="array" ref="BE151">IF(BD151="","",AC151/SUMPRODUCT(--(BD151=$BD$4:$BD$12824),$AC$4:$AC$12824))</f>
        <v>9.6651343502580749E-3</v>
      </c>
      <c r="BF151" s="458"/>
      <c r="BG151" s="458"/>
      <c r="BH151" s="458"/>
      <c r="BI151" s="458"/>
      <c r="BJ151" s="458"/>
      <c r="BK151" s="458"/>
      <c r="BL151" s="458"/>
      <c r="BM151" s="458"/>
      <c r="BN151" s="458"/>
      <c r="BO151" s="866">
        <f>VLOOKUP(BD151,$BD$4:$BN$12824,3,0)*BE151</f>
        <v>765256.81604196678</v>
      </c>
      <c r="BP151" s="866"/>
      <c r="BQ151" s="866"/>
      <c r="BR151" s="866">
        <f>VLOOKUP(BD151,$BD$4:$BN$12824,6,0)*BE151</f>
        <v>183162.02804487073</v>
      </c>
      <c r="BS151" s="866">
        <f>VLOOKUP(BD151,$BD$4:$BN$12824,7,0)*BE151</f>
        <v>0</v>
      </c>
      <c r="BT151" s="866"/>
      <c r="BU151" s="866">
        <f>VLOOKUP(BD151,$BD$4:$BN$12824,9,0)*BE151</f>
        <v>0</v>
      </c>
      <c r="BV151" s="867"/>
      <c r="BW151" s="867">
        <f>VLOOKUP(BD151,$BD$4:$BN$12824,11,0)*BE151</f>
        <v>0</v>
      </c>
      <c r="BX151" s="1146">
        <f t="shared" si="33"/>
        <v>948418.84408683749</v>
      </c>
      <c r="BY151" s="867">
        <f t="shared" si="31"/>
        <v>13721020.609371033</v>
      </c>
      <c r="BZ151" s="867">
        <f t="shared" si="29"/>
        <v>13721020.609371033</v>
      </c>
      <c r="CA151" s="867">
        <f>_xlfn.MAXIFS($BY$4:$BY$12824,$S$4:$S$12824,$S151)</f>
        <v>13721020.609371033</v>
      </c>
      <c r="CB151" s="1032"/>
      <c r="CF151" s="946">
        <f t="shared" si="30"/>
        <v>11541887.3488</v>
      </c>
    </row>
    <row r="152" spans="1:84">
      <c r="A152" s="1032"/>
      <c r="B152" s="839" t="s">
        <v>98</v>
      </c>
      <c r="C152" s="839" t="s">
        <v>273</v>
      </c>
      <c r="D152" s="839" t="s">
        <v>545</v>
      </c>
      <c r="E152" s="839" t="s">
        <v>545</v>
      </c>
      <c r="F152" s="841">
        <v>44944</v>
      </c>
      <c r="G152" s="840" t="s">
        <v>273</v>
      </c>
      <c r="H152" s="842" t="s">
        <v>134</v>
      </c>
      <c r="I152" s="842"/>
      <c r="J152" s="841"/>
      <c r="K152" s="841"/>
      <c r="L152" s="843"/>
      <c r="M152" s="844" t="s">
        <v>275</v>
      </c>
      <c r="N152" s="841"/>
      <c r="O152" s="841" t="s">
        <v>150</v>
      </c>
      <c r="P152" s="841" t="s">
        <v>276</v>
      </c>
      <c r="Q152" s="843"/>
      <c r="R152" s="845" t="s">
        <v>582</v>
      </c>
      <c r="S152" s="1127" t="s">
        <v>582</v>
      </c>
      <c r="T152" s="843" t="s">
        <v>583</v>
      </c>
      <c r="U152" s="842">
        <v>1</v>
      </c>
      <c r="V152" s="842" t="s">
        <v>3</v>
      </c>
      <c r="W152" s="846"/>
      <c r="X152" s="847">
        <f t="shared" si="24"/>
        <v>0</v>
      </c>
      <c r="Y152" s="848"/>
      <c r="Z152" s="849">
        <v>452.94</v>
      </c>
      <c r="AA152" s="849"/>
      <c r="AB152" s="849">
        <f t="shared" si="25"/>
        <v>452.94</v>
      </c>
      <c r="AC152" s="850">
        <f t="shared" si="26"/>
        <v>452.94</v>
      </c>
      <c r="AD152" s="851"/>
      <c r="AE152" s="852">
        <v>25481.03</v>
      </c>
      <c r="AF152" s="853">
        <v>0.1</v>
      </c>
      <c r="AG152" s="854">
        <f t="shared" si="27"/>
        <v>1230660.0755085484</v>
      </c>
      <c r="AH152" s="853"/>
      <c r="AI152" s="855">
        <f t="shared" si="28"/>
        <v>0</v>
      </c>
      <c r="AJ152" s="845" t="s">
        <v>548</v>
      </c>
      <c r="AK152" s="857" t="s">
        <v>549</v>
      </c>
      <c r="AL152" s="840"/>
      <c r="AM152" s="840"/>
      <c r="AN152" s="858"/>
      <c r="AO152" s="844" t="s">
        <v>141</v>
      </c>
      <c r="AP152" s="859"/>
      <c r="AQ152" s="859" t="s">
        <v>550</v>
      </c>
      <c r="AR152" s="859"/>
      <c r="AS152" s="840"/>
      <c r="AT152" s="840"/>
      <c r="AU152" s="860"/>
      <c r="AV152" s="839" t="s">
        <v>551</v>
      </c>
      <c r="AW152" s="861">
        <v>45058</v>
      </c>
      <c r="AX152" s="862" t="s">
        <v>552</v>
      </c>
      <c r="AY152" s="843"/>
      <c r="AZ152" s="842"/>
      <c r="BA152" s="842" t="s">
        <v>120</v>
      </c>
      <c r="BB152" s="863" t="s">
        <v>121</v>
      </c>
      <c r="BC152" s="864">
        <v>45058</v>
      </c>
      <c r="BD152" s="860" t="s">
        <v>553</v>
      </c>
      <c r="BE152" s="865" cm="1">
        <f t="array" ref="BE152">IF(BD152="","",AC152/SUMPRODUCT(--(BD152=$BD$4:$BD$12824),$AC$4:$AC$12824))</f>
        <v>9.6647075958272086E-3</v>
      </c>
      <c r="BF152" s="458"/>
      <c r="BG152" s="458"/>
      <c r="BH152" s="458"/>
      <c r="BI152" s="458"/>
      <c r="BJ152" s="458"/>
      <c r="BK152" s="458"/>
      <c r="BL152" s="458"/>
      <c r="BM152" s="458"/>
      <c r="BN152" s="458"/>
      <c r="BO152" s="866">
        <f>VLOOKUP(BD152,$BD$4:$BN$12824,3,0)*BE152</f>
        <v>765223.02688548306</v>
      </c>
      <c r="BP152" s="866"/>
      <c r="BQ152" s="866"/>
      <c r="BR152" s="866">
        <f>VLOOKUP(BD152,$BD$4:$BN$12824,6,0)*BE152</f>
        <v>183153.94070700227</v>
      </c>
      <c r="BS152" s="866">
        <f>VLOOKUP(BD152,$BD$4:$BN$12824,7,0)*BE152</f>
        <v>0</v>
      </c>
      <c r="BT152" s="866"/>
      <c r="BU152" s="866">
        <f>VLOOKUP(BD152,$BD$4:$BN$12824,9,0)*BE152</f>
        <v>0</v>
      </c>
      <c r="BV152" s="867"/>
      <c r="BW152" s="867">
        <f>VLOOKUP(BD152,$BD$4:$BN$12824,11,0)*BE152</f>
        <v>0</v>
      </c>
      <c r="BX152" s="1146">
        <f t="shared" si="33"/>
        <v>948376.96759248537</v>
      </c>
      <c r="BY152" s="867">
        <f t="shared" si="31"/>
        <v>13720414.771301033</v>
      </c>
      <c r="BZ152" s="867">
        <f t="shared" si="29"/>
        <v>13720414.771301033</v>
      </c>
      <c r="CA152" s="867">
        <f>_xlfn.MAXIFS($BY$4:$BY$12824,$S$4:$S$12824,$S152)</f>
        <v>13720414.771301033</v>
      </c>
      <c r="CB152" s="1032"/>
      <c r="CF152" s="946">
        <f t="shared" si="30"/>
        <v>11541377.7282</v>
      </c>
    </row>
    <row r="153" spans="1:84">
      <c r="A153" s="1032"/>
      <c r="B153" s="839" t="s">
        <v>98</v>
      </c>
      <c r="C153" s="839" t="s">
        <v>273</v>
      </c>
      <c r="D153" s="839" t="s">
        <v>545</v>
      </c>
      <c r="E153" s="839" t="s">
        <v>545</v>
      </c>
      <c r="F153" s="841">
        <v>44944</v>
      </c>
      <c r="G153" s="840" t="s">
        <v>273</v>
      </c>
      <c r="H153" s="842" t="s">
        <v>134</v>
      </c>
      <c r="I153" s="842"/>
      <c r="J153" s="841"/>
      <c r="K153" s="841"/>
      <c r="L153" s="843"/>
      <c r="M153" s="844" t="s">
        <v>275</v>
      </c>
      <c r="N153" s="841"/>
      <c r="O153" s="841" t="s">
        <v>150</v>
      </c>
      <c r="P153" s="841" t="s">
        <v>276</v>
      </c>
      <c r="Q153" s="843"/>
      <c r="R153" s="845" t="s">
        <v>584</v>
      </c>
      <c r="S153" s="1127" t="s">
        <v>584</v>
      </c>
      <c r="T153" s="843" t="s">
        <v>585</v>
      </c>
      <c r="U153" s="842">
        <v>5</v>
      </c>
      <c r="V153" s="842" t="s">
        <v>3</v>
      </c>
      <c r="W153" s="846"/>
      <c r="X153" s="847">
        <f t="shared" si="24"/>
        <v>0</v>
      </c>
      <c r="Y153" s="848"/>
      <c r="Z153" s="849">
        <v>320.56799999999998</v>
      </c>
      <c r="AA153" s="849"/>
      <c r="AB153" s="849">
        <f t="shared" si="25"/>
        <v>1602.84</v>
      </c>
      <c r="AC153" s="850">
        <f t="shared" si="26"/>
        <v>1602.84</v>
      </c>
      <c r="AD153" s="851"/>
      <c r="AE153" s="852">
        <v>25481.03</v>
      </c>
      <c r="AF153" s="853">
        <v>0.1</v>
      </c>
      <c r="AG153" s="854">
        <f t="shared" si="27"/>
        <v>4354994.4704113603</v>
      </c>
      <c r="AH153" s="853"/>
      <c r="AI153" s="855">
        <f t="shared" si="28"/>
        <v>0</v>
      </c>
      <c r="AJ153" s="845" t="s">
        <v>548</v>
      </c>
      <c r="AK153" s="857" t="s">
        <v>549</v>
      </c>
      <c r="AL153" s="840"/>
      <c r="AM153" s="840"/>
      <c r="AN153" s="858"/>
      <c r="AO153" s="844" t="s">
        <v>141</v>
      </c>
      <c r="AP153" s="859"/>
      <c r="AQ153" s="859" t="s">
        <v>550</v>
      </c>
      <c r="AR153" s="859"/>
      <c r="AS153" s="840"/>
      <c r="AT153" s="840"/>
      <c r="AU153" s="860"/>
      <c r="AV153" s="839" t="s">
        <v>551</v>
      </c>
      <c r="AW153" s="861">
        <v>45058</v>
      </c>
      <c r="AX153" s="862" t="s">
        <v>552</v>
      </c>
      <c r="AY153" s="843"/>
      <c r="AZ153" s="842"/>
      <c r="BA153" s="842" t="s">
        <v>120</v>
      </c>
      <c r="BB153" s="863" t="s">
        <v>121</v>
      </c>
      <c r="BC153" s="864">
        <v>45058</v>
      </c>
      <c r="BD153" s="860" t="s">
        <v>553</v>
      </c>
      <c r="BE153" s="865" cm="1">
        <f t="array" ref="BE153">IF(BD153="","",AC153/SUMPRODUCT(--(BD153=$BD$4:$BD$12824),$AC$4:$AC$12824))</f>
        <v>3.4200953598480334E-2</v>
      </c>
      <c r="BF153" s="458"/>
      <c r="BG153" s="458"/>
      <c r="BH153" s="458"/>
      <c r="BI153" s="458"/>
      <c r="BJ153" s="458"/>
      <c r="BK153" s="458"/>
      <c r="BL153" s="458"/>
      <c r="BM153" s="458"/>
      <c r="BN153" s="458"/>
      <c r="BO153" s="866">
        <f>VLOOKUP(BD153,$BD$4:$BN$12824,3,0)*BE153</f>
        <v>2707930.5789136039</v>
      </c>
      <c r="BP153" s="866"/>
      <c r="BQ153" s="866"/>
      <c r="BR153" s="866">
        <f>VLOOKUP(BD153,$BD$4:$BN$12824,6,0)*BE153</f>
        <v>648135.43145408109</v>
      </c>
      <c r="BS153" s="866">
        <f>VLOOKUP(BD153,$BD$4:$BN$12824,7,0)*BE153</f>
        <v>0</v>
      </c>
      <c r="BT153" s="866"/>
      <c r="BU153" s="866">
        <f>VLOOKUP(BD153,$BD$4:$BN$12824,9,0)*BE153</f>
        <v>0</v>
      </c>
      <c r="BV153" s="867"/>
      <c r="BW153" s="867">
        <f>VLOOKUP(BD153,$BD$4:$BN$12824,11,0)*BE153</f>
        <v>0</v>
      </c>
      <c r="BX153" s="1146">
        <f t="shared" si="33"/>
        <v>3356066.010367685</v>
      </c>
      <c r="BY153" s="867">
        <f t="shared" si="31"/>
        <v>9710614.9211958088</v>
      </c>
      <c r="BZ153" s="867">
        <f t="shared" si="29"/>
        <v>48553074.60597904</v>
      </c>
      <c r="CA153" s="867">
        <f>_xlfn.MAXIFS($BY$4:$BY$12824,$S$4:$S$12824,$S153)</f>
        <v>9710614.9211958088</v>
      </c>
      <c r="CB153" s="1032"/>
      <c r="CF153" s="946">
        <f t="shared" si="30"/>
        <v>40842014.125199996</v>
      </c>
    </row>
    <row r="154" spans="1:84">
      <c r="A154" s="1032"/>
      <c r="B154" s="839" t="s">
        <v>98</v>
      </c>
      <c r="C154" s="839" t="s">
        <v>273</v>
      </c>
      <c r="D154" s="839" t="s">
        <v>545</v>
      </c>
      <c r="E154" s="839" t="s">
        <v>545</v>
      </c>
      <c r="F154" s="841">
        <v>44944</v>
      </c>
      <c r="G154" s="840" t="s">
        <v>273</v>
      </c>
      <c r="H154" s="842" t="s">
        <v>134</v>
      </c>
      <c r="I154" s="842"/>
      <c r="J154" s="841"/>
      <c r="K154" s="841"/>
      <c r="L154" s="843"/>
      <c r="M154" s="844" t="s">
        <v>275</v>
      </c>
      <c r="N154" s="841"/>
      <c r="O154" s="841" t="s">
        <v>150</v>
      </c>
      <c r="P154" s="841" t="s">
        <v>276</v>
      </c>
      <c r="Q154" s="843"/>
      <c r="R154" s="845" t="s">
        <v>586</v>
      </c>
      <c r="S154" s="1127" t="s">
        <v>586</v>
      </c>
      <c r="T154" s="843" t="s">
        <v>587</v>
      </c>
      <c r="U154" s="842">
        <v>5</v>
      </c>
      <c r="V154" s="842" t="s">
        <v>3</v>
      </c>
      <c r="W154" s="846"/>
      <c r="X154" s="847">
        <f t="shared" si="24"/>
        <v>0</v>
      </c>
      <c r="Y154" s="848"/>
      <c r="Z154" s="849">
        <v>320.56799999999998</v>
      </c>
      <c r="AA154" s="849"/>
      <c r="AB154" s="849">
        <f t="shared" si="25"/>
        <v>1602.84</v>
      </c>
      <c r="AC154" s="850">
        <f t="shared" si="26"/>
        <v>1602.84</v>
      </c>
      <c r="AD154" s="851"/>
      <c r="AE154" s="852">
        <v>25481.03</v>
      </c>
      <c r="AF154" s="853">
        <v>0.1</v>
      </c>
      <c r="AG154" s="854">
        <f t="shared" si="27"/>
        <v>4354994.4704113603</v>
      </c>
      <c r="AH154" s="853"/>
      <c r="AI154" s="855">
        <f t="shared" si="28"/>
        <v>0</v>
      </c>
      <c r="AJ154" s="845" t="s">
        <v>548</v>
      </c>
      <c r="AK154" s="857" t="s">
        <v>549</v>
      </c>
      <c r="AL154" s="840"/>
      <c r="AM154" s="840"/>
      <c r="AN154" s="858"/>
      <c r="AO154" s="844" t="s">
        <v>141</v>
      </c>
      <c r="AP154" s="859"/>
      <c r="AQ154" s="859" t="s">
        <v>550</v>
      </c>
      <c r="AR154" s="859"/>
      <c r="AS154" s="840"/>
      <c r="AT154" s="840"/>
      <c r="AU154" s="860"/>
      <c r="AV154" s="839" t="s">
        <v>551</v>
      </c>
      <c r="AW154" s="861">
        <v>45058</v>
      </c>
      <c r="AX154" s="862" t="s">
        <v>552</v>
      </c>
      <c r="AY154" s="843"/>
      <c r="AZ154" s="842"/>
      <c r="BA154" s="842" t="s">
        <v>120</v>
      </c>
      <c r="BB154" s="863" t="s">
        <v>121</v>
      </c>
      <c r="BC154" s="864">
        <v>45058</v>
      </c>
      <c r="BD154" s="860" t="s">
        <v>553</v>
      </c>
      <c r="BE154" s="865" cm="1">
        <f t="array" ref="BE154">IF(BD154="","",AC154/SUMPRODUCT(--(BD154=$BD$4:$BD$12824),$AC$4:$AC$12824))</f>
        <v>3.4200953598480334E-2</v>
      </c>
      <c r="BF154" s="458"/>
      <c r="BG154" s="458"/>
      <c r="BH154" s="458"/>
      <c r="BI154" s="458"/>
      <c r="BJ154" s="458"/>
      <c r="BK154" s="458"/>
      <c r="BL154" s="458"/>
      <c r="BM154" s="458"/>
      <c r="BN154" s="458"/>
      <c r="BO154" s="866">
        <f>VLOOKUP(BD154,$BD$4:$BN$12824,3,0)*BE154</f>
        <v>2707930.5789136039</v>
      </c>
      <c r="BP154" s="866"/>
      <c r="BQ154" s="866"/>
      <c r="BR154" s="866">
        <f>VLOOKUP(BD154,$BD$4:$BN$12824,6,0)*BE154</f>
        <v>648135.43145408109</v>
      </c>
      <c r="BS154" s="866">
        <f>VLOOKUP(BD154,$BD$4:$BN$12824,7,0)*BE154</f>
        <v>0</v>
      </c>
      <c r="BT154" s="866"/>
      <c r="BU154" s="866">
        <f>VLOOKUP(BD154,$BD$4:$BN$12824,9,0)*BE154</f>
        <v>0</v>
      </c>
      <c r="BV154" s="867"/>
      <c r="BW154" s="867">
        <f>VLOOKUP(BD154,$BD$4:$BN$12824,11,0)*BE154</f>
        <v>0</v>
      </c>
      <c r="BX154" s="1146">
        <f t="shared" si="33"/>
        <v>3356066.010367685</v>
      </c>
      <c r="BY154" s="867">
        <f t="shared" si="31"/>
        <v>9710614.9211958088</v>
      </c>
      <c r="BZ154" s="867">
        <f t="shared" si="29"/>
        <v>48553074.60597904</v>
      </c>
      <c r="CA154" s="867">
        <f>_xlfn.MAXIFS($BY$4:$BY$12824,$S$4:$S$12824,$S154)</f>
        <v>9710614.9211958088</v>
      </c>
      <c r="CB154" s="1032"/>
      <c r="CF154" s="946">
        <f t="shared" si="30"/>
        <v>40842014.125199996</v>
      </c>
    </row>
    <row r="155" spans="1:84">
      <c r="A155" s="1032"/>
      <c r="B155" s="839" t="s">
        <v>98</v>
      </c>
      <c r="C155" s="839" t="s">
        <v>273</v>
      </c>
      <c r="D155" s="839" t="s">
        <v>545</v>
      </c>
      <c r="E155" s="839" t="s">
        <v>545</v>
      </c>
      <c r="F155" s="841">
        <v>44944</v>
      </c>
      <c r="G155" s="840" t="s">
        <v>273</v>
      </c>
      <c r="H155" s="842" t="s">
        <v>134</v>
      </c>
      <c r="I155" s="842"/>
      <c r="J155" s="841"/>
      <c r="K155" s="841"/>
      <c r="L155" s="843"/>
      <c r="M155" s="844" t="s">
        <v>275</v>
      </c>
      <c r="N155" s="841"/>
      <c r="O155" s="841" t="s">
        <v>150</v>
      </c>
      <c r="P155" s="841" t="s">
        <v>276</v>
      </c>
      <c r="Q155" s="843"/>
      <c r="R155" s="845" t="s">
        <v>588</v>
      </c>
      <c r="S155" s="1127" t="s">
        <v>588</v>
      </c>
      <c r="T155" s="843" t="s">
        <v>589</v>
      </c>
      <c r="U155" s="842">
        <v>5</v>
      </c>
      <c r="V155" s="842" t="s">
        <v>3</v>
      </c>
      <c r="W155" s="846"/>
      <c r="X155" s="847">
        <f t="shared" si="24"/>
        <v>0</v>
      </c>
      <c r="Y155" s="848"/>
      <c r="Z155" s="849">
        <v>320.56799999999998</v>
      </c>
      <c r="AA155" s="849"/>
      <c r="AB155" s="849">
        <f t="shared" si="25"/>
        <v>1602.84</v>
      </c>
      <c r="AC155" s="850">
        <f t="shared" si="26"/>
        <v>1602.84</v>
      </c>
      <c r="AD155" s="851"/>
      <c r="AE155" s="852">
        <v>25481.03</v>
      </c>
      <c r="AF155" s="853">
        <v>0.1</v>
      </c>
      <c r="AG155" s="854">
        <f t="shared" si="27"/>
        <v>4354994.4704113603</v>
      </c>
      <c r="AH155" s="853"/>
      <c r="AI155" s="855">
        <f t="shared" si="28"/>
        <v>0</v>
      </c>
      <c r="AJ155" s="845" t="s">
        <v>548</v>
      </c>
      <c r="AK155" s="857" t="s">
        <v>549</v>
      </c>
      <c r="AL155" s="840"/>
      <c r="AM155" s="840"/>
      <c r="AN155" s="858"/>
      <c r="AO155" s="844" t="s">
        <v>141</v>
      </c>
      <c r="AP155" s="859"/>
      <c r="AQ155" s="859" t="s">
        <v>550</v>
      </c>
      <c r="AR155" s="859"/>
      <c r="AS155" s="840"/>
      <c r="AT155" s="840"/>
      <c r="AU155" s="860"/>
      <c r="AV155" s="839" t="s">
        <v>551</v>
      </c>
      <c r="AW155" s="861">
        <v>45058</v>
      </c>
      <c r="AX155" s="862" t="s">
        <v>552</v>
      </c>
      <c r="AY155" s="843"/>
      <c r="AZ155" s="842"/>
      <c r="BA155" s="842" t="s">
        <v>120</v>
      </c>
      <c r="BB155" s="863" t="s">
        <v>121</v>
      </c>
      <c r="BC155" s="864">
        <v>45058</v>
      </c>
      <c r="BD155" s="860" t="s">
        <v>553</v>
      </c>
      <c r="BE155" s="865" cm="1">
        <f t="array" ref="BE155">IF(BD155="","",AC155/SUMPRODUCT(--(BD155=$BD$4:$BD$12824),$AC$4:$AC$12824))</f>
        <v>3.4200953598480334E-2</v>
      </c>
      <c r="BF155" s="458"/>
      <c r="BG155" s="458"/>
      <c r="BH155" s="458"/>
      <c r="BI155" s="458"/>
      <c r="BJ155" s="458"/>
      <c r="BK155" s="458"/>
      <c r="BL155" s="458"/>
      <c r="BM155" s="458"/>
      <c r="BN155" s="458"/>
      <c r="BO155" s="866">
        <f>VLOOKUP(BD155,$BD$4:$BN$12824,3,0)*BE155</f>
        <v>2707930.5789136039</v>
      </c>
      <c r="BP155" s="866"/>
      <c r="BQ155" s="866"/>
      <c r="BR155" s="866">
        <f>VLOOKUP(BD155,$BD$4:$BN$12824,6,0)*BE155</f>
        <v>648135.43145408109</v>
      </c>
      <c r="BS155" s="866">
        <f>VLOOKUP(BD155,$BD$4:$BN$12824,7,0)*BE155</f>
        <v>0</v>
      </c>
      <c r="BT155" s="866"/>
      <c r="BU155" s="866">
        <f>VLOOKUP(BD155,$BD$4:$BN$12824,9,0)*BE155</f>
        <v>0</v>
      </c>
      <c r="BV155" s="867"/>
      <c r="BW155" s="867">
        <f>VLOOKUP(BD155,$BD$4:$BN$12824,11,0)*BE155</f>
        <v>0</v>
      </c>
      <c r="BX155" s="1146">
        <f t="shared" si="33"/>
        <v>3356066.010367685</v>
      </c>
      <c r="BY155" s="867">
        <f t="shared" si="31"/>
        <v>9710614.9211958088</v>
      </c>
      <c r="BZ155" s="867">
        <f t="shared" si="29"/>
        <v>48553074.60597904</v>
      </c>
      <c r="CA155" s="867">
        <f>_xlfn.MAXIFS($BY$4:$BY$12824,$S$4:$S$12824,$S155)</f>
        <v>9710614.9211958088</v>
      </c>
      <c r="CB155" s="1032"/>
      <c r="CF155" s="946">
        <f t="shared" si="30"/>
        <v>40842014.125199996</v>
      </c>
    </row>
    <row r="156" spans="1:84">
      <c r="A156" s="1032"/>
      <c r="B156" s="839" t="s">
        <v>98</v>
      </c>
      <c r="C156" s="839" t="s">
        <v>273</v>
      </c>
      <c r="D156" s="839" t="s">
        <v>545</v>
      </c>
      <c r="E156" s="839" t="s">
        <v>545</v>
      </c>
      <c r="F156" s="841">
        <v>44944</v>
      </c>
      <c r="G156" s="840" t="s">
        <v>273</v>
      </c>
      <c r="H156" s="842" t="s">
        <v>134</v>
      </c>
      <c r="I156" s="842"/>
      <c r="J156" s="841"/>
      <c r="K156" s="841"/>
      <c r="L156" s="843"/>
      <c r="M156" s="844" t="s">
        <v>275</v>
      </c>
      <c r="N156" s="841"/>
      <c r="O156" s="841" t="s">
        <v>150</v>
      </c>
      <c r="P156" s="841" t="s">
        <v>276</v>
      </c>
      <c r="Q156" s="843"/>
      <c r="R156" s="845" t="s">
        <v>590</v>
      </c>
      <c r="S156" s="1127" t="s">
        <v>590</v>
      </c>
      <c r="T156" s="843" t="s">
        <v>591</v>
      </c>
      <c r="U156" s="842">
        <v>5</v>
      </c>
      <c r="V156" s="842" t="s">
        <v>3</v>
      </c>
      <c r="W156" s="846"/>
      <c r="X156" s="847">
        <f t="shared" si="24"/>
        <v>0</v>
      </c>
      <c r="Y156" s="848"/>
      <c r="Z156" s="849">
        <v>320.56799999999998</v>
      </c>
      <c r="AA156" s="849"/>
      <c r="AB156" s="849">
        <f t="shared" si="25"/>
        <v>1602.84</v>
      </c>
      <c r="AC156" s="850">
        <f t="shared" si="26"/>
        <v>1602.84</v>
      </c>
      <c r="AD156" s="851"/>
      <c r="AE156" s="852">
        <v>25481.03</v>
      </c>
      <c r="AF156" s="853">
        <v>0.1</v>
      </c>
      <c r="AG156" s="854">
        <f t="shared" si="27"/>
        <v>4354994.4704113603</v>
      </c>
      <c r="AH156" s="853"/>
      <c r="AI156" s="855">
        <f t="shared" si="28"/>
        <v>0</v>
      </c>
      <c r="AJ156" s="845" t="s">
        <v>548</v>
      </c>
      <c r="AK156" s="857" t="s">
        <v>549</v>
      </c>
      <c r="AL156" s="840"/>
      <c r="AM156" s="840"/>
      <c r="AN156" s="858"/>
      <c r="AO156" s="844" t="s">
        <v>141</v>
      </c>
      <c r="AP156" s="859"/>
      <c r="AQ156" s="859" t="s">
        <v>550</v>
      </c>
      <c r="AR156" s="859"/>
      <c r="AS156" s="840"/>
      <c r="AT156" s="840"/>
      <c r="AU156" s="860"/>
      <c r="AV156" s="839" t="s">
        <v>551</v>
      </c>
      <c r="AW156" s="861">
        <v>45058</v>
      </c>
      <c r="AX156" s="862" t="s">
        <v>552</v>
      </c>
      <c r="AY156" s="843"/>
      <c r="AZ156" s="842"/>
      <c r="BA156" s="842" t="s">
        <v>120</v>
      </c>
      <c r="BB156" s="863" t="s">
        <v>121</v>
      </c>
      <c r="BC156" s="864">
        <v>45058</v>
      </c>
      <c r="BD156" s="860" t="s">
        <v>553</v>
      </c>
      <c r="BE156" s="865" cm="1">
        <f t="array" ref="BE156">IF(BD156="","",AC156/SUMPRODUCT(--(BD156=$BD$4:$BD$12824),$AC$4:$AC$12824))</f>
        <v>3.4200953598480334E-2</v>
      </c>
      <c r="BF156" s="458"/>
      <c r="BG156" s="458"/>
      <c r="BH156" s="458"/>
      <c r="BI156" s="458"/>
      <c r="BJ156" s="458"/>
      <c r="BK156" s="458"/>
      <c r="BL156" s="458"/>
      <c r="BM156" s="458"/>
      <c r="BN156" s="458"/>
      <c r="BO156" s="866">
        <f>VLOOKUP(BD156,$BD$4:$BN$12824,3,0)*BE156</f>
        <v>2707930.5789136039</v>
      </c>
      <c r="BP156" s="866"/>
      <c r="BQ156" s="866"/>
      <c r="BR156" s="866">
        <f>VLOOKUP(BD156,$BD$4:$BN$12824,6,0)*BE156</f>
        <v>648135.43145408109</v>
      </c>
      <c r="BS156" s="866">
        <f>VLOOKUP(BD156,$BD$4:$BN$12824,7,0)*BE156</f>
        <v>0</v>
      </c>
      <c r="BT156" s="866"/>
      <c r="BU156" s="866">
        <f>VLOOKUP(BD156,$BD$4:$BN$12824,9,0)*BE156</f>
        <v>0</v>
      </c>
      <c r="BV156" s="867"/>
      <c r="BW156" s="867">
        <f>VLOOKUP(BD156,$BD$4:$BN$12824,11,0)*BE156</f>
        <v>0</v>
      </c>
      <c r="BX156" s="1146">
        <f t="shared" si="33"/>
        <v>3356066.010367685</v>
      </c>
      <c r="BY156" s="867">
        <f t="shared" si="31"/>
        <v>9710614.9211958088</v>
      </c>
      <c r="BZ156" s="867">
        <f t="shared" si="29"/>
        <v>48553074.60597904</v>
      </c>
      <c r="CA156" s="867">
        <f>_xlfn.MAXIFS($BY$4:$BY$12824,$S$4:$S$12824,$S156)</f>
        <v>9710614.9211958088</v>
      </c>
      <c r="CB156" s="1032"/>
      <c r="CF156" s="946">
        <f t="shared" si="30"/>
        <v>40842014.125199996</v>
      </c>
    </row>
    <row r="157" spans="1:84">
      <c r="A157" s="1032"/>
      <c r="B157" s="839" t="s">
        <v>98</v>
      </c>
      <c r="C157" s="839" t="s">
        <v>273</v>
      </c>
      <c r="D157" s="839" t="s">
        <v>545</v>
      </c>
      <c r="E157" s="839" t="s">
        <v>545</v>
      </c>
      <c r="F157" s="841">
        <v>44944</v>
      </c>
      <c r="G157" s="840" t="s">
        <v>273</v>
      </c>
      <c r="H157" s="842" t="s">
        <v>134</v>
      </c>
      <c r="I157" s="842"/>
      <c r="J157" s="841"/>
      <c r="K157" s="841"/>
      <c r="L157" s="843"/>
      <c r="M157" s="844" t="s">
        <v>275</v>
      </c>
      <c r="N157" s="841"/>
      <c r="O157" s="841" t="s">
        <v>150</v>
      </c>
      <c r="P157" s="841" t="s">
        <v>276</v>
      </c>
      <c r="Q157" s="843"/>
      <c r="R157" s="845" t="s">
        <v>592</v>
      </c>
      <c r="S157" s="1127" t="s">
        <v>592</v>
      </c>
      <c r="T157" s="843" t="s">
        <v>593</v>
      </c>
      <c r="U157" s="842">
        <v>5</v>
      </c>
      <c r="V157" s="842" t="s">
        <v>3</v>
      </c>
      <c r="W157" s="846"/>
      <c r="X157" s="847">
        <f t="shared" si="24"/>
        <v>0</v>
      </c>
      <c r="Y157" s="848"/>
      <c r="Z157" s="849">
        <v>320.56799999999998</v>
      </c>
      <c r="AA157" s="849"/>
      <c r="AB157" s="849">
        <f t="shared" si="25"/>
        <v>1602.84</v>
      </c>
      <c r="AC157" s="850">
        <f t="shared" si="26"/>
        <v>1602.84</v>
      </c>
      <c r="AD157" s="851"/>
      <c r="AE157" s="852">
        <v>25481.03</v>
      </c>
      <c r="AF157" s="853">
        <v>0.1</v>
      </c>
      <c r="AG157" s="854">
        <f t="shared" si="27"/>
        <v>4354994.4704113603</v>
      </c>
      <c r="AH157" s="853"/>
      <c r="AI157" s="855">
        <f t="shared" si="28"/>
        <v>0</v>
      </c>
      <c r="AJ157" s="845" t="s">
        <v>548</v>
      </c>
      <c r="AK157" s="857" t="s">
        <v>549</v>
      </c>
      <c r="AL157" s="840"/>
      <c r="AM157" s="840"/>
      <c r="AN157" s="858"/>
      <c r="AO157" s="844" t="s">
        <v>141</v>
      </c>
      <c r="AP157" s="859"/>
      <c r="AQ157" s="859" t="s">
        <v>550</v>
      </c>
      <c r="AR157" s="859"/>
      <c r="AS157" s="840"/>
      <c r="AT157" s="840"/>
      <c r="AU157" s="860"/>
      <c r="AV157" s="839" t="s">
        <v>551</v>
      </c>
      <c r="AW157" s="861">
        <v>45058</v>
      </c>
      <c r="AX157" s="862" t="s">
        <v>552</v>
      </c>
      <c r="AY157" s="843"/>
      <c r="AZ157" s="842"/>
      <c r="BA157" s="842" t="s">
        <v>120</v>
      </c>
      <c r="BB157" s="863" t="s">
        <v>121</v>
      </c>
      <c r="BC157" s="864">
        <v>45058</v>
      </c>
      <c r="BD157" s="860" t="s">
        <v>553</v>
      </c>
      <c r="BE157" s="865" cm="1">
        <f t="array" ref="BE157">IF(BD157="","",AC157/SUMPRODUCT(--(BD157=$BD$4:$BD$12824),$AC$4:$AC$12824))</f>
        <v>3.4200953598480334E-2</v>
      </c>
      <c r="BF157" s="458"/>
      <c r="BG157" s="458"/>
      <c r="BH157" s="458"/>
      <c r="BI157" s="458"/>
      <c r="BJ157" s="458"/>
      <c r="BK157" s="458"/>
      <c r="BL157" s="458"/>
      <c r="BM157" s="458"/>
      <c r="BN157" s="458"/>
      <c r="BO157" s="866">
        <f>VLOOKUP(BD157,$BD$4:$BN$12824,3,0)*BE157</f>
        <v>2707930.5789136039</v>
      </c>
      <c r="BP157" s="866"/>
      <c r="BQ157" s="866"/>
      <c r="BR157" s="866">
        <f>VLOOKUP(BD157,$BD$4:$BN$12824,6,0)*BE157</f>
        <v>648135.43145408109</v>
      </c>
      <c r="BS157" s="866">
        <f>VLOOKUP(BD157,$BD$4:$BN$12824,7,0)*BE157</f>
        <v>0</v>
      </c>
      <c r="BT157" s="866"/>
      <c r="BU157" s="866">
        <f>VLOOKUP(BD157,$BD$4:$BN$12824,9,0)*BE157</f>
        <v>0</v>
      </c>
      <c r="BV157" s="867"/>
      <c r="BW157" s="867">
        <f>VLOOKUP(BD157,$BD$4:$BN$12824,11,0)*BE157</f>
        <v>0</v>
      </c>
      <c r="BX157" s="1146">
        <f t="shared" si="33"/>
        <v>3356066.010367685</v>
      </c>
      <c r="BY157" s="867">
        <f t="shared" si="31"/>
        <v>9710614.9211958088</v>
      </c>
      <c r="BZ157" s="867">
        <f t="shared" si="29"/>
        <v>48553074.60597904</v>
      </c>
      <c r="CA157" s="867">
        <f>_xlfn.MAXIFS($BY$4:$BY$12824,$S$4:$S$12824,$S157)</f>
        <v>9710614.9211958088</v>
      </c>
      <c r="CB157" s="1032"/>
      <c r="CF157" s="946">
        <f t="shared" si="30"/>
        <v>40842014.125199996</v>
      </c>
    </row>
    <row r="158" spans="1:84">
      <c r="A158" s="1032"/>
      <c r="B158" s="839" t="s">
        <v>98</v>
      </c>
      <c r="C158" s="839" t="s">
        <v>273</v>
      </c>
      <c r="D158" s="839" t="s">
        <v>545</v>
      </c>
      <c r="E158" s="839" t="s">
        <v>545</v>
      </c>
      <c r="F158" s="841">
        <v>44944</v>
      </c>
      <c r="G158" s="840" t="s">
        <v>273</v>
      </c>
      <c r="H158" s="842" t="s">
        <v>134</v>
      </c>
      <c r="I158" s="842"/>
      <c r="J158" s="841"/>
      <c r="K158" s="841"/>
      <c r="L158" s="843"/>
      <c r="M158" s="844" t="s">
        <v>275</v>
      </c>
      <c r="N158" s="841"/>
      <c r="O158" s="841" t="s">
        <v>150</v>
      </c>
      <c r="P158" s="841" t="s">
        <v>276</v>
      </c>
      <c r="Q158" s="843"/>
      <c r="R158" s="845" t="s">
        <v>594</v>
      </c>
      <c r="S158" s="1127" t="s">
        <v>594</v>
      </c>
      <c r="T158" s="843" t="s">
        <v>595</v>
      </c>
      <c r="U158" s="842">
        <v>5</v>
      </c>
      <c r="V158" s="842" t="s">
        <v>3</v>
      </c>
      <c r="W158" s="846"/>
      <c r="X158" s="847">
        <f t="shared" si="24"/>
        <v>0</v>
      </c>
      <c r="Y158" s="848"/>
      <c r="Z158" s="849">
        <v>320.56799999999998</v>
      </c>
      <c r="AA158" s="849"/>
      <c r="AB158" s="849">
        <f t="shared" si="25"/>
        <v>1602.84</v>
      </c>
      <c r="AC158" s="850">
        <f t="shared" si="26"/>
        <v>1602.84</v>
      </c>
      <c r="AD158" s="851"/>
      <c r="AE158" s="852">
        <v>25481.03</v>
      </c>
      <c r="AF158" s="853">
        <v>0.1</v>
      </c>
      <c r="AG158" s="854">
        <f t="shared" si="27"/>
        <v>4354994.4704113603</v>
      </c>
      <c r="AH158" s="853"/>
      <c r="AI158" s="855">
        <f t="shared" si="28"/>
        <v>0</v>
      </c>
      <c r="AJ158" s="845" t="s">
        <v>548</v>
      </c>
      <c r="AK158" s="857" t="s">
        <v>549</v>
      </c>
      <c r="AL158" s="840"/>
      <c r="AM158" s="840"/>
      <c r="AN158" s="858"/>
      <c r="AO158" s="844" t="s">
        <v>141</v>
      </c>
      <c r="AP158" s="859"/>
      <c r="AQ158" s="859" t="s">
        <v>550</v>
      </c>
      <c r="AR158" s="859"/>
      <c r="AS158" s="840"/>
      <c r="AT158" s="840"/>
      <c r="AU158" s="860"/>
      <c r="AV158" s="839" t="s">
        <v>551</v>
      </c>
      <c r="AW158" s="861">
        <v>45058</v>
      </c>
      <c r="AX158" s="862" t="s">
        <v>552</v>
      </c>
      <c r="AY158" s="843"/>
      <c r="AZ158" s="842"/>
      <c r="BA158" s="842" t="s">
        <v>120</v>
      </c>
      <c r="BB158" s="863" t="s">
        <v>121</v>
      </c>
      <c r="BC158" s="864">
        <v>45058</v>
      </c>
      <c r="BD158" s="860" t="s">
        <v>553</v>
      </c>
      <c r="BE158" s="865" cm="1">
        <f t="array" ref="BE158">IF(BD158="","",AC158/SUMPRODUCT(--(BD158=$BD$4:$BD$12824),$AC$4:$AC$12824))</f>
        <v>3.4200953598480334E-2</v>
      </c>
      <c r="BF158" s="458"/>
      <c r="BG158" s="458"/>
      <c r="BH158" s="458"/>
      <c r="BI158" s="458"/>
      <c r="BJ158" s="458"/>
      <c r="BK158" s="458"/>
      <c r="BL158" s="458"/>
      <c r="BM158" s="458"/>
      <c r="BN158" s="458"/>
      <c r="BO158" s="866">
        <f>VLOOKUP(BD158,$BD$4:$BN$12824,3,0)*BE158</f>
        <v>2707930.5789136039</v>
      </c>
      <c r="BP158" s="866"/>
      <c r="BQ158" s="866"/>
      <c r="BR158" s="866">
        <f>VLOOKUP(BD158,$BD$4:$BN$12824,6,0)*BE158</f>
        <v>648135.43145408109</v>
      </c>
      <c r="BS158" s="866">
        <f>VLOOKUP(BD158,$BD$4:$BN$12824,7,0)*BE158</f>
        <v>0</v>
      </c>
      <c r="BT158" s="866"/>
      <c r="BU158" s="866">
        <f>VLOOKUP(BD158,$BD$4:$BN$12824,9,0)*BE158</f>
        <v>0</v>
      </c>
      <c r="BV158" s="867"/>
      <c r="BW158" s="867">
        <f>VLOOKUP(BD158,$BD$4:$BN$12824,11,0)*BE158</f>
        <v>0</v>
      </c>
      <c r="BX158" s="1146">
        <f t="shared" si="33"/>
        <v>3356066.010367685</v>
      </c>
      <c r="BY158" s="867">
        <f t="shared" si="31"/>
        <v>9710614.9211958088</v>
      </c>
      <c r="BZ158" s="867">
        <f t="shared" si="29"/>
        <v>48553074.60597904</v>
      </c>
      <c r="CA158" s="867">
        <f>_xlfn.MAXIFS($BY$4:$BY$12824,$S$4:$S$12824,$S158)</f>
        <v>9710614.9211958088</v>
      </c>
      <c r="CB158" s="1032"/>
      <c r="CF158" s="946">
        <f t="shared" si="30"/>
        <v>40842014.125199996</v>
      </c>
    </row>
    <row r="159" spans="1:84">
      <c r="A159" s="1032"/>
      <c r="B159" s="839" t="s">
        <v>98</v>
      </c>
      <c r="C159" s="839" t="s">
        <v>273</v>
      </c>
      <c r="D159" s="839" t="s">
        <v>545</v>
      </c>
      <c r="E159" s="839" t="s">
        <v>545</v>
      </c>
      <c r="F159" s="841">
        <v>44944</v>
      </c>
      <c r="G159" s="840" t="s">
        <v>273</v>
      </c>
      <c r="H159" s="842" t="s">
        <v>134</v>
      </c>
      <c r="I159" s="842"/>
      <c r="J159" s="841"/>
      <c r="K159" s="841"/>
      <c r="L159" s="843"/>
      <c r="M159" s="844" t="s">
        <v>275</v>
      </c>
      <c r="N159" s="841"/>
      <c r="O159" s="841" t="s">
        <v>150</v>
      </c>
      <c r="P159" s="841" t="s">
        <v>276</v>
      </c>
      <c r="Q159" s="843"/>
      <c r="R159" s="845" t="s">
        <v>596</v>
      </c>
      <c r="S159" s="1127" t="s">
        <v>596</v>
      </c>
      <c r="T159" s="843" t="s">
        <v>597</v>
      </c>
      <c r="U159" s="842">
        <v>5</v>
      </c>
      <c r="V159" s="842" t="s">
        <v>3</v>
      </c>
      <c r="W159" s="846"/>
      <c r="X159" s="847">
        <f t="shared" si="24"/>
        <v>0</v>
      </c>
      <c r="Y159" s="848"/>
      <c r="Z159" s="849">
        <v>320.55200000000002</v>
      </c>
      <c r="AA159" s="849"/>
      <c r="AB159" s="849">
        <f t="shared" si="25"/>
        <v>1602.7600000000002</v>
      </c>
      <c r="AC159" s="850">
        <f t="shared" si="26"/>
        <v>1602.7600000000002</v>
      </c>
      <c r="AD159" s="851"/>
      <c r="AE159" s="852">
        <v>25481.03</v>
      </c>
      <c r="AF159" s="853">
        <v>0.1</v>
      </c>
      <c r="AG159" s="854">
        <f t="shared" si="27"/>
        <v>4354777.1065087682</v>
      </c>
      <c r="AH159" s="853"/>
      <c r="AI159" s="855">
        <f t="shared" si="28"/>
        <v>0</v>
      </c>
      <c r="AJ159" s="845" t="s">
        <v>548</v>
      </c>
      <c r="AK159" s="857" t="s">
        <v>549</v>
      </c>
      <c r="AL159" s="840"/>
      <c r="AM159" s="840"/>
      <c r="AN159" s="858"/>
      <c r="AO159" s="844" t="s">
        <v>141</v>
      </c>
      <c r="AP159" s="859"/>
      <c r="AQ159" s="859" t="s">
        <v>550</v>
      </c>
      <c r="AR159" s="859"/>
      <c r="AS159" s="840"/>
      <c r="AT159" s="840"/>
      <c r="AU159" s="860"/>
      <c r="AV159" s="839" t="s">
        <v>551</v>
      </c>
      <c r="AW159" s="861">
        <v>45058</v>
      </c>
      <c r="AX159" s="862" t="s">
        <v>552</v>
      </c>
      <c r="AY159" s="843"/>
      <c r="AZ159" s="842"/>
      <c r="BA159" s="842" t="s">
        <v>120</v>
      </c>
      <c r="BB159" s="863" t="s">
        <v>121</v>
      </c>
      <c r="BC159" s="864">
        <v>45058</v>
      </c>
      <c r="BD159" s="860" t="s">
        <v>553</v>
      </c>
      <c r="BE159" s="865" cm="1">
        <f t="array" ref="BE159">IF(BD159="","",AC159/SUMPRODUCT(--(BD159=$BD$4:$BD$12824),$AC$4:$AC$12824))</f>
        <v>3.4199246580756876E-2</v>
      </c>
      <c r="BF159" s="458"/>
      <c r="BG159" s="458"/>
      <c r="BH159" s="458"/>
      <c r="BI159" s="458"/>
      <c r="BJ159" s="458"/>
      <c r="BK159" s="458"/>
      <c r="BL159" s="458"/>
      <c r="BM159" s="458"/>
      <c r="BN159" s="458"/>
      <c r="BO159" s="866">
        <f>VLOOKUP(BD159,$BD$4:$BN$12824,3,0)*BE159</f>
        <v>2707795.4222876695</v>
      </c>
      <c r="BP159" s="866"/>
      <c r="BQ159" s="866"/>
      <c r="BR159" s="866">
        <f>VLOOKUP(BD159,$BD$4:$BN$12824,6,0)*BE159</f>
        <v>648103.08210260735</v>
      </c>
      <c r="BS159" s="866">
        <f>VLOOKUP(BD159,$BD$4:$BN$12824,7,0)*BE159</f>
        <v>0</v>
      </c>
      <c r="BT159" s="866"/>
      <c r="BU159" s="866">
        <f>VLOOKUP(BD159,$BD$4:$BN$12824,9,0)*BE159</f>
        <v>0</v>
      </c>
      <c r="BV159" s="867"/>
      <c r="BW159" s="867">
        <f>VLOOKUP(BD159,$BD$4:$BN$12824,11,0)*BE159</f>
        <v>0</v>
      </c>
      <c r="BX159" s="1146">
        <f t="shared" si="33"/>
        <v>3355898.504390277</v>
      </c>
      <c r="BY159" s="867">
        <f t="shared" si="31"/>
        <v>9710130.2507398091</v>
      </c>
      <c r="BZ159" s="867">
        <f t="shared" si="29"/>
        <v>48550651.253699049</v>
      </c>
      <c r="CA159" s="867">
        <f>_xlfn.MAXIFS($BY$4:$BY$12824,$S$4:$S$12824,$S159)</f>
        <v>9710130.2507398091</v>
      </c>
      <c r="CB159" s="1032"/>
      <c r="CF159" s="946">
        <f t="shared" si="30"/>
        <v>40839975.642800003</v>
      </c>
    </row>
    <row r="160" spans="1:84">
      <c r="A160" s="1032"/>
      <c r="B160" s="839" t="s">
        <v>98</v>
      </c>
      <c r="C160" s="839" t="s">
        <v>273</v>
      </c>
      <c r="D160" s="839" t="s">
        <v>545</v>
      </c>
      <c r="E160" s="839" t="s">
        <v>545</v>
      </c>
      <c r="F160" s="841">
        <v>44944</v>
      </c>
      <c r="G160" s="840" t="s">
        <v>273</v>
      </c>
      <c r="H160" s="842" t="s">
        <v>134</v>
      </c>
      <c r="I160" s="842"/>
      <c r="J160" s="841"/>
      <c r="K160" s="841"/>
      <c r="L160" s="843"/>
      <c r="M160" s="844" t="s">
        <v>275</v>
      </c>
      <c r="N160" s="841"/>
      <c r="O160" s="841" t="s">
        <v>150</v>
      </c>
      <c r="P160" s="841" t="s">
        <v>276</v>
      </c>
      <c r="Q160" s="843"/>
      <c r="R160" s="845" t="s">
        <v>598</v>
      </c>
      <c r="S160" s="1127" t="s">
        <v>598</v>
      </c>
      <c r="T160" s="843" t="s">
        <v>599</v>
      </c>
      <c r="U160" s="842">
        <v>5</v>
      </c>
      <c r="V160" s="842" t="s">
        <v>3</v>
      </c>
      <c r="W160" s="846"/>
      <c r="X160" s="847">
        <f t="shared" si="24"/>
        <v>0</v>
      </c>
      <c r="Y160" s="848"/>
      <c r="Z160" s="849">
        <v>66.239999999999995</v>
      </c>
      <c r="AA160" s="849"/>
      <c r="AB160" s="849">
        <f t="shared" si="25"/>
        <v>331.2</v>
      </c>
      <c r="AC160" s="850">
        <f t="shared" si="26"/>
        <v>331.2</v>
      </c>
      <c r="AD160" s="851"/>
      <c r="AE160" s="852">
        <v>25481.03</v>
      </c>
      <c r="AF160" s="853">
        <v>0.1</v>
      </c>
      <c r="AG160" s="854">
        <f t="shared" si="27"/>
        <v>899886.55673694354</v>
      </c>
      <c r="AH160" s="853"/>
      <c r="AI160" s="855">
        <f t="shared" si="28"/>
        <v>0</v>
      </c>
      <c r="AJ160" s="845" t="s">
        <v>548</v>
      </c>
      <c r="AK160" s="857" t="s">
        <v>549</v>
      </c>
      <c r="AL160" s="840"/>
      <c r="AM160" s="840"/>
      <c r="AN160" s="858"/>
      <c r="AO160" s="844" t="s">
        <v>141</v>
      </c>
      <c r="AP160" s="859"/>
      <c r="AQ160" s="859" t="s">
        <v>550</v>
      </c>
      <c r="AR160" s="859"/>
      <c r="AS160" s="840"/>
      <c r="AT160" s="840"/>
      <c r="AU160" s="860"/>
      <c r="AV160" s="839" t="s">
        <v>551</v>
      </c>
      <c r="AW160" s="861">
        <v>45058</v>
      </c>
      <c r="AX160" s="862" t="s">
        <v>552</v>
      </c>
      <c r="AY160" s="843"/>
      <c r="AZ160" s="842"/>
      <c r="BA160" s="842" t="s">
        <v>120</v>
      </c>
      <c r="BB160" s="863" t="s">
        <v>121</v>
      </c>
      <c r="BC160" s="864">
        <v>45058</v>
      </c>
      <c r="BD160" s="860" t="s">
        <v>553</v>
      </c>
      <c r="BE160" s="865" cm="1">
        <f t="array" ref="BE160">IF(BD160="","",AC160/SUMPRODUCT(--(BD160=$BD$4:$BD$12824),$AC$4:$AC$12824))</f>
        <v>7.0670533751445476E-3</v>
      </c>
      <c r="BF160" s="458"/>
      <c r="BG160" s="458"/>
      <c r="BH160" s="458"/>
      <c r="BI160" s="458"/>
      <c r="BJ160" s="458"/>
      <c r="BK160" s="458"/>
      <c r="BL160" s="458"/>
      <c r="BM160" s="458"/>
      <c r="BN160" s="458"/>
      <c r="BO160" s="866">
        <f>VLOOKUP(BD160,$BD$4:$BN$12824,3,0)*BE160</f>
        <v>559548.43136943527</v>
      </c>
      <c r="BP160" s="866"/>
      <c r="BQ160" s="866"/>
      <c r="BR160" s="866">
        <f>VLOOKUP(BD160,$BD$4:$BN$12824,6,0)*BE160</f>
        <v>133926.31510168928</v>
      </c>
      <c r="BS160" s="866">
        <f>VLOOKUP(BD160,$BD$4:$BN$12824,7,0)*BE160</f>
        <v>0</v>
      </c>
      <c r="BT160" s="866"/>
      <c r="BU160" s="866">
        <f>VLOOKUP(BD160,$BD$4:$BN$12824,9,0)*BE160</f>
        <v>0</v>
      </c>
      <c r="BV160" s="867"/>
      <c r="BW160" s="867">
        <f>VLOOKUP(BD160,$BD$4:$BN$12824,11,0)*BE160</f>
        <v>0</v>
      </c>
      <c r="BX160" s="1146">
        <f t="shared" si="33"/>
        <v>693474.74647112458</v>
      </c>
      <c r="BY160" s="867">
        <f t="shared" si="31"/>
        <v>2006535.6878416135</v>
      </c>
      <c r="BZ160" s="867">
        <f t="shared" si="29"/>
        <v>10032678.439208068</v>
      </c>
      <c r="CA160" s="867">
        <f>_xlfn.MAXIFS($BY$4:$BY$12824,$S$4:$S$12824,$S160)</f>
        <v>2006535.6878416135</v>
      </c>
      <c r="CB160" s="1032"/>
      <c r="CF160" s="946">
        <f t="shared" si="30"/>
        <v>8439317.1359999999</v>
      </c>
    </row>
    <row r="161" spans="1:84">
      <c r="A161" s="1032"/>
      <c r="B161" s="839" t="s">
        <v>98</v>
      </c>
      <c r="C161" s="839" t="s">
        <v>273</v>
      </c>
      <c r="D161" s="839" t="s">
        <v>545</v>
      </c>
      <c r="E161" s="839" t="s">
        <v>545</v>
      </c>
      <c r="F161" s="841">
        <v>44944</v>
      </c>
      <c r="G161" s="840" t="s">
        <v>273</v>
      </c>
      <c r="H161" s="842" t="s">
        <v>134</v>
      </c>
      <c r="I161" s="842"/>
      <c r="J161" s="841"/>
      <c r="K161" s="841"/>
      <c r="L161" s="843"/>
      <c r="M161" s="844" t="s">
        <v>275</v>
      </c>
      <c r="N161" s="841"/>
      <c r="O161" s="841" t="s">
        <v>150</v>
      </c>
      <c r="P161" s="841" t="s">
        <v>276</v>
      </c>
      <c r="Q161" s="843"/>
      <c r="R161" s="845" t="s">
        <v>600</v>
      </c>
      <c r="S161" s="1127" t="s">
        <v>600</v>
      </c>
      <c r="T161" s="843" t="s">
        <v>601</v>
      </c>
      <c r="U161" s="842">
        <v>5</v>
      </c>
      <c r="V161" s="842" t="s">
        <v>3</v>
      </c>
      <c r="W161" s="846"/>
      <c r="X161" s="847">
        <f t="shared" si="24"/>
        <v>0</v>
      </c>
      <c r="Y161" s="848"/>
      <c r="Z161" s="849">
        <v>66.239999999999995</v>
      </c>
      <c r="AA161" s="849"/>
      <c r="AB161" s="849">
        <f t="shared" si="25"/>
        <v>331.2</v>
      </c>
      <c r="AC161" s="850">
        <f t="shared" si="26"/>
        <v>331.2</v>
      </c>
      <c r="AD161" s="851"/>
      <c r="AE161" s="852">
        <v>25481.03</v>
      </c>
      <c r="AF161" s="853">
        <v>0.1</v>
      </c>
      <c r="AG161" s="854">
        <f t="shared" si="27"/>
        <v>899886.55673694354</v>
      </c>
      <c r="AH161" s="853"/>
      <c r="AI161" s="855">
        <f t="shared" si="28"/>
        <v>0</v>
      </c>
      <c r="AJ161" s="845" t="s">
        <v>548</v>
      </c>
      <c r="AK161" s="857" t="s">
        <v>549</v>
      </c>
      <c r="AL161" s="840"/>
      <c r="AM161" s="840"/>
      <c r="AN161" s="858"/>
      <c r="AO161" s="844" t="s">
        <v>141</v>
      </c>
      <c r="AP161" s="859"/>
      <c r="AQ161" s="859" t="s">
        <v>550</v>
      </c>
      <c r="AR161" s="859"/>
      <c r="AS161" s="840"/>
      <c r="AT161" s="840"/>
      <c r="AU161" s="860"/>
      <c r="AV161" s="839" t="s">
        <v>551</v>
      </c>
      <c r="AW161" s="861">
        <v>45058</v>
      </c>
      <c r="AX161" s="862" t="s">
        <v>552</v>
      </c>
      <c r="AY161" s="843"/>
      <c r="AZ161" s="842"/>
      <c r="BA161" s="842" t="s">
        <v>120</v>
      </c>
      <c r="BB161" s="863" t="s">
        <v>121</v>
      </c>
      <c r="BC161" s="864">
        <v>45058</v>
      </c>
      <c r="BD161" s="860" t="s">
        <v>553</v>
      </c>
      <c r="BE161" s="865" cm="1">
        <f t="array" ref="BE161">IF(BD161="","",AC161/SUMPRODUCT(--(BD161=$BD$4:$BD$12824),$AC$4:$AC$12824))</f>
        <v>7.0670533751445476E-3</v>
      </c>
      <c r="BF161" s="458"/>
      <c r="BG161" s="458"/>
      <c r="BH161" s="458"/>
      <c r="BI161" s="458"/>
      <c r="BJ161" s="458"/>
      <c r="BK161" s="458"/>
      <c r="BL161" s="458"/>
      <c r="BM161" s="458"/>
      <c r="BN161" s="458"/>
      <c r="BO161" s="866">
        <f>VLOOKUP(BD161,$BD$4:$BN$12824,3,0)*BE161</f>
        <v>559548.43136943527</v>
      </c>
      <c r="BP161" s="866"/>
      <c r="BQ161" s="866"/>
      <c r="BR161" s="866">
        <f>VLOOKUP(BD161,$BD$4:$BN$12824,6,0)*BE161</f>
        <v>133926.31510168928</v>
      </c>
      <c r="BS161" s="866">
        <f>VLOOKUP(BD161,$BD$4:$BN$12824,7,0)*BE161</f>
        <v>0</v>
      </c>
      <c r="BT161" s="866"/>
      <c r="BU161" s="866">
        <f>VLOOKUP(BD161,$BD$4:$BN$12824,9,0)*BE161</f>
        <v>0</v>
      </c>
      <c r="BV161" s="867"/>
      <c r="BW161" s="867">
        <f>VLOOKUP(BD161,$BD$4:$BN$12824,11,0)*BE161</f>
        <v>0</v>
      </c>
      <c r="BX161" s="1146">
        <f t="shared" si="33"/>
        <v>693474.74647112458</v>
      </c>
      <c r="BY161" s="867">
        <f t="shared" si="31"/>
        <v>2006535.6878416135</v>
      </c>
      <c r="BZ161" s="867">
        <f t="shared" si="29"/>
        <v>10032678.439208068</v>
      </c>
      <c r="CA161" s="867">
        <f>_xlfn.MAXIFS($BY$4:$BY$12824,$S$4:$S$12824,$S161)</f>
        <v>2006535.6878416135</v>
      </c>
      <c r="CB161" s="1032"/>
      <c r="CF161" s="946">
        <f t="shared" si="30"/>
        <v>8439317.1359999999</v>
      </c>
    </row>
    <row r="162" spans="1:84">
      <c r="A162" s="1032"/>
      <c r="B162" s="839" t="s">
        <v>98</v>
      </c>
      <c r="C162" s="839" t="s">
        <v>273</v>
      </c>
      <c r="D162" s="839" t="s">
        <v>545</v>
      </c>
      <c r="E162" s="839" t="s">
        <v>545</v>
      </c>
      <c r="F162" s="841">
        <v>44944</v>
      </c>
      <c r="G162" s="840" t="s">
        <v>273</v>
      </c>
      <c r="H162" s="842" t="s">
        <v>134</v>
      </c>
      <c r="I162" s="842"/>
      <c r="J162" s="841"/>
      <c r="K162" s="841"/>
      <c r="L162" s="843"/>
      <c r="M162" s="844" t="s">
        <v>275</v>
      </c>
      <c r="N162" s="841"/>
      <c r="O162" s="841" t="s">
        <v>150</v>
      </c>
      <c r="P162" s="841" t="s">
        <v>276</v>
      </c>
      <c r="Q162" s="843"/>
      <c r="R162" s="845" t="s">
        <v>602</v>
      </c>
      <c r="S162" s="1127" t="s">
        <v>602</v>
      </c>
      <c r="T162" s="843" t="s">
        <v>603</v>
      </c>
      <c r="U162" s="842">
        <v>5</v>
      </c>
      <c r="V162" s="842" t="s">
        <v>3</v>
      </c>
      <c r="W162" s="846"/>
      <c r="X162" s="847">
        <f t="shared" si="24"/>
        <v>0</v>
      </c>
      <c r="Y162" s="848"/>
      <c r="Z162" s="849">
        <v>66.239999999999995</v>
      </c>
      <c r="AA162" s="849"/>
      <c r="AB162" s="849">
        <f t="shared" si="25"/>
        <v>331.2</v>
      </c>
      <c r="AC162" s="850">
        <f t="shared" si="26"/>
        <v>331.2</v>
      </c>
      <c r="AD162" s="851"/>
      <c r="AE162" s="852">
        <v>25481.03</v>
      </c>
      <c r="AF162" s="853">
        <v>0.1</v>
      </c>
      <c r="AG162" s="854">
        <f t="shared" si="27"/>
        <v>899886.55673694354</v>
      </c>
      <c r="AH162" s="853"/>
      <c r="AI162" s="855">
        <f t="shared" si="28"/>
        <v>0</v>
      </c>
      <c r="AJ162" s="845" t="s">
        <v>548</v>
      </c>
      <c r="AK162" s="857" t="s">
        <v>549</v>
      </c>
      <c r="AL162" s="840"/>
      <c r="AM162" s="840"/>
      <c r="AN162" s="858"/>
      <c r="AO162" s="844" t="s">
        <v>141</v>
      </c>
      <c r="AP162" s="859"/>
      <c r="AQ162" s="859" t="s">
        <v>550</v>
      </c>
      <c r="AR162" s="859"/>
      <c r="AS162" s="840"/>
      <c r="AT162" s="840"/>
      <c r="AU162" s="860"/>
      <c r="AV162" s="839" t="s">
        <v>551</v>
      </c>
      <c r="AW162" s="861">
        <v>45058</v>
      </c>
      <c r="AX162" s="862" t="s">
        <v>552</v>
      </c>
      <c r="AY162" s="843"/>
      <c r="AZ162" s="842"/>
      <c r="BA162" s="842" t="s">
        <v>120</v>
      </c>
      <c r="BB162" s="863" t="s">
        <v>121</v>
      </c>
      <c r="BC162" s="864">
        <v>45058</v>
      </c>
      <c r="BD162" s="860" t="s">
        <v>553</v>
      </c>
      <c r="BE162" s="865" cm="1">
        <f t="array" ref="BE162">IF(BD162="","",AC162/SUMPRODUCT(--(BD162=$BD$4:$BD$12824),$AC$4:$AC$12824))</f>
        <v>7.0670533751445476E-3</v>
      </c>
      <c r="BF162" s="458"/>
      <c r="BG162" s="458"/>
      <c r="BH162" s="458"/>
      <c r="BI162" s="458"/>
      <c r="BJ162" s="458"/>
      <c r="BK162" s="458"/>
      <c r="BL162" s="458"/>
      <c r="BM162" s="458"/>
      <c r="BN162" s="458"/>
      <c r="BO162" s="866">
        <f>VLOOKUP(BD162,$BD$4:$BN$12824,3,0)*BE162</f>
        <v>559548.43136943527</v>
      </c>
      <c r="BP162" s="866"/>
      <c r="BQ162" s="866"/>
      <c r="BR162" s="866">
        <f>VLOOKUP(BD162,$BD$4:$BN$12824,6,0)*BE162</f>
        <v>133926.31510168928</v>
      </c>
      <c r="BS162" s="866">
        <f>VLOOKUP(BD162,$BD$4:$BN$12824,7,0)*BE162</f>
        <v>0</v>
      </c>
      <c r="BT162" s="866"/>
      <c r="BU162" s="866">
        <f>VLOOKUP(BD162,$BD$4:$BN$12824,9,0)*BE162</f>
        <v>0</v>
      </c>
      <c r="BV162" s="867"/>
      <c r="BW162" s="867">
        <f>VLOOKUP(BD162,$BD$4:$BN$12824,11,0)*BE162</f>
        <v>0</v>
      </c>
      <c r="BX162" s="1146">
        <f t="shared" si="33"/>
        <v>693474.74647112458</v>
      </c>
      <c r="BY162" s="867">
        <f t="shared" si="31"/>
        <v>2006535.6878416135</v>
      </c>
      <c r="BZ162" s="867">
        <f t="shared" si="29"/>
        <v>10032678.439208068</v>
      </c>
      <c r="CA162" s="867">
        <f>_xlfn.MAXIFS($BY$4:$BY$12824,$S$4:$S$12824,$S162)</f>
        <v>2006535.6878416135</v>
      </c>
      <c r="CB162" s="1032"/>
      <c r="CF162" s="946">
        <f t="shared" si="30"/>
        <v>8439317.1359999999</v>
      </c>
    </row>
    <row r="163" spans="1:84">
      <c r="A163" s="1032"/>
      <c r="B163" s="839" t="s">
        <v>98</v>
      </c>
      <c r="C163" s="839" t="s">
        <v>273</v>
      </c>
      <c r="D163" s="839" t="s">
        <v>545</v>
      </c>
      <c r="E163" s="839" t="s">
        <v>545</v>
      </c>
      <c r="F163" s="841">
        <v>44944</v>
      </c>
      <c r="G163" s="840" t="s">
        <v>273</v>
      </c>
      <c r="H163" s="842" t="s">
        <v>134</v>
      </c>
      <c r="I163" s="842"/>
      <c r="J163" s="841"/>
      <c r="K163" s="841"/>
      <c r="L163" s="843"/>
      <c r="M163" s="844" t="s">
        <v>275</v>
      </c>
      <c r="N163" s="841"/>
      <c r="O163" s="841" t="s">
        <v>150</v>
      </c>
      <c r="P163" s="841" t="s">
        <v>276</v>
      </c>
      <c r="Q163" s="843"/>
      <c r="R163" s="845" t="s">
        <v>604</v>
      </c>
      <c r="S163" s="1127" t="s">
        <v>604</v>
      </c>
      <c r="T163" s="843" t="s">
        <v>605</v>
      </c>
      <c r="U163" s="842">
        <v>5</v>
      </c>
      <c r="V163" s="842" t="s">
        <v>3</v>
      </c>
      <c r="W163" s="846"/>
      <c r="X163" s="847">
        <f t="shared" si="24"/>
        <v>0</v>
      </c>
      <c r="Y163" s="848"/>
      <c r="Z163" s="849">
        <v>66.239999999999995</v>
      </c>
      <c r="AA163" s="849"/>
      <c r="AB163" s="849">
        <f t="shared" si="25"/>
        <v>331.2</v>
      </c>
      <c r="AC163" s="850">
        <f t="shared" si="26"/>
        <v>331.2</v>
      </c>
      <c r="AD163" s="851"/>
      <c r="AE163" s="852">
        <v>25481.03</v>
      </c>
      <c r="AF163" s="853">
        <v>0.1</v>
      </c>
      <c r="AG163" s="854">
        <f t="shared" si="27"/>
        <v>899886.55673694354</v>
      </c>
      <c r="AH163" s="853"/>
      <c r="AI163" s="855">
        <f t="shared" si="28"/>
        <v>0</v>
      </c>
      <c r="AJ163" s="845" t="s">
        <v>548</v>
      </c>
      <c r="AK163" s="857" t="s">
        <v>549</v>
      </c>
      <c r="AL163" s="840"/>
      <c r="AM163" s="840"/>
      <c r="AN163" s="858"/>
      <c r="AO163" s="844" t="s">
        <v>141</v>
      </c>
      <c r="AP163" s="859"/>
      <c r="AQ163" s="859" t="s">
        <v>550</v>
      </c>
      <c r="AR163" s="859"/>
      <c r="AS163" s="840"/>
      <c r="AT163" s="840"/>
      <c r="AU163" s="860"/>
      <c r="AV163" s="839" t="s">
        <v>551</v>
      </c>
      <c r="AW163" s="861">
        <v>45058</v>
      </c>
      <c r="AX163" s="862" t="s">
        <v>552</v>
      </c>
      <c r="AY163" s="843"/>
      <c r="AZ163" s="842"/>
      <c r="BA163" s="842" t="s">
        <v>120</v>
      </c>
      <c r="BB163" s="863" t="s">
        <v>121</v>
      </c>
      <c r="BC163" s="864">
        <v>45058</v>
      </c>
      <c r="BD163" s="860" t="s">
        <v>553</v>
      </c>
      <c r="BE163" s="865" cm="1">
        <f t="array" ref="BE163">IF(BD163="","",AC163/SUMPRODUCT(--(BD163=$BD$4:$BD$12824),$AC$4:$AC$12824))</f>
        <v>7.0670533751445476E-3</v>
      </c>
      <c r="BF163" s="458"/>
      <c r="BG163" s="458"/>
      <c r="BH163" s="458"/>
      <c r="BI163" s="458"/>
      <c r="BJ163" s="458"/>
      <c r="BK163" s="458"/>
      <c r="BL163" s="458"/>
      <c r="BM163" s="458"/>
      <c r="BN163" s="458"/>
      <c r="BO163" s="866">
        <f>VLOOKUP(BD163,$BD$4:$BN$12824,3,0)*BE163</f>
        <v>559548.43136943527</v>
      </c>
      <c r="BP163" s="866"/>
      <c r="BQ163" s="866"/>
      <c r="BR163" s="866">
        <f>VLOOKUP(BD163,$BD$4:$BN$12824,6,0)*BE163</f>
        <v>133926.31510168928</v>
      </c>
      <c r="BS163" s="866">
        <f>VLOOKUP(BD163,$BD$4:$BN$12824,7,0)*BE163</f>
        <v>0</v>
      </c>
      <c r="BT163" s="866"/>
      <c r="BU163" s="866">
        <f>VLOOKUP(BD163,$BD$4:$BN$12824,9,0)*BE163</f>
        <v>0</v>
      </c>
      <c r="BV163" s="867"/>
      <c r="BW163" s="867">
        <f>VLOOKUP(BD163,$BD$4:$BN$12824,11,0)*BE163</f>
        <v>0</v>
      </c>
      <c r="BX163" s="1146">
        <f t="shared" si="33"/>
        <v>693474.74647112458</v>
      </c>
      <c r="BY163" s="867">
        <f t="shared" si="31"/>
        <v>2006535.6878416135</v>
      </c>
      <c r="BZ163" s="867">
        <f t="shared" si="29"/>
        <v>10032678.439208068</v>
      </c>
      <c r="CA163" s="867">
        <f>_xlfn.MAXIFS($BY$4:$BY$12824,$S$4:$S$12824,$S163)</f>
        <v>2006535.6878416135</v>
      </c>
      <c r="CB163" s="1032"/>
      <c r="CF163" s="946">
        <f t="shared" si="30"/>
        <v>8439317.1359999999</v>
      </c>
    </row>
    <row r="164" spans="1:84">
      <c r="A164" s="1032"/>
      <c r="B164" s="839" t="s">
        <v>98</v>
      </c>
      <c r="C164" s="839" t="s">
        <v>273</v>
      </c>
      <c r="D164" s="839" t="s">
        <v>545</v>
      </c>
      <c r="E164" s="839" t="s">
        <v>545</v>
      </c>
      <c r="F164" s="841">
        <v>44944</v>
      </c>
      <c r="G164" s="840" t="s">
        <v>273</v>
      </c>
      <c r="H164" s="842" t="s">
        <v>134</v>
      </c>
      <c r="I164" s="842"/>
      <c r="J164" s="841"/>
      <c r="K164" s="841"/>
      <c r="L164" s="843"/>
      <c r="M164" s="844" t="s">
        <v>275</v>
      </c>
      <c r="N164" s="841"/>
      <c r="O164" s="841" t="s">
        <v>150</v>
      </c>
      <c r="P164" s="841" t="s">
        <v>276</v>
      </c>
      <c r="Q164" s="843"/>
      <c r="R164" s="845" t="s">
        <v>606</v>
      </c>
      <c r="S164" s="1127" t="s">
        <v>606</v>
      </c>
      <c r="T164" s="843" t="s">
        <v>607</v>
      </c>
      <c r="U164" s="842">
        <v>5</v>
      </c>
      <c r="V164" s="842" t="s">
        <v>3</v>
      </c>
      <c r="W164" s="846"/>
      <c r="X164" s="847">
        <f t="shared" si="24"/>
        <v>0</v>
      </c>
      <c r="Y164" s="848"/>
      <c r="Z164" s="849">
        <v>66.239999999999995</v>
      </c>
      <c r="AA164" s="849"/>
      <c r="AB164" s="849">
        <f t="shared" si="25"/>
        <v>331.2</v>
      </c>
      <c r="AC164" s="850">
        <f t="shared" si="26"/>
        <v>331.2</v>
      </c>
      <c r="AD164" s="851"/>
      <c r="AE164" s="852">
        <v>25481.03</v>
      </c>
      <c r="AF164" s="853">
        <v>0.1</v>
      </c>
      <c r="AG164" s="854">
        <f t="shared" si="27"/>
        <v>899886.55673694354</v>
      </c>
      <c r="AH164" s="853"/>
      <c r="AI164" s="855">
        <f t="shared" si="28"/>
        <v>0</v>
      </c>
      <c r="AJ164" s="845" t="s">
        <v>548</v>
      </c>
      <c r="AK164" s="857" t="s">
        <v>549</v>
      </c>
      <c r="AL164" s="840"/>
      <c r="AM164" s="840"/>
      <c r="AN164" s="858"/>
      <c r="AO164" s="844" t="s">
        <v>141</v>
      </c>
      <c r="AP164" s="859"/>
      <c r="AQ164" s="859" t="s">
        <v>550</v>
      </c>
      <c r="AR164" s="859"/>
      <c r="AS164" s="840"/>
      <c r="AT164" s="840"/>
      <c r="AU164" s="860"/>
      <c r="AV164" s="839" t="s">
        <v>551</v>
      </c>
      <c r="AW164" s="861">
        <v>45058</v>
      </c>
      <c r="AX164" s="862" t="s">
        <v>552</v>
      </c>
      <c r="AY164" s="843"/>
      <c r="AZ164" s="842"/>
      <c r="BA164" s="842" t="s">
        <v>120</v>
      </c>
      <c r="BB164" s="863" t="s">
        <v>121</v>
      </c>
      <c r="BC164" s="864">
        <v>45058</v>
      </c>
      <c r="BD164" s="860" t="s">
        <v>553</v>
      </c>
      <c r="BE164" s="865" cm="1">
        <f t="array" ref="BE164">IF(BD164="","",AC164/SUMPRODUCT(--(BD164=$BD$4:$BD$12824),$AC$4:$AC$12824))</f>
        <v>7.0670533751445476E-3</v>
      </c>
      <c r="BF164" s="458"/>
      <c r="BG164" s="458"/>
      <c r="BH164" s="458"/>
      <c r="BI164" s="458"/>
      <c r="BJ164" s="458"/>
      <c r="BK164" s="458"/>
      <c r="BL164" s="458"/>
      <c r="BM164" s="458"/>
      <c r="BN164" s="458"/>
      <c r="BO164" s="866">
        <f>VLOOKUP(BD164,$BD$4:$BN$12824,3,0)*BE164</f>
        <v>559548.43136943527</v>
      </c>
      <c r="BP164" s="866"/>
      <c r="BQ164" s="866"/>
      <c r="BR164" s="866">
        <f>VLOOKUP(BD164,$BD$4:$BN$12824,6,0)*BE164</f>
        <v>133926.31510168928</v>
      </c>
      <c r="BS164" s="866">
        <f>VLOOKUP(BD164,$BD$4:$BN$12824,7,0)*BE164</f>
        <v>0</v>
      </c>
      <c r="BT164" s="866"/>
      <c r="BU164" s="866">
        <f>VLOOKUP(BD164,$BD$4:$BN$12824,9,0)*BE164</f>
        <v>0</v>
      </c>
      <c r="BV164" s="867"/>
      <c r="BW164" s="867">
        <f>VLOOKUP(BD164,$BD$4:$BN$12824,11,0)*BE164</f>
        <v>0</v>
      </c>
      <c r="BX164" s="1146">
        <f t="shared" si="33"/>
        <v>693474.74647112458</v>
      </c>
      <c r="BY164" s="867">
        <f t="shared" si="31"/>
        <v>2006535.6878416135</v>
      </c>
      <c r="BZ164" s="867">
        <f t="shared" si="29"/>
        <v>10032678.439208068</v>
      </c>
      <c r="CA164" s="867">
        <f>_xlfn.MAXIFS($BY$4:$BY$12824,$S$4:$S$12824,$S164)</f>
        <v>2006535.6878416135</v>
      </c>
      <c r="CB164" s="1032"/>
      <c r="CF164" s="946">
        <f t="shared" si="30"/>
        <v>8439317.1359999999</v>
      </c>
    </row>
    <row r="165" spans="1:84">
      <c r="A165" s="1032"/>
      <c r="B165" s="839" t="s">
        <v>98</v>
      </c>
      <c r="C165" s="839" t="s">
        <v>273</v>
      </c>
      <c r="D165" s="839" t="s">
        <v>545</v>
      </c>
      <c r="E165" s="839" t="s">
        <v>545</v>
      </c>
      <c r="F165" s="841">
        <v>44944</v>
      </c>
      <c r="G165" s="840" t="s">
        <v>273</v>
      </c>
      <c r="H165" s="842" t="s">
        <v>134</v>
      </c>
      <c r="I165" s="842"/>
      <c r="J165" s="841"/>
      <c r="K165" s="841"/>
      <c r="L165" s="843"/>
      <c r="M165" s="844" t="s">
        <v>275</v>
      </c>
      <c r="N165" s="841"/>
      <c r="O165" s="841" t="s">
        <v>150</v>
      </c>
      <c r="P165" s="841" t="s">
        <v>461</v>
      </c>
      <c r="Q165" s="843"/>
      <c r="R165" s="845" t="s">
        <v>309</v>
      </c>
      <c r="S165" s="1127" t="s">
        <v>309</v>
      </c>
      <c r="T165" s="843" t="s">
        <v>608</v>
      </c>
      <c r="U165" s="842">
        <v>5</v>
      </c>
      <c r="V165" s="842" t="s">
        <v>3</v>
      </c>
      <c r="W165" s="846"/>
      <c r="X165" s="847">
        <f t="shared" si="24"/>
        <v>0</v>
      </c>
      <c r="Y165" s="848"/>
      <c r="Z165" s="849">
        <v>532.18799999999999</v>
      </c>
      <c r="AA165" s="849"/>
      <c r="AB165" s="849">
        <f t="shared" si="25"/>
        <v>2660.94</v>
      </c>
      <c r="AC165" s="850">
        <f t="shared" si="26"/>
        <v>2660.94</v>
      </c>
      <c r="AD165" s="851"/>
      <c r="AE165" s="852">
        <v>25481.03</v>
      </c>
      <c r="AF165" s="853">
        <v>0.1</v>
      </c>
      <c r="AG165" s="854">
        <f t="shared" si="27"/>
        <v>7229903.7870881725</v>
      </c>
      <c r="AH165" s="853"/>
      <c r="AI165" s="855">
        <f t="shared" si="28"/>
        <v>0</v>
      </c>
      <c r="AJ165" s="845" t="s">
        <v>548</v>
      </c>
      <c r="AK165" s="857" t="s">
        <v>549</v>
      </c>
      <c r="AL165" s="840"/>
      <c r="AM165" s="840"/>
      <c r="AN165" s="858"/>
      <c r="AO165" s="844" t="s">
        <v>141</v>
      </c>
      <c r="AP165" s="859"/>
      <c r="AQ165" s="859" t="s">
        <v>550</v>
      </c>
      <c r="AR165" s="859"/>
      <c r="AS165" s="840"/>
      <c r="AT165" s="840"/>
      <c r="AU165" s="860"/>
      <c r="AV165" s="839" t="s">
        <v>551</v>
      </c>
      <c r="AW165" s="861">
        <v>45058</v>
      </c>
      <c r="AX165" s="862" t="s">
        <v>552</v>
      </c>
      <c r="AY165" s="843"/>
      <c r="AZ165" s="842"/>
      <c r="BA165" s="842" t="s">
        <v>120</v>
      </c>
      <c r="BB165" s="863" t="s">
        <v>121</v>
      </c>
      <c r="BC165" s="864">
        <v>45058</v>
      </c>
      <c r="BD165" s="860" t="s">
        <v>553</v>
      </c>
      <c r="BE165" s="865" cm="1">
        <f t="array" ref="BE165">IF(BD165="","",AC165/SUMPRODUCT(--(BD165=$BD$4:$BD$12824),$AC$4:$AC$12824))</f>
        <v>5.6778396763457528E-2</v>
      </c>
      <c r="BF165" s="458"/>
      <c r="BG165" s="458"/>
      <c r="BH165" s="458"/>
      <c r="BI165" s="458"/>
      <c r="BJ165" s="458"/>
      <c r="BK165" s="458"/>
      <c r="BL165" s="458"/>
      <c r="BM165" s="458"/>
      <c r="BN165" s="458"/>
      <c r="BO165" s="866">
        <f>VLOOKUP(BD165,$BD$4:$BN$12824,3,0)*BE165</f>
        <v>4495545.9026817186</v>
      </c>
      <c r="BP165" s="866"/>
      <c r="BQ165" s="866"/>
      <c r="BR165" s="866">
        <f>VLOOKUP(BD165,$BD$4:$BN$12824,6,0)*BE165</f>
        <v>1075996.041384931</v>
      </c>
      <c r="BS165" s="866">
        <f>VLOOKUP(BD165,$BD$4:$BN$12824,7,0)*BE165</f>
        <v>0</v>
      </c>
      <c r="BT165" s="866"/>
      <c r="BU165" s="866">
        <f>VLOOKUP(BD165,$BD$4:$BN$12824,9,0)*BE165</f>
        <v>0</v>
      </c>
      <c r="BV165" s="867"/>
      <c r="BW165" s="867">
        <f>VLOOKUP(BD165,$BD$4:$BN$12824,11,0)*BE165</f>
        <v>0</v>
      </c>
      <c r="BX165" s="1146">
        <f t="shared" si="33"/>
        <v>5571541.9440666493</v>
      </c>
      <c r="BY165" s="867">
        <f t="shared" si="31"/>
        <v>16120987.539870963</v>
      </c>
      <c r="BZ165" s="867">
        <f t="shared" si="29"/>
        <v>80604937.699354813</v>
      </c>
      <c r="CA165" s="867">
        <f>_xlfn.MAXIFS($BY$4:$BY$12824,$S$4:$S$12824,$S165)</f>
        <v>17545500.96525253</v>
      </c>
      <c r="CB165" s="1032"/>
      <c r="CF165" s="946">
        <f t="shared" si="30"/>
        <v>67803491.968199998</v>
      </c>
    </row>
    <row r="166" spans="1:84">
      <c r="A166" s="1032"/>
      <c r="B166" s="839" t="s">
        <v>98</v>
      </c>
      <c r="C166" s="839" t="s">
        <v>273</v>
      </c>
      <c r="D166" s="839" t="s">
        <v>545</v>
      </c>
      <c r="E166" s="839" t="s">
        <v>545</v>
      </c>
      <c r="F166" s="841">
        <v>44944</v>
      </c>
      <c r="G166" s="840" t="s">
        <v>273</v>
      </c>
      <c r="H166" s="842" t="s">
        <v>134</v>
      </c>
      <c r="I166" s="842"/>
      <c r="J166" s="841"/>
      <c r="K166" s="841"/>
      <c r="L166" s="843"/>
      <c r="M166" s="844" t="s">
        <v>275</v>
      </c>
      <c r="N166" s="841"/>
      <c r="O166" s="841" t="s">
        <v>150</v>
      </c>
      <c r="P166" s="841" t="s">
        <v>461</v>
      </c>
      <c r="Q166" s="843"/>
      <c r="R166" s="845" t="s">
        <v>609</v>
      </c>
      <c r="S166" s="1127" t="s">
        <v>609</v>
      </c>
      <c r="T166" s="843" t="s">
        <v>610</v>
      </c>
      <c r="U166" s="842">
        <v>5</v>
      </c>
      <c r="V166" s="842" t="s">
        <v>3</v>
      </c>
      <c r="W166" s="846"/>
      <c r="X166" s="847">
        <f t="shared" si="24"/>
        <v>0</v>
      </c>
      <c r="Y166" s="848"/>
      <c r="Z166" s="849">
        <v>532.18600000000004</v>
      </c>
      <c r="AA166" s="849"/>
      <c r="AB166" s="849">
        <f t="shared" si="25"/>
        <v>2660.9300000000003</v>
      </c>
      <c r="AC166" s="850">
        <f t="shared" si="26"/>
        <v>2660.9300000000003</v>
      </c>
      <c r="AD166" s="851"/>
      <c r="AE166" s="852">
        <v>25481.03</v>
      </c>
      <c r="AF166" s="853">
        <v>0.1</v>
      </c>
      <c r="AG166" s="854">
        <f t="shared" si="27"/>
        <v>7229876.6166003486</v>
      </c>
      <c r="AH166" s="853"/>
      <c r="AI166" s="855">
        <f t="shared" si="28"/>
        <v>0</v>
      </c>
      <c r="AJ166" s="845" t="s">
        <v>548</v>
      </c>
      <c r="AK166" s="857" t="s">
        <v>549</v>
      </c>
      <c r="AL166" s="840"/>
      <c r="AM166" s="840"/>
      <c r="AN166" s="858"/>
      <c r="AO166" s="844" t="s">
        <v>141</v>
      </c>
      <c r="AP166" s="859"/>
      <c r="AQ166" s="859" t="s">
        <v>550</v>
      </c>
      <c r="AR166" s="859"/>
      <c r="AS166" s="840"/>
      <c r="AT166" s="840"/>
      <c r="AU166" s="860"/>
      <c r="AV166" s="839" t="s">
        <v>551</v>
      </c>
      <c r="AW166" s="861">
        <v>45058</v>
      </c>
      <c r="AX166" s="862" t="s">
        <v>552</v>
      </c>
      <c r="AY166" s="843"/>
      <c r="AZ166" s="842"/>
      <c r="BA166" s="842" t="s">
        <v>120</v>
      </c>
      <c r="BB166" s="863" t="s">
        <v>121</v>
      </c>
      <c r="BC166" s="864">
        <v>45058</v>
      </c>
      <c r="BD166" s="860" t="s">
        <v>553</v>
      </c>
      <c r="BE166" s="865" cm="1">
        <f t="array" ref="BE166">IF(BD166="","",AC166/SUMPRODUCT(--(BD166=$BD$4:$BD$12824),$AC$4:$AC$12824))</f>
        <v>5.6778183386242104E-2</v>
      </c>
      <c r="BF166" s="458"/>
      <c r="BG166" s="458"/>
      <c r="BH166" s="458"/>
      <c r="BI166" s="458"/>
      <c r="BJ166" s="458"/>
      <c r="BK166" s="458"/>
      <c r="BL166" s="458"/>
      <c r="BM166" s="458"/>
      <c r="BN166" s="458"/>
      <c r="BO166" s="866">
        <f>VLOOKUP(BD166,$BD$4:$BN$12824,3,0)*BE166</f>
        <v>4495529.0081034768</v>
      </c>
      <c r="BP166" s="866"/>
      <c r="BQ166" s="866"/>
      <c r="BR166" s="866">
        <f>VLOOKUP(BD166,$BD$4:$BN$12824,6,0)*BE166</f>
        <v>1075991.9977159968</v>
      </c>
      <c r="BS166" s="866">
        <f>VLOOKUP(BD166,$BD$4:$BN$12824,7,0)*BE166</f>
        <v>0</v>
      </c>
      <c r="BT166" s="866"/>
      <c r="BU166" s="866">
        <f>VLOOKUP(BD166,$BD$4:$BN$12824,9,0)*BE166</f>
        <v>0</v>
      </c>
      <c r="BV166" s="867"/>
      <c r="BW166" s="867">
        <f>VLOOKUP(BD166,$BD$4:$BN$12824,11,0)*BE166</f>
        <v>0</v>
      </c>
      <c r="BX166" s="1146">
        <f t="shared" si="33"/>
        <v>5571521.0058194734</v>
      </c>
      <c r="BY166" s="867">
        <f t="shared" si="31"/>
        <v>16120926.956063965</v>
      </c>
      <c r="BZ166" s="867">
        <f t="shared" si="29"/>
        <v>80604634.780319825</v>
      </c>
      <c r="CA166" s="867">
        <f>_xlfn.MAXIFS($BY$4:$BY$12824,$S$4:$S$12824,$S166)</f>
        <v>16120926.956063965</v>
      </c>
      <c r="CB166" s="1032"/>
      <c r="CF166" s="946">
        <f t="shared" si="30"/>
        <v>67803237.157900006</v>
      </c>
    </row>
    <row r="167" spans="1:84">
      <c r="A167" s="1032"/>
      <c r="B167" s="839" t="s">
        <v>98</v>
      </c>
      <c r="C167" s="839" t="s">
        <v>273</v>
      </c>
      <c r="D167" s="839" t="s">
        <v>545</v>
      </c>
      <c r="E167" s="839" t="s">
        <v>545</v>
      </c>
      <c r="F167" s="841">
        <v>44944</v>
      </c>
      <c r="G167" s="840" t="s">
        <v>273</v>
      </c>
      <c r="H167" s="842" t="s">
        <v>134</v>
      </c>
      <c r="I167" s="842"/>
      <c r="J167" s="841"/>
      <c r="K167" s="841"/>
      <c r="L167" s="843"/>
      <c r="M167" s="844" t="s">
        <v>275</v>
      </c>
      <c r="N167" s="841"/>
      <c r="O167" s="841" t="s">
        <v>135</v>
      </c>
      <c r="P167" s="841" t="s">
        <v>220</v>
      </c>
      <c r="Q167" s="843"/>
      <c r="R167" s="845"/>
      <c r="S167" s="1127" t="s">
        <v>611</v>
      </c>
      <c r="T167" s="843" t="s">
        <v>612</v>
      </c>
      <c r="U167" s="842">
        <v>2</v>
      </c>
      <c r="V167" s="842" t="s">
        <v>3</v>
      </c>
      <c r="W167" s="846"/>
      <c r="X167" s="847">
        <f t="shared" si="24"/>
        <v>0</v>
      </c>
      <c r="Y167" s="848"/>
      <c r="Z167" s="849">
        <v>3157.07</v>
      </c>
      <c r="AA167" s="849"/>
      <c r="AB167" s="849">
        <f t="shared" si="25"/>
        <v>6314.14</v>
      </c>
      <c r="AC167" s="850">
        <f t="shared" si="26"/>
        <v>6314.14</v>
      </c>
      <c r="AD167" s="851"/>
      <c r="AE167" s="852">
        <v>25481.03</v>
      </c>
      <c r="AF167" s="853">
        <v>0.1</v>
      </c>
      <c r="AG167" s="854">
        <f t="shared" si="27"/>
        <v>17155826.399018735</v>
      </c>
      <c r="AH167" s="853"/>
      <c r="AI167" s="855">
        <f t="shared" si="28"/>
        <v>0</v>
      </c>
      <c r="AJ167" s="845" t="s">
        <v>548</v>
      </c>
      <c r="AK167" s="857" t="s">
        <v>549</v>
      </c>
      <c r="AL167" s="840"/>
      <c r="AM167" s="840"/>
      <c r="AN167" s="858"/>
      <c r="AO167" s="844" t="s">
        <v>141</v>
      </c>
      <c r="AP167" s="859"/>
      <c r="AQ167" s="859" t="s">
        <v>550</v>
      </c>
      <c r="AR167" s="859"/>
      <c r="AS167" s="840"/>
      <c r="AT167" s="840"/>
      <c r="AU167" s="860"/>
      <c r="AV167" s="839" t="s">
        <v>551</v>
      </c>
      <c r="AW167" s="861">
        <v>45058</v>
      </c>
      <c r="AX167" s="862" t="s">
        <v>552</v>
      </c>
      <c r="AY167" s="843"/>
      <c r="AZ167" s="842"/>
      <c r="BA167" s="842" t="s">
        <v>120</v>
      </c>
      <c r="BB167" s="863" t="s">
        <v>121</v>
      </c>
      <c r="BC167" s="864">
        <v>45058</v>
      </c>
      <c r="BD167" s="860" t="s">
        <v>553</v>
      </c>
      <c r="BE167" s="865" cm="1">
        <f t="array" ref="BE167">IF(BD167="","",AC167/SUMPRODUCT(--(BD167=$BD$4:$BD$12824),$AC$4:$AC$12824))</f>
        <v>0.13472936110548067</v>
      </c>
      <c r="BF167" s="458"/>
      <c r="BG167" s="458"/>
      <c r="BH167" s="458"/>
      <c r="BI167" s="458"/>
      <c r="BJ167" s="458"/>
      <c r="BK167" s="458"/>
      <c r="BL167" s="458"/>
      <c r="BM167" s="458"/>
      <c r="BN167" s="458"/>
      <c r="BO167" s="866">
        <f>VLOOKUP(BD167,$BD$4:$BN$12824,3,0)*BE167</f>
        <v>10667473.225987338</v>
      </c>
      <c r="BP167" s="866"/>
      <c r="BQ167" s="866"/>
      <c r="BR167" s="866">
        <f>VLOOKUP(BD167,$BD$4:$BN$12824,6,0)*BE167</f>
        <v>2553229.176437743</v>
      </c>
      <c r="BS167" s="866">
        <f>VLOOKUP(BD167,$BD$4:$BN$12824,7,0)*BE167</f>
        <v>0</v>
      </c>
      <c r="BT167" s="866"/>
      <c r="BU167" s="866">
        <f>VLOOKUP(BD167,$BD$4:$BN$12824,9,0)*BE167</f>
        <v>0</v>
      </c>
      <c r="BV167" s="867"/>
      <c r="BW167" s="867">
        <f>VLOOKUP(BD167,$BD$4:$BN$12824,11,0)*BE167</f>
        <v>0</v>
      </c>
      <c r="BX167" s="1146">
        <f t="shared" si="33"/>
        <v>13220702.402425081</v>
      </c>
      <c r="BY167" s="867">
        <f t="shared" si="31"/>
        <v>95633659.782821909</v>
      </c>
      <c r="BZ167" s="867">
        <f t="shared" si="29"/>
        <v>191267319.56564382</v>
      </c>
      <c r="CA167" s="867">
        <f>_xlfn.MAXIFS($BY$4:$BY$12824,$S$4:$S$12824,$S167)</f>
        <v>95633659.782821909</v>
      </c>
      <c r="CB167" s="1032"/>
      <c r="CF167" s="946">
        <f t="shared" si="30"/>
        <v>160890790.7642</v>
      </c>
    </row>
    <row r="168" spans="1:84">
      <c r="A168" s="1032"/>
      <c r="B168" s="839" t="s">
        <v>98</v>
      </c>
      <c r="C168" s="839" t="s">
        <v>273</v>
      </c>
      <c r="D168" s="839" t="s">
        <v>545</v>
      </c>
      <c r="E168" s="839" t="s">
        <v>545</v>
      </c>
      <c r="F168" s="841">
        <v>44944</v>
      </c>
      <c r="G168" s="840" t="s">
        <v>273</v>
      </c>
      <c r="H168" s="842" t="s">
        <v>134</v>
      </c>
      <c r="I168" s="842"/>
      <c r="J168" s="841"/>
      <c r="K168" s="841"/>
      <c r="L168" s="843"/>
      <c r="M168" s="844" t="s">
        <v>275</v>
      </c>
      <c r="N168" s="841"/>
      <c r="O168" s="841" t="s">
        <v>150</v>
      </c>
      <c r="P168" s="841" t="s">
        <v>276</v>
      </c>
      <c r="Q168" s="843"/>
      <c r="R168" s="845" t="s">
        <v>613</v>
      </c>
      <c r="S168" s="1127" t="s">
        <v>613</v>
      </c>
      <c r="T168" s="843" t="s">
        <v>614</v>
      </c>
      <c r="U168" s="842">
        <v>12</v>
      </c>
      <c r="V168" s="842" t="s">
        <v>3</v>
      </c>
      <c r="W168" s="846"/>
      <c r="X168" s="847">
        <f t="shared" si="24"/>
        <v>0</v>
      </c>
      <c r="Y168" s="848"/>
      <c r="Z168" s="849">
        <v>923.88166000000001</v>
      </c>
      <c r="AA168" s="849"/>
      <c r="AB168" s="849">
        <f t="shared" si="25"/>
        <v>11086.57992</v>
      </c>
      <c r="AC168" s="850">
        <f t="shared" si="26"/>
        <v>11086.57992</v>
      </c>
      <c r="AD168" s="851"/>
      <c r="AE168" s="852">
        <v>25481.03</v>
      </c>
      <c r="AF168" s="853">
        <v>0.1</v>
      </c>
      <c r="AG168" s="854">
        <f t="shared" si="27"/>
        <v>30122778.472819258</v>
      </c>
      <c r="AH168" s="853"/>
      <c r="AI168" s="855">
        <f t="shared" si="28"/>
        <v>0</v>
      </c>
      <c r="AJ168" s="845" t="s">
        <v>548</v>
      </c>
      <c r="AK168" s="857" t="s">
        <v>549</v>
      </c>
      <c r="AL168" s="840"/>
      <c r="AM168" s="840"/>
      <c r="AN168" s="858"/>
      <c r="AO168" s="844" t="s">
        <v>141</v>
      </c>
      <c r="AP168" s="859"/>
      <c r="AQ168" s="859" t="s">
        <v>550</v>
      </c>
      <c r="AR168" s="859"/>
      <c r="AS168" s="840"/>
      <c r="AT168" s="840"/>
      <c r="AU168" s="860"/>
      <c r="AV168" s="839" t="s">
        <v>551</v>
      </c>
      <c r="AW168" s="861">
        <v>45058</v>
      </c>
      <c r="AX168" s="862" t="s">
        <v>552</v>
      </c>
      <c r="AY168" s="843"/>
      <c r="AZ168" s="842"/>
      <c r="BA168" s="842" t="s">
        <v>120</v>
      </c>
      <c r="BB168" s="863" t="s">
        <v>121</v>
      </c>
      <c r="BC168" s="864">
        <v>45058</v>
      </c>
      <c r="BD168" s="860" t="s">
        <v>553</v>
      </c>
      <c r="BE168" s="865" cm="1">
        <f t="array" ref="BE168">IF(BD168="","",AC168/SUMPRODUCT(--(BD168=$BD$4:$BD$12824),$AC$4:$AC$12824))</f>
        <v>0.2365623552006213</v>
      </c>
      <c r="BF168" s="458"/>
      <c r="BG168" s="458"/>
      <c r="BH168" s="458"/>
      <c r="BI168" s="458"/>
      <c r="BJ168" s="458"/>
      <c r="BK168" s="458"/>
      <c r="BL168" s="458"/>
      <c r="BM168" s="458"/>
      <c r="BN168" s="458"/>
      <c r="BO168" s="866">
        <f>VLOOKUP(BD168,$BD$4:$BN$12824,3,0)*BE168</f>
        <v>18730309.189274997</v>
      </c>
      <c r="BP168" s="866"/>
      <c r="BQ168" s="866"/>
      <c r="BR168" s="866">
        <f>VLOOKUP(BD168,$BD$4:$BN$12824,6,0)*BE168</f>
        <v>4483045.8809359344</v>
      </c>
      <c r="BS168" s="866">
        <f>VLOOKUP(BD168,$BD$4:$BN$12824,7,0)*BE168</f>
        <v>0</v>
      </c>
      <c r="BT168" s="866"/>
      <c r="BU168" s="866">
        <f>VLOOKUP(BD168,$BD$4:$BN$12824,9,0)*BE168</f>
        <v>0</v>
      </c>
      <c r="BV168" s="867"/>
      <c r="BW168" s="867">
        <f>VLOOKUP(BD168,$BD$4:$BN$12824,11,0)*BE168</f>
        <v>0</v>
      </c>
      <c r="BX168" s="1146">
        <f t="shared" si="33"/>
        <v>23213355.07021093</v>
      </c>
      <c r="BY168" s="867">
        <f t="shared" si="31"/>
        <v>27986134.090162318</v>
      </c>
      <c r="BZ168" s="867">
        <f t="shared" si="29"/>
        <v>335833609.0819478</v>
      </c>
      <c r="CA168" s="867">
        <f>_xlfn.MAXIFS($BY$4:$BY$12824,$S$4:$S$12824,$S168)</f>
        <v>27986134.090162318</v>
      </c>
      <c r="CB168" s="1032"/>
      <c r="CF168" s="946">
        <f t="shared" si="30"/>
        <v>282497475.5389176</v>
      </c>
    </row>
    <row r="169" spans="1:84">
      <c r="A169" s="1032"/>
      <c r="B169" s="839" t="s">
        <v>98</v>
      </c>
      <c r="C169" s="839" t="s">
        <v>273</v>
      </c>
      <c r="D169" s="839" t="s">
        <v>545</v>
      </c>
      <c r="E169" s="839" t="s">
        <v>545</v>
      </c>
      <c r="F169" s="841">
        <v>44944</v>
      </c>
      <c r="G169" s="840" t="s">
        <v>273</v>
      </c>
      <c r="H169" s="842" t="s">
        <v>134</v>
      </c>
      <c r="I169" s="842"/>
      <c r="J169" s="841"/>
      <c r="K169" s="841"/>
      <c r="L169" s="843"/>
      <c r="M169" s="844" t="s">
        <v>275</v>
      </c>
      <c r="N169" s="841"/>
      <c r="O169" s="841" t="s">
        <v>150</v>
      </c>
      <c r="P169" s="841" t="s">
        <v>461</v>
      </c>
      <c r="Q169" s="843"/>
      <c r="R169" s="845" t="s">
        <v>615</v>
      </c>
      <c r="S169" s="1127" t="s">
        <v>615</v>
      </c>
      <c r="T169" s="843" t="s">
        <v>616</v>
      </c>
      <c r="U169" s="842">
        <v>1</v>
      </c>
      <c r="V169" s="842" t="s">
        <v>3</v>
      </c>
      <c r="W169" s="846"/>
      <c r="X169" s="847">
        <f t="shared" si="24"/>
        <v>0</v>
      </c>
      <c r="Y169" s="848"/>
      <c r="Z169" s="849">
        <v>1574.43</v>
      </c>
      <c r="AA169" s="849"/>
      <c r="AB169" s="849">
        <f t="shared" si="25"/>
        <v>1574.43</v>
      </c>
      <c r="AC169" s="850">
        <f t="shared" si="26"/>
        <v>1574.43</v>
      </c>
      <c r="AD169" s="851"/>
      <c r="AE169" s="852">
        <v>25481.03</v>
      </c>
      <c r="AF169" s="853">
        <v>0.1</v>
      </c>
      <c r="AG169" s="854">
        <f t="shared" si="27"/>
        <v>4277803.1145028565</v>
      </c>
      <c r="AH169" s="853"/>
      <c r="AI169" s="855">
        <f t="shared" si="28"/>
        <v>0</v>
      </c>
      <c r="AJ169" s="845" t="s">
        <v>548</v>
      </c>
      <c r="AK169" s="857" t="s">
        <v>549</v>
      </c>
      <c r="AL169" s="840"/>
      <c r="AM169" s="840"/>
      <c r="AN169" s="858"/>
      <c r="AO169" s="844" t="s">
        <v>141</v>
      </c>
      <c r="AP169" s="859"/>
      <c r="AQ169" s="859" t="s">
        <v>550</v>
      </c>
      <c r="AR169" s="859"/>
      <c r="AS169" s="840"/>
      <c r="AT169" s="840"/>
      <c r="AU169" s="860"/>
      <c r="AV169" s="839" t="s">
        <v>551</v>
      </c>
      <c r="AW169" s="861">
        <v>45058</v>
      </c>
      <c r="AX169" s="862" t="s">
        <v>552</v>
      </c>
      <c r="AY169" s="843"/>
      <c r="AZ169" s="842"/>
      <c r="BA169" s="842" t="s">
        <v>120</v>
      </c>
      <c r="BB169" s="863" t="s">
        <v>121</v>
      </c>
      <c r="BC169" s="864">
        <v>45058</v>
      </c>
      <c r="BD169" s="860" t="s">
        <v>553</v>
      </c>
      <c r="BE169" s="865" cm="1">
        <f t="array" ref="BE169">IF(BD169="","",AC169/SUMPRODUCT(--(BD169=$BD$4:$BD$12824),$AC$4:$AC$12824))</f>
        <v>3.3594748929434877E-2</v>
      </c>
      <c r="BF169" s="458"/>
      <c r="BG169" s="458"/>
      <c r="BH169" s="458"/>
      <c r="BI169" s="458"/>
      <c r="BJ169" s="458"/>
      <c r="BK169" s="458"/>
      <c r="BL169" s="458"/>
      <c r="BM169" s="458"/>
      <c r="BN169" s="458"/>
      <c r="BO169" s="866">
        <f>VLOOKUP(BD169,$BD$4:$BN$12824,3,0)*BE169</f>
        <v>2659933.082128563</v>
      </c>
      <c r="BP169" s="866"/>
      <c r="BQ169" s="866"/>
      <c r="BR169" s="866">
        <f>VLOOKUP(BD169,$BD$4:$BN$12824,6,0)*BE169</f>
        <v>636647.36801193445</v>
      </c>
      <c r="BS169" s="866">
        <f>VLOOKUP(BD169,$BD$4:$BN$12824,7,0)*BE169</f>
        <v>0</v>
      </c>
      <c r="BT169" s="866"/>
      <c r="BU169" s="866">
        <f>VLOOKUP(BD169,$BD$4:$BN$12824,9,0)*BE169</f>
        <v>0</v>
      </c>
      <c r="BV169" s="867"/>
      <c r="BW169" s="867">
        <f>VLOOKUP(BD169,$BD$4:$BN$12824,11,0)*BE169</f>
        <v>0</v>
      </c>
      <c r="BX169" s="1146">
        <f t="shared" si="33"/>
        <v>3296580.4501404976</v>
      </c>
      <c r="BY169" s="867">
        <f t="shared" si="31"/>
        <v>47692481.627543353</v>
      </c>
      <c r="BZ169" s="867">
        <f t="shared" si="29"/>
        <v>47692481.627543353</v>
      </c>
      <c r="CA169" s="867">
        <f>_xlfn.MAXIFS($BY$4:$BY$12824,$S$4:$S$12824,$S169)</f>
        <v>47692481.627543353</v>
      </c>
      <c r="CB169" s="1032"/>
      <c r="CF169" s="946">
        <f t="shared" si="30"/>
        <v>40118098.062899999</v>
      </c>
    </row>
    <row r="170" spans="1:84">
      <c r="A170" s="1032"/>
      <c r="B170" s="839" t="s">
        <v>98</v>
      </c>
      <c r="C170" s="839" t="s">
        <v>273</v>
      </c>
      <c r="D170" s="839" t="s">
        <v>545</v>
      </c>
      <c r="E170" s="839" t="s">
        <v>545</v>
      </c>
      <c r="F170" s="841">
        <v>44944</v>
      </c>
      <c r="G170" s="840" t="s">
        <v>273</v>
      </c>
      <c r="H170" s="842" t="s">
        <v>134</v>
      </c>
      <c r="I170" s="842"/>
      <c r="J170" s="841"/>
      <c r="K170" s="841"/>
      <c r="L170" s="843"/>
      <c r="M170" s="844" t="s">
        <v>275</v>
      </c>
      <c r="N170" s="841"/>
      <c r="O170" s="841" t="s">
        <v>150</v>
      </c>
      <c r="P170" s="841" t="s">
        <v>276</v>
      </c>
      <c r="Q170" s="843"/>
      <c r="R170" s="845" t="s">
        <v>617</v>
      </c>
      <c r="S170" s="1127" t="s">
        <v>617</v>
      </c>
      <c r="T170" s="843" t="s">
        <v>618</v>
      </c>
      <c r="U170" s="842">
        <v>2</v>
      </c>
      <c r="V170" s="842" t="s">
        <v>3</v>
      </c>
      <c r="W170" s="846"/>
      <c r="X170" s="847">
        <f t="shared" si="24"/>
        <v>0</v>
      </c>
      <c r="Y170" s="848"/>
      <c r="Z170" s="849">
        <v>654.73500000000001</v>
      </c>
      <c r="AA170" s="849"/>
      <c r="AB170" s="849">
        <f t="shared" si="25"/>
        <v>1309.47</v>
      </c>
      <c r="AC170" s="850">
        <f t="shared" si="26"/>
        <v>1309.47</v>
      </c>
      <c r="AD170" s="851"/>
      <c r="AE170" s="852">
        <v>25481.03</v>
      </c>
      <c r="AF170" s="853">
        <v>0.1</v>
      </c>
      <c r="AG170" s="854">
        <f t="shared" si="27"/>
        <v>3464129.9094199198</v>
      </c>
      <c r="AH170" s="853"/>
      <c r="AI170" s="855">
        <f t="shared" si="28"/>
        <v>0</v>
      </c>
      <c r="AJ170" s="845" t="s">
        <v>548</v>
      </c>
      <c r="AK170" s="857" t="s">
        <v>549</v>
      </c>
      <c r="AL170" s="840"/>
      <c r="AM170" s="840"/>
      <c r="AN170" s="858"/>
      <c r="AO170" s="844" t="s">
        <v>141</v>
      </c>
      <c r="AP170" s="859"/>
      <c r="AQ170" s="859" t="s">
        <v>550</v>
      </c>
      <c r="AR170" s="859"/>
      <c r="AS170" s="840"/>
      <c r="AT170" s="840"/>
      <c r="AU170" s="860"/>
      <c r="AV170" s="839" t="s">
        <v>619</v>
      </c>
      <c r="AW170" s="861">
        <v>45058</v>
      </c>
      <c r="AX170" s="862" t="s">
        <v>552</v>
      </c>
      <c r="AY170" s="843"/>
      <c r="AZ170" s="842"/>
      <c r="BA170" s="842" t="s">
        <v>120</v>
      </c>
      <c r="BB170" s="863" t="s">
        <v>121</v>
      </c>
      <c r="BC170" s="864">
        <v>45058</v>
      </c>
      <c r="BD170" s="860" t="s">
        <v>620</v>
      </c>
      <c r="BE170" s="865" cm="1">
        <f t="array" ref="BE170">IF(BD170="","",AC170/SUMPRODUCT(--(BD170=$BD$4:$BD$12824),$AC$4:$AC$12824))</f>
        <v>1.6098790700057448E-2</v>
      </c>
      <c r="BF170" s="458">
        <v>72098000</v>
      </c>
      <c r="BG170" s="458"/>
      <c r="BH170" s="458"/>
      <c r="BI170" s="458">
        <v>17228000</v>
      </c>
      <c r="BJ170" s="458">
        <v>7079049</v>
      </c>
      <c r="BK170" s="458"/>
      <c r="BL170" s="458">
        <v>500000</v>
      </c>
      <c r="BM170" s="458"/>
      <c r="BN170" s="458">
        <v>1000000</v>
      </c>
      <c r="BO170" s="866">
        <f>VLOOKUP(BD170,$BD$4:$BN$12824,3,0)*BE170</f>
        <v>1160690.6118927419</v>
      </c>
      <c r="BP170" s="866"/>
      <c r="BQ170" s="866"/>
      <c r="BR170" s="866">
        <f>VLOOKUP(BD170,$BD$4:$BN$12824,6,0)*BE170</f>
        <v>277349.96618058969</v>
      </c>
      <c r="BS170" s="866">
        <f>VLOOKUP(BD170,$BD$4:$BN$12824,7,0)*BE170</f>
        <v>113964.12820645097</v>
      </c>
      <c r="BT170" s="866"/>
      <c r="BU170" s="866">
        <f>VLOOKUP(BD170,$BD$4:$BN$12824,9,0)*BE170</f>
        <v>8049.3953500287234</v>
      </c>
      <c r="BV170" s="867"/>
      <c r="BW170" s="867">
        <f>VLOOKUP(BD170,$BD$4:$BN$12824,11,0)*BE170</f>
        <v>16098.790700057447</v>
      </c>
      <c r="BX170" s="1146">
        <f t="shared" ref="BX170:BX214" si="34">SUM(BO170:BW170)</f>
        <v>1576152.8923298689</v>
      </c>
      <c r="BY170" s="867">
        <f t="shared" si="31"/>
        <v>19203463.577924896</v>
      </c>
      <c r="BZ170" s="867">
        <f t="shared" si="29"/>
        <v>38406927.155849792</v>
      </c>
      <c r="CA170" s="867">
        <f>_xlfn.MAXIFS($BY$4:$BY$12824,$S$4:$S$12824,$S170)</f>
        <v>19203463.577924896</v>
      </c>
      <c r="CB170" s="1032"/>
      <c r="CF170" s="946">
        <f t="shared" si="30"/>
        <v>33366644.3541</v>
      </c>
    </row>
    <row r="171" spans="1:84">
      <c r="A171" s="1032"/>
      <c r="B171" s="839" t="s">
        <v>98</v>
      </c>
      <c r="C171" s="839" t="s">
        <v>273</v>
      </c>
      <c r="D171" s="839" t="s">
        <v>545</v>
      </c>
      <c r="E171" s="839" t="s">
        <v>545</v>
      </c>
      <c r="F171" s="841">
        <v>44944</v>
      </c>
      <c r="G171" s="840" t="s">
        <v>273</v>
      </c>
      <c r="H171" s="842" t="s">
        <v>134</v>
      </c>
      <c r="I171" s="842"/>
      <c r="J171" s="841"/>
      <c r="K171" s="841"/>
      <c r="L171" s="843"/>
      <c r="M171" s="844" t="s">
        <v>275</v>
      </c>
      <c r="N171" s="841"/>
      <c r="O171" s="841" t="s">
        <v>150</v>
      </c>
      <c r="P171" s="841" t="s">
        <v>276</v>
      </c>
      <c r="Q171" s="843"/>
      <c r="R171" s="845" t="s">
        <v>621</v>
      </c>
      <c r="S171" s="1127" t="s">
        <v>621</v>
      </c>
      <c r="T171" s="843" t="s">
        <v>622</v>
      </c>
      <c r="U171" s="842">
        <v>2</v>
      </c>
      <c r="V171" s="842" t="s">
        <v>3</v>
      </c>
      <c r="W171" s="846"/>
      <c r="X171" s="847">
        <f t="shared" si="24"/>
        <v>0</v>
      </c>
      <c r="Y171" s="848"/>
      <c r="Z171" s="849">
        <v>654.73500000000001</v>
      </c>
      <c r="AA171" s="849"/>
      <c r="AB171" s="849">
        <f t="shared" si="25"/>
        <v>1309.47</v>
      </c>
      <c r="AC171" s="850">
        <f t="shared" si="26"/>
        <v>1309.47</v>
      </c>
      <c r="AD171" s="851"/>
      <c r="AE171" s="852">
        <v>25481.03</v>
      </c>
      <c r="AF171" s="853">
        <v>0.1</v>
      </c>
      <c r="AG171" s="854">
        <f t="shared" si="27"/>
        <v>3464129.9094199198</v>
      </c>
      <c r="AH171" s="853"/>
      <c r="AI171" s="855">
        <f t="shared" si="28"/>
        <v>0</v>
      </c>
      <c r="AJ171" s="845" t="s">
        <v>548</v>
      </c>
      <c r="AK171" s="857" t="s">
        <v>549</v>
      </c>
      <c r="AL171" s="840"/>
      <c r="AM171" s="840"/>
      <c r="AN171" s="858"/>
      <c r="AO171" s="844" t="s">
        <v>141</v>
      </c>
      <c r="AP171" s="859"/>
      <c r="AQ171" s="859" t="s">
        <v>550</v>
      </c>
      <c r="AR171" s="859"/>
      <c r="AS171" s="840"/>
      <c r="AT171" s="840"/>
      <c r="AU171" s="860"/>
      <c r="AV171" s="839" t="s">
        <v>619</v>
      </c>
      <c r="AW171" s="861">
        <v>45058</v>
      </c>
      <c r="AX171" s="862" t="s">
        <v>552</v>
      </c>
      <c r="AY171" s="843"/>
      <c r="AZ171" s="842"/>
      <c r="BA171" s="842" t="s">
        <v>120</v>
      </c>
      <c r="BB171" s="863" t="s">
        <v>121</v>
      </c>
      <c r="BC171" s="864">
        <v>45058</v>
      </c>
      <c r="BD171" s="860" t="s">
        <v>620</v>
      </c>
      <c r="BE171" s="865" cm="1">
        <f t="array" ref="BE171">IF(BD171="","",AC171/SUMPRODUCT(--(BD171=$BD$4:$BD$12824),$AC$4:$AC$12824))</f>
        <v>1.6098790700057448E-2</v>
      </c>
      <c r="BF171" s="458"/>
      <c r="BG171" s="458"/>
      <c r="BH171" s="458"/>
      <c r="BI171" s="458"/>
      <c r="BJ171" s="458"/>
      <c r="BK171" s="458"/>
      <c r="BL171" s="458"/>
      <c r="BM171" s="458"/>
      <c r="BN171" s="458"/>
      <c r="BO171" s="866">
        <f>VLOOKUP(BD171,$BD$4:$BN$12824,3,0)*BE171</f>
        <v>1160690.6118927419</v>
      </c>
      <c r="BP171" s="866"/>
      <c r="BQ171" s="866"/>
      <c r="BR171" s="866">
        <f>VLOOKUP(BD171,$BD$4:$BN$12824,6,0)*BE171</f>
        <v>277349.96618058969</v>
      </c>
      <c r="BS171" s="866">
        <f>VLOOKUP(BD171,$BD$4:$BN$12824,7,0)*BE171</f>
        <v>113964.12820645097</v>
      </c>
      <c r="BT171" s="866"/>
      <c r="BU171" s="866">
        <f>VLOOKUP(BD171,$BD$4:$BN$12824,9,0)*BE171</f>
        <v>8049.3953500287234</v>
      </c>
      <c r="BV171" s="867"/>
      <c r="BW171" s="867">
        <f>VLOOKUP(BD171,$BD$4:$BN$12824,11,0)*BE171</f>
        <v>16098.790700057447</v>
      </c>
      <c r="BX171" s="1146">
        <f t="shared" si="34"/>
        <v>1576152.8923298689</v>
      </c>
      <c r="BY171" s="867">
        <f t="shared" si="31"/>
        <v>19203463.577924896</v>
      </c>
      <c r="BZ171" s="867">
        <f t="shared" si="29"/>
        <v>38406927.155849792</v>
      </c>
      <c r="CA171" s="867">
        <f>_xlfn.MAXIFS($BY$4:$BY$12824,$S$4:$S$12824,$S171)</f>
        <v>19203463.577924896</v>
      </c>
      <c r="CB171" s="1032"/>
      <c r="CF171" s="946">
        <f t="shared" si="30"/>
        <v>33366644.3541</v>
      </c>
    </row>
    <row r="172" spans="1:84">
      <c r="A172" s="1032"/>
      <c r="B172" s="839" t="s">
        <v>98</v>
      </c>
      <c r="C172" s="839" t="s">
        <v>273</v>
      </c>
      <c r="D172" s="839" t="s">
        <v>545</v>
      </c>
      <c r="E172" s="839" t="s">
        <v>545</v>
      </c>
      <c r="F172" s="841">
        <v>44944</v>
      </c>
      <c r="G172" s="840" t="s">
        <v>273</v>
      </c>
      <c r="H172" s="842" t="s">
        <v>134</v>
      </c>
      <c r="I172" s="842"/>
      <c r="J172" s="841"/>
      <c r="K172" s="841"/>
      <c r="L172" s="843"/>
      <c r="M172" s="844" t="s">
        <v>275</v>
      </c>
      <c r="N172" s="841"/>
      <c r="O172" s="841" t="s">
        <v>150</v>
      </c>
      <c r="P172" s="841" t="s">
        <v>276</v>
      </c>
      <c r="Q172" s="843"/>
      <c r="R172" s="845" t="s">
        <v>623</v>
      </c>
      <c r="S172" s="1127" t="s">
        <v>623</v>
      </c>
      <c r="T172" s="843" t="s">
        <v>624</v>
      </c>
      <c r="U172" s="842">
        <v>2</v>
      </c>
      <c r="V172" s="842" t="s">
        <v>3</v>
      </c>
      <c r="W172" s="846"/>
      <c r="X172" s="847">
        <f t="shared" si="24"/>
        <v>0</v>
      </c>
      <c r="Y172" s="848"/>
      <c r="Z172" s="849">
        <v>654.73500000000001</v>
      </c>
      <c r="AA172" s="849"/>
      <c r="AB172" s="849">
        <f t="shared" si="25"/>
        <v>1309.47</v>
      </c>
      <c r="AC172" s="850">
        <f t="shared" si="26"/>
        <v>1309.47</v>
      </c>
      <c r="AD172" s="851"/>
      <c r="AE172" s="852">
        <v>25481.03</v>
      </c>
      <c r="AF172" s="853">
        <v>0.1</v>
      </c>
      <c r="AG172" s="854">
        <f t="shared" si="27"/>
        <v>3464129.9094199198</v>
      </c>
      <c r="AH172" s="853"/>
      <c r="AI172" s="855">
        <f t="shared" si="28"/>
        <v>0</v>
      </c>
      <c r="AJ172" s="845" t="s">
        <v>548</v>
      </c>
      <c r="AK172" s="857" t="s">
        <v>549</v>
      </c>
      <c r="AL172" s="840"/>
      <c r="AM172" s="840"/>
      <c r="AN172" s="858"/>
      <c r="AO172" s="844" t="s">
        <v>141</v>
      </c>
      <c r="AP172" s="859"/>
      <c r="AQ172" s="859" t="s">
        <v>550</v>
      </c>
      <c r="AR172" s="859"/>
      <c r="AS172" s="840"/>
      <c r="AT172" s="840"/>
      <c r="AU172" s="860"/>
      <c r="AV172" s="839" t="s">
        <v>619</v>
      </c>
      <c r="AW172" s="861">
        <v>45058</v>
      </c>
      <c r="AX172" s="862" t="s">
        <v>552</v>
      </c>
      <c r="AY172" s="843"/>
      <c r="AZ172" s="842"/>
      <c r="BA172" s="842" t="s">
        <v>120</v>
      </c>
      <c r="BB172" s="863" t="s">
        <v>121</v>
      </c>
      <c r="BC172" s="864">
        <v>45058</v>
      </c>
      <c r="BD172" s="860" t="s">
        <v>620</v>
      </c>
      <c r="BE172" s="865" cm="1">
        <f t="array" ref="BE172">IF(BD172="","",AC172/SUMPRODUCT(--(BD172=$BD$4:$BD$12824),$AC$4:$AC$12824))</f>
        <v>1.6098790700057448E-2</v>
      </c>
      <c r="BF172" s="458"/>
      <c r="BG172" s="458"/>
      <c r="BH172" s="458"/>
      <c r="BI172" s="458"/>
      <c r="BJ172" s="458"/>
      <c r="BK172" s="458"/>
      <c r="BL172" s="458"/>
      <c r="BM172" s="458"/>
      <c r="BN172" s="458"/>
      <c r="BO172" s="866">
        <f>VLOOKUP(BD172,$BD$4:$BN$12824,3,0)*BE172</f>
        <v>1160690.6118927419</v>
      </c>
      <c r="BP172" s="866"/>
      <c r="BQ172" s="866"/>
      <c r="BR172" s="866">
        <f>VLOOKUP(BD172,$BD$4:$BN$12824,6,0)*BE172</f>
        <v>277349.96618058969</v>
      </c>
      <c r="BS172" s="866">
        <f>VLOOKUP(BD172,$BD$4:$BN$12824,7,0)*BE172</f>
        <v>113964.12820645097</v>
      </c>
      <c r="BT172" s="866"/>
      <c r="BU172" s="866">
        <f>VLOOKUP(BD172,$BD$4:$BN$12824,9,0)*BE172</f>
        <v>8049.3953500287234</v>
      </c>
      <c r="BV172" s="867"/>
      <c r="BW172" s="867">
        <f>VLOOKUP(BD172,$BD$4:$BN$12824,11,0)*BE172</f>
        <v>16098.790700057447</v>
      </c>
      <c r="BX172" s="1146">
        <f t="shared" si="34"/>
        <v>1576152.8923298689</v>
      </c>
      <c r="BY172" s="867">
        <f t="shared" si="31"/>
        <v>19203463.577924896</v>
      </c>
      <c r="BZ172" s="867">
        <f t="shared" si="29"/>
        <v>38406927.155849792</v>
      </c>
      <c r="CA172" s="867">
        <f>_xlfn.MAXIFS($BY$4:$BY$12824,$S$4:$S$12824,$S172)</f>
        <v>19203463.577924896</v>
      </c>
      <c r="CB172" s="1032"/>
      <c r="CF172" s="946">
        <f t="shared" si="30"/>
        <v>33366644.3541</v>
      </c>
    </row>
    <row r="173" spans="1:84">
      <c r="A173" s="1032"/>
      <c r="B173" s="839" t="s">
        <v>98</v>
      </c>
      <c r="C173" s="839" t="s">
        <v>273</v>
      </c>
      <c r="D173" s="839" t="s">
        <v>545</v>
      </c>
      <c r="E173" s="839" t="s">
        <v>545</v>
      </c>
      <c r="F173" s="841">
        <v>44944</v>
      </c>
      <c r="G173" s="840" t="s">
        <v>273</v>
      </c>
      <c r="H173" s="842" t="s">
        <v>134</v>
      </c>
      <c r="I173" s="842"/>
      <c r="J173" s="841"/>
      <c r="K173" s="841"/>
      <c r="L173" s="843"/>
      <c r="M173" s="844" t="s">
        <v>275</v>
      </c>
      <c r="N173" s="841"/>
      <c r="O173" s="841" t="s">
        <v>150</v>
      </c>
      <c r="P173" s="841" t="s">
        <v>276</v>
      </c>
      <c r="Q173" s="843"/>
      <c r="R173" s="845" t="s">
        <v>625</v>
      </c>
      <c r="S173" s="1127" t="s">
        <v>625</v>
      </c>
      <c r="T173" s="843" t="s">
        <v>626</v>
      </c>
      <c r="U173" s="842">
        <v>2</v>
      </c>
      <c r="V173" s="842" t="s">
        <v>3</v>
      </c>
      <c r="W173" s="846"/>
      <c r="X173" s="847">
        <f t="shared" si="24"/>
        <v>0</v>
      </c>
      <c r="Y173" s="848"/>
      <c r="Z173" s="849">
        <v>654.73500000000001</v>
      </c>
      <c r="AA173" s="849"/>
      <c r="AB173" s="849">
        <f t="shared" si="25"/>
        <v>1309.47</v>
      </c>
      <c r="AC173" s="850">
        <f t="shared" si="26"/>
        <v>1309.47</v>
      </c>
      <c r="AD173" s="851"/>
      <c r="AE173" s="852">
        <v>25481.03</v>
      </c>
      <c r="AF173" s="853">
        <v>0.1</v>
      </c>
      <c r="AG173" s="854">
        <f t="shared" si="27"/>
        <v>3464129.9094199198</v>
      </c>
      <c r="AH173" s="853"/>
      <c r="AI173" s="855">
        <f t="shared" si="28"/>
        <v>0</v>
      </c>
      <c r="AJ173" s="845" t="s">
        <v>548</v>
      </c>
      <c r="AK173" s="857" t="s">
        <v>549</v>
      </c>
      <c r="AL173" s="840"/>
      <c r="AM173" s="840"/>
      <c r="AN173" s="858"/>
      <c r="AO173" s="844" t="s">
        <v>141</v>
      </c>
      <c r="AP173" s="859"/>
      <c r="AQ173" s="859" t="s">
        <v>550</v>
      </c>
      <c r="AR173" s="859"/>
      <c r="AS173" s="840"/>
      <c r="AT173" s="840"/>
      <c r="AU173" s="860"/>
      <c r="AV173" s="839" t="s">
        <v>619</v>
      </c>
      <c r="AW173" s="861">
        <v>45058</v>
      </c>
      <c r="AX173" s="862" t="s">
        <v>552</v>
      </c>
      <c r="AY173" s="843"/>
      <c r="AZ173" s="842"/>
      <c r="BA173" s="842" t="s">
        <v>120</v>
      </c>
      <c r="BB173" s="863" t="s">
        <v>121</v>
      </c>
      <c r="BC173" s="864">
        <v>45058</v>
      </c>
      <c r="BD173" s="860" t="s">
        <v>620</v>
      </c>
      <c r="BE173" s="865" cm="1">
        <f t="array" ref="BE173">IF(BD173="","",AC173/SUMPRODUCT(--(BD173=$BD$4:$BD$12824),$AC$4:$AC$12824))</f>
        <v>1.6098790700057448E-2</v>
      </c>
      <c r="BF173" s="458"/>
      <c r="BG173" s="458"/>
      <c r="BH173" s="458"/>
      <c r="BI173" s="458"/>
      <c r="BJ173" s="458"/>
      <c r="BK173" s="458"/>
      <c r="BL173" s="458"/>
      <c r="BM173" s="458"/>
      <c r="BN173" s="458"/>
      <c r="BO173" s="866">
        <f>VLOOKUP(BD173,$BD$4:$BN$12824,3,0)*BE173</f>
        <v>1160690.6118927419</v>
      </c>
      <c r="BP173" s="866"/>
      <c r="BQ173" s="866"/>
      <c r="BR173" s="866">
        <f>VLOOKUP(BD173,$BD$4:$BN$12824,6,0)*BE173</f>
        <v>277349.96618058969</v>
      </c>
      <c r="BS173" s="866">
        <f>VLOOKUP(BD173,$BD$4:$BN$12824,7,0)*BE173</f>
        <v>113964.12820645097</v>
      </c>
      <c r="BT173" s="866"/>
      <c r="BU173" s="866">
        <f>VLOOKUP(BD173,$BD$4:$BN$12824,9,0)*BE173</f>
        <v>8049.3953500287234</v>
      </c>
      <c r="BV173" s="867"/>
      <c r="BW173" s="867">
        <f>VLOOKUP(BD173,$BD$4:$BN$12824,11,0)*BE173</f>
        <v>16098.790700057447</v>
      </c>
      <c r="BX173" s="1146">
        <f t="shared" si="34"/>
        <v>1576152.8923298689</v>
      </c>
      <c r="BY173" s="867">
        <f t="shared" si="31"/>
        <v>19203463.577924896</v>
      </c>
      <c r="BZ173" s="867">
        <f t="shared" si="29"/>
        <v>38406927.155849792</v>
      </c>
      <c r="CA173" s="867">
        <f>_xlfn.MAXIFS($BY$4:$BY$12824,$S$4:$S$12824,$S173)</f>
        <v>19203463.577924896</v>
      </c>
      <c r="CB173" s="1032"/>
      <c r="CF173" s="946">
        <f t="shared" si="30"/>
        <v>33366644.3541</v>
      </c>
    </row>
    <row r="174" spans="1:84">
      <c r="A174" s="1032"/>
      <c r="B174" s="839" t="s">
        <v>98</v>
      </c>
      <c r="C174" s="839" t="s">
        <v>273</v>
      </c>
      <c r="D174" s="839" t="s">
        <v>545</v>
      </c>
      <c r="E174" s="839" t="s">
        <v>545</v>
      </c>
      <c r="F174" s="841">
        <v>44944</v>
      </c>
      <c r="G174" s="840" t="s">
        <v>273</v>
      </c>
      <c r="H174" s="842" t="s">
        <v>134</v>
      </c>
      <c r="I174" s="842"/>
      <c r="J174" s="841"/>
      <c r="K174" s="841"/>
      <c r="L174" s="843"/>
      <c r="M174" s="844" t="s">
        <v>275</v>
      </c>
      <c r="N174" s="841"/>
      <c r="O174" s="841" t="s">
        <v>150</v>
      </c>
      <c r="P174" s="841" t="s">
        <v>276</v>
      </c>
      <c r="Q174" s="843"/>
      <c r="R174" s="845" t="s">
        <v>627</v>
      </c>
      <c r="S174" s="1127" t="s">
        <v>627</v>
      </c>
      <c r="T174" s="843" t="s">
        <v>628</v>
      </c>
      <c r="U174" s="842">
        <v>5</v>
      </c>
      <c r="V174" s="842" t="s">
        <v>3</v>
      </c>
      <c r="W174" s="846"/>
      <c r="X174" s="847">
        <f t="shared" si="24"/>
        <v>0</v>
      </c>
      <c r="Y174" s="848"/>
      <c r="Z174" s="849">
        <v>324.25799999999998</v>
      </c>
      <c r="AA174" s="849"/>
      <c r="AB174" s="849">
        <f t="shared" si="25"/>
        <v>1621.29</v>
      </c>
      <c r="AC174" s="850">
        <f t="shared" si="26"/>
        <v>1621.29</v>
      </c>
      <c r="AD174" s="851"/>
      <c r="AE174" s="852">
        <v>25481.03</v>
      </c>
      <c r="AF174" s="853">
        <v>0.1</v>
      </c>
      <c r="AG174" s="854">
        <f t="shared" si="27"/>
        <v>4289032.3419730281</v>
      </c>
      <c r="AH174" s="853"/>
      <c r="AI174" s="855">
        <f t="shared" si="28"/>
        <v>0</v>
      </c>
      <c r="AJ174" s="845" t="s">
        <v>548</v>
      </c>
      <c r="AK174" s="857" t="s">
        <v>549</v>
      </c>
      <c r="AL174" s="840"/>
      <c r="AM174" s="840"/>
      <c r="AN174" s="858"/>
      <c r="AO174" s="844" t="s">
        <v>141</v>
      </c>
      <c r="AP174" s="859"/>
      <c r="AQ174" s="859" t="s">
        <v>550</v>
      </c>
      <c r="AR174" s="859"/>
      <c r="AS174" s="840"/>
      <c r="AT174" s="840"/>
      <c r="AU174" s="860"/>
      <c r="AV174" s="839" t="s">
        <v>619</v>
      </c>
      <c r="AW174" s="861">
        <v>45058</v>
      </c>
      <c r="AX174" s="862" t="s">
        <v>552</v>
      </c>
      <c r="AY174" s="843"/>
      <c r="AZ174" s="842"/>
      <c r="BA174" s="842" t="s">
        <v>120</v>
      </c>
      <c r="BB174" s="863" t="s">
        <v>121</v>
      </c>
      <c r="BC174" s="864">
        <v>45058</v>
      </c>
      <c r="BD174" s="860" t="s">
        <v>620</v>
      </c>
      <c r="BE174" s="865" cm="1">
        <f t="array" ref="BE174">IF(BD174="","",AC174/SUMPRODUCT(--(BD174=$BD$4:$BD$12824),$AC$4:$AC$12824))</f>
        <v>1.9932345432958475E-2</v>
      </c>
      <c r="BF174" s="458"/>
      <c r="BG174" s="458"/>
      <c r="BH174" s="458"/>
      <c r="BI174" s="458"/>
      <c r="BJ174" s="458"/>
      <c r="BK174" s="458"/>
      <c r="BL174" s="458"/>
      <c r="BM174" s="458"/>
      <c r="BN174" s="458"/>
      <c r="BO174" s="866">
        <f>VLOOKUP(BD174,$BD$4:$BN$12824,3,0)*BE174</f>
        <v>1437082.2410254402</v>
      </c>
      <c r="BP174" s="866"/>
      <c r="BQ174" s="866"/>
      <c r="BR174" s="866">
        <f>VLOOKUP(BD174,$BD$4:$BN$12824,6,0)*BE174</f>
        <v>343394.44711900863</v>
      </c>
      <c r="BS174" s="866">
        <f>VLOOKUP(BD174,$BD$4:$BN$12824,7,0)*BE174</f>
        <v>141102.05000483926</v>
      </c>
      <c r="BT174" s="866"/>
      <c r="BU174" s="866">
        <f>VLOOKUP(BD174,$BD$4:$BN$12824,9,0)*BE174</f>
        <v>9966.1727164792374</v>
      </c>
      <c r="BV174" s="867"/>
      <c r="BW174" s="867">
        <f>VLOOKUP(BD174,$BD$4:$BN$12824,11,0)*BE174</f>
        <v>19932.345432958475</v>
      </c>
      <c r="BX174" s="1146">
        <f t="shared" si="34"/>
        <v>1951477.2562987257</v>
      </c>
      <c r="BY174" s="867">
        <f t="shared" si="31"/>
        <v>9510529.745394351</v>
      </c>
      <c r="BZ174" s="867">
        <f t="shared" si="29"/>
        <v>47552648.726971753</v>
      </c>
      <c r="CA174" s="867">
        <f>_xlfn.MAXIFS($BY$4:$BY$12824,$S$4:$S$12824,$S174)</f>
        <v>10359611.249669705</v>
      </c>
      <c r="CB174" s="1032"/>
      <c r="CF174" s="946">
        <f t="shared" si="30"/>
        <v>41312139.128699996</v>
      </c>
    </row>
    <row r="175" spans="1:84">
      <c r="A175" s="1032"/>
      <c r="B175" s="839" t="s">
        <v>98</v>
      </c>
      <c r="C175" s="839" t="s">
        <v>273</v>
      </c>
      <c r="D175" s="839" t="s">
        <v>545</v>
      </c>
      <c r="E175" s="839" t="s">
        <v>545</v>
      </c>
      <c r="F175" s="841">
        <v>44944</v>
      </c>
      <c r="G175" s="840" t="s">
        <v>273</v>
      </c>
      <c r="H175" s="842" t="s">
        <v>134</v>
      </c>
      <c r="I175" s="842"/>
      <c r="J175" s="841"/>
      <c r="K175" s="841"/>
      <c r="L175" s="843"/>
      <c r="M175" s="844" t="s">
        <v>275</v>
      </c>
      <c r="N175" s="841"/>
      <c r="O175" s="841" t="s">
        <v>150</v>
      </c>
      <c r="P175" s="841" t="s">
        <v>276</v>
      </c>
      <c r="Q175" s="843"/>
      <c r="R175" s="845" t="s">
        <v>629</v>
      </c>
      <c r="S175" s="1127" t="s">
        <v>629</v>
      </c>
      <c r="T175" s="843" t="s">
        <v>630</v>
      </c>
      <c r="U175" s="842">
        <v>2</v>
      </c>
      <c r="V175" s="842" t="s">
        <v>3</v>
      </c>
      <c r="W175" s="846"/>
      <c r="X175" s="847">
        <f t="shared" si="24"/>
        <v>0</v>
      </c>
      <c r="Y175" s="848"/>
      <c r="Z175" s="849">
        <v>324.26</v>
      </c>
      <c r="AA175" s="849"/>
      <c r="AB175" s="849">
        <f t="shared" si="25"/>
        <v>648.52</v>
      </c>
      <c r="AC175" s="850">
        <f t="shared" si="26"/>
        <v>648.52</v>
      </c>
      <c r="AD175" s="851"/>
      <c r="AE175" s="852">
        <v>25481.03</v>
      </c>
      <c r="AF175" s="853">
        <v>0.1</v>
      </c>
      <c r="AG175" s="854">
        <f t="shared" si="27"/>
        <v>1715623.5185662948</v>
      </c>
      <c r="AH175" s="853"/>
      <c r="AI175" s="855">
        <f t="shared" si="28"/>
        <v>0</v>
      </c>
      <c r="AJ175" s="845" t="s">
        <v>548</v>
      </c>
      <c r="AK175" s="857" t="s">
        <v>549</v>
      </c>
      <c r="AL175" s="840"/>
      <c r="AM175" s="840"/>
      <c r="AN175" s="858"/>
      <c r="AO175" s="844" t="s">
        <v>141</v>
      </c>
      <c r="AP175" s="859"/>
      <c r="AQ175" s="859" t="s">
        <v>550</v>
      </c>
      <c r="AR175" s="859"/>
      <c r="AS175" s="840"/>
      <c r="AT175" s="840"/>
      <c r="AU175" s="860"/>
      <c r="AV175" s="839" t="s">
        <v>619</v>
      </c>
      <c r="AW175" s="861">
        <v>45058</v>
      </c>
      <c r="AX175" s="862" t="s">
        <v>552</v>
      </c>
      <c r="AY175" s="843"/>
      <c r="AZ175" s="842"/>
      <c r="BA175" s="842" t="s">
        <v>120</v>
      </c>
      <c r="BB175" s="863" t="s">
        <v>121</v>
      </c>
      <c r="BC175" s="864">
        <v>45058</v>
      </c>
      <c r="BD175" s="860" t="s">
        <v>620</v>
      </c>
      <c r="BE175" s="865" cm="1">
        <f t="array" ref="BE175">IF(BD175="","",AC175/SUMPRODUCT(--(BD175=$BD$4:$BD$12824),$AC$4:$AC$12824))</f>
        <v>7.9729873496920539E-3</v>
      </c>
      <c r="BF175" s="458"/>
      <c r="BG175" s="458"/>
      <c r="BH175" s="458"/>
      <c r="BI175" s="458"/>
      <c r="BJ175" s="458"/>
      <c r="BK175" s="458"/>
      <c r="BL175" s="458"/>
      <c r="BM175" s="458"/>
      <c r="BN175" s="458"/>
      <c r="BO175" s="866">
        <f>VLOOKUP(BD175,$BD$4:$BN$12824,3,0)*BE175</f>
        <v>574836.44193809771</v>
      </c>
      <c r="BP175" s="866"/>
      <c r="BQ175" s="866"/>
      <c r="BR175" s="866">
        <f>VLOOKUP(BD175,$BD$4:$BN$12824,6,0)*BE175</f>
        <v>137358.62606049472</v>
      </c>
      <c r="BS175" s="866">
        <f>VLOOKUP(BD175,$BD$4:$BN$12824,7,0)*BE175</f>
        <v>56441.168124850185</v>
      </c>
      <c r="BT175" s="866"/>
      <c r="BU175" s="866">
        <f>VLOOKUP(BD175,$BD$4:$BN$12824,9,0)*BE175</f>
        <v>3986.4936748460268</v>
      </c>
      <c r="BV175" s="867"/>
      <c r="BW175" s="867">
        <f>VLOOKUP(BD175,$BD$4:$BN$12824,11,0)*BE175</f>
        <v>7972.9873496920536</v>
      </c>
      <c r="BX175" s="1146">
        <f t="shared" si="34"/>
        <v>780595.71714798058</v>
      </c>
      <c r="BY175" s="867">
        <f t="shared" si="31"/>
        <v>9510588.4056571368</v>
      </c>
      <c r="BZ175" s="867">
        <f t="shared" si="29"/>
        <v>19021176.811314274</v>
      </c>
      <c r="CA175" s="867">
        <f>_xlfn.MAXIFS($BY$4:$BY$12824,$S$4:$S$12824,$S175)</f>
        <v>9510588.4056571368</v>
      </c>
      <c r="CB175" s="1032"/>
      <c r="CF175" s="946">
        <f t="shared" si="30"/>
        <v>16524957.575599998</v>
      </c>
    </row>
    <row r="176" spans="1:84">
      <c r="A176" s="1032"/>
      <c r="B176" s="839" t="s">
        <v>98</v>
      </c>
      <c r="C176" s="839" t="s">
        <v>273</v>
      </c>
      <c r="D176" s="839" t="s">
        <v>545</v>
      </c>
      <c r="E176" s="839" t="s">
        <v>545</v>
      </c>
      <c r="F176" s="841">
        <v>44944</v>
      </c>
      <c r="G176" s="840" t="s">
        <v>273</v>
      </c>
      <c r="H176" s="842" t="s">
        <v>134</v>
      </c>
      <c r="I176" s="842"/>
      <c r="J176" s="841"/>
      <c r="K176" s="841"/>
      <c r="L176" s="843"/>
      <c r="M176" s="844" t="s">
        <v>275</v>
      </c>
      <c r="N176" s="841"/>
      <c r="O176" s="841" t="s">
        <v>150</v>
      </c>
      <c r="P176" s="841" t="s">
        <v>276</v>
      </c>
      <c r="Q176" s="843"/>
      <c r="R176" s="845" t="s">
        <v>631</v>
      </c>
      <c r="S176" s="1127" t="s">
        <v>631</v>
      </c>
      <c r="T176" s="843" t="s">
        <v>632</v>
      </c>
      <c r="U176" s="842">
        <v>5</v>
      </c>
      <c r="V176" s="842" t="s">
        <v>3</v>
      </c>
      <c r="W176" s="846"/>
      <c r="X176" s="847">
        <f t="shared" si="24"/>
        <v>0</v>
      </c>
      <c r="Y176" s="848"/>
      <c r="Z176" s="849">
        <v>324.25799999999998</v>
      </c>
      <c r="AA176" s="849"/>
      <c r="AB176" s="849">
        <f t="shared" si="25"/>
        <v>1621.29</v>
      </c>
      <c r="AC176" s="850">
        <f t="shared" si="26"/>
        <v>1621.29</v>
      </c>
      <c r="AD176" s="851"/>
      <c r="AE176" s="852">
        <v>25481.03</v>
      </c>
      <c r="AF176" s="853">
        <v>0.1</v>
      </c>
      <c r="AG176" s="854">
        <f t="shared" si="27"/>
        <v>4289032.3419730281</v>
      </c>
      <c r="AH176" s="853"/>
      <c r="AI176" s="855">
        <f t="shared" si="28"/>
        <v>0</v>
      </c>
      <c r="AJ176" s="845" t="s">
        <v>548</v>
      </c>
      <c r="AK176" s="857" t="s">
        <v>549</v>
      </c>
      <c r="AL176" s="840"/>
      <c r="AM176" s="840"/>
      <c r="AN176" s="858"/>
      <c r="AO176" s="844" t="s">
        <v>141</v>
      </c>
      <c r="AP176" s="859"/>
      <c r="AQ176" s="859" t="s">
        <v>550</v>
      </c>
      <c r="AR176" s="859"/>
      <c r="AS176" s="840"/>
      <c r="AT176" s="840"/>
      <c r="AU176" s="860"/>
      <c r="AV176" s="839" t="s">
        <v>619</v>
      </c>
      <c r="AW176" s="861">
        <v>45058</v>
      </c>
      <c r="AX176" s="862" t="s">
        <v>552</v>
      </c>
      <c r="AY176" s="843"/>
      <c r="AZ176" s="842"/>
      <c r="BA176" s="842" t="s">
        <v>120</v>
      </c>
      <c r="BB176" s="863" t="s">
        <v>121</v>
      </c>
      <c r="BC176" s="864">
        <v>45058</v>
      </c>
      <c r="BD176" s="860" t="s">
        <v>620</v>
      </c>
      <c r="BE176" s="865" cm="1">
        <f t="array" ref="BE176">IF(BD176="","",AC176/SUMPRODUCT(--(BD176=$BD$4:$BD$12824),$AC$4:$AC$12824))</f>
        <v>1.9932345432958475E-2</v>
      </c>
      <c r="BF176" s="458"/>
      <c r="BG176" s="458"/>
      <c r="BH176" s="458"/>
      <c r="BI176" s="458"/>
      <c r="BJ176" s="458"/>
      <c r="BK176" s="458"/>
      <c r="BL176" s="458"/>
      <c r="BM176" s="458"/>
      <c r="BN176" s="458"/>
      <c r="BO176" s="866">
        <f>VLOOKUP(BD176,$BD$4:$BN$12824,3,0)*BE176</f>
        <v>1437082.2410254402</v>
      </c>
      <c r="BP176" s="866"/>
      <c r="BQ176" s="866"/>
      <c r="BR176" s="866">
        <f>VLOOKUP(BD176,$BD$4:$BN$12824,6,0)*BE176</f>
        <v>343394.44711900863</v>
      </c>
      <c r="BS176" s="866">
        <f>VLOOKUP(BD176,$BD$4:$BN$12824,7,0)*BE176</f>
        <v>141102.05000483926</v>
      </c>
      <c r="BT176" s="866"/>
      <c r="BU176" s="866">
        <f>VLOOKUP(BD176,$BD$4:$BN$12824,9,0)*BE176</f>
        <v>9966.1727164792374</v>
      </c>
      <c r="BV176" s="867"/>
      <c r="BW176" s="867">
        <f>VLOOKUP(BD176,$BD$4:$BN$12824,11,0)*BE176</f>
        <v>19932.345432958475</v>
      </c>
      <c r="BX176" s="1146">
        <f t="shared" si="34"/>
        <v>1951477.2562987257</v>
      </c>
      <c r="BY176" s="867">
        <f t="shared" si="31"/>
        <v>9510529.745394351</v>
      </c>
      <c r="BZ176" s="867">
        <f t="shared" si="29"/>
        <v>47552648.726971753</v>
      </c>
      <c r="CA176" s="867">
        <f>_xlfn.MAXIFS($BY$4:$BY$12824,$S$4:$S$12824,$S176)</f>
        <v>9510529.745394351</v>
      </c>
      <c r="CB176" s="1032"/>
      <c r="CF176" s="946">
        <f t="shared" si="30"/>
        <v>41312139.128699996</v>
      </c>
    </row>
    <row r="177" spans="1:84">
      <c r="A177" s="1032"/>
      <c r="B177" s="839" t="s">
        <v>98</v>
      </c>
      <c r="C177" s="839" t="s">
        <v>273</v>
      </c>
      <c r="D177" s="839" t="s">
        <v>545</v>
      </c>
      <c r="E177" s="839" t="s">
        <v>545</v>
      </c>
      <c r="F177" s="841">
        <v>44944</v>
      </c>
      <c r="G177" s="840" t="s">
        <v>273</v>
      </c>
      <c r="H177" s="842" t="s">
        <v>134</v>
      </c>
      <c r="I177" s="842"/>
      <c r="J177" s="841"/>
      <c r="K177" s="841"/>
      <c r="L177" s="843"/>
      <c r="M177" s="844" t="s">
        <v>275</v>
      </c>
      <c r="N177" s="841"/>
      <c r="O177" s="841" t="s">
        <v>150</v>
      </c>
      <c r="P177" s="841" t="s">
        <v>276</v>
      </c>
      <c r="Q177" s="843"/>
      <c r="R177" s="845" t="s">
        <v>633</v>
      </c>
      <c r="S177" s="1127" t="s">
        <v>633</v>
      </c>
      <c r="T177" s="843" t="s">
        <v>634</v>
      </c>
      <c r="U177" s="842">
        <v>5</v>
      </c>
      <c r="V177" s="842" t="s">
        <v>3</v>
      </c>
      <c r="W177" s="846"/>
      <c r="X177" s="847">
        <f t="shared" si="24"/>
        <v>0</v>
      </c>
      <c r="Y177" s="848"/>
      <c r="Z177" s="849">
        <v>324.25799999999998</v>
      </c>
      <c r="AA177" s="849"/>
      <c r="AB177" s="849">
        <f t="shared" si="25"/>
        <v>1621.29</v>
      </c>
      <c r="AC177" s="850">
        <f t="shared" si="26"/>
        <v>1621.29</v>
      </c>
      <c r="AD177" s="851"/>
      <c r="AE177" s="852">
        <v>25481.03</v>
      </c>
      <c r="AF177" s="853">
        <v>0.1</v>
      </c>
      <c r="AG177" s="854">
        <f t="shared" si="27"/>
        <v>4289032.3419730281</v>
      </c>
      <c r="AH177" s="853"/>
      <c r="AI177" s="855">
        <f t="shared" si="28"/>
        <v>0</v>
      </c>
      <c r="AJ177" s="845" t="s">
        <v>548</v>
      </c>
      <c r="AK177" s="857" t="s">
        <v>549</v>
      </c>
      <c r="AL177" s="840"/>
      <c r="AM177" s="840"/>
      <c r="AN177" s="858"/>
      <c r="AO177" s="844" t="s">
        <v>141</v>
      </c>
      <c r="AP177" s="859"/>
      <c r="AQ177" s="859" t="s">
        <v>550</v>
      </c>
      <c r="AR177" s="859"/>
      <c r="AS177" s="840"/>
      <c r="AT177" s="840"/>
      <c r="AU177" s="860"/>
      <c r="AV177" s="839" t="s">
        <v>619</v>
      </c>
      <c r="AW177" s="861">
        <v>45058</v>
      </c>
      <c r="AX177" s="862" t="s">
        <v>552</v>
      </c>
      <c r="AY177" s="843"/>
      <c r="AZ177" s="842"/>
      <c r="BA177" s="842" t="s">
        <v>120</v>
      </c>
      <c r="BB177" s="863" t="s">
        <v>121</v>
      </c>
      <c r="BC177" s="864">
        <v>45058</v>
      </c>
      <c r="BD177" s="860" t="s">
        <v>620</v>
      </c>
      <c r="BE177" s="865" cm="1">
        <f t="array" ref="BE177">IF(BD177="","",AC177/SUMPRODUCT(--(BD177=$BD$4:$BD$12824),$AC$4:$AC$12824))</f>
        <v>1.9932345432958475E-2</v>
      </c>
      <c r="BF177" s="458"/>
      <c r="BG177" s="458"/>
      <c r="BH177" s="458"/>
      <c r="BI177" s="458"/>
      <c r="BJ177" s="458"/>
      <c r="BK177" s="458"/>
      <c r="BL177" s="458"/>
      <c r="BM177" s="458"/>
      <c r="BN177" s="458"/>
      <c r="BO177" s="866">
        <f>VLOOKUP(BD177,$BD$4:$BN$12824,3,0)*BE177</f>
        <v>1437082.2410254402</v>
      </c>
      <c r="BP177" s="866"/>
      <c r="BQ177" s="866"/>
      <c r="BR177" s="866">
        <f>VLOOKUP(BD177,$BD$4:$BN$12824,6,0)*BE177</f>
        <v>343394.44711900863</v>
      </c>
      <c r="BS177" s="866">
        <f>VLOOKUP(BD177,$BD$4:$BN$12824,7,0)*BE177</f>
        <v>141102.05000483926</v>
      </c>
      <c r="BT177" s="866"/>
      <c r="BU177" s="866">
        <f>VLOOKUP(BD177,$BD$4:$BN$12824,9,0)*BE177</f>
        <v>9966.1727164792374</v>
      </c>
      <c r="BV177" s="867"/>
      <c r="BW177" s="867">
        <f>VLOOKUP(BD177,$BD$4:$BN$12824,11,0)*BE177</f>
        <v>19932.345432958475</v>
      </c>
      <c r="BX177" s="1146">
        <f t="shared" si="34"/>
        <v>1951477.2562987257</v>
      </c>
      <c r="BY177" s="867">
        <f t="shared" si="31"/>
        <v>9510529.745394351</v>
      </c>
      <c r="BZ177" s="867">
        <f t="shared" si="29"/>
        <v>47552648.726971753</v>
      </c>
      <c r="CA177" s="867">
        <f>_xlfn.MAXIFS($BY$4:$BY$12824,$S$4:$S$12824,$S177)</f>
        <v>9510529.745394351</v>
      </c>
      <c r="CB177" s="1032"/>
      <c r="CF177" s="946">
        <f t="shared" si="30"/>
        <v>41312139.128699996</v>
      </c>
    </row>
    <row r="178" spans="1:84">
      <c r="A178" s="1032"/>
      <c r="B178" s="839" t="s">
        <v>98</v>
      </c>
      <c r="C178" s="839" t="s">
        <v>273</v>
      </c>
      <c r="D178" s="839" t="s">
        <v>545</v>
      </c>
      <c r="E178" s="839" t="s">
        <v>545</v>
      </c>
      <c r="F178" s="841">
        <v>44944</v>
      </c>
      <c r="G178" s="840" t="s">
        <v>273</v>
      </c>
      <c r="H178" s="842" t="s">
        <v>134</v>
      </c>
      <c r="I178" s="842"/>
      <c r="J178" s="841"/>
      <c r="K178" s="841"/>
      <c r="L178" s="843"/>
      <c r="M178" s="844" t="s">
        <v>275</v>
      </c>
      <c r="N178" s="841"/>
      <c r="O178" s="841" t="s">
        <v>150</v>
      </c>
      <c r="P178" s="841" t="s">
        <v>276</v>
      </c>
      <c r="Q178" s="843"/>
      <c r="R178" s="845" t="s">
        <v>635</v>
      </c>
      <c r="S178" s="1127" t="s">
        <v>635</v>
      </c>
      <c r="T178" s="843" t="s">
        <v>636</v>
      </c>
      <c r="U178" s="842">
        <v>5</v>
      </c>
      <c r="V178" s="842" t="s">
        <v>3</v>
      </c>
      <c r="W178" s="846"/>
      <c r="X178" s="847">
        <f t="shared" si="24"/>
        <v>0</v>
      </c>
      <c r="Y178" s="848"/>
      <c r="Z178" s="849">
        <v>324.25799999999998</v>
      </c>
      <c r="AA178" s="849"/>
      <c r="AB178" s="849">
        <f t="shared" si="25"/>
        <v>1621.29</v>
      </c>
      <c r="AC178" s="850">
        <f t="shared" si="26"/>
        <v>1621.29</v>
      </c>
      <c r="AD178" s="851"/>
      <c r="AE178" s="852">
        <v>25481.03</v>
      </c>
      <c r="AF178" s="853">
        <v>0.1</v>
      </c>
      <c r="AG178" s="854">
        <f t="shared" si="27"/>
        <v>4289032.3419730281</v>
      </c>
      <c r="AH178" s="853"/>
      <c r="AI178" s="855">
        <f t="shared" si="28"/>
        <v>0</v>
      </c>
      <c r="AJ178" s="845" t="s">
        <v>548</v>
      </c>
      <c r="AK178" s="857" t="s">
        <v>549</v>
      </c>
      <c r="AL178" s="840"/>
      <c r="AM178" s="840"/>
      <c r="AN178" s="858"/>
      <c r="AO178" s="844" t="s">
        <v>141</v>
      </c>
      <c r="AP178" s="859"/>
      <c r="AQ178" s="859" t="s">
        <v>550</v>
      </c>
      <c r="AR178" s="859"/>
      <c r="AS178" s="840"/>
      <c r="AT178" s="840"/>
      <c r="AU178" s="860"/>
      <c r="AV178" s="839" t="s">
        <v>619</v>
      </c>
      <c r="AW178" s="861">
        <v>45058</v>
      </c>
      <c r="AX178" s="862" t="s">
        <v>552</v>
      </c>
      <c r="AY178" s="843"/>
      <c r="AZ178" s="842"/>
      <c r="BA178" s="842" t="s">
        <v>120</v>
      </c>
      <c r="BB178" s="863" t="s">
        <v>121</v>
      </c>
      <c r="BC178" s="864">
        <v>45058</v>
      </c>
      <c r="BD178" s="860" t="s">
        <v>620</v>
      </c>
      <c r="BE178" s="865" cm="1">
        <f t="array" ref="BE178">IF(BD178="","",AC178/SUMPRODUCT(--(BD178=$BD$4:$BD$12824),$AC$4:$AC$12824))</f>
        <v>1.9932345432958475E-2</v>
      </c>
      <c r="BF178" s="458"/>
      <c r="BG178" s="458"/>
      <c r="BH178" s="458"/>
      <c r="BI178" s="458"/>
      <c r="BJ178" s="458"/>
      <c r="BK178" s="458"/>
      <c r="BL178" s="458"/>
      <c r="BM178" s="458"/>
      <c r="BN178" s="458"/>
      <c r="BO178" s="866">
        <f>VLOOKUP(BD178,$BD$4:$BN$12824,3,0)*BE178</f>
        <v>1437082.2410254402</v>
      </c>
      <c r="BP178" s="866"/>
      <c r="BQ178" s="866"/>
      <c r="BR178" s="866">
        <f>VLOOKUP(BD178,$BD$4:$BN$12824,6,0)*BE178</f>
        <v>343394.44711900863</v>
      </c>
      <c r="BS178" s="866">
        <f>VLOOKUP(BD178,$BD$4:$BN$12824,7,0)*BE178</f>
        <v>141102.05000483926</v>
      </c>
      <c r="BT178" s="866"/>
      <c r="BU178" s="866">
        <f>VLOOKUP(BD178,$BD$4:$BN$12824,9,0)*BE178</f>
        <v>9966.1727164792374</v>
      </c>
      <c r="BV178" s="867"/>
      <c r="BW178" s="867">
        <f>VLOOKUP(BD178,$BD$4:$BN$12824,11,0)*BE178</f>
        <v>19932.345432958475</v>
      </c>
      <c r="BX178" s="1146">
        <f t="shared" si="34"/>
        <v>1951477.2562987257</v>
      </c>
      <c r="BY178" s="867">
        <f t="shared" si="31"/>
        <v>9510529.745394351</v>
      </c>
      <c r="BZ178" s="867">
        <f t="shared" si="29"/>
        <v>47552648.726971753</v>
      </c>
      <c r="CA178" s="867">
        <f>_xlfn.MAXIFS($BY$4:$BY$12824,$S$4:$S$12824,$S178)</f>
        <v>9510529.745394351</v>
      </c>
      <c r="CB178" s="1032"/>
      <c r="CF178" s="946">
        <f t="shared" si="30"/>
        <v>41312139.128699996</v>
      </c>
    </row>
    <row r="179" spans="1:84">
      <c r="A179" s="1032"/>
      <c r="B179" s="839" t="s">
        <v>98</v>
      </c>
      <c r="C179" s="839" t="s">
        <v>273</v>
      </c>
      <c r="D179" s="839" t="s">
        <v>545</v>
      </c>
      <c r="E179" s="839" t="s">
        <v>545</v>
      </c>
      <c r="F179" s="841">
        <v>44944</v>
      </c>
      <c r="G179" s="840" t="s">
        <v>273</v>
      </c>
      <c r="H179" s="842" t="s">
        <v>134</v>
      </c>
      <c r="I179" s="842"/>
      <c r="J179" s="841"/>
      <c r="K179" s="841"/>
      <c r="L179" s="843"/>
      <c r="M179" s="844" t="s">
        <v>275</v>
      </c>
      <c r="N179" s="841"/>
      <c r="O179" s="841" t="s">
        <v>150</v>
      </c>
      <c r="P179" s="841" t="s">
        <v>276</v>
      </c>
      <c r="Q179" s="843"/>
      <c r="R179" s="845" t="s">
        <v>637</v>
      </c>
      <c r="S179" s="1127" t="s">
        <v>637</v>
      </c>
      <c r="T179" s="843" t="s">
        <v>638</v>
      </c>
      <c r="U179" s="842">
        <v>5</v>
      </c>
      <c r="V179" s="842" t="s">
        <v>3</v>
      </c>
      <c r="W179" s="846"/>
      <c r="X179" s="847">
        <f t="shared" si="24"/>
        <v>0</v>
      </c>
      <c r="Y179" s="848"/>
      <c r="Z179" s="849">
        <v>324.24599999999998</v>
      </c>
      <c r="AA179" s="849"/>
      <c r="AB179" s="849">
        <f t="shared" si="25"/>
        <v>1621.23</v>
      </c>
      <c r="AC179" s="850">
        <f t="shared" si="26"/>
        <v>1621.23</v>
      </c>
      <c r="AD179" s="851"/>
      <c r="AE179" s="852">
        <v>25481.03</v>
      </c>
      <c r="AF179" s="853">
        <v>0.1</v>
      </c>
      <c r="AG179" s="854">
        <f t="shared" si="27"/>
        <v>4288873.6153167738</v>
      </c>
      <c r="AH179" s="853"/>
      <c r="AI179" s="855">
        <f t="shared" si="28"/>
        <v>0</v>
      </c>
      <c r="AJ179" s="845" t="s">
        <v>548</v>
      </c>
      <c r="AK179" s="857" t="s">
        <v>549</v>
      </c>
      <c r="AL179" s="840"/>
      <c r="AM179" s="840"/>
      <c r="AN179" s="858"/>
      <c r="AO179" s="844" t="s">
        <v>141</v>
      </c>
      <c r="AP179" s="859"/>
      <c r="AQ179" s="859" t="s">
        <v>550</v>
      </c>
      <c r="AR179" s="859"/>
      <c r="AS179" s="840"/>
      <c r="AT179" s="840"/>
      <c r="AU179" s="860"/>
      <c r="AV179" s="839" t="s">
        <v>619</v>
      </c>
      <c r="AW179" s="861">
        <v>45058</v>
      </c>
      <c r="AX179" s="862" t="s">
        <v>552</v>
      </c>
      <c r="AY179" s="843"/>
      <c r="AZ179" s="842"/>
      <c r="BA179" s="842" t="s">
        <v>120</v>
      </c>
      <c r="BB179" s="863" t="s">
        <v>121</v>
      </c>
      <c r="BC179" s="864">
        <v>45058</v>
      </c>
      <c r="BD179" s="860" t="s">
        <v>620</v>
      </c>
      <c r="BE179" s="865" cm="1">
        <f t="array" ref="BE179">IF(BD179="","",AC179/SUMPRODUCT(--(BD179=$BD$4:$BD$12824),$AC$4:$AC$12824))</f>
        <v>1.9931607785328518E-2</v>
      </c>
      <c r="BF179" s="458"/>
      <c r="BG179" s="458"/>
      <c r="BH179" s="458"/>
      <c r="BI179" s="458"/>
      <c r="BJ179" s="458"/>
      <c r="BK179" s="458"/>
      <c r="BL179" s="458"/>
      <c r="BM179" s="458"/>
      <c r="BN179" s="458"/>
      <c r="BO179" s="866">
        <f>VLOOKUP(BD179,$BD$4:$BN$12824,3,0)*BE179</f>
        <v>1437029.0581066154</v>
      </c>
      <c r="BP179" s="866"/>
      <c r="BQ179" s="866"/>
      <c r="BR179" s="866">
        <f>VLOOKUP(BD179,$BD$4:$BN$12824,6,0)*BE179</f>
        <v>343381.73892563971</v>
      </c>
      <c r="BS179" s="866">
        <f>VLOOKUP(BD179,$BD$4:$BN$12824,7,0)*BE179</f>
        <v>141096.82816112207</v>
      </c>
      <c r="BT179" s="866"/>
      <c r="BU179" s="866">
        <f>VLOOKUP(BD179,$BD$4:$BN$12824,9,0)*BE179</f>
        <v>9965.8038926642585</v>
      </c>
      <c r="BV179" s="867"/>
      <c r="BW179" s="867">
        <f>VLOOKUP(BD179,$BD$4:$BN$12824,11,0)*BE179</f>
        <v>19931.607785328517</v>
      </c>
      <c r="BX179" s="1146">
        <f t="shared" si="34"/>
        <v>1951405.0368713699</v>
      </c>
      <c r="BY179" s="867">
        <f t="shared" si="31"/>
        <v>9510177.7838176284</v>
      </c>
      <c r="BZ179" s="867">
        <f t="shared" si="29"/>
        <v>47550888.91908814</v>
      </c>
      <c r="CA179" s="867">
        <f>_xlfn.MAXIFS($BY$4:$BY$12824,$S$4:$S$12824,$S179)</f>
        <v>9510177.7838176284</v>
      </c>
      <c r="CB179" s="1032"/>
      <c r="CF179" s="946">
        <f t="shared" si="30"/>
        <v>41310610.266899996</v>
      </c>
    </row>
    <row r="180" spans="1:84">
      <c r="A180" s="1032"/>
      <c r="B180" s="839" t="s">
        <v>98</v>
      </c>
      <c r="C180" s="839" t="s">
        <v>273</v>
      </c>
      <c r="D180" s="839" t="s">
        <v>545</v>
      </c>
      <c r="E180" s="839" t="s">
        <v>545</v>
      </c>
      <c r="F180" s="841">
        <v>44944</v>
      </c>
      <c r="G180" s="840" t="s">
        <v>273</v>
      </c>
      <c r="H180" s="842" t="s">
        <v>134</v>
      </c>
      <c r="I180" s="842"/>
      <c r="J180" s="841"/>
      <c r="K180" s="841"/>
      <c r="L180" s="843"/>
      <c r="M180" s="844" t="s">
        <v>275</v>
      </c>
      <c r="N180" s="841"/>
      <c r="O180" s="841" t="s">
        <v>150</v>
      </c>
      <c r="P180" s="841" t="s">
        <v>276</v>
      </c>
      <c r="Q180" s="843"/>
      <c r="R180" s="845" t="s">
        <v>639</v>
      </c>
      <c r="S180" s="1127" t="s">
        <v>639</v>
      </c>
      <c r="T180" s="843" t="s">
        <v>640</v>
      </c>
      <c r="U180" s="842">
        <v>1</v>
      </c>
      <c r="V180" s="842" t="s">
        <v>3</v>
      </c>
      <c r="W180" s="846"/>
      <c r="X180" s="847">
        <f t="shared" si="24"/>
        <v>0</v>
      </c>
      <c r="Y180" s="848"/>
      <c r="Z180" s="849">
        <v>294.02999999999997</v>
      </c>
      <c r="AA180" s="849"/>
      <c r="AB180" s="849">
        <f t="shared" si="25"/>
        <v>294.02999999999997</v>
      </c>
      <c r="AC180" s="850">
        <f t="shared" si="26"/>
        <v>294.02999999999997</v>
      </c>
      <c r="AD180" s="851"/>
      <c r="AE180" s="852">
        <v>25481.03</v>
      </c>
      <c r="AF180" s="853">
        <v>0.1</v>
      </c>
      <c r="AG180" s="854">
        <f t="shared" si="27"/>
        <v>777839.97897373652</v>
      </c>
      <c r="AH180" s="853"/>
      <c r="AI180" s="855">
        <f t="shared" si="28"/>
        <v>0</v>
      </c>
      <c r="AJ180" s="845" t="s">
        <v>548</v>
      </c>
      <c r="AK180" s="857" t="s">
        <v>549</v>
      </c>
      <c r="AL180" s="840"/>
      <c r="AM180" s="840"/>
      <c r="AN180" s="858"/>
      <c r="AO180" s="844" t="s">
        <v>141</v>
      </c>
      <c r="AP180" s="859"/>
      <c r="AQ180" s="859" t="s">
        <v>550</v>
      </c>
      <c r="AR180" s="859"/>
      <c r="AS180" s="840"/>
      <c r="AT180" s="840"/>
      <c r="AU180" s="860"/>
      <c r="AV180" s="839" t="s">
        <v>619</v>
      </c>
      <c r="AW180" s="861">
        <v>45058</v>
      </c>
      <c r="AX180" s="862" t="s">
        <v>552</v>
      </c>
      <c r="AY180" s="843"/>
      <c r="AZ180" s="842"/>
      <c r="BA180" s="842" t="s">
        <v>120</v>
      </c>
      <c r="BB180" s="863" t="s">
        <v>121</v>
      </c>
      <c r="BC180" s="864">
        <v>45058</v>
      </c>
      <c r="BD180" s="860" t="s">
        <v>620</v>
      </c>
      <c r="BE180" s="865" cm="1">
        <f t="array" ref="BE180">IF(BD180="","",AC180/SUMPRODUCT(--(BD180=$BD$4:$BD$12824),$AC$4:$AC$12824))</f>
        <v>3.6148422106179524E-3</v>
      </c>
      <c r="BF180" s="458"/>
      <c r="BG180" s="458"/>
      <c r="BH180" s="458"/>
      <c r="BI180" s="458"/>
      <c r="BJ180" s="458"/>
      <c r="BK180" s="458"/>
      <c r="BL180" s="458"/>
      <c r="BM180" s="458"/>
      <c r="BN180" s="458"/>
      <c r="BO180" s="866">
        <f>VLOOKUP(BD180,$BD$4:$BN$12824,3,0)*BE180</f>
        <v>260622.89370113314</v>
      </c>
      <c r="BP180" s="866"/>
      <c r="BQ180" s="866"/>
      <c r="BR180" s="866">
        <f>VLOOKUP(BD180,$BD$4:$BN$12824,6,0)*BE180</f>
        <v>62276.501604526085</v>
      </c>
      <c r="BS180" s="866">
        <f>VLOOKUP(BD180,$BD$4:$BN$12824,7,0)*BE180</f>
        <v>25589.645136232804</v>
      </c>
      <c r="BT180" s="866"/>
      <c r="BU180" s="866">
        <f>VLOOKUP(BD180,$BD$4:$BN$12824,9,0)*BE180</f>
        <v>1807.4211053089762</v>
      </c>
      <c r="BV180" s="867"/>
      <c r="BW180" s="867">
        <f>VLOOKUP(BD180,$BD$4:$BN$12824,11,0)*BE180</f>
        <v>3614.8422106179523</v>
      </c>
      <c r="BX180" s="1146">
        <f t="shared" si="34"/>
        <v>353911.30375781894</v>
      </c>
      <c r="BY180" s="867">
        <f t="shared" si="31"/>
        <v>8623938.5336315539</v>
      </c>
      <c r="BZ180" s="867">
        <f t="shared" si="29"/>
        <v>8623938.5336315539</v>
      </c>
      <c r="CA180" s="867">
        <f>_xlfn.MAXIFS($BY$4:$BY$12824,$S$4:$S$12824,$S180)</f>
        <v>8623938.5336315539</v>
      </c>
      <c r="CB180" s="1032"/>
      <c r="CF180" s="946">
        <f t="shared" si="30"/>
        <v>7492187.2508999994</v>
      </c>
    </row>
    <row r="181" spans="1:84">
      <c r="A181" s="1032"/>
      <c r="B181" s="839" t="s">
        <v>98</v>
      </c>
      <c r="C181" s="839" t="s">
        <v>273</v>
      </c>
      <c r="D181" s="839" t="s">
        <v>545</v>
      </c>
      <c r="E181" s="839" t="s">
        <v>545</v>
      </c>
      <c r="F181" s="841">
        <v>44944</v>
      </c>
      <c r="G181" s="840" t="s">
        <v>273</v>
      </c>
      <c r="H181" s="842" t="s">
        <v>134</v>
      </c>
      <c r="I181" s="842"/>
      <c r="J181" s="841"/>
      <c r="K181" s="841"/>
      <c r="L181" s="843"/>
      <c r="M181" s="844" t="s">
        <v>275</v>
      </c>
      <c r="N181" s="841"/>
      <c r="O181" s="841" t="s">
        <v>150</v>
      </c>
      <c r="P181" s="841" t="s">
        <v>276</v>
      </c>
      <c r="Q181" s="843"/>
      <c r="R181" s="845" t="s">
        <v>641</v>
      </c>
      <c r="S181" s="1127" t="s">
        <v>641</v>
      </c>
      <c r="T181" s="843" t="s">
        <v>642</v>
      </c>
      <c r="U181" s="842">
        <v>1</v>
      </c>
      <c r="V181" s="842" t="s">
        <v>3</v>
      </c>
      <c r="W181" s="846"/>
      <c r="X181" s="847">
        <f t="shared" si="24"/>
        <v>0</v>
      </c>
      <c r="Y181" s="848"/>
      <c r="Z181" s="849">
        <v>294.02999999999997</v>
      </c>
      <c r="AA181" s="849"/>
      <c r="AB181" s="849">
        <f t="shared" si="25"/>
        <v>294.02999999999997</v>
      </c>
      <c r="AC181" s="850">
        <f t="shared" si="26"/>
        <v>294.02999999999997</v>
      </c>
      <c r="AD181" s="851"/>
      <c r="AE181" s="852">
        <v>25481.03</v>
      </c>
      <c r="AF181" s="853">
        <v>0.1</v>
      </c>
      <c r="AG181" s="854">
        <f t="shared" si="27"/>
        <v>777839.97897373652</v>
      </c>
      <c r="AH181" s="853"/>
      <c r="AI181" s="855">
        <f t="shared" si="28"/>
        <v>0</v>
      </c>
      <c r="AJ181" s="845" t="s">
        <v>548</v>
      </c>
      <c r="AK181" s="857" t="s">
        <v>549</v>
      </c>
      <c r="AL181" s="840"/>
      <c r="AM181" s="840"/>
      <c r="AN181" s="858"/>
      <c r="AO181" s="844" t="s">
        <v>141</v>
      </c>
      <c r="AP181" s="859"/>
      <c r="AQ181" s="859" t="s">
        <v>550</v>
      </c>
      <c r="AR181" s="859"/>
      <c r="AS181" s="840"/>
      <c r="AT181" s="840"/>
      <c r="AU181" s="860"/>
      <c r="AV181" s="839" t="s">
        <v>619</v>
      </c>
      <c r="AW181" s="861">
        <v>45058</v>
      </c>
      <c r="AX181" s="862" t="s">
        <v>552</v>
      </c>
      <c r="AY181" s="843"/>
      <c r="AZ181" s="842"/>
      <c r="BA181" s="842" t="s">
        <v>120</v>
      </c>
      <c r="BB181" s="863" t="s">
        <v>121</v>
      </c>
      <c r="BC181" s="864">
        <v>45058</v>
      </c>
      <c r="BD181" s="860" t="s">
        <v>620</v>
      </c>
      <c r="BE181" s="865" cm="1">
        <f t="array" ref="BE181">IF(BD181="","",AC181/SUMPRODUCT(--(BD181=$BD$4:$BD$12824),$AC$4:$AC$12824))</f>
        <v>3.6148422106179524E-3</v>
      </c>
      <c r="BF181" s="458"/>
      <c r="BG181" s="458"/>
      <c r="BH181" s="458"/>
      <c r="BI181" s="458"/>
      <c r="BJ181" s="458"/>
      <c r="BK181" s="458"/>
      <c r="BL181" s="458"/>
      <c r="BM181" s="458"/>
      <c r="BN181" s="458"/>
      <c r="BO181" s="866">
        <f>VLOOKUP(BD181,$BD$4:$BN$12824,3,0)*BE181</f>
        <v>260622.89370113314</v>
      </c>
      <c r="BP181" s="866"/>
      <c r="BQ181" s="866"/>
      <c r="BR181" s="866">
        <f>VLOOKUP(BD181,$BD$4:$BN$12824,6,0)*BE181</f>
        <v>62276.501604526085</v>
      </c>
      <c r="BS181" s="866">
        <f>VLOOKUP(BD181,$BD$4:$BN$12824,7,0)*BE181</f>
        <v>25589.645136232804</v>
      </c>
      <c r="BT181" s="866"/>
      <c r="BU181" s="866">
        <f>VLOOKUP(BD181,$BD$4:$BN$12824,9,0)*BE181</f>
        <v>1807.4211053089762</v>
      </c>
      <c r="BV181" s="867"/>
      <c r="BW181" s="867">
        <f>VLOOKUP(BD181,$BD$4:$BN$12824,11,0)*BE181</f>
        <v>3614.8422106179523</v>
      </c>
      <c r="BX181" s="1146">
        <f t="shared" si="34"/>
        <v>353911.30375781894</v>
      </c>
      <c r="BY181" s="867">
        <f t="shared" si="31"/>
        <v>8623938.5336315539</v>
      </c>
      <c r="BZ181" s="867">
        <f t="shared" si="29"/>
        <v>8623938.5336315539</v>
      </c>
      <c r="CA181" s="867">
        <f>_xlfn.MAXIFS($BY$4:$BY$12824,$S$4:$S$12824,$S181)</f>
        <v>8623938.5336315539</v>
      </c>
      <c r="CB181" s="1032"/>
      <c r="CF181" s="946">
        <f t="shared" si="30"/>
        <v>7492187.2508999994</v>
      </c>
    </row>
    <row r="182" spans="1:84">
      <c r="A182" s="1032"/>
      <c r="B182" s="839" t="s">
        <v>98</v>
      </c>
      <c r="C182" s="839" t="s">
        <v>273</v>
      </c>
      <c r="D182" s="839" t="s">
        <v>545</v>
      </c>
      <c r="E182" s="839" t="s">
        <v>545</v>
      </c>
      <c r="F182" s="841">
        <v>44944</v>
      </c>
      <c r="G182" s="840" t="s">
        <v>273</v>
      </c>
      <c r="H182" s="842" t="s">
        <v>134</v>
      </c>
      <c r="I182" s="842"/>
      <c r="J182" s="841"/>
      <c r="K182" s="841"/>
      <c r="L182" s="843"/>
      <c r="M182" s="844" t="s">
        <v>275</v>
      </c>
      <c r="N182" s="841"/>
      <c r="O182" s="841" t="s">
        <v>150</v>
      </c>
      <c r="P182" s="841" t="s">
        <v>276</v>
      </c>
      <c r="Q182" s="843"/>
      <c r="R182" s="845" t="s">
        <v>643</v>
      </c>
      <c r="S182" s="1127" t="s">
        <v>643</v>
      </c>
      <c r="T182" s="843" t="s">
        <v>644</v>
      </c>
      <c r="U182" s="842">
        <v>1</v>
      </c>
      <c r="V182" s="842" t="s">
        <v>3</v>
      </c>
      <c r="W182" s="846"/>
      <c r="X182" s="847">
        <f t="shared" si="24"/>
        <v>0</v>
      </c>
      <c r="Y182" s="848"/>
      <c r="Z182" s="849">
        <v>307.64999999999998</v>
      </c>
      <c r="AA182" s="849"/>
      <c r="AB182" s="849">
        <f t="shared" si="25"/>
        <v>307.64999999999998</v>
      </c>
      <c r="AC182" s="850">
        <f t="shared" si="26"/>
        <v>307.64999999999998</v>
      </c>
      <c r="AD182" s="851"/>
      <c r="AE182" s="852">
        <v>25481.03</v>
      </c>
      <c r="AF182" s="853">
        <v>0.1</v>
      </c>
      <c r="AG182" s="854">
        <f t="shared" si="27"/>
        <v>813870.92994344141</v>
      </c>
      <c r="AH182" s="853"/>
      <c r="AI182" s="855">
        <f t="shared" si="28"/>
        <v>0</v>
      </c>
      <c r="AJ182" s="845" t="s">
        <v>548</v>
      </c>
      <c r="AK182" s="857" t="s">
        <v>549</v>
      </c>
      <c r="AL182" s="840"/>
      <c r="AM182" s="840"/>
      <c r="AN182" s="858"/>
      <c r="AO182" s="844" t="s">
        <v>141</v>
      </c>
      <c r="AP182" s="859"/>
      <c r="AQ182" s="859" t="s">
        <v>550</v>
      </c>
      <c r="AR182" s="859"/>
      <c r="AS182" s="840"/>
      <c r="AT182" s="840"/>
      <c r="AU182" s="860"/>
      <c r="AV182" s="839" t="s">
        <v>619</v>
      </c>
      <c r="AW182" s="861">
        <v>45058</v>
      </c>
      <c r="AX182" s="862" t="s">
        <v>552</v>
      </c>
      <c r="AY182" s="843"/>
      <c r="AZ182" s="842"/>
      <c r="BA182" s="842" t="s">
        <v>120</v>
      </c>
      <c r="BB182" s="863" t="s">
        <v>121</v>
      </c>
      <c r="BC182" s="864">
        <v>45058</v>
      </c>
      <c r="BD182" s="860" t="s">
        <v>620</v>
      </c>
      <c r="BE182" s="865" cm="1">
        <f t="array" ref="BE182">IF(BD182="","",AC182/SUMPRODUCT(--(BD182=$BD$4:$BD$12824),$AC$4:$AC$12824))</f>
        <v>3.7822882226188253E-3</v>
      </c>
      <c r="BF182" s="458"/>
      <c r="BG182" s="458"/>
      <c r="BH182" s="458"/>
      <c r="BI182" s="458"/>
      <c r="BJ182" s="458"/>
      <c r="BK182" s="458"/>
      <c r="BL182" s="458"/>
      <c r="BM182" s="458"/>
      <c r="BN182" s="458"/>
      <c r="BO182" s="866">
        <f>VLOOKUP(BD182,$BD$4:$BN$12824,3,0)*BE182</f>
        <v>272695.41627437208</v>
      </c>
      <c r="BP182" s="866"/>
      <c r="BQ182" s="866"/>
      <c r="BR182" s="866">
        <f>VLOOKUP(BD182,$BD$4:$BN$12824,6,0)*BE182</f>
        <v>65161.26149927712</v>
      </c>
      <c r="BS182" s="866">
        <f>VLOOKUP(BD182,$BD$4:$BN$12824,7,0)*BE182</f>
        <v>26775.003660041573</v>
      </c>
      <c r="BT182" s="866"/>
      <c r="BU182" s="866">
        <f>VLOOKUP(BD182,$BD$4:$BN$12824,9,0)*BE182</f>
        <v>1891.1441113094127</v>
      </c>
      <c r="BV182" s="867"/>
      <c r="BW182" s="867">
        <f>VLOOKUP(BD182,$BD$4:$BN$12824,11,0)*BE182</f>
        <v>3782.2882226188253</v>
      </c>
      <c r="BX182" s="1146">
        <f t="shared" si="34"/>
        <v>370305.11376761901</v>
      </c>
      <c r="BY182" s="867">
        <f t="shared" si="31"/>
        <v>9023414.9232110586</v>
      </c>
      <c r="BZ182" s="867">
        <f t="shared" si="29"/>
        <v>9023414.9232110586</v>
      </c>
      <c r="CA182" s="867">
        <f>_xlfn.MAXIFS($BY$4:$BY$12824,$S$4:$S$12824,$S182)</f>
        <v>9023414.9232110586</v>
      </c>
      <c r="CB182" s="1032"/>
      <c r="CF182" s="946">
        <f t="shared" si="30"/>
        <v>7839238.8794999989</v>
      </c>
    </row>
    <row r="183" spans="1:84">
      <c r="A183" s="1032"/>
      <c r="B183" s="839" t="s">
        <v>98</v>
      </c>
      <c r="C183" s="839" t="s">
        <v>273</v>
      </c>
      <c r="D183" s="839" t="s">
        <v>545</v>
      </c>
      <c r="E183" s="839" t="s">
        <v>545</v>
      </c>
      <c r="F183" s="841">
        <v>44944</v>
      </c>
      <c r="G183" s="840" t="s">
        <v>273</v>
      </c>
      <c r="H183" s="842" t="s">
        <v>134</v>
      </c>
      <c r="I183" s="842"/>
      <c r="J183" s="841"/>
      <c r="K183" s="841"/>
      <c r="L183" s="843"/>
      <c r="M183" s="844" t="s">
        <v>275</v>
      </c>
      <c r="N183" s="841"/>
      <c r="O183" s="841" t="s">
        <v>150</v>
      </c>
      <c r="P183" s="841" t="s">
        <v>276</v>
      </c>
      <c r="Q183" s="843"/>
      <c r="R183" s="845" t="s">
        <v>645</v>
      </c>
      <c r="S183" s="1127" t="s">
        <v>645</v>
      </c>
      <c r="T183" s="843" t="s">
        <v>646</v>
      </c>
      <c r="U183" s="842">
        <v>1</v>
      </c>
      <c r="V183" s="842" t="s">
        <v>3</v>
      </c>
      <c r="W183" s="846"/>
      <c r="X183" s="847">
        <f t="shared" si="24"/>
        <v>0</v>
      </c>
      <c r="Y183" s="848"/>
      <c r="Z183" s="849">
        <v>307.64999999999998</v>
      </c>
      <c r="AA183" s="849"/>
      <c r="AB183" s="849">
        <f t="shared" si="25"/>
        <v>307.64999999999998</v>
      </c>
      <c r="AC183" s="850">
        <f t="shared" si="26"/>
        <v>307.64999999999998</v>
      </c>
      <c r="AD183" s="851"/>
      <c r="AE183" s="852">
        <v>25481.03</v>
      </c>
      <c r="AF183" s="853">
        <v>0.1</v>
      </c>
      <c r="AG183" s="854">
        <f t="shared" si="27"/>
        <v>813870.92994344141</v>
      </c>
      <c r="AH183" s="853"/>
      <c r="AI183" s="855">
        <f t="shared" si="28"/>
        <v>0</v>
      </c>
      <c r="AJ183" s="845" t="s">
        <v>548</v>
      </c>
      <c r="AK183" s="857" t="s">
        <v>549</v>
      </c>
      <c r="AL183" s="840"/>
      <c r="AM183" s="840"/>
      <c r="AN183" s="858"/>
      <c r="AO183" s="844" t="s">
        <v>141</v>
      </c>
      <c r="AP183" s="859"/>
      <c r="AQ183" s="859" t="s">
        <v>550</v>
      </c>
      <c r="AR183" s="859"/>
      <c r="AS183" s="840"/>
      <c r="AT183" s="840"/>
      <c r="AU183" s="860"/>
      <c r="AV183" s="839" t="s">
        <v>619</v>
      </c>
      <c r="AW183" s="861">
        <v>45058</v>
      </c>
      <c r="AX183" s="862" t="s">
        <v>552</v>
      </c>
      <c r="AY183" s="843"/>
      <c r="AZ183" s="842"/>
      <c r="BA183" s="842" t="s">
        <v>120</v>
      </c>
      <c r="BB183" s="863" t="s">
        <v>121</v>
      </c>
      <c r="BC183" s="864">
        <v>45058</v>
      </c>
      <c r="BD183" s="860" t="s">
        <v>620</v>
      </c>
      <c r="BE183" s="865" cm="1">
        <f t="array" ref="BE183">IF(BD183="","",AC183/SUMPRODUCT(--(BD183=$BD$4:$BD$12824),$AC$4:$AC$12824))</f>
        <v>3.7822882226188253E-3</v>
      </c>
      <c r="BF183" s="458"/>
      <c r="BG183" s="458"/>
      <c r="BH183" s="458"/>
      <c r="BI183" s="458"/>
      <c r="BJ183" s="458"/>
      <c r="BK183" s="458"/>
      <c r="BL183" s="458"/>
      <c r="BM183" s="458"/>
      <c r="BN183" s="458"/>
      <c r="BO183" s="866">
        <f>VLOOKUP(BD183,$BD$4:$BN$12824,3,0)*BE183</f>
        <v>272695.41627437208</v>
      </c>
      <c r="BP183" s="866"/>
      <c r="BQ183" s="866"/>
      <c r="BR183" s="866">
        <f>VLOOKUP(BD183,$BD$4:$BN$12824,6,0)*BE183</f>
        <v>65161.26149927712</v>
      </c>
      <c r="BS183" s="866">
        <f>VLOOKUP(BD183,$BD$4:$BN$12824,7,0)*BE183</f>
        <v>26775.003660041573</v>
      </c>
      <c r="BT183" s="866"/>
      <c r="BU183" s="866">
        <f>VLOOKUP(BD183,$BD$4:$BN$12824,9,0)*BE183</f>
        <v>1891.1441113094127</v>
      </c>
      <c r="BV183" s="867"/>
      <c r="BW183" s="867">
        <f>VLOOKUP(BD183,$BD$4:$BN$12824,11,0)*BE183</f>
        <v>3782.2882226188253</v>
      </c>
      <c r="BX183" s="1146">
        <f t="shared" si="34"/>
        <v>370305.11376761901</v>
      </c>
      <c r="BY183" s="867">
        <f t="shared" si="31"/>
        <v>9023414.9232110586</v>
      </c>
      <c r="BZ183" s="867">
        <f t="shared" si="29"/>
        <v>9023414.9232110586</v>
      </c>
      <c r="CA183" s="867">
        <f>_xlfn.MAXIFS($BY$4:$BY$12824,$S$4:$S$12824,$S183)</f>
        <v>9023414.9232110586</v>
      </c>
      <c r="CB183" s="1032"/>
      <c r="CF183" s="946">
        <f t="shared" si="30"/>
        <v>7839238.8794999989</v>
      </c>
    </row>
    <row r="184" spans="1:84">
      <c r="A184" s="1032"/>
      <c r="B184" s="839" t="s">
        <v>98</v>
      </c>
      <c r="C184" s="839" t="s">
        <v>273</v>
      </c>
      <c r="D184" s="839" t="s">
        <v>545</v>
      </c>
      <c r="E184" s="839" t="s">
        <v>545</v>
      </c>
      <c r="F184" s="841">
        <v>44944</v>
      </c>
      <c r="G184" s="840" t="s">
        <v>273</v>
      </c>
      <c r="H184" s="842" t="s">
        <v>134</v>
      </c>
      <c r="I184" s="842"/>
      <c r="J184" s="841"/>
      <c r="K184" s="841"/>
      <c r="L184" s="843"/>
      <c r="M184" s="844" t="s">
        <v>275</v>
      </c>
      <c r="N184" s="841"/>
      <c r="O184" s="841" t="s">
        <v>150</v>
      </c>
      <c r="P184" s="841" t="s">
        <v>276</v>
      </c>
      <c r="Q184" s="843"/>
      <c r="R184" s="845" t="s">
        <v>363</v>
      </c>
      <c r="S184" s="1127" t="s">
        <v>363</v>
      </c>
      <c r="T184" s="843" t="s">
        <v>647</v>
      </c>
      <c r="U184" s="842">
        <v>1</v>
      </c>
      <c r="V184" s="842" t="s">
        <v>3</v>
      </c>
      <c r="W184" s="846"/>
      <c r="X184" s="847">
        <f t="shared" si="24"/>
        <v>0</v>
      </c>
      <c r="Y184" s="848"/>
      <c r="Z184" s="849">
        <v>294.02999999999997</v>
      </c>
      <c r="AA184" s="849"/>
      <c r="AB184" s="849">
        <f t="shared" si="25"/>
        <v>294.02999999999997</v>
      </c>
      <c r="AC184" s="850">
        <f t="shared" si="26"/>
        <v>294.02999999999997</v>
      </c>
      <c r="AD184" s="851"/>
      <c r="AE184" s="852">
        <v>25481.03</v>
      </c>
      <c r="AF184" s="853">
        <v>0.1</v>
      </c>
      <c r="AG184" s="854">
        <f t="shared" si="27"/>
        <v>777839.97897373652</v>
      </c>
      <c r="AH184" s="853"/>
      <c r="AI184" s="855">
        <f t="shared" si="28"/>
        <v>0</v>
      </c>
      <c r="AJ184" s="845" t="s">
        <v>548</v>
      </c>
      <c r="AK184" s="857" t="s">
        <v>549</v>
      </c>
      <c r="AL184" s="840"/>
      <c r="AM184" s="840"/>
      <c r="AN184" s="858"/>
      <c r="AO184" s="844" t="s">
        <v>141</v>
      </c>
      <c r="AP184" s="859"/>
      <c r="AQ184" s="859" t="s">
        <v>550</v>
      </c>
      <c r="AR184" s="859"/>
      <c r="AS184" s="840"/>
      <c r="AT184" s="840"/>
      <c r="AU184" s="860"/>
      <c r="AV184" s="839" t="s">
        <v>619</v>
      </c>
      <c r="AW184" s="861">
        <v>45058</v>
      </c>
      <c r="AX184" s="862" t="s">
        <v>552</v>
      </c>
      <c r="AY184" s="843"/>
      <c r="AZ184" s="842"/>
      <c r="BA184" s="842" t="s">
        <v>120</v>
      </c>
      <c r="BB184" s="863" t="s">
        <v>121</v>
      </c>
      <c r="BC184" s="864">
        <v>45058</v>
      </c>
      <c r="BD184" s="860" t="s">
        <v>620</v>
      </c>
      <c r="BE184" s="865" cm="1">
        <f t="array" ref="BE184">IF(BD184="","",AC184/SUMPRODUCT(--(BD184=$BD$4:$BD$12824),$AC$4:$AC$12824))</f>
        <v>3.6148422106179524E-3</v>
      </c>
      <c r="BF184" s="458"/>
      <c r="BG184" s="458"/>
      <c r="BH184" s="458"/>
      <c r="BI184" s="458"/>
      <c r="BJ184" s="458"/>
      <c r="BK184" s="458"/>
      <c r="BL184" s="458"/>
      <c r="BM184" s="458"/>
      <c r="BN184" s="458"/>
      <c r="BO184" s="866">
        <f>VLOOKUP(BD184,$BD$4:$BN$12824,3,0)*BE184</f>
        <v>260622.89370113314</v>
      </c>
      <c r="BP184" s="866"/>
      <c r="BQ184" s="866"/>
      <c r="BR184" s="866">
        <f>VLOOKUP(BD184,$BD$4:$BN$12824,6,0)*BE184</f>
        <v>62276.501604526085</v>
      </c>
      <c r="BS184" s="866">
        <f>VLOOKUP(BD184,$BD$4:$BN$12824,7,0)*BE184</f>
        <v>25589.645136232804</v>
      </c>
      <c r="BT184" s="866"/>
      <c r="BU184" s="866">
        <f>VLOOKUP(BD184,$BD$4:$BN$12824,9,0)*BE184</f>
        <v>1807.4211053089762</v>
      </c>
      <c r="BV184" s="867"/>
      <c r="BW184" s="867">
        <f>VLOOKUP(BD184,$BD$4:$BN$12824,11,0)*BE184</f>
        <v>3614.8422106179523</v>
      </c>
      <c r="BX184" s="1146">
        <f t="shared" si="34"/>
        <v>353911.30375781894</v>
      </c>
      <c r="BY184" s="867">
        <f t="shared" si="31"/>
        <v>8623938.5336315539</v>
      </c>
      <c r="BZ184" s="867">
        <f t="shared" si="29"/>
        <v>8623938.5336315539</v>
      </c>
      <c r="CA184" s="867">
        <f>_xlfn.MAXIFS($BY$4:$BY$12824,$S$4:$S$12824,$S184)</f>
        <v>8623938.5336315539</v>
      </c>
      <c r="CB184" s="1032"/>
      <c r="CF184" s="946">
        <f t="shared" si="30"/>
        <v>7492187.2508999994</v>
      </c>
    </row>
    <row r="185" spans="1:84">
      <c r="A185" s="1032"/>
      <c r="B185" s="839" t="s">
        <v>98</v>
      </c>
      <c r="C185" s="839" t="s">
        <v>273</v>
      </c>
      <c r="D185" s="839" t="s">
        <v>545</v>
      </c>
      <c r="E185" s="839" t="s">
        <v>545</v>
      </c>
      <c r="F185" s="841">
        <v>44944</v>
      </c>
      <c r="G185" s="840" t="s">
        <v>273</v>
      </c>
      <c r="H185" s="842" t="s">
        <v>134</v>
      </c>
      <c r="I185" s="842"/>
      <c r="J185" s="841"/>
      <c r="K185" s="841"/>
      <c r="L185" s="843"/>
      <c r="M185" s="844" t="s">
        <v>275</v>
      </c>
      <c r="N185" s="841"/>
      <c r="O185" s="841" t="s">
        <v>150</v>
      </c>
      <c r="P185" s="841" t="s">
        <v>276</v>
      </c>
      <c r="Q185" s="843"/>
      <c r="R185" s="845" t="s">
        <v>648</v>
      </c>
      <c r="S185" s="1127" t="s">
        <v>648</v>
      </c>
      <c r="T185" s="843" t="s">
        <v>649</v>
      </c>
      <c r="U185" s="842">
        <v>1</v>
      </c>
      <c r="V185" s="842" t="s">
        <v>3</v>
      </c>
      <c r="W185" s="846"/>
      <c r="X185" s="847">
        <f t="shared" si="24"/>
        <v>0</v>
      </c>
      <c r="Y185" s="848"/>
      <c r="Z185" s="849">
        <v>321.26</v>
      </c>
      <c r="AA185" s="849"/>
      <c r="AB185" s="849">
        <f t="shared" si="25"/>
        <v>321.26</v>
      </c>
      <c r="AC185" s="850">
        <f t="shared" si="26"/>
        <v>321.26</v>
      </c>
      <c r="AD185" s="851"/>
      <c r="AE185" s="852">
        <v>25481.03</v>
      </c>
      <c r="AF185" s="853">
        <v>0.1</v>
      </c>
      <c r="AG185" s="854">
        <f t="shared" si="27"/>
        <v>849875.42647043709</v>
      </c>
      <c r="AH185" s="853"/>
      <c r="AI185" s="855">
        <f t="shared" si="28"/>
        <v>0</v>
      </c>
      <c r="AJ185" s="845" t="s">
        <v>548</v>
      </c>
      <c r="AK185" s="857" t="s">
        <v>549</v>
      </c>
      <c r="AL185" s="840"/>
      <c r="AM185" s="840"/>
      <c r="AN185" s="858"/>
      <c r="AO185" s="844" t="s">
        <v>141</v>
      </c>
      <c r="AP185" s="859"/>
      <c r="AQ185" s="859" t="s">
        <v>550</v>
      </c>
      <c r="AR185" s="859"/>
      <c r="AS185" s="840"/>
      <c r="AT185" s="840"/>
      <c r="AU185" s="860"/>
      <c r="AV185" s="839" t="s">
        <v>619</v>
      </c>
      <c r="AW185" s="861">
        <v>45058</v>
      </c>
      <c r="AX185" s="862" t="s">
        <v>552</v>
      </c>
      <c r="AY185" s="843"/>
      <c r="AZ185" s="842"/>
      <c r="BA185" s="842" t="s">
        <v>120</v>
      </c>
      <c r="BB185" s="863" t="s">
        <v>121</v>
      </c>
      <c r="BC185" s="864">
        <v>45058</v>
      </c>
      <c r="BD185" s="860" t="s">
        <v>620</v>
      </c>
      <c r="BE185" s="865" cm="1">
        <f t="array" ref="BE185">IF(BD185="","",AC185/SUMPRODUCT(--(BD185=$BD$4:$BD$12824),$AC$4:$AC$12824))</f>
        <v>3.9496112933480373E-3</v>
      </c>
      <c r="BF185" s="458"/>
      <c r="BG185" s="458"/>
      <c r="BH185" s="458"/>
      <c r="BI185" s="458"/>
      <c r="BJ185" s="458"/>
      <c r="BK185" s="458"/>
      <c r="BL185" s="458"/>
      <c r="BM185" s="458"/>
      <c r="BN185" s="458"/>
      <c r="BO185" s="866">
        <f>VLOOKUP(BD185,$BD$4:$BN$12824,3,0)*BE185</f>
        <v>284759.0750278068</v>
      </c>
      <c r="BP185" s="866"/>
      <c r="BQ185" s="866"/>
      <c r="BR185" s="866">
        <f>VLOOKUP(BD185,$BD$4:$BN$12824,6,0)*BE185</f>
        <v>68043.903361799981</v>
      </c>
      <c r="BS185" s="866">
        <f>VLOOKUP(BD185,$BD$4:$BN$12824,7,0)*BE185</f>
        <v>27959.491876564131</v>
      </c>
      <c r="BT185" s="866"/>
      <c r="BU185" s="866">
        <f>VLOOKUP(BD185,$BD$4:$BN$12824,9,0)*BE185</f>
        <v>1974.8056466740186</v>
      </c>
      <c r="BV185" s="867"/>
      <c r="BW185" s="867">
        <f>VLOOKUP(BD185,$BD$4:$BN$12824,11,0)*BE185</f>
        <v>3949.6112933480372</v>
      </c>
      <c r="BX185" s="1146">
        <f t="shared" si="34"/>
        <v>386686.88720619294</v>
      </c>
      <c r="BY185" s="867">
        <f t="shared" si="31"/>
        <v>9422598.0114766285</v>
      </c>
      <c r="BZ185" s="867">
        <f t="shared" si="29"/>
        <v>9422598.0114766285</v>
      </c>
      <c r="CA185" s="867">
        <f>_xlfn.MAXIFS($BY$4:$BY$12824,$S$4:$S$12824,$S185)</f>
        <v>9422598.0114766285</v>
      </c>
      <c r="CB185" s="1032"/>
      <c r="CF185" s="946">
        <f t="shared" si="30"/>
        <v>8186035.6977999993</v>
      </c>
    </row>
    <row r="186" spans="1:84">
      <c r="A186" s="1032"/>
      <c r="B186" s="839" t="s">
        <v>98</v>
      </c>
      <c r="C186" s="839" t="s">
        <v>273</v>
      </c>
      <c r="D186" s="839" t="s">
        <v>545</v>
      </c>
      <c r="E186" s="839" t="s">
        <v>545</v>
      </c>
      <c r="F186" s="841">
        <v>44944</v>
      </c>
      <c r="G186" s="840" t="s">
        <v>273</v>
      </c>
      <c r="H186" s="842" t="s">
        <v>134</v>
      </c>
      <c r="I186" s="842"/>
      <c r="J186" s="841"/>
      <c r="K186" s="841"/>
      <c r="L186" s="843"/>
      <c r="M186" s="844" t="s">
        <v>275</v>
      </c>
      <c r="N186" s="841"/>
      <c r="O186" s="841" t="s">
        <v>150</v>
      </c>
      <c r="P186" s="841" t="s">
        <v>276</v>
      </c>
      <c r="Q186" s="843"/>
      <c r="R186" s="845" t="s">
        <v>650</v>
      </c>
      <c r="S186" s="1127" t="s">
        <v>650</v>
      </c>
      <c r="T186" s="843" t="s">
        <v>651</v>
      </c>
      <c r="U186" s="842">
        <v>1</v>
      </c>
      <c r="V186" s="842" t="s">
        <v>3</v>
      </c>
      <c r="W186" s="846"/>
      <c r="X186" s="847">
        <f t="shared" si="24"/>
        <v>0</v>
      </c>
      <c r="Y186" s="848"/>
      <c r="Z186" s="849">
        <v>294.02999999999997</v>
      </c>
      <c r="AA186" s="849"/>
      <c r="AB186" s="849">
        <f t="shared" si="25"/>
        <v>294.02999999999997</v>
      </c>
      <c r="AC186" s="850">
        <f t="shared" si="26"/>
        <v>294.02999999999997</v>
      </c>
      <c r="AD186" s="851"/>
      <c r="AE186" s="852">
        <v>25481.03</v>
      </c>
      <c r="AF186" s="853">
        <v>0.1</v>
      </c>
      <c r="AG186" s="854">
        <f t="shared" si="27"/>
        <v>777839.97897373652</v>
      </c>
      <c r="AH186" s="853"/>
      <c r="AI186" s="855">
        <f t="shared" si="28"/>
        <v>0</v>
      </c>
      <c r="AJ186" s="845" t="s">
        <v>548</v>
      </c>
      <c r="AK186" s="857" t="s">
        <v>549</v>
      </c>
      <c r="AL186" s="840"/>
      <c r="AM186" s="840"/>
      <c r="AN186" s="858"/>
      <c r="AO186" s="844" t="s">
        <v>141</v>
      </c>
      <c r="AP186" s="859"/>
      <c r="AQ186" s="859" t="s">
        <v>550</v>
      </c>
      <c r="AR186" s="859"/>
      <c r="AS186" s="840"/>
      <c r="AT186" s="840"/>
      <c r="AU186" s="860"/>
      <c r="AV186" s="839" t="s">
        <v>619</v>
      </c>
      <c r="AW186" s="861">
        <v>45058</v>
      </c>
      <c r="AX186" s="862" t="s">
        <v>552</v>
      </c>
      <c r="AY186" s="843"/>
      <c r="AZ186" s="842"/>
      <c r="BA186" s="842" t="s">
        <v>120</v>
      </c>
      <c r="BB186" s="863" t="s">
        <v>121</v>
      </c>
      <c r="BC186" s="864">
        <v>45058</v>
      </c>
      <c r="BD186" s="860" t="s">
        <v>620</v>
      </c>
      <c r="BE186" s="865" cm="1">
        <f t="array" ref="BE186">IF(BD186="","",AC186/SUMPRODUCT(--(BD186=$BD$4:$BD$12824),$AC$4:$AC$12824))</f>
        <v>3.6148422106179524E-3</v>
      </c>
      <c r="BF186" s="458"/>
      <c r="BG186" s="458"/>
      <c r="BH186" s="458"/>
      <c r="BI186" s="458"/>
      <c r="BJ186" s="458"/>
      <c r="BK186" s="458"/>
      <c r="BL186" s="458"/>
      <c r="BM186" s="458"/>
      <c r="BN186" s="458"/>
      <c r="BO186" s="866">
        <f>VLOOKUP(BD186,$BD$4:$BN$12824,3,0)*BE186</f>
        <v>260622.89370113314</v>
      </c>
      <c r="BP186" s="866"/>
      <c r="BQ186" s="866"/>
      <c r="BR186" s="866">
        <f>VLOOKUP(BD186,$BD$4:$BN$12824,6,0)*BE186</f>
        <v>62276.501604526085</v>
      </c>
      <c r="BS186" s="866">
        <f>VLOOKUP(BD186,$BD$4:$BN$12824,7,0)*BE186</f>
        <v>25589.645136232804</v>
      </c>
      <c r="BT186" s="866"/>
      <c r="BU186" s="866">
        <f>VLOOKUP(BD186,$BD$4:$BN$12824,9,0)*BE186</f>
        <v>1807.4211053089762</v>
      </c>
      <c r="BV186" s="867"/>
      <c r="BW186" s="867">
        <f>VLOOKUP(BD186,$BD$4:$BN$12824,11,0)*BE186</f>
        <v>3614.8422106179523</v>
      </c>
      <c r="BX186" s="1146">
        <f t="shared" si="34"/>
        <v>353911.30375781894</v>
      </c>
      <c r="BY186" s="867">
        <f t="shared" si="31"/>
        <v>8623938.5336315539</v>
      </c>
      <c r="BZ186" s="867">
        <f t="shared" si="29"/>
        <v>8623938.5336315539</v>
      </c>
      <c r="CA186" s="867">
        <f>_xlfn.MAXIFS($BY$4:$BY$12824,$S$4:$S$12824,$S186)</f>
        <v>8623938.5336315539</v>
      </c>
      <c r="CB186" s="1032"/>
      <c r="CF186" s="946">
        <f t="shared" si="30"/>
        <v>7492187.2508999994</v>
      </c>
    </row>
    <row r="187" spans="1:84">
      <c r="A187" s="1032"/>
      <c r="B187" s="839" t="s">
        <v>98</v>
      </c>
      <c r="C187" s="839" t="s">
        <v>273</v>
      </c>
      <c r="D187" s="839" t="s">
        <v>545</v>
      </c>
      <c r="E187" s="839" t="s">
        <v>545</v>
      </c>
      <c r="F187" s="841">
        <v>44944</v>
      </c>
      <c r="G187" s="840" t="s">
        <v>273</v>
      </c>
      <c r="H187" s="842" t="s">
        <v>134</v>
      </c>
      <c r="I187" s="842"/>
      <c r="J187" s="841"/>
      <c r="K187" s="841"/>
      <c r="L187" s="843"/>
      <c r="M187" s="844" t="s">
        <v>275</v>
      </c>
      <c r="N187" s="841"/>
      <c r="O187" s="841" t="s">
        <v>150</v>
      </c>
      <c r="P187" s="841" t="s">
        <v>276</v>
      </c>
      <c r="Q187" s="843"/>
      <c r="R187" s="845" t="s">
        <v>652</v>
      </c>
      <c r="S187" s="1127" t="s">
        <v>652</v>
      </c>
      <c r="T187" s="843" t="s">
        <v>653</v>
      </c>
      <c r="U187" s="842">
        <v>1</v>
      </c>
      <c r="V187" s="842" t="s">
        <v>3</v>
      </c>
      <c r="W187" s="846"/>
      <c r="X187" s="847">
        <f t="shared" si="24"/>
        <v>0</v>
      </c>
      <c r="Y187" s="848"/>
      <c r="Z187" s="849">
        <v>294.02999999999997</v>
      </c>
      <c r="AA187" s="849"/>
      <c r="AB187" s="849">
        <f t="shared" si="25"/>
        <v>294.02999999999997</v>
      </c>
      <c r="AC187" s="850">
        <f t="shared" si="26"/>
        <v>294.02999999999997</v>
      </c>
      <c r="AD187" s="851"/>
      <c r="AE187" s="852">
        <v>25481.03</v>
      </c>
      <c r="AF187" s="853">
        <v>0.1</v>
      </c>
      <c r="AG187" s="854">
        <f t="shared" si="27"/>
        <v>777839.97897373652</v>
      </c>
      <c r="AH187" s="853"/>
      <c r="AI187" s="855">
        <f t="shared" si="28"/>
        <v>0</v>
      </c>
      <c r="AJ187" s="845" t="s">
        <v>548</v>
      </c>
      <c r="AK187" s="857" t="s">
        <v>549</v>
      </c>
      <c r="AL187" s="840"/>
      <c r="AM187" s="840"/>
      <c r="AN187" s="858"/>
      <c r="AO187" s="844" t="s">
        <v>141</v>
      </c>
      <c r="AP187" s="859"/>
      <c r="AQ187" s="859" t="s">
        <v>550</v>
      </c>
      <c r="AR187" s="859"/>
      <c r="AS187" s="840"/>
      <c r="AT187" s="840"/>
      <c r="AU187" s="860"/>
      <c r="AV187" s="839" t="s">
        <v>619</v>
      </c>
      <c r="AW187" s="861">
        <v>45058</v>
      </c>
      <c r="AX187" s="862" t="s">
        <v>552</v>
      </c>
      <c r="AY187" s="843"/>
      <c r="AZ187" s="842"/>
      <c r="BA187" s="842" t="s">
        <v>120</v>
      </c>
      <c r="BB187" s="863" t="s">
        <v>121</v>
      </c>
      <c r="BC187" s="864">
        <v>45058</v>
      </c>
      <c r="BD187" s="860" t="s">
        <v>620</v>
      </c>
      <c r="BE187" s="865" cm="1">
        <f t="array" ref="BE187">IF(BD187="","",AC187/SUMPRODUCT(--(BD187=$BD$4:$BD$12824),$AC$4:$AC$12824))</f>
        <v>3.6148422106179524E-3</v>
      </c>
      <c r="BF187" s="458"/>
      <c r="BG187" s="458"/>
      <c r="BH187" s="458"/>
      <c r="BI187" s="458"/>
      <c r="BJ187" s="458"/>
      <c r="BK187" s="458"/>
      <c r="BL187" s="458"/>
      <c r="BM187" s="458"/>
      <c r="BN187" s="458"/>
      <c r="BO187" s="866">
        <f>VLOOKUP(BD187,$BD$4:$BN$12824,3,0)*BE187</f>
        <v>260622.89370113314</v>
      </c>
      <c r="BP187" s="866"/>
      <c r="BQ187" s="866"/>
      <c r="BR187" s="866">
        <f>VLOOKUP(BD187,$BD$4:$BN$12824,6,0)*BE187</f>
        <v>62276.501604526085</v>
      </c>
      <c r="BS187" s="866">
        <f>VLOOKUP(BD187,$BD$4:$BN$12824,7,0)*BE187</f>
        <v>25589.645136232804</v>
      </c>
      <c r="BT187" s="866"/>
      <c r="BU187" s="866">
        <f>VLOOKUP(BD187,$BD$4:$BN$12824,9,0)*BE187</f>
        <v>1807.4211053089762</v>
      </c>
      <c r="BV187" s="867"/>
      <c r="BW187" s="867">
        <f>VLOOKUP(BD187,$BD$4:$BN$12824,11,0)*BE187</f>
        <v>3614.8422106179523</v>
      </c>
      <c r="BX187" s="1146">
        <f t="shared" si="34"/>
        <v>353911.30375781894</v>
      </c>
      <c r="BY187" s="867">
        <f t="shared" si="31"/>
        <v>8623938.5336315539</v>
      </c>
      <c r="BZ187" s="867">
        <f t="shared" si="29"/>
        <v>8623938.5336315539</v>
      </c>
      <c r="CA187" s="867">
        <f>_xlfn.MAXIFS($BY$4:$BY$12824,$S$4:$S$12824,$S187)</f>
        <v>8623938.5336315539</v>
      </c>
      <c r="CB187" s="1032"/>
      <c r="CF187" s="946">
        <f t="shared" si="30"/>
        <v>7492187.2508999994</v>
      </c>
    </row>
    <row r="188" spans="1:84">
      <c r="A188" s="1032"/>
      <c r="B188" s="839" t="s">
        <v>98</v>
      </c>
      <c r="C188" s="839" t="s">
        <v>273</v>
      </c>
      <c r="D188" s="839" t="s">
        <v>545</v>
      </c>
      <c r="E188" s="839" t="s">
        <v>545</v>
      </c>
      <c r="F188" s="841">
        <v>44944</v>
      </c>
      <c r="G188" s="840" t="s">
        <v>273</v>
      </c>
      <c r="H188" s="842" t="s">
        <v>134</v>
      </c>
      <c r="I188" s="842"/>
      <c r="J188" s="841"/>
      <c r="K188" s="841"/>
      <c r="L188" s="843"/>
      <c r="M188" s="844" t="s">
        <v>275</v>
      </c>
      <c r="N188" s="841"/>
      <c r="O188" s="841" t="s">
        <v>150</v>
      </c>
      <c r="P188" s="841" t="s">
        <v>276</v>
      </c>
      <c r="Q188" s="843"/>
      <c r="R188" s="845" t="s">
        <v>654</v>
      </c>
      <c r="S188" s="1127" t="s">
        <v>654</v>
      </c>
      <c r="T188" s="843" t="s">
        <v>655</v>
      </c>
      <c r="U188" s="842">
        <v>1</v>
      </c>
      <c r="V188" s="842" t="s">
        <v>3</v>
      </c>
      <c r="W188" s="846"/>
      <c r="X188" s="847">
        <f t="shared" si="24"/>
        <v>0</v>
      </c>
      <c r="Y188" s="848"/>
      <c r="Z188" s="849">
        <v>294.02999999999997</v>
      </c>
      <c r="AA188" s="849"/>
      <c r="AB188" s="849">
        <f t="shared" si="25"/>
        <v>294.02999999999997</v>
      </c>
      <c r="AC188" s="850">
        <f t="shared" si="26"/>
        <v>294.02999999999997</v>
      </c>
      <c r="AD188" s="851"/>
      <c r="AE188" s="852">
        <v>25481.03</v>
      </c>
      <c r="AF188" s="853">
        <v>0.1</v>
      </c>
      <c r="AG188" s="854">
        <f t="shared" si="27"/>
        <v>777839.97897373652</v>
      </c>
      <c r="AH188" s="853"/>
      <c r="AI188" s="855">
        <f t="shared" si="28"/>
        <v>0</v>
      </c>
      <c r="AJ188" s="845" t="s">
        <v>548</v>
      </c>
      <c r="AK188" s="857" t="s">
        <v>549</v>
      </c>
      <c r="AL188" s="840"/>
      <c r="AM188" s="840"/>
      <c r="AN188" s="858"/>
      <c r="AO188" s="844" t="s">
        <v>141</v>
      </c>
      <c r="AP188" s="859"/>
      <c r="AQ188" s="859" t="s">
        <v>550</v>
      </c>
      <c r="AR188" s="859"/>
      <c r="AS188" s="840"/>
      <c r="AT188" s="840"/>
      <c r="AU188" s="860"/>
      <c r="AV188" s="839" t="s">
        <v>619</v>
      </c>
      <c r="AW188" s="861">
        <v>45058</v>
      </c>
      <c r="AX188" s="862" t="s">
        <v>552</v>
      </c>
      <c r="AY188" s="843"/>
      <c r="AZ188" s="842"/>
      <c r="BA188" s="842" t="s">
        <v>120</v>
      </c>
      <c r="BB188" s="863" t="s">
        <v>121</v>
      </c>
      <c r="BC188" s="864">
        <v>45058</v>
      </c>
      <c r="BD188" s="860" t="s">
        <v>620</v>
      </c>
      <c r="BE188" s="865" cm="1">
        <f t="array" ref="BE188">IF(BD188="","",AC188/SUMPRODUCT(--(BD188=$BD$4:$BD$12824),$AC$4:$AC$12824))</f>
        <v>3.6148422106179524E-3</v>
      </c>
      <c r="BF188" s="458"/>
      <c r="BG188" s="458"/>
      <c r="BH188" s="458"/>
      <c r="BI188" s="458"/>
      <c r="BJ188" s="458"/>
      <c r="BK188" s="458"/>
      <c r="BL188" s="458"/>
      <c r="BM188" s="458"/>
      <c r="BN188" s="458"/>
      <c r="BO188" s="866">
        <f>VLOOKUP(BD188,$BD$4:$BN$12824,3,0)*BE188</f>
        <v>260622.89370113314</v>
      </c>
      <c r="BP188" s="866"/>
      <c r="BQ188" s="866"/>
      <c r="BR188" s="866">
        <f>VLOOKUP(BD188,$BD$4:$BN$12824,6,0)*BE188</f>
        <v>62276.501604526085</v>
      </c>
      <c r="BS188" s="866">
        <f>VLOOKUP(BD188,$BD$4:$BN$12824,7,0)*BE188</f>
        <v>25589.645136232804</v>
      </c>
      <c r="BT188" s="866"/>
      <c r="BU188" s="866">
        <f>VLOOKUP(BD188,$BD$4:$BN$12824,9,0)*BE188</f>
        <v>1807.4211053089762</v>
      </c>
      <c r="BV188" s="867"/>
      <c r="BW188" s="867">
        <f>VLOOKUP(BD188,$BD$4:$BN$12824,11,0)*BE188</f>
        <v>3614.8422106179523</v>
      </c>
      <c r="BX188" s="1146">
        <f t="shared" si="34"/>
        <v>353911.30375781894</v>
      </c>
      <c r="BY188" s="867">
        <f t="shared" si="31"/>
        <v>8623938.5336315539</v>
      </c>
      <c r="BZ188" s="867">
        <f t="shared" si="29"/>
        <v>8623938.5336315539</v>
      </c>
      <c r="CA188" s="867">
        <f>_xlfn.MAXIFS($BY$4:$BY$12824,$S$4:$S$12824,$S188)</f>
        <v>8623938.5336315539</v>
      </c>
      <c r="CB188" s="1032"/>
      <c r="CF188" s="946">
        <f t="shared" si="30"/>
        <v>7492187.2508999994</v>
      </c>
    </row>
    <row r="189" spans="1:84">
      <c r="A189" s="1032"/>
      <c r="B189" s="839" t="s">
        <v>98</v>
      </c>
      <c r="C189" s="839" t="s">
        <v>273</v>
      </c>
      <c r="D189" s="839" t="s">
        <v>545</v>
      </c>
      <c r="E189" s="839" t="s">
        <v>545</v>
      </c>
      <c r="F189" s="841">
        <v>44944</v>
      </c>
      <c r="G189" s="840" t="s">
        <v>273</v>
      </c>
      <c r="H189" s="842" t="s">
        <v>134</v>
      </c>
      <c r="I189" s="842"/>
      <c r="J189" s="841"/>
      <c r="K189" s="841"/>
      <c r="L189" s="843"/>
      <c r="M189" s="844" t="s">
        <v>275</v>
      </c>
      <c r="N189" s="841"/>
      <c r="O189" s="841" t="s">
        <v>150</v>
      </c>
      <c r="P189" s="841" t="s">
        <v>276</v>
      </c>
      <c r="Q189" s="843"/>
      <c r="R189" s="845" t="s">
        <v>656</v>
      </c>
      <c r="S189" s="1127" t="s">
        <v>656</v>
      </c>
      <c r="T189" s="843" t="s">
        <v>657</v>
      </c>
      <c r="U189" s="842">
        <v>1</v>
      </c>
      <c r="V189" s="842" t="s">
        <v>3</v>
      </c>
      <c r="W189" s="846"/>
      <c r="X189" s="847">
        <f t="shared" si="24"/>
        <v>0</v>
      </c>
      <c r="Y189" s="848"/>
      <c r="Z189" s="849">
        <v>293.97000000000003</v>
      </c>
      <c r="AA189" s="849"/>
      <c r="AB189" s="849">
        <f t="shared" si="25"/>
        <v>293.97000000000003</v>
      </c>
      <c r="AC189" s="850">
        <f t="shared" si="26"/>
        <v>293.97000000000003</v>
      </c>
      <c r="AD189" s="851"/>
      <c r="AE189" s="852">
        <v>25481.03</v>
      </c>
      <c r="AF189" s="853">
        <v>0.1</v>
      </c>
      <c r="AG189" s="854">
        <f t="shared" si="27"/>
        <v>777681.25231748249</v>
      </c>
      <c r="AH189" s="853"/>
      <c r="AI189" s="855">
        <f t="shared" si="28"/>
        <v>0</v>
      </c>
      <c r="AJ189" s="845" t="s">
        <v>548</v>
      </c>
      <c r="AK189" s="857" t="s">
        <v>549</v>
      </c>
      <c r="AL189" s="840"/>
      <c r="AM189" s="840"/>
      <c r="AN189" s="858"/>
      <c r="AO189" s="844" t="s">
        <v>141</v>
      </c>
      <c r="AP189" s="859"/>
      <c r="AQ189" s="859" t="s">
        <v>550</v>
      </c>
      <c r="AR189" s="859"/>
      <c r="AS189" s="840"/>
      <c r="AT189" s="840"/>
      <c r="AU189" s="860"/>
      <c r="AV189" s="839" t="s">
        <v>619</v>
      </c>
      <c r="AW189" s="861">
        <v>45058</v>
      </c>
      <c r="AX189" s="862" t="s">
        <v>552</v>
      </c>
      <c r="AY189" s="843"/>
      <c r="AZ189" s="842"/>
      <c r="BA189" s="842" t="s">
        <v>120</v>
      </c>
      <c r="BB189" s="863" t="s">
        <v>121</v>
      </c>
      <c r="BC189" s="864">
        <v>45058</v>
      </c>
      <c r="BD189" s="860" t="s">
        <v>620</v>
      </c>
      <c r="BE189" s="865" cm="1">
        <f t="array" ref="BE189">IF(BD189="","",AC189/SUMPRODUCT(--(BD189=$BD$4:$BD$12824),$AC$4:$AC$12824))</f>
        <v>3.6141045629879934E-3</v>
      </c>
      <c r="BF189" s="458"/>
      <c r="BG189" s="458"/>
      <c r="BH189" s="458"/>
      <c r="BI189" s="458"/>
      <c r="BJ189" s="458"/>
      <c r="BK189" s="458"/>
      <c r="BL189" s="458"/>
      <c r="BM189" s="458"/>
      <c r="BN189" s="458"/>
      <c r="BO189" s="866">
        <f>VLOOKUP(BD189,$BD$4:$BN$12824,3,0)*BE189</f>
        <v>260569.71078230834</v>
      </c>
      <c r="BP189" s="866"/>
      <c r="BQ189" s="866"/>
      <c r="BR189" s="866">
        <f>VLOOKUP(BD189,$BD$4:$BN$12824,6,0)*BE189</f>
        <v>62263.793411157152</v>
      </c>
      <c r="BS189" s="866">
        <f>VLOOKUP(BD189,$BD$4:$BN$12824,7,0)*BE189</f>
        <v>25584.423292515592</v>
      </c>
      <c r="BT189" s="866"/>
      <c r="BU189" s="866">
        <f>VLOOKUP(BD189,$BD$4:$BN$12824,9,0)*BE189</f>
        <v>1807.0522814939966</v>
      </c>
      <c r="BV189" s="867"/>
      <c r="BW189" s="867">
        <f>VLOOKUP(BD189,$BD$4:$BN$12824,11,0)*BE189</f>
        <v>3614.1045629879932</v>
      </c>
      <c r="BX189" s="1146">
        <f t="shared" si="34"/>
        <v>353839.08433046303</v>
      </c>
      <c r="BY189" s="867">
        <f t="shared" si="31"/>
        <v>8622178.7257479466</v>
      </c>
      <c r="BZ189" s="867">
        <f t="shared" si="29"/>
        <v>8622178.7257479466</v>
      </c>
      <c r="CA189" s="867">
        <f>_xlfn.MAXIFS($BY$4:$BY$12824,$S$4:$S$12824,$S189)</f>
        <v>8622178.7257479466</v>
      </c>
      <c r="CB189" s="1032"/>
      <c r="CF189" s="946">
        <f t="shared" si="30"/>
        <v>7490658.3891000003</v>
      </c>
    </row>
    <row r="190" spans="1:84">
      <c r="A190" s="1032"/>
      <c r="B190" s="839" t="s">
        <v>98</v>
      </c>
      <c r="C190" s="839" t="s">
        <v>273</v>
      </c>
      <c r="D190" s="839" t="s">
        <v>545</v>
      </c>
      <c r="E190" s="839" t="s">
        <v>545</v>
      </c>
      <c r="F190" s="841">
        <v>44944</v>
      </c>
      <c r="G190" s="840" t="s">
        <v>273</v>
      </c>
      <c r="H190" s="842" t="s">
        <v>134</v>
      </c>
      <c r="I190" s="842"/>
      <c r="J190" s="841"/>
      <c r="K190" s="841"/>
      <c r="L190" s="843"/>
      <c r="M190" s="844" t="s">
        <v>275</v>
      </c>
      <c r="N190" s="841"/>
      <c r="O190" s="841" t="s">
        <v>150</v>
      </c>
      <c r="P190" s="841" t="s">
        <v>276</v>
      </c>
      <c r="Q190" s="843"/>
      <c r="R190" s="845" t="s">
        <v>658</v>
      </c>
      <c r="S190" s="1127" t="s">
        <v>658</v>
      </c>
      <c r="T190" s="843" t="s">
        <v>659</v>
      </c>
      <c r="U190" s="842">
        <v>3</v>
      </c>
      <c r="V190" s="842" t="s">
        <v>3</v>
      </c>
      <c r="W190" s="846"/>
      <c r="X190" s="847">
        <f t="shared" si="24"/>
        <v>0</v>
      </c>
      <c r="Y190" s="848"/>
      <c r="Z190" s="849">
        <v>577.33333000000005</v>
      </c>
      <c r="AA190" s="849"/>
      <c r="AB190" s="849">
        <f t="shared" si="25"/>
        <v>1731.9999900000003</v>
      </c>
      <c r="AC190" s="850">
        <f t="shared" si="26"/>
        <v>1731.9999900000003</v>
      </c>
      <c r="AD190" s="851"/>
      <c r="AE190" s="852">
        <v>25481.03</v>
      </c>
      <c r="AF190" s="853">
        <v>0.1</v>
      </c>
      <c r="AG190" s="854">
        <f t="shared" si="27"/>
        <v>4581909.4507503053</v>
      </c>
      <c r="AH190" s="853"/>
      <c r="AI190" s="855">
        <f t="shared" si="28"/>
        <v>0</v>
      </c>
      <c r="AJ190" s="845" t="s">
        <v>548</v>
      </c>
      <c r="AK190" s="857" t="s">
        <v>549</v>
      </c>
      <c r="AL190" s="840"/>
      <c r="AM190" s="840"/>
      <c r="AN190" s="858"/>
      <c r="AO190" s="844" t="s">
        <v>141</v>
      </c>
      <c r="AP190" s="859"/>
      <c r="AQ190" s="859" t="s">
        <v>550</v>
      </c>
      <c r="AR190" s="859"/>
      <c r="AS190" s="840"/>
      <c r="AT190" s="840"/>
      <c r="AU190" s="860"/>
      <c r="AV190" s="839" t="s">
        <v>619</v>
      </c>
      <c r="AW190" s="861">
        <v>45058</v>
      </c>
      <c r="AX190" s="862" t="s">
        <v>552</v>
      </c>
      <c r="AY190" s="843"/>
      <c r="AZ190" s="842"/>
      <c r="BA190" s="842" t="s">
        <v>120</v>
      </c>
      <c r="BB190" s="863" t="s">
        <v>121</v>
      </c>
      <c r="BC190" s="864">
        <v>45058</v>
      </c>
      <c r="BD190" s="860" t="s">
        <v>620</v>
      </c>
      <c r="BE190" s="865" cm="1">
        <f t="array" ref="BE190">IF(BD190="","",AC190/SUMPRODUCT(--(BD190=$BD$4:$BD$12824),$AC$4:$AC$12824))</f>
        <v>2.1293428128564683E-2</v>
      </c>
      <c r="BF190" s="458"/>
      <c r="BG190" s="458"/>
      <c r="BH190" s="458"/>
      <c r="BI190" s="458"/>
      <c r="BJ190" s="458"/>
      <c r="BK190" s="458"/>
      <c r="BL190" s="458"/>
      <c r="BM190" s="458"/>
      <c r="BN190" s="458"/>
      <c r="BO190" s="866">
        <f>VLOOKUP(BD190,$BD$4:$BN$12824,3,0)*BE190</f>
        <v>1535213.5812132566</v>
      </c>
      <c r="BP190" s="866"/>
      <c r="BQ190" s="866"/>
      <c r="BR190" s="866">
        <f>VLOOKUP(BD190,$BD$4:$BN$12824,6,0)*BE190</f>
        <v>366843.17979891237</v>
      </c>
      <c r="BS190" s="866">
        <f>VLOOKUP(BD190,$BD$4:$BN$12824,7,0)*BE190</f>
        <v>150737.22110008769</v>
      </c>
      <c r="BT190" s="866"/>
      <c r="BU190" s="866">
        <f>VLOOKUP(BD190,$BD$4:$BN$12824,9,0)*BE190</f>
        <v>10646.714064282341</v>
      </c>
      <c r="BV190" s="867"/>
      <c r="BW190" s="867">
        <f>VLOOKUP(BD190,$BD$4:$BN$12824,11,0)*BE190</f>
        <v>21293.428128564683</v>
      </c>
      <c r="BX190" s="1146">
        <f t="shared" si="34"/>
        <v>2084734.1243051039</v>
      </c>
      <c r="BY190" s="867">
        <f t="shared" si="31"/>
        <v>16933262.426748373</v>
      </c>
      <c r="BZ190" s="867">
        <f t="shared" si="29"/>
        <v>50799787.280245118</v>
      </c>
      <c r="CA190" s="867">
        <f>_xlfn.MAXIFS($BY$4:$BY$12824,$S$4:$S$12824,$S190)</f>
        <v>16933262.426748373</v>
      </c>
      <c r="CB190" s="1032"/>
      <c r="CF190" s="946">
        <f t="shared" si="30"/>
        <v>44133143.705189705</v>
      </c>
    </row>
    <row r="191" spans="1:84">
      <c r="A191" s="1032"/>
      <c r="B191" s="839" t="s">
        <v>98</v>
      </c>
      <c r="C191" s="839" t="s">
        <v>273</v>
      </c>
      <c r="D191" s="839" t="s">
        <v>545</v>
      </c>
      <c r="E191" s="839" t="s">
        <v>545</v>
      </c>
      <c r="F191" s="841">
        <v>44944</v>
      </c>
      <c r="G191" s="840" t="s">
        <v>273</v>
      </c>
      <c r="H191" s="842" t="s">
        <v>134</v>
      </c>
      <c r="I191" s="842"/>
      <c r="J191" s="841"/>
      <c r="K191" s="841"/>
      <c r="L191" s="843"/>
      <c r="M191" s="844" t="s">
        <v>275</v>
      </c>
      <c r="N191" s="841"/>
      <c r="O191" s="841" t="s">
        <v>150</v>
      </c>
      <c r="P191" s="841" t="s">
        <v>276</v>
      </c>
      <c r="Q191" s="843"/>
      <c r="R191" s="845" t="s">
        <v>660</v>
      </c>
      <c r="S191" s="1127" t="s">
        <v>660</v>
      </c>
      <c r="T191" s="843" t="s">
        <v>661</v>
      </c>
      <c r="U191" s="842">
        <v>3</v>
      </c>
      <c r="V191" s="842" t="s">
        <v>3</v>
      </c>
      <c r="W191" s="846"/>
      <c r="X191" s="847">
        <f t="shared" si="24"/>
        <v>0</v>
      </c>
      <c r="Y191" s="848"/>
      <c r="Z191" s="849">
        <v>577.33333000000005</v>
      </c>
      <c r="AA191" s="849"/>
      <c r="AB191" s="849">
        <f t="shared" si="25"/>
        <v>1731.9999900000003</v>
      </c>
      <c r="AC191" s="850">
        <f t="shared" si="26"/>
        <v>1731.9999900000003</v>
      </c>
      <c r="AD191" s="851"/>
      <c r="AE191" s="852">
        <v>25481.03</v>
      </c>
      <c r="AF191" s="853">
        <v>0.1</v>
      </c>
      <c r="AG191" s="854">
        <f t="shared" si="27"/>
        <v>4581909.4507503053</v>
      </c>
      <c r="AH191" s="853"/>
      <c r="AI191" s="855">
        <f t="shared" si="28"/>
        <v>0</v>
      </c>
      <c r="AJ191" s="845" t="s">
        <v>548</v>
      </c>
      <c r="AK191" s="857" t="s">
        <v>549</v>
      </c>
      <c r="AL191" s="840"/>
      <c r="AM191" s="840"/>
      <c r="AN191" s="858"/>
      <c r="AO191" s="844" t="s">
        <v>141</v>
      </c>
      <c r="AP191" s="859"/>
      <c r="AQ191" s="859" t="s">
        <v>550</v>
      </c>
      <c r="AR191" s="859"/>
      <c r="AS191" s="840"/>
      <c r="AT191" s="840"/>
      <c r="AU191" s="860"/>
      <c r="AV191" s="839" t="s">
        <v>619</v>
      </c>
      <c r="AW191" s="861">
        <v>45058</v>
      </c>
      <c r="AX191" s="862" t="s">
        <v>552</v>
      </c>
      <c r="AY191" s="843"/>
      <c r="AZ191" s="842"/>
      <c r="BA191" s="842" t="s">
        <v>120</v>
      </c>
      <c r="BB191" s="863" t="s">
        <v>121</v>
      </c>
      <c r="BC191" s="864">
        <v>45058</v>
      </c>
      <c r="BD191" s="860" t="s">
        <v>620</v>
      </c>
      <c r="BE191" s="865" cm="1">
        <f t="array" ref="BE191">IF(BD191="","",AC191/SUMPRODUCT(--(BD191=$BD$4:$BD$12824),$AC$4:$AC$12824))</f>
        <v>2.1293428128564683E-2</v>
      </c>
      <c r="BF191" s="458"/>
      <c r="BG191" s="458"/>
      <c r="BH191" s="458"/>
      <c r="BI191" s="458"/>
      <c r="BJ191" s="458"/>
      <c r="BK191" s="458"/>
      <c r="BL191" s="458"/>
      <c r="BM191" s="458"/>
      <c r="BN191" s="458"/>
      <c r="BO191" s="866">
        <f>VLOOKUP(BD191,$BD$4:$BN$12824,3,0)*BE191</f>
        <v>1535213.5812132566</v>
      </c>
      <c r="BP191" s="866"/>
      <c r="BQ191" s="866"/>
      <c r="BR191" s="866">
        <f>VLOOKUP(BD191,$BD$4:$BN$12824,6,0)*BE191</f>
        <v>366843.17979891237</v>
      </c>
      <c r="BS191" s="866">
        <f>VLOOKUP(BD191,$BD$4:$BN$12824,7,0)*BE191</f>
        <v>150737.22110008769</v>
      </c>
      <c r="BT191" s="866"/>
      <c r="BU191" s="866">
        <f>VLOOKUP(BD191,$BD$4:$BN$12824,9,0)*BE191</f>
        <v>10646.714064282341</v>
      </c>
      <c r="BV191" s="867"/>
      <c r="BW191" s="867">
        <f>VLOOKUP(BD191,$BD$4:$BN$12824,11,0)*BE191</f>
        <v>21293.428128564683</v>
      </c>
      <c r="BX191" s="1146">
        <f t="shared" si="34"/>
        <v>2084734.1243051039</v>
      </c>
      <c r="BY191" s="867">
        <f t="shared" si="31"/>
        <v>16933262.426748373</v>
      </c>
      <c r="BZ191" s="867">
        <f t="shared" si="29"/>
        <v>50799787.280245118</v>
      </c>
      <c r="CA191" s="867">
        <f>_xlfn.MAXIFS($BY$4:$BY$12824,$S$4:$S$12824,$S191)</f>
        <v>16933262.426748373</v>
      </c>
      <c r="CB191" s="1032"/>
      <c r="CF191" s="946">
        <f t="shared" si="30"/>
        <v>44133143.705189705</v>
      </c>
    </row>
    <row r="192" spans="1:84">
      <c r="A192" s="1032"/>
      <c r="B192" s="839" t="s">
        <v>98</v>
      </c>
      <c r="C192" s="839" t="s">
        <v>273</v>
      </c>
      <c r="D192" s="839" t="s">
        <v>545</v>
      </c>
      <c r="E192" s="839" t="s">
        <v>545</v>
      </c>
      <c r="F192" s="841">
        <v>44944</v>
      </c>
      <c r="G192" s="840" t="s">
        <v>273</v>
      </c>
      <c r="H192" s="842" t="s">
        <v>134</v>
      </c>
      <c r="I192" s="842"/>
      <c r="J192" s="841"/>
      <c r="K192" s="841"/>
      <c r="L192" s="843"/>
      <c r="M192" s="844" t="s">
        <v>275</v>
      </c>
      <c r="N192" s="841"/>
      <c r="O192" s="841" t="s">
        <v>150</v>
      </c>
      <c r="P192" s="841" t="s">
        <v>276</v>
      </c>
      <c r="Q192" s="843"/>
      <c r="R192" s="845" t="s">
        <v>662</v>
      </c>
      <c r="S192" s="1127" t="s">
        <v>662</v>
      </c>
      <c r="T192" s="843" t="s">
        <v>663</v>
      </c>
      <c r="U192" s="842">
        <v>3</v>
      </c>
      <c r="V192" s="842" t="s">
        <v>3</v>
      </c>
      <c r="W192" s="846"/>
      <c r="X192" s="847">
        <f t="shared" si="24"/>
        <v>0</v>
      </c>
      <c r="Y192" s="848"/>
      <c r="Z192" s="849">
        <v>577.33333000000005</v>
      </c>
      <c r="AA192" s="849"/>
      <c r="AB192" s="849">
        <f t="shared" si="25"/>
        <v>1731.9999900000003</v>
      </c>
      <c r="AC192" s="850">
        <f t="shared" si="26"/>
        <v>1731.9999900000003</v>
      </c>
      <c r="AD192" s="851"/>
      <c r="AE192" s="852">
        <v>25481.03</v>
      </c>
      <c r="AF192" s="853">
        <v>0.1</v>
      </c>
      <c r="AG192" s="854">
        <f t="shared" si="27"/>
        <v>4581909.4507503053</v>
      </c>
      <c r="AH192" s="853"/>
      <c r="AI192" s="855">
        <f t="shared" si="28"/>
        <v>0</v>
      </c>
      <c r="AJ192" s="845" t="s">
        <v>548</v>
      </c>
      <c r="AK192" s="857" t="s">
        <v>549</v>
      </c>
      <c r="AL192" s="840"/>
      <c r="AM192" s="840"/>
      <c r="AN192" s="858"/>
      <c r="AO192" s="844" t="s">
        <v>141</v>
      </c>
      <c r="AP192" s="859"/>
      <c r="AQ192" s="859" t="s">
        <v>550</v>
      </c>
      <c r="AR192" s="859"/>
      <c r="AS192" s="840"/>
      <c r="AT192" s="840"/>
      <c r="AU192" s="860"/>
      <c r="AV192" s="839" t="s">
        <v>619</v>
      </c>
      <c r="AW192" s="861">
        <v>45058</v>
      </c>
      <c r="AX192" s="862" t="s">
        <v>552</v>
      </c>
      <c r="AY192" s="843"/>
      <c r="AZ192" s="842"/>
      <c r="BA192" s="842" t="s">
        <v>120</v>
      </c>
      <c r="BB192" s="863" t="s">
        <v>121</v>
      </c>
      <c r="BC192" s="864">
        <v>45058</v>
      </c>
      <c r="BD192" s="860" t="s">
        <v>620</v>
      </c>
      <c r="BE192" s="865" cm="1">
        <f t="array" ref="BE192">IF(BD192="","",AC192/SUMPRODUCT(--(BD192=$BD$4:$BD$12824),$AC$4:$AC$12824))</f>
        <v>2.1293428128564683E-2</v>
      </c>
      <c r="BF192" s="458"/>
      <c r="BG192" s="458"/>
      <c r="BH192" s="458"/>
      <c r="BI192" s="458"/>
      <c r="BJ192" s="458"/>
      <c r="BK192" s="458"/>
      <c r="BL192" s="458"/>
      <c r="BM192" s="458"/>
      <c r="BN192" s="458"/>
      <c r="BO192" s="866">
        <f>VLOOKUP(BD192,$BD$4:$BN$12824,3,0)*BE192</f>
        <v>1535213.5812132566</v>
      </c>
      <c r="BP192" s="866"/>
      <c r="BQ192" s="866"/>
      <c r="BR192" s="866">
        <f>VLOOKUP(BD192,$BD$4:$BN$12824,6,0)*BE192</f>
        <v>366843.17979891237</v>
      </c>
      <c r="BS192" s="866">
        <f>VLOOKUP(BD192,$BD$4:$BN$12824,7,0)*BE192</f>
        <v>150737.22110008769</v>
      </c>
      <c r="BT192" s="866"/>
      <c r="BU192" s="866">
        <f>VLOOKUP(BD192,$BD$4:$BN$12824,9,0)*BE192</f>
        <v>10646.714064282341</v>
      </c>
      <c r="BV192" s="867"/>
      <c r="BW192" s="867">
        <f>VLOOKUP(BD192,$BD$4:$BN$12824,11,0)*BE192</f>
        <v>21293.428128564683</v>
      </c>
      <c r="BX192" s="1146">
        <f t="shared" si="34"/>
        <v>2084734.1243051039</v>
      </c>
      <c r="BY192" s="867">
        <f t="shared" si="31"/>
        <v>16933262.426748373</v>
      </c>
      <c r="BZ192" s="867">
        <f t="shared" si="29"/>
        <v>50799787.280245118</v>
      </c>
      <c r="CA192" s="867">
        <f>_xlfn.MAXIFS($BY$4:$BY$12824,$S$4:$S$12824,$S192)</f>
        <v>18767197.688612014</v>
      </c>
      <c r="CB192" s="1032"/>
      <c r="CF192" s="946">
        <f t="shared" si="30"/>
        <v>44133143.705189705</v>
      </c>
    </row>
    <row r="193" spans="1:84">
      <c r="A193" s="1032"/>
      <c r="B193" s="839" t="s">
        <v>98</v>
      </c>
      <c r="C193" s="839" t="s">
        <v>273</v>
      </c>
      <c r="D193" s="839" t="s">
        <v>545</v>
      </c>
      <c r="E193" s="839" t="s">
        <v>545</v>
      </c>
      <c r="F193" s="841">
        <v>44944</v>
      </c>
      <c r="G193" s="840" t="s">
        <v>273</v>
      </c>
      <c r="H193" s="842" t="s">
        <v>134</v>
      </c>
      <c r="I193" s="842"/>
      <c r="J193" s="841"/>
      <c r="K193" s="841"/>
      <c r="L193" s="843"/>
      <c r="M193" s="844" t="s">
        <v>275</v>
      </c>
      <c r="N193" s="841"/>
      <c r="O193" s="841" t="s">
        <v>150</v>
      </c>
      <c r="P193" s="841" t="s">
        <v>276</v>
      </c>
      <c r="Q193" s="843"/>
      <c r="R193" s="845" t="s">
        <v>664</v>
      </c>
      <c r="S193" s="1127" t="s">
        <v>664</v>
      </c>
      <c r="T193" s="843" t="s">
        <v>665</v>
      </c>
      <c r="U193" s="842">
        <v>3</v>
      </c>
      <c r="V193" s="842" t="s">
        <v>3</v>
      </c>
      <c r="W193" s="846"/>
      <c r="X193" s="847">
        <f t="shared" ref="X193:X256" si="35">W193*U193</f>
        <v>0</v>
      </c>
      <c r="Y193" s="848"/>
      <c r="Z193" s="849">
        <v>577.33333000000005</v>
      </c>
      <c r="AA193" s="849"/>
      <c r="AB193" s="849">
        <f t="shared" ref="AB193:AB256" si="36">IF(AA193="F.O.C", 0, Z193*U193)</f>
        <v>1731.9999900000003</v>
      </c>
      <c r="AC193" s="850">
        <f t="shared" ref="AC193:AC256" si="37">Z193*U193</f>
        <v>1731.9999900000003</v>
      </c>
      <c r="AD193" s="851"/>
      <c r="AE193" s="852">
        <v>25481.03</v>
      </c>
      <c r="AF193" s="853">
        <v>0.1</v>
      </c>
      <c r="AG193" s="854">
        <f t="shared" ref="AG193:AG256" si="38">(AC193*AE193+BO193+BP193+BQ193+BS193)*AF193</f>
        <v>4581909.4507503053</v>
      </c>
      <c r="AH193" s="853"/>
      <c r="AI193" s="855">
        <f t="shared" ref="AI193:AI256" si="39">(AC193*AE193+AG193+BF193+BG193+BH193+BJ193)*AH193</f>
        <v>0</v>
      </c>
      <c r="AJ193" s="845" t="s">
        <v>548</v>
      </c>
      <c r="AK193" s="857" t="s">
        <v>549</v>
      </c>
      <c r="AL193" s="840"/>
      <c r="AM193" s="840"/>
      <c r="AN193" s="858"/>
      <c r="AO193" s="844" t="s">
        <v>141</v>
      </c>
      <c r="AP193" s="859"/>
      <c r="AQ193" s="859" t="s">
        <v>550</v>
      </c>
      <c r="AR193" s="859"/>
      <c r="AS193" s="840"/>
      <c r="AT193" s="840"/>
      <c r="AU193" s="860"/>
      <c r="AV193" s="839" t="s">
        <v>619</v>
      </c>
      <c r="AW193" s="861">
        <v>45058</v>
      </c>
      <c r="AX193" s="862" t="s">
        <v>552</v>
      </c>
      <c r="AY193" s="843"/>
      <c r="AZ193" s="842"/>
      <c r="BA193" s="842" t="s">
        <v>120</v>
      </c>
      <c r="BB193" s="863" t="s">
        <v>121</v>
      </c>
      <c r="BC193" s="864">
        <v>45058</v>
      </c>
      <c r="BD193" s="860" t="s">
        <v>620</v>
      </c>
      <c r="BE193" s="865" cm="1">
        <f t="array" ref="BE193">IF(BD193="","",AC193/SUMPRODUCT(--(BD193=$BD$4:$BD$12824),$AC$4:$AC$12824))</f>
        <v>2.1293428128564683E-2</v>
      </c>
      <c r="BF193" s="458"/>
      <c r="BG193" s="458"/>
      <c r="BH193" s="458"/>
      <c r="BI193" s="458"/>
      <c r="BJ193" s="458"/>
      <c r="BK193" s="458"/>
      <c r="BL193" s="458"/>
      <c r="BM193" s="458"/>
      <c r="BN193" s="458"/>
      <c r="BO193" s="866">
        <f>VLOOKUP(BD193,$BD$4:$BN$12824,3,0)*BE193</f>
        <v>1535213.5812132566</v>
      </c>
      <c r="BP193" s="866"/>
      <c r="BQ193" s="866"/>
      <c r="BR193" s="866">
        <f>VLOOKUP(BD193,$BD$4:$BN$12824,6,0)*BE193</f>
        <v>366843.17979891237</v>
      </c>
      <c r="BS193" s="866">
        <f>VLOOKUP(BD193,$BD$4:$BN$12824,7,0)*BE193</f>
        <v>150737.22110008769</v>
      </c>
      <c r="BT193" s="866"/>
      <c r="BU193" s="866">
        <f>VLOOKUP(BD193,$BD$4:$BN$12824,9,0)*BE193</f>
        <v>10646.714064282341</v>
      </c>
      <c r="BV193" s="867"/>
      <c r="BW193" s="867">
        <f>VLOOKUP(BD193,$BD$4:$BN$12824,11,0)*BE193</f>
        <v>21293.428128564683</v>
      </c>
      <c r="BX193" s="1146">
        <f t="shared" si="34"/>
        <v>2084734.1243051039</v>
      </c>
      <c r="BY193" s="867">
        <f t="shared" si="31"/>
        <v>16933262.426748373</v>
      </c>
      <c r="BZ193" s="867">
        <f t="shared" ref="BZ193:BZ256" si="40">BY193*U193</f>
        <v>50799787.280245118</v>
      </c>
      <c r="CA193" s="867">
        <f>_xlfn.MAXIFS($BY$4:$BY$12824,$S$4:$S$12824,$S193)</f>
        <v>18767197.688612014</v>
      </c>
      <c r="CB193" s="1032"/>
      <c r="CF193" s="946">
        <f t="shared" si="30"/>
        <v>44133143.705189705</v>
      </c>
    </row>
    <row r="194" spans="1:84">
      <c r="A194" s="1032"/>
      <c r="B194" s="839" t="s">
        <v>98</v>
      </c>
      <c r="C194" s="839" t="s">
        <v>273</v>
      </c>
      <c r="D194" s="839" t="s">
        <v>545</v>
      </c>
      <c r="E194" s="839" t="s">
        <v>545</v>
      </c>
      <c r="F194" s="841">
        <v>44944</v>
      </c>
      <c r="G194" s="840" t="s">
        <v>273</v>
      </c>
      <c r="H194" s="842" t="s">
        <v>134</v>
      </c>
      <c r="I194" s="842"/>
      <c r="J194" s="841"/>
      <c r="K194" s="841"/>
      <c r="L194" s="843"/>
      <c r="M194" s="844" t="s">
        <v>275</v>
      </c>
      <c r="N194" s="841"/>
      <c r="O194" s="841" t="s">
        <v>150</v>
      </c>
      <c r="P194" s="841" t="s">
        <v>276</v>
      </c>
      <c r="Q194" s="843"/>
      <c r="R194" s="845" t="s">
        <v>666</v>
      </c>
      <c r="S194" s="1127" t="s">
        <v>666</v>
      </c>
      <c r="T194" s="843" t="s">
        <v>667</v>
      </c>
      <c r="U194" s="842">
        <v>3</v>
      </c>
      <c r="V194" s="842" t="s">
        <v>3</v>
      </c>
      <c r="W194" s="846"/>
      <c r="X194" s="847">
        <f t="shared" si="35"/>
        <v>0</v>
      </c>
      <c r="Y194" s="848"/>
      <c r="Z194" s="849">
        <v>577.33333000000005</v>
      </c>
      <c r="AA194" s="849"/>
      <c r="AB194" s="849">
        <f t="shared" si="36"/>
        <v>1731.9999900000003</v>
      </c>
      <c r="AC194" s="850">
        <f t="shared" si="37"/>
        <v>1731.9999900000003</v>
      </c>
      <c r="AD194" s="851"/>
      <c r="AE194" s="852">
        <v>25481.03</v>
      </c>
      <c r="AF194" s="853">
        <v>0.1</v>
      </c>
      <c r="AG194" s="854">
        <f t="shared" si="38"/>
        <v>4581909.4507503053</v>
      </c>
      <c r="AH194" s="853"/>
      <c r="AI194" s="855">
        <f t="shared" si="39"/>
        <v>0</v>
      </c>
      <c r="AJ194" s="845" t="s">
        <v>548</v>
      </c>
      <c r="AK194" s="857" t="s">
        <v>549</v>
      </c>
      <c r="AL194" s="840"/>
      <c r="AM194" s="840"/>
      <c r="AN194" s="858"/>
      <c r="AO194" s="844" t="s">
        <v>141</v>
      </c>
      <c r="AP194" s="859"/>
      <c r="AQ194" s="859" t="s">
        <v>550</v>
      </c>
      <c r="AR194" s="859"/>
      <c r="AS194" s="840"/>
      <c r="AT194" s="840"/>
      <c r="AU194" s="860"/>
      <c r="AV194" s="839" t="s">
        <v>619</v>
      </c>
      <c r="AW194" s="861">
        <v>45058</v>
      </c>
      <c r="AX194" s="862" t="s">
        <v>552</v>
      </c>
      <c r="AY194" s="843"/>
      <c r="AZ194" s="842"/>
      <c r="BA194" s="842" t="s">
        <v>120</v>
      </c>
      <c r="BB194" s="863" t="s">
        <v>121</v>
      </c>
      <c r="BC194" s="864">
        <v>45058</v>
      </c>
      <c r="BD194" s="860" t="s">
        <v>620</v>
      </c>
      <c r="BE194" s="865" cm="1">
        <f t="array" ref="BE194">IF(BD194="","",AC194/SUMPRODUCT(--(BD194=$BD$4:$BD$12824),$AC$4:$AC$12824))</f>
        <v>2.1293428128564683E-2</v>
      </c>
      <c r="BF194" s="458"/>
      <c r="BG194" s="458"/>
      <c r="BH194" s="458"/>
      <c r="BI194" s="458"/>
      <c r="BJ194" s="458"/>
      <c r="BK194" s="458"/>
      <c r="BL194" s="458"/>
      <c r="BM194" s="458"/>
      <c r="BN194" s="458"/>
      <c r="BO194" s="866">
        <f>VLOOKUP(BD194,$BD$4:$BN$12824,3,0)*BE194</f>
        <v>1535213.5812132566</v>
      </c>
      <c r="BP194" s="866"/>
      <c r="BQ194" s="866"/>
      <c r="BR194" s="866">
        <f>VLOOKUP(BD194,$BD$4:$BN$12824,6,0)*BE194</f>
        <v>366843.17979891237</v>
      </c>
      <c r="BS194" s="866">
        <f>VLOOKUP(BD194,$BD$4:$BN$12824,7,0)*BE194</f>
        <v>150737.22110008769</v>
      </c>
      <c r="BT194" s="866"/>
      <c r="BU194" s="866">
        <f>VLOOKUP(BD194,$BD$4:$BN$12824,9,0)*BE194</f>
        <v>10646.714064282341</v>
      </c>
      <c r="BV194" s="867"/>
      <c r="BW194" s="867">
        <f>VLOOKUP(BD194,$BD$4:$BN$12824,11,0)*BE194</f>
        <v>21293.428128564683</v>
      </c>
      <c r="BX194" s="1146">
        <f t="shared" si="34"/>
        <v>2084734.1243051039</v>
      </c>
      <c r="BY194" s="867">
        <f t="shared" si="31"/>
        <v>16933262.426748373</v>
      </c>
      <c r="BZ194" s="867">
        <f t="shared" si="40"/>
        <v>50799787.280245118</v>
      </c>
      <c r="CA194" s="867">
        <f>_xlfn.MAXIFS($BY$4:$BY$12824,$S$4:$S$12824,$S194)</f>
        <v>16933262.426748373</v>
      </c>
      <c r="CB194" s="1032"/>
      <c r="CF194" s="946">
        <f t="shared" si="30"/>
        <v>44133143.705189705</v>
      </c>
    </row>
    <row r="195" spans="1:84">
      <c r="A195" s="1032"/>
      <c r="B195" s="839" t="s">
        <v>98</v>
      </c>
      <c r="C195" s="839" t="s">
        <v>273</v>
      </c>
      <c r="D195" s="839" t="s">
        <v>545</v>
      </c>
      <c r="E195" s="839" t="s">
        <v>545</v>
      </c>
      <c r="F195" s="841">
        <v>44944</v>
      </c>
      <c r="G195" s="840" t="s">
        <v>273</v>
      </c>
      <c r="H195" s="842" t="s">
        <v>134</v>
      </c>
      <c r="I195" s="842"/>
      <c r="J195" s="841"/>
      <c r="K195" s="841"/>
      <c r="L195" s="843"/>
      <c r="M195" s="844" t="s">
        <v>275</v>
      </c>
      <c r="N195" s="841"/>
      <c r="O195" s="841" t="s">
        <v>150</v>
      </c>
      <c r="P195" s="841" t="s">
        <v>276</v>
      </c>
      <c r="Q195" s="843"/>
      <c r="R195" s="845" t="s">
        <v>668</v>
      </c>
      <c r="S195" s="1127" t="s">
        <v>668</v>
      </c>
      <c r="T195" s="843" t="s">
        <v>669</v>
      </c>
      <c r="U195" s="842">
        <v>3</v>
      </c>
      <c r="V195" s="842" t="s">
        <v>3</v>
      </c>
      <c r="W195" s="846"/>
      <c r="X195" s="847">
        <f t="shared" si="35"/>
        <v>0</v>
      </c>
      <c r="Y195" s="848"/>
      <c r="Z195" s="849">
        <v>577.31332999999995</v>
      </c>
      <c r="AA195" s="849"/>
      <c r="AB195" s="849">
        <f t="shared" si="36"/>
        <v>1731.9399899999999</v>
      </c>
      <c r="AC195" s="850">
        <f t="shared" si="37"/>
        <v>1731.9399899999999</v>
      </c>
      <c r="AD195" s="851"/>
      <c r="AE195" s="852">
        <v>25481.03</v>
      </c>
      <c r="AF195" s="853">
        <v>0.1</v>
      </c>
      <c r="AG195" s="854">
        <f t="shared" si="38"/>
        <v>4581750.7240940509</v>
      </c>
      <c r="AH195" s="853"/>
      <c r="AI195" s="855">
        <f t="shared" si="39"/>
        <v>0</v>
      </c>
      <c r="AJ195" s="845" t="s">
        <v>548</v>
      </c>
      <c r="AK195" s="857" t="s">
        <v>549</v>
      </c>
      <c r="AL195" s="840"/>
      <c r="AM195" s="840"/>
      <c r="AN195" s="858"/>
      <c r="AO195" s="844" t="s">
        <v>141</v>
      </c>
      <c r="AP195" s="859"/>
      <c r="AQ195" s="859" t="s">
        <v>550</v>
      </c>
      <c r="AR195" s="859"/>
      <c r="AS195" s="840"/>
      <c r="AT195" s="840"/>
      <c r="AU195" s="860"/>
      <c r="AV195" s="839" t="s">
        <v>619</v>
      </c>
      <c r="AW195" s="861">
        <v>45058</v>
      </c>
      <c r="AX195" s="862" t="s">
        <v>552</v>
      </c>
      <c r="AY195" s="843"/>
      <c r="AZ195" s="842"/>
      <c r="BA195" s="842" t="s">
        <v>120</v>
      </c>
      <c r="BB195" s="863" t="s">
        <v>121</v>
      </c>
      <c r="BC195" s="864">
        <v>45058</v>
      </c>
      <c r="BD195" s="860" t="s">
        <v>620</v>
      </c>
      <c r="BE195" s="865" cm="1">
        <f t="array" ref="BE195">IF(BD195="","",AC195/SUMPRODUCT(--(BD195=$BD$4:$BD$12824),$AC$4:$AC$12824))</f>
        <v>2.1292690480934715E-2</v>
      </c>
      <c r="BF195" s="458"/>
      <c r="BG195" s="458"/>
      <c r="BH195" s="458"/>
      <c r="BI195" s="458"/>
      <c r="BJ195" s="458"/>
      <c r="BK195" s="458"/>
      <c r="BL195" s="458"/>
      <c r="BM195" s="458"/>
      <c r="BN195" s="458"/>
      <c r="BO195" s="866">
        <f>VLOOKUP(BD195,$BD$4:$BN$12824,3,0)*BE195</f>
        <v>1535160.3982944312</v>
      </c>
      <c r="BP195" s="866"/>
      <c r="BQ195" s="866"/>
      <c r="BR195" s="866">
        <f>VLOOKUP(BD195,$BD$4:$BN$12824,6,0)*BE195</f>
        <v>366830.47160554328</v>
      </c>
      <c r="BS195" s="866">
        <f>VLOOKUP(BD195,$BD$4:$BN$12824,7,0)*BE195</f>
        <v>150731.99925637041</v>
      </c>
      <c r="BT195" s="866"/>
      <c r="BU195" s="866">
        <f>VLOOKUP(BD195,$BD$4:$BN$12824,9,0)*BE195</f>
        <v>10646.345240467357</v>
      </c>
      <c r="BV195" s="867"/>
      <c r="BW195" s="867">
        <f>VLOOKUP(BD195,$BD$4:$BN$12824,11,0)*BE195</f>
        <v>21292.690480934714</v>
      </c>
      <c r="BX195" s="1146">
        <f t="shared" si="34"/>
        <v>2084661.9048777469</v>
      </c>
      <c r="BY195" s="867">
        <f t="shared" si="31"/>
        <v>16932675.824120495</v>
      </c>
      <c r="BZ195" s="867">
        <f t="shared" si="40"/>
        <v>50798027.47236149</v>
      </c>
      <c r="CA195" s="867">
        <f>_xlfn.MAXIFS($BY$4:$BY$12824,$S$4:$S$12824,$S195)</f>
        <v>16932675.824120495</v>
      </c>
      <c r="CB195" s="1032"/>
      <c r="CF195" s="946">
        <f t="shared" si="30"/>
        <v>44131614.843389697</v>
      </c>
    </row>
    <row r="196" spans="1:84">
      <c r="A196" s="1032"/>
      <c r="B196" s="839" t="s">
        <v>98</v>
      </c>
      <c r="C196" s="839" t="s">
        <v>273</v>
      </c>
      <c r="D196" s="839" t="s">
        <v>545</v>
      </c>
      <c r="E196" s="839" t="s">
        <v>545</v>
      </c>
      <c r="F196" s="841">
        <v>44944</v>
      </c>
      <c r="G196" s="840" t="s">
        <v>273</v>
      </c>
      <c r="H196" s="842" t="s">
        <v>134</v>
      </c>
      <c r="I196" s="842"/>
      <c r="J196" s="841"/>
      <c r="K196" s="841"/>
      <c r="L196" s="843"/>
      <c r="M196" s="844" t="s">
        <v>275</v>
      </c>
      <c r="N196" s="841"/>
      <c r="O196" s="841" t="s">
        <v>150</v>
      </c>
      <c r="P196" s="841" t="s">
        <v>276</v>
      </c>
      <c r="Q196" s="843"/>
      <c r="R196" s="845" t="s">
        <v>670</v>
      </c>
      <c r="S196" s="1127" t="s">
        <v>670</v>
      </c>
      <c r="T196" s="843" t="s">
        <v>671</v>
      </c>
      <c r="U196" s="842">
        <v>3</v>
      </c>
      <c r="V196" s="842" t="s">
        <v>3</v>
      </c>
      <c r="W196" s="846"/>
      <c r="X196" s="847">
        <f t="shared" si="35"/>
        <v>0</v>
      </c>
      <c r="Y196" s="848"/>
      <c r="Z196" s="849">
        <v>922.65</v>
      </c>
      <c r="AA196" s="849"/>
      <c r="AB196" s="849">
        <f t="shared" si="36"/>
        <v>2767.95</v>
      </c>
      <c r="AC196" s="850">
        <f t="shared" si="37"/>
        <v>2767.95</v>
      </c>
      <c r="AD196" s="851"/>
      <c r="AE196" s="852">
        <v>25481.03</v>
      </c>
      <c r="AF196" s="853">
        <v>0.1</v>
      </c>
      <c r="AG196" s="854">
        <f t="shared" si="38"/>
        <v>7322457.4696471589</v>
      </c>
      <c r="AH196" s="853"/>
      <c r="AI196" s="855">
        <f t="shared" si="39"/>
        <v>0</v>
      </c>
      <c r="AJ196" s="845" t="s">
        <v>548</v>
      </c>
      <c r="AK196" s="857" t="s">
        <v>549</v>
      </c>
      <c r="AL196" s="840"/>
      <c r="AM196" s="840"/>
      <c r="AN196" s="858"/>
      <c r="AO196" s="844" t="s">
        <v>141</v>
      </c>
      <c r="AP196" s="859"/>
      <c r="AQ196" s="859" t="s">
        <v>550</v>
      </c>
      <c r="AR196" s="859"/>
      <c r="AS196" s="840"/>
      <c r="AT196" s="840"/>
      <c r="AU196" s="860"/>
      <c r="AV196" s="839" t="s">
        <v>619</v>
      </c>
      <c r="AW196" s="861">
        <v>45058</v>
      </c>
      <c r="AX196" s="862" t="s">
        <v>552</v>
      </c>
      <c r="AY196" s="843"/>
      <c r="AZ196" s="842"/>
      <c r="BA196" s="842" t="s">
        <v>120</v>
      </c>
      <c r="BB196" s="863" t="s">
        <v>121</v>
      </c>
      <c r="BC196" s="864">
        <v>45058</v>
      </c>
      <c r="BD196" s="860" t="s">
        <v>620</v>
      </c>
      <c r="BE196" s="865" cm="1">
        <f t="array" ref="BE196">IF(BD196="","",AC196/SUMPRODUCT(--(BD196=$BD$4:$BD$12824),$AC$4:$AC$12824))</f>
        <v>3.4029529289120029E-2</v>
      </c>
      <c r="BF196" s="458"/>
      <c r="BG196" s="458"/>
      <c r="BH196" s="458"/>
      <c r="BI196" s="458"/>
      <c r="BJ196" s="458"/>
      <c r="BK196" s="458"/>
      <c r="BL196" s="458"/>
      <c r="BM196" s="458"/>
      <c r="BN196" s="458"/>
      <c r="BO196" s="866">
        <f>VLOOKUP(BD196,$BD$4:$BN$12824,3,0)*BE196</f>
        <v>2453461.002686976</v>
      </c>
      <c r="BP196" s="866"/>
      <c r="BQ196" s="866"/>
      <c r="BR196" s="866">
        <f>VLOOKUP(BD196,$BD$4:$BN$12824,6,0)*BE196</f>
        <v>586260.73059295991</v>
      </c>
      <c r="BS196" s="866">
        <f>VLOOKUP(BD196,$BD$4:$BN$12824,7,0)*BE196</f>
        <v>240896.70528461586</v>
      </c>
      <c r="BT196" s="866"/>
      <c r="BU196" s="866">
        <f>VLOOKUP(BD196,$BD$4:$BN$12824,9,0)*BE196</f>
        <v>17014.764644560015</v>
      </c>
      <c r="BV196" s="867"/>
      <c r="BW196" s="867">
        <f>VLOOKUP(BD196,$BD$4:$BN$12824,11,0)*BE196</f>
        <v>34029.52928912003</v>
      </c>
      <c r="BX196" s="1146">
        <f t="shared" si="34"/>
        <v>3331662.7324982318</v>
      </c>
      <c r="BY196" s="867">
        <f t="shared" si="31"/>
        <v>27061445.730215129</v>
      </c>
      <c r="BZ196" s="867">
        <f t="shared" si="40"/>
        <v>81184337.190645382</v>
      </c>
      <c r="CA196" s="867">
        <f>_xlfn.MAXIFS($BY$4:$BY$12824,$S$4:$S$12824,$S196)</f>
        <v>29676092.773070361</v>
      </c>
      <c r="CB196" s="1032"/>
      <c r="CF196" s="946">
        <f t="shared" si="30"/>
        <v>70530216.988499999</v>
      </c>
    </row>
    <row r="197" spans="1:84">
      <c r="A197" s="1032"/>
      <c r="B197" s="839" t="s">
        <v>98</v>
      </c>
      <c r="C197" s="839" t="s">
        <v>273</v>
      </c>
      <c r="D197" s="839" t="s">
        <v>545</v>
      </c>
      <c r="E197" s="839" t="s">
        <v>545</v>
      </c>
      <c r="F197" s="841">
        <v>44944</v>
      </c>
      <c r="G197" s="840" t="s">
        <v>273</v>
      </c>
      <c r="H197" s="842" t="s">
        <v>134</v>
      </c>
      <c r="I197" s="842"/>
      <c r="J197" s="841"/>
      <c r="K197" s="841"/>
      <c r="L197" s="843"/>
      <c r="M197" s="844" t="s">
        <v>275</v>
      </c>
      <c r="N197" s="841"/>
      <c r="O197" s="841" t="s">
        <v>150</v>
      </c>
      <c r="P197" s="841" t="s">
        <v>276</v>
      </c>
      <c r="Q197" s="843"/>
      <c r="R197" s="845" t="s">
        <v>672</v>
      </c>
      <c r="S197" s="1127" t="s">
        <v>672</v>
      </c>
      <c r="T197" s="843" t="s">
        <v>673</v>
      </c>
      <c r="U197" s="842">
        <v>3</v>
      </c>
      <c r="V197" s="842" t="s">
        <v>3</v>
      </c>
      <c r="W197" s="846"/>
      <c r="X197" s="847">
        <f t="shared" si="35"/>
        <v>0</v>
      </c>
      <c r="Y197" s="848"/>
      <c r="Z197" s="849">
        <v>922.65</v>
      </c>
      <c r="AA197" s="849"/>
      <c r="AB197" s="849">
        <f t="shared" si="36"/>
        <v>2767.95</v>
      </c>
      <c r="AC197" s="850">
        <f t="shared" si="37"/>
        <v>2767.95</v>
      </c>
      <c r="AD197" s="851"/>
      <c r="AE197" s="852">
        <v>25481.03</v>
      </c>
      <c r="AF197" s="853">
        <v>0.1</v>
      </c>
      <c r="AG197" s="854">
        <f t="shared" si="38"/>
        <v>7322457.4696471589</v>
      </c>
      <c r="AH197" s="853"/>
      <c r="AI197" s="855">
        <f t="shared" si="39"/>
        <v>0</v>
      </c>
      <c r="AJ197" s="845" t="s">
        <v>548</v>
      </c>
      <c r="AK197" s="857" t="s">
        <v>549</v>
      </c>
      <c r="AL197" s="840"/>
      <c r="AM197" s="840"/>
      <c r="AN197" s="858"/>
      <c r="AO197" s="844" t="s">
        <v>141</v>
      </c>
      <c r="AP197" s="859"/>
      <c r="AQ197" s="859" t="s">
        <v>550</v>
      </c>
      <c r="AR197" s="859"/>
      <c r="AS197" s="840"/>
      <c r="AT197" s="840"/>
      <c r="AU197" s="860"/>
      <c r="AV197" s="839" t="s">
        <v>619</v>
      </c>
      <c r="AW197" s="861">
        <v>45058</v>
      </c>
      <c r="AX197" s="862" t="s">
        <v>552</v>
      </c>
      <c r="AY197" s="843"/>
      <c r="AZ197" s="842"/>
      <c r="BA197" s="842" t="s">
        <v>120</v>
      </c>
      <c r="BB197" s="863" t="s">
        <v>121</v>
      </c>
      <c r="BC197" s="864">
        <v>45058</v>
      </c>
      <c r="BD197" s="860" t="s">
        <v>620</v>
      </c>
      <c r="BE197" s="865" cm="1">
        <f t="array" ref="BE197">IF(BD197="","",AC197/SUMPRODUCT(--(BD197=$BD$4:$BD$12824),$AC$4:$AC$12824))</f>
        <v>3.4029529289120029E-2</v>
      </c>
      <c r="BF197" s="458"/>
      <c r="BG197" s="458"/>
      <c r="BH197" s="458"/>
      <c r="BI197" s="458"/>
      <c r="BJ197" s="458"/>
      <c r="BK197" s="458"/>
      <c r="BL197" s="458"/>
      <c r="BM197" s="458"/>
      <c r="BN197" s="458"/>
      <c r="BO197" s="866">
        <f>VLOOKUP(BD197,$BD$4:$BN$12824,3,0)*BE197</f>
        <v>2453461.002686976</v>
      </c>
      <c r="BP197" s="866"/>
      <c r="BQ197" s="866"/>
      <c r="BR197" s="866">
        <f>VLOOKUP(BD197,$BD$4:$BN$12824,6,0)*BE197</f>
        <v>586260.73059295991</v>
      </c>
      <c r="BS197" s="866">
        <f>VLOOKUP(BD197,$BD$4:$BN$12824,7,0)*BE197</f>
        <v>240896.70528461586</v>
      </c>
      <c r="BT197" s="866"/>
      <c r="BU197" s="866">
        <f>VLOOKUP(BD197,$BD$4:$BN$12824,9,0)*BE197</f>
        <v>17014.764644560015</v>
      </c>
      <c r="BV197" s="867"/>
      <c r="BW197" s="867">
        <f>VLOOKUP(BD197,$BD$4:$BN$12824,11,0)*BE197</f>
        <v>34029.52928912003</v>
      </c>
      <c r="BX197" s="1146">
        <f t="shared" si="34"/>
        <v>3331662.7324982318</v>
      </c>
      <c r="BY197" s="867">
        <f t="shared" si="31"/>
        <v>27061445.730215129</v>
      </c>
      <c r="BZ197" s="867">
        <f t="shared" si="40"/>
        <v>81184337.190645382</v>
      </c>
      <c r="CA197" s="867">
        <f>_xlfn.MAXIFS($BY$4:$BY$12824,$S$4:$S$12824,$S197)</f>
        <v>27061445.730215129</v>
      </c>
      <c r="CB197" s="1032"/>
      <c r="CF197" s="946">
        <f t="shared" ref="CF197:CF260" si="41">AC197*AE197</f>
        <v>70530216.988499999</v>
      </c>
    </row>
    <row r="198" spans="1:84">
      <c r="A198" s="1032"/>
      <c r="B198" s="839" t="s">
        <v>98</v>
      </c>
      <c r="C198" s="839" t="s">
        <v>273</v>
      </c>
      <c r="D198" s="839" t="s">
        <v>545</v>
      </c>
      <c r="E198" s="839" t="s">
        <v>545</v>
      </c>
      <c r="F198" s="841">
        <v>44944</v>
      </c>
      <c r="G198" s="840" t="s">
        <v>273</v>
      </c>
      <c r="H198" s="842" t="s">
        <v>134</v>
      </c>
      <c r="I198" s="842"/>
      <c r="J198" s="841"/>
      <c r="K198" s="841"/>
      <c r="L198" s="843"/>
      <c r="M198" s="844" t="s">
        <v>275</v>
      </c>
      <c r="N198" s="841"/>
      <c r="O198" s="841" t="s">
        <v>150</v>
      </c>
      <c r="P198" s="841" t="s">
        <v>276</v>
      </c>
      <c r="Q198" s="843"/>
      <c r="R198" s="845" t="s">
        <v>674</v>
      </c>
      <c r="S198" s="1127" t="s">
        <v>674</v>
      </c>
      <c r="T198" s="843" t="s">
        <v>675</v>
      </c>
      <c r="U198" s="842">
        <v>3</v>
      </c>
      <c r="V198" s="842" t="s">
        <v>3</v>
      </c>
      <c r="W198" s="846"/>
      <c r="X198" s="847">
        <f t="shared" si="35"/>
        <v>0</v>
      </c>
      <c r="Y198" s="848"/>
      <c r="Z198" s="849">
        <v>922.65</v>
      </c>
      <c r="AA198" s="849"/>
      <c r="AB198" s="849">
        <f t="shared" si="36"/>
        <v>2767.95</v>
      </c>
      <c r="AC198" s="850">
        <f t="shared" si="37"/>
        <v>2767.95</v>
      </c>
      <c r="AD198" s="851"/>
      <c r="AE198" s="852">
        <v>25481.03</v>
      </c>
      <c r="AF198" s="853">
        <v>0.1</v>
      </c>
      <c r="AG198" s="854">
        <f t="shared" si="38"/>
        <v>7322457.4696471589</v>
      </c>
      <c r="AH198" s="853"/>
      <c r="AI198" s="855">
        <f t="shared" si="39"/>
        <v>0</v>
      </c>
      <c r="AJ198" s="845" t="s">
        <v>548</v>
      </c>
      <c r="AK198" s="857" t="s">
        <v>549</v>
      </c>
      <c r="AL198" s="840"/>
      <c r="AM198" s="840"/>
      <c r="AN198" s="858"/>
      <c r="AO198" s="844" t="s">
        <v>141</v>
      </c>
      <c r="AP198" s="859"/>
      <c r="AQ198" s="859" t="s">
        <v>550</v>
      </c>
      <c r="AR198" s="859"/>
      <c r="AS198" s="840"/>
      <c r="AT198" s="840"/>
      <c r="AU198" s="860"/>
      <c r="AV198" s="839" t="s">
        <v>619</v>
      </c>
      <c r="AW198" s="861">
        <v>45058</v>
      </c>
      <c r="AX198" s="862" t="s">
        <v>552</v>
      </c>
      <c r="AY198" s="843"/>
      <c r="AZ198" s="842"/>
      <c r="BA198" s="842" t="s">
        <v>120</v>
      </c>
      <c r="BB198" s="863" t="s">
        <v>121</v>
      </c>
      <c r="BC198" s="864">
        <v>45058</v>
      </c>
      <c r="BD198" s="860" t="s">
        <v>620</v>
      </c>
      <c r="BE198" s="865" cm="1">
        <f t="array" ref="BE198">IF(BD198="","",AC198/SUMPRODUCT(--(BD198=$BD$4:$BD$12824),$AC$4:$AC$12824))</f>
        <v>3.4029529289120029E-2</v>
      </c>
      <c r="BF198" s="458"/>
      <c r="BG198" s="458"/>
      <c r="BH198" s="458"/>
      <c r="BI198" s="458"/>
      <c r="BJ198" s="458"/>
      <c r="BK198" s="458"/>
      <c r="BL198" s="458"/>
      <c r="BM198" s="458"/>
      <c r="BN198" s="458"/>
      <c r="BO198" s="866">
        <f>VLOOKUP(BD198,$BD$4:$BN$12824,3,0)*BE198</f>
        <v>2453461.002686976</v>
      </c>
      <c r="BP198" s="866"/>
      <c r="BQ198" s="866"/>
      <c r="BR198" s="866">
        <f>VLOOKUP(BD198,$BD$4:$BN$12824,6,0)*BE198</f>
        <v>586260.73059295991</v>
      </c>
      <c r="BS198" s="866">
        <f>VLOOKUP(BD198,$BD$4:$BN$12824,7,0)*BE198</f>
        <v>240896.70528461586</v>
      </c>
      <c r="BT198" s="866"/>
      <c r="BU198" s="866">
        <f>VLOOKUP(BD198,$BD$4:$BN$12824,9,0)*BE198</f>
        <v>17014.764644560015</v>
      </c>
      <c r="BV198" s="867"/>
      <c r="BW198" s="867">
        <f>VLOOKUP(BD198,$BD$4:$BN$12824,11,0)*BE198</f>
        <v>34029.52928912003</v>
      </c>
      <c r="BX198" s="1146">
        <f t="shared" si="34"/>
        <v>3331662.7324982318</v>
      </c>
      <c r="BY198" s="867">
        <f t="shared" ref="BY198:BY261" si="42">(AB198*AE198+AG198+BX198)/U198</f>
        <v>27061445.730215129</v>
      </c>
      <c r="BZ198" s="867">
        <f t="shared" si="40"/>
        <v>81184337.190645382</v>
      </c>
      <c r="CA198" s="867">
        <f>_xlfn.MAXIFS($BY$4:$BY$12824,$S$4:$S$12824,$S198)</f>
        <v>27061445.730215129</v>
      </c>
      <c r="CB198" s="1032"/>
      <c r="CF198" s="946">
        <f t="shared" si="41"/>
        <v>70530216.988499999</v>
      </c>
    </row>
    <row r="199" spans="1:84">
      <c r="A199" s="1032"/>
      <c r="B199" s="839" t="s">
        <v>98</v>
      </c>
      <c r="C199" s="839" t="s">
        <v>273</v>
      </c>
      <c r="D199" s="839" t="s">
        <v>545</v>
      </c>
      <c r="E199" s="839" t="s">
        <v>545</v>
      </c>
      <c r="F199" s="841">
        <v>44944</v>
      </c>
      <c r="G199" s="840" t="s">
        <v>273</v>
      </c>
      <c r="H199" s="842" t="s">
        <v>134</v>
      </c>
      <c r="I199" s="842"/>
      <c r="J199" s="841"/>
      <c r="K199" s="841"/>
      <c r="L199" s="843"/>
      <c r="M199" s="844" t="s">
        <v>275</v>
      </c>
      <c r="N199" s="841"/>
      <c r="O199" s="841" t="s">
        <v>150</v>
      </c>
      <c r="P199" s="841" t="s">
        <v>276</v>
      </c>
      <c r="Q199" s="843"/>
      <c r="R199" s="845" t="s">
        <v>676</v>
      </c>
      <c r="S199" s="1127" t="s">
        <v>676</v>
      </c>
      <c r="T199" s="843" t="s">
        <v>677</v>
      </c>
      <c r="U199" s="842">
        <v>3</v>
      </c>
      <c r="V199" s="842" t="s">
        <v>3</v>
      </c>
      <c r="W199" s="846"/>
      <c r="X199" s="847">
        <f t="shared" si="35"/>
        <v>0</v>
      </c>
      <c r="Y199" s="848"/>
      <c r="Z199" s="849">
        <v>922.65</v>
      </c>
      <c r="AA199" s="849"/>
      <c r="AB199" s="849">
        <f t="shared" si="36"/>
        <v>2767.95</v>
      </c>
      <c r="AC199" s="850">
        <f t="shared" si="37"/>
        <v>2767.95</v>
      </c>
      <c r="AD199" s="851"/>
      <c r="AE199" s="852">
        <v>25481.03</v>
      </c>
      <c r="AF199" s="853">
        <v>0.1</v>
      </c>
      <c r="AG199" s="854">
        <f t="shared" si="38"/>
        <v>7322457.4696471589</v>
      </c>
      <c r="AH199" s="853"/>
      <c r="AI199" s="855">
        <f t="shared" si="39"/>
        <v>0</v>
      </c>
      <c r="AJ199" s="845" t="s">
        <v>548</v>
      </c>
      <c r="AK199" s="857" t="s">
        <v>549</v>
      </c>
      <c r="AL199" s="840"/>
      <c r="AM199" s="840"/>
      <c r="AN199" s="858"/>
      <c r="AO199" s="844" t="s">
        <v>141</v>
      </c>
      <c r="AP199" s="859"/>
      <c r="AQ199" s="859" t="s">
        <v>550</v>
      </c>
      <c r="AR199" s="859"/>
      <c r="AS199" s="840"/>
      <c r="AT199" s="840"/>
      <c r="AU199" s="860"/>
      <c r="AV199" s="839" t="s">
        <v>619</v>
      </c>
      <c r="AW199" s="861">
        <v>45058</v>
      </c>
      <c r="AX199" s="862" t="s">
        <v>552</v>
      </c>
      <c r="AY199" s="843"/>
      <c r="AZ199" s="842"/>
      <c r="BA199" s="842" t="s">
        <v>120</v>
      </c>
      <c r="BB199" s="863" t="s">
        <v>121</v>
      </c>
      <c r="BC199" s="864">
        <v>45058</v>
      </c>
      <c r="BD199" s="860" t="s">
        <v>620</v>
      </c>
      <c r="BE199" s="865" cm="1">
        <f t="array" ref="BE199">IF(BD199="","",AC199/SUMPRODUCT(--(BD199=$BD$4:$BD$12824),$AC$4:$AC$12824))</f>
        <v>3.4029529289120029E-2</v>
      </c>
      <c r="BF199" s="458"/>
      <c r="BG199" s="458"/>
      <c r="BH199" s="458"/>
      <c r="BI199" s="458"/>
      <c r="BJ199" s="458"/>
      <c r="BK199" s="458"/>
      <c r="BL199" s="458"/>
      <c r="BM199" s="458"/>
      <c r="BN199" s="458"/>
      <c r="BO199" s="866">
        <f>VLOOKUP(BD199,$BD$4:$BN$12824,3,0)*BE199</f>
        <v>2453461.002686976</v>
      </c>
      <c r="BP199" s="866"/>
      <c r="BQ199" s="866"/>
      <c r="BR199" s="866">
        <f>VLOOKUP(BD199,$BD$4:$BN$12824,6,0)*BE199</f>
        <v>586260.73059295991</v>
      </c>
      <c r="BS199" s="866">
        <f>VLOOKUP(BD199,$BD$4:$BN$12824,7,0)*BE199</f>
        <v>240896.70528461586</v>
      </c>
      <c r="BT199" s="866"/>
      <c r="BU199" s="866">
        <f>VLOOKUP(BD199,$BD$4:$BN$12824,9,0)*BE199</f>
        <v>17014.764644560015</v>
      </c>
      <c r="BV199" s="867"/>
      <c r="BW199" s="867">
        <f>VLOOKUP(BD199,$BD$4:$BN$12824,11,0)*BE199</f>
        <v>34029.52928912003</v>
      </c>
      <c r="BX199" s="1146">
        <f t="shared" si="34"/>
        <v>3331662.7324982318</v>
      </c>
      <c r="BY199" s="867">
        <f t="shared" si="42"/>
        <v>27061445.730215129</v>
      </c>
      <c r="BZ199" s="867">
        <f t="shared" si="40"/>
        <v>81184337.190645382</v>
      </c>
      <c r="CA199" s="867">
        <f>_xlfn.MAXIFS($BY$4:$BY$12824,$S$4:$S$12824,$S199)</f>
        <v>27061445.730215129</v>
      </c>
      <c r="CB199" s="1032"/>
      <c r="CF199" s="946">
        <f t="shared" si="41"/>
        <v>70530216.988499999</v>
      </c>
    </row>
    <row r="200" spans="1:84">
      <c r="A200" s="1032"/>
      <c r="B200" s="839" t="s">
        <v>98</v>
      </c>
      <c r="C200" s="839" t="s">
        <v>273</v>
      </c>
      <c r="D200" s="839" t="s">
        <v>545</v>
      </c>
      <c r="E200" s="839" t="s">
        <v>545</v>
      </c>
      <c r="F200" s="841">
        <v>44944</v>
      </c>
      <c r="G200" s="840" t="s">
        <v>273</v>
      </c>
      <c r="H200" s="842" t="s">
        <v>134</v>
      </c>
      <c r="I200" s="842"/>
      <c r="J200" s="841"/>
      <c r="K200" s="841"/>
      <c r="L200" s="843"/>
      <c r="M200" s="844" t="s">
        <v>275</v>
      </c>
      <c r="N200" s="841"/>
      <c r="O200" s="841" t="s">
        <v>150</v>
      </c>
      <c r="P200" s="841" t="s">
        <v>276</v>
      </c>
      <c r="Q200" s="843"/>
      <c r="R200" s="845" t="s">
        <v>678</v>
      </c>
      <c r="S200" s="1127" t="s">
        <v>678</v>
      </c>
      <c r="T200" s="843" t="s">
        <v>679</v>
      </c>
      <c r="U200" s="842">
        <v>3</v>
      </c>
      <c r="V200" s="842" t="s">
        <v>3</v>
      </c>
      <c r="W200" s="846"/>
      <c r="X200" s="847">
        <f t="shared" si="35"/>
        <v>0</v>
      </c>
      <c r="Y200" s="848"/>
      <c r="Z200" s="849">
        <v>922.65</v>
      </c>
      <c r="AA200" s="849"/>
      <c r="AB200" s="849">
        <f t="shared" si="36"/>
        <v>2767.95</v>
      </c>
      <c r="AC200" s="850">
        <f t="shared" si="37"/>
        <v>2767.95</v>
      </c>
      <c r="AD200" s="851"/>
      <c r="AE200" s="852">
        <v>25481.03</v>
      </c>
      <c r="AF200" s="853">
        <v>0.1</v>
      </c>
      <c r="AG200" s="854">
        <f t="shared" si="38"/>
        <v>7322457.4696471589</v>
      </c>
      <c r="AH200" s="853"/>
      <c r="AI200" s="855">
        <f t="shared" si="39"/>
        <v>0</v>
      </c>
      <c r="AJ200" s="845" t="s">
        <v>548</v>
      </c>
      <c r="AK200" s="857" t="s">
        <v>549</v>
      </c>
      <c r="AL200" s="840"/>
      <c r="AM200" s="840"/>
      <c r="AN200" s="858"/>
      <c r="AO200" s="844" t="s">
        <v>141</v>
      </c>
      <c r="AP200" s="859"/>
      <c r="AQ200" s="859" t="s">
        <v>550</v>
      </c>
      <c r="AR200" s="859"/>
      <c r="AS200" s="840"/>
      <c r="AT200" s="840"/>
      <c r="AU200" s="860"/>
      <c r="AV200" s="839" t="s">
        <v>619</v>
      </c>
      <c r="AW200" s="861">
        <v>45058</v>
      </c>
      <c r="AX200" s="862" t="s">
        <v>552</v>
      </c>
      <c r="AY200" s="843"/>
      <c r="AZ200" s="842"/>
      <c r="BA200" s="842" t="s">
        <v>120</v>
      </c>
      <c r="BB200" s="863" t="s">
        <v>121</v>
      </c>
      <c r="BC200" s="864">
        <v>45058</v>
      </c>
      <c r="BD200" s="860" t="s">
        <v>620</v>
      </c>
      <c r="BE200" s="865" cm="1">
        <f t="array" ref="BE200">IF(BD200="","",AC200/SUMPRODUCT(--(BD200=$BD$4:$BD$12824),$AC$4:$AC$12824))</f>
        <v>3.4029529289120029E-2</v>
      </c>
      <c r="BF200" s="458"/>
      <c r="BG200" s="458"/>
      <c r="BH200" s="458"/>
      <c r="BI200" s="458"/>
      <c r="BJ200" s="458"/>
      <c r="BK200" s="458"/>
      <c r="BL200" s="458"/>
      <c r="BM200" s="458"/>
      <c r="BN200" s="458"/>
      <c r="BO200" s="866">
        <f>VLOOKUP(BD200,$BD$4:$BN$12824,3,0)*BE200</f>
        <v>2453461.002686976</v>
      </c>
      <c r="BP200" s="866"/>
      <c r="BQ200" s="866"/>
      <c r="BR200" s="866">
        <f>VLOOKUP(BD200,$BD$4:$BN$12824,6,0)*BE200</f>
        <v>586260.73059295991</v>
      </c>
      <c r="BS200" s="866">
        <f>VLOOKUP(BD200,$BD$4:$BN$12824,7,0)*BE200</f>
        <v>240896.70528461586</v>
      </c>
      <c r="BT200" s="866"/>
      <c r="BU200" s="866">
        <f>VLOOKUP(BD200,$BD$4:$BN$12824,9,0)*BE200</f>
        <v>17014.764644560015</v>
      </c>
      <c r="BV200" s="867"/>
      <c r="BW200" s="867">
        <f>VLOOKUP(BD200,$BD$4:$BN$12824,11,0)*BE200</f>
        <v>34029.52928912003</v>
      </c>
      <c r="BX200" s="1146">
        <f t="shared" si="34"/>
        <v>3331662.7324982318</v>
      </c>
      <c r="BY200" s="867">
        <f t="shared" si="42"/>
        <v>27061445.730215129</v>
      </c>
      <c r="BZ200" s="867">
        <f t="shared" si="40"/>
        <v>81184337.190645382</v>
      </c>
      <c r="CA200" s="867">
        <f>_xlfn.MAXIFS($BY$4:$BY$12824,$S$4:$S$12824,$S200)</f>
        <v>27061445.730215129</v>
      </c>
      <c r="CB200" s="1032"/>
      <c r="CF200" s="946">
        <f t="shared" si="41"/>
        <v>70530216.988499999</v>
      </c>
    </row>
    <row r="201" spans="1:84">
      <c r="A201" s="1032"/>
      <c r="B201" s="839" t="s">
        <v>98</v>
      </c>
      <c r="C201" s="839" t="s">
        <v>273</v>
      </c>
      <c r="D201" s="839" t="s">
        <v>545</v>
      </c>
      <c r="E201" s="839" t="s">
        <v>545</v>
      </c>
      <c r="F201" s="841">
        <v>44944</v>
      </c>
      <c r="G201" s="840" t="s">
        <v>273</v>
      </c>
      <c r="H201" s="842" t="s">
        <v>134</v>
      </c>
      <c r="I201" s="842"/>
      <c r="J201" s="841"/>
      <c r="K201" s="841"/>
      <c r="L201" s="843"/>
      <c r="M201" s="844" t="s">
        <v>275</v>
      </c>
      <c r="N201" s="841"/>
      <c r="O201" s="841" t="s">
        <v>150</v>
      </c>
      <c r="P201" s="841" t="s">
        <v>276</v>
      </c>
      <c r="Q201" s="843"/>
      <c r="R201" s="845" t="s">
        <v>680</v>
      </c>
      <c r="S201" s="1127" t="s">
        <v>680</v>
      </c>
      <c r="T201" s="843" t="s">
        <v>681</v>
      </c>
      <c r="U201" s="842">
        <v>3</v>
      </c>
      <c r="V201" s="842" t="s">
        <v>3</v>
      </c>
      <c r="W201" s="846"/>
      <c r="X201" s="847">
        <f t="shared" si="35"/>
        <v>0</v>
      </c>
      <c r="Y201" s="848"/>
      <c r="Z201" s="849">
        <v>922.64</v>
      </c>
      <c r="AA201" s="849"/>
      <c r="AB201" s="849">
        <f t="shared" si="36"/>
        <v>2767.92</v>
      </c>
      <c r="AC201" s="850">
        <f t="shared" si="37"/>
        <v>2767.92</v>
      </c>
      <c r="AD201" s="851"/>
      <c r="AE201" s="852">
        <v>25481.03</v>
      </c>
      <c r="AF201" s="853">
        <v>0.1</v>
      </c>
      <c r="AG201" s="854">
        <f t="shared" si="38"/>
        <v>7322378.1063190317</v>
      </c>
      <c r="AH201" s="853"/>
      <c r="AI201" s="855">
        <f t="shared" si="39"/>
        <v>0</v>
      </c>
      <c r="AJ201" s="845" t="s">
        <v>548</v>
      </c>
      <c r="AK201" s="857" t="s">
        <v>549</v>
      </c>
      <c r="AL201" s="840"/>
      <c r="AM201" s="840"/>
      <c r="AN201" s="858"/>
      <c r="AO201" s="844" t="s">
        <v>141</v>
      </c>
      <c r="AP201" s="859"/>
      <c r="AQ201" s="859" t="s">
        <v>550</v>
      </c>
      <c r="AR201" s="859"/>
      <c r="AS201" s="840"/>
      <c r="AT201" s="840"/>
      <c r="AU201" s="860"/>
      <c r="AV201" s="839" t="s">
        <v>619</v>
      </c>
      <c r="AW201" s="861">
        <v>45058</v>
      </c>
      <c r="AX201" s="862" t="s">
        <v>552</v>
      </c>
      <c r="AY201" s="843"/>
      <c r="AZ201" s="842"/>
      <c r="BA201" s="842" t="s">
        <v>120</v>
      </c>
      <c r="BB201" s="863" t="s">
        <v>121</v>
      </c>
      <c r="BC201" s="864">
        <v>45058</v>
      </c>
      <c r="BD201" s="860" t="s">
        <v>620</v>
      </c>
      <c r="BE201" s="865" cm="1">
        <f t="array" ref="BE201">IF(BD201="","",AC201/SUMPRODUCT(--(BD201=$BD$4:$BD$12824),$AC$4:$AC$12824))</f>
        <v>3.4029160465305054E-2</v>
      </c>
      <c r="BF201" s="458"/>
      <c r="BG201" s="458"/>
      <c r="BH201" s="458"/>
      <c r="BI201" s="458"/>
      <c r="BJ201" s="458"/>
      <c r="BK201" s="458"/>
      <c r="BL201" s="458"/>
      <c r="BM201" s="458"/>
      <c r="BN201" s="458"/>
      <c r="BO201" s="866">
        <f>VLOOKUP(BD201,$BD$4:$BN$12824,3,0)*BE201</f>
        <v>2453434.4112275639</v>
      </c>
      <c r="BP201" s="866"/>
      <c r="BQ201" s="866"/>
      <c r="BR201" s="866">
        <f>VLOOKUP(BD201,$BD$4:$BN$12824,6,0)*BE201</f>
        <v>586254.37649627542</v>
      </c>
      <c r="BS201" s="866">
        <f>VLOOKUP(BD201,$BD$4:$BN$12824,7,0)*BE201</f>
        <v>240894.09436275729</v>
      </c>
      <c r="BT201" s="866"/>
      <c r="BU201" s="866">
        <f>VLOOKUP(BD201,$BD$4:$BN$12824,9,0)*BE201</f>
        <v>17014.580232652526</v>
      </c>
      <c r="BV201" s="867"/>
      <c r="BW201" s="867">
        <f>VLOOKUP(BD201,$BD$4:$BN$12824,11,0)*BE201</f>
        <v>34029.160465305053</v>
      </c>
      <c r="BX201" s="1146">
        <f t="shared" si="34"/>
        <v>3331626.622784554</v>
      </c>
      <c r="BY201" s="867">
        <f t="shared" si="42"/>
        <v>27061152.428901192</v>
      </c>
      <c r="BZ201" s="867">
        <f t="shared" si="40"/>
        <v>81183457.286703572</v>
      </c>
      <c r="CA201" s="867">
        <f>_xlfn.MAXIFS($BY$4:$BY$12824,$S$4:$S$12824,$S201)</f>
        <v>27061152.428901192</v>
      </c>
      <c r="CB201" s="1032"/>
      <c r="CF201" s="946">
        <f t="shared" si="41"/>
        <v>70529452.557599992</v>
      </c>
    </row>
    <row r="202" spans="1:84">
      <c r="A202" s="1032"/>
      <c r="B202" s="839" t="s">
        <v>98</v>
      </c>
      <c r="C202" s="839" t="s">
        <v>273</v>
      </c>
      <c r="D202" s="839" t="s">
        <v>545</v>
      </c>
      <c r="E202" s="839" t="s">
        <v>545</v>
      </c>
      <c r="F202" s="841">
        <v>44944</v>
      </c>
      <c r="G202" s="840" t="s">
        <v>273</v>
      </c>
      <c r="H202" s="842" t="s">
        <v>134</v>
      </c>
      <c r="I202" s="842"/>
      <c r="J202" s="841"/>
      <c r="K202" s="841"/>
      <c r="L202" s="843"/>
      <c r="M202" s="844" t="s">
        <v>275</v>
      </c>
      <c r="N202" s="841"/>
      <c r="O202" s="841" t="s">
        <v>150</v>
      </c>
      <c r="P202" s="841" t="s">
        <v>276</v>
      </c>
      <c r="Q202" s="843"/>
      <c r="R202" s="845" t="s">
        <v>682</v>
      </c>
      <c r="S202" s="1127" t="s">
        <v>682</v>
      </c>
      <c r="T202" s="843" t="s">
        <v>683</v>
      </c>
      <c r="U202" s="842">
        <v>2</v>
      </c>
      <c r="V202" s="842" t="s">
        <v>3</v>
      </c>
      <c r="W202" s="846"/>
      <c r="X202" s="847">
        <f t="shared" si="35"/>
        <v>0</v>
      </c>
      <c r="Y202" s="848"/>
      <c r="Z202" s="849">
        <v>823.21</v>
      </c>
      <c r="AA202" s="849"/>
      <c r="AB202" s="849">
        <f t="shared" si="36"/>
        <v>1646.42</v>
      </c>
      <c r="AC202" s="850">
        <f t="shared" si="37"/>
        <v>1646.42</v>
      </c>
      <c r="AD202" s="851"/>
      <c r="AE202" s="852">
        <v>25481.03</v>
      </c>
      <c r="AF202" s="853">
        <v>0.1</v>
      </c>
      <c r="AG202" s="854">
        <f t="shared" si="38"/>
        <v>4355512.3565008314</v>
      </c>
      <c r="AH202" s="853"/>
      <c r="AI202" s="855">
        <f t="shared" si="39"/>
        <v>0</v>
      </c>
      <c r="AJ202" s="845" t="s">
        <v>548</v>
      </c>
      <c r="AK202" s="857" t="s">
        <v>549</v>
      </c>
      <c r="AL202" s="840"/>
      <c r="AM202" s="840"/>
      <c r="AN202" s="858"/>
      <c r="AO202" s="844" t="s">
        <v>141</v>
      </c>
      <c r="AP202" s="859"/>
      <c r="AQ202" s="859" t="s">
        <v>550</v>
      </c>
      <c r="AR202" s="859"/>
      <c r="AS202" s="840"/>
      <c r="AT202" s="840"/>
      <c r="AU202" s="860"/>
      <c r="AV202" s="839" t="s">
        <v>619</v>
      </c>
      <c r="AW202" s="861">
        <v>45058</v>
      </c>
      <c r="AX202" s="862" t="s">
        <v>552</v>
      </c>
      <c r="AY202" s="843"/>
      <c r="AZ202" s="842"/>
      <c r="BA202" s="842" t="s">
        <v>120</v>
      </c>
      <c r="BB202" s="863" t="s">
        <v>121</v>
      </c>
      <c r="BC202" s="864">
        <v>45058</v>
      </c>
      <c r="BD202" s="860" t="s">
        <v>620</v>
      </c>
      <c r="BE202" s="865" cm="1">
        <f t="array" ref="BE202">IF(BD202="","",AC202/SUMPRODUCT(--(BD202=$BD$4:$BD$12824),$AC$4:$AC$12824))</f>
        <v>2.024129684863997E-2</v>
      </c>
      <c r="BF202" s="458"/>
      <c r="BG202" s="458"/>
      <c r="BH202" s="458"/>
      <c r="BI202" s="458"/>
      <c r="BJ202" s="458"/>
      <c r="BK202" s="458"/>
      <c r="BL202" s="458"/>
      <c r="BM202" s="458"/>
      <c r="BN202" s="458"/>
      <c r="BO202" s="866">
        <f>VLOOKUP(BD202,$BD$4:$BN$12824,3,0)*BE202</f>
        <v>1459357.0201932446</v>
      </c>
      <c r="BP202" s="866"/>
      <c r="BQ202" s="866"/>
      <c r="BR202" s="866">
        <f>VLOOKUP(BD202,$BD$4:$BN$12824,6,0)*BE202</f>
        <v>348717.06210836937</v>
      </c>
      <c r="BS202" s="866">
        <f>VLOOKUP(BD202,$BD$4:$BN$12824,7,0)*BE202</f>
        <v>143289.13221506792</v>
      </c>
      <c r="BT202" s="866"/>
      <c r="BU202" s="866">
        <f>VLOOKUP(BD202,$BD$4:$BN$12824,9,0)*BE202</f>
        <v>10120.648424319985</v>
      </c>
      <c r="BV202" s="867"/>
      <c r="BW202" s="867">
        <f>VLOOKUP(BD202,$BD$4:$BN$12824,11,0)*BE202</f>
        <v>20241.29684863997</v>
      </c>
      <c r="BX202" s="1146">
        <f t="shared" si="34"/>
        <v>1981725.1597896419</v>
      </c>
      <c r="BY202" s="867">
        <f t="shared" si="42"/>
        <v>24144857.464445241</v>
      </c>
      <c r="BZ202" s="867">
        <f t="shared" si="40"/>
        <v>48289714.928890482</v>
      </c>
      <c r="CA202" s="867">
        <f>_xlfn.MAXIFS($BY$4:$BY$12824,$S$4:$S$12824,$S202)</f>
        <v>24144857.464445241</v>
      </c>
      <c r="CB202" s="1032"/>
      <c r="CF202" s="946">
        <f t="shared" si="41"/>
        <v>41952477.412600003</v>
      </c>
    </row>
    <row r="203" spans="1:84">
      <c r="A203" s="1032"/>
      <c r="B203" s="839" t="s">
        <v>98</v>
      </c>
      <c r="C203" s="839" t="s">
        <v>273</v>
      </c>
      <c r="D203" s="839" t="s">
        <v>545</v>
      </c>
      <c r="E203" s="839" t="s">
        <v>545</v>
      </c>
      <c r="F203" s="841">
        <v>44944</v>
      </c>
      <c r="G203" s="840" t="s">
        <v>273</v>
      </c>
      <c r="H203" s="842" t="s">
        <v>134</v>
      </c>
      <c r="I203" s="842"/>
      <c r="J203" s="841"/>
      <c r="K203" s="841"/>
      <c r="L203" s="843"/>
      <c r="M203" s="844" t="s">
        <v>275</v>
      </c>
      <c r="N203" s="841"/>
      <c r="O203" s="841" t="s">
        <v>150</v>
      </c>
      <c r="P203" s="841" t="s">
        <v>276</v>
      </c>
      <c r="Q203" s="843"/>
      <c r="R203" s="845" t="s">
        <v>684</v>
      </c>
      <c r="S203" s="1127" t="s">
        <v>684</v>
      </c>
      <c r="T203" s="843" t="s">
        <v>685</v>
      </c>
      <c r="U203" s="842">
        <v>2</v>
      </c>
      <c r="V203" s="842" t="s">
        <v>3</v>
      </c>
      <c r="W203" s="846"/>
      <c r="X203" s="847">
        <f t="shared" si="35"/>
        <v>0</v>
      </c>
      <c r="Y203" s="848"/>
      <c r="Z203" s="849">
        <v>823.21</v>
      </c>
      <c r="AA203" s="849"/>
      <c r="AB203" s="849">
        <f t="shared" si="36"/>
        <v>1646.42</v>
      </c>
      <c r="AC203" s="850">
        <f t="shared" si="37"/>
        <v>1646.42</v>
      </c>
      <c r="AD203" s="851"/>
      <c r="AE203" s="852">
        <v>25481.03</v>
      </c>
      <c r="AF203" s="853">
        <v>0.1</v>
      </c>
      <c r="AG203" s="854">
        <f t="shared" si="38"/>
        <v>4355512.3565008314</v>
      </c>
      <c r="AH203" s="853"/>
      <c r="AI203" s="855">
        <f t="shared" si="39"/>
        <v>0</v>
      </c>
      <c r="AJ203" s="845" t="s">
        <v>548</v>
      </c>
      <c r="AK203" s="857" t="s">
        <v>549</v>
      </c>
      <c r="AL203" s="840"/>
      <c r="AM203" s="840"/>
      <c r="AN203" s="858"/>
      <c r="AO203" s="844" t="s">
        <v>141</v>
      </c>
      <c r="AP203" s="859"/>
      <c r="AQ203" s="859" t="s">
        <v>550</v>
      </c>
      <c r="AR203" s="859"/>
      <c r="AS203" s="840"/>
      <c r="AT203" s="840"/>
      <c r="AU203" s="860"/>
      <c r="AV203" s="839" t="s">
        <v>619</v>
      </c>
      <c r="AW203" s="861">
        <v>45058</v>
      </c>
      <c r="AX203" s="862" t="s">
        <v>552</v>
      </c>
      <c r="AY203" s="843"/>
      <c r="AZ203" s="842"/>
      <c r="BA203" s="842" t="s">
        <v>120</v>
      </c>
      <c r="BB203" s="863" t="s">
        <v>121</v>
      </c>
      <c r="BC203" s="864">
        <v>45058</v>
      </c>
      <c r="BD203" s="860" t="s">
        <v>620</v>
      </c>
      <c r="BE203" s="865" cm="1">
        <f t="array" ref="BE203">IF(BD203="","",AC203/SUMPRODUCT(--(BD203=$BD$4:$BD$12824),$AC$4:$AC$12824))</f>
        <v>2.024129684863997E-2</v>
      </c>
      <c r="BF203" s="458"/>
      <c r="BG203" s="458"/>
      <c r="BH203" s="458"/>
      <c r="BI203" s="458"/>
      <c r="BJ203" s="458"/>
      <c r="BK203" s="458"/>
      <c r="BL203" s="458"/>
      <c r="BM203" s="458"/>
      <c r="BN203" s="458"/>
      <c r="BO203" s="866">
        <f>VLOOKUP(BD203,$BD$4:$BN$12824,3,0)*BE203</f>
        <v>1459357.0201932446</v>
      </c>
      <c r="BP203" s="866"/>
      <c r="BQ203" s="866"/>
      <c r="BR203" s="866">
        <f>VLOOKUP(BD203,$BD$4:$BN$12824,6,0)*BE203</f>
        <v>348717.06210836937</v>
      </c>
      <c r="BS203" s="866">
        <f>VLOOKUP(BD203,$BD$4:$BN$12824,7,0)*BE203</f>
        <v>143289.13221506792</v>
      </c>
      <c r="BT203" s="866"/>
      <c r="BU203" s="866">
        <f>VLOOKUP(BD203,$BD$4:$BN$12824,9,0)*BE203</f>
        <v>10120.648424319985</v>
      </c>
      <c r="BV203" s="867"/>
      <c r="BW203" s="867">
        <f>VLOOKUP(BD203,$BD$4:$BN$12824,11,0)*BE203</f>
        <v>20241.29684863997</v>
      </c>
      <c r="BX203" s="1146">
        <f t="shared" si="34"/>
        <v>1981725.1597896419</v>
      </c>
      <c r="BY203" s="867">
        <f t="shared" si="42"/>
        <v>24144857.464445241</v>
      </c>
      <c r="BZ203" s="867">
        <f t="shared" si="40"/>
        <v>48289714.928890482</v>
      </c>
      <c r="CA203" s="867">
        <f>_xlfn.MAXIFS($BY$4:$BY$12824,$S$4:$S$12824,$S203)</f>
        <v>24144857.464445241</v>
      </c>
      <c r="CB203" s="1032"/>
      <c r="CF203" s="946">
        <f t="shared" si="41"/>
        <v>41952477.412600003</v>
      </c>
    </row>
    <row r="204" spans="1:84">
      <c r="A204" s="1032"/>
      <c r="B204" s="839" t="s">
        <v>98</v>
      </c>
      <c r="C204" s="839" t="s">
        <v>273</v>
      </c>
      <c r="D204" s="839" t="s">
        <v>545</v>
      </c>
      <c r="E204" s="839" t="s">
        <v>545</v>
      </c>
      <c r="F204" s="841">
        <v>44944</v>
      </c>
      <c r="G204" s="840" t="s">
        <v>273</v>
      </c>
      <c r="H204" s="842" t="s">
        <v>134</v>
      </c>
      <c r="I204" s="842"/>
      <c r="J204" s="841"/>
      <c r="K204" s="841"/>
      <c r="L204" s="843"/>
      <c r="M204" s="844" t="s">
        <v>275</v>
      </c>
      <c r="N204" s="841"/>
      <c r="O204" s="841" t="s">
        <v>150</v>
      </c>
      <c r="P204" s="841" t="s">
        <v>276</v>
      </c>
      <c r="Q204" s="843"/>
      <c r="R204" s="845" t="s">
        <v>686</v>
      </c>
      <c r="S204" s="1127" t="s">
        <v>686</v>
      </c>
      <c r="T204" s="843" t="s">
        <v>687</v>
      </c>
      <c r="U204" s="842">
        <v>2</v>
      </c>
      <c r="V204" s="842" t="s">
        <v>3</v>
      </c>
      <c r="W204" s="846"/>
      <c r="X204" s="847">
        <f t="shared" si="35"/>
        <v>0</v>
      </c>
      <c r="Y204" s="848"/>
      <c r="Z204" s="849">
        <v>823.21</v>
      </c>
      <c r="AA204" s="849"/>
      <c r="AB204" s="849">
        <f t="shared" si="36"/>
        <v>1646.42</v>
      </c>
      <c r="AC204" s="850">
        <f t="shared" si="37"/>
        <v>1646.42</v>
      </c>
      <c r="AD204" s="851"/>
      <c r="AE204" s="852">
        <v>25481.03</v>
      </c>
      <c r="AF204" s="853">
        <v>0.1</v>
      </c>
      <c r="AG204" s="854">
        <f t="shared" si="38"/>
        <v>4355512.3565008314</v>
      </c>
      <c r="AH204" s="853"/>
      <c r="AI204" s="855">
        <f t="shared" si="39"/>
        <v>0</v>
      </c>
      <c r="AJ204" s="845" t="s">
        <v>548</v>
      </c>
      <c r="AK204" s="857" t="s">
        <v>549</v>
      </c>
      <c r="AL204" s="840"/>
      <c r="AM204" s="840"/>
      <c r="AN204" s="858"/>
      <c r="AO204" s="844" t="s">
        <v>141</v>
      </c>
      <c r="AP204" s="859"/>
      <c r="AQ204" s="859" t="s">
        <v>550</v>
      </c>
      <c r="AR204" s="859"/>
      <c r="AS204" s="840"/>
      <c r="AT204" s="840"/>
      <c r="AU204" s="860"/>
      <c r="AV204" s="839" t="s">
        <v>619</v>
      </c>
      <c r="AW204" s="861">
        <v>45058</v>
      </c>
      <c r="AX204" s="862" t="s">
        <v>552</v>
      </c>
      <c r="AY204" s="843"/>
      <c r="AZ204" s="842"/>
      <c r="BA204" s="842" t="s">
        <v>120</v>
      </c>
      <c r="BB204" s="863" t="s">
        <v>121</v>
      </c>
      <c r="BC204" s="864">
        <v>45058</v>
      </c>
      <c r="BD204" s="860" t="s">
        <v>620</v>
      </c>
      <c r="BE204" s="865" cm="1">
        <f t="array" ref="BE204">IF(BD204="","",AC204/SUMPRODUCT(--(BD204=$BD$4:$BD$12824),$AC$4:$AC$12824))</f>
        <v>2.024129684863997E-2</v>
      </c>
      <c r="BF204" s="458"/>
      <c r="BG204" s="458"/>
      <c r="BH204" s="458"/>
      <c r="BI204" s="458"/>
      <c r="BJ204" s="458"/>
      <c r="BK204" s="458"/>
      <c r="BL204" s="458"/>
      <c r="BM204" s="458"/>
      <c r="BN204" s="458"/>
      <c r="BO204" s="866">
        <f>VLOOKUP(BD204,$BD$4:$BN$12824,3,0)*BE204</f>
        <v>1459357.0201932446</v>
      </c>
      <c r="BP204" s="866"/>
      <c r="BQ204" s="866"/>
      <c r="BR204" s="866">
        <f>VLOOKUP(BD204,$BD$4:$BN$12824,6,0)*BE204</f>
        <v>348717.06210836937</v>
      </c>
      <c r="BS204" s="866">
        <f>VLOOKUP(BD204,$BD$4:$BN$12824,7,0)*BE204</f>
        <v>143289.13221506792</v>
      </c>
      <c r="BT204" s="866"/>
      <c r="BU204" s="866">
        <f>VLOOKUP(BD204,$BD$4:$BN$12824,9,0)*BE204</f>
        <v>10120.648424319985</v>
      </c>
      <c r="BV204" s="867"/>
      <c r="BW204" s="867">
        <f>VLOOKUP(BD204,$BD$4:$BN$12824,11,0)*BE204</f>
        <v>20241.29684863997</v>
      </c>
      <c r="BX204" s="1146">
        <f t="shared" si="34"/>
        <v>1981725.1597896419</v>
      </c>
      <c r="BY204" s="867">
        <f t="shared" si="42"/>
        <v>24144857.464445241</v>
      </c>
      <c r="BZ204" s="867">
        <f t="shared" si="40"/>
        <v>48289714.928890482</v>
      </c>
      <c r="CA204" s="867">
        <f>_xlfn.MAXIFS($BY$4:$BY$12824,$S$4:$S$12824,$S204)</f>
        <v>24144857.464445241</v>
      </c>
      <c r="CB204" s="1032"/>
      <c r="CF204" s="946">
        <f t="shared" si="41"/>
        <v>41952477.412600003</v>
      </c>
    </row>
    <row r="205" spans="1:84">
      <c r="A205" s="1032"/>
      <c r="B205" s="839" t="s">
        <v>98</v>
      </c>
      <c r="C205" s="839" t="s">
        <v>273</v>
      </c>
      <c r="D205" s="839" t="s">
        <v>545</v>
      </c>
      <c r="E205" s="839" t="s">
        <v>545</v>
      </c>
      <c r="F205" s="841">
        <v>44944</v>
      </c>
      <c r="G205" s="840" t="s">
        <v>273</v>
      </c>
      <c r="H205" s="842" t="s">
        <v>134</v>
      </c>
      <c r="I205" s="842"/>
      <c r="J205" s="841"/>
      <c r="K205" s="841"/>
      <c r="L205" s="843"/>
      <c r="M205" s="844" t="s">
        <v>275</v>
      </c>
      <c r="N205" s="841"/>
      <c r="O205" s="841" t="s">
        <v>150</v>
      </c>
      <c r="P205" s="841" t="s">
        <v>276</v>
      </c>
      <c r="Q205" s="843"/>
      <c r="R205" s="845" t="s">
        <v>688</v>
      </c>
      <c r="S205" s="1127" t="s">
        <v>688</v>
      </c>
      <c r="T205" s="843" t="s">
        <v>689</v>
      </c>
      <c r="U205" s="842">
        <v>2</v>
      </c>
      <c r="V205" s="842" t="s">
        <v>3</v>
      </c>
      <c r="W205" s="846"/>
      <c r="X205" s="847">
        <f t="shared" si="35"/>
        <v>0</v>
      </c>
      <c r="Y205" s="848"/>
      <c r="Z205" s="849">
        <v>823.21</v>
      </c>
      <c r="AA205" s="849"/>
      <c r="AB205" s="849">
        <f t="shared" si="36"/>
        <v>1646.42</v>
      </c>
      <c r="AC205" s="850">
        <f t="shared" si="37"/>
        <v>1646.42</v>
      </c>
      <c r="AD205" s="851"/>
      <c r="AE205" s="852">
        <v>25481.03</v>
      </c>
      <c r="AF205" s="853">
        <v>0.1</v>
      </c>
      <c r="AG205" s="854">
        <f t="shared" si="38"/>
        <v>4355512.3565008314</v>
      </c>
      <c r="AH205" s="853"/>
      <c r="AI205" s="855">
        <f t="shared" si="39"/>
        <v>0</v>
      </c>
      <c r="AJ205" s="845" t="s">
        <v>548</v>
      </c>
      <c r="AK205" s="857" t="s">
        <v>549</v>
      </c>
      <c r="AL205" s="840"/>
      <c r="AM205" s="840"/>
      <c r="AN205" s="858"/>
      <c r="AO205" s="844" t="s">
        <v>141</v>
      </c>
      <c r="AP205" s="859"/>
      <c r="AQ205" s="859" t="s">
        <v>550</v>
      </c>
      <c r="AR205" s="859"/>
      <c r="AS205" s="840"/>
      <c r="AT205" s="840"/>
      <c r="AU205" s="860"/>
      <c r="AV205" s="839" t="s">
        <v>619</v>
      </c>
      <c r="AW205" s="861">
        <v>45058</v>
      </c>
      <c r="AX205" s="862" t="s">
        <v>552</v>
      </c>
      <c r="AY205" s="843"/>
      <c r="AZ205" s="842"/>
      <c r="BA205" s="842" t="s">
        <v>120</v>
      </c>
      <c r="BB205" s="863" t="s">
        <v>121</v>
      </c>
      <c r="BC205" s="864">
        <v>45058</v>
      </c>
      <c r="BD205" s="860" t="s">
        <v>620</v>
      </c>
      <c r="BE205" s="865" cm="1">
        <f t="array" ref="BE205">IF(BD205="","",AC205/SUMPRODUCT(--(BD205=$BD$4:$BD$12824),$AC$4:$AC$12824))</f>
        <v>2.024129684863997E-2</v>
      </c>
      <c r="BF205" s="458"/>
      <c r="BG205" s="458"/>
      <c r="BH205" s="458"/>
      <c r="BI205" s="458"/>
      <c r="BJ205" s="458"/>
      <c r="BK205" s="458"/>
      <c r="BL205" s="458"/>
      <c r="BM205" s="458"/>
      <c r="BN205" s="458"/>
      <c r="BO205" s="866">
        <f>VLOOKUP(BD205,$BD$4:$BN$12824,3,0)*BE205</f>
        <v>1459357.0201932446</v>
      </c>
      <c r="BP205" s="866"/>
      <c r="BQ205" s="866"/>
      <c r="BR205" s="866">
        <f>VLOOKUP(BD205,$BD$4:$BN$12824,6,0)*BE205</f>
        <v>348717.06210836937</v>
      </c>
      <c r="BS205" s="866">
        <f>VLOOKUP(BD205,$BD$4:$BN$12824,7,0)*BE205</f>
        <v>143289.13221506792</v>
      </c>
      <c r="BT205" s="866"/>
      <c r="BU205" s="866">
        <f>VLOOKUP(BD205,$BD$4:$BN$12824,9,0)*BE205</f>
        <v>10120.648424319985</v>
      </c>
      <c r="BV205" s="867"/>
      <c r="BW205" s="867">
        <f>VLOOKUP(BD205,$BD$4:$BN$12824,11,0)*BE205</f>
        <v>20241.29684863997</v>
      </c>
      <c r="BX205" s="1146">
        <f t="shared" si="34"/>
        <v>1981725.1597896419</v>
      </c>
      <c r="BY205" s="867">
        <f t="shared" si="42"/>
        <v>24144857.464445241</v>
      </c>
      <c r="BZ205" s="867">
        <f t="shared" si="40"/>
        <v>48289714.928890482</v>
      </c>
      <c r="CA205" s="867">
        <f>_xlfn.MAXIFS($BY$4:$BY$12824,$S$4:$S$12824,$S205)</f>
        <v>24144857.464445241</v>
      </c>
      <c r="CB205" s="1032"/>
      <c r="CF205" s="946">
        <f t="shared" si="41"/>
        <v>41952477.412600003</v>
      </c>
    </row>
    <row r="206" spans="1:84">
      <c r="A206" s="1032"/>
      <c r="B206" s="839" t="s">
        <v>98</v>
      </c>
      <c r="C206" s="839" t="s">
        <v>273</v>
      </c>
      <c r="D206" s="839" t="s">
        <v>545</v>
      </c>
      <c r="E206" s="839" t="s">
        <v>545</v>
      </c>
      <c r="F206" s="841">
        <v>44944</v>
      </c>
      <c r="G206" s="840" t="s">
        <v>273</v>
      </c>
      <c r="H206" s="842" t="s">
        <v>134</v>
      </c>
      <c r="I206" s="842"/>
      <c r="J206" s="841"/>
      <c r="K206" s="841"/>
      <c r="L206" s="843"/>
      <c r="M206" s="844" t="s">
        <v>275</v>
      </c>
      <c r="N206" s="841"/>
      <c r="O206" s="841" t="s">
        <v>150</v>
      </c>
      <c r="P206" s="841" t="s">
        <v>276</v>
      </c>
      <c r="Q206" s="843"/>
      <c r="R206" s="845" t="s">
        <v>690</v>
      </c>
      <c r="S206" s="1127" t="s">
        <v>690</v>
      </c>
      <c r="T206" s="843" t="s">
        <v>691</v>
      </c>
      <c r="U206" s="842">
        <v>2</v>
      </c>
      <c r="V206" s="842" t="s">
        <v>3</v>
      </c>
      <c r="W206" s="846"/>
      <c r="X206" s="847">
        <f t="shared" si="35"/>
        <v>0</v>
      </c>
      <c r="Y206" s="848"/>
      <c r="Z206" s="849">
        <v>823.21</v>
      </c>
      <c r="AA206" s="849"/>
      <c r="AB206" s="849">
        <f t="shared" si="36"/>
        <v>1646.42</v>
      </c>
      <c r="AC206" s="850">
        <f t="shared" si="37"/>
        <v>1646.42</v>
      </c>
      <c r="AD206" s="851"/>
      <c r="AE206" s="852">
        <v>25481.03</v>
      </c>
      <c r="AF206" s="853">
        <v>0.1</v>
      </c>
      <c r="AG206" s="854">
        <f t="shared" si="38"/>
        <v>4355512.3565008314</v>
      </c>
      <c r="AH206" s="853"/>
      <c r="AI206" s="855">
        <f t="shared" si="39"/>
        <v>0</v>
      </c>
      <c r="AJ206" s="845" t="s">
        <v>548</v>
      </c>
      <c r="AK206" s="857" t="s">
        <v>549</v>
      </c>
      <c r="AL206" s="840"/>
      <c r="AM206" s="840"/>
      <c r="AN206" s="858"/>
      <c r="AO206" s="844" t="s">
        <v>141</v>
      </c>
      <c r="AP206" s="859"/>
      <c r="AQ206" s="859" t="s">
        <v>550</v>
      </c>
      <c r="AR206" s="859"/>
      <c r="AS206" s="840"/>
      <c r="AT206" s="840"/>
      <c r="AU206" s="860"/>
      <c r="AV206" s="839" t="s">
        <v>619</v>
      </c>
      <c r="AW206" s="861">
        <v>45058</v>
      </c>
      <c r="AX206" s="862" t="s">
        <v>552</v>
      </c>
      <c r="AY206" s="843"/>
      <c r="AZ206" s="842"/>
      <c r="BA206" s="842" t="s">
        <v>120</v>
      </c>
      <c r="BB206" s="863" t="s">
        <v>121</v>
      </c>
      <c r="BC206" s="864">
        <v>45058</v>
      </c>
      <c r="BD206" s="860" t="s">
        <v>620</v>
      </c>
      <c r="BE206" s="865" cm="1">
        <f t="array" ref="BE206">IF(BD206="","",AC206/SUMPRODUCT(--(BD206=$BD$4:$BD$12824),$AC$4:$AC$12824))</f>
        <v>2.024129684863997E-2</v>
      </c>
      <c r="BF206" s="458"/>
      <c r="BG206" s="458"/>
      <c r="BH206" s="458"/>
      <c r="BI206" s="458"/>
      <c r="BJ206" s="458"/>
      <c r="BK206" s="458"/>
      <c r="BL206" s="458"/>
      <c r="BM206" s="458"/>
      <c r="BN206" s="458"/>
      <c r="BO206" s="866">
        <f>VLOOKUP(BD206,$BD$4:$BN$12824,3,0)*BE206</f>
        <v>1459357.0201932446</v>
      </c>
      <c r="BP206" s="866"/>
      <c r="BQ206" s="866"/>
      <c r="BR206" s="866">
        <f>VLOOKUP(BD206,$BD$4:$BN$12824,6,0)*BE206</f>
        <v>348717.06210836937</v>
      </c>
      <c r="BS206" s="866">
        <f>VLOOKUP(BD206,$BD$4:$BN$12824,7,0)*BE206</f>
        <v>143289.13221506792</v>
      </c>
      <c r="BT206" s="866"/>
      <c r="BU206" s="866">
        <f>VLOOKUP(BD206,$BD$4:$BN$12824,9,0)*BE206</f>
        <v>10120.648424319985</v>
      </c>
      <c r="BV206" s="867"/>
      <c r="BW206" s="867">
        <f>VLOOKUP(BD206,$BD$4:$BN$12824,11,0)*BE206</f>
        <v>20241.29684863997</v>
      </c>
      <c r="BX206" s="1146">
        <f t="shared" si="34"/>
        <v>1981725.1597896419</v>
      </c>
      <c r="BY206" s="867">
        <f t="shared" si="42"/>
        <v>24144857.464445241</v>
      </c>
      <c r="BZ206" s="867">
        <f t="shared" si="40"/>
        <v>48289714.928890482</v>
      </c>
      <c r="CA206" s="867">
        <f>_xlfn.MAXIFS($BY$4:$BY$12824,$S$4:$S$12824,$S206)</f>
        <v>24144857.464445241</v>
      </c>
      <c r="CB206" s="1032"/>
      <c r="CF206" s="946">
        <f t="shared" si="41"/>
        <v>41952477.412600003</v>
      </c>
    </row>
    <row r="207" spans="1:84">
      <c r="A207" s="1032"/>
      <c r="B207" s="839" t="s">
        <v>98</v>
      </c>
      <c r="C207" s="839" t="s">
        <v>273</v>
      </c>
      <c r="D207" s="839" t="s">
        <v>545</v>
      </c>
      <c r="E207" s="839" t="s">
        <v>545</v>
      </c>
      <c r="F207" s="841">
        <v>44944</v>
      </c>
      <c r="G207" s="840" t="s">
        <v>273</v>
      </c>
      <c r="H207" s="842" t="s">
        <v>134</v>
      </c>
      <c r="I207" s="842"/>
      <c r="J207" s="841"/>
      <c r="K207" s="841"/>
      <c r="L207" s="843"/>
      <c r="M207" s="844" t="s">
        <v>275</v>
      </c>
      <c r="N207" s="841"/>
      <c r="O207" s="841" t="s">
        <v>150</v>
      </c>
      <c r="P207" s="841" t="s">
        <v>276</v>
      </c>
      <c r="Q207" s="843"/>
      <c r="R207" s="845" t="s">
        <v>692</v>
      </c>
      <c r="S207" s="1127" t="s">
        <v>692</v>
      </c>
      <c r="T207" s="843" t="s">
        <v>693</v>
      </c>
      <c r="U207" s="842">
        <v>2</v>
      </c>
      <c r="V207" s="842" t="s">
        <v>3</v>
      </c>
      <c r="W207" s="846"/>
      <c r="X207" s="847">
        <f t="shared" si="35"/>
        <v>0</v>
      </c>
      <c r="Y207" s="848"/>
      <c r="Z207" s="849">
        <v>823.16499999999996</v>
      </c>
      <c r="AA207" s="849"/>
      <c r="AB207" s="849">
        <f t="shared" si="36"/>
        <v>1646.33</v>
      </c>
      <c r="AC207" s="850">
        <f t="shared" si="37"/>
        <v>1646.33</v>
      </c>
      <c r="AD207" s="851"/>
      <c r="AE207" s="852">
        <v>25481.03</v>
      </c>
      <c r="AF207" s="853">
        <v>0.1</v>
      </c>
      <c r="AG207" s="854">
        <f t="shared" si="38"/>
        <v>4355274.2665164499</v>
      </c>
      <c r="AH207" s="853"/>
      <c r="AI207" s="855">
        <f t="shared" si="39"/>
        <v>0</v>
      </c>
      <c r="AJ207" s="845" t="s">
        <v>548</v>
      </c>
      <c r="AK207" s="857" t="s">
        <v>549</v>
      </c>
      <c r="AL207" s="840"/>
      <c r="AM207" s="840"/>
      <c r="AN207" s="858"/>
      <c r="AO207" s="844" t="s">
        <v>141</v>
      </c>
      <c r="AP207" s="859"/>
      <c r="AQ207" s="859" t="s">
        <v>550</v>
      </c>
      <c r="AR207" s="859"/>
      <c r="AS207" s="840"/>
      <c r="AT207" s="840"/>
      <c r="AU207" s="860"/>
      <c r="AV207" s="839" t="s">
        <v>619</v>
      </c>
      <c r="AW207" s="861">
        <v>45058</v>
      </c>
      <c r="AX207" s="862" t="s">
        <v>552</v>
      </c>
      <c r="AY207" s="843"/>
      <c r="AZ207" s="842"/>
      <c r="BA207" s="842" t="s">
        <v>120</v>
      </c>
      <c r="BB207" s="863" t="s">
        <v>121</v>
      </c>
      <c r="BC207" s="864">
        <v>45058</v>
      </c>
      <c r="BD207" s="860" t="s">
        <v>620</v>
      </c>
      <c r="BE207" s="865" cm="1">
        <f t="array" ref="BE207">IF(BD207="","",AC207/SUMPRODUCT(--(BD207=$BD$4:$BD$12824),$AC$4:$AC$12824))</f>
        <v>2.0240190377195027E-2</v>
      </c>
      <c r="BF207" s="458"/>
      <c r="BG207" s="458"/>
      <c r="BH207" s="458"/>
      <c r="BI207" s="458"/>
      <c r="BJ207" s="458"/>
      <c r="BK207" s="458"/>
      <c r="BL207" s="458"/>
      <c r="BM207" s="458"/>
      <c r="BN207" s="458"/>
      <c r="BO207" s="866">
        <f>VLOOKUP(BD207,$BD$4:$BN$12824,3,0)*BE207</f>
        <v>1459277.245815007</v>
      </c>
      <c r="BP207" s="866"/>
      <c r="BQ207" s="866"/>
      <c r="BR207" s="866">
        <f>VLOOKUP(BD207,$BD$4:$BN$12824,6,0)*BE207</f>
        <v>348697.9998183159</v>
      </c>
      <c r="BS207" s="866">
        <f>VLOOKUP(BD207,$BD$4:$BN$12824,7,0)*BE207</f>
        <v>143281.29944949207</v>
      </c>
      <c r="BT207" s="866"/>
      <c r="BU207" s="866">
        <f>VLOOKUP(BD207,$BD$4:$BN$12824,9,0)*BE207</f>
        <v>10120.095188597514</v>
      </c>
      <c r="BV207" s="867"/>
      <c r="BW207" s="867">
        <f>VLOOKUP(BD207,$BD$4:$BN$12824,11,0)*BE207</f>
        <v>20240.190377195027</v>
      </c>
      <c r="BX207" s="1146">
        <f t="shared" si="34"/>
        <v>1981616.8306486076</v>
      </c>
      <c r="BY207" s="867">
        <f t="shared" si="42"/>
        <v>24143537.608532526</v>
      </c>
      <c r="BZ207" s="867">
        <f t="shared" si="40"/>
        <v>48287075.217065051</v>
      </c>
      <c r="CA207" s="867">
        <f>_xlfn.MAXIFS($BY$4:$BY$12824,$S$4:$S$12824,$S207)</f>
        <v>24143537.608532526</v>
      </c>
      <c r="CB207" s="1032"/>
      <c r="CF207" s="946">
        <f t="shared" si="41"/>
        <v>41950184.119899996</v>
      </c>
    </row>
    <row r="208" spans="1:84">
      <c r="A208" s="1032"/>
      <c r="B208" s="839" t="s">
        <v>98</v>
      </c>
      <c r="C208" s="839" t="s">
        <v>273</v>
      </c>
      <c r="D208" s="839" t="s">
        <v>545</v>
      </c>
      <c r="E208" s="839" t="s">
        <v>545</v>
      </c>
      <c r="F208" s="841">
        <v>44944</v>
      </c>
      <c r="G208" s="840" t="s">
        <v>273</v>
      </c>
      <c r="H208" s="842" t="s">
        <v>134</v>
      </c>
      <c r="I208" s="842"/>
      <c r="J208" s="841"/>
      <c r="K208" s="841"/>
      <c r="L208" s="843"/>
      <c r="M208" s="844" t="s">
        <v>275</v>
      </c>
      <c r="N208" s="841"/>
      <c r="O208" s="841" t="s">
        <v>150</v>
      </c>
      <c r="P208" s="841" t="s">
        <v>276</v>
      </c>
      <c r="Q208" s="843"/>
      <c r="R208" s="845" t="s">
        <v>694</v>
      </c>
      <c r="S208" s="1127" t="s">
        <v>694</v>
      </c>
      <c r="T208" s="843" t="s">
        <v>695</v>
      </c>
      <c r="U208" s="842">
        <v>2</v>
      </c>
      <c r="V208" s="842" t="s">
        <v>3</v>
      </c>
      <c r="W208" s="846"/>
      <c r="X208" s="847">
        <f t="shared" si="35"/>
        <v>0</v>
      </c>
      <c r="Y208" s="848"/>
      <c r="Z208" s="849">
        <v>945.03499999999997</v>
      </c>
      <c r="AA208" s="849"/>
      <c r="AB208" s="849">
        <f t="shared" si="36"/>
        <v>1890.07</v>
      </c>
      <c r="AC208" s="850">
        <f t="shared" si="37"/>
        <v>1890.07</v>
      </c>
      <c r="AD208" s="851"/>
      <c r="AE208" s="852">
        <v>25481.03</v>
      </c>
      <c r="AF208" s="853">
        <v>0.1</v>
      </c>
      <c r="AG208" s="854">
        <f t="shared" si="38"/>
        <v>5000074.8531064531</v>
      </c>
      <c r="AH208" s="853"/>
      <c r="AI208" s="855">
        <f t="shared" si="39"/>
        <v>0</v>
      </c>
      <c r="AJ208" s="845" t="s">
        <v>548</v>
      </c>
      <c r="AK208" s="857" t="s">
        <v>549</v>
      </c>
      <c r="AL208" s="840"/>
      <c r="AM208" s="840"/>
      <c r="AN208" s="858"/>
      <c r="AO208" s="844" t="s">
        <v>141</v>
      </c>
      <c r="AP208" s="859"/>
      <c r="AQ208" s="859" t="s">
        <v>550</v>
      </c>
      <c r="AR208" s="859"/>
      <c r="AS208" s="840"/>
      <c r="AT208" s="840"/>
      <c r="AU208" s="860"/>
      <c r="AV208" s="839" t="s">
        <v>619</v>
      </c>
      <c r="AW208" s="861">
        <v>45058</v>
      </c>
      <c r="AX208" s="862" t="s">
        <v>552</v>
      </c>
      <c r="AY208" s="843"/>
      <c r="AZ208" s="842"/>
      <c r="BA208" s="842" t="s">
        <v>120</v>
      </c>
      <c r="BB208" s="863" t="s">
        <v>121</v>
      </c>
      <c r="BC208" s="864">
        <v>45058</v>
      </c>
      <c r="BD208" s="860" t="s">
        <v>620</v>
      </c>
      <c r="BE208" s="865" cm="1">
        <f t="array" ref="BE208">IF(BD208="","",AC208/SUMPRODUCT(--(BD208=$BD$4:$BD$12824),$AC$4:$AC$12824))</f>
        <v>2.3236760932635016E-2</v>
      </c>
      <c r="BF208" s="458"/>
      <c r="BG208" s="458"/>
      <c r="BH208" s="458"/>
      <c r="BI208" s="458"/>
      <c r="BJ208" s="458"/>
      <c r="BK208" s="458"/>
      <c r="BL208" s="458"/>
      <c r="BM208" s="458"/>
      <c r="BN208" s="458"/>
      <c r="BO208" s="866">
        <f>VLOOKUP(BD208,$BD$4:$BN$12824,3,0)*BE208</f>
        <v>1675323.9897211194</v>
      </c>
      <c r="BP208" s="866"/>
      <c r="BQ208" s="866"/>
      <c r="BR208" s="866">
        <f>VLOOKUP(BD208,$BD$4:$BN$12824,6,0)*BE208</f>
        <v>400322.91734743607</v>
      </c>
      <c r="BS208" s="866">
        <f>VLOOKUP(BD208,$BD$4:$BN$12824,7,0)*BE208</f>
        <v>164494.16924340898</v>
      </c>
      <c r="BT208" s="866"/>
      <c r="BU208" s="866">
        <f>VLOOKUP(BD208,$BD$4:$BN$12824,9,0)*BE208</f>
        <v>11618.380466317509</v>
      </c>
      <c r="BV208" s="867"/>
      <c r="BW208" s="867">
        <f>VLOOKUP(BD208,$BD$4:$BN$12824,11,0)*BE208</f>
        <v>23236.760932635018</v>
      </c>
      <c r="BX208" s="1146">
        <f t="shared" si="34"/>
        <v>2274996.2177109169</v>
      </c>
      <c r="BY208" s="867">
        <f t="shared" si="42"/>
        <v>27718000.721458685</v>
      </c>
      <c r="BZ208" s="867">
        <f t="shared" si="40"/>
        <v>55436001.442917369</v>
      </c>
      <c r="CA208" s="867">
        <f>_xlfn.MAXIFS($BY$4:$BY$12824,$S$4:$S$12824,$S208)</f>
        <v>27718000.721458685</v>
      </c>
      <c r="CB208" s="1032"/>
      <c r="CF208" s="946">
        <f t="shared" si="41"/>
        <v>48160930.372099996</v>
      </c>
    </row>
    <row r="209" spans="1:84">
      <c r="A209" s="1032"/>
      <c r="B209" s="839" t="s">
        <v>98</v>
      </c>
      <c r="C209" s="839" t="s">
        <v>273</v>
      </c>
      <c r="D209" s="839" t="s">
        <v>545</v>
      </c>
      <c r="E209" s="839" t="s">
        <v>545</v>
      </c>
      <c r="F209" s="841">
        <v>44944</v>
      </c>
      <c r="G209" s="840" t="s">
        <v>273</v>
      </c>
      <c r="H209" s="842" t="s">
        <v>134</v>
      </c>
      <c r="I209" s="842"/>
      <c r="J209" s="841"/>
      <c r="K209" s="841"/>
      <c r="L209" s="843"/>
      <c r="M209" s="844" t="s">
        <v>275</v>
      </c>
      <c r="N209" s="841"/>
      <c r="O209" s="841" t="s">
        <v>150</v>
      </c>
      <c r="P209" s="841" t="s">
        <v>276</v>
      </c>
      <c r="Q209" s="843"/>
      <c r="R209" s="845" t="s">
        <v>696</v>
      </c>
      <c r="S209" s="1127" t="s">
        <v>696</v>
      </c>
      <c r="T209" s="843" t="s">
        <v>697</v>
      </c>
      <c r="U209" s="842">
        <v>2</v>
      </c>
      <c r="V209" s="842" t="s">
        <v>3</v>
      </c>
      <c r="W209" s="846"/>
      <c r="X209" s="847">
        <f t="shared" si="35"/>
        <v>0</v>
      </c>
      <c r="Y209" s="848"/>
      <c r="Z209" s="849">
        <v>945.03499999999997</v>
      </c>
      <c r="AA209" s="849"/>
      <c r="AB209" s="849">
        <f t="shared" si="36"/>
        <v>1890.07</v>
      </c>
      <c r="AC209" s="850">
        <f t="shared" si="37"/>
        <v>1890.07</v>
      </c>
      <c r="AD209" s="851"/>
      <c r="AE209" s="852">
        <v>25481.03</v>
      </c>
      <c r="AF209" s="853">
        <v>0.1</v>
      </c>
      <c r="AG209" s="854">
        <f t="shared" si="38"/>
        <v>5000074.8531064531</v>
      </c>
      <c r="AH209" s="853"/>
      <c r="AI209" s="855">
        <f t="shared" si="39"/>
        <v>0</v>
      </c>
      <c r="AJ209" s="845" t="s">
        <v>548</v>
      </c>
      <c r="AK209" s="857" t="s">
        <v>549</v>
      </c>
      <c r="AL209" s="840"/>
      <c r="AM209" s="840"/>
      <c r="AN209" s="858"/>
      <c r="AO209" s="844" t="s">
        <v>141</v>
      </c>
      <c r="AP209" s="859"/>
      <c r="AQ209" s="859" t="s">
        <v>550</v>
      </c>
      <c r="AR209" s="859"/>
      <c r="AS209" s="840"/>
      <c r="AT209" s="840"/>
      <c r="AU209" s="860"/>
      <c r="AV209" s="839" t="s">
        <v>619</v>
      </c>
      <c r="AW209" s="861">
        <v>45058</v>
      </c>
      <c r="AX209" s="862" t="s">
        <v>552</v>
      </c>
      <c r="AY209" s="843"/>
      <c r="AZ209" s="842"/>
      <c r="BA209" s="842" t="s">
        <v>120</v>
      </c>
      <c r="BB209" s="863" t="s">
        <v>121</v>
      </c>
      <c r="BC209" s="864">
        <v>45058</v>
      </c>
      <c r="BD209" s="860" t="s">
        <v>620</v>
      </c>
      <c r="BE209" s="865" cm="1">
        <f t="array" ref="BE209">IF(BD209="","",AC209/SUMPRODUCT(--(BD209=$BD$4:$BD$12824),$AC$4:$AC$12824))</f>
        <v>2.3236760932635016E-2</v>
      </c>
      <c r="BF209" s="458"/>
      <c r="BG209" s="458"/>
      <c r="BH209" s="458"/>
      <c r="BI209" s="458"/>
      <c r="BJ209" s="458"/>
      <c r="BK209" s="458"/>
      <c r="BL209" s="458"/>
      <c r="BM209" s="458"/>
      <c r="BN209" s="458"/>
      <c r="BO209" s="866">
        <f>VLOOKUP(BD209,$BD$4:$BN$12824,3,0)*BE209</f>
        <v>1675323.9897211194</v>
      </c>
      <c r="BP209" s="866"/>
      <c r="BQ209" s="866"/>
      <c r="BR209" s="866">
        <f>VLOOKUP(BD209,$BD$4:$BN$12824,6,0)*BE209</f>
        <v>400322.91734743607</v>
      </c>
      <c r="BS209" s="866">
        <f>VLOOKUP(BD209,$BD$4:$BN$12824,7,0)*BE209</f>
        <v>164494.16924340898</v>
      </c>
      <c r="BT209" s="866"/>
      <c r="BU209" s="866">
        <f>VLOOKUP(BD209,$BD$4:$BN$12824,9,0)*BE209</f>
        <v>11618.380466317509</v>
      </c>
      <c r="BV209" s="867"/>
      <c r="BW209" s="867">
        <f>VLOOKUP(BD209,$BD$4:$BN$12824,11,0)*BE209</f>
        <v>23236.760932635018</v>
      </c>
      <c r="BX209" s="1146">
        <f t="shared" si="34"/>
        <v>2274996.2177109169</v>
      </c>
      <c r="BY209" s="867">
        <f t="shared" si="42"/>
        <v>27718000.721458685</v>
      </c>
      <c r="BZ209" s="867">
        <f t="shared" si="40"/>
        <v>55436001.442917369</v>
      </c>
      <c r="CA209" s="867">
        <f>_xlfn.MAXIFS($BY$4:$BY$12824,$S$4:$S$12824,$S209)</f>
        <v>27718000.721458685</v>
      </c>
      <c r="CB209" s="1032"/>
      <c r="CF209" s="946">
        <f t="shared" si="41"/>
        <v>48160930.372099996</v>
      </c>
    </row>
    <row r="210" spans="1:84">
      <c r="A210" s="1032"/>
      <c r="B210" s="839" t="s">
        <v>98</v>
      </c>
      <c r="C210" s="839" t="s">
        <v>273</v>
      </c>
      <c r="D210" s="839" t="s">
        <v>545</v>
      </c>
      <c r="E210" s="839" t="s">
        <v>545</v>
      </c>
      <c r="F210" s="841">
        <v>44944</v>
      </c>
      <c r="G210" s="840" t="s">
        <v>273</v>
      </c>
      <c r="H210" s="842" t="s">
        <v>134</v>
      </c>
      <c r="I210" s="842"/>
      <c r="J210" s="841"/>
      <c r="K210" s="841"/>
      <c r="L210" s="843"/>
      <c r="M210" s="844" t="s">
        <v>275</v>
      </c>
      <c r="N210" s="841"/>
      <c r="O210" s="841" t="s">
        <v>150</v>
      </c>
      <c r="P210" s="841" t="s">
        <v>276</v>
      </c>
      <c r="Q210" s="843"/>
      <c r="R210" s="845" t="s">
        <v>698</v>
      </c>
      <c r="S210" s="1127" t="s">
        <v>698</v>
      </c>
      <c r="T210" s="843" t="s">
        <v>699</v>
      </c>
      <c r="U210" s="842">
        <v>2</v>
      </c>
      <c r="V210" s="842" t="s">
        <v>3</v>
      </c>
      <c r="W210" s="846"/>
      <c r="X210" s="847">
        <f t="shared" si="35"/>
        <v>0</v>
      </c>
      <c r="Y210" s="848"/>
      <c r="Z210" s="849">
        <v>945.03499999999997</v>
      </c>
      <c r="AA210" s="849"/>
      <c r="AB210" s="849">
        <f t="shared" si="36"/>
        <v>1890.07</v>
      </c>
      <c r="AC210" s="850">
        <f t="shared" si="37"/>
        <v>1890.07</v>
      </c>
      <c r="AD210" s="851"/>
      <c r="AE210" s="852">
        <v>25481.03</v>
      </c>
      <c r="AF210" s="853">
        <v>0.1</v>
      </c>
      <c r="AG210" s="854">
        <f t="shared" si="38"/>
        <v>5000074.8531064531</v>
      </c>
      <c r="AH210" s="853"/>
      <c r="AI210" s="855">
        <f t="shared" si="39"/>
        <v>0</v>
      </c>
      <c r="AJ210" s="845" t="s">
        <v>548</v>
      </c>
      <c r="AK210" s="857" t="s">
        <v>549</v>
      </c>
      <c r="AL210" s="840"/>
      <c r="AM210" s="840"/>
      <c r="AN210" s="858"/>
      <c r="AO210" s="844" t="s">
        <v>141</v>
      </c>
      <c r="AP210" s="859"/>
      <c r="AQ210" s="859" t="s">
        <v>550</v>
      </c>
      <c r="AR210" s="859"/>
      <c r="AS210" s="840"/>
      <c r="AT210" s="840"/>
      <c r="AU210" s="860"/>
      <c r="AV210" s="839" t="s">
        <v>619</v>
      </c>
      <c r="AW210" s="861">
        <v>45058</v>
      </c>
      <c r="AX210" s="862" t="s">
        <v>552</v>
      </c>
      <c r="AY210" s="843"/>
      <c r="AZ210" s="842"/>
      <c r="BA210" s="842" t="s">
        <v>120</v>
      </c>
      <c r="BB210" s="863" t="s">
        <v>121</v>
      </c>
      <c r="BC210" s="864">
        <v>45058</v>
      </c>
      <c r="BD210" s="860" t="s">
        <v>620</v>
      </c>
      <c r="BE210" s="865" cm="1">
        <f t="array" ref="BE210">IF(BD210="","",AC210/SUMPRODUCT(--(BD210=$BD$4:$BD$12824),$AC$4:$AC$12824))</f>
        <v>2.3236760932635016E-2</v>
      </c>
      <c r="BF210" s="458"/>
      <c r="BG210" s="458"/>
      <c r="BH210" s="458"/>
      <c r="BI210" s="458"/>
      <c r="BJ210" s="458"/>
      <c r="BK210" s="458"/>
      <c r="BL210" s="458"/>
      <c r="BM210" s="458"/>
      <c r="BN210" s="458"/>
      <c r="BO210" s="866">
        <f>VLOOKUP(BD210,$BD$4:$BN$12824,3,0)*BE210</f>
        <v>1675323.9897211194</v>
      </c>
      <c r="BP210" s="866"/>
      <c r="BQ210" s="866"/>
      <c r="BR210" s="866">
        <f>VLOOKUP(BD210,$BD$4:$BN$12824,6,0)*BE210</f>
        <v>400322.91734743607</v>
      </c>
      <c r="BS210" s="866">
        <f>VLOOKUP(BD210,$BD$4:$BN$12824,7,0)*BE210</f>
        <v>164494.16924340898</v>
      </c>
      <c r="BT210" s="866"/>
      <c r="BU210" s="866">
        <f>VLOOKUP(BD210,$BD$4:$BN$12824,9,0)*BE210</f>
        <v>11618.380466317509</v>
      </c>
      <c r="BV210" s="867"/>
      <c r="BW210" s="867">
        <f>VLOOKUP(BD210,$BD$4:$BN$12824,11,0)*BE210</f>
        <v>23236.760932635018</v>
      </c>
      <c r="BX210" s="1146">
        <f t="shared" si="34"/>
        <v>2274996.2177109169</v>
      </c>
      <c r="BY210" s="867">
        <f t="shared" si="42"/>
        <v>27718000.721458685</v>
      </c>
      <c r="BZ210" s="867">
        <f t="shared" si="40"/>
        <v>55436001.442917369</v>
      </c>
      <c r="CA210" s="867">
        <f>_xlfn.MAXIFS($BY$4:$BY$12824,$S$4:$S$12824,$S210)</f>
        <v>27718000.721458685</v>
      </c>
      <c r="CB210" s="1032"/>
      <c r="CF210" s="946">
        <f t="shared" si="41"/>
        <v>48160930.372099996</v>
      </c>
    </row>
    <row r="211" spans="1:84">
      <c r="A211" s="1032"/>
      <c r="B211" s="839" t="s">
        <v>98</v>
      </c>
      <c r="C211" s="839" t="s">
        <v>273</v>
      </c>
      <c r="D211" s="839" t="s">
        <v>545</v>
      </c>
      <c r="E211" s="839" t="s">
        <v>545</v>
      </c>
      <c r="F211" s="841">
        <v>44944</v>
      </c>
      <c r="G211" s="840" t="s">
        <v>273</v>
      </c>
      <c r="H211" s="842" t="s">
        <v>134</v>
      </c>
      <c r="I211" s="842"/>
      <c r="J211" s="841"/>
      <c r="K211" s="841"/>
      <c r="L211" s="843"/>
      <c r="M211" s="844" t="s">
        <v>275</v>
      </c>
      <c r="N211" s="841"/>
      <c r="O211" s="841" t="s">
        <v>150</v>
      </c>
      <c r="P211" s="841" t="s">
        <v>276</v>
      </c>
      <c r="Q211" s="843"/>
      <c r="R211" s="845" t="s">
        <v>700</v>
      </c>
      <c r="S211" s="1127" t="s">
        <v>700</v>
      </c>
      <c r="T211" s="843" t="s">
        <v>701</v>
      </c>
      <c r="U211" s="842">
        <v>5</v>
      </c>
      <c r="V211" s="842" t="s">
        <v>3</v>
      </c>
      <c r="W211" s="846"/>
      <c r="X211" s="847">
        <f t="shared" si="35"/>
        <v>0</v>
      </c>
      <c r="Y211" s="848"/>
      <c r="Z211" s="849">
        <v>979.07399999999996</v>
      </c>
      <c r="AA211" s="849"/>
      <c r="AB211" s="849">
        <f t="shared" si="36"/>
        <v>4895.37</v>
      </c>
      <c r="AC211" s="850">
        <f t="shared" si="37"/>
        <v>4895.37</v>
      </c>
      <c r="AD211" s="851"/>
      <c r="AE211" s="852">
        <v>25481.03</v>
      </c>
      <c r="AF211" s="853">
        <v>0.1</v>
      </c>
      <c r="AG211" s="854">
        <f t="shared" si="38"/>
        <v>12950428.520452542</v>
      </c>
      <c r="AH211" s="853"/>
      <c r="AI211" s="855">
        <f t="shared" si="39"/>
        <v>0</v>
      </c>
      <c r="AJ211" s="845" t="s">
        <v>548</v>
      </c>
      <c r="AK211" s="857" t="s">
        <v>549</v>
      </c>
      <c r="AL211" s="840"/>
      <c r="AM211" s="840"/>
      <c r="AN211" s="858"/>
      <c r="AO211" s="844" t="s">
        <v>141</v>
      </c>
      <c r="AP211" s="859"/>
      <c r="AQ211" s="859" t="s">
        <v>550</v>
      </c>
      <c r="AR211" s="859"/>
      <c r="AS211" s="840"/>
      <c r="AT211" s="840"/>
      <c r="AU211" s="860"/>
      <c r="AV211" s="839" t="s">
        <v>619</v>
      </c>
      <c r="AW211" s="861">
        <v>45058</v>
      </c>
      <c r="AX211" s="862" t="s">
        <v>552</v>
      </c>
      <c r="AY211" s="843"/>
      <c r="AZ211" s="842"/>
      <c r="BA211" s="842" t="s">
        <v>120</v>
      </c>
      <c r="BB211" s="863" t="s">
        <v>121</v>
      </c>
      <c r="BC211" s="864">
        <v>45058</v>
      </c>
      <c r="BD211" s="860" t="s">
        <v>620</v>
      </c>
      <c r="BE211" s="865" cm="1">
        <f t="array" ref="BE211">IF(BD211="","",AC211/SUMPRODUCT(--(BD211=$BD$4:$BD$12824),$AC$4:$AC$12824))</f>
        <v>6.0184301304604317E-2</v>
      </c>
      <c r="BF211" s="458"/>
      <c r="BG211" s="458"/>
      <c r="BH211" s="458"/>
      <c r="BI211" s="458"/>
      <c r="BJ211" s="458"/>
      <c r="BK211" s="458"/>
      <c r="BL211" s="458"/>
      <c r="BM211" s="458"/>
      <c r="BN211" s="458"/>
      <c r="BO211" s="866">
        <f>VLOOKUP(BD211,$BD$4:$BN$12824,3,0)*BE211</f>
        <v>4339167.7554593617</v>
      </c>
      <c r="BP211" s="866"/>
      <c r="BQ211" s="866"/>
      <c r="BR211" s="866">
        <f>VLOOKUP(BD211,$BD$4:$BN$12824,6,0)*BE211</f>
        <v>1036855.1428757232</v>
      </c>
      <c r="BS211" s="866">
        <f>VLOOKUP(BD211,$BD$4:$BN$12824,7,0)*BE211</f>
        <v>426047.61796605791</v>
      </c>
      <c r="BT211" s="866"/>
      <c r="BU211" s="866">
        <f>VLOOKUP(BD211,$BD$4:$BN$12824,9,0)*BE211</f>
        <v>30092.15065230216</v>
      </c>
      <c r="BV211" s="867"/>
      <c r="BW211" s="867">
        <f>VLOOKUP(BD211,$BD$4:$BN$12824,11,0)*BE211</f>
        <v>60184.30130460432</v>
      </c>
      <c r="BX211" s="1146">
        <f t="shared" si="34"/>
        <v>5892346.9682580493</v>
      </c>
      <c r="BY211" s="867">
        <f t="shared" si="42"/>
        <v>28716369.063962113</v>
      </c>
      <c r="BZ211" s="867">
        <f t="shared" si="40"/>
        <v>143581845.31981057</v>
      </c>
      <c r="CA211" s="867">
        <f>_xlfn.MAXIFS($BY$4:$BY$12824,$S$4:$S$12824,$S211)</f>
        <v>28716369.063962113</v>
      </c>
      <c r="CB211" s="1032"/>
      <c r="CF211" s="946">
        <f t="shared" si="41"/>
        <v>124739069.83109999</v>
      </c>
    </row>
    <row r="212" spans="1:84">
      <c r="A212" s="1032"/>
      <c r="B212" s="839" t="s">
        <v>98</v>
      </c>
      <c r="C212" s="839" t="s">
        <v>273</v>
      </c>
      <c r="D212" s="839" t="s">
        <v>545</v>
      </c>
      <c r="E212" s="839" t="s">
        <v>545</v>
      </c>
      <c r="F212" s="841">
        <v>44944</v>
      </c>
      <c r="G212" s="840" t="s">
        <v>273</v>
      </c>
      <c r="H212" s="842" t="s">
        <v>134</v>
      </c>
      <c r="I212" s="842"/>
      <c r="J212" s="841"/>
      <c r="K212" s="841"/>
      <c r="L212" s="843"/>
      <c r="M212" s="844" t="s">
        <v>275</v>
      </c>
      <c r="N212" s="841"/>
      <c r="O212" s="841" t="s">
        <v>150</v>
      </c>
      <c r="P212" s="841" t="s">
        <v>276</v>
      </c>
      <c r="Q212" s="843"/>
      <c r="R212" s="845" t="s">
        <v>702</v>
      </c>
      <c r="S212" s="1127" t="s">
        <v>702</v>
      </c>
      <c r="T212" s="843" t="s">
        <v>703</v>
      </c>
      <c r="U212" s="842">
        <v>5</v>
      </c>
      <c r="V212" s="842" t="s">
        <v>3</v>
      </c>
      <c r="W212" s="846"/>
      <c r="X212" s="847">
        <f t="shared" si="35"/>
        <v>0</v>
      </c>
      <c r="Y212" s="848"/>
      <c r="Z212" s="849">
        <v>1208.498</v>
      </c>
      <c r="AA212" s="849"/>
      <c r="AB212" s="849">
        <f t="shared" si="36"/>
        <v>6042.49</v>
      </c>
      <c r="AC212" s="850">
        <f t="shared" si="37"/>
        <v>6042.49</v>
      </c>
      <c r="AD212" s="851"/>
      <c r="AE212" s="852">
        <v>25481.03</v>
      </c>
      <c r="AF212" s="853">
        <v>0.1</v>
      </c>
      <c r="AG212" s="854">
        <f t="shared" si="38"/>
        <v>15985070.552491287</v>
      </c>
      <c r="AH212" s="853"/>
      <c r="AI212" s="855">
        <f t="shared" si="39"/>
        <v>0</v>
      </c>
      <c r="AJ212" s="845" t="s">
        <v>548</v>
      </c>
      <c r="AK212" s="857" t="s">
        <v>549</v>
      </c>
      <c r="AL212" s="840"/>
      <c r="AM212" s="840"/>
      <c r="AN212" s="858"/>
      <c r="AO212" s="844" t="s">
        <v>141</v>
      </c>
      <c r="AP212" s="859"/>
      <c r="AQ212" s="859" t="s">
        <v>550</v>
      </c>
      <c r="AR212" s="859"/>
      <c r="AS212" s="840"/>
      <c r="AT212" s="840"/>
      <c r="AU212" s="860"/>
      <c r="AV212" s="839" t="s">
        <v>619</v>
      </c>
      <c r="AW212" s="861">
        <v>45058</v>
      </c>
      <c r="AX212" s="862" t="s">
        <v>552</v>
      </c>
      <c r="AY212" s="843"/>
      <c r="AZ212" s="842"/>
      <c r="BA212" s="842" t="s">
        <v>120</v>
      </c>
      <c r="BB212" s="863" t="s">
        <v>121</v>
      </c>
      <c r="BC212" s="864">
        <v>45058</v>
      </c>
      <c r="BD212" s="860" t="s">
        <v>620</v>
      </c>
      <c r="BE212" s="865" cm="1">
        <f t="array" ref="BE212">IF(BD212="","",AC212/SUMPRODUCT(--(BD212=$BD$4:$BD$12824),$AC$4:$AC$12824))</f>
        <v>7.4287140459262227E-2</v>
      </c>
      <c r="BF212" s="458"/>
      <c r="BG212" s="458"/>
      <c r="BH212" s="458"/>
      <c r="BI212" s="458"/>
      <c r="BJ212" s="458"/>
      <c r="BK212" s="458"/>
      <c r="BL212" s="458"/>
      <c r="BM212" s="458"/>
      <c r="BN212" s="458"/>
      <c r="BO212" s="866">
        <f>VLOOKUP(BD212,$BD$4:$BN$12824,3,0)*BE212</f>
        <v>5355954.2528318884</v>
      </c>
      <c r="BP212" s="866"/>
      <c r="BQ212" s="866"/>
      <c r="BR212" s="866">
        <f>VLOOKUP(BD212,$BD$4:$BN$12824,6,0)*BE212</f>
        <v>1279818.8558321695</v>
      </c>
      <c r="BS212" s="866">
        <f>VLOOKUP(BD212,$BD$4:$BN$12824,7,0)*BE212</f>
        <v>525882.30738099979</v>
      </c>
      <c r="BT212" s="866"/>
      <c r="BU212" s="866">
        <f>VLOOKUP(BD212,$BD$4:$BN$12824,9,0)*BE212</f>
        <v>37143.570229631114</v>
      </c>
      <c r="BV212" s="867"/>
      <c r="BW212" s="867">
        <f>VLOOKUP(BD212,$BD$4:$BN$12824,11,0)*BE212</f>
        <v>74287.140459262228</v>
      </c>
      <c r="BX212" s="1146">
        <f t="shared" si="34"/>
        <v>7273086.1267339503</v>
      </c>
      <c r="BY212" s="867">
        <f t="shared" si="42"/>
        <v>35445405.128785044</v>
      </c>
      <c r="BZ212" s="867">
        <f t="shared" si="40"/>
        <v>177227025.64392522</v>
      </c>
      <c r="CA212" s="867">
        <f>_xlfn.MAXIFS($BY$4:$BY$12824,$S$4:$S$12824,$S212)</f>
        <v>38189992.212294355</v>
      </c>
      <c r="CB212" s="1032"/>
      <c r="CF212" s="946">
        <f t="shared" si="41"/>
        <v>153968868.96469998</v>
      </c>
    </row>
    <row r="213" spans="1:84">
      <c r="A213" s="1032"/>
      <c r="B213" s="839" t="s">
        <v>98</v>
      </c>
      <c r="C213" s="839" t="s">
        <v>273</v>
      </c>
      <c r="D213" s="839" t="s">
        <v>545</v>
      </c>
      <c r="E213" s="839" t="s">
        <v>545</v>
      </c>
      <c r="F213" s="841">
        <v>44944</v>
      </c>
      <c r="G213" s="840" t="s">
        <v>273</v>
      </c>
      <c r="H213" s="842" t="s">
        <v>134</v>
      </c>
      <c r="I213" s="842"/>
      <c r="J213" s="841"/>
      <c r="K213" s="841"/>
      <c r="L213" s="843"/>
      <c r="M213" s="844" t="s">
        <v>275</v>
      </c>
      <c r="N213" s="841"/>
      <c r="O213" s="841" t="s">
        <v>150</v>
      </c>
      <c r="P213" s="841" t="s">
        <v>276</v>
      </c>
      <c r="Q213" s="843"/>
      <c r="R213" s="845" t="s">
        <v>704</v>
      </c>
      <c r="S213" s="1127" t="s">
        <v>704</v>
      </c>
      <c r="T213" s="843" t="s">
        <v>705</v>
      </c>
      <c r="U213" s="842">
        <v>1</v>
      </c>
      <c r="V213" s="842" t="s">
        <v>3</v>
      </c>
      <c r="W213" s="846"/>
      <c r="X213" s="847">
        <f t="shared" si="35"/>
        <v>0</v>
      </c>
      <c r="Y213" s="848"/>
      <c r="Z213" s="849">
        <v>1134.23</v>
      </c>
      <c r="AA213" s="849"/>
      <c r="AB213" s="849">
        <f t="shared" si="36"/>
        <v>1134.23</v>
      </c>
      <c r="AC213" s="850">
        <f t="shared" si="37"/>
        <v>1134.23</v>
      </c>
      <c r="AD213" s="851"/>
      <c r="AE213" s="852">
        <v>25481.03</v>
      </c>
      <c r="AF213" s="853">
        <v>0.1</v>
      </c>
      <c r="AG213" s="854">
        <f t="shared" si="38"/>
        <v>3000542.2553868014</v>
      </c>
      <c r="AH213" s="853"/>
      <c r="AI213" s="855">
        <f t="shared" si="39"/>
        <v>0</v>
      </c>
      <c r="AJ213" s="845" t="s">
        <v>548</v>
      </c>
      <c r="AK213" s="857" t="s">
        <v>549</v>
      </c>
      <c r="AL213" s="840"/>
      <c r="AM213" s="840"/>
      <c r="AN213" s="858"/>
      <c r="AO213" s="844" t="s">
        <v>141</v>
      </c>
      <c r="AP213" s="859"/>
      <c r="AQ213" s="859" t="s">
        <v>550</v>
      </c>
      <c r="AR213" s="859"/>
      <c r="AS213" s="840"/>
      <c r="AT213" s="840"/>
      <c r="AU213" s="860"/>
      <c r="AV213" s="839" t="s">
        <v>619</v>
      </c>
      <c r="AW213" s="861">
        <v>45058</v>
      </c>
      <c r="AX213" s="862" t="s">
        <v>552</v>
      </c>
      <c r="AY213" s="843"/>
      <c r="AZ213" s="842"/>
      <c r="BA213" s="842" t="s">
        <v>120</v>
      </c>
      <c r="BB213" s="863" t="s">
        <v>121</v>
      </c>
      <c r="BC213" s="864">
        <v>45058</v>
      </c>
      <c r="BD213" s="860" t="s">
        <v>620</v>
      </c>
      <c r="BE213" s="865" cm="1">
        <f t="array" ref="BE213">IF(BD213="","",AC213/SUMPRODUCT(--(BD213=$BD$4:$BD$12824),$AC$4:$AC$12824))</f>
        <v>1.3944367855488218E-2</v>
      </c>
      <c r="BF213" s="458"/>
      <c r="BG213" s="458"/>
      <c r="BH213" s="458"/>
      <c r="BI213" s="458"/>
      <c r="BJ213" s="458"/>
      <c r="BK213" s="458"/>
      <c r="BL213" s="458"/>
      <c r="BM213" s="458"/>
      <c r="BN213" s="458"/>
      <c r="BO213" s="866">
        <f>VLOOKUP(BD213,$BD$4:$BN$12824,3,0)*BE213</f>
        <v>1005361.0336449895</v>
      </c>
      <c r="BP213" s="866"/>
      <c r="BQ213" s="866"/>
      <c r="BR213" s="866">
        <f>VLOOKUP(BD213,$BD$4:$BN$12824,6,0)*BE213</f>
        <v>240233.56941435102</v>
      </c>
      <c r="BS213" s="866">
        <f>VLOOKUP(BD213,$BD$4:$BN$12824,7,0)*BE213</f>
        <v>98712.863323026017</v>
      </c>
      <c r="BT213" s="866"/>
      <c r="BU213" s="866">
        <f>VLOOKUP(BD213,$BD$4:$BN$12824,9,0)*BE213</f>
        <v>6972.1839277441086</v>
      </c>
      <c r="BV213" s="867"/>
      <c r="BW213" s="867">
        <f>VLOOKUP(BD213,$BD$4:$BN$12824,11,0)*BE213</f>
        <v>13944.367855488217</v>
      </c>
      <c r="BX213" s="1146">
        <f t="shared" si="34"/>
        <v>1365224.0181655991</v>
      </c>
      <c r="BY213" s="867">
        <f t="shared" si="42"/>
        <v>33267114.930452403</v>
      </c>
      <c r="BZ213" s="867">
        <f t="shared" si="40"/>
        <v>33267114.930452403</v>
      </c>
      <c r="CA213" s="867">
        <f>_xlfn.MAXIFS($BY$4:$BY$12824,$S$4:$S$12824,$S213)</f>
        <v>38189992.212294355</v>
      </c>
      <c r="CB213" s="1032"/>
      <c r="CF213" s="946">
        <f t="shared" si="41"/>
        <v>28901348.6569</v>
      </c>
    </row>
    <row r="214" spans="1:84">
      <c r="A214" s="1032"/>
      <c r="B214" s="839" t="s">
        <v>98</v>
      </c>
      <c r="C214" s="839" t="s">
        <v>273</v>
      </c>
      <c r="D214" s="839" t="s">
        <v>545</v>
      </c>
      <c r="E214" s="839" t="s">
        <v>545</v>
      </c>
      <c r="F214" s="841">
        <v>44944</v>
      </c>
      <c r="G214" s="840" t="s">
        <v>273</v>
      </c>
      <c r="H214" s="842" t="s">
        <v>134</v>
      </c>
      <c r="I214" s="842"/>
      <c r="J214" s="841"/>
      <c r="K214" s="841"/>
      <c r="L214" s="843"/>
      <c r="M214" s="844" t="s">
        <v>275</v>
      </c>
      <c r="N214" s="841"/>
      <c r="O214" s="841" t="s">
        <v>150</v>
      </c>
      <c r="P214" s="841" t="s">
        <v>276</v>
      </c>
      <c r="Q214" s="843"/>
      <c r="R214" s="845" t="s">
        <v>706</v>
      </c>
      <c r="S214" s="1127" t="s">
        <v>706</v>
      </c>
      <c r="T214" s="843" t="s">
        <v>707</v>
      </c>
      <c r="U214" s="842">
        <v>1</v>
      </c>
      <c r="V214" s="842" t="s">
        <v>3</v>
      </c>
      <c r="W214" s="846"/>
      <c r="X214" s="847">
        <f t="shared" si="35"/>
        <v>0</v>
      </c>
      <c r="Y214" s="848"/>
      <c r="Z214" s="849">
        <v>1134.23</v>
      </c>
      <c r="AA214" s="849"/>
      <c r="AB214" s="849">
        <f t="shared" si="36"/>
        <v>1134.23</v>
      </c>
      <c r="AC214" s="850">
        <f t="shared" si="37"/>
        <v>1134.23</v>
      </c>
      <c r="AD214" s="851"/>
      <c r="AE214" s="852">
        <v>25481.03</v>
      </c>
      <c r="AF214" s="853">
        <v>0.1</v>
      </c>
      <c r="AG214" s="854">
        <f t="shared" si="38"/>
        <v>3000542.2553868014</v>
      </c>
      <c r="AH214" s="853"/>
      <c r="AI214" s="855">
        <f t="shared" si="39"/>
        <v>0</v>
      </c>
      <c r="AJ214" s="845" t="s">
        <v>548</v>
      </c>
      <c r="AK214" s="857" t="s">
        <v>549</v>
      </c>
      <c r="AL214" s="840"/>
      <c r="AM214" s="840"/>
      <c r="AN214" s="858"/>
      <c r="AO214" s="844" t="s">
        <v>141</v>
      </c>
      <c r="AP214" s="859"/>
      <c r="AQ214" s="859" t="s">
        <v>550</v>
      </c>
      <c r="AR214" s="859"/>
      <c r="AS214" s="840"/>
      <c r="AT214" s="840"/>
      <c r="AU214" s="860"/>
      <c r="AV214" s="839" t="s">
        <v>619</v>
      </c>
      <c r="AW214" s="861">
        <v>45058</v>
      </c>
      <c r="AX214" s="862" t="s">
        <v>552</v>
      </c>
      <c r="AY214" s="843"/>
      <c r="AZ214" s="842"/>
      <c r="BA214" s="842" t="s">
        <v>120</v>
      </c>
      <c r="BB214" s="863" t="s">
        <v>121</v>
      </c>
      <c r="BC214" s="864">
        <v>45058</v>
      </c>
      <c r="BD214" s="860" t="s">
        <v>620</v>
      </c>
      <c r="BE214" s="865" cm="1">
        <f t="array" ref="BE214">IF(BD214="","",AC214/SUMPRODUCT(--(BD214=$BD$4:$BD$12824),$AC$4:$AC$12824))</f>
        <v>1.3944367855488218E-2</v>
      </c>
      <c r="BF214" s="458"/>
      <c r="BG214" s="458"/>
      <c r="BH214" s="458"/>
      <c r="BI214" s="458"/>
      <c r="BJ214" s="458"/>
      <c r="BK214" s="458"/>
      <c r="BL214" s="458"/>
      <c r="BM214" s="458"/>
      <c r="BN214" s="458"/>
      <c r="BO214" s="866">
        <f>VLOOKUP(BD214,$BD$4:$BN$12824,3,0)*BE214</f>
        <v>1005361.0336449895</v>
      </c>
      <c r="BP214" s="866"/>
      <c r="BQ214" s="866"/>
      <c r="BR214" s="866">
        <f>VLOOKUP(BD214,$BD$4:$BN$12824,6,0)*BE214</f>
        <v>240233.56941435102</v>
      </c>
      <c r="BS214" s="866">
        <f>VLOOKUP(BD214,$BD$4:$BN$12824,7,0)*BE214</f>
        <v>98712.863323026017</v>
      </c>
      <c r="BT214" s="866"/>
      <c r="BU214" s="866">
        <f>VLOOKUP(BD214,$BD$4:$BN$12824,9,0)*BE214</f>
        <v>6972.1839277441086</v>
      </c>
      <c r="BV214" s="867"/>
      <c r="BW214" s="867">
        <f>VLOOKUP(BD214,$BD$4:$BN$12824,11,0)*BE214</f>
        <v>13944.367855488217</v>
      </c>
      <c r="BX214" s="1146">
        <f t="shared" si="34"/>
        <v>1365224.0181655991</v>
      </c>
      <c r="BY214" s="867">
        <f t="shared" si="42"/>
        <v>33267114.930452403</v>
      </c>
      <c r="BZ214" s="867">
        <f t="shared" si="40"/>
        <v>33267114.930452403</v>
      </c>
      <c r="CA214" s="867">
        <f>_xlfn.MAXIFS($BY$4:$BY$12824,$S$4:$S$12824,$S214)</f>
        <v>38189992.212294355</v>
      </c>
      <c r="CB214" s="1032"/>
      <c r="CF214" s="946">
        <f t="shared" si="41"/>
        <v>28901348.6569</v>
      </c>
    </row>
    <row r="215" spans="1:84">
      <c r="A215" s="1032"/>
      <c r="B215" s="839" t="s">
        <v>98</v>
      </c>
      <c r="C215" s="839" t="s">
        <v>273</v>
      </c>
      <c r="D215" s="839" t="s">
        <v>545</v>
      </c>
      <c r="E215" s="839" t="s">
        <v>545</v>
      </c>
      <c r="F215" s="841">
        <v>44944</v>
      </c>
      <c r="G215" s="840" t="s">
        <v>273</v>
      </c>
      <c r="H215" s="842" t="s">
        <v>134</v>
      </c>
      <c r="I215" s="842"/>
      <c r="J215" s="841"/>
      <c r="K215" s="841"/>
      <c r="L215" s="843"/>
      <c r="M215" s="844" t="s">
        <v>275</v>
      </c>
      <c r="N215" s="841"/>
      <c r="O215" s="841" t="s">
        <v>150</v>
      </c>
      <c r="P215" s="841" t="s">
        <v>276</v>
      </c>
      <c r="Q215" s="843"/>
      <c r="R215" s="845" t="s">
        <v>708</v>
      </c>
      <c r="S215" s="1127" t="s">
        <v>708</v>
      </c>
      <c r="T215" s="843" t="s">
        <v>709</v>
      </c>
      <c r="U215" s="842">
        <v>2</v>
      </c>
      <c r="V215" s="842" t="s">
        <v>3</v>
      </c>
      <c r="W215" s="846"/>
      <c r="X215" s="847">
        <f t="shared" si="35"/>
        <v>0</v>
      </c>
      <c r="Y215" s="848"/>
      <c r="Z215" s="849">
        <v>1180.655</v>
      </c>
      <c r="AA215" s="849"/>
      <c r="AB215" s="849">
        <f t="shared" si="36"/>
        <v>2361.31</v>
      </c>
      <c r="AC215" s="850">
        <f t="shared" si="37"/>
        <v>2361.31</v>
      </c>
      <c r="AD215" s="851"/>
      <c r="AE215" s="852">
        <v>25481.03</v>
      </c>
      <c r="AF215" s="853">
        <v>0.1</v>
      </c>
      <c r="AG215" s="854">
        <f t="shared" si="38"/>
        <v>6246714.0113269873</v>
      </c>
      <c r="AH215" s="853"/>
      <c r="AI215" s="855">
        <f t="shared" si="39"/>
        <v>0</v>
      </c>
      <c r="AJ215" s="845" t="s">
        <v>548</v>
      </c>
      <c r="AK215" s="857" t="s">
        <v>549</v>
      </c>
      <c r="AL215" s="840"/>
      <c r="AM215" s="840"/>
      <c r="AN215" s="858"/>
      <c r="AO215" s="844" t="s">
        <v>141</v>
      </c>
      <c r="AP215" s="859"/>
      <c r="AQ215" s="859" t="s">
        <v>550</v>
      </c>
      <c r="AR215" s="859"/>
      <c r="AS215" s="840"/>
      <c r="AT215" s="840"/>
      <c r="AU215" s="860"/>
      <c r="AV215" s="839" t="s">
        <v>619</v>
      </c>
      <c r="AW215" s="861">
        <v>45058</v>
      </c>
      <c r="AX215" s="862" t="s">
        <v>552</v>
      </c>
      <c r="AY215" s="843"/>
      <c r="AZ215" s="842"/>
      <c r="BA215" s="842" t="s">
        <v>120</v>
      </c>
      <c r="BB215" s="863" t="s">
        <v>121</v>
      </c>
      <c r="BC215" s="864">
        <v>45058</v>
      </c>
      <c r="BD215" s="860" t="s">
        <v>620</v>
      </c>
      <c r="BE215" s="865" cm="1">
        <f t="array" ref="BE215">IF(BD215="","",AC215/SUMPRODUCT(--(BD215=$BD$4:$BD$12824),$AC$4:$AC$12824))</f>
        <v>2.903024541833921E-2</v>
      </c>
      <c r="BF215" s="458"/>
      <c r="BG215" s="458"/>
      <c r="BH215" s="458"/>
      <c r="BI215" s="458"/>
      <c r="BJ215" s="458"/>
      <c r="BK215" s="458"/>
      <c r="BL215" s="458"/>
      <c r="BM215" s="458"/>
      <c r="BN215" s="458"/>
      <c r="BO215" s="866">
        <f>VLOOKUP(BD215,$BD$4:$BN$12824,3,0)*BE215</f>
        <v>2093022.6341714205</v>
      </c>
      <c r="BP215" s="866"/>
      <c r="BQ215" s="866"/>
      <c r="BR215" s="866">
        <f>VLOOKUP(BD215,$BD$4:$BN$12824,6,0)*BE215</f>
        <v>500133.06806714792</v>
      </c>
      <c r="BS215" s="866">
        <f>VLOOKUP(BD215,$BD$4:$BN$12824,7,0)*BE215</f>
        <v>205506.52979844876</v>
      </c>
      <c r="BT215" s="866"/>
      <c r="BU215" s="866">
        <f>VLOOKUP(BD215,$BD$4:$BN$12824,9,0)*BE215</f>
        <v>14515.122709169606</v>
      </c>
      <c r="BV215" s="867"/>
      <c r="BW215" s="867">
        <f>VLOOKUP(BD215,$BD$4:$BN$12824,11,0)*BE215</f>
        <v>29030.245418339211</v>
      </c>
      <c r="BX215" s="1146">
        <f t="shared" ref="BX215:BX225" si="43">SUM(BO215:BW215)</f>
        <v>2842207.6001645257</v>
      </c>
      <c r="BY215" s="867">
        <f t="shared" si="42"/>
        <v>34628766.280395761</v>
      </c>
      <c r="BZ215" s="867">
        <f t="shared" si="40"/>
        <v>69257532.560791522</v>
      </c>
      <c r="CA215" s="867">
        <f>_xlfn.MAXIFS($BY$4:$BY$12824,$S$4:$S$12824,$S215)</f>
        <v>38189992.212294355</v>
      </c>
      <c r="CB215" s="1032"/>
      <c r="CF215" s="946">
        <f t="shared" si="41"/>
        <v>60168610.949299999</v>
      </c>
    </row>
    <row r="216" spans="1:84">
      <c r="A216" s="1032"/>
      <c r="B216" s="839" t="s">
        <v>98</v>
      </c>
      <c r="C216" s="839" t="s">
        <v>273</v>
      </c>
      <c r="D216" s="839" t="s">
        <v>545</v>
      </c>
      <c r="E216" s="839" t="s">
        <v>545</v>
      </c>
      <c r="F216" s="841">
        <v>44944</v>
      </c>
      <c r="G216" s="840" t="s">
        <v>273</v>
      </c>
      <c r="H216" s="842" t="s">
        <v>134</v>
      </c>
      <c r="I216" s="842"/>
      <c r="J216" s="841"/>
      <c r="K216" s="841"/>
      <c r="L216" s="843"/>
      <c r="M216" s="844" t="s">
        <v>275</v>
      </c>
      <c r="N216" s="841"/>
      <c r="O216" s="841" t="s">
        <v>150</v>
      </c>
      <c r="P216" s="841" t="s">
        <v>276</v>
      </c>
      <c r="Q216" s="843"/>
      <c r="R216" s="845" t="s">
        <v>710</v>
      </c>
      <c r="S216" s="1127" t="s">
        <v>710</v>
      </c>
      <c r="T216" s="843" t="s">
        <v>711</v>
      </c>
      <c r="U216" s="842">
        <v>5</v>
      </c>
      <c r="V216" s="842" t="s">
        <v>3</v>
      </c>
      <c r="W216" s="846"/>
      <c r="X216" s="847">
        <f t="shared" si="35"/>
        <v>0</v>
      </c>
      <c r="Y216" s="848"/>
      <c r="Z216" s="849">
        <v>633.08799999999997</v>
      </c>
      <c r="AA216" s="849"/>
      <c r="AB216" s="849">
        <f t="shared" si="36"/>
        <v>3165.4399999999996</v>
      </c>
      <c r="AC216" s="850">
        <f t="shared" si="37"/>
        <v>3165.4399999999996</v>
      </c>
      <c r="AD216" s="851"/>
      <c r="AE216" s="852">
        <v>25481.03</v>
      </c>
      <c r="AF216" s="853">
        <v>0.1</v>
      </c>
      <c r="AG216" s="854">
        <f t="shared" si="38"/>
        <v>8373995.1128885644</v>
      </c>
      <c r="AH216" s="853"/>
      <c r="AI216" s="855">
        <f t="shared" si="39"/>
        <v>0</v>
      </c>
      <c r="AJ216" s="845" t="s">
        <v>548</v>
      </c>
      <c r="AK216" s="857" t="s">
        <v>549</v>
      </c>
      <c r="AL216" s="840"/>
      <c r="AM216" s="840"/>
      <c r="AN216" s="858"/>
      <c r="AO216" s="844" t="s">
        <v>141</v>
      </c>
      <c r="AP216" s="859"/>
      <c r="AQ216" s="859" t="s">
        <v>550</v>
      </c>
      <c r="AR216" s="859"/>
      <c r="AS216" s="840"/>
      <c r="AT216" s="840"/>
      <c r="AU216" s="860"/>
      <c r="AV216" s="839" t="s">
        <v>619</v>
      </c>
      <c r="AW216" s="861">
        <v>45058</v>
      </c>
      <c r="AX216" s="862" t="s">
        <v>552</v>
      </c>
      <c r="AY216" s="843"/>
      <c r="AZ216" s="842"/>
      <c r="BA216" s="842" t="s">
        <v>120</v>
      </c>
      <c r="BB216" s="863" t="s">
        <v>121</v>
      </c>
      <c r="BC216" s="864">
        <v>45058</v>
      </c>
      <c r="BD216" s="860" t="s">
        <v>620</v>
      </c>
      <c r="BE216" s="865" cm="1">
        <f t="array" ref="BE216">IF(BD216="","",AC216/SUMPRODUCT(--(BD216=$BD$4:$BD$12824),$AC$4:$AC$12824))</f>
        <v>3.8916321896331978E-2</v>
      </c>
      <c r="BF216" s="458"/>
      <c r="BG216" s="458"/>
      <c r="BH216" s="458"/>
      <c r="BI216" s="458"/>
      <c r="BJ216" s="458"/>
      <c r="BK216" s="458"/>
      <c r="BL216" s="458"/>
      <c r="BM216" s="458"/>
      <c r="BN216" s="458"/>
      <c r="BO216" s="866">
        <f>VLOOKUP(BD216,$BD$4:$BN$12824,3,0)*BE216</f>
        <v>2805788.9760817429</v>
      </c>
      <c r="BP216" s="866"/>
      <c r="BQ216" s="866"/>
      <c r="BR216" s="866">
        <f>VLOOKUP(BD216,$BD$4:$BN$12824,6,0)*BE216</f>
        <v>670450.39363000728</v>
      </c>
      <c r="BS216" s="866">
        <f>VLOOKUP(BD216,$BD$4:$BN$12824,7,0)*BE216</f>
        <v>275490.54960390698</v>
      </c>
      <c r="BT216" s="866"/>
      <c r="BU216" s="866">
        <f>VLOOKUP(BD216,$BD$4:$BN$12824,9,0)*BE216</f>
        <v>19458.160948165987</v>
      </c>
      <c r="BV216" s="867"/>
      <c r="BW216" s="867">
        <f>VLOOKUP(BD216,$BD$4:$BN$12824,11,0)*BE216</f>
        <v>38916.321896331974</v>
      </c>
      <c r="BX216" s="1146">
        <f t="shared" si="43"/>
        <v>3810104.4021601551</v>
      </c>
      <c r="BY216" s="867">
        <f t="shared" si="42"/>
        <v>18568554.22364974</v>
      </c>
      <c r="BZ216" s="867">
        <f t="shared" si="40"/>
        <v>92842771.118248701</v>
      </c>
      <c r="CA216" s="867">
        <f>_xlfn.MAXIFS($BY$4:$BY$12824,$S$4:$S$12824,$S216)</f>
        <v>19921874.997226857</v>
      </c>
      <c r="CB216" s="1032"/>
      <c r="CF216" s="946">
        <f t="shared" si="41"/>
        <v>80658671.603199989</v>
      </c>
    </row>
    <row r="217" spans="1:84">
      <c r="A217" s="1032"/>
      <c r="B217" s="839" t="s">
        <v>98</v>
      </c>
      <c r="C217" s="839" t="s">
        <v>273</v>
      </c>
      <c r="D217" s="839" t="s">
        <v>545</v>
      </c>
      <c r="E217" s="839" t="s">
        <v>545</v>
      </c>
      <c r="F217" s="841">
        <v>44944</v>
      </c>
      <c r="G217" s="840" t="s">
        <v>273</v>
      </c>
      <c r="H217" s="842" t="s">
        <v>134</v>
      </c>
      <c r="I217" s="842"/>
      <c r="J217" s="841"/>
      <c r="K217" s="841"/>
      <c r="L217" s="843"/>
      <c r="M217" s="844" t="s">
        <v>275</v>
      </c>
      <c r="N217" s="841"/>
      <c r="O217" s="841" t="s">
        <v>150</v>
      </c>
      <c r="P217" s="841" t="s">
        <v>276</v>
      </c>
      <c r="Q217" s="843"/>
      <c r="R217" s="845" t="s">
        <v>712</v>
      </c>
      <c r="S217" s="1127" t="s">
        <v>712</v>
      </c>
      <c r="T217" s="843" t="s">
        <v>713</v>
      </c>
      <c r="U217" s="842">
        <v>2</v>
      </c>
      <c r="V217" s="842" t="s">
        <v>3</v>
      </c>
      <c r="W217" s="846"/>
      <c r="X217" s="847">
        <f t="shared" si="35"/>
        <v>0</v>
      </c>
      <c r="Y217" s="848"/>
      <c r="Z217" s="849">
        <v>633.08000000000004</v>
      </c>
      <c r="AA217" s="849"/>
      <c r="AB217" s="849">
        <f t="shared" si="36"/>
        <v>1266.1600000000001</v>
      </c>
      <c r="AC217" s="850">
        <f t="shared" si="37"/>
        <v>1266.1600000000001</v>
      </c>
      <c r="AD217" s="851"/>
      <c r="AE217" s="852">
        <v>25481.03</v>
      </c>
      <c r="AF217" s="853">
        <v>0.1</v>
      </c>
      <c r="AG217" s="854">
        <f t="shared" si="38"/>
        <v>3349555.7180470917</v>
      </c>
      <c r="AH217" s="853"/>
      <c r="AI217" s="855">
        <f t="shared" si="39"/>
        <v>0</v>
      </c>
      <c r="AJ217" s="845" t="s">
        <v>548</v>
      </c>
      <c r="AK217" s="857" t="s">
        <v>549</v>
      </c>
      <c r="AL217" s="840"/>
      <c r="AM217" s="840"/>
      <c r="AN217" s="858"/>
      <c r="AO217" s="844" t="s">
        <v>141</v>
      </c>
      <c r="AP217" s="859"/>
      <c r="AQ217" s="859" t="s">
        <v>550</v>
      </c>
      <c r="AR217" s="859"/>
      <c r="AS217" s="840"/>
      <c r="AT217" s="840"/>
      <c r="AU217" s="860"/>
      <c r="AV217" s="839" t="s">
        <v>619</v>
      </c>
      <c r="AW217" s="861">
        <v>45058</v>
      </c>
      <c r="AX217" s="862" t="s">
        <v>552</v>
      </c>
      <c r="AY217" s="843"/>
      <c r="AZ217" s="842"/>
      <c r="BA217" s="842" t="s">
        <v>120</v>
      </c>
      <c r="BB217" s="863" t="s">
        <v>121</v>
      </c>
      <c r="BC217" s="864">
        <v>45058</v>
      </c>
      <c r="BD217" s="860" t="s">
        <v>620</v>
      </c>
      <c r="BE217" s="865" cm="1">
        <f t="array" ref="BE217">IF(BD217="","",AC217/SUMPRODUCT(--(BD217=$BD$4:$BD$12824),$AC$4:$AC$12824))</f>
        <v>1.5566332052498138E-2</v>
      </c>
      <c r="BF217" s="458"/>
      <c r="BG217" s="458"/>
      <c r="BH217" s="458"/>
      <c r="BI217" s="458"/>
      <c r="BJ217" s="458"/>
      <c r="BK217" s="458"/>
      <c r="BL217" s="458"/>
      <c r="BM217" s="458"/>
      <c r="BN217" s="458"/>
      <c r="BO217" s="866">
        <f>VLOOKUP(BD217,$BD$4:$BN$12824,3,0)*BE217</f>
        <v>1122301.4083210109</v>
      </c>
      <c r="BP217" s="866"/>
      <c r="BQ217" s="866"/>
      <c r="BR217" s="866">
        <f>VLOOKUP(BD217,$BD$4:$BN$12824,6,0)*BE217</f>
        <v>268176.76860043791</v>
      </c>
      <c r="BS217" s="866">
        <f>VLOOKUP(BD217,$BD$4:$BN$12824,7,0)*BE217</f>
        <v>110194.8273499049</v>
      </c>
      <c r="BT217" s="866"/>
      <c r="BU217" s="866">
        <f>VLOOKUP(BD217,$BD$4:$BN$12824,9,0)*BE217</f>
        <v>7783.1660262490695</v>
      </c>
      <c r="BV217" s="867"/>
      <c r="BW217" s="867">
        <f>VLOOKUP(BD217,$BD$4:$BN$12824,11,0)*BE217</f>
        <v>15566.332052498139</v>
      </c>
      <c r="BX217" s="1146">
        <f t="shared" si="43"/>
        <v>1524022.5023501008</v>
      </c>
      <c r="BY217" s="867">
        <f t="shared" si="42"/>
        <v>18568319.582598597</v>
      </c>
      <c r="BZ217" s="867">
        <f t="shared" si="40"/>
        <v>37136639.165197194</v>
      </c>
      <c r="CA217" s="867">
        <f>_xlfn.MAXIFS($BY$4:$BY$12824,$S$4:$S$12824,$S217)</f>
        <v>19921874.997226857</v>
      </c>
      <c r="CB217" s="1032"/>
      <c r="CF217" s="946">
        <f t="shared" si="41"/>
        <v>32263060.944800001</v>
      </c>
    </row>
    <row r="218" spans="1:84">
      <c r="A218" s="1032"/>
      <c r="B218" s="839" t="s">
        <v>98</v>
      </c>
      <c r="C218" s="839" t="s">
        <v>273</v>
      </c>
      <c r="D218" s="839" t="s">
        <v>545</v>
      </c>
      <c r="E218" s="839" t="s">
        <v>545</v>
      </c>
      <c r="F218" s="841">
        <v>44944</v>
      </c>
      <c r="G218" s="840" t="s">
        <v>273</v>
      </c>
      <c r="H218" s="842" t="s">
        <v>134</v>
      </c>
      <c r="I218" s="842"/>
      <c r="J218" s="841"/>
      <c r="K218" s="841"/>
      <c r="L218" s="843"/>
      <c r="M218" s="844" t="s">
        <v>275</v>
      </c>
      <c r="N218" s="841"/>
      <c r="O218" s="841" t="s">
        <v>150</v>
      </c>
      <c r="P218" s="841" t="s">
        <v>461</v>
      </c>
      <c r="Q218" s="843"/>
      <c r="R218" s="845" t="s">
        <v>714</v>
      </c>
      <c r="S218" s="1127" t="s">
        <v>714</v>
      </c>
      <c r="T218" s="843" t="s">
        <v>715</v>
      </c>
      <c r="U218" s="842">
        <v>2</v>
      </c>
      <c r="V218" s="842" t="s">
        <v>3</v>
      </c>
      <c r="W218" s="846"/>
      <c r="X218" s="847">
        <f t="shared" si="35"/>
        <v>0</v>
      </c>
      <c r="Y218" s="848"/>
      <c r="Z218" s="849">
        <v>601.55499999999995</v>
      </c>
      <c r="AA218" s="849"/>
      <c r="AB218" s="849">
        <f t="shared" si="36"/>
        <v>1203.1099999999999</v>
      </c>
      <c r="AC218" s="850">
        <f t="shared" si="37"/>
        <v>1203.1099999999999</v>
      </c>
      <c r="AD218" s="851"/>
      <c r="AE218" s="852">
        <v>25481.03</v>
      </c>
      <c r="AF218" s="853">
        <v>0.1</v>
      </c>
      <c r="AG218" s="854">
        <f t="shared" si="38"/>
        <v>3182760.4567666296</v>
      </c>
      <c r="AH218" s="853"/>
      <c r="AI218" s="855">
        <f t="shared" si="39"/>
        <v>0</v>
      </c>
      <c r="AJ218" s="845" t="s">
        <v>548</v>
      </c>
      <c r="AK218" s="857" t="s">
        <v>549</v>
      </c>
      <c r="AL218" s="840"/>
      <c r="AM218" s="840"/>
      <c r="AN218" s="858"/>
      <c r="AO218" s="844" t="s">
        <v>141</v>
      </c>
      <c r="AP218" s="859"/>
      <c r="AQ218" s="859" t="s">
        <v>550</v>
      </c>
      <c r="AR218" s="859"/>
      <c r="AS218" s="840"/>
      <c r="AT218" s="840"/>
      <c r="AU218" s="860"/>
      <c r="AV218" s="839" t="s">
        <v>619</v>
      </c>
      <c r="AW218" s="861">
        <v>45058</v>
      </c>
      <c r="AX218" s="862" t="s">
        <v>552</v>
      </c>
      <c r="AY218" s="843"/>
      <c r="AZ218" s="842"/>
      <c r="BA218" s="842" t="s">
        <v>120</v>
      </c>
      <c r="BB218" s="863" t="s">
        <v>121</v>
      </c>
      <c r="BC218" s="864">
        <v>45058</v>
      </c>
      <c r="BD218" s="860" t="s">
        <v>620</v>
      </c>
      <c r="BE218" s="865" cm="1">
        <f t="array" ref="BE218">IF(BD218="","",AC218/SUMPRODUCT(--(BD218=$BD$4:$BD$12824),$AC$4:$AC$12824))</f>
        <v>1.4791187334682055E-2</v>
      </c>
      <c r="BF218" s="458"/>
      <c r="BG218" s="458"/>
      <c r="BH218" s="458"/>
      <c r="BI218" s="458"/>
      <c r="BJ218" s="458"/>
      <c r="BK218" s="458"/>
      <c r="BL218" s="458"/>
      <c r="BM218" s="458"/>
      <c r="BN218" s="458"/>
      <c r="BO218" s="866">
        <f>VLOOKUP(BD218,$BD$4:$BN$12824,3,0)*BE218</f>
        <v>1066415.0244559068</v>
      </c>
      <c r="BP218" s="866"/>
      <c r="BQ218" s="866"/>
      <c r="BR218" s="866">
        <f>VLOOKUP(BD218,$BD$4:$BN$12824,6,0)*BE218</f>
        <v>254822.57540190246</v>
      </c>
      <c r="BS218" s="866">
        <f>VLOOKUP(BD218,$BD$4:$BN$12824,7,0)*BE218</f>
        <v>104707.53991039367</v>
      </c>
      <c r="BT218" s="866"/>
      <c r="BU218" s="866">
        <f>VLOOKUP(BD218,$BD$4:$BN$12824,9,0)*BE218</f>
        <v>7395.5936673410279</v>
      </c>
      <c r="BV218" s="867"/>
      <c r="BW218" s="867">
        <f>VLOOKUP(BD218,$BD$4:$BN$12824,11,0)*BE218</f>
        <v>14791.187334682056</v>
      </c>
      <c r="BX218" s="1146">
        <f t="shared" si="43"/>
        <v>1448131.920770226</v>
      </c>
      <c r="BY218" s="867">
        <f t="shared" si="42"/>
        <v>17643687.190418426</v>
      </c>
      <c r="BZ218" s="867">
        <f t="shared" si="40"/>
        <v>35287374.380836852</v>
      </c>
      <c r="CA218" s="867">
        <f>_xlfn.MAXIFS($BY$4:$BY$12824,$S$4:$S$12824,$S218)</f>
        <v>17643687.190418426</v>
      </c>
      <c r="CB218" s="1032"/>
      <c r="CF218" s="946">
        <f t="shared" si="41"/>
        <v>30656482.003299996</v>
      </c>
    </row>
    <row r="219" spans="1:84">
      <c r="A219" s="1032"/>
      <c r="B219" s="839" t="s">
        <v>98</v>
      </c>
      <c r="C219" s="839" t="s">
        <v>273</v>
      </c>
      <c r="D219" s="839" t="s">
        <v>545</v>
      </c>
      <c r="E219" s="839" t="s">
        <v>545</v>
      </c>
      <c r="F219" s="841">
        <v>44944</v>
      </c>
      <c r="G219" s="840" t="s">
        <v>273</v>
      </c>
      <c r="H219" s="842" t="s">
        <v>134</v>
      </c>
      <c r="I219" s="842"/>
      <c r="J219" s="841"/>
      <c r="K219" s="841"/>
      <c r="L219" s="843"/>
      <c r="M219" s="844" t="s">
        <v>275</v>
      </c>
      <c r="N219" s="841"/>
      <c r="O219" s="841" t="s">
        <v>150</v>
      </c>
      <c r="P219" s="841" t="s">
        <v>461</v>
      </c>
      <c r="Q219" s="843"/>
      <c r="R219" s="845" t="s">
        <v>716</v>
      </c>
      <c r="S219" s="1127" t="s">
        <v>716</v>
      </c>
      <c r="T219" s="843" t="s">
        <v>717</v>
      </c>
      <c r="U219" s="842">
        <v>1</v>
      </c>
      <c r="V219" s="842" t="s">
        <v>3</v>
      </c>
      <c r="W219" s="846"/>
      <c r="X219" s="847">
        <f t="shared" si="35"/>
        <v>0</v>
      </c>
      <c r="Y219" s="848"/>
      <c r="Z219" s="849">
        <v>601.55999999999995</v>
      </c>
      <c r="AA219" s="849"/>
      <c r="AB219" s="849">
        <f t="shared" si="36"/>
        <v>601.55999999999995</v>
      </c>
      <c r="AC219" s="850">
        <f t="shared" si="37"/>
        <v>601.55999999999995</v>
      </c>
      <c r="AD219" s="851"/>
      <c r="AE219" s="852">
        <v>25481.03</v>
      </c>
      <c r="AF219" s="853">
        <v>0.1</v>
      </c>
      <c r="AG219" s="854">
        <f t="shared" si="38"/>
        <v>1591393.4556046696</v>
      </c>
      <c r="AH219" s="853"/>
      <c r="AI219" s="855">
        <f t="shared" si="39"/>
        <v>0</v>
      </c>
      <c r="AJ219" s="845" t="s">
        <v>548</v>
      </c>
      <c r="AK219" s="857" t="s">
        <v>549</v>
      </c>
      <c r="AL219" s="840"/>
      <c r="AM219" s="840"/>
      <c r="AN219" s="858"/>
      <c r="AO219" s="844" t="s">
        <v>141</v>
      </c>
      <c r="AP219" s="859"/>
      <c r="AQ219" s="859" t="s">
        <v>550</v>
      </c>
      <c r="AR219" s="859"/>
      <c r="AS219" s="840"/>
      <c r="AT219" s="840"/>
      <c r="AU219" s="860"/>
      <c r="AV219" s="839" t="s">
        <v>619</v>
      </c>
      <c r="AW219" s="861">
        <v>45058</v>
      </c>
      <c r="AX219" s="862" t="s">
        <v>552</v>
      </c>
      <c r="AY219" s="843"/>
      <c r="AZ219" s="842"/>
      <c r="BA219" s="842" t="s">
        <v>120</v>
      </c>
      <c r="BB219" s="863" t="s">
        <v>121</v>
      </c>
      <c r="BC219" s="864">
        <v>45058</v>
      </c>
      <c r="BD219" s="860" t="s">
        <v>620</v>
      </c>
      <c r="BE219" s="865" cm="1">
        <f t="array" ref="BE219">IF(BD219="","",AC219/SUMPRODUCT(--(BD219=$BD$4:$BD$12824),$AC$4:$AC$12824))</f>
        <v>7.3956551379768583E-3</v>
      </c>
      <c r="BF219" s="458"/>
      <c r="BG219" s="458"/>
      <c r="BH219" s="458"/>
      <c r="BI219" s="458"/>
      <c r="BJ219" s="458"/>
      <c r="BK219" s="458"/>
      <c r="BL219" s="458"/>
      <c r="BM219" s="458"/>
      <c r="BN219" s="458"/>
      <c r="BO219" s="866">
        <f>VLOOKUP(BD219,$BD$4:$BN$12824,3,0)*BE219</f>
        <v>533211.94413785555</v>
      </c>
      <c r="BP219" s="866"/>
      <c r="BQ219" s="866"/>
      <c r="BR219" s="866">
        <f>VLOOKUP(BD219,$BD$4:$BN$12824,6,0)*BE219</f>
        <v>127412.34671706532</v>
      </c>
      <c r="BS219" s="866">
        <f>VLOOKUP(BD219,$BD$4:$BN$12824,7,0)*BE219</f>
        <v>52354.205108839938</v>
      </c>
      <c r="BT219" s="866"/>
      <c r="BU219" s="866">
        <f>VLOOKUP(BD219,$BD$4:$BN$12824,9,0)*BE219</f>
        <v>3697.827568988429</v>
      </c>
      <c r="BV219" s="867"/>
      <c r="BW219" s="867">
        <f>VLOOKUP(BD219,$BD$4:$BN$12824,11,0)*BE219</f>
        <v>7395.655137976858</v>
      </c>
      <c r="BX219" s="1146">
        <f t="shared" si="43"/>
        <v>724071.97867072606</v>
      </c>
      <c r="BY219" s="867">
        <f t="shared" si="42"/>
        <v>17643833.841075394</v>
      </c>
      <c r="BZ219" s="867">
        <f t="shared" si="40"/>
        <v>17643833.841075394</v>
      </c>
      <c r="CA219" s="867">
        <f>_xlfn.MAXIFS($BY$4:$BY$12824,$S$4:$S$12824,$S219)</f>
        <v>17643833.841075394</v>
      </c>
      <c r="CB219" s="1032"/>
      <c r="CF219" s="946">
        <f t="shared" si="41"/>
        <v>15328368.406799998</v>
      </c>
    </row>
    <row r="220" spans="1:84">
      <c r="A220" s="1032"/>
      <c r="B220" s="839" t="s">
        <v>98</v>
      </c>
      <c r="C220" s="839" t="s">
        <v>254</v>
      </c>
      <c r="D220" s="839" t="s">
        <v>718</v>
      </c>
      <c r="E220" s="839" t="s">
        <v>718</v>
      </c>
      <c r="F220" s="841">
        <v>44872</v>
      </c>
      <c r="G220" s="840" t="s">
        <v>254</v>
      </c>
      <c r="H220" s="842" t="s">
        <v>134</v>
      </c>
      <c r="I220" s="842"/>
      <c r="J220" s="841"/>
      <c r="K220" s="841"/>
      <c r="L220" s="843"/>
      <c r="M220" s="844" t="s">
        <v>535</v>
      </c>
      <c r="N220" s="841"/>
      <c r="O220" s="841" t="s">
        <v>108</v>
      </c>
      <c r="P220" s="841" t="s">
        <v>109</v>
      </c>
      <c r="Q220" s="843"/>
      <c r="R220" s="845" t="s">
        <v>719</v>
      </c>
      <c r="S220" s="1127" t="s">
        <v>720</v>
      </c>
      <c r="T220" s="843" t="s">
        <v>721</v>
      </c>
      <c r="U220" s="842">
        <v>1</v>
      </c>
      <c r="V220" s="842" t="s">
        <v>3</v>
      </c>
      <c r="W220" s="846"/>
      <c r="X220" s="847">
        <f t="shared" si="35"/>
        <v>0</v>
      </c>
      <c r="Y220" s="848"/>
      <c r="Z220" s="849">
        <v>266.2</v>
      </c>
      <c r="AA220" s="849"/>
      <c r="AB220" s="849">
        <f t="shared" si="36"/>
        <v>266.2</v>
      </c>
      <c r="AC220" s="850">
        <f t="shared" si="37"/>
        <v>266.2</v>
      </c>
      <c r="AD220" s="851"/>
      <c r="AE220" s="852">
        <v>25160.240000000002</v>
      </c>
      <c r="AF220" s="853">
        <v>0</v>
      </c>
      <c r="AG220" s="854">
        <f t="shared" si="38"/>
        <v>0</v>
      </c>
      <c r="AH220" s="853"/>
      <c r="AI220" s="855">
        <f t="shared" si="39"/>
        <v>0</v>
      </c>
      <c r="AJ220" s="845" t="s">
        <v>722</v>
      </c>
      <c r="AK220" s="857" t="s">
        <v>723</v>
      </c>
      <c r="AL220" s="840"/>
      <c r="AM220" s="840"/>
      <c r="AN220" s="858"/>
      <c r="AO220" s="844" t="s">
        <v>116</v>
      </c>
      <c r="AP220" s="859"/>
      <c r="AQ220" s="859"/>
      <c r="AR220" s="859"/>
      <c r="AS220" s="840"/>
      <c r="AT220" s="840"/>
      <c r="AU220" s="860"/>
      <c r="AV220" s="839" t="s">
        <v>724</v>
      </c>
      <c r="AW220" s="861">
        <v>45028</v>
      </c>
      <c r="AX220" s="862" t="s">
        <v>725</v>
      </c>
      <c r="AY220" s="843"/>
      <c r="AZ220" s="842">
        <v>94051999</v>
      </c>
      <c r="BA220" s="842" t="s">
        <v>120</v>
      </c>
      <c r="BB220" s="863" t="s">
        <v>121</v>
      </c>
      <c r="BC220" s="864">
        <v>45028</v>
      </c>
      <c r="BD220" s="860" t="s">
        <v>726</v>
      </c>
      <c r="BE220" s="865" cm="1">
        <f t="array" ref="BE220">IF(BD220="","",AC220/SUMPRODUCT(--(BD220=$BD$4:$BD$12824),$AC$4:$AC$12824))</f>
        <v>0.48351648351648352</v>
      </c>
      <c r="BF220" s="458"/>
      <c r="BG220" s="458"/>
      <c r="BH220" s="458"/>
      <c r="BI220" s="458"/>
      <c r="BJ220" s="458"/>
      <c r="BK220" s="458"/>
      <c r="BL220" s="458"/>
      <c r="BM220" s="458"/>
      <c r="BN220" s="458">
        <v>600000</v>
      </c>
      <c r="BO220" s="866">
        <f>VLOOKUP(BD220,$BD$4:$BN$12824,3,0)*BE220</f>
        <v>0</v>
      </c>
      <c r="BP220" s="866"/>
      <c r="BQ220" s="866"/>
      <c r="BR220" s="866">
        <f>VLOOKUP(BD220,$BD$4:$BN$12824,6,0)*BE220</f>
        <v>0</v>
      </c>
      <c r="BS220" s="866">
        <f>VLOOKUP(BD220,$BD$4:$BN$12824,7,0)*BE220</f>
        <v>0</v>
      </c>
      <c r="BT220" s="866"/>
      <c r="BU220" s="866">
        <f>VLOOKUP(BD220,$BD$4:$BN$12824,9,0)*BE220</f>
        <v>0</v>
      </c>
      <c r="BV220" s="867"/>
      <c r="BW220" s="867">
        <f>VLOOKUP(BD220,$BD$4:$BN$12824,11,0)*BE220</f>
        <v>290109.89010989014</v>
      </c>
      <c r="BX220" s="1146">
        <f t="shared" si="43"/>
        <v>290109.89010989014</v>
      </c>
      <c r="BY220" s="867">
        <f t="shared" si="42"/>
        <v>6987765.7781098904</v>
      </c>
      <c r="BZ220" s="867">
        <f t="shared" si="40"/>
        <v>6987765.7781098904</v>
      </c>
      <c r="CA220" s="867">
        <f>_xlfn.MAXIFS($BY$4:$BY$12824,$S$4:$S$12824,$S220)</f>
        <v>8007130.321170114</v>
      </c>
      <c r="CB220" s="1032"/>
      <c r="CF220" s="946">
        <f t="shared" si="41"/>
        <v>6697655.8880000003</v>
      </c>
    </row>
    <row r="221" spans="1:84">
      <c r="A221" s="1032"/>
      <c r="B221" s="839" t="s">
        <v>98</v>
      </c>
      <c r="C221" s="839" t="s">
        <v>254</v>
      </c>
      <c r="D221" s="839" t="s">
        <v>718</v>
      </c>
      <c r="E221" s="839" t="s">
        <v>718</v>
      </c>
      <c r="F221" s="841">
        <v>44872</v>
      </c>
      <c r="G221" s="840" t="s">
        <v>254</v>
      </c>
      <c r="H221" s="842" t="s">
        <v>134</v>
      </c>
      <c r="I221" s="842"/>
      <c r="J221" s="841"/>
      <c r="K221" s="841"/>
      <c r="L221" s="843"/>
      <c r="M221" s="844" t="s">
        <v>535</v>
      </c>
      <c r="N221" s="841"/>
      <c r="O221" s="841" t="s">
        <v>108</v>
      </c>
      <c r="P221" s="841" t="s">
        <v>220</v>
      </c>
      <c r="Q221" s="843"/>
      <c r="R221" s="845" t="s">
        <v>727</v>
      </c>
      <c r="S221" s="1127" t="s">
        <v>728</v>
      </c>
      <c r="T221" s="843" t="s">
        <v>729</v>
      </c>
      <c r="U221" s="842">
        <v>1</v>
      </c>
      <c r="V221" s="842" t="s">
        <v>3</v>
      </c>
      <c r="W221" s="846"/>
      <c r="X221" s="847">
        <f t="shared" si="35"/>
        <v>0</v>
      </c>
      <c r="Y221" s="848"/>
      <c r="Z221" s="849">
        <v>284.35000000000002</v>
      </c>
      <c r="AA221" s="849"/>
      <c r="AB221" s="849">
        <f t="shared" si="36"/>
        <v>284.35000000000002</v>
      </c>
      <c r="AC221" s="850">
        <f t="shared" si="37"/>
        <v>284.35000000000002</v>
      </c>
      <c r="AD221" s="851"/>
      <c r="AE221" s="852">
        <v>25160.240000000002</v>
      </c>
      <c r="AF221" s="853">
        <v>0</v>
      </c>
      <c r="AG221" s="854">
        <f t="shared" si="38"/>
        <v>0</v>
      </c>
      <c r="AH221" s="853"/>
      <c r="AI221" s="855">
        <f t="shared" si="39"/>
        <v>0</v>
      </c>
      <c r="AJ221" s="845" t="s">
        <v>722</v>
      </c>
      <c r="AK221" s="857" t="s">
        <v>723</v>
      </c>
      <c r="AL221" s="840"/>
      <c r="AM221" s="840"/>
      <c r="AN221" s="858"/>
      <c r="AO221" s="844" t="s">
        <v>116</v>
      </c>
      <c r="AP221" s="859"/>
      <c r="AQ221" s="859"/>
      <c r="AR221" s="859"/>
      <c r="AS221" s="840"/>
      <c r="AT221" s="840"/>
      <c r="AU221" s="860"/>
      <c r="AV221" s="839" t="s">
        <v>724</v>
      </c>
      <c r="AW221" s="861">
        <v>45028</v>
      </c>
      <c r="AX221" s="862" t="s">
        <v>725</v>
      </c>
      <c r="AY221" s="843"/>
      <c r="AZ221" s="842">
        <v>94051999</v>
      </c>
      <c r="BA221" s="842" t="s">
        <v>120</v>
      </c>
      <c r="BB221" s="863" t="s">
        <v>121</v>
      </c>
      <c r="BC221" s="864">
        <v>45028</v>
      </c>
      <c r="BD221" s="860" t="s">
        <v>726</v>
      </c>
      <c r="BE221" s="865" cm="1">
        <f t="array" ref="BE221">IF(BD221="","",AC221/SUMPRODUCT(--(BD221=$BD$4:$BD$12824),$AC$4:$AC$12824))</f>
        <v>0.51648351648351654</v>
      </c>
      <c r="BF221" s="458"/>
      <c r="BG221" s="458"/>
      <c r="BH221" s="458"/>
      <c r="BI221" s="458"/>
      <c r="BJ221" s="458"/>
      <c r="BK221" s="458"/>
      <c r="BL221" s="458"/>
      <c r="BM221" s="458"/>
      <c r="BN221" s="458"/>
      <c r="BO221" s="866">
        <f>VLOOKUP(BD221,$BD$4:$BN$12824,3,0)*BE221</f>
        <v>0</v>
      </c>
      <c r="BP221" s="866"/>
      <c r="BQ221" s="866"/>
      <c r="BR221" s="866">
        <f>VLOOKUP(BD221,$BD$4:$BN$12824,6,0)*BE221</f>
        <v>0</v>
      </c>
      <c r="BS221" s="866">
        <f>VLOOKUP(BD221,$BD$4:$BN$12824,7,0)*BE221</f>
        <v>0</v>
      </c>
      <c r="BT221" s="866"/>
      <c r="BU221" s="866">
        <f>VLOOKUP(BD221,$BD$4:$BN$12824,9,0)*BE221</f>
        <v>0</v>
      </c>
      <c r="BV221" s="867"/>
      <c r="BW221" s="867">
        <f>VLOOKUP(BD221,$BD$4:$BN$12824,11,0)*BE221</f>
        <v>309890.10989010992</v>
      </c>
      <c r="BX221" s="1146">
        <f t="shared" si="43"/>
        <v>309890.10989010992</v>
      </c>
      <c r="BY221" s="867">
        <f t="shared" si="42"/>
        <v>7464204.3538901107</v>
      </c>
      <c r="BZ221" s="867">
        <f t="shared" si="40"/>
        <v>7464204.3538901107</v>
      </c>
      <c r="CA221" s="867">
        <f>_xlfn.MAXIFS($BY$4:$BY$12824,$S$4:$S$12824,$S221)</f>
        <v>7464204.3538901107</v>
      </c>
      <c r="CB221" s="1032"/>
      <c r="CF221" s="946">
        <f t="shared" si="41"/>
        <v>7154314.2440000009</v>
      </c>
    </row>
    <row r="222" spans="1:84">
      <c r="A222" s="1032"/>
      <c r="B222" s="839" t="s">
        <v>98</v>
      </c>
      <c r="C222" s="839" t="s">
        <v>273</v>
      </c>
      <c r="D222" s="839" t="s">
        <v>730</v>
      </c>
      <c r="E222" s="839" t="s">
        <v>730</v>
      </c>
      <c r="F222" s="841">
        <v>45010</v>
      </c>
      <c r="G222" s="840" t="s">
        <v>273</v>
      </c>
      <c r="H222" s="842" t="s">
        <v>102</v>
      </c>
      <c r="I222" s="842"/>
      <c r="J222" s="841"/>
      <c r="K222" s="841"/>
      <c r="L222" s="843"/>
      <c r="M222" s="844" t="s">
        <v>275</v>
      </c>
      <c r="N222" s="841"/>
      <c r="O222" s="841" t="s">
        <v>150</v>
      </c>
      <c r="P222" s="841" t="s">
        <v>276</v>
      </c>
      <c r="Q222" s="843"/>
      <c r="R222" s="845"/>
      <c r="S222" s="1127"/>
      <c r="T222" s="843" t="s">
        <v>731</v>
      </c>
      <c r="U222" s="842">
        <v>1</v>
      </c>
      <c r="V222" s="842" t="s">
        <v>3</v>
      </c>
      <c r="W222" s="846"/>
      <c r="X222" s="847">
        <f t="shared" si="35"/>
        <v>0</v>
      </c>
      <c r="Y222" s="848"/>
      <c r="Z222" s="849">
        <v>1203.5450000000001</v>
      </c>
      <c r="AA222" s="849"/>
      <c r="AB222" s="849">
        <f t="shared" si="36"/>
        <v>1203.5450000000001</v>
      </c>
      <c r="AC222" s="850">
        <f t="shared" si="37"/>
        <v>1203.5450000000001</v>
      </c>
      <c r="AD222" s="851"/>
      <c r="AE222" s="852">
        <v>25160.240000000002</v>
      </c>
      <c r="AF222" s="853">
        <v>0.1</v>
      </c>
      <c r="AG222" s="854">
        <f t="shared" si="38"/>
        <v>4131914.7903609211</v>
      </c>
      <c r="AH222" s="853"/>
      <c r="AI222" s="855">
        <f t="shared" si="39"/>
        <v>0</v>
      </c>
      <c r="AJ222" s="845" t="s">
        <v>732</v>
      </c>
      <c r="AK222" s="857" t="s">
        <v>733</v>
      </c>
      <c r="AL222" s="840"/>
      <c r="AM222" s="840"/>
      <c r="AN222" s="858"/>
      <c r="AO222" s="844"/>
      <c r="AP222" s="859"/>
      <c r="AQ222" s="859"/>
      <c r="AR222" s="859"/>
      <c r="AS222" s="840"/>
      <c r="AT222" s="840"/>
      <c r="AU222" s="860"/>
      <c r="AV222" s="839" t="s">
        <v>734</v>
      </c>
      <c r="AW222" s="861">
        <v>45026</v>
      </c>
      <c r="AX222" s="862" t="s">
        <v>735</v>
      </c>
      <c r="AY222" s="843"/>
      <c r="AZ222" s="842"/>
      <c r="BA222" s="842" t="s">
        <v>120</v>
      </c>
      <c r="BB222" s="863" t="s">
        <v>121</v>
      </c>
      <c r="BC222" s="864">
        <v>45031</v>
      </c>
      <c r="BD222" s="860" t="s">
        <v>736</v>
      </c>
      <c r="BE222" s="865" cm="1">
        <f t="array" ref="BE222">IF(BD222="","",AC222/SUMPRODUCT(--(BD222=$BD$4:$BD$12824),$AC$4:$AC$12824))</f>
        <v>0.83854369879047985</v>
      </c>
      <c r="BF222" s="458">
        <v>13162900</v>
      </c>
      <c r="BG222" s="458"/>
      <c r="BH222" s="458"/>
      <c r="BI222" s="458"/>
      <c r="BJ222" s="458"/>
      <c r="BK222" s="458"/>
      <c r="BL222" s="458"/>
      <c r="BM222" s="458"/>
      <c r="BN222" s="458"/>
      <c r="BO222" s="866">
        <f>VLOOKUP(BD222,$BD$4:$BN$12824,3,0)*BE222</f>
        <v>11037666.852809208</v>
      </c>
      <c r="BP222" s="866"/>
      <c r="BQ222" s="866"/>
      <c r="BR222" s="866">
        <f>VLOOKUP(BD222,$BD$4:$BN$12824,6,0)*BE222</f>
        <v>0</v>
      </c>
      <c r="BS222" s="866">
        <f>VLOOKUP(BD222,$BD$4:$BN$12824,7,0)*BE222</f>
        <v>0</v>
      </c>
      <c r="BT222" s="866"/>
      <c r="BU222" s="866">
        <f>VLOOKUP(BD222,$BD$4:$BN$12824,9,0)*BE222</f>
        <v>0</v>
      </c>
      <c r="BV222" s="867"/>
      <c r="BW222" s="867">
        <f>VLOOKUP(BD222,$BD$4:$BN$12824,11,0)*BE222</f>
        <v>0</v>
      </c>
      <c r="BX222" s="1146">
        <f t="shared" si="43"/>
        <v>11037666.852809208</v>
      </c>
      <c r="BY222" s="867">
        <f t="shared" si="42"/>
        <v>45451062.693970129</v>
      </c>
      <c r="BZ222" s="867">
        <f t="shared" si="40"/>
        <v>45451062.693970129</v>
      </c>
      <c r="CA222" s="867">
        <f>_xlfn.MAXIFS($BY$4:$BY$12824,$S$4:$S$12824,$S222)</f>
        <v>0</v>
      </c>
      <c r="CB222" s="1032"/>
      <c r="CF222" s="946">
        <f t="shared" si="41"/>
        <v>30281481.050800003</v>
      </c>
    </row>
    <row r="223" spans="1:84">
      <c r="A223" s="1032"/>
      <c r="B223" s="839" t="s">
        <v>98</v>
      </c>
      <c r="C223" s="839" t="s">
        <v>273</v>
      </c>
      <c r="D223" s="839" t="s">
        <v>730</v>
      </c>
      <c r="E223" s="839" t="s">
        <v>730</v>
      </c>
      <c r="F223" s="841">
        <v>45010</v>
      </c>
      <c r="G223" s="840" t="s">
        <v>273</v>
      </c>
      <c r="H223" s="842" t="s">
        <v>102</v>
      </c>
      <c r="I223" s="842"/>
      <c r="J223" s="841"/>
      <c r="K223" s="841"/>
      <c r="L223" s="843"/>
      <c r="M223" s="844" t="s">
        <v>275</v>
      </c>
      <c r="N223" s="841"/>
      <c r="O223" s="841" t="s">
        <v>150</v>
      </c>
      <c r="P223" s="841" t="s">
        <v>276</v>
      </c>
      <c r="Q223" s="843"/>
      <c r="R223" s="845"/>
      <c r="S223" s="1127"/>
      <c r="T223" s="843" t="s">
        <v>737</v>
      </c>
      <c r="U223" s="842">
        <v>1</v>
      </c>
      <c r="V223" s="842" t="s">
        <v>3</v>
      </c>
      <c r="W223" s="846"/>
      <c r="X223" s="847">
        <f t="shared" si="35"/>
        <v>0</v>
      </c>
      <c r="Y223" s="848"/>
      <c r="Z223" s="849">
        <v>231.73500000000001</v>
      </c>
      <c r="AA223" s="849"/>
      <c r="AB223" s="849">
        <f t="shared" si="36"/>
        <v>231.73500000000001</v>
      </c>
      <c r="AC223" s="850">
        <f t="shared" si="37"/>
        <v>231.73500000000001</v>
      </c>
      <c r="AD223" s="851"/>
      <c r="AE223" s="852">
        <v>25160.240000000002</v>
      </c>
      <c r="AF223" s="853">
        <v>0.1</v>
      </c>
      <c r="AG223" s="854">
        <f t="shared" si="38"/>
        <v>795574.13635907928</v>
      </c>
      <c r="AH223" s="853"/>
      <c r="AI223" s="855">
        <f t="shared" si="39"/>
        <v>0</v>
      </c>
      <c r="AJ223" s="845" t="s">
        <v>732</v>
      </c>
      <c r="AK223" s="857" t="s">
        <v>733</v>
      </c>
      <c r="AL223" s="840"/>
      <c r="AM223" s="840"/>
      <c r="AN223" s="858"/>
      <c r="AO223" s="844"/>
      <c r="AP223" s="859"/>
      <c r="AQ223" s="859"/>
      <c r="AR223" s="859"/>
      <c r="AS223" s="840"/>
      <c r="AT223" s="840"/>
      <c r="AU223" s="860"/>
      <c r="AV223" s="839" t="s">
        <v>734</v>
      </c>
      <c r="AW223" s="861">
        <v>45026</v>
      </c>
      <c r="AX223" s="862" t="s">
        <v>735</v>
      </c>
      <c r="AY223" s="843"/>
      <c r="AZ223" s="842"/>
      <c r="BA223" s="842" t="s">
        <v>120</v>
      </c>
      <c r="BB223" s="863" t="s">
        <v>121</v>
      </c>
      <c r="BC223" s="864">
        <v>45031</v>
      </c>
      <c r="BD223" s="860" t="s">
        <v>736</v>
      </c>
      <c r="BE223" s="865" cm="1">
        <f t="array" ref="BE223">IF(BD223="","",AC223/SUMPRODUCT(--(BD223=$BD$4:$BD$12824),$AC$4:$AC$12824))</f>
        <v>0.16145630120952009</v>
      </c>
      <c r="BF223" s="458"/>
      <c r="BG223" s="458"/>
      <c r="BH223" s="458"/>
      <c r="BI223" s="458"/>
      <c r="BJ223" s="458"/>
      <c r="BK223" s="458"/>
      <c r="BL223" s="458"/>
      <c r="BM223" s="458"/>
      <c r="BN223" s="458"/>
      <c r="BO223" s="866">
        <f>VLOOKUP(BD223,$BD$4:$BN$12824,3,0)*BE223</f>
        <v>2125233.147190792</v>
      </c>
      <c r="BP223" s="866"/>
      <c r="BQ223" s="866"/>
      <c r="BR223" s="866">
        <f>VLOOKUP(BD223,$BD$4:$BN$12824,6,0)*BE223</f>
        <v>0</v>
      </c>
      <c r="BS223" s="866">
        <f>VLOOKUP(BD223,$BD$4:$BN$12824,7,0)*BE223</f>
        <v>0</v>
      </c>
      <c r="BT223" s="866"/>
      <c r="BU223" s="866">
        <f>VLOOKUP(BD223,$BD$4:$BN$12824,9,0)*BE223</f>
        <v>0</v>
      </c>
      <c r="BV223" s="867"/>
      <c r="BW223" s="867">
        <f>VLOOKUP(BD223,$BD$4:$BN$12824,11,0)*BE223</f>
        <v>0</v>
      </c>
      <c r="BX223" s="1146">
        <f t="shared" si="43"/>
        <v>2125233.147190792</v>
      </c>
      <c r="BY223" s="867">
        <f t="shared" si="42"/>
        <v>8751315.4999498725</v>
      </c>
      <c r="BZ223" s="867">
        <f t="shared" si="40"/>
        <v>8751315.4999498725</v>
      </c>
      <c r="CA223" s="867">
        <f>_xlfn.MAXIFS($BY$4:$BY$12824,$S$4:$S$12824,$S223)</f>
        <v>0</v>
      </c>
      <c r="CB223" s="1032"/>
      <c r="CF223" s="946">
        <f t="shared" si="41"/>
        <v>5830508.2164000003</v>
      </c>
    </row>
    <row r="224" spans="1:84">
      <c r="A224" s="1032"/>
      <c r="B224" s="839" t="s">
        <v>98</v>
      </c>
      <c r="C224" s="840" t="s">
        <v>99</v>
      </c>
      <c r="D224" s="839" t="s">
        <v>738</v>
      </c>
      <c r="E224" s="839" t="s">
        <v>738</v>
      </c>
      <c r="F224" s="841">
        <v>44937</v>
      </c>
      <c r="G224" s="840" t="s">
        <v>101</v>
      </c>
      <c r="H224" s="842" t="s">
        <v>134</v>
      </c>
      <c r="I224" s="842"/>
      <c r="J224" s="841"/>
      <c r="K224" s="841"/>
      <c r="L224" s="843"/>
      <c r="M224" s="844" t="s">
        <v>107</v>
      </c>
      <c r="N224" s="841"/>
      <c r="O224" s="841" t="s">
        <v>108</v>
      </c>
      <c r="P224" s="841" t="s">
        <v>123</v>
      </c>
      <c r="Q224" s="843" t="s">
        <v>124</v>
      </c>
      <c r="R224" s="845" t="s">
        <v>739</v>
      </c>
      <c r="S224" s="1127" t="s">
        <v>740</v>
      </c>
      <c r="T224" s="843" t="s">
        <v>741</v>
      </c>
      <c r="U224" s="842">
        <v>1</v>
      </c>
      <c r="V224" s="842" t="s">
        <v>3</v>
      </c>
      <c r="W224" s="846"/>
      <c r="X224" s="847">
        <f t="shared" si="35"/>
        <v>0</v>
      </c>
      <c r="Y224" s="848"/>
      <c r="Z224" s="849">
        <v>83</v>
      </c>
      <c r="AA224" s="849"/>
      <c r="AB224" s="849">
        <f t="shared" si="36"/>
        <v>83</v>
      </c>
      <c r="AC224" s="850">
        <f t="shared" si="37"/>
        <v>83</v>
      </c>
      <c r="AD224" s="851"/>
      <c r="AE224" s="852">
        <v>24585.07</v>
      </c>
      <c r="AF224" s="853">
        <v>0</v>
      </c>
      <c r="AG224" s="854">
        <f t="shared" si="38"/>
        <v>0</v>
      </c>
      <c r="AH224" s="853"/>
      <c r="AI224" s="855">
        <f t="shared" si="39"/>
        <v>0</v>
      </c>
      <c r="AJ224" s="845" t="s">
        <v>742</v>
      </c>
      <c r="AK224" s="857" t="s">
        <v>743</v>
      </c>
      <c r="AL224" s="840"/>
      <c r="AM224" s="840"/>
      <c r="AN224" s="858"/>
      <c r="AO224" s="844" t="s">
        <v>116</v>
      </c>
      <c r="AP224" s="859"/>
      <c r="AQ224" s="859"/>
      <c r="AR224" s="859"/>
      <c r="AS224" s="840"/>
      <c r="AT224" s="840"/>
      <c r="AU224" s="860"/>
      <c r="AV224" s="839" t="s">
        <v>744</v>
      </c>
      <c r="AW224" s="861">
        <v>45008</v>
      </c>
      <c r="AX224" s="862" t="s">
        <v>745</v>
      </c>
      <c r="AY224" s="843"/>
      <c r="AZ224" s="842"/>
      <c r="BA224" s="842" t="s">
        <v>120</v>
      </c>
      <c r="BB224" s="863" t="s">
        <v>121</v>
      </c>
      <c r="BC224" s="864">
        <v>45012</v>
      </c>
      <c r="BD224" s="860" t="s">
        <v>746</v>
      </c>
      <c r="BE224" s="865" cm="1">
        <f t="array" ref="BE224">IF(BD224="","",AC224/SUMPRODUCT(--(BD224=$BD$4:$BD$12824),$AC$4:$AC$12824))</f>
        <v>0.47159090909090912</v>
      </c>
      <c r="BF224" s="458"/>
      <c r="BG224" s="458"/>
      <c r="BH224" s="458"/>
      <c r="BI224" s="458"/>
      <c r="BJ224" s="458"/>
      <c r="BK224" s="458"/>
      <c r="BL224" s="458"/>
      <c r="BM224" s="458"/>
      <c r="BN224" s="458"/>
      <c r="BO224" s="866">
        <f>VLOOKUP(BD224,$BD$4:$BN$12824,3,0)*BE224</f>
        <v>0</v>
      </c>
      <c r="BP224" s="866"/>
      <c r="BQ224" s="866"/>
      <c r="BR224" s="866">
        <f>VLOOKUP(BD224,$BD$4:$BN$12824,6,0)*BE224</f>
        <v>0</v>
      </c>
      <c r="BS224" s="866">
        <f>VLOOKUP(BD224,$BD$4:$BN$12824,7,0)*BE224</f>
        <v>0</v>
      </c>
      <c r="BT224" s="866"/>
      <c r="BU224" s="866">
        <f>VLOOKUP(BD224,$BD$4:$BN$12824,9,0)*BE224</f>
        <v>0</v>
      </c>
      <c r="BV224" s="867"/>
      <c r="BW224" s="867">
        <f>VLOOKUP(BD224,$BD$4:$BN$12824,11,0)*BE224</f>
        <v>0</v>
      </c>
      <c r="BX224" s="1146">
        <f t="shared" si="43"/>
        <v>0</v>
      </c>
      <c r="BY224" s="867">
        <f t="shared" si="42"/>
        <v>2040560.81</v>
      </c>
      <c r="BZ224" s="867">
        <f t="shared" si="40"/>
        <v>2040560.81</v>
      </c>
      <c r="CA224" s="867">
        <f>_xlfn.MAXIFS($BY$4:$BY$12824,$S$4:$S$12824,$S224)</f>
        <v>2040560.81</v>
      </c>
      <c r="CB224" s="1032"/>
      <c r="CF224" s="946">
        <f t="shared" si="41"/>
        <v>2040560.81</v>
      </c>
    </row>
    <row r="225" spans="1:84">
      <c r="A225" s="1032"/>
      <c r="B225" s="839" t="s">
        <v>98</v>
      </c>
      <c r="C225" s="840" t="s">
        <v>99</v>
      </c>
      <c r="D225" s="839" t="s">
        <v>738</v>
      </c>
      <c r="E225" s="839" t="s">
        <v>738</v>
      </c>
      <c r="F225" s="841">
        <v>44937</v>
      </c>
      <c r="G225" s="840" t="s">
        <v>101</v>
      </c>
      <c r="H225" s="842" t="s">
        <v>134</v>
      </c>
      <c r="I225" s="842"/>
      <c r="J225" s="841"/>
      <c r="K225" s="841"/>
      <c r="L225" s="843"/>
      <c r="M225" s="844" t="s">
        <v>107</v>
      </c>
      <c r="N225" s="841"/>
      <c r="O225" s="841" t="s">
        <v>108</v>
      </c>
      <c r="P225" s="841" t="s">
        <v>123</v>
      </c>
      <c r="Q225" s="843" t="s">
        <v>124</v>
      </c>
      <c r="R225" s="845" t="s">
        <v>747</v>
      </c>
      <c r="S225" s="1127" t="s">
        <v>748</v>
      </c>
      <c r="T225" s="843" t="s">
        <v>749</v>
      </c>
      <c r="U225" s="842">
        <v>1</v>
      </c>
      <c r="V225" s="842" t="s">
        <v>3</v>
      </c>
      <c r="W225" s="846"/>
      <c r="X225" s="847">
        <f t="shared" si="35"/>
        <v>0</v>
      </c>
      <c r="Y225" s="848"/>
      <c r="Z225" s="849">
        <v>93</v>
      </c>
      <c r="AA225" s="849"/>
      <c r="AB225" s="849">
        <f t="shared" si="36"/>
        <v>93</v>
      </c>
      <c r="AC225" s="850">
        <f t="shared" si="37"/>
        <v>93</v>
      </c>
      <c r="AD225" s="851"/>
      <c r="AE225" s="852">
        <v>24585.07</v>
      </c>
      <c r="AF225" s="853">
        <v>0</v>
      </c>
      <c r="AG225" s="854">
        <f t="shared" si="38"/>
        <v>0</v>
      </c>
      <c r="AH225" s="853"/>
      <c r="AI225" s="855">
        <f t="shared" si="39"/>
        <v>0</v>
      </c>
      <c r="AJ225" s="845" t="s">
        <v>742</v>
      </c>
      <c r="AK225" s="857" t="s">
        <v>743</v>
      </c>
      <c r="AL225" s="840"/>
      <c r="AM225" s="840"/>
      <c r="AN225" s="858"/>
      <c r="AO225" s="844" t="s">
        <v>116</v>
      </c>
      <c r="AP225" s="859"/>
      <c r="AQ225" s="859"/>
      <c r="AR225" s="859"/>
      <c r="AS225" s="840"/>
      <c r="AT225" s="840"/>
      <c r="AU225" s="860"/>
      <c r="AV225" s="839" t="s">
        <v>744</v>
      </c>
      <c r="AW225" s="861">
        <v>45008</v>
      </c>
      <c r="AX225" s="862" t="s">
        <v>745</v>
      </c>
      <c r="AY225" s="843"/>
      <c r="AZ225" s="842"/>
      <c r="BA225" s="842" t="s">
        <v>120</v>
      </c>
      <c r="BB225" s="863" t="s">
        <v>121</v>
      </c>
      <c r="BC225" s="864">
        <v>45012</v>
      </c>
      <c r="BD225" s="860" t="s">
        <v>746</v>
      </c>
      <c r="BE225" s="865" cm="1">
        <f t="array" ref="BE225">IF(BD225="","",AC225/SUMPRODUCT(--(BD225=$BD$4:$BD$12824),$AC$4:$AC$12824))</f>
        <v>0.52840909090909094</v>
      </c>
      <c r="BF225" s="458"/>
      <c r="BG225" s="458"/>
      <c r="BH225" s="458"/>
      <c r="BI225" s="458"/>
      <c r="BJ225" s="458"/>
      <c r="BK225" s="458"/>
      <c r="BL225" s="458"/>
      <c r="BM225" s="458"/>
      <c r="BN225" s="458"/>
      <c r="BO225" s="866">
        <f>VLOOKUP(BD225,$BD$4:$BN$12824,3,0)*BE225</f>
        <v>0</v>
      </c>
      <c r="BP225" s="866"/>
      <c r="BQ225" s="866"/>
      <c r="BR225" s="866">
        <f>VLOOKUP(BD225,$BD$4:$BN$12824,6,0)*BE225</f>
        <v>0</v>
      </c>
      <c r="BS225" s="866">
        <f>VLOOKUP(BD225,$BD$4:$BN$12824,7,0)*BE225</f>
        <v>0</v>
      </c>
      <c r="BT225" s="866"/>
      <c r="BU225" s="866">
        <f>VLOOKUP(BD225,$BD$4:$BN$12824,9,0)*BE225</f>
        <v>0</v>
      </c>
      <c r="BV225" s="867"/>
      <c r="BW225" s="867">
        <f>VLOOKUP(BD225,$BD$4:$BN$12824,11,0)*BE225</f>
        <v>0</v>
      </c>
      <c r="BX225" s="1146">
        <f t="shared" si="43"/>
        <v>0</v>
      </c>
      <c r="BY225" s="867">
        <f t="shared" si="42"/>
        <v>2286411.5099999998</v>
      </c>
      <c r="BZ225" s="867">
        <f t="shared" si="40"/>
        <v>2286411.5099999998</v>
      </c>
      <c r="CA225" s="867">
        <f>_xlfn.MAXIFS($BY$4:$BY$12824,$S$4:$S$12824,$S225)</f>
        <v>2286411.5099999998</v>
      </c>
      <c r="CB225" s="1032"/>
      <c r="CF225" s="946">
        <f t="shared" si="41"/>
        <v>2286411.5099999998</v>
      </c>
    </row>
    <row r="226" spans="1:84">
      <c r="A226" s="1032"/>
      <c r="B226" s="839" t="s">
        <v>98</v>
      </c>
      <c r="C226" s="839" t="s">
        <v>532</v>
      </c>
      <c r="D226" s="839" t="s">
        <v>750</v>
      </c>
      <c r="E226" s="839" t="s">
        <v>750</v>
      </c>
      <c r="F226" s="841">
        <v>44971</v>
      </c>
      <c r="G226" s="840" t="s">
        <v>534</v>
      </c>
      <c r="H226" s="842" t="s">
        <v>102</v>
      </c>
      <c r="I226" s="842"/>
      <c r="J226" s="841"/>
      <c r="K226" s="841"/>
      <c r="L226" s="843"/>
      <c r="M226" s="844" t="s">
        <v>535</v>
      </c>
      <c r="N226" s="841"/>
      <c r="O226" s="841" t="s">
        <v>108</v>
      </c>
      <c r="P226" s="841" t="s">
        <v>109</v>
      </c>
      <c r="Q226" s="843"/>
      <c r="R226" s="845" t="s">
        <v>751</v>
      </c>
      <c r="S226" s="1127" t="s">
        <v>752</v>
      </c>
      <c r="T226" s="843" t="s">
        <v>753</v>
      </c>
      <c r="U226" s="842">
        <v>1</v>
      </c>
      <c r="V226" s="842" t="s">
        <v>3</v>
      </c>
      <c r="W226" s="846"/>
      <c r="X226" s="847">
        <f t="shared" si="35"/>
        <v>0</v>
      </c>
      <c r="Y226" s="848"/>
      <c r="Z226" s="849">
        <v>194</v>
      </c>
      <c r="AA226" s="849"/>
      <c r="AB226" s="849">
        <f t="shared" si="36"/>
        <v>194</v>
      </c>
      <c r="AC226" s="850">
        <f t="shared" si="37"/>
        <v>194</v>
      </c>
      <c r="AD226" s="851"/>
      <c r="AE226" s="852">
        <v>24585.07</v>
      </c>
      <c r="AF226" s="853">
        <v>0</v>
      </c>
      <c r="AG226" s="854">
        <f t="shared" si="38"/>
        <v>0</v>
      </c>
      <c r="AH226" s="853"/>
      <c r="AI226" s="855">
        <f t="shared" si="39"/>
        <v>0</v>
      </c>
      <c r="AJ226" s="845" t="s">
        <v>754</v>
      </c>
      <c r="AK226" s="857" t="s">
        <v>755</v>
      </c>
      <c r="AL226" s="840"/>
      <c r="AM226" s="840"/>
      <c r="AN226" s="858"/>
      <c r="AO226" s="844" t="s">
        <v>116</v>
      </c>
      <c r="AP226" s="859"/>
      <c r="AQ226" s="859"/>
      <c r="AR226" s="859"/>
      <c r="AS226" s="840"/>
      <c r="AT226" s="840"/>
      <c r="AU226" s="860"/>
      <c r="AV226" s="839" t="s">
        <v>756</v>
      </c>
      <c r="AW226" s="861">
        <v>45007</v>
      </c>
      <c r="AX226" s="862" t="s">
        <v>757</v>
      </c>
      <c r="AY226" s="843"/>
      <c r="AZ226" s="842"/>
      <c r="BA226" s="842" t="s">
        <v>120</v>
      </c>
      <c r="BB226" s="863" t="s">
        <v>121</v>
      </c>
      <c r="BC226" s="864">
        <v>45009</v>
      </c>
      <c r="BD226" s="860" t="s">
        <v>758</v>
      </c>
      <c r="BE226" s="865" cm="1">
        <f t="array" ref="BE226">IF(BD226="","",AC226/SUMPRODUCT(--(BD226=$BD$4:$BD$12824),$AC$4:$AC$12824))</f>
        <v>1</v>
      </c>
      <c r="BF226" s="458"/>
      <c r="BG226" s="458"/>
      <c r="BH226" s="458"/>
      <c r="BI226" s="458"/>
      <c r="BJ226" s="458"/>
      <c r="BK226" s="458"/>
      <c r="BL226" s="458"/>
      <c r="BM226" s="458"/>
      <c r="BN226" s="458"/>
      <c r="BO226" s="866">
        <f>VLOOKUP(BD226,$BD$4:$BN$12824,3,0)*BE226</f>
        <v>0</v>
      </c>
      <c r="BP226" s="866"/>
      <c r="BQ226" s="866"/>
      <c r="BR226" s="866">
        <f>VLOOKUP(BD226,$BD$4:$BN$12824,6,0)*BE226</f>
        <v>0</v>
      </c>
      <c r="BS226" s="866">
        <f>VLOOKUP(BD226,$BD$4:$BN$12824,7,0)*BE226</f>
        <v>0</v>
      </c>
      <c r="BT226" s="866"/>
      <c r="BU226" s="866">
        <f>VLOOKUP(BD226,$BD$4:$BN$12824,9,0)*BE226</f>
        <v>0</v>
      </c>
      <c r="BV226" s="867"/>
      <c r="BW226" s="867">
        <f>VLOOKUP(BD226,$BD$4:$BN$12824,11,0)*BE226</f>
        <v>0</v>
      </c>
      <c r="BX226" s="1146">
        <f>SUM(BO226:BW226)</f>
        <v>0</v>
      </c>
      <c r="BY226" s="867">
        <f t="shared" si="42"/>
        <v>4769503.58</v>
      </c>
      <c r="BZ226" s="867">
        <f t="shared" si="40"/>
        <v>4769503.58</v>
      </c>
      <c r="CA226" s="867">
        <f>_xlfn.MAXIFS($BY$4:$BY$12824,$S$4:$S$12824,$S226)</f>
        <v>4815175.0600000005</v>
      </c>
      <c r="CB226" s="1032"/>
      <c r="CF226" s="946">
        <f t="shared" si="41"/>
        <v>4769503.58</v>
      </c>
    </row>
    <row r="227" spans="1:84">
      <c r="A227" s="1032"/>
      <c r="B227" s="839" t="s">
        <v>98</v>
      </c>
      <c r="C227" s="839" t="s">
        <v>759</v>
      </c>
      <c r="D227" s="839" t="s">
        <v>760</v>
      </c>
      <c r="E227" s="839" t="s">
        <v>760</v>
      </c>
      <c r="F227" s="841">
        <v>44873</v>
      </c>
      <c r="G227" s="840" t="s">
        <v>759</v>
      </c>
      <c r="H227" s="842" t="s">
        <v>102</v>
      </c>
      <c r="I227" s="842"/>
      <c r="J227" s="841"/>
      <c r="K227" s="841"/>
      <c r="L227" s="843"/>
      <c r="M227" s="844" t="s">
        <v>107</v>
      </c>
      <c r="N227" s="841"/>
      <c r="O227" s="841" t="s">
        <v>135</v>
      </c>
      <c r="P227" s="841" t="s">
        <v>182</v>
      </c>
      <c r="Q227" s="843"/>
      <c r="R227" s="845" t="s">
        <v>761</v>
      </c>
      <c r="S227" s="1127" t="s">
        <v>762</v>
      </c>
      <c r="T227" s="843" t="s">
        <v>763</v>
      </c>
      <c r="U227" s="842">
        <v>1</v>
      </c>
      <c r="V227" s="842" t="s">
        <v>3</v>
      </c>
      <c r="W227" s="846"/>
      <c r="X227" s="847">
        <f t="shared" si="35"/>
        <v>0</v>
      </c>
      <c r="Y227" s="848"/>
      <c r="Z227" s="849">
        <v>363</v>
      </c>
      <c r="AA227" s="849"/>
      <c r="AB227" s="849">
        <f t="shared" si="36"/>
        <v>363</v>
      </c>
      <c r="AC227" s="850">
        <f t="shared" si="37"/>
        <v>363</v>
      </c>
      <c r="AD227" s="851"/>
      <c r="AE227" s="852">
        <v>24820.49</v>
      </c>
      <c r="AF227" s="853">
        <v>0.15</v>
      </c>
      <c r="AG227" s="854">
        <f t="shared" si="38"/>
        <v>1882173.8631401449</v>
      </c>
      <c r="AH227" s="853"/>
      <c r="AI227" s="855">
        <f t="shared" si="39"/>
        <v>0</v>
      </c>
      <c r="AJ227" s="845" t="s">
        <v>764</v>
      </c>
      <c r="AK227" s="857" t="s">
        <v>765</v>
      </c>
      <c r="AL227" s="840"/>
      <c r="AM227" s="840"/>
      <c r="AN227" s="858"/>
      <c r="AO227" s="844" t="s">
        <v>116</v>
      </c>
      <c r="AP227" s="859"/>
      <c r="AQ227" s="859"/>
      <c r="AR227" s="859"/>
      <c r="AS227" s="840"/>
      <c r="AT227" s="840"/>
      <c r="AU227" s="860"/>
      <c r="AV227" s="839" t="s">
        <v>766</v>
      </c>
      <c r="AW227" s="861">
        <v>44994</v>
      </c>
      <c r="AX227" s="862" t="s">
        <v>767</v>
      </c>
      <c r="AY227" s="843"/>
      <c r="AZ227" s="842"/>
      <c r="BA227" s="842" t="s">
        <v>120</v>
      </c>
      <c r="BB227" s="863" t="s">
        <v>121</v>
      </c>
      <c r="BC227" s="864">
        <v>44994</v>
      </c>
      <c r="BD227" s="860" t="s">
        <v>768</v>
      </c>
      <c r="BE227" s="865" cm="1">
        <f t="array" ref="BE227">IF(BD227="","",AC227/SUMPRODUCT(--(BD227=$BD$4:$BD$12824),$AC$4:$AC$12824))</f>
        <v>0.29837251356238698</v>
      </c>
      <c r="BF227" s="458">
        <v>11857620</v>
      </c>
      <c r="BG227" s="458"/>
      <c r="BH227" s="458"/>
      <c r="BI227" s="458">
        <f>(707053+848463)</f>
        <v>1555516</v>
      </c>
      <c r="BJ227" s="458"/>
      <c r="BK227" s="458"/>
      <c r="BL227" s="458"/>
      <c r="BM227" s="458"/>
      <c r="BN227" s="458">
        <f>2750000</f>
        <v>2750000</v>
      </c>
      <c r="BO227" s="866">
        <f>VLOOKUP(BD227,$BD$4:$BN$12824,3,0)*BE227</f>
        <v>3537987.884267631</v>
      </c>
      <c r="BP227" s="866"/>
      <c r="BQ227" s="866"/>
      <c r="BR227" s="866">
        <f>VLOOKUP(BD227,$BD$4:$BN$12824,6,0)*BE227</f>
        <v>464123.21880650992</v>
      </c>
      <c r="BS227" s="866">
        <f>VLOOKUP(BD227,$BD$4:$BN$12824,7,0)*BE227</f>
        <v>0</v>
      </c>
      <c r="BT227" s="866"/>
      <c r="BU227" s="866">
        <f>VLOOKUP(BD227,$BD$4:$BN$12824,9,0)*BE227</f>
        <v>0</v>
      </c>
      <c r="BV227" s="867"/>
      <c r="BW227" s="867">
        <f>VLOOKUP(BD227,$BD$4:$BN$12824,11,0)*BE227</f>
        <v>820524.4122965642</v>
      </c>
      <c r="BX227" s="1146">
        <f t="shared" ref="BX227:BX229" si="44">SUM(BO227:BW227)</f>
        <v>4822635.5153707052</v>
      </c>
      <c r="BY227" s="867">
        <f t="shared" si="42"/>
        <v>15714647.248510852</v>
      </c>
      <c r="BZ227" s="867">
        <f t="shared" si="40"/>
        <v>15714647.248510852</v>
      </c>
      <c r="CA227" s="867">
        <f>_xlfn.MAXIFS($BY$4:$BY$12824,$S$4:$S$12824,$S227)</f>
        <v>15714647.248510852</v>
      </c>
      <c r="CB227" s="1032"/>
      <c r="CF227" s="946">
        <f t="shared" si="41"/>
        <v>9009837.870000001</v>
      </c>
    </row>
    <row r="228" spans="1:84">
      <c r="A228" s="1032"/>
      <c r="B228" s="839" t="s">
        <v>98</v>
      </c>
      <c r="C228" s="839" t="s">
        <v>759</v>
      </c>
      <c r="D228" s="839" t="s">
        <v>760</v>
      </c>
      <c r="E228" s="839" t="s">
        <v>760</v>
      </c>
      <c r="F228" s="841">
        <v>44873</v>
      </c>
      <c r="G228" s="840" t="s">
        <v>759</v>
      </c>
      <c r="H228" s="842" t="s">
        <v>102</v>
      </c>
      <c r="I228" s="842"/>
      <c r="J228" s="841"/>
      <c r="K228" s="841"/>
      <c r="L228" s="843"/>
      <c r="M228" s="844" t="s">
        <v>107</v>
      </c>
      <c r="N228" s="841"/>
      <c r="O228" s="841" t="s">
        <v>135</v>
      </c>
      <c r="P228" s="841" t="s">
        <v>182</v>
      </c>
      <c r="Q228" s="843"/>
      <c r="R228" s="845" t="s">
        <v>769</v>
      </c>
      <c r="S228" s="1127" t="s">
        <v>770</v>
      </c>
      <c r="T228" s="843" t="s">
        <v>771</v>
      </c>
      <c r="U228" s="842">
        <v>1</v>
      </c>
      <c r="V228" s="842" t="s">
        <v>3</v>
      </c>
      <c r="W228" s="846"/>
      <c r="X228" s="847">
        <f t="shared" si="35"/>
        <v>0</v>
      </c>
      <c r="Y228" s="848"/>
      <c r="Z228" s="849">
        <v>414.7</v>
      </c>
      <c r="AA228" s="849"/>
      <c r="AB228" s="849">
        <f t="shared" si="36"/>
        <v>414.7</v>
      </c>
      <c r="AC228" s="850">
        <f t="shared" si="37"/>
        <v>414.7</v>
      </c>
      <c r="AD228" s="851"/>
      <c r="AE228" s="852">
        <v>24820.49</v>
      </c>
      <c r="AF228" s="853">
        <v>0.15</v>
      </c>
      <c r="AG228" s="854">
        <f t="shared" si="38"/>
        <v>2150241.0497085894</v>
      </c>
      <c r="AH228" s="853"/>
      <c r="AI228" s="855">
        <f t="shared" si="39"/>
        <v>0</v>
      </c>
      <c r="AJ228" s="845" t="s">
        <v>764</v>
      </c>
      <c r="AK228" s="857" t="s">
        <v>765</v>
      </c>
      <c r="AL228" s="840"/>
      <c r="AM228" s="840"/>
      <c r="AN228" s="858"/>
      <c r="AO228" s="844" t="s">
        <v>116</v>
      </c>
      <c r="AP228" s="859"/>
      <c r="AQ228" s="859"/>
      <c r="AR228" s="859"/>
      <c r="AS228" s="840"/>
      <c r="AT228" s="840"/>
      <c r="AU228" s="860"/>
      <c r="AV228" s="839" t="s">
        <v>766</v>
      </c>
      <c r="AW228" s="861">
        <v>44994</v>
      </c>
      <c r="AX228" s="862" t="s">
        <v>767</v>
      </c>
      <c r="AY228" s="843"/>
      <c r="AZ228" s="842"/>
      <c r="BA228" s="842" t="s">
        <v>120</v>
      </c>
      <c r="BB228" s="863" t="s">
        <v>121</v>
      </c>
      <c r="BC228" s="864">
        <v>44994</v>
      </c>
      <c r="BD228" s="860" t="s">
        <v>768</v>
      </c>
      <c r="BE228" s="865" cm="1">
        <f t="array" ref="BE228">IF(BD228="","",AC228/SUMPRODUCT(--(BD228=$BD$4:$BD$12824),$AC$4:$AC$12824))</f>
        <v>0.34086799276672697</v>
      </c>
      <c r="BF228" s="458"/>
      <c r="BG228" s="458"/>
      <c r="BH228" s="458"/>
      <c r="BI228" s="458"/>
      <c r="BJ228" s="458"/>
      <c r="BK228" s="458"/>
      <c r="BL228" s="458"/>
      <c r="BM228" s="458"/>
      <c r="BN228" s="458"/>
      <c r="BO228" s="866">
        <f>VLOOKUP(BD228,$BD$4:$BN$12824,3,0)*BE228</f>
        <v>4041883.1283905972</v>
      </c>
      <c r="BP228" s="866"/>
      <c r="BQ228" s="866"/>
      <c r="BR228" s="866">
        <f>VLOOKUP(BD228,$BD$4:$BN$12824,6,0)*BE228</f>
        <v>530225.61663652805</v>
      </c>
      <c r="BS228" s="866">
        <f>VLOOKUP(BD228,$BD$4:$BN$12824,7,0)*BE228</f>
        <v>0</v>
      </c>
      <c r="BT228" s="866"/>
      <c r="BU228" s="866">
        <f>VLOOKUP(BD228,$BD$4:$BN$12824,9,0)*BE228</f>
        <v>0</v>
      </c>
      <c r="BV228" s="867"/>
      <c r="BW228" s="867">
        <f>VLOOKUP(BD228,$BD$4:$BN$12824,11,0)*BE228</f>
        <v>937386.98010849918</v>
      </c>
      <c r="BX228" s="1146">
        <f t="shared" si="44"/>
        <v>5509495.7251356244</v>
      </c>
      <c r="BY228" s="867">
        <f t="shared" si="42"/>
        <v>17952793.977844216</v>
      </c>
      <c r="BZ228" s="867">
        <f t="shared" si="40"/>
        <v>17952793.977844216</v>
      </c>
      <c r="CA228" s="867">
        <f>_xlfn.MAXIFS($BY$4:$BY$12824,$S$4:$S$12824,$S228)</f>
        <v>17952793.977844216</v>
      </c>
      <c r="CB228" s="1032"/>
      <c r="CF228" s="946">
        <f t="shared" si="41"/>
        <v>10293057.203</v>
      </c>
    </row>
    <row r="229" spans="1:84">
      <c r="A229" s="1032"/>
      <c r="B229" s="839" t="s">
        <v>98</v>
      </c>
      <c r="C229" s="839" t="s">
        <v>759</v>
      </c>
      <c r="D229" s="839" t="s">
        <v>760</v>
      </c>
      <c r="E229" s="839" t="s">
        <v>760</v>
      </c>
      <c r="F229" s="841">
        <v>44873</v>
      </c>
      <c r="G229" s="840" t="s">
        <v>759</v>
      </c>
      <c r="H229" s="842" t="s">
        <v>102</v>
      </c>
      <c r="I229" s="842"/>
      <c r="J229" s="841"/>
      <c r="K229" s="841"/>
      <c r="L229" s="843"/>
      <c r="M229" s="844" t="s">
        <v>107</v>
      </c>
      <c r="N229" s="841"/>
      <c r="O229" s="841" t="s">
        <v>135</v>
      </c>
      <c r="P229" s="841" t="s">
        <v>182</v>
      </c>
      <c r="Q229" s="843"/>
      <c r="R229" s="845" t="s">
        <v>772</v>
      </c>
      <c r="S229" s="1127" t="s">
        <v>773</v>
      </c>
      <c r="T229" s="843" t="s">
        <v>774</v>
      </c>
      <c r="U229" s="842">
        <v>1</v>
      </c>
      <c r="V229" s="842" t="s">
        <v>3</v>
      </c>
      <c r="W229" s="846"/>
      <c r="X229" s="847">
        <f t="shared" si="35"/>
        <v>0</v>
      </c>
      <c r="Y229" s="848"/>
      <c r="Z229" s="849">
        <v>438.9</v>
      </c>
      <c r="AA229" s="849"/>
      <c r="AB229" s="849">
        <f t="shared" si="36"/>
        <v>438.9</v>
      </c>
      <c r="AC229" s="850">
        <f t="shared" si="37"/>
        <v>438.9</v>
      </c>
      <c r="AD229" s="851"/>
      <c r="AE229" s="852">
        <v>24820.49</v>
      </c>
      <c r="AF229" s="853">
        <v>0.15</v>
      </c>
      <c r="AG229" s="854">
        <f t="shared" si="38"/>
        <v>2275719.3072512657</v>
      </c>
      <c r="AH229" s="853"/>
      <c r="AI229" s="855">
        <f t="shared" si="39"/>
        <v>0</v>
      </c>
      <c r="AJ229" s="845" t="s">
        <v>764</v>
      </c>
      <c r="AK229" s="857" t="s">
        <v>765</v>
      </c>
      <c r="AL229" s="840"/>
      <c r="AM229" s="840"/>
      <c r="AN229" s="858"/>
      <c r="AO229" s="844" t="s">
        <v>116</v>
      </c>
      <c r="AP229" s="859"/>
      <c r="AQ229" s="859"/>
      <c r="AR229" s="859"/>
      <c r="AS229" s="840"/>
      <c r="AT229" s="840"/>
      <c r="AU229" s="860"/>
      <c r="AV229" s="839" t="s">
        <v>766</v>
      </c>
      <c r="AW229" s="861">
        <v>44994</v>
      </c>
      <c r="AX229" s="862" t="s">
        <v>767</v>
      </c>
      <c r="AY229" s="843"/>
      <c r="AZ229" s="842"/>
      <c r="BA229" s="842" t="s">
        <v>120</v>
      </c>
      <c r="BB229" s="863" t="s">
        <v>121</v>
      </c>
      <c r="BC229" s="864">
        <v>44994</v>
      </c>
      <c r="BD229" s="860" t="s">
        <v>768</v>
      </c>
      <c r="BE229" s="865" cm="1">
        <f t="array" ref="BE229">IF(BD229="","",AC229/SUMPRODUCT(--(BD229=$BD$4:$BD$12824),$AC$4:$AC$12824))</f>
        <v>0.36075949367088611</v>
      </c>
      <c r="BF229" s="458"/>
      <c r="BG229" s="458"/>
      <c r="BH229" s="458"/>
      <c r="BI229" s="458"/>
      <c r="BJ229" s="458"/>
      <c r="BK229" s="458"/>
      <c r="BL229" s="458"/>
      <c r="BM229" s="458"/>
      <c r="BN229" s="458"/>
      <c r="BO229" s="866">
        <f>VLOOKUP(BD229,$BD$4:$BN$12824,3,0)*BE229</f>
        <v>4277748.9873417728</v>
      </c>
      <c r="BP229" s="866"/>
      <c r="BQ229" s="866"/>
      <c r="BR229" s="866">
        <f>VLOOKUP(BD229,$BD$4:$BN$12824,6,0)*BE229</f>
        <v>561167.16455696209</v>
      </c>
      <c r="BS229" s="866">
        <f>VLOOKUP(BD229,$BD$4:$BN$12824,7,0)*BE229</f>
        <v>0</v>
      </c>
      <c r="BT229" s="866"/>
      <c r="BU229" s="866">
        <f>VLOOKUP(BD229,$BD$4:$BN$12824,9,0)*BE229</f>
        <v>0</v>
      </c>
      <c r="BV229" s="867"/>
      <c r="BW229" s="867">
        <f>VLOOKUP(BD229,$BD$4:$BN$12824,11,0)*BE229</f>
        <v>992088.60759493685</v>
      </c>
      <c r="BX229" s="1146">
        <f t="shared" si="44"/>
        <v>5831004.7594936723</v>
      </c>
      <c r="BY229" s="867">
        <f t="shared" si="42"/>
        <v>19000437.127744939</v>
      </c>
      <c r="BZ229" s="867">
        <f t="shared" si="40"/>
        <v>19000437.127744939</v>
      </c>
      <c r="CA229" s="867">
        <f>_xlfn.MAXIFS($BY$4:$BY$12824,$S$4:$S$12824,$S229)</f>
        <v>19000437.127744939</v>
      </c>
      <c r="CB229" s="1032"/>
      <c r="CF229" s="946">
        <f t="shared" si="41"/>
        <v>10893713.061000001</v>
      </c>
    </row>
    <row r="230" spans="1:84">
      <c r="A230" s="1032"/>
      <c r="B230" s="839" t="s">
        <v>98</v>
      </c>
      <c r="C230" s="839" t="s">
        <v>532</v>
      </c>
      <c r="D230" s="839" t="s">
        <v>750</v>
      </c>
      <c r="E230" s="839" t="s">
        <v>750</v>
      </c>
      <c r="F230" s="841">
        <v>44971</v>
      </c>
      <c r="G230" s="840" t="s">
        <v>534</v>
      </c>
      <c r="H230" s="842" t="s">
        <v>102</v>
      </c>
      <c r="I230" s="842"/>
      <c r="J230" s="841"/>
      <c r="K230" s="841"/>
      <c r="L230" s="843"/>
      <c r="M230" s="844" t="s">
        <v>107</v>
      </c>
      <c r="N230" s="841"/>
      <c r="O230" s="841" t="s">
        <v>108</v>
      </c>
      <c r="P230" s="841" t="s">
        <v>109</v>
      </c>
      <c r="Q230" s="843"/>
      <c r="R230" s="845" t="s">
        <v>751</v>
      </c>
      <c r="S230" s="1127" t="s">
        <v>752</v>
      </c>
      <c r="T230" s="843" t="s">
        <v>753</v>
      </c>
      <c r="U230" s="842">
        <v>1</v>
      </c>
      <c r="V230" s="842" t="s">
        <v>3</v>
      </c>
      <c r="W230" s="846"/>
      <c r="X230" s="847">
        <f t="shared" si="35"/>
        <v>0</v>
      </c>
      <c r="Y230" s="848"/>
      <c r="Z230" s="849">
        <v>194</v>
      </c>
      <c r="AA230" s="849"/>
      <c r="AB230" s="849">
        <f t="shared" si="36"/>
        <v>194</v>
      </c>
      <c r="AC230" s="850">
        <f t="shared" si="37"/>
        <v>194</v>
      </c>
      <c r="AD230" s="851"/>
      <c r="AE230" s="852">
        <v>24820.49</v>
      </c>
      <c r="AF230" s="853">
        <v>0</v>
      </c>
      <c r="AG230" s="854">
        <f t="shared" si="38"/>
        <v>0</v>
      </c>
      <c r="AH230" s="853"/>
      <c r="AI230" s="855">
        <f t="shared" si="39"/>
        <v>0</v>
      </c>
      <c r="AJ230" s="845" t="s">
        <v>754</v>
      </c>
      <c r="AK230" s="857" t="s">
        <v>755</v>
      </c>
      <c r="AL230" s="840"/>
      <c r="AM230" s="840"/>
      <c r="AN230" s="858"/>
      <c r="AO230" s="844" t="s">
        <v>116</v>
      </c>
      <c r="AP230" s="859"/>
      <c r="AQ230" s="859"/>
      <c r="AR230" s="859"/>
      <c r="AS230" s="840"/>
      <c r="AT230" s="840"/>
      <c r="AU230" s="860"/>
      <c r="AV230" s="839" t="s">
        <v>775</v>
      </c>
      <c r="AW230" s="861">
        <v>44994</v>
      </c>
      <c r="AX230" s="862" t="s">
        <v>767</v>
      </c>
      <c r="AY230" s="843"/>
      <c r="AZ230" s="842"/>
      <c r="BA230" s="842" t="s">
        <v>120</v>
      </c>
      <c r="BB230" s="863" t="s">
        <v>121</v>
      </c>
      <c r="BC230" s="864">
        <v>44994</v>
      </c>
      <c r="BD230" s="860" t="s">
        <v>776</v>
      </c>
      <c r="BE230" s="865" cm="1">
        <f t="array" ref="BE230">IF(BD230="","",AC230/SUMPRODUCT(--(BD230=$BD$4:$BD$12824),$AC$4:$AC$12824))</f>
        <v>1</v>
      </c>
      <c r="BF230" s="458"/>
      <c r="BG230" s="458"/>
      <c r="BH230" s="458"/>
      <c r="BI230" s="458"/>
      <c r="BJ230" s="458"/>
      <c r="BK230" s="458"/>
      <c r="BL230" s="458"/>
      <c r="BM230" s="458"/>
      <c r="BN230" s="458"/>
      <c r="BO230" s="866">
        <f>VLOOKUP(BD230,$BD$4:$BN$12824,3,0)*BE230</f>
        <v>0</v>
      </c>
      <c r="BP230" s="866"/>
      <c r="BQ230" s="866"/>
      <c r="BR230" s="866">
        <f>VLOOKUP(BD230,$BD$4:$BN$12824,6,0)*BE230</f>
        <v>0</v>
      </c>
      <c r="BS230" s="866">
        <f>VLOOKUP(BD230,$BD$4:$BN$12824,7,0)*BE230</f>
        <v>0</v>
      </c>
      <c r="BT230" s="866"/>
      <c r="BU230" s="866">
        <f>VLOOKUP(BD230,$BD$4:$BN$12824,9,0)*BE230</f>
        <v>0</v>
      </c>
      <c r="BV230" s="867"/>
      <c r="BW230" s="867">
        <f>VLOOKUP(BD230,$BD$4:$BN$12824,11,0)*BE230</f>
        <v>0</v>
      </c>
      <c r="BX230" s="1146">
        <f t="shared" ref="BX230" si="45">SUM(BO230:BW230)</f>
        <v>0</v>
      </c>
      <c r="BY230" s="867">
        <f t="shared" si="42"/>
        <v>4815175.0600000005</v>
      </c>
      <c r="BZ230" s="867">
        <f t="shared" si="40"/>
        <v>4815175.0600000005</v>
      </c>
      <c r="CA230" s="867">
        <f>_xlfn.MAXIFS($BY$4:$BY$12824,$S$4:$S$12824,$S230)</f>
        <v>4815175.0600000005</v>
      </c>
      <c r="CB230" s="1032"/>
      <c r="CF230" s="946">
        <f t="shared" si="41"/>
        <v>4815175.0600000005</v>
      </c>
    </row>
    <row r="231" spans="1:84">
      <c r="A231" s="1032"/>
      <c r="B231" s="839" t="s">
        <v>98</v>
      </c>
      <c r="C231" s="839" t="s">
        <v>131</v>
      </c>
      <c r="D231" s="839" t="s">
        <v>777</v>
      </c>
      <c r="E231" s="839" t="s">
        <v>777</v>
      </c>
      <c r="F231" s="841">
        <v>44939</v>
      </c>
      <c r="G231" s="868" t="s">
        <v>149</v>
      </c>
      <c r="H231" s="842" t="s">
        <v>134</v>
      </c>
      <c r="I231" s="842"/>
      <c r="J231" s="841"/>
      <c r="K231" s="841"/>
      <c r="L231" s="843"/>
      <c r="M231" s="844" t="s">
        <v>417</v>
      </c>
      <c r="N231" s="841"/>
      <c r="O231" s="841" t="s">
        <v>108</v>
      </c>
      <c r="P231" s="841" t="s">
        <v>109</v>
      </c>
      <c r="Q231" s="843"/>
      <c r="R231" s="845" t="s">
        <v>778</v>
      </c>
      <c r="S231" s="1127" t="s">
        <v>779</v>
      </c>
      <c r="T231" s="843" t="s">
        <v>780</v>
      </c>
      <c r="U231" s="842">
        <v>5</v>
      </c>
      <c r="V231" s="842" t="s">
        <v>8</v>
      </c>
      <c r="W231" s="846"/>
      <c r="X231" s="847">
        <f t="shared" si="35"/>
        <v>0</v>
      </c>
      <c r="Y231" s="848"/>
      <c r="Z231" s="849">
        <v>940</v>
      </c>
      <c r="AA231" s="849"/>
      <c r="AB231" s="849">
        <f t="shared" si="36"/>
        <v>4700</v>
      </c>
      <c r="AC231" s="850">
        <f t="shared" si="37"/>
        <v>4700</v>
      </c>
      <c r="AD231" s="851"/>
      <c r="AE231" s="852">
        <v>23390</v>
      </c>
      <c r="AF231" s="853">
        <v>0.3</v>
      </c>
      <c r="AG231" s="854">
        <f t="shared" si="38"/>
        <v>32979900</v>
      </c>
      <c r="AH231" s="853"/>
      <c r="AI231" s="855">
        <f t="shared" si="39"/>
        <v>0</v>
      </c>
      <c r="AJ231" s="845" t="s">
        <v>781</v>
      </c>
      <c r="AK231" s="857" t="s">
        <v>782</v>
      </c>
      <c r="AL231" s="840"/>
      <c r="AM231" s="840"/>
      <c r="AN231" s="858"/>
      <c r="AO231" s="844" t="s">
        <v>141</v>
      </c>
      <c r="AP231" s="859"/>
      <c r="AQ231" s="859" t="s">
        <v>783</v>
      </c>
      <c r="AR231" s="859"/>
      <c r="AS231" s="840"/>
      <c r="AT231" s="840"/>
      <c r="AU231" s="860"/>
      <c r="AV231" s="839" t="s">
        <v>784</v>
      </c>
      <c r="AW231" s="861">
        <v>44975</v>
      </c>
      <c r="AX231" s="862" t="s">
        <v>785</v>
      </c>
      <c r="AY231" s="843"/>
      <c r="AZ231" s="842"/>
      <c r="BA231" s="842" t="s">
        <v>120</v>
      </c>
      <c r="BB231" s="863" t="s">
        <v>121</v>
      </c>
      <c r="BC231" s="864">
        <v>44975</v>
      </c>
      <c r="BD231" s="860" t="s">
        <v>786</v>
      </c>
      <c r="BE231" s="865" cm="1">
        <f t="array" ref="BE231">IF(BD231="","",AC231/SUMPRODUCT(--(BD231=$BD$4:$BD$12824),$AC$4:$AC$12824))</f>
        <v>7.8532151873361919E-2</v>
      </c>
      <c r="BF231" s="458"/>
      <c r="BG231" s="458"/>
      <c r="BH231" s="458"/>
      <c r="BI231" s="458">
        <f>(4266000+275000+2370000+1010640+900000+13200000)</f>
        <v>22021640</v>
      </c>
      <c r="BJ231" s="458"/>
      <c r="BK231" s="458"/>
      <c r="BL231" s="458"/>
      <c r="BM231" s="458"/>
      <c r="BN231" s="458"/>
      <c r="BO231" s="866">
        <f>VLOOKUP(BD231,$BD$4:$BN$12824,3,0)*BE231</f>
        <v>0</v>
      </c>
      <c r="BP231" s="866"/>
      <c r="BQ231" s="866"/>
      <c r="BR231" s="866">
        <f>VLOOKUP(BD231,$BD$4:$BN$12824,6,0)*BE231</f>
        <v>1729406.7769805018</v>
      </c>
      <c r="BS231" s="866">
        <f>VLOOKUP(BD231,$BD$4:$BN$12824,7,0)*BE231</f>
        <v>0</v>
      </c>
      <c r="BT231" s="866"/>
      <c r="BU231" s="866">
        <f>VLOOKUP(BD231,$BD$4:$BN$12824,9,0)*BE231</f>
        <v>0</v>
      </c>
      <c r="BV231" s="867"/>
      <c r="BW231" s="867">
        <f>VLOOKUP(BD231,$BD$4:$BN$12824,11,0)*BE231</f>
        <v>0</v>
      </c>
      <c r="BX231" s="1146">
        <f t="shared" ref="BX231:BX284" si="46">SUM(BO231:BW231)</f>
        <v>1729406.7769805018</v>
      </c>
      <c r="BY231" s="867">
        <f t="shared" si="42"/>
        <v>28928461.355396099</v>
      </c>
      <c r="BZ231" s="867">
        <f t="shared" si="40"/>
        <v>144642306.77698049</v>
      </c>
      <c r="CA231" s="867">
        <f>_xlfn.MAXIFS($BY$4:$BY$12824,$S$4:$S$12824,$S231)</f>
        <v>28928461.355396099</v>
      </c>
      <c r="CB231" s="1032"/>
      <c r="CC231" s="999" t="s">
        <v>787</v>
      </c>
      <c r="CF231" s="946">
        <f t="shared" si="41"/>
        <v>109933000</v>
      </c>
    </row>
    <row r="232" spans="1:84">
      <c r="A232" s="1032"/>
      <c r="B232" s="839" t="s">
        <v>98</v>
      </c>
      <c r="C232" s="839" t="s">
        <v>131</v>
      </c>
      <c r="D232" s="839" t="s">
        <v>777</v>
      </c>
      <c r="E232" s="839" t="s">
        <v>777</v>
      </c>
      <c r="F232" s="841">
        <v>44939</v>
      </c>
      <c r="G232" s="868" t="s">
        <v>149</v>
      </c>
      <c r="H232" s="842" t="s">
        <v>134</v>
      </c>
      <c r="I232" s="842"/>
      <c r="J232" s="841"/>
      <c r="K232" s="841"/>
      <c r="L232" s="843"/>
      <c r="M232" s="844" t="s">
        <v>417</v>
      </c>
      <c r="N232" s="841"/>
      <c r="O232" s="841" t="s">
        <v>108</v>
      </c>
      <c r="P232" s="841" t="s">
        <v>109</v>
      </c>
      <c r="Q232" s="843"/>
      <c r="R232" s="845" t="s">
        <v>788</v>
      </c>
      <c r="S232" s="1127" t="s">
        <v>789</v>
      </c>
      <c r="T232" s="843" t="s">
        <v>790</v>
      </c>
      <c r="U232" s="842">
        <v>3</v>
      </c>
      <c r="V232" s="842" t="s">
        <v>8</v>
      </c>
      <c r="W232" s="846"/>
      <c r="X232" s="847">
        <f t="shared" si="35"/>
        <v>0</v>
      </c>
      <c r="Y232" s="848"/>
      <c r="Z232" s="849">
        <v>1180</v>
      </c>
      <c r="AA232" s="849"/>
      <c r="AB232" s="849">
        <f t="shared" si="36"/>
        <v>3540</v>
      </c>
      <c r="AC232" s="850">
        <f t="shared" si="37"/>
        <v>3540</v>
      </c>
      <c r="AD232" s="851"/>
      <c r="AE232" s="852">
        <v>23390</v>
      </c>
      <c r="AF232" s="853">
        <v>0.3</v>
      </c>
      <c r="AG232" s="854">
        <f t="shared" si="38"/>
        <v>24840180</v>
      </c>
      <c r="AH232" s="853"/>
      <c r="AI232" s="855">
        <f t="shared" si="39"/>
        <v>0</v>
      </c>
      <c r="AJ232" s="845" t="s">
        <v>781</v>
      </c>
      <c r="AK232" s="857" t="s">
        <v>782</v>
      </c>
      <c r="AL232" s="840"/>
      <c r="AM232" s="840"/>
      <c r="AN232" s="858"/>
      <c r="AO232" s="844" t="s">
        <v>141</v>
      </c>
      <c r="AP232" s="859"/>
      <c r="AQ232" s="859" t="s">
        <v>783</v>
      </c>
      <c r="AR232" s="859"/>
      <c r="AS232" s="840"/>
      <c r="AT232" s="840"/>
      <c r="AU232" s="860"/>
      <c r="AV232" s="839" t="s">
        <v>784</v>
      </c>
      <c r="AW232" s="861">
        <v>44975</v>
      </c>
      <c r="AX232" s="862" t="s">
        <v>785</v>
      </c>
      <c r="AY232" s="843"/>
      <c r="AZ232" s="842"/>
      <c r="BA232" s="842" t="s">
        <v>120</v>
      </c>
      <c r="BB232" s="863" t="s">
        <v>121</v>
      </c>
      <c r="BC232" s="864">
        <v>44975</v>
      </c>
      <c r="BD232" s="860" t="s">
        <v>786</v>
      </c>
      <c r="BE232" s="865" cm="1">
        <f t="array" ref="BE232">IF(BD232="","",AC232/SUMPRODUCT(--(BD232=$BD$4:$BD$12824),$AC$4:$AC$12824))</f>
        <v>5.9149748432276855E-2</v>
      </c>
      <c r="BF232" s="458"/>
      <c r="BG232" s="458"/>
      <c r="BH232" s="458"/>
      <c r="BI232" s="458"/>
      <c r="BJ232" s="458"/>
      <c r="BK232" s="458"/>
      <c r="BL232" s="458"/>
      <c r="BM232" s="458"/>
      <c r="BN232" s="458"/>
      <c r="BO232" s="866">
        <f>VLOOKUP(BD232,$BD$4:$BN$12824,3,0)*BE232</f>
        <v>0</v>
      </c>
      <c r="BP232" s="866"/>
      <c r="BQ232" s="866"/>
      <c r="BR232" s="866">
        <f>VLOOKUP(BD232,$BD$4:$BN$12824,6,0)*BE232</f>
        <v>1302574.4660661654</v>
      </c>
      <c r="BS232" s="866">
        <f>VLOOKUP(BD232,$BD$4:$BN$12824,7,0)*BE232</f>
        <v>0</v>
      </c>
      <c r="BT232" s="866"/>
      <c r="BU232" s="866">
        <f>VLOOKUP(BD232,$BD$4:$BN$12824,9,0)*BE232</f>
        <v>0</v>
      </c>
      <c r="BV232" s="867"/>
      <c r="BW232" s="867">
        <f>VLOOKUP(BD232,$BD$4:$BN$12824,11,0)*BE232</f>
        <v>0</v>
      </c>
      <c r="BX232" s="1146">
        <f t="shared" si="46"/>
        <v>1302574.4660661654</v>
      </c>
      <c r="BY232" s="867">
        <f t="shared" si="42"/>
        <v>36314451.488688722</v>
      </c>
      <c r="BZ232" s="867">
        <f t="shared" si="40"/>
        <v>108943354.46606617</v>
      </c>
      <c r="CA232" s="867">
        <f>_xlfn.MAXIFS($BY$4:$BY$12824,$S$4:$S$12824,$S232)</f>
        <v>36314451.488688722</v>
      </c>
      <c r="CB232" s="1032"/>
      <c r="CC232" s="999" t="s">
        <v>791</v>
      </c>
      <c r="CF232" s="946">
        <f t="shared" si="41"/>
        <v>82800600</v>
      </c>
    </row>
    <row r="233" spans="1:84">
      <c r="A233" s="1032"/>
      <c r="B233" s="839" t="s">
        <v>98</v>
      </c>
      <c r="C233" s="839" t="s">
        <v>131</v>
      </c>
      <c r="D233" s="839" t="s">
        <v>777</v>
      </c>
      <c r="E233" s="839" t="s">
        <v>777</v>
      </c>
      <c r="F233" s="841">
        <v>44939</v>
      </c>
      <c r="G233" s="868" t="s">
        <v>149</v>
      </c>
      <c r="H233" s="842" t="s">
        <v>134</v>
      </c>
      <c r="I233" s="842"/>
      <c r="J233" s="841"/>
      <c r="K233" s="841"/>
      <c r="L233" s="843"/>
      <c r="M233" s="844" t="s">
        <v>417</v>
      </c>
      <c r="N233" s="841"/>
      <c r="O233" s="841" t="s">
        <v>108</v>
      </c>
      <c r="P233" s="841" t="s">
        <v>109</v>
      </c>
      <c r="Q233" s="843"/>
      <c r="R233" s="845" t="s">
        <v>792</v>
      </c>
      <c r="S233" s="1127" t="s">
        <v>793</v>
      </c>
      <c r="T233" s="843" t="s">
        <v>794</v>
      </c>
      <c r="U233" s="842">
        <v>5</v>
      </c>
      <c r="V233" s="842" t="s">
        <v>8</v>
      </c>
      <c r="W233" s="846"/>
      <c r="X233" s="847">
        <f t="shared" si="35"/>
        <v>0</v>
      </c>
      <c r="Y233" s="848"/>
      <c r="Z233" s="849">
        <v>1180</v>
      </c>
      <c r="AA233" s="849"/>
      <c r="AB233" s="849">
        <f t="shared" si="36"/>
        <v>5900</v>
      </c>
      <c r="AC233" s="850">
        <f t="shared" si="37"/>
        <v>5900</v>
      </c>
      <c r="AD233" s="851"/>
      <c r="AE233" s="852">
        <v>23390</v>
      </c>
      <c r="AF233" s="853">
        <v>0.3</v>
      </c>
      <c r="AG233" s="854">
        <f t="shared" si="38"/>
        <v>41400300</v>
      </c>
      <c r="AH233" s="853"/>
      <c r="AI233" s="855">
        <f t="shared" si="39"/>
        <v>0</v>
      </c>
      <c r="AJ233" s="845" t="s">
        <v>781</v>
      </c>
      <c r="AK233" s="857" t="s">
        <v>782</v>
      </c>
      <c r="AL233" s="840"/>
      <c r="AM233" s="840"/>
      <c r="AN233" s="858"/>
      <c r="AO233" s="844" t="s">
        <v>141</v>
      </c>
      <c r="AP233" s="859"/>
      <c r="AQ233" s="859" t="s">
        <v>783</v>
      </c>
      <c r="AR233" s="859"/>
      <c r="AS233" s="840"/>
      <c r="AT233" s="840"/>
      <c r="AU233" s="860"/>
      <c r="AV233" s="839" t="s">
        <v>784</v>
      </c>
      <c r="AW233" s="861">
        <v>44975</v>
      </c>
      <c r="AX233" s="862" t="s">
        <v>785</v>
      </c>
      <c r="AY233" s="843"/>
      <c r="AZ233" s="842"/>
      <c r="BA233" s="842" t="s">
        <v>120</v>
      </c>
      <c r="BB233" s="863" t="s">
        <v>121</v>
      </c>
      <c r="BC233" s="864">
        <v>44975</v>
      </c>
      <c r="BD233" s="860" t="s">
        <v>786</v>
      </c>
      <c r="BE233" s="865" cm="1">
        <f t="array" ref="BE233">IF(BD233="","",AC233/SUMPRODUCT(--(BD233=$BD$4:$BD$12824),$AC$4:$AC$12824))</f>
        <v>9.8582914053794754E-2</v>
      </c>
      <c r="BF233" s="458"/>
      <c r="BG233" s="458"/>
      <c r="BH233" s="458"/>
      <c r="BI233" s="458"/>
      <c r="BJ233" s="458"/>
      <c r="BK233" s="458"/>
      <c r="BL233" s="458"/>
      <c r="BM233" s="458"/>
      <c r="BN233" s="458"/>
      <c r="BO233" s="866">
        <f>VLOOKUP(BD233,$BD$4:$BN$12824,3,0)*BE233</f>
        <v>0</v>
      </c>
      <c r="BP233" s="866"/>
      <c r="BQ233" s="866"/>
      <c r="BR233" s="866">
        <f>VLOOKUP(BD233,$BD$4:$BN$12824,6,0)*BE233</f>
        <v>2170957.4434436089</v>
      </c>
      <c r="BS233" s="866">
        <f>VLOOKUP(BD233,$BD$4:$BN$12824,7,0)*BE233</f>
        <v>0</v>
      </c>
      <c r="BT233" s="866"/>
      <c r="BU233" s="866">
        <f>VLOOKUP(BD233,$BD$4:$BN$12824,9,0)*BE233</f>
        <v>0</v>
      </c>
      <c r="BV233" s="867"/>
      <c r="BW233" s="867">
        <f>VLOOKUP(BD233,$BD$4:$BN$12824,11,0)*BE233</f>
        <v>0</v>
      </c>
      <c r="BX233" s="1146">
        <f t="shared" si="46"/>
        <v>2170957.4434436089</v>
      </c>
      <c r="BY233" s="867">
        <f t="shared" si="42"/>
        <v>36314451.488688722</v>
      </c>
      <c r="BZ233" s="867">
        <f t="shared" si="40"/>
        <v>181572257.4434436</v>
      </c>
      <c r="CA233" s="867">
        <f>_xlfn.MAXIFS($BY$4:$BY$12824,$S$4:$S$12824,$S233)</f>
        <v>36314451.488688722</v>
      </c>
      <c r="CB233" s="1032"/>
      <c r="CC233" s="999" t="s">
        <v>791</v>
      </c>
      <c r="CF233" s="946">
        <f t="shared" si="41"/>
        <v>138001000</v>
      </c>
    </row>
    <row r="234" spans="1:84">
      <c r="A234" s="1032"/>
      <c r="B234" s="839" t="s">
        <v>98</v>
      </c>
      <c r="C234" s="839" t="s">
        <v>131</v>
      </c>
      <c r="D234" s="839" t="s">
        <v>777</v>
      </c>
      <c r="E234" s="839" t="s">
        <v>777</v>
      </c>
      <c r="F234" s="841">
        <v>44939</v>
      </c>
      <c r="G234" s="868" t="s">
        <v>149</v>
      </c>
      <c r="H234" s="842" t="s">
        <v>134</v>
      </c>
      <c r="I234" s="842"/>
      <c r="J234" s="841"/>
      <c r="K234" s="841"/>
      <c r="L234" s="843"/>
      <c r="M234" s="844" t="s">
        <v>417</v>
      </c>
      <c r="N234" s="841"/>
      <c r="O234" s="841" t="s">
        <v>108</v>
      </c>
      <c r="P234" s="841" t="s">
        <v>109</v>
      </c>
      <c r="Q234" s="843"/>
      <c r="R234" s="845" t="s">
        <v>795</v>
      </c>
      <c r="S234" s="1127" t="s">
        <v>796</v>
      </c>
      <c r="T234" s="843" t="s">
        <v>797</v>
      </c>
      <c r="U234" s="842">
        <v>1</v>
      </c>
      <c r="V234" s="842" t="s">
        <v>8</v>
      </c>
      <c r="W234" s="846"/>
      <c r="X234" s="847">
        <f t="shared" si="35"/>
        <v>0</v>
      </c>
      <c r="Y234" s="848"/>
      <c r="Z234" s="849">
        <v>1377.38</v>
      </c>
      <c r="AA234" s="849"/>
      <c r="AB234" s="849">
        <f t="shared" si="36"/>
        <v>1377.38</v>
      </c>
      <c r="AC234" s="850">
        <f t="shared" si="37"/>
        <v>1377.38</v>
      </c>
      <c r="AD234" s="851"/>
      <c r="AE234" s="852">
        <v>23390</v>
      </c>
      <c r="AF234" s="853">
        <v>0.3</v>
      </c>
      <c r="AG234" s="854">
        <f t="shared" si="38"/>
        <v>9665075.4600000009</v>
      </c>
      <c r="AH234" s="853"/>
      <c r="AI234" s="855">
        <f t="shared" si="39"/>
        <v>0</v>
      </c>
      <c r="AJ234" s="845" t="s">
        <v>781</v>
      </c>
      <c r="AK234" s="857" t="s">
        <v>782</v>
      </c>
      <c r="AL234" s="840"/>
      <c r="AM234" s="840"/>
      <c r="AN234" s="858"/>
      <c r="AO234" s="844" t="s">
        <v>141</v>
      </c>
      <c r="AP234" s="859"/>
      <c r="AQ234" s="859" t="s">
        <v>783</v>
      </c>
      <c r="AR234" s="859"/>
      <c r="AS234" s="840"/>
      <c r="AT234" s="840"/>
      <c r="AU234" s="860"/>
      <c r="AV234" s="839" t="s">
        <v>784</v>
      </c>
      <c r="AW234" s="861">
        <v>44975</v>
      </c>
      <c r="AX234" s="862" t="s">
        <v>785</v>
      </c>
      <c r="AY234" s="843"/>
      <c r="AZ234" s="842"/>
      <c r="BA234" s="842" t="s">
        <v>120</v>
      </c>
      <c r="BB234" s="863" t="s">
        <v>121</v>
      </c>
      <c r="BC234" s="864">
        <v>44975</v>
      </c>
      <c r="BD234" s="860" t="s">
        <v>786</v>
      </c>
      <c r="BE234" s="865" cm="1">
        <f t="array" ref="BE234">IF(BD234="","",AC234/SUMPRODUCT(--(BD234=$BD$4:$BD$12824),$AC$4:$AC$12824))</f>
        <v>2.3014599010070479E-2</v>
      </c>
      <c r="BF234" s="458"/>
      <c r="BG234" s="458"/>
      <c r="BH234" s="458"/>
      <c r="BI234" s="458"/>
      <c r="BJ234" s="458"/>
      <c r="BK234" s="458"/>
      <c r="BL234" s="458"/>
      <c r="BM234" s="458"/>
      <c r="BN234" s="458"/>
      <c r="BO234" s="866">
        <f>VLOOKUP(BD234,$BD$4:$BN$12824,3,0)*BE234</f>
        <v>0</v>
      </c>
      <c r="BP234" s="866"/>
      <c r="BQ234" s="866"/>
      <c r="BR234" s="866">
        <f>VLOOKUP(BD234,$BD$4:$BN$12824,6,0)*BE234</f>
        <v>506819.21414412849</v>
      </c>
      <c r="BS234" s="866">
        <f>VLOOKUP(BD234,$BD$4:$BN$12824,7,0)*BE234</f>
        <v>0</v>
      </c>
      <c r="BT234" s="866"/>
      <c r="BU234" s="866">
        <f>VLOOKUP(BD234,$BD$4:$BN$12824,9,0)*BE234</f>
        <v>0</v>
      </c>
      <c r="BV234" s="867"/>
      <c r="BW234" s="867">
        <f>VLOOKUP(BD234,$BD$4:$BN$12824,11,0)*BE234</f>
        <v>0</v>
      </c>
      <c r="BX234" s="1146">
        <f t="shared" si="46"/>
        <v>506819.21414412849</v>
      </c>
      <c r="BY234" s="867">
        <f t="shared" si="42"/>
        <v>42388812.874144129</v>
      </c>
      <c r="BZ234" s="867">
        <f t="shared" si="40"/>
        <v>42388812.874144129</v>
      </c>
      <c r="CA234" s="867">
        <f>_xlfn.MAXIFS($BY$4:$BY$12824,$S$4:$S$12824,$S234)</f>
        <v>42388812.874144129</v>
      </c>
      <c r="CB234" s="1032"/>
      <c r="CC234" s="999" t="s">
        <v>791</v>
      </c>
      <c r="CF234" s="946">
        <f t="shared" si="41"/>
        <v>32216918.200000003</v>
      </c>
    </row>
    <row r="235" spans="1:84">
      <c r="A235" s="1032"/>
      <c r="B235" s="839" t="s">
        <v>98</v>
      </c>
      <c r="C235" s="839" t="s">
        <v>131</v>
      </c>
      <c r="D235" s="839" t="s">
        <v>777</v>
      </c>
      <c r="E235" s="839" t="s">
        <v>777</v>
      </c>
      <c r="F235" s="841">
        <v>44939</v>
      </c>
      <c r="G235" s="840" t="s">
        <v>155</v>
      </c>
      <c r="H235" s="842" t="s">
        <v>134</v>
      </c>
      <c r="I235" s="842"/>
      <c r="J235" s="841"/>
      <c r="K235" s="841"/>
      <c r="L235" s="843"/>
      <c r="M235" s="844" t="s">
        <v>417</v>
      </c>
      <c r="N235" s="841"/>
      <c r="O235" s="841" t="s">
        <v>108</v>
      </c>
      <c r="P235" s="841" t="s">
        <v>109</v>
      </c>
      <c r="Q235" s="843"/>
      <c r="R235" s="845" t="s">
        <v>798</v>
      </c>
      <c r="S235" s="1127" t="s">
        <v>799</v>
      </c>
      <c r="T235" s="843" t="s">
        <v>800</v>
      </c>
      <c r="U235" s="842">
        <v>4</v>
      </c>
      <c r="V235" s="842" t="s">
        <v>8</v>
      </c>
      <c r="W235" s="846"/>
      <c r="X235" s="847">
        <f t="shared" si="35"/>
        <v>0</v>
      </c>
      <c r="Y235" s="848"/>
      <c r="Z235" s="849">
        <v>120</v>
      </c>
      <c r="AA235" s="849"/>
      <c r="AB235" s="849">
        <f t="shared" si="36"/>
        <v>480</v>
      </c>
      <c r="AC235" s="850">
        <f t="shared" si="37"/>
        <v>480</v>
      </c>
      <c r="AD235" s="851"/>
      <c r="AE235" s="852">
        <v>23390</v>
      </c>
      <c r="AF235" s="853">
        <v>0</v>
      </c>
      <c r="AG235" s="854">
        <f t="shared" si="38"/>
        <v>0</v>
      </c>
      <c r="AH235" s="853"/>
      <c r="AI235" s="855">
        <f t="shared" si="39"/>
        <v>0</v>
      </c>
      <c r="AJ235" s="845" t="s">
        <v>781</v>
      </c>
      <c r="AK235" s="857" t="s">
        <v>782</v>
      </c>
      <c r="AL235" s="840"/>
      <c r="AM235" s="840"/>
      <c r="AN235" s="858"/>
      <c r="AO235" s="844" t="s">
        <v>141</v>
      </c>
      <c r="AP235" s="859"/>
      <c r="AQ235" s="859" t="s">
        <v>783</v>
      </c>
      <c r="AR235" s="859"/>
      <c r="AS235" s="840"/>
      <c r="AT235" s="840"/>
      <c r="AU235" s="860"/>
      <c r="AV235" s="839" t="s">
        <v>784</v>
      </c>
      <c r="AW235" s="861">
        <v>44975</v>
      </c>
      <c r="AX235" s="862" t="s">
        <v>785</v>
      </c>
      <c r="AY235" s="843"/>
      <c r="AZ235" s="842"/>
      <c r="BA235" s="842" t="s">
        <v>120</v>
      </c>
      <c r="BB235" s="863" t="s">
        <v>121</v>
      </c>
      <c r="BC235" s="864">
        <v>44975</v>
      </c>
      <c r="BD235" s="860" t="s">
        <v>786</v>
      </c>
      <c r="BE235" s="865" cm="1">
        <f t="array" ref="BE235">IF(BD235="","",AC235/SUMPRODUCT(--(BD235=$BD$4:$BD$12824),$AC$4:$AC$12824))</f>
        <v>8.020304872173133E-3</v>
      </c>
      <c r="BF235" s="458"/>
      <c r="BG235" s="458"/>
      <c r="BH235" s="458"/>
      <c r="BI235" s="458"/>
      <c r="BJ235" s="458"/>
      <c r="BK235" s="458"/>
      <c r="BL235" s="458"/>
      <c r="BM235" s="458"/>
      <c r="BN235" s="458"/>
      <c r="BO235" s="866">
        <f>VLOOKUP(BD235,$BD$4:$BN$12824,3,0)*BE235</f>
        <v>0</v>
      </c>
      <c r="BP235" s="866"/>
      <c r="BQ235" s="866"/>
      <c r="BR235" s="866">
        <f>VLOOKUP(BD235,$BD$4:$BN$12824,6,0)*BE235</f>
        <v>176620.26658524276</v>
      </c>
      <c r="BS235" s="866">
        <f>VLOOKUP(BD235,$BD$4:$BN$12824,7,0)*BE235</f>
        <v>0</v>
      </c>
      <c r="BT235" s="866"/>
      <c r="BU235" s="866">
        <f>VLOOKUP(BD235,$BD$4:$BN$12824,9,0)*BE235</f>
        <v>0</v>
      </c>
      <c r="BV235" s="867"/>
      <c r="BW235" s="867">
        <f>VLOOKUP(BD235,$BD$4:$BN$12824,11,0)*BE235</f>
        <v>0</v>
      </c>
      <c r="BX235" s="1146">
        <f t="shared" si="46"/>
        <v>176620.26658524276</v>
      </c>
      <c r="BY235" s="867">
        <f t="shared" si="42"/>
        <v>2850955.0666463105</v>
      </c>
      <c r="BZ235" s="867">
        <f t="shared" si="40"/>
        <v>11403820.266585242</v>
      </c>
      <c r="CA235" s="867">
        <f>_xlfn.MAXIFS($BY$4:$BY$12824,$S$4:$S$12824,$S235)</f>
        <v>2850955.0666463105</v>
      </c>
      <c r="CB235" s="1032"/>
      <c r="CC235" s="999" t="s">
        <v>791</v>
      </c>
      <c r="CF235" s="946">
        <f t="shared" si="41"/>
        <v>11227200</v>
      </c>
    </row>
    <row r="236" spans="1:84">
      <c r="A236" s="1032"/>
      <c r="B236" s="839" t="s">
        <v>98</v>
      </c>
      <c r="C236" s="839" t="s">
        <v>131</v>
      </c>
      <c r="D236" s="839" t="s">
        <v>777</v>
      </c>
      <c r="E236" s="839" t="s">
        <v>777</v>
      </c>
      <c r="F236" s="841">
        <v>44939</v>
      </c>
      <c r="G236" s="840" t="s">
        <v>155</v>
      </c>
      <c r="H236" s="842" t="s">
        <v>134</v>
      </c>
      <c r="I236" s="842"/>
      <c r="J236" s="841"/>
      <c r="K236" s="841"/>
      <c r="L236" s="843"/>
      <c r="M236" s="844" t="s">
        <v>417</v>
      </c>
      <c r="N236" s="841"/>
      <c r="O236" s="841" t="s">
        <v>108</v>
      </c>
      <c r="P236" s="841" t="s">
        <v>109</v>
      </c>
      <c r="Q236" s="843"/>
      <c r="R236" s="845" t="s">
        <v>801</v>
      </c>
      <c r="S236" s="1127" t="s">
        <v>802</v>
      </c>
      <c r="T236" s="843" t="s">
        <v>803</v>
      </c>
      <c r="U236" s="842">
        <v>4</v>
      </c>
      <c r="V236" s="842" t="s">
        <v>8</v>
      </c>
      <c r="W236" s="846"/>
      <c r="X236" s="847">
        <f t="shared" si="35"/>
        <v>0</v>
      </c>
      <c r="Y236" s="848"/>
      <c r="Z236" s="849">
        <v>110</v>
      </c>
      <c r="AA236" s="849"/>
      <c r="AB236" s="849">
        <f t="shared" si="36"/>
        <v>440</v>
      </c>
      <c r="AC236" s="850">
        <f t="shared" si="37"/>
        <v>440</v>
      </c>
      <c r="AD236" s="851"/>
      <c r="AE236" s="852">
        <v>23390</v>
      </c>
      <c r="AF236" s="853">
        <v>0</v>
      </c>
      <c r="AG236" s="854">
        <f t="shared" si="38"/>
        <v>0</v>
      </c>
      <c r="AH236" s="853"/>
      <c r="AI236" s="855">
        <f t="shared" si="39"/>
        <v>0</v>
      </c>
      <c r="AJ236" s="845" t="s">
        <v>781</v>
      </c>
      <c r="AK236" s="857" t="s">
        <v>782</v>
      </c>
      <c r="AL236" s="840"/>
      <c r="AM236" s="840"/>
      <c r="AN236" s="858"/>
      <c r="AO236" s="844" t="s">
        <v>141</v>
      </c>
      <c r="AP236" s="859"/>
      <c r="AQ236" s="859" t="s">
        <v>783</v>
      </c>
      <c r="AR236" s="859"/>
      <c r="AS236" s="840"/>
      <c r="AT236" s="840"/>
      <c r="AU236" s="860"/>
      <c r="AV236" s="839" t="s">
        <v>784</v>
      </c>
      <c r="AW236" s="861">
        <v>44975</v>
      </c>
      <c r="AX236" s="862" t="s">
        <v>785</v>
      </c>
      <c r="AY236" s="843"/>
      <c r="AZ236" s="842"/>
      <c r="BA236" s="842" t="s">
        <v>120</v>
      </c>
      <c r="BB236" s="863" t="s">
        <v>121</v>
      </c>
      <c r="BC236" s="864">
        <v>44975</v>
      </c>
      <c r="BD236" s="860" t="s">
        <v>786</v>
      </c>
      <c r="BE236" s="865" cm="1">
        <f t="array" ref="BE236">IF(BD236="","",AC236/SUMPRODUCT(--(BD236=$BD$4:$BD$12824),$AC$4:$AC$12824))</f>
        <v>7.3519461328253712E-3</v>
      </c>
      <c r="BF236" s="458"/>
      <c r="BG236" s="458"/>
      <c r="BH236" s="458"/>
      <c r="BI236" s="458"/>
      <c r="BJ236" s="458"/>
      <c r="BK236" s="458"/>
      <c r="BL236" s="458"/>
      <c r="BM236" s="458"/>
      <c r="BN236" s="458"/>
      <c r="BO236" s="866">
        <f>VLOOKUP(BD236,$BD$4:$BN$12824,3,0)*BE236</f>
        <v>0</v>
      </c>
      <c r="BP236" s="866"/>
      <c r="BQ236" s="866"/>
      <c r="BR236" s="866">
        <f>VLOOKUP(BD236,$BD$4:$BN$12824,6,0)*BE236</f>
        <v>161901.91103647251</v>
      </c>
      <c r="BS236" s="866">
        <f>VLOOKUP(BD236,$BD$4:$BN$12824,7,0)*BE236</f>
        <v>0</v>
      </c>
      <c r="BT236" s="866"/>
      <c r="BU236" s="866">
        <f>VLOOKUP(BD236,$BD$4:$BN$12824,9,0)*BE236</f>
        <v>0</v>
      </c>
      <c r="BV236" s="867"/>
      <c r="BW236" s="867">
        <f>VLOOKUP(BD236,$BD$4:$BN$12824,11,0)*BE236</f>
        <v>0</v>
      </c>
      <c r="BX236" s="1146">
        <f t="shared" si="46"/>
        <v>161901.91103647251</v>
      </c>
      <c r="BY236" s="867">
        <f t="shared" si="42"/>
        <v>2613375.4777591182</v>
      </c>
      <c r="BZ236" s="867">
        <f t="shared" si="40"/>
        <v>10453501.911036473</v>
      </c>
      <c r="CA236" s="867">
        <f>_xlfn.MAXIFS($BY$4:$BY$12824,$S$4:$S$12824,$S236)</f>
        <v>2613375.4777591182</v>
      </c>
      <c r="CB236" s="1032"/>
      <c r="CC236" s="999" t="s">
        <v>791</v>
      </c>
      <c r="CF236" s="946">
        <f t="shared" si="41"/>
        <v>10291600</v>
      </c>
    </row>
    <row r="237" spans="1:84">
      <c r="A237" s="1032"/>
      <c r="B237" s="839" t="s">
        <v>98</v>
      </c>
      <c r="C237" s="839" t="s">
        <v>131</v>
      </c>
      <c r="D237" s="839" t="s">
        <v>777</v>
      </c>
      <c r="E237" s="839" t="s">
        <v>777</v>
      </c>
      <c r="F237" s="841">
        <v>44939</v>
      </c>
      <c r="G237" s="840" t="s">
        <v>155</v>
      </c>
      <c r="H237" s="842" t="s">
        <v>134</v>
      </c>
      <c r="I237" s="842"/>
      <c r="J237" s="841"/>
      <c r="K237" s="841"/>
      <c r="L237" s="843"/>
      <c r="M237" s="844" t="s">
        <v>417</v>
      </c>
      <c r="N237" s="841"/>
      <c r="O237" s="841" t="s">
        <v>108</v>
      </c>
      <c r="P237" s="841" t="s">
        <v>109</v>
      </c>
      <c r="Q237" s="843"/>
      <c r="R237" s="845" t="s">
        <v>804</v>
      </c>
      <c r="S237" s="1127" t="s">
        <v>805</v>
      </c>
      <c r="T237" s="843" t="s">
        <v>806</v>
      </c>
      <c r="U237" s="842">
        <v>4</v>
      </c>
      <c r="V237" s="842" t="s">
        <v>8</v>
      </c>
      <c r="W237" s="846"/>
      <c r="X237" s="847">
        <f t="shared" si="35"/>
        <v>0</v>
      </c>
      <c r="Y237" s="848"/>
      <c r="Z237" s="849">
        <v>136</v>
      </c>
      <c r="AA237" s="849"/>
      <c r="AB237" s="849">
        <f t="shared" si="36"/>
        <v>544</v>
      </c>
      <c r="AC237" s="850">
        <f t="shared" si="37"/>
        <v>544</v>
      </c>
      <c r="AD237" s="851"/>
      <c r="AE237" s="852">
        <v>23390</v>
      </c>
      <c r="AF237" s="853">
        <v>0</v>
      </c>
      <c r="AG237" s="854">
        <f t="shared" si="38"/>
        <v>0</v>
      </c>
      <c r="AH237" s="853"/>
      <c r="AI237" s="855">
        <f t="shared" si="39"/>
        <v>0</v>
      </c>
      <c r="AJ237" s="845" t="s">
        <v>781</v>
      </c>
      <c r="AK237" s="857" t="s">
        <v>782</v>
      </c>
      <c r="AL237" s="840"/>
      <c r="AM237" s="840"/>
      <c r="AN237" s="858"/>
      <c r="AO237" s="844" t="s">
        <v>141</v>
      </c>
      <c r="AP237" s="859"/>
      <c r="AQ237" s="859" t="s">
        <v>783</v>
      </c>
      <c r="AR237" s="859"/>
      <c r="AS237" s="840"/>
      <c r="AT237" s="840"/>
      <c r="AU237" s="860"/>
      <c r="AV237" s="839" t="s">
        <v>784</v>
      </c>
      <c r="AW237" s="861">
        <v>44975</v>
      </c>
      <c r="AX237" s="862" t="s">
        <v>785</v>
      </c>
      <c r="AY237" s="843"/>
      <c r="AZ237" s="842"/>
      <c r="BA237" s="842" t="s">
        <v>120</v>
      </c>
      <c r="BB237" s="863" t="s">
        <v>121</v>
      </c>
      <c r="BC237" s="864">
        <v>44975</v>
      </c>
      <c r="BD237" s="860" t="s">
        <v>786</v>
      </c>
      <c r="BE237" s="865" cm="1">
        <f t="array" ref="BE237">IF(BD237="","",AC237/SUMPRODUCT(--(BD237=$BD$4:$BD$12824),$AC$4:$AC$12824))</f>
        <v>9.0896788551295508E-3</v>
      </c>
      <c r="BF237" s="458"/>
      <c r="BG237" s="458"/>
      <c r="BH237" s="458"/>
      <c r="BI237" s="458"/>
      <c r="BJ237" s="458"/>
      <c r="BK237" s="458"/>
      <c r="BL237" s="458"/>
      <c r="BM237" s="458"/>
      <c r="BN237" s="458"/>
      <c r="BO237" s="866">
        <f>VLOOKUP(BD237,$BD$4:$BN$12824,3,0)*BE237</f>
        <v>0</v>
      </c>
      <c r="BP237" s="866"/>
      <c r="BQ237" s="866"/>
      <c r="BR237" s="866">
        <f>VLOOKUP(BD237,$BD$4:$BN$12824,6,0)*BE237</f>
        <v>200169.63546327513</v>
      </c>
      <c r="BS237" s="866">
        <f>VLOOKUP(BD237,$BD$4:$BN$12824,7,0)*BE237</f>
        <v>0</v>
      </c>
      <c r="BT237" s="866"/>
      <c r="BU237" s="866">
        <f>VLOOKUP(BD237,$BD$4:$BN$12824,9,0)*BE237</f>
        <v>0</v>
      </c>
      <c r="BV237" s="867"/>
      <c r="BW237" s="867">
        <f>VLOOKUP(BD237,$BD$4:$BN$12824,11,0)*BE237</f>
        <v>0</v>
      </c>
      <c r="BX237" s="1146">
        <f t="shared" si="46"/>
        <v>200169.63546327513</v>
      </c>
      <c r="BY237" s="867">
        <f t="shared" si="42"/>
        <v>3231082.4088658188</v>
      </c>
      <c r="BZ237" s="867">
        <f t="shared" si="40"/>
        <v>12924329.635463275</v>
      </c>
      <c r="CA237" s="867">
        <f>_xlfn.MAXIFS($BY$4:$BY$12824,$S$4:$S$12824,$S237)</f>
        <v>3231082.4088658188</v>
      </c>
      <c r="CB237" s="1032"/>
      <c r="CC237" s="999" t="s">
        <v>791</v>
      </c>
      <c r="CF237" s="946">
        <f t="shared" si="41"/>
        <v>12724160</v>
      </c>
    </row>
    <row r="238" spans="1:84">
      <c r="A238" s="1032"/>
      <c r="B238" s="839" t="s">
        <v>98</v>
      </c>
      <c r="C238" s="839" t="s">
        <v>131</v>
      </c>
      <c r="D238" s="839" t="s">
        <v>777</v>
      </c>
      <c r="E238" s="839" t="s">
        <v>777</v>
      </c>
      <c r="F238" s="841">
        <v>44939</v>
      </c>
      <c r="G238" s="868" t="s">
        <v>149</v>
      </c>
      <c r="H238" s="842" t="s">
        <v>134</v>
      </c>
      <c r="I238" s="842"/>
      <c r="J238" s="841"/>
      <c r="K238" s="841"/>
      <c r="L238" s="843"/>
      <c r="M238" s="844" t="s">
        <v>417</v>
      </c>
      <c r="N238" s="841"/>
      <c r="O238" s="841" t="s">
        <v>108</v>
      </c>
      <c r="P238" s="841" t="s">
        <v>807</v>
      </c>
      <c r="Q238" s="843"/>
      <c r="R238" s="845" t="s">
        <v>808</v>
      </c>
      <c r="S238" s="1127" t="s">
        <v>809</v>
      </c>
      <c r="T238" s="843" t="s">
        <v>810</v>
      </c>
      <c r="U238" s="842">
        <v>2</v>
      </c>
      <c r="V238" s="842" t="s">
        <v>8</v>
      </c>
      <c r="W238" s="846"/>
      <c r="X238" s="847">
        <f t="shared" si="35"/>
        <v>0</v>
      </c>
      <c r="Y238" s="848"/>
      <c r="Z238" s="849">
        <v>530</v>
      </c>
      <c r="AA238" s="849"/>
      <c r="AB238" s="849">
        <f t="shared" si="36"/>
        <v>1060</v>
      </c>
      <c r="AC238" s="850">
        <f t="shared" si="37"/>
        <v>1060</v>
      </c>
      <c r="AD238" s="851"/>
      <c r="AE238" s="852">
        <v>23390</v>
      </c>
      <c r="AF238" s="853">
        <v>0</v>
      </c>
      <c r="AG238" s="854">
        <f t="shared" si="38"/>
        <v>0</v>
      </c>
      <c r="AH238" s="853"/>
      <c r="AI238" s="855">
        <f t="shared" si="39"/>
        <v>0</v>
      </c>
      <c r="AJ238" s="845" t="s">
        <v>781</v>
      </c>
      <c r="AK238" s="857" t="s">
        <v>782</v>
      </c>
      <c r="AL238" s="840"/>
      <c r="AM238" s="840"/>
      <c r="AN238" s="858"/>
      <c r="AO238" s="844" t="s">
        <v>141</v>
      </c>
      <c r="AP238" s="859"/>
      <c r="AQ238" s="859" t="s">
        <v>783</v>
      </c>
      <c r="AR238" s="859"/>
      <c r="AS238" s="840"/>
      <c r="AT238" s="840"/>
      <c r="AU238" s="860"/>
      <c r="AV238" s="839" t="s">
        <v>784</v>
      </c>
      <c r="AW238" s="861">
        <v>44975</v>
      </c>
      <c r="AX238" s="862" t="s">
        <v>785</v>
      </c>
      <c r="AY238" s="843"/>
      <c r="AZ238" s="842"/>
      <c r="BA238" s="842" t="s">
        <v>120</v>
      </c>
      <c r="BB238" s="863" t="s">
        <v>121</v>
      </c>
      <c r="BC238" s="864">
        <v>44975</v>
      </c>
      <c r="BD238" s="860" t="s">
        <v>786</v>
      </c>
      <c r="BE238" s="865" cm="1">
        <f t="array" ref="BE238">IF(BD238="","",AC238/SUMPRODUCT(--(BD238=$BD$4:$BD$12824),$AC$4:$AC$12824))</f>
        <v>1.7711506592715667E-2</v>
      </c>
      <c r="BF238" s="458"/>
      <c r="BG238" s="458"/>
      <c r="BH238" s="458"/>
      <c r="BI238" s="458"/>
      <c r="BJ238" s="458"/>
      <c r="BK238" s="458"/>
      <c r="BL238" s="458"/>
      <c r="BM238" s="458"/>
      <c r="BN238" s="458"/>
      <c r="BO238" s="866">
        <f>VLOOKUP(BD238,$BD$4:$BN$12824,3,0)*BE238</f>
        <v>0</v>
      </c>
      <c r="BP238" s="866"/>
      <c r="BQ238" s="866"/>
      <c r="BR238" s="866">
        <f>VLOOKUP(BD238,$BD$4:$BN$12824,6,0)*BE238</f>
        <v>390036.42204241105</v>
      </c>
      <c r="BS238" s="866">
        <f>VLOOKUP(BD238,$BD$4:$BN$12824,7,0)*BE238</f>
        <v>0</v>
      </c>
      <c r="BT238" s="866"/>
      <c r="BU238" s="866">
        <f>VLOOKUP(BD238,$BD$4:$BN$12824,9,0)*BE238</f>
        <v>0</v>
      </c>
      <c r="BV238" s="867"/>
      <c r="BW238" s="867">
        <f>VLOOKUP(BD238,$BD$4:$BN$12824,11,0)*BE238</f>
        <v>0</v>
      </c>
      <c r="BX238" s="1146">
        <f t="shared" si="46"/>
        <v>390036.42204241105</v>
      </c>
      <c r="BY238" s="867">
        <f t="shared" si="42"/>
        <v>12591718.211021205</v>
      </c>
      <c r="BZ238" s="867">
        <f t="shared" si="40"/>
        <v>25183436.422042411</v>
      </c>
      <c r="CA238" s="867">
        <f>_xlfn.MAXIFS($BY$4:$BY$12824,$S$4:$S$12824,$S238)</f>
        <v>12591718.211021205</v>
      </c>
      <c r="CB238" s="1032"/>
      <c r="CC238" s="999" t="s">
        <v>791</v>
      </c>
      <c r="CF238" s="946">
        <f t="shared" si="41"/>
        <v>24793400</v>
      </c>
    </row>
    <row r="239" spans="1:84">
      <c r="A239" s="1032"/>
      <c r="B239" s="839" t="s">
        <v>98</v>
      </c>
      <c r="C239" s="839" t="s">
        <v>131</v>
      </c>
      <c r="D239" s="839" t="s">
        <v>777</v>
      </c>
      <c r="E239" s="839" t="s">
        <v>777</v>
      </c>
      <c r="F239" s="841">
        <v>44939</v>
      </c>
      <c r="G239" s="840" t="s">
        <v>133</v>
      </c>
      <c r="H239" s="842" t="s">
        <v>134</v>
      </c>
      <c r="I239" s="842"/>
      <c r="J239" s="841"/>
      <c r="K239" s="841"/>
      <c r="L239" s="843"/>
      <c r="M239" s="844" t="s">
        <v>417</v>
      </c>
      <c r="N239" s="841"/>
      <c r="O239" s="841" t="s">
        <v>150</v>
      </c>
      <c r="P239" s="841" t="s">
        <v>151</v>
      </c>
      <c r="Q239" s="843"/>
      <c r="R239" s="845" t="s">
        <v>811</v>
      </c>
      <c r="S239" s="1127" t="s">
        <v>812</v>
      </c>
      <c r="T239" s="843" t="s">
        <v>813</v>
      </c>
      <c r="U239" s="842">
        <v>10</v>
      </c>
      <c r="V239" s="842" t="s">
        <v>8</v>
      </c>
      <c r="W239" s="846"/>
      <c r="X239" s="847">
        <f t="shared" si="35"/>
        <v>0</v>
      </c>
      <c r="Y239" s="848"/>
      <c r="Z239" s="849">
        <v>132.01300000000001</v>
      </c>
      <c r="AA239" s="849"/>
      <c r="AB239" s="849">
        <f t="shared" si="36"/>
        <v>1320.13</v>
      </c>
      <c r="AC239" s="850">
        <f t="shared" si="37"/>
        <v>1320.13</v>
      </c>
      <c r="AD239" s="851"/>
      <c r="AE239" s="852">
        <v>23390</v>
      </c>
      <c r="AF239" s="869">
        <v>0.214</v>
      </c>
      <c r="AG239" s="854">
        <f t="shared" si="38"/>
        <v>6607857.9098000005</v>
      </c>
      <c r="AH239" s="853"/>
      <c r="AI239" s="855">
        <f t="shared" si="39"/>
        <v>0</v>
      </c>
      <c r="AJ239" s="845" t="s">
        <v>781</v>
      </c>
      <c r="AK239" s="857" t="s">
        <v>782</v>
      </c>
      <c r="AL239" s="840"/>
      <c r="AM239" s="840"/>
      <c r="AN239" s="858"/>
      <c r="AO239" s="844" t="s">
        <v>141</v>
      </c>
      <c r="AP239" s="859"/>
      <c r="AQ239" s="859" t="s">
        <v>783</v>
      </c>
      <c r="AR239" s="859"/>
      <c r="AS239" s="840"/>
      <c r="AT239" s="840"/>
      <c r="AU239" s="860"/>
      <c r="AV239" s="839" t="s">
        <v>784</v>
      </c>
      <c r="AW239" s="861">
        <v>44975</v>
      </c>
      <c r="AX239" s="862" t="s">
        <v>785</v>
      </c>
      <c r="AY239" s="843"/>
      <c r="AZ239" s="842"/>
      <c r="BA239" s="842" t="s">
        <v>120</v>
      </c>
      <c r="BB239" s="863" t="s">
        <v>121</v>
      </c>
      <c r="BC239" s="864">
        <v>44975</v>
      </c>
      <c r="BD239" s="860" t="s">
        <v>786</v>
      </c>
      <c r="BE239" s="865" cm="1">
        <f t="array" ref="BE239">IF(BD239="","",AC239/SUMPRODUCT(--(BD239=$BD$4:$BD$12824),$AC$4:$AC$12824))</f>
        <v>2.2058010564378998E-2</v>
      </c>
      <c r="BF239" s="458"/>
      <c r="BG239" s="458"/>
      <c r="BH239" s="458"/>
      <c r="BI239" s="458"/>
      <c r="BJ239" s="458"/>
      <c r="BK239" s="458"/>
      <c r="BL239" s="458"/>
      <c r="BM239" s="458"/>
      <c r="BN239" s="458"/>
      <c r="BO239" s="866">
        <f>VLOOKUP(BD239,$BD$4:$BN$12824,3,0)*BE239</f>
        <v>0</v>
      </c>
      <c r="BP239" s="866"/>
      <c r="BQ239" s="866"/>
      <c r="BR239" s="866">
        <f>VLOOKUP(BD239,$BD$4:$BN$12824,6,0)*BE239</f>
        <v>485753.56776495109</v>
      </c>
      <c r="BS239" s="866">
        <f>VLOOKUP(BD239,$BD$4:$BN$12824,7,0)*BE239</f>
        <v>0</v>
      </c>
      <c r="BT239" s="866"/>
      <c r="BU239" s="866">
        <f>VLOOKUP(BD239,$BD$4:$BN$12824,9,0)*BE239</f>
        <v>0</v>
      </c>
      <c r="BV239" s="867"/>
      <c r="BW239" s="867">
        <f>VLOOKUP(BD239,$BD$4:$BN$12824,11,0)*BE239</f>
        <v>0</v>
      </c>
      <c r="BX239" s="1146">
        <f t="shared" si="46"/>
        <v>485753.56776495109</v>
      </c>
      <c r="BY239" s="867">
        <f t="shared" si="42"/>
        <v>3797145.2177564958</v>
      </c>
      <c r="BZ239" s="867">
        <f t="shared" si="40"/>
        <v>37971452.177564956</v>
      </c>
      <c r="CA239" s="867">
        <f>_xlfn.MAXIFS($BY$4:$BY$12824,$S$4:$S$12824,$S239)</f>
        <v>3797145.2177564958</v>
      </c>
      <c r="CB239" s="1032"/>
      <c r="CC239" s="999" t="s">
        <v>791</v>
      </c>
      <c r="CF239" s="946">
        <f t="shared" si="41"/>
        <v>30877840.700000003</v>
      </c>
    </row>
    <row r="240" spans="1:84">
      <c r="A240" s="1032"/>
      <c r="B240" s="839" t="s">
        <v>98</v>
      </c>
      <c r="C240" s="839" t="s">
        <v>131</v>
      </c>
      <c r="D240" s="839" t="s">
        <v>777</v>
      </c>
      <c r="E240" s="839" t="s">
        <v>777</v>
      </c>
      <c r="F240" s="841">
        <v>44939</v>
      </c>
      <c r="G240" s="840" t="s">
        <v>133</v>
      </c>
      <c r="H240" s="842" t="s">
        <v>134</v>
      </c>
      <c r="I240" s="842"/>
      <c r="J240" s="841"/>
      <c r="K240" s="841"/>
      <c r="L240" s="843"/>
      <c r="M240" s="844" t="s">
        <v>417</v>
      </c>
      <c r="N240" s="841"/>
      <c r="O240" s="841" t="s">
        <v>150</v>
      </c>
      <c r="P240" s="841" t="s">
        <v>151</v>
      </c>
      <c r="Q240" s="843"/>
      <c r="R240" s="845" t="s">
        <v>814</v>
      </c>
      <c r="S240" s="1127" t="s">
        <v>815</v>
      </c>
      <c r="T240" s="843" t="s">
        <v>816</v>
      </c>
      <c r="U240" s="842">
        <v>10</v>
      </c>
      <c r="V240" s="842" t="s">
        <v>8</v>
      </c>
      <c r="W240" s="846"/>
      <c r="X240" s="847">
        <f t="shared" si="35"/>
        <v>0</v>
      </c>
      <c r="Y240" s="848"/>
      <c r="Z240" s="849">
        <v>132.01300000000001</v>
      </c>
      <c r="AA240" s="849"/>
      <c r="AB240" s="849">
        <f t="shared" si="36"/>
        <v>1320.13</v>
      </c>
      <c r="AC240" s="850">
        <f t="shared" si="37"/>
        <v>1320.13</v>
      </c>
      <c r="AD240" s="851"/>
      <c r="AE240" s="852">
        <v>23390</v>
      </c>
      <c r="AF240" s="869">
        <v>0.214</v>
      </c>
      <c r="AG240" s="854">
        <f t="shared" si="38"/>
        <v>6607857.9098000005</v>
      </c>
      <c r="AH240" s="853"/>
      <c r="AI240" s="855">
        <f t="shared" si="39"/>
        <v>0</v>
      </c>
      <c r="AJ240" s="845" t="s">
        <v>781</v>
      </c>
      <c r="AK240" s="857" t="s">
        <v>782</v>
      </c>
      <c r="AL240" s="840"/>
      <c r="AM240" s="840"/>
      <c r="AN240" s="858"/>
      <c r="AO240" s="844" t="s">
        <v>141</v>
      </c>
      <c r="AP240" s="859"/>
      <c r="AQ240" s="859" t="s">
        <v>783</v>
      </c>
      <c r="AR240" s="859"/>
      <c r="AS240" s="840"/>
      <c r="AT240" s="840"/>
      <c r="AU240" s="860"/>
      <c r="AV240" s="839" t="s">
        <v>784</v>
      </c>
      <c r="AW240" s="861">
        <v>44975</v>
      </c>
      <c r="AX240" s="862" t="s">
        <v>785</v>
      </c>
      <c r="AY240" s="843"/>
      <c r="AZ240" s="842"/>
      <c r="BA240" s="842" t="s">
        <v>120</v>
      </c>
      <c r="BB240" s="863" t="s">
        <v>121</v>
      </c>
      <c r="BC240" s="864">
        <v>44975</v>
      </c>
      <c r="BD240" s="860" t="s">
        <v>786</v>
      </c>
      <c r="BE240" s="865" cm="1">
        <f t="array" ref="BE240">IF(BD240="","",AC240/SUMPRODUCT(--(BD240=$BD$4:$BD$12824),$AC$4:$AC$12824))</f>
        <v>2.2058010564378998E-2</v>
      </c>
      <c r="BF240" s="458"/>
      <c r="BG240" s="458"/>
      <c r="BH240" s="458"/>
      <c r="BI240" s="458"/>
      <c r="BJ240" s="458"/>
      <c r="BK240" s="458"/>
      <c r="BL240" s="458"/>
      <c r="BM240" s="458"/>
      <c r="BN240" s="458"/>
      <c r="BO240" s="866">
        <f>VLOOKUP(BD240,$BD$4:$BN$12824,3,0)*BE240</f>
        <v>0</v>
      </c>
      <c r="BP240" s="866"/>
      <c r="BQ240" s="866"/>
      <c r="BR240" s="866">
        <f>VLOOKUP(BD240,$BD$4:$BN$12824,6,0)*BE240</f>
        <v>485753.56776495109</v>
      </c>
      <c r="BS240" s="866">
        <f>VLOOKUP(BD240,$BD$4:$BN$12824,7,0)*BE240</f>
        <v>0</v>
      </c>
      <c r="BT240" s="866"/>
      <c r="BU240" s="866">
        <f>VLOOKUP(BD240,$BD$4:$BN$12824,9,0)*BE240</f>
        <v>0</v>
      </c>
      <c r="BV240" s="867"/>
      <c r="BW240" s="867">
        <f>VLOOKUP(BD240,$BD$4:$BN$12824,11,0)*BE240</f>
        <v>0</v>
      </c>
      <c r="BX240" s="1146">
        <f t="shared" si="46"/>
        <v>485753.56776495109</v>
      </c>
      <c r="BY240" s="867">
        <f t="shared" si="42"/>
        <v>3797145.2177564958</v>
      </c>
      <c r="BZ240" s="867">
        <f t="shared" si="40"/>
        <v>37971452.177564956</v>
      </c>
      <c r="CA240" s="867">
        <f>_xlfn.MAXIFS($BY$4:$BY$12824,$S$4:$S$12824,$S240)</f>
        <v>3797145.2177564958</v>
      </c>
      <c r="CB240" s="1032"/>
      <c r="CC240" s="999" t="s">
        <v>791</v>
      </c>
      <c r="CF240" s="946">
        <f t="shared" si="41"/>
        <v>30877840.700000003</v>
      </c>
    </row>
    <row r="241" spans="1:84">
      <c r="A241" s="1032"/>
      <c r="B241" s="839" t="s">
        <v>98</v>
      </c>
      <c r="C241" s="839" t="s">
        <v>131</v>
      </c>
      <c r="D241" s="839" t="s">
        <v>777</v>
      </c>
      <c r="E241" s="839" t="s">
        <v>777</v>
      </c>
      <c r="F241" s="841">
        <v>44939</v>
      </c>
      <c r="G241" s="840" t="s">
        <v>133</v>
      </c>
      <c r="H241" s="842" t="s">
        <v>134</v>
      </c>
      <c r="I241" s="842"/>
      <c r="J241" s="841"/>
      <c r="K241" s="841"/>
      <c r="L241" s="843"/>
      <c r="M241" s="844" t="s">
        <v>417</v>
      </c>
      <c r="N241" s="841"/>
      <c r="O241" s="841" t="s">
        <v>150</v>
      </c>
      <c r="P241" s="841" t="s">
        <v>151</v>
      </c>
      <c r="Q241" s="843"/>
      <c r="R241" s="845" t="s">
        <v>817</v>
      </c>
      <c r="S241" s="1127" t="s">
        <v>818</v>
      </c>
      <c r="T241" s="843" t="s">
        <v>819</v>
      </c>
      <c r="U241" s="842">
        <v>10</v>
      </c>
      <c r="V241" s="842" t="s">
        <v>8</v>
      </c>
      <c r="W241" s="846"/>
      <c r="X241" s="847">
        <f t="shared" si="35"/>
        <v>0</v>
      </c>
      <c r="Y241" s="848"/>
      <c r="Z241" s="849">
        <v>132.01300000000001</v>
      </c>
      <c r="AA241" s="849"/>
      <c r="AB241" s="849">
        <f t="shared" si="36"/>
        <v>1320.13</v>
      </c>
      <c r="AC241" s="850">
        <f t="shared" si="37"/>
        <v>1320.13</v>
      </c>
      <c r="AD241" s="851"/>
      <c r="AE241" s="852">
        <v>23390</v>
      </c>
      <c r="AF241" s="869">
        <v>0.214</v>
      </c>
      <c r="AG241" s="854">
        <f t="shared" si="38"/>
        <v>6607857.9098000005</v>
      </c>
      <c r="AH241" s="853"/>
      <c r="AI241" s="855">
        <f t="shared" si="39"/>
        <v>0</v>
      </c>
      <c r="AJ241" s="845" t="s">
        <v>781</v>
      </c>
      <c r="AK241" s="857" t="s">
        <v>782</v>
      </c>
      <c r="AL241" s="840"/>
      <c r="AM241" s="840"/>
      <c r="AN241" s="858"/>
      <c r="AO241" s="844" t="s">
        <v>141</v>
      </c>
      <c r="AP241" s="859"/>
      <c r="AQ241" s="859" t="s">
        <v>783</v>
      </c>
      <c r="AR241" s="859"/>
      <c r="AS241" s="840"/>
      <c r="AT241" s="840"/>
      <c r="AU241" s="860"/>
      <c r="AV241" s="839" t="s">
        <v>784</v>
      </c>
      <c r="AW241" s="861">
        <v>44975</v>
      </c>
      <c r="AX241" s="862" t="s">
        <v>785</v>
      </c>
      <c r="AY241" s="843"/>
      <c r="AZ241" s="842"/>
      <c r="BA241" s="842" t="s">
        <v>120</v>
      </c>
      <c r="BB241" s="863" t="s">
        <v>121</v>
      </c>
      <c r="BC241" s="864">
        <v>44975</v>
      </c>
      <c r="BD241" s="860" t="s">
        <v>786</v>
      </c>
      <c r="BE241" s="865" cm="1">
        <f t="array" ref="BE241">IF(BD241="","",AC241/SUMPRODUCT(--(BD241=$BD$4:$BD$12824),$AC$4:$AC$12824))</f>
        <v>2.2058010564378998E-2</v>
      </c>
      <c r="BF241" s="458"/>
      <c r="BG241" s="458"/>
      <c r="BH241" s="458"/>
      <c r="BI241" s="458"/>
      <c r="BJ241" s="458"/>
      <c r="BK241" s="458"/>
      <c r="BL241" s="458"/>
      <c r="BM241" s="458"/>
      <c r="BN241" s="458"/>
      <c r="BO241" s="866">
        <f>VLOOKUP(BD241,$BD$4:$BN$12824,3,0)*BE241</f>
        <v>0</v>
      </c>
      <c r="BP241" s="866"/>
      <c r="BQ241" s="866"/>
      <c r="BR241" s="866">
        <f>VLOOKUP(BD241,$BD$4:$BN$12824,6,0)*BE241</f>
        <v>485753.56776495109</v>
      </c>
      <c r="BS241" s="866">
        <f>VLOOKUP(BD241,$BD$4:$BN$12824,7,0)*BE241</f>
        <v>0</v>
      </c>
      <c r="BT241" s="866"/>
      <c r="BU241" s="866">
        <f>VLOOKUP(BD241,$BD$4:$BN$12824,9,0)*BE241</f>
        <v>0</v>
      </c>
      <c r="BV241" s="867"/>
      <c r="BW241" s="867">
        <f>VLOOKUP(BD241,$BD$4:$BN$12824,11,0)*BE241</f>
        <v>0</v>
      </c>
      <c r="BX241" s="1146">
        <f t="shared" si="46"/>
        <v>485753.56776495109</v>
      </c>
      <c r="BY241" s="867">
        <f t="shared" si="42"/>
        <v>3797145.2177564958</v>
      </c>
      <c r="BZ241" s="867">
        <f t="shared" si="40"/>
        <v>37971452.177564956</v>
      </c>
      <c r="CA241" s="867">
        <f>_xlfn.MAXIFS($BY$4:$BY$12824,$S$4:$S$12824,$S241)</f>
        <v>3797145.2177564958</v>
      </c>
      <c r="CB241" s="1032"/>
      <c r="CC241" s="999" t="s">
        <v>791</v>
      </c>
      <c r="CF241" s="946">
        <f t="shared" si="41"/>
        <v>30877840.700000003</v>
      </c>
    </row>
    <row r="242" spans="1:84">
      <c r="A242" s="1032"/>
      <c r="B242" s="839" t="s">
        <v>98</v>
      </c>
      <c r="C242" s="839" t="s">
        <v>131</v>
      </c>
      <c r="D242" s="839" t="s">
        <v>777</v>
      </c>
      <c r="E242" s="839" t="s">
        <v>777</v>
      </c>
      <c r="F242" s="841">
        <v>44939</v>
      </c>
      <c r="G242" s="840" t="s">
        <v>133</v>
      </c>
      <c r="H242" s="842" t="s">
        <v>134</v>
      </c>
      <c r="I242" s="842"/>
      <c r="J242" s="841"/>
      <c r="K242" s="841"/>
      <c r="L242" s="843"/>
      <c r="M242" s="844" t="s">
        <v>417</v>
      </c>
      <c r="N242" s="841"/>
      <c r="O242" s="841" t="s">
        <v>150</v>
      </c>
      <c r="P242" s="841" t="s">
        <v>151</v>
      </c>
      <c r="Q242" s="843"/>
      <c r="R242" s="845" t="s">
        <v>820</v>
      </c>
      <c r="S242" s="1127" t="s">
        <v>821</v>
      </c>
      <c r="T242" s="843" t="s">
        <v>822</v>
      </c>
      <c r="U242" s="842">
        <v>20</v>
      </c>
      <c r="V242" s="842" t="s">
        <v>8</v>
      </c>
      <c r="W242" s="846"/>
      <c r="X242" s="847">
        <f t="shared" si="35"/>
        <v>0</v>
      </c>
      <c r="Y242" s="848"/>
      <c r="Z242" s="849">
        <v>132.01300000000001</v>
      </c>
      <c r="AA242" s="849"/>
      <c r="AB242" s="849">
        <f t="shared" si="36"/>
        <v>2640.26</v>
      </c>
      <c r="AC242" s="850">
        <f t="shared" si="37"/>
        <v>2640.26</v>
      </c>
      <c r="AD242" s="851"/>
      <c r="AE242" s="852">
        <v>23390</v>
      </c>
      <c r="AF242" s="869">
        <v>0.214</v>
      </c>
      <c r="AG242" s="854">
        <f t="shared" si="38"/>
        <v>13215715.819600001</v>
      </c>
      <c r="AH242" s="853"/>
      <c r="AI242" s="855">
        <f t="shared" si="39"/>
        <v>0</v>
      </c>
      <c r="AJ242" s="845" t="s">
        <v>781</v>
      </c>
      <c r="AK242" s="857" t="s">
        <v>782</v>
      </c>
      <c r="AL242" s="840"/>
      <c r="AM242" s="840"/>
      <c r="AN242" s="858"/>
      <c r="AO242" s="844" t="s">
        <v>141</v>
      </c>
      <c r="AP242" s="859"/>
      <c r="AQ242" s="859" t="s">
        <v>783</v>
      </c>
      <c r="AR242" s="859"/>
      <c r="AS242" s="840"/>
      <c r="AT242" s="840"/>
      <c r="AU242" s="860"/>
      <c r="AV242" s="839" t="s">
        <v>784</v>
      </c>
      <c r="AW242" s="861">
        <v>44975</v>
      </c>
      <c r="AX242" s="862" t="s">
        <v>785</v>
      </c>
      <c r="AY242" s="843"/>
      <c r="AZ242" s="842"/>
      <c r="BA242" s="842" t="s">
        <v>120</v>
      </c>
      <c r="BB242" s="863" t="s">
        <v>121</v>
      </c>
      <c r="BC242" s="864">
        <v>44975</v>
      </c>
      <c r="BD242" s="860" t="s">
        <v>786</v>
      </c>
      <c r="BE242" s="865" cm="1">
        <f t="array" ref="BE242">IF(BD242="","",AC242/SUMPRODUCT(--(BD242=$BD$4:$BD$12824),$AC$4:$AC$12824))</f>
        <v>4.4116021128757996E-2</v>
      </c>
      <c r="BF242" s="458"/>
      <c r="BG242" s="458"/>
      <c r="BH242" s="458"/>
      <c r="BI242" s="458"/>
      <c r="BJ242" s="458"/>
      <c r="BK242" s="458"/>
      <c r="BL242" s="458"/>
      <c r="BM242" s="458"/>
      <c r="BN242" s="458"/>
      <c r="BO242" s="866">
        <f>VLOOKUP(BD242,$BD$4:$BN$12824,3,0)*BE242</f>
        <v>0</v>
      </c>
      <c r="BP242" s="866"/>
      <c r="BQ242" s="866"/>
      <c r="BR242" s="866">
        <f>VLOOKUP(BD242,$BD$4:$BN$12824,6,0)*BE242</f>
        <v>971507.13552990218</v>
      </c>
      <c r="BS242" s="866">
        <f>VLOOKUP(BD242,$BD$4:$BN$12824,7,0)*BE242</f>
        <v>0</v>
      </c>
      <c r="BT242" s="866"/>
      <c r="BU242" s="866">
        <f>VLOOKUP(BD242,$BD$4:$BN$12824,9,0)*BE242</f>
        <v>0</v>
      </c>
      <c r="BV242" s="867"/>
      <c r="BW242" s="867">
        <f>VLOOKUP(BD242,$BD$4:$BN$12824,11,0)*BE242</f>
        <v>0</v>
      </c>
      <c r="BX242" s="1146">
        <f t="shared" si="46"/>
        <v>971507.13552990218</v>
      </c>
      <c r="BY242" s="867">
        <f t="shared" si="42"/>
        <v>3797145.2177564958</v>
      </c>
      <c r="BZ242" s="867">
        <f t="shared" si="40"/>
        <v>75942904.355129912</v>
      </c>
      <c r="CA242" s="867">
        <f>_xlfn.MAXIFS($BY$4:$BY$12824,$S$4:$S$12824,$S242)</f>
        <v>3797145.2177564958</v>
      </c>
      <c r="CB242" s="1032"/>
      <c r="CC242" s="999" t="s">
        <v>791</v>
      </c>
      <c r="CF242" s="946">
        <f t="shared" si="41"/>
        <v>61755681.400000006</v>
      </c>
    </row>
    <row r="243" spans="1:84">
      <c r="A243" s="1032"/>
      <c r="B243" s="839" t="s">
        <v>98</v>
      </c>
      <c r="C243" s="839" t="s">
        <v>131</v>
      </c>
      <c r="D243" s="839" t="s">
        <v>777</v>
      </c>
      <c r="E243" s="839" t="s">
        <v>777</v>
      </c>
      <c r="F243" s="841">
        <v>44939</v>
      </c>
      <c r="G243" s="840" t="s">
        <v>133</v>
      </c>
      <c r="H243" s="842" t="s">
        <v>134</v>
      </c>
      <c r="I243" s="842"/>
      <c r="J243" s="841"/>
      <c r="K243" s="841"/>
      <c r="L243" s="843"/>
      <c r="M243" s="844" t="s">
        <v>417</v>
      </c>
      <c r="N243" s="841"/>
      <c r="O243" s="841" t="s">
        <v>150</v>
      </c>
      <c r="P243" s="841" t="s">
        <v>151</v>
      </c>
      <c r="Q243" s="843"/>
      <c r="R243" s="845" t="s">
        <v>823</v>
      </c>
      <c r="S243" s="1127" t="s">
        <v>824</v>
      </c>
      <c r="T243" s="843" t="s">
        <v>825</v>
      </c>
      <c r="U243" s="842">
        <v>4</v>
      </c>
      <c r="V243" s="842" t="s">
        <v>8</v>
      </c>
      <c r="W243" s="846"/>
      <c r="X243" s="847">
        <f t="shared" si="35"/>
        <v>0</v>
      </c>
      <c r="Y243" s="848"/>
      <c r="Z243" s="849">
        <v>195.28299999999999</v>
      </c>
      <c r="AA243" s="849"/>
      <c r="AB243" s="849">
        <f t="shared" si="36"/>
        <v>781.13199999999995</v>
      </c>
      <c r="AC243" s="850">
        <f t="shared" si="37"/>
        <v>781.13199999999995</v>
      </c>
      <c r="AD243" s="851"/>
      <c r="AE243" s="852">
        <v>23390</v>
      </c>
      <c r="AF243" s="853">
        <v>0.214</v>
      </c>
      <c r="AG243" s="854">
        <f t="shared" si="38"/>
        <v>3909924.9807199999</v>
      </c>
      <c r="AH243" s="853"/>
      <c r="AI243" s="855">
        <f t="shared" si="39"/>
        <v>0</v>
      </c>
      <c r="AJ243" s="845" t="s">
        <v>781</v>
      </c>
      <c r="AK243" s="857" t="s">
        <v>782</v>
      </c>
      <c r="AL243" s="840"/>
      <c r="AM243" s="840"/>
      <c r="AN243" s="858"/>
      <c r="AO243" s="844" t="s">
        <v>141</v>
      </c>
      <c r="AP243" s="859"/>
      <c r="AQ243" s="859" t="s">
        <v>783</v>
      </c>
      <c r="AR243" s="859"/>
      <c r="AS243" s="840"/>
      <c r="AT243" s="840"/>
      <c r="AU243" s="860"/>
      <c r="AV243" s="839" t="s">
        <v>784</v>
      </c>
      <c r="AW243" s="861">
        <v>44975</v>
      </c>
      <c r="AX243" s="862" t="s">
        <v>785</v>
      </c>
      <c r="AY243" s="843"/>
      <c r="AZ243" s="842"/>
      <c r="BA243" s="842" t="s">
        <v>120</v>
      </c>
      <c r="BB243" s="863" t="s">
        <v>121</v>
      </c>
      <c r="BC243" s="864">
        <v>44975</v>
      </c>
      <c r="BD243" s="860" t="s">
        <v>786</v>
      </c>
      <c r="BE243" s="865" cm="1">
        <f t="array" ref="BE243">IF(BD243="","",AC243/SUMPRODUCT(--(BD243=$BD$4:$BD$12824),$AC$4:$AC$12824))</f>
        <v>1.3051909969604881E-2</v>
      </c>
      <c r="BF243" s="458"/>
      <c r="BG243" s="458"/>
      <c r="BH243" s="458"/>
      <c r="BI243" s="458"/>
      <c r="BJ243" s="458"/>
      <c r="BK243" s="458"/>
      <c r="BL243" s="458"/>
      <c r="BM243" s="458"/>
      <c r="BN243" s="458"/>
      <c r="BO243" s="866">
        <f>VLOOKUP(BD243,$BD$4:$BN$12824,3,0)*BE243</f>
        <v>0</v>
      </c>
      <c r="BP243" s="866"/>
      <c r="BQ243" s="866"/>
      <c r="BR243" s="866">
        <f>VLOOKUP(BD243,$BD$4:$BN$12824,6,0)*BE243</f>
        <v>287424.46266304964</v>
      </c>
      <c r="BS243" s="866">
        <f>VLOOKUP(BD243,$BD$4:$BN$12824,7,0)*BE243</f>
        <v>0</v>
      </c>
      <c r="BT243" s="866"/>
      <c r="BU243" s="866">
        <f>VLOOKUP(BD243,$BD$4:$BN$12824,9,0)*BE243</f>
        <v>0</v>
      </c>
      <c r="BV243" s="867"/>
      <c r="BW243" s="867">
        <f>VLOOKUP(BD243,$BD$4:$BN$12824,11,0)*BE243</f>
        <v>0</v>
      </c>
      <c r="BX243" s="1146">
        <f t="shared" si="46"/>
        <v>287424.46266304964</v>
      </c>
      <c r="BY243" s="867">
        <f t="shared" si="42"/>
        <v>5617006.7308457624</v>
      </c>
      <c r="BZ243" s="867">
        <f t="shared" si="40"/>
        <v>22468026.92338305</v>
      </c>
      <c r="CA243" s="867">
        <f>_xlfn.MAXIFS($BY$4:$BY$12824,$S$4:$S$12824,$S243)</f>
        <v>5617006.7308457624</v>
      </c>
      <c r="CB243" s="1032"/>
      <c r="CC243" s="999" t="s">
        <v>791</v>
      </c>
      <c r="CF243" s="946">
        <f t="shared" si="41"/>
        <v>18270677.48</v>
      </c>
    </row>
    <row r="244" spans="1:84">
      <c r="A244" s="1032"/>
      <c r="B244" s="839" t="s">
        <v>98</v>
      </c>
      <c r="C244" s="839" t="s">
        <v>131</v>
      </c>
      <c r="D244" s="839" t="s">
        <v>777</v>
      </c>
      <c r="E244" s="839" t="s">
        <v>777</v>
      </c>
      <c r="F244" s="841">
        <v>44939</v>
      </c>
      <c r="G244" s="840" t="s">
        <v>133</v>
      </c>
      <c r="H244" s="842" t="s">
        <v>134</v>
      </c>
      <c r="I244" s="842"/>
      <c r="J244" s="841"/>
      <c r="K244" s="841"/>
      <c r="L244" s="843"/>
      <c r="M244" s="844" t="s">
        <v>417</v>
      </c>
      <c r="N244" s="841"/>
      <c r="O244" s="841" t="s">
        <v>150</v>
      </c>
      <c r="P244" s="841" t="s">
        <v>151</v>
      </c>
      <c r="Q244" s="843"/>
      <c r="R244" s="845" t="s">
        <v>826</v>
      </c>
      <c r="S244" s="1127" t="s">
        <v>827</v>
      </c>
      <c r="T244" s="843" t="s">
        <v>828</v>
      </c>
      <c r="U244" s="842">
        <v>2</v>
      </c>
      <c r="V244" s="842" t="s">
        <v>8</v>
      </c>
      <c r="W244" s="846"/>
      <c r="X244" s="847">
        <f t="shared" si="35"/>
        <v>0</v>
      </c>
      <c r="Y244" s="848"/>
      <c r="Z244" s="849">
        <v>195.28299999999999</v>
      </c>
      <c r="AA244" s="849"/>
      <c r="AB244" s="849">
        <f t="shared" si="36"/>
        <v>390.56599999999997</v>
      </c>
      <c r="AC244" s="850">
        <f t="shared" si="37"/>
        <v>390.56599999999997</v>
      </c>
      <c r="AD244" s="851"/>
      <c r="AE244" s="852">
        <v>23390</v>
      </c>
      <c r="AF244" s="853">
        <v>0.214</v>
      </c>
      <c r="AG244" s="854">
        <f t="shared" si="38"/>
        <v>1954962.4903599999</v>
      </c>
      <c r="AH244" s="853"/>
      <c r="AI244" s="855">
        <f t="shared" si="39"/>
        <v>0</v>
      </c>
      <c r="AJ244" s="845" t="s">
        <v>781</v>
      </c>
      <c r="AK244" s="857" t="s">
        <v>782</v>
      </c>
      <c r="AL244" s="840"/>
      <c r="AM244" s="840"/>
      <c r="AN244" s="858"/>
      <c r="AO244" s="844" t="s">
        <v>141</v>
      </c>
      <c r="AP244" s="859"/>
      <c r="AQ244" s="859" t="s">
        <v>783</v>
      </c>
      <c r="AR244" s="859"/>
      <c r="AS244" s="840"/>
      <c r="AT244" s="840"/>
      <c r="AU244" s="860"/>
      <c r="AV244" s="839" t="s">
        <v>784</v>
      </c>
      <c r="AW244" s="861">
        <v>44975</v>
      </c>
      <c r="AX244" s="862" t="s">
        <v>785</v>
      </c>
      <c r="AY244" s="843"/>
      <c r="AZ244" s="842"/>
      <c r="BA244" s="842" t="s">
        <v>120</v>
      </c>
      <c r="BB244" s="863" t="s">
        <v>121</v>
      </c>
      <c r="BC244" s="864">
        <v>44975</v>
      </c>
      <c r="BD244" s="860" t="s">
        <v>786</v>
      </c>
      <c r="BE244" s="865" cm="1">
        <f t="array" ref="BE244">IF(BD244="","",AC244/SUMPRODUCT(--(BD244=$BD$4:$BD$12824),$AC$4:$AC$12824))</f>
        <v>6.5259549848024406E-3</v>
      </c>
      <c r="BF244" s="458"/>
      <c r="BG244" s="458"/>
      <c r="BH244" s="458"/>
      <c r="BI244" s="458"/>
      <c r="BJ244" s="458"/>
      <c r="BK244" s="458"/>
      <c r="BL244" s="458"/>
      <c r="BM244" s="458"/>
      <c r="BN244" s="458"/>
      <c r="BO244" s="866">
        <f>VLOOKUP(BD244,$BD$4:$BN$12824,3,0)*BE244</f>
        <v>0</v>
      </c>
      <c r="BP244" s="866"/>
      <c r="BQ244" s="866"/>
      <c r="BR244" s="866">
        <f>VLOOKUP(BD244,$BD$4:$BN$12824,6,0)*BE244</f>
        <v>143712.23133152482</v>
      </c>
      <c r="BS244" s="866">
        <f>VLOOKUP(BD244,$BD$4:$BN$12824,7,0)*BE244</f>
        <v>0</v>
      </c>
      <c r="BT244" s="866"/>
      <c r="BU244" s="866">
        <f>VLOOKUP(BD244,$BD$4:$BN$12824,9,0)*BE244</f>
        <v>0</v>
      </c>
      <c r="BV244" s="867"/>
      <c r="BW244" s="867">
        <f>VLOOKUP(BD244,$BD$4:$BN$12824,11,0)*BE244</f>
        <v>0</v>
      </c>
      <c r="BX244" s="1146">
        <f t="shared" si="46"/>
        <v>143712.23133152482</v>
      </c>
      <c r="BY244" s="867">
        <f t="shared" si="42"/>
        <v>5617006.7308457624</v>
      </c>
      <c r="BZ244" s="867">
        <f t="shared" si="40"/>
        <v>11234013.461691525</v>
      </c>
      <c r="CA244" s="867">
        <f>_xlfn.MAXIFS($BY$4:$BY$12824,$S$4:$S$12824,$S244)</f>
        <v>5617006.7308457624</v>
      </c>
      <c r="CB244" s="1032"/>
      <c r="CC244" s="999" t="s">
        <v>791</v>
      </c>
      <c r="CF244" s="946">
        <f t="shared" si="41"/>
        <v>9135338.7400000002</v>
      </c>
    </row>
    <row r="245" spans="1:84">
      <c r="A245" s="1032"/>
      <c r="B245" s="839" t="s">
        <v>98</v>
      </c>
      <c r="C245" s="839" t="s">
        <v>131</v>
      </c>
      <c r="D245" s="839" t="s">
        <v>777</v>
      </c>
      <c r="E245" s="839" t="s">
        <v>777</v>
      </c>
      <c r="F245" s="841">
        <v>44939</v>
      </c>
      <c r="G245" s="840" t="s">
        <v>133</v>
      </c>
      <c r="H245" s="842" t="s">
        <v>134</v>
      </c>
      <c r="I245" s="842"/>
      <c r="J245" s="841"/>
      <c r="K245" s="841"/>
      <c r="L245" s="843"/>
      <c r="M245" s="844" t="s">
        <v>417</v>
      </c>
      <c r="N245" s="841"/>
      <c r="O245" s="841" t="s">
        <v>150</v>
      </c>
      <c r="P245" s="841" t="s">
        <v>151</v>
      </c>
      <c r="Q245" s="843"/>
      <c r="R245" s="845" t="s">
        <v>829</v>
      </c>
      <c r="S245" s="1127" t="s">
        <v>830</v>
      </c>
      <c r="T245" s="843" t="s">
        <v>831</v>
      </c>
      <c r="U245" s="842">
        <v>2</v>
      </c>
      <c r="V245" s="842" t="s">
        <v>8</v>
      </c>
      <c r="W245" s="846"/>
      <c r="X245" s="847">
        <f t="shared" si="35"/>
        <v>0</v>
      </c>
      <c r="Y245" s="848"/>
      <c r="Z245" s="849">
        <v>196</v>
      </c>
      <c r="AA245" s="849"/>
      <c r="AB245" s="849">
        <f t="shared" si="36"/>
        <v>392</v>
      </c>
      <c r="AC245" s="850">
        <f t="shared" si="37"/>
        <v>392</v>
      </c>
      <c r="AD245" s="851"/>
      <c r="AE245" s="852">
        <v>23390</v>
      </c>
      <c r="AF245" s="853">
        <v>0.214</v>
      </c>
      <c r="AG245" s="854">
        <f t="shared" si="38"/>
        <v>1962140.32</v>
      </c>
      <c r="AH245" s="853"/>
      <c r="AI245" s="855">
        <f t="shared" si="39"/>
        <v>0</v>
      </c>
      <c r="AJ245" s="845" t="s">
        <v>781</v>
      </c>
      <c r="AK245" s="857" t="s">
        <v>782</v>
      </c>
      <c r="AL245" s="840"/>
      <c r="AM245" s="840"/>
      <c r="AN245" s="858"/>
      <c r="AO245" s="844" t="s">
        <v>141</v>
      </c>
      <c r="AP245" s="859"/>
      <c r="AQ245" s="859" t="s">
        <v>783</v>
      </c>
      <c r="AR245" s="859"/>
      <c r="AS245" s="840"/>
      <c r="AT245" s="840"/>
      <c r="AU245" s="860"/>
      <c r="AV245" s="839" t="s">
        <v>784</v>
      </c>
      <c r="AW245" s="861">
        <v>44975</v>
      </c>
      <c r="AX245" s="862" t="s">
        <v>785</v>
      </c>
      <c r="AY245" s="843"/>
      <c r="AZ245" s="842"/>
      <c r="BA245" s="842" t="s">
        <v>120</v>
      </c>
      <c r="BB245" s="863" t="s">
        <v>121</v>
      </c>
      <c r="BC245" s="864">
        <v>44975</v>
      </c>
      <c r="BD245" s="860" t="s">
        <v>786</v>
      </c>
      <c r="BE245" s="865" cm="1">
        <f t="array" ref="BE245">IF(BD245="","",AC245/SUMPRODUCT(--(BD245=$BD$4:$BD$12824),$AC$4:$AC$12824))</f>
        <v>6.5499156456080582E-3</v>
      </c>
      <c r="BF245" s="458"/>
      <c r="BG245" s="458"/>
      <c r="BH245" s="458"/>
      <c r="BI245" s="458"/>
      <c r="BJ245" s="458"/>
      <c r="BK245" s="458"/>
      <c r="BL245" s="458"/>
      <c r="BM245" s="458"/>
      <c r="BN245" s="458"/>
      <c r="BO245" s="866">
        <f>VLOOKUP(BD245,$BD$4:$BN$12824,3,0)*BE245</f>
        <v>0</v>
      </c>
      <c r="BP245" s="866"/>
      <c r="BQ245" s="866"/>
      <c r="BR245" s="866">
        <f>VLOOKUP(BD245,$BD$4:$BN$12824,6,0)*BE245</f>
        <v>144239.88437794824</v>
      </c>
      <c r="BS245" s="866">
        <f>VLOOKUP(BD245,$BD$4:$BN$12824,7,0)*BE245</f>
        <v>0</v>
      </c>
      <c r="BT245" s="866"/>
      <c r="BU245" s="866">
        <f>VLOOKUP(BD245,$BD$4:$BN$12824,9,0)*BE245</f>
        <v>0</v>
      </c>
      <c r="BV245" s="867"/>
      <c r="BW245" s="867">
        <f>VLOOKUP(BD245,$BD$4:$BN$12824,11,0)*BE245</f>
        <v>0</v>
      </c>
      <c r="BX245" s="1146">
        <f t="shared" si="46"/>
        <v>144239.88437794824</v>
      </c>
      <c r="BY245" s="867">
        <f t="shared" si="42"/>
        <v>5637630.1021889746</v>
      </c>
      <c r="BZ245" s="867">
        <f t="shared" si="40"/>
        <v>11275260.204377949</v>
      </c>
      <c r="CA245" s="867">
        <f>_xlfn.MAXIFS($BY$4:$BY$12824,$S$4:$S$12824,$S245)</f>
        <v>5637630.1021889746</v>
      </c>
      <c r="CB245" s="1032"/>
      <c r="CC245" s="999" t="s">
        <v>791</v>
      </c>
      <c r="CF245" s="946">
        <f t="shared" si="41"/>
        <v>9168880</v>
      </c>
    </row>
    <row r="246" spans="1:84">
      <c r="A246" s="1032"/>
      <c r="B246" s="839" t="s">
        <v>98</v>
      </c>
      <c r="C246" s="839" t="s">
        <v>131</v>
      </c>
      <c r="D246" s="839" t="s">
        <v>777</v>
      </c>
      <c r="E246" s="839" t="s">
        <v>777</v>
      </c>
      <c r="F246" s="841">
        <v>44939</v>
      </c>
      <c r="G246" s="840" t="s">
        <v>133</v>
      </c>
      <c r="H246" s="842" t="s">
        <v>134</v>
      </c>
      <c r="I246" s="842"/>
      <c r="J246" s="841"/>
      <c r="K246" s="841"/>
      <c r="L246" s="843"/>
      <c r="M246" s="844" t="s">
        <v>417</v>
      </c>
      <c r="N246" s="841"/>
      <c r="O246" s="841" t="s">
        <v>150</v>
      </c>
      <c r="P246" s="841" t="s">
        <v>151</v>
      </c>
      <c r="Q246" s="843"/>
      <c r="R246" s="845" t="s">
        <v>832</v>
      </c>
      <c r="S246" s="1127" t="s">
        <v>833</v>
      </c>
      <c r="T246" s="843" t="s">
        <v>834</v>
      </c>
      <c r="U246" s="842">
        <v>2</v>
      </c>
      <c r="V246" s="842" t="s">
        <v>8</v>
      </c>
      <c r="W246" s="846"/>
      <c r="X246" s="847">
        <f t="shared" si="35"/>
        <v>0</v>
      </c>
      <c r="Y246" s="848"/>
      <c r="Z246" s="849">
        <v>195.5</v>
      </c>
      <c r="AA246" s="849"/>
      <c r="AB246" s="849">
        <f t="shared" si="36"/>
        <v>391</v>
      </c>
      <c r="AC246" s="850">
        <f t="shared" si="37"/>
        <v>391</v>
      </c>
      <c r="AD246" s="851"/>
      <c r="AE246" s="852">
        <v>23390</v>
      </c>
      <c r="AF246" s="853">
        <v>0.214</v>
      </c>
      <c r="AG246" s="854">
        <f t="shared" si="38"/>
        <v>1957134.8599999999</v>
      </c>
      <c r="AH246" s="853"/>
      <c r="AI246" s="855">
        <f t="shared" si="39"/>
        <v>0</v>
      </c>
      <c r="AJ246" s="845" t="s">
        <v>781</v>
      </c>
      <c r="AK246" s="857" t="s">
        <v>782</v>
      </c>
      <c r="AL246" s="840"/>
      <c r="AM246" s="840"/>
      <c r="AN246" s="858"/>
      <c r="AO246" s="844" t="s">
        <v>141</v>
      </c>
      <c r="AP246" s="859"/>
      <c r="AQ246" s="859" t="s">
        <v>783</v>
      </c>
      <c r="AR246" s="859"/>
      <c r="AS246" s="840"/>
      <c r="AT246" s="840"/>
      <c r="AU246" s="860"/>
      <c r="AV246" s="839" t="s">
        <v>784</v>
      </c>
      <c r="AW246" s="861">
        <v>44975</v>
      </c>
      <c r="AX246" s="862" t="s">
        <v>785</v>
      </c>
      <c r="AY246" s="843"/>
      <c r="AZ246" s="842"/>
      <c r="BA246" s="842" t="s">
        <v>120</v>
      </c>
      <c r="BB246" s="863" t="s">
        <v>121</v>
      </c>
      <c r="BC246" s="864">
        <v>44975</v>
      </c>
      <c r="BD246" s="860" t="s">
        <v>786</v>
      </c>
      <c r="BE246" s="865" cm="1">
        <f t="array" ref="BE246">IF(BD246="","",AC246/SUMPRODUCT(--(BD246=$BD$4:$BD$12824),$AC$4:$AC$12824))</f>
        <v>6.5332066771243641E-3</v>
      </c>
      <c r="BF246" s="458"/>
      <c r="BG246" s="458"/>
      <c r="BH246" s="458"/>
      <c r="BI246" s="458"/>
      <c r="BJ246" s="458"/>
      <c r="BK246" s="458"/>
      <c r="BL246" s="458"/>
      <c r="BM246" s="458"/>
      <c r="BN246" s="458"/>
      <c r="BO246" s="866">
        <f>VLOOKUP(BD246,$BD$4:$BN$12824,3,0)*BE246</f>
        <v>0</v>
      </c>
      <c r="BP246" s="866"/>
      <c r="BQ246" s="866"/>
      <c r="BR246" s="866">
        <f>VLOOKUP(BD246,$BD$4:$BN$12824,6,0)*BE246</f>
        <v>143871.92548922898</v>
      </c>
      <c r="BS246" s="866">
        <f>VLOOKUP(BD246,$BD$4:$BN$12824,7,0)*BE246</f>
        <v>0</v>
      </c>
      <c r="BT246" s="866"/>
      <c r="BU246" s="866">
        <f>VLOOKUP(BD246,$BD$4:$BN$12824,9,0)*BE246</f>
        <v>0</v>
      </c>
      <c r="BV246" s="867"/>
      <c r="BW246" s="867">
        <f>VLOOKUP(BD246,$BD$4:$BN$12824,11,0)*BE246</f>
        <v>0</v>
      </c>
      <c r="BX246" s="1146">
        <f t="shared" si="46"/>
        <v>143871.92548922898</v>
      </c>
      <c r="BY246" s="867">
        <f t="shared" si="42"/>
        <v>5623248.3927446138</v>
      </c>
      <c r="BZ246" s="867">
        <f t="shared" si="40"/>
        <v>11246496.785489228</v>
      </c>
      <c r="CA246" s="867">
        <f>_xlfn.MAXIFS($BY$4:$BY$12824,$S$4:$S$12824,$S246)</f>
        <v>5623248.3927446138</v>
      </c>
      <c r="CB246" s="1032"/>
      <c r="CC246" s="999" t="s">
        <v>791</v>
      </c>
      <c r="CF246" s="946">
        <f t="shared" si="41"/>
        <v>9145490</v>
      </c>
    </row>
    <row r="247" spans="1:84">
      <c r="A247" s="1032"/>
      <c r="B247" s="839" t="s">
        <v>98</v>
      </c>
      <c r="C247" s="839" t="s">
        <v>131</v>
      </c>
      <c r="D247" s="839" t="s">
        <v>777</v>
      </c>
      <c r="E247" s="839" t="s">
        <v>777</v>
      </c>
      <c r="F247" s="841">
        <v>44939</v>
      </c>
      <c r="G247" s="840" t="s">
        <v>133</v>
      </c>
      <c r="H247" s="842" t="s">
        <v>134</v>
      </c>
      <c r="I247" s="842"/>
      <c r="J247" s="841"/>
      <c r="K247" s="841"/>
      <c r="L247" s="843"/>
      <c r="M247" s="844" t="s">
        <v>417</v>
      </c>
      <c r="N247" s="841"/>
      <c r="O247" s="841" t="s">
        <v>150</v>
      </c>
      <c r="P247" s="841" t="s">
        <v>151</v>
      </c>
      <c r="Q247" s="843"/>
      <c r="R247" s="845" t="s">
        <v>835</v>
      </c>
      <c r="S247" s="1127" t="s">
        <v>836</v>
      </c>
      <c r="T247" s="843" t="s">
        <v>837</v>
      </c>
      <c r="U247" s="842">
        <v>40</v>
      </c>
      <c r="V247" s="842" t="s">
        <v>8</v>
      </c>
      <c r="W247" s="846"/>
      <c r="X247" s="847">
        <f t="shared" si="35"/>
        <v>0</v>
      </c>
      <c r="Y247" s="848"/>
      <c r="Z247" s="849">
        <v>116.566</v>
      </c>
      <c r="AA247" s="849"/>
      <c r="AB247" s="849">
        <f t="shared" si="36"/>
        <v>4662.6400000000003</v>
      </c>
      <c r="AC247" s="850">
        <f t="shared" si="37"/>
        <v>4662.6400000000003</v>
      </c>
      <c r="AD247" s="851"/>
      <c r="AE247" s="852">
        <v>23390</v>
      </c>
      <c r="AF247" s="853">
        <v>0.214</v>
      </c>
      <c r="AG247" s="854">
        <f t="shared" si="38"/>
        <v>23338658.014400002</v>
      </c>
      <c r="AH247" s="853"/>
      <c r="AI247" s="855">
        <f t="shared" si="39"/>
        <v>0</v>
      </c>
      <c r="AJ247" s="845" t="s">
        <v>781</v>
      </c>
      <c r="AK247" s="857" t="s">
        <v>782</v>
      </c>
      <c r="AL247" s="840"/>
      <c r="AM247" s="840"/>
      <c r="AN247" s="858"/>
      <c r="AO247" s="844" t="s">
        <v>141</v>
      </c>
      <c r="AP247" s="859"/>
      <c r="AQ247" s="859" t="s">
        <v>783</v>
      </c>
      <c r="AR247" s="859"/>
      <c r="AS247" s="840"/>
      <c r="AT247" s="840"/>
      <c r="AU247" s="860"/>
      <c r="AV247" s="839" t="s">
        <v>784</v>
      </c>
      <c r="AW247" s="861">
        <v>44975</v>
      </c>
      <c r="AX247" s="862" t="s">
        <v>785</v>
      </c>
      <c r="AY247" s="843"/>
      <c r="AZ247" s="842"/>
      <c r="BA247" s="842" t="s">
        <v>120</v>
      </c>
      <c r="BB247" s="863" t="s">
        <v>121</v>
      </c>
      <c r="BC247" s="864">
        <v>44975</v>
      </c>
      <c r="BD247" s="860" t="s">
        <v>786</v>
      </c>
      <c r="BE247" s="865" cm="1">
        <f t="array" ref="BE247">IF(BD247="","",AC247/SUMPRODUCT(--(BD247=$BD$4:$BD$12824),$AC$4:$AC$12824))</f>
        <v>7.7907904810811127E-2</v>
      </c>
      <c r="BF247" s="458"/>
      <c r="BG247" s="458"/>
      <c r="BH247" s="458"/>
      <c r="BI247" s="458"/>
      <c r="BJ247" s="458"/>
      <c r="BK247" s="458"/>
      <c r="BL247" s="458"/>
      <c r="BM247" s="458"/>
      <c r="BN247" s="458"/>
      <c r="BO247" s="866">
        <f>VLOOKUP(BD247,$BD$4:$BN$12824,3,0)*BE247</f>
        <v>0</v>
      </c>
      <c r="BP247" s="866"/>
      <c r="BQ247" s="866"/>
      <c r="BR247" s="866">
        <f>VLOOKUP(BD247,$BD$4:$BN$12824,6,0)*BE247</f>
        <v>1715659.8328979507</v>
      </c>
      <c r="BS247" s="866">
        <f>VLOOKUP(BD247,$BD$4:$BN$12824,7,0)*BE247</f>
        <v>0</v>
      </c>
      <c r="BT247" s="866"/>
      <c r="BU247" s="866">
        <f>VLOOKUP(BD247,$BD$4:$BN$12824,9,0)*BE247</f>
        <v>0</v>
      </c>
      <c r="BV247" s="867"/>
      <c r="BW247" s="867">
        <f>VLOOKUP(BD247,$BD$4:$BN$12824,11,0)*BE247</f>
        <v>0</v>
      </c>
      <c r="BX247" s="1146">
        <f t="shared" si="46"/>
        <v>1715659.8328979507</v>
      </c>
      <c r="BY247" s="867">
        <f t="shared" si="42"/>
        <v>3352836.6861824491</v>
      </c>
      <c r="BZ247" s="867">
        <f t="shared" si="40"/>
        <v>134113467.44729796</v>
      </c>
      <c r="CA247" s="867">
        <f>_xlfn.MAXIFS($BY$4:$BY$12824,$S$4:$S$12824,$S247)</f>
        <v>3352836.6861824491</v>
      </c>
      <c r="CB247" s="1032"/>
      <c r="CC247" s="999" t="s">
        <v>791</v>
      </c>
      <c r="CF247" s="946">
        <f t="shared" si="41"/>
        <v>109059149.60000001</v>
      </c>
    </row>
    <row r="248" spans="1:84">
      <c r="A248" s="1032"/>
      <c r="B248" s="839" t="s">
        <v>98</v>
      </c>
      <c r="C248" s="839" t="s">
        <v>131</v>
      </c>
      <c r="D248" s="839" t="s">
        <v>777</v>
      </c>
      <c r="E248" s="839" t="s">
        <v>777</v>
      </c>
      <c r="F248" s="841">
        <v>44939</v>
      </c>
      <c r="G248" s="840" t="s">
        <v>133</v>
      </c>
      <c r="H248" s="842" t="s">
        <v>134</v>
      </c>
      <c r="I248" s="842"/>
      <c r="J248" s="841"/>
      <c r="K248" s="841"/>
      <c r="L248" s="843"/>
      <c r="M248" s="844" t="s">
        <v>417</v>
      </c>
      <c r="N248" s="841"/>
      <c r="O248" s="841" t="s">
        <v>150</v>
      </c>
      <c r="P248" s="841" t="s">
        <v>151</v>
      </c>
      <c r="Q248" s="843"/>
      <c r="R248" s="845" t="s">
        <v>838</v>
      </c>
      <c r="S248" s="1127" t="s">
        <v>839</v>
      </c>
      <c r="T248" s="843" t="s">
        <v>840</v>
      </c>
      <c r="U248" s="842">
        <v>20</v>
      </c>
      <c r="V248" s="842" t="s">
        <v>8</v>
      </c>
      <c r="W248" s="846"/>
      <c r="X248" s="847">
        <f t="shared" si="35"/>
        <v>0</v>
      </c>
      <c r="Y248" s="848"/>
      <c r="Z248" s="849">
        <v>122.893</v>
      </c>
      <c r="AA248" s="849"/>
      <c r="AB248" s="849">
        <f t="shared" si="36"/>
        <v>2457.86</v>
      </c>
      <c r="AC248" s="850">
        <f t="shared" si="37"/>
        <v>2457.86</v>
      </c>
      <c r="AD248" s="851"/>
      <c r="AE248" s="852">
        <v>23390</v>
      </c>
      <c r="AF248" s="853">
        <v>0.214</v>
      </c>
      <c r="AG248" s="854">
        <f t="shared" si="38"/>
        <v>12302719.915600002</v>
      </c>
      <c r="AH248" s="853"/>
      <c r="AI248" s="855">
        <f t="shared" si="39"/>
        <v>0</v>
      </c>
      <c r="AJ248" s="845" t="s">
        <v>781</v>
      </c>
      <c r="AK248" s="857" t="s">
        <v>782</v>
      </c>
      <c r="AL248" s="840"/>
      <c r="AM248" s="840"/>
      <c r="AN248" s="858"/>
      <c r="AO248" s="844" t="s">
        <v>141</v>
      </c>
      <c r="AP248" s="859"/>
      <c r="AQ248" s="859" t="s">
        <v>783</v>
      </c>
      <c r="AR248" s="859"/>
      <c r="AS248" s="840"/>
      <c r="AT248" s="840"/>
      <c r="AU248" s="860"/>
      <c r="AV248" s="839" t="s">
        <v>784</v>
      </c>
      <c r="AW248" s="861">
        <v>44975</v>
      </c>
      <c r="AX248" s="862" t="s">
        <v>785</v>
      </c>
      <c r="AY248" s="843"/>
      <c r="AZ248" s="842"/>
      <c r="BA248" s="842" t="s">
        <v>120</v>
      </c>
      <c r="BB248" s="863" t="s">
        <v>121</v>
      </c>
      <c r="BC248" s="864">
        <v>44975</v>
      </c>
      <c r="BD248" s="860" t="s">
        <v>786</v>
      </c>
      <c r="BE248" s="865" cm="1">
        <f t="array" ref="BE248">IF(BD248="","",AC248/SUMPRODUCT(--(BD248=$BD$4:$BD$12824),$AC$4:$AC$12824))</f>
        <v>4.1068305277332198E-2</v>
      </c>
      <c r="BF248" s="458"/>
      <c r="BG248" s="458"/>
      <c r="BH248" s="458"/>
      <c r="BI248" s="458"/>
      <c r="BJ248" s="458"/>
      <c r="BK248" s="458"/>
      <c r="BL248" s="458"/>
      <c r="BM248" s="458"/>
      <c r="BN248" s="458"/>
      <c r="BO248" s="866">
        <f>VLOOKUP(BD248,$BD$4:$BN$12824,3,0)*BE248</f>
        <v>0</v>
      </c>
      <c r="BP248" s="866"/>
      <c r="BQ248" s="866"/>
      <c r="BR248" s="866">
        <f>VLOOKUP(BD248,$BD$4:$BN$12824,6,0)*BE248</f>
        <v>904391.43422750977</v>
      </c>
      <c r="BS248" s="866">
        <f>VLOOKUP(BD248,$BD$4:$BN$12824,7,0)*BE248</f>
        <v>0</v>
      </c>
      <c r="BT248" s="866"/>
      <c r="BU248" s="866">
        <f>VLOOKUP(BD248,$BD$4:$BN$12824,9,0)*BE248</f>
        <v>0</v>
      </c>
      <c r="BV248" s="867"/>
      <c r="BW248" s="867">
        <f>VLOOKUP(BD248,$BD$4:$BN$12824,11,0)*BE248</f>
        <v>0</v>
      </c>
      <c r="BX248" s="1146">
        <f t="shared" si="46"/>
        <v>904391.43422750977</v>
      </c>
      <c r="BY248" s="867">
        <f t="shared" si="42"/>
        <v>3534822.8374913759</v>
      </c>
      <c r="BZ248" s="867">
        <f t="shared" si="40"/>
        <v>70696456.749827519</v>
      </c>
      <c r="CA248" s="867">
        <f>_xlfn.MAXIFS($BY$4:$BY$12824,$S$4:$S$12824,$S248)</f>
        <v>3534822.8374913759</v>
      </c>
      <c r="CB248" s="1032"/>
      <c r="CC248" s="999" t="s">
        <v>791</v>
      </c>
      <c r="CF248" s="946">
        <f t="shared" si="41"/>
        <v>57489345.400000006</v>
      </c>
    </row>
    <row r="249" spans="1:84">
      <c r="A249" s="1032"/>
      <c r="B249" s="839" t="s">
        <v>98</v>
      </c>
      <c r="C249" s="839" t="s">
        <v>131</v>
      </c>
      <c r="D249" s="839" t="s">
        <v>777</v>
      </c>
      <c r="E249" s="839" t="s">
        <v>777</v>
      </c>
      <c r="F249" s="841">
        <v>44939</v>
      </c>
      <c r="G249" s="840" t="s">
        <v>133</v>
      </c>
      <c r="H249" s="842" t="s">
        <v>134</v>
      </c>
      <c r="I249" s="842"/>
      <c r="J249" s="841"/>
      <c r="K249" s="841"/>
      <c r="L249" s="843"/>
      <c r="M249" s="844" t="s">
        <v>417</v>
      </c>
      <c r="N249" s="841"/>
      <c r="O249" s="841" t="s">
        <v>150</v>
      </c>
      <c r="P249" s="841" t="s">
        <v>151</v>
      </c>
      <c r="Q249" s="843"/>
      <c r="R249" s="845" t="s">
        <v>841</v>
      </c>
      <c r="S249" s="1127" t="s">
        <v>842</v>
      </c>
      <c r="T249" s="843" t="s">
        <v>843</v>
      </c>
      <c r="U249" s="842">
        <v>10</v>
      </c>
      <c r="V249" s="842" t="s">
        <v>8</v>
      </c>
      <c r="W249" s="846"/>
      <c r="X249" s="847">
        <f t="shared" si="35"/>
        <v>0</v>
      </c>
      <c r="Y249" s="848"/>
      <c r="Z249" s="849">
        <v>177.04300000000001</v>
      </c>
      <c r="AA249" s="849"/>
      <c r="AB249" s="849">
        <f t="shared" si="36"/>
        <v>1770.43</v>
      </c>
      <c r="AC249" s="850">
        <f t="shared" si="37"/>
        <v>1770.43</v>
      </c>
      <c r="AD249" s="851"/>
      <c r="AE249" s="852">
        <v>23390</v>
      </c>
      <c r="AF249" s="853">
        <v>0.214</v>
      </c>
      <c r="AG249" s="854">
        <f t="shared" si="38"/>
        <v>8861816.5478000008</v>
      </c>
      <c r="AH249" s="853"/>
      <c r="AI249" s="855">
        <f t="shared" si="39"/>
        <v>0</v>
      </c>
      <c r="AJ249" s="845" t="s">
        <v>781</v>
      </c>
      <c r="AK249" s="857" t="s">
        <v>782</v>
      </c>
      <c r="AL249" s="840"/>
      <c r="AM249" s="840"/>
      <c r="AN249" s="858"/>
      <c r="AO249" s="844" t="s">
        <v>141</v>
      </c>
      <c r="AP249" s="859"/>
      <c r="AQ249" s="859" t="s">
        <v>783</v>
      </c>
      <c r="AR249" s="859"/>
      <c r="AS249" s="840"/>
      <c r="AT249" s="840"/>
      <c r="AU249" s="860"/>
      <c r="AV249" s="839" t="s">
        <v>784</v>
      </c>
      <c r="AW249" s="861">
        <v>44975</v>
      </c>
      <c r="AX249" s="862" t="s">
        <v>785</v>
      </c>
      <c r="AY249" s="843"/>
      <c r="AZ249" s="842"/>
      <c r="BA249" s="842" t="s">
        <v>120</v>
      </c>
      <c r="BB249" s="863" t="s">
        <v>121</v>
      </c>
      <c r="BC249" s="864">
        <v>44975</v>
      </c>
      <c r="BD249" s="860" t="s">
        <v>786</v>
      </c>
      <c r="BE249" s="865" cm="1">
        <f t="array" ref="BE249">IF(BD249="","",AC249/SUMPRODUCT(--(BD249=$BD$4:$BD$12824),$AC$4:$AC$12824))</f>
        <v>2.9582059072586417E-2</v>
      </c>
      <c r="BF249" s="458"/>
      <c r="BG249" s="458"/>
      <c r="BH249" s="458"/>
      <c r="BI249" s="458"/>
      <c r="BJ249" s="458"/>
      <c r="BK249" s="458"/>
      <c r="BL249" s="458"/>
      <c r="BM249" s="458"/>
      <c r="BN249" s="458"/>
      <c r="BO249" s="866">
        <f>VLOOKUP(BD249,$BD$4:$BN$12824,3,0)*BE249</f>
        <v>0</v>
      </c>
      <c r="BP249" s="866"/>
      <c r="BQ249" s="866"/>
      <c r="BR249" s="866">
        <f>VLOOKUP(BD249,$BD$4:$BN$12824,6,0)*BE249</f>
        <v>651445.45535523188</v>
      </c>
      <c r="BS249" s="866">
        <f>VLOOKUP(BD249,$BD$4:$BN$12824,7,0)*BE249</f>
        <v>0</v>
      </c>
      <c r="BT249" s="866"/>
      <c r="BU249" s="866">
        <f>VLOOKUP(BD249,$BD$4:$BN$12824,9,0)*BE249</f>
        <v>0</v>
      </c>
      <c r="BV249" s="867"/>
      <c r="BW249" s="867">
        <f>VLOOKUP(BD249,$BD$4:$BN$12824,11,0)*BE249</f>
        <v>0</v>
      </c>
      <c r="BX249" s="1146">
        <f t="shared" si="46"/>
        <v>651445.45535523188</v>
      </c>
      <c r="BY249" s="867">
        <f t="shared" si="42"/>
        <v>5092361.9703155244</v>
      </c>
      <c r="BZ249" s="867">
        <f t="shared" si="40"/>
        <v>50923619.703155242</v>
      </c>
      <c r="CA249" s="867">
        <f>_xlfn.MAXIFS($BY$4:$BY$12824,$S$4:$S$12824,$S249)</f>
        <v>5092361.9703155244</v>
      </c>
      <c r="CB249" s="1032"/>
      <c r="CC249" s="999" t="s">
        <v>791</v>
      </c>
      <c r="CF249" s="946">
        <f t="shared" si="41"/>
        <v>41410357.700000003</v>
      </c>
    </row>
    <row r="250" spans="1:84">
      <c r="A250" s="1032"/>
      <c r="B250" s="839" t="s">
        <v>98</v>
      </c>
      <c r="C250" s="839" t="s">
        <v>131</v>
      </c>
      <c r="D250" s="839" t="s">
        <v>777</v>
      </c>
      <c r="E250" s="839" t="s">
        <v>777</v>
      </c>
      <c r="F250" s="841">
        <v>44939</v>
      </c>
      <c r="G250" s="840" t="s">
        <v>133</v>
      </c>
      <c r="H250" s="842" t="s">
        <v>134</v>
      </c>
      <c r="I250" s="842"/>
      <c r="J250" s="841"/>
      <c r="K250" s="841"/>
      <c r="L250" s="843"/>
      <c r="M250" s="844" t="s">
        <v>417</v>
      </c>
      <c r="N250" s="841"/>
      <c r="O250" s="841" t="s">
        <v>150</v>
      </c>
      <c r="P250" s="841" t="s">
        <v>151</v>
      </c>
      <c r="Q250" s="843"/>
      <c r="R250" s="845" t="s">
        <v>844</v>
      </c>
      <c r="S250" s="1127" t="s">
        <v>845</v>
      </c>
      <c r="T250" s="843" t="s">
        <v>846</v>
      </c>
      <c r="U250" s="842">
        <v>4</v>
      </c>
      <c r="V250" s="842" t="s">
        <v>8</v>
      </c>
      <c r="W250" s="846"/>
      <c r="X250" s="847">
        <f t="shared" si="35"/>
        <v>0</v>
      </c>
      <c r="Y250" s="848"/>
      <c r="Z250" s="849">
        <v>177.04300000000001</v>
      </c>
      <c r="AA250" s="849"/>
      <c r="AB250" s="849">
        <f t="shared" si="36"/>
        <v>708.17200000000003</v>
      </c>
      <c r="AC250" s="850">
        <f t="shared" si="37"/>
        <v>708.17200000000003</v>
      </c>
      <c r="AD250" s="851"/>
      <c r="AE250" s="852">
        <v>23390</v>
      </c>
      <c r="AF250" s="853">
        <v>0.214</v>
      </c>
      <c r="AG250" s="854">
        <f t="shared" si="38"/>
        <v>3544726.6191199999</v>
      </c>
      <c r="AH250" s="853"/>
      <c r="AI250" s="855">
        <f t="shared" si="39"/>
        <v>0</v>
      </c>
      <c r="AJ250" s="845" t="s">
        <v>781</v>
      </c>
      <c r="AK250" s="857" t="s">
        <v>782</v>
      </c>
      <c r="AL250" s="840"/>
      <c r="AM250" s="840"/>
      <c r="AN250" s="858"/>
      <c r="AO250" s="844" t="s">
        <v>141</v>
      </c>
      <c r="AP250" s="859"/>
      <c r="AQ250" s="859" t="s">
        <v>783</v>
      </c>
      <c r="AR250" s="859"/>
      <c r="AS250" s="840"/>
      <c r="AT250" s="840"/>
      <c r="AU250" s="860"/>
      <c r="AV250" s="839" t="s">
        <v>784</v>
      </c>
      <c r="AW250" s="861">
        <v>44975</v>
      </c>
      <c r="AX250" s="862" t="s">
        <v>785</v>
      </c>
      <c r="AY250" s="843"/>
      <c r="AZ250" s="842"/>
      <c r="BA250" s="842" t="s">
        <v>120</v>
      </c>
      <c r="BB250" s="863" t="s">
        <v>121</v>
      </c>
      <c r="BC250" s="864">
        <v>44975</v>
      </c>
      <c r="BD250" s="860" t="s">
        <v>786</v>
      </c>
      <c r="BE250" s="865" cm="1">
        <f t="array" ref="BE250">IF(BD250="","",AC250/SUMPRODUCT(--(BD250=$BD$4:$BD$12824),$AC$4:$AC$12824))</f>
        <v>1.1832823629034567E-2</v>
      </c>
      <c r="BF250" s="458"/>
      <c r="BG250" s="458"/>
      <c r="BH250" s="458"/>
      <c r="BI250" s="458"/>
      <c r="BJ250" s="458"/>
      <c r="BK250" s="458"/>
      <c r="BL250" s="458"/>
      <c r="BM250" s="458"/>
      <c r="BN250" s="458"/>
      <c r="BO250" s="866">
        <f>VLOOKUP(BD250,$BD$4:$BN$12824,3,0)*BE250</f>
        <v>0</v>
      </c>
      <c r="BP250" s="866"/>
      <c r="BQ250" s="866"/>
      <c r="BR250" s="866">
        <f>VLOOKUP(BD250,$BD$4:$BN$12824,6,0)*BE250</f>
        <v>260578.18214209279</v>
      </c>
      <c r="BS250" s="866">
        <f>VLOOKUP(BD250,$BD$4:$BN$12824,7,0)*BE250</f>
        <v>0</v>
      </c>
      <c r="BT250" s="866"/>
      <c r="BU250" s="866">
        <f>VLOOKUP(BD250,$BD$4:$BN$12824,9,0)*BE250</f>
        <v>0</v>
      </c>
      <c r="BV250" s="867"/>
      <c r="BW250" s="867">
        <f>VLOOKUP(BD250,$BD$4:$BN$12824,11,0)*BE250</f>
        <v>0</v>
      </c>
      <c r="BX250" s="1146">
        <f t="shared" si="46"/>
        <v>260578.18214209279</v>
      </c>
      <c r="BY250" s="867">
        <f t="shared" si="42"/>
        <v>5092361.9703155234</v>
      </c>
      <c r="BZ250" s="867">
        <f t="shared" si="40"/>
        <v>20369447.881262094</v>
      </c>
      <c r="CA250" s="867">
        <f>_xlfn.MAXIFS($BY$4:$BY$12824,$S$4:$S$12824,$S250)</f>
        <v>5092361.9703155234</v>
      </c>
      <c r="CB250" s="1032"/>
      <c r="CC250" s="999" t="s">
        <v>791</v>
      </c>
      <c r="CF250" s="946">
        <f t="shared" si="41"/>
        <v>16564143.08</v>
      </c>
    </row>
    <row r="251" spans="1:84">
      <c r="A251" s="1032"/>
      <c r="B251" s="839" t="s">
        <v>98</v>
      </c>
      <c r="C251" s="839" t="s">
        <v>131</v>
      </c>
      <c r="D251" s="839" t="s">
        <v>777</v>
      </c>
      <c r="E251" s="839" t="s">
        <v>777</v>
      </c>
      <c r="F251" s="841">
        <v>44939</v>
      </c>
      <c r="G251" s="840" t="s">
        <v>133</v>
      </c>
      <c r="H251" s="842" t="s">
        <v>134</v>
      </c>
      <c r="I251" s="842"/>
      <c r="J251" s="841"/>
      <c r="K251" s="841"/>
      <c r="L251" s="843"/>
      <c r="M251" s="844" t="s">
        <v>417</v>
      </c>
      <c r="N251" s="841"/>
      <c r="O251" s="841" t="s">
        <v>150</v>
      </c>
      <c r="P251" s="841" t="s">
        <v>151</v>
      </c>
      <c r="Q251" s="843"/>
      <c r="R251" s="845" t="s">
        <v>847</v>
      </c>
      <c r="S251" s="1127" t="s">
        <v>848</v>
      </c>
      <c r="T251" s="843" t="s">
        <v>849</v>
      </c>
      <c r="U251" s="842">
        <v>4</v>
      </c>
      <c r="V251" s="842" t="s">
        <v>8</v>
      </c>
      <c r="W251" s="846"/>
      <c r="X251" s="847">
        <f t="shared" si="35"/>
        <v>0</v>
      </c>
      <c r="Y251" s="848"/>
      <c r="Z251" s="849">
        <v>177.04300000000001</v>
      </c>
      <c r="AA251" s="849"/>
      <c r="AB251" s="849">
        <f t="shared" si="36"/>
        <v>708.17200000000003</v>
      </c>
      <c r="AC251" s="850">
        <f t="shared" si="37"/>
        <v>708.17200000000003</v>
      </c>
      <c r="AD251" s="851"/>
      <c r="AE251" s="852">
        <v>23390</v>
      </c>
      <c r="AF251" s="853">
        <v>0.214</v>
      </c>
      <c r="AG251" s="854">
        <f t="shared" si="38"/>
        <v>3544726.6191199999</v>
      </c>
      <c r="AH251" s="853"/>
      <c r="AI251" s="855">
        <f t="shared" si="39"/>
        <v>0</v>
      </c>
      <c r="AJ251" s="845" t="s">
        <v>781</v>
      </c>
      <c r="AK251" s="857" t="s">
        <v>782</v>
      </c>
      <c r="AL251" s="840"/>
      <c r="AM251" s="840"/>
      <c r="AN251" s="858"/>
      <c r="AO251" s="844" t="s">
        <v>141</v>
      </c>
      <c r="AP251" s="859"/>
      <c r="AQ251" s="859" t="s">
        <v>783</v>
      </c>
      <c r="AR251" s="859"/>
      <c r="AS251" s="840"/>
      <c r="AT251" s="840"/>
      <c r="AU251" s="860"/>
      <c r="AV251" s="839" t="s">
        <v>784</v>
      </c>
      <c r="AW251" s="861">
        <v>44975</v>
      </c>
      <c r="AX251" s="862" t="s">
        <v>785</v>
      </c>
      <c r="AY251" s="843"/>
      <c r="AZ251" s="842"/>
      <c r="BA251" s="842" t="s">
        <v>120</v>
      </c>
      <c r="BB251" s="863" t="s">
        <v>121</v>
      </c>
      <c r="BC251" s="864">
        <v>44975</v>
      </c>
      <c r="BD251" s="860" t="s">
        <v>786</v>
      </c>
      <c r="BE251" s="865" cm="1">
        <f t="array" ref="BE251">IF(BD251="","",AC251/SUMPRODUCT(--(BD251=$BD$4:$BD$12824),$AC$4:$AC$12824))</f>
        <v>1.1832823629034567E-2</v>
      </c>
      <c r="BF251" s="458"/>
      <c r="BG251" s="458"/>
      <c r="BH251" s="458"/>
      <c r="BI251" s="458"/>
      <c r="BJ251" s="458"/>
      <c r="BK251" s="458"/>
      <c r="BL251" s="458"/>
      <c r="BM251" s="458"/>
      <c r="BN251" s="458"/>
      <c r="BO251" s="866">
        <f>VLOOKUP(BD251,$BD$4:$BN$12824,3,0)*BE251</f>
        <v>0</v>
      </c>
      <c r="BP251" s="866"/>
      <c r="BQ251" s="866"/>
      <c r="BR251" s="866">
        <f>VLOOKUP(BD251,$BD$4:$BN$12824,6,0)*BE251</f>
        <v>260578.18214209279</v>
      </c>
      <c r="BS251" s="866">
        <f>VLOOKUP(BD251,$BD$4:$BN$12824,7,0)*BE251</f>
        <v>0</v>
      </c>
      <c r="BT251" s="866"/>
      <c r="BU251" s="866">
        <f>VLOOKUP(BD251,$BD$4:$BN$12824,9,0)*BE251</f>
        <v>0</v>
      </c>
      <c r="BV251" s="867"/>
      <c r="BW251" s="867">
        <f>VLOOKUP(BD251,$BD$4:$BN$12824,11,0)*BE251</f>
        <v>0</v>
      </c>
      <c r="BX251" s="1146">
        <f t="shared" si="46"/>
        <v>260578.18214209279</v>
      </c>
      <c r="BY251" s="867">
        <f t="shared" si="42"/>
        <v>5092361.9703155234</v>
      </c>
      <c r="BZ251" s="867">
        <f t="shared" si="40"/>
        <v>20369447.881262094</v>
      </c>
      <c r="CA251" s="867">
        <f>_xlfn.MAXIFS($BY$4:$BY$12824,$S$4:$S$12824,$S251)</f>
        <v>5092361.9703155234</v>
      </c>
      <c r="CB251" s="1032"/>
      <c r="CC251" s="999" t="s">
        <v>791</v>
      </c>
      <c r="CF251" s="946">
        <f t="shared" si="41"/>
        <v>16564143.08</v>
      </c>
    </row>
    <row r="252" spans="1:84">
      <c r="A252" s="1032"/>
      <c r="B252" s="839" t="s">
        <v>98</v>
      </c>
      <c r="C252" s="839" t="s">
        <v>131</v>
      </c>
      <c r="D252" s="839" t="s">
        <v>777</v>
      </c>
      <c r="E252" s="839" t="s">
        <v>777</v>
      </c>
      <c r="F252" s="841">
        <v>44939</v>
      </c>
      <c r="G252" s="840" t="s">
        <v>133</v>
      </c>
      <c r="H252" s="842" t="s">
        <v>134</v>
      </c>
      <c r="I252" s="842"/>
      <c r="J252" s="841"/>
      <c r="K252" s="841"/>
      <c r="L252" s="843"/>
      <c r="M252" s="844" t="s">
        <v>417</v>
      </c>
      <c r="N252" s="841"/>
      <c r="O252" s="841" t="s">
        <v>150</v>
      </c>
      <c r="P252" s="841" t="s">
        <v>151</v>
      </c>
      <c r="Q252" s="843"/>
      <c r="R252" s="845" t="s">
        <v>850</v>
      </c>
      <c r="S252" s="1127" t="s">
        <v>851</v>
      </c>
      <c r="T252" s="843" t="s">
        <v>852</v>
      </c>
      <c r="U252" s="842">
        <v>4</v>
      </c>
      <c r="V252" s="842" t="s">
        <v>8</v>
      </c>
      <c r="W252" s="846"/>
      <c r="X252" s="847">
        <f t="shared" si="35"/>
        <v>0</v>
      </c>
      <c r="Y252" s="848"/>
      <c r="Z252" s="849">
        <v>177.04300000000001</v>
      </c>
      <c r="AA252" s="849"/>
      <c r="AB252" s="849">
        <f t="shared" si="36"/>
        <v>708.17200000000003</v>
      </c>
      <c r="AC252" s="850">
        <f t="shared" si="37"/>
        <v>708.17200000000003</v>
      </c>
      <c r="AD252" s="851"/>
      <c r="AE252" s="852">
        <v>23390</v>
      </c>
      <c r="AF252" s="853">
        <v>0.214</v>
      </c>
      <c r="AG252" s="854">
        <f t="shared" si="38"/>
        <v>3544726.6191199999</v>
      </c>
      <c r="AH252" s="853"/>
      <c r="AI252" s="855">
        <f t="shared" si="39"/>
        <v>0</v>
      </c>
      <c r="AJ252" s="845" t="s">
        <v>781</v>
      </c>
      <c r="AK252" s="857" t="s">
        <v>782</v>
      </c>
      <c r="AL252" s="840"/>
      <c r="AM252" s="840"/>
      <c r="AN252" s="858"/>
      <c r="AO252" s="844" t="s">
        <v>141</v>
      </c>
      <c r="AP252" s="859"/>
      <c r="AQ252" s="859" t="s">
        <v>783</v>
      </c>
      <c r="AR252" s="859"/>
      <c r="AS252" s="840"/>
      <c r="AT252" s="840"/>
      <c r="AU252" s="860"/>
      <c r="AV252" s="839" t="s">
        <v>784</v>
      </c>
      <c r="AW252" s="861">
        <v>44975</v>
      </c>
      <c r="AX252" s="862" t="s">
        <v>785</v>
      </c>
      <c r="AY252" s="843"/>
      <c r="AZ252" s="842"/>
      <c r="BA252" s="842" t="s">
        <v>120</v>
      </c>
      <c r="BB252" s="863" t="s">
        <v>121</v>
      </c>
      <c r="BC252" s="864">
        <v>44975</v>
      </c>
      <c r="BD252" s="860" t="s">
        <v>786</v>
      </c>
      <c r="BE252" s="865" cm="1">
        <f t="array" ref="BE252">IF(BD252="","",AC252/SUMPRODUCT(--(BD252=$BD$4:$BD$12824),$AC$4:$AC$12824))</f>
        <v>1.1832823629034567E-2</v>
      </c>
      <c r="BF252" s="458"/>
      <c r="BG252" s="458"/>
      <c r="BH252" s="458"/>
      <c r="BI252" s="458"/>
      <c r="BJ252" s="458"/>
      <c r="BK252" s="458"/>
      <c r="BL252" s="458"/>
      <c r="BM252" s="458"/>
      <c r="BN252" s="458"/>
      <c r="BO252" s="866">
        <f>VLOOKUP(BD252,$BD$4:$BN$12824,3,0)*BE252</f>
        <v>0</v>
      </c>
      <c r="BP252" s="866"/>
      <c r="BQ252" s="866"/>
      <c r="BR252" s="866">
        <f>VLOOKUP(BD252,$BD$4:$BN$12824,6,0)*BE252</f>
        <v>260578.18214209279</v>
      </c>
      <c r="BS252" s="866">
        <f>VLOOKUP(BD252,$BD$4:$BN$12824,7,0)*BE252</f>
        <v>0</v>
      </c>
      <c r="BT252" s="866"/>
      <c r="BU252" s="866">
        <f>VLOOKUP(BD252,$BD$4:$BN$12824,9,0)*BE252</f>
        <v>0</v>
      </c>
      <c r="BV252" s="867"/>
      <c r="BW252" s="867">
        <f>VLOOKUP(BD252,$BD$4:$BN$12824,11,0)*BE252</f>
        <v>0</v>
      </c>
      <c r="BX252" s="1146">
        <f t="shared" si="46"/>
        <v>260578.18214209279</v>
      </c>
      <c r="BY252" s="867">
        <f t="shared" si="42"/>
        <v>5092361.9703155234</v>
      </c>
      <c r="BZ252" s="867">
        <f t="shared" si="40"/>
        <v>20369447.881262094</v>
      </c>
      <c r="CA252" s="867">
        <f>_xlfn.MAXIFS($BY$4:$BY$12824,$S$4:$S$12824,$S252)</f>
        <v>5092361.9703155234</v>
      </c>
      <c r="CB252" s="1032"/>
      <c r="CC252" s="999" t="s">
        <v>791</v>
      </c>
      <c r="CF252" s="946">
        <f t="shared" si="41"/>
        <v>16564143.08</v>
      </c>
    </row>
    <row r="253" spans="1:84">
      <c r="A253" s="1032"/>
      <c r="B253" s="839" t="s">
        <v>98</v>
      </c>
      <c r="C253" s="839" t="s">
        <v>131</v>
      </c>
      <c r="D253" s="839" t="s">
        <v>777</v>
      </c>
      <c r="E253" s="839" t="s">
        <v>777</v>
      </c>
      <c r="F253" s="841">
        <v>44939</v>
      </c>
      <c r="G253" s="840" t="s">
        <v>133</v>
      </c>
      <c r="H253" s="842" t="s">
        <v>134</v>
      </c>
      <c r="I253" s="842"/>
      <c r="J253" s="841"/>
      <c r="K253" s="841"/>
      <c r="L253" s="843"/>
      <c r="M253" s="844" t="s">
        <v>417</v>
      </c>
      <c r="N253" s="841"/>
      <c r="O253" s="841" t="s">
        <v>150</v>
      </c>
      <c r="P253" s="841" t="s">
        <v>151</v>
      </c>
      <c r="Q253" s="843"/>
      <c r="R253" s="845" t="s">
        <v>853</v>
      </c>
      <c r="S253" s="1127" t="s">
        <v>854</v>
      </c>
      <c r="T253" s="843" t="s">
        <v>855</v>
      </c>
      <c r="U253" s="842">
        <v>4</v>
      </c>
      <c r="V253" s="842" t="s">
        <v>8</v>
      </c>
      <c r="W253" s="846"/>
      <c r="X253" s="847">
        <f t="shared" si="35"/>
        <v>0</v>
      </c>
      <c r="Y253" s="848"/>
      <c r="Z253" s="849">
        <v>177.04300000000001</v>
      </c>
      <c r="AA253" s="849"/>
      <c r="AB253" s="849">
        <f t="shared" si="36"/>
        <v>708.17200000000003</v>
      </c>
      <c r="AC253" s="850">
        <f t="shared" si="37"/>
        <v>708.17200000000003</v>
      </c>
      <c r="AD253" s="851"/>
      <c r="AE253" s="852">
        <v>23390</v>
      </c>
      <c r="AF253" s="853">
        <v>0.214</v>
      </c>
      <c r="AG253" s="854">
        <f t="shared" si="38"/>
        <v>3544726.6191199999</v>
      </c>
      <c r="AH253" s="853"/>
      <c r="AI253" s="855">
        <f t="shared" si="39"/>
        <v>0</v>
      </c>
      <c r="AJ253" s="845" t="s">
        <v>781</v>
      </c>
      <c r="AK253" s="857" t="s">
        <v>782</v>
      </c>
      <c r="AL253" s="840"/>
      <c r="AM253" s="840"/>
      <c r="AN253" s="858"/>
      <c r="AO253" s="844" t="s">
        <v>141</v>
      </c>
      <c r="AP253" s="859"/>
      <c r="AQ253" s="859" t="s">
        <v>783</v>
      </c>
      <c r="AR253" s="859"/>
      <c r="AS253" s="840"/>
      <c r="AT253" s="840"/>
      <c r="AU253" s="860"/>
      <c r="AV253" s="839" t="s">
        <v>784</v>
      </c>
      <c r="AW253" s="861">
        <v>44975</v>
      </c>
      <c r="AX253" s="862" t="s">
        <v>785</v>
      </c>
      <c r="AY253" s="843"/>
      <c r="AZ253" s="842"/>
      <c r="BA253" s="842" t="s">
        <v>120</v>
      </c>
      <c r="BB253" s="863" t="s">
        <v>121</v>
      </c>
      <c r="BC253" s="864">
        <v>44975</v>
      </c>
      <c r="BD253" s="860" t="s">
        <v>786</v>
      </c>
      <c r="BE253" s="865" cm="1">
        <f t="array" ref="BE253">IF(BD253="","",AC253/SUMPRODUCT(--(BD253=$BD$4:$BD$12824),$AC$4:$AC$12824))</f>
        <v>1.1832823629034567E-2</v>
      </c>
      <c r="BF253" s="458"/>
      <c r="BG253" s="458"/>
      <c r="BH253" s="458"/>
      <c r="BI253" s="458"/>
      <c r="BJ253" s="458"/>
      <c r="BK253" s="458"/>
      <c r="BL253" s="458"/>
      <c r="BM253" s="458"/>
      <c r="BN253" s="458"/>
      <c r="BO253" s="866">
        <f>VLOOKUP(BD253,$BD$4:$BN$12824,3,0)*BE253</f>
        <v>0</v>
      </c>
      <c r="BP253" s="866"/>
      <c r="BQ253" s="866"/>
      <c r="BR253" s="866">
        <f>VLOOKUP(BD253,$BD$4:$BN$12824,6,0)*BE253</f>
        <v>260578.18214209279</v>
      </c>
      <c r="BS253" s="866">
        <f>VLOOKUP(BD253,$BD$4:$BN$12824,7,0)*BE253</f>
        <v>0</v>
      </c>
      <c r="BT253" s="866"/>
      <c r="BU253" s="866">
        <f>VLOOKUP(BD253,$BD$4:$BN$12824,9,0)*BE253</f>
        <v>0</v>
      </c>
      <c r="BV253" s="867"/>
      <c r="BW253" s="867">
        <f>VLOOKUP(BD253,$BD$4:$BN$12824,11,0)*BE253</f>
        <v>0</v>
      </c>
      <c r="BX253" s="1146">
        <f t="shared" si="46"/>
        <v>260578.18214209279</v>
      </c>
      <c r="BY253" s="867">
        <f t="shared" si="42"/>
        <v>5092361.9703155234</v>
      </c>
      <c r="BZ253" s="867">
        <f t="shared" si="40"/>
        <v>20369447.881262094</v>
      </c>
      <c r="CA253" s="867">
        <f>_xlfn.MAXIFS($BY$4:$BY$12824,$S$4:$S$12824,$S253)</f>
        <v>5092361.9703155234</v>
      </c>
      <c r="CB253" s="1032"/>
      <c r="CC253" s="999" t="s">
        <v>791</v>
      </c>
      <c r="CF253" s="946">
        <f t="shared" si="41"/>
        <v>16564143.08</v>
      </c>
    </row>
    <row r="254" spans="1:84">
      <c r="A254" s="1032"/>
      <c r="B254" s="839" t="s">
        <v>98</v>
      </c>
      <c r="C254" s="839" t="s">
        <v>131</v>
      </c>
      <c r="D254" s="839" t="s">
        <v>777</v>
      </c>
      <c r="E254" s="839" t="s">
        <v>777</v>
      </c>
      <c r="F254" s="841">
        <v>44939</v>
      </c>
      <c r="G254" s="840" t="s">
        <v>133</v>
      </c>
      <c r="H254" s="842" t="s">
        <v>134</v>
      </c>
      <c r="I254" s="842"/>
      <c r="J254" s="841"/>
      <c r="K254" s="841"/>
      <c r="L254" s="843"/>
      <c r="M254" s="844" t="s">
        <v>417</v>
      </c>
      <c r="N254" s="841"/>
      <c r="O254" s="841" t="s">
        <v>150</v>
      </c>
      <c r="P254" s="841" t="s">
        <v>151</v>
      </c>
      <c r="Q254" s="843"/>
      <c r="R254" s="845" t="s">
        <v>856</v>
      </c>
      <c r="S254" s="1127" t="s">
        <v>857</v>
      </c>
      <c r="T254" s="843" t="s">
        <v>858</v>
      </c>
      <c r="U254" s="842">
        <v>10</v>
      </c>
      <c r="V254" s="842" t="s">
        <v>8</v>
      </c>
      <c r="W254" s="846"/>
      <c r="X254" s="847">
        <f t="shared" si="35"/>
        <v>0</v>
      </c>
      <c r="Y254" s="848"/>
      <c r="Z254" s="849">
        <v>168</v>
      </c>
      <c r="AA254" s="849"/>
      <c r="AB254" s="849">
        <f t="shared" si="36"/>
        <v>1680</v>
      </c>
      <c r="AC254" s="850">
        <f t="shared" si="37"/>
        <v>1680</v>
      </c>
      <c r="AD254" s="851"/>
      <c r="AE254" s="852">
        <v>23390</v>
      </c>
      <c r="AF254" s="853">
        <v>0.214</v>
      </c>
      <c r="AG254" s="854">
        <f t="shared" si="38"/>
        <v>8409172.8000000007</v>
      </c>
      <c r="AH254" s="853"/>
      <c r="AI254" s="855">
        <f t="shared" si="39"/>
        <v>0</v>
      </c>
      <c r="AJ254" s="845" t="s">
        <v>781</v>
      </c>
      <c r="AK254" s="857" t="s">
        <v>782</v>
      </c>
      <c r="AL254" s="840"/>
      <c r="AM254" s="840"/>
      <c r="AN254" s="858"/>
      <c r="AO254" s="844" t="s">
        <v>141</v>
      </c>
      <c r="AP254" s="859"/>
      <c r="AQ254" s="859" t="s">
        <v>783</v>
      </c>
      <c r="AR254" s="859"/>
      <c r="AS254" s="840"/>
      <c r="AT254" s="840"/>
      <c r="AU254" s="860"/>
      <c r="AV254" s="839" t="s">
        <v>784</v>
      </c>
      <c r="AW254" s="861">
        <v>44975</v>
      </c>
      <c r="AX254" s="862" t="s">
        <v>785</v>
      </c>
      <c r="AY254" s="843"/>
      <c r="AZ254" s="842"/>
      <c r="BA254" s="842" t="s">
        <v>120</v>
      </c>
      <c r="BB254" s="863" t="s">
        <v>121</v>
      </c>
      <c r="BC254" s="864">
        <v>44975</v>
      </c>
      <c r="BD254" s="860" t="s">
        <v>786</v>
      </c>
      <c r="BE254" s="865" cm="1">
        <f t="array" ref="BE254">IF(BD254="","",AC254/SUMPRODUCT(--(BD254=$BD$4:$BD$12824),$AC$4:$AC$12824))</f>
        <v>2.8071067052605963E-2</v>
      </c>
      <c r="BF254" s="458"/>
      <c r="BG254" s="458"/>
      <c r="BH254" s="458"/>
      <c r="BI254" s="458"/>
      <c r="BJ254" s="458"/>
      <c r="BK254" s="458"/>
      <c r="BL254" s="458"/>
      <c r="BM254" s="458"/>
      <c r="BN254" s="458"/>
      <c r="BO254" s="866">
        <f>VLOOKUP(BD254,$BD$4:$BN$12824,3,0)*BE254</f>
        <v>0</v>
      </c>
      <c r="BP254" s="866"/>
      <c r="BQ254" s="866"/>
      <c r="BR254" s="866">
        <f>VLOOKUP(BD254,$BD$4:$BN$12824,6,0)*BE254</f>
        <v>618170.93304834957</v>
      </c>
      <c r="BS254" s="866">
        <f>VLOOKUP(BD254,$BD$4:$BN$12824,7,0)*BE254</f>
        <v>0</v>
      </c>
      <c r="BT254" s="866"/>
      <c r="BU254" s="866">
        <f>VLOOKUP(BD254,$BD$4:$BN$12824,9,0)*BE254</f>
        <v>0</v>
      </c>
      <c r="BV254" s="867"/>
      <c r="BW254" s="867">
        <f>VLOOKUP(BD254,$BD$4:$BN$12824,11,0)*BE254</f>
        <v>0</v>
      </c>
      <c r="BX254" s="1146">
        <f t="shared" si="46"/>
        <v>618170.93304834957</v>
      </c>
      <c r="BY254" s="867">
        <f t="shared" si="42"/>
        <v>4832254.3733048346</v>
      </c>
      <c r="BZ254" s="867">
        <f t="shared" si="40"/>
        <v>48322543.73304835</v>
      </c>
      <c r="CA254" s="867">
        <f>_xlfn.MAXIFS($BY$4:$BY$12824,$S$4:$S$12824,$S254)</f>
        <v>4832254.3733048346</v>
      </c>
      <c r="CB254" s="1032"/>
      <c r="CC254" s="999" t="s">
        <v>791</v>
      </c>
      <c r="CF254" s="946">
        <f t="shared" si="41"/>
        <v>39295200</v>
      </c>
    </row>
    <row r="255" spans="1:84">
      <c r="A255" s="1032"/>
      <c r="B255" s="839" t="s">
        <v>98</v>
      </c>
      <c r="C255" s="839" t="s">
        <v>131</v>
      </c>
      <c r="D255" s="839" t="s">
        <v>777</v>
      </c>
      <c r="E255" s="839" t="s">
        <v>777</v>
      </c>
      <c r="F255" s="841">
        <v>44939</v>
      </c>
      <c r="G255" s="840" t="s">
        <v>133</v>
      </c>
      <c r="H255" s="842" t="s">
        <v>134</v>
      </c>
      <c r="I255" s="842"/>
      <c r="J255" s="841"/>
      <c r="K255" s="841"/>
      <c r="L255" s="843"/>
      <c r="M255" s="844" t="s">
        <v>417</v>
      </c>
      <c r="N255" s="841"/>
      <c r="O255" s="841" t="s">
        <v>150</v>
      </c>
      <c r="P255" s="841" t="s">
        <v>151</v>
      </c>
      <c r="Q255" s="843"/>
      <c r="R255" s="845" t="s">
        <v>859</v>
      </c>
      <c r="S255" s="1127" t="s">
        <v>860</v>
      </c>
      <c r="T255" s="843" t="s">
        <v>861</v>
      </c>
      <c r="U255" s="842">
        <v>4</v>
      </c>
      <c r="V255" s="842" t="s">
        <v>8</v>
      </c>
      <c r="W255" s="846"/>
      <c r="X255" s="847">
        <f t="shared" si="35"/>
        <v>0</v>
      </c>
      <c r="Y255" s="848"/>
      <c r="Z255" s="849">
        <v>168</v>
      </c>
      <c r="AA255" s="849"/>
      <c r="AB255" s="849">
        <f t="shared" si="36"/>
        <v>672</v>
      </c>
      <c r="AC255" s="850">
        <f t="shared" si="37"/>
        <v>672</v>
      </c>
      <c r="AD255" s="851"/>
      <c r="AE255" s="852">
        <v>23390</v>
      </c>
      <c r="AF255" s="853">
        <v>0.214</v>
      </c>
      <c r="AG255" s="854">
        <f t="shared" si="38"/>
        <v>3363669.12</v>
      </c>
      <c r="AH255" s="853"/>
      <c r="AI255" s="855">
        <f t="shared" si="39"/>
        <v>0</v>
      </c>
      <c r="AJ255" s="845" t="s">
        <v>781</v>
      </c>
      <c r="AK255" s="857" t="s">
        <v>782</v>
      </c>
      <c r="AL255" s="840"/>
      <c r="AM255" s="840"/>
      <c r="AN255" s="858"/>
      <c r="AO255" s="844" t="s">
        <v>141</v>
      </c>
      <c r="AP255" s="859"/>
      <c r="AQ255" s="859" t="s">
        <v>783</v>
      </c>
      <c r="AR255" s="859"/>
      <c r="AS255" s="840"/>
      <c r="AT255" s="840"/>
      <c r="AU255" s="860"/>
      <c r="AV255" s="839" t="s">
        <v>784</v>
      </c>
      <c r="AW255" s="861">
        <v>44975</v>
      </c>
      <c r="AX255" s="862" t="s">
        <v>785</v>
      </c>
      <c r="AY255" s="843"/>
      <c r="AZ255" s="842"/>
      <c r="BA255" s="842" t="s">
        <v>120</v>
      </c>
      <c r="BB255" s="863" t="s">
        <v>121</v>
      </c>
      <c r="BC255" s="864">
        <v>44975</v>
      </c>
      <c r="BD255" s="860" t="s">
        <v>786</v>
      </c>
      <c r="BE255" s="865" cm="1">
        <f t="array" ref="BE255">IF(BD255="","",AC255/SUMPRODUCT(--(BD255=$BD$4:$BD$12824),$AC$4:$AC$12824))</f>
        <v>1.1228426821042385E-2</v>
      </c>
      <c r="BF255" s="458"/>
      <c r="BG255" s="458"/>
      <c r="BH255" s="458"/>
      <c r="BI255" s="458"/>
      <c r="BJ255" s="458"/>
      <c r="BK255" s="458"/>
      <c r="BL255" s="458"/>
      <c r="BM255" s="458"/>
      <c r="BN255" s="458"/>
      <c r="BO255" s="866">
        <f>VLOOKUP(BD255,$BD$4:$BN$12824,3,0)*BE255</f>
        <v>0</v>
      </c>
      <c r="BP255" s="866"/>
      <c r="BQ255" s="866"/>
      <c r="BR255" s="866">
        <f>VLOOKUP(BD255,$BD$4:$BN$12824,6,0)*BE255</f>
        <v>247268.37321933982</v>
      </c>
      <c r="BS255" s="866">
        <f>VLOOKUP(BD255,$BD$4:$BN$12824,7,0)*BE255</f>
        <v>0</v>
      </c>
      <c r="BT255" s="866"/>
      <c r="BU255" s="866">
        <f>VLOOKUP(BD255,$BD$4:$BN$12824,9,0)*BE255</f>
        <v>0</v>
      </c>
      <c r="BV255" s="867"/>
      <c r="BW255" s="867">
        <f>VLOOKUP(BD255,$BD$4:$BN$12824,11,0)*BE255</f>
        <v>0</v>
      </c>
      <c r="BX255" s="1146">
        <f t="shared" si="46"/>
        <v>247268.37321933982</v>
      </c>
      <c r="BY255" s="867">
        <f t="shared" si="42"/>
        <v>4832254.3733048355</v>
      </c>
      <c r="BZ255" s="867">
        <f t="shared" si="40"/>
        <v>19329017.493219342</v>
      </c>
      <c r="CA255" s="867">
        <f>_xlfn.MAXIFS($BY$4:$BY$12824,$S$4:$S$12824,$S255)</f>
        <v>4832254.3733048355</v>
      </c>
      <c r="CB255" s="1032"/>
      <c r="CC255" s="999" t="s">
        <v>791</v>
      </c>
      <c r="CF255" s="946">
        <f t="shared" si="41"/>
        <v>15718080</v>
      </c>
    </row>
    <row r="256" spans="1:84">
      <c r="A256" s="1032"/>
      <c r="B256" s="839" t="s">
        <v>98</v>
      </c>
      <c r="C256" s="839" t="s">
        <v>131</v>
      </c>
      <c r="D256" s="839" t="s">
        <v>777</v>
      </c>
      <c r="E256" s="839" t="s">
        <v>777</v>
      </c>
      <c r="F256" s="841">
        <v>44939</v>
      </c>
      <c r="G256" s="840" t="s">
        <v>133</v>
      </c>
      <c r="H256" s="842" t="s">
        <v>134</v>
      </c>
      <c r="I256" s="842"/>
      <c r="J256" s="841"/>
      <c r="K256" s="841"/>
      <c r="L256" s="843"/>
      <c r="M256" s="844" t="s">
        <v>417</v>
      </c>
      <c r="N256" s="841"/>
      <c r="O256" s="841" t="s">
        <v>150</v>
      </c>
      <c r="P256" s="841" t="s">
        <v>151</v>
      </c>
      <c r="Q256" s="843"/>
      <c r="R256" s="845" t="s">
        <v>862</v>
      </c>
      <c r="S256" s="1127" t="s">
        <v>863</v>
      </c>
      <c r="T256" s="843" t="s">
        <v>864</v>
      </c>
      <c r="U256" s="842">
        <v>4</v>
      </c>
      <c r="V256" s="842" t="s">
        <v>8</v>
      </c>
      <c r="W256" s="846"/>
      <c r="X256" s="847">
        <f t="shared" si="35"/>
        <v>0</v>
      </c>
      <c r="Y256" s="848"/>
      <c r="Z256" s="849">
        <v>168</v>
      </c>
      <c r="AA256" s="849"/>
      <c r="AB256" s="849">
        <f t="shared" si="36"/>
        <v>672</v>
      </c>
      <c r="AC256" s="850">
        <f t="shared" si="37"/>
        <v>672</v>
      </c>
      <c r="AD256" s="851"/>
      <c r="AE256" s="852">
        <v>23390</v>
      </c>
      <c r="AF256" s="853">
        <v>0.214</v>
      </c>
      <c r="AG256" s="854">
        <f t="shared" si="38"/>
        <v>3363669.12</v>
      </c>
      <c r="AH256" s="853"/>
      <c r="AI256" s="855">
        <f t="shared" si="39"/>
        <v>0</v>
      </c>
      <c r="AJ256" s="845" t="s">
        <v>781</v>
      </c>
      <c r="AK256" s="857" t="s">
        <v>782</v>
      </c>
      <c r="AL256" s="840"/>
      <c r="AM256" s="840"/>
      <c r="AN256" s="858"/>
      <c r="AO256" s="844" t="s">
        <v>141</v>
      </c>
      <c r="AP256" s="859"/>
      <c r="AQ256" s="859" t="s">
        <v>783</v>
      </c>
      <c r="AR256" s="859"/>
      <c r="AS256" s="840"/>
      <c r="AT256" s="840"/>
      <c r="AU256" s="860"/>
      <c r="AV256" s="839" t="s">
        <v>784</v>
      </c>
      <c r="AW256" s="861">
        <v>44975</v>
      </c>
      <c r="AX256" s="862" t="s">
        <v>785</v>
      </c>
      <c r="AY256" s="843"/>
      <c r="AZ256" s="842"/>
      <c r="BA256" s="842" t="s">
        <v>120</v>
      </c>
      <c r="BB256" s="863" t="s">
        <v>121</v>
      </c>
      <c r="BC256" s="864">
        <v>44975</v>
      </c>
      <c r="BD256" s="860" t="s">
        <v>786</v>
      </c>
      <c r="BE256" s="865" cm="1">
        <f t="array" ref="BE256">IF(BD256="","",AC256/SUMPRODUCT(--(BD256=$BD$4:$BD$12824),$AC$4:$AC$12824))</f>
        <v>1.1228426821042385E-2</v>
      </c>
      <c r="BF256" s="458"/>
      <c r="BG256" s="458"/>
      <c r="BH256" s="458"/>
      <c r="BI256" s="458"/>
      <c r="BJ256" s="458"/>
      <c r="BK256" s="458"/>
      <c r="BL256" s="458"/>
      <c r="BM256" s="458"/>
      <c r="BN256" s="458"/>
      <c r="BO256" s="866">
        <f>VLOOKUP(BD256,$BD$4:$BN$12824,3,0)*BE256</f>
        <v>0</v>
      </c>
      <c r="BP256" s="866"/>
      <c r="BQ256" s="866"/>
      <c r="BR256" s="866">
        <f>VLOOKUP(BD256,$BD$4:$BN$12824,6,0)*BE256</f>
        <v>247268.37321933982</v>
      </c>
      <c r="BS256" s="866">
        <f>VLOOKUP(BD256,$BD$4:$BN$12824,7,0)*BE256</f>
        <v>0</v>
      </c>
      <c r="BT256" s="866"/>
      <c r="BU256" s="866">
        <f>VLOOKUP(BD256,$BD$4:$BN$12824,9,0)*BE256</f>
        <v>0</v>
      </c>
      <c r="BV256" s="867"/>
      <c r="BW256" s="867">
        <f>VLOOKUP(BD256,$BD$4:$BN$12824,11,0)*BE256</f>
        <v>0</v>
      </c>
      <c r="BX256" s="1146">
        <f t="shared" si="46"/>
        <v>247268.37321933982</v>
      </c>
      <c r="BY256" s="867">
        <f t="shared" si="42"/>
        <v>4832254.3733048355</v>
      </c>
      <c r="BZ256" s="867">
        <f t="shared" si="40"/>
        <v>19329017.493219342</v>
      </c>
      <c r="CA256" s="867">
        <f>_xlfn.MAXIFS($BY$4:$BY$12824,$S$4:$S$12824,$S256)</f>
        <v>4832254.3733048355</v>
      </c>
      <c r="CB256" s="1032"/>
      <c r="CC256" s="999" t="s">
        <v>791</v>
      </c>
      <c r="CF256" s="946">
        <f t="shared" si="41"/>
        <v>15718080</v>
      </c>
    </row>
    <row r="257" spans="1:84">
      <c r="A257" s="1032"/>
      <c r="B257" s="839" t="s">
        <v>98</v>
      </c>
      <c r="C257" s="839" t="s">
        <v>131</v>
      </c>
      <c r="D257" s="839" t="s">
        <v>777</v>
      </c>
      <c r="E257" s="839" t="s">
        <v>777</v>
      </c>
      <c r="F257" s="841">
        <v>44939</v>
      </c>
      <c r="G257" s="840" t="s">
        <v>133</v>
      </c>
      <c r="H257" s="842" t="s">
        <v>134</v>
      </c>
      <c r="I257" s="842"/>
      <c r="J257" s="841"/>
      <c r="K257" s="841"/>
      <c r="L257" s="843"/>
      <c r="M257" s="844" t="s">
        <v>417</v>
      </c>
      <c r="N257" s="841"/>
      <c r="O257" s="841" t="s">
        <v>150</v>
      </c>
      <c r="P257" s="841" t="s">
        <v>151</v>
      </c>
      <c r="Q257" s="843"/>
      <c r="R257" s="845" t="s">
        <v>865</v>
      </c>
      <c r="S257" s="1127" t="s">
        <v>866</v>
      </c>
      <c r="T257" s="843" t="s">
        <v>867</v>
      </c>
      <c r="U257" s="842">
        <v>4</v>
      </c>
      <c r="V257" s="842" t="s">
        <v>8</v>
      </c>
      <c r="W257" s="846"/>
      <c r="X257" s="847">
        <f t="shared" ref="X257:X320" si="47">W257*U257</f>
        <v>0</v>
      </c>
      <c r="Y257" s="848"/>
      <c r="Z257" s="849">
        <v>168</v>
      </c>
      <c r="AA257" s="849"/>
      <c r="AB257" s="849">
        <f t="shared" ref="AB257:AB320" si="48">IF(AA257="F.O.C", 0, Z257*U257)</f>
        <v>672</v>
      </c>
      <c r="AC257" s="850">
        <f t="shared" ref="AC257:AC320" si="49">Z257*U257</f>
        <v>672</v>
      </c>
      <c r="AD257" s="851"/>
      <c r="AE257" s="852">
        <v>23390</v>
      </c>
      <c r="AF257" s="853">
        <v>0.214</v>
      </c>
      <c r="AG257" s="854">
        <f t="shared" ref="AG257:AG320" si="50">(AC257*AE257+BO257+BP257+BQ257+BS257)*AF257</f>
        <v>3363669.12</v>
      </c>
      <c r="AH257" s="853"/>
      <c r="AI257" s="855">
        <f t="shared" ref="AI257:AI320" si="51">(AC257*AE257+AG257+BF257+BG257+BH257+BJ257)*AH257</f>
        <v>0</v>
      </c>
      <c r="AJ257" s="845" t="s">
        <v>781</v>
      </c>
      <c r="AK257" s="857" t="s">
        <v>782</v>
      </c>
      <c r="AL257" s="840"/>
      <c r="AM257" s="840"/>
      <c r="AN257" s="858"/>
      <c r="AO257" s="844" t="s">
        <v>141</v>
      </c>
      <c r="AP257" s="859"/>
      <c r="AQ257" s="859" t="s">
        <v>783</v>
      </c>
      <c r="AR257" s="859"/>
      <c r="AS257" s="840"/>
      <c r="AT257" s="840"/>
      <c r="AU257" s="860"/>
      <c r="AV257" s="839" t="s">
        <v>784</v>
      </c>
      <c r="AW257" s="861">
        <v>44975</v>
      </c>
      <c r="AX257" s="862" t="s">
        <v>785</v>
      </c>
      <c r="AY257" s="843"/>
      <c r="AZ257" s="842"/>
      <c r="BA257" s="842" t="s">
        <v>120</v>
      </c>
      <c r="BB257" s="863" t="s">
        <v>121</v>
      </c>
      <c r="BC257" s="864">
        <v>44975</v>
      </c>
      <c r="BD257" s="860" t="s">
        <v>786</v>
      </c>
      <c r="BE257" s="865" cm="1">
        <f t="array" ref="BE257">IF(BD257="","",AC257/SUMPRODUCT(--(BD257=$BD$4:$BD$12824),$AC$4:$AC$12824))</f>
        <v>1.1228426821042385E-2</v>
      </c>
      <c r="BF257" s="458"/>
      <c r="BG257" s="458"/>
      <c r="BH257" s="458"/>
      <c r="BI257" s="458"/>
      <c r="BJ257" s="458"/>
      <c r="BK257" s="458"/>
      <c r="BL257" s="458"/>
      <c r="BM257" s="458"/>
      <c r="BN257" s="458"/>
      <c r="BO257" s="866">
        <f>VLOOKUP(BD257,$BD$4:$BN$12824,3,0)*BE257</f>
        <v>0</v>
      </c>
      <c r="BP257" s="866"/>
      <c r="BQ257" s="866"/>
      <c r="BR257" s="866">
        <f>VLOOKUP(BD257,$BD$4:$BN$12824,6,0)*BE257</f>
        <v>247268.37321933982</v>
      </c>
      <c r="BS257" s="866">
        <f>VLOOKUP(BD257,$BD$4:$BN$12824,7,0)*BE257</f>
        <v>0</v>
      </c>
      <c r="BT257" s="866"/>
      <c r="BU257" s="866">
        <f>VLOOKUP(BD257,$BD$4:$BN$12824,9,0)*BE257</f>
        <v>0</v>
      </c>
      <c r="BV257" s="867"/>
      <c r="BW257" s="867">
        <f>VLOOKUP(BD257,$BD$4:$BN$12824,11,0)*BE257</f>
        <v>0</v>
      </c>
      <c r="BX257" s="1146">
        <f t="shared" si="46"/>
        <v>247268.37321933982</v>
      </c>
      <c r="BY257" s="867">
        <f t="shared" si="42"/>
        <v>4832254.3733048355</v>
      </c>
      <c r="BZ257" s="867">
        <f t="shared" ref="BZ257:BZ320" si="52">BY257*U257</f>
        <v>19329017.493219342</v>
      </c>
      <c r="CA257" s="867">
        <f>_xlfn.MAXIFS($BY$4:$BY$12824,$S$4:$S$12824,$S257)</f>
        <v>4832254.3733048355</v>
      </c>
      <c r="CB257" s="1032"/>
      <c r="CC257" s="999" t="s">
        <v>791</v>
      </c>
      <c r="CF257" s="946">
        <f t="shared" si="41"/>
        <v>15718080</v>
      </c>
    </row>
    <row r="258" spans="1:84">
      <c r="A258" s="1032"/>
      <c r="B258" s="839" t="s">
        <v>98</v>
      </c>
      <c r="C258" s="839" t="s">
        <v>131</v>
      </c>
      <c r="D258" s="839" t="s">
        <v>777</v>
      </c>
      <c r="E258" s="839" t="s">
        <v>777</v>
      </c>
      <c r="F258" s="841">
        <v>44939</v>
      </c>
      <c r="G258" s="840" t="s">
        <v>133</v>
      </c>
      <c r="H258" s="842" t="s">
        <v>134</v>
      </c>
      <c r="I258" s="842"/>
      <c r="J258" s="841"/>
      <c r="K258" s="841"/>
      <c r="L258" s="843"/>
      <c r="M258" s="844" t="s">
        <v>417</v>
      </c>
      <c r="N258" s="841"/>
      <c r="O258" s="841" t="s">
        <v>150</v>
      </c>
      <c r="P258" s="841" t="s">
        <v>868</v>
      </c>
      <c r="Q258" s="843"/>
      <c r="R258" s="845" t="s">
        <v>869</v>
      </c>
      <c r="S258" s="1127" t="s">
        <v>870</v>
      </c>
      <c r="T258" s="843" t="s">
        <v>871</v>
      </c>
      <c r="U258" s="842">
        <v>4</v>
      </c>
      <c r="V258" s="842" t="s">
        <v>8</v>
      </c>
      <c r="W258" s="846"/>
      <c r="X258" s="847">
        <f t="shared" si="47"/>
        <v>0</v>
      </c>
      <c r="Y258" s="848"/>
      <c r="Z258" s="849">
        <v>964.21299999999997</v>
      </c>
      <c r="AA258" s="849"/>
      <c r="AB258" s="849">
        <f t="shared" si="48"/>
        <v>3856.8519999999999</v>
      </c>
      <c r="AC258" s="850">
        <f t="shared" si="49"/>
        <v>3856.8519999999999</v>
      </c>
      <c r="AD258" s="851"/>
      <c r="AE258" s="852">
        <v>23390</v>
      </c>
      <c r="AF258" s="853">
        <v>0</v>
      </c>
      <c r="AG258" s="854">
        <f t="shared" si="50"/>
        <v>0</v>
      </c>
      <c r="AH258" s="853"/>
      <c r="AI258" s="855">
        <f t="shared" si="51"/>
        <v>0</v>
      </c>
      <c r="AJ258" s="845" t="s">
        <v>781</v>
      </c>
      <c r="AK258" s="857" t="s">
        <v>782</v>
      </c>
      <c r="AL258" s="840"/>
      <c r="AM258" s="840"/>
      <c r="AN258" s="858"/>
      <c r="AO258" s="844" t="s">
        <v>141</v>
      </c>
      <c r="AP258" s="859"/>
      <c r="AQ258" s="859" t="s">
        <v>783</v>
      </c>
      <c r="AR258" s="859"/>
      <c r="AS258" s="840"/>
      <c r="AT258" s="840"/>
      <c r="AU258" s="860"/>
      <c r="AV258" s="839" t="s">
        <v>784</v>
      </c>
      <c r="AW258" s="861">
        <v>44975</v>
      </c>
      <c r="AX258" s="862" t="s">
        <v>785</v>
      </c>
      <c r="AY258" s="843"/>
      <c r="AZ258" s="842"/>
      <c r="BA258" s="842" t="s">
        <v>120</v>
      </c>
      <c r="BB258" s="863" t="s">
        <v>121</v>
      </c>
      <c r="BC258" s="864">
        <v>44975</v>
      </c>
      <c r="BD258" s="860" t="s">
        <v>786</v>
      </c>
      <c r="BE258" s="865" cm="1">
        <f t="array" ref="BE258">IF(BD258="","",AC258/SUMPRODUCT(--(BD258=$BD$4:$BD$12824),$AC$4:$AC$12824))</f>
        <v>6.4444018514272269E-2</v>
      </c>
      <c r="BF258" s="458"/>
      <c r="BG258" s="458"/>
      <c r="BH258" s="458"/>
      <c r="BI258" s="458"/>
      <c r="BJ258" s="458"/>
      <c r="BK258" s="458"/>
      <c r="BL258" s="458"/>
      <c r="BM258" s="458"/>
      <c r="BN258" s="458"/>
      <c r="BO258" s="866">
        <f>VLOOKUP(BD258,$BD$4:$BN$12824,3,0)*BE258</f>
        <v>0</v>
      </c>
      <c r="BP258" s="866"/>
      <c r="BQ258" s="866"/>
      <c r="BR258" s="866">
        <f>VLOOKUP(BD258,$BD$4:$BN$12824,6,0)*BE258</f>
        <v>1419162.9758746389</v>
      </c>
      <c r="BS258" s="866">
        <f>VLOOKUP(BD258,$BD$4:$BN$12824,7,0)*BE258</f>
        <v>0</v>
      </c>
      <c r="BT258" s="866"/>
      <c r="BU258" s="866">
        <f>VLOOKUP(BD258,$BD$4:$BN$12824,9,0)*BE258</f>
        <v>0</v>
      </c>
      <c r="BV258" s="867"/>
      <c r="BW258" s="867">
        <f>VLOOKUP(BD258,$BD$4:$BN$12824,11,0)*BE258</f>
        <v>0</v>
      </c>
      <c r="BX258" s="1146">
        <f t="shared" si="46"/>
        <v>1419162.9758746389</v>
      </c>
      <c r="BY258" s="867">
        <f t="shared" si="42"/>
        <v>22907732.813968658</v>
      </c>
      <c r="BZ258" s="867">
        <f t="shared" si="52"/>
        <v>91630931.255874634</v>
      </c>
      <c r="CA258" s="867">
        <f>_xlfn.MAXIFS($BY$4:$BY$12824,$S$4:$S$12824,$S258)</f>
        <v>22907732.813968658</v>
      </c>
      <c r="CB258" s="1032"/>
      <c r="CC258" s="999" t="s">
        <v>791</v>
      </c>
      <c r="CF258" s="946">
        <f t="shared" si="41"/>
        <v>90211768.280000001</v>
      </c>
    </row>
    <row r="259" spans="1:84">
      <c r="A259" s="1032"/>
      <c r="B259" s="839" t="s">
        <v>98</v>
      </c>
      <c r="C259" s="839" t="s">
        <v>131</v>
      </c>
      <c r="D259" s="839" t="s">
        <v>777</v>
      </c>
      <c r="E259" s="839" t="s">
        <v>777</v>
      </c>
      <c r="F259" s="841">
        <v>44939</v>
      </c>
      <c r="G259" s="840" t="s">
        <v>133</v>
      </c>
      <c r="H259" s="842" t="s">
        <v>134</v>
      </c>
      <c r="I259" s="842"/>
      <c r="J259" s="841"/>
      <c r="K259" s="841"/>
      <c r="L259" s="843"/>
      <c r="M259" s="844" t="s">
        <v>417</v>
      </c>
      <c r="N259" s="841"/>
      <c r="O259" s="841" t="s">
        <v>150</v>
      </c>
      <c r="P259" s="841" t="s">
        <v>461</v>
      </c>
      <c r="Q259" s="843"/>
      <c r="R259" s="845" t="s">
        <v>872</v>
      </c>
      <c r="S259" s="1127" t="s">
        <v>873</v>
      </c>
      <c r="T259" s="843" t="s">
        <v>874</v>
      </c>
      <c r="U259" s="842">
        <v>2</v>
      </c>
      <c r="V259" s="842" t="s">
        <v>8</v>
      </c>
      <c r="W259" s="846"/>
      <c r="X259" s="847">
        <f t="shared" si="47"/>
        <v>0</v>
      </c>
      <c r="Y259" s="848"/>
      <c r="Z259" s="849">
        <v>503.08300000000003</v>
      </c>
      <c r="AA259" s="849"/>
      <c r="AB259" s="849">
        <f t="shared" si="48"/>
        <v>1006.1660000000001</v>
      </c>
      <c r="AC259" s="850">
        <f t="shared" si="49"/>
        <v>1006.1660000000001</v>
      </c>
      <c r="AD259" s="851"/>
      <c r="AE259" s="852">
        <v>23390</v>
      </c>
      <c r="AF259" s="853">
        <v>0.05</v>
      </c>
      <c r="AG259" s="854">
        <f t="shared" si="50"/>
        <v>1176711.1370000001</v>
      </c>
      <c r="AH259" s="853"/>
      <c r="AI259" s="855">
        <f t="shared" si="51"/>
        <v>0</v>
      </c>
      <c r="AJ259" s="845" t="s">
        <v>781</v>
      </c>
      <c r="AK259" s="857" t="s">
        <v>782</v>
      </c>
      <c r="AL259" s="840"/>
      <c r="AM259" s="840"/>
      <c r="AN259" s="858"/>
      <c r="AO259" s="844" t="s">
        <v>141</v>
      </c>
      <c r="AP259" s="859"/>
      <c r="AQ259" s="859" t="s">
        <v>783</v>
      </c>
      <c r="AR259" s="859"/>
      <c r="AS259" s="840"/>
      <c r="AT259" s="840"/>
      <c r="AU259" s="860"/>
      <c r="AV259" s="839" t="s">
        <v>784</v>
      </c>
      <c r="AW259" s="861">
        <v>44975</v>
      </c>
      <c r="AX259" s="862" t="s">
        <v>785</v>
      </c>
      <c r="AY259" s="843"/>
      <c r="AZ259" s="842"/>
      <c r="BA259" s="842" t="s">
        <v>120</v>
      </c>
      <c r="BB259" s="863" t="s">
        <v>121</v>
      </c>
      <c r="BC259" s="864">
        <v>44975</v>
      </c>
      <c r="BD259" s="860" t="s">
        <v>786</v>
      </c>
      <c r="BE259" s="865" cm="1">
        <f t="array" ref="BE259">IF(BD259="","",AC259/SUMPRODUCT(--(BD259=$BD$4:$BD$12824),$AC$4:$AC$12824))</f>
        <v>1.6811995983364483E-2</v>
      </c>
      <c r="BF259" s="458"/>
      <c r="BG259" s="458"/>
      <c r="BH259" s="458"/>
      <c r="BI259" s="458"/>
      <c r="BJ259" s="458"/>
      <c r="BK259" s="458"/>
      <c r="BL259" s="458"/>
      <c r="BM259" s="458"/>
      <c r="BN259" s="458"/>
      <c r="BO259" s="866">
        <f>VLOOKUP(BD259,$BD$4:$BN$12824,3,0)*BE259</f>
        <v>0</v>
      </c>
      <c r="BP259" s="866"/>
      <c r="BQ259" s="866"/>
      <c r="BR259" s="866">
        <f>VLOOKUP(BD259,$BD$4:$BN$12824,6,0)*BE259</f>
        <v>370227.72322709864</v>
      </c>
      <c r="BS259" s="866">
        <f>VLOOKUP(BD259,$BD$4:$BN$12824,7,0)*BE259</f>
        <v>0</v>
      </c>
      <c r="BT259" s="866"/>
      <c r="BU259" s="866">
        <f>VLOOKUP(BD259,$BD$4:$BN$12824,9,0)*BE259</f>
        <v>0</v>
      </c>
      <c r="BV259" s="867"/>
      <c r="BW259" s="867">
        <f>VLOOKUP(BD259,$BD$4:$BN$12824,11,0)*BE259</f>
        <v>0</v>
      </c>
      <c r="BX259" s="1146">
        <f t="shared" si="46"/>
        <v>370227.72322709864</v>
      </c>
      <c r="BY259" s="867">
        <f t="shared" si="42"/>
        <v>12540580.800113551</v>
      </c>
      <c r="BZ259" s="867">
        <f t="shared" si="52"/>
        <v>25081161.600227103</v>
      </c>
      <c r="CA259" s="867">
        <f>_xlfn.MAXIFS($BY$4:$BY$12824,$S$4:$S$12824,$S259)</f>
        <v>12540580.800113551</v>
      </c>
      <c r="CB259" s="1032"/>
      <c r="CC259" s="999" t="s">
        <v>791</v>
      </c>
      <c r="CF259" s="946">
        <f t="shared" si="41"/>
        <v>23534222.740000002</v>
      </c>
    </row>
    <row r="260" spans="1:84">
      <c r="A260" s="1032"/>
      <c r="B260" s="839" t="s">
        <v>98</v>
      </c>
      <c r="C260" s="839" t="s">
        <v>131</v>
      </c>
      <c r="D260" s="839" t="s">
        <v>777</v>
      </c>
      <c r="E260" s="839" t="s">
        <v>777</v>
      </c>
      <c r="F260" s="841">
        <v>44939</v>
      </c>
      <c r="G260" s="840" t="s">
        <v>133</v>
      </c>
      <c r="H260" s="842" t="s">
        <v>134</v>
      </c>
      <c r="I260" s="842"/>
      <c r="J260" s="841"/>
      <c r="K260" s="841"/>
      <c r="L260" s="843"/>
      <c r="M260" s="844" t="s">
        <v>417</v>
      </c>
      <c r="N260" s="841"/>
      <c r="O260" s="841" t="s">
        <v>150</v>
      </c>
      <c r="P260" s="841" t="s">
        <v>461</v>
      </c>
      <c r="Q260" s="843"/>
      <c r="R260" s="845" t="s">
        <v>875</v>
      </c>
      <c r="S260" s="1127" t="s">
        <v>876</v>
      </c>
      <c r="T260" s="843" t="s">
        <v>877</v>
      </c>
      <c r="U260" s="842">
        <v>6</v>
      </c>
      <c r="V260" s="842" t="s">
        <v>8</v>
      </c>
      <c r="W260" s="846"/>
      <c r="X260" s="847">
        <f t="shared" si="47"/>
        <v>0</v>
      </c>
      <c r="Y260" s="848"/>
      <c r="Z260" s="849">
        <v>114</v>
      </c>
      <c r="AA260" s="849"/>
      <c r="AB260" s="849">
        <f t="shared" si="48"/>
        <v>684</v>
      </c>
      <c r="AC260" s="850">
        <f t="shared" si="49"/>
        <v>684</v>
      </c>
      <c r="AD260" s="851"/>
      <c r="AE260" s="852">
        <v>23390</v>
      </c>
      <c r="AF260" s="853">
        <v>0.05</v>
      </c>
      <c r="AG260" s="854">
        <f t="shared" si="50"/>
        <v>799938</v>
      </c>
      <c r="AH260" s="853"/>
      <c r="AI260" s="855">
        <f t="shared" si="51"/>
        <v>0</v>
      </c>
      <c r="AJ260" s="845" t="s">
        <v>781</v>
      </c>
      <c r="AK260" s="857" t="s">
        <v>782</v>
      </c>
      <c r="AL260" s="840"/>
      <c r="AM260" s="840"/>
      <c r="AN260" s="858"/>
      <c r="AO260" s="844" t="s">
        <v>141</v>
      </c>
      <c r="AP260" s="859"/>
      <c r="AQ260" s="859" t="s">
        <v>783</v>
      </c>
      <c r="AR260" s="859"/>
      <c r="AS260" s="840"/>
      <c r="AT260" s="840"/>
      <c r="AU260" s="860"/>
      <c r="AV260" s="839" t="s">
        <v>784</v>
      </c>
      <c r="AW260" s="861">
        <v>44975</v>
      </c>
      <c r="AX260" s="862" t="s">
        <v>785</v>
      </c>
      <c r="AY260" s="843"/>
      <c r="AZ260" s="842"/>
      <c r="BA260" s="842" t="s">
        <v>120</v>
      </c>
      <c r="BB260" s="863" t="s">
        <v>121</v>
      </c>
      <c r="BC260" s="864">
        <v>44975</v>
      </c>
      <c r="BD260" s="860" t="s">
        <v>786</v>
      </c>
      <c r="BE260" s="865" cm="1">
        <f t="array" ref="BE260">IF(BD260="","",AC260/SUMPRODUCT(--(BD260=$BD$4:$BD$12824),$AC$4:$AC$12824))</f>
        <v>1.1428934442846714E-2</v>
      </c>
      <c r="BF260" s="458"/>
      <c r="BG260" s="458"/>
      <c r="BH260" s="458"/>
      <c r="BI260" s="458"/>
      <c r="BJ260" s="458"/>
      <c r="BK260" s="458"/>
      <c r="BL260" s="458"/>
      <c r="BM260" s="458"/>
      <c r="BN260" s="458"/>
      <c r="BO260" s="866">
        <f>VLOOKUP(BD260,$BD$4:$BN$12824,3,0)*BE260</f>
        <v>0</v>
      </c>
      <c r="BP260" s="866"/>
      <c r="BQ260" s="866"/>
      <c r="BR260" s="866">
        <f>VLOOKUP(BD260,$BD$4:$BN$12824,6,0)*BE260</f>
        <v>251683.87988397092</v>
      </c>
      <c r="BS260" s="866">
        <f>VLOOKUP(BD260,$BD$4:$BN$12824,7,0)*BE260</f>
        <v>0</v>
      </c>
      <c r="BT260" s="866"/>
      <c r="BU260" s="866">
        <f>VLOOKUP(BD260,$BD$4:$BN$12824,9,0)*BE260</f>
        <v>0</v>
      </c>
      <c r="BV260" s="867"/>
      <c r="BW260" s="867">
        <f>VLOOKUP(BD260,$BD$4:$BN$12824,11,0)*BE260</f>
        <v>0</v>
      </c>
      <c r="BX260" s="1146">
        <f t="shared" si="46"/>
        <v>251683.87988397092</v>
      </c>
      <c r="BY260" s="867">
        <f t="shared" si="42"/>
        <v>2841730.313313995</v>
      </c>
      <c r="BZ260" s="867">
        <f t="shared" si="52"/>
        <v>17050381.879883971</v>
      </c>
      <c r="CA260" s="867">
        <f>_xlfn.MAXIFS($BY$4:$BY$12824,$S$4:$S$12824,$S260)</f>
        <v>2841730.313313995</v>
      </c>
      <c r="CB260" s="1032"/>
      <c r="CC260" s="999" t="s">
        <v>791</v>
      </c>
      <c r="CF260" s="946">
        <f t="shared" si="41"/>
        <v>15998760</v>
      </c>
    </row>
    <row r="261" spans="1:84">
      <c r="A261" s="1032"/>
      <c r="B261" s="839" t="s">
        <v>98</v>
      </c>
      <c r="C261" s="839" t="s">
        <v>131</v>
      </c>
      <c r="D261" s="839" t="s">
        <v>777</v>
      </c>
      <c r="E261" s="839" t="s">
        <v>777</v>
      </c>
      <c r="F261" s="841">
        <v>44939</v>
      </c>
      <c r="G261" s="840" t="s">
        <v>133</v>
      </c>
      <c r="H261" s="842" t="s">
        <v>134</v>
      </c>
      <c r="I261" s="842"/>
      <c r="J261" s="841"/>
      <c r="K261" s="841"/>
      <c r="L261" s="843"/>
      <c r="M261" s="844" t="s">
        <v>417</v>
      </c>
      <c r="N261" s="841"/>
      <c r="O261" s="841" t="s">
        <v>150</v>
      </c>
      <c r="P261" s="841" t="s">
        <v>461</v>
      </c>
      <c r="Q261" s="843"/>
      <c r="R261" s="845" t="s">
        <v>878</v>
      </c>
      <c r="S261" s="1127" t="s">
        <v>879</v>
      </c>
      <c r="T261" s="843" t="s">
        <v>880</v>
      </c>
      <c r="U261" s="842">
        <v>8</v>
      </c>
      <c r="V261" s="842" t="s">
        <v>8</v>
      </c>
      <c r="W261" s="846"/>
      <c r="X261" s="847">
        <f t="shared" si="47"/>
        <v>0</v>
      </c>
      <c r="Y261" s="848"/>
      <c r="Z261" s="849">
        <v>114</v>
      </c>
      <c r="AA261" s="849"/>
      <c r="AB261" s="849">
        <f t="shared" si="48"/>
        <v>912</v>
      </c>
      <c r="AC261" s="850">
        <f t="shared" si="49"/>
        <v>912</v>
      </c>
      <c r="AD261" s="851"/>
      <c r="AE261" s="852">
        <v>23390</v>
      </c>
      <c r="AF261" s="853">
        <v>0.05</v>
      </c>
      <c r="AG261" s="854">
        <f t="shared" si="50"/>
        <v>1066584</v>
      </c>
      <c r="AH261" s="853"/>
      <c r="AI261" s="855">
        <f t="shared" si="51"/>
        <v>0</v>
      </c>
      <c r="AJ261" s="845" t="s">
        <v>781</v>
      </c>
      <c r="AK261" s="857" t="s">
        <v>782</v>
      </c>
      <c r="AL261" s="840"/>
      <c r="AM261" s="840"/>
      <c r="AN261" s="858"/>
      <c r="AO261" s="844" t="s">
        <v>141</v>
      </c>
      <c r="AP261" s="859"/>
      <c r="AQ261" s="859" t="s">
        <v>783</v>
      </c>
      <c r="AR261" s="859"/>
      <c r="AS261" s="840"/>
      <c r="AT261" s="840"/>
      <c r="AU261" s="860"/>
      <c r="AV261" s="839" t="s">
        <v>784</v>
      </c>
      <c r="AW261" s="861">
        <v>44975</v>
      </c>
      <c r="AX261" s="862" t="s">
        <v>785</v>
      </c>
      <c r="AY261" s="843"/>
      <c r="AZ261" s="842"/>
      <c r="BA261" s="842" t="s">
        <v>120</v>
      </c>
      <c r="BB261" s="863" t="s">
        <v>121</v>
      </c>
      <c r="BC261" s="864">
        <v>44975</v>
      </c>
      <c r="BD261" s="860" t="s">
        <v>786</v>
      </c>
      <c r="BE261" s="865" cm="1">
        <f t="array" ref="BE261">IF(BD261="","",AC261/SUMPRODUCT(--(BD261=$BD$4:$BD$12824),$AC$4:$AC$12824))</f>
        <v>1.5238579257128952E-2</v>
      </c>
      <c r="BF261" s="458"/>
      <c r="BG261" s="458"/>
      <c r="BH261" s="458"/>
      <c r="BI261" s="458"/>
      <c r="BJ261" s="458"/>
      <c r="BK261" s="458"/>
      <c r="BL261" s="458"/>
      <c r="BM261" s="458"/>
      <c r="BN261" s="458"/>
      <c r="BO261" s="866">
        <f>VLOOKUP(BD261,$BD$4:$BN$12824,3,0)*BE261</f>
        <v>0</v>
      </c>
      <c r="BP261" s="866"/>
      <c r="BQ261" s="866"/>
      <c r="BR261" s="866">
        <f>VLOOKUP(BD261,$BD$4:$BN$12824,6,0)*BE261</f>
        <v>335578.50651196123</v>
      </c>
      <c r="BS261" s="866">
        <f>VLOOKUP(BD261,$BD$4:$BN$12824,7,0)*BE261</f>
        <v>0</v>
      </c>
      <c r="BT261" s="866"/>
      <c r="BU261" s="866">
        <f>VLOOKUP(BD261,$BD$4:$BN$12824,9,0)*BE261</f>
        <v>0</v>
      </c>
      <c r="BV261" s="867"/>
      <c r="BW261" s="867">
        <f>VLOOKUP(BD261,$BD$4:$BN$12824,11,0)*BE261</f>
        <v>0</v>
      </c>
      <c r="BX261" s="1146">
        <f t="shared" si="46"/>
        <v>335578.50651196123</v>
      </c>
      <c r="BY261" s="867">
        <f t="shared" si="42"/>
        <v>2841730.313313995</v>
      </c>
      <c r="BZ261" s="867">
        <f t="shared" si="52"/>
        <v>22733842.50651196</v>
      </c>
      <c r="CA261" s="867">
        <f>_xlfn.MAXIFS($BY$4:$BY$12824,$S$4:$S$12824,$S261)</f>
        <v>2841730.313313995</v>
      </c>
      <c r="CB261" s="1032"/>
      <c r="CC261" s="999" t="s">
        <v>791</v>
      </c>
      <c r="CF261" s="946">
        <f t="shared" ref="CF261:CF324" si="53">AC261*AE261</f>
        <v>21331680</v>
      </c>
    </row>
    <row r="262" spans="1:84">
      <c r="A262" s="1032"/>
      <c r="B262" s="839" t="s">
        <v>98</v>
      </c>
      <c r="C262" s="839" t="s">
        <v>131</v>
      </c>
      <c r="D262" s="839" t="s">
        <v>777</v>
      </c>
      <c r="E262" s="839" t="s">
        <v>777</v>
      </c>
      <c r="F262" s="841">
        <v>44939</v>
      </c>
      <c r="G262" s="840" t="s">
        <v>133</v>
      </c>
      <c r="H262" s="842" t="s">
        <v>134</v>
      </c>
      <c r="I262" s="842"/>
      <c r="J262" s="841"/>
      <c r="K262" s="841"/>
      <c r="L262" s="843"/>
      <c r="M262" s="844" t="s">
        <v>417</v>
      </c>
      <c r="N262" s="841"/>
      <c r="O262" s="841" t="s">
        <v>150</v>
      </c>
      <c r="P262" s="841" t="s">
        <v>461</v>
      </c>
      <c r="Q262" s="843"/>
      <c r="R262" s="845" t="s">
        <v>881</v>
      </c>
      <c r="S262" s="1127" t="s">
        <v>882</v>
      </c>
      <c r="T262" s="843" t="s">
        <v>883</v>
      </c>
      <c r="U262" s="842">
        <v>6</v>
      </c>
      <c r="V262" s="842" t="s">
        <v>8</v>
      </c>
      <c r="W262" s="846"/>
      <c r="X262" s="847">
        <f t="shared" si="47"/>
        <v>0</v>
      </c>
      <c r="Y262" s="848"/>
      <c r="Z262" s="849">
        <v>114</v>
      </c>
      <c r="AA262" s="849"/>
      <c r="AB262" s="849">
        <f t="shared" si="48"/>
        <v>684</v>
      </c>
      <c r="AC262" s="850">
        <f t="shared" si="49"/>
        <v>684</v>
      </c>
      <c r="AD262" s="851"/>
      <c r="AE262" s="852">
        <v>23390</v>
      </c>
      <c r="AF262" s="853">
        <v>0.05</v>
      </c>
      <c r="AG262" s="854">
        <f t="shared" si="50"/>
        <v>799938</v>
      </c>
      <c r="AH262" s="853"/>
      <c r="AI262" s="855">
        <f t="shared" si="51"/>
        <v>0</v>
      </c>
      <c r="AJ262" s="845" t="s">
        <v>781</v>
      </c>
      <c r="AK262" s="857" t="s">
        <v>782</v>
      </c>
      <c r="AL262" s="840"/>
      <c r="AM262" s="840"/>
      <c r="AN262" s="858"/>
      <c r="AO262" s="844" t="s">
        <v>141</v>
      </c>
      <c r="AP262" s="859"/>
      <c r="AQ262" s="859" t="s">
        <v>783</v>
      </c>
      <c r="AR262" s="859"/>
      <c r="AS262" s="840"/>
      <c r="AT262" s="840"/>
      <c r="AU262" s="860"/>
      <c r="AV262" s="839" t="s">
        <v>784</v>
      </c>
      <c r="AW262" s="861">
        <v>44975</v>
      </c>
      <c r="AX262" s="862" t="s">
        <v>785</v>
      </c>
      <c r="AY262" s="843"/>
      <c r="AZ262" s="842"/>
      <c r="BA262" s="842" t="s">
        <v>120</v>
      </c>
      <c r="BB262" s="863" t="s">
        <v>121</v>
      </c>
      <c r="BC262" s="864">
        <v>44975</v>
      </c>
      <c r="BD262" s="860" t="s">
        <v>786</v>
      </c>
      <c r="BE262" s="865" cm="1">
        <f t="array" ref="BE262">IF(BD262="","",AC262/SUMPRODUCT(--(BD262=$BD$4:$BD$12824),$AC$4:$AC$12824))</f>
        <v>1.1428934442846714E-2</v>
      </c>
      <c r="BF262" s="458"/>
      <c r="BG262" s="458"/>
      <c r="BH262" s="458"/>
      <c r="BI262" s="458"/>
      <c r="BJ262" s="458"/>
      <c r="BK262" s="458"/>
      <c r="BL262" s="458"/>
      <c r="BM262" s="458"/>
      <c r="BN262" s="458"/>
      <c r="BO262" s="866">
        <f>VLOOKUP(BD262,$BD$4:$BN$12824,3,0)*BE262</f>
        <v>0</v>
      </c>
      <c r="BP262" s="866"/>
      <c r="BQ262" s="866"/>
      <c r="BR262" s="866">
        <f>VLOOKUP(BD262,$BD$4:$BN$12824,6,0)*BE262</f>
        <v>251683.87988397092</v>
      </c>
      <c r="BS262" s="866">
        <f>VLOOKUP(BD262,$BD$4:$BN$12824,7,0)*BE262</f>
        <v>0</v>
      </c>
      <c r="BT262" s="866"/>
      <c r="BU262" s="866">
        <f>VLOOKUP(BD262,$BD$4:$BN$12824,9,0)*BE262</f>
        <v>0</v>
      </c>
      <c r="BV262" s="867"/>
      <c r="BW262" s="867">
        <f>VLOOKUP(BD262,$BD$4:$BN$12824,11,0)*BE262</f>
        <v>0</v>
      </c>
      <c r="BX262" s="1146">
        <f t="shared" si="46"/>
        <v>251683.87988397092</v>
      </c>
      <c r="BY262" s="867">
        <f t="shared" ref="BY262:BY325" si="54">(AB262*AE262+AG262+BX262)/U262</f>
        <v>2841730.313313995</v>
      </c>
      <c r="BZ262" s="867">
        <f t="shared" si="52"/>
        <v>17050381.879883971</v>
      </c>
      <c r="CA262" s="867">
        <f>_xlfn.MAXIFS($BY$4:$BY$12824,$S$4:$S$12824,$S262)</f>
        <v>2841730.313313995</v>
      </c>
      <c r="CB262" s="1032"/>
      <c r="CC262" s="999" t="s">
        <v>791</v>
      </c>
      <c r="CF262" s="946">
        <f t="shared" si="53"/>
        <v>15998760</v>
      </c>
    </row>
    <row r="263" spans="1:84">
      <c r="A263" s="1032"/>
      <c r="B263" s="839" t="s">
        <v>98</v>
      </c>
      <c r="C263" s="839" t="s">
        <v>131</v>
      </c>
      <c r="D263" s="839" t="s">
        <v>777</v>
      </c>
      <c r="E263" s="839" t="s">
        <v>777</v>
      </c>
      <c r="F263" s="841">
        <v>44939</v>
      </c>
      <c r="G263" s="840" t="s">
        <v>133</v>
      </c>
      <c r="H263" s="842" t="s">
        <v>134</v>
      </c>
      <c r="I263" s="842"/>
      <c r="J263" s="841"/>
      <c r="K263" s="841"/>
      <c r="L263" s="843"/>
      <c r="M263" s="844" t="s">
        <v>417</v>
      </c>
      <c r="N263" s="841"/>
      <c r="O263" s="841" t="s">
        <v>150</v>
      </c>
      <c r="P263" s="841" t="s">
        <v>461</v>
      </c>
      <c r="Q263" s="843"/>
      <c r="R263" s="845" t="s">
        <v>884</v>
      </c>
      <c r="S263" s="1127" t="s">
        <v>885</v>
      </c>
      <c r="T263" s="843" t="s">
        <v>886</v>
      </c>
      <c r="U263" s="842">
        <v>2</v>
      </c>
      <c r="V263" s="842" t="s">
        <v>8</v>
      </c>
      <c r="W263" s="846"/>
      <c r="X263" s="847">
        <f t="shared" si="47"/>
        <v>0</v>
      </c>
      <c r="Y263" s="848"/>
      <c r="Z263" s="849">
        <v>385.09300000000002</v>
      </c>
      <c r="AA263" s="849"/>
      <c r="AB263" s="849">
        <f t="shared" si="48"/>
        <v>770.18600000000004</v>
      </c>
      <c r="AC263" s="850">
        <f t="shared" si="49"/>
        <v>770.18600000000004</v>
      </c>
      <c r="AD263" s="851"/>
      <c r="AE263" s="852">
        <v>23390</v>
      </c>
      <c r="AF263" s="853">
        <v>0.05</v>
      </c>
      <c r="AG263" s="854">
        <f t="shared" si="50"/>
        <v>900732.527</v>
      </c>
      <c r="AH263" s="853"/>
      <c r="AI263" s="855">
        <f t="shared" si="51"/>
        <v>0</v>
      </c>
      <c r="AJ263" s="845" t="s">
        <v>781</v>
      </c>
      <c r="AK263" s="857" t="s">
        <v>782</v>
      </c>
      <c r="AL263" s="840"/>
      <c r="AM263" s="840"/>
      <c r="AN263" s="858"/>
      <c r="AO263" s="844" t="s">
        <v>141</v>
      </c>
      <c r="AP263" s="859"/>
      <c r="AQ263" s="859" t="s">
        <v>783</v>
      </c>
      <c r="AR263" s="859"/>
      <c r="AS263" s="840"/>
      <c r="AT263" s="840"/>
      <c r="AU263" s="860"/>
      <c r="AV263" s="839" t="s">
        <v>784</v>
      </c>
      <c r="AW263" s="861">
        <v>44975</v>
      </c>
      <c r="AX263" s="862" t="s">
        <v>785</v>
      </c>
      <c r="AY263" s="843"/>
      <c r="AZ263" s="842"/>
      <c r="BA263" s="842" t="s">
        <v>120</v>
      </c>
      <c r="BB263" s="863" t="s">
        <v>121</v>
      </c>
      <c r="BC263" s="864">
        <v>44975</v>
      </c>
      <c r="BD263" s="860" t="s">
        <v>786</v>
      </c>
      <c r="BE263" s="865" cm="1">
        <f t="array" ref="BE263">IF(BD263="","",AC263/SUMPRODUCT(--(BD263=$BD$4:$BD$12824),$AC$4:$AC$12824))</f>
        <v>1.2869013600582367E-2</v>
      </c>
      <c r="BF263" s="458"/>
      <c r="BG263" s="458"/>
      <c r="BH263" s="458"/>
      <c r="BI263" s="458"/>
      <c r="BJ263" s="458"/>
      <c r="BK263" s="458"/>
      <c r="BL263" s="458"/>
      <c r="BM263" s="458"/>
      <c r="BN263" s="458"/>
      <c r="BO263" s="866">
        <f>VLOOKUP(BD263,$BD$4:$BN$12824,3,0)*BE263</f>
        <v>0</v>
      </c>
      <c r="BP263" s="866"/>
      <c r="BQ263" s="866"/>
      <c r="BR263" s="866">
        <f>VLOOKUP(BD263,$BD$4:$BN$12824,6,0)*BE263</f>
        <v>283396.7846671287</v>
      </c>
      <c r="BS263" s="866">
        <f>VLOOKUP(BD263,$BD$4:$BN$12824,7,0)*BE263</f>
        <v>0</v>
      </c>
      <c r="BT263" s="866"/>
      <c r="BU263" s="866">
        <f>VLOOKUP(BD263,$BD$4:$BN$12824,9,0)*BE263</f>
        <v>0</v>
      </c>
      <c r="BV263" s="867"/>
      <c r="BW263" s="867">
        <f>VLOOKUP(BD263,$BD$4:$BN$12824,11,0)*BE263</f>
        <v>0</v>
      </c>
      <c r="BX263" s="1146">
        <f t="shared" si="46"/>
        <v>283396.7846671287</v>
      </c>
      <c r="BY263" s="867">
        <f t="shared" si="54"/>
        <v>9599389.9258335643</v>
      </c>
      <c r="BZ263" s="867">
        <f t="shared" si="52"/>
        <v>19198779.851667129</v>
      </c>
      <c r="CA263" s="867">
        <f>_xlfn.MAXIFS($BY$4:$BY$12824,$S$4:$S$12824,$S263)</f>
        <v>9599389.9258335643</v>
      </c>
      <c r="CB263" s="1032"/>
      <c r="CC263" s="999" t="s">
        <v>791</v>
      </c>
      <c r="CF263" s="946">
        <f t="shared" si="53"/>
        <v>18014650.539999999</v>
      </c>
    </row>
    <row r="264" spans="1:84">
      <c r="A264" s="1032"/>
      <c r="B264" s="839" t="s">
        <v>98</v>
      </c>
      <c r="C264" s="839" t="s">
        <v>131</v>
      </c>
      <c r="D264" s="839" t="s">
        <v>777</v>
      </c>
      <c r="E264" s="839" t="s">
        <v>777</v>
      </c>
      <c r="F264" s="841">
        <v>44939</v>
      </c>
      <c r="G264" s="840" t="s">
        <v>133</v>
      </c>
      <c r="H264" s="842" t="s">
        <v>134</v>
      </c>
      <c r="I264" s="842"/>
      <c r="J264" s="841"/>
      <c r="K264" s="841"/>
      <c r="L264" s="843"/>
      <c r="M264" s="844" t="s">
        <v>417</v>
      </c>
      <c r="N264" s="841"/>
      <c r="O264" s="841" t="s">
        <v>150</v>
      </c>
      <c r="P264" s="841" t="s">
        <v>461</v>
      </c>
      <c r="Q264" s="843"/>
      <c r="R264" s="845" t="s">
        <v>887</v>
      </c>
      <c r="S264" s="1127" t="s">
        <v>888</v>
      </c>
      <c r="T264" s="843" t="s">
        <v>889</v>
      </c>
      <c r="U264" s="842">
        <v>1</v>
      </c>
      <c r="V264" s="842" t="s">
        <v>8</v>
      </c>
      <c r="W264" s="846"/>
      <c r="X264" s="847">
        <f t="shared" si="47"/>
        <v>0</v>
      </c>
      <c r="Y264" s="848"/>
      <c r="Z264" s="849">
        <v>385.09300000000002</v>
      </c>
      <c r="AA264" s="849"/>
      <c r="AB264" s="849">
        <f t="shared" si="48"/>
        <v>385.09300000000002</v>
      </c>
      <c r="AC264" s="850">
        <f t="shared" si="49"/>
        <v>385.09300000000002</v>
      </c>
      <c r="AD264" s="851"/>
      <c r="AE264" s="852">
        <v>23390</v>
      </c>
      <c r="AF264" s="853">
        <v>0.05</v>
      </c>
      <c r="AG264" s="854">
        <f t="shared" si="50"/>
        <v>450366.2635</v>
      </c>
      <c r="AH264" s="853"/>
      <c r="AI264" s="855">
        <f t="shared" si="51"/>
        <v>0</v>
      </c>
      <c r="AJ264" s="845" t="s">
        <v>781</v>
      </c>
      <c r="AK264" s="857" t="s">
        <v>782</v>
      </c>
      <c r="AL264" s="840"/>
      <c r="AM264" s="840"/>
      <c r="AN264" s="858"/>
      <c r="AO264" s="844" t="s">
        <v>141</v>
      </c>
      <c r="AP264" s="859"/>
      <c r="AQ264" s="859" t="s">
        <v>783</v>
      </c>
      <c r="AR264" s="859"/>
      <c r="AS264" s="840"/>
      <c r="AT264" s="840"/>
      <c r="AU264" s="860"/>
      <c r="AV264" s="839" t="s">
        <v>784</v>
      </c>
      <c r="AW264" s="861">
        <v>44975</v>
      </c>
      <c r="AX264" s="862" t="s">
        <v>785</v>
      </c>
      <c r="AY264" s="843"/>
      <c r="AZ264" s="842"/>
      <c r="BA264" s="842" t="s">
        <v>120</v>
      </c>
      <c r="BB264" s="863" t="s">
        <v>121</v>
      </c>
      <c r="BC264" s="864">
        <v>44975</v>
      </c>
      <c r="BD264" s="860" t="s">
        <v>786</v>
      </c>
      <c r="BE264" s="865" cm="1">
        <f t="array" ref="BE264">IF(BD264="","",AC264/SUMPRODUCT(--(BD264=$BD$4:$BD$12824),$AC$4:$AC$12824))</f>
        <v>6.4345068002911836E-3</v>
      </c>
      <c r="BF264" s="458"/>
      <c r="BG264" s="458"/>
      <c r="BH264" s="458"/>
      <c r="BI264" s="458"/>
      <c r="BJ264" s="458"/>
      <c r="BK264" s="458"/>
      <c r="BL264" s="458"/>
      <c r="BM264" s="458"/>
      <c r="BN264" s="458"/>
      <c r="BO264" s="866">
        <f>VLOOKUP(BD264,$BD$4:$BN$12824,3,0)*BE264</f>
        <v>0</v>
      </c>
      <c r="BP264" s="866"/>
      <c r="BQ264" s="866"/>
      <c r="BR264" s="866">
        <f>VLOOKUP(BD264,$BD$4:$BN$12824,6,0)*BE264</f>
        <v>141698.39233356435</v>
      </c>
      <c r="BS264" s="866">
        <f>VLOOKUP(BD264,$BD$4:$BN$12824,7,0)*BE264</f>
        <v>0</v>
      </c>
      <c r="BT264" s="866"/>
      <c r="BU264" s="866">
        <f>VLOOKUP(BD264,$BD$4:$BN$12824,9,0)*BE264</f>
        <v>0</v>
      </c>
      <c r="BV264" s="867"/>
      <c r="BW264" s="867">
        <f>VLOOKUP(BD264,$BD$4:$BN$12824,11,0)*BE264</f>
        <v>0</v>
      </c>
      <c r="BX264" s="1146">
        <f t="shared" si="46"/>
        <v>141698.39233356435</v>
      </c>
      <c r="BY264" s="867">
        <f t="shared" si="54"/>
        <v>9599389.9258335643</v>
      </c>
      <c r="BZ264" s="867">
        <f t="shared" si="52"/>
        <v>9599389.9258335643</v>
      </c>
      <c r="CA264" s="867">
        <f>_xlfn.MAXIFS($BY$4:$BY$12824,$S$4:$S$12824,$S264)</f>
        <v>9599389.9258335643</v>
      </c>
      <c r="CB264" s="1032"/>
      <c r="CC264" s="999" t="s">
        <v>791</v>
      </c>
      <c r="CF264" s="946">
        <f t="shared" si="53"/>
        <v>9007325.2699999996</v>
      </c>
    </row>
    <row r="265" spans="1:84">
      <c r="A265" s="1032"/>
      <c r="B265" s="839" t="s">
        <v>98</v>
      </c>
      <c r="C265" s="839" t="s">
        <v>131</v>
      </c>
      <c r="D265" s="839" t="s">
        <v>777</v>
      </c>
      <c r="E265" s="839" t="s">
        <v>777</v>
      </c>
      <c r="F265" s="841">
        <v>44939</v>
      </c>
      <c r="G265" s="840" t="s">
        <v>133</v>
      </c>
      <c r="H265" s="842" t="s">
        <v>134</v>
      </c>
      <c r="I265" s="842"/>
      <c r="J265" s="841"/>
      <c r="K265" s="841"/>
      <c r="L265" s="843"/>
      <c r="M265" s="844" t="s">
        <v>417</v>
      </c>
      <c r="N265" s="841"/>
      <c r="O265" s="841" t="s">
        <v>150</v>
      </c>
      <c r="P265" s="841" t="s">
        <v>461</v>
      </c>
      <c r="Q265" s="843"/>
      <c r="R265" s="845" t="s">
        <v>890</v>
      </c>
      <c r="S265" s="1127" t="s">
        <v>891</v>
      </c>
      <c r="T265" s="843" t="s">
        <v>892</v>
      </c>
      <c r="U265" s="842">
        <v>1</v>
      </c>
      <c r="V265" s="842" t="s">
        <v>8</v>
      </c>
      <c r="W265" s="846"/>
      <c r="X265" s="847">
        <f t="shared" si="47"/>
        <v>0</v>
      </c>
      <c r="Y265" s="848"/>
      <c r="Z265" s="849">
        <v>385.09300000000002</v>
      </c>
      <c r="AA265" s="849"/>
      <c r="AB265" s="849">
        <f t="shared" si="48"/>
        <v>385.09300000000002</v>
      </c>
      <c r="AC265" s="850">
        <f t="shared" si="49"/>
        <v>385.09300000000002</v>
      </c>
      <c r="AD265" s="851"/>
      <c r="AE265" s="852">
        <v>23390</v>
      </c>
      <c r="AF265" s="853">
        <v>0.05</v>
      </c>
      <c r="AG265" s="854">
        <f t="shared" si="50"/>
        <v>450366.2635</v>
      </c>
      <c r="AH265" s="853"/>
      <c r="AI265" s="855">
        <f t="shared" si="51"/>
        <v>0</v>
      </c>
      <c r="AJ265" s="845" t="s">
        <v>781</v>
      </c>
      <c r="AK265" s="857" t="s">
        <v>782</v>
      </c>
      <c r="AL265" s="840"/>
      <c r="AM265" s="840"/>
      <c r="AN265" s="858"/>
      <c r="AO265" s="844" t="s">
        <v>141</v>
      </c>
      <c r="AP265" s="859"/>
      <c r="AQ265" s="859" t="s">
        <v>783</v>
      </c>
      <c r="AR265" s="859"/>
      <c r="AS265" s="840"/>
      <c r="AT265" s="840"/>
      <c r="AU265" s="860"/>
      <c r="AV265" s="839" t="s">
        <v>784</v>
      </c>
      <c r="AW265" s="861">
        <v>44975</v>
      </c>
      <c r="AX265" s="862" t="s">
        <v>785</v>
      </c>
      <c r="AY265" s="843"/>
      <c r="AZ265" s="842"/>
      <c r="BA265" s="842" t="s">
        <v>120</v>
      </c>
      <c r="BB265" s="863" t="s">
        <v>121</v>
      </c>
      <c r="BC265" s="864">
        <v>44975</v>
      </c>
      <c r="BD265" s="860" t="s">
        <v>786</v>
      </c>
      <c r="BE265" s="865" cm="1">
        <f t="array" ref="BE265">IF(BD265="","",AC265/SUMPRODUCT(--(BD265=$BD$4:$BD$12824),$AC$4:$AC$12824))</f>
        <v>6.4345068002911836E-3</v>
      </c>
      <c r="BF265" s="458"/>
      <c r="BG265" s="458"/>
      <c r="BH265" s="458"/>
      <c r="BI265" s="458"/>
      <c r="BJ265" s="458"/>
      <c r="BK265" s="458"/>
      <c r="BL265" s="458"/>
      <c r="BM265" s="458"/>
      <c r="BN265" s="458"/>
      <c r="BO265" s="866">
        <f>VLOOKUP(BD265,$BD$4:$BN$12824,3,0)*BE265</f>
        <v>0</v>
      </c>
      <c r="BP265" s="866"/>
      <c r="BQ265" s="866"/>
      <c r="BR265" s="866">
        <f>VLOOKUP(BD265,$BD$4:$BN$12824,6,0)*BE265</f>
        <v>141698.39233356435</v>
      </c>
      <c r="BS265" s="866">
        <f>VLOOKUP(BD265,$BD$4:$BN$12824,7,0)*BE265</f>
        <v>0</v>
      </c>
      <c r="BT265" s="866"/>
      <c r="BU265" s="866">
        <f>VLOOKUP(BD265,$BD$4:$BN$12824,9,0)*BE265</f>
        <v>0</v>
      </c>
      <c r="BV265" s="867"/>
      <c r="BW265" s="867">
        <f>VLOOKUP(BD265,$BD$4:$BN$12824,11,0)*BE265</f>
        <v>0</v>
      </c>
      <c r="BX265" s="1146">
        <f t="shared" si="46"/>
        <v>141698.39233356435</v>
      </c>
      <c r="BY265" s="867">
        <f t="shared" si="54"/>
        <v>9599389.9258335643</v>
      </c>
      <c r="BZ265" s="867">
        <f t="shared" si="52"/>
        <v>9599389.9258335643</v>
      </c>
      <c r="CA265" s="867">
        <f>_xlfn.MAXIFS($BY$4:$BY$12824,$S$4:$S$12824,$S265)</f>
        <v>9599389.9258335643</v>
      </c>
      <c r="CB265" s="1032"/>
      <c r="CC265" s="999" t="s">
        <v>791</v>
      </c>
      <c r="CF265" s="946">
        <f t="shared" si="53"/>
        <v>9007325.2699999996</v>
      </c>
    </row>
    <row r="266" spans="1:84">
      <c r="A266" s="1032"/>
      <c r="B266" s="839" t="s">
        <v>98</v>
      </c>
      <c r="C266" s="839" t="s">
        <v>131</v>
      </c>
      <c r="D266" s="839" t="s">
        <v>777</v>
      </c>
      <c r="E266" s="839" t="s">
        <v>777</v>
      </c>
      <c r="F266" s="841">
        <v>44939</v>
      </c>
      <c r="G266" s="840" t="s">
        <v>133</v>
      </c>
      <c r="H266" s="842" t="s">
        <v>134</v>
      </c>
      <c r="I266" s="842"/>
      <c r="J266" s="841"/>
      <c r="K266" s="841"/>
      <c r="L266" s="843"/>
      <c r="M266" s="844" t="s">
        <v>417</v>
      </c>
      <c r="N266" s="841"/>
      <c r="O266" s="841" t="s">
        <v>150</v>
      </c>
      <c r="P266" s="841" t="s">
        <v>461</v>
      </c>
      <c r="Q266" s="843"/>
      <c r="R266" s="845" t="s">
        <v>893</v>
      </c>
      <c r="S266" s="1127" t="s">
        <v>894</v>
      </c>
      <c r="T266" s="843" t="s">
        <v>895</v>
      </c>
      <c r="U266" s="842">
        <v>1</v>
      </c>
      <c r="V266" s="842" t="s">
        <v>8</v>
      </c>
      <c r="W266" s="846"/>
      <c r="X266" s="847">
        <f t="shared" si="47"/>
        <v>0</v>
      </c>
      <c r="Y266" s="848"/>
      <c r="Z266" s="849">
        <v>385.09300000000002</v>
      </c>
      <c r="AA266" s="849"/>
      <c r="AB266" s="849">
        <f t="shared" si="48"/>
        <v>385.09300000000002</v>
      </c>
      <c r="AC266" s="850">
        <f t="shared" si="49"/>
        <v>385.09300000000002</v>
      </c>
      <c r="AD266" s="851"/>
      <c r="AE266" s="852">
        <v>23390</v>
      </c>
      <c r="AF266" s="853">
        <v>0.05</v>
      </c>
      <c r="AG266" s="854">
        <f t="shared" si="50"/>
        <v>450366.2635</v>
      </c>
      <c r="AH266" s="853"/>
      <c r="AI266" s="855">
        <f t="shared" si="51"/>
        <v>0</v>
      </c>
      <c r="AJ266" s="845" t="s">
        <v>781</v>
      </c>
      <c r="AK266" s="857" t="s">
        <v>782</v>
      </c>
      <c r="AL266" s="840"/>
      <c r="AM266" s="840"/>
      <c r="AN266" s="858"/>
      <c r="AO266" s="844" t="s">
        <v>141</v>
      </c>
      <c r="AP266" s="859"/>
      <c r="AQ266" s="859" t="s">
        <v>783</v>
      </c>
      <c r="AR266" s="859"/>
      <c r="AS266" s="840"/>
      <c r="AT266" s="840"/>
      <c r="AU266" s="860"/>
      <c r="AV266" s="839" t="s">
        <v>784</v>
      </c>
      <c r="AW266" s="861">
        <v>44975</v>
      </c>
      <c r="AX266" s="862" t="s">
        <v>785</v>
      </c>
      <c r="AY266" s="843"/>
      <c r="AZ266" s="842"/>
      <c r="BA266" s="842" t="s">
        <v>120</v>
      </c>
      <c r="BB266" s="863" t="s">
        <v>121</v>
      </c>
      <c r="BC266" s="864">
        <v>44975</v>
      </c>
      <c r="BD266" s="860" t="s">
        <v>786</v>
      </c>
      <c r="BE266" s="865" cm="1">
        <f t="array" ref="BE266">IF(BD266="","",AC266/SUMPRODUCT(--(BD266=$BD$4:$BD$12824),$AC$4:$AC$12824))</f>
        <v>6.4345068002911836E-3</v>
      </c>
      <c r="BF266" s="458"/>
      <c r="BG266" s="458"/>
      <c r="BH266" s="458"/>
      <c r="BI266" s="458"/>
      <c r="BJ266" s="458"/>
      <c r="BK266" s="458"/>
      <c r="BL266" s="458"/>
      <c r="BM266" s="458"/>
      <c r="BN266" s="458"/>
      <c r="BO266" s="866">
        <f>VLOOKUP(BD266,$BD$4:$BN$12824,3,0)*BE266</f>
        <v>0</v>
      </c>
      <c r="BP266" s="866"/>
      <c r="BQ266" s="866"/>
      <c r="BR266" s="866">
        <f>VLOOKUP(BD266,$BD$4:$BN$12824,6,0)*BE266</f>
        <v>141698.39233356435</v>
      </c>
      <c r="BS266" s="866">
        <f>VLOOKUP(BD266,$BD$4:$BN$12824,7,0)*BE266</f>
        <v>0</v>
      </c>
      <c r="BT266" s="866"/>
      <c r="BU266" s="866">
        <f>VLOOKUP(BD266,$BD$4:$BN$12824,9,0)*BE266</f>
        <v>0</v>
      </c>
      <c r="BV266" s="867"/>
      <c r="BW266" s="867">
        <f>VLOOKUP(BD266,$BD$4:$BN$12824,11,0)*BE266</f>
        <v>0</v>
      </c>
      <c r="BX266" s="1146">
        <f t="shared" si="46"/>
        <v>141698.39233356435</v>
      </c>
      <c r="BY266" s="867">
        <f t="shared" si="54"/>
        <v>9599389.9258335643</v>
      </c>
      <c r="BZ266" s="867">
        <f t="shared" si="52"/>
        <v>9599389.9258335643</v>
      </c>
      <c r="CA266" s="867">
        <f>_xlfn.MAXIFS($BY$4:$BY$12824,$S$4:$S$12824,$S266)</f>
        <v>9599389.9258335643</v>
      </c>
      <c r="CB266" s="1032"/>
      <c r="CC266" s="999" t="s">
        <v>791</v>
      </c>
      <c r="CF266" s="946">
        <f t="shared" si="53"/>
        <v>9007325.2699999996</v>
      </c>
    </row>
    <row r="267" spans="1:84">
      <c r="A267" s="1032"/>
      <c r="B267" s="839" t="s">
        <v>98</v>
      </c>
      <c r="C267" s="839" t="s">
        <v>131</v>
      </c>
      <c r="D267" s="839" t="s">
        <v>777</v>
      </c>
      <c r="E267" s="839" t="s">
        <v>777</v>
      </c>
      <c r="F267" s="841">
        <v>44939</v>
      </c>
      <c r="G267" s="840" t="s">
        <v>133</v>
      </c>
      <c r="H267" s="842" t="s">
        <v>134</v>
      </c>
      <c r="I267" s="842"/>
      <c r="J267" s="841"/>
      <c r="K267" s="841"/>
      <c r="L267" s="843"/>
      <c r="M267" s="844" t="s">
        <v>417</v>
      </c>
      <c r="N267" s="841"/>
      <c r="O267" s="841" t="s">
        <v>150</v>
      </c>
      <c r="P267" s="841" t="s">
        <v>461</v>
      </c>
      <c r="Q267" s="843"/>
      <c r="R267" s="845" t="s">
        <v>896</v>
      </c>
      <c r="S267" s="1127" t="s">
        <v>897</v>
      </c>
      <c r="T267" s="843" t="s">
        <v>898</v>
      </c>
      <c r="U267" s="842">
        <v>1</v>
      </c>
      <c r="V267" s="842" t="s">
        <v>8</v>
      </c>
      <c r="W267" s="846"/>
      <c r="X267" s="847">
        <f t="shared" si="47"/>
        <v>0</v>
      </c>
      <c r="Y267" s="848"/>
      <c r="Z267" s="849">
        <v>385.09300000000002</v>
      </c>
      <c r="AA267" s="849"/>
      <c r="AB267" s="849">
        <f t="shared" si="48"/>
        <v>385.09300000000002</v>
      </c>
      <c r="AC267" s="850">
        <f t="shared" si="49"/>
        <v>385.09300000000002</v>
      </c>
      <c r="AD267" s="851"/>
      <c r="AE267" s="852">
        <v>23390</v>
      </c>
      <c r="AF267" s="853">
        <v>0.05</v>
      </c>
      <c r="AG267" s="854">
        <f t="shared" si="50"/>
        <v>450366.2635</v>
      </c>
      <c r="AH267" s="853"/>
      <c r="AI267" s="855">
        <f t="shared" si="51"/>
        <v>0</v>
      </c>
      <c r="AJ267" s="845" t="s">
        <v>781</v>
      </c>
      <c r="AK267" s="857" t="s">
        <v>782</v>
      </c>
      <c r="AL267" s="840"/>
      <c r="AM267" s="840"/>
      <c r="AN267" s="858"/>
      <c r="AO267" s="844" t="s">
        <v>141</v>
      </c>
      <c r="AP267" s="859"/>
      <c r="AQ267" s="859" t="s">
        <v>783</v>
      </c>
      <c r="AR267" s="859"/>
      <c r="AS267" s="840"/>
      <c r="AT267" s="840"/>
      <c r="AU267" s="860"/>
      <c r="AV267" s="839" t="s">
        <v>784</v>
      </c>
      <c r="AW267" s="861">
        <v>44975</v>
      </c>
      <c r="AX267" s="862" t="s">
        <v>785</v>
      </c>
      <c r="AY267" s="843"/>
      <c r="AZ267" s="842"/>
      <c r="BA267" s="842" t="s">
        <v>120</v>
      </c>
      <c r="BB267" s="863" t="s">
        <v>121</v>
      </c>
      <c r="BC267" s="864">
        <v>44975</v>
      </c>
      <c r="BD267" s="860" t="s">
        <v>786</v>
      </c>
      <c r="BE267" s="865" cm="1">
        <f t="array" ref="BE267">IF(BD267="","",AC267/SUMPRODUCT(--(BD267=$BD$4:$BD$12824),$AC$4:$AC$12824))</f>
        <v>6.4345068002911836E-3</v>
      </c>
      <c r="BF267" s="458"/>
      <c r="BG267" s="458"/>
      <c r="BH267" s="458"/>
      <c r="BI267" s="458"/>
      <c r="BJ267" s="458"/>
      <c r="BK267" s="458"/>
      <c r="BL267" s="458"/>
      <c r="BM267" s="458"/>
      <c r="BN267" s="458"/>
      <c r="BO267" s="866">
        <f>VLOOKUP(BD267,$BD$4:$BN$12824,3,0)*BE267</f>
        <v>0</v>
      </c>
      <c r="BP267" s="866"/>
      <c r="BQ267" s="866"/>
      <c r="BR267" s="866">
        <f>VLOOKUP(BD267,$BD$4:$BN$12824,6,0)*BE267</f>
        <v>141698.39233356435</v>
      </c>
      <c r="BS267" s="866">
        <f>VLOOKUP(BD267,$BD$4:$BN$12824,7,0)*BE267</f>
        <v>0</v>
      </c>
      <c r="BT267" s="866"/>
      <c r="BU267" s="866">
        <f>VLOOKUP(BD267,$BD$4:$BN$12824,9,0)*BE267</f>
        <v>0</v>
      </c>
      <c r="BV267" s="867"/>
      <c r="BW267" s="867">
        <f>VLOOKUP(BD267,$BD$4:$BN$12824,11,0)*BE267</f>
        <v>0</v>
      </c>
      <c r="BX267" s="1146">
        <f t="shared" si="46"/>
        <v>141698.39233356435</v>
      </c>
      <c r="BY267" s="867">
        <f t="shared" si="54"/>
        <v>9599389.9258335643</v>
      </c>
      <c r="BZ267" s="867">
        <f t="shared" si="52"/>
        <v>9599389.9258335643</v>
      </c>
      <c r="CA267" s="867">
        <f>_xlfn.MAXIFS($BY$4:$BY$12824,$S$4:$S$12824,$S267)</f>
        <v>9599389.9258335643</v>
      </c>
      <c r="CB267" s="1032"/>
      <c r="CC267" s="999" t="s">
        <v>791</v>
      </c>
      <c r="CF267" s="946">
        <f t="shared" si="53"/>
        <v>9007325.2699999996</v>
      </c>
    </row>
    <row r="268" spans="1:84">
      <c r="A268" s="1032"/>
      <c r="B268" s="839" t="s">
        <v>98</v>
      </c>
      <c r="C268" s="839" t="s">
        <v>131</v>
      </c>
      <c r="D268" s="839" t="s">
        <v>777</v>
      </c>
      <c r="E268" s="839" t="s">
        <v>777</v>
      </c>
      <c r="F268" s="841">
        <v>44939</v>
      </c>
      <c r="G268" s="840" t="s">
        <v>133</v>
      </c>
      <c r="H268" s="842" t="s">
        <v>134</v>
      </c>
      <c r="I268" s="842"/>
      <c r="J268" s="841"/>
      <c r="K268" s="841"/>
      <c r="L268" s="843"/>
      <c r="M268" s="844" t="s">
        <v>417</v>
      </c>
      <c r="N268" s="841"/>
      <c r="O268" s="841" t="s">
        <v>150</v>
      </c>
      <c r="P268" s="841" t="s">
        <v>461</v>
      </c>
      <c r="Q268" s="843"/>
      <c r="R268" s="845" t="s">
        <v>899</v>
      </c>
      <c r="S268" s="1127" t="s">
        <v>900</v>
      </c>
      <c r="T268" s="843" t="s">
        <v>901</v>
      </c>
      <c r="U268" s="842">
        <v>2</v>
      </c>
      <c r="V268" s="842" t="s">
        <v>8</v>
      </c>
      <c r="W268" s="846"/>
      <c r="X268" s="847">
        <f t="shared" si="47"/>
        <v>0</v>
      </c>
      <c r="Y268" s="848"/>
      <c r="Z268" s="849">
        <v>258.553</v>
      </c>
      <c r="AA268" s="849"/>
      <c r="AB268" s="849">
        <f t="shared" si="48"/>
        <v>517.10599999999999</v>
      </c>
      <c r="AC268" s="850">
        <f t="shared" si="49"/>
        <v>517.10599999999999</v>
      </c>
      <c r="AD268" s="851"/>
      <c r="AE268" s="852">
        <v>23390</v>
      </c>
      <c r="AF268" s="853">
        <v>0.05</v>
      </c>
      <c r="AG268" s="854">
        <f t="shared" si="50"/>
        <v>604755.46700000006</v>
      </c>
      <c r="AH268" s="853"/>
      <c r="AI268" s="855">
        <f t="shared" si="51"/>
        <v>0</v>
      </c>
      <c r="AJ268" s="845" t="s">
        <v>781</v>
      </c>
      <c r="AK268" s="857" t="s">
        <v>782</v>
      </c>
      <c r="AL268" s="840"/>
      <c r="AM268" s="840"/>
      <c r="AN268" s="858"/>
      <c r="AO268" s="844" t="s">
        <v>141</v>
      </c>
      <c r="AP268" s="859"/>
      <c r="AQ268" s="859" t="s">
        <v>783</v>
      </c>
      <c r="AR268" s="859"/>
      <c r="AS268" s="840"/>
      <c r="AT268" s="840"/>
      <c r="AU268" s="860"/>
      <c r="AV268" s="839" t="s">
        <v>784</v>
      </c>
      <c r="AW268" s="861">
        <v>44975</v>
      </c>
      <c r="AX268" s="862" t="s">
        <v>785</v>
      </c>
      <c r="AY268" s="843"/>
      <c r="AZ268" s="842"/>
      <c r="BA268" s="842" t="s">
        <v>120</v>
      </c>
      <c r="BB268" s="863" t="s">
        <v>121</v>
      </c>
      <c r="BC268" s="864">
        <v>44975</v>
      </c>
      <c r="BD268" s="860" t="s">
        <v>786</v>
      </c>
      <c r="BE268" s="865" cm="1">
        <f t="array" ref="BE268">IF(BD268="","",AC268/SUMPRODUCT(--(BD268=$BD$4:$BD$12824),$AC$4:$AC$12824))</f>
        <v>8.6403078567290834E-3</v>
      </c>
      <c r="BF268" s="458"/>
      <c r="BG268" s="458"/>
      <c r="BH268" s="458"/>
      <c r="BI268" s="458"/>
      <c r="BJ268" s="458"/>
      <c r="BK268" s="458"/>
      <c r="BL268" s="458"/>
      <c r="BM268" s="458"/>
      <c r="BN268" s="458"/>
      <c r="BO268" s="866">
        <f>VLOOKUP(BD268,$BD$4:$BN$12824,3,0)*BE268</f>
        <v>0</v>
      </c>
      <c r="BP268" s="866"/>
      <c r="BQ268" s="866"/>
      <c r="BR268" s="866">
        <f>VLOOKUP(BD268,$BD$4:$BN$12824,6,0)*BE268</f>
        <v>190273.74911005946</v>
      </c>
      <c r="BS268" s="866">
        <f>VLOOKUP(BD268,$BD$4:$BN$12824,7,0)*BE268</f>
        <v>0</v>
      </c>
      <c r="BT268" s="866"/>
      <c r="BU268" s="866">
        <f>VLOOKUP(BD268,$BD$4:$BN$12824,9,0)*BE268</f>
        <v>0</v>
      </c>
      <c r="BV268" s="867"/>
      <c r="BW268" s="867">
        <f>VLOOKUP(BD268,$BD$4:$BN$12824,11,0)*BE268</f>
        <v>0</v>
      </c>
      <c r="BX268" s="1146">
        <f t="shared" si="46"/>
        <v>190273.74911005946</v>
      </c>
      <c r="BY268" s="867">
        <f t="shared" si="54"/>
        <v>6445069.2780550299</v>
      </c>
      <c r="BZ268" s="867">
        <f t="shared" si="52"/>
        <v>12890138.55611006</v>
      </c>
      <c r="CA268" s="867">
        <f>_xlfn.MAXIFS($BY$4:$BY$12824,$S$4:$S$12824,$S268)</f>
        <v>6445069.2780550299</v>
      </c>
      <c r="CB268" s="1032"/>
      <c r="CC268" s="999" t="s">
        <v>791</v>
      </c>
      <c r="CF268" s="946">
        <f t="shared" si="53"/>
        <v>12095109.34</v>
      </c>
    </row>
    <row r="269" spans="1:84">
      <c r="A269" s="1032"/>
      <c r="B269" s="839" t="s">
        <v>98</v>
      </c>
      <c r="C269" s="839" t="s">
        <v>131</v>
      </c>
      <c r="D269" s="839" t="s">
        <v>777</v>
      </c>
      <c r="E269" s="839" t="s">
        <v>777</v>
      </c>
      <c r="F269" s="841">
        <v>44939</v>
      </c>
      <c r="G269" s="840" t="s">
        <v>133</v>
      </c>
      <c r="H269" s="842" t="s">
        <v>134</v>
      </c>
      <c r="I269" s="842"/>
      <c r="J269" s="841"/>
      <c r="K269" s="841"/>
      <c r="L269" s="843"/>
      <c r="M269" s="844" t="s">
        <v>417</v>
      </c>
      <c r="N269" s="841"/>
      <c r="O269" s="841" t="s">
        <v>150</v>
      </c>
      <c r="P269" s="841" t="s">
        <v>461</v>
      </c>
      <c r="Q269" s="843"/>
      <c r="R269" s="845" t="s">
        <v>902</v>
      </c>
      <c r="S269" s="1127" t="s">
        <v>903</v>
      </c>
      <c r="T269" s="843" t="s">
        <v>904</v>
      </c>
      <c r="U269" s="842">
        <v>1</v>
      </c>
      <c r="V269" s="842" t="s">
        <v>8</v>
      </c>
      <c r="W269" s="846"/>
      <c r="X269" s="847">
        <f t="shared" si="47"/>
        <v>0</v>
      </c>
      <c r="Y269" s="848"/>
      <c r="Z269" s="849">
        <v>258.553</v>
      </c>
      <c r="AA269" s="849"/>
      <c r="AB269" s="849">
        <f t="shared" si="48"/>
        <v>258.553</v>
      </c>
      <c r="AC269" s="850">
        <f t="shared" si="49"/>
        <v>258.553</v>
      </c>
      <c r="AD269" s="851"/>
      <c r="AE269" s="852">
        <v>23390</v>
      </c>
      <c r="AF269" s="853">
        <v>0.05</v>
      </c>
      <c r="AG269" s="854">
        <f t="shared" si="50"/>
        <v>302377.73350000003</v>
      </c>
      <c r="AH269" s="853"/>
      <c r="AI269" s="855">
        <f t="shared" si="51"/>
        <v>0</v>
      </c>
      <c r="AJ269" s="845" t="s">
        <v>781</v>
      </c>
      <c r="AK269" s="857" t="s">
        <v>782</v>
      </c>
      <c r="AL269" s="840"/>
      <c r="AM269" s="840"/>
      <c r="AN269" s="858"/>
      <c r="AO269" s="844" t="s">
        <v>141</v>
      </c>
      <c r="AP269" s="859"/>
      <c r="AQ269" s="859" t="s">
        <v>783</v>
      </c>
      <c r="AR269" s="859"/>
      <c r="AS269" s="840"/>
      <c r="AT269" s="840"/>
      <c r="AU269" s="860"/>
      <c r="AV269" s="839" t="s">
        <v>784</v>
      </c>
      <c r="AW269" s="861">
        <v>44975</v>
      </c>
      <c r="AX269" s="862" t="s">
        <v>785</v>
      </c>
      <c r="AY269" s="843"/>
      <c r="AZ269" s="842"/>
      <c r="BA269" s="842" t="s">
        <v>120</v>
      </c>
      <c r="BB269" s="863" t="s">
        <v>121</v>
      </c>
      <c r="BC269" s="864">
        <v>44975</v>
      </c>
      <c r="BD269" s="860" t="s">
        <v>786</v>
      </c>
      <c r="BE269" s="865" cm="1">
        <f t="array" ref="BE269">IF(BD269="","",AC269/SUMPRODUCT(--(BD269=$BD$4:$BD$12824),$AC$4:$AC$12824))</f>
        <v>4.3201539283645417E-3</v>
      </c>
      <c r="BF269" s="458"/>
      <c r="BG269" s="458"/>
      <c r="BH269" s="458"/>
      <c r="BI269" s="458"/>
      <c r="BJ269" s="458"/>
      <c r="BK269" s="458"/>
      <c r="BL269" s="458"/>
      <c r="BM269" s="458"/>
      <c r="BN269" s="458"/>
      <c r="BO269" s="866">
        <f>VLOOKUP(BD269,$BD$4:$BN$12824,3,0)*BE269</f>
        <v>0</v>
      </c>
      <c r="BP269" s="866"/>
      <c r="BQ269" s="866"/>
      <c r="BR269" s="866">
        <f>VLOOKUP(BD269,$BD$4:$BN$12824,6,0)*BE269</f>
        <v>95136.874555029732</v>
      </c>
      <c r="BS269" s="866">
        <f>VLOOKUP(BD269,$BD$4:$BN$12824,7,0)*BE269</f>
        <v>0</v>
      </c>
      <c r="BT269" s="866"/>
      <c r="BU269" s="866">
        <f>VLOOKUP(BD269,$BD$4:$BN$12824,9,0)*BE269</f>
        <v>0</v>
      </c>
      <c r="BV269" s="867"/>
      <c r="BW269" s="867">
        <f>VLOOKUP(BD269,$BD$4:$BN$12824,11,0)*BE269</f>
        <v>0</v>
      </c>
      <c r="BX269" s="1146">
        <f t="shared" si="46"/>
        <v>95136.874555029732</v>
      </c>
      <c r="BY269" s="867">
        <f t="shared" si="54"/>
        <v>6445069.2780550299</v>
      </c>
      <c r="BZ269" s="867">
        <f t="shared" si="52"/>
        <v>6445069.2780550299</v>
      </c>
      <c r="CA269" s="867">
        <f>_xlfn.MAXIFS($BY$4:$BY$12824,$S$4:$S$12824,$S269)</f>
        <v>6445069.2780550299</v>
      </c>
      <c r="CB269" s="1032"/>
      <c r="CC269" s="999" t="s">
        <v>791</v>
      </c>
      <c r="CF269" s="946">
        <f t="shared" si="53"/>
        <v>6047554.6699999999</v>
      </c>
    </row>
    <row r="270" spans="1:84">
      <c r="A270" s="1032"/>
      <c r="B270" s="839" t="s">
        <v>98</v>
      </c>
      <c r="C270" s="839" t="s">
        <v>131</v>
      </c>
      <c r="D270" s="839" t="s">
        <v>777</v>
      </c>
      <c r="E270" s="839" t="s">
        <v>777</v>
      </c>
      <c r="F270" s="841">
        <v>44939</v>
      </c>
      <c r="G270" s="840" t="s">
        <v>133</v>
      </c>
      <c r="H270" s="842" t="s">
        <v>134</v>
      </c>
      <c r="I270" s="842"/>
      <c r="J270" s="841"/>
      <c r="K270" s="841"/>
      <c r="L270" s="843"/>
      <c r="M270" s="844" t="s">
        <v>417</v>
      </c>
      <c r="N270" s="841"/>
      <c r="O270" s="841" t="s">
        <v>150</v>
      </c>
      <c r="P270" s="841" t="s">
        <v>461</v>
      </c>
      <c r="Q270" s="843"/>
      <c r="R270" s="845" t="s">
        <v>905</v>
      </c>
      <c r="S270" s="1127" t="s">
        <v>906</v>
      </c>
      <c r="T270" s="843" t="s">
        <v>907</v>
      </c>
      <c r="U270" s="842">
        <v>1</v>
      </c>
      <c r="V270" s="842" t="s">
        <v>8</v>
      </c>
      <c r="W270" s="846"/>
      <c r="X270" s="847">
        <f t="shared" si="47"/>
        <v>0</v>
      </c>
      <c r="Y270" s="848"/>
      <c r="Z270" s="849">
        <v>258.553</v>
      </c>
      <c r="AA270" s="849"/>
      <c r="AB270" s="849">
        <f t="shared" si="48"/>
        <v>258.553</v>
      </c>
      <c r="AC270" s="850">
        <f t="shared" si="49"/>
        <v>258.553</v>
      </c>
      <c r="AD270" s="851"/>
      <c r="AE270" s="852">
        <v>23390</v>
      </c>
      <c r="AF270" s="853">
        <v>0.05</v>
      </c>
      <c r="AG270" s="854">
        <f t="shared" si="50"/>
        <v>302377.73350000003</v>
      </c>
      <c r="AH270" s="853"/>
      <c r="AI270" s="855">
        <f t="shared" si="51"/>
        <v>0</v>
      </c>
      <c r="AJ270" s="845" t="s">
        <v>781</v>
      </c>
      <c r="AK270" s="857" t="s">
        <v>782</v>
      </c>
      <c r="AL270" s="840"/>
      <c r="AM270" s="840"/>
      <c r="AN270" s="858"/>
      <c r="AO270" s="844" t="s">
        <v>141</v>
      </c>
      <c r="AP270" s="859"/>
      <c r="AQ270" s="859" t="s">
        <v>783</v>
      </c>
      <c r="AR270" s="859"/>
      <c r="AS270" s="840"/>
      <c r="AT270" s="840"/>
      <c r="AU270" s="860"/>
      <c r="AV270" s="839" t="s">
        <v>784</v>
      </c>
      <c r="AW270" s="861">
        <v>44975</v>
      </c>
      <c r="AX270" s="862" t="s">
        <v>785</v>
      </c>
      <c r="AY270" s="843"/>
      <c r="AZ270" s="842"/>
      <c r="BA270" s="842" t="s">
        <v>120</v>
      </c>
      <c r="BB270" s="863" t="s">
        <v>121</v>
      </c>
      <c r="BC270" s="864">
        <v>44975</v>
      </c>
      <c r="BD270" s="860" t="s">
        <v>786</v>
      </c>
      <c r="BE270" s="865" cm="1">
        <f t="array" ref="BE270">IF(BD270="","",AC270/SUMPRODUCT(--(BD270=$BD$4:$BD$12824),$AC$4:$AC$12824))</f>
        <v>4.3201539283645417E-3</v>
      </c>
      <c r="BF270" s="458"/>
      <c r="BG270" s="458"/>
      <c r="BH270" s="458"/>
      <c r="BI270" s="458"/>
      <c r="BJ270" s="458"/>
      <c r="BK270" s="458"/>
      <c r="BL270" s="458"/>
      <c r="BM270" s="458"/>
      <c r="BN270" s="458"/>
      <c r="BO270" s="866">
        <f>VLOOKUP(BD270,$BD$4:$BN$12824,3,0)*BE270</f>
        <v>0</v>
      </c>
      <c r="BP270" s="866"/>
      <c r="BQ270" s="866"/>
      <c r="BR270" s="866">
        <f>VLOOKUP(BD270,$BD$4:$BN$12824,6,0)*BE270</f>
        <v>95136.874555029732</v>
      </c>
      <c r="BS270" s="866">
        <f>VLOOKUP(BD270,$BD$4:$BN$12824,7,0)*BE270</f>
        <v>0</v>
      </c>
      <c r="BT270" s="866"/>
      <c r="BU270" s="866">
        <f>VLOOKUP(BD270,$BD$4:$BN$12824,9,0)*BE270</f>
        <v>0</v>
      </c>
      <c r="BV270" s="867"/>
      <c r="BW270" s="867">
        <f>VLOOKUP(BD270,$BD$4:$BN$12824,11,0)*BE270</f>
        <v>0</v>
      </c>
      <c r="BX270" s="1146">
        <f t="shared" si="46"/>
        <v>95136.874555029732</v>
      </c>
      <c r="BY270" s="867">
        <f t="shared" si="54"/>
        <v>6445069.2780550299</v>
      </c>
      <c r="BZ270" s="867">
        <f t="shared" si="52"/>
        <v>6445069.2780550299</v>
      </c>
      <c r="CA270" s="867">
        <f>_xlfn.MAXIFS($BY$4:$BY$12824,$S$4:$S$12824,$S270)</f>
        <v>6445069.2780550299</v>
      </c>
      <c r="CB270" s="1032"/>
      <c r="CC270" s="999" t="s">
        <v>791</v>
      </c>
      <c r="CF270" s="946">
        <f t="shared" si="53"/>
        <v>6047554.6699999999</v>
      </c>
    </row>
    <row r="271" spans="1:84">
      <c r="A271" s="1032"/>
      <c r="B271" s="839" t="s">
        <v>98</v>
      </c>
      <c r="C271" s="839" t="s">
        <v>131</v>
      </c>
      <c r="D271" s="839" t="s">
        <v>777</v>
      </c>
      <c r="E271" s="839" t="s">
        <v>777</v>
      </c>
      <c r="F271" s="841">
        <v>44939</v>
      </c>
      <c r="G271" s="840" t="s">
        <v>133</v>
      </c>
      <c r="H271" s="842" t="s">
        <v>134</v>
      </c>
      <c r="I271" s="842"/>
      <c r="J271" s="841"/>
      <c r="K271" s="841"/>
      <c r="L271" s="843"/>
      <c r="M271" s="844" t="s">
        <v>417</v>
      </c>
      <c r="N271" s="841"/>
      <c r="O271" s="841" t="s">
        <v>150</v>
      </c>
      <c r="P271" s="841" t="s">
        <v>461</v>
      </c>
      <c r="Q271" s="843"/>
      <c r="R271" s="845" t="s">
        <v>908</v>
      </c>
      <c r="S271" s="1127" t="s">
        <v>909</v>
      </c>
      <c r="T271" s="843" t="s">
        <v>910</v>
      </c>
      <c r="U271" s="842">
        <v>5</v>
      </c>
      <c r="V271" s="842" t="s">
        <v>8</v>
      </c>
      <c r="W271" s="846"/>
      <c r="X271" s="847">
        <f t="shared" si="47"/>
        <v>0</v>
      </c>
      <c r="Y271" s="848"/>
      <c r="Z271" s="849">
        <v>280</v>
      </c>
      <c r="AA271" s="849"/>
      <c r="AB271" s="849">
        <f t="shared" si="48"/>
        <v>1400</v>
      </c>
      <c r="AC271" s="850">
        <f t="shared" si="49"/>
        <v>1400</v>
      </c>
      <c r="AD271" s="851"/>
      <c r="AE271" s="852">
        <v>23390</v>
      </c>
      <c r="AF271" s="853">
        <v>0.05</v>
      </c>
      <c r="AG271" s="854">
        <f t="shared" si="50"/>
        <v>1637300</v>
      </c>
      <c r="AH271" s="853"/>
      <c r="AI271" s="855">
        <f t="shared" si="51"/>
        <v>0</v>
      </c>
      <c r="AJ271" s="845" t="s">
        <v>781</v>
      </c>
      <c r="AK271" s="857" t="s">
        <v>782</v>
      </c>
      <c r="AL271" s="840"/>
      <c r="AM271" s="840"/>
      <c r="AN271" s="858"/>
      <c r="AO271" s="844" t="s">
        <v>141</v>
      </c>
      <c r="AP271" s="859"/>
      <c r="AQ271" s="859" t="s">
        <v>783</v>
      </c>
      <c r="AR271" s="859"/>
      <c r="AS271" s="840"/>
      <c r="AT271" s="840"/>
      <c r="AU271" s="860"/>
      <c r="AV271" s="839" t="s">
        <v>784</v>
      </c>
      <c r="AW271" s="861">
        <v>44975</v>
      </c>
      <c r="AX271" s="862" t="s">
        <v>785</v>
      </c>
      <c r="AY271" s="843"/>
      <c r="AZ271" s="842"/>
      <c r="BA271" s="842" t="s">
        <v>120</v>
      </c>
      <c r="BB271" s="863" t="s">
        <v>121</v>
      </c>
      <c r="BC271" s="864">
        <v>44975</v>
      </c>
      <c r="BD271" s="860" t="s">
        <v>786</v>
      </c>
      <c r="BE271" s="865" cm="1">
        <f t="array" ref="BE271">IF(BD271="","",AC271/SUMPRODUCT(--(BD271=$BD$4:$BD$12824),$AC$4:$AC$12824))</f>
        <v>2.3392555877171636E-2</v>
      </c>
      <c r="BF271" s="458"/>
      <c r="BG271" s="458"/>
      <c r="BH271" s="458"/>
      <c r="BI271" s="458"/>
      <c r="BJ271" s="458"/>
      <c r="BK271" s="458"/>
      <c r="BL271" s="458"/>
      <c r="BM271" s="458"/>
      <c r="BN271" s="458"/>
      <c r="BO271" s="866">
        <f>VLOOKUP(BD271,$BD$4:$BN$12824,3,0)*BE271</f>
        <v>0</v>
      </c>
      <c r="BP271" s="866"/>
      <c r="BQ271" s="866"/>
      <c r="BR271" s="866">
        <f>VLOOKUP(BD271,$BD$4:$BN$12824,6,0)*BE271</f>
        <v>515142.444206958</v>
      </c>
      <c r="BS271" s="866">
        <f>VLOOKUP(BD271,$BD$4:$BN$12824,7,0)*BE271</f>
        <v>0</v>
      </c>
      <c r="BT271" s="866"/>
      <c r="BU271" s="866">
        <f>VLOOKUP(BD271,$BD$4:$BN$12824,9,0)*BE271</f>
        <v>0</v>
      </c>
      <c r="BV271" s="867"/>
      <c r="BW271" s="867">
        <f>VLOOKUP(BD271,$BD$4:$BN$12824,11,0)*BE271</f>
        <v>0</v>
      </c>
      <c r="BX271" s="1146">
        <f t="shared" si="46"/>
        <v>515142.444206958</v>
      </c>
      <c r="BY271" s="867">
        <f t="shared" si="54"/>
        <v>6979688.4888413921</v>
      </c>
      <c r="BZ271" s="867">
        <f t="shared" si="52"/>
        <v>34898442.44420696</v>
      </c>
      <c r="CA271" s="867">
        <f>_xlfn.MAXIFS($BY$4:$BY$12824,$S$4:$S$12824,$S271)</f>
        <v>6979688.4888413921</v>
      </c>
      <c r="CB271" s="1032"/>
      <c r="CC271" s="999" t="s">
        <v>791</v>
      </c>
      <c r="CF271" s="946">
        <f t="shared" si="53"/>
        <v>32746000</v>
      </c>
    </row>
    <row r="272" spans="1:84">
      <c r="A272" s="1032"/>
      <c r="B272" s="839" t="s">
        <v>98</v>
      </c>
      <c r="C272" s="839" t="s">
        <v>131</v>
      </c>
      <c r="D272" s="839" t="s">
        <v>777</v>
      </c>
      <c r="E272" s="839" t="s">
        <v>777</v>
      </c>
      <c r="F272" s="841">
        <v>44939</v>
      </c>
      <c r="G272" s="840" t="s">
        <v>133</v>
      </c>
      <c r="H272" s="842" t="s">
        <v>134</v>
      </c>
      <c r="I272" s="842"/>
      <c r="J272" s="841"/>
      <c r="K272" s="841"/>
      <c r="L272" s="843"/>
      <c r="M272" s="844" t="s">
        <v>417</v>
      </c>
      <c r="N272" s="841"/>
      <c r="O272" s="841" t="s">
        <v>150</v>
      </c>
      <c r="P272" s="841" t="s">
        <v>461</v>
      </c>
      <c r="Q272" s="843"/>
      <c r="R272" s="845" t="s">
        <v>911</v>
      </c>
      <c r="S272" s="1127" t="s">
        <v>912</v>
      </c>
      <c r="T272" s="843" t="s">
        <v>913</v>
      </c>
      <c r="U272" s="842">
        <v>5</v>
      </c>
      <c r="V272" s="842" t="s">
        <v>8</v>
      </c>
      <c r="W272" s="846"/>
      <c r="X272" s="847">
        <f t="shared" si="47"/>
        <v>0</v>
      </c>
      <c r="Y272" s="848"/>
      <c r="Z272" s="849">
        <v>276.79300000000001</v>
      </c>
      <c r="AA272" s="849"/>
      <c r="AB272" s="849">
        <f t="shared" si="48"/>
        <v>1383.9650000000001</v>
      </c>
      <c r="AC272" s="850">
        <f t="shared" si="49"/>
        <v>1383.9650000000001</v>
      </c>
      <c r="AD272" s="851"/>
      <c r="AE272" s="852">
        <v>23390</v>
      </c>
      <c r="AF272" s="853">
        <v>0.05</v>
      </c>
      <c r="AG272" s="854">
        <f t="shared" si="50"/>
        <v>1618547.0675000004</v>
      </c>
      <c r="AH272" s="853"/>
      <c r="AI272" s="855">
        <f t="shared" si="51"/>
        <v>0</v>
      </c>
      <c r="AJ272" s="845" t="s">
        <v>781</v>
      </c>
      <c r="AK272" s="857" t="s">
        <v>782</v>
      </c>
      <c r="AL272" s="840"/>
      <c r="AM272" s="840"/>
      <c r="AN272" s="858"/>
      <c r="AO272" s="844" t="s">
        <v>141</v>
      </c>
      <c r="AP272" s="859"/>
      <c r="AQ272" s="859" t="s">
        <v>783</v>
      </c>
      <c r="AR272" s="859"/>
      <c r="AS272" s="840"/>
      <c r="AT272" s="840"/>
      <c r="AU272" s="860"/>
      <c r="AV272" s="839" t="s">
        <v>784</v>
      </c>
      <c r="AW272" s="861">
        <v>44975</v>
      </c>
      <c r="AX272" s="862" t="s">
        <v>785</v>
      </c>
      <c r="AY272" s="843"/>
      <c r="AZ272" s="842"/>
      <c r="BA272" s="842" t="s">
        <v>120</v>
      </c>
      <c r="BB272" s="863" t="s">
        <v>121</v>
      </c>
      <c r="BC272" s="864">
        <v>44975</v>
      </c>
      <c r="BD272" s="860" t="s">
        <v>786</v>
      </c>
      <c r="BE272" s="865" cm="1">
        <f t="array" ref="BE272">IF(BD272="","",AC272/SUMPRODUCT(--(BD272=$BD$4:$BD$12824),$AC$4:$AC$12824))</f>
        <v>2.3124627567535607E-2</v>
      </c>
      <c r="BF272" s="458"/>
      <c r="BG272" s="458"/>
      <c r="BH272" s="458"/>
      <c r="BI272" s="458"/>
      <c r="BJ272" s="458"/>
      <c r="BK272" s="458"/>
      <c r="BL272" s="458"/>
      <c r="BM272" s="458"/>
      <c r="BN272" s="458"/>
      <c r="BO272" s="866">
        <f>VLOOKUP(BD272,$BD$4:$BN$12824,3,0)*BE272</f>
        <v>0</v>
      </c>
      <c r="BP272" s="866"/>
      <c r="BQ272" s="866"/>
      <c r="BR272" s="866">
        <f>VLOOKUP(BD272,$BD$4:$BN$12824,6,0)*BE272</f>
        <v>509242.2234263448</v>
      </c>
      <c r="BS272" s="866">
        <f>VLOOKUP(BD272,$BD$4:$BN$12824,7,0)*BE272</f>
        <v>0</v>
      </c>
      <c r="BT272" s="866"/>
      <c r="BU272" s="866">
        <f>VLOOKUP(BD272,$BD$4:$BN$12824,9,0)*BE272</f>
        <v>0</v>
      </c>
      <c r="BV272" s="867"/>
      <c r="BW272" s="867">
        <f>VLOOKUP(BD272,$BD$4:$BN$12824,11,0)*BE272</f>
        <v>0</v>
      </c>
      <c r="BX272" s="1146">
        <f t="shared" si="46"/>
        <v>509242.2234263448</v>
      </c>
      <c r="BY272" s="867">
        <f t="shared" si="54"/>
        <v>6899746.1281852694</v>
      </c>
      <c r="BZ272" s="867">
        <f t="shared" si="52"/>
        <v>34498730.640926346</v>
      </c>
      <c r="CA272" s="867">
        <f>_xlfn.MAXIFS($BY$4:$BY$12824,$S$4:$S$12824,$S272)</f>
        <v>6899746.1281852694</v>
      </c>
      <c r="CB272" s="1032"/>
      <c r="CC272" s="999" t="s">
        <v>791</v>
      </c>
      <c r="CF272" s="946">
        <f t="shared" si="53"/>
        <v>32370941.350000005</v>
      </c>
    </row>
    <row r="273" spans="1:84">
      <c r="A273" s="1032"/>
      <c r="B273" s="839" t="s">
        <v>98</v>
      </c>
      <c r="C273" s="839" t="s">
        <v>131</v>
      </c>
      <c r="D273" s="839" t="s">
        <v>777</v>
      </c>
      <c r="E273" s="839" t="s">
        <v>777</v>
      </c>
      <c r="F273" s="841">
        <v>44939</v>
      </c>
      <c r="G273" s="840" t="s">
        <v>133</v>
      </c>
      <c r="H273" s="842" t="s">
        <v>134</v>
      </c>
      <c r="I273" s="842"/>
      <c r="J273" s="841"/>
      <c r="K273" s="841"/>
      <c r="L273" s="843"/>
      <c r="M273" s="844" t="s">
        <v>417</v>
      </c>
      <c r="N273" s="841"/>
      <c r="O273" s="841" t="s">
        <v>135</v>
      </c>
      <c r="P273" s="841" t="s">
        <v>914</v>
      </c>
      <c r="Q273" s="843"/>
      <c r="R273" s="845" t="s">
        <v>915</v>
      </c>
      <c r="S273" s="1127" t="s">
        <v>916</v>
      </c>
      <c r="T273" s="843" t="s">
        <v>917</v>
      </c>
      <c r="U273" s="842">
        <v>4</v>
      </c>
      <c r="V273" s="842" t="s">
        <v>8</v>
      </c>
      <c r="W273" s="846"/>
      <c r="X273" s="847">
        <f t="shared" si="47"/>
        <v>0</v>
      </c>
      <c r="Y273" s="848"/>
      <c r="Z273" s="849">
        <v>270</v>
      </c>
      <c r="AA273" s="849"/>
      <c r="AB273" s="849">
        <f t="shared" si="48"/>
        <v>1080</v>
      </c>
      <c r="AC273" s="850">
        <f t="shared" si="49"/>
        <v>1080</v>
      </c>
      <c r="AD273" s="851"/>
      <c r="AE273" s="852">
        <v>23390</v>
      </c>
      <c r="AF273" s="853">
        <v>0.12</v>
      </c>
      <c r="AG273" s="854">
        <f t="shared" si="50"/>
        <v>3031344</v>
      </c>
      <c r="AH273" s="853"/>
      <c r="AI273" s="855">
        <f t="shared" si="51"/>
        <v>0</v>
      </c>
      <c r="AJ273" s="845" t="s">
        <v>781</v>
      </c>
      <c r="AK273" s="857" t="s">
        <v>782</v>
      </c>
      <c r="AL273" s="840"/>
      <c r="AM273" s="840"/>
      <c r="AN273" s="858"/>
      <c r="AO273" s="844" t="s">
        <v>141</v>
      </c>
      <c r="AP273" s="859"/>
      <c r="AQ273" s="859" t="s">
        <v>783</v>
      </c>
      <c r="AR273" s="859"/>
      <c r="AS273" s="840"/>
      <c r="AT273" s="840"/>
      <c r="AU273" s="860"/>
      <c r="AV273" s="839" t="s">
        <v>784</v>
      </c>
      <c r="AW273" s="861">
        <v>44975</v>
      </c>
      <c r="AX273" s="862" t="s">
        <v>785</v>
      </c>
      <c r="AY273" s="843"/>
      <c r="AZ273" s="842"/>
      <c r="BA273" s="842" t="s">
        <v>120</v>
      </c>
      <c r="BB273" s="863" t="s">
        <v>121</v>
      </c>
      <c r="BC273" s="864">
        <v>44975</v>
      </c>
      <c r="BD273" s="860" t="s">
        <v>786</v>
      </c>
      <c r="BE273" s="865" cm="1">
        <f t="array" ref="BE273">IF(BD273="","",AC273/SUMPRODUCT(--(BD273=$BD$4:$BD$12824),$AC$4:$AC$12824))</f>
        <v>1.8045685962389549E-2</v>
      </c>
      <c r="BF273" s="458"/>
      <c r="BG273" s="458"/>
      <c r="BH273" s="458"/>
      <c r="BI273" s="458"/>
      <c r="BJ273" s="458"/>
      <c r="BK273" s="458"/>
      <c r="BL273" s="458"/>
      <c r="BM273" s="458"/>
      <c r="BN273" s="458"/>
      <c r="BO273" s="866">
        <f>VLOOKUP(BD273,$BD$4:$BN$12824,3,0)*BE273</f>
        <v>0</v>
      </c>
      <c r="BP273" s="866"/>
      <c r="BQ273" s="866"/>
      <c r="BR273" s="866">
        <f>VLOOKUP(BD273,$BD$4:$BN$12824,6,0)*BE273</f>
        <v>397395.5998167962</v>
      </c>
      <c r="BS273" s="866">
        <f>VLOOKUP(BD273,$BD$4:$BN$12824,7,0)*BE273</f>
        <v>0</v>
      </c>
      <c r="BT273" s="866"/>
      <c r="BU273" s="866">
        <f>VLOOKUP(BD273,$BD$4:$BN$12824,9,0)*BE273</f>
        <v>0</v>
      </c>
      <c r="BV273" s="867"/>
      <c r="BW273" s="867">
        <f>VLOOKUP(BD273,$BD$4:$BN$12824,11,0)*BE273</f>
        <v>0</v>
      </c>
      <c r="BX273" s="1146">
        <f t="shared" si="46"/>
        <v>397395.5998167962</v>
      </c>
      <c r="BY273" s="867">
        <f t="shared" si="54"/>
        <v>7172484.8999541989</v>
      </c>
      <c r="BZ273" s="867">
        <f t="shared" si="52"/>
        <v>28689939.599816795</v>
      </c>
      <c r="CA273" s="867">
        <f>_xlfn.MAXIFS($BY$4:$BY$12824,$S$4:$S$12824,$S273)</f>
        <v>7172484.8999541989</v>
      </c>
      <c r="CB273" s="1032"/>
      <c r="CC273" s="999" t="s">
        <v>791</v>
      </c>
      <c r="CF273" s="946">
        <f t="shared" si="53"/>
        <v>25261200</v>
      </c>
    </row>
    <row r="274" spans="1:84">
      <c r="A274" s="1032"/>
      <c r="B274" s="839" t="s">
        <v>98</v>
      </c>
      <c r="C274" s="839" t="s">
        <v>131</v>
      </c>
      <c r="D274" s="839" t="s">
        <v>777</v>
      </c>
      <c r="E274" s="839" t="s">
        <v>777</v>
      </c>
      <c r="F274" s="841">
        <v>44939</v>
      </c>
      <c r="G274" s="840" t="s">
        <v>133</v>
      </c>
      <c r="H274" s="842" t="s">
        <v>134</v>
      </c>
      <c r="I274" s="842"/>
      <c r="J274" s="841"/>
      <c r="K274" s="841"/>
      <c r="L274" s="843"/>
      <c r="M274" s="844" t="s">
        <v>417</v>
      </c>
      <c r="N274" s="841"/>
      <c r="O274" s="841" t="s">
        <v>135</v>
      </c>
      <c r="P274" s="841" t="s">
        <v>136</v>
      </c>
      <c r="Q274" s="843"/>
      <c r="R274" s="845" t="s">
        <v>918</v>
      </c>
      <c r="S274" s="1127" t="s">
        <v>919</v>
      </c>
      <c r="T274" s="843" t="s">
        <v>920</v>
      </c>
      <c r="U274" s="842">
        <v>12</v>
      </c>
      <c r="V274" s="842" t="s">
        <v>8</v>
      </c>
      <c r="W274" s="846"/>
      <c r="X274" s="847">
        <f t="shared" si="47"/>
        <v>0</v>
      </c>
      <c r="Y274" s="848"/>
      <c r="Z274" s="849">
        <v>30</v>
      </c>
      <c r="AA274" s="849"/>
      <c r="AB274" s="849">
        <f t="shared" si="48"/>
        <v>360</v>
      </c>
      <c r="AC274" s="850">
        <f t="shared" si="49"/>
        <v>360</v>
      </c>
      <c r="AD274" s="851"/>
      <c r="AE274" s="852">
        <v>23390</v>
      </c>
      <c r="AF274" s="853">
        <v>0.214</v>
      </c>
      <c r="AG274" s="854">
        <f t="shared" si="50"/>
        <v>1801965.5999999999</v>
      </c>
      <c r="AH274" s="853"/>
      <c r="AI274" s="855">
        <f t="shared" si="51"/>
        <v>0</v>
      </c>
      <c r="AJ274" s="845" t="s">
        <v>781</v>
      </c>
      <c r="AK274" s="857" t="s">
        <v>782</v>
      </c>
      <c r="AL274" s="840"/>
      <c r="AM274" s="840"/>
      <c r="AN274" s="858"/>
      <c r="AO274" s="844" t="s">
        <v>141</v>
      </c>
      <c r="AP274" s="859"/>
      <c r="AQ274" s="859" t="s">
        <v>783</v>
      </c>
      <c r="AR274" s="859"/>
      <c r="AS274" s="840"/>
      <c r="AT274" s="840"/>
      <c r="AU274" s="860"/>
      <c r="AV274" s="839" t="s">
        <v>784</v>
      </c>
      <c r="AW274" s="861">
        <v>44975</v>
      </c>
      <c r="AX274" s="862" t="s">
        <v>785</v>
      </c>
      <c r="AY274" s="843"/>
      <c r="AZ274" s="842"/>
      <c r="BA274" s="842" t="s">
        <v>120</v>
      </c>
      <c r="BB274" s="863" t="s">
        <v>121</v>
      </c>
      <c r="BC274" s="864">
        <v>44975</v>
      </c>
      <c r="BD274" s="860" t="s">
        <v>786</v>
      </c>
      <c r="BE274" s="865" cm="1">
        <f t="array" ref="BE274">IF(BD274="","",AC274/SUMPRODUCT(--(BD274=$BD$4:$BD$12824),$AC$4:$AC$12824))</f>
        <v>6.0152286541298493E-3</v>
      </c>
      <c r="BF274" s="458"/>
      <c r="BG274" s="458"/>
      <c r="BH274" s="458"/>
      <c r="BI274" s="458"/>
      <c r="BJ274" s="458"/>
      <c r="BK274" s="458"/>
      <c r="BL274" s="458"/>
      <c r="BM274" s="458"/>
      <c r="BN274" s="458"/>
      <c r="BO274" s="866">
        <f>VLOOKUP(BD274,$BD$4:$BN$12824,3,0)*BE274</f>
        <v>0</v>
      </c>
      <c r="BP274" s="866"/>
      <c r="BQ274" s="866"/>
      <c r="BR274" s="866">
        <f>VLOOKUP(BD274,$BD$4:$BN$12824,6,0)*BE274</f>
        <v>132465.19993893206</v>
      </c>
      <c r="BS274" s="866">
        <f>VLOOKUP(BD274,$BD$4:$BN$12824,7,0)*BE274</f>
        <v>0</v>
      </c>
      <c r="BT274" s="866"/>
      <c r="BU274" s="866">
        <f>VLOOKUP(BD274,$BD$4:$BN$12824,9,0)*BE274</f>
        <v>0</v>
      </c>
      <c r="BV274" s="867"/>
      <c r="BW274" s="867">
        <f>VLOOKUP(BD274,$BD$4:$BN$12824,11,0)*BE274</f>
        <v>0</v>
      </c>
      <c r="BX274" s="1146">
        <f t="shared" si="46"/>
        <v>132465.19993893206</v>
      </c>
      <c r="BY274" s="867">
        <f t="shared" si="54"/>
        <v>862902.56666157767</v>
      </c>
      <c r="BZ274" s="867">
        <f t="shared" si="52"/>
        <v>10354830.799938932</v>
      </c>
      <c r="CA274" s="867">
        <f>_xlfn.MAXIFS($BY$4:$BY$12824,$S$4:$S$12824,$S274)</f>
        <v>862902.56666157767</v>
      </c>
      <c r="CB274" s="1032"/>
      <c r="CC274" s="999" t="s">
        <v>791</v>
      </c>
      <c r="CF274" s="946">
        <f t="shared" si="53"/>
        <v>8420400</v>
      </c>
    </row>
    <row r="275" spans="1:84">
      <c r="A275" s="1032"/>
      <c r="B275" s="839" t="s">
        <v>98</v>
      </c>
      <c r="C275" s="839" t="s">
        <v>131</v>
      </c>
      <c r="D275" s="839" t="s">
        <v>777</v>
      </c>
      <c r="E275" s="839" t="s">
        <v>777</v>
      </c>
      <c r="F275" s="841">
        <v>44939</v>
      </c>
      <c r="G275" s="840" t="s">
        <v>133</v>
      </c>
      <c r="H275" s="842" t="s">
        <v>134</v>
      </c>
      <c r="I275" s="842"/>
      <c r="J275" s="841"/>
      <c r="K275" s="841"/>
      <c r="L275" s="843"/>
      <c r="M275" s="844" t="s">
        <v>417</v>
      </c>
      <c r="N275" s="841"/>
      <c r="O275" s="841" t="s">
        <v>135</v>
      </c>
      <c r="P275" s="841" t="s">
        <v>136</v>
      </c>
      <c r="Q275" s="843"/>
      <c r="R275" s="845" t="s">
        <v>921</v>
      </c>
      <c r="S275" s="1127" t="s">
        <v>922</v>
      </c>
      <c r="T275" s="843" t="s">
        <v>923</v>
      </c>
      <c r="U275" s="842">
        <v>10</v>
      </c>
      <c r="V275" s="842" t="s">
        <v>8</v>
      </c>
      <c r="W275" s="846"/>
      <c r="X275" s="847">
        <f t="shared" si="47"/>
        <v>0</v>
      </c>
      <c r="Y275" s="848"/>
      <c r="Z275" s="849">
        <v>40</v>
      </c>
      <c r="AA275" s="849"/>
      <c r="AB275" s="849">
        <f t="shared" si="48"/>
        <v>400</v>
      </c>
      <c r="AC275" s="850">
        <f t="shared" si="49"/>
        <v>400</v>
      </c>
      <c r="AD275" s="851"/>
      <c r="AE275" s="852">
        <v>23390</v>
      </c>
      <c r="AF275" s="853">
        <v>0.25</v>
      </c>
      <c r="AG275" s="854">
        <f t="shared" si="50"/>
        <v>2339000</v>
      </c>
      <c r="AH275" s="853"/>
      <c r="AI275" s="855">
        <f t="shared" si="51"/>
        <v>0</v>
      </c>
      <c r="AJ275" s="845" t="s">
        <v>781</v>
      </c>
      <c r="AK275" s="857" t="s">
        <v>782</v>
      </c>
      <c r="AL275" s="840"/>
      <c r="AM275" s="840"/>
      <c r="AN275" s="858"/>
      <c r="AO275" s="844" t="s">
        <v>141</v>
      </c>
      <c r="AP275" s="859"/>
      <c r="AQ275" s="859" t="s">
        <v>783</v>
      </c>
      <c r="AR275" s="859"/>
      <c r="AS275" s="840"/>
      <c r="AT275" s="840"/>
      <c r="AU275" s="860"/>
      <c r="AV275" s="839" t="s">
        <v>784</v>
      </c>
      <c r="AW275" s="861">
        <v>44975</v>
      </c>
      <c r="AX275" s="862" t="s">
        <v>785</v>
      </c>
      <c r="AY275" s="843"/>
      <c r="AZ275" s="842"/>
      <c r="BA275" s="842" t="s">
        <v>120</v>
      </c>
      <c r="BB275" s="863" t="s">
        <v>121</v>
      </c>
      <c r="BC275" s="864">
        <v>44975</v>
      </c>
      <c r="BD275" s="860" t="s">
        <v>786</v>
      </c>
      <c r="BE275" s="865" cm="1">
        <f t="array" ref="BE275">IF(BD275="","",AC275/SUMPRODUCT(--(BD275=$BD$4:$BD$12824),$AC$4:$AC$12824))</f>
        <v>6.6835873934776103E-3</v>
      </c>
      <c r="BF275" s="458"/>
      <c r="BG275" s="458"/>
      <c r="BH275" s="458"/>
      <c r="BI275" s="458"/>
      <c r="BJ275" s="458"/>
      <c r="BK275" s="458"/>
      <c r="BL275" s="458"/>
      <c r="BM275" s="458"/>
      <c r="BN275" s="458"/>
      <c r="BO275" s="866">
        <f>VLOOKUP(BD275,$BD$4:$BN$12824,3,0)*BE275</f>
        <v>0</v>
      </c>
      <c r="BP275" s="866"/>
      <c r="BQ275" s="866"/>
      <c r="BR275" s="866">
        <f>VLOOKUP(BD275,$BD$4:$BN$12824,6,0)*BE275</f>
        <v>147183.55548770228</v>
      </c>
      <c r="BS275" s="866">
        <f>VLOOKUP(BD275,$BD$4:$BN$12824,7,0)*BE275</f>
        <v>0</v>
      </c>
      <c r="BT275" s="866"/>
      <c r="BU275" s="866">
        <f>VLOOKUP(BD275,$BD$4:$BN$12824,9,0)*BE275</f>
        <v>0</v>
      </c>
      <c r="BV275" s="867"/>
      <c r="BW275" s="867">
        <f>VLOOKUP(BD275,$BD$4:$BN$12824,11,0)*BE275</f>
        <v>0</v>
      </c>
      <c r="BX275" s="1146">
        <f t="shared" si="46"/>
        <v>147183.55548770228</v>
      </c>
      <c r="BY275" s="867">
        <f t="shared" si="54"/>
        <v>1184218.3555487702</v>
      </c>
      <c r="BZ275" s="867">
        <f t="shared" si="52"/>
        <v>11842183.555487702</v>
      </c>
      <c r="CA275" s="867">
        <f>_xlfn.MAXIFS($BY$4:$BY$12824,$S$4:$S$12824,$S275)</f>
        <v>1184218.3555487702</v>
      </c>
      <c r="CB275" s="1032"/>
      <c r="CC275" s="999" t="s">
        <v>791</v>
      </c>
      <c r="CF275" s="946">
        <f t="shared" si="53"/>
        <v>9356000</v>
      </c>
    </row>
    <row r="276" spans="1:84">
      <c r="A276" s="1032"/>
      <c r="B276" s="839" t="s">
        <v>98</v>
      </c>
      <c r="C276" s="839" t="s">
        <v>131</v>
      </c>
      <c r="D276" s="839" t="s">
        <v>777</v>
      </c>
      <c r="E276" s="839" t="s">
        <v>777</v>
      </c>
      <c r="F276" s="841">
        <v>44939</v>
      </c>
      <c r="G276" s="840" t="s">
        <v>133</v>
      </c>
      <c r="H276" s="842" t="s">
        <v>134</v>
      </c>
      <c r="I276" s="842"/>
      <c r="J276" s="841"/>
      <c r="K276" s="841"/>
      <c r="L276" s="843"/>
      <c r="M276" s="844" t="s">
        <v>417</v>
      </c>
      <c r="N276" s="841"/>
      <c r="O276" s="841" t="s">
        <v>135</v>
      </c>
      <c r="P276" s="841" t="s">
        <v>136</v>
      </c>
      <c r="Q276" s="843"/>
      <c r="R276" s="845" t="s">
        <v>924</v>
      </c>
      <c r="S276" s="1127" t="s">
        <v>925</v>
      </c>
      <c r="T276" s="843" t="s">
        <v>926</v>
      </c>
      <c r="U276" s="842">
        <v>10</v>
      </c>
      <c r="V276" s="842" t="s">
        <v>8</v>
      </c>
      <c r="W276" s="846"/>
      <c r="X276" s="847">
        <f t="shared" si="47"/>
        <v>0</v>
      </c>
      <c r="Y276" s="848"/>
      <c r="Z276" s="849">
        <v>40</v>
      </c>
      <c r="AA276" s="849"/>
      <c r="AB276" s="849">
        <f t="shared" si="48"/>
        <v>400</v>
      </c>
      <c r="AC276" s="850">
        <f t="shared" si="49"/>
        <v>400</v>
      </c>
      <c r="AD276" s="851"/>
      <c r="AE276" s="852">
        <v>23390</v>
      </c>
      <c r="AF276" s="853">
        <v>0.25</v>
      </c>
      <c r="AG276" s="854">
        <f t="shared" si="50"/>
        <v>2339000</v>
      </c>
      <c r="AH276" s="853"/>
      <c r="AI276" s="855">
        <f t="shared" si="51"/>
        <v>0</v>
      </c>
      <c r="AJ276" s="845" t="s">
        <v>781</v>
      </c>
      <c r="AK276" s="857" t="s">
        <v>782</v>
      </c>
      <c r="AL276" s="840"/>
      <c r="AM276" s="840"/>
      <c r="AN276" s="858"/>
      <c r="AO276" s="844" t="s">
        <v>141</v>
      </c>
      <c r="AP276" s="859"/>
      <c r="AQ276" s="859" t="s">
        <v>783</v>
      </c>
      <c r="AR276" s="859"/>
      <c r="AS276" s="840"/>
      <c r="AT276" s="840"/>
      <c r="AU276" s="860"/>
      <c r="AV276" s="839" t="s">
        <v>784</v>
      </c>
      <c r="AW276" s="861">
        <v>44975</v>
      </c>
      <c r="AX276" s="862" t="s">
        <v>785</v>
      </c>
      <c r="AY276" s="843"/>
      <c r="AZ276" s="842"/>
      <c r="BA276" s="842" t="s">
        <v>120</v>
      </c>
      <c r="BB276" s="863" t="s">
        <v>121</v>
      </c>
      <c r="BC276" s="864">
        <v>44975</v>
      </c>
      <c r="BD276" s="860" t="s">
        <v>786</v>
      </c>
      <c r="BE276" s="865" cm="1">
        <f t="array" ref="BE276">IF(BD276="","",AC276/SUMPRODUCT(--(BD276=$BD$4:$BD$12824),$AC$4:$AC$12824))</f>
        <v>6.6835873934776103E-3</v>
      </c>
      <c r="BF276" s="458"/>
      <c r="BG276" s="458"/>
      <c r="BH276" s="458"/>
      <c r="BI276" s="458"/>
      <c r="BJ276" s="458"/>
      <c r="BK276" s="458"/>
      <c r="BL276" s="458"/>
      <c r="BM276" s="458"/>
      <c r="BN276" s="458"/>
      <c r="BO276" s="866">
        <f>VLOOKUP(BD276,$BD$4:$BN$12824,3,0)*BE276</f>
        <v>0</v>
      </c>
      <c r="BP276" s="866"/>
      <c r="BQ276" s="866"/>
      <c r="BR276" s="866">
        <f>VLOOKUP(BD276,$BD$4:$BN$12824,6,0)*BE276</f>
        <v>147183.55548770228</v>
      </c>
      <c r="BS276" s="866">
        <f>VLOOKUP(BD276,$BD$4:$BN$12824,7,0)*BE276</f>
        <v>0</v>
      </c>
      <c r="BT276" s="866"/>
      <c r="BU276" s="866">
        <f>VLOOKUP(BD276,$BD$4:$BN$12824,9,0)*BE276</f>
        <v>0</v>
      </c>
      <c r="BV276" s="867"/>
      <c r="BW276" s="867">
        <f>VLOOKUP(BD276,$BD$4:$BN$12824,11,0)*BE276</f>
        <v>0</v>
      </c>
      <c r="BX276" s="1146">
        <f t="shared" si="46"/>
        <v>147183.55548770228</v>
      </c>
      <c r="BY276" s="867">
        <f t="shared" si="54"/>
        <v>1184218.3555487702</v>
      </c>
      <c r="BZ276" s="867">
        <f t="shared" si="52"/>
        <v>11842183.555487702</v>
      </c>
      <c r="CA276" s="867">
        <f>_xlfn.MAXIFS($BY$4:$BY$12824,$S$4:$S$12824,$S276)</f>
        <v>1184218.3555487702</v>
      </c>
      <c r="CB276" s="1032"/>
      <c r="CC276" s="999" t="s">
        <v>791</v>
      </c>
      <c r="CF276" s="946">
        <f t="shared" si="53"/>
        <v>9356000</v>
      </c>
    </row>
    <row r="277" spans="1:84">
      <c r="A277" s="1032"/>
      <c r="B277" s="839" t="s">
        <v>98</v>
      </c>
      <c r="C277" s="839" t="s">
        <v>131</v>
      </c>
      <c r="D277" s="839" t="s">
        <v>777</v>
      </c>
      <c r="E277" s="839" t="s">
        <v>777</v>
      </c>
      <c r="F277" s="841">
        <v>44939</v>
      </c>
      <c r="G277" s="840" t="s">
        <v>133</v>
      </c>
      <c r="H277" s="842" t="s">
        <v>134</v>
      </c>
      <c r="I277" s="842"/>
      <c r="J277" s="841"/>
      <c r="K277" s="841"/>
      <c r="L277" s="843"/>
      <c r="M277" s="844" t="s">
        <v>417</v>
      </c>
      <c r="N277" s="841"/>
      <c r="O277" s="841" t="s">
        <v>135</v>
      </c>
      <c r="P277" s="841" t="s">
        <v>136</v>
      </c>
      <c r="Q277" s="843"/>
      <c r="R277" s="845" t="s">
        <v>927</v>
      </c>
      <c r="S277" s="1127" t="s">
        <v>928</v>
      </c>
      <c r="T277" s="843" t="s">
        <v>929</v>
      </c>
      <c r="U277" s="842">
        <v>5</v>
      </c>
      <c r="V277" s="842" t="s">
        <v>8</v>
      </c>
      <c r="W277" s="846"/>
      <c r="X277" s="847">
        <f t="shared" si="47"/>
        <v>0</v>
      </c>
      <c r="Y277" s="848"/>
      <c r="Z277" s="849">
        <v>40</v>
      </c>
      <c r="AA277" s="849"/>
      <c r="AB277" s="849">
        <f t="shared" si="48"/>
        <v>200</v>
      </c>
      <c r="AC277" s="850">
        <f t="shared" si="49"/>
        <v>200</v>
      </c>
      <c r="AD277" s="851"/>
      <c r="AE277" s="852">
        <v>23390</v>
      </c>
      <c r="AF277" s="853">
        <v>0.25</v>
      </c>
      <c r="AG277" s="854">
        <f t="shared" si="50"/>
        <v>1169500</v>
      </c>
      <c r="AH277" s="853"/>
      <c r="AI277" s="855">
        <f t="shared" si="51"/>
        <v>0</v>
      </c>
      <c r="AJ277" s="845" t="s">
        <v>781</v>
      </c>
      <c r="AK277" s="857" t="s">
        <v>782</v>
      </c>
      <c r="AL277" s="840"/>
      <c r="AM277" s="840"/>
      <c r="AN277" s="858"/>
      <c r="AO277" s="844" t="s">
        <v>141</v>
      </c>
      <c r="AP277" s="859"/>
      <c r="AQ277" s="859" t="s">
        <v>783</v>
      </c>
      <c r="AR277" s="859"/>
      <c r="AS277" s="840"/>
      <c r="AT277" s="840"/>
      <c r="AU277" s="860"/>
      <c r="AV277" s="839" t="s">
        <v>784</v>
      </c>
      <c r="AW277" s="861">
        <v>44975</v>
      </c>
      <c r="AX277" s="862" t="s">
        <v>785</v>
      </c>
      <c r="AY277" s="843"/>
      <c r="AZ277" s="842"/>
      <c r="BA277" s="842" t="s">
        <v>120</v>
      </c>
      <c r="BB277" s="863" t="s">
        <v>121</v>
      </c>
      <c r="BC277" s="864">
        <v>44975</v>
      </c>
      <c r="BD277" s="860" t="s">
        <v>786</v>
      </c>
      <c r="BE277" s="865" cm="1">
        <f t="array" ref="BE277">IF(BD277="","",AC277/SUMPRODUCT(--(BD277=$BD$4:$BD$12824),$AC$4:$AC$12824))</f>
        <v>3.3417936967388051E-3</v>
      </c>
      <c r="BF277" s="458"/>
      <c r="BG277" s="458"/>
      <c r="BH277" s="458"/>
      <c r="BI277" s="458"/>
      <c r="BJ277" s="458"/>
      <c r="BK277" s="458"/>
      <c r="BL277" s="458"/>
      <c r="BM277" s="458"/>
      <c r="BN277" s="458"/>
      <c r="BO277" s="866">
        <f>VLOOKUP(BD277,$BD$4:$BN$12824,3,0)*BE277</f>
        <v>0</v>
      </c>
      <c r="BP277" s="866"/>
      <c r="BQ277" s="866"/>
      <c r="BR277" s="866">
        <f>VLOOKUP(BD277,$BD$4:$BN$12824,6,0)*BE277</f>
        <v>73591.77774385114</v>
      </c>
      <c r="BS277" s="866">
        <f>VLOOKUP(BD277,$BD$4:$BN$12824,7,0)*BE277</f>
        <v>0</v>
      </c>
      <c r="BT277" s="866"/>
      <c r="BU277" s="866">
        <f>VLOOKUP(BD277,$BD$4:$BN$12824,9,0)*BE277</f>
        <v>0</v>
      </c>
      <c r="BV277" s="867"/>
      <c r="BW277" s="867">
        <f>VLOOKUP(BD277,$BD$4:$BN$12824,11,0)*BE277</f>
        <v>0</v>
      </c>
      <c r="BX277" s="1146">
        <f t="shared" si="46"/>
        <v>73591.77774385114</v>
      </c>
      <c r="BY277" s="867">
        <f t="shared" si="54"/>
        <v>1184218.3555487702</v>
      </c>
      <c r="BZ277" s="867">
        <f t="shared" si="52"/>
        <v>5921091.7777438508</v>
      </c>
      <c r="CA277" s="867">
        <f>_xlfn.MAXIFS($BY$4:$BY$12824,$S$4:$S$12824,$S277)</f>
        <v>1184218.3555487702</v>
      </c>
      <c r="CB277" s="1032"/>
      <c r="CC277" s="999" t="s">
        <v>791</v>
      </c>
      <c r="CF277" s="946">
        <f t="shared" si="53"/>
        <v>4678000</v>
      </c>
    </row>
    <row r="278" spans="1:84">
      <c r="A278" s="1032"/>
      <c r="B278" s="839" t="s">
        <v>98</v>
      </c>
      <c r="C278" s="839" t="s">
        <v>131</v>
      </c>
      <c r="D278" s="839" t="s">
        <v>777</v>
      </c>
      <c r="E278" s="839" t="s">
        <v>777</v>
      </c>
      <c r="F278" s="841">
        <v>44939</v>
      </c>
      <c r="G278" s="840" t="s">
        <v>133</v>
      </c>
      <c r="H278" s="842" t="s">
        <v>134</v>
      </c>
      <c r="I278" s="842"/>
      <c r="J278" s="841"/>
      <c r="K278" s="841"/>
      <c r="L278" s="843"/>
      <c r="M278" s="844" t="s">
        <v>417</v>
      </c>
      <c r="N278" s="841"/>
      <c r="O278" s="841" t="s">
        <v>135</v>
      </c>
      <c r="P278" s="841" t="s">
        <v>136</v>
      </c>
      <c r="Q278" s="843"/>
      <c r="R278" s="845" t="s">
        <v>930</v>
      </c>
      <c r="S278" s="1127" t="s">
        <v>931</v>
      </c>
      <c r="T278" s="843" t="s">
        <v>932</v>
      </c>
      <c r="U278" s="842">
        <v>10</v>
      </c>
      <c r="V278" s="842" t="s">
        <v>8</v>
      </c>
      <c r="W278" s="846"/>
      <c r="X278" s="847">
        <f t="shared" si="47"/>
        <v>0</v>
      </c>
      <c r="Y278" s="848"/>
      <c r="Z278" s="849">
        <v>40</v>
      </c>
      <c r="AA278" s="849"/>
      <c r="AB278" s="849">
        <f t="shared" si="48"/>
        <v>400</v>
      </c>
      <c r="AC278" s="850">
        <f t="shared" si="49"/>
        <v>400</v>
      </c>
      <c r="AD278" s="851"/>
      <c r="AE278" s="852">
        <v>23390</v>
      </c>
      <c r="AF278" s="853">
        <v>0.25</v>
      </c>
      <c r="AG278" s="854">
        <f t="shared" si="50"/>
        <v>2339000</v>
      </c>
      <c r="AH278" s="853"/>
      <c r="AI278" s="855">
        <f t="shared" si="51"/>
        <v>0</v>
      </c>
      <c r="AJ278" s="845" t="s">
        <v>781</v>
      </c>
      <c r="AK278" s="857" t="s">
        <v>782</v>
      </c>
      <c r="AL278" s="840"/>
      <c r="AM278" s="840"/>
      <c r="AN278" s="858"/>
      <c r="AO278" s="844" t="s">
        <v>141</v>
      </c>
      <c r="AP278" s="859"/>
      <c r="AQ278" s="859" t="s">
        <v>783</v>
      </c>
      <c r="AR278" s="859"/>
      <c r="AS278" s="840"/>
      <c r="AT278" s="840"/>
      <c r="AU278" s="860"/>
      <c r="AV278" s="839" t="s">
        <v>784</v>
      </c>
      <c r="AW278" s="861">
        <v>44975</v>
      </c>
      <c r="AX278" s="862" t="s">
        <v>785</v>
      </c>
      <c r="AY278" s="843"/>
      <c r="AZ278" s="842"/>
      <c r="BA278" s="842" t="s">
        <v>120</v>
      </c>
      <c r="BB278" s="863" t="s">
        <v>121</v>
      </c>
      <c r="BC278" s="864">
        <v>44975</v>
      </c>
      <c r="BD278" s="860" t="s">
        <v>786</v>
      </c>
      <c r="BE278" s="865" cm="1">
        <f t="array" ref="BE278">IF(BD278="","",AC278/SUMPRODUCT(--(BD278=$BD$4:$BD$12824),$AC$4:$AC$12824))</f>
        <v>6.6835873934776103E-3</v>
      </c>
      <c r="BF278" s="458"/>
      <c r="BG278" s="458"/>
      <c r="BH278" s="458"/>
      <c r="BI278" s="458"/>
      <c r="BJ278" s="458"/>
      <c r="BK278" s="458"/>
      <c r="BL278" s="458"/>
      <c r="BM278" s="458"/>
      <c r="BN278" s="458"/>
      <c r="BO278" s="866">
        <f>VLOOKUP(BD278,$BD$4:$BN$12824,3,0)*BE278</f>
        <v>0</v>
      </c>
      <c r="BP278" s="866"/>
      <c r="BQ278" s="866"/>
      <c r="BR278" s="866">
        <f>VLOOKUP(BD278,$BD$4:$BN$12824,6,0)*BE278</f>
        <v>147183.55548770228</v>
      </c>
      <c r="BS278" s="866">
        <f>VLOOKUP(BD278,$BD$4:$BN$12824,7,0)*BE278</f>
        <v>0</v>
      </c>
      <c r="BT278" s="866"/>
      <c r="BU278" s="866">
        <f>VLOOKUP(BD278,$BD$4:$BN$12824,9,0)*BE278</f>
        <v>0</v>
      </c>
      <c r="BV278" s="867"/>
      <c r="BW278" s="867">
        <f>VLOOKUP(BD278,$BD$4:$BN$12824,11,0)*BE278</f>
        <v>0</v>
      </c>
      <c r="BX278" s="1146">
        <f t="shared" si="46"/>
        <v>147183.55548770228</v>
      </c>
      <c r="BY278" s="867">
        <f t="shared" si="54"/>
        <v>1184218.3555487702</v>
      </c>
      <c r="BZ278" s="867">
        <f t="shared" si="52"/>
        <v>11842183.555487702</v>
      </c>
      <c r="CA278" s="867">
        <f>_xlfn.MAXIFS($BY$4:$BY$12824,$S$4:$S$12824,$S278)</f>
        <v>1184218.3555487702</v>
      </c>
      <c r="CB278" s="1032"/>
      <c r="CC278" s="999" t="s">
        <v>791</v>
      </c>
      <c r="CF278" s="946">
        <f t="shared" si="53"/>
        <v>9356000</v>
      </c>
    </row>
    <row r="279" spans="1:84">
      <c r="A279" s="1032"/>
      <c r="B279" s="839" t="s">
        <v>98</v>
      </c>
      <c r="C279" s="839" t="s">
        <v>131</v>
      </c>
      <c r="D279" s="839" t="s">
        <v>777</v>
      </c>
      <c r="E279" s="839" t="s">
        <v>777</v>
      </c>
      <c r="F279" s="841">
        <v>44939</v>
      </c>
      <c r="G279" s="840" t="s">
        <v>133</v>
      </c>
      <c r="H279" s="842" t="s">
        <v>134</v>
      </c>
      <c r="I279" s="842"/>
      <c r="J279" s="841"/>
      <c r="K279" s="841"/>
      <c r="L279" s="843"/>
      <c r="M279" s="844" t="s">
        <v>417</v>
      </c>
      <c r="N279" s="841"/>
      <c r="O279" s="841" t="s">
        <v>135</v>
      </c>
      <c r="P279" s="841" t="s">
        <v>136</v>
      </c>
      <c r="Q279" s="843"/>
      <c r="R279" s="845" t="s">
        <v>933</v>
      </c>
      <c r="S279" s="1127" t="s">
        <v>934</v>
      </c>
      <c r="T279" s="843" t="s">
        <v>935</v>
      </c>
      <c r="U279" s="842">
        <v>10</v>
      </c>
      <c r="V279" s="842" t="s">
        <v>8</v>
      </c>
      <c r="W279" s="846"/>
      <c r="X279" s="847">
        <f t="shared" si="47"/>
        <v>0</v>
      </c>
      <c r="Y279" s="848"/>
      <c r="Z279" s="849">
        <v>40</v>
      </c>
      <c r="AA279" s="849"/>
      <c r="AB279" s="849">
        <f t="shared" si="48"/>
        <v>400</v>
      </c>
      <c r="AC279" s="850">
        <f t="shared" si="49"/>
        <v>400</v>
      </c>
      <c r="AD279" s="851"/>
      <c r="AE279" s="852">
        <v>23390</v>
      </c>
      <c r="AF279" s="853">
        <v>0.25</v>
      </c>
      <c r="AG279" s="854">
        <f t="shared" si="50"/>
        <v>2339000</v>
      </c>
      <c r="AH279" s="853"/>
      <c r="AI279" s="855">
        <f t="shared" si="51"/>
        <v>0</v>
      </c>
      <c r="AJ279" s="845" t="s">
        <v>781</v>
      </c>
      <c r="AK279" s="857" t="s">
        <v>782</v>
      </c>
      <c r="AL279" s="840"/>
      <c r="AM279" s="840"/>
      <c r="AN279" s="858"/>
      <c r="AO279" s="844" t="s">
        <v>141</v>
      </c>
      <c r="AP279" s="859"/>
      <c r="AQ279" s="859" t="s">
        <v>783</v>
      </c>
      <c r="AR279" s="859"/>
      <c r="AS279" s="840"/>
      <c r="AT279" s="840"/>
      <c r="AU279" s="860"/>
      <c r="AV279" s="839" t="s">
        <v>784</v>
      </c>
      <c r="AW279" s="861">
        <v>44975</v>
      </c>
      <c r="AX279" s="862" t="s">
        <v>785</v>
      </c>
      <c r="AY279" s="843"/>
      <c r="AZ279" s="842"/>
      <c r="BA279" s="842" t="s">
        <v>120</v>
      </c>
      <c r="BB279" s="863" t="s">
        <v>121</v>
      </c>
      <c r="BC279" s="864">
        <v>44975</v>
      </c>
      <c r="BD279" s="860" t="s">
        <v>786</v>
      </c>
      <c r="BE279" s="865" cm="1">
        <f t="array" ref="BE279">IF(BD279="","",AC279/SUMPRODUCT(--(BD279=$BD$4:$BD$12824),$AC$4:$AC$12824))</f>
        <v>6.6835873934776103E-3</v>
      </c>
      <c r="BF279" s="458"/>
      <c r="BG279" s="458"/>
      <c r="BH279" s="458"/>
      <c r="BI279" s="458"/>
      <c r="BJ279" s="458"/>
      <c r="BK279" s="458"/>
      <c r="BL279" s="458"/>
      <c r="BM279" s="458"/>
      <c r="BN279" s="458"/>
      <c r="BO279" s="866">
        <f>VLOOKUP(BD279,$BD$4:$BN$12824,3,0)*BE279</f>
        <v>0</v>
      </c>
      <c r="BP279" s="866"/>
      <c r="BQ279" s="866"/>
      <c r="BR279" s="866">
        <f>VLOOKUP(BD279,$BD$4:$BN$12824,6,0)*BE279</f>
        <v>147183.55548770228</v>
      </c>
      <c r="BS279" s="866">
        <f>VLOOKUP(BD279,$BD$4:$BN$12824,7,0)*BE279</f>
        <v>0</v>
      </c>
      <c r="BT279" s="866"/>
      <c r="BU279" s="866">
        <f>VLOOKUP(BD279,$BD$4:$BN$12824,9,0)*BE279</f>
        <v>0</v>
      </c>
      <c r="BV279" s="867"/>
      <c r="BW279" s="867">
        <f>VLOOKUP(BD279,$BD$4:$BN$12824,11,0)*BE279</f>
        <v>0</v>
      </c>
      <c r="BX279" s="1146">
        <f t="shared" si="46"/>
        <v>147183.55548770228</v>
      </c>
      <c r="BY279" s="867">
        <f t="shared" si="54"/>
        <v>1184218.3555487702</v>
      </c>
      <c r="BZ279" s="867">
        <f t="shared" si="52"/>
        <v>11842183.555487702</v>
      </c>
      <c r="CA279" s="867">
        <f>_xlfn.MAXIFS($BY$4:$BY$12824,$S$4:$S$12824,$S279)</f>
        <v>1184218.3555487702</v>
      </c>
      <c r="CB279" s="1032"/>
      <c r="CC279" s="999" t="s">
        <v>791</v>
      </c>
      <c r="CF279" s="946">
        <f t="shared" si="53"/>
        <v>9356000</v>
      </c>
    </row>
    <row r="280" spans="1:84">
      <c r="A280" s="1032"/>
      <c r="B280" s="839" t="s">
        <v>98</v>
      </c>
      <c r="C280" s="839" t="s">
        <v>131</v>
      </c>
      <c r="D280" s="839" t="s">
        <v>777</v>
      </c>
      <c r="E280" s="839" t="s">
        <v>777</v>
      </c>
      <c r="F280" s="841">
        <v>44939</v>
      </c>
      <c r="G280" s="840" t="s">
        <v>133</v>
      </c>
      <c r="H280" s="842" t="s">
        <v>134</v>
      </c>
      <c r="I280" s="842"/>
      <c r="J280" s="841"/>
      <c r="K280" s="841"/>
      <c r="L280" s="843"/>
      <c r="M280" s="844" t="s">
        <v>417</v>
      </c>
      <c r="N280" s="841"/>
      <c r="O280" s="841" t="s">
        <v>135</v>
      </c>
      <c r="P280" s="841" t="s">
        <v>136</v>
      </c>
      <c r="Q280" s="843"/>
      <c r="R280" s="845" t="s">
        <v>936</v>
      </c>
      <c r="S280" s="1127" t="s">
        <v>937</v>
      </c>
      <c r="T280" s="843" t="s">
        <v>938</v>
      </c>
      <c r="U280" s="842">
        <v>10</v>
      </c>
      <c r="V280" s="842" t="s">
        <v>8</v>
      </c>
      <c r="W280" s="846"/>
      <c r="X280" s="847">
        <f t="shared" si="47"/>
        <v>0</v>
      </c>
      <c r="Y280" s="848"/>
      <c r="Z280" s="849">
        <v>40</v>
      </c>
      <c r="AA280" s="849"/>
      <c r="AB280" s="849">
        <f t="shared" si="48"/>
        <v>400</v>
      </c>
      <c r="AC280" s="850">
        <f t="shared" si="49"/>
        <v>400</v>
      </c>
      <c r="AD280" s="851"/>
      <c r="AE280" s="852">
        <v>23390</v>
      </c>
      <c r="AF280" s="853">
        <v>0.25</v>
      </c>
      <c r="AG280" s="854">
        <f t="shared" si="50"/>
        <v>2339000</v>
      </c>
      <c r="AH280" s="853"/>
      <c r="AI280" s="855">
        <f t="shared" si="51"/>
        <v>0</v>
      </c>
      <c r="AJ280" s="845" t="s">
        <v>781</v>
      </c>
      <c r="AK280" s="857" t="s">
        <v>782</v>
      </c>
      <c r="AL280" s="840"/>
      <c r="AM280" s="840"/>
      <c r="AN280" s="858"/>
      <c r="AO280" s="844" t="s">
        <v>141</v>
      </c>
      <c r="AP280" s="859"/>
      <c r="AQ280" s="859" t="s">
        <v>783</v>
      </c>
      <c r="AR280" s="859"/>
      <c r="AS280" s="840"/>
      <c r="AT280" s="840"/>
      <c r="AU280" s="860"/>
      <c r="AV280" s="839" t="s">
        <v>784</v>
      </c>
      <c r="AW280" s="861">
        <v>44975</v>
      </c>
      <c r="AX280" s="862" t="s">
        <v>785</v>
      </c>
      <c r="AY280" s="843"/>
      <c r="AZ280" s="842"/>
      <c r="BA280" s="842" t="s">
        <v>120</v>
      </c>
      <c r="BB280" s="863" t="s">
        <v>121</v>
      </c>
      <c r="BC280" s="864">
        <v>44975</v>
      </c>
      <c r="BD280" s="860" t="s">
        <v>786</v>
      </c>
      <c r="BE280" s="865" cm="1">
        <f t="array" ref="BE280">IF(BD280="","",AC280/SUMPRODUCT(--(BD280=$BD$4:$BD$12824),$AC$4:$AC$12824))</f>
        <v>6.6835873934776103E-3</v>
      </c>
      <c r="BF280" s="458"/>
      <c r="BG280" s="458"/>
      <c r="BH280" s="458"/>
      <c r="BI280" s="458"/>
      <c r="BJ280" s="458"/>
      <c r="BK280" s="458"/>
      <c r="BL280" s="458"/>
      <c r="BM280" s="458"/>
      <c r="BN280" s="458"/>
      <c r="BO280" s="866">
        <f>VLOOKUP(BD280,$BD$4:$BN$12824,3,0)*BE280</f>
        <v>0</v>
      </c>
      <c r="BP280" s="866"/>
      <c r="BQ280" s="866"/>
      <c r="BR280" s="866">
        <f>VLOOKUP(BD280,$BD$4:$BN$12824,6,0)*BE280</f>
        <v>147183.55548770228</v>
      </c>
      <c r="BS280" s="866">
        <f>VLOOKUP(BD280,$BD$4:$BN$12824,7,0)*BE280</f>
        <v>0</v>
      </c>
      <c r="BT280" s="866"/>
      <c r="BU280" s="866">
        <f>VLOOKUP(BD280,$BD$4:$BN$12824,9,0)*BE280</f>
        <v>0</v>
      </c>
      <c r="BV280" s="867"/>
      <c r="BW280" s="867">
        <f>VLOOKUP(BD280,$BD$4:$BN$12824,11,0)*BE280</f>
        <v>0</v>
      </c>
      <c r="BX280" s="1146">
        <f t="shared" si="46"/>
        <v>147183.55548770228</v>
      </c>
      <c r="BY280" s="867">
        <f t="shared" si="54"/>
        <v>1184218.3555487702</v>
      </c>
      <c r="BZ280" s="867">
        <f t="shared" si="52"/>
        <v>11842183.555487702</v>
      </c>
      <c r="CA280" s="867">
        <f>_xlfn.MAXIFS($BY$4:$BY$12824,$S$4:$S$12824,$S280)</f>
        <v>1184218.3555487702</v>
      </c>
      <c r="CB280" s="1032"/>
      <c r="CC280" s="999" t="s">
        <v>791</v>
      </c>
      <c r="CF280" s="946">
        <f t="shared" si="53"/>
        <v>9356000</v>
      </c>
    </row>
    <row r="281" spans="1:84">
      <c r="A281" s="1032"/>
      <c r="B281" s="839" t="s">
        <v>98</v>
      </c>
      <c r="C281" s="839" t="s">
        <v>131</v>
      </c>
      <c r="D281" s="839" t="s">
        <v>777</v>
      </c>
      <c r="E281" s="839" t="s">
        <v>777</v>
      </c>
      <c r="F281" s="841">
        <v>44939</v>
      </c>
      <c r="G281" s="840" t="s">
        <v>133</v>
      </c>
      <c r="H281" s="842" t="s">
        <v>134</v>
      </c>
      <c r="I281" s="842"/>
      <c r="J281" s="841"/>
      <c r="K281" s="841"/>
      <c r="L281" s="843"/>
      <c r="M281" s="844" t="s">
        <v>417</v>
      </c>
      <c r="N281" s="841"/>
      <c r="O281" s="841" t="s">
        <v>135</v>
      </c>
      <c r="P281" s="841" t="s">
        <v>136</v>
      </c>
      <c r="Q281" s="843"/>
      <c r="R281" s="845" t="s">
        <v>939</v>
      </c>
      <c r="S281" s="1127" t="s">
        <v>940</v>
      </c>
      <c r="T281" s="843" t="s">
        <v>941</v>
      </c>
      <c r="U281" s="842">
        <v>5</v>
      </c>
      <c r="V281" s="842" t="s">
        <v>8</v>
      </c>
      <c r="W281" s="846"/>
      <c r="X281" s="847">
        <f t="shared" si="47"/>
        <v>0</v>
      </c>
      <c r="Y281" s="848"/>
      <c r="Z281" s="849">
        <v>40</v>
      </c>
      <c r="AA281" s="849"/>
      <c r="AB281" s="849">
        <f t="shared" si="48"/>
        <v>200</v>
      </c>
      <c r="AC281" s="850">
        <f t="shared" si="49"/>
        <v>200</v>
      </c>
      <c r="AD281" s="851"/>
      <c r="AE281" s="852">
        <v>23390</v>
      </c>
      <c r="AF281" s="853">
        <v>0.25</v>
      </c>
      <c r="AG281" s="854">
        <f t="shared" si="50"/>
        <v>1169500</v>
      </c>
      <c r="AH281" s="853"/>
      <c r="AI281" s="855">
        <f t="shared" si="51"/>
        <v>0</v>
      </c>
      <c r="AJ281" s="845" t="s">
        <v>781</v>
      </c>
      <c r="AK281" s="857" t="s">
        <v>782</v>
      </c>
      <c r="AL281" s="840"/>
      <c r="AM281" s="840"/>
      <c r="AN281" s="858"/>
      <c r="AO281" s="844" t="s">
        <v>141</v>
      </c>
      <c r="AP281" s="859"/>
      <c r="AQ281" s="859" t="s">
        <v>783</v>
      </c>
      <c r="AR281" s="859"/>
      <c r="AS281" s="840"/>
      <c r="AT281" s="840"/>
      <c r="AU281" s="860"/>
      <c r="AV281" s="839" t="s">
        <v>784</v>
      </c>
      <c r="AW281" s="861">
        <v>44975</v>
      </c>
      <c r="AX281" s="862" t="s">
        <v>785</v>
      </c>
      <c r="AY281" s="843"/>
      <c r="AZ281" s="842"/>
      <c r="BA281" s="842" t="s">
        <v>120</v>
      </c>
      <c r="BB281" s="863" t="s">
        <v>121</v>
      </c>
      <c r="BC281" s="864">
        <v>44975</v>
      </c>
      <c r="BD281" s="860" t="s">
        <v>786</v>
      </c>
      <c r="BE281" s="865" cm="1">
        <f t="array" ref="BE281">IF(BD281="","",AC281/SUMPRODUCT(--(BD281=$BD$4:$BD$12824),$AC$4:$AC$12824))</f>
        <v>3.3417936967388051E-3</v>
      </c>
      <c r="BF281" s="458"/>
      <c r="BG281" s="458"/>
      <c r="BH281" s="458"/>
      <c r="BI281" s="458"/>
      <c r="BJ281" s="458"/>
      <c r="BK281" s="458"/>
      <c r="BL281" s="458"/>
      <c r="BM281" s="458"/>
      <c r="BN281" s="458"/>
      <c r="BO281" s="866">
        <f>VLOOKUP(BD281,$BD$4:$BN$12824,3,0)*BE281</f>
        <v>0</v>
      </c>
      <c r="BP281" s="866"/>
      <c r="BQ281" s="866"/>
      <c r="BR281" s="866">
        <f>VLOOKUP(BD281,$BD$4:$BN$12824,6,0)*BE281</f>
        <v>73591.77774385114</v>
      </c>
      <c r="BS281" s="866">
        <f>VLOOKUP(BD281,$BD$4:$BN$12824,7,0)*BE281</f>
        <v>0</v>
      </c>
      <c r="BT281" s="866"/>
      <c r="BU281" s="866">
        <f>VLOOKUP(BD281,$BD$4:$BN$12824,9,0)*BE281</f>
        <v>0</v>
      </c>
      <c r="BV281" s="867"/>
      <c r="BW281" s="867">
        <f>VLOOKUP(BD281,$BD$4:$BN$12824,11,0)*BE281</f>
        <v>0</v>
      </c>
      <c r="BX281" s="1146">
        <f t="shared" si="46"/>
        <v>73591.77774385114</v>
      </c>
      <c r="BY281" s="867">
        <f t="shared" si="54"/>
        <v>1184218.3555487702</v>
      </c>
      <c r="BZ281" s="867">
        <f t="shared" si="52"/>
        <v>5921091.7777438508</v>
      </c>
      <c r="CA281" s="867">
        <f>_xlfn.MAXIFS($BY$4:$BY$12824,$S$4:$S$12824,$S281)</f>
        <v>1184218.3555487702</v>
      </c>
      <c r="CB281" s="1032"/>
      <c r="CC281" s="999" t="s">
        <v>791</v>
      </c>
      <c r="CF281" s="946">
        <f t="shared" si="53"/>
        <v>4678000</v>
      </c>
    </row>
    <row r="282" spans="1:84">
      <c r="A282" s="1032"/>
      <c r="B282" s="839" t="s">
        <v>98</v>
      </c>
      <c r="C282" s="839" t="s">
        <v>131</v>
      </c>
      <c r="D282" s="839" t="s">
        <v>777</v>
      </c>
      <c r="E282" s="839" t="s">
        <v>777</v>
      </c>
      <c r="F282" s="841">
        <v>44939</v>
      </c>
      <c r="G282" s="840" t="s">
        <v>133</v>
      </c>
      <c r="H282" s="842" t="s">
        <v>134</v>
      </c>
      <c r="I282" s="842"/>
      <c r="J282" s="841"/>
      <c r="K282" s="841"/>
      <c r="L282" s="843"/>
      <c r="M282" s="844" t="s">
        <v>417</v>
      </c>
      <c r="N282" s="841"/>
      <c r="O282" s="841" t="s">
        <v>135</v>
      </c>
      <c r="P282" s="841" t="s">
        <v>136</v>
      </c>
      <c r="Q282" s="843"/>
      <c r="R282" s="845" t="s">
        <v>942</v>
      </c>
      <c r="S282" s="1127" t="s">
        <v>943</v>
      </c>
      <c r="T282" s="843" t="s">
        <v>944</v>
      </c>
      <c r="U282" s="842">
        <v>4</v>
      </c>
      <c r="V282" s="842" t="s">
        <v>8</v>
      </c>
      <c r="W282" s="846"/>
      <c r="X282" s="847">
        <f t="shared" si="47"/>
        <v>0</v>
      </c>
      <c r="Y282" s="848"/>
      <c r="Z282" s="849">
        <v>40</v>
      </c>
      <c r="AA282" s="849"/>
      <c r="AB282" s="849">
        <f t="shared" si="48"/>
        <v>160</v>
      </c>
      <c r="AC282" s="850">
        <f t="shared" si="49"/>
        <v>160</v>
      </c>
      <c r="AD282" s="851"/>
      <c r="AE282" s="852">
        <v>23390</v>
      </c>
      <c r="AF282" s="853">
        <v>0.25</v>
      </c>
      <c r="AG282" s="854">
        <f t="shared" si="50"/>
        <v>935600</v>
      </c>
      <c r="AH282" s="853"/>
      <c r="AI282" s="855">
        <f t="shared" si="51"/>
        <v>0</v>
      </c>
      <c r="AJ282" s="845" t="s">
        <v>781</v>
      </c>
      <c r="AK282" s="857" t="s">
        <v>782</v>
      </c>
      <c r="AL282" s="840"/>
      <c r="AM282" s="840"/>
      <c r="AN282" s="858"/>
      <c r="AO282" s="844" t="s">
        <v>141</v>
      </c>
      <c r="AP282" s="859"/>
      <c r="AQ282" s="859" t="s">
        <v>783</v>
      </c>
      <c r="AR282" s="859"/>
      <c r="AS282" s="840"/>
      <c r="AT282" s="840"/>
      <c r="AU282" s="860"/>
      <c r="AV282" s="839" t="s">
        <v>784</v>
      </c>
      <c r="AW282" s="861">
        <v>44975</v>
      </c>
      <c r="AX282" s="862" t="s">
        <v>785</v>
      </c>
      <c r="AY282" s="843"/>
      <c r="AZ282" s="842"/>
      <c r="BA282" s="842" t="s">
        <v>120</v>
      </c>
      <c r="BB282" s="863" t="s">
        <v>121</v>
      </c>
      <c r="BC282" s="864">
        <v>44975</v>
      </c>
      <c r="BD282" s="860" t="s">
        <v>786</v>
      </c>
      <c r="BE282" s="865" cm="1">
        <f t="array" ref="BE282">IF(BD282="","",AC282/SUMPRODUCT(--(BD282=$BD$4:$BD$12824),$AC$4:$AC$12824))</f>
        <v>2.6734349573910442E-3</v>
      </c>
      <c r="BF282" s="458"/>
      <c r="BG282" s="458"/>
      <c r="BH282" s="458"/>
      <c r="BI282" s="458"/>
      <c r="BJ282" s="458"/>
      <c r="BK282" s="458"/>
      <c r="BL282" s="458"/>
      <c r="BM282" s="458"/>
      <c r="BN282" s="458"/>
      <c r="BO282" s="866">
        <f>VLOOKUP(BD282,$BD$4:$BN$12824,3,0)*BE282</f>
        <v>0</v>
      </c>
      <c r="BP282" s="866"/>
      <c r="BQ282" s="866"/>
      <c r="BR282" s="866">
        <f>VLOOKUP(BD282,$BD$4:$BN$12824,6,0)*BE282</f>
        <v>58873.422195080915</v>
      </c>
      <c r="BS282" s="866">
        <f>VLOOKUP(BD282,$BD$4:$BN$12824,7,0)*BE282</f>
        <v>0</v>
      </c>
      <c r="BT282" s="866"/>
      <c r="BU282" s="866">
        <f>VLOOKUP(BD282,$BD$4:$BN$12824,9,0)*BE282</f>
        <v>0</v>
      </c>
      <c r="BV282" s="867"/>
      <c r="BW282" s="867">
        <f>VLOOKUP(BD282,$BD$4:$BN$12824,11,0)*BE282</f>
        <v>0</v>
      </c>
      <c r="BX282" s="1146">
        <f t="shared" si="46"/>
        <v>58873.422195080915</v>
      </c>
      <c r="BY282" s="867">
        <f t="shared" si="54"/>
        <v>1184218.3555487702</v>
      </c>
      <c r="BZ282" s="867">
        <f t="shared" si="52"/>
        <v>4736873.4221950807</v>
      </c>
      <c r="CA282" s="867">
        <f>_xlfn.MAXIFS($BY$4:$BY$12824,$S$4:$S$12824,$S282)</f>
        <v>1184218.3555487702</v>
      </c>
      <c r="CB282" s="1032"/>
      <c r="CC282" s="999" t="s">
        <v>791</v>
      </c>
      <c r="CF282" s="946">
        <f t="shared" si="53"/>
        <v>3742400</v>
      </c>
    </row>
    <row r="283" spans="1:84">
      <c r="A283" s="1032"/>
      <c r="B283" s="839" t="s">
        <v>98</v>
      </c>
      <c r="C283" s="839" t="s">
        <v>131</v>
      </c>
      <c r="D283" s="839" t="s">
        <v>777</v>
      </c>
      <c r="E283" s="839" t="s">
        <v>777</v>
      </c>
      <c r="F283" s="841">
        <v>44939</v>
      </c>
      <c r="G283" s="840" t="s">
        <v>133</v>
      </c>
      <c r="H283" s="842" t="s">
        <v>134</v>
      </c>
      <c r="I283" s="842"/>
      <c r="J283" s="841"/>
      <c r="K283" s="841"/>
      <c r="L283" s="843"/>
      <c r="M283" s="844" t="s">
        <v>417</v>
      </c>
      <c r="N283" s="841"/>
      <c r="O283" s="841" t="s">
        <v>135</v>
      </c>
      <c r="P283" s="841" t="s">
        <v>136</v>
      </c>
      <c r="Q283" s="843"/>
      <c r="R283" s="845" t="s">
        <v>945</v>
      </c>
      <c r="S283" s="1127" t="s">
        <v>946</v>
      </c>
      <c r="T283" s="843" t="s">
        <v>947</v>
      </c>
      <c r="U283" s="842">
        <v>10</v>
      </c>
      <c r="V283" s="842" t="s">
        <v>8</v>
      </c>
      <c r="W283" s="846"/>
      <c r="X283" s="847">
        <f t="shared" si="47"/>
        <v>0</v>
      </c>
      <c r="Y283" s="848"/>
      <c r="Z283" s="849">
        <v>40</v>
      </c>
      <c r="AA283" s="849"/>
      <c r="AB283" s="849">
        <f t="shared" si="48"/>
        <v>400</v>
      </c>
      <c r="AC283" s="850">
        <f t="shared" si="49"/>
        <v>400</v>
      </c>
      <c r="AD283" s="851"/>
      <c r="AE283" s="852">
        <v>23390</v>
      </c>
      <c r="AF283" s="853">
        <v>0.25</v>
      </c>
      <c r="AG283" s="854">
        <f t="shared" si="50"/>
        <v>2339000</v>
      </c>
      <c r="AH283" s="853"/>
      <c r="AI283" s="855">
        <f t="shared" si="51"/>
        <v>0</v>
      </c>
      <c r="AJ283" s="845" t="s">
        <v>781</v>
      </c>
      <c r="AK283" s="857" t="s">
        <v>782</v>
      </c>
      <c r="AL283" s="840"/>
      <c r="AM283" s="840"/>
      <c r="AN283" s="858"/>
      <c r="AO283" s="844" t="s">
        <v>141</v>
      </c>
      <c r="AP283" s="859"/>
      <c r="AQ283" s="859" t="s">
        <v>783</v>
      </c>
      <c r="AR283" s="859"/>
      <c r="AS283" s="840"/>
      <c r="AT283" s="840"/>
      <c r="AU283" s="860"/>
      <c r="AV283" s="839" t="s">
        <v>784</v>
      </c>
      <c r="AW283" s="861">
        <v>44975</v>
      </c>
      <c r="AX283" s="862" t="s">
        <v>785</v>
      </c>
      <c r="AY283" s="843"/>
      <c r="AZ283" s="842"/>
      <c r="BA283" s="842" t="s">
        <v>120</v>
      </c>
      <c r="BB283" s="863" t="s">
        <v>121</v>
      </c>
      <c r="BC283" s="864">
        <v>44975</v>
      </c>
      <c r="BD283" s="860" t="s">
        <v>786</v>
      </c>
      <c r="BE283" s="865" cm="1">
        <f t="array" ref="BE283">IF(BD283="","",AC283/SUMPRODUCT(--(BD283=$BD$4:$BD$12824),$AC$4:$AC$12824))</f>
        <v>6.6835873934776103E-3</v>
      </c>
      <c r="BF283" s="458"/>
      <c r="BG283" s="458"/>
      <c r="BH283" s="458"/>
      <c r="BI283" s="458"/>
      <c r="BJ283" s="458"/>
      <c r="BK283" s="458"/>
      <c r="BL283" s="458"/>
      <c r="BM283" s="458"/>
      <c r="BN283" s="458"/>
      <c r="BO283" s="866">
        <f>VLOOKUP(BD283,$BD$4:$BN$12824,3,0)*BE283</f>
        <v>0</v>
      </c>
      <c r="BP283" s="866"/>
      <c r="BQ283" s="866"/>
      <c r="BR283" s="866">
        <f>VLOOKUP(BD283,$BD$4:$BN$12824,6,0)*BE283</f>
        <v>147183.55548770228</v>
      </c>
      <c r="BS283" s="866">
        <f>VLOOKUP(BD283,$BD$4:$BN$12824,7,0)*BE283</f>
        <v>0</v>
      </c>
      <c r="BT283" s="866"/>
      <c r="BU283" s="866">
        <f>VLOOKUP(BD283,$BD$4:$BN$12824,9,0)*BE283</f>
        <v>0</v>
      </c>
      <c r="BV283" s="867"/>
      <c r="BW283" s="867">
        <f>VLOOKUP(BD283,$BD$4:$BN$12824,11,0)*BE283</f>
        <v>0</v>
      </c>
      <c r="BX283" s="1146">
        <f t="shared" si="46"/>
        <v>147183.55548770228</v>
      </c>
      <c r="BY283" s="867">
        <f t="shared" si="54"/>
        <v>1184218.3555487702</v>
      </c>
      <c r="BZ283" s="867">
        <f t="shared" si="52"/>
        <v>11842183.555487702</v>
      </c>
      <c r="CA283" s="867">
        <f>_xlfn.MAXIFS($BY$4:$BY$12824,$S$4:$S$12824,$S283)</f>
        <v>1184218.3555487702</v>
      </c>
      <c r="CB283" s="1032"/>
      <c r="CC283" s="999" t="s">
        <v>791</v>
      </c>
      <c r="CF283" s="946">
        <f t="shared" si="53"/>
        <v>9356000</v>
      </c>
    </row>
    <row r="284" spans="1:84">
      <c r="A284" s="1032"/>
      <c r="B284" s="839" t="s">
        <v>98</v>
      </c>
      <c r="C284" s="839" t="s">
        <v>131</v>
      </c>
      <c r="D284" s="839" t="s">
        <v>777</v>
      </c>
      <c r="E284" s="839" t="s">
        <v>777</v>
      </c>
      <c r="F284" s="841">
        <v>44939</v>
      </c>
      <c r="G284" s="840" t="s">
        <v>133</v>
      </c>
      <c r="H284" s="842" t="s">
        <v>134</v>
      </c>
      <c r="I284" s="842"/>
      <c r="J284" s="841"/>
      <c r="K284" s="841"/>
      <c r="L284" s="843"/>
      <c r="M284" s="844" t="s">
        <v>417</v>
      </c>
      <c r="N284" s="841"/>
      <c r="O284" s="841" t="s">
        <v>135</v>
      </c>
      <c r="P284" s="841" t="s">
        <v>136</v>
      </c>
      <c r="Q284" s="843"/>
      <c r="R284" s="845" t="s">
        <v>948</v>
      </c>
      <c r="S284" s="1127" t="s">
        <v>949</v>
      </c>
      <c r="T284" s="843" t="s">
        <v>950</v>
      </c>
      <c r="U284" s="842">
        <v>4</v>
      </c>
      <c r="V284" s="842" t="s">
        <v>8</v>
      </c>
      <c r="W284" s="846"/>
      <c r="X284" s="847">
        <f t="shared" si="47"/>
        <v>0</v>
      </c>
      <c r="Y284" s="848"/>
      <c r="Z284" s="849">
        <v>40</v>
      </c>
      <c r="AA284" s="849"/>
      <c r="AB284" s="849">
        <f t="shared" si="48"/>
        <v>160</v>
      </c>
      <c r="AC284" s="850">
        <f t="shared" si="49"/>
        <v>160</v>
      </c>
      <c r="AD284" s="851"/>
      <c r="AE284" s="852">
        <v>23390</v>
      </c>
      <c r="AF284" s="853">
        <v>0.25</v>
      </c>
      <c r="AG284" s="854">
        <f t="shared" si="50"/>
        <v>935600</v>
      </c>
      <c r="AH284" s="853"/>
      <c r="AI284" s="855">
        <f t="shared" si="51"/>
        <v>0</v>
      </c>
      <c r="AJ284" s="845" t="s">
        <v>781</v>
      </c>
      <c r="AK284" s="857" t="s">
        <v>782</v>
      </c>
      <c r="AL284" s="840"/>
      <c r="AM284" s="840"/>
      <c r="AN284" s="858"/>
      <c r="AO284" s="844" t="s">
        <v>141</v>
      </c>
      <c r="AP284" s="859"/>
      <c r="AQ284" s="859" t="s">
        <v>783</v>
      </c>
      <c r="AR284" s="859"/>
      <c r="AS284" s="840"/>
      <c r="AT284" s="840"/>
      <c r="AU284" s="860"/>
      <c r="AV284" s="839" t="s">
        <v>784</v>
      </c>
      <c r="AW284" s="861">
        <v>44975</v>
      </c>
      <c r="AX284" s="862" t="s">
        <v>785</v>
      </c>
      <c r="AY284" s="843"/>
      <c r="AZ284" s="842"/>
      <c r="BA284" s="842" t="s">
        <v>120</v>
      </c>
      <c r="BB284" s="863" t="s">
        <v>121</v>
      </c>
      <c r="BC284" s="864">
        <v>44975</v>
      </c>
      <c r="BD284" s="860" t="s">
        <v>786</v>
      </c>
      <c r="BE284" s="865" cm="1">
        <f t="array" ref="BE284">IF(BD284="","",AC284/SUMPRODUCT(--(BD284=$BD$4:$BD$12824),$AC$4:$AC$12824))</f>
        <v>2.6734349573910442E-3</v>
      </c>
      <c r="BF284" s="458"/>
      <c r="BG284" s="458"/>
      <c r="BH284" s="458"/>
      <c r="BI284" s="458"/>
      <c r="BJ284" s="458"/>
      <c r="BK284" s="458"/>
      <c r="BL284" s="458"/>
      <c r="BM284" s="458"/>
      <c r="BN284" s="458"/>
      <c r="BO284" s="866">
        <f>VLOOKUP(BD284,$BD$4:$BN$12824,3,0)*BE284</f>
        <v>0</v>
      </c>
      <c r="BP284" s="866"/>
      <c r="BQ284" s="866"/>
      <c r="BR284" s="866">
        <f>VLOOKUP(BD284,$BD$4:$BN$12824,6,0)*BE284</f>
        <v>58873.422195080915</v>
      </c>
      <c r="BS284" s="866">
        <f>VLOOKUP(BD284,$BD$4:$BN$12824,7,0)*BE284</f>
        <v>0</v>
      </c>
      <c r="BT284" s="866"/>
      <c r="BU284" s="866">
        <f>VLOOKUP(BD284,$BD$4:$BN$12824,9,0)*BE284</f>
        <v>0</v>
      </c>
      <c r="BV284" s="867"/>
      <c r="BW284" s="867">
        <f>VLOOKUP(BD284,$BD$4:$BN$12824,11,0)*BE284</f>
        <v>0</v>
      </c>
      <c r="BX284" s="1146">
        <f t="shared" si="46"/>
        <v>58873.422195080915</v>
      </c>
      <c r="BY284" s="867">
        <f t="shared" si="54"/>
        <v>1184218.3555487702</v>
      </c>
      <c r="BZ284" s="867">
        <f t="shared" si="52"/>
        <v>4736873.4221950807</v>
      </c>
      <c r="CA284" s="867">
        <f>_xlfn.MAXIFS($BY$4:$BY$12824,$S$4:$S$12824,$S284)</f>
        <v>1184218.3555487702</v>
      </c>
      <c r="CB284" s="1032"/>
      <c r="CC284" s="999" t="s">
        <v>791</v>
      </c>
      <c r="CF284" s="946">
        <f t="shared" si="53"/>
        <v>3742400</v>
      </c>
    </row>
    <row r="285" spans="1:84">
      <c r="A285" s="1032"/>
      <c r="B285" s="839" t="s">
        <v>98</v>
      </c>
      <c r="C285" s="839" t="s">
        <v>951</v>
      </c>
      <c r="D285" s="839" t="s">
        <v>952</v>
      </c>
      <c r="E285" s="839" t="s">
        <v>952</v>
      </c>
      <c r="F285" s="841">
        <v>44834</v>
      </c>
      <c r="G285" s="840" t="s">
        <v>951</v>
      </c>
      <c r="H285" s="842" t="s">
        <v>134</v>
      </c>
      <c r="I285" s="842"/>
      <c r="J285" s="841"/>
      <c r="K285" s="841"/>
      <c r="L285" s="843"/>
      <c r="M285" s="844" t="s">
        <v>107</v>
      </c>
      <c r="N285" s="841"/>
      <c r="O285" s="841" t="s">
        <v>135</v>
      </c>
      <c r="P285" s="841" t="s">
        <v>220</v>
      </c>
      <c r="Q285" s="843"/>
      <c r="R285" s="845">
        <v>9004</v>
      </c>
      <c r="S285" s="1127" t="s">
        <v>953</v>
      </c>
      <c r="T285" s="843" t="s">
        <v>954</v>
      </c>
      <c r="U285" s="842">
        <v>36</v>
      </c>
      <c r="V285" s="842" t="s">
        <v>3</v>
      </c>
      <c r="W285" s="846"/>
      <c r="X285" s="847">
        <f t="shared" si="47"/>
        <v>0</v>
      </c>
      <c r="Y285" s="848"/>
      <c r="Z285" s="849">
        <v>18.600999999999999</v>
      </c>
      <c r="AA285" s="849"/>
      <c r="AB285" s="849">
        <f t="shared" si="48"/>
        <v>669.63599999999997</v>
      </c>
      <c r="AC285" s="850">
        <f t="shared" si="49"/>
        <v>669.63599999999997</v>
      </c>
      <c r="AD285" s="851"/>
      <c r="AE285" s="852">
        <v>25439.49</v>
      </c>
      <c r="AF285" s="853">
        <v>0.25</v>
      </c>
      <c r="AG285" s="854">
        <f t="shared" si="50"/>
        <v>4374472.1144385086</v>
      </c>
      <c r="AH285" s="853"/>
      <c r="AI285" s="855">
        <f t="shared" si="51"/>
        <v>0</v>
      </c>
      <c r="AJ285" s="845" t="s">
        <v>955</v>
      </c>
      <c r="AK285" s="857" t="s">
        <v>956</v>
      </c>
      <c r="AL285" s="840">
        <v>1060747</v>
      </c>
      <c r="AM285" s="840"/>
      <c r="AN285" s="858"/>
      <c r="AO285" s="844" t="s">
        <v>141</v>
      </c>
      <c r="AP285" s="859"/>
      <c r="AQ285" s="859" t="s">
        <v>957</v>
      </c>
      <c r="AR285" s="859"/>
      <c r="AS285" s="840"/>
      <c r="AT285" s="840"/>
      <c r="AU285" s="860"/>
      <c r="AV285" s="839" t="s">
        <v>958</v>
      </c>
      <c r="AW285" s="861">
        <v>44964</v>
      </c>
      <c r="AX285" s="862" t="s">
        <v>959</v>
      </c>
      <c r="AY285" s="843"/>
      <c r="AZ285" s="842"/>
      <c r="BA285" s="842" t="s">
        <v>120</v>
      </c>
      <c r="BB285" s="863" t="s">
        <v>121</v>
      </c>
      <c r="BC285" s="864">
        <v>44964</v>
      </c>
      <c r="BD285" s="860" t="s">
        <v>960</v>
      </c>
      <c r="BE285" s="865" cm="1">
        <f t="array" ref="BE285">IF(BD285="","",AC285/SUMPRODUCT(--(BD285=$BD$4:$BD$12824),$AC$4:$AC$12824))</f>
        <v>0.15488800829725799</v>
      </c>
      <c r="BF285" s="458">
        <v>2987256</v>
      </c>
      <c r="BG285" s="458"/>
      <c r="BH285" s="458"/>
      <c r="BI285" s="458">
        <v>910140</v>
      </c>
      <c r="BJ285" s="458"/>
      <c r="BK285" s="458"/>
      <c r="BL285" s="458"/>
      <c r="BM285" s="458"/>
      <c r="BN285" s="458"/>
      <c r="BO285" s="866">
        <f>VLOOKUP(BD285,$BD$4:$BN$12824,3,0)*BE285</f>
        <v>462690.13211403374</v>
      </c>
      <c r="BP285" s="866"/>
      <c r="BQ285" s="866"/>
      <c r="BR285" s="866">
        <f>VLOOKUP(BD285,$BD$4:$BN$12824,6,0)*BE285</f>
        <v>140969.77187166639</v>
      </c>
      <c r="BS285" s="866">
        <f>VLOOKUP(BD285,$BD$4:$BN$12824,7,0)*BE285</f>
        <v>0</v>
      </c>
      <c r="BT285" s="866"/>
      <c r="BU285" s="866">
        <f>VLOOKUP(BD285,$BD$4:$BN$12824,9,0)*BE285</f>
        <v>0</v>
      </c>
      <c r="BV285" s="867"/>
      <c r="BW285" s="867">
        <f>VLOOKUP(BD285,$BD$4:$BN$12824,11,0)*BE285</f>
        <v>0</v>
      </c>
      <c r="BX285" s="1146">
        <f t="shared" ref="BX285:BX298" si="55">SUM(BO285:BW285)</f>
        <v>603659.9039857001</v>
      </c>
      <c r="BY285" s="867">
        <f t="shared" si="54"/>
        <v>611481.39844622801</v>
      </c>
      <c r="BZ285" s="867">
        <f t="shared" si="52"/>
        <v>22013330.34406421</v>
      </c>
      <c r="CA285" s="867">
        <f>_xlfn.MAXIFS($BY$4:$BY$12824,$S$4:$S$12824,$S285)</f>
        <v>876359.22669695131</v>
      </c>
      <c r="CB285" s="1032"/>
      <c r="CF285" s="946">
        <f t="shared" si="53"/>
        <v>17035198.32564</v>
      </c>
    </row>
    <row r="286" spans="1:84">
      <c r="A286" s="1032"/>
      <c r="B286" s="839" t="s">
        <v>98</v>
      </c>
      <c r="C286" s="839" t="s">
        <v>951</v>
      </c>
      <c r="D286" s="839" t="s">
        <v>952</v>
      </c>
      <c r="E286" s="839" t="s">
        <v>952</v>
      </c>
      <c r="F286" s="841">
        <v>44834</v>
      </c>
      <c r="G286" s="840" t="s">
        <v>951</v>
      </c>
      <c r="H286" s="842" t="s">
        <v>134</v>
      </c>
      <c r="I286" s="842"/>
      <c r="J286" s="841"/>
      <c r="K286" s="841"/>
      <c r="L286" s="843"/>
      <c r="M286" s="844" t="s">
        <v>107</v>
      </c>
      <c r="N286" s="841"/>
      <c r="O286" s="841" t="s">
        <v>135</v>
      </c>
      <c r="P286" s="841" t="s">
        <v>220</v>
      </c>
      <c r="Q286" s="843"/>
      <c r="R286" s="845">
        <v>9034</v>
      </c>
      <c r="S286" s="1127" t="s">
        <v>961</v>
      </c>
      <c r="T286" s="843" t="s">
        <v>962</v>
      </c>
      <c r="U286" s="842">
        <v>48</v>
      </c>
      <c r="V286" s="842" t="s">
        <v>3</v>
      </c>
      <c r="W286" s="846"/>
      <c r="X286" s="847">
        <f t="shared" si="47"/>
        <v>0</v>
      </c>
      <c r="Y286" s="848"/>
      <c r="Z286" s="849">
        <v>53.038499999999999</v>
      </c>
      <c r="AA286" s="849"/>
      <c r="AB286" s="849">
        <f t="shared" si="48"/>
        <v>2545.848</v>
      </c>
      <c r="AC286" s="850">
        <f t="shared" si="49"/>
        <v>2545.848</v>
      </c>
      <c r="AD286" s="851"/>
      <c r="AE286" s="852">
        <v>25439.49</v>
      </c>
      <c r="AF286" s="853">
        <v>0.25</v>
      </c>
      <c r="AG286" s="854">
        <f t="shared" si="50"/>
        <v>16631036.986659989</v>
      </c>
      <c r="AH286" s="853"/>
      <c r="AI286" s="855">
        <f t="shared" si="51"/>
        <v>0</v>
      </c>
      <c r="AJ286" s="845" t="s">
        <v>955</v>
      </c>
      <c r="AK286" s="857" t="s">
        <v>956</v>
      </c>
      <c r="AL286" s="840">
        <v>1060747</v>
      </c>
      <c r="AM286" s="840"/>
      <c r="AN286" s="858"/>
      <c r="AO286" s="844" t="s">
        <v>141</v>
      </c>
      <c r="AP286" s="859"/>
      <c r="AQ286" s="859" t="s">
        <v>957</v>
      </c>
      <c r="AR286" s="859"/>
      <c r="AS286" s="840"/>
      <c r="AT286" s="840"/>
      <c r="AU286" s="860"/>
      <c r="AV286" s="839" t="s">
        <v>958</v>
      </c>
      <c r="AW286" s="861">
        <v>44964</v>
      </c>
      <c r="AX286" s="862" t="s">
        <v>959</v>
      </c>
      <c r="AY286" s="843"/>
      <c r="AZ286" s="842"/>
      <c r="BA286" s="842" t="s">
        <v>120</v>
      </c>
      <c r="BB286" s="863" t="s">
        <v>121</v>
      </c>
      <c r="BC286" s="864">
        <v>44964</v>
      </c>
      <c r="BD286" s="860" t="s">
        <v>960</v>
      </c>
      <c r="BE286" s="865" cm="1">
        <f t="array" ref="BE286">IF(BD286="","",AC286/SUMPRODUCT(--(BD286=$BD$4:$BD$12824),$AC$4:$AC$12824))</f>
        <v>0.58885921029866628</v>
      </c>
      <c r="BF286" s="458"/>
      <c r="BG286" s="458"/>
      <c r="BH286" s="458"/>
      <c r="BI286" s="458"/>
      <c r="BJ286" s="458"/>
      <c r="BK286" s="458"/>
      <c r="BL286" s="458"/>
      <c r="BM286" s="458"/>
      <c r="BN286" s="458"/>
      <c r="BO286" s="866">
        <f>VLOOKUP(BD286,$BD$4:$BN$12824,3,0)*BE286</f>
        <v>1759073.2091199527</v>
      </c>
      <c r="BP286" s="866"/>
      <c r="BQ286" s="866"/>
      <c r="BR286" s="866">
        <f>VLOOKUP(BD286,$BD$4:$BN$12824,6,0)*BE286</f>
        <v>535944.32166122808</v>
      </c>
      <c r="BS286" s="866">
        <f>VLOOKUP(BD286,$BD$4:$BN$12824,7,0)*BE286</f>
        <v>0</v>
      </c>
      <c r="BT286" s="866"/>
      <c r="BU286" s="866">
        <f>VLOOKUP(BD286,$BD$4:$BN$12824,9,0)*BE286</f>
        <v>0</v>
      </c>
      <c r="BV286" s="867"/>
      <c r="BW286" s="867">
        <f>VLOOKUP(BD286,$BD$4:$BN$12824,11,0)*BE286</f>
        <v>0</v>
      </c>
      <c r="BX286" s="1146">
        <f t="shared" si="55"/>
        <v>2295017.5307811806</v>
      </c>
      <c r="BY286" s="867">
        <f t="shared" si="54"/>
        <v>1743565.192811691</v>
      </c>
      <c r="BZ286" s="867">
        <f t="shared" si="52"/>
        <v>83691129.254961163</v>
      </c>
      <c r="CA286" s="867">
        <f>_xlfn.MAXIFS($BY$4:$BY$12824,$S$4:$S$12824,$S286)</f>
        <v>2500544.9935086346</v>
      </c>
      <c r="CB286" s="1032"/>
      <c r="CF286" s="946">
        <f t="shared" si="53"/>
        <v>64765074.737520002</v>
      </c>
    </row>
    <row r="287" spans="1:84">
      <c r="A287" s="1032"/>
      <c r="B287" s="839" t="s">
        <v>98</v>
      </c>
      <c r="C287" s="839" t="s">
        <v>951</v>
      </c>
      <c r="D287" s="839" t="s">
        <v>952</v>
      </c>
      <c r="E287" s="839" t="s">
        <v>952</v>
      </c>
      <c r="F287" s="841">
        <v>44834</v>
      </c>
      <c r="G287" s="840" t="s">
        <v>951</v>
      </c>
      <c r="H287" s="842" t="s">
        <v>134</v>
      </c>
      <c r="I287" s="842"/>
      <c r="J287" s="841"/>
      <c r="K287" s="841"/>
      <c r="L287" s="843"/>
      <c r="M287" s="844" t="s">
        <v>107</v>
      </c>
      <c r="N287" s="841"/>
      <c r="O287" s="841" t="s">
        <v>135</v>
      </c>
      <c r="P287" s="841" t="s">
        <v>220</v>
      </c>
      <c r="Q287" s="843"/>
      <c r="R287" s="845">
        <v>9037</v>
      </c>
      <c r="S287" s="1127" t="s">
        <v>963</v>
      </c>
      <c r="T287" s="843" t="s">
        <v>964</v>
      </c>
      <c r="U287" s="842">
        <v>4</v>
      </c>
      <c r="V287" s="842" t="s">
        <v>3</v>
      </c>
      <c r="W287" s="846"/>
      <c r="X287" s="847">
        <f t="shared" si="47"/>
        <v>0</v>
      </c>
      <c r="Y287" s="848"/>
      <c r="Z287" s="849">
        <v>53.038499999999999</v>
      </c>
      <c r="AA287" s="849"/>
      <c r="AB287" s="849">
        <f t="shared" si="48"/>
        <v>212.154</v>
      </c>
      <c r="AC287" s="850">
        <f t="shared" si="49"/>
        <v>212.154</v>
      </c>
      <c r="AD287" s="851"/>
      <c r="AE287" s="852">
        <v>25439.49</v>
      </c>
      <c r="AF287" s="853">
        <v>0.25</v>
      </c>
      <c r="AG287" s="854">
        <f t="shared" si="50"/>
        <v>1385919.7488883324</v>
      </c>
      <c r="AH287" s="853"/>
      <c r="AI287" s="855">
        <f t="shared" si="51"/>
        <v>0</v>
      </c>
      <c r="AJ287" s="845" t="s">
        <v>955</v>
      </c>
      <c r="AK287" s="857" t="s">
        <v>956</v>
      </c>
      <c r="AL287" s="840">
        <v>1060747</v>
      </c>
      <c r="AM287" s="840"/>
      <c r="AN287" s="858"/>
      <c r="AO287" s="844" t="s">
        <v>141</v>
      </c>
      <c r="AP287" s="859"/>
      <c r="AQ287" s="859" t="s">
        <v>957</v>
      </c>
      <c r="AR287" s="859"/>
      <c r="AS287" s="840"/>
      <c r="AT287" s="840"/>
      <c r="AU287" s="860"/>
      <c r="AV287" s="839" t="s">
        <v>958</v>
      </c>
      <c r="AW287" s="861">
        <v>44964</v>
      </c>
      <c r="AX287" s="862" t="s">
        <v>959</v>
      </c>
      <c r="AY287" s="843"/>
      <c r="AZ287" s="842"/>
      <c r="BA287" s="842" t="s">
        <v>120</v>
      </c>
      <c r="BB287" s="863" t="s">
        <v>121</v>
      </c>
      <c r="BC287" s="864">
        <v>44964</v>
      </c>
      <c r="BD287" s="860" t="s">
        <v>960</v>
      </c>
      <c r="BE287" s="865" cm="1">
        <f t="array" ref="BE287">IF(BD287="","",AC287/SUMPRODUCT(--(BD287=$BD$4:$BD$12824),$AC$4:$AC$12824))</f>
        <v>4.9071600858222188E-2</v>
      </c>
      <c r="BF287" s="458"/>
      <c r="BG287" s="458"/>
      <c r="BH287" s="458"/>
      <c r="BI287" s="458"/>
      <c r="BJ287" s="458"/>
      <c r="BK287" s="458"/>
      <c r="BL287" s="458"/>
      <c r="BM287" s="458"/>
      <c r="BN287" s="458"/>
      <c r="BO287" s="866">
        <f>VLOOKUP(BD287,$BD$4:$BN$12824,3,0)*BE287</f>
        <v>146589.43409332939</v>
      </c>
      <c r="BP287" s="866"/>
      <c r="BQ287" s="866"/>
      <c r="BR287" s="866">
        <f>VLOOKUP(BD287,$BD$4:$BN$12824,6,0)*BE287</f>
        <v>44662.026805102345</v>
      </c>
      <c r="BS287" s="866">
        <f>VLOOKUP(BD287,$BD$4:$BN$12824,7,0)*BE287</f>
        <v>0</v>
      </c>
      <c r="BT287" s="866"/>
      <c r="BU287" s="866">
        <f>VLOOKUP(BD287,$BD$4:$BN$12824,9,0)*BE287</f>
        <v>0</v>
      </c>
      <c r="BV287" s="867"/>
      <c r="BW287" s="867">
        <f>VLOOKUP(BD287,$BD$4:$BN$12824,11,0)*BE287</f>
        <v>0</v>
      </c>
      <c r="BX287" s="1146">
        <f t="shared" si="55"/>
        <v>191251.46089843172</v>
      </c>
      <c r="BY287" s="867">
        <f t="shared" si="54"/>
        <v>1743565.1928116912</v>
      </c>
      <c r="BZ287" s="867">
        <f t="shared" si="52"/>
        <v>6974260.7712467648</v>
      </c>
      <c r="CA287" s="867">
        <f>_xlfn.MAXIFS($BY$4:$BY$12824,$S$4:$S$12824,$S287)</f>
        <v>1743565.1928116912</v>
      </c>
      <c r="CB287" s="1032"/>
      <c r="CF287" s="946">
        <f t="shared" si="53"/>
        <v>5397089.5614600005</v>
      </c>
    </row>
    <row r="288" spans="1:84">
      <c r="A288" s="1032"/>
      <c r="B288" s="839" t="s">
        <v>98</v>
      </c>
      <c r="C288" s="839" t="s">
        <v>951</v>
      </c>
      <c r="D288" s="839" t="s">
        <v>952</v>
      </c>
      <c r="E288" s="839" t="s">
        <v>952</v>
      </c>
      <c r="F288" s="841">
        <v>44834</v>
      </c>
      <c r="G288" s="840" t="s">
        <v>951</v>
      </c>
      <c r="H288" s="842" t="s">
        <v>134</v>
      </c>
      <c r="I288" s="842"/>
      <c r="J288" s="841"/>
      <c r="K288" s="841"/>
      <c r="L288" s="843"/>
      <c r="M288" s="844" t="s">
        <v>107</v>
      </c>
      <c r="N288" s="841"/>
      <c r="O288" s="841" t="s">
        <v>135</v>
      </c>
      <c r="P288" s="841" t="s">
        <v>220</v>
      </c>
      <c r="Q288" s="843"/>
      <c r="R288" s="845">
        <v>9024</v>
      </c>
      <c r="S288" s="1127" t="s">
        <v>965</v>
      </c>
      <c r="T288" s="843" t="s">
        <v>966</v>
      </c>
      <c r="U288" s="842">
        <v>4</v>
      </c>
      <c r="V288" s="842" t="s">
        <v>3</v>
      </c>
      <c r="W288" s="846"/>
      <c r="X288" s="847">
        <f t="shared" si="47"/>
        <v>0</v>
      </c>
      <c r="Y288" s="848"/>
      <c r="Z288" s="849">
        <v>39.586500000000001</v>
      </c>
      <c r="AA288" s="849"/>
      <c r="AB288" s="849">
        <f t="shared" si="48"/>
        <v>158.346</v>
      </c>
      <c r="AC288" s="850">
        <f t="shared" si="49"/>
        <v>158.346</v>
      </c>
      <c r="AD288" s="851"/>
      <c r="AE288" s="852">
        <v>25439.49</v>
      </c>
      <c r="AF288" s="853">
        <v>0.25</v>
      </c>
      <c r="AG288" s="854">
        <f t="shared" si="50"/>
        <v>1034412.9667952143</v>
      </c>
      <c r="AH288" s="853"/>
      <c r="AI288" s="855">
        <f t="shared" si="51"/>
        <v>0</v>
      </c>
      <c r="AJ288" s="845" t="s">
        <v>955</v>
      </c>
      <c r="AK288" s="857" t="s">
        <v>956</v>
      </c>
      <c r="AL288" s="840">
        <v>1060747</v>
      </c>
      <c r="AM288" s="840"/>
      <c r="AN288" s="858"/>
      <c r="AO288" s="844" t="s">
        <v>141</v>
      </c>
      <c r="AP288" s="859"/>
      <c r="AQ288" s="859" t="s">
        <v>957</v>
      </c>
      <c r="AR288" s="859"/>
      <c r="AS288" s="840"/>
      <c r="AT288" s="840"/>
      <c r="AU288" s="860"/>
      <c r="AV288" s="839" t="s">
        <v>958</v>
      </c>
      <c r="AW288" s="861">
        <v>44964</v>
      </c>
      <c r="AX288" s="862" t="s">
        <v>959</v>
      </c>
      <c r="AY288" s="843"/>
      <c r="AZ288" s="842"/>
      <c r="BA288" s="842" t="s">
        <v>120</v>
      </c>
      <c r="BB288" s="863" t="s">
        <v>121</v>
      </c>
      <c r="BC288" s="864">
        <v>44964</v>
      </c>
      <c r="BD288" s="860" t="s">
        <v>960</v>
      </c>
      <c r="BE288" s="865" cm="1">
        <f t="array" ref="BE288">IF(BD288="","",AC288/SUMPRODUCT(--(BD288=$BD$4:$BD$12824),$AC$4:$AC$12824))</f>
        <v>3.6625713912987974E-2</v>
      </c>
      <c r="BF288" s="458"/>
      <c r="BG288" s="458"/>
      <c r="BH288" s="458"/>
      <c r="BI288" s="458"/>
      <c r="BJ288" s="458"/>
      <c r="BK288" s="458"/>
      <c r="BL288" s="458"/>
      <c r="BM288" s="458"/>
      <c r="BN288" s="458"/>
      <c r="BO288" s="866">
        <f>VLOOKUP(BD288,$BD$4:$BN$12824,3,0)*BE288</f>
        <v>109410.3836408568</v>
      </c>
      <c r="BP288" s="866"/>
      <c r="BQ288" s="866"/>
      <c r="BR288" s="866">
        <f>VLOOKUP(BD288,$BD$4:$BN$12824,6,0)*BE288</f>
        <v>33334.527260766874</v>
      </c>
      <c r="BS288" s="866">
        <f>VLOOKUP(BD288,$BD$4:$BN$12824,7,0)*BE288</f>
        <v>0</v>
      </c>
      <c r="BT288" s="866"/>
      <c r="BU288" s="866">
        <f>VLOOKUP(BD288,$BD$4:$BN$12824,9,0)*BE288</f>
        <v>0</v>
      </c>
      <c r="BV288" s="867"/>
      <c r="BW288" s="867">
        <f>VLOOKUP(BD288,$BD$4:$BN$12824,11,0)*BE288</f>
        <v>0</v>
      </c>
      <c r="BX288" s="1146">
        <f t="shared" si="55"/>
        <v>142744.91090162366</v>
      </c>
      <c r="BY288" s="867">
        <f t="shared" si="54"/>
        <v>1301349.8403092097</v>
      </c>
      <c r="BZ288" s="867">
        <f t="shared" si="52"/>
        <v>5205399.3612368386</v>
      </c>
      <c r="CA288" s="867">
        <f>_xlfn.MAXIFS($BY$4:$BY$12824,$S$4:$S$12824,$S288)</f>
        <v>1301349.8403092097</v>
      </c>
      <c r="CB288" s="1032"/>
      <c r="CF288" s="946">
        <f t="shared" si="53"/>
        <v>4028241.4835400004</v>
      </c>
    </row>
    <row r="289" spans="1:84">
      <c r="A289" s="1032"/>
      <c r="B289" s="839" t="s">
        <v>98</v>
      </c>
      <c r="C289" s="839" t="s">
        <v>951</v>
      </c>
      <c r="D289" s="839" t="s">
        <v>952</v>
      </c>
      <c r="E289" s="839" t="s">
        <v>952</v>
      </c>
      <c r="F289" s="841">
        <v>44834</v>
      </c>
      <c r="G289" s="840" t="s">
        <v>951</v>
      </c>
      <c r="H289" s="842" t="s">
        <v>134</v>
      </c>
      <c r="I289" s="842"/>
      <c r="J289" s="841"/>
      <c r="K289" s="841"/>
      <c r="L289" s="843"/>
      <c r="M289" s="844" t="s">
        <v>107</v>
      </c>
      <c r="N289" s="841"/>
      <c r="O289" s="841" t="s">
        <v>135</v>
      </c>
      <c r="P289" s="841" t="s">
        <v>220</v>
      </c>
      <c r="Q289" s="843"/>
      <c r="R289" s="845">
        <v>9054</v>
      </c>
      <c r="S289" s="1127" t="s">
        <v>967</v>
      </c>
      <c r="T289" s="843" t="s">
        <v>968</v>
      </c>
      <c r="U289" s="842">
        <v>12</v>
      </c>
      <c r="V289" s="842" t="s">
        <v>3</v>
      </c>
      <c r="W289" s="846"/>
      <c r="X289" s="847">
        <f t="shared" si="47"/>
        <v>0</v>
      </c>
      <c r="Y289" s="848"/>
      <c r="Z289" s="849">
        <v>10.6875</v>
      </c>
      <c r="AA289" s="849"/>
      <c r="AB289" s="849">
        <f t="shared" si="48"/>
        <v>128.25</v>
      </c>
      <c r="AC289" s="850">
        <f t="shared" si="49"/>
        <v>128.25</v>
      </c>
      <c r="AD289" s="851"/>
      <c r="AE289" s="852">
        <v>25439.49</v>
      </c>
      <c r="AF289" s="853">
        <v>0.25</v>
      </c>
      <c r="AG289" s="854">
        <f t="shared" si="50"/>
        <v>837807.47850584309</v>
      </c>
      <c r="AH289" s="853"/>
      <c r="AI289" s="855">
        <f t="shared" si="51"/>
        <v>0</v>
      </c>
      <c r="AJ289" s="845" t="s">
        <v>955</v>
      </c>
      <c r="AK289" s="857" t="s">
        <v>956</v>
      </c>
      <c r="AL289" s="840">
        <v>1060747</v>
      </c>
      <c r="AM289" s="840"/>
      <c r="AN289" s="858"/>
      <c r="AO289" s="844" t="s">
        <v>141</v>
      </c>
      <c r="AP289" s="859"/>
      <c r="AQ289" s="859" t="s">
        <v>957</v>
      </c>
      <c r="AR289" s="859"/>
      <c r="AS289" s="840"/>
      <c r="AT289" s="840"/>
      <c r="AU289" s="860"/>
      <c r="AV289" s="839" t="s">
        <v>958</v>
      </c>
      <c r="AW289" s="861">
        <v>44964</v>
      </c>
      <c r="AX289" s="862" t="s">
        <v>959</v>
      </c>
      <c r="AY289" s="843"/>
      <c r="AZ289" s="842"/>
      <c r="BA289" s="842" t="s">
        <v>120</v>
      </c>
      <c r="BB289" s="863" t="s">
        <v>121</v>
      </c>
      <c r="BC289" s="864">
        <v>44964</v>
      </c>
      <c r="BD289" s="860" t="s">
        <v>960</v>
      </c>
      <c r="BE289" s="865" cm="1">
        <f t="array" ref="BE289">IF(BD289="","",AC289/SUMPRODUCT(--(BD289=$BD$4:$BD$12824),$AC$4:$AC$12824))</f>
        <v>2.9664455113111211E-2</v>
      </c>
      <c r="BF289" s="458"/>
      <c r="BG289" s="458"/>
      <c r="BH289" s="458"/>
      <c r="BI289" s="458"/>
      <c r="BJ289" s="458"/>
      <c r="BK289" s="458"/>
      <c r="BL289" s="458"/>
      <c r="BM289" s="458"/>
      <c r="BN289" s="458"/>
      <c r="BO289" s="866">
        <f>VLOOKUP(BD289,$BD$4:$BN$12824,3,0)*BE289</f>
        <v>88615.321523372142</v>
      </c>
      <c r="BP289" s="866"/>
      <c r="BQ289" s="866"/>
      <c r="BR289" s="866">
        <f>VLOOKUP(BD289,$BD$4:$BN$12824,6,0)*BE289</f>
        <v>26998.807176647038</v>
      </c>
      <c r="BS289" s="866">
        <f>VLOOKUP(BD289,$BD$4:$BN$12824,7,0)*BE289</f>
        <v>0</v>
      </c>
      <c r="BT289" s="866"/>
      <c r="BU289" s="866">
        <f>VLOOKUP(BD289,$BD$4:$BN$12824,9,0)*BE289</f>
        <v>0</v>
      </c>
      <c r="BV289" s="867"/>
      <c r="BW289" s="867">
        <f>VLOOKUP(BD289,$BD$4:$BN$12824,11,0)*BE289</f>
        <v>0</v>
      </c>
      <c r="BX289" s="1146">
        <f t="shared" si="55"/>
        <v>115614.12870001918</v>
      </c>
      <c r="BY289" s="867">
        <f t="shared" si="54"/>
        <v>351336.34997548856</v>
      </c>
      <c r="BZ289" s="867">
        <f t="shared" si="52"/>
        <v>4216036.1997058624</v>
      </c>
      <c r="CA289" s="867">
        <f>_xlfn.MAXIFS($BY$4:$BY$12824,$S$4:$S$12824,$S289)</f>
        <v>486866.23705386184</v>
      </c>
      <c r="CB289" s="1032"/>
      <c r="CF289" s="946">
        <f t="shared" si="53"/>
        <v>3262614.5925000003</v>
      </c>
    </row>
    <row r="290" spans="1:84">
      <c r="A290" s="1032"/>
      <c r="B290" s="839" t="s">
        <v>98</v>
      </c>
      <c r="C290" s="839" t="s">
        <v>951</v>
      </c>
      <c r="D290" s="839" t="s">
        <v>952</v>
      </c>
      <c r="E290" s="839" t="s">
        <v>952</v>
      </c>
      <c r="F290" s="841">
        <v>44834</v>
      </c>
      <c r="G290" s="840" t="s">
        <v>951</v>
      </c>
      <c r="H290" s="842" t="s">
        <v>134</v>
      </c>
      <c r="I290" s="842"/>
      <c r="J290" s="841"/>
      <c r="K290" s="841"/>
      <c r="L290" s="843"/>
      <c r="M290" s="844" t="s">
        <v>107</v>
      </c>
      <c r="N290" s="841"/>
      <c r="O290" s="841" t="s">
        <v>135</v>
      </c>
      <c r="P290" s="841" t="s">
        <v>220</v>
      </c>
      <c r="Q290" s="843"/>
      <c r="R290" s="845">
        <v>9044</v>
      </c>
      <c r="S290" s="1127" t="s">
        <v>969</v>
      </c>
      <c r="T290" s="843" t="s">
        <v>970</v>
      </c>
      <c r="U290" s="842">
        <v>2</v>
      </c>
      <c r="V290" s="842" t="s">
        <v>3</v>
      </c>
      <c r="W290" s="846"/>
      <c r="X290" s="847">
        <f t="shared" si="47"/>
        <v>0</v>
      </c>
      <c r="Y290" s="848"/>
      <c r="Z290" s="849">
        <v>57.408999999999999</v>
      </c>
      <c r="AA290" s="849"/>
      <c r="AB290" s="849">
        <f t="shared" si="48"/>
        <v>114.818</v>
      </c>
      <c r="AC290" s="850">
        <f t="shared" si="49"/>
        <v>114.818</v>
      </c>
      <c r="AD290" s="851"/>
      <c r="AE290" s="852">
        <v>25439.49</v>
      </c>
      <c r="AF290" s="853">
        <v>0.25</v>
      </c>
      <c r="AG290" s="854">
        <f t="shared" si="50"/>
        <v>750061.435220927</v>
      </c>
      <c r="AH290" s="853"/>
      <c r="AI290" s="855">
        <f t="shared" si="51"/>
        <v>0</v>
      </c>
      <c r="AJ290" s="845" t="s">
        <v>955</v>
      </c>
      <c r="AK290" s="857" t="s">
        <v>956</v>
      </c>
      <c r="AL290" s="840">
        <v>1060747</v>
      </c>
      <c r="AM290" s="840"/>
      <c r="AN290" s="858"/>
      <c r="AO290" s="844" t="s">
        <v>141</v>
      </c>
      <c r="AP290" s="859"/>
      <c r="AQ290" s="859" t="s">
        <v>957</v>
      </c>
      <c r="AR290" s="859"/>
      <c r="AS290" s="840"/>
      <c r="AT290" s="840"/>
      <c r="AU290" s="860"/>
      <c r="AV290" s="839" t="s">
        <v>958</v>
      </c>
      <c r="AW290" s="861">
        <v>44964</v>
      </c>
      <c r="AX290" s="862" t="s">
        <v>959</v>
      </c>
      <c r="AY290" s="843"/>
      <c r="AZ290" s="842"/>
      <c r="BA290" s="842" t="s">
        <v>120</v>
      </c>
      <c r="BB290" s="863" t="s">
        <v>121</v>
      </c>
      <c r="BC290" s="864">
        <v>44964</v>
      </c>
      <c r="BD290" s="860" t="s">
        <v>960</v>
      </c>
      <c r="BE290" s="865" cm="1">
        <f t="array" ref="BE290">IF(BD290="","",AC290/SUMPRODUCT(--(BD290=$BD$4:$BD$12824),$AC$4:$AC$12824))</f>
        <v>2.6557609412687741E-2</v>
      </c>
      <c r="BF290" s="458"/>
      <c r="BG290" s="458"/>
      <c r="BH290" s="458"/>
      <c r="BI290" s="458"/>
      <c r="BJ290" s="458"/>
      <c r="BK290" s="458"/>
      <c r="BL290" s="458"/>
      <c r="BM290" s="458"/>
      <c r="BN290" s="458"/>
      <c r="BO290" s="866">
        <f>VLOOKUP(BD290,$BD$4:$BN$12824,3,0)*BE290</f>
        <v>79334.378063707933</v>
      </c>
      <c r="BP290" s="866"/>
      <c r="BQ290" s="866"/>
      <c r="BR290" s="866">
        <f>VLOOKUP(BD290,$BD$4:$BN$12824,6,0)*BE290</f>
        <v>24171.142630863622</v>
      </c>
      <c r="BS290" s="866">
        <f>VLOOKUP(BD290,$BD$4:$BN$12824,7,0)*BE290</f>
        <v>0</v>
      </c>
      <c r="BT290" s="866"/>
      <c r="BU290" s="866">
        <f>VLOOKUP(BD290,$BD$4:$BN$12824,9,0)*BE290</f>
        <v>0</v>
      </c>
      <c r="BV290" s="867"/>
      <c r="BW290" s="867">
        <f>VLOOKUP(BD290,$BD$4:$BN$12824,11,0)*BE290</f>
        <v>0</v>
      </c>
      <c r="BX290" s="1146">
        <f t="shared" si="55"/>
        <v>103505.52069457155</v>
      </c>
      <c r="BY290" s="867">
        <f t="shared" si="54"/>
        <v>1887239.1593677492</v>
      </c>
      <c r="BZ290" s="867">
        <f t="shared" si="52"/>
        <v>3774478.3187354985</v>
      </c>
      <c r="CA290" s="867">
        <f>_xlfn.MAXIFS($BY$4:$BY$12824,$S$4:$S$12824,$S290)</f>
        <v>2500544.9935086346</v>
      </c>
      <c r="CB290" s="1032"/>
      <c r="CF290" s="946">
        <f t="shared" si="53"/>
        <v>2920911.3628199999</v>
      </c>
    </row>
    <row r="291" spans="1:84">
      <c r="A291" s="1032"/>
      <c r="B291" s="839" t="s">
        <v>98</v>
      </c>
      <c r="C291" s="839" t="s">
        <v>951</v>
      </c>
      <c r="D291" s="839" t="s">
        <v>952</v>
      </c>
      <c r="E291" s="839" t="s">
        <v>952</v>
      </c>
      <c r="F291" s="841">
        <v>44834</v>
      </c>
      <c r="G291" s="840" t="s">
        <v>951</v>
      </c>
      <c r="H291" s="842" t="s">
        <v>134</v>
      </c>
      <c r="I291" s="842"/>
      <c r="J291" s="841"/>
      <c r="K291" s="841"/>
      <c r="L291" s="843"/>
      <c r="M291" s="844" t="s">
        <v>107</v>
      </c>
      <c r="N291" s="841"/>
      <c r="O291" s="841" t="s">
        <v>135</v>
      </c>
      <c r="P291" s="841" t="s">
        <v>220</v>
      </c>
      <c r="Q291" s="843"/>
      <c r="R291" s="845">
        <v>36001</v>
      </c>
      <c r="S291" s="1127" t="s">
        <v>971</v>
      </c>
      <c r="T291" s="843" t="s">
        <v>972</v>
      </c>
      <c r="U291" s="842">
        <v>12</v>
      </c>
      <c r="V291" s="842" t="s">
        <v>3</v>
      </c>
      <c r="W291" s="846"/>
      <c r="X291" s="847">
        <f t="shared" si="47"/>
        <v>0</v>
      </c>
      <c r="Y291" s="848"/>
      <c r="Z291" s="849">
        <v>5.149</v>
      </c>
      <c r="AA291" s="849"/>
      <c r="AB291" s="849">
        <f t="shared" si="48"/>
        <v>61.787999999999997</v>
      </c>
      <c r="AC291" s="850">
        <f t="shared" si="49"/>
        <v>61.787999999999997</v>
      </c>
      <c r="AD291" s="851"/>
      <c r="AE291" s="852">
        <v>25439.49</v>
      </c>
      <c r="AF291" s="853">
        <v>0.2</v>
      </c>
      <c r="AG291" s="854">
        <f t="shared" si="50"/>
        <v>322909.62016011873</v>
      </c>
      <c r="AH291" s="853"/>
      <c r="AI291" s="855">
        <f t="shared" si="51"/>
        <v>0</v>
      </c>
      <c r="AJ291" s="845" t="s">
        <v>955</v>
      </c>
      <c r="AK291" s="857" t="s">
        <v>956</v>
      </c>
      <c r="AL291" s="840">
        <v>1060747</v>
      </c>
      <c r="AM291" s="840"/>
      <c r="AN291" s="858"/>
      <c r="AO291" s="844" t="s">
        <v>141</v>
      </c>
      <c r="AP291" s="859"/>
      <c r="AQ291" s="859" t="s">
        <v>957</v>
      </c>
      <c r="AR291" s="859"/>
      <c r="AS291" s="840"/>
      <c r="AT291" s="840"/>
      <c r="AU291" s="860"/>
      <c r="AV291" s="839" t="s">
        <v>958</v>
      </c>
      <c r="AW291" s="861">
        <v>44964</v>
      </c>
      <c r="AX291" s="862" t="s">
        <v>959</v>
      </c>
      <c r="AY291" s="843"/>
      <c r="AZ291" s="842"/>
      <c r="BA291" s="842" t="s">
        <v>120</v>
      </c>
      <c r="BB291" s="863" t="s">
        <v>121</v>
      </c>
      <c r="BC291" s="864">
        <v>44964</v>
      </c>
      <c r="BD291" s="860" t="s">
        <v>960</v>
      </c>
      <c r="BE291" s="865" cm="1">
        <f t="array" ref="BE291">IF(BD291="","",AC291/SUMPRODUCT(--(BD291=$BD$4:$BD$12824),$AC$4:$AC$12824))</f>
        <v>1.4291675263383355E-2</v>
      </c>
      <c r="BF291" s="458"/>
      <c r="BG291" s="458"/>
      <c r="BH291" s="458"/>
      <c r="BI291" s="458"/>
      <c r="BJ291" s="458"/>
      <c r="BK291" s="458"/>
      <c r="BL291" s="458"/>
      <c r="BM291" s="458"/>
      <c r="BN291" s="458"/>
      <c r="BO291" s="866">
        <f>VLOOKUP(BD291,$BD$4:$BN$12824,3,0)*BE291</f>
        <v>42692.892680593512</v>
      </c>
      <c r="BP291" s="866"/>
      <c r="BQ291" s="866"/>
      <c r="BR291" s="866">
        <f>VLOOKUP(BD291,$BD$4:$BN$12824,6,0)*BE291</f>
        <v>13007.425324215727</v>
      </c>
      <c r="BS291" s="866">
        <f>VLOOKUP(BD291,$BD$4:$BN$12824,7,0)*BE291</f>
        <v>0</v>
      </c>
      <c r="BT291" s="866"/>
      <c r="BU291" s="866">
        <f>VLOOKUP(BD291,$BD$4:$BN$12824,9,0)*BE291</f>
        <v>0</v>
      </c>
      <c r="BV291" s="867"/>
      <c r="BW291" s="867">
        <f>VLOOKUP(BD291,$BD$4:$BN$12824,11,0)*BE291</f>
        <v>0</v>
      </c>
      <c r="BX291" s="1146">
        <f t="shared" si="55"/>
        <v>55700.31800480924</v>
      </c>
      <c r="BY291" s="867">
        <f t="shared" si="54"/>
        <v>162538.76219041066</v>
      </c>
      <c r="BZ291" s="867">
        <f t="shared" si="52"/>
        <v>1950465.1462849281</v>
      </c>
      <c r="CA291" s="867">
        <f>_xlfn.MAXIFS($BY$4:$BY$12824,$S$4:$S$12824,$S291)</f>
        <v>162538.76219041066</v>
      </c>
      <c r="CB291" s="1032"/>
      <c r="CF291" s="946">
        <f t="shared" si="53"/>
        <v>1571855.2081200001</v>
      </c>
    </row>
    <row r="292" spans="1:84">
      <c r="A292" s="1032"/>
      <c r="B292" s="839" t="s">
        <v>98</v>
      </c>
      <c r="C292" s="839" t="s">
        <v>951</v>
      </c>
      <c r="D292" s="839" t="s">
        <v>952</v>
      </c>
      <c r="E292" s="839" t="s">
        <v>952</v>
      </c>
      <c r="F292" s="841">
        <v>44834</v>
      </c>
      <c r="G292" s="840" t="s">
        <v>951</v>
      </c>
      <c r="H292" s="842" t="s">
        <v>134</v>
      </c>
      <c r="I292" s="842"/>
      <c r="J292" s="841"/>
      <c r="K292" s="841"/>
      <c r="L292" s="843"/>
      <c r="M292" s="844" t="s">
        <v>107</v>
      </c>
      <c r="N292" s="841"/>
      <c r="O292" s="841" t="s">
        <v>135</v>
      </c>
      <c r="P292" s="841" t="s">
        <v>220</v>
      </c>
      <c r="Q292" s="843"/>
      <c r="R292" s="845">
        <v>36007</v>
      </c>
      <c r="S292" s="1127" t="s">
        <v>973</v>
      </c>
      <c r="T292" s="843" t="s">
        <v>974</v>
      </c>
      <c r="U292" s="842">
        <v>12</v>
      </c>
      <c r="V292" s="842" t="s">
        <v>3</v>
      </c>
      <c r="W292" s="846"/>
      <c r="X292" s="847">
        <f t="shared" si="47"/>
        <v>0</v>
      </c>
      <c r="Y292" s="848"/>
      <c r="Z292" s="849">
        <v>5.149</v>
      </c>
      <c r="AA292" s="849"/>
      <c r="AB292" s="849">
        <f t="shared" si="48"/>
        <v>61.787999999999997</v>
      </c>
      <c r="AC292" s="850">
        <f t="shared" si="49"/>
        <v>61.787999999999997</v>
      </c>
      <c r="AD292" s="851"/>
      <c r="AE292" s="852">
        <v>25439.49</v>
      </c>
      <c r="AF292" s="853">
        <v>0.2</v>
      </c>
      <c r="AG292" s="854">
        <f t="shared" si="50"/>
        <v>322909.62016011873</v>
      </c>
      <c r="AH292" s="853"/>
      <c r="AI292" s="855">
        <f t="shared" si="51"/>
        <v>0</v>
      </c>
      <c r="AJ292" s="845" t="s">
        <v>955</v>
      </c>
      <c r="AK292" s="857" t="s">
        <v>956</v>
      </c>
      <c r="AL292" s="840">
        <v>1060747</v>
      </c>
      <c r="AM292" s="840"/>
      <c r="AN292" s="858"/>
      <c r="AO292" s="844" t="s">
        <v>141</v>
      </c>
      <c r="AP292" s="859"/>
      <c r="AQ292" s="859" t="s">
        <v>957</v>
      </c>
      <c r="AR292" s="859"/>
      <c r="AS292" s="840"/>
      <c r="AT292" s="840"/>
      <c r="AU292" s="860"/>
      <c r="AV292" s="839" t="s">
        <v>958</v>
      </c>
      <c r="AW292" s="861">
        <v>44964</v>
      </c>
      <c r="AX292" s="862" t="s">
        <v>959</v>
      </c>
      <c r="AY292" s="843"/>
      <c r="AZ292" s="842"/>
      <c r="BA292" s="842" t="s">
        <v>120</v>
      </c>
      <c r="BB292" s="863" t="s">
        <v>121</v>
      </c>
      <c r="BC292" s="864">
        <v>44964</v>
      </c>
      <c r="BD292" s="860" t="s">
        <v>960</v>
      </c>
      <c r="BE292" s="865" cm="1">
        <f t="array" ref="BE292">IF(BD292="","",AC292/SUMPRODUCT(--(BD292=$BD$4:$BD$12824),$AC$4:$AC$12824))</f>
        <v>1.4291675263383355E-2</v>
      </c>
      <c r="BF292" s="458"/>
      <c r="BG292" s="458"/>
      <c r="BH292" s="458"/>
      <c r="BI292" s="458"/>
      <c r="BJ292" s="458"/>
      <c r="BK292" s="458"/>
      <c r="BL292" s="458"/>
      <c r="BM292" s="458"/>
      <c r="BN292" s="458"/>
      <c r="BO292" s="866">
        <f>VLOOKUP(BD292,$BD$4:$BN$12824,3,0)*BE292</f>
        <v>42692.892680593512</v>
      </c>
      <c r="BP292" s="866"/>
      <c r="BQ292" s="866"/>
      <c r="BR292" s="866">
        <f>VLOOKUP(BD292,$BD$4:$BN$12824,6,0)*BE292</f>
        <v>13007.425324215727</v>
      </c>
      <c r="BS292" s="866">
        <f>VLOOKUP(BD292,$BD$4:$BN$12824,7,0)*BE292</f>
        <v>0</v>
      </c>
      <c r="BT292" s="866"/>
      <c r="BU292" s="866">
        <f>VLOOKUP(BD292,$BD$4:$BN$12824,9,0)*BE292</f>
        <v>0</v>
      </c>
      <c r="BV292" s="867"/>
      <c r="BW292" s="867">
        <f>VLOOKUP(BD292,$BD$4:$BN$12824,11,0)*BE292</f>
        <v>0</v>
      </c>
      <c r="BX292" s="1146">
        <f t="shared" si="55"/>
        <v>55700.31800480924</v>
      </c>
      <c r="BY292" s="867">
        <f t="shared" si="54"/>
        <v>162538.76219041066</v>
      </c>
      <c r="BZ292" s="867">
        <f t="shared" si="52"/>
        <v>1950465.1462849281</v>
      </c>
      <c r="CA292" s="867">
        <f>_xlfn.MAXIFS($BY$4:$BY$12824,$S$4:$S$12824,$S292)</f>
        <v>261753.5801103675</v>
      </c>
      <c r="CB292" s="1032"/>
      <c r="CF292" s="946">
        <f t="shared" si="53"/>
        <v>1571855.2081200001</v>
      </c>
    </row>
    <row r="293" spans="1:84">
      <c r="A293" s="1032"/>
      <c r="B293" s="839" t="s">
        <v>98</v>
      </c>
      <c r="C293" s="839" t="s">
        <v>951</v>
      </c>
      <c r="D293" s="839" t="s">
        <v>952</v>
      </c>
      <c r="E293" s="839" t="s">
        <v>952</v>
      </c>
      <c r="F293" s="841">
        <v>44834</v>
      </c>
      <c r="G293" s="840" t="s">
        <v>951</v>
      </c>
      <c r="H293" s="842" t="s">
        <v>134</v>
      </c>
      <c r="I293" s="842"/>
      <c r="J293" s="841"/>
      <c r="K293" s="841"/>
      <c r="L293" s="843"/>
      <c r="M293" s="844" t="s">
        <v>107</v>
      </c>
      <c r="N293" s="841"/>
      <c r="O293" s="841" t="s">
        <v>135</v>
      </c>
      <c r="P293" s="841" t="s">
        <v>220</v>
      </c>
      <c r="Q293" s="843"/>
      <c r="R293" s="845">
        <v>36011</v>
      </c>
      <c r="S293" s="1127" t="s">
        <v>975</v>
      </c>
      <c r="T293" s="843" t="s">
        <v>976</v>
      </c>
      <c r="U293" s="842">
        <v>12</v>
      </c>
      <c r="V293" s="842" t="s">
        <v>3</v>
      </c>
      <c r="W293" s="846"/>
      <c r="X293" s="847">
        <f t="shared" si="47"/>
        <v>0</v>
      </c>
      <c r="Y293" s="848"/>
      <c r="Z293" s="849">
        <v>5.149</v>
      </c>
      <c r="AA293" s="849"/>
      <c r="AB293" s="849">
        <f t="shared" si="48"/>
        <v>61.787999999999997</v>
      </c>
      <c r="AC293" s="850">
        <f t="shared" si="49"/>
        <v>61.787999999999997</v>
      </c>
      <c r="AD293" s="851"/>
      <c r="AE293" s="852">
        <v>25439.49</v>
      </c>
      <c r="AF293" s="853">
        <v>0.2</v>
      </c>
      <c r="AG293" s="854">
        <f t="shared" si="50"/>
        <v>322909.62016011873</v>
      </c>
      <c r="AH293" s="853"/>
      <c r="AI293" s="855">
        <f t="shared" si="51"/>
        <v>0</v>
      </c>
      <c r="AJ293" s="845" t="s">
        <v>955</v>
      </c>
      <c r="AK293" s="857" t="s">
        <v>956</v>
      </c>
      <c r="AL293" s="840">
        <v>1060747</v>
      </c>
      <c r="AM293" s="840"/>
      <c r="AN293" s="858"/>
      <c r="AO293" s="844" t="s">
        <v>141</v>
      </c>
      <c r="AP293" s="859"/>
      <c r="AQ293" s="859" t="s">
        <v>957</v>
      </c>
      <c r="AR293" s="859"/>
      <c r="AS293" s="840"/>
      <c r="AT293" s="840"/>
      <c r="AU293" s="860"/>
      <c r="AV293" s="839" t="s">
        <v>958</v>
      </c>
      <c r="AW293" s="861">
        <v>44964</v>
      </c>
      <c r="AX293" s="862" t="s">
        <v>959</v>
      </c>
      <c r="AY293" s="843"/>
      <c r="AZ293" s="842"/>
      <c r="BA293" s="842" t="s">
        <v>120</v>
      </c>
      <c r="BB293" s="863" t="s">
        <v>121</v>
      </c>
      <c r="BC293" s="864">
        <v>44964</v>
      </c>
      <c r="BD293" s="860" t="s">
        <v>960</v>
      </c>
      <c r="BE293" s="865" cm="1">
        <f t="array" ref="BE293">IF(BD293="","",AC293/SUMPRODUCT(--(BD293=$BD$4:$BD$12824),$AC$4:$AC$12824))</f>
        <v>1.4291675263383355E-2</v>
      </c>
      <c r="BF293" s="458"/>
      <c r="BG293" s="458"/>
      <c r="BH293" s="458"/>
      <c r="BI293" s="458"/>
      <c r="BJ293" s="458"/>
      <c r="BK293" s="458"/>
      <c r="BL293" s="458"/>
      <c r="BM293" s="458"/>
      <c r="BN293" s="458"/>
      <c r="BO293" s="866">
        <f>VLOOKUP(BD293,$BD$4:$BN$12824,3,0)*BE293</f>
        <v>42692.892680593512</v>
      </c>
      <c r="BP293" s="866"/>
      <c r="BQ293" s="866"/>
      <c r="BR293" s="866">
        <f>VLOOKUP(BD293,$BD$4:$BN$12824,6,0)*BE293</f>
        <v>13007.425324215727</v>
      </c>
      <c r="BS293" s="866">
        <f>VLOOKUP(BD293,$BD$4:$BN$12824,7,0)*BE293</f>
        <v>0</v>
      </c>
      <c r="BT293" s="866"/>
      <c r="BU293" s="866">
        <f>VLOOKUP(BD293,$BD$4:$BN$12824,9,0)*BE293</f>
        <v>0</v>
      </c>
      <c r="BV293" s="867"/>
      <c r="BW293" s="867">
        <f>VLOOKUP(BD293,$BD$4:$BN$12824,11,0)*BE293</f>
        <v>0</v>
      </c>
      <c r="BX293" s="1146">
        <f t="shared" si="55"/>
        <v>55700.31800480924</v>
      </c>
      <c r="BY293" s="867">
        <f t="shared" si="54"/>
        <v>162538.76219041066</v>
      </c>
      <c r="BZ293" s="867">
        <f t="shared" si="52"/>
        <v>1950465.1462849281</v>
      </c>
      <c r="CA293" s="867">
        <f>_xlfn.MAXIFS($BY$4:$BY$12824,$S$4:$S$12824,$S293)</f>
        <v>261753.5801103675</v>
      </c>
      <c r="CB293" s="1032"/>
      <c r="CF293" s="946">
        <f t="shared" si="53"/>
        <v>1571855.2081200001</v>
      </c>
    </row>
    <row r="294" spans="1:84">
      <c r="A294" s="1032"/>
      <c r="B294" s="839" t="s">
        <v>98</v>
      </c>
      <c r="C294" s="839" t="s">
        <v>951</v>
      </c>
      <c r="D294" s="839" t="s">
        <v>952</v>
      </c>
      <c r="E294" s="839" t="s">
        <v>952</v>
      </c>
      <c r="F294" s="841">
        <v>44834</v>
      </c>
      <c r="G294" s="840" t="s">
        <v>951</v>
      </c>
      <c r="H294" s="842" t="s">
        <v>134</v>
      </c>
      <c r="I294" s="842"/>
      <c r="J294" s="841"/>
      <c r="K294" s="841"/>
      <c r="L294" s="843"/>
      <c r="M294" s="844" t="s">
        <v>107</v>
      </c>
      <c r="N294" s="841"/>
      <c r="O294" s="841" t="s">
        <v>135</v>
      </c>
      <c r="P294" s="841" t="s">
        <v>220</v>
      </c>
      <c r="Q294" s="843"/>
      <c r="R294" s="845">
        <v>36013</v>
      </c>
      <c r="S294" s="1127" t="s">
        <v>977</v>
      </c>
      <c r="T294" s="843" t="s">
        <v>978</v>
      </c>
      <c r="U294" s="842">
        <v>12</v>
      </c>
      <c r="V294" s="842" t="s">
        <v>3</v>
      </c>
      <c r="W294" s="846"/>
      <c r="X294" s="847">
        <f t="shared" si="47"/>
        <v>0</v>
      </c>
      <c r="Y294" s="848"/>
      <c r="Z294" s="849">
        <v>5.149</v>
      </c>
      <c r="AA294" s="849"/>
      <c r="AB294" s="849">
        <f t="shared" si="48"/>
        <v>61.787999999999997</v>
      </c>
      <c r="AC294" s="850">
        <f t="shared" si="49"/>
        <v>61.787999999999997</v>
      </c>
      <c r="AD294" s="851"/>
      <c r="AE294" s="852">
        <v>25439.49</v>
      </c>
      <c r="AF294" s="853">
        <v>0.2</v>
      </c>
      <c r="AG294" s="854">
        <f t="shared" si="50"/>
        <v>322909.62016011873</v>
      </c>
      <c r="AH294" s="853"/>
      <c r="AI294" s="855">
        <f t="shared" si="51"/>
        <v>0</v>
      </c>
      <c r="AJ294" s="845" t="s">
        <v>955</v>
      </c>
      <c r="AK294" s="857" t="s">
        <v>956</v>
      </c>
      <c r="AL294" s="840">
        <v>1060747</v>
      </c>
      <c r="AM294" s="840"/>
      <c r="AN294" s="858"/>
      <c r="AO294" s="844" t="s">
        <v>141</v>
      </c>
      <c r="AP294" s="859"/>
      <c r="AQ294" s="859" t="s">
        <v>957</v>
      </c>
      <c r="AR294" s="859"/>
      <c r="AS294" s="840"/>
      <c r="AT294" s="840"/>
      <c r="AU294" s="860"/>
      <c r="AV294" s="839" t="s">
        <v>958</v>
      </c>
      <c r="AW294" s="861">
        <v>44964</v>
      </c>
      <c r="AX294" s="862" t="s">
        <v>959</v>
      </c>
      <c r="AY294" s="843"/>
      <c r="AZ294" s="842"/>
      <c r="BA294" s="842" t="s">
        <v>120</v>
      </c>
      <c r="BB294" s="863" t="s">
        <v>121</v>
      </c>
      <c r="BC294" s="864">
        <v>44964</v>
      </c>
      <c r="BD294" s="860" t="s">
        <v>960</v>
      </c>
      <c r="BE294" s="865" cm="1">
        <f t="array" ref="BE294">IF(BD294="","",AC294/SUMPRODUCT(--(BD294=$BD$4:$BD$12824),$AC$4:$AC$12824))</f>
        <v>1.4291675263383355E-2</v>
      </c>
      <c r="BF294" s="458"/>
      <c r="BG294" s="458"/>
      <c r="BH294" s="458"/>
      <c r="BI294" s="458"/>
      <c r="BJ294" s="458"/>
      <c r="BK294" s="458"/>
      <c r="BL294" s="458"/>
      <c r="BM294" s="458"/>
      <c r="BN294" s="458"/>
      <c r="BO294" s="866">
        <f>VLOOKUP(BD294,$BD$4:$BN$12824,3,0)*BE294</f>
        <v>42692.892680593512</v>
      </c>
      <c r="BP294" s="866"/>
      <c r="BQ294" s="866"/>
      <c r="BR294" s="866">
        <f>VLOOKUP(BD294,$BD$4:$BN$12824,6,0)*BE294</f>
        <v>13007.425324215727</v>
      </c>
      <c r="BS294" s="866">
        <f>VLOOKUP(BD294,$BD$4:$BN$12824,7,0)*BE294</f>
        <v>0</v>
      </c>
      <c r="BT294" s="866"/>
      <c r="BU294" s="866">
        <f>VLOOKUP(BD294,$BD$4:$BN$12824,9,0)*BE294</f>
        <v>0</v>
      </c>
      <c r="BV294" s="867"/>
      <c r="BW294" s="867">
        <f>VLOOKUP(BD294,$BD$4:$BN$12824,11,0)*BE294</f>
        <v>0</v>
      </c>
      <c r="BX294" s="1146">
        <f t="shared" si="55"/>
        <v>55700.31800480924</v>
      </c>
      <c r="BY294" s="867">
        <f t="shared" si="54"/>
        <v>162538.76219041066</v>
      </c>
      <c r="BZ294" s="867">
        <f t="shared" si="52"/>
        <v>1950465.1462849281</v>
      </c>
      <c r="CA294" s="867">
        <f>_xlfn.MAXIFS($BY$4:$BY$12824,$S$4:$S$12824,$S294)</f>
        <v>162538.76219041066</v>
      </c>
      <c r="CB294" s="1032"/>
      <c r="CF294" s="946">
        <f t="shared" si="53"/>
        <v>1571855.2081200001</v>
      </c>
    </row>
    <row r="295" spans="1:84">
      <c r="A295" s="1032"/>
      <c r="B295" s="839" t="s">
        <v>98</v>
      </c>
      <c r="C295" s="839" t="s">
        <v>951</v>
      </c>
      <c r="D295" s="839" t="s">
        <v>952</v>
      </c>
      <c r="E295" s="839" t="s">
        <v>952</v>
      </c>
      <c r="F295" s="841">
        <v>44834</v>
      </c>
      <c r="G295" s="840" t="s">
        <v>951</v>
      </c>
      <c r="H295" s="842" t="s">
        <v>134</v>
      </c>
      <c r="I295" s="842"/>
      <c r="J295" s="841"/>
      <c r="K295" s="841"/>
      <c r="L295" s="843"/>
      <c r="M295" s="844" t="s">
        <v>107</v>
      </c>
      <c r="N295" s="841"/>
      <c r="O295" s="841" t="s">
        <v>135</v>
      </c>
      <c r="P295" s="841" t="s">
        <v>220</v>
      </c>
      <c r="Q295" s="843"/>
      <c r="R295" s="845">
        <v>36014</v>
      </c>
      <c r="S295" s="1127" t="s">
        <v>979</v>
      </c>
      <c r="T295" s="843" t="s">
        <v>980</v>
      </c>
      <c r="U295" s="842">
        <v>12</v>
      </c>
      <c r="V295" s="842" t="s">
        <v>3</v>
      </c>
      <c r="W295" s="846"/>
      <c r="X295" s="847">
        <f t="shared" si="47"/>
        <v>0</v>
      </c>
      <c r="Y295" s="848"/>
      <c r="Z295" s="849">
        <v>5.149</v>
      </c>
      <c r="AA295" s="849"/>
      <c r="AB295" s="849">
        <f t="shared" si="48"/>
        <v>61.787999999999997</v>
      </c>
      <c r="AC295" s="850">
        <f t="shared" si="49"/>
        <v>61.787999999999997</v>
      </c>
      <c r="AD295" s="851"/>
      <c r="AE295" s="852">
        <v>25439.49</v>
      </c>
      <c r="AF295" s="853">
        <v>0.2</v>
      </c>
      <c r="AG295" s="854">
        <f t="shared" si="50"/>
        <v>322909.62016011873</v>
      </c>
      <c r="AH295" s="853"/>
      <c r="AI295" s="855">
        <f t="shared" si="51"/>
        <v>0</v>
      </c>
      <c r="AJ295" s="845" t="s">
        <v>955</v>
      </c>
      <c r="AK295" s="857" t="s">
        <v>956</v>
      </c>
      <c r="AL295" s="840">
        <v>1060747</v>
      </c>
      <c r="AM295" s="840"/>
      <c r="AN295" s="858"/>
      <c r="AO295" s="844" t="s">
        <v>141</v>
      </c>
      <c r="AP295" s="859"/>
      <c r="AQ295" s="859" t="s">
        <v>957</v>
      </c>
      <c r="AR295" s="859"/>
      <c r="AS295" s="840"/>
      <c r="AT295" s="840"/>
      <c r="AU295" s="860"/>
      <c r="AV295" s="839" t="s">
        <v>958</v>
      </c>
      <c r="AW295" s="861">
        <v>44964</v>
      </c>
      <c r="AX295" s="862" t="s">
        <v>959</v>
      </c>
      <c r="AY295" s="843"/>
      <c r="AZ295" s="842"/>
      <c r="BA295" s="842" t="s">
        <v>120</v>
      </c>
      <c r="BB295" s="863" t="s">
        <v>121</v>
      </c>
      <c r="BC295" s="864">
        <v>44964</v>
      </c>
      <c r="BD295" s="860" t="s">
        <v>960</v>
      </c>
      <c r="BE295" s="865" cm="1">
        <f t="array" ref="BE295">IF(BD295="","",AC295/SUMPRODUCT(--(BD295=$BD$4:$BD$12824),$AC$4:$AC$12824))</f>
        <v>1.4291675263383355E-2</v>
      </c>
      <c r="BF295" s="458"/>
      <c r="BG295" s="458"/>
      <c r="BH295" s="458"/>
      <c r="BI295" s="458"/>
      <c r="BJ295" s="458"/>
      <c r="BK295" s="458"/>
      <c r="BL295" s="458"/>
      <c r="BM295" s="458"/>
      <c r="BN295" s="458"/>
      <c r="BO295" s="866">
        <f>VLOOKUP(BD295,$BD$4:$BN$12824,3,0)*BE295</f>
        <v>42692.892680593512</v>
      </c>
      <c r="BP295" s="866"/>
      <c r="BQ295" s="866"/>
      <c r="BR295" s="866">
        <f>VLOOKUP(BD295,$BD$4:$BN$12824,6,0)*BE295</f>
        <v>13007.425324215727</v>
      </c>
      <c r="BS295" s="866">
        <f>VLOOKUP(BD295,$BD$4:$BN$12824,7,0)*BE295</f>
        <v>0</v>
      </c>
      <c r="BT295" s="866"/>
      <c r="BU295" s="866">
        <f>VLOOKUP(BD295,$BD$4:$BN$12824,9,0)*BE295</f>
        <v>0</v>
      </c>
      <c r="BV295" s="867"/>
      <c r="BW295" s="867">
        <f>VLOOKUP(BD295,$BD$4:$BN$12824,11,0)*BE295</f>
        <v>0</v>
      </c>
      <c r="BX295" s="1146">
        <f t="shared" si="55"/>
        <v>55700.31800480924</v>
      </c>
      <c r="BY295" s="867">
        <f t="shared" si="54"/>
        <v>162538.76219041066</v>
      </c>
      <c r="BZ295" s="867">
        <f t="shared" si="52"/>
        <v>1950465.1462849281</v>
      </c>
      <c r="CA295" s="867">
        <f>_xlfn.MAXIFS($BY$4:$BY$12824,$S$4:$S$12824,$S295)</f>
        <v>162538.76219041066</v>
      </c>
      <c r="CB295" s="1032"/>
      <c r="CF295" s="946">
        <f t="shared" si="53"/>
        <v>1571855.2081200001</v>
      </c>
    </row>
    <row r="296" spans="1:84">
      <c r="A296" s="1032"/>
      <c r="B296" s="839" t="s">
        <v>98</v>
      </c>
      <c r="C296" s="839" t="s">
        <v>951</v>
      </c>
      <c r="D296" s="839" t="s">
        <v>952</v>
      </c>
      <c r="E296" s="839" t="s">
        <v>952</v>
      </c>
      <c r="F296" s="841">
        <v>44834</v>
      </c>
      <c r="G296" s="840" t="s">
        <v>951</v>
      </c>
      <c r="H296" s="842" t="s">
        <v>134</v>
      </c>
      <c r="I296" s="842"/>
      <c r="J296" s="841"/>
      <c r="K296" s="841"/>
      <c r="L296" s="843"/>
      <c r="M296" s="844" t="s">
        <v>107</v>
      </c>
      <c r="N296" s="841"/>
      <c r="O296" s="841" t="s">
        <v>135</v>
      </c>
      <c r="P296" s="841" t="s">
        <v>220</v>
      </c>
      <c r="Q296" s="843"/>
      <c r="R296" s="845">
        <v>36018</v>
      </c>
      <c r="S296" s="1127" t="s">
        <v>981</v>
      </c>
      <c r="T296" s="843" t="s">
        <v>982</v>
      </c>
      <c r="U296" s="842">
        <v>12</v>
      </c>
      <c r="V296" s="842" t="s">
        <v>3</v>
      </c>
      <c r="W296" s="846"/>
      <c r="X296" s="847">
        <f t="shared" si="47"/>
        <v>0</v>
      </c>
      <c r="Y296" s="848"/>
      <c r="Z296" s="849">
        <v>5.149</v>
      </c>
      <c r="AA296" s="849"/>
      <c r="AB296" s="849">
        <f t="shared" si="48"/>
        <v>61.787999999999997</v>
      </c>
      <c r="AC296" s="850">
        <f t="shared" si="49"/>
        <v>61.787999999999997</v>
      </c>
      <c r="AD296" s="851"/>
      <c r="AE296" s="852">
        <v>25439.49</v>
      </c>
      <c r="AF296" s="853">
        <v>0.2</v>
      </c>
      <c r="AG296" s="854">
        <f t="shared" si="50"/>
        <v>322909.62016011873</v>
      </c>
      <c r="AH296" s="853"/>
      <c r="AI296" s="855">
        <f t="shared" si="51"/>
        <v>0</v>
      </c>
      <c r="AJ296" s="845" t="s">
        <v>955</v>
      </c>
      <c r="AK296" s="857" t="s">
        <v>956</v>
      </c>
      <c r="AL296" s="840">
        <v>1060747</v>
      </c>
      <c r="AM296" s="840"/>
      <c r="AN296" s="858"/>
      <c r="AO296" s="844" t="s">
        <v>141</v>
      </c>
      <c r="AP296" s="859"/>
      <c r="AQ296" s="859" t="s">
        <v>957</v>
      </c>
      <c r="AR296" s="859"/>
      <c r="AS296" s="840"/>
      <c r="AT296" s="840"/>
      <c r="AU296" s="860"/>
      <c r="AV296" s="839" t="s">
        <v>958</v>
      </c>
      <c r="AW296" s="861">
        <v>44964</v>
      </c>
      <c r="AX296" s="862" t="s">
        <v>959</v>
      </c>
      <c r="AY296" s="843"/>
      <c r="AZ296" s="842"/>
      <c r="BA296" s="842" t="s">
        <v>120</v>
      </c>
      <c r="BB296" s="863" t="s">
        <v>121</v>
      </c>
      <c r="BC296" s="864">
        <v>44964</v>
      </c>
      <c r="BD296" s="860" t="s">
        <v>960</v>
      </c>
      <c r="BE296" s="865" cm="1">
        <f t="array" ref="BE296">IF(BD296="","",AC296/SUMPRODUCT(--(BD296=$BD$4:$BD$12824),$AC$4:$AC$12824))</f>
        <v>1.4291675263383355E-2</v>
      </c>
      <c r="BF296" s="458"/>
      <c r="BG296" s="458"/>
      <c r="BH296" s="458"/>
      <c r="BI296" s="458"/>
      <c r="BJ296" s="458"/>
      <c r="BK296" s="458"/>
      <c r="BL296" s="458"/>
      <c r="BM296" s="458"/>
      <c r="BN296" s="458"/>
      <c r="BO296" s="866">
        <f>VLOOKUP(BD296,$BD$4:$BN$12824,3,0)*BE296</f>
        <v>42692.892680593512</v>
      </c>
      <c r="BP296" s="866"/>
      <c r="BQ296" s="866"/>
      <c r="BR296" s="866">
        <f>VLOOKUP(BD296,$BD$4:$BN$12824,6,0)*BE296</f>
        <v>13007.425324215727</v>
      </c>
      <c r="BS296" s="866">
        <f>VLOOKUP(BD296,$BD$4:$BN$12824,7,0)*BE296</f>
        <v>0</v>
      </c>
      <c r="BT296" s="866"/>
      <c r="BU296" s="866">
        <f>VLOOKUP(BD296,$BD$4:$BN$12824,9,0)*BE296</f>
        <v>0</v>
      </c>
      <c r="BV296" s="867"/>
      <c r="BW296" s="867">
        <f>VLOOKUP(BD296,$BD$4:$BN$12824,11,0)*BE296</f>
        <v>0</v>
      </c>
      <c r="BX296" s="1146">
        <f t="shared" si="55"/>
        <v>55700.31800480924</v>
      </c>
      <c r="BY296" s="867">
        <f t="shared" si="54"/>
        <v>162538.76219041066</v>
      </c>
      <c r="BZ296" s="867">
        <f t="shared" si="52"/>
        <v>1950465.1462849281</v>
      </c>
      <c r="CA296" s="867">
        <f>_xlfn.MAXIFS($BY$4:$BY$12824,$S$4:$S$12824,$S296)</f>
        <v>162538.76219041066</v>
      </c>
      <c r="CB296" s="1032"/>
      <c r="CF296" s="946">
        <f t="shared" si="53"/>
        <v>1571855.2081200001</v>
      </c>
    </row>
    <row r="297" spans="1:84">
      <c r="A297" s="1032"/>
      <c r="B297" s="839" t="s">
        <v>98</v>
      </c>
      <c r="C297" s="839" t="s">
        <v>951</v>
      </c>
      <c r="D297" s="839" t="s">
        <v>952</v>
      </c>
      <c r="E297" s="839" t="s">
        <v>952</v>
      </c>
      <c r="F297" s="841">
        <v>44834</v>
      </c>
      <c r="G297" s="840" t="s">
        <v>951</v>
      </c>
      <c r="H297" s="842" t="s">
        <v>134</v>
      </c>
      <c r="I297" s="842"/>
      <c r="J297" s="841"/>
      <c r="K297" s="841"/>
      <c r="L297" s="843"/>
      <c r="M297" s="844" t="s">
        <v>107</v>
      </c>
      <c r="N297" s="841"/>
      <c r="O297" s="841" t="s">
        <v>135</v>
      </c>
      <c r="P297" s="841" t="s">
        <v>220</v>
      </c>
      <c r="Q297" s="843"/>
      <c r="R297" s="845">
        <v>36020</v>
      </c>
      <c r="S297" s="1127" t="s">
        <v>983</v>
      </c>
      <c r="T297" s="843" t="s">
        <v>984</v>
      </c>
      <c r="U297" s="842">
        <v>12</v>
      </c>
      <c r="V297" s="842" t="s">
        <v>3</v>
      </c>
      <c r="W297" s="846"/>
      <c r="X297" s="847">
        <f t="shared" si="47"/>
        <v>0</v>
      </c>
      <c r="Y297" s="848"/>
      <c r="Z297" s="849">
        <v>5.149</v>
      </c>
      <c r="AA297" s="849"/>
      <c r="AB297" s="849">
        <f t="shared" si="48"/>
        <v>61.787999999999997</v>
      </c>
      <c r="AC297" s="850">
        <f t="shared" si="49"/>
        <v>61.787999999999997</v>
      </c>
      <c r="AD297" s="851"/>
      <c r="AE297" s="852">
        <v>25439.49</v>
      </c>
      <c r="AF297" s="853">
        <v>0.2</v>
      </c>
      <c r="AG297" s="854">
        <f t="shared" si="50"/>
        <v>322909.62016011873</v>
      </c>
      <c r="AH297" s="853"/>
      <c r="AI297" s="855">
        <f t="shared" si="51"/>
        <v>0</v>
      </c>
      <c r="AJ297" s="845" t="s">
        <v>955</v>
      </c>
      <c r="AK297" s="857" t="s">
        <v>956</v>
      </c>
      <c r="AL297" s="840">
        <v>1060747</v>
      </c>
      <c r="AM297" s="840"/>
      <c r="AN297" s="858"/>
      <c r="AO297" s="844" t="s">
        <v>141</v>
      </c>
      <c r="AP297" s="859"/>
      <c r="AQ297" s="859" t="s">
        <v>957</v>
      </c>
      <c r="AR297" s="859"/>
      <c r="AS297" s="840"/>
      <c r="AT297" s="840"/>
      <c r="AU297" s="860"/>
      <c r="AV297" s="839" t="s">
        <v>958</v>
      </c>
      <c r="AW297" s="861">
        <v>44964</v>
      </c>
      <c r="AX297" s="862" t="s">
        <v>959</v>
      </c>
      <c r="AY297" s="843"/>
      <c r="AZ297" s="842"/>
      <c r="BA297" s="842" t="s">
        <v>120</v>
      </c>
      <c r="BB297" s="863" t="s">
        <v>121</v>
      </c>
      <c r="BC297" s="864">
        <v>44964</v>
      </c>
      <c r="BD297" s="860" t="s">
        <v>960</v>
      </c>
      <c r="BE297" s="865" cm="1">
        <f t="array" ref="BE297">IF(BD297="","",AC297/SUMPRODUCT(--(BD297=$BD$4:$BD$12824),$AC$4:$AC$12824))</f>
        <v>1.4291675263383355E-2</v>
      </c>
      <c r="BF297" s="458"/>
      <c r="BG297" s="458"/>
      <c r="BH297" s="458"/>
      <c r="BI297" s="458"/>
      <c r="BJ297" s="458"/>
      <c r="BK297" s="458"/>
      <c r="BL297" s="458"/>
      <c r="BM297" s="458"/>
      <c r="BN297" s="458"/>
      <c r="BO297" s="866">
        <f>VLOOKUP(BD297,$BD$4:$BN$12824,3,0)*BE297</f>
        <v>42692.892680593512</v>
      </c>
      <c r="BP297" s="866"/>
      <c r="BQ297" s="866"/>
      <c r="BR297" s="866">
        <f>VLOOKUP(BD297,$BD$4:$BN$12824,6,0)*BE297</f>
        <v>13007.425324215727</v>
      </c>
      <c r="BS297" s="866">
        <f>VLOOKUP(BD297,$BD$4:$BN$12824,7,0)*BE297</f>
        <v>0</v>
      </c>
      <c r="BT297" s="866"/>
      <c r="BU297" s="866">
        <f>VLOOKUP(BD297,$BD$4:$BN$12824,9,0)*BE297</f>
        <v>0</v>
      </c>
      <c r="BV297" s="867"/>
      <c r="BW297" s="867">
        <f>VLOOKUP(BD297,$BD$4:$BN$12824,11,0)*BE297</f>
        <v>0</v>
      </c>
      <c r="BX297" s="1146">
        <f t="shared" si="55"/>
        <v>55700.31800480924</v>
      </c>
      <c r="BY297" s="867">
        <f t="shared" si="54"/>
        <v>162538.76219041066</v>
      </c>
      <c r="BZ297" s="867">
        <f t="shared" si="52"/>
        <v>1950465.1462849281</v>
      </c>
      <c r="CA297" s="867">
        <f>_xlfn.MAXIFS($BY$4:$BY$12824,$S$4:$S$12824,$S297)</f>
        <v>162538.76219041066</v>
      </c>
      <c r="CB297" s="1032"/>
      <c r="CF297" s="946">
        <f t="shared" si="53"/>
        <v>1571855.2081200001</v>
      </c>
    </row>
    <row r="298" spans="1:84">
      <c r="A298" s="1032"/>
      <c r="B298" s="839" t="s">
        <v>98</v>
      </c>
      <c r="C298" s="839" t="s">
        <v>951</v>
      </c>
      <c r="D298" s="839" t="s">
        <v>952</v>
      </c>
      <c r="E298" s="839" t="s">
        <v>952</v>
      </c>
      <c r="F298" s="841">
        <v>44834</v>
      </c>
      <c r="G298" s="840" t="s">
        <v>951</v>
      </c>
      <c r="H298" s="842" t="s">
        <v>134</v>
      </c>
      <c r="I298" s="842"/>
      <c r="J298" s="841"/>
      <c r="K298" s="841"/>
      <c r="L298" s="843"/>
      <c r="M298" s="844" t="s">
        <v>107</v>
      </c>
      <c r="N298" s="841"/>
      <c r="O298" s="841" t="s">
        <v>135</v>
      </c>
      <c r="P298" s="841" t="s">
        <v>220</v>
      </c>
      <c r="Q298" s="843"/>
      <c r="R298" s="845" t="s">
        <v>985</v>
      </c>
      <c r="S298" s="1127" t="s">
        <v>986</v>
      </c>
      <c r="T298" s="843" t="s">
        <v>987</v>
      </c>
      <c r="U298" s="842">
        <v>12</v>
      </c>
      <c r="V298" s="842" t="s">
        <v>3</v>
      </c>
      <c r="W298" s="846"/>
      <c r="X298" s="847">
        <f t="shared" si="47"/>
        <v>0</v>
      </c>
      <c r="Y298" s="848"/>
      <c r="Z298" s="849">
        <v>5.149</v>
      </c>
      <c r="AA298" s="849"/>
      <c r="AB298" s="849">
        <f t="shared" si="48"/>
        <v>61.787999999999997</v>
      </c>
      <c r="AC298" s="850">
        <f t="shared" si="49"/>
        <v>61.787999999999997</v>
      </c>
      <c r="AD298" s="851"/>
      <c r="AE298" s="852">
        <v>25439.49</v>
      </c>
      <c r="AF298" s="853">
        <v>0.2</v>
      </c>
      <c r="AG298" s="854">
        <f t="shared" si="50"/>
        <v>322909.62016011873</v>
      </c>
      <c r="AH298" s="853"/>
      <c r="AI298" s="855">
        <f t="shared" si="51"/>
        <v>0</v>
      </c>
      <c r="AJ298" s="845" t="s">
        <v>955</v>
      </c>
      <c r="AK298" s="857" t="s">
        <v>956</v>
      </c>
      <c r="AL298" s="840">
        <v>1060747</v>
      </c>
      <c r="AM298" s="840"/>
      <c r="AN298" s="858"/>
      <c r="AO298" s="844" t="s">
        <v>141</v>
      </c>
      <c r="AP298" s="859"/>
      <c r="AQ298" s="859" t="s">
        <v>957</v>
      </c>
      <c r="AR298" s="859"/>
      <c r="AS298" s="840"/>
      <c r="AT298" s="840"/>
      <c r="AU298" s="860"/>
      <c r="AV298" s="839" t="s">
        <v>958</v>
      </c>
      <c r="AW298" s="861">
        <v>44964</v>
      </c>
      <c r="AX298" s="862" t="s">
        <v>959</v>
      </c>
      <c r="AY298" s="843"/>
      <c r="AZ298" s="842"/>
      <c r="BA298" s="842" t="s">
        <v>120</v>
      </c>
      <c r="BB298" s="863" t="s">
        <v>121</v>
      </c>
      <c r="BC298" s="864">
        <v>44964</v>
      </c>
      <c r="BD298" s="860" t="s">
        <v>960</v>
      </c>
      <c r="BE298" s="865" cm="1">
        <f t="array" ref="BE298">IF(BD298="","",AC298/SUMPRODUCT(--(BD298=$BD$4:$BD$12824),$AC$4:$AC$12824))</f>
        <v>1.4291675263383355E-2</v>
      </c>
      <c r="BF298" s="458"/>
      <c r="BG298" s="458"/>
      <c r="BH298" s="458"/>
      <c r="BI298" s="458"/>
      <c r="BJ298" s="458"/>
      <c r="BK298" s="458"/>
      <c r="BL298" s="458"/>
      <c r="BM298" s="458"/>
      <c r="BN298" s="458"/>
      <c r="BO298" s="866">
        <f>VLOOKUP(BD298,$BD$4:$BN$12824,3,0)*BE298</f>
        <v>42692.892680593512</v>
      </c>
      <c r="BP298" s="866"/>
      <c r="BQ298" s="866"/>
      <c r="BR298" s="866">
        <f>VLOOKUP(BD298,$BD$4:$BN$12824,6,0)*BE298</f>
        <v>13007.425324215727</v>
      </c>
      <c r="BS298" s="866">
        <f>VLOOKUP(BD298,$BD$4:$BN$12824,7,0)*BE298</f>
        <v>0</v>
      </c>
      <c r="BT298" s="866"/>
      <c r="BU298" s="866">
        <f>VLOOKUP(BD298,$BD$4:$BN$12824,9,0)*BE298</f>
        <v>0</v>
      </c>
      <c r="BV298" s="867"/>
      <c r="BW298" s="867">
        <f>VLOOKUP(BD298,$BD$4:$BN$12824,11,0)*BE298</f>
        <v>0</v>
      </c>
      <c r="BX298" s="1146">
        <f t="shared" si="55"/>
        <v>55700.31800480924</v>
      </c>
      <c r="BY298" s="867">
        <f t="shared" si="54"/>
        <v>162538.76219041066</v>
      </c>
      <c r="BZ298" s="867">
        <f t="shared" si="52"/>
        <v>1950465.1462849281</v>
      </c>
      <c r="CA298" s="867">
        <f>_xlfn.MAXIFS($BY$4:$BY$12824,$S$4:$S$12824,$S298)</f>
        <v>162538.76219041066</v>
      </c>
      <c r="CB298" s="1032"/>
      <c r="CF298" s="946">
        <f t="shared" si="53"/>
        <v>1571855.2081200001</v>
      </c>
    </row>
    <row r="299" spans="1:84">
      <c r="A299" s="1032"/>
      <c r="B299" s="839" t="s">
        <v>98</v>
      </c>
      <c r="C299" s="840" t="s">
        <v>99</v>
      </c>
      <c r="D299" s="839" t="s">
        <v>988</v>
      </c>
      <c r="E299" s="839" t="s">
        <v>988</v>
      </c>
      <c r="F299" s="841">
        <v>44741</v>
      </c>
      <c r="G299" s="840" t="s">
        <v>101</v>
      </c>
      <c r="H299" s="842" t="s">
        <v>134</v>
      </c>
      <c r="I299" s="842"/>
      <c r="J299" s="841"/>
      <c r="K299" s="841"/>
      <c r="L299" s="843"/>
      <c r="M299" s="844" t="s">
        <v>107</v>
      </c>
      <c r="N299" s="841"/>
      <c r="O299" s="841" t="s">
        <v>108</v>
      </c>
      <c r="P299" s="841" t="s">
        <v>109</v>
      </c>
      <c r="Q299" s="843" t="s">
        <v>989</v>
      </c>
      <c r="R299" s="845" t="s">
        <v>990</v>
      </c>
      <c r="S299" s="1127" t="s">
        <v>991</v>
      </c>
      <c r="T299" s="843" t="s">
        <v>992</v>
      </c>
      <c r="U299" s="842">
        <v>1</v>
      </c>
      <c r="V299" s="842" t="s">
        <v>3</v>
      </c>
      <c r="W299" s="846"/>
      <c r="X299" s="847">
        <f t="shared" si="47"/>
        <v>0</v>
      </c>
      <c r="Y299" s="848"/>
      <c r="Z299" s="849">
        <v>1680</v>
      </c>
      <c r="AA299" s="849"/>
      <c r="AB299" s="849">
        <f t="shared" si="48"/>
        <v>1680</v>
      </c>
      <c r="AC299" s="850">
        <f t="shared" si="49"/>
        <v>1680</v>
      </c>
      <c r="AD299" s="851"/>
      <c r="AE299" s="852">
        <v>25439.49</v>
      </c>
      <c r="AF299" s="853">
        <v>0</v>
      </c>
      <c r="AG299" s="854">
        <f t="shared" si="50"/>
        <v>0</v>
      </c>
      <c r="AH299" s="853"/>
      <c r="AI299" s="855">
        <f t="shared" si="51"/>
        <v>0</v>
      </c>
      <c r="AJ299" s="845" t="s">
        <v>993</v>
      </c>
      <c r="AK299" s="857" t="s">
        <v>994</v>
      </c>
      <c r="AL299" s="840"/>
      <c r="AM299" s="840"/>
      <c r="AN299" s="858"/>
      <c r="AO299" s="844" t="s">
        <v>141</v>
      </c>
      <c r="AP299" s="859"/>
      <c r="AQ299" s="859" t="s">
        <v>957</v>
      </c>
      <c r="AR299" s="859"/>
      <c r="AS299" s="840"/>
      <c r="AT299" s="840"/>
      <c r="AU299" s="860"/>
      <c r="AV299" s="839" t="s">
        <v>995</v>
      </c>
      <c r="AW299" s="861">
        <v>44964</v>
      </c>
      <c r="AX299" s="862" t="s">
        <v>959</v>
      </c>
      <c r="AY299" s="843"/>
      <c r="AZ299" s="842"/>
      <c r="BA299" s="842" t="s">
        <v>120</v>
      </c>
      <c r="BB299" s="863" t="s">
        <v>121</v>
      </c>
      <c r="BC299" s="864">
        <v>44964</v>
      </c>
      <c r="BD299" s="860" t="s">
        <v>996</v>
      </c>
      <c r="BE299" s="865" cm="1">
        <f t="array" ref="BE299">IF(BD299="","",AC299/SUMPRODUCT(--(BD299=$BD$4:$BD$12824),$AC$4:$AC$12824))</f>
        <v>0.1345119139123751</v>
      </c>
      <c r="BF299" s="458">
        <v>20832180</v>
      </c>
      <c r="BG299" s="458"/>
      <c r="BH299" s="458"/>
      <c r="BI299" s="458">
        <v>910140</v>
      </c>
      <c r="BJ299" s="458"/>
      <c r="BK299" s="458"/>
      <c r="BL299" s="458"/>
      <c r="BM299" s="458"/>
      <c r="BN299" s="458"/>
      <c r="BO299" s="866">
        <f>VLOOKUP(BD299,$BD$4:$BN$12824,3,0)*BE299</f>
        <v>2802176.4027671022</v>
      </c>
      <c r="BP299" s="866"/>
      <c r="BQ299" s="866"/>
      <c r="BR299" s="866">
        <f>VLOOKUP(BD299,$BD$4:$BN$12824,6,0)*BE299</f>
        <v>122424.67332820907</v>
      </c>
      <c r="BS299" s="866">
        <f>VLOOKUP(BD299,$BD$4:$BN$12824,7,0)*BE299</f>
        <v>0</v>
      </c>
      <c r="BT299" s="866"/>
      <c r="BU299" s="866">
        <f>VLOOKUP(BD299,$BD$4:$BN$12824,9,0)*BE299</f>
        <v>0</v>
      </c>
      <c r="BV299" s="867"/>
      <c r="BW299" s="867">
        <f>VLOOKUP(BD299,$BD$4:$BN$12824,11,0)*BE299</f>
        <v>0</v>
      </c>
      <c r="BX299" s="1146">
        <f t="shared" ref="BX299:BX305" si="56">SUM(BO299:BW299)</f>
        <v>2924601.0760953114</v>
      </c>
      <c r="BY299" s="867">
        <f t="shared" si="54"/>
        <v>45662944.276095316</v>
      </c>
      <c r="BZ299" s="867">
        <f t="shared" si="52"/>
        <v>45662944.276095316</v>
      </c>
      <c r="CA299" s="867">
        <f>_xlfn.MAXIFS($BY$4:$BY$12824,$S$4:$S$12824,$S299)</f>
        <v>45662944.276095316</v>
      </c>
      <c r="CB299" s="1032"/>
      <c r="CF299" s="946">
        <f t="shared" si="53"/>
        <v>42738343.200000003</v>
      </c>
    </row>
    <row r="300" spans="1:84">
      <c r="A300" s="1032"/>
      <c r="B300" s="839" t="s">
        <v>98</v>
      </c>
      <c r="C300" s="840" t="s">
        <v>99</v>
      </c>
      <c r="D300" s="839" t="s">
        <v>988</v>
      </c>
      <c r="E300" s="839" t="s">
        <v>988</v>
      </c>
      <c r="F300" s="841">
        <v>44741</v>
      </c>
      <c r="G300" s="840" t="s">
        <v>101</v>
      </c>
      <c r="H300" s="842" t="s">
        <v>134</v>
      </c>
      <c r="I300" s="842"/>
      <c r="J300" s="841"/>
      <c r="K300" s="841"/>
      <c r="L300" s="843"/>
      <c r="M300" s="844" t="s">
        <v>107</v>
      </c>
      <c r="N300" s="841"/>
      <c r="O300" s="841" t="s">
        <v>108</v>
      </c>
      <c r="P300" s="841" t="s">
        <v>109</v>
      </c>
      <c r="Q300" s="843" t="s">
        <v>997</v>
      </c>
      <c r="R300" s="845" t="s">
        <v>998</v>
      </c>
      <c r="S300" s="1127" t="s">
        <v>999</v>
      </c>
      <c r="T300" s="843" t="s">
        <v>1000</v>
      </c>
      <c r="U300" s="842">
        <v>1</v>
      </c>
      <c r="V300" s="842" t="s">
        <v>3</v>
      </c>
      <c r="W300" s="846"/>
      <c r="X300" s="847">
        <f t="shared" si="47"/>
        <v>0</v>
      </c>
      <c r="Y300" s="848"/>
      <c r="Z300" s="849">
        <v>493.5</v>
      </c>
      <c r="AA300" s="849"/>
      <c r="AB300" s="849">
        <f t="shared" si="48"/>
        <v>493.5</v>
      </c>
      <c r="AC300" s="850">
        <f t="shared" si="49"/>
        <v>493.5</v>
      </c>
      <c r="AD300" s="851"/>
      <c r="AE300" s="852">
        <v>25439.49</v>
      </c>
      <c r="AF300" s="853">
        <v>0</v>
      </c>
      <c r="AG300" s="854">
        <f t="shared" si="50"/>
        <v>0</v>
      </c>
      <c r="AH300" s="853"/>
      <c r="AI300" s="855">
        <f t="shared" si="51"/>
        <v>0</v>
      </c>
      <c r="AJ300" s="845" t="s">
        <v>993</v>
      </c>
      <c r="AK300" s="857" t="s">
        <v>994</v>
      </c>
      <c r="AL300" s="840"/>
      <c r="AM300" s="840"/>
      <c r="AN300" s="858"/>
      <c r="AO300" s="844" t="s">
        <v>141</v>
      </c>
      <c r="AP300" s="859"/>
      <c r="AQ300" s="859" t="s">
        <v>957</v>
      </c>
      <c r="AR300" s="859"/>
      <c r="AS300" s="840"/>
      <c r="AT300" s="840"/>
      <c r="AU300" s="860"/>
      <c r="AV300" s="839" t="s">
        <v>995</v>
      </c>
      <c r="AW300" s="861">
        <v>44964</v>
      </c>
      <c r="AX300" s="862" t="s">
        <v>959</v>
      </c>
      <c r="AY300" s="843"/>
      <c r="AZ300" s="842"/>
      <c r="BA300" s="842" t="s">
        <v>120</v>
      </c>
      <c r="BB300" s="863" t="s">
        <v>121</v>
      </c>
      <c r="BC300" s="864">
        <v>44964</v>
      </c>
      <c r="BD300" s="860" t="s">
        <v>996</v>
      </c>
      <c r="BE300" s="865" cm="1">
        <f t="array" ref="BE300">IF(BD300="","",AC300/SUMPRODUCT(--(BD300=$BD$4:$BD$12824),$AC$4:$AC$12824))</f>
        <v>3.9512874711760182E-2</v>
      </c>
      <c r="BF300" s="458"/>
      <c r="BG300" s="458"/>
      <c r="BH300" s="458"/>
      <c r="BI300" s="458"/>
      <c r="BJ300" s="458"/>
      <c r="BK300" s="458"/>
      <c r="BL300" s="458"/>
      <c r="BM300" s="458"/>
      <c r="BN300" s="458"/>
      <c r="BO300" s="866">
        <f>VLOOKUP(BD300,$BD$4:$BN$12824,3,0)*BE300</f>
        <v>823139.31831283623</v>
      </c>
      <c r="BP300" s="866"/>
      <c r="BQ300" s="866"/>
      <c r="BR300" s="866">
        <f>VLOOKUP(BD300,$BD$4:$BN$12824,6,0)*BE300</f>
        <v>35962.247790161411</v>
      </c>
      <c r="BS300" s="866">
        <f>VLOOKUP(BD300,$BD$4:$BN$12824,7,0)*BE300</f>
        <v>0</v>
      </c>
      <c r="BT300" s="866"/>
      <c r="BU300" s="866">
        <f>VLOOKUP(BD300,$BD$4:$BN$12824,9,0)*BE300</f>
        <v>0</v>
      </c>
      <c r="BV300" s="867"/>
      <c r="BW300" s="867">
        <f>VLOOKUP(BD300,$BD$4:$BN$12824,11,0)*BE300</f>
        <v>0</v>
      </c>
      <c r="BX300" s="1146">
        <f t="shared" si="56"/>
        <v>859101.56610299763</v>
      </c>
      <c r="BY300" s="867">
        <f t="shared" si="54"/>
        <v>13413489.881103</v>
      </c>
      <c r="BZ300" s="867">
        <f t="shared" si="52"/>
        <v>13413489.881103</v>
      </c>
      <c r="CA300" s="867">
        <f>_xlfn.MAXIFS($BY$4:$BY$12824,$S$4:$S$12824,$S300)</f>
        <v>13413489.881103</v>
      </c>
      <c r="CB300" s="1032"/>
      <c r="CF300" s="946">
        <f t="shared" si="53"/>
        <v>12554388.315000001</v>
      </c>
    </row>
    <row r="301" spans="1:84">
      <c r="A301" s="1032"/>
      <c r="B301" s="839" t="s">
        <v>98</v>
      </c>
      <c r="C301" s="840" t="s">
        <v>99</v>
      </c>
      <c r="D301" s="839" t="s">
        <v>988</v>
      </c>
      <c r="E301" s="839" t="s">
        <v>988</v>
      </c>
      <c r="F301" s="841">
        <v>44741</v>
      </c>
      <c r="G301" s="840" t="s">
        <v>101</v>
      </c>
      <c r="H301" s="842" t="s">
        <v>134</v>
      </c>
      <c r="I301" s="842"/>
      <c r="J301" s="841"/>
      <c r="K301" s="841"/>
      <c r="L301" s="843"/>
      <c r="M301" s="844" t="s">
        <v>107</v>
      </c>
      <c r="N301" s="841"/>
      <c r="O301" s="841" t="s">
        <v>108</v>
      </c>
      <c r="P301" s="841" t="s">
        <v>109</v>
      </c>
      <c r="Q301" s="843" t="s">
        <v>997</v>
      </c>
      <c r="R301" s="845" t="s">
        <v>1001</v>
      </c>
      <c r="S301" s="1127" t="s">
        <v>1002</v>
      </c>
      <c r="T301" s="843" t="s">
        <v>1003</v>
      </c>
      <c r="U301" s="842">
        <v>4</v>
      </c>
      <c r="V301" s="842" t="s">
        <v>3</v>
      </c>
      <c r="W301" s="846"/>
      <c r="X301" s="847">
        <f t="shared" si="47"/>
        <v>0</v>
      </c>
      <c r="Y301" s="848"/>
      <c r="Z301" s="849">
        <v>304.5</v>
      </c>
      <c r="AA301" s="849"/>
      <c r="AB301" s="849">
        <f t="shared" si="48"/>
        <v>1218</v>
      </c>
      <c r="AC301" s="850">
        <f t="shared" si="49"/>
        <v>1218</v>
      </c>
      <c r="AD301" s="851"/>
      <c r="AE301" s="852">
        <v>25439.49</v>
      </c>
      <c r="AF301" s="853">
        <v>0</v>
      </c>
      <c r="AG301" s="854">
        <f t="shared" si="50"/>
        <v>0</v>
      </c>
      <c r="AH301" s="853"/>
      <c r="AI301" s="855">
        <f t="shared" si="51"/>
        <v>0</v>
      </c>
      <c r="AJ301" s="845" t="s">
        <v>993</v>
      </c>
      <c r="AK301" s="857" t="s">
        <v>994</v>
      </c>
      <c r="AL301" s="840"/>
      <c r="AM301" s="840"/>
      <c r="AN301" s="858"/>
      <c r="AO301" s="844" t="s">
        <v>141</v>
      </c>
      <c r="AP301" s="859"/>
      <c r="AQ301" s="859" t="s">
        <v>957</v>
      </c>
      <c r="AR301" s="859"/>
      <c r="AS301" s="840"/>
      <c r="AT301" s="840"/>
      <c r="AU301" s="860"/>
      <c r="AV301" s="839" t="s">
        <v>995</v>
      </c>
      <c r="AW301" s="861">
        <v>44964</v>
      </c>
      <c r="AX301" s="862" t="s">
        <v>959</v>
      </c>
      <c r="AY301" s="843"/>
      <c r="AZ301" s="842"/>
      <c r="BA301" s="842" t="s">
        <v>120</v>
      </c>
      <c r="BB301" s="863" t="s">
        <v>121</v>
      </c>
      <c r="BC301" s="864">
        <v>44964</v>
      </c>
      <c r="BD301" s="860" t="s">
        <v>996</v>
      </c>
      <c r="BE301" s="865" cm="1">
        <f t="array" ref="BE301">IF(BD301="","",AC301/SUMPRODUCT(--(BD301=$BD$4:$BD$12824),$AC$4:$AC$12824))</f>
        <v>9.7521137586471948E-2</v>
      </c>
      <c r="BF301" s="458"/>
      <c r="BG301" s="458"/>
      <c r="BH301" s="458"/>
      <c r="BI301" s="458"/>
      <c r="BJ301" s="458"/>
      <c r="BK301" s="458"/>
      <c r="BL301" s="458"/>
      <c r="BM301" s="458"/>
      <c r="BN301" s="458"/>
      <c r="BO301" s="866">
        <f>VLOOKUP(BD301,$BD$4:$BN$12824,3,0)*BE301</f>
        <v>2031577.8920061493</v>
      </c>
      <c r="BP301" s="866"/>
      <c r="BQ301" s="866"/>
      <c r="BR301" s="866">
        <f>VLOOKUP(BD301,$BD$4:$BN$12824,6,0)*BE301</f>
        <v>88757.888162951582</v>
      </c>
      <c r="BS301" s="866">
        <f>VLOOKUP(BD301,$BD$4:$BN$12824,7,0)*BE301</f>
        <v>0</v>
      </c>
      <c r="BT301" s="866"/>
      <c r="BU301" s="866">
        <f>VLOOKUP(BD301,$BD$4:$BN$12824,9,0)*BE301</f>
        <v>0</v>
      </c>
      <c r="BV301" s="867"/>
      <c r="BW301" s="867">
        <f>VLOOKUP(BD301,$BD$4:$BN$12824,11,0)*BE301</f>
        <v>0</v>
      </c>
      <c r="BX301" s="1146">
        <f t="shared" si="56"/>
        <v>2120335.780169101</v>
      </c>
      <c r="BY301" s="867">
        <f t="shared" si="54"/>
        <v>8276408.650042275</v>
      </c>
      <c r="BZ301" s="867">
        <f t="shared" si="52"/>
        <v>33105634.6001691</v>
      </c>
      <c r="CA301" s="867">
        <f>_xlfn.MAXIFS($BY$4:$BY$12824,$S$4:$S$12824,$S301)</f>
        <v>8276408.650042275</v>
      </c>
      <c r="CB301" s="1032"/>
      <c r="CF301" s="946">
        <f t="shared" si="53"/>
        <v>30985298.82</v>
      </c>
    </row>
    <row r="302" spans="1:84">
      <c r="A302" s="1032"/>
      <c r="B302" s="839" t="s">
        <v>98</v>
      </c>
      <c r="C302" s="840" t="s">
        <v>99</v>
      </c>
      <c r="D302" s="839" t="s">
        <v>988</v>
      </c>
      <c r="E302" s="839" t="s">
        <v>988</v>
      </c>
      <c r="F302" s="841">
        <v>44741</v>
      </c>
      <c r="G302" s="840" t="s">
        <v>101</v>
      </c>
      <c r="H302" s="842" t="s">
        <v>134</v>
      </c>
      <c r="I302" s="842"/>
      <c r="J302" s="841"/>
      <c r="K302" s="841"/>
      <c r="L302" s="843"/>
      <c r="M302" s="844" t="s">
        <v>107</v>
      </c>
      <c r="N302" s="841"/>
      <c r="O302" s="841" t="s">
        <v>108</v>
      </c>
      <c r="P302" s="841" t="s">
        <v>109</v>
      </c>
      <c r="Q302" s="843" t="s">
        <v>110</v>
      </c>
      <c r="R302" s="845" t="s">
        <v>1004</v>
      </c>
      <c r="S302" s="1127" t="s">
        <v>1005</v>
      </c>
      <c r="T302" s="843" t="s">
        <v>1006</v>
      </c>
      <c r="U302" s="842">
        <v>8</v>
      </c>
      <c r="V302" s="842" t="s">
        <v>3</v>
      </c>
      <c r="W302" s="846"/>
      <c r="X302" s="847">
        <f t="shared" si="47"/>
        <v>0</v>
      </c>
      <c r="Y302" s="848"/>
      <c r="Z302" s="849">
        <v>413.55</v>
      </c>
      <c r="AA302" s="849"/>
      <c r="AB302" s="849">
        <f t="shared" si="48"/>
        <v>3308.4</v>
      </c>
      <c r="AC302" s="850">
        <f t="shared" si="49"/>
        <v>3308.4</v>
      </c>
      <c r="AD302" s="851"/>
      <c r="AE302" s="852">
        <v>25439.49</v>
      </c>
      <c r="AF302" s="853">
        <v>0</v>
      </c>
      <c r="AG302" s="854">
        <f t="shared" si="50"/>
        <v>0</v>
      </c>
      <c r="AH302" s="853"/>
      <c r="AI302" s="855">
        <f t="shared" si="51"/>
        <v>0</v>
      </c>
      <c r="AJ302" s="845" t="s">
        <v>993</v>
      </c>
      <c r="AK302" s="857" t="s">
        <v>994</v>
      </c>
      <c r="AL302" s="840"/>
      <c r="AM302" s="840"/>
      <c r="AN302" s="858"/>
      <c r="AO302" s="844" t="s">
        <v>141</v>
      </c>
      <c r="AP302" s="859"/>
      <c r="AQ302" s="859" t="s">
        <v>957</v>
      </c>
      <c r="AR302" s="859"/>
      <c r="AS302" s="840"/>
      <c r="AT302" s="840"/>
      <c r="AU302" s="860"/>
      <c r="AV302" s="839" t="s">
        <v>995</v>
      </c>
      <c r="AW302" s="861">
        <v>44964</v>
      </c>
      <c r="AX302" s="862" t="s">
        <v>959</v>
      </c>
      <c r="AY302" s="843"/>
      <c r="AZ302" s="842"/>
      <c r="BA302" s="842" t="s">
        <v>120</v>
      </c>
      <c r="BB302" s="863" t="s">
        <v>121</v>
      </c>
      <c r="BC302" s="864">
        <v>44964</v>
      </c>
      <c r="BD302" s="860" t="s">
        <v>996</v>
      </c>
      <c r="BE302" s="865" cm="1">
        <f t="array" ref="BE302">IF(BD302="","",AC302/SUMPRODUCT(--(BD302=$BD$4:$BD$12824),$AC$4:$AC$12824))</f>
        <v>0.26489239046887009</v>
      </c>
      <c r="BF302" s="458"/>
      <c r="BG302" s="458"/>
      <c r="BH302" s="458"/>
      <c r="BI302" s="458"/>
      <c r="BJ302" s="458"/>
      <c r="BK302" s="458"/>
      <c r="BL302" s="458"/>
      <c r="BM302" s="458"/>
      <c r="BN302" s="458"/>
      <c r="BO302" s="866">
        <f>VLOOKUP(BD302,$BD$4:$BN$12824,3,0)*BE302</f>
        <v>5518285.9588777861</v>
      </c>
      <c r="BP302" s="866"/>
      <c r="BQ302" s="866"/>
      <c r="BR302" s="866">
        <f>VLOOKUP(BD302,$BD$4:$BN$12824,6,0)*BE302</f>
        <v>241089.16026133741</v>
      </c>
      <c r="BS302" s="866">
        <f>VLOOKUP(BD302,$BD$4:$BN$12824,7,0)*BE302</f>
        <v>0</v>
      </c>
      <c r="BT302" s="866"/>
      <c r="BU302" s="866">
        <f>VLOOKUP(BD302,$BD$4:$BN$12824,9,0)*BE302</f>
        <v>0</v>
      </c>
      <c r="BV302" s="867"/>
      <c r="BW302" s="867">
        <f>VLOOKUP(BD302,$BD$4:$BN$12824,11,0)*BE302</f>
        <v>0</v>
      </c>
      <c r="BX302" s="1146">
        <f t="shared" si="56"/>
        <v>5759375.1191391237</v>
      </c>
      <c r="BY302" s="867">
        <f t="shared" si="54"/>
        <v>11240422.979392391</v>
      </c>
      <c r="BZ302" s="867">
        <f t="shared" si="52"/>
        <v>89923383.835139126</v>
      </c>
      <c r="CA302" s="867">
        <f>_xlfn.MAXIFS($BY$4:$BY$12824,$S$4:$S$12824,$S302)</f>
        <v>11240422.979392391</v>
      </c>
      <c r="CB302" s="1032"/>
      <c r="CF302" s="946">
        <f t="shared" si="53"/>
        <v>84164008.716000006</v>
      </c>
    </row>
    <row r="303" spans="1:84">
      <c r="A303" s="1032"/>
      <c r="B303" s="839" t="s">
        <v>98</v>
      </c>
      <c r="C303" s="840" t="s">
        <v>99</v>
      </c>
      <c r="D303" s="839" t="s">
        <v>988</v>
      </c>
      <c r="E303" s="839" t="s">
        <v>988</v>
      </c>
      <c r="F303" s="841">
        <v>44741</v>
      </c>
      <c r="G303" s="840" t="s">
        <v>101</v>
      </c>
      <c r="H303" s="842" t="s">
        <v>134</v>
      </c>
      <c r="I303" s="842"/>
      <c r="J303" s="841"/>
      <c r="K303" s="841"/>
      <c r="L303" s="843"/>
      <c r="M303" s="844" t="s">
        <v>107</v>
      </c>
      <c r="N303" s="841"/>
      <c r="O303" s="841" t="s">
        <v>108</v>
      </c>
      <c r="P303" s="841" t="s">
        <v>109</v>
      </c>
      <c r="Q303" s="843" t="s">
        <v>110</v>
      </c>
      <c r="R303" s="845" t="s">
        <v>1007</v>
      </c>
      <c r="S303" s="1127" t="s">
        <v>1008</v>
      </c>
      <c r="T303" s="843" t="s">
        <v>1009</v>
      </c>
      <c r="U303" s="842">
        <v>8</v>
      </c>
      <c r="V303" s="842" t="s">
        <v>3</v>
      </c>
      <c r="W303" s="846"/>
      <c r="X303" s="847">
        <f t="shared" si="47"/>
        <v>0</v>
      </c>
      <c r="Y303" s="848"/>
      <c r="Z303" s="849">
        <v>413.55</v>
      </c>
      <c r="AA303" s="849"/>
      <c r="AB303" s="849">
        <f t="shared" si="48"/>
        <v>3308.4</v>
      </c>
      <c r="AC303" s="850">
        <f t="shared" si="49"/>
        <v>3308.4</v>
      </c>
      <c r="AD303" s="851"/>
      <c r="AE303" s="852">
        <v>25439.49</v>
      </c>
      <c r="AF303" s="853">
        <v>0</v>
      </c>
      <c r="AG303" s="854">
        <f t="shared" si="50"/>
        <v>0</v>
      </c>
      <c r="AH303" s="853"/>
      <c r="AI303" s="855">
        <f t="shared" si="51"/>
        <v>0</v>
      </c>
      <c r="AJ303" s="845" t="s">
        <v>993</v>
      </c>
      <c r="AK303" s="857" t="s">
        <v>994</v>
      </c>
      <c r="AL303" s="840"/>
      <c r="AM303" s="840"/>
      <c r="AN303" s="858"/>
      <c r="AO303" s="844" t="s">
        <v>141</v>
      </c>
      <c r="AP303" s="859"/>
      <c r="AQ303" s="859" t="s">
        <v>957</v>
      </c>
      <c r="AR303" s="859"/>
      <c r="AS303" s="840"/>
      <c r="AT303" s="840"/>
      <c r="AU303" s="860"/>
      <c r="AV303" s="839" t="s">
        <v>995</v>
      </c>
      <c r="AW303" s="861">
        <v>44964</v>
      </c>
      <c r="AX303" s="862" t="s">
        <v>959</v>
      </c>
      <c r="AY303" s="843"/>
      <c r="AZ303" s="842"/>
      <c r="BA303" s="842" t="s">
        <v>120</v>
      </c>
      <c r="BB303" s="863" t="s">
        <v>121</v>
      </c>
      <c r="BC303" s="864">
        <v>44964</v>
      </c>
      <c r="BD303" s="860" t="s">
        <v>996</v>
      </c>
      <c r="BE303" s="865" cm="1">
        <f t="array" ref="BE303">IF(BD303="","",AC303/SUMPRODUCT(--(BD303=$BD$4:$BD$12824),$AC$4:$AC$12824))</f>
        <v>0.26489239046887009</v>
      </c>
      <c r="BF303" s="458"/>
      <c r="BG303" s="458"/>
      <c r="BH303" s="458"/>
      <c r="BI303" s="458"/>
      <c r="BJ303" s="458"/>
      <c r="BK303" s="458"/>
      <c r="BL303" s="458"/>
      <c r="BM303" s="458"/>
      <c r="BN303" s="458"/>
      <c r="BO303" s="866">
        <f>VLOOKUP(BD303,$BD$4:$BN$12824,3,0)*BE303</f>
        <v>5518285.9588777861</v>
      </c>
      <c r="BP303" s="866"/>
      <c r="BQ303" s="866"/>
      <c r="BR303" s="866">
        <f>VLOOKUP(BD303,$BD$4:$BN$12824,6,0)*BE303</f>
        <v>241089.16026133741</v>
      </c>
      <c r="BS303" s="866">
        <f>VLOOKUP(BD303,$BD$4:$BN$12824,7,0)*BE303</f>
        <v>0</v>
      </c>
      <c r="BT303" s="866"/>
      <c r="BU303" s="866">
        <f>VLOOKUP(BD303,$BD$4:$BN$12824,9,0)*BE303</f>
        <v>0</v>
      </c>
      <c r="BV303" s="867"/>
      <c r="BW303" s="867">
        <f>VLOOKUP(BD303,$BD$4:$BN$12824,11,0)*BE303</f>
        <v>0</v>
      </c>
      <c r="BX303" s="1146">
        <f t="shared" si="56"/>
        <v>5759375.1191391237</v>
      </c>
      <c r="BY303" s="867">
        <f t="shared" si="54"/>
        <v>11240422.979392391</v>
      </c>
      <c r="BZ303" s="867">
        <f t="shared" si="52"/>
        <v>89923383.835139126</v>
      </c>
      <c r="CA303" s="867">
        <f>_xlfn.MAXIFS($BY$4:$BY$12824,$S$4:$S$12824,$S303)</f>
        <v>16267927.122429939</v>
      </c>
      <c r="CB303" s="1032"/>
      <c r="CF303" s="946">
        <f t="shared" si="53"/>
        <v>84164008.716000006</v>
      </c>
    </row>
    <row r="304" spans="1:84">
      <c r="A304" s="1032"/>
      <c r="B304" s="839" t="s">
        <v>98</v>
      </c>
      <c r="C304" s="840" t="s">
        <v>99</v>
      </c>
      <c r="D304" s="839" t="s">
        <v>988</v>
      </c>
      <c r="E304" s="839" t="s">
        <v>988</v>
      </c>
      <c r="F304" s="841">
        <v>44741</v>
      </c>
      <c r="G304" s="840" t="s">
        <v>101</v>
      </c>
      <c r="H304" s="842" t="s">
        <v>134</v>
      </c>
      <c r="I304" s="842"/>
      <c r="J304" s="841"/>
      <c r="K304" s="841"/>
      <c r="L304" s="843"/>
      <c r="M304" s="844" t="s">
        <v>107</v>
      </c>
      <c r="N304" s="841"/>
      <c r="O304" s="841" t="s">
        <v>108</v>
      </c>
      <c r="P304" s="841" t="s">
        <v>109</v>
      </c>
      <c r="Q304" s="843" t="s">
        <v>110</v>
      </c>
      <c r="R304" s="845" t="s">
        <v>1010</v>
      </c>
      <c r="S304" s="1127" t="s">
        <v>1011</v>
      </c>
      <c r="T304" s="843" t="s">
        <v>1012</v>
      </c>
      <c r="U304" s="842">
        <v>2</v>
      </c>
      <c r="V304" s="842" t="s">
        <v>3</v>
      </c>
      <c r="W304" s="846"/>
      <c r="X304" s="847">
        <f t="shared" si="47"/>
        <v>0</v>
      </c>
      <c r="Y304" s="848"/>
      <c r="Z304" s="849">
        <v>413.55</v>
      </c>
      <c r="AA304" s="849"/>
      <c r="AB304" s="849">
        <f t="shared" si="48"/>
        <v>827.1</v>
      </c>
      <c r="AC304" s="850">
        <f t="shared" si="49"/>
        <v>827.1</v>
      </c>
      <c r="AD304" s="851"/>
      <c r="AE304" s="852">
        <v>25439.49</v>
      </c>
      <c r="AF304" s="853">
        <v>0</v>
      </c>
      <c r="AG304" s="854">
        <f t="shared" si="50"/>
        <v>0</v>
      </c>
      <c r="AH304" s="853"/>
      <c r="AI304" s="855">
        <f t="shared" si="51"/>
        <v>0</v>
      </c>
      <c r="AJ304" s="845" t="s">
        <v>993</v>
      </c>
      <c r="AK304" s="857" t="s">
        <v>994</v>
      </c>
      <c r="AL304" s="840"/>
      <c r="AM304" s="840"/>
      <c r="AN304" s="858"/>
      <c r="AO304" s="844" t="s">
        <v>141</v>
      </c>
      <c r="AP304" s="859"/>
      <c r="AQ304" s="859" t="s">
        <v>957</v>
      </c>
      <c r="AR304" s="859"/>
      <c r="AS304" s="840"/>
      <c r="AT304" s="840"/>
      <c r="AU304" s="860"/>
      <c r="AV304" s="839" t="s">
        <v>995</v>
      </c>
      <c r="AW304" s="861">
        <v>44964</v>
      </c>
      <c r="AX304" s="862" t="s">
        <v>959</v>
      </c>
      <c r="AY304" s="843"/>
      <c r="AZ304" s="842"/>
      <c r="BA304" s="842" t="s">
        <v>120</v>
      </c>
      <c r="BB304" s="863" t="s">
        <v>121</v>
      </c>
      <c r="BC304" s="864">
        <v>44964</v>
      </c>
      <c r="BD304" s="860" t="s">
        <v>996</v>
      </c>
      <c r="BE304" s="865" cm="1">
        <f t="array" ref="BE304">IF(BD304="","",AC304/SUMPRODUCT(--(BD304=$BD$4:$BD$12824),$AC$4:$AC$12824))</f>
        <v>6.6223097617217522E-2</v>
      </c>
      <c r="BF304" s="458"/>
      <c r="BG304" s="458"/>
      <c r="BH304" s="458"/>
      <c r="BI304" s="458"/>
      <c r="BJ304" s="458"/>
      <c r="BK304" s="458"/>
      <c r="BL304" s="458"/>
      <c r="BM304" s="458"/>
      <c r="BN304" s="458"/>
      <c r="BO304" s="866">
        <f>VLOOKUP(BD304,$BD$4:$BN$12824,3,0)*BE304</f>
        <v>1379571.4897194465</v>
      </c>
      <c r="BP304" s="866"/>
      <c r="BQ304" s="866"/>
      <c r="BR304" s="866">
        <f>VLOOKUP(BD304,$BD$4:$BN$12824,6,0)*BE304</f>
        <v>60272.290065334353</v>
      </c>
      <c r="BS304" s="866">
        <f>VLOOKUP(BD304,$BD$4:$BN$12824,7,0)*BE304</f>
        <v>0</v>
      </c>
      <c r="BT304" s="866"/>
      <c r="BU304" s="866">
        <f>VLOOKUP(BD304,$BD$4:$BN$12824,9,0)*BE304</f>
        <v>0</v>
      </c>
      <c r="BV304" s="867"/>
      <c r="BW304" s="867">
        <f>VLOOKUP(BD304,$BD$4:$BN$12824,11,0)*BE304</f>
        <v>0</v>
      </c>
      <c r="BX304" s="1146">
        <f t="shared" si="56"/>
        <v>1439843.7797847809</v>
      </c>
      <c r="BY304" s="867">
        <f t="shared" si="54"/>
        <v>11240422.979392391</v>
      </c>
      <c r="BZ304" s="867">
        <f t="shared" si="52"/>
        <v>22480845.958784781</v>
      </c>
      <c r="CA304" s="867">
        <f>_xlfn.MAXIFS($BY$4:$BY$12824,$S$4:$S$12824,$S304)</f>
        <v>11240422.979392391</v>
      </c>
      <c r="CB304" s="1032"/>
      <c r="CF304" s="946">
        <f t="shared" si="53"/>
        <v>21041002.179000001</v>
      </c>
    </row>
    <row r="305" spans="1:84">
      <c r="A305" s="1032"/>
      <c r="B305" s="839" t="s">
        <v>98</v>
      </c>
      <c r="C305" s="840" t="s">
        <v>99</v>
      </c>
      <c r="D305" s="839" t="s">
        <v>988</v>
      </c>
      <c r="E305" s="839" t="s">
        <v>988</v>
      </c>
      <c r="F305" s="841">
        <v>44741</v>
      </c>
      <c r="G305" s="840" t="s">
        <v>101</v>
      </c>
      <c r="H305" s="842" t="s">
        <v>134</v>
      </c>
      <c r="I305" s="842"/>
      <c r="J305" s="841"/>
      <c r="K305" s="841"/>
      <c r="L305" s="843"/>
      <c r="M305" s="844" t="s">
        <v>107</v>
      </c>
      <c r="N305" s="841"/>
      <c r="O305" s="841" t="s">
        <v>108</v>
      </c>
      <c r="P305" s="841" t="s">
        <v>109</v>
      </c>
      <c r="Q305" s="843" t="s">
        <v>110</v>
      </c>
      <c r="R305" s="845" t="s">
        <v>1013</v>
      </c>
      <c r="S305" s="1127" t="s">
        <v>1014</v>
      </c>
      <c r="T305" s="843" t="s">
        <v>1015</v>
      </c>
      <c r="U305" s="842">
        <v>4</v>
      </c>
      <c r="V305" s="842" t="s">
        <v>3</v>
      </c>
      <c r="W305" s="846"/>
      <c r="X305" s="847">
        <f t="shared" si="47"/>
        <v>0</v>
      </c>
      <c r="Y305" s="848"/>
      <c r="Z305" s="849">
        <v>413.55</v>
      </c>
      <c r="AA305" s="849"/>
      <c r="AB305" s="849">
        <f t="shared" si="48"/>
        <v>1654.2</v>
      </c>
      <c r="AC305" s="850">
        <f t="shared" si="49"/>
        <v>1654.2</v>
      </c>
      <c r="AD305" s="851"/>
      <c r="AE305" s="852">
        <v>25439.49</v>
      </c>
      <c r="AF305" s="853">
        <v>0</v>
      </c>
      <c r="AG305" s="854">
        <f t="shared" si="50"/>
        <v>0</v>
      </c>
      <c r="AH305" s="853"/>
      <c r="AI305" s="855">
        <f t="shared" si="51"/>
        <v>0</v>
      </c>
      <c r="AJ305" s="845" t="s">
        <v>993</v>
      </c>
      <c r="AK305" s="857" t="s">
        <v>994</v>
      </c>
      <c r="AL305" s="840"/>
      <c r="AM305" s="840"/>
      <c r="AN305" s="858"/>
      <c r="AO305" s="844" t="s">
        <v>141</v>
      </c>
      <c r="AP305" s="859"/>
      <c r="AQ305" s="859" t="s">
        <v>957</v>
      </c>
      <c r="AR305" s="859"/>
      <c r="AS305" s="840"/>
      <c r="AT305" s="840"/>
      <c r="AU305" s="860"/>
      <c r="AV305" s="839" t="s">
        <v>995</v>
      </c>
      <c r="AW305" s="861">
        <v>44964</v>
      </c>
      <c r="AX305" s="862" t="s">
        <v>959</v>
      </c>
      <c r="AY305" s="843"/>
      <c r="AZ305" s="842"/>
      <c r="BA305" s="842" t="s">
        <v>120</v>
      </c>
      <c r="BB305" s="863" t="s">
        <v>121</v>
      </c>
      <c r="BC305" s="864">
        <v>44964</v>
      </c>
      <c r="BD305" s="860" t="s">
        <v>996</v>
      </c>
      <c r="BE305" s="865" cm="1">
        <f t="array" ref="BE305">IF(BD305="","",AC305/SUMPRODUCT(--(BD305=$BD$4:$BD$12824),$AC$4:$AC$12824))</f>
        <v>0.13244619523443504</v>
      </c>
      <c r="BF305" s="458"/>
      <c r="BG305" s="458"/>
      <c r="BH305" s="458"/>
      <c r="BI305" s="458"/>
      <c r="BJ305" s="458"/>
      <c r="BK305" s="458"/>
      <c r="BL305" s="458"/>
      <c r="BM305" s="458"/>
      <c r="BN305" s="458"/>
      <c r="BO305" s="866">
        <f>VLOOKUP(BD305,$BD$4:$BN$12824,3,0)*BE305</f>
        <v>2759142.979438893</v>
      </c>
      <c r="BP305" s="866"/>
      <c r="BQ305" s="866"/>
      <c r="BR305" s="866">
        <f>VLOOKUP(BD305,$BD$4:$BN$12824,6,0)*BE305</f>
        <v>120544.58013066871</v>
      </c>
      <c r="BS305" s="866">
        <f>VLOOKUP(BD305,$BD$4:$BN$12824,7,0)*BE305</f>
        <v>0</v>
      </c>
      <c r="BT305" s="866"/>
      <c r="BU305" s="866">
        <f>VLOOKUP(BD305,$BD$4:$BN$12824,9,0)*BE305</f>
        <v>0</v>
      </c>
      <c r="BV305" s="867"/>
      <c r="BW305" s="867">
        <f>VLOOKUP(BD305,$BD$4:$BN$12824,11,0)*BE305</f>
        <v>0</v>
      </c>
      <c r="BX305" s="1146">
        <f t="shared" si="56"/>
        <v>2879687.5595695619</v>
      </c>
      <c r="BY305" s="867">
        <f t="shared" si="54"/>
        <v>11240422.979392391</v>
      </c>
      <c r="BZ305" s="867">
        <f t="shared" si="52"/>
        <v>44961691.917569563</v>
      </c>
      <c r="CA305" s="867">
        <f>_xlfn.MAXIFS($BY$4:$BY$12824,$S$4:$S$12824,$S305)</f>
        <v>11240422.979392391</v>
      </c>
      <c r="CB305" s="1032"/>
      <c r="CF305" s="946">
        <f t="shared" si="53"/>
        <v>42082004.358000003</v>
      </c>
    </row>
    <row r="306" spans="1:84">
      <c r="A306" s="1032"/>
      <c r="B306" s="839" t="s">
        <v>98</v>
      </c>
      <c r="C306" s="839" t="s">
        <v>381</v>
      </c>
      <c r="D306" s="839" t="s">
        <v>1016</v>
      </c>
      <c r="E306" s="839" t="s">
        <v>1016</v>
      </c>
      <c r="F306" s="841">
        <v>44740</v>
      </c>
      <c r="G306" s="840" t="s">
        <v>383</v>
      </c>
      <c r="H306" s="842" t="s">
        <v>134</v>
      </c>
      <c r="I306" s="842"/>
      <c r="J306" s="841"/>
      <c r="K306" s="841"/>
      <c r="L306" s="843"/>
      <c r="M306" s="844" t="s">
        <v>107</v>
      </c>
      <c r="N306" s="841"/>
      <c r="O306" s="841" t="s">
        <v>150</v>
      </c>
      <c r="P306" s="841" t="s">
        <v>151</v>
      </c>
      <c r="Q306" s="843"/>
      <c r="R306" s="845">
        <v>3316</v>
      </c>
      <c r="S306" s="1127" t="s">
        <v>1017</v>
      </c>
      <c r="T306" s="843" t="s">
        <v>1018</v>
      </c>
      <c r="U306" s="842">
        <v>2</v>
      </c>
      <c r="V306" s="842" t="s">
        <v>3</v>
      </c>
      <c r="W306" s="846"/>
      <c r="X306" s="847">
        <f t="shared" si="47"/>
        <v>0</v>
      </c>
      <c r="Y306" s="848"/>
      <c r="Z306" s="849">
        <v>4613.3999999999996</v>
      </c>
      <c r="AA306" s="849"/>
      <c r="AB306" s="849">
        <f t="shared" si="48"/>
        <v>9226.7999999999993</v>
      </c>
      <c r="AC306" s="850">
        <f t="shared" si="49"/>
        <v>9226.7999999999993</v>
      </c>
      <c r="AD306" s="851"/>
      <c r="AE306" s="852">
        <v>25439.49</v>
      </c>
      <c r="AF306" s="853">
        <v>0</v>
      </c>
      <c r="AG306" s="854">
        <f t="shared" si="50"/>
        <v>0</v>
      </c>
      <c r="AH306" s="853"/>
      <c r="AI306" s="855">
        <f t="shared" si="51"/>
        <v>0</v>
      </c>
      <c r="AJ306" s="845" t="s">
        <v>1019</v>
      </c>
      <c r="AK306" s="857">
        <v>44921</v>
      </c>
      <c r="AL306" s="840"/>
      <c r="AM306" s="840"/>
      <c r="AN306" s="858"/>
      <c r="AO306" s="844" t="s">
        <v>141</v>
      </c>
      <c r="AP306" s="859"/>
      <c r="AQ306" s="859" t="s">
        <v>957</v>
      </c>
      <c r="AR306" s="859"/>
      <c r="AS306" s="840"/>
      <c r="AT306" s="840"/>
      <c r="AU306" s="860"/>
      <c r="AV306" s="839" t="s">
        <v>1020</v>
      </c>
      <c r="AW306" s="861">
        <v>44964</v>
      </c>
      <c r="AX306" s="862" t="s">
        <v>959</v>
      </c>
      <c r="AY306" s="843"/>
      <c r="AZ306" s="842"/>
      <c r="BA306" s="842" t="s">
        <v>120</v>
      </c>
      <c r="BB306" s="863" t="s">
        <v>121</v>
      </c>
      <c r="BC306" s="864">
        <v>44964</v>
      </c>
      <c r="BD306" s="860" t="s">
        <v>1021</v>
      </c>
      <c r="BE306" s="865" cm="1">
        <f t="array" ref="BE306">IF(BD306="","",AC306/SUMPRODUCT(--(BD306=$BD$4:$BD$12824),$AC$4:$AC$12824))</f>
        <v>0.26102454425094207</v>
      </c>
      <c r="BF306" s="458">
        <v>80420076</v>
      </c>
      <c r="BG306" s="458"/>
      <c r="BH306" s="458"/>
      <c r="BI306" s="458">
        <f>(4940760+442068+650100+1040160+572088+14300000)</f>
        <v>21945176</v>
      </c>
      <c r="BJ306" s="458"/>
      <c r="BK306" s="458"/>
      <c r="BL306" s="458">
        <v>500000</v>
      </c>
      <c r="BM306" s="458"/>
      <c r="BN306" s="458"/>
      <c r="BO306" s="866">
        <f>VLOOKUP(BD306,$BD$4:$BN$12824,3,0)*BE306</f>
        <v>20991613.686526123</v>
      </c>
      <c r="BP306" s="866"/>
      <c r="BQ306" s="866"/>
      <c r="BR306" s="866">
        <f>VLOOKUP(BD306,$BD$4:$BN$12824,6,0)*BE306</f>
        <v>5728229.5639067115</v>
      </c>
      <c r="BS306" s="866">
        <f>VLOOKUP(BD306,$BD$4:$BN$12824,7,0)*BE306</f>
        <v>0</v>
      </c>
      <c r="BT306" s="866"/>
      <c r="BU306" s="866">
        <f>VLOOKUP(BD306,$BD$4:$BN$12824,9,0)*BE306</f>
        <v>130512.27212547103</v>
      </c>
      <c r="BV306" s="867"/>
      <c r="BW306" s="867">
        <f>VLOOKUP(BD306,$BD$4:$BN$12824,11,0)*BE306</f>
        <v>0</v>
      </c>
      <c r="BX306" s="1146">
        <f t="shared" ref="BX306:BX324" si="57">SUM(BO306:BW306)</f>
        <v>26850355.522558305</v>
      </c>
      <c r="BY306" s="867">
        <f t="shared" si="54"/>
        <v>130787720.92727914</v>
      </c>
      <c r="BZ306" s="867">
        <f t="shared" si="52"/>
        <v>261575441.85455829</v>
      </c>
      <c r="CA306" s="867">
        <f>_xlfn.MAXIFS($BY$4:$BY$12824,$S$4:$S$12824,$S306)</f>
        <v>130787720.92727914</v>
      </c>
      <c r="CB306" s="1032"/>
      <c r="CF306" s="946">
        <f t="shared" si="53"/>
        <v>234725086.33199999</v>
      </c>
    </row>
    <row r="307" spans="1:84">
      <c r="A307" s="1032"/>
      <c r="B307" s="839" t="s">
        <v>98</v>
      </c>
      <c r="C307" s="839" t="s">
        <v>381</v>
      </c>
      <c r="D307" s="839" t="s">
        <v>1016</v>
      </c>
      <c r="E307" s="839" t="s">
        <v>1016</v>
      </c>
      <c r="F307" s="841">
        <v>44740</v>
      </c>
      <c r="G307" s="840" t="s">
        <v>383</v>
      </c>
      <c r="H307" s="842" t="s">
        <v>134</v>
      </c>
      <c r="I307" s="842"/>
      <c r="J307" s="841"/>
      <c r="K307" s="841"/>
      <c r="L307" s="843"/>
      <c r="M307" s="844" t="s">
        <v>107</v>
      </c>
      <c r="N307" s="841"/>
      <c r="O307" s="841" t="s">
        <v>150</v>
      </c>
      <c r="P307" s="841" t="s">
        <v>461</v>
      </c>
      <c r="Q307" s="843"/>
      <c r="R307" s="845" t="s">
        <v>1022</v>
      </c>
      <c r="S307" s="1127" t="s">
        <v>1023</v>
      </c>
      <c r="T307" s="843" t="s">
        <v>1024</v>
      </c>
      <c r="U307" s="842">
        <v>1</v>
      </c>
      <c r="V307" s="842" t="s">
        <v>3</v>
      </c>
      <c r="W307" s="846"/>
      <c r="X307" s="847">
        <f t="shared" si="47"/>
        <v>0</v>
      </c>
      <c r="Y307" s="848"/>
      <c r="Z307" s="849">
        <v>2994</v>
      </c>
      <c r="AA307" s="849"/>
      <c r="AB307" s="849">
        <f t="shared" si="48"/>
        <v>2994</v>
      </c>
      <c r="AC307" s="850">
        <f t="shared" si="49"/>
        <v>2994</v>
      </c>
      <c r="AD307" s="851"/>
      <c r="AE307" s="852">
        <v>25439.49</v>
      </c>
      <c r="AF307" s="853">
        <v>0</v>
      </c>
      <c r="AG307" s="854">
        <f t="shared" si="50"/>
        <v>0</v>
      </c>
      <c r="AH307" s="853"/>
      <c r="AI307" s="855">
        <f t="shared" si="51"/>
        <v>0</v>
      </c>
      <c r="AJ307" s="845" t="s">
        <v>1019</v>
      </c>
      <c r="AK307" s="857">
        <v>44921</v>
      </c>
      <c r="AL307" s="840"/>
      <c r="AM307" s="840"/>
      <c r="AN307" s="858"/>
      <c r="AO307" s="844" t="s">
        <v>141</v>
      </c>
      <c r="AP307" s="859"/>
      <c r="AQ307" s="859" t="s">
        <v>957</v>
      </c>
      <c r="AR307" s="859"/>
      <c r="AS307" s="840"/>
      <c r="AT307" s="840"/>
      <c r="AU307" s="860"/>
      <c r="AV307" s="839" t="s">
        <v>1020</v>
      </c>
      <c r="AW307" s="861">
        <v>44964</v>
      </c>
      <c r="AX307" s="862" t="s">
        <v>959</v>
      </c>
      <c r="AY307" s="843"/>
      <c r="AZ307" s="842"/>
      <c r="BA307" s="842" t="s">
        <v>120</v>
      </c>
      <c r="BB307" s="863" t="s">
        <v>121</v>
      </c>
      <c r="BC307" s="864">
        <v>44964</v>
      </c>
      <c r="BD307" s="860" t="s">
        <v>1021</v>
      </c>
      <c r="BE307" s="865" cm="1">
        <f t="array" ref="BE307">IF(BD307="","",AC307/SUMPRODUCT(--(BD307=$BD$4:$BD$12824),$AC$4:$AC$12824))</f>
        <v>8.4699731812472437E-2</v>
      </c>
      <c r="BF307" s="458"/>
      <c r="BG307" s="458"/>
      <c r="BH307" s="458"/>
      <c r="BI307" s="458"/>
      <c r="BJ307" s="458"/>
      <c r="BK307" s="458"/>
      <c r="BL307" s="458"/>
      <c r="BM307" s="458"/>
      <c r="BN307" s="458"/>
      <c r="BO307" s="866">
        <f>VLOOKUP(BD307,$BD$4:$BN$12824,3,0)*BE307</f>
        <v>6811558.8695386508</v>
      </c>
      <c r="BP307" s="866"/>
      <c r="BQ307" s="866"/>
      <c r="BR307" s="866">
        <f>VLOOKUP(BD307,$BD$4:$BN$12824,6,0)*BE307</f>
        <v>1858750.5217775067</v>
      </c>
      <c r="BS307" s="866">
        <f>VLOOKUP(BD307,$BD$4:$BN$12824,7,0)*BE307</f>
        <v>0</v>
      </c>
      <c r="BT307" s="866"/>
      <c r="BU307" s="866">
        <f>VLOOKUP(BD307,$BD$4:$BN$12824,9,0)*BE307</f>
        <v>42349.86590623622</v>
      </c>
      <c r="BV307" s="867"/>
      <c r="BW307" s="867">
        <f>VLOOKUP(BD307,$BD$4:$BN$12824,11,0)*BE307</f>
        <v>0</v>
      </c>
      <c r="BX307" s="1146">
        <f t="shared" si="57"/>
        <v>8712659.2572223935</v>
      </c>
      <c r="BY307" s="867">
        <f t="shared" si="54"/>
        <v>84878492.317222401</v>
      </c>
      <c r="BZ307" s="867">
        <f t="shared" si="52"/>
        <v>84878492.317222401</v>
      </c>
      <c r="CA307" s="867">
        <f>_xlfn.MAXIFS($BY$4:$BY$12824,$S$4:$S$12824,$S307)</f>
        <v>84878492.317222401</v>
      </c>
      <c r="CB307" s="1032"/>
      <c r="CF307" s="946">
        <f t="shared" si="53"/>
        <v>76165833.060000002</v>
      </c>
    </row>
    <row r="308" spans="1:84">
      <c r="A308" s="1032"/>
      <c r="B308" s="839" t="s">
        <v>98</v>
      </c>
      <c r="C308" s="839" t="s">
        <v>381</v>
      </c>
      <c r="D308" s="839" t="s">
        <v>1016</v>
      </c>
      <c r="E308" s="839" t="s">
        <v>1016</v>
      </c>
      <c r="F308" s="841">
        <v>44740</v>
      </c>
      <c r="G308" s="840" t="s">
        <v>383</v>
      </c>
      <c r="H308" s="842" t="s">
        <v>134</v>
      </c>
      <c r="I308" s="842"/>
      <c r="J308" s="841"/>
      <c r="K308" s="841"/>
      <c r="L308" s="843"/>
      <c r="M308" s="844" t="s">
        <v>107</v>
      </c>
      <c r="N308" s="841"/>
      <c r="O308" s="841" t="s">
        <v>150</v>
      </c>
      <c r="P308" s="841" t="s">
        <v>461</v>
      </c>
      <c r="Q308" s="843"/>
      <c r="R308" s="845" t="s">
        <v>1025</v>
      </c>
      <c r="S308" s="1127" t="s">
        <v>1026</v>
      </c>
      <c r="T308" s="843" t="s">
        <v>1027</v>
      </c>
      <c r="U308" s="842">
        <v>1</v>
      </c>
      <c r="V308" s="842" t="s">
        <v>3</v>
      </c>
      <c r="W308" s="846"/>
      <c r="X308" s="847">
        <f t="shared" si="47"/>
        <v>0</v>
      </c>
      <c r="Y308" s="848"/>
      <c r="Z308" s="849">
        <v>1922.5</v>
      </c>
      <c r="AA308" s="849"/>
      <c r="AB308" s="849">
        <f t="shared" si="48"/>
        <v>1922.5</v>
      </c>
      <c r="AC308" s="850">
        <f t="shared" si="49"/>
        <v>1922.5</v>
      </c>
      <c r="AD308" s="851"/>
      <c r="AE308" s="852">
        <v>25439.49</v>
      </c>
      <c r="AF308" s="853">
        <v>0</v>
      </c>
      <c r="AG308" s="854">
        <f t="shared" si="50"/>
        <v>0</v>
      </c>
      <c r="AH308" s="853"/>
      <c r="AI308" s="855">
        <f t="shared" si="51"/>
        <v>0</v>
      </c>
      <c r="AJ308" s="845" t="s">
        <v>1019</v>
      </c>
      <c r="AK308" s="857">
        <v>44921</v>
      </c>
      <c r="AL308" s="840"/>
      <c r="AM308" s="840"/>
      <c r="AN308" s="858"/>
      <c r="AO308" s="844" t="s">
        <v>141</v>
      </c>
      <c r="AP308" s="859"/>
      <c r="AQ308" s="859" t="s">
        <v>957</v>
      </c>
      <c r="AR308" s="859"/>
      <c r="AS308" s="840"/>
      <c r="AT308" s="840"/>
      <c r="AU308" s="860"/>
      <c r="AV308" s="839" t="s">
        <v>1020</v>
      </c>
      <c r="AW308" s="861">
        <v>44964</v>
      </c>
      <c r="AX308" s="862" t="s">
        <v>959</v>
      </c>
      <c r="AY308" s="843"/>
      <c r="AZ308" s="842"/>
      <c r="BA308" s="842" t="s">
        <v>120</v>
      </c>
      <c r="BB308" s="863" t="s">
        <v>121</v>
      </c>
      <c r="BC308" s="864">
        <v>44964</v>
      </c>
      <c r="BD308" s="860" t="s">
        <v>1021</v>
      </c>
      <c r="BE308" s="865" cm="1">
        <f t="array" ref="BE308">IF(BD308="","",AC308/SUMPRODUCT(--(BD308=$BD$4:$BD$12824),$AC$4:$AC$12824))</f>
        <v>5.4387185841509103E-2</v>
      </c>
      <c r="BF308" s="458"/>
      <c r="BG308" s="458"/>
      <c r="BH308" s="458"/>
      <c r="BI308" s="458"/>
      <c r="BJ308" s="458"/>
      <c r="BK308" s="458"/>
      <c r="BL308" s="458"/>
      <c r="BM308" s="458"/>
      <c r="BN308" s="458"/>
      <c r="BO308" s="866">
        <f>VLOOKUP(BD308,$BD$4:$BN$12824,3,0)*BE308</f>
        <v>4373821.6188002862</v>
      </c>
      <c r="BP308" s="866"/>
      <c r="BQ308" s="866"/>
      <c r="BR308" s="866">
        <f>VLOOKUP(BD308,$BD$4:$BN$12824,6,0)*BE308</f>
        <v>1193536.3654366254</v>
      </c>
      <c r="BS308" s="866">
        <f>VLOOKUP(BD308,$BD$4:$BN$12824,7,0)*BE308</f>
        <v>0</v>
      </c>
      <c r="BT308" s="866"/>
      <c r="BU308" s="866">
        <f>VLOOKUP(BD308,$BD$4:$BN$12824,9,0)*BE308</f>
        <v>27193.592920754552</v>
      </c>
      <c r="BV308" s="867"/>
      <c r="BW308" s="867">
        <f>VLOOKUP(BD308,$BD$4:$BN$12824,11,0)*BE308</f>
        <v>0</v>
      </c>
      <c r="BX308" s="1146">
        <f t="shared" si="57"/>
        <v>5594551.577157666</v>
      </c>
      <c r="BY308" s="867">
        <f t="shared" si="54"/>
        <v>54501971.102157675</v>
      </c>
      <c r="BZ308" s="867">
        <f t="shared" si="52"/>
        <v>54501971.102157675</v>
      </c>
      <c r="CA308" s="867">
        <f>_xlfn.MAXIFS($BY$4:$BY$12824,$S$4:$S$12824,$S308)</f>
        <v>54501971.102157675</v>
      </c>
      <c r="CB308" s="1032"/>
      <c r="CF308" s="946">
        <f t="shared" si="53"/>
        <v>48907419.525000006</v>
      </c>
    </row>
    <row r="309" spans="1:84">
      <c r="A309" s="1032"/>
      <c r="B309" s="839" t="s">
        <v>98</v>
      </c>
      <c r="C309" s="839" t="s">
        <v>381</v>
      </c>
      <c r="D309" s="839" t="s">
        <v>1016</v>
      </c>
      <c r="E309" s="839" t="s">
        <v>1016</v>
      </c>
      <c r="F309" s="841">
        <v>44740</v>
      </c>
      <c r="G309" s="840" t="s">
        <v>383</v>
      </c>
      <c r="H309" s="842" t="s">
        <v>134</v>
      </c>
      <c r="I309" s="842"/>
      <c r="J309" s="841"/>
      <c r="K309" s="841"/>
      <c r="L309" s="843"/>
      <c r="M309" s="844" t="s">
        <v>107</v>
      </c>
      <c r="N309" s="841"/>
      <c r="O309" s="841" t="s">
        <v>150</v>
      </c>
      <c r="P309" s="841" t="s">
        <v>461</v>
      </c>
      <c r="Q309" s="843"/>
      <c r="R309" s="845" t="s">
        <v>1025</v>
      </c>
      <c r="S309" s="1127" t="s">
        <v>1028</v>
      </c>
      <c r="T309" s="843" t="s">
        <v>1029</v>
      </c>
      <c r="U309" s="842">
        <v>1</v>
      </c>
      <c r="V309" s="842" t="s">
        <v>3</v>
      </c>
      <c r="W309" s="846"/>
      <c r="X309" s="847">
        <f t="shared" si="47"/>
        <v>0</v>
      </c>
      <c r="Y309" s="848"/>
      <c r="Z309" s="849">
        <v>1922.5</v>
      </c>
      <c r="AA309" s="849"/>
      <c r="AB309" s="849">
        <f t="shared" si="48"/>
        <v>1922.5</v>
      </c>
      <c r="AC309" s="850">
        <f t="shared" si="49"/>
        <v>1922.5</v>
      </c>
      <c r="AD309" s="851"/>
      <c r="AE309" s="852">
        <v>25439.49</v>
      </c>
      <c r="AF309" s="853">
        <v>0</v>
      </c>
      <c r="AG309" s="854">
        <f t="shared" si="50"/>
        <v>0</v>
      </c>
      <c r="AH309" s="853"/>
      <c r="AI309" s="855">
        <f t="shared" si="51"/>
        <v>0</v>
      </c>
      <c r="AJ309" s="845" t="s">
        <v>1019</v>
      </c>
      <c r="AK309" s="857">
        <v>44921</v>
      </c>
      <c r="AL309" s="840"/>
      <c r="AM309" s="840"/>
      <c r="AN309" s="858"/>
      <c r="AO309" s="844" t="s">
        <v>141</v>
      </c>
      <c r="AP309" s="859"/>
      <c r="AQ309" s="859" t="s">
        <v>957</v>
      </c>
      <c r="AR309" s="859"/>
      <c r="AS309" s="840"/>
      <c r="AT309" s="840"/>
      <c r="AU309" s="860"/>
      <c r="AV309" s="839" t="s">
        <v>1020</v>
      </c>
      <c r="AW309" s="861">
        <v>44964</v>
      </c>
      <c r="AX309" s="862" t="s">
        <v>959</v>
      </c>
      <c r="AY309" s="843"/>
      <c r="AZ309" s="842"/>
      <c r="BA309" s="842" t="s">
        <v>120</v>
      </c>
      <c r="BB309" s="863" t="s">
        <v>121</v>
      </c>
      <c r="BC309" s="864">
        <v>44964</v>
      </c>
      <c r="BD309" s="860" t="s">
        <v>1021</v>
      </c>
      <c r="BE309" s="865" cm="1">
        <f t="array" ref="BE309">IF(BD309="","",AC309/SUMPRODUCT(--(BD309=$BD$4:$BD$12824),$AC$4:$AC$12824))</f>
        <v>5.4387185841509103E-2</v>
      </c>
      <c r="BF309" s="458"/>
      <c r="BG309" s="458"/>
      <c r="BH309" s="458"/>
      <c r="BI309" s="458"/>
      <c r="BJ309" s="458"/>
      <c r="BK309" s="458"/>
      <c r="BL309" s="458"/>
      <c r="BM309" s="458"/>
      <c r="BN309" s="458"/>
      <c r="BO309" s="866">
        <f>VLOOKUP(BD309,$BD$4:$BN$12824,3,0)*BE309</f>
        <v>4373821.6188002862</v>
      </c>
      <c r="BP309" s="866"/>
      <c r="BQ309" s="866"/>
      <c r="BR309" s="866">
        <f>VLOOKUP(BD309,$BD$4:$BN$12824,6,0)*BE309</f>
        <v>1193536.3654366254</v>
      </c>
      <c r="BS309" s="866">
        <f>VLOOKUP(BD309,$BD$4:$BN$12824,7,0)*BE309</f>
        <v>0</v>
      </c>
      <c r="BT309" s="866"/>
      <c r="BU309" s="866">
        <f>VLOOKUP(BD309,$BD$4:$BN$12824,9,0)*BE309</f>
        <v>27193.592920754552</v>
      </c>
      <c r="BV309" s="867"/>
      <c r="BW309" s="867">
        <f>VLOOKUP(BD309,$BD$4:$BN$12824,11,0)*BE309</f>
        <v>0</v>
      </c>
      <c r="BX309" s="1146">
        <f t="shared" si="57"/>
        <v>5594551.577157666</v>
      </c>
      <c r="BY309" s="867">
        <f t="shared" si="54"/>
        <v>54501971.102157675</v>
      </c>
      <c r="BZ309" s="867">
        <f t="shared" si="52"/>
        <v>54501971.102157675</v>
      </c>
      <c r="CA309" s="867">
        <f>_xlfn.MAXIFS($BY$4:$BY$12824,$S$4:$S$12824,$S309)</f>
        <v>54501971.102157675</v>
      </c>
      <c r="CB309" s="1032"/>
      <c r="CF309" s="946">
        <f t="shared" si="53"/>
        <v>48907419.525000006</v>
      </c>
    </row>
    <row r="310" spans="1:84">
      <c r="A310" s="1032"/>
      <c r="B310" s="839" t="s">
        <v>98</v>
      </c>
      <c r="C310" s="839" t="s">
        <v>381</v>
      </c>
      <c r="D310" s="839" t="s">
        <v>1016</v>
      </c>
      <c r="E310" s="839" t="s">
        <v>1016</v>
      </c>
      <c r="F310" s="841">
        <v>44740</v>
      </c>
      <c r="G310" s="840" t="s">
        <v>383</v>
      </c>
      <c r="H310" s="842" t="s">
        <v>134</v>
      </c>
      <c r="I310" s="842"/>
      <c r="J310" s="841"/>
      <c r="K310" s="841"/>
      <c r="L310" s="843"/>
      <c r="M310" s="844" t="s">
        <v>107</v>
      </c>
      <c r="N310" s="841"/>
      <c r="O310" s="841" t="s">
        <v>150</v>
      </c>
      <c r="P310" s="841" t="s">
        <v>151</v>
      </c>
      <c r="Q310" s="843"/>
      <c r="R310" s="845">
        <v>3130</v>
      </c>
      <c r="S310" s="1127" t="s">
        <v>1030</v>
      </c>
      <c r="T310" s="843" t="s">
        <v>1031</v>
      </c>
      <c r="U310" s="842">
        <v>6</v>
      </c>
      <c r="V310" s="842" t="s">
        <v>3</v>
      </c>
      <c r="W310" s="846"/>
      <c r="X310" s="847">
        <f t="shared" si="47"/>
        <v>0</v>
      </c>
      <c r="Y310" s="848"/>
      <c r="Z310" s="849">
        <v>177</v>
      </c>
      <c r="AA310" s="849"/>
      <c r="AB310" s="849">
        <f t="shared" si="48"/>
        <v>1062</v>
      </c>
      <c r="AC310" s="850">
        <f t="shared" si="49"/>
        <v>1062</v>
      </c>
      <c r="AD310" s="851"/>
      <c r="AE310" s="852">
        <v>25439.49</v>
      </c>
      <c r="AF310" s="853">
        <v>0</v>
      </c>
      <c r="AG310" s="854">
        <f t="shared" si="50"/>
        <v>0</v>
      </c>
      <c r="AH310" s="853"/>
      <c r="AI310" s="855">
        <f t="shared" si="51"/>
        <v>0</v>
      </c>
      <c r="AJ310" s="845" t="s">
        <v>1019</v>
      </c>
      <c r="AK310" s="857">
        <v>44921</v>
      </c>
      <c r="AL310" s="840"/>
      <c r="AM310" s="840"/>
      <c r="AN310" s="858"/>
      <c r="AO310" s="844" t="s">
        <v>141</v>
      </c>
      <c r="AP310" s="859"/>
      <c r="AQ310" s="859" t="s">
        <v>957</v>
      </c>
      <c r="AR310" s="859"/>
      <c r="AS310" s="840"/>
      <c r="AT310" s="840"/>
      <c r="AU310" s="860"/>
      <c r="AV310" s="839" t="s">
        <v>1020</v>
      </c>
      <c r="AW310" s="861">
        <v>44964</v>
      </c>
      <c r="AX310" s="862" t="s">
        <v>959</v>
      </c>
      <c r="AY310" s="843"/>
      <c r="AZ310" s="842"/>
      <c r="BA310" s="842" t="s">
        <v>120</v>
      </c>
      <c r="BB310" s="863" t="s">
        <v>121</v>
      </c>
      <c r="BC310" s="864">
        <v>44964</v>
      </c>
      <c r="BD310" s="860" t="s">
        <v>1021</v>
      </c>
      <c r="BE310" s="865" cm="1">
        <f t="array" ref="BE310">IF(BD310="","",AC310/SUMPRODUCT(--(BD310=$BD$4:$BD$12824),$AC$4:$AC$12824))</f>
        <v>3.0043792646909057E-2</v>
      </c>
      <c r="BF310" s="458"/>
      <c r="BG310" s="458"/>
      <c r="BH310" s="458"/>
      <c r="BI310" s="458"/>
      <c r="BJ310" s="458"/>
      <c r="BK310" s="458"/>
      <c r="BL310" s="458"/>
      <c r="BM310" s="458"/>
      <c r="BN310" s="458"/>
      <c r="BO310" s="866">
        <f>VLOOKUP(BD310,$BD$4:$BN$12824,3,0)*BE310</f>
        <v>2416124.0879926677</v>
      </c>
      <c r="BP310" s="866"/>
      <c r="BQ310" s="866"/>
      <c r="BR310" s="866">
        <f>VLOOKUP(BD310,$BD$4:$BN$12824,6,0)*BE310</f>
        <v>659316.31734392513</v>
      </c>
      <c r="BS310" s="866">
        <f>VLOOKUP(BD310,$BD$4:$BN$12824,7,0)*BE310</f>
        <v>0</v>
      </c>
      <c r="BT310" s="866"/>
      <c r="BU310" s="866">
        <f>VLOOKUP(BD310,$BD$4:$BN$12824,9,0)*BE310</f>
        <v>15021.896323454528</v>
      </c>
      <c r="BV310" s="867"/>
      <c r="BW310" s="867">
        <f>VLOOKUP(BD310,$BD$4:$BN$12824,11,0)*BE310</f>
        <v>0</v>
      </c>
      <c r="BX310" s="1146">
        <f t="shared" si="57"/>
        <v>3090462.3016600474</v>
      </c>
      <c r="BY310" s="867">
        <f t="shared" si="54"/>
        <v>5017866.7802766748</v>
      </c>
      <c r="BZ310" s="867">
        <f t="shared" si="52"/>
        <v>30107200.681660049</v>
      </c>
      <c r="CA310" s="867">
        <f>_xlfn.MAXIFS($BY$4:$BY$12824,$S$4:$S$12824,$S310)</f>
        <v>5017866.7802766748</v>
      </c>
      <c r="CB310" s="1032"/>
      <c r="CF310" s="946">
        <f t="shared" si="53"/>
        <v>27016738.380000003</v>
      </c>
    </row>
    <row r="311" spans="1:84">
      <c r="A311" s="1032"/>
      <c r="B311" s="839" t="s">
        <v>98</v>
      </c>
      <c r="C311" s="839" t="s">
        <v>381</v>
      </c>
      <c r="D311" s="839" t="s">
        <v>1016</v>
      </c>
      <c r="E311" s="839" t="s">
        <v>1016</v>
      </c>
      <c r="F311" s="841">
        <v>44740</v>
      </c>
      <c r="G311" s="840" t="s">
        <v>383</v>
      </c>
      <c r="H311" s="842" t="s">
        <v>134</v>
      </c>
      <c r="I311" s="842"/>
      <c r="J311" s="841"/>
      <c r="K311" s="841"/>
      <c r="L311" s="843"/>
      <c r="M311" s="844" t="s">
        <v>107</v>
      </c>
      <c r="N311" s="841"/>
      <c r="O311" s="841" t="s">
        <v>150</v>
      </c>
      <c r="P311" s="841" t="s">
        <v>151</v>
      </c>
      <c r="Q311" s="843"/>
      <c r="R311" s="845">
        <v>3130</v>
      </c>
      <c r="S311" s="1127" t="s">
        <v>1032</v>
      </c>
      <c r="T311" s="843" t="s">
        <v>1033</v>
      </c>
      <c r="U311" s="842">
        <v>6</v>
      </c>
      <c r="V311" s="842" t="s">
        <v>3</v>
      </c>
      <c r="W311" s="846"/>
      <c r="X311" s="847">
        <f t="shared" si="47"/>
        <v>0</v>
      </c>
      <c r="Y311" s="848"/>
      <c r="Z311" s="849">
        <v>177</v>
      </c>
      <c r="AA311" s="849"/>
      <c r="AB311" s="849">
        <f t="shared" si="48"/>
        <v>1062</v>
      </c>
      <c r="AC311" s="850">
        <f t="shared" si="49"/>
        <v>1062</v>
      </c>
      <c r="AD311" s="851"/>
      <c r="AE311" s="852">
        <v>25439.49</v>
      </c>
      <c r="AF311" s="853">
        <v>0</v>
      </c>
      <c r="AG311" s="854">
        <f t="shared" si="50"/>
        <v>0</v>
      </c>
      <c r="AH311" s="853"/>
      <c r="AI311" s="855">
        <f t="shared" si="51"/>
        <v>0</v>
      </c>
      <c r="AJ311" s="845" t="s">
        <v>1019</v>
      </c>
      <c r="AK311" s="857">
        <v>44921</v>
      </c>
      <c r="AL311" s="840"/>
      <c r="AM311" s="840"/>
      <c r="AN311" s="858"/>
      <c r="AO311" s="844" t="s">
        <v>141</v>
      </c>
      <c r="AP311" s="859"/>
      <c r="AQ311" s="859" t="s">
        <v>957</v>
      </c>
      <c r="AR311" s="859"/>
      <c r="AS311" s="840"/>
      <c r="AT311" s="840"/>
      <c r="AU311" s="860"/>
      <c r="AV311" s="839" t="s">
        <v>1020</v>
      </c>
      <c r="AW311" s="861">
        <v>44964</v>
      </c>
      <c r="AX311" s="862" t="s">
        <v>959</v>
      </c>
      <c r="AY311" s="843"/>
      <c r="AZ311" s="842"/>
      <c r="BA311" s="842" t="s">
        <v>120</v>
      </c>
      <c r="BB311" s="863" t="s">
        <v>121</v>
      </c>
      <c r="BC311" s="864">
        <v>44964</v>
      </c>
      <c r="BD311" s="860" t="s">
        <v>1021</v>
      </c>
      <c r="BE311" s="865" cm="1">
        <f t="array" ref="BE311">IF(BD311="","",AC311/SUMPRODUCT(--(BD311=$BD$4:$BD$12824),$AC$4:$AC$12824))</f>
        <v>3.0043792646909057E-2</v>
      </c>
      <c r="BF311" s="458"/>
      <c r="BG311" s="458"/>
      <c r="BH311" s="458"/>
      <c r="BI311" s="458"/>
      <c r="BJ311" s="458"/>
      <c r="BK311" s="458"/>
      <c r="BL311" s="458"/>
      <c r="BM311" s="458"/>
      <c r="BN311" s="458"/>
      <c r="BO311" s="866">
        <f>VLOOKUP(BD311,$BD$4:$BN$12824,3,0)*BE311</f>
        <v>2416124.0879926677</v>
      </c>
      <c r="BP311" s="866"/>
      <c r="BQ311" s="866"/>
      <c r="BR311" s="866">
        <f>VLOOKUP(BD311,$BD$4:$BN$12824,6,0)*BE311</f>
        <v>659316.31734392513</v>
      </c>
      <c r="BS311" s="866">
        <f>VLOOKUP(BD311,$BD$4:$BN$12824,7,0)*BE311</f>
        <v>0</v>
      </c>
      <c r="BT311" s="866"/>
      <c r="BU311" s="866">
        <f>VLOOKUP(BD311,$BD$4:$BN$12824,9,0)*BE311</f>
        <v>15021.896323454528</v>
      </c>
      <c r="BV311" s="867"/>
      <c r="BW311" s="867">
        <f>VLOOKUP(BD311,$BD$4:$BN$12824,11,0)*BE311</f>
        <v>0</v>
      </c>
      <c r="BX311" s="1146">
        <f t="shared" si="57"/>
        <v>3090462.3016600474</v>
      </c>
      <c r="BY311" s="867">
        <f t="shared" si="54"/>
        <v>5017866.7802766748</v>
      </c>
      <c r="BZ311" s="867">
        <f t="shared" si="52"/>
        <v>30107200.681660049</v>
      </c>
      <c r="CA311" s="867">
        <f>_xlfn.MAXIFS($BY$4:$BY$12824,$S$4:$S$12824,$S311)</f>
        <v>5017866.7802766748</v>
      </c>
      <c r="CB311" s="1032"/>
      <c r="CF311" s="946">
        <f t="shared" si="53"/>
        <v>27016738.380000003</v>
      </c>
    </row>
    <row r="312" spans="1:84">
      <c r="A312" s="1032"/>
      <c r="B312" s="839" t="s">
        <v>98</v>
      </c>
      <c r="C312" s="839" t="s">
        <v>381</v>
      </c>
      <c r="D312" s="839" t="s">
        <v>1016</v>
      </c>
      <c r="E312" s="839" t="s">
        <v>1016</v>
      </c>
      <c r="F312" s="841">
        <v>44740</v>
      </c>
      <c r="G312" s="840" t="s">
        <v>383</v>
      </c>
      <c r="H312" s="842" t="s">
        <v>134</v>
      </c>
      <c r="I312" s="842"/>
      <c r="J312" s="841"/>
      <c r="K312" s="841"/>
      <c r="L312" s="843"/>
      <c r="M312" s="844" t="s">
        <v>107</v>
      </c>
      <c r="N312" s="841"/>
      <c r="O312" s="841" t="s">
        <v>150</v>
      </c>
      <c r="P312" s="841" t="s">
        <v>151</v>
      </c>
      <c r="Q312" s="843"/>
      <c r="R312" s="845">
        <v>3130</v>
      </c>
      <c r="S312" s="1127" t="s">
        <v>1034</v>
      </c>
      <c r="T312" s="843" t="s">
        <v>1035</v>
      </c>
      <c r="U312" s="842">
        <v>6</v>
      </c>
      <c r="V312" s="842" t="s">
        <v>3</v>
      </c>
      <c r="W312" s="846"/>
      <c r="X312" s="847">
        <f t="shared" si="47"/>
        <v>0</v>
      </c>
      <c r="Y312" s="848"/>
      <c r="Z312" s="849">
        <v>177</v>
      </c>
      <c r="AA312" s="849"/>
      <c r="AB312" s="849">
        <f t="shared" si="48"/>
        <v>1062</v>
      </c>
      <c r="AC312" s="850">
        <f t="shared" si="49"/>
        <v>1062</v>
      </c>
      <c r="AD312" s="851"/>
      <c r="AE312" s="852">
        <v>25439.49</v>
      </c>
      <c r="AF312" s="853">
        <v>0</v>
      </c>
      <c r="AG312" s="854">
        <f t="shared" si="50"/>
        <v>0</v>
      </c>
      <c r="AH312" s="853"/>
      <c r="AI312" s="855">
        <f t="shared" si="51"/>
        <v>0</v>
      </c>
      <c r="AJ312" s="845" t="s">
        <v>1019</v>
      </c>
      <c r="AK312" s="857">
        <v>44921</v>
      </c>
      <c r="AL312" s="840"/>
      <c r="AM312" s="840"/>
      <c r="AN312" s="858"/>
      <c r="AO312" s="844" t="s">
        <v>141</v>
      </c>
      <c r="AP312" s="859"/>
      <c r="AQ312" s="859" t="s">
        <v>957</v>
      </c>
      <c r="AR312" s="859"/>
      <c r="AS312" s="840"/>
      <c r="AT312" s="840"/>
      <c r="AU312" s="860"/>
      <c r="AV312" s="839" t="s">
        <v>1020</v>
      </c>
      <c r="AW312" s="861">
        <v>44964</v>
      </c>
      <c r="AX312" s="862" t="s">
        <v>959</v>
      </c>
      <c r="AY312" s="843"/>
      <c r="AZ312" s="842"/>
      <c r="BA312" s="842" t="s">
        <v>120</v>
      </c>
      <c r="BB312" s="863" t="s">
        <v>121</v>
      </c>
      <c r="BC312" s="864">
        <v>44964</v>
      </c>
      <c r="BD312" s="860" t="s">
        <v>1021</v>
      </c>
      <c r="BE312" s="865" cm="1">
        <f t="array" ref="BE312">IF(BD312="","",AC312/SUMPRODUCT(--(BD312=$BD$4:$BD$12824),$AC$4:$AC$12824))</f>
        <v>3.0043792646909057E-2</v>
      </c>
      <c r="BF312" s="458"/>
      <c r="BG312" s="458"/>
      <c r="BH312" s="458"/>
      <c r="BI312" s="458"/>
      <c r="BJ312" s="458"/>
      <c r="BK312" s="458"/>
      <c r="BL312" s="458"/>
      <c r="BM312" s="458"/>
      <c r="BN312" s="458"/>
      <c r="BO312" s="866">
        <f>VLOOKUP(BD312,$BD$4:$BN$12824,3,0)*BE312</f>
        <v>2416124.0879926677</v>
      </c>
      <c r="BP312" s="866"/>
      <c r="BQ312" s="866"/>
      <c r="BR312" s="866">
        <f>VLOOKUP(BD312,$BD$4:$BN$12824,6,0)*BE312</f>
        <v>659316.31734392513</v>
      </c>
      <c r="BS312" s="866">
        <f>VLOOKUP(BD312,$BD$4:$BN$12824,7,0)*BE312</f>
        <v>0</v>
      </c>
      <c r="BT312" s="866"/>
      <c r="BU312" s="866">
        <f>VLOOKUP(BD312,$BD$4:$BN$12824,9,0)*BE312</f>
        <v>15021.896323454528</v>
      </c>
      <c r="BV312" s="867"/>
      <c r="BW312" s="867">
        <f>VLOOKUP(BD312,$BD$4:$BN$12824,11,0)*BE312</f>
        <v>0</v>
      </c>
      <c r="BX312" s="1146">
        <f t="shared" si="57"/>
        <v>3090462.3016600474</v>
      </c>
      <c r="BY312" s="867">
        <f t="shared" si="54"/>
        <v>5017866.7802766748</v>
      </c>
      <c r="BZ312" s="867">
        <f t="shared" si="52"/>
        <v>30107200.681660049</v>
      </c>
      <c r="CA312" s="867">
        <f>_xlfn.MAXIFS($BY$4:$BY$12824,$S$4:$S$12824,$S312)</f>
        <v>5017866.7802766748</v>
      </c>
      <c r="CB312" s="1032"/>
      <c r="CF312" s="946">
        <f t="shared" si="53"/>
        <v>27016738.380000003</v>
      </c>
    </row>
    <row r="313" spans="1:84">
      <c r="A313" s="1032"/>
      <c r="B313" s="839" t="s">
        <v>98</v>
      </c>
      <c r="C313" s="839" t="s">
        <v>381</v>
      </c>
      <c r="D313" s="839" t="s">
        <v>1016</v>
      </c>
      <c r="E313" s="839" t="s">
        <v>1016</v>
      </c>
      <c r="F313" s="841">
        <v>44740</v>
      </c>
      <c r="G313" s="840" t="s">
        <v>383</v>
      </c>
      <c r="H313" s="842" t="s">
        <v>134</v>
      </c>
      <c r="I313" s="842"/>
      <c r="J313" s="841"/>
      <c r="K313" s="841"/>
      <c r="L313" s="843"/>
      <c r="M313" s="844" t="s">
        <v>107</v>
      </c>
      <c r="N313" s="841"/>
      <c r="O313" s="841" t="s">
        <v>150</v>
      </c>
      <c r="P313" s="841" t="s">
        <v>151</v>
      </c>
      <c r="Q313" s="843"/>
      <c r="R313" s="845">
        <v>3130</v>
      </c>
      <c r="S313" s="1127" t="s">
        <v>1036</v>
      </c>
      <c r="T313" s="843" t="s">
        <v>1037</v>
      </c>
      <c r="U313" s="842">
        <v>6</v>
      </c>
      <c r="V313" s="842" t="s">
        <v>3</v>
      </c>
      <c r="W313" s="846"/>
      <c r="X313" s="847">
        <f t="shared" si="47"/>
        <v>0</v>
      </c>
      <c r="Y313" s="848"/>
      <c r="Z313" s="849">
        <v>177</v>
      </c>
      <c r="AA313" s="849"/>
      <c r="AB313" s="849">
        <f t="shared" si="48"/>
        <v>1062</v>
      </c>
      <c r="AC313" s="850">
        <f t="shared" si="49"/>
        <v>1062</v>
      </c>
      <c r="AD313" s="851"/>
      <c r="AE313" s="852">
        <v>25439.49</v>
      </c>
      <c r="AF313" s="853">
        <v>0</v>
      </c>
      <c r="AG313" s="854">
        <f t="shared" si="50"/>
        <v>0</v>
      </c>
      <c r="AH313" s="853"/>
      <c r="AI313" s="855">
        <f t="shared" si="51"/>
        <v>0</v>
      </c>
      <c r="AJ313" s="845" t="s">
        <v>1019</v>
      </c>
      <c r="AK313" s="857">
        <v>44921</v>
      </c>
      <c r="AL313" s="840"/>
      <c r="AM313" s="840"/>
      <c r="AN313" s="858"/>
      <c r="AO313" s="844" t="s">
        <v>141</v>
      </c>
      <c r="AP313" s="859"/>
      <c r="AQ313" s="859" t="s">
        <v>957</v>
      </c>
      <c r="AR313" s="859"/>
      <c r="AS313" s="840"/>
      <c r="AT313" s="840"/>
      <c r="AU313" s="860"/>
      <c r="AV313" s="839" t="s">
        <v>1020</v>
      </c>
      <c r="AW313" s="861">
        <v>44964</v>
      </c>
      <c r="AX313" s="862" t="s">
        <v>959</v>
      </c>
      <c r="AY313" s="843"/>
      <c r="AZ313" s="842"/>
      <c r="BA313" s="842" t="s">
        <v>120</v>
      </c>
      <c r="BB313" s="863" t="s">
        <v>121</v>
      </c>
      <c r="BC313" s="864">
        <v>44964</v>
      </c>
      <c r="BD313" s="860" t="s">
        <v>1021</v>
      </c>
      <c r="BE313" s="865" cm="1">
        <f t="array" ref="BE313">IF(BD313="","",AC313/SUMPRODUCT(--(BD313=$BD$4:$BD$12824),$AC$4:$AC$12824))</f>
        <v>3.0043792646909057E-2</v>
      </c>
      <c r="BF313" s="458"/>
      <c r="BG313" s="458"/>
      <c r="BH313" s="458"/>
      <c r="BI313" s="458"/>
      <c r="BJ313" s="458"/>
      <c r="BK313" s="458"/>
      <c r="BL313" s="458"/>
      <c r="BM313" s="458"/>
      <c r="BN313" s="458"/>
      <c r="BO313" s="866">
        <f>VLOOKUP(BD313,$BD$4:$BN$12824,3,0)*BE313</f>
        <v>2416124.0879926677</v>
      </c>
      <c r="BP313" s="866"/>
      <c r="BQ313" s="866"/>
      <c r="BR313" s="866">
        <f>VLOOKUP(BD313,$BD$4:$BN$12824,6,0)*BE313</f>
        <v>659316.31734392513</v>
      </c>
      <c r="BS313" s="866">
        <f>VLOOKUP(BD313,$BD$4:$BN$12824,7,0)*BE313</f>
        <v>0</v>
      </c>
      <c r="BT313" s="866"/>
      <c r="BU313" s="866">
        <f>VLOOKUP(BD313,$BD$4:$BN$12824,9,0)*BE313</f>
        <v>15021.896323454528</v>
      </c>
      <c r="BV313" s="867"/>
      <c r="BW313" s="867">
        <f>VLOOKUP(BD313,$BD$4:$BN$12824,11,0)*BE313</f>
        <v>0</v>
      </c>
      <c r="BX313" s="1146">
        <f t="shared" si="57"/>
        <v>3090462.3016600474</v>
      </c>
      <c r="BY313" s="867">
        <f t="shared" si="54"/>
        <v>5017866.7802766748</v>
      </c>
      <c r="BZ313" s="867">
        <f t="shared" si="52"/>
        <v>30107200.681660049</v>
      </c>
      <c r="CA313" s="867">
        <f>_xlfn.MAXIFS($BY$4:$BY$12824,$S$4:$S$12824,$S313)</f>
        <v>5017866.7802766748</v>
      </c>
      <c r="CB313" s="1032"/>
      <c r="CF313" s="946">
        <f t="shared" si="53"/>
        <v>27016738.380000003</v>
      </c>
    </row>
    <row r="314" spans="1:84">
      <c r="A314" s="1032"/>
      <c r="B314" s="839" t="s">
        <v>98</v>
      </c>
      <c r="C314" s="839" t="s">
        <v>381</v>
      </c>
      <c r="D314" s="839" t="s">
        <v>1016</v>
      </c>
      <c r="E314" s="839" t="s">
        <v>1016</v>
      </c>
      <c r="F314" s="841">
        <v>44740</v>
      </c>
      <c r="G314" s="840" t="s">
        <v>383</v>
      </c>
      <c r="H314" s="842" t="s">
        <v>134</v>
      </c>
      <c r="I314" s="842"/>
      <c r="J314" s="841"/>
      <c r="K314" s="841"/>
      <c r="L314" s="843"/>
      <c r="M314" s="844" t="s">
        <v>107</v>
      </c>
      <c r="N314" s="841"/>
      <c r="O314" s="841" t="s">
        <v>150</v>
      </c>
      <c r="P314" s="841" t="s">
        <v>151</v>
      </c>
      <c r="Q314" s="843"/>
      <c r="R314" s="845" t="s">
        <v>1038</v>
      </c>
      <c r="S314" s="1127" t="s">
        <v>1039</v>
      </c>
      <c r="T314" s="843" t="s">
        <v>1040</v>
      </c>
      <c r="U314" s="842">
        <v>2</v>
      </c>
      <c r="V314" s="842" t="s">
        <v>3</v>
      </c>
      <c r="W314" s="846"/>
      <c r="X314" s="847">
        <f t="shared" si="47"/>
        <v>0</v>
      </c>
      <c r="Y314" s="848"/>
      <c r="Z314" s="849">
        <v>1025</v>
      </c>
      <c r="AA314" s="849"/>
      <c r="AB314" s="849">
        <f t="shared" si="48"/>
        <v>2050</v>
      </c>
      <c r="AC314" s="850">
        <f t="shared" si="49"/>
        <v>2050</v>
      </c>
      <c r="AD314" s="851"/>
      <c r="AE314" s="852">
        <v>25439.49</v>
      </c>
      <c r="AF314" s="853">
        <v>0</v>
      </c>
      <c r="AG314" s="854">
        <f t="shared" si="50"/>
        <v>0</v>
      </c>
      <c r="AH314" s="853"/>
      <c r="AI314" s="855">
        <f t="shared" si="51"/>
        <v>0</v>
      </c>
      <c r="AJ314" s="845" t="s">
        <v>1019</v>
      </c>
      <c r="AK314" s="857">
        <v>44921</v>
      </c>
      <c r="AL314" s="840"/>
      <c r="AM314" s="840"/>
      <c r="AN314" s="858"/>
      <c r="AO314" s="844" t="s">
        <v>141</v>
      </c>
      <c r="AP314" s="859"/>
      <c r="AQ314" s="859" t="s">
        <v>957</v>
      </c>
      <c r="AR314" s="859"/>
      <c r="AS314" s="840"/>
      <c r="AT314" s="840"/>
      <c r="AU314" s="860"/>
      <c r="AV314" s="839" t="s">
        <v>1020</v>
      </c>
      <c r="AW314" s="861">
        <v>44964</v>
      </c>
      <c r="AX314" s="862" t="s">
        <v>959</v>
      </c>
      <c r="AY314" s="843"/>
      <c r="AZ314" s="842"/>
      <c r="BA314" s="842" t="s">
        <v>120</v>
      </c>
      <c r="BB314" s="863" t="s">
        <v>121</v>
      </c>
      <c r="BC314" s="864">
        <v>44964</v>
      </c>
      <c r="BD314" s="860" t="s">
        <v>1021</v>
      </c>
      <c r="BE314" s="865" cm="1">
        <f t="array" ref="BE314">IF(BD314="","",AC314/SUMPRODUCT(--(BD314=$BD$4:$BD$12824),$AC$4:$AC$12824))</f>
        <v>5.799413834855327E-2</v>
      </c>
      <c r="BF314" s="458"/>
      <c r="BG314" s="458"/>
      <c r="BH314" s="458"/>
      <c r="BI314" s="458"/>
      <c r="BJ314" s="458"/>
      <c r="BK314" s="458"/>
      <c r="BL314" s="458"/>
      <c r="BM314" s="458"/>
      <c r="BN314" s="458"/>
      <c r="BO314" s="866">
        <f>VLOOKUP(BD314,$BD$4:$BN$12824,3,0)*BE314</f>
        <v>4663893.0135451686</v>
      </c>
      <c r="BP314" s="866"/>
      <c r="BQ314" s="866"/>
      <c r="BR314" s="866">
        <f>VLOOKUP(BD314,$BD$4:$BN$12824,6,0)*BE314</f>
        <v>1272691.5730273509</v>
      </c>
      <c r="BS314" s="866">
        <f>VLOOKUP(BD314,$BD$4:$BN$12824,7,0)*BE314</f>
        <v>0</v>
      </c>
      <c r="BT314" s="866"/>
      <c r="BU314" s="866">
        <f>VLOOKUP(BD314,$BD$4:$BN$12824,9,0)*BE314</f>
        <v>28997.069174276636</v>
      </c>
      <c r="BV314" s="867"/>
      <c r="BW314" s="867">
        <f>VLOOKUP(BD314,$BD$4:$BN$12824,11,0)*BE314</f>
        <v>0</v>
      </c>
      <c r="BX314" s="1146">
        <f t="shared" si="57"/>
        <v>5965581.6557467962</v>
      </c>
      <c r="BY314" s="867">
        <f t="shared" si="54"/>
        <v>29058268.077873398</v>
      </c>
      <c r="BZ314" s="867">
        <f t="shared" si="52"/>
        <v>58116536.155746795</v>
      </c>
      <c r="CA314" s="867">
        <f>_xlfn.MAXIFS($BY$4:$BY$12824,$S$4:$S$12824,$S314)</f>
        <v>29058268.077873398</v>
      </c>
      <c r="CB314" s="1032"/>
      <c r="CF314" s="946">
        <f t="shared" si="53"/>
        <v>52150954.5</v>
      </c>
    </row>
    <row r="315" spans="1:84">
      <c r="A315" s="1032"/>
      <c r="B315" s="839" t="s">
        <v>98</v>
      </c>
      <c r="C315" s="839" t="s">
        <v>381</v>
      </c>
      <c r="D315" s="839" t="s">
        <v>1016</v>
      </c>
      <c r="E315" s="839" t="s">
        <v>1016</v>
      </c>
      <c r="F315" s="841">
        <v>44740</v>
      </c>
      <c r="G315" s="840" t="s">
        <v>383</v>
      </c>
      <c r="H315" s="842" t="s">
        <v>134</v>
      </c>
      <c r="I315" s="842"/>
      <c r="J315" s="841"/>
      <c r="K315" s="841"/>
      <c r="L315" s="843"/>
      <c r="M315" s="844" t="s">
        <v>107</v>
      </c>
      <c r="N315" s="841"/>
      <c r="O315" s="841" t="s">
        <v>150</v>
      </c>
      <c r="P315" s="841" t="s">
        <v>461</v>
      </c>
      <c r="Q315" s="843"/>
      <c r="R315" s="845" t="s">
        <v>1041</v>
      </c>
      <c r="S315" s="1127" t="s">
        <v>1042</v>
      </c>
      <c r="T315" s="843" t="s">
        <v>1043</v>
      </c>
      <c r="U315" s="842">
        <v>2</v>
      </c>
      <c r="V315" s="842" t="s">
        <v>3</v>
      </c>
      <c r="W315" s="846"/>
      <c r="X315" s="847">
        <f t="shared" si="47"/>
        <v>0</v>
      </c>
      <c r="Y315" s="848"/>
      <c r="Z315" s="849">
        <v>487</v>
      </c>
      <c r="AA315" s="849"/>
      <c r="AB315" s="849">
        <f t="shared" si="48"/>
        <v>974</v>
      </c>
      <c r="AC315" s="850">
        <f t="shared" si="49"/>
        <v>974</v>
      </c>
      <c r="AD315" s="851"/>
      <c r="AE315" s="852">
        <v>25439.49</v>
      </c>
      <c r="AF315" s="853">
        <v>0</v>
      </c>
      <c r="AG315" s="854">
        <f t="shared" si="50"/>
        <v>0</v>
      </c>
      <c r="AH315" s="853"/>
      <c r="AI315" s="855">
        <f t="shared" si="51"/>
        <v>0</v>
      </c>
      <c r="AJ315" s="845" t="s">
        <v>1019</v>
      </c>
      <c r="AK315" s="857">
        <v>44921</v>
      </c>
      <c r="AL315" s="840"/>
      <c r="AM315" s="840"/>
      <c r="AN315" s="858"/>
      <c r="AO315" s="844" t="s">
        <v>141</v>
      </c>
      <c r="AP315" s="859"/>
      <c r="AQ315" s="859" t="s">
        <v>957</v>
      </c>
      <c r="AR315" s="859"/>
      <c r="AS315" s="840"/>
      <c r="AT315" s="840"/>
      <c r="AU315" s="860"/>
      <c r="AV315" s="839" t="s">
        <v>1020</v>
      </c>
      <c r="AW315" s="861">
        <v>44964</v>
      </c>
      <c r="AX315" s="862" t="s">
        <v>959</v>
      </c>
      <c r="AY315" s="843"/>
      <c r="AZ315" s="842"/>
      <c r="BA315" s="842" t="s">
        <v>120</v>
      </c>
      <c r="BB315" s="863" t="s">
        <v>121</v>
      </c>
      <c r="BC315" s="864">
        <v>44964</v>
      </c>
      <c r="BD315" s="860" t="s">
        <v>1021</v>
      </c>
      <c r="BE315" s="865" cm="1">
        <f t="array" ref="BE315">IF(BD315="","",AC315/SUMPRODUCT(--(BD315=$BD$4:$BD$12824),$AC$4:$AC$12824))</f>
        <v>2.7554288171458968E-2</v>
      </c>
      <c r="BF315" s="458"/>
      <c r="BG315" s="458"/>
      <c r="BH315" s="458"/>
      <c r="BI315" s="458"/>
      <c r="BJ315" s="458"/>
      <c r="BK315" s="458"/>
      <c r="BL315" s="458"/>
      <c r="BM315" s="458"/>
      <c r="BN315" s="458"/>
      <c r="BO315" s="866">
        <f>VLOOKUP(BD315,$BD$4:$BN$12824,3,0)*BE315</f>
        <v>2215917.9488746314</v>
      </c>
      <c r="BP315" s="866"/>
      <c r="BQ315" s="866"/>
      <c r="BR315" s="866">
        <f>VLOOKUP(BD315,$BD$4:$BN$12824,6,0)*BE315</f>
        <v>604683.70347738522</v>
      </c>
      <c r="BS315" s="866">
        <f>VLOOKUP(BD315,$BD$4:$BN$12824,7,0)*BE315</f>
        <v>0</v>
      </c>
      <c r="BT315" s="866"/>
      <c r="BU315" s="866">
        <f>VLOOKUP(BD315,$BD$4:$BN$12824,9,0)*BE315</f>
        <v>13777.144085729484</v>
      </c>
      <c r="BV315" s="867"/>
      <c r="BW315" s="867">
        <f>VLOOKUP(BD315,$BD$4:$BN$12824,11,0)*BE315</f>
        <v>0</v>
      </c>
      <c r="BX315" s="1146">
        <f t="shared" si="57"/>
        <v>2834378.7964377459</v>
      </c>
      <c r="BY315" s="867">
        <f t="shared" si="54"/>
        <v>13806221.028218873</v>
      </c>
      <c r="BZ315" s="867">
        <f t="shared" si="52"/>
        <v>27612442.056437746</v>
      </c>
      <c r="CA315" s="867">
        <f>_xlfn.MAXIFS($BY$4:$BY$12824,$S$4:$S$12824,$S315)</f>
        <v>13806221.028218873</v>
      </c>
      <c r="CB315" s="1032"/>
      <c r="CF315" s="946">
        <f t="shared" si="53"/>
        <v>24778063.260000002</v>
      </c>
    </row>
    <row r="316" spans="1:84">
      <c r="A316" s="1032"/>
      <c r="B316" s="839" t="s">
        <v>98</v>
      </c>
      <c r="C316" s="839" t="s">
        <v>381</v>
      </c>
      <c r="D316" s="839" t="s">
        <v>1016</v>
      </c>
      <c r="E316" s="839" t="s">
        <v>1016</v>
      </c>
      <c r="F316" s="841">
        <v>44740</v>
      </c>
      <c r="G316" s="840" t="s">
        <v>383</v>
      </c>
      <c r="H316" s="842" t="s">
        <v>134</v>
      </c>
      <c r="I316" s="842"/>
      <c r="J316" s="841"/>
      <c r="K316" s="841"/>
      <c r="L316" s="843"/>
      <c r="M316" s="844" t="s">
        <v>107</v>
      </c>
      <c r="N316" s="841"/>
      <c r="O316" s="841" t="s">
        <v>150</v>
      </c>
      <c r="P316" s="841" t="s">
        <v>461</v>
      </c>
      <c r="Q316" s="843"/>
      <c r="R316" s="845" t="s">
        <v>1041</v>
      </c>
      <c r="S316" s="1127" t="s">
        <v>1044</v>
      </c>
      <c r="T316" s="843" t="s">
        <v>1045</v>
      </c>
      <c r="U316" s="842">
        <v>2</v>
      </c>
      <c r="V316" s="842" t="s">
        <v>3</v>
      </c>
      <c r="W316" s="846"/>
      <c r="X316" s="847">
        <f t="shared" si="47"/>
        <v>0</v>
      </c>
      <c r="Y316" s="848"/>
      <c r="Z316" s="849">
        <v>487</v>
      </c>
      <c r="AA316" s="849"/>
      <c r="AB316" s="849">
        <f t="shared" si="48"/>
        <v>974</v>
      </c>
      <c r="AC316" s="850">
        <f t="shared" si="49"/>
        <v>974</v>
      </c>
      <c r="AD316" s="851"/>
      <c r="AE316" s="852">
        <v>25439.49</v>
      </c>
      <c r="AF316" s="853">
        <v>0</v>
      </c>
      <c r="AG316" s="854">
        <f t="shared" si="50"/>
        <v>0</v>
      </c>
      <c r="AH316" s="853"/>
      <c r="AI316" s="855">
        <f t="shared" si="51"/>
        <v>0</v>
      </c>
      <c r="AJ316" s="845" t="s">
        <v>1019</v>
      </c>
      <c r="AK316" s="857">
        <v>44921</v>
      </c>
      <c r="AL316" s="840"/>
      <c r="AM316" s="840"/>
      <c r="AN316" s="858"/>
      <c r="AO316" s="844" t="s">
        <v>141</v>
      </c>
      <c r="AP316" s="859"/>
      <c r="AQ316" s="859" t="s">
        <v>957</v>
      </c>
      <c r="AR316" s="859"/>
      <c r="AS316" s="840"/>
      <c r="AT316" s="840"/>
      <c r="AU316" s="860"/>
      <c r="AV316" s="839" t="s">
        <v>1020</v>
      </c>
      <c r="AW316" s="861">
        <v>44964</v>
      </c>
      <c r="AX316" s="862" t="s">
        <v>959</v>
      </c>
      <c r="AY316" s="843"/>
      <c r="AZ316" s="842"/>
      <c r="BA316" s="842" t="s">
        <v>120</v>
      </c>
      <c r="BB316" s="863" t="s">
        <v>121</v>
      </c>
      <c r="BC316" s="864">
        <v>44964</v>
      </c>
      <c r="BD316" s="860" t="s">
        <v>1021</v>
      </c>
      <c r="BE316" s="865" cm="1">
        <f t="array" ref="BE316">IF(BD316="","",AC316/SUMPRODUCT(--(BD316=$BD$4:$BD$12824),$AC$4:$AC$12824))</f>
        <v>2.7554288171458968E-2</v>
      </c>
      <c r="BF316" s="458"/>
      <c r="BG316" s="458"/>
      <c r="BH316" s="458"/>
      <c r="BI316" s="458"/>
      <c r="BJ316" s="458"/>
      <c r="BK316" s="458"/>
      <c r="BL316" s="458"/>
      <c r="BM316" s="458"/>
      <c r="BN316" s="458"/>
      <c r="BO316" s="866">
        <f>VLOOKUP(BD316,$BD$4:$BN$12824,3,0)*BE316</f>
        <v>2215917.9488746314</v>
      </c>
      <c r="BP316" s="866"/>
      <c r="BQ316" s="866"/>
      <c r="BR316" s="866">
        <f>VLOOKUP(BD316,$BD$4:$BN$12824,6,0)*BE316</f>
        <v>604683.70347738522</v>
      </c>
      <c r="BS316" s="866">
        <f>VLOOKUP(BD316,$BD$4:$BN$12824,7,0)*BE316</f>
        <v>0</v>
      </c>
      <c r="BT316" s="866"/>
      <c r="BU316" s="866">
        <f>VLOOKUP(BD316,$BD$4:$BN$12824,9,0)*BE316</f>
        <v>13777.144085729484</v>
      </c>
      <c r="BV316" s="867"/>
      <c r="BW316" s="867">
        <f>VLOOKUP(BD316,$BD$4:$BN$12824,11,0)*BE316</f>
        <v>0</v>
      </c>
      <c r="BX316" s="1146">
        <f t="shared" si="57"/>
        <v>2834378.7964377459</v>
      </c>
      <c r="BY316" s="867">
        <f t="shared" si="54"/>
        <v>13806221.028218873</v>
      </c>
      <c r="BZ316" s="867">
        <f t="shared" si="52"/>
        <v>27612442.056437746</v>
      </c>
      <c r="CA316" s="867">
        <f>_xlfn.MAXIFS($BY$4:$BY$12824,$S$4:$S$12824,$S316)</f>
        <v>13806221.028218873</v>
      </c>
      <c r="CB316" s="1032"/>
      <c r="CF316" s="946">
        <f t="shared" si="53"/>
        <v>24778063.260000002</v>
      </c>
    </row>
    <row r="317" spans="1:84">
      <c r="A317" s="1032"/>
      <c r="B317" s="839" t="s">
        <v>98</v>
      </c>
      <c r="C317" s="839" t="s">
        <v>381</v>
      </c>
      <c r="D317" s="839" t="s">
        <v>1016</v>
      </c>
      <c r="E317" s="839" t="s">
        <v>1016</v>
      </c>
      <c r="F317" s="841">
        <v>44740</v>
      </c>
      <c r="G317" s="840" t="s">
        <v>383</v>
      </c>
      <c r="H317" s="842" t="s">
        <v>134</v>
      </c>
      <c r="I317" s="842"/>
      <c r="J317" s="841"/>
      <c r="K317" s="841"/>
      <c r="L317" s="843"/>
      <c r="M317" s="844" t="s">
        <v>107</v>
      </c>
      <c r="N317" s="841"/>
      <c r="O317" s="841" t="s">
        <v>150</v>
      </c>
      <c r="P317" s="841" t="s">
        <v>461</v>
      </c>
      <c r="Q317" s="843"/>
      <c r="R317" s="845" t="s">
        <v>1041</v>
      </c>
      <c r="S317" s="1127" t="s">
        <v>1046</v>
      </c>
      <c r="T317" s="843" t="s">
        <v>1047</v>
      </c>
      <c r="U317" s="842">
        <v>4</v>
      </c>
      <c r="V317" s="842" t="s">
        <v>3</v>
      </c>
      <c r="W317" s="846"/>
      <c r="X317" s="847">
        <f t="shared" si="47"/>
        <v>0</v>
      </c>
      <c r="Y317" s="848"/>
      <c r="Z317" s="849">
        <v>487</v>
      </c>
      <c r="AA317" s="849"/>
      <c r="AB317" s="849">
        <f t="shared" si="48"/>
        <v>1948</v>
      </c>
      <c r="AC317" s="850">
        <f t="shared" si="49"/>
        <v>1948</v>
      </c>
      <c r="AD317" s="851"/>
      <c r="AE317" s="852">
        <v>25439.49</v>
      </c>
      <c r="AF317" s="853">
        <v>0</v>
      </c>
      <c r="AG317" s="854">
        <f t="shared" si="50"/>
        <v>0</v>
      </c>
      <c r="AH317" s="853"/>
      <c r="AI317" s="855">
        <f t="shared" si="51"/>
        <v>0</v>
      </c>
      <c r="AJ317" s="845" t="s">
        <v>1019</v>
      </c>
      <c r="AK317" s="857">
        <v>44921</v>
      </c>
      <c r="AL317" s="840"/>
      <c r="AM317" s="840"/>
      <c r="AN317" s="858"/>
      <c r="AO317" s="844" t="s">
        <v>141</v>
      </c>
      <c r="AP317" s="859"/>
      <c r="AQ317" s="859" t="s">
        <v>957</v>
      </c>
      <c r="AR317" s="859"/>
      <c r="AS317" s="840"/>
      <c r="AT317" s="840"/>
      <c r="AU317" s="860"/>
      <c r="AV317" s="839" t="s">
        <v>1020</v>
      </c>
      <c r="AW317" s="861">
        <v>44964</v>
      </c>
      <c r="AX317" s="862" t="s">
        <v>959</v>
      </c>
      <c r="AY317" s="843"/>
      <c r="AZ317" s="842"/>
      <c r="BA317" s="842" t="s">
        <v>120</v>
      </c>
      <c r="BB317" s="863" t="s">
        <v>121</v>
      </c>
      <c r="BC317" s="864">
        <v>44964</v>
      </c>
      <c r="BD317" s="860" t="s">
        <v>1021</v>
      </c>
      <c r="BE317" s="865" cm="1">
        <f t="array" ref="BE317">IF(BD317="","",AC317/SUMPRODUCT(--(BD317=$BD$4:$BD$12824),$AC$4:$AC$12824))</f>
        <v>5.5108576342917936E-2</v>
      </c>
      <c r="BF317" s="458"/>
      <c r="BG317" s="458"/>
      <c r="BH317" s="458"/>
      <c r="BI317" s="458"/>
      <c r="BJ317" s="458"/>
      <c r="BK317" s="458"/>
      <c r="BL317" s="458"/>
      <c r="BM317" s="458"/>
      <c r="BN317" s="458"/>
      <c r="BO317" s="866">
        <f>VLOOKUP(BD317,$BD$4:$BN$12824,3,0)*BE317</f>
        <v>4431835.8977492629</v>
      </c>
      <c r="BP317" s="866"/>
      <c r="BQ317" s="866"/>
      <c r="BR317" s="866">
        <f>VLOOKUP(BD317,$BD$4:$BN$12824,6,0)*BE317</f>
        <v>1209367.4069547704</v>
      </c>
      <c r="BS317" s="866">
        <f>VLOOKUP(BD317,$BD$4:$BN$12824,7,0)*BE317</f>
        <v>0</v>
      </c>
      <c r="BT317" s="866"/>
      <c r="BU317" s="866">
        <f>VLOOKUP(BD317,$BD$4:$BN$12824,9,0)*BE317</f>
        <v>27554.288171458968</v>
      </c>
      <c r="BV317" s="867"/>
      <c r="BW317" s="867">
        <f>VLOOKUP(BD317,$BD$4:$BN$12824,11,0)*BE317</f>
        <v>0</v>
      </c>
      <c r="BX317" s="1146">
        <f t="shared" si="57"/>
        <v>5668757.5928754918</v>
      </c>
      <c r="BY317" s="867">
        <f t="shared" si="54"/>
        <v>13806221.028218873</v>
      </c>
      <c r="BZ317" s="867">
        <f t="shared" si="52"/>
        <v>55224884.112875491</v>
      </c>
      <c r="CA317" s="867">
        <f>_xlfn.MAXIFS($BY$4:$BY$12824,$S$4:$S$12824,$S317)</f>
        <v>13806221.028218873</v>
      </c>
      <c r="CB317" s="1032"/>
      <c r="CF317" s="946">
        <f t="shared" si="53"/>
        <v>49556126.520000003</v>
      </c>
    </row>
    <row r="318" spans="1:84">
      <c r="A318" s="1032"/>
      <c r="B318" s="839" t="s">
        <v>98</v>
      </c>
      <c r="C318" s="839" t="s">
        <v>381</v>
      </c>
      <c r="D318" s="839" t="s">
        <v>1016</v>
      </c>
      <c r="E318" s="839" t="s">
        <v>1016</v>
      </c>
      <c r="F318" s="841">
        <v>44740</v>
      </c>
      <c r="G318" s="840" t="s">
        <v>383</v>
      </c>
      <c r="H318" s="842" t="s">
        <v>134</v>
      </c>
      <c r="I318" s="842"/>
      <c r="J318" s="841"/>
      <c r="K318" s="841"/>
      <c r="L318" s="843"/>
      <c r="M318" s="844" t="s">
        <v>107</v>
      </c>
      <c r="N318" s="841"/>
      <c r="O318" s="841" t="s">
        <v>150</v>
      </c>
      <c r="P318" s="841" t="s">
        <v>461</v>
      </c>
      <c r="Q318" s="843"/>
      <c r="R318" s="845" t="s">
        <v>1041</v>
      </c>
      <c r="S318" s="1127" t="s">
        <v>1048</v>
      </c>
      <c r="T318" s="843" t="s">
        <v>1049</v>
      </c>
      <c r="U318" s="842">
        <v>4</v>
      </c>
      <c r="V318" s="842" t="s">
        <v>3</v>
      </c>
      <c r="W318" s="846"/>
      <c r="X318" s="847">
        <f t="shared" si="47"/>
        <v>0</v>
      </c>
      <c r="Y318" s="848"/>
      <c r="Z318" s="849">
        <v>487</v>
      </c>
      <c r="AA318" s="849"/>
      <c r="AB318" s="849">
        <f t="shared" si="48"/>
        <v>1948</v>
      </c>
      <c r="AC318" s="850">
        <f t="shared" si="49"/>
        <v>1948</v>
      </c>
      <c r="AD318" s="851"/>
      <c r="AE318" s="852">
        <v>25439.49</v>
      </c>
      <c r="AF318" s="853">
        <v>0</v>
      </c>
      <c r="AG318" s="854">
        <f t="shared" si="50"/>
        <v>0</v>
      </c>
      <c r="AH318" s="853"/>
      <c r="AI318" s="855">
        <f t="shared" si="51"/>
        <v>0</v>
      </c>
      <c r="AJ318" s="845" t="s">
        <v>1019</v>
      </c>
      <c r="AK318" s="857">
        <v>44921</v>
      </c>
      <c r="AL318" s="840"/>
      <c r="AM318" s="840"/>
      <c r="AN318" s="858"/>
      <c r="AO318" s="844" t="s">
        <v>141</v>
      </c>
      <c r="AP318" s="859"/>
      <c r="AQ318" s="859" t="s">
        <v>957</v>
      </c>
      <c r="AR318" s="859"/>
      <c r="AS318" s="840"/>
      <c r="AT318" s="840"/>
      <c r="AU318" s="860"/>
      <c r="AV318" s="839" t="s">
        <v>1020</v>
      </c>
      <c r="AW318" s="861">
        <v>44964</v>
      </c>
      <c r="AX318" s="862" t="s">
        <v>959</v>
      </c>
      <c r="AY318" s="843"/>
      <c r="AZ318" s="842"/>
      <c r="BA318" s="842" t="s">
        <v>120</v>
      </c>
      <c r="BB318" s="863" t="s">
        <v>121</v>
      </c>
      <c r="BC318" s="864">
        <v>44964</v>
      </c>
      <c r="BD318" s="860" t="s">
        <v>1021</v>
      </c>
      <c r="BE318" s="865" cm="1">
        <f t="array" ref="BE318">IF(BD318="","",AC318/SUMPRODUCT(--(BD318=$BD$4:$BD$12824),$AC$4:$AC$12824))</f>
        <v>5.5108576342917936E-2</v>
      </c>
      <c r="BF318" s="458"/>
      <c r="BG318" s="458"/>
      <c r="BH318" s="458"/>
      <c r="BI318" s="458"/>
      <c r="BJ318" s="458"/>
      <c r="BK318" s="458"/>
      <c r="BL318" s="458"/>
      <c r="BM318" s="458"/>
      <c r="BN318" s="458"/>
      <c r="BO318" s="866">
        <f>VLOOKUP(BD318,$BD$4:$BN$12824,3,0)*BE318</f>
        <v>4431835.8977492629</v>
      </c>
      <c r="BP318" s="866"/>
      <c r="BQ318" s="866"/>
      <c r="BR318" s="866">
        <f>VLOOKUP(BD318,$BD$4:$BN$12824,6,0)*BE318</f>
        <v>1209367.4069547704</v>
      </c>
      <c r="BS318" s="866">
        <f>VLOOKUP(BD318,$BD$4:$BN$12824,7,0)*BE318</f>
        <v>0</v>
      </c>
      <c r="BT318" s="866"/>
      <c r="BU318" s="866">
        <f>VLOOKUP(BD318,$BD$4:$BN$12824,9,0)*BE318</f>
        <v>27554.288171458968</v>
      </c>
      <c r="BV318" s="867"/>
      <c r="BW318" s="867">
        <f>VLOOKUP(BD318,$BD$4:$BN$12824,11,0)*BE318</f>
        <v>0</v>
      </c>
      <c r="BX318" s="1146">
        <f t="shared" si="57"/>
        <v>5668757.5928754918</v>
      </c>
      <c r="BY318" s="867">
        <f t="shared" si="54"/>
        <v>13806221.028218873</v>
      </c>
      <c r="BZ318" s="867">
        <f t="shared" si="52"/>
        <v>55224884.112875491</v>
      </c>
      <c r="CA318" s="867">
        <f>_xlfn.MAXIFS($BY$4:$BY$12824,$S$4:$S$12824,$S318)</f>
        <v>13806221.028218873</v>
      </c>
      <c r="CB318" s="1032"/>
      <c r="CF318" s="946">
        <f t="shared" si="53"/>
        <v>49556126.520000003</v>
      </c>
    </row>
    <row r="319" spans="1:84">
      <c r="A319" s="1032"/>
      <c r="B319" s="839" t="s">
        <v>98</v>
      </c>
      <c r="C319" s="839" t="s">
        <v>381</v>
      </c>
      <c r="D319" s="839" t="s">
        <v>1016</v>
      </c>
      <c r="E319" s="839" t="s">
        <v>1016</v>
      </c>
      <c r="F319" s="841">
        <v>44740</v>
      </c>
      <c r="G319" s="840" t="s">
        <v>383</v>
      </c>
      <c r="H319" s="842" t="s">
        <v>134</v>
      </c>
      <c r="I319" s="842"/>
      <c r="J319" s="841"/>
      <c r="K319" s="841"/>
      <c r="L319" s="843"/>
      <c r="M319" s="844" t="s">
        <v>107</v>
      </c>
      <c r="N319" s="841"/>
      <c r="O319" s="841" t="s">
        <v>108</v>
      </c>
      <c r="P319" s="841" t="s">
        <v>160</v>
      </c>
      <c r="Q319" s="843"/>
      <c r="R319" s="845">
        <v>74003505</v>
      </c>
      <c r="S319" s="1127" t="s">
        <v>1050</v>
      </c>
      <c r="T319" s="843" t="s">
        <v>1051</v>
      </c>
      <c r="U319" s="842">
        <v>2</v>
      </c>
      <c r="V319" s="842" t="s">
        <v>3</v>
      </c>
      <c r="W319" s="846"/>
      <c r="X319" s="847">
        <f t="shared" si="47"/>
        <v>0</v>
      </c>
      <c r="Y319" s="848"/>
      <c r="Z319" s="849">
        <v>283.5</v>
      </c>
      <c r="AA319" s="849"/>
      <c r="AB319" s="849">
        <f t="shared" si="48"/>
        <v>567</v>
      </c>
      <c r="AC319" s="850">
        <f t="shared" si="49"/>
        <v>567</v>
      </c>
      <c r="AD319" s="851"/>
      <c r="AE319" s="852">
        <v>25439.49</v>
      </c>
      <c r="AF319" s="853">
        <v>0.3</v>
      </c>
      <c r="AG319" s="854">
        <f t="shared" si="50"/>
        <v>4714246.6156361131</v>
      </c>
      <c r="AH319" s="853"/>
      <c r="AI319" s="855">
        <f t="shared" si="51"/>
        <v>0</v>
      </c>
      <c r="AJ319" s="845" t="s">
        <v>1019</v>
      </c>
      <c r="AK319" s="857">
        <v>44921</v>
      </c>
      <c r="AL319" s="840"/>
      <c r="AM319" s="840"/>
      <c r="AN319" s="858"/>
      <c r="AO319" s="844" t="s">
        <v>141</v>
      </c>
      <c r="AP319" s="859"/>
      <c r="AQ319" s="859" t="s">
        <v>957</v>
      </c>
      <c r="AR319" s="859"/>
      <c r="AS319" s="840"/>
      <c r="AT319" s="840"/>
      <c r="AU319" s="860"/>
      <c r="AV319" s="839" t="s">
        <v>1020</v>
      </c>
      <c r="AW319" s="861">
        <v>44964</v>
      </c>
      <c r="AX319" s="862" t="s">
        <v>959</v>
      </c>
      <c r="AY319" s="843"/>
      <c r="AZ319" s="842"/>
      <c r="BA319" s="842" t="s">
        <v>120</v>
      </c>
      <c r="BB319" s="863" t="s">
        <v>121</v>
      </c>
      <c r="BC319" s="864">
        <v>44964</v>
      </c>
      <c r="BD319" s="860" t="s">
        <v>1021</v>
      </c>
      <c r="BE319" s="865" cm="1">
        <f t="array" ref="BE319">IF(BD319="","",AC319/SUMPRODUCT(--(BD319=$BD$4:$BD$12824),$AC$4:$AC$12824))</f>
        <v>1.6040329972502293E-2</v>
      </c>
      <c r="BF319" s="458"/>
      <c r="BG319" s="458"/>
      <c r="BH319" s="458"/>
      <c r="BI319" s="458"/>
      <c r="BJ319" s="458"/>
      <c r="BK319" s="458"/>
      <c r="BL319" s="458"/>
      <c r="BM319" s="458"/>
      <c r="BN319" s="458"/>
      <c r="BO319" s="866">
        <f>VLOOKUP(BD319,$BD$4:$BN$12824,3,0)*BE319</f>
        <v>1289964.5554537124</v>
      </c>
      <c r="BP319" s="866"/>
      <c r="BQ319" s="866"/>
      <c r="BR319" s="866">
        <f>VLOOKUP(BD319,$BD$4:$BN$12824,6,0)*BE319</f>
        <v>352007.86434463796</v>
      </c>
      <c r="BS319" s="866">
        <f>VLOOKUP(BD319,$BD$4:$BN$12824,7,0)*BE319</f>
        <v>0</v>
      </c>
      <c r="BT319" s="866"/>
      <c r="BU319" s="866">
        <f>VLOOKUP(BD319,$BD$4:$BN$12824,9,0)*BE319</f>
        <v>8020.1649862511467</v>
      </c>
      <c r="BV319" s="867"/>
      <c r="BW319" s="867">
        <f>VLOOKUP(BD319,$BD$4:$BN$12824,11,0)*BE319</f>
        <v>0</v>
      </c>
      <c r="BX319" s="1146">
        <f t="shared" si="57"/>
        <v>1649992.5847846016</v>
      </c>
      <c r="BY319" s="867">
        <f t="shared" si="54"/>
        <v>10394215.015210357</v>
      </c>
      <c r="BZ319" s="867">
        <f t="shared" si="52"/>
        <v>20788430.030420713</v>
      </c>
      <c r="CA319" s="867">
        <f>_xlfn.MAXIFS($BY$4:$BY$12824,$S$4:$S$12824,$S319)</f>
        <v>10394215.015210357</v>
      </c>
      <c r="CB319" s="1032"/>
      <c r="CF319" s="946">
        <f t="shared" si="53"/>
        <v>14424190.83</v>
      </c>
    </row>
    <row r="320" spans="1:84">
      <c r="A320" s="1032"/>
      <c r="B320" s="839" t="s">
        <v>98</v>
      </c>
      <c r="C320" s="839" t="s">
        <v>381</v>
      </c>
      <c r="D320" s="839" t="s">
        <v>1016</v>
      </c>
      <c r="E320" s="839" t="s">
        <v>1016</v>
      </c>
      <c r="F320" s="841">
        <v>44740</v>
      </c>
      <c r="G320" s="840" t="s">
        <v>383</v>
      </c>
      <c r="H320" s="842" t="s">
        <v>134</v>
      </c>
      <c r="I320" s="842"/>
      <c r="J320" s="841"/>
      <c r="K320" s="841"/>
      <c r="L320" s="843"/>
      <c r="M320" s="844" t="s">
        <v>107</v>
      </c>
      <c r="N320" s="841"/>
      <c r="O320" s="841" t="s">
        <v>108</v>
      </c>
      <c r="P320" s="841" t="s">
        <v>160</v>
      </c>
      <c r="Q320" s="843"/>
      <c r="R320" s="845">
        <v>62701305</v>
      </c>
      <c r="S320" s="1127" t="s">
        <v>1052</v>
      </c>
      <c r="T320" s="843" t="s">
        <v>1053</v>
      </c>
      <c r="U320" s="842">
        <v>4</v>
      </c>
      <c r="V320" s="842" t="s">
        <v>3</v>
      </c>
      <c r="W320" s="846"/>
      <c r="X320" s="847">
        <f t="shared" si="47"/>
        <v>0</v>
      </c>
      <c r="Y320" s="848"/>
      <c r="Z320" s="849">
        <v>263.7</v>
      </c>
      <c r="AA320" s="849"/>
      <c r="AB320" s="849">
        <f t="shared" si="48"/>
        <v>1054.8</v>
      </c>
      <c r="AC320" s="850">
        <f t="shared" si="49"/>
        <v>1054.8</v>
      </c>
      <c r="AD320" s="851"/>
      <c r="AE320" s="852">
        <v>25439.49</v>
      </c>
      <c r="AF320" s="853">
        <v>0.3</v>
      </c>
      <c r="AG320" s="854">
        <f t="shared" si="50"/>
        <v>8769995.2913103569</v>
      </c>
      <c r="AH320" s="853"/>
      <c r="AI320" s="855">
        <f t="shared" si="51"/>
        <v>0</v>
      </c>
      <c r="AJ320" s="845" t="s">
        <v>1019</v>
      </c>
      <c r="AK320" s="857">
        <v>44921</v>
      </c>
      <c r="AL320" s="840"/>
      <c r="AM320" s="840"/>
      <c r="AN320" s="858"/>
      <c r="AO320" s="844" t="s">
        <v>141</v>
      </c>
      <c r="AP320" s="859"/>
      <c r="AQ320" s="859" t="s">
        <v>957</v>
      </c>
      <c r="AR320" s="859"/>
      <c r="AS320" s="840"/>
      <c r="AT320" s="840"/>
      <c r="AU320" s="860"/>
      <c r="AV320" s="839" t="s">
        <v>1020</v>
      </c>
      <c r="AW320" s="861">
        <v>44964</v>
      </c>
      <c r="AX320" s="862" t="s">
        <v>959</v>
      </c>
      <c r="AY320" s="843"/>
      <c r="AZ320" s="842"/>
      <c r="BA320" s="842" t="s">
        <v>120</v>
      </c>
      <c r="BB320" s="863" t="s">
        <v>121</v>
      </c>
      <c r="BC320" s="864">
        <v>44964</v>
      </c>
      <c r="BD320" s="860" t="s">
        <v>1021</v>
      </c>
      <c r="BE320" s="865" cm="1">
        <f t="array" ref="BE320">IF(BD320="","",AC320/SUMPRODUCT(--(BD320=$BD$4:$BD$12824),$AC$4:$AC$12824))</f>
        <v>2.9840105917099506E-2</v>
      </c>
      <c r="BF320" s="458"/>
      <c r="BG320" s="458"/>
      <c r="BH320" s="458"/>
      <c r="BI320" s="458"/>
      <c r="BJ320" s="458"/>
      <c r="BK320" s="458"/>
      <c r="BL320" s="458"/>
      <c r="BM320" s="458"/>
      <c r="BN320" s="458"/>
      <c r="BO320" s="866">
        <f>VLOOKUP(BD320,$BD$4:$BN$12824,3,0)*BE320</f>
        <v>2399743.5857011918</v>
      </c>
      <c r="BP320" s="866"/>
      <c r="BQ320" s="866"/>
      <c r="BR320" s="866">
        <f>VLOOKUP(BD320,$BD$4:$BN$12824,6,0)*BE320</f>
        <v>654846.37620939012</v>
      </c>
      <c r="BS320" s="866">
        <f>VLOOKUP(BD320,$BD$4:$BN$12824,7,0)*BE320</f>
        <v>0</v>
      </c>
      <c r="BT320" s="866"/>
      <c r="BU320" s="866">
        <f>VLOOKUP(BD320,$BD$4:$BN$12824,9,0)*BE320</f>
        <v>14920.052958549753</v>
      </c>
      <c r="BV320" s="867"/>
      <c r="BW320" s="867">
        <f>VLOOKUP(BD320,$BD$4:$BN$12824,11,0)*BE320</f>
        <v>0</v>
      </c>
      <c r="BX320" s="1146">
        <f t="shared" si="57"/>
        <v>3069510.0148691321</v>
      </c>
      <c r="BY320" s="867">
        <f t="shared" si="54"/>
        <v>9668269.8395448718</v>
      </c>
      <c r="BZ320" s="867">
        <f t="shared" si="52"/>
        <v>38673079.358179487</v>
      </c>
      <c r="CA320" s="867">
        <f>_xlfn.MAXIFS($BY$4:$BY$12824,$S$4:$S$12824,$S320)</f>
        <v>9668269.8395448718</v>
      </c>
      <c r="CB320" s="1032"/>
      <c r="CF320" s="946">
        <f t="shared" si="53"/>
        <v>26833574.052000001</v>
      </c>
    </row>
    <row r="321" spans="1:84">
      <c r="A321" s="1032"/>
      <c r="B321" s="839" t="s">
        <v>98</v>
      </c>
      <c r="C321" s="839" t="s">
        <v>381</v>
      </c>
      <c r="D321" s="839" t="s">
        <v>1016</v>
      </c>
      <c r="E321" s="839" t="s">
        <v>1016</v>
      </c>
      <c r="F321" s="841">
        <v>44740</v>
      </c>
      <c r="G321" s="840" t="s">
        <v>383</v>
      </c>
      <c r="H321" s="842" t="s">
        <v>134</v>
      </c>
      <c r="I321" s="842"/>
      <c r="J321" s="841"/>
      <c r="K321" s="841"/>
      <c r="L321" s="843"/>
      <c r="M321" s="844" t="s">
        <v>107</v>
      </c>
      <c r="N321" s="841"/>
      <c r="O321" s="841" t="s">
        <v>108</v>
      </c>
      <c r="P321" s="841" t="s">
        <v>160</v>
      </c>
      <c r="Q321" s="843"/>
      <c r="R321" s="845">
        <v>62701706</v>
      </c>
      <c r="S321" s="1127" t="s">
        <v>1054</v>
      </c>
      <c r="T321" s="843" t="s">
        <v>1055</v>
      </c>
      <c r="U321" s="842">
        <v>4</v>
      </c>
      <c r="V321" s="842" t="s">
        <v>3</v>
      </c>
      <c r="W321" s="846"/>
      <c r="X321" s="847">
        <f t="shared" ref="X321:X384" si="58">W321*U321</f>
        <v>0</v>
      </c>
      <c r="Y321" s="848"/>
      <c r="Z321" s="849">
        <v>263.7</v>
      </c>
      <c r="AA321" s="849"/>
      <c r="AB321" s="849">
        <f t="shared" ref="AB321:AB384" si="59">IF(AA321="F.O.C", 0, Z321*U321)</f>
        <v>1054.8</v>
      </c>
      <c r="AC321" s="850">
        <f t="shared" ref="AC321:AC384" si="60">Z321*U321</f>
        <v>1054.8</v>
      </c>
      <c r="AD321" s="851"/>
      <c r="AE321" s="852">
        <v>25439.49</v>
      </c>
      <c r="AF321" s="853">
        <v>0.3</v>
      </c>
      <c r="AG321" s="854">
        <f t="shared" ref="AG321:AG384" si="61">(AC321*AE321+BO321+BP321+BQ321+BS321)*AF321</f>
        <v>8769995.2913103569</v>
      </c>
      <c r="AH321" s="853"/>
      <c r="AI321" s="855">
        <f t="shared" ref="AI321:AI384" si="62">(AC321*AE321+AG321+BF321+BG321+BH321+BJ321)*AH321</f>
        <v>0</v>
      </c>
      <c r="AJ321" s="845" t="s">
        <v>1019</v>
      </c>
      <c r="AK321" s="857">
        <v>44921</v>
      </c>
      <c r="AL321" s="840"/>
      <c r="AM321" s="840"/>
      <c r="AN321" s="858"/>
      <c r="AO321" s="844" t="s">
        <v>141</v>
      </c>
      <c r="AP321" s="859"/>
      <c r="AQ321" s="859" t="s">
        <v>957</v>
      </c>
      <c r="AR321" s="859"/>
      <c r="AS321" s="840"/>
      <c r="AT321" s="840"/>
      <c r="AU321" s="860"/>
      <c r="AV321" s="839" t="s">
        <v>1020</v>
      </c>
      <c r="AW321" s="861">
        <v>44964</v>
      </c>
      <c r="AX321" s="862" t="s">
        <v>959</v>
      </c>
      <c r="AY321" s="843"/>
      <c r="AZ321" s="842"/>
      <c r="BA321" s="842" t="s">
        <v>120</v>
      </c>
      <c r="BB321" s="863" t="s">
        <v>121</v>
      </c>
      <c r="BC321" s="864">
        <v>44964</v>
      </c>
      <c r="BD321" s="860" t="s">
        <v>1021</v>
      </c>
      <c r="BE321" s="865" cm="1">
        <f t="array" ref="BE321">IF(BD321="","",AC321/SUMPRODUCT(--(BD321=$BD$4:$BD$12824),$AC$4:$AC$12824))</f>
        <v>2.9840105917099506E-2</v>
      </c>
      <c r="BF321" s="458"/>
      <c r="BG321" s="458"/>
      <c r="BH321" s="458"/>
      <c r="BI321" s="458"/>
      <c r="BJ321" s="458"/>
      <c r="BK321" s="458"/>
      <c r="BL321" s="458"/>
      <c r="BM321" s="458"/>
      <c r="BN321" s="458"/>
      <c r="BO321" s="866">
        <f>VLOOKUP(BD321,$BD$4:$BN$12824,3,0)*BE321</f>
        <v>2399743.5857011918</v>
      </c>
      <c r="BP321" s="866"/>
      <c r="BQ321" s="866"/>
      <c r="BR321" s="866">
        <f>VLOOKUP(BD321,$BD$4:$BN$12824,6,0)*BE321</f>
        <v>654846.37620939012</v>
      </c>
      <c r="BS321" s="866">
        <f>VLOOKUP(BD321,$BD$4:$BN$12824,7,0)*BE321</f>
        <v>0</v>
      </c>
      <c r="BT321" s="866"/>
      <c r="BU321" s="866">
        <f>VLOOKUP(BD321,$BD$4:$BN$12824,9,0)*BE321</f>
        <v>14920.052958549753</v>
      </c>
      <c r="BV321" s="867"/>
      <c r="BW321" s="867">
        <f>VLOOKUP(BD321,$BD$4:$BN$12824,11,0)*BE321</f>
        <v>0</v>
      </c>
      <c r="BX321" s="1146">
        <f t="shared" si="57"/>
        <v>3069510.0148691321</v>
      </c>
      <c r="BY321" s="867">
        <f t="shared" si="54"/>
        <v>9668269.8395448718</v>
      </c>
      <c r="BZ321" s="867">
        <f t="shared" ref="BZ321:BZ384" si="63">BY321*U321</f>
        <v>38673079.358179487</v>
      </c>
      <c r="CA321" s="867">
        <f>_xlfn.MAXIFS($BY$4:$BY$12824,$S$4:$S$12824,$S321)</f>
        <v>9668269.8395448718</v>
      </c>
      <c r="CB321" s="1032"/>
      <c r="CF321" s="946">
        <f t="shared" si="53"/>
        <v>26833574.052000001</v>
      </c>
    </row>
    <row r="322" spans="1:84">
      <c r="A322" s="1032"/>
      <c r="B322" s="839" t="s">
        <v>98</v>
      </c>
      <c r="C322" s="839" t="s">
        <v>381</v>
      </c>
      <c r="D322" s="839" t="s">
        <v>1016</v>
      </c>
      <c r="E322" s="839" t="s">
        <v>1016</v>
      </c>
      <c r="F322" s="841">
        <v>44740</v>
      </c>
      <c r="G322" s="840" t="s">
        <v>383</v>
      </c>
      <c r="H322" s="842" t="s">
        <v>134</v>
      </c>
      <c r="I322" s="842"/>
      <c r="J322" s="841"/>
      <c r="K322" s="841"/>
      <c r="L322" s="843"/>
      <c r="M322" s="844" t="s">
        <v>107</v>
      </c>
      <c r="N322" s="841"/>
      <c r="O322" s="841" t="s">
        <v>135</v>
      </c>
      <c r="P322" s="841" t="s">
        <v>182</v>
      </c>
      <c r="Q322" s="843"/>
      <c r="R322" s="845">
        <v>840141</v>
      </c>
      <c r="S322" s="1127" t="s">
        <v>1056</v>
      </c>
      <c r="T322" s="843" t="s">
        <v>1057</v>
      </c>
      <c r="U322" s="842">
        <v>32</v>
      </c>
      <c r="V322" s="842" t="s">
        <v>3</v>
      </c>
      <c r="W322" s="846"/>
      <c r="X322" s="847">
        <f t="shared" si="58"/>
        <v>0</v>
      </c>
      <c r="Y322" s="848"/>
      <c r="Z322" s="849">
        <v>42</v>
      </c>
      <c r="AA322" s="849"/>
      <c r="AB322" s="849">
        <f t="shared" si="59"/>
        <v>1344</v>
      </c>
      <c r="AC322" s="850">
        <f t="shared" si="60"/>
        <v>1344</v>
      </c>
      <c r="AD322" s="851"/>
      <c r="AE322" s="852">
        <v>25439.49</v>
      </c>
      <c r="AF322" s="853">
        <v>0.15</v>
      </c>
      <c r="AG322" s="854">
        <f t="shared" si="61"/>
        <v>5587255.2481613206</v>
      </c>
      <c r="AH322" s="853"/>
      <c r="AI322" s="855">
        <f t="shared" si="62"/>
        <v>0</v>
      </c>
      <c r="AJ322" s="845" t="s">
        <v>1019</v>
      </c>
      <c r="AK322" s="857">
        <v>44921</v>
      </c>
      <c r="AL322" s="840"/>
      <c r="AM322" s="840"/>
      <c r="AN322" s="858"/>
      <c r="AO322" s="844" t="s">
        <v>141</v>
      </c>
      <c r="AP322" s="859"/>
      <c r="AQ322" s="859" t="s">
        <v>957</v>
      </c>
      <c r="AR322" s="859"/>
      <c r="AS322" s="840"/>
      <c r="AT322" s="840"/>
      <c r="AU322" s="860"/>
      <c r="AV322" s="839" t="s">
        <v>1020</v>
      </c>
      <c r="AW322" s="861">
        <v>44964</v>
      </c>
      <c r="AX322" s="862" t="s">
        <v>959</v>
      </c>
      <c r="AY322" s="843"/>
      <c r="AZ322" s="842"/>
      <c r="BA322" s="842" t="s">
        <v>120</v>
      </c>
      <c r="BB322" s="863" t="s">
        <v>121</v>
      </c>
      <c r="BC322" s="864">
        <v>44964</v>
      </c>
      <c r="BD322" s="860" t="s">
        <v>1021</v>
      </c>
      <c r="BE322" s="865" cm="1">
        <f t="array" ref="BE322">IF(BD322="","",AC322/SUMPRODUCT(--(BD322=$BD$4:$BD$12824),$AC$4:$AC$12824))</f>
        <v>3.8021522897783218E-2</v>
      </c>
      <c r="BF322" s="458"/>
      <c r="BG322" s="458"/>
      <c r="BH322" s="458"/>
      <c r="BI322" s="458"/>
      <c r="BJ322" s="458"/>
      <c r="BK322" s="458"/>
      <c r="BL322" s="458"/>
      <c r="BM322" s="458"/>
      <c r="BN322" s="458"/>
      <c r="BO322" s="866">
        <f>VLOOKUP(BD322,$BD$4:$BN$12824,3,0)*BE322</f>
        <v>3057693.7610754664</v>
      </c>
      <c r="BP322" s="866"/>
      <c r="BQ322" s="866"/>
      <c r="BR322" s="866">
        <f>VLOOKUP(BD322,$BD$4:$BN$12824,6,0)*BE322</f>
        <v>834389.01177988271</v>
      </c>
      <c r="BS322" s="866">
        <f>VLOOKUP(BD322,$BD$4:$BN$12824,7,0)*BE322</f>
        <v>0</v>
      </c>
      <c r="BT322" s="866"/>
      <c r="BU322" s="866">
        <f>VLOOKUP(BD322,$BD$4:$BN$12824,9,0)*BE322</f>
        <v>19010.761448891608</v>
      </c>
      <c r="BV322" s="867"/>
      <c r="BW322" s="867">
        <f>VLOOKUP(BD322,$BD$4:$BN$12824,11,0)*BE322</f>
        <v>0</v>
      </c>
      <c r="BX322" s="1146">
        <f t="shared" si="57"/>
        <v>3911093.5343042407</v>
      </c>
      <c r="BY322" s="867">
        <f t="shared" si="54"/>
        <v>1365281.9794520489</v>
      </c>
      <c r="BZ322" s="867">
        <f t="shared" si="63"/>
        <v>43689023.342465565</v>
      </c>
      <c r="CA322" s="867">
        <f>_xlfn.MAXIFS($BY$4:$BY$12824,$S$4:$S$12824,$S322)</f>
        <v>1977835.4455294788</v>
      </c>
      <c r="CB322" s="1032"/>
      <c r="CF322" s="946">
        <f t="shared" si="53"/>
        <v>34190674.560000002</v>
      </c>
    </row>
    <row r="323" spans="1:84">
      <c r="A323" s="1032"/>
      <c r="B323" s="839" t="s">
        <v>98</v>
      </c>
      <c r="C323" s="839" t="s">
        <v>381</v>
      </c>
      <c r="D323" s="839" t="s">
        <v>1016</v>
      </c>
      <c r="E323" s="839" t="s">
        <v>1016</v>
      </c>
      <c r="F323" s="841">
        <v>44740</v>
      </c>
      <c r="G323" s="840" t="s">
        <v>383</v>
      </c>
      <c r="H323" s="842" t="s">
        <v>134</v>
      </c>
      <c r="I323" s="842"/>
      <c r="J323" s="841"/>
      <c r="K323" s="841"/>
      <c r="L323" s="843"/>
      <c r="M323" s="844" t="s">
        <v>107</v>
      </c>
      <c r="N323" s="841"/>
      <c r="O323" s="841" t="s">
        <v>135</v>
      </c>
      <c r="P323" s="841" t="s">
        <v>182</v>
      </c>
      <c r="Q323" s="843"/>
      <c r="R323" s="845">
        <v>840140</v>
      </c>
      <c r="S323" s="1127" t="s">
        <v>1058</v>
      </c>
      <c r="T323" s="843" t="s">
        <v>1059</v>
      </c>
      <c r="U323" s="842">
        <v>20</v>
      </c>
      <c r="V323" s="842" t="s">
        <v>3</v>
      </c>
      <c r="W323" s="846"/>
      <c r="X323" s="847">
        <f t="shared" si="58"/>
        <v>0</v>
      </c>
      <c r="Y323" s="848"/>
      <c r="Z323" s="849">
        <v>78</v>
      </c>
      <c r="AA323" s="849"/>
      <c r="AB323" s="849">
        <f t="shared" si="59"/>
        <v>1560</v>
      </c>
      <c r="AC323" s="850">
        <f t="shared" si="60"/>
        <v>1560</v>
      </c>
      <c r="AD323" s="851"/>
      <c r="AE323" s="852">
        <v>25439.49</v>
      </c>
      <c r="AF323" s="853">
        <v>0.15</v>
      </c>
      <c r="AG323" s="854">
        <f t="shared" si="61"/>
        <v>6485206.9844729612</v>
      </c>
      <c r="AH323" s="853"/>
      <c r="AI323" s="855">
        <f t="shared" si="62"/>
        <v>0</v>
      </c>
      <c r="AJ323" s="845" t="s">
        <v>1019</v>
      </c>
      <c r="AK323" s="857">
        <v>44921</v>
      </c>
      <c r="AL323" s="840"/>
      <c r="AM323" s="840"/>
      <c r="AN323" s="858"/>
      <c r="AO323" s="844" t="s">
        <v>141</v>
      </c>
      <c r="AP323" s="859"/>
      <c r="AQ323" s="859" t="s">
        <v>957</v>
      </c>
      <c r="AR323" s="859"/>
      <c r="AS323" s="840"/>
      <c r="AT323" s="840"/>
      <c r="AU323" s="860"/>
      <c r="AV323" s="839" t="s">
        <v>1020</v>
      </c>
      <c r="AW323" s="861">
        <v>44964</v>
      </c>
      <c r="AX323" s="862" t="s">
        <v>959</v>
      </c>
      <c r="AY323" s="843"/>
      <c r="AZ323" s="842"/>
      <c r="BA323" s="842" t="s">
        <v>120</v>
      </c>
      <c r="BB323" s="863" t="s">
        <v>121</v>
      </c>
      <c r="BC323" s="864">
        <v>44964</v>
      </c>
      <c r="BD323" s="860" t="s">
        <v>1021</v>
      </c>
      <c r="BE323" s="865" cm="1">
        <f t="array" ref="BE323">IF(BD323="","",AC323/SUMPRODUCT(--(BD323=$BD$4:$BD$12824),$AC$4:$AC$12824))</f>
        <v>4.4132124792069807E-2</v>
      </c>
      <c r="BF323" s="458"/>
      <c r="BG323" s="458"/>
      <c r="BH323" s="458"/>
      <c r="BI323" s="458"/>
      <c r="BJ323" s="458"/>
      <c r="BK323" s="458"/>
      <c r="BL323" s="458"/>
      <c r="BM323" s="458"/>
      <c r="BN323" s="458"/>
      <c r="BO323" s="866">
        <f>VLOOKUP(BD323,$BD$4:$BN$12824,3,0)*BE323</f>
        <v>3549108.8298197379</v>
      </c>
      <c r="BP323" s="866"/>
      <c r="BQ323" s="866"/>
      <c r="BR323" s="866">
        <f>VLOOKUP(BD323,$BD$4:$BN$12824,6,0)*BE323</f>
        <v>968487.24581593531</v>
      </c>
      <c r="BS323" s="866">
        <f>VLOOKUP(BD323,$BD$4:$BN$12824,7,0)*BE323</f>
        <v>0</v>
      </c>
      <c r="BT323" s="866"/>
      <c r="BU323" s="866">
        <f>VLOOKUP(BD323,$BD$4:$BN$12824,9,0)*BE323</f>
        <v>22066.062396034904</v>
      </c>
      <c r="BV323" s="867"/>
      <c r="BW323" s="867">
        <f>VLOOKUP(BD323,$BD$4:$BN$12824,11,0)*BE323</f>
        <v>0</v>
      </c>
      <c r="BX323" s="1146">
        <f t="shared" si="57"/>
        <v>4539662.1380317081</v>
      </c>
      <c r="BY323" s="867">
        <f t="shared" si="54"/>
        <v>2535523.6761252335</v>
      </c>
      <c r="BZ323" s="867">
        <f t="shared" si="63"/>
        <v>50710473.522504672</v>
      </c>
      <c r="CA323" s="867">
        <f>_xlfn.MAXIFS($BY$4:$BY$12824,$S$4:$S$12824,$S323)</f>
        <v>2535523.6761252335</v>
      </c>
      <c r="CB323" s="1032"/>
      <c r="CF323" s="946">
        <f t="shared" si="53"/>
        <v>39685604.400000006</v>
      </c>
    </row>
    <row r="324" spans="1:84">
      <c r="A324" s="1032"/>
      <c r="B324" s="839" t="s">
        <v>98</v>
      </c>
      <c r="C324" s="839" t="s">
        <v>381</v>
      </c>
      <c r="D324" s="839" t="s">
        <v>1016</v>
      </c>
      <c r="E324" s="839" t="s">
        <v>1016</v>
      </c>
      <c r="F324" s="841">
        <v>44740</v>
      </c>
      <c r="G324" s="840" t="s">
        <v>383</v>
      </c>
      <c r="H324" s="842" t="s">
        <v>134</v>
      </c>
      <c r="I324" s="842"/>
      <c r="J324" s="841"/>
      <c r="K324" s="841"/>
      <c r="L324" s="843"/>
      <c r="M324" s="844" t="s">
        <v>107</v>
      </c>
      <c r="N324" s="841"/>
      <c r="O324" s="841" t="s">
        <v>135</v>
      </c>
      <c r="P324" s="841" t="s">
        <v>182</v>
      </c>
      <c r="Q324" s="843"/>
      <c r="R324" s="845">
        <v>840142</v>
      </c>
      <c r="S324" s="1127" t="s">
        <v>1060</v>
      </c>
      <c r="T324" s="843" t="s">
        <v>1061</v>
      </c>
      <c r="U324" s="842">
        <v>20</v>
      </c>
      <c r="V324" s="842" t="s">
        <v>3</v>
      </c>
      <c r="W324" s="846"/>
      <c r="X324" s="847">
        <f t="shared" si="58"/>
        <v>0</v>
      </c>
      <c r="Y324" s="848"/>
      <c r="Z324" s="849">
        <v>78</v>
      </c>
      <c r="AA324" s="849"/>
      <c r="AB324" s="849">
        <f t="shared" si="59"/>
        <v>1560</v>
      </c>
      <c r="AC324" s="850">
        <f t="shared" si="60"/>
        <v>1560</v>
      </c>
      <c r="AD324" s="851"/>
      <c r="AE324" s="852">
        <v>25439.49</v>
      </c>
      <c r="AF324" s="853">
        <v>0.15</v>
      </c>
      <c r="AG324" s="854">
        <f t="shared" si="61"/>
        <v>6485206.9844729612</v>
      </c>
      <c r="AH324" s="853"/>
      <c r="AI324" s="855">
        <f t="shared" si="62"/>
        <v>0</v>
      </c>
      <c r="AJ324" s="845" t="s">
        <v>1019</v>
      </c>
      <c r="AK324" s="857">
        <v>44921</v>
      </c>
      <c r="AL324" s="840"/>
      <c r="AM324" s="840"/>
      <c r="AN324" s="858"/>
      <c r="AO324" s="844" t="s">
        <v>141</v>
      </c>
      <c r="AP324" s="859"/>
      <c r="AQ324" s="859" t="s">
        <v>957</v>
      </c>
      <c r="AR324" s="859"/>
      <c r="AS324" s="840"/>
      <c r="AT324" s="840"/>
      <c r="AU324" s="860"/>
      <c r="AV324" s="839" t="s">
        <v>1020</v>
      </c>
      <c r="AW324" s="861">
        <v>44964</v>
      </c>
      <c r="AX324" s="862" t="s">
        <v>959</v>
      </c>
      <c r="AY324" s="843"/>
      <c r="AZ324" s="842"/>
      <c r="BA324" s="842" t="s">
        <v>120</v>
      </c>
      <c r="BB324" s="863" t="s">
        <v>121</v>
      </c>
      <c r="BC324" s="864">
        <v>44964</v>
      </c>
      <c r="BD324" s="860" t="s">
        <v>1021</v>
      </c>
      <c r="BE324" s="865" cm="1">
        <f t="array" ref="BE324">IF(BD324="","",AC324/SUMPRODUCT(--(BD324=$BD$4:$BD$12824),$AC$4:$AC$12824))</f>
        <v>4.4132124792069807E-2</v>
      </c>
      <c r="BF324" s="458"/>
      <c r="BG324" s="458"/>
      <c r="BH324" s="458"/>
      <c r="BI324" s="458"/>
      <c r="BJ324" s="458"/>
      <c r="BK324" s="458"/>
      <c r="BL324" s="458"/>
      <c r="BM324" s="458"/>
      <c r="BN324" s="458"/>
      <c r="BO324" s="866">
        <f>VLOOKUP(BD324,$BD$4:$BN$12824,3,0)*BE324</f>
        <v>3549108.8298197379</v>
      </c>
      <c r="BP324" s="866"/>
      <c r="BQ324" s="866"/>
      <c r="BR324" s="866">
        <f>VLOOKUP(BD324,$BD$4:$BN$12824,6,0)*BE324</f>
        <v>968487.24581593531</v>
      </c>
      <c r="BS324" s="866">
        <f>VLOOKUP(BD324,$BD$4:$BN$12824,7,0)*BE324</f>
        <v>0</v>
      </c>
      <c r="BT324" s="866"/>
      <c r="BU324" s="866">
        <f>VLOOKUP(BD324,$BD$4:$BN$12824,9,0)*BE324</f>
        <v>22066.062396034904</v>
      </c>
      <c r="BV324" s="867"/>
      <c r="BW324" s="867">
        <f>VLOOKUP(BD324,$BD$4:$BN$12824,11,0)*BE324</f>
        <v>0</v>
      </c>
      <c r="BX324" s="1146">
        <f t="shared" si="57"/>
        <v>4539662.1380317081</v>
      </c>
      <c r="BY324" s="867">
        <f t="shared" si="54"/>
        <v>2535523.6761252335</v>
      </c>
      <c r="BZ324" s="867">
        <f t="shared" si="63"/>
        <v>50710473.522504672</v>
      </c>
      <c r="CA324" s="867">
        <f>_xlfn.MAXIFS($BY$4:$BY$12824,$S$4:$S$12824,$S324)</f>
        <v>3639217.2197742397</v>
      </c>
      <c r="CB324" s="1032"/>
      <c r="CF324" s="946">
        <f t="shared" si="53"/>
        <v>39685604.400000006</v>
      </c>
    </row>
    <row r="325" spans="1:84">
      <c r="A325" s="1032"/>
      <c r="B325" s="839" t="s">
        <v>98</v>
      </c>
      <c r="C325" s="839" t="s">
        <v>254</v>
      </c>
      <c r="D325" s="839" t="s">
        <v>1062</v>
      </c>
      <c r="E325" s="839" t="s">
        <v>1062</v>
      </c>
      <c r="F325" s="841">
        <v>44837</v>
      </c>
      <c r="G325" s="840" t="s">
        <v>254</v>
      </c>
      <c r="H325" s="842"/>
      <c r="I325" s="842"/>
      <c r="J325" s="841"/>
      <c r="K325" s="841"/>
      <c r="L325" s="843"/>
      <c r="M325" s="844" t="s">
        <v>107</v>
      </c>
      <c r="N325" s="841"/>
      <c r="O325" s="841" t="s">
        <v>108</v>
      </c>
      <c r="P325" s="841" t="s">
        <v>109</v>
      </c>
      <c r="Q325" s="843"/>
      <c r="R325" s="845" t="s">
        <v>1063</v>
      </c>
      <c r="S325" s="1127" t="s">
        <v>1064</v>
      </c>
      <c r="T325" s="843" t="s">
        <v>1065</v>
      </c>
      <c r="U325" s="842">
        <v>1</v>
      </c>
      <c r="V325" s="842" t="s">
        <v>3</v>
      </c>
      <c r="W325" s="846"/>
      <c r="X325" s="847">
        <f t="shared" si="58"/>
        <v>0</v>
      </c>
      <c r="Y325" s="848"/>
      <c r="Z325" s="849">
        <v>6273</v>
      </c>
      <c r="AA325" s="849"/>
      <c r="AB325" s="849">
        <f t="shared" si="59"/>
        <v>6273</v>
      </c>
      <c r="AC325" s="850">
        <f t="shared" si="60"/>
        <v>6273</v>
      </c>
      <c r="AD325" s="851"/>
      <c r="AE325" s="852">
        <v>24552.47</v>
      </c>
      <c r="AF325" s="853">
        <v>0</v>
      </c>
      <c r="AG325" s="854">
        <f t="shared" si="61"/>
        <v>0</v>
      </c>
      <c r="AH325" s="853"/>
      <c r="AI325" s="855">
        <f t="shared" si="62"/>
        <v>0</v>
      </c>
      <c r="AJ325" s="845" t="s">
        <v>1066</v>
      </c>
      <c r="AK325" s="857">
        <v>44854</v>
      </c>
      <c r="AL325" s="840"/>
      <c r="AM325" s="840"/>
      <c r="AN325" s="858"/>
      <c r="AO325" s="844" t="s">
        <v>141</v>
      </c>
      <c r="AP325" s="859"/>
      <c r="AQ325" s="859" t="s">
        <v>1067</v>
      </c>
      <c r="AR325" s="859"/>
      <c r="AS325" s="840"/>
      <c r="AT325" s="840"/>
      <c r="AU325" s="860"/>
      <c r="AV325" s="839" t="s">
        <v>1068</v>
      </c>
      <c r="AW325" s="861">
        <v>44935</v>
      </c>
      <c r="AX325" s="862">
        <v>44935</v>
      </c>
      <c r="AY325" s="843"/>
      <c r="AZ325" s="842"/>
      <c r="BA325" s="842" t="s">
        <v>120</v>
      </c>
      <c r="BB325" s="863" t="s">
        <v>121</v>
      </c>
      <c r="BC325" s="864">
        <v>44935</v>
      </c>
      <c r="BD325" s="860" t="s">
        <v>1069</v>
      </c>
      <c r="BE325" s="865" cm="1">
        <f t="array" ref="BE325">IF(BD325="","",AC325/SUMPRODUCT(--(BD325=$BD$4:$BD$12824),$AC$4:$AC$12824))</f>
        <v>0.79394209399221372</v>
      </c>
      <c r="BF325" s="458">
        <v>13932546</v>
      </c>
      <c r="BG325" s="458"/>
      <c r="BH325" s="458"/>
      <c r="BI325" s="458"/>
      <c r="BJ325" s="458"/>
      <c r="BK325" s="458"/>
      <c r="BL325" s="458">
        <v>20000</v>
      </c>
      <c r="BM325" s="458"/>
      <c r="BN325" s="458">
        <v>1000000</v>
      </c>
      <c r="BO325" s="866">
        <f>VLOOKUP(BD325,$BD$4:$BN$12824,3,0)*BE325</f>
        <v>11061634.745882841</v>
      </c>
      <c r="BP325" s="866"/>
      <c r="BQ325" s="866"/>
      <c r="BR325" s="866">
        <f>VLOOKUP(BD325,$BD$4:$BN$12824,6,0)*BE325</f>
        <v>0</v>
      </c>
      <c r="BS325" s="866">
        <f>VLOOKUP(BD325,$BD$4:$BN$12824,7,0)*BE325</f>
        <v>0</v>
      </c>
      <c r="BT325" s="866"/>
      <c r="BU325" s="866">
        <f>VLOOKUP(BD325,$BD$4:$BN$12824,9,0)*BE325</f>
        <v>15878.841879844274</v>
      </c>
      <c r="BV325" s="867"/>
      <c r="BW325" s="867">
        <f>VLOOKUP(BD325,$BD$4:$BN$12824,11,0)*BE325</f>
        <v>793942.09399221372</v>
      </c>
      <c r="BX325" s="1146">
        <f t="shared" ref="BX325:BX328" si="64">SUM(BO325:BW325)</f>
        <v>11871455.681754898</v>
      </c>
      <c r="BY325" s="867">
        <f t="shared" si="54"/>
        <v>165889099.99175489</v>
      </c>
      <c r="BZ325" s="867">
        <f t="shared" si="63"/>
        <v>165889099.99175489</v>
      </c>
      <c r="CA325" s="867">
        <f>_xlfn.MAXIFS($BY$4:$BY$12824,$S$4:$S$12824,$S325)</f>
        <v>165889099.99175489</v>
      </c>
      <c r="CB325" s="1032"/>
      <c r="CF325" s="946">
        <f t="shared" ref="CF325:CF388" si="65">AC325*AE325</f>
        <v>154017644.31</v>
      </c>
    </row>
    <row r="326" spans="1:84">
      <c r="A326" s="1032"/>
      <c r="B326" s="839" t="s">
        <v>98</v>
      </c>
      <c r="C326" s="839" t="s">
        <v>254</v>
      </c>
      <c r="D326" s="839" t="s">
        <v>1062</v>
      </c>
      <c r="E326" s="839" t="s">
        <v>1062</v>
      </c>
      <c r="F326" s="841">
        <v>44837</v>
      </c>
      <c r="G326" s="840" t="s">
        <v>254</v>
      </c>
      <c r="H326" s="842"/>
      <c r="I326" s="842"/>
      <c r="J326" s="841"/>
      <c r="K326" s="841"/>
      <c r="L326" s="843"/>
      <c r="M326" s="844" t="s">
        <v>107</v>
      </c>
      <c r="N326" s="841"/>
      <c r="O326" s="841" t="s">
        <v>108</v>
      </c>
      <c r="P326" s="841" t="s">
        <v>109</v>
      </c>
      <c r="Q326" s="843"/>
      <c r="R326" s="845" t="s">
        <v>263</v>
      </c>
      <c r="S326" s="1127" t="s">
        <v>264</v>
      </c>
      <c r="T326" s="843" t="s">
        <v>1070</v>
      </c>
      <c r="U326" s="842">
        <v>1</v>
      </c>
      <c r="V326" s="842" t="s">
        <v>3</v>
      </c>
      <c r="W326" s="846"/>
      <c r="X326" s="847">
        <f t="shared" si="58"/>
        <v>0</v>
      </c>
      <c r="Y326" s="848"/>
      <c r="Z326" s="849">
        <v>669.74</v>
      </c>
      <c r="AA326" s="849"/>
      <c r="AB326" s="849">
        <f t="shared" si="59"/>
        <v>669.74</v>
      </c>
      <c r="AC326" s="850">
        <f t="shared" si="60"/>
        <v>669.74</v>
      </c>
      <c r="AD326" s="851"/>
      <c r="AE326" s="852">
        <v>24552.47</v>
      </c>
      <c r="AF326" s="853">
        <v>0</v>
      </c>
      <c r="AG326" s="854">
        <f t="shared" si="61"/>
        <v>0</v>
      </c>
      <c r="AH326" s="853"/>
      <c r="AI326" s="855">
        <f t="shared" si="62"/>
        <v>0</v>
      </c>
      <c r="AJ326" s="845" t="s">
        <v>1066</v>
      </c>
      <c r="AK326" s="857">
        <v>44854</v>
      </c>
      <c r="AL326" s="840"/>
      <c r="AM326" s="840"/>
      <c r="AN326" s="858"/>
      <c r="AO326" s="844" t="s">
        <v>141</v>
      </c>
      <c r="AP326" s="859"/>
      <c r="AQ326" s="859" t="s">
        <v>1067</v>
      </c>
      <c r="AR326" s="859"/>
      <c r="AS326" s="840"/>
      <c r="AT326" s="840"/>
      <c r="AU326" s="860"/>
      <c r="AV326" s="839" t="s">
        <v>1068</v>
      </c>
      <c r="AW326" s="861">
        <v>44935</v>
      </c>
      <c r="AX326" s="862">
        <v>44935</v>
      </c>
      <c r="AY326" s="843"/>
      <c r="AZ326" s="842"/>
      <c r="BA326" s="842" t="s">
        <v>120</v>
      </c>
      <c r="BB326" s="863" t="s">
        <v>121</v>
      </c>
      <c r="BC326" s="864">
        <v>44935</v>
      </c>
      <c r="BD326" s="860" t="s">
        <v>1069</v>
      </c>
      <c r="BE326" s="865" cm="1">
        <f t="array" ref="BE326">IF(BD326="","",AC326/SUMPRODUCT(--(BD326=$BD$4:$BD$12824),$AC$4:$AC$12824))</f>
        <v>8.4765626977577752E-2</v>
      </c>
      <c r="BF326" s="458"/>
      <c r="BG326" s="458"/>
      <c r="BH326" s="458"/>
      <c r="BI326" s="458"/>
      <c r="BJ326" s="458"/>
      <c r="BK326" s="458"/>
      <c r="BL326" s="458"/>
      <c r="BM326" s="458"/>
      <c r="BN326" s="458"/>
      <c r="BO326" s="866">
        <f>VLOOKUP(BD326,$BD$4:$BN$12824,3,0)*BE326</f>
        <v>1181000.9970839431</v>
      </c>
      <c r="BP326" s="866"/>
      <c r="BQ326" s="866"/>
      <c r="BR326" s="866">
        <f>VLOOKUP(BD326,$BD$4:$BN$12824,6,0)*BE326</f>
        <v>0</v>
      </c>
      <c r="BS326" s="866">
        <f>VLOOKUP(BD326,$BD$4:$BN$12824,7,0)*BE326</f>
        <v>0</v>
      </c>
      <c r="BT326" s="866"/>
      <c r="BU326" s="866">
        <f>VLOOKUP(BD326,$BD$4:$BN$12824,9,0)*BE326</f>
        <v>1695.3125395515551</v>
      </c>
      <c r="BV326" s="867"/>
      <c r="BW326" s="867">
        <f>VLOOKUP(BD326,$BD$4:$BN$12824,11,0)*BE326</f>
        <v>84765.626977577747</v>
      </c>
      <c r="BX326" s="1146">
        <f t="shared" si="64"/>
        <v>1267461.9366010725</v>
      </c>
      <c r="BY326" s="867">
        <f t="shared" ref="BY326:BY389" si="66">(AB326*AE326+AG326+BX326)/U326</f>
        <v>17711233.194401074</v>
      </c>
      <c r="BZ326" s="867">
        <f t="shared" si="63"/>
        <v>17711233.194401074</v>
      </c>
      <c r="CA326" s="867">
        <f>_xlfn.MAXIFS($BY$4:$BY$12824,$S$4:$S$12824,$S326)</f>
        <v>22340948.800936483</v>
      </c>
      <c r="CB326" s="1032"/>
      <c r="CF326" s="946">
        <f t="shared" si="65"/>
        <v>16443771.257800002</v>
      </c>
    </row>
    <row r="327" spans="1:84">
      <c r="A327" s="1032"/>
      <c r="B327" s="839" t="s">
        <v>98</v>
      </c>
      <c r="C327" s="839" t="s">
        <v>254</v>
      </c>
      <c r="D327" s="839" t="s">
        <v>1062</v>
      </c>
      <c r="E327" s="839" t="s">
        <v>1062</v>
      </c>
      <c r="F327" s="841">
        <v>44837</v>
      </c>
      <c r="G327" s="840" t="s">
        <v>254</v>
      </c>
      <c r="H327" s="842"/>
      <c r="I327" s="842"/>
      <c r="J327" s="841"/>
      <c r="K327" s="841"/>
      <c r="L327" s="843"/>
      <c r="M327" s="844" t="s">
        <v>107</v>
      </c>
      <c r="N327" s="841"/>
      <c r="O327" s="841" t="s">
        <v>108</v>
      </c>
      <c r="P327" s="841" t="s">
        <v>109</v>
      </c>
      <c r="Q327" s="843"/>
      <c r="R327" s="845" t="s">
        <v>1071</v>
      </c>
      <c r="S327" s="1127" t="s">
        <v>1072</v>
      </c>
      <c r="T327" s="843" t="s">
        <v>1073</v>
      </c>
      <c r="U327" s="842">
        <v>2</v>
      </c>
      <c r="V327" s="842" t="s">
        <v>3</v>
      </c>
      <c r="W327" s="846"/>
      <c r="X327" s="847">
        <f t="shared" si="58"/>
        <v>0</v>
      </c>
      <c r="Y327" s="848"/>
      <c r="Z327" s="849">
        <v>259.88</v>
      </c>
      <c r="AA327" s="849"/>
      <c r="AB327" s="849">
        <f t="shared" si="59"/>
        <v>519.76</v>
      </c>
      <c r="AC327" s="850">
        <f t="shared" si="60"/>
        <v>519.76</v>
      </c>
      <c r="AD327" s="851"/>
      <c r="AE327" s="852">
        <v>24552.47</v>
      </c>
      <c r="AF327" s="853">
        <v>0</v>
      </c>
      <c r="AG327" s="854">
        <f t="shared" si="61"/>
        <v>0</v>
      </c>
      <c r="AH327" s="853"/>
      <c r="AI327" s="855">
        <f t="shared" si="62"/>
        <v>0</v>
      </c>
      <c r="AJ327" s="845" t="s">
        <v>1066</v>
      </c>
      <c r="AK327" s="857">
        <v>44854</v>
      </c>
      <c r="AL327" s="840"/>
      <c r="AM327" s="840"/>
      <c r="AN327" s="858"/>
      <c r="AO327" s="844" t="s">
        <v>141</v>
      </c>
      <c r="AP327" s="859"/>
      <c r="AQ327" s="859" t="s">
        <v>1067</v>
      </c>
      <c r="AR327" s="859"/>
      <c r="AS327" s="840"/>
      <c r="AT327" s="840"/>
      <c r="AU327" s="860"/>
      <c r="AV327" s="839" t="s">
        <v>1068</v>
      </c>
      <c r="AW327" s="861">
        <v>44935</v>
      </c>
      <c r="AX327" s="862">
        <v>44935</v>
      </c>
      <c r="AY327" s="843"/>
      <c r="AZ327" s="842"/>
      <c r="BA327" s="842" t="s">
        <v>120</v>
      </c>
      <c r="BB327" s="863" t="s">
        <v>121</v>
      </c>
      <c r="BC327" s="864">
        <v>44935</v>
      </c>
      <c r="BD327" s="860" t="s">
        <v>1069</v>
      </c>
      <c r="BE327" s="865" cm="1">
        <f t="array" ref="BE327">IF(BD327="","",AC327/SUMPRODUCT(--(BD327=$BD$4:$BD$12824),$AC$4:$AC$12824))</f>
        <v>6.5783411887995052E-2</v>
      </c>
      <c r="BF327" s="458"/>
      <c r="BG327" s="458"/>
      <c r="BH327" s="458"/>
      <c r="BI327" s="458"/>
      <c r="BJ327" s="458"/>
      <c r="BK327" s="458"/>
      <c r="BL327" s="458"/>
      <c r="BM327" s="458"/>
      <c r="BN327" s="458"/>
      <c r="BO327" s="866">
        <f>VLOOKUP(BD327,$BD$4:$BN$12824,3,0)*BE327</f>
        <v>916530.41216643795</v>
      </c>
      <c r="BP327" s="866"/>
      <c r="BQ327" s="866"/>
      <c r="BR327" s="866">
        <f>VLOOKUP(BD327,$BD$4:$BN$12824,6,0)*BE327</f>
        <v>0</v>
      </c>
      <c r="BS327" s="866">
        <f>VLOOKUP(BD327,$BD$4:$BN$12824,7,0)*BE327</f>
        <v>0</v>
      </c>
      <c r="BT327" s="866"/>
      <c r="BU327" s="866">
        <f>VLOOKUP(BD327,$BD$4:$BN$12824,9,0)*BE327</f>
        <v>1315.6682377599011</v>
      </c>
      <c r="BV327" s="867"/>
      <c r="BW327" s="867">
        <f>VLOOKUP(BD327,$BD$4:$BN$12824,11,0)*BE327</f>
        <v>65783.411887995055</v>
      </c>
      <c r="BX327" s="1146">
        <f t="shared" si="64"/>
        <v>983629.49229219288</v>
      </c>
      <c r="BY327" s="867">
        <f t="shared" si="66"/>
        <v>6872510.6497460967</v>
      </c>
      <c r="BZ327" s="867">
        <f t="shared" si="63"/>
        <v>13745021.299492193</v>
      </c>
      <c r="CA327" s="867">
        <f>_xlfn.MAXIFS($BY$4:$BY$12824,$S$4:$S$12824,$S327)</f>
        <v>6872510.6497460967</v>
      </c>
      <c r="CB327" s="1032"/>
      <c r="CF327" s="946">
        <f t="shared" si="65"/>
        <v>12761391.8072</v>
      </c>
    </row>
    <row r="328" spans="1:84">
      <c r="A328" s="1032"/>
      <c r="B328" s="839" t="s">
        <v>98</v>
      </c>
      <c r="C328" s="839" t="s">
        <v>254</v>
      </c>
      <c r="D328" s="839" t="s">
        <v>1062</v>
      </c>
      <c r="E328" s="839" t="s">
        <v>1062</v>
      </c>
      <c r="F328" s="841">
        <v>44837</v>
      </c>
      <c r="G328" s="840" t="s">
        <v>254</v>
      </c>
      <c r="H328" s="842"/>
      <c r="I328" s="842"/>
      <c r="J328" s="841"/>
      <c r="K328" s="841"/>
      <c r="L328" s="843"/>
      <c r="M328" s="844" t="s">
        <v>107</v>
      </c>
      <c r="N328" s="841"/>
      <c r="O328" s="841" t="s">
        <v>108</v>
      </c>
      <c r="P328" s="841" t="s">
        <v>109</v>
      </c>
      <c r="Q328" s="843"/>
      <c r="R328" s="845" t="s">
        <v>1074</v>
      </c>
      <c r="S328" s="1127" t="s">
        <v>1075</v>
      </c>
      <c r="T328" s="843" t="s">
        <v>1076</v>
      </c>
      <c r="U328" s="842">
        <v>2</v>
      </c>
      <c r="V328" s="842" t="s">
        <v>3</v>
      </c>
      <c r="W328" s="846"/>
      <c r="X328" s="847">
        <f t="shared" si="58"/>
        <v>0</v>
      </c>
      <c r="Y328" s="848"/>
      <c r="Z328" s="849">
        <v>219.29</v>
      </c>
      <c r="AA328" s="849"/>
      <c r="AB328" s="849">
        <f t="shared" si="59"/>
        <v>438.58</v>
      </c>
      <c r="AC328" s="850">
        <f t="shared" si="60"/>
        <v>438.58</v>
      </c>
      <c r="AD328" s="851"/>
      <c r="AE328" s="852">
        <v>24552.47</v>
      </c>
      <c r="AF328" s="853">
        <v>0</v>
      </c>
      <c r="AG328" s="854">
        <f t="shared" si="61"/>
        <v>0</v>
      </c>
      <c r="AH328" s="853"/>
      <c r="AI328" s="855">
        <f t="shared" si="62"/>
        <v>0</v>
      </c>
      <c r="AJ328" s="845" t="s">
        <v>1066</v>
      </c>
      <c r="AK328" s="857">
        <v>44854</v>
      </c>
      <c r="AL328" s="840"/>
      <c r="AM328" s="840"/>
      <c r="AN328" s="858"/>
      <c r="AO328" s="844" t="s">
        <v>141</v>
      </c>
      <c r="AP328" s="859"/>
      <c r="AQ328" s="859" t="s">
        <v>1067</v>
      </c>
      <c r="AR328" s="859"/>
      <c r="AS328" s="840"/>
      <c r="AT328" s="840"/>
      <c r="AU328" s="860"/>
      <c r="AV328" s="839" t="s">
        <v>1068</v>
      </c>
      <c r="AW328" s="861">
        <v>44935</v>
      </c>
      <c r="AX328" s="862">
        <v>44935</v>
      </c>
      <c r="AY328" s="843"/>
      <c r="AZ328" s="842"/>
      <c r="BA328" s="842" t="s">
        <v>120</v>
      </c>
      <c r="BB328" s="863" t="s">
        <v>121</v>
      </c>
      <c r="BC328" s="864">
        <v>44935</v>
      </c>
      <c r="BD328" s="860" t="s">
        <v>1069</v>
      </c>
      <c r="BE328" s="865" cm="1">
        <f t="array" ref="BE328">IF(BD328="","",AC328/SUMPRODUCT(--(BD328=$BD$4:$BD$12824),$AC$4:$AC$12824))</f>
        <v>5.5508867142213467E-2</v>
      </c>
      <c r="BF328" s="458"/>
      <c r="BG328" s="458"/>
      <c r="BH328" s="458"/>
      <c r="BI328" s="458"/>
      <c r="BJ328" s="458"/>
      <c r="BK328" s="458"/>
      <c r="BL328" s="458"/>
      <c r="BM328" s="458"/>
      <c r="BN328" s="458"/>
      <c r="BO328" s="866">
        <f>VLOOKUP(BD328,$BD$4:$BN$12824,3,0)*BE328</f>
        <v>773379.84486677765</v>
      </c>
      <c r="BP328" s="866"/>
      <c r="BQ328" s="866"/>
      <c r="BR328" s="866">
        <f>VLOOKUP(BD328,$BD$4:$BN$12824,6,0)*BE328</f>
        <v>0</v>
      </c>
      <c r="BS328" s="866">
        <f>VLOOKUP(BD328,$BD$4:$BN$12824,7,0)*BE328</f>
        <v>0</v>
      </c>
      <c r="BT328" s="866"/>
      <c r="BU328" s="866">
        <f>VLOOKUP(BD328,$BD$4:$BN$12824,9,0)*BE328</f>
        <v>1110.1773428442693</v>
      </c>
      <c r="BV328" s="867"/>
      <c r="BW328" s="867">
        <f>VLOOKUP(BD328,$BD$4:$BN$12824,11,0)*BE328</f>
        <v>55508.867142213465</v>
      </c>
      <c r="BX328" s="1146">
        <f t="shared" si="64"/>
        <v>829998.88935183547</v>
      </c>
      <c r="BY328" s="867">
        <f t="shared" si="66"/>
        <v>5799110.5909759179</v>
      </c>
      <c r="BZ328" s="867">
        <f t="shared" si="63"/>
        <v>11598221.181951836</v>
      </c>
      <c r="CA328" s="867">
        <f>_xlfn.MAXIFS($BY$4:$BY$12824,$S$4:$S$12824,$S328)</f>
        <v>5799110.5909759179</v>
      </c>
      <c r="CB328" s="1032"/>
      <c r="CF328" s="946">
        <f t="shared" si="65"/>
        <v>10768222.2926</v>
      </c>
    </row>
    <row r="329" spans="1:84">
      <c r="A329" s="1032"/>
      <c r="B329" s="839" t="s">
        <v>98</v>
      </c>
      <c r="C329" s="839" t="s">
        <v>273</v>
      </c>
      <c r="D329" s="839" t="s">
        <v>1077</v>
      </c>
      <c r="E329" s="839" t="s">
        <v>1078</v>
      </c>
      <c r="F329" s="841">
        <v>44938</v>
      </c>
      <c r="G329" s="840" t="s">
        <v>273</v>
      </c>
      <c r="H329" s="842" t="s">
        <v>102</v>
      </c>
      <c r="I329" s="842" t="s">
        <v>1079</v>
      </c>
      <c r="J329" s="841" t="s">
        <v>1080</v>
      </c>
      <c r="K329" s="841" t="s">
        <v>1081</v>
      </c>
      <c r="L329" s="843" t="s">
        <v>106</v>
      </c>
      <c r="M329" s="844" t="s">
        <v>275</v>
      </c>
      <c r="N329" s="841">
        <v>45444</v>
      </c>
      <c r="O329" s="841" t="s">
        <v>150</v>
      </c>
      <c r="P329" s="841" t="s">
        <v>276</v>
      </c>
      <c r="Q329" s="843"/>
      <c r="R329" s="845" t="s">
        <v>1082</v>
      </c>
      <c r="S329" s="1127" t="s">
        <v>1082</v>
      </c>
      <c r="T329" s="843" t="s">
        <v>1083</v>
      </c>
      <c r="U329" s="842">
        <v>1</v>
      </c>
      <c r="V329" s="842" t="s">
        <v>3</v>
      </c>
      <c r="W329" s="846">
        <v>685.36</v>
      </c>
      <c r="X329" s="847">
        <f t="shared" si="58"/>
        <v>685.36</v>
      </c>
      <c r="Y329" s="848">
        <f t="shared" ref="Y329:Y352" si="67">(W329-Z329)/W329</f>
        <v>0.5</v>
      </c>
      <c r="Z329" s="849">
        <v>342.68</v>
      </c>
      <c r="AA329" s="849"/>
      <c r="AB329" s="849">
        <f t="shared" si="59"/>
        <v>342.68</v>
      </c>
      <c r="AC329" s="850">
        <f t="shared" si="60"/>
        <v>342.68</v>
      </c>
      <c r="AD329" s="851"/>
      <c r="AE329" s="852">
        <v>26339.59</v>
      </c>
      <c r="AF329" s="853">
        <v>0.1</v>
      </c>
      <c r="AG329" s="854">
        <f t="shared" si="61"/>
        <v>1146371.4437965334</v>
      </c>
      <c r="AH329" s="853"/>
      <c r="AI329" s="855">
        <f t="shared" si="62"/>
        <v>0</v>
      </c>
      <c r="AJ329" s="845" t="s">
        <v>1084</v>
      </c>
      <c r="AK329" s="857">
        <v>45413</v>
      </c>
      <c r="AL329" s="840" t="s">
        <v>1085</v>
      </c>
      <c r="AM329" s="840"/>
      <c r="AN329" s="858">
        <v>6.2907012512775723E-2</v>
      </c>
      <c r="AO329" s="844" t="s">
        <v>116</v>
      </c>
      <c r="AP329" s="859" t="s">
        <v>1086</v>
      </c>
      <c r="AQ329" s="859" t="s">
        <v>1086</v>
      </c>
      <c r="AR329" s="859" t="s">
        <v>1087</v>
      </c>
      <c r="AS329" s="840" t="s">
        <v>1088</v>
      </c>
      <c r="AT329" s="840" t="s">
        <v>1089</v>
      </c>
      <c r="AU329" s="860" t="s">
        <v>1090</v>
      </c>
      <c r="AV329" s="839" t="s">
        <v>1091</v>
      </c>
      <c r="AW329" s="861">
        <v>45313</v>
      </c>
      <c r="AX329" s="862" t="s">
        <v>1092</v>
      </c>
      <c r="AY329" s="843" t="s">
        <v>1093</v>
      </c>
      <c r="AZ329" s="842">
        <v>94031000</v>
      </c>
      <c r="BA329" s="842" t="s">
        <v>120</v>
      </c>
      <c r="BB329" s="863" t="s">
        <v>121</v>
      </c>
      <c r="BC329" s="864">
        <v>45314</v>
      </c>
      <c r="BD329" s="860" t="s">
        <v>1094</v>
      </c>
      <c r="BE329" s="865" cm="1">
        <f t="array" ref="BE329">IF(BD329="","",AC329/SUMPRODUCT(--(BD329=$BD$4:$BD$12824),$AC$4:$AC$12824))</f>
        <v>0.17001895273723169</v>
      </c>
      <c r="BF329" s="458">
        <v>14337600</v>
      </c>
      <c r="BG329" s="458"/>
      <c r="BH329" s="458"/>
      <c r="BI329" s="458">
        <v>500000</v>
      </c>
      <c r="BJ329" s="458"/>
      <c r="BK329" s="458"/>
      <c r="BL329" s="458"/>
      <c r="BM329" s="458"/>
      <c r="BN329" s="458">
        <v>600000</v>
      </c>
      <c r="BO329" s="866">
        <f>VLOOKUP(BD329,$BD$4:$BN$12824,3,0)*BE329</f>
        <v>2437663.736765333</v>
      </c>
      <c r="BP329" s="866"/>
      <c r="BQ329" s="866"/>
      <c r="BR329" s="866">
        <f>VLOOKUP(BD329,$BD$4:$BN$12824,6,0)*BE329</f>
        <v>85009.47636861584</v>
      </c>
      <c r="BS329" s="866">
        <f>VLOOKUP(BD329,$BD$4:$BN$12824,7,0)*BE329</f>
        <v>0</v>
      </c>
      <c r="BT329" s="866"/>
      <c r="BU329" s="866">
        <f>VLOOKUP(BD329,$BD$4:$BN$12824,9,0)*BE329</f>
        <v>0</v>
      </c>
      <c r="BV329" s="867"/>
      <c r="BW329" s="867">
        <f>VLOOKUP(BD329,$BD$4:$BN$12824,11,0)*BE329</f>
        <v>102011.37164233901</v>
      </c>
      <c r="BX329" s="1146">
        <f t="shared" ref="BX329:BX348" si="68">SUM(BO329:BW329)</f>
        <v>2624684.5847762879</v>
      </c>
      <c r="BY329" s="867">
        <f t="shared" si="66"/>
        <v>12797106.729772823</v>
      </c>
      <c r="BZ329" s="867">
        <f t="shared" si="63"/>
        <v>12797106.729772823</v>
      </c>
      <c r="CA329" s="867">
        <f>_xlfn.MAXIFS($BY$4:$BY$12824,$S$4:$S$12824,$S329)</f>
        <v>12797106.729772823</v>
      </c>
      <c r="CB329" s="1032"/>
      <c r="CF329" s="946">
        <f t="shared" si="65"/>
        <v>9026050.7012000009</v>
      </c>
    </row>
    <row r="330" spans="1:84">
      <c r="A330" s="1032"/>
      <c r="B330" s="839" t="s">
        <v>98</v>
      </c>
      <c r="C330" s="839" t="s">
        <v>273</v>
      </c>
      <c r="D330" s="839" t="s">
        <v>1077</v>
      </c>
      <c r="E330" s="839" t="s">
        <v>1078</v>
      </c>
      <c r="F330" s="841">
        <v>44938</v>
      </c>
      <c r="G330" s="840" t="s">
        <v>273</v>
      </c>
      <c r="H330" s="842" t="s">
        <v>102</v>
      </c>
      <c r="I330" s="842" t="s">
        <v>1079</v>
      </c>
      <c r="J330" s="841" t="s">
        <v>1080</v>
      </c>
      <c r="K330" s="841" t="s">
        <v>1081</v>
      </c>
      <c r="L330" s="843" t="s">
        <v>106</v>
      </c>
      <c r="M330" s="844" t="s">
        <v>275</v>
      </c>
      <c r="N330" s="841">
        <v>45444</v>
      </c>
      <c r="O330" s="841" t="s">
        <v>150</v>
      </c>
      <c r="P330" s="841" t="s">
        <v>276</v>
      </c>
      <c r="Q330" s="843"/>
      <c r="R330" s="845" t="s">
        <v>1095</v>
      </c>
      <c r="S330" s="1127" t="s">
        <v>1095</v>
      </c>
      <c r="T330" s="843" t="s">
        <v>1083</v>
      </c>
      <c r="U330" s="842">
        <v>1</v>
      </c>
      <c r="V330" s="842" t="s">
        <v>3</v>
      </c>
      <c r="W330" s="846">
        <v>2746.8</v>
      </c>
      <c r="X330" s="847">
        <f t="shared" si="58"/>
        <v>2746.8</v>
      </c>
      <c r="Y330" s="848">
        <f t="shared" si="67"/>
        <v>0.5</v>
      </c>
      <c r="Z330" s="849">
        <v>1373.4</v>
      </c>
      <c r="AA330" s="849"/>
      <c r="AB330" s="849">
        <f t="shared" si="59"/>
        <v>1373.4</v>
      </c>
      <c r="AC330" s="850">
        <f t="shared" si="60"/>
        <v>1373.4</v>
      </c>
      <c r="AD330" s="851"/>
      <c r="AE330" s="852">
        <v>26339.59</v>
      </c>
      <c r="AF330" s="853">
        <v>0.1</v>
      </c>
      <c r="AG330" s="854">
        <f t="shared" si="61"/>
        <v>4594451.2107802005</v>
      </c>
      <c r="AH330" s="853"/>
      <c r="AI330" s="855">
        <f t="shared" si="62"/>
        <v>0</v>
      </c>
      <c r="AJ330" s="845" t="s">
        <v>1084</v>
      </c>
      <c r="AK330" s="857">
        <v>45413</v>
      </c>
      <c r="AL330" s="840" t="s">
        <v>1085</v>
      </c>
      <c r="AM330" s="840"/>
      <c r="AN330" s="858">
        <v>0.25212002738720141</v>
      </c>
      <c r="AO330" s="844" t="s">
        <v>116</v>
      </c>
      <c r="AP330" s="859" t="s">
        <v>1086</v>
      </c>
      <c r="AQ330" s="859" t="s">
        <v>1086</v>
      </c>
      <c r="AR330" s="859" t="s">
        <v>1087</v>
      </c>
      <c r="AS330" s="840" t="s">
        <v>1088</v>
      </c>
      <c r="AT330" s="840" t="s">
        <v>1089</v>
      </c>
      <c r="AU330" s="860" t="s">
        <v>1090</v>
      </c>
      <c r="AV330" s="839" t="s">
        <v>1091</v>
      </c>
      <c r="AW330" s="861">
        <v>45313</v>
      </c>
      <c r="AX330" s="862" t="s">
        <v>1092</v>
      </c>
      <c r="AY330" s="843" t="s">
        <v>1096</v>
      </c>
      <c r="AZ330" s="842">
        <v>94031000</v>
      </c>
      <c r="BA330" s="842" t="s">
        <v>120</v>
      </c>
      <c r="BB330" s="863" t="s">
        <v>121</v>
      </c>
      <c r="BC330" s="864">
        <v>45314</v>
      </c>
      <c r="BD330" s="860" t="s">
        <v>1094</v>
      </c>
      <c r="BE330" s="865" cm="1">
        <f t="array" ref="BE330">IF(BD330="","",AC330/SUMPRODUCT(--(BD330=$BD$4:$BD$12824),$AC$4:$AC$12824))</f>
        <v>0.68140547942486873</v>
      </c>
      <c r="BF330" s="458"/>
      <c r="BG330" s="458"/>
      <c r="BH330" s="458"/>
      <c r="BI330" s="458"/>
      <c r="BJ330" s="458"/>
      <c r="BK330" s="458"/>
      <c r="BL330" s="458"/>
      <c r="BM330" s="458"/>
      <c r="BN330" s="458"/>
      <c r="BO330" s="866">
        <f>VLOOKUP(BD330,$BD$4:$BN$12824,3,0)*BE330</f>
        <v>9769719.2018019985</v>
      </c>
      <c r="BP330" s="866"/>
      <c r="BQ330" s="866"/>
      <c r="BR330" s="866">
        <f>VLOOKUP(BD330,$BD$4:$BN$12824,6,0)*BE330</f>
        <v>340702.73971243436</v>
      </c>
      <c r="BS330" s="866">
        <f>VLOOKUP(BD330,$BD$4:$BN$12824,7,0)*BE330</f>
        <v>0</v>
      </c>
      <c r="BT330" s="866"/>
      <c r="BU330" s="866">
        <f>VLOOKUP(BD330,$BD$4:$BN$12824,9,0)*BE330</f>
        <v>0</v>
      </c>
      <c r="BV330" s="867"/>
      <c r="BW330" s="867">
        <f>VLOOKUP(BD330,$BD$4:$BN$12824,11,0)*BE330</f>
        <v>408843.28765492124</v>
      </c>
      <c r="BX330" s="1146">
        <f t="shared" si="68"/>
        <v>10519265.229169354</v>
      </c>
      <c r="BY330" s="867">
        <f t="shared" si="66"/>
        <v>51288509.34594956</v>
      </c>
      <c r="BZ330" s="867">
        <f t="shared" si="63"/>
        <v>51288509.34594956</v>
      </c>
      <c r="CA330" s="867">
        <f>_xlfn.MAXIFS($BY$4:$BY$12824,$S$4:$S$12824,$S330)</f>
        <v>51288509.34594956</v>
      </c>
      <c r="CB330" s="1032"/>
      <c r="CF330" s="946">
        <f t="shared" si="65"/>
        <v>36174792.906000003</v>
      </c>
    </row>
    <row r="331" spans="1:84">
      <c r="A331" s="1032"/>
      <c r="B331" s="839" t="s">
        <v>98</v>
      </c>
      <c r="C331" s="839" t="s">
        <v>273</v>
      </c>
      <c r="D331" s="839" t="s">
        <v>1077</v>
      </c>
      <c r="E331" s="839" t="s">
        <v>1097</v>
      </c>
      <c r="F331" s="841">
        <v>45274</v>
      </c>
      <c r="G331" s="840" t="s">
        <v>273</v>
      </c>
      <c r="H331" s="842" t="s">
        <v>102</v>
      </c>
      <c r="I331" s="842" t="s">
        <v>1098</v>
      </c>
      <c r="J331" s="841" t="s">
        <v>1099</v>
      </c>
      <c r="K331" s="841"/>
      <c r="L331" s="843" t="s">
        <v>106</v>
      </c>
      <c r="M331" s="844" t="s">
        <v>275</v>
      </c>
      <c r="N331" s="841">
        <v>45444</v>
      </c>
      <c r="O331" s="841" t="s">
        <v>1100</v>
      </c>
      <c r="P331" s="841" t="s">
        <v>124</v>
      </c>
      <c r="Q331" s="843"/>
      <c r="R331" s="845" t="s">
        <v>1101</v>
      </c>
      <c r="S331" s="1127" t="s">
        <v>1102</v>
      </c>
      <c r="T331" s="843" t="s">
        <v>1103</v>
      </c>
      <c r="U331" s="842">
        <v>1</v>
      </c>
      <c r="V331" s="842" t="s">
        <v>3</v>
      </c>
      <c r="W331" s="846">
        <v>41.78</v>
      </c>
      <c r="X331" s="847">
        <f t="shared" si="58"/>
        <v>41.78</v>
      </c>
      <c r="Y331" s="848">
        <f t="shared" si="67"/>
        <v>0.5</v>
      </c>
      <c r="Z331" s="849">
        <v>20.89</v>
      </c>
      <c r="AA331" s="849"/>
      <c r="AB331" s="849">
        <f t="shared" si="59"/>
        <v>20.89</v>
      </c>
      <c r="AC331" s="850">
        <f t="shared" si="60"/>
        <v>20.89</v>
      </c>
      <c r="AD331" s="851"/>
      <c r="AE331" s="852">
        <v>26339.59</v>
      </c>
      <c r="AF331" s="853">
        <v>0.1</v>
      </c>
      <c r="AG331" s="854">
        <f t="shared" si="61"/>
        <v>69883.563268675105</v>
      </c>
      <c r="AH331" s="853"/>
      <c r="AI331" s="855">
        <f t="shared" si="62"/>
        <v>0</v>
      </c>
      <c r="AJ331" s="845" t="s">
        <v>1084</v>
      </c>
      <c r="AK331" s="857">
        <v>45413</v>
      </c>
      <c r="AL331" s="840" t="s">
        <v>1085</v>
      </c>
      <c r="AM331" s="840"/>
      <c r="AN331" s="858">
        <v>3.8348531907081967E-3</v>
      </c>
      <c r="AO331" s="844" t="s">
        <v>116</v>
      </c>
      <c r="AP331" s="859" t="s">
        <v>1086</v>
      </c>
      <c r="AQ331" s="859" t="s">
        <v>1086</v>
      </c>
      <c r="AR331" s="859" t="s">
        <v>1087</v>
      </c>
      <c r="AS331" s="840" t="s">
        <v>1088</v>
      </c>
      <c r="AT331" s="840" t="s">
        <v>1089</v>
      </c>
      <c r="AU331" s="860" t="s">
        <v>1090</v>
      </c>
      <c r="AV331" s="839" t="s">
        <v>1091</v>
      </c>
      <c r="AW331" s="861">
        <v>45313</v>
      </c>
      <c r="AX331" s="862" t="s">
        <v>1104</v>
      </c>
      <c r="AY331" s="843" t="s">
        <v>1105</v>
      </c>
      <c r="AZ331" s="842">
        <v>94031000</v>
      </c>
      <c r="BA331" s="842" t="s">
        <v>120</v>
      </c>
      <c r="BB331" s="863" t="s">
        <v>121</v>
      </c>
      <c r="BC331" s="864">
        <v>45314</v>
      </c>
      <c r="BD331" s="860" t="s">
        <v>1094</v>
      </c>
      <c r="BE331" s="865" cm="1">
        <f t="array" ref="BE331">IF(BD331="","",AC331/SUMPRODUCT(--(BD331=$BD$4:$BD$12824),$AC$4:$AC$12824))</f>
        <v>1.0364468082995126E-2</v>
      </c>
      <c r="BF331" s="458"/>
      <c r="BG331" s="458"/>
      <c r="BH331" s="458"/>
      <c r="BI331" s="458"/>
      <c r="BJ331" s="458"/>
      <c r="BK331" s="458"/>
      <c r="BL331" s="458"/>
      <c r="BM331" s="458"/>
      <c r="BN331" s="458"/>
      <c r="BO331" s="866">
        <f>VLOOKUP(BD331,$BD$4:$BN$12824,3,0)*BE331</f>
        <v>148601.59758675093</v>
      </c>
      <c r="BP331" s="866"/>
      <c r="BQ331" s="866"/>
      <c r="BR331" s="866">
        <f>VLOOKUP(BD331,$BD$4:$BN$12824,6,0)*BE331</f>
        <v>5182.2340414975633</v>
      </c>
      <c r="BS331" s="866">
        <f>VLOOKUP(BD331,$BD$4:$BN$12824,7,0)*BE331</f>
        <v>0</v>
      </c>
      <c r="BT331" s="866"/>
      <c r="BU331" s="866">
        <f>VLOOKUP(BD331,$BD$4:$BN$12824,9,0)*BE331</f>
        <v>0</v>
      </c>
      <c r="BV331" s="867"/>
      <c r="BW331" s="867">
        <f>VLOOKUP(BD331,$BD$4:$BN$12824,11,0)*BE331</f>
        <v>6218.680849797076</v>
      </c>
      <c r="BX331" s="1146">
        <f t="shared" si="68"/>
        <v>160002.51247804557</v>
      </c>
      <c r="BY331" s="867">
        <f t="shared" si="66"/>
        <v>780120.11084672064</v>
      </c>
      <c r="BZ331" s="867">
        <f t="shared" si="63"/>
        <v>780120.11084672064</v>
      </c>
      <c r="CA331" s="867">
        <f>_xlfn.MAXIFS($BY$4:$BY$12824,$S$4:$S$12824,$S331)</f>
        <v>780120.11084672064</v>
      </c>
      <c r="CB331" s="1032"/>
      <c r="CF331" s="946">
        <f t="shared" si="65"/>
        <v>550234.03509999998</v>
      </c>
    </row>
    <row r="332" spans="1:84">
      <c r="A332" s="1032"/>
      <c r="B332" s="839" t="s">
        <v>98</v>
      </c>
      <c r="C332" s="839" t="s">
        <v>273</v>
      </c>
      <c r="D332" s="839" t="s">
        <v>1077</v>
      </c>
      <c r="E332" s="839" t="s">
        <v>1097</v>
      </c>
      <c r="F332" s="841">
        <v>45274</v>
      </c>
      <c r="G332" s="840" t="s">
        <v>273</v>
      </c>
      <c r="H332" s="842" t="s">
        <v>102</v>
      </c>
      <c r="I332" s="842" t="s">
        <v>1098</v>
      </c>
      <c r="J332" s="841" t="s">
        <v>1099</v>
      </c>
      <c r="K332" s="841"/>
      <c r="L332" s="843" t="s">
        <v>106</v>
      </c>
      <c r="M332" s="844" t="s">
        <v>275</v>
      </c>
      <c r="N332" s="841">
        <v>45444</v>
      </c>
      <c r="O332" s="841" t="s">
        <v>1100</v>
      </c>
      <c r="P332" s="841" t="s">
        <v>124</v>
      </c>
      <c r="Q332" s="843"/>
      <c r="R332" s="845" t="s">
        <v>1106</v>
      </c>
      <c r="S332" s="1127" t="s">
        <v>1107</v>
      </c>
      <c r="T332" s="843" t="s">
        <v>1108</v>
      </c>
      <c r="U332" s="842">
        <v>1</v>
      </c>
      <c r="V332" s="842" t="s">
        <v>3</v>
      </c>
      <c r="W332" s="846">
        <v>43.68</v>
      </c>
      <c r="X332" s="847">
        <f t="shared" si="58"/>
        <v>43.68</v>
      </c>
      <c r="Y332" s="848">
        <f t="shared" si="67"/>
        <v>0.5</v>
      </c>
      <c r="Z332" s="849">
        <v>21.84</v>
      </c>
      <c r="AA332" s="849"/>
      <c r="AB332" s="849">
        <f t="shared" si="59"/>
        <v>21.84</v>
      </c>
      <c r="AC332" s="850">
        <f t="shared" si="60"/>
        <v>21.84</v>
      </c>
      <c r="AD332" s="851"/>
      <c r="AE332" s="852">
        <v>26339.59</v>
      </c>
      <c r="AF332" s="853">
        <v>0.1</v>
      </c>
      <c r="AG332" s="854">
        <f t="shared" si="61"/>
        <v>73061.609468064344</v>
      </c>
      <c r="AH332" s="853"/>
      <c r="AI332" s="855">
        <f t="shared" si="62"/>
        <v>0</v>
      </c>
      <c r="AJ332" s="845" t="s">
        <v>1084</v>
      </c>
      <c r="AK332" s="857">
        <v>45413</v>
      </c>
      <c r="AL332" s="840" t="s">
        <v>1085</v>
      </c>
      <c r="AM332" s="840"/>
      <c r="AN332" s="858">
        <v>4.0092481419371478E-3</v>
      </c>
      <c r="AO332" s="844" t="s">
        <v>116</v>
      </c>
      <c r="AP332" s="859" t="s">
        <v>1086</v>
      </c>
      <c r="AQ332" s="859" t="s">
        <v>1086</v>
      </c>
      <c r="AR332" s="859" t="s">
        <v>1087</v>
      </c>
      <c r="AS332" s="840" t="s">
        <v>1088</v>
      </c>
      <c r="AT332" s="840" t="s">
        <v>1089</v>
      </c>
      <c r="AU332" s="860" t="s">
        <v>1090</v>
      </c>
      <c r="AV332" s="839" t="s">
        <v>1091</v>
      </c>
      <c r="AW332" s="861">
        <v>45313</v>
      </c>
      <c r="AX332" s="862" t="s">
        <v>1104</v>
      </c>
      <c r="AY332" s="843" t="s">
        <v>1105</v>
      </c>
      <c r="AZ332" s="842">
        <v>94031000</v>
      </c>
      <c r="BA332" s="842" t="s">
        <v>120</v>
      </c>
      <c r="BB332" s="863" t="s">
        <v>121</v>
      </c>
      <c r="BC332" s="864">
        <v>45314</v>
      </c>
      <c r="BD332" s="860" t="s">
        <v>1094</v>
      </c>
      <c r="BE332" s="865" cm="1">
        <f t="array" ref="BE332">IF(BD332="","",AC332/SUMPRODUCT(--(BD332=$BD$4:$BD$12824),$AC$4:$AC$12824))</f>
        <v>1.0835805789019319E-2</v>
      </c>
      <c r="BF332" s="458"/>
      <c r="BG332" s="458"/>
      <c r="BH332" s="458"/>
      <c r="BI332" s="458"/>
      <c r="BJ332" s="458"/>
      <c r="BK332" s="458"/>
      <c r="BL332" s="458"/>
      <c r="BM332" s="458"/>
      <c r="BN332" s="458"/>
      <c r="BO332" s="866">
        <f>VLOOKUP(BD332,$BD$4:$BN$12824,3,0)*BE332</f>
        <v>155359.44908064339</v>
      </c>
      <c r="BP332" s="866"/>
      <c r="BQ332" s="866"/>
      <c r="BR332" s="866">
        <f>VLOOKUP(BD332,$BD$4:$BN$12824,6,0)*BE332</f>
        <v>5417.9028945096597</v>
      </c>
      <c r="BS332" s="866">
        <f>VLOOKUP(BD332,$BD$4:$BN$12824,7,0)*BE332</f>
        <v>0</v>
      </c>
      <c r="BT332" s="866"/>
      <c r="BU332" s="866">
        <f>VLOOKUP(BD332,$BD$4:$BN$12824,9,0)*BE332</f>
        <v>0</v>
      </c>
      <c r="BV332" s="867"/>
      <c r="BW332" s="867">
        <f>VLOOKUP(BD332,$BD$4:$BN$12824,11,0)*BE332</f>
        <v>6501.4834734115911</v>
      </c>
      <c r="BX332" s="1146">
        <f t="shared" si="68"/>
        <v>167278.83544856464</v>
      </c>
      <c r="BY332" s="867">
        <f t="shared" si="66"/>
        <v>815597.09051662905</v>
      </c>
      <c r="BZ332" s="867">
        <f t="shared" si="63"/>
        <v>815597.09051662905</v>
      </c>
      <c r="CA332" s="867">
        <f>_xlfn.MAXIFS($BY$4:$BY$12824,$S$4:$S$12824,$S332)</f>
        <v>815597.09051662905</v>
      </c>
      <c r="CB332" s="1032"/>
      <c r="CF332" s="946">
        <f t="shared" si="65"/>
        <v>575256.64560000005</v>
      </c>
    </row>
    <row r="333" spans="1:84">
      <c r="A333" s="1032"/>
      <c r="B333" s="839" t="s">
        <v>98</v>
      </c>
      <c r="C333" s="839" t="s">
        <v>273</v>
      </c>
      <c r="D333" s="839" t="s">
        <v>1077</v>
      </c>
      <c r="E333" s="839" t="s">
        <v>1097</v>
      </c>
      <c r="F333" s="841">
        <v>45274</v>
      </c>
      <c r="G333" s="840" t="s">
        <v>273</v>
      </c>
      <c r="H333" s="842" t="s">
        <v>102</v>
      </c>
      <c r="I333" s="842" t="s">
        <v>1098</v>
      </c>
      <c r="J333" s="841" t="s">
        <v>1099</v>
      </c>
      <c r="K333" s="841"/>
      <c r="L333" s="843" t="s">
        <v>106</v>
      </c>
      <c r="M333" s="844" t="s">
        <v>275</v>
      </c>
      <c r="N333" s="841">
        <v>45444</v>
      </c>
      <c r="O333" s="841" t="s">
        <v>1100</v>
      </c>
      <c r="P333" s="841" t="s">
        <v>124</v>
      </c>
      <c r="Q333" s="843"/>
      <c r="R333" s="845" t="s">
        <v>1109</v>
      </c>
      <c r="S333" s="1127" t="s">
        <v>1110</v>
      </c>
      <c r="T333" s="843" t="s">
        <v>1111</v>
      </c>
      <c r="U333" s="842">
        <v>2</v>
      </c>
      <c r="V333" s="842" t="s">
        <v>3</v>
      </c>
      <c r="W333" s="846">
        <v>64.92</v>
      </c>
      <c r="X333" s="847">
        <f t="shared" si="58"/>
        <v>129.84</v>
      </c>
      <c r="Y333" s="848">
        <f t="shared" si="67"/>
        <v>0.5</v>
      </c>
      <c r="Z333" s="849">
        <v>32.46</v>
      </c>
      <c r="AA333" s="849"/>
      <c r="AB333" s="849">
        <f t="shared" si="59"/>
        <v>64.92</v>
      </c>
      <c r="AC333" s="850">
        <f t="shared" si="60"/>
        <v>64.92</v>
      </c>
      <c r="AD333" s="851"/>
      <c r="AE333" s="852">
        <v>26339.59</v>
      </c>
      <c r="AF333" s="853">
        <v>0.1</v>
      </c>
      <c r="AG333" s="854">
        <f t="shared" si="61"/>
        <v>217177.64133089455</v>
      </c>
      <c r="AH333" s="853"/>
      <c r="AI333" s="855">
        <f t="shared" si="62"/>
        <v>0</v>
      </c>
      <c r="AJ333" s="845" t="s">
        <v>1084</v>
      </c>
      <c r="AK333" s="857">
        <v>45413</v>
      </c>
      <c r="AL333" s="840" t="s">
        <v>1085</v>
      </c>
      <c r="AM333" s="840"/>
      <c r="AN333" s="858">
        <v>1.1917600246087895E-2</v>
      </c>
      <c r="AO333" s="844" t="s">
        <v>116</v>
      </c>
      <c r="AP333" s="859" t="s">
        <v>1086</v>
      </c>
      <c r="AQ333" s="859" t="s">
        <v>1086</v>
      </c>
      <c r="AR333" s="859" t="s">
        <v>1087</v>
      </c>
      <c r="AS333" s="840" t="s">
        <v>1088</v>
      </c>
      <c r="AT333" s="840" t="s">
        <v>1089</v>
      </c>
      <c r="AU333" s="860" t="s">
        <v>1090</v>
      </c>
      <c r="AV333" s="839" t="s">
        <v>1091</v>
      </c>
      <c r="AW333" s="861">
        <v>45313</v>
      </c>
      <c r="AX333" s="862" t="s">
        <v>1104</v>
      </c>
      <c r="AY333" s="843" t="s">
        <v>1105</v>
      </c>
      <c r="AZ333" s="842">
        <v>94031000</v>
      </c>
      <c r="BA333" s="842" t="s">
        <v>120</v>
      </c>
      <c r="BB333" s="863" t="s">
        <v>121</v>
      </c>
      <c r="BC333" s="864">
        <v>45314</v>
      </c>
      <c r="BD333" s="860" t="s">
        <v>1094</v>
      </c>
      <c r="BE333" s="865" cm="1">
        <f t="array" ref="BE333">IF(BD333="","",AC333/SUMPRODUCT(--(BD333=$BD$4:$BD$12824),$AC$4:$AC$12824))</f>
        <v>3.2209730394832152E-2</v>
      </c>
      <c r="BF333" s="458"/>
      <c r="BG333" s="458"/>
      <c r="BH333" s="458"/>
      <c r="BI333" s="458"/>
      <c r="BJ333" s="458"/>
      <c r="BK333" s="458"/>
      <c r="BL333" s="458"/>
      <c r="BM333" s="458"/>
      <c r="BN333" s="458"/>
      <c r="BO333" s="866">
        <f>VLOOKUP(BD333,$BD$4:$BN$12824,3,0)*BE333</f>
        <v>461810.23050894547</v>
      </c>
      <c r="BP333" s="866"/>
      <c r="BQ333" s="866"/>
      <c r="BR333" s="866">
        <f>VLOOKUP(BD333,$BD$4:$BN$12824,6,0)*BE333</f>
        <v>16104.865197416077</v>
      </c>
      <c r="BS333" s="866">
        <f>VLOOKUP(BD333,$BD$4:$BN$12824,7,0)*BE333</f>
        <v>0</v>
      </c>
      <c r="BT333" s="866"/>
      <c r="BU333" s="866">
        <f>VLOOKUP(BD333,$BD$4:$BN$12824,9,0)*BE333</f>
        <v>0</v>
      </c>
      <c r="BV333" s="867"/>
      <c r="BW333" s="867">
        <f>VLOOKUP(BD333,$BD$4:$BN$12824,11,0)*BE333</f>
        <v>19325.83823689929</v>
      </c>
      <c r="BX333" s="1146">
        <f t="shared" si="68"/>
        <v>497240.93394326087</v>
      </c>
      <c r="BY333" s="867">
        <f t="shared" si="66"/>
        <v>1212192.3790370778</v>
      </c>
      <c r="BZ333" s="867">
        <f t="shared" si="63"/>
        <v>2424384.7580741555</v>
      </c>
      <c r="CA333" s="867">
        <f>_xlfn.MAXIFS($BY$4:$BY$12824,$S$4:$S$12824,$S333)</f>
        <v>1212192.3790370778</v>
      </c>
      <c r="CB333" s="1032"/>
      <c r="CF333" s="946">
        <f t="shared" si="65"/>
        <v>1709966.1828000001</v>
      </c>
    </row>
    <row r="334" spans="1:84">
      <c r="A334" s="1032"/>
      <c r="B334" s="839" t="s">
        <v>98</v>
      </c>
      <c r="C334" s="839" t="s">
        <v>273</v>
      </c>
      <c r="D334" s="839" t="s">
        <v>1077</v>
      </c>
      <c r="E334" s="839" t="s">
        <v>1097</v>
      </c>
      <c r="F334" s="841">
        <v>45274</v>
      </c>
      <c r="G334" s="840" t="s">
        <v>273</v>
      </c>
      <c r="H334" s="842" t="s">
        <v>102</v>
      </c>
      <c r="I334" s="842" t="s">
        <v>1098</v>
      </c>
      <c r="J334" s="841" t="s">
        <v>1099</v>
      </c>
      <c r="K334" s="841"/>
      <c r="L334" s="843" t="s">
        <v>106</v>
      </c>
      <c r="M334" s="844" t="s">
        <v>275</v>
      </c>
      <c r="N334" s="841">
        <v>45444</v>
      </c>
      <c r="O334" s="841" t="s">
        <v>1100</v>
      </c>
      <c r="P334" s="841" t="s">
        <v>124</v>
      </c>
      <c r="Q334" s="843"/>
      <c r="R334" s="845" t="s">
        <v>1112</v>
      </c>
      <c r="S334" s="1127" t="s">
        <v>1113</v>
      </c>
      <c r="T334" s="843" t="s">
        <v>1114</v>
      </c>
      <c r="U334" s="842">
        <v>4</v>
      </c>
      <c r="V334" s="842" t="s">
        <v>3</v>
      </c>
      <c r="W334" s="846">
        <v>10.88</v>
      </c>
      <c r="X334" s="847">
        <f t="shared" si="58"/>
        <v>43.52</v>
      </c>
      <c r="Y334" s="848">
        <f t="shared" si="67"/>
        <v>0.5</v>
      </c>
      <c r="Z334" s="849">
        <v>5.44</v>
      </c>
      <c r="AA334" s="849"/>
      <c r="AB334" s="849">
        <f t="shared" si="59"/>
        <v>21.76</v>
      </c>
      <c r="AC334" s="850">
        <f t="shared" si="60"/>
        <v>21.76</v>
      </c>
      <c r="AD334" s="851"/>
      <c r="AE334" s="852">
        <v>26339.59</v>
      </c>
      <c r="AF334" s="853">
        <v>0.1</v>
      </c>
      <c r="AG334" s="854">
        <f t="shared" si="61"/>
        <v>72793.984524957879</v>
      </c>
      <c r="AH334" s="853"/>
      <c r="AI334" s="855">
        <f t="shared" si="62"/>
        <v>0</v>
      </c>
      <c r="AJ334" s="845" t="s">
        <v>1084</v>
      </c>
      <c r="AK334" s="857">
        <v>45413</v>
      </c>
      <c r="AL334" s="840" t="s">
        <v>1085</v>
      </c>
      <c r="AM334" s="840"/>
      <c r="AN334" s="858">
        <v>3.9945622513073414E-3</v>
      </c>
      <c r="AO334" s="844" t="s">
        <v>116</v>
      </c>
      <c r="AP334" s="859" t="s">
        <v>1086</v>
      </c>
      <c r="AQ334" s="859" t="s">
        <v>1086</v>
      </c>
      <c r="AR334" s="859" t="s">
        <v>1087</v>
      </c>
      <c r="AS334" s="840" t="s">
        <v>1088</v>
      </c>
      <c r="AT334" s="840" t="s">
        <v>1089</v>
      </c>
      <c r="AU334" s="860" t="s">
        <v>1090</v>
      </c>
      <c r="AV334" s="839" t="s">
        <v>1091</v>
      </c>
      <c r="AW334" s="861">
        <v>45313</v>
      </c>
      <c r="AX334" s="862" t="s">
        <v>1104</v>
      </c>
      <c r="AY334" s="843" t="s">
        <v>1105</v>
      </c>
      <c r="AZ334" s="842">
        <v>94031000</v>
      </c>
      <c r="BA334" s="842" t="s">
        <v>120</v>
      </c>
      <c r="BB334" s="863" t="s">
        <v>121</v>
      </c>
      <c r="BC334" s="864">
        <v>45314</v>
      </c>
      <c r="BD334" s="860" t="s">
        <v>1094</v>
      </c>
      <c r="BE334" s="865" cm="1">
        <f t="array" ref="BE334">IF(BD334="","",AC334/SUMPRODUCT(--(BD334=$BD$4:$BD$12824),$AC$4:$AC$12824))</f>
        <v>1.0796114192722545E-2</v>
      </c>
      <c r="BF334" s="458"/>
      <c r="BG334" s="458"/>
      <c r="BH334" s="458"/>
      <c r="BI334" s="458"/>
      <c r="BJ334" s="458"/>
      <c r="BK334" s="458"/>
      <c r="BL334" s="458"/>
      <c r="BM334" s="458"/>
      <c r="BN334" s="458"/>
      <c r="BO334" s="866">
        <f>VLOOKUP(BD334,$BD$4:$BN$12824,3,0)*BE334</f>
        <v>154790.36684957877</v>
      </c>
      <c r="BP334" s="866"/>
      <c r="BQ334" s="866"/>
      <c r="BR334" s="866">
        <f>VLOOKUP(BD334,$BD$4:$BN$12824,6,0)*BE334</f>
        <v>5398.0570963612727</v>
      </c>
      <c r="BS334" s="866">
        <f>VLOOKUP(BD334,$BD$4:$BN$12824,7,0)*BE334</f>
        <v>0</v>
      </c>
      <c r="BT334" s="866"/>
      <c r="BU334" s="866">
        <f>VLOOKUP(BD334,$BD$4:$BN$12824,9,0)*BE334</f>
        <v>0</v>
      </c>
      <c r="BV334" s="867"/>
      <c r="BW334" s="867">
        <f>VLOOKUP(BD334,$BD$4:$BN$12824,11,0)*BE334</f>
        <v>6477.668515633527</v>
      </c>
      <c r="BX334" s="1146">
        <f t="shared" si="68"/>
        <v>166666.09246157357</v>
      </c>
      <c r="BY334" s="867">
        <f t="shared" si="66"/>
        <v>203152.38884663285</v>
      </c>
      <c r="BZ334" s="867">
        <f t="shared" si="63"/>
        <v>812609.5553865314</v>
      </c>
      <c r="CA334" s="867">
        <f>_xlfn.MAXIFS($BY$4:$BY$12824,$S$4:$S$12824,$S334)</f>
        <v>209011.24719546674</v>
      </c>
      <c r="CB334" s="1032"/>
      <c r="CF334" s="946">
        <f t="shared" si="65"/>
        <v>573149.47840000002</v>
      </c>
    </row>
    <row r="335" spans="1:84">
      <c r="A335" s="1032"/>
      <c r="B335" s="839" t="s">
        <v>98</v>
      </c>
      <c r="C335" s="839" t="s">
        <v>273</v>
      </c>
      <c r="D335" s="839" t="s">
        <v>1077</v>
      </c>
      <c r="E335" s="839" t="s">
        <v>1078</v>
      </c>
      <c r="F335" s="841">
        <v>44938</v>
      </c>
      <c r="G335" s="840" t="s">
        <v>273</v>
      </c>
      <c r="H335" s="842" t="s">
        <v>102</v>
      </c>
      <c r="I335" s="842" t="s">
        <v>1079</v>
      </c>
      <c r="J335" s="841" t="s">
        <v>1080</v>
      </c>
      <c r="K335" s="841" t="s">
        <v>1081</v>
      </c>
      <c r="L335" s="843" t="s">
        <v>106</v>
      </c>
      <c r="M335" s="844" t="s">
        <v>275</v>
      </c>
      <c r="N335" s="841">
        <v>45444</v>
      </c>
      <c r="O335" s="841" t="s">
        <v>1100</v>
      </c>
      <c r="P335" s="841" t="s">
        <v>124</v>
      </c>
      <c r="Q335" s="843"/>
      <c r="R335" s="845" t="s">
        <v>1112</v>
      </c>
      <c r="S335" s="1127" t="s">
        <v>1113</v>
      </c>
      <c r="T335" s="843" t="s">
        <v>1114</v>
      </c>
      <c r="U335" s="842">
        <v>7</v>
      </c>
      <c r="V335" s="842" t="s">
        <v>3</v>
      </c>
      <c r="W335" s="846">
        <v>10.88</v>
      </c>
      <c r="X335" s="847">
        <f t="shared" si="58"/>
        <v>76.160000000000011</v>
      </c>
      <c r="Y335" s="848">
        <f t="shared" si="67"/>
        <v>0.5</v>
      </c>
      <c r="Z335" s="849">
        <v>5.44</v>
      </c>
      <c r="AA335" s="849"/>
      <c r="AB335" s="849">
        <f t="shared" si="59"/>
        <v>38.080000000000005</v>
      </c>
      <c r="AC335" s="850">
        <f t="shared" si="60"/>
        <v>38.080000000000005</v>
      </c>
      <c r="AD335" s="851"/>
      <c r="AE335" s="852">
        <v>26339.59</v>
      </c>
      <c r="AF335" s="853">
        <v>0.1</v>
      </c>
      <c r="AG335" s="854">
        <f t="shared" si="61"/>
        <v>127389.47291867631</v>
      </c>
      <c r="AH335" s="853"/>
      <c r="AI335" s="855">
        <f t="shared" si="62"/>
        <v>0</v>
      </c>
      <c r="AJ335" s="845" t="s">
        <v>1084</v>
      </c>
      <c r="AK335" s="857">
        <v>45413</v>
      </c>
      <c r="AL335" s="840" t="s">
        <v>1085</v>
      </c>
      <c r="AM335" s="840"/>
      <c r="AN335" s="858">
        <v>6.990483939787847E-3</v>
      </c>
      <c r="AO335" s="844" t="s">
        <v>116</v>
      </c>
      <c r="AP335" s="859" t="s">
        <v>1086</v>
      </c>
      <c r="AQ335" s="859" t="s">
        <v>1086</v>
      </c>
      <c r="AR335" s="859" t="s">
        <v>1087</v>
      </c>
      <c r="AS335" s="840" t="s">
        <v>1088</v>
      </c>
      <c r="AT335" s="840" t="s">
        <v>1089</v>
      </c>
      <c r="AU335" s="860" t="s">
        <v>1090</v>
      </c>
      <c r="AV335" s="839" t="s">
        <v>1091</v>
      </c>
      <c r="AW335" s="861">
        <v>45313</v>
      </c>
      <c r="AX335" s="862" t="s">
        <v>1092</v>
      </c>
      <c r="AY335" s="843" t="s">
        <v>1105</v>
      </c>
      <c r="AZ335" s="842">
        <v>94031000</v>
      </c>
      <c r="BA335" s="842" t="s">
        <v>120</v>
      </c>
      <c r="BB335" s="863" t="s">
        <v>121</v>
      </c>
      <c r="BC335" s="864">
        <v>45314</v>
      </c>
      <c r="BD335" s="860" t="s">
        <v>1094</v>
      </c>
      <c r="BE335" s="865" cm="1">
        <f t="array" ref="BE335">IF(BD335="","",AC335/SUMPRODUCT(--(BD335=$BD$4:$BD$12824),$AC$4:$AC$12824))</f>
        <v>1.8893199837264455E-2</v>
      </c>
      <c r="BF335" s="458"/>
      <c r="BG335" s="458"/>
      <c r="BH335" s="458"/>
      <c r="BI335" s="458"/>
      <c r="BJ335" s="458"/>
      <c r="BK335" s="458"/>
      <c r="BL335" s="458"/>
      <c r="BM335" s="458"/>
      <c r="BN335" s="458"/>
      <c r="BO335" s="866">
        <f>VLOOKUP(BD335,$BD$4:$BN$12824,3,0)*BE335</f>
        <v>270883.14198676287</v>
      </c>
      <c r="BP335" s="866"/>
      <c r="BQ335" s="866"/>
      <c r="BR335" s="866">
        <f>VLOOKUP(BD335,$BD$4:$BN$12824,6,0)*BE335</f>
        <v>9446.5999186322279</v>
      </c>
      <c r="BS335" s="866">
        <f>VLOOKUP(BD335,$BD$4:$BN$12824,7,0)*BE335</f>
        <v>0</v>
      </c>
      <c r="BT335" s="866"/>
      <c r="BU335" s="866">
        <f>VLOOKUP(BD335,$BD$4:$BN$12824,9,0)*BE335</f>
        <v>0</v>
      </c>
      <c r="BV335" s="867"/>
      <c r="BW335" s="867">
        <f>VLOOKUP(BD335,$BD$4:$BN$12824,11,0)*BE335</f>
        <v>11335.919902358673</v>
      </c>
      <c r="BX335" s="1146">
        <f t="shared" si="68"/>
        <v>291665.66180775379</v>
      </c>
      <c r="BY335" s="867">
        <f t="shared" si="66"/>
        <v>203152.38884663288</v>
      </c>
      <c r="BZ335" s="867">
        <f t="shared" si="63"/>
        <v>1422066.7219264302</v>
      </c>
      <c r="CA335" s="867">
        <f>_xlfn.MAXIFS($BY$4:$BY$12824,$S$4:$S$12824,$S335)</f>
        <v>209011.24719546674</v>
      </c>
      <c r="CB335" s="1032"/>
      <c r="CF335" s="946">
        <f t="shared" si="65"/>
        <v>1003011.5872000002</v>
      </c>
    </row>
    <row r="336" spans="1:84">
      <c r="A336" s="1032"/>
      <c r="B336" s="839" t="s">
        <v>98</v>
      </c>
      <c r="C336" s="839" t="s">
        <v>273</v>
      </c>
      <c r="D336" s="839" t="s">
        <v>1077</v>
      </c>
      <c r="E336" s="839" t="s">
        <v>1078</v>
      </c>
      <c r="F336" s="841">
        <v>44938</v>
      </c>
      <c r="G336" s="840" t="s">
        <v>273</v>
      </c>
      <c r="H336" s="842" t="s">
        <v>102</v>
      </c>
      <c r="I336" s="842" t="s">
        <v>1079</v>
      </c>
      <c r="J336" s="841" t="s">
        <v>1080</v>
      </c>
      <c r="K336" s="841" t="s">
        <v>1081</v>
      </c>
      <c r="L336" s="843" t="s">
        <v>106</v>
      </c>
      <c r="M336" s="844" t="s">
        <v>275</v>
      </c>
      <c r="N336" s="841">
        <v>45444</v>
      </c>
      <c r="O336" s="841" t="s">
        <v>1100</v>
      </c>
      <c r="P336" s="841" t="s">
        <v>124</v>
      </c>
      <c r="Q336" s="843"/>
      <c r="R336" s="845" t="s">
        <v>1115</v>
      </c>
      <c r="S336" s="1127" t="s">
        <v>1116</v>
      </c>
      <c r="T336" s="843" t="s">
        <v>1117</v>
      </c>
      <c r="U336" s="842">
        <v>1</v>
      </c>
      <c r="V336" s="842" t="s">
        <v>3</v>
      </c>
      <c r="W336" s="846">
        <v>41.78</v>
      </c>
      <c r="X336" s="847">
        <f t="shared" si="58"/>
        <v>41.78</v>
      </c>
      <c r="Y336" s="848">
        <f t="shared" si="67"/>
        <v>0.5</v>
      </c>
      <c r="Z336" s="849">
        <v>20.89</v>
      </c>
      <c r="AA336" s="849"/>
      <c r="AB336" s="849">
        <f t="shared" si="59"/>
        <v>20.89</v>
      </c>
      <c r="AC336" s="850">
        <f t="shared" si="60"/>
        <v>20.89</v>
      </c>
      <c r="AD336" s="851"/>
      <c r="AE336" s="852">
        <v>26339.59</v>
      </c>
      <c r="AF336" s="853">
        <v>0.1</v>
      </c>
      <c r="AG336" s="854">
        <f t="shared" si="61"/>
        <v>69883.563268675105</v>
      </c>
      <c r="AH336" s="853"/>
      <c r="AI336" s="855">
        <f t="shared" si="62"/>
        <v>0</v>
      </c>
      <c r="AJ336" s="845" t="s">
        <v>1084</v>
      </c>
      <c r="AK336" s="857">
        <v>45413</v>
      </c>
      <c r="AL336" s="840" t="s">
        <v>1085</v>
      </c>
      <c r="AM336" s="840"/>
      <c r="AN336" s="858">
        <v>3.8348531907081967E-3</v>
      </c>
      <c r="AO336" s="844" t="s">
        <v>116</v>
      </c>
      <c r="AP336" s="859" t="s">
        <v>1086</v>
      </c>
      <c r="AQ336" s="859" t="s">
        <v>1086</v>
      </c>
      <c r="AR336" s="859" t="s">
        <v>1087</v>
      </c>
      <c r="AS336" s="840" t="s">
        <v>1088</v>
      </c>
      <c r="AT336" s="840" t="s">
        <v>1089</v>
      </c>
      <c r="AU336" s="860" t="s">
        <v>1090</v>
      </c>
      <c r="AV336" s="839" t="s">
        <v>1091</v>
      </c>
      <c r="AW336" s="861">
        <v>45313</v>
      </c>
      <c r="AX336" s="862" t="s">
        <v>1092</v>
      </c>
      <c r="AY336" s="843" t="s">
        <v>1105</v>
      </c>
      <c r="AZ336" s="842">
        <v>94031000</v>
      </c>
      <c r="BA336" s="842" t="s">
        <v>120</v>
      </c>
      <c r="BB336" s="863" t="s">
        <v>121</v>
      </c>
      <c r="BC336" s="864">
        <v>45314</v>
      </c>
      <c r="BD336" s="860" t="s">
        <v>1094</v>
      </c>
      <c r="BE336" s="865" cm="1">
        <f t="array" ref="BE336">IF(BD336="","",AC336/SUMPRODUCT(--(BD336=$BD$4:$BD$12824),$AC$4:$AC$12824))</f>
        <v>1.0364468082995126E-2</v>
      </c>
      <c r="BF336" s="458"/>
      <c r="BG336" s="458"/>
      <c r="BH336" s="458"/>
      <c r="BI336" s="458"/>
      <c r="BJ336" s="458"/>
      <c r="BK336" s="458"/>
      <c r="BL336" s="458"/>
      <c r="BM336" s="458"/>
      <c r="BN336" s="458"/>
      <c r="BO336" s="866">
        <f>VLOOKUP(BD336,$BD$4:$BN$12824,3,0)*BE336</f>
        <v>148601.59758675093</v>
      </c>
      <c r="BP336" s="866"/>
      <c r="BQ336" s="866"/>
      <c r="BR336" s="866">
        <f>VLOOKUP(BD336,$BD$4:$BN$12824,6,0)*BE336</f>
        <v>5182.2340414975633</v>
      </c>
      <c r="BS336" s="866">
        <f>VLOOKUP(BD336,$BD$4:$BN$12824,7,0)*BE336</f>
        <v>0</v>
      </c>
      <c r="BT336" s="866"/>
      <c r="BU336" s="866">
        <f>VLOOKUP(BD336,$BD$4:$BN$12824,9,0)*BE336</f>
        <v>0</v>
      </c>
      <c r="BV336" s="867"/>
      <c r="BW336" s="867">
        <f>VLOOKUP(BD336,$BD$4:$BN$12824,11,0)*BE336</f>
        <v>6218.680849797076</v>
      </c>
      <c r="BX336" s="1146">
        <f t="shared" si="68"/>
        <v>160002.51247804557</v>
      </c>
      <c r="BY336" s="867">
        <f t="shared" si="66"/>
        <v>780120.11084672064</v>
      </c>
      <c r="BZ336" s="867">
        <f t="shared" si="63"/>
        <v>780120.11084672064</v>
      </c>
      <c r="CA336" s="867">
        <f>_xlfn.MAXIFS($BY$4:$BY$12824,$S$4:$S$12824,$S336)</f>
        <v>780120.11084672064</v>
      </c>
      <c r="CB336" s="1032"/>
      <c r="CF336" s="946">
        <f t="shared" si="65"/>
        <v>550234.03509999998</v>
      </c>
    </row>
    <row r="337" spans="1:84">
      <c r="A337" s="1032"/>
      <c r="B337" s="839" t="s">
        <v>98</v>
      </c>
      <c r="C337" s="839" t="s">
        <v>273</v>
      </c>
      <c r="D337" s="839" t="s">
        <v>1077</v>
      </c>
      <c r="E337" s="839" t="s">
        <v>1078</v>
      </c>
      <c r="F337" s="841">
        <v>44938</v>
      </c>
      <c r="G337" s="840" t="s">
        <v>273</v>
      </c>
      <c r="H337" s="842" t="s">
        <v>102</v>
      </c>
      <c r="I337" s="842" t="s">
        <v>1079</v>
      </c>
      <c r="J337" s="841" t="s">
        <v>1080</v>
      </c>
      <c r="K337" s="841" t="s">
        <v>1081</v>
      </c>
      <c r="L337" s="843" t="s">
        <v>106</v>
      </c>
      <c r="M337" s="844" t="s">
        <v>275</v>
      </c>
      <c r="N337" s="841">
        <v>45444</v>
      </c>
      <c r="O337" s="841" t="s">
        <v>1100</v>
      </c>
      <c r="P337" s="841" t="s">
        <v>124</v>
      </c>
      <c r="Q337" s="843"/>
      <c r="R337" s="845" t="s">
        <v>1118</v>
      </c>
      <c r="S337" s="1127" t="s">
        <v>1119</v>
      </c>
      <c r="T337" s="843" t="s">
        <v>1120</v>
      </c>
      <c r="U337" s="842">
        <v>3</v>
      </c>
      <c r="V337" s="842" t="s">
        <v>3</v>
      </c>
      <c r="W337" s="846">
        <v>28.5</v>
      </c>
      <c r="X337" s="847">
        <f t="shared" si="58"/>
        <v>85.5</v>
      </c>
      <c r="Y337" s="848">
        <f t="shared" si="67"/>
        <v>0.5</v>
      </c>
      <c r="Z337" s="849">
        <v>14.25</v>
      </c>
      <c r="AA337" s="849"/>
      <c r="AB337" s="849">
        <f t="shared" si="59"/>
        <v>42.75</v>
      </c>
      <c r="AC337" s="850">
        <f t="shared" si="60"/>
        <v>42.75</v>
      </c>
      <c r="AD337" s="851"/>
      <c r="AE337" s="852">
        <v>26339.59</v>
      </c>
      <c r="AF337" s="853">
        <v>0.1</v>
      </c>
      <c r="AG337" s="854">
        <f t="shared" si="61"/>
        <v>143012.07897251606</v>
      </c>
      <c r="AH337" s="853"/>
      <c r="AI337" s="855">
        <f t="shared" si="62"/>
        <v>0</v>
      </c>
      <c r="AJ337" s="845" t="s">
        <v>1084</v>
      </c>
      <c r="AK337" s="857">
        <v>45413</v>
      </c>
      <c r="AL337" s="840" t="s">
        <v>1085</v>
      </c>
      <c r="AM337" s="840"/>
      <c r="AN337" s="858">
        <v>7.8477728053027961E-3</v>
      </c>
      <c r="AO337" s="844" t="s">
        <v>116</v>
      </c>
      <c r="AP337" s="859" t="s">
        <v>1086</v>
      </c>
      <c r="AQ337" s="859" t="s">
        <v>1086</v>
      </c>
      <c r="AR337" s="859" t="s">
        <v>1087</v>
      </c>
      <c r="AS337" s="840" t="s">
        <v>1088</v>
      </c>
      <c r="AT337" s="840" t="s">
        <v>1089</v>
      </c>
      <c r="AU337" s="860" t="s">
        <v>1090</v>
      </c>
      <c r="AV337" s="839" t="s">
        <v>1091</v>
      </c>
      <c r="AW337" s="861">
        <v>45313</v>
      </c>
      <c r="AX337" s="862" t="s">
        <v>1092</v>
      </c>
      <c r="AY337" s="843" t="s">
        <v>1105</v>
      </c>
      <c r="AZ337" s="842">
        <v>94031000</v>
      </c>
      <c r="BA337" s="842" t="s">
        <v>120</v>
      </c>
      <c r="BB337" s="863" t="s">
        <v>121</v>
      </c>
      <c r="BC337" s="864">
        <v>45314</v>
      </c>
      <c r="BD337" s="860" t="s">
        <v>1094</v>
      </c>
      <c r="BE337" s="865" cm="1">
        <f t="array" ref="BE337">IF(BD337="","",AC337/SUMPRODUCT(--(BD337=$BD$4:$BD$12824),$AC$4:$AC$12824))</f>
        <v>2.1210196771088638E-2</v>
      </c>
      <c r="BF337" s="458"/>
      <c r="BG337" s="458"/>
      <c r="BH337" s="458"/>
      <c r="BI337" s="458"/>
      <c r="BJ337" s="458"/>
      <c r="BK337" s="458"/>
      <c r="BL337" s="458"/>
      <c r="BM337" s="458"/>
      <c r="BN337" s="458"/>
      <c r="BO337" s="866">
        <f>VLOOKUP(BD337,$BD$4:$BN$12824,3,0)*BE337</f>
        <v>304103.31722516048</v>
      </c>
      <c r="BP337" s="866"/>
      <c r="BQ337" s="866"/>
      <c r="BR337" s="866">
        <f>VLOOKUP(BD337,$BD$4:$BN$12824,6,0)*BE337</f>
        <v>10605.098385544319</v>
      </c>
      <c r="BS337" s="866">
        <f>VLOOKUP(BD337,$BD$4:$BN$12824,7,0)*BE337</f>
        <v>0</v>
      </c>
      <c r="BT337" s="866"/>
      <c r="BU337" s="866">
        <f>VLOOKUP(BD337,$BD$4:$BN$12824,9,0)*BE337</f>
        <v>0</v>
      </c>
      <c r="BV337" s="867"/>
      <c r="BW337" s="867">
        <f>VLOOKUP(BD337,$BD$4:$BN$12824,11,0)*BE337</f>
        <v>12726.118062653182</v>
      </c>
      <c r="BX337" s="1146">
        <f t="shared" si="68"/>
        <v>327434.53367335798</v>
      </c>
      <c r="BY337" s="867">
        <f t="shared" si="66"/>
        <v>532154.69504862465</v>
      </c>
      <c r="BZ337" s="867">
        <f t="shared" si="63"/>
        <v>1596464.0851458739</v>
      </c>
      <c r="CA337" s="867">
        <f>_xlfn.MAXIFS($BY$4:$BY$12824,$S$4:$S$12824,$S337)</f>
        <v>532154.69504862465</v>
      </c>
      <c r="CB337" s="1032"/>
      <c r="CF337" s="946">
        <f t="shared" si="65"/>
        <v>1126017.4724999999</v>
      </c>
    </row>
    <row r="338" spans="1:84">
      <c r="A338" s="1032"/>
      <c r="B338" s="839" t="s">
        <v>98</v>
      </c>
      <c r="C338" s="839" t="s">
        <v>273</v>
      </c>
      <c r="D338" s="839" t="s">
        <v>1077</v>
      </c>
      <c r="E338" s="839" t="s">
        <v>1078</v>
      </c>
      <c r="F338" s="841">
        <v>44938</v>
      </c>
      <c r="G338" s="840" t="s">
        <v>273</v>
      </c>
      <c r="H338" s="842" t="s">
        <v>102</v>
      </c>
      <c r="I338" s="842" t="s">
        <v>1079</v>
      </c>
      <c r="J338" s="841" t="s">
        <v>1080</v>
      </c>
      <c r="K338" s="841" t="s">
        <v>1081</v>
      </c>
      <c r="L338" s="843" t="s">
        <v>106</v>
      </c>
      <c r="M338" s="844" t="s">
        <v>275</v>
      </c>
      <c r="N338" s="841">
        <v>45444</v>
      </c>
      <c r="O338" s="841" t="s">
        <v>1100</v>
      </c>
      <c r="P338" s="841" t="s">
        <v>124</v>
      </c>
      <c r="Q338" s="843"/>
      <c r="R338" s="845" t="s">
        <v>1121</v>
      </c>
      <c r="S338" s="1127" t="s">
        <v>1122</v>
      </c>
      <c r="T338" s="843" t="s">
        <v>1123</v>
      </c>
      <c r="U338" s="842">
        <v>1</v>
      </c>
      <c r="V338" s="842" t="s">
        <v>3</v>
      </c>
      <c r="W338" s="846">
        <v>81.72</v>
      </c>
      <c r="X338" s="847">
        <f t="shared" si="58"/>
        <v>81.72</v>
      </c>
      <c r="Y338" s="848">
        <f t="shared" si="67"/>
        <v>0.5</v>
      </c>
      <c r="Z338" s="849">
        <v>40.86</v>
      </c>
      <c r="AA338" s="849"/>
      <c r="AB338" s="849">
        <f t="shared" si="59"/>
        <v>40.86</v>
      </c>
      <c r="AC338" s="850">
        <f t="shared" si="60"/>
        <v>40.86</v>
      </c>
      <c r="AD338" s="851"/>
      <c r="AE338" s="852">
        <v>26339.59</v>
      </c>
      <c r="AF338" s="853">
        <v>0.1</v>
      </c>
      <c r="AG338" s="854">
        <f t="shared" si="61"/>
        <v>136689.43969162586</v>
      </c>
      <c r="AH338" s="853"/>
      <c r="AI338" s="855">
        <f t="shared" si="62"/>
        <v>0</v>
      </c>
      <c r="AJ338" s="845" t="s">
        <v>1084</v>
      </c>
      <c r="AK338" s="857">
        <v>45413</v>
      </c>
      <c r="AL338" s="840" t="s">
        <v>1085</v>
      </c>
      <c r="AM338" s="840"/>
      <c r="AN338" s="858">
        <v>7.5008186391736197E-3</v>
      </c>
      <c r="AO338" s="844" t="s">
        <v>116</v>
      </c>
      <c r="AP338" s="859" t="s">
        <v>1086</v>
      </c>
      <c r="AQ338" s="859" t="s">
        <v>1086</v>
      </c>
      <c r="AR338" s="859" t="s">
        <v>1087</v>
      </c>
      <c r="AS338" s="840" t="s">
        <v>1088</v>
      </c>
      <c r="AT338" s="840" t="s">
        <v>1089</v>
      </c>
      <c r="AU338" s="860" t="s">
        <v>1090</v>
      </c>
      <c r="AV338" s="839" t="s">
        <v>1091</v>
      </c>
      <c r="AW338" s="861">
        <v>45313</v>
      </c>
      <c r="AX338" s="862" t="s">
        <v>1092</v>
      </c>
      <c r="AY338" s="843" t="s">
        <v>1105</v>
      </c>
      <c r="AZ338" s="842">
        <v>94031000</v>
      </c>
      <c r="BA338" s="842" t="s">
        <v>120</v>
      </c>
      <c r="BB338" s="863" t="s">
        <v>121</v>
      </c>
      <c r="BC338" s="864">
        <v>45314</v>
      </c>
      <c r="BD338" s="860" t="s">
        <v>1094</v>
      </c>
      <c r="BE338" s="865" cm="1">
        <f t="array" ref="BE338">IF(BD338="","",AC338/SUMPRODUCT(--(BD338=$BD$4:$BD$12824),$AC$4:$AC$12824))</f>
        <v>2.0272482808577352E-2</v>
      </c>
      <c r="BF338" s="458"/>
      <c r="BG338" s="458"/>
      <c r="BH338" s="458"/>
      <c r="BI338" s="458"/>
      <c r="BJ338" s="458"/>
      <c r="BK338" s="458"/>
      <c r="BL338" s="458"/>
      <c r="BM338" s="458"/>
      <c r="BN338" s="458"/>
      <c r="BO338" s="866">
        <f>VLOOKUP(BD338,$BD$4:$BN$12824,3,0)*BE338</f>
        <v>290658.74951625866</v>
      </c>
      <c r="BP338" s="866"/>
      <c r="BQ338" s="866"/>
      <c r="BR338" s="866">
        <f>VLOOKUP(BD338,$BD$4:$BN$12824,6,0)*BE338</f>
        <v>10136.241404288676</v>
      </c>
      <c r="BS338" s="866">
        <f>VLOOKUP(BD338,$BD$4:$BN$12824,7,0)*BE338</f>
        <v>0</v>
      </c>
      <c r="BT338" s="866"/>
      <c r="BU338" s="866">
        <f>VLOOKUP(BD338,$BD$4:$BN$12824,9,0)*BE338</f>
        <v>0</v>
      </c>
      <c r="BV338" s="867"/>
      <c r="BW338" s="867">
        <f>VLOOKUP(BD338,$BD$4:$BN$12824,11,0)*BE338</f>
        <v>12163.489685146411</v>
      </c>
      <c r="BX338" s="1146">
        <f t="shared" si="68"/>
        <v>312958.48060569377</v>
      </c>
      <c r="BY338" s="867">
        <f t="shared" si="66"/>
        <v>1525883.5676973194</v>
      </c>
      <c r="BZ338" s="867">
        <f t="shared" si="63"/>
        <v>1525883.5676973194</v>
      </c>
      <c r="CA338" s="867">
        <f>_xlfn.MAXIFS($BY$4:$BY$12824,$S$4:$S$12824,$S338)</f>
        <v>1525883.5676973194</v>
      </c>
      <c r="CB338" s="1032"/>
      <c r="CF338" s="946">
        <f t="shared" si="65"/>
        <v>1076235.6473999999</v>
      </c>
    </row>
    <row r="339" spans="1:84">
      <c r="A339" s="1032"/>
      <c r="B339" s="839" t="s">
        <v>98</v>
      </c>
      <c r="C339" s="839" t="s">
        <v>273</v>
      </c>
      <c r="D339" s="839" t="s">
        <v>1077</v>
      </c>
      <c r="E339" s="839" t="s">
        <v>1078</v>
      </c>
      <c r="F339" s="841">
        <v>44938</v>
      </c>
      <c r="G339" s="840" t="s">
        <v>273</v>
      </c>
      <c r="H339" s="842" t="s">
        <v>102</v>
      </c>
      <c r="I339" s="842" t="s">
        <v>1079</v>
      </c>
      <c r="J339" s="841" t="s">
        <v>1080</v>
      </c>
      <c r="K339" s="841" t="s">
        <v>1081</v>
      </c>
      <c r="L339" s="843" t="s">
        <v>106</v>
      </c>
      <c r="M339" s="844" t="s">
        <v>275</v>
      </c>
      <c r="N339" s="841">
        <v>45444</v>
      </c>
      <c r="O339" s="841" t="s">
        <v>1100</v>
      </c>
      <c r="P339" s="841" t="s">
        <v>124</v>
      </c>
      <c r="Q339" s="843"/>
      <c r="R339" s="845" t="s">
        <v>1124</v>
      </c>
      <c r="S339" s="1127" t="s">
        <v>1125</v>
      </c>
      <c r="T339" s="843" t="s">
        <v>1126</v>
      </c>
      <c r="U339" s="842">
        <v>1</v>
      </c>
      <c r="V339" s="842" t="s">
        <v>3</v>
      </c>
      <c r="W339" s="846">
        <v>40.96</v>
      </c>
      <c r="X339" s="847">
        <f t="shared" si="58"/>
        <v>40.96</v>
      </c>
      <c r="Y339" s="848">
        <f t="shared" si="67"/>
        <v>0.5</v>
      </c>
      <c r="Z339" s="849">
        <v>20.48</v>
      </c>
      <c r="AA339" s="849"/>
      <c r="AB339" s="849">
        <f t="shared" si="59"/>
        <v>20.48</v>
      </c>
      <c r="AC339" s="850">
        <f t="shared" si="60"/>
        <v>20.48</v>
      </c>
      <c r="AD339" s="851"/>
      <c r="AE339" s="852">
        <v>26339.59</v>
      </c>
      <c r="AF339" s="853">
        <v>0.1</v>
      </c>
      <c r="AG339" s="854">
        <f t="shared" si="61"/>
        <v>68511.985435254464</v>
      </c>
      <c r="AH339" s="853"/>
      <c r="AI339" s="855">
        <f t="shared" si="62"/>
        <v>0</v>
      </c>
      <c r="AJ339" s="845" t="s">
        <v>1084</v>
      </c>
      <c r="AK339" s="857">
        <v>45413</v>
      </c>
      <c r="AL339" s="840" t="s">
        <v>1085</v>
      </c>
      <c r="AM339" s="840"/>
      <c r="AN339" s="858">
        <v>3.7595880012304388E-3</v>
      </c>
      <c r="AO339" s="844" t="s">
        <v>116</v>
      </c>
      <c r="AP339" s="859" t="s">
        <v>1086</v>
      </c>
      <c r="AQ339" s="859" t="s">
        <v>1086</v>
      </c>
      <c r="AR339" s="859" t="s">
        <v>1087</v>
      </c>
      <c r="AS339" s="840" t="s">
        <v>1088</v>
      </c>
      <c r="AT339" s="840" t="s">
        <v>1089</v>
      </c>
      <c r="AU339" s="860" t="s">
        <v>1090</v>
      </c>
      <c r="AV339" s="839" t="s">
        <v>1091</v>
      </c>
      <c r="AW339" s="861">
        <v>45313</v>
      </c>
      <c r="AX339" s="862" t="s">
        <v>1092</v>
      </c>
      <c r="AY339" s="843" t="s">
        <v>1105</v>
      </c>
      <c r="AZ339" s="842">
        <v>94031000</v>
      </c>
      <c r="BA339" s="842" t="s">
        <v>120</v>
      </c>
      <c r="BB339" s="863" t="s">
        <v>121</v>
      </c>
      <c r="BC339" s="864">
        <v>45314</v>
      </c>
      <c r="BD339" s="860" t="s">
        <v>1094</v>
      </c>
      <c r="BE339" s="865" cm="1">
        <f t="array" ref="BE339">IF(BD339="","",AC339/SUMPRODUCT(--(BD339=$BD$4:$BD$12824),$AC$4:$AC$12824))</f>
        <v>1.0161048651974159E-2</v>
      </c>
      <c r="BF339" s="458"/>
      <c r="BG339" s="458"/>
      <c r="BH339" s="458"/>
      <c r="BI339" s="458"/>
      <c r="BJ339" s="458"/>
      <c r="BK339" s="458"/>
      <c r="BL339" s="458"/>
      <c r="BM339" s="458"/>
      <c r="BN339" s="458"/>
      <c r="BO339" s="866">
        <f>VLOOKUP(BD339,$BD$4:$BN$12824,3,0)*BE339</f>
        <v>145685.05115254471</v>
      </c>
      <c r="BP339" s="866"/>
      <c r="BQ339" s="866"/>
      <c r="BR339" s="866">
        <f>VLOOKUP(BD339,$BD$4:$BN$12824,6,0)*BE339</f>
        <v>5080.5243259870795</v>
      </c>
      <c r="BS339" s="866">
        <f>VLOOKUP(BD339,$BD$4:$BN$12824,7,0)*BE339</f>
        <v>0</v>
      </c>
      <c r="BT339" s="866"/>
      <c r="BU339" s="866">
        <f>VLOOKUP(BD339,$BD$4:$BN$12824,9,0)*BE339</f>
        <v>0</v>
      </c>
      <c r="BV339" s="867"/>
      <c r="BW339" s="867">
        <f>VLOOKUP(BD339,$BD$4:$BN$12824,11,0)*BE339</f>
        <v>6096.6291911844955</v>
      </c>
      <c r="BX339" s="1146">
        <f t="shared" si="68"/>
        <v>156862.2046697163</v>
      </c>
      <c r="BY339" s="867">
        <f t="shared" si="66"/>
        <v>764808.99330497067</v>
      </c>
      <c r="BZ339" s="867">
        <f t="shared" si="63"/>
        <v>764808.99330497067</v>
      </c>
      <c r="CA339" s="867">
        <f>_xlfn.MAXIFS($BY$4:$BY$12824,$S$4:$S$12824,$S339)</f>
        <v>764808.99330497067</v>
      </c>
      <c r="CB339" s="1032"/>
      <c r="CF339" s="946">
        <f t="shared" si="65"/>
        <v>539434.80319999997</v>
      </c>
    </row>
    <row r="340" spans="1:84">
      <c r="A340" s="1032"/>
      <c r="B340" s="839" t="s">
        <v>98</v>
      </c>
      <c r="C340" s="839" t="s">
        <v>273</v>
      </c>
      <c r="D340" s="839" t="s">
        <v>1077</v>
      </c>
      <c r="E340" s="839" t="s">
        <v>1078</v>
      </c>
      <c r="F340" s="841">
        <v>44938</v>
      </c>
      <c r="G340" s="840" t="s">
        <v>273</v>
      </c>
      <c r="H340" s="842" t="s">
        <v>102</v>
      </c>
      <c r="I340" s="842" t="s">
        <v>1079</v>
      </c>
      <c r="J340" s="841" t="s">
        <v>1080</v>
      </c>
      <c r="K340" s="841" t="s">
        <v>1081</v>
      </c>
      <c r="L340" s="843" t="s">
        <v>106</v>
      </c>
      <c r="M340" s="844" t="s">
        <v>275</v>
      </c>
      <c r="N340" s="841">
        <v>45444</v>
      </c>
      <c r="O340" s="841" t="s">
        <v>1100</v>
      </c>
      <c r="P340" s="841" t="s">
        <v>124</v>
      </c>
      <c r="Q340" s="843"/>
      <c r="R340" s="845" t="s">
        <v>1127</v>
      </c>
      <c r="S340" s="1127" t="s">
        <v>1128</v>
      </c>
      <c r="T340" s="843" t="s">
        <v>1129</v>
      </c>
      <c r="U340" s="842">
        <v>1</v>
      </c>
      <c r="V340" s="842" t="s">
        <v>3</v>
      </c>
      <c r="W340" s="846">
        <v>11.94</v>
      </c>
      <c r="X340" s="847">
        <f t="shared" si="58"/>
        <v>11.94</v>
      </c>
      <c r="Y340" s="848">
        <f t="shared" si="67"/>
        <v>0.5</v>
      </c>
      <c r="Z340" s="849">
        <v>5.97</v>
      </c>
      <c r="AA340" s="849"/>
      <c r="AB340" s="849">
        <f t="shared" si="59"/>
        <v>5.97</v>
      </c>
      <c r="AC340" s="850">
        <f t="shared" si="60"/>
        <v>5.97</v>
      </c>
      <c r="AD340" s="851"/>
      <c r="AE340" s="852">
        <v>26339.59</v>
      </c>
      <c r="AF340" s="853">
        <v>0.1</v>
      </c>
      <c r="AG340" s="854">
        <f t="shared" si="61"/>
        <v>19971.511379319785</v>
      </c>
      <c r="AH340" s="853"/>
      <c r="AI340" s="855">
        <f t="shared" si="62"/>
        <v>0</v>
      </c>
      <c r="AJ340" s="845" t="s">
        <v>1084</v>
      </c>
      <c r="AK340" s="857">
        <v>45413</v>
      </c>
      <c r="AL340" s="840" t="s">
        <v>1085</v>
      </c>
      <c r="AM340" s="840"/>
      <c r="AN340" s="858">
        <v>1.0959345882493028E-3</v>
      </c>
      <c r="AO340" s="844" t="s">
        <v>116</v>
      </c>
      <c r="AP340" s="859" t="s">
        <v>1086</v>
      </c>
      <c r="AQ340" s="859" t="s">
        <v>1086</v>
      </c>
      <c r="AR340" s="859" t="s">
        <v>1087</v>
      </c>
      <c r="AS340" s="840" t="s">
        <v>1088</v>
      </c>
      <c r="AT340" s="840" t="s">
        <v>1089</v>
      </c>
      <c r="AU340" s="860" t="s">
        <v>1090</v>
      </c>
      <c r="AV340" s="839" t="s">
        <v>1091</v>
      </c>
      <c r="AW340" s="861">
        <v>45313</v>
      </c>
      <c r="AX340" s="862" t="s">
        <v>1092</v>
      </c>
      <c r="AY340" s="843" t="s">
        <v>1105</v>
      </c>
      <c r="AZ340" s="842">
        <v>94031000</v>
      </c>
      <c r="BA340" s="842" t="s">
        <v>120</v>
      </c>
      <c r="BB340" s="863" t="s">
        <v>121</v>
      </c>
      <c r="BC340" s="864">
        <v>45314</v>
      </c>
      <c r="BD340" s="860" t="s">
        <v>1094</v>
      </c>
      <c r="BE340" s="865" cm="1">
        <f t="array" ref="BE340">IF(BD340="","",AC340/SUMPRODUCT(--(BD340=$BD$4:$BD$12824),$AC$4:$AC$12824))</f>
        <v>2.9619853736467644E-3</v>
      </c>
      <c r="BF340" s="458"/>
      <c r="BG340" s="458"/>
      <c r="BH340" s="458"/>
      <c r="BI340" s="458"/>
      <c r="BJ340" s="458"/>
      <c r="BK340" s="458"/>
      <c r="BL340" s="458"/>
      <c r="BM340" s="458"/>
      <c r="BN340" s="458"/>
      <c r="BO340" s="866">
        <f>VLOOKUP(BD340,$BD$4:$BN$12824,3,0)*BE340</f>
        <v>42467.761493197853</v>
      </c>
      <c r="BP340" s="866"/>
      <c r="BQ340" s="866"/>
      <c r="BR340" s="866">
        <f>VLOOKUP(BD340,$BD$4:$BN$12824,6,0)*BE340</f>
        <v>1480.9926868233822</v>
      </c>
      <c r="BS340" s="866">
        <f>VLOOKUP(BD340,$BD$4:$BN$12824,7,0)*BE340</f>
        <v>0</v>
      </c>
      <c r="BT340" s="866"/>
      <c r="BU340" s="866">
        <f>VLOOKUP(BD340,$BD$4:$BN$12824,9,0)*BE340</f>
        <v>0</v>
      </c>
      <c r="BV340" s="867"/>
      <c r="BW340" s="867">
        <f>VLOOKUP(BD340,$BD$4:$BN$12824,11,0)*BE340</f>
        <v>1777.1912241880586</v>
      </c>
      <c r="BX340" s="1146">
        <f t="shared" si="68"/>
        <v>45725.945404209291</v>
      </c>
      <c r="BY340" s="867">
        <f t="shared" si="66"/>
        <v>222944.80908352908</v>
      </c>
      <c r="BZ340" s="867">
        <f t="shared" si="63"/>
        <v>222944.80908352908</v>
      </c>
      <c r="CA340" s="867">
        <f>_xlfn.MAXIFS($BY$4:$BY$12824,$S$4:$S$12824,$S340)</f>
        <v>222944.80908352908</v>
      </c>
      <c r="CB340" s="1032"/>
      <c r="CF340" s="946">
        <f t="shared" si="65"/>
        <v>157247.3523</v>
      </c>
    </row>
    <row r="341" spans="1:84">
      <c r="A341" s="1032"/>
      <c r="B341" s="839" t="s">
        <v>98</v>
      </c>
      <c r="C341" s="839" t="s">
        <v>273</v>
      </c>
      <c r="D341" s="839" t="s">
        <v>1077</v>
      </c>
      <c r="E341" s="839" t="s">
        <v>1078</v>
      </c>
      <c r="F341" s="841">
        <v>44938</v>
      </c>
      <c r="G341" s="840" t="s">
        <v>273</v>
      </c>
      <c r="H341" s="842" t="s">
        <v>102</v>
      </c>
      <c r="I341" s="842" t="s">
        <v>1079</v>
      </c>
      <c r="J341" s="841" t="s">
        <v>1080</v>
      </c>
      <c r="K341" s="841" t="s">
        <v>1081</v>
      </c>
      <c r="L341" s="843" t="s">
        <v>106</v>
      </c>
      <c r="M341" s="844" t="s">
        <v>275</v>
      </c>
      <c r="N341" s="841">
        <v>45444</v>
      </c>
      <c r="O341" s="841" t="s">
        <v>1100</v>
      </c>
      <c r="P341" s="841" t="s">
        <v>124</v>
      </c>
      <c r="Q341" s="843"/>
      <c r="R341" s="845" t="s">
        <v>1130</v>
      </c>
      <c r="S341" s="1127" t="s">
        <v>1131</v>
      </c>
      <c r="T341" s="843" t="s">
        <v>1132</v>
      </c>
      <c r="U341" s="842">
        <v>1</v>
      </c>
      <c r="V341" s="842" t="s">
        <v>3</v>
      </c>
      <c r="W341" s="846">
        <v>2.04</v>
      </c>
      <c r="X341" s="847">
        <f t="shared" si="58"/>
        <v>2.04</v>
      </c>
      <c r="Y341" s="848">
        <f t="shared" si="67"/>
        <v>0.5</v>
      </c>
      <c r="Z341" s="849">
        <v>1.02</v>
      </c>
      <c r="AA341" s="849"/>
      <c r="AB341" s="849">
        <f t="shared" si="59"/>
        <v>1.02</v>
      </c>
      <c r="AC341" s="850">
        <f t="shared" si="60"/>
        <v>1.02</v>
      </c>
      <c r="AD341" s="851"/>
      <c r="AE341" s="852">
        <v>26339.59</v>
      </c>
      <c r="AF341" s="853">
        <v>0.1</v>
      </c>
      <c r="AG341" s="854">
        <f t="shared" si="61"/>
        <v>3412.2180246074004</v>
      </c>
      <c r="AH341" s="853"/>
      <c r="AI341" s="855">
        <f t="shared" si="62"/>
        <v>0</v>
      </c>
      <c r="AJ341" s="845" t="s">
        <v>1084</v>
      </c>
      <c r="AK341" s="857">
        <v>45413</v>
      </c>
      <c r="AL341" s="840" t="s">
        <v>1085</v>
      </c>
      <c r="AM341" s="840"/>
      <c r="AN341" s="858">
        <v>1.8724510553003163E-4</v>
      </c>
      <c r="AO341" s="844" t="s">
        <v>116</v>
      </c>
      <c r="AP341" s="859" t="s">
        <v>1086</v>
      </c>
      <c r="AQ341" s="859" t="s">
        <v>1086</v>
      </c>
      <c r="AR341" s="859" t="s">
        <v>1087</v>
      </c>
      <c r="AS341" s="840" t="s">
        <v>1088</v>
      </c>
      <c r="AT341" s="840" t="s">
        <v>1089</v>
      </c>
      <c r="AU341" s="860" t="s">
        <v>1090</v>
      </c>
      <c r="AV341" s="839" t="s">
        <v>1091</v>
      </c>
      <c r="AW341" s="861">
        <v>45313</v>
      </c>
      <c r="AX341" s="862" t="s">
        <v>1092</v>
      </c>
      <c r="AY341" s="843" t="s">
        <v>1105</v>
      </c>
      <c r="AZ341" s="842">
        <v>94031000</v>
      </c>
      <c r="BA341" s="842" t="s">
        <v>120</v>
      </c>
      <c r="BB341" s="863" t="s">
        <v>121</v>
      </c>
      <c r="BC341" s="864">
        <v>45314</v>
      </c>
      <c r="BD341" s="860" t="s">
        <v>1094</v>
      </c>
      <c r="BE341" s="865" cm="1">
        <f t="array" ref="BE341">IF(BD341="","",AC341/SUMPRODUCT(--(BD341=$BD$4:$BD$12824),$AC$4:$AC$12824))</f>
        <v>5.0606785278386926E-4</v>
      </c>
      <c r="BF341" s="458"/>
      <c r="BG341" s="458"/>
      <c r="BH341" s="458"/>
      <c r="BI341" s="458"/>
      <c r="BJ341" s="458"/>
      <c r="BK341" s="458"/>
      <c r="BL341" s="458"/>
      <c r="BM341" s="458"/>
      <c r="BN341" s="458"/>
      <c r="BO341" s="866">
        <f>VLOOKUP(BD341,$BD$4:$BN$12824,3,0)*BE341</f>
        <v>7255.7984460740036</v>
      </c>
      <c r="BP341" s="866"/>
      <c r="BQ341" s="866"/>
      <c r="BR341" s="866">
        <f>VLOOKUP(BD341,$BD$4:$BN$12824,6,0)*BE341</f>
        <v>253.03392639193461</v>
      </c>
      <c r="BS341" s="866">
        <f>VLOOKUP(BD341,$BD$4:$BN$12824,7,0)*BE341</f>
        <v>0</v>
      </c>
      <c r="BT341" s="866"/>
      <c r="BU341" s="866">
        <f>VLOOKUP(BD341,$BD$4:$BN$12824,9,0)*BE341</f>
        <v>0</v>
      </c>
      <c r="BV341" s="867"/>
      <c r="BW341" s="867">
        <f>VLOOKUP(BD341,$BD$4:$BN$12824,11,0)*BE341</f>
        <v>303.64071167032154</v>
      </c>
      <c r="BX341" s="1146">
        <f t="shared" si="68"/>
        <v>7812.4730841362598</v>
      </c>
      <c r="BY341" s="867">
        <f t="shared" si="66"/>
        <v>38091.072908743663</v>
      </c>
      <c r="BZ341" s="867">
        <f t="shared" si="63"/>
        <v>38091.072908743663</v>
      </c>
      <c r="CA341" s="867">
        <f>_xlfn.MAXIFS($BY$4:$BY$12824,$S$4:$S$12824,$S341)</f>
        <v>46969.279673014236</v>
      </c>
      <c r="CB341" s="1032"/>
      <c r="CF341" s="946">
        <f t="shared" si="65"/>
        <v>26866.381799999999</v>
      </c>
    </row>
    <row r="342" spans="1:84">
      <c r="A342" s="1032"/>
      <c r="B342" s="839" t="s">
        <v>98</v>
      </c>
      <c r="C342" s="840" t="s">
        <v>99</v>
      </c>
      <c r="D342" s="839" t="s">
        <v>1133</v>
      </c>
      <c r="E342" s="839" t="s">
        <v>1134</v>
      </c>
      <c r="F342" s="841">
        <v>45088</v>
      </c>
      <c r="G342" s="840" t="s">
        <v>99</v>
      </c>
      <c r="H342" s="842" t="s">
        <v>134</v>
      </c>
      <c r="I342" s="842"/>
      <c r="J342" s="841"/>
      <c r="K342" s="841"/>
      <c r="L342" s="843" t="s">
        <v>1135</v>
      </c>
      <c r="M342" s="844"/>
      <c r="N342" s="841"/>
      <c r="O342" s="841" t="s">
        <v>108</v>
      </c>
      <c r="P342" s="841" t="s">
        <v>1136</v>
      </c>
      <c r="Q342" s="843" t="s">
        <v>1137</v>
      </c>
      <c r="R342" s="845" t="s">
        <v>1138</v>
      </c>
      <c r="S342" s="1127" t="s">
        <v>1139</v>
      </c>
      <c r="T342" s="843" t="s">
        <v>1140</v>
      </c>
      <c r="U342" s="842">
        <v>2</v>
      </c>
      <c r="V342" s="842" t="s">
        <v>3</v>
      </c>
      <c r="W342" s="846">
        <v>512.5</v>
      </c>
      <c r="X342" s="847">
        <f t="shared" si="58"/>
        <v>1025</v>
      </c>
      <c r="Y342" s="848">
        <f t="shared" si="67"/>
        <v>0</v>
      </c>
      <c r="Z342" s="849">
        <v>512.5</v>
      </c>
      <c r="AA342" s="849"/>
      <c r="AB342" s="849">
        <f t="shared" si="59"/>
        <v>1025</v>
      </c>
      <c r="AC342" s="850">
        <f t="shared" si="60"/>
        <v>1025</v>
      </c>
      <c r="AD342" s="851"/>
      <c r="AE342" s="852">
        <v>26200.49</v>
      </c>
      <c r="AF342" s="853">
        <v>0</v>
      </c>
      <c r="AG342" s="854">
        <f t="shared" si="61"/>
        <v>0</v>
      </c>
      <c r="AH342" s="853"/>
      <c r="AI342" s="855">
        <f t="shared" si="62"/>
        <v>0</v>
      </c>
      <c r="AJ342" s="856" t="s">
        <v>1141</v>
      </c>
      <c r="AK342" s="857" t="s">
        <v>1142</v>
      </c>
      <c r="AL342" s="840" t="s">
        <v>1143</v>
      </c>
      <c r="AM342" s="840"/>
      <c r="AN342" s="858"/>
      <c r="AO342" s="844" t="s">
        <v>1144</v>
      </c>
      <c r="AP342" s="859">
        <v>45597</v>
      </c>
      <c r="AQ342" s="859">
        <v>45597</v>
      </c>
      <c r="AR342" s="859">
        <v>45325</v>
      </c>
      <c r="AS342" s="840" t="s">
        <v>1145</v>
      </c>
      <c r="AT342" s="840" t="s">
        <v>1146</v>
      </c>
      <c r="AU342" s="860" t="s">
        <v>1147</v>
      </c>
      <c r="AV342" s="839" t="s">
        <v>1148</v>
      </c>
      <c r="AW342" s="861">
        <v>45325</v>
      </c>
      <c r="AX342" s="862"/>
      <c r="AY342" s="843" t="s">
        <v>1149</v>
      </c>
      <c r="AZ342" s="842">
        <v>94051199</v>
      </c>
      <c r="BA342" s="842" t="s">
        <v>120</v>
      </c>
      <c r="BB342" s="863" t="s">
        <v>121</v>
      </c>
      <c r="BC342" s="864">
        <v>45507</v>
      </c>
      <c r="BD342" s="860" t="s">
        <v>1150</v>
      </c>
      <c r="BE342" s="865" cm="1">
        <f t="array" ref="BE342">IF(BD342="","",AC342/SUMPRODUCT(--(BD342=$BD$4:$BD$12824),$AC$4:$AC$12824))</f>
        <v>0.28739821897220791</v>
      </c>
      <c r="BF342" s="458">
        <v>6336050</v>
      </c>
      <c r="BG342" s="458"/>
      <c r="BH342" s="458"/>
      <c r="BI342" s="458">
        <v>2728435</v>
      </c>
      <c r="BJ342" s="458">
        <v>250000</v>
      </c>
      <c r="BK342" s="458"/>
      <c r="BL342" s="458"/>
      <c r="BM342" s="458"/>
      <c r="BN342" s="458">
        <v>600000</v>
      </c>
      <c r="BO342" s="866">
        <f>VLOOKUP(BD342,$BD$4:$BN$12824,3,0)*BE342</f>
        <v>1820969.4853188579</v>
      </c>
      <c r="BP342" s="866"/>
      <c r="BQ342" s="866"/>
      <c r="BR342" s="866">
        <f>VLOOKUP(BD342,$BD$4:$BN$12824,6,0)*BE342</f>
        <v>784147.35958143603</v>
      </c>
      <c r="BS342" s="866">
        <f>VLOOKUP(BD342,$BD$4:$BN$12824,7,0)*BE342</f>
        <v>71849.55474305198</v>
      </c>
      <c r="BT342" s="866"/>
      <c r="BU342" s="866">
        <f>VLOOKUP(BD342,$BD$4:$BN$12824,9,0)*BE342</f>
        <v>0</v>
      </c>
      <c r="BV342" s="867"/>
      <c r="BW342" s="867">
        <f>VLOOKUP(BD342,$BD$4:$BN$12824,11,0)*BE342</f>
        <v>172438.93138332476</v>
      </c>
      <c r="BX342" s="1146">
        <f t="shared" si="68"/>
        <v>2849405.331026671</v>
      </c>
      <c r="BY342" s="867">
        <f t="shared" si="66"/>
        <v>14852453.790513335</v>
      </c>
      <c r="BZ342" s="867">
        <f t="shared" si="63"/>
        <v>29704907.58102667</v>
      </c>
      <c r="CA342" s="867">
        <f>_xlfn.MAXIFS($BY$4:$BY$12824,$S$4:$S$12824,$S342)</f>
        <v>14852453.790513335</v>
      </c>
      <c r="CB342" s="1032"/>
      <c r="CF342" s="946">
        <f t="shared" si="65"/>
        <v>26855502.25</v>
      </c>
    </row>
    <row r="343" spans="1:84">
      <c r="A343" s="1032"/>
      <c r="B343" s="839" t="s">
        <v>98</v>
      </c>
      <c r="C343" s="840" t="s">
        <v>99</v>
      </c>
      <c r="D343" s="839" t="s">
        <v>1133</v>
      </c>
      <c r="E343" s="839" t="s">
        <v>1134</v>
      </c>
      <c r="F343" s="841">
        <v>45088</v>
      </c>
      <c r="G343" s="840" t="s">
        <v>99</v>
      </c>
      <c r="H343" s="842" t="s">
        <v>134</v>
      </c>
      <c r="I343" s="842"/>
      <c r="J343" s="841"/>
      <c r="K343" s="841"/>
      <c r="L343" s="843" t="s">
        <v>1135</v>
      </c>
      <c r="M343" s="844"/>
      <c r="N343" s="841"/>
      <c r="O343" s="841" t="s">
        <v>108</v>
      </c>
      <c r="P343" s="841" t="s">
        <v>1136</v>
      </c>
      <c r="Q343" s="843" t="s">
        <v>989</v>
      </c>
      <c r="R343" s="845">
        <v>5741104545</v>
      </c>
      <c r="S343" s="1127" t="s">
        <v>1151</v>
      </c>
      <c r="T343" s="843" t="s">
        <v>1152</v>
      </c>
      <c r="U343" s="842">
        <v>1</v>
      </c>
      <c r="V343" s="842" t="s">
        <v>3</v>
      </c>
      <c r="W343" s="846">
        <v>371.87</v>
      </c>
      <c r="X343" s="847">
        <f t="shared" si="58"/>
        <v>371.87</v>
      </c>
      <c r="Y343" s="848">
        <f t="shared" si="67"/>
        <v>0</v>
      </c>
      <c r="Z343" s="849">
        <v>371.87</v>
      </c>
      <c r="AA343" s="849"/>
      <c r="AB343" s="849">
        <f t="shared" si="59"/>
        <v>371.87</v>
      </c>
      <c r="AC343" s="850">
        <f t="shared" si="60"/>
        <v>371.87</v>
      </c>
      <c r="AD343" s="851"/>
      <c r="AE343" s="852">
        <v>26200.49</v>
      </c>
      <c r="AF343" s="853">
        <v>0</v>
      </c>
      <c r="AG343" s="854">
        <f t="shared" si="61"/>
        <v>0</v>
      </c>
      <c r="AH343" s="853"/>
      <c r="AI343" s="855">
        <f t="shared" si="62"/>
        <v>0</v>
      </c>
      <c r="AJ343" s="856" t="s">
        <v>1141</v>
      </c>
      <c r="AK343" s="857"/>
      <c r="AL343" s="840"/>
      <c r="AM343" s="840"/>
      <c r="AN343" s="858"/>
      <c r="AO343" s="844"/>
      <c r="AP343" s="859"/>
      <c r="AQ343" s="859"/>
      <c r="AR343" s="859"/>
      <c r="AS343" s="840"/>
      <c r="AT343" s="840"/>
      <c r="AU343" s="860" t="s">
        <v>1147</v>
      </c>
      <c r="AV343" s="839" t="s">
        <v>1148</v>
      </c>
      <c r="AW343" s="861">
        <v>45325</v>
      </c>
      <c r="AX343" s="862">
        <v>45325</v>
      </c>
      <c r="AY343" s="843" t="s">
        <v>1153</v>
      </c>
      <c r="AZ343" s="842">
        <v>94051199</v>
      </c>
      <c r="BA343" s="842" t="s">
        <v>120</v>
      </c>
      <c r="BB343" s="863" t="s">
        <v>121</v>
      </c>
      <c r="BC343" s="864">
        <v>45325</v>
      </c>
      <c r="BD343" s="860" t="s">
        <v>1150</v>
      </c>
      <c r="BE343" s="865" cm="1">
        <f t="array" ref="BE343">IF(BD343="","",AC343/SUMPRODUCT(--(BD343=$BD$4:$BD$12824),$AC$4:$AC$12824))</f>
        <v>0.10426807384311704</v>
      </c>
      <c r="BF343" s="458"/>
      <c r="BG343" s="458"/>
      <c r="BH343" s="458"/>
      <c r="BI343" s="458"/>
      <c r="BJ343" s="458"/>
      <c r="BK343" s="458"/>
      <c r="BL343" s="458"/>
      <c r="BM343" s="458"/>
      <c r="BN343" s="458"/>
      <c r="BO343" s="866">
        <f>VLOOKUP(BD343,$BD$4:$BN$12824,3,0)*BE343</f>
        <v>660647.72927368176</v>
      </c>
      <c r="BP343" s="866"/>
      <c r="BQ343" s="866"/>
      <c r="BR343" s="866">
        <f>VLOOKUP(BD343,$BD$4:$BN$12824,6,0)*BE343</f>
        <v>284488.66205614503</v>
      </c>
      <c r="BS343" s="866">
        <f>VLOOKUP(BD343,$BD$4:$BN$12824,7,0)*BE343</f>
        <v>26067.018460779258</v>
      </c>
      <c r="BT343" s="866"/>
      <c r="BU343" s="866">
        <f>VLOOKUP(BD343,$BD$4:$BN$12824,9,0)*BE343</f>
        <v>0</v>
      </c>
      <c r="BV343" s="867"/>
      <c r="BW343" s="867">
        <f>VLOOKUP(BD343,$BD$4:$BN$12824,11,0)*BE343</f>
        <v>62560.844305870225</v>
      </c>
      <c r="BX343" s="1146">
        <f t="shared" si="68"/>
        <v>1033764.2540964762</v>
      </c>
      <c r="BY343" s="867">
        <f t="shared" si="66"/>
        <v>10776940.470396478</v>
      </c>
      <c r="BZ343" s="867">
        <f t="shared" si="63"/>
        <v>10776940.470396478</v>
      </c>
      <c r="CA343" s="867">
        <f>_xlfn.MAXIFS($BY$4:$BY$12824,$S$4:$S$12824,$S343)</f>
        <v>10776940.470396478</v>
      </c>
      <c r="CB343" s="1032"/>
      <c r="CF343" s="946">
        <f t="shared" si="65"/>
        <v>9743176.2163000014</v>
      </c>
    </row>
    <row r="344" spans="1:84">
      <c r="A344" s="1032"/>
      <c r="B344" s="839" t="s">
        <v>98</v>
      </c>
      <c r="C344" s="840" t="s">
        <v>99</v>
      </c>
      <c r="D344" s="839" t="s">
        <v>1133</v>
      </c>
      <c r="E344" s="839" t="s">
        <v>1134</v>
      </c>
      <c r="F344" s="841">
        <v>45088</v>
      </c>
      <c r="G344" s="840" t="s">
        <v>99</v>
      </c>
      <c r="H344" s="842" t="s">
        <v>134</v>
      </c>
      <c r="I344" s="842"/>
      <c r="J344" s="841"/>
      <c r="K344" s="841"/>
      <c r="L344" s="843" t="s">
        <v>1135</v>
      </c>
      <c r="M344" s="844"/>
      <c r="N344" s="841"/>
      <c r="O344" s="841" t="s">
        <v>108</v>
      </c>
      <c r="P344" s="841" t="s">
        <v>160</v>
      </c>
      <c r="Q344" s="843" t="s">
        <v>1154</v>
      </c>
      <c r="R344" s="845">
        <v>5744168588</v>
      </c>
      <c r="S344" s="1127" t="s">
        <v>1155</v>
      </c>
      <c r="T344" s="843" t="s">
        <v>1156</v>
      </c>
      <c r="U344" s="842">
        <v>1</v>
      </c>
      <c r="V344" s="842" t="s">
        <v>3</v>
      </c>
      <c r="W344" s="846">
        <v>369.75</v>
      </c>
      <c r="X344" s="847">
        <f t="shared" si="58"/>
        <v>369.75</v>
      </c>
      <c r="Y344" s="848">
        <f t="shared" si="67"/>
        <v>0</v>
      </c>
      <c r="Z344" s="849">
        <v>369.75</v>
      </c>
      <c r="AA344" s="849"/>
      <c r="AB344" s="849">
        <f t="shared" si="59"/>
        <v>369.75</v>
      </c>
      <c r="AC344" s="850">
        <f t="shared" si="60"/>
        <v>369.75</v>
      </c>
      <c r="AD344" s="851"/>
      <c r="AE344" s="852">
        <v>26200.49</v>
      </c>
      <c r="AF344" s="853">
        <v>0</v>
      </c>
      <c r="AG344" s="854">
        <f t="shared" si="61"/>
        <v>0</v>
      </c>
      <c r="AH344" s="853"/>
      <c r="AI344" s="855">
        <f t="shared" si="62"/>
        <v>0</v>
      </c>
      <c r="AJ344" s="856" t="s">
        <v>1141</v>
      </c>
      <c r="AK344" s="857"/>
      <c r="AL344" s="840"/>
      <c r="AM344" s="840"/>
      <c r="AN344" s="858"/>
      <c r="AO344" s="844"/>
      <c r="AP344" s="859"/>
      <c r="AQ344" s="859"/>
      <c r="AR344" s="859"/>
      <c r="AS344" s="840"/>
      <c r="AT344" s="840"/>
      <c r="AU344" s="860" t="s">
        <v>1147</v>
      </c>
      <c r="AV344" s="839" t="s">
        <v>1148</v>
      </c>
      <c r="AW344" s="861">
        <v>45325</v>
      </c>
      <c r="AX344" s="862">
        <v>45325</v>
      </c>
      <c r="AY344" s="843" t="s">
        <v>1157</v>
      </c>
      <c r="AZ344" s="842">
        <v>94052990</v>
      </c>
      <c r="BA344" s="842" t="s">
        <v>120</v>
      </c>
      <c r="BB344" s="863" t="s">
        <v>121</v>
      </c>
      <c r="BC344" s="864">
        <v>45325</v>
      </c>
      <c r="BD344" s="860" t="s">
        <v>1150</v>
      </c>
      <c r="BE344" s="865" cm="1">
        <f t="array" ref="BE344">IF(BD344="","",AC344/SUMPRODUCT(--(BD344=$BD$4:$BD$12824),$AC$4:$AC$12824))</f>
        <v>0.10367365020973061</v>
      </c>
      <c r="BF344" s="458"/>
      <c r="BG344" s="458"/>
      <c r="BH344" s="458"/>
      <c r="BI344" s="458"/>
      <c r="BJ344" s="458"/>
      <c r="BK344" s="458"/>
      <c r="BL344" s="458"/>
      <c r="BM344" s="458"/>
      <c r="BN344" s="458"/>
      <c r="BO344" s="866">
        <f>VLOOKUP(BD344,$BD$4:$BN$12824,3,0)*BE344</f>
        <v>656881.43141136365</v>
      </c>
      <c r="BP344" s="866"/>
      <c r="BQ344" s="866"/>
      <c r="BR344" s="866">
        <f>VLOOKUP(BD344,$BD$4:$BN$12824,6,0)*BE344</f>
        <v>282866.81580998632</v>
      </c>
      <c r="BS344" s="866">
        <f>VLOOKUP(BD344,$BD$4:$BN$12824,7,0)*BE344</f>
        <v>25918.412552432652</v>
      </c>
      <c r="BT344" s="866"/>
      <c r="BU344" s="866">
        <f>VLOOKUP(BD344,$BD$4:$BN$12824,9,0)*BE344</f>
        <v>0</v>
      </c>
      <c r="BV344" s="867"/>
      <c r="BW344" s="867">
        <f>VLOOKUP(BD344,$BD$4:$BN$12824,11,0)*BE344</f>
        <v>62204.190125838366</v>
      </c>
      <c r="BX344" s="1146">
        <f t="shared" si="68"/>
        <v>1027870.849899621</v>
      </c>
      <c r="BY344" s="867">
        <f t="shared" si="66"/>
        <v>10715502.027399622</v>
      </c>
      <c r="BZ344" s="867">
        <f t="shared" si="63"/>
        <v>10715502.027399622</v>
      </c>
      <c r="CA344" s="867">
        <f>_xlfn.MAXIFS($BY$4:$BY$12824,$S$4:$S$12824,$S344)</f>
        <v>10715502.027399622</v>
      </c>
      <c r="CB344" s="1032"/>
      <c r="CF344" s="946">
        <f t="shared" si="65"/>
        <v>9687631.1775000002</v>
      </c>
    </row>
    <row r="345" spans="1:84">
      <c r="A345" s="1032"/>
      <c r="B345" s="839" t="s">
        <v>98</v>
      </c>
      <c r="C345" s="840" t="s">
        <v>99</v>
      </c>
      <c r="D345" s="839" t="s">
        <v>1133</v>
      </c>
      <c r="E345" s="839" t="s">
        <v>1134</v>
      </c>
      <c r="F345" s="841">
        <v>45088</v>
      </c>
      <c r="G345" s="840" t="s">
        <v>99</v>
      </c>
      <c r="H345" s="842" t="s">
        <v>134</v>
      </c>
      <c r="I345" s="842"/>
      <c r="J345" s="841"/>
      <c r="K345" s="841"/>
      <c r="L345" s="843" t="s">
        <v>1135</v>
      </c>
      <c r="M345" s="844"/>
      <c r="N345" s="841"/>
      <c r="O345" s="841" t="s">
        <v>108</v>
      </c>
      <c r="P345" s="841" t="s">
        <v>269</v>
      </c>
      <c r="Q345" s="843" t="s">
        <v>1158</v>
      </c>
      <c r="R345" s="845">
        <v>5744611352</v>
      </c>
      <c r="S345" s="1127" t="s">
        <v>1159</v>
      </c>
      <c r="T345" s="843" t="s">
        <v>1160</v>
      </c>
      <c r="U345" s="842">
        <v>1</v>
      </c>
      <c r="V345" s="842" t="s">
        <v>3</v>
      </c>
      <c r="W345" s="846">
        <v>512.12</v>
      </c>
      <c r="X345" s="847">
        <f t="shared" si="58"/>
        <v>512.12</v>
      </c>
      <c r="Y345" s="848">
        <f t="shared" si="67"/>
        <v>0</v>
      </c>
      <c r="Z345" s="849">
        <v>512.12</v>
      </c>
      <c r="AA345" s="849"/>
      <c r="AB345" s="849">
        <f t="shared" si="59"/>
        <v>512.12</v>
      </c>
      <c r="AC345" s="850">
        <f t="shared" si="60"/>
        <v>512.12</v>
      </c>
      <c r="AD345" s="851"/>
      <c r="AE345" s="852">
        <v>26200.49</v>
      </c>
      <c r="AF345" s="853">
        <v>0</v>
      </c>
      <c r="AG345" s="854">
        <f t="shared" si="61"/>
        <v>0</v>
      </c>
      <c r="AH345" s="853"/>
      <c r="AI345" s="855">
        <f t="shared" si="62"/>
        <v>0</v>
      </c>
      <c r="AJ345" s="856" t="s">
        <v>1141</v>
      </c>
      <c r="AK345" s="857"/>
      <c r="AL345" s="840"/>
      <c r="AM345" s="840"/>
      <c r="AN345" s="858"/>
      <c r="AO345" s="844"/>
      <c r="AP345" s="859"/>
      <c r="AQ345" s="859"/>
      <c r="AR345" s="859"/>
      <c r="AS345" s="840"/>
      <c r="AT345" s="840"/>
      <c r="AU345" s="860" t="s">
        <v>1147</v>
      </c>
      <c r="AV345" s="839" t="s">
        <v>1148</v>
      </c>
      <c r="AW345" s="861">
        <v>45325</v>
      </c>
      <c r="AX345" s="862">
        <v>45325</v>
      </c>
      <c r="AY345" s="843" t="s">
        <v>1161</v>
      </c>
      <c r="AZ345" s="842">
        <v>94052990</v>
      </c>
      <c r="BA345" s="842" t="s">
        <v>120</v>
      </c>
      <c r="BB345" s="863" t="s">
        <v>121</v>
      </c>
      <c r="BC345" s="864">
        <v>45325</v>
      </c>
      <c r="BD345" s="860" t="s">
        <v>1150</v>
      </c>
      <c r="BE345" s="865" cm="1">
        <f t="array" ref="BE345">IF(BD345="","",AC345/SUMPRODUCT(--(BD345=$BD$4:$BD$12824),$AC$4:$AC$12824))</f>
        <v>0.1435925618537045</v>
      </c>
      <c r="BF345" s="458"/>
      <c r="BG345" s="458"/>
      <c r="BH345" s="458"/>
      <c r="BI345" s="458"/>
      <c r="BJ345" s="458"/>
      <c r="BK345" s="458"/>
      <c r="BL345" s="458"/>
      <c r="BM345" s="458"/>
      <c r="BN345" s="458"/>
      <c r="BO345" s="866">
        <f>VLOOKUP(BD345,$BD$4:$BN$12824,3,0)*BE345</f>
        <v>909809.65153316443</v>
      </c>
      <c r="BP345" s="866"/>
      <c r="BQ345" s="866"/>
      <c r="BR345" s="866">
        <f>VLOOKUP(BD345,$BD$4:$BN$12824,6,0)*BE345</f>
        <v>391782.97150131222</v>
      </c>
      <c r="BS345" s="866">
        <f>VLOOKUP(BD345,$BD$4:$BN$12824,7,0)*BE345</f>
        <v>35898.140463426127</v>
      </c>
      <c r="BT345" s="866"/>
      <c r="BU345" s="866">
        <f>VLOOKUP(BD345,$BD$4:$BN$12824,9,0)*BE345</f>
        <v>0</v>
      </c>
      <c r="BV345" s="867"/>
      <c r="BW345" s="867">
        <f>VLOOKUP(BD345,$BD$4:$BN$12824,11,0)*BE345</f>
        <v>86155.537112222708</v>
      </c>
      <c r="BX345" s="1146">
        <f t="shared" si="68"/>
        <v>1423646.3006101258</v>
      </c>
      <c r="BY345" s="867">
        <f t="shared" si="66"/>
        <v>14841441.239410127</v>
      </c>
      <c r="BZ345" s="867">
        <f t="shared" si="63"/>
        <v>14841441.239410127</v>
      </c>
      <c r="CA345" s="867">
        <f>_xlfn.MAXIFS($BY$4:$BY$12824,$S$4:$S$12824,$S345)</f>
        <v>14841441.239410127</v>
      </c>
      <c r="CB345" s="1032"/>
      <c r="CF345" s="946">
        <f t="shared" si="65"/>
        <v>13417794.938800002</v>
      </c>
    </row>
    <row r="346" spans="1:84">
      <c r="A346" s="1032"/>
      <c r="B346" s="839" t="s">
        <v>98</v>
      </c>
      <c r="C346" s="840" t="s">
        <v>99</v>
      </c>
      <c r="D346" s="839" t="s">
        <v>1133</v>
      </c>
      <c r="E346" s="839" t="s">
        <v>1134</v>
      </c>
      <c r="F346" s="841">
        <v>45088</v>
      </c>
      <c r="G346" s="840" t="s">
        <v>99</v>
      </c>
      <c r="H346" s="842" t="s">
        <v>134</v>
      </c>
      <c r="I346" s="842"/>
      <c r="J346" s="841"/>
      <c r="K346" s="841"/>
      <c r="L346" s="843" t="s">
        <v>1135</v>
      </c>
      <c r="M346" s="844"/>
      <c r="N346" s="841"/>
      <c r="O346" s="841" t="s">
        <v>108</v>
      </c>
      <c r="P346" s="841" t="s">
        <v>160</v>
      </c>
      <c r="Q346" s="843" t="s">
        <v>1162</v>
      </c>
      <c r="R346" s="845">
        <v>5744610861</v>
      </c>
      <c r="S346" s="1127" t="s">
        <v>1163</v>
      </c>
      <c r="T346" s="843" t="s">
        <v>1164</v>
      </c>
      <c r="U346" s="842">
        <v>1</v>
      </c>
      <c r="V346" s="842" t="s">
        <v>3</v>
      </c>
      <c r="W346" s="846">
        <v>541.87</v>
      </c>
      <c r="X346" s="847">
        <f t="shared" si="58"/>
        <v>541.87</v>
      </c>
      <c r="Y346" s="848">
        <f t="shared" si="67"/>
        <v>0</v>
      </c>
      <c r="Z346" s="849">
        <v>541.87</v>
      </c>
      <c r="AA346" s="849"/>
      <c r="AB346" s="849">
        <f t="shared" si="59"/>
        <v>541.87</v>
      </c>
      <c r="AC346" s="850">
        <f t="shared" si="60"/>
        <v>541.87</v>
      </c>
      <c r="AD346" s="851"/>
      <c r="AE346" s="852">
        <v>26200.49</v>
      </c>
      <c r="AF346" s="853">
        <v>0</v>
      </c>
      <c r="AG346" s="854">
        <f t="shared" si="61"/>
        <v>0</v>
      </c>
      <c r="AH346" s="853"/>
      <c r="AI346" s="855">
        <f t="shared" si="62"/>
        <v>0</v>
      </c>
      <c r="AJ346" s="856" t="s">
        <v>1141</v>
      </c>
      <c r="AK346" s="857"/>
      <c r="AL346" s="840"/>
      <c r="AM346" s="840"/>
      <c r="AN346" s="858"/>
      <c r="AO346" s="844"/>
      <c r="AP346" s="859"/>
      <c r="AQ346" s="859"/>
      <c r="AR346" s="859"/>
      <c r="AS346" s="840"/>
      <c r="AT346" s="840"/>
      <c r="AU346" s="860" t="s">
        <v>1147</v>
      </c>
      <c r="AV346" s="839" t="s">
        <v>1148</v>
      </c>
      <c r="AW346" s="861">
        <v>45325</v>
      </c>
      <c r="AX346" s="862">
        <v>45325</v>
      </c>
      <c r="AY346" s="843" t="s">
        <v>1165</v>
      </c>
      <c r="AZ346" s="842">
        <v>94052990</v>
      </c>
      <c r="BA346" s="842" t="s">
        <v>120</v>
      </c>
      <c r="BB346" s="863" t="s">
        <v>121</v>
      </c>
      <c r="BC346" s="864">
        <v>45325</v>
      </c>
      <c r="BD346" s="860" t="s">
        <v>1150</v>
      </c>
      <c r="BE346" s="865" cm="1">
        <f t="array" ref="BE346">IF(BD346="","",AC346/SUMPRODUCT(--(BD346=$BD$4:$BD$12824),$AC$4:$AC$12824))</f>
        <v>0.15193411991655639</v>
      </c>
      <c r="BF346" s="458"/>
      <c r="BG346" s="458"/>
      <c r="BH346" s="458"/>
      <c r="BI346" s="458"/>
      <c r="BJ346" s="458"/>
      <c r="BK346" s="458"/>
      <c r="BL346" s="458"/>
      <c r="BM346" s="458"/>
      <c r="BN346" s="458"/>
      <c r="BO346" s="866">
        <f>VLOOKUP(BD346,$BD$4:$BN$12824,3,0)*BE346</f>
        <v>962662.18049729709</v>
      </c>
      <c r="BP346" s="866"/>
      <c r="BQ346" s="866"/>
      <c r="BR346" s="866">
        <f>VLOOKUP(BD346,$BD$4:$BN$12824,6,0)*BE346</f>
        <v>414542.37047452957</v>
      </c>
      <c r="BS346" s="866">
        <f>VLOOKUP(BD346,$BD$4:$BN$12824,7,0)*BE346</f>
        <v>37983.529979139101</v>
      </c>
      <c r="BT346" s="866"/>
      <c r="BU346" s="866">
        <f>VLOOKUP(BD346,$BD$4:$BN$12824,9,0)*BE346</f>
        <v>0</v>
      </c>
      <c r="BV346" s="867"/>
      <c r="BW346" s="867">
        <f>VLOOKUP(BD346,$BD$4:$BN$12824,11,0)*BE346</f>
        <v>91160.471949933839</v>
      </c>
      <c r="BX346" s="1146">
        <f t="shared" si="68"/>
        <v>1506348.5529008994</v>
      </c>
      <c r="BY346" s="867">
        <f t="shared" si="66"/>
        <v>15703608.069200899</v>
      </c>
      <c r="BZ346" s="867">
        <f t="shared" si="63"/>
        <v>15703608.069200899</v>
      </c>
      <c r="CA346" s="867">
        <f>_xlfn.MAXIFS($BY$4:$BY$12824,$S$4:$S$12824,$S346)</f>
        <v>15703608.069200899</v>
      </c>
      <c r="CB346" s="1032"/>
      <c r="CF346" s="946">
        <f t="shared" si="65"/>
        <v>14197259.5163</v>
      </c>
    </row>
    <row r="347" spans="1:84">
      <c r="A347" s="1032"/>
      <c r="B347" s="839" t="s">
        <v>98</v>
      </c>
      <c r="C347" s="840" t="s">
        <v>99</v>
      </c>
      <c r="D347" s="839" t="s">
        <v>1133</v>
      </c>
      <c r="E347" s="839" t="s">
        <v>1134</v>
      </c>
      <c r="F347" s="841">
        <v>45088</v>
      </c>
      <c r="G347" s="840" t="s">
        <v>99</v>
      </c>
      <c r="H347" s="842" t="s">
        <v>134</v>
      </c>
      <c r="I347" s="842"/>
      <c r="J347" s="841"/>
      <c r="K347" s="841"/>
      <c r="L347" s="843" t="s">
        <v>1135</v>
      </c>
      <c r="M347" s="844"/>
      <c r="N347" s="841"/>
      <c r="O347" s="841" t="s">
        <v>108</v>
      </c>
      <c r="P347" s="841" t="s">
        <v>1136</v>
      </c>
      <c r="Q347" s="843" t="s">
        <v>110</v>
      </c>
      <c r="R347" s="845">
        <v>5741104574</v>
      </c>
      <c r="S347" s="1127" t="s">
        <v>1166</v>
      </c>
      <c r="T347" s="843" t="s">
        <v>1167</v>
      </c>
      <c r="U347" s="842">
        <v>1</v>
      </c>
      <c r="V347" s="842" t="s">
        <v>3</v>
      </c>
      <c r="W347" s="846">
        <v>410.12</v>
      </c>
      <c r="X347" s="847">
        <f t="shared" si="58"/>
        <v>410.12</v>
      </c>
      <c r="Y347" s="848">
        <f t="shared" si="67"/>
        <v>0</v>
      </c>
      <c r="Z347" s="849">
        <v>410.12</v>
      </c>
      <c r="AA347" s="849"/>
      <c r="AB347" s="849">
        <f t="shared" si="59"/>
        <v>410.12</v>
      </c>
      <c r="AC347" s="850">
        <f t="shared" si="60"/>
        <v>410.12</v>
      </c>
      <c r="AD347" s="851"/>
      <c r="AE347" s="852">
        <v>26200.49</v>
      </c>
      <c r="AF347" s="853">
        <v>0</v>
      </c>
      <c r="AG347" s="854">
        <f t="shared" si="61"/>
        <v>0</v>
      </c>
      <c r="AH347" s="853"/>
      <c r="AI347" s="855">
        <f t="shared" si="62"/>
        <v>0</v>
      </c>
      <c r="AJ347" s="856" t="s">
        <v>1141</v>
      </c>
      <c r="AK347" s="857"/>
      <c r="AL347" s="840"/>
      <c r="AM347" s="840"/>
      <c r="AN347" s="858"/>
      <c r="AO347" s="844"/>
      <c r="AP347" s="859"/>
      <c r="AQ347" s="859"/>
      <c r="AR347" s="859"/>
      <c r="AS347" s="840"/>
      <c r="AT347" s="840"/>
      <c r="AU347" s="860" t="s">
        <v>1147</v>
      </c>
      <c r="AV347" s="839" t="s">
        <v>1148</v>
      </c>
      <c r="AW347" s="861">
        <v>45325</v>
      </c>
      <c r="AX347" s="862">
        <v>45325</v>
      </c>
      <c r="AY347" s="843" t="s">
        <v>1168</v>
      </c>
      <c r="AZ347" s="842">
        <v>94051199</v>
      </c>
      <c r="BA347" s="842" t="s">
        <v>120</v>
      </c>
      <c r="BB347" s="863" t="s">
        <v>121</v>
      </c>
      <c r="BC347" s="864">
        <v>45325</v>
      </c>
      <c r="BD347" s="860" t="s">
        <v>1150</v>
      </c>
      <c r="BE347" s="865" cm="1">
        <f t="array" ref="BE347">IF(BD347="","",AC347/SUMPRODUCT(--(BD347=$BD$4:$BD$12824),$AC$4:$AC$12824))</f>
        <v>0.11499293420964089</v>
      </c>
      <c r="BF347" s="458"/>
      <c r="BG347" s="458"/>
      <c r="BH347" s="458"/>
      <c r="BI347" s="458"/>
      <c r="BJ347" s="458"/>
      <c r="BK347" s="458"/>
      <c r="BL347" s="458"/>
      <c r="BM347" s="458"/>
      <c r="BN347" s="458"/>
      <c r="BO347" s="866">
        <f>VLOOKUP(BD347,$BD$4:$BN$12824,3,0)*BE347</f>
        <v>728600.98079899512</v>
      </c>
      <c r="BP347" s="866"/>
      <c r="BQ347" s="866"/>
      <c r="BR347" s="866">
        <f>VLOOKUP(BD347,$BD$4:$BN$12824,6,0)*BE347</f>
        <v>313750.74645028153</v>
      </c>
      <c r="BS347" s="866">
        <f>VLOOKUP(BD347,$BD$4:$BN$12824,7,0)*BE347</f>
        <v>28748.233552410224</v>
      </c>
      <c r="BT347" s="866"/>
      <c r="BU347" s="866">
        <f>VLOOKUP(BD347,$BD$4:$BN$12824,9,0)*BE347</f>
        <v>0</v>
      </c>
      <c r="BV347" s="867"/>
      <c r="BW347" s="867">
        <f>VLOOKUP(BD347,$BD$4:$BN$12824,11,0)*BE347</f>
        <v>68995.760525784543</v>
      </c>
      <c r="BX347" s="1146">
        <f t="shared" si="68"/>
        <v>1140095.7213274713</v>
      </c>
      <c r="BY347" s="867">
        <f t="shared" si="66"/>
        <v>11885440.680127472</v>
      </c>
      <c r="BZ347" s="867">
        <f t="shared" si="63"/>
        <v>11885440.680127472</v>
      </c>
      <c r="CA347" s="867">
        <f>_xlfn.MAXIFS($BY$4:$BY$12824,$S$4:$S$12824,$S347)</f>
        <v>15830318.678699292</v>
      </c>
      <c r="CB347" s="1032"/>
      <c r="CF347" s="946">
        <f t="shared" si="65"/>
        <v>10745344.958800001</v>
      </c>
    </row>
    <row r="348" spans="1:84">
      <c r="A348" s="1032"/>
      <c r="B348" s="839" t="s">
        <v>98</v>
      </c>
      <c r="C348" s="840" t="s">
        <v>99</v>
      </c>
      <c r="D348" s="839" t="s">
        <v>1133</v>
      </c>
      <c r="E348" s="839" t="s">
        <v>1134</v>
      </c>
      <c r="F348" s="841">
        <v>45088</v>
      </c>
      <c r="G348" s="840" t="s">
        <v>99</v>
      </c>
      <c r="H348" s="842" t="s">
        <v>134</v>
      </c>
      <c r="I348" s="842"/>
      <c r="J348" s="841"/>
      <c r="K348" s="841"/>
      <c r="L348" s="843" t="s">
        <v>1135</v>
      </c>
      <c r="M348" s="844"/>
      <c r="N348" s="841"/>
      <c r="O348" s="841" t="s">
        <v>108</v>
      </c>
      <c r="P348" s="841" t="s">
        <v>160</v>
      </c>
      <c r="Q348" s="843" t="s">
        <v>1169</v>
      </c>
      <c r="R348" s="845">
        <v>5744167042</v>
      </c>
      <c r="S348" s="1127" t="s">
        <v>1170</v>
      </c>
      <c r="T348" s="843" t="s">
        <v>1171</v>
      </c>
      <c r="U348" s="842">
        <v>1</v>
      </c>
      <c r="V348" s="842" t="s">
        <v>3</v>
      </c>
      <c r="W348" s="846">
        <v>335.75</v>
      </c>
      <c r="X348" s="847">
        <f t="shared" si="58"/>
        <v>335.75</v>
      </c>
      <c r="Y348" s="848">
        <f t="shared" si="67"/>
        <v>0</v>
      </c>
      <c r="Z348" s="849">
        <v>335.75</v>
      </c>
      <c r="AA348" s="849"/>
      <c r="AB348" s="849">
        <f t="shared" si="59"/>
        <v>335.75</v>
      </c>
      <c r="AC348" s="850">
        <f t="shared" si="60"/>
        <v>335.75</v>
      </c>
      <c r="AD348" s="851"/>
      <c r="AE348" s="852">
        <v>26200.49</v>
      </c>
      <c r="AF348" s="853">
        <v>0</v>
      </c>
      <c r="AG348" s="854">
        <f t="shared" si="61"/>
        <v>0</v>
      </c>
      <c r="AH348" s="853"/>
      <c r="AI348" s="855">
        <f t="shared" si="62"/>
        <v>0</v>
      </c>
      <c r="AJ348" s="856" t="s">
        <v>1141</v>
      </c>
      <c r="AK348" s="857"/>
      <c r="AL348" s="840"/>
      <c r="AM348" s="840"/>
      <c r="AN348" s="858"/>
      <c r="AO348" s="844"/>
      <c r="AP348" s="859"/>
      <c r="AQ348" s="859"/>
      <c r="AR348" s="859"/>
      <c r="AS348" s="840"/>
      <c r="AT348" s="840"/>
      <c r="AU348" s="860" t="s">
        <v>1147</v>
      </c>
      <c r="AV348" s="839" t="s">
        <v>1148</v>
      </c>
      <c r="AW348" s="861">
        <v>45325</v>
      </c>
      <c r="AX348" s="862">
        <v>45325</v>
      </c>
      <c r="AY348" s="843" t="s">
        <v>1172</v>
      </c>
      <c r="AZ348" s="842">
        <v>94052990</v>
      </c>
      <c r="BA348" s="842" t="s">
        <v>120</v>
      </c>
      <c r="BB348" s="863" t="s">
        <v>121</v>
      </c>
      <c r="BC348" s="864">
        <v>45325</v>
      </c>
      <c r="BD348" s="860" t="s">
        <v>1150</v>
      </c>
      <c r="BE348" s="865" cm="1">
        <f t="array" ref="BE348">IF(BD348="","",AC348/SUMPRODUCT(--(BD348=$BD$4:$BD$12824),$AC$4:$AC$12824))</f>
        <v>9.4140440995042748E-2</v>
      </c>
      <c r="BF348" s="458"/>
      <c r="BG348" s="458"/>
      <c r="BH348" s="458"/>
      <c r="BI348" s="458"/>
      <c r="BJ348" s="458"/>
      <c r="BK348" s="458"/>
      <c r="BL348" s="458"/>
      <c r="BM348" s="458"/>
      <c r="BN348" s="458"/>
      <c r="BO348" s="866">
        <f>VLOOKUP(BD348,$BD$4:$BN$12824,3,0)*BE348</f>
        <v>596478.54116664059</v>
      </c>
      <c r="BP348" s="866"/>
      <c r="BQ348" s="866"/>
      <c r="BR348" s="866">
        <f>VLOOKUP(BD348,$BD$4:$BN$12824,6,0)*BE348</f>
        <v>256856.07412630945</v>
      </c>
      <c r="BS348" s="866">
        <f>VLOOKUP(BD348,$BD$4:$BN$12824,7,0)*BE348</f>
        <v>23535.110248760688</v>
      </c>
      <c r="BT348" s="866"/>
      <c r="BU348" s="866">
        <f>VLOOKUP(BD348,$BD$4:$BN$12824,9,0)*BE348</f>
        <v>0</v>
      </c>
      <c r="BV348" s="867"/>
      <c r="BW348" s="867">
        <f>VLOOKUP(BD348,$BD$4:$BN$12824,11,0)*BE348</f>
        <v>56484.264597025649</v>
      </c>
      <c r="BX348" s="1146">
        <f t="shared" si="68"/>
        <v>933353.99013873644</v>
      </c>
      <c r="BY348" s="867">
        <f t="shared" si="66"/>
        <v>9730168.5076387357</v>
      </c>
      <c r="BZ348" s="867">
        <f t="shared" si="63"/>
        <v>9730168.5076387357</v>
      </c>
      <c r="CA348" s="867">
        <f>_xlfn.MAXIFS($BY$4:$BY$12824,$S$4:$S$12824,$S348)</f>
        <v>9730168.5076387357</v>
      </c>
      <c r="CB348" s="1032"/>
      <c r="CF348" s="946">
        <f t="shared" si="65"/>
        <v>8796814.5175000001</v>
      </c>
    </row>
    <row r="349" spans="1:84">
      <c r="A349" s="1032"/>
      <c r="B349" s="839" t="s">
        <v>98</v>
      </c>
      <c r="C349" s="839" t="s">
        <v>254</v>
      </c>
      <c r="D349" s="839" t="s">
        <v>1173</v>
      </c>
      <c r="E349" s="839" t="s">
        <v>1174</v>
      </c>
      <c r="F349" s="841">
        <v>45118</v>
      </c>
      <c r="G349" s="840" t="s">
        <v>254</v>
      </c>
      <c r="H349" s="842" t="s">
        <v>102</v>
      </c>
      <c r="I349" s="842" t="s">
        <v>1175</v>
      </c>
      <c r="J349" s="841" t="s">
        <v>1176</v>
      </c>
      <c r="K349" s="841" t="s">
        <v>1177</v>
      </c>
      <c r="L349" s="843" t="s">
        <v>106</v>
      </c>
      <c r="M349" s="844"/>
      <c r="N349" s="841"/>
      <c r="O349" s="841" t="s">
        <v>108</v>
      </c>
      <c r="P349" s="841" t="s">
        <v>1136</v>
      </c>
      <c r="Q349" s="843"/>
      <c r="R349" s="845" t="s">
        <v>1178</v>
      </c>
      <c r="S349" s="1127" t="s">
        <v>1179</v>
      </c>
      <c r="T349" s="843" t="s">
        <v>1180</v>
      </c>
      <c r="U349" s="842">
        <v>1</v>
      </c>
      <c r="V349" s="842" t="s">
        <v>3</v>
      </c>
      <c r="W349" s="846">
        <v>4508</v>
      </c>
      <c r="X349" s="847">
        <f t="shared" si="58"/>
        <v>4508</v>
      </c>
      <c r="Y349" s="848">
        <f t="shared" si="67"/>
        <v>0.44999999999999996</v>
      </c>
      <c r="Z349" s="849">
        <v>2479.4</v>
      </c>
      <c r="AA349" s="849"/>
      <c r="AB349" s="849">
        <f t="shared" si="59"/>
        <v>2479.4</v>
      </c>
      <c r="AC349" s="850">
        <f t="shared" si="60"/>
        <v>2479.4</v>
      </c>
      <c r="AD349" s="851"/>
      <c r="AE349" s="852">
        <v>26281.45</v>
      </c>
      <c r="AF349" s="853">
        <v>0</v>
      </c>
      <c r="AG349" s="854">
        <f t="shared" si="61"/>
        <v>0</v>
      </c>
      <c r="AH349" s="853"/>
      <c r="AI349" s="855">
        <f t="shared" si="62"/>
        <v>0</v>
      </c>
      <c r="AJ349" s="856" t="s">
        <v>1181</v>
      </c>
      <c r="AK349" s="857" t="s">
        <v>1182</v>
      </c>
      <c r="AL349" s="840" t="s">
        <v>1183</v>
      </c>
      <c r="AM349" s="840"/>
      <c r="AN349" s="858"/>
      <c r="AO349" s="844" t="s">
        <v>1184</v>
      </c>
      <c r="AP349" s="859" t="s">
        <v>1185</v>
      </c>
      <c r="AQ349" s="859" t="s">
        <v>1185</v>
      </c>
      <c r="AR349" s="859">
        <v>45354</v>
      </c>
      <c r="AS349" s="840" t="s">
        <v>1186</v>
      </c>
      <c r="AT349" s="840" t="s">
        <v>1187</v>
      </c>
      <c r="AU349" s="860" t="s">
        <v>1188</v>
      </c>
      <c r="AV349" s="839" t="s">
        <v>1189</v>
      </c>
      <c r="AW349" s="861">
        <v>45355</v>
      </c>
      <c r="AX349" s="862">
        <v>45355</v>
      </c>
      <c r="AY349" s="843" t="s">
        <v>1190</v>
      </c>
      <c r="AZ349" s="842">
        <v>94051199</v>
      </c>
      <c r="BA349" s="842" t="s">
        <v>120</v>
      </c>
      <c r="BB349" s="863" t="s">
        <v>121</v>
      </c>
      <c r="BC349" s="864">
        <v>45415</v>
      </c>
      <c r="BD349" s="860" t="s">
        <v>1191</v>
      </c>
      <c r="BE349" s="865" cm="1">
        <f t="array" ref="BE349">IF(BD349="","",AC349/SUMPRODUCT(--(BD349=$BD$4:$BD$12824),$AC$4:$AC$12824))</f>
        <v>0.76601529311809691</v>
      </c>
      <c r="BF349" s="458">
        <v>9577260</v>
      </c>
      <c r="BG349" s="458"/>
      <c r="BH349" s="458"/>
      <c r="BI349" s="458">
        <f>(870660+373140+150000)/1.08</f>
        <v>1290555.5555555555</v>
      </c>
      <c r="BJ349" s="458">
        <v>250000</v>
      </c>
      <c r="BK349" s="458"/>
      <c r="BL349" s="458"/>
      <c r="BM349" s="458"/>
      <c r="BN349" s="458">
        <v>600000</v>
      </c>
      <c r="BO349" s="866">
        <f>VLOOKUP(BD349,$BD$4:$BN$12824,3,0)*BE349</f>
        <v>7336327.626168225</v>
      </c>
      <c r="BP349" s="866"/>
      <c r="BQ349" s="866"/>
      <c r="BR349" s="866">
        <f>VLOOKUP(BD349,$BD$4:$BN$12824,6,0)*BE349</f>
        <v>988585.29217407724</v>
      </c>
      <c r="BS349" s="866">
        <f>VLOOKUP(BD349,$BD$4:$BN$12824,7,0)*BE349</f>
        <v>191503.82327952422</v>
      </c>
      <c r="BT349" s="866"/>
      <c r="BU349" s="866">
        <f>VLOOKUP(BD349,$BD$4:$BN$12824,9,0)*BE349</f>
        <v>0</v>
      </c>
      <c r="BV349" s="867"/>
      <c r="BW349" s="867">
        <f>VLOOKUP(BD349,$BD$4:$BN$12824,11,0)*BE349</f>
        <v>459609.17587085813</v>
      </c>
      <c r="BX349" s="1146">
        <f t="shared" ref="BX349:BX354" si="69">SUM(BO349:BW349)</f>
        <v>8976025.917492684</v>
      </c>
      <c r="BY349" s="867">
        <f t="shared" si="66"/>
        <v>74138253.047492683</v>
      </c>
      <c r="BZ349" s="867">
        <f t="shared" si="63"/>
        <v>74138253.047492683</v>
      </c>
      <c r="CA349" s="867">
        <f>_xlfn.MAXIFS($BY$4:$BY$12824,$S$4:$S$12824,$S349)</f>
        <v>74138253.047492683</v>
      </c>
      <c r="CB349" s="1032"/>
      <c r="CF349" s="946">
        <f t="shared" si="65"/>
        <v>65162227.130000003</v>
      </c>
    </row>
    <row r="350" spans="1:84">
      <c r="A350" s="1032"/>
      <c r="B350" s="839" t="s">
        <v>98</v>
      </c>
      <c r="C350" s="839" t="s">
        <v>254</v>
      </c>
      <c r="D350" s="839" t="s">
        <v>1173</v>
      </c>
      <c r="E350" s="839" t="s">
        <v>1174</v>
      </c>
      <c r="F350" s="841">
        <v>45118</v>
      </c>
      <c r="G350" s="840" t="s">
        <v>254</v>
      </c>
      <c r="H350" s="842" t="s">
        <v>102</v>
      </c>
      <c r="I350" s="842" t="s">
        <v>1175</v>
      </c>
      <c r="J350" s="841" t="s">
        <v>1176</v>
      </c>
      <c r="K350" s="841" t="s">
        <v>1177</v>
      </c>
      <c r="L350" s="843" t="s">
        <v>106</v>
      </c>
      <c r="M350" s="844"/>
      <c r="N350" s="841"/>
      <c r="O350" s="841" t="s">
        <v>108</v>
      </c>
      <c r="P350" s="841" t="s">
        <v>269</v>
      </c>
      <c r="Q350" s="843"/>
      <c r="R350" s="845" t="s">
        <v>1192</v>
      </c>
      <c r="S350" s="1127" t="s">
        <v>1193</v>
      </c>
      <c r="T350" s="843" t="s">
        <v>1194</v>
      </c>
      <c r="U350" s="842">
        <v>1</v>
      </c>
      <c r="V350" s="842" t="s">
        <v>3</v>
      </c>
      <c r="W350" s="846">
        <v>943</v>
      </c>
      <c r="X350" s="847">
        <f t="shared" si="58"/>
        <v>943</v>
      </c>
      <c r="Y350" s="848">
        <f t="shared" si="67"/>
        <v>0.45</v>
      </c>
      <c r="Z350" s="849">
        <v>518.65</v>
      </c>
      <c r="AA350" s="849"/>
      <c r="AB350" s="849">
        <f t="shared" si="59"/>
        <v>518.65</v>
      </c>
      <c r="AC350" s="850">
        <f t="shared" si="60"/>
        <v>518.65</v>
      </c>
      <c r="AD350" s="851"/>
      <c r="AE350" s="852">
        <v>26900</v>
      </c>
      <c r="AF350" s="853">
        <v>0</v>
      </c>
      <c r="AG350" s="854">
        <f t="shared" si="61"/>
        <v>0</v>
      </c>
      <c r="AH350" s="853"/>
      <c r="AI350" s="855">
        <f t="shared" si="62"/>
        <v>0</v>
      </c>
      <c r="AJ350" s="856" t="s">
        <v>1181</v>
      </c>
      <c r="AK350" s="857" t="s">
        <v>1182</v>
      </c>
      <c r="AL350" s="840" t="s">
        <v>1183</v>
      </c>
      <c r="AM350" s="840"/>
      <c r="AN350" s="858"/>
      <c r="AO350" s="844" t="s">
        <v>1184</v>
      </c>
      <c r="AP350" s="859" t="s">
        <v>1185</v>
      </c>
      <c r="AQ350" s="859" t="s">
        <v>1185</v>
      </c>
      <c r="AR350" s="859">
        <v>45354</v>
      </c>
      <c r="AS350" s="840" t="s">
        <v>1186</v>
      </c>
      <c r="AT350" s="840" t="s">
        <v>1187</v>
      </c>
      <c r="AU350" s="860" t="s">
        <v>1188</v>
      </c>
      <c r="AV350" s="839" t="s">
        <v>1189</v>
      </c>
      <c r="AW350" s="861">
        <v>45355</v>
      </c>
      <c r="AX350" s="862">
        <v>45355</v>
      </c>
      <c r="AY350" s="843" t="s">
        <v>1195</v>
      </c>
      <c r="AZ350" s="842">
        <v>94052990</v>
      </c>
      <c r="BA350" s="842" t="s">
        <v>120</v>
      </c>
      <c r="BB350" s="863" t="s">
        <v>121</v>
      </c>
      <c r="BC350" s="864">
        <v>45267</v>
      </c>
      <c r="BD350" s="860" t="s">
        <v>1191</v>
      </c>
      <c r="BE350" s="865" cm="1">
        <f t="array" ref="BE350">IF(BD350="","",AC350/SUMPRODUCT(--(BD350=$BD$4:$BD$12824),$AC$4:$AC$12824))</f>
        <v>0.16023789294817331</v>
      </c>
      <c r="BF350" s="458"/>
      <c r="BG350" s="458"/>
      <c r="BH350" s="458"/>
      <c r="BI350" s="458"/>
      <c r="BJ350" s="458"/>
      <c r="BK350" s="458"/>
      <c r="BL350" s="458"/>
      <c r="BM350" s="458"/>
      <c r="BN350" s="458"/>
      <c r="BO350" s="866">
        <f>VLOOKUP(BD350,$BD$4:$BN$12824,3,0)*BE350</f>
        <v>1534639.9626168222</v>
      </c>
      <c r="BP350" s="866"/>
      <c r="BQ350" s="866"/>
      <c r="BR350" s="866">
        <f>VLOOKUP(BD350,$BD$4:$BN$12824,6,0)*BE350</f>
        <v>206795.90295478143</v>
      </c>
      <c r="BS350" s="866">
        <f>VLOOKUP(BD350,$BD$4:$BN$12824,7,0)*BE350</f>
        <v>40059.473237043327</v>
      </c>
      <c r="BT350" s="866"/>
      <c r="BU350" s="866">
        <f>VLOOKUP(BD350,$BD$4:$BN$12824,9,0)*BE350</f>
        <v>0</v>
      </c>
      <c r="BV350" s="867"/>
      <c r="BW350" s="867">
        <f>VLOOKUP(BD350,$BD$4:$BN$12824,11,0)*BE350</f>
        <v>96142.735768903993</v>
      </c>
      <c r="BX350" s="1146">
        <f t="shared" si="69"/>
        <v>1877638.0745775509</v>
      </c>
      <c r="BY350" s="867">
        <f t="shared" si="66"/>
        <v>15829323.074577551</v>
      </c>
      <c r="BZ350" s="867">
        <f t="shared" si="63"/>
        <v>15829323.074577551</v>
      </c>
      <c r="CA350" s="867">
        <f>_xlfn.MAXIFS($BY$4:$BY$12824,$S$4:$S$12824,$S350)</f>
        <v>15829323.074577551</v>
      </c>
      <c r="CB350" s="1032"/>
      <c r="CF350" s="946">
        <f t="shared" si="65"/>
        <v>13951685</v>
      </c>
    </row>
    <row r="351" spans="1:84">
      <c r="A351" s="1032"/>
      <c r="B351" s="839" t="s">
        <v>98</v>
      </c>
      <c r="C351" s="839" t="s">
        <v>254</v>
      </c>
      <c r="D351" s="839" t="s">
        <v>1173</v>
      </c>
      <c r="E351" s="839" t="s">
        <v>1174</v>
      </c>
      <c r="F351" s="841">
        <v>45118</v>
      </c>
      <c r="G351" s="840" t="s">
        <v>254</v>
      </c>
      <c r="H351" s="842" t="s">
        <v>102</v>
      </c>
      <c r="I351" s="842" t="s">
        <v>1175</v>
      </c>
      <c r="J351" s="841" t="s">
        <v>1176</v>
      </c>
      <c r="K351" s="841" t="s">
        <v>1177</v>
      </c>
      <c r="L351" s="843" t="s">
        <v>106</v>
      </c>
      <c r="M351" s="844"/>
      <c r="N351" s="841"/>
      <c r="O351" s="841" t="s">
        <v>108</v>
      </c>
      <c r="P351" s="841" t="s">
        <v>160</v>
      </c>
      <c r="Q351" s="843"/>
      <c r="R351" s="845" t="s">
        <v>1196</v>
      </c>
      <c r="S351" s="1127" t="s">
        <v>1197</v>
      </c>
      <c r="T351" s="843" t="s">
        <v>1198</v>
      </c>
      <c r="U351" s="842">
        <v>1</v>
      </c>
      <c r="V351" s="842" t="s">
        <v>3</v>
      </c>
      <c r="W351" s="846">
        <v>434</v>
      </c>
      <c r="X351" s="847">
        <f t="shared" si="58"/>
        <v>434</v>
      </c>
      <c r="Y351" s="848">
        <f t="shared" si="67"/>
        <v>0.45</v>
      </c>
      <c r="Z351" s="849">
        <v>238.7</v>
      </c>
      <c r="AA351" s="849"/>
      <c r="AB351" s="849">
        <f t="shared" si="59"/>
        <v>238.7</v>
      </c>
      <c r="AC351" s="850">
        <f t="shared" si="60"/>
        <v>238.7</v>
      </c>
      <c r="AD351" s="851"/>
      <c r="AE351" s="852">
        <v>26900</v>
      </c>
      <c r="AF351" s="853">
        <v>0</v>
      </c>
      <c r="AG351" s="854">
        <f t="shared" si="61"/>
        <v>0</v>
      </c>
      <c r="AH351" s="853"/>
      <c r="AI351" s="855">
        <f t="shared" si="62"/>
        <v>0</v>
      </c>
      <c r="AJ351" s="856" t="s">
        <v>1181</v>
      </c>
      <c r="AK351" s="857" t="s">
        <v>1182</v>
      </c>
      <c r="AL351" s="840" t="s">
        <v>1183</v>
      </c>
      <c r="AM351" s="840"/>
      <c r="AN351" s="858"/>
      <c r="AO351" s="844" t="s">
        <v>1184</v>
      </c>
      <c r="AP351" s="859" t="s">
        <v>1185</v>
      </c>
      <c r="AQ351" s="859" t="s">
        <v>1185</v>
      </c>
      <c r="AR351" s="859">
        <v>45354</v>
      </c>
      <c r="AS351" s="840" t="s">
        <v>1186</v>
      </c>
      <c r="AT351" s="840" t="s">
        <v>1187</v>
      </c>
      <c r="AU351" s="860" t="s">
        <v>1188</v>
      </c>
      <c r="AV351" s="839" t="s">
        <v>1189</v>
      </c>
      <c r="AW351" s="861">
        <v>45355</v>
      </c>
      <c r="AX351" s="862">
        <v>45355</v>
      </c>
      <c r="AY351" s="843" t="s">
        <v>1199</v>
      </c>
      <c r="AZ351" s="842">
        <v>94052990</v>
      </c>
      <c r="BA351" s="842" t="s">
        <v>120</v>
      </c>
      <c r="BB351" s="863" t="s">
        <v>121</v>
      </c>
      <c r="BC351" s="864">
        <v>45267</v>
      </c>
      <c r="BD351" s="860" t="s">
        <v>1191</v>
      </c>
      <c r="BE351" s="865" cm="1">
        <f t="array" ref="BE351">IF(BD351="","",AC351/SUMPRODUCT(--(BD351=$BD$4:$BD$12824),$AC$4:$AC$12824))</f>
        <v>7.3746813933729824E-2</v>
      </c>
      <c r="BF351" s="458"/>
      <c r="BG351" s="458"/>
      <c r="BH351" s="458"/>
      <c r="BI351" s="458"/>
      <c r="BJ351" s="458"/>
      <c r="BK351" s="458"/>
      <c r="BL351" s="458"/>
      <c r="BM351" s="458"/>
      <c r="BN351" s="458"/>
      <c r="BO351" s="866">
        <f>VLOOKUP(BD351,$BD$4:$BN$12824,3,0)*BE351</f>
        <v>706292.41121495329</v>
      </c>
      <c r="BP351" s="866"/>
      <c r="BQ351" s="866"/>
      <c r="BR351" s="866">
        <f>VLOOKUP(BD351,$BD$4:$BN$12824,6,0)*BE351</f>
        <v>95174.360426696876</v>
      </c>
      <c r="BS351" s="866">
        <f>VLOOKUP(BD351,$BD$4:$BN$12824,7,0)*BE351</f>
        <v>18436.703483432455</v>
      </c>
      <c r="BT351" s="866"/>
      <c r="BU351" s="866">
        <f>VLOOKUP(BD351,$BD$4:$BN$12824,9,0)*BE351</f>
        <v>0</v>
      </c>
      <c r="BV351" s="867"/>
      <c r="BW351" s="867">
        <f>VLOOKUP(BD351,$BD$4:$BN$12824,11,0)*BE351</f>
        <v>44248.088360237896</v>
      </c>
      <c r="BX351" s="1146">
        <f t="shared" si="69"/>
        <v>864151.56348532042</v>
      </c>
      <c r="BY351" s="867">
        <f t="shared" si="66"/>
        <v>7285181.5634853207</v>
      </c>
      <c r="BZ351" s="867">
        <f t="shared" si="63"/>
        <v>7285181.5634853207</v>
      </c>
      <c r="CA351" s="867">
        <f>_xlfn.MAXIFS($BY$4:$BY$12824,$S$4:$S$12824,$S351)</f>
        <v>7285181.5634853207</v>
      </c>
      <c r="CB351" s="1032"/>
      <c r="CF351" s="946">
        <f t="shared" si="65"/>
        <v>6421030</v>
      </c>
    </row>
    <row r="352" spans="1:84">
      <c r="A352" s="1032"/>
      <c r="B352" s="839" t="s">
        <v>98</v>
      </c>
      <c r="C352" s="839" t="s">
        <v>759</v>
      </c>
      <c r="D352" s="839" t="s">
        <v>1200</v>
      </c>
      <c r="E352" s="839" t="s">
        <v>1201</v>
      </c>
      <c r="F352" s="841">
        <v>45200</v>
      </c>
      <c r="G352" s="840" t="s">
        <v>759</v>
      </c>
      <c r="H352" s="842" t="s">
        <v>102</v>
      </c>
      <c r="I352" s="842" t="s">
        <v>1202</v>
      </c>
      <c r="J352" s="841" t="s">
        <v>1176</v>
      </c>
      <c r="K352" s="841" t="s">
        <v>1177</v>
      </c>
      <c r="L352" s="843" t="s">
        <v>106</v>
      </c>
      <c r="M352" s="844"/>
      <c r="N352" s="841"/>
      <c r="O352" s="841" t="s">
        <v>150</v>
      </c>
      <c r="P352" s="841" t="s">
        <v>461</v>
      </c>
      <c r="Q352" s="843"/>
      <c r="R352" s="845" t="s">
        <v>1203</v>
      </c>
      <c r="S352" s="1127" t="s">
        <v>1204</v>
      </c>
      <c r="T352" s="843" t="s">
        <v>1205</v>
      </c>
      <c r="U352" s="842">
        <v>1</v>
      </c>
      <c r="V352" s="842" t="s">
        <v>3</v>
      </c>
      <c r="W352" s="846">
        <v>2276</v>
      </c>
      <c r="X352" s="847">
        <f t="shared" si="58"/>
        <v>2276</v>
      </c>
      <c r="Y352" s="848">
        <f t="shared" si="67"/>
        <v>0.45</v>
      </c>
      <c r="Z352" s="849">
        <v>1251.8</v>
      </c>
      <c r="AA352" s="849"/>
      <c r="AB352" s="849">
        <f t="shared" si="59"/>
        <v>1251.8</v>
      </c>
      <c r="AC352" s="850">
        <f t="shared" si="60"/>
        <v>1251.8</v>
      </c>
      <c r="AD352" s="851"/>
      <c r="AE352" s="852">
        <v>26247.72</v>
      </c>
      <c r="AF352" s="853">
        <v>0</v>
      </c>
      <c r="AG352" s="854">
        <f t="shared" si="61"/>
        <v>0</v>
      </c>
      <c r="AH352" s="853"/>
      <c r="AI352" s="855">
        <f t="shared" si="62"/>
        <v>0</v>
      </c>
      <c r="AJ352" s="845" t="s">
        <v>1206</v>
      </c>
      <c r="AK352" s="857" t="s">
        <v>1207</v>
      </c>
      <c r="AL352" s="840" t="s">
        <v>1208</v>
      </c>
      <c r="AM352" s="840"/>
      <c r="AN352" s="858"/>
      <c r="AO352" s="844" t="s">
        <v>1184</v>
      </c>
      <c r="AP352" s="859">
        <v>45383</v>
      </c>
      <c r="AQ352" s="859">
        <v>45383</v>
      </c>
      <c r="AR352" s="859">
        <v>45627</v>
      </c>
      <c r="AS352" s="840" t="s">
        <v>1209</v>
      </c>
      <c r="AT352" s="840" t="s">
        <v>1187</v>
      </c>
      <c r="AU352" s="860" t="s">
        <v>1210</v>
      </c>
      <c r="AV352" s="870" t="s">
        <v>1211</v>
      </c>
      <c r="AW352" s="861">
        <v>45293</v>
      </c>
      <c r="AX352" s="862">
        <v>45293</v>
      </c>
      <c r="AY352" s="843" t="s">
        <v>1212</v>
      </c>
      <c r="AZ352" s="842">
        <v>94038990</v>
      </c>
      <c r="BA352" s="842" t="s">
        <v>120</v>
      </c>
      <c r="BB352" s="863" t="s">
        <v>121</v>
      </c>
      <c r="BC352" s="864">
        <v>45305</v>
      </c>
      <c r="BD352" s="860" t="s">
        <v>1213</v>
      </c>
      <c r="BE352" s="865" cm="1">
        <f t="array" ref="BE352">IF(BD352="","",AC352/SUMPRODUCT(--(BD352=$BD$4:$BD$12824),$AC$4:$AC$12824))</f>
        <v>0.70871312914001017</v>
      </c>
      <c r="BF352" s="458">
        <v>15459917</v>
      </c>
      <c r="BG352" s="458"/>
      <c r="BH352" s="458"/>
      <c r="BI352" s="458">
        <f>1512925 +345859</f>
        <v>1858784</v>
      </c>
      <c r="BJ352" s="458"/>
      <c r="BK352" s="458"/>
      <c r="BL352" s="458"/>
      <c r="BM352" s="458"/>
      <c r="BN352" s="458">
        <v>920240</v>
      </c>
      <c r="BO352" s="866">
        <f>VLOOKUP(BD352,$BD$4:$BN$12824,3,0)*BE352</f>
        <v>10956646.153314838</v>
      </c>
      <c r="BP352" s="866"/>
      <c r="BQ352" s="866"/>
      <c r="BR352" s="866">
        <f>VLOOKUP(BD352,$BD$4:$BN$12824,6,0)*BE352</f>
        <v>1317344.6250353847</v>
      </c>
      <c r="BS352" s="866">
        <f>VLOOKUP(BD352,$BD$4:$BN$12824,7,0)*BE352</f>
        <v>0</v>
      </c>
      <c r="BT352" s="866"/>
      <c r="BU352" s="866">
        <f>VLOOKUP(BD352,$BD$4:$BN$12824,9,0)*BE352</f>
        <v>0</v>
      </c>
      <c r="BV352" s="867"/>
      <c r="BW352" s="867">
        <f>VLOOKUP(BD352,$BD$4:$BN$12824,11,0)*BE352</f>
        <v>652186.169959803</v>
      </c>
      <c r="BX352" s="1146">
        <f t="shared" si="69"/>
        <v>12926176.948310025</v>
      </c>
      <c r="BY352" s="867">
        <f t="shared" si="66"/>
        <v>45783072.84431003</v>
      </c>
      <c r="BZ352" s="867">
        <f t="shared" si="63"/>
        <v>45783072.84431003</v>
      </c>
      <c r="CA352" s="867">
        <f>_xlfn.MAXIFS($BY$4:$BY$12824,$S$4:$S$12824,$S352)</f>
        <v>45783072.84431003</v>
      </c>
      <c r="CB352" s="1032"/>
      <c r="CF352" s="946">
        <f t="shared" si="65"/>
        <v>32856895.896000002</v>
      </c>
    </row>
    <row r="353" spans="1:84">
      <c r="A353" s="1032"/>
      <c r="B353" s="839" t="s">
        <v>98</v>
      </c>
      <c r="C353" s="839" t="s">
        <v>759</v>
      </c>
      <c r="D353" s="839" t="s">
        <v>1200</v>
      </c>
      <c r="E353" s="839" t="s">
        <v>1201</v>
      </c>
      <c r="F353" s="841">
        <v>45200</v>
      </c>
      <c r="G353" s="840" t="s">
        <v>759</v>
      </c>
      <c r="H353" s="842" t="s">
        <v>102</v>
      </c>
      <c r="I353" s="842" t="s">
        <v>1202</v>
      </c>
      <c r="J353" s="841" t="s">
        <v>1176</v>
      </c>
      <c r="K353" s="841" t="s">
        <v>1177</v>
      </c>
      <c r="L353" s="843" t="s">
        <v>106</v>
      </c>
      <c r="M353" s="844"/>
      <c r="N353" s="841"/>
      <c r="O353" s="841" t="s">
        <v>135</v>
      </c>
      <c r="P353" s="841" t="s">
        <v>182</v>
      </c>
      <c r="Q353" s="843"/>
      <c r="R353" s="845" t="s">
        <v>1214</v>
      </c>
      <c r="S353" s="1127" t="s">
        <v>1215</v>
      </c>
      <c r="T353" s="843" t="s">
        <v>1216</v>
      </c>
      <c r="U353" s="842">
        <v>1</v>
      </c>
      <c r="V353" s="842" t="s">
        <v>3</v>
      </c>
      <c r="W353" s="846"/>
      <c r="X353" s="847">
        <f t="shared" si="58"/>
        <v>0</v>
      </c>
      <c r="Y353" s="848">
        <v>0</v>
      </c>
      <c r="Z353" s="849">
        <v>95.5</v>
      </c>
      <c r="AA353" s="849" t="s">
        <v>40</v>
      </c>
      <c r="AB353" s="849">
        <f t="shared" si="59"/>
        <v>0</v>
      </c>
      <c r="AC353" s="850">
        <f t="shared" si="60"/>
        <v>95.5</v>
      </c>
      <c r="AD353" s="851"/>
      <c r="AE353" s="852">
        <v>26247.72</v>
      </c>
      <c r="AF353" s="853">
        <v>0.15</v>
      </c>
      <c r="AG353" s="854">
        <f t="shared" si="61"/>
        <v>501381.2029528959</v>
      </c>
      <c r="AH353" s="853"/>
      <c r="AI353" s="855">
        <f t="shared" si="62"/>
        <v>0</v>
      </c>
      <c r="AJ353" s="845" t="s">
        <v>1206</v>
      </c>
      <c r="AK353" s="857" t="s">
        <v>1207</v>
      </c>
      <c r="AL353" s="840" t="s">
        <v>1208</v>
      </c>
      <c r="AM353" s="840"/>
      <c r="AN353" s="858"/>
      <c r="AO353" s="844" t="s">
        <v>1184</v>
      </c>
      <c r="AP353" s="859">
        <v>45383</v>
      </c>
      <c r="AQ353" s="859">
        <v>45383</v>
      </c>
      <c r="AR353" s="859">
        <v>45627</v>
      </c>
      <c r="AS353" s="840" t="s">
        <v>1209</v>
      </c>
      <c r="AT353" s="840" t="s">
        <v>1187</v>
      </c>
      <c r="AU353" s="860" t="s">
        <v>1210</v>
      </c>
      <c r="AV353" s="870" t="s">
        <v>1211</v>
      </c>
      <c r="AW353" s="861">
        <v>45293</v>
      </c>
      <c r="AX353" s="862">
        <v>45293</v>
      </c>
      <c r="AY353" s="843" t="s">
        <v>1217</v>
      </c>
      <c r="AZ353" s="842">
        <v>69149000</v>
      </c>
      <c r="BA353" s="842" t="s">
        <v>120</v>
      </c>
      <c r="BB353" s="863" t="s">
        <v>121</v>
      </c>
      <c r="BC353" s="864">
        <v>45305</v>
      </c>
      <c r="BD353" s="860" t="s">
        <v>1213</v>
      </c>
      <c r="BE353" s="865" cm="1">
        <f t="array" ref="BE353">IF(BD353="","",AC353/SUMPRODUCT(--(BD353=$BD$4:$BD$12824),$AC$4:$AC$12824))</f>
        <v>5.4067825397724055E-2</v>
      </c>
      <c r="BF353" s="458"/>
      <c r="BG353" s="458"/>
      <c r="BH353" s="458"/>
      <c r="BI353" s="458"/>
      <c r="BJ353" s="458"/>
      <c r="BK353" s="458"/>
      <c r="BL353" s="458"/>
      <c r="BM353" s="458"/>
      <c r="BN353" s="458"/>
      <c r="BO353" s="866">
        <f>VLOOKUP(BD353,$BD$4:$BN$12824,3,0)*BE353</f>
        <v>835884.09301930584</v>
      </c>
      <c r="BP353" s="866"/>
      <c r="BQ353" s="866"/>
      <c r="BR353" s="866">
        <f>VLOOKUP(BD353,$BD$4:$BN$12824,6,0)*BE353</f>
        <v>100500.40876408311</v>
      </c>
      <c r="BS353" s="866">
        <f>VLOOKUP(BD353,$BD$4:$BN$12824,7,0)*BE353</f>
        <v>0</v>
      </c>
      <c r="BT353" s="866"/>
      <c r="BU353" s="866">
        <f>VLOOKUP(BD353,$BD$4:$BN$12824,9,0)*BE353</f>
        <v>0</v>
      </c>
      <c r="BV353" s="867"/>
      <c r="BW353" s="867">
        <f>VLOOKUP(BD353,$BD$4:$BN$12824,11,0)*BE353</f>
        <v>49755.375644001586</v>
      </c>
      <c r="BX353" s="1146">
        <f t="shared" si="69"/>
        <v>986139.87742739054</v>
      </c>
      <c r="BY353" s="867">
        <f t="shared" si="66"/>
        <v>1487521.0803802866</v>
      </c>
      <c r="BZ353" s="867">
        <f t="shared" si="63"/>
        <v>1487521.0803802866</v>
      </c>
      <c r="CA353" s="867">
        <f>_xlfn.MAXIFS($BY$4:$BY$12824,$S$4:$S$12824,$S353)</f>
        <v>1487521.0803802866</v>
      </c>
      <c r="CB353" s="1032"/>
      <c r="CF353" s="946">
        <f t="shared" si="65"/>
        <v>2506657.2600000002</v>
      </c>
    </row>
    <row r="354" spans="1:84">
      <c r="A354" s="1032"/>
      <c r="B354" s="839" t="s">
        <v>98</v>
      </c>
      <c r="C354" s="839" t="s">
        <v>759</v>
      </c>
      <c r="D354" s="839" t="s">
        <v>1200</v>
      </c>
      <c r="E354" s="839" t="s">
        <v>1201</v>
      </c>
      <c r="F354" s="841">
        <v>45200</v>
      </c>
      <c r="G354" s="840" t="s">
        <v>759</v>
      </c>
      <c r="H354" s="842" t="s">
        <v>102</v>
      </c>
      <c r="I354" s="842" t="s">
        <v>1202</v>
      </c>
      <c r="J354" s="841" t="s">
        <v>1176</v>
      </c>
      <c r="K354" s="841" t="s">
        <v>1177</v>
      </c>
      <c r="L354" s="843" t="s">
        <v>106</v>
      </c>
      <c r="M354" s="844"/>
      <c r="N354" s="841"/>
      <c r="O354" s="841" t="s">
        <v>150</v>
      </c>
      <c r="P354" s="841" t="s">
        <v>461</v>
      </c>
      <c r="Q354" s="843"/>
      <c r="R354" s="845" t="s">
        <v>1218</v>
      </c>
      <c r="S354" s="1127" t="s">
        <v>1219</v>
      </c>
      <c r="T354" s="843" t="s">
        <v>1220</v>
      </c>
      <c r="U354" s="842">
        <v>1</v>
      </c>
      <c r="V354" s="842" t="s">
        <v>3</v>
      </c>
      <c r="W354" s="846"/>
      <c r="X354" s="847">
        <f t="shared" si="58"/>
        <v>0</v>
      </c>
      <c r="Y354" s="848">
        <v>0</v>
      </c>
      <c r="Z354" s="849">
        <v>419</v>
      </c>
      <c r="AA354" s="849" t="s">
        <v>40</v>
      </c>
      <c r="AB354" s="849">
        <f t="shared" si="59"/>
        <v>0</v>
      </c>
      <c r="AC354" s="850">
        <f t="shared" si="60"/>
        <v>419</v>
      </c>
      <c r="AD354" s="851"/>
      <c r="AE354" s="852">
        <v>26247.72</v>
      </c>
      <c r="AF354" s="853">
        <v>0</v>
      </c>
      <c r="AG354" s="854">
        <f t="shared" si="61"/>
        <v>0</v>
      </c>
      <c r="AH354" s="853"/>
      <c r="AI354" s="855">
        <f t="shared" si="62"/>
        <v>0</v>
      </c>
      <c r="AJ354" s="845" t="s">
        <v>1206</v>
      </c>
      <c r="AK354" s="857" t="s">
        <v>1207</v>
      </c>
      <c r="AL354" s="840" t="s">
        <v>1208</v>
      </c>
      <c r="AM354" s="840"/>
      <c r="AN354" s="858"/>
      <c r="AO354" s="844" t="s">
        <v>1184</v>
      </c>
      <c r="AP354" s="859">
        <v>45383</v>
      </c>
      <c r="AQ354" s="859">
        <v>45383</v>
      </c>
      <c r="AR354" s="859">
        <v>45627</v>
      </c>
      <c r="AS354" s="840" t="s">
        <v>1209</v>
      </c>
      <c r="AT354" s="840" t="s">
        <v>1187</v>
      </c>
      <c r="AU354" s="860" t="s">
        <v>1210</v>
      </c>
      <c r="AV354" s="870" t="s">
        <v>1211</v>
      </c>
      <c r="AW354" s="861">
        <v>45293</v>
      </c>
      <c r="AX354" s="862">
        <v>45293</v>
      </c>
      <c r="AY354" s="843" t="s">
        <v>1221</v>
      </c>
      <c r="AZ354" s="842">
        <v>94038990</v>
      </c>
      <c r="BA354" s="842" t="s">
        <v>120</v>
      </c>
      <c r="BB354" s="863" t="s">
        <v>121</v>
      </c>
      <c r="BC354" s="864">
        <v>45305</v>
      </c>
      <c r="BD354" s="860" t="s">
        <v>1213</v>
      </c>
      <c r="BE354" s="865" cm="1">
        <f t="array" ref="BE354">IF(BD354="","",AC354/SUMPRODUCT(--(BD354=$BD$4:$BD$12824),$AC$4:$AC$12824))</f>
        <v>0.23721904546226577</v>
      </c>
      <c r="BF354" s="458"/>
      <c r="BG354" s="458"/>
      <c r="BH354" s="458"/>
      <c r="BI354" s="458"/>
      <c r="BJ354" s="458"/>
      <c r="BK354" s="458"/>
      <c r="BL354" s="458"/>
      <c r="BM354" s="458"/>
      <c r="BN354" s="458"/>
      <c r="BO354" s="866">
        <f>VLOOKUP(BD354,$BD$4:$BN$12824,3,0)*BE354</f>
        <v>3667386.7536658556</v>
      </c>
      <c r="BP354" s="866"/>
      <c r="BQ354" s="866"/>
      <c r="BR354" s="866">
        <f>VLOOKUP(BD354,$BD$4:$BN$12824,6,0)*BE354</f>
        <v>440938.96620053222</v>
      </c>
      <c r="BS354" s="866">
        <f>VLOOKUP(BD354,$BD$4:$BN$12824,7,0)*BE354</f>
        <v>0</v>
      </c>
      <c r="BT354" s="866"/>
      <c r="BU354" s="866">
        <f>VLOOKUP(BD354,$BD$4:$BN$12824,9,0)*BE354</f>
        <v>0</v>
      </c>
      <c r="BV354" s="867"/>
      <c r="BW354" s="867">
        <f>VLOOKUP(BD354,$BD$4:$BN$12824,11,0)*BE354</f>
        <v>218298.45439619545</v>
      </c>
      <c r="BX354" s="1146">
        <f t="shared" si="69"/>
        <v>4326624.1742625833</v>
      </c>
      <c r="BY354" s="867">
        <f t="shared" si="66"/>
        <v>4326624.1742625833</v>
      </c>
      <c r="BZ354" s="867">
        <f t="shared" si="63"/>
        <v>4326624.1742625833</v>
      </c>
      <c r="CA354" s="867">
        <f>_xlfn.MAXIFS($BY$4:$BY$12824,$S$4:$S$12824,$S354)</f>
        <v>4326624.1742625833</v>
      </c>
      <c r="CB354" s="1032"/>
      <c r="CF354" s="946">
        <f t="shared" si="65"/>
        <v>10997794.68</v>
      </c>
    </row>
    <row r="355" spans="1:84">
      <c r="A355" s="1032"/>
      <c r="B355" s="839" t="s">
        <v>98</v>
      </c>
      <c r="C355" s="839" t="s">
        <v>381</v>
      </c>
      <c r="D355" s="839" t="s">
        <v>1222</v>
      </c>
      <c r="E355" s="839" t="s">
        <v>1223</v>
      </c>
      <c r="F355" s="841">
        <v>45047</v>
      </c>
      <c r="G355" s="840" t="s">
        <v>381</v>
      </c>
      <c r="H355" s="842" t="s">
        <v>102</v>
      </c>
      <c r="I355" s="842" t="s">
        <v>1224</v>
      </c>
      <c r="J355" s="841" t="s">
        <v>1225</v>
      </c>
      <c r="K355" s="841" t="s">
        <v>1226</v>
      </c>
      <c r="L355" s="843" t="s">
        <v>106</v>
      </c>
      <c r="M355" s="844"/>
      <c r="N355" s="841"/>
      <c r="O355" s="841" t="s">
        <v>150</v>
      </c>
      <c r="P355" s="841" t="s">
        <v>151</v>
      </c>
      <c r="Q355" s="843"/>
      <c r="R355" s="845">
        <v>840229</v>
      </c>
      <c r="S355" s="1127" t="s">
        <v>1227</v>
      </c>
      <c r="T355" s="843" t="s">
        <v>1228</v>
      </c>
      <c r="U355" s="842">
        <v>4</v>
      </c>
      <c r="V355" s="842" t="s">
        <v>3</v>
      </c>
      <c r="W355" s="846">
        <v>265</v>
      </c>
      <c r="X355" s="847">
        <f t="shared" si="58"/>
        <v>1060</v>
      </c>
      <c r="Y355" s="848">
        <f t="shared" ref="Y355:Y363" si="70">(W355-Z355)/W355</f>
        <v>0.55000000000000004</v>
      </c>
      <c r="Z355" s="849">
        <v>119.25</v>
      </c>
      <c r="AA355" s="849"/>
      <c r="AB355" s="849">
        <f t="shared" si="59"/>
        <v>477</v>
      </c>
      <c r="AC355" s="850">
        <f t="shared" si="60"/>
        <v>477</v>
      </c>
      <c r="AD355" s="851"/>
      <c r="AE355" s="852">
        <v>26339.59</v>
      </c>
      <c r="AF355" s="853">
        <v>0</v>
      </c>
      <c r="AG355" s="854">
        <f t="shared" si="61"/>
        <v>0</v>
      </c>
      <c r="AH355" s="853"/>
      <c r="AI355" s="855">
        <f t="shared" si="62"/>
        <v>0</v>
      </c>
      <c r="AJ355" s="845" t="s">
        <v>1229</v>
      </c>
      <c r="AK355" s="857" t="s">
        <v>1230</v>
      </c>
      <c r="AL355" s="840" t="s">
        <v>1231</v>
      </c>
      <c r="AM355" s="840"/>
      <c r="AN355" s="858"/>
      <c r="AO355" s="844" t="s">
        <v>1232</v>
      </c>
      <c r="AP355" s="859" t="s">
        <v>1233</v>
      </c>
      <c r="AQ355" s="859" t="s">
        <v>1233</v>
      </c>
      <c r="AR355" s="859" t="s">
        <v>1234</v>
      </c>
      <c r="AS355" s="840" t="s">
        <v>1145</v>
      </c>
      <c r="AT355" s="840" t="s">
        <v>1235</v>
      </c>
      <c r="AU355" s="860" t="s">
        <v>1147</v>
      </c>
      <c r="AV355" s="839" t="s">
        <v>1236</v>
      </c>
      <c r="AW355" s="861">
        <v>45317</v>
      </c>
      <c r="AX355" s="862">
        <v>45320</v>
      </c>
      <c r="AY355" s="843" t="s">
        <v>1237</v>
      </c>
      <c r="AZ355" s="842">
        <v>94017990</v>
      </c>
      <c r="BA355" s="842" t="s">
        <v>120</v>
      </c>
      <c r="BB355" s="863" t="s">
        <v>121</v>
      </c>
      <c r="BC355" s="864">
        <v>45305</v>
      </c>
      <c r="BD355" s="860" t="s">
        <v>1238</v>
      </c>
      <c r="BE355" s="865" cm="1">
        <f t="array" ref="BE355">IF(BD355="","",AC355/SUMPRODUCT(--(BD355=$BD$4:$BD$12824),$AC$4:$AC$12824))</f>
        <v>8.1195635521813886E-2</v>
      </c>
      <c r="BF355" s="458">
        <v>14016452</v>
      </c>
      <c r="BG355" s="458"/>
      <c r="BH355" s="458"/>
      <c r="BI355" s="458">
        <v>4700156</v>
      </c>
      <c r="BJ355" s="458">
        <v>450000</v>
      </c>
      <c r="BK355" s="458"/>
      <c r="BL355" s="458"/>
      <c r="BM355" s="458"/>
      <c r="BN355" s="458">
        <v>600000</v>
      </c>
      <c r="BO355" s="866">
        <f>VLOOKUP(BD355,$BD$4:$BN$12824,3,0)*BE355</f>
        <v>1138074.7279009994</v>
      </c>
      <c r="BP355" s="866"/>
      <c r="BQ355" s="866"/>
      <c r="BR355" s="866">
        <f>VLOOKUP(BD355,$BD$4:$BN$12824,6,0)*BE355</f>
        <v>381632.15347166668</v>
      </c>
      <c r="BS355" s="866">
        <f>VLOOKUP(BD355,$BD$4:$BN$12824,7,0)*BE355</f>
        <v>36538.035984816248</v>
      </c>
      <c r="BT355" s="866"/>
      <c r="BU355" s="866">
        <f>VLOOKUP(BD355,$BD$4:$BN$12824,9,0)*BE355</f>
        <v>0</v>
      </c>
      <c r="BV355" s="867"/>
      <c r="BW355" s="867">
        <f>VLOOKUP(BD355,$BD$4:$BN$12824,11,0)*BE355</f>
        <v>48717.381313088328</v>
      </c>
      <c r="BX355" s="1146">
        <f t="shared" ref="BX355:BX362" si="71">SUM(BO355:BW355)</f>
        <v>1604962.2986705706</v>
      </c>
      <c r="BY355" s="867">
        <f t="shared" si="66"/>
        <v>3542236.6821676427</v>
      </c>
      <c r="BZ355" s="867">
        <f t="shared" si="63"/>
        <v>14168946.728670571</v>
      </c>
      <c r="CA355" s="867">
        <f>_xlfn.MAXIFS($BY$4:$BY$12824,$S$4:$S$12824,$S355)</f>
        <v>3542236.6821676427</v>
      </c>
      <c r="CB355" s="1032"/>
      <c r="CF355" s="946">
        <f t="shared" si="65"/>
        <v>12563984.43</v>
      </c>
    </row>
    <row r="356" spans="1:84">
      <c r="A356" s="1032"/>
      <c r="B356" s="839" t="s">
        <v>98</v>
      </c>
      <c r="C356" s="839" t="s">
        <v>381</v>
      </c>
      <c r="D356" s="839" t="s">
        <v>1222</v>
      </c>
      <c r="E356" s="839" t="s">
        <v>1223</v>
      </c>
      <c r="F356" s="841">
        <v>45047</v>
      </c>
      <c r="G356" s="840" t="s">
        <v>381</v>
      </c>
      <c r="H356" s="842" t="s">
        <v>102</v>
      </c>
      <c r="I356" s="842" t="s">
        <v>1224</v>
      </c>
      <c r="J356" s="841" t="s">
        <v>1225</v>
      </c>
      <c r="K356" s="841" t="s">
        <v>1226</v>
      </c>
      <c r="L356" s="843" t="s">
        <v>106</v>
      </c>
      <c r="M356" s="844"/>
      <c r="N356" s="841"/>
      <c r="O356" s="841" t="s">
        <v>150</v>
      </c>
      <c r="P356" s="841" t="s">
        <v>151</v>
      </c>
      <c r="Q356" s="843"/>
      <c r="R356" s="845">
        <v>840243</v>
      </c>
      <c r="S356" s="1127" t="s">
        <v>1239</v>
      </c>
      <c r="T356" s="843" t="s">
        <v>1240</v>
      </c>
      <c r="U356" s="842">
        <v>2</v>
      </c>
      <c r="V356" s="842" t="s">
        <v>3</v>
      </c>
      <c r="W356" s="846">
        <v>265</v>
      </c>
      <c r="X356" s="847">
        <f t="shared" si="58"/>
        <v>530</v>
      </c>
      <c r="Y356" s="848">
        <f t="shared" si="70"/>
        <v>0.55000000000000004</v>
      </c>
      <c r="Z356" s="849">
        <v>119.25</v>
      </c>
      <c r="AA356" s="849"/>
      <c r="AB356" s="849">
        <f t="shared" si="59"/>
        <v>238.5</v>
      </c>
      <c r="AC356" s="850">
        <f t="shared" si="60"/>
        <v>238.5</v>
      </c>
      <c r="AD356" s="851"/>
      <c r="AE356" s="852">
        <v>26339.59</v>
      </c>
      <c r="AF356" s="853">
        <v>0</v>
      </c>
      <c r="AG356" s="854">
        <f t="shared" si="61"/>
        <v>0</v>
      </c>
      <c r="AH356" s="853"/>
      <c r="AI356" s="855">
        <f t="shared" si="62"/>
        <v>0</v>
      </c>
      <c r="AJ356" s="845" t="s">
        <v>1229</v>
      </c>
      <c r="AK356" s="857" t="s">
        <v>1230</v>
      </c>
      <c r="AL356" s="840" t="s">
        <v>1231</v>
      </c>
      <c r="AM356" s="840"/>
      <c r="AN356" s="858"/>
      <c r="AO356" s="844" t="s">
        <v>1232</v>
      </c>
      <c r="AP356" s="859" t="s">
        <v>1233</v>
      </c>
      <c r="AQ356" s="859" t="s">
        <v>1233</v>
      </c>
      <c r="AR356" s="859" t="s">
        <v>1234</v>
      </c>
      <c r="AS356" s="840" t="s">
        <v>1145</v>
      </c>
      <c r="AT356" s="840" t="s">
        <v>1235</v>
      </c>
      <c r="AU356" s="860" t="s">
        <v>1147</v>
      </c>
      <c r="AV356" s="839" t="s">
        <v>1236</v>
      </c>
      <c r="AW356" s="861">
        <v>45317</v>
      </c>
      <c r="AX356" s="862">
        <v>45320</v>
      </c>
      <c r="AY356" s="843" t="s">
        <v>1241</v>
      </c>
      <c r="AZ356" s="842">
        <v>94017990</v>
      </c>
      <c r="BA356" s="842" t="s">
        <v>120</v>
      </c>
      <c r="BB356" s="863" t="s">
        <v>121</v>
      </c>
      <c r="BC356" s="864">
        <v>45305</v>
      </c>
      <c r="BD356" s="860" t="s">
        <v>1238</v>
      </c>
      <c r="BE356" s="865" cm="1">
        <f t="array" ref="BE356">IF(BD356="","",AC356/SUMPRODUCT(--(BD356=$BD$4:$BD$12824),$AC$4:$AC$12824))</f>
        <v>4.0597817760906943E-2</v>
      </c>
      <c r="BF356" s="458"/>
      <c r="BG356" s="458"/>
      <c r="BH356" s="458"/>
      <c r="BI356" s="458"/>
      <c r="BJ356" s="458"/>
      <c r="BK356" s="458"/>
      <c r="BL356" s="458"/>
      <c r="BM356" s="458"/>
      <c r="BN356" s="458"/>
      <c r="BO356" s="866">
        <f>VLOOKUP(BD356,$BD$4:$BN$12824,3,0)*BE356</f>
        <v>569037.36395049968</v>
      </c>
      <c r="BP356" s="866"/>
      <c r="BQ356" s="866"/>
      <c r="BR356" s="866">
        <f>VLOOKUP(BD356,$BD$4:$BN$12824,6,0)*BE356</f>
        <v>190816.07673583334</v>
      </c>
      <c r="BS356" s="866">
        <f>VLOOKUP(BD356,$BD$4:$BN$12824,7,0)*BE356</f>
        <v>18269.017992408124</v>
      </c>
      <c r="BT356" s="866"/>
      <c r="BU356" s="866">
        <f>VLOOKUP(BD356,$BD$4:$BN$12824,9,0)*BE356</f>
        <v>0</v>
      </c>
      <c r="BV356" s="867"/>
      <c r="BW356" s="867">
        <f>VLOOKUP(BD356,$BD$4:$BN$12824,11,0)*BE356</f>
        <v>24358.690656544164</v>
      </c>
      <c r="BX356" s="1146">
        <f t="shared" si="71"/>
        <v>802481.1493352853</v>
      </c>
      <c r="BY356" s="867">
        <f t="shared" si="66"/>
        <v>3542236.6821676427</v>
      </c>
      <c r="BZ356" s="867">
        <f t="shared" si="63"/>
        <v>7084473.3643352855</v>
      </c>
      <c r="CA356" s="867">
        <f>_xlfn.MAXIFS($BY$4:$BY$12824,$S$4:$S$12824,$S356)</f>
        <v>3542236.6821676427</v>
      </c>
      <c r="CB356" s="1032"/>
      <c r="CF356" s="946">
        <f t="shared" si="65"/>
        <v>6281992.2149999999</v>
      </c>
    </row>
    <row r="357" spans="1:84">
      <c r="A357" s="1032"/>
      <c r="B357" s="839" t="s">
        <v>98</v>
      </c>
      <c r="C357" s="839" t="s">
        <v>381</v>
      </c>
      <c r="D357" s="839" t="s">
        <v>1222</v>
      </c>
      <c r="E357" s="839" t="s">
        <v>1223</v>
      </c>
      <c r="F357" s="841">
        <v>45047</v>
      </c>
      <c r="G357" s="840" t="s">
        <v>381</v>
      </c>
      <c r="H357" s="842" t="s">
        <v>102</v>
      </c>
      <c r="I357" s="842" t="s">
        <v>1224</v>
      </c>
      <c r="J357" s="841" t="s">
        <v>1225</v>
      </c>
      <c r="K357" s="841" t="s">
        <v>1226</v>
      </c>
      <c r="L357" s="843" t="s">
        <v>106</v>
      </c>
      <c r="M357" s="844"/>
      <c r="N357" s="841"/>
      <c r="O357" s="841" t="s">
        <v>150</v>
      </c>
      <c r="P357" s="841" t="s">
        <v>151</v>
      </c>
      <c r="Q357" s="843"/>
      <c r="R357" s="845">
        <v>840226</v>
      </c>
      <c r="S357" s="1127" t="s">
        <v>1242</v>
      </c>
      <c r="T357" s="843" t="s">
        <v>1243</v>
      </c>
      <c r="U357" s="842">
        <v>4</v>
      </c>
      <c r="V357" s="842" t="s">
        <v>3</v>
      </c>
      <c r="W357" s="846">
        <v>265</v>
      </c>
      <c r="X357" s="847">
        <f t="shared" si="58"/>
        <v>1060</v>
      </c>
      <c r="Y357" s="848">
        <f t="shared" si="70"/>
        <v>0.55000000000000004</v>
      </c>
      <c r="Z357" s="849">
        <v>119.25</v>
      </c>
      <c r="AA357" s="849"/>
      <c r="AB357" s="849">
        <f t="shared" si="59"/>
        <v>477</v>
      </c>
      <c r="AC357" s="850">
        <f t="shared" si="60"/>
        <v>477</v>
      </c>
      <c r="AD357" s="851"/>
      <c r="AE357" s="852">
        <v>26339.59</v>
      </c>
      <c r="AF357" s="853">
        <v>0</v>
      </c>
      <c r="AG357" s="854">
        <f t="shared" si="61"/>
        <v>0</v>
      </c>
      <c r="AH357" s="853"/>
      <c r="AI357" s="855">
        <f t="shared" si="62"/>
        <v>0</v>
      </c>
      <c r="AJ357" s="845" t="s">
        <v>1229</v>
      </c>
      <c r="AK357" s="857" t="s">
        <v>1230</v>
      </c>
      <c r="AL357" s="840" t="s">
        <v>1231</v>
      </c>
      <c r="AM357" s="840"/>
      <c r="AN357" s="858"/>
      <c r="AO357" s="844" t="s">
        <v>1232</v>
      </c>
      <c r="AP357" s="859" t="s">
        <v>1233</v>
      </c>
      <c r="AQ357" s="859" t="s">
        <v>1233</v>
      </c>
      <c r="AR357" s="859" t="s">
        <v>1234</v>
      </c>
      <c r="AS357" s="840" t="s">
        <v>1145</v>
      </c>
      <c r="AT357" s="840" t="s">
        <v>1235</v>
      </c>
      <c r="AU357" s="860" t="s">
        <v>1147</v>
      </c>
      <c r="AV357" s="839" t="s">
        <v>1236</v>
      </c>
      <c r="AW357" s="861">
        <v>45317</v>
      </c>
      <c r="AX357" s="862">
        <v>45320</v>
      </c>
      <c r="AY357" s="843" t="s">
        <v>1244</v>
      </c>
      <c r="AZ357" s="842">
        <v>94017990</v>
      </c>
      <c r="BA357" s="842" t="s">
        <v>120</v>
      </c>
      <c r="BB357" s="863" t="s">
        <v>121</v>
      </c>
      <c r="BC357" s="864">
        <v>45305</v>
      </c>
      <c r="BD357" s="860" t="s">
        <v>1238</v>
      </c>
      <c r="BE357" s="865" cm="1">
        <f t="array" ref="BE357">IF(BD357="","",AC357/SUMPRODUCT(--(BD357=$BD$4:$BD$12824),$AC$4:$AC$12824))</f>
        <v>8.1195635521813886E-2</v>
      </c>
      <c r="BF357" s="458"/>
      <c r="BG357" s="458"/>
      <c r="BH357" s="458"/>
      <c r="BI357" s="458"/>
      <c r="BJ357" s="458"/>
      <c r="BK357" s="458"/>
      <c r="BL357" s="458"/>
      <c r="BM357" s="458"/>
      <c r="BN357" s="458"/>
      <c r="BO357" s="866">
        <f>VLOOKUP(BD357,$BD$4:$BN$12824,3,0)*BE357</f>
        <v>1138074.7279009994</v>
      </c>
      <c r="BP357" s="866"/>
      <c r="BQ357" s="866"/>
      <c r="BR357" s="866">
        <f>VLOOKUP(BD357,$BD$4:$BN$12824,6,0)*BE357</f>
        <v>381632.15347166668</v>
      </c>
      <c r="BS357" s="866">
        <f>VLOOKUP(BD357,$BD$4:$BN$12824,7,0)*BE357</f>
        <v>36538.035984816248</v>
      </c>
      <c r="BT357" s="866"/>
      <c r="BU357" s="866">
        <f>VLOOKUP(BD357,$BD$4:$BN$12824,9,0)*BE357</f>
        <v>0</v>
      </c>
      <c r="BV357" s="867"/>
      <c r="BW357" s="867">
        <f>VLOOKUP(BD357,$BD$4:$BN$12824,11,0)*BE357</f>
        <v>48717.381313088328</v>
      </c>
      <c r="BX357" s="1146">
        <f t="shared" si="71"/>
        <v>1604962.2986705706</v>
      </c>
      <c r="BY357" s="867">
        <f t="shared" si="66"/>
        <v>3542236.6821676427</v>
      </c>
      <c r="BZ357" s="867">
        <f t="shared" si="63"/>
        <v>14168946.728670571</v>
      </c>
      <c r="CA357" s="867">
        <f>_xlfn.MAXIFS($BY$4:$BY$12824,$S$4:$S$12824,$S357)</f>
        <v>3542236.6821676427</v>
      </c>
      <c r="CB357" s="1032"/>
      <c r="CF357" s="946">
        <f t="shared" si="65"/>
        <v>12563984.43</v>
      </c>
    </row>
    <row r="358" spans="1:84">
      <c r="A358" s="1032"/>
      <c r="B358" s="839" t="s">
        <v>98</v>
      </c>
      <c r="C358" s="839" t="s">
        <v>381</v>
      </c>
      <c r="D358" s="839" t="s">
        <v>1222</v>
      </c>
      <c r="E358" s="839" t="s">
        <v>1223</v>
      </c>
      <c r="F358" s="841">
        <v>45047</v>
      </c>
      <c r="G358" s="840" t="s">
        <v>381</v>
      </c>
      <c r="H358" s="842" t="s">
        <v>102</v>
      </c>
      <c r="I358" s="842" t="s">
        <v>1224</v>
      </c>
      <c r="J358" s="841" t="s">
        <v>1225</v>
      </c>
      <c r="K358" s="841" t="s">
        <v>1226</v>
      </c>
      <c r="L358" s="843" t="s">
        <v>106</v>
      </c>
      <c r="M358" s="844"/>
      <c r="N358" s="841"/>
      <c r="O358" s="841" t="s">
        <v>150</v>
      </c>
      <c r="P358" s="841" t="s">
        <v>151</v>
      </c>
      <c r="Q358" s="843"/>
      <c r="R358" s="845">
        <v>840223</v>
      </c>
      <c r="S358" s="1127" t="s">
        <v>1245</v>
      </c>
      <c r="T358" s="843" t="s">
        <v>1246</v>
      </c>
      <c r="U358" s="842">
        <v>2</v>
      </c>
      <c r="V358" s="842" t="s">
        <v>3</v>
      </c>
      <c r="W358" s="846">
        <v>265</v>
      </c>
      <c r="X358" s="847">
        <f t="shared" si="58"/>
        <v>530</v>
      </c>
      <c r="Y358" s="848">
        <f t="shared" si="70"/>
        <v>0.55000000000000004</v>
      </c>
      <c r="Z358" s="849">
        <v>119.25</v>
      </c>
      <c r="AA358" s="849"/>
      <c r="AB358" s="849">
        <f t="shared" si="59"/>
        <v>238.5</v>
      </c>
      <c r="AC358" s="850">
        <f t="shared" si="60"/>
        <v>238.5</v>
      </c>
      <c r="AD358" s="851"/>
      <c r="AE358" s="852">
        <v>26339.59</v>
      </c>
      <c r="AF358" s="853">
        <v>0</v>
      </c>
      <c r="AG358" s="854">
        <f t="shared" si="61"/>
        <v>0</v>
      </c>
      <c r="AH358" s="853"/>
      <c r="AI358" s="855">
        <f t="shared" si="62"/>
        <v>0</v>
      </c>
      <c r="AJ358" s="845" t="s">
        <v>1229</v>
      </c>
      <c r="AK358" s="857" t="s">
        <v>1230</v>
      </c>
      <c r="AL358" s="840" t="s">
        <v>1231</v>
      </c>
      <c r="AM358" s="840"/>
      <c r="AN358" s="858"/>
      <c r="AO358" s="844" t="s">
        <v>1232</v>
      </c>
      <c r="AP358" s="859" t="s">
        <v>1233</v>
      </c>
      <c r="AQ358" s="859" t="s">
        <v>1233</v>
      </c>
      <c r="AR358" s="859" t="s">
        <v>1234</v>
      </c>
      <c r="AS358" s="840" t="s">
        <v>1145</v>
      </c>
      <c r="AT358" s="840" t="s">
        <v>1235</v>
      </c>
      <c r="AU358" s="860" t="s">
        <v>1147</v>
      </c>
      <c r="AV358" s="839" t="s">
        <v>1236</v>
      </c>
      <c r="AW358" s="861">
        <v>45317</v>
      </c>
      <c r="AX358" s="862">
        <v>45320</v>
      </c>
      <c r="AY358" s="843" t="s">
        <v>1247</v>
      </c>
      <c r="AZ358" s="842">
        <v>94017990</v>
      </c>
      <c r="BA358" s="842" t="s">
        <v>120</v>
      </c>
      <c r="BB358" s="863" t="s">
        <v>121</v>
      </c>
      <c r="BC358" s="864">
        <v>45305</v>
      </c>
      <c r="BD358" s="860" t="s">
        <v>1238</v>
      </c>
      <c r="BE358" s="865" cm="1">
        <f t="array" ref="BE358">IF(BD358="","",AC358/SUMPRODUCT(--(BD358=$BD$4:$BD$12824),$AC$4:$AC$12824))</f>
        <v>4.0597817760906943E-2</v>
      </c>
      <c r="BF358" s="458"/>
      <c r="BG358" s="458"/>
      <c r="BH358" s="458"/>
      <c r="BI358" s="458"/>
      <c r="BJ358" s="458"/>
      <c r="BK358" s="458"/>
      <c r="BL358" s="458"/>
      <c r="BM358" s="458"/>
      <c r="BN358" s="458"/>
      <c r="BO358" s="866">
        <f>VLOOKUP(BD358,$BD$4:$BN$12824,3,0)*BE358</f>
        <v>569037.36395049968</v>
      </c>
      <c r="BP358" s="866"/>
      <c r="BQ358" s="866"/>
      <c r="BR358" s="866">
        <f>VLOOKUP(BD358,$BD$4:$BN$12824,6,0)*BE358</f>
        <v>190816.07673583334</v>
      </c>
      <c r="BS358" s="866">
        <f>VLOOKUP(BD358,$BD$4:$BN$12824,7,0)*BE358</f>
        <v>18269.017992408124</v>
      </c>
      <c r="BT358" s="866"/>
      <c r="BU358" s="866">
        <f>VLOOKUP(BD358,$BD$4:$BN$12824,9,0)*BE358</f>
        <v>0</v>
      </c>
      <c r="BV358" s="867"/>
      <c r="BW358" s="867">
        <f>VLOOKUP(BD358,$BD$4:$BN$12824,11,0)*BE358</f>
        <v>24358.690656544164</v>
      </c>
      <c r="BX358" s="1146">
        <f t="shared" si="71"/>
        <v>802481.1493352853</v>
      </c>
      <c r="BY358" s="867">
        <f t="shared" si="66"/>
        <v>3542236.6821676427</v>
      </c>
      <c r="BZ358" s="867">
        <f t="shared" si="63"/>
        <v>7084473.3643352855</v>
      </c>
      <c r="CA358" s="867">
        <f>_xlfn.MAXIFS($BY$4:$BY$12824,$S$4:$S$12824,$S358)</f>
        <v>3542236.6821676427</v>
      </c>
      <c r="CB358" s="1032"/>
      <c r="CF358" s="946">
        <f t="shared" si="65"/>
        <v>6281992.2149999999</v>
      </c>
    </row>
    <row r="359" spans="1:84">
      <c r="A359" s="1032"/>
      <c r="B359" s="839" t="s">
        <v>98</v>
      </c>
      <c r="C359" s="839" t="s">
        <v>381</v>
      </c>
      <c r="D359" s="839" t="s">
        <v>1222</v>
      </c>
      <c r="E359" s="839" t="s">
        <v>1223</v>
      </c>
      <c r="F359" s="841">
        <v>45047</v>
      </c>
      <c r="G359" s="840" t="s">
        <v>381</v>
      </c>
      <c r="H359" s="842" t="s">
        <v>102</v>
      </c>
      <c r="I359" s="842" t="s">
        <v>1224</v>
      </c>
      <c r="J359" s="841" t="s">
        <v>1225</v>
      </c>
      <c r="K359" s="841" t="s">
        <v>1226</v>
      </c>
      <c r="L359" s="843" t="s">
        <v>106</v>
      </c>
      <c r="M359" s="844"/>
      <c r="N359" s="841"/>
      <c r="O359" s="841" t="s">
        <v>150</v>
      </c>
      <c r="P359" s="841" t="s">
        <v>151</v>
      </c>
      <c r="Q359" s="843"/>
      <c r="R359" s="845">
        <v>840133</v>
      </c>
      <c r="S359" s="1127" t="s">
        <v>1248</v>
      </c>
      <c r="T359" s="843" t="s">
        <v>1249</v>
      </c>
      <c r="U359" s="842">
        <v>4</v>
      </c>
      <c r="V359" s="842" t="s">
        <v>3</v>
      </c>
      <c r="W359" s="846">
        <v>299</v>
      </c>
      <c r="X359" s="847">
        <f t="shared" si="58"/>
        <v>1196</v>
      </c>
      <c r="Y359" s="848">
        <f t="shared" si="70"/>
        <v>0.54999999999999993</v>
      </c>
      <c r="Z359" s="849">
        <v>134.55000000000001</v>
      </c>
      <c r="AA359" s="849"/>
      <c r="AB359" s="849">
        <f t="shared" si="59"/>
        <v>538.20000000000005</v>
      </c>
      <c r="AC359" s="850">
        <f t="shared" si="60"/>
        <v>538.20000000000005</v>
      </c>
      <c r="AD359" s="851"/>
      <c r="AE359" s="852">
        <v>26339.59</v>
      </c>
      <c r="AF359" s="853">
        <v>0</v>
      </c>
      <c r="AG359" s="854">
        <f t="shared" si="61"/>
        <v>0</v>
      </c>
      <c r="AH359" s="853"/>
      <c r="AI359" s="855">
        <f t="shared" si="62"/>
        <v>0</v>
      </c>
      <c r="AJ359" s="845" t="s">
        <v>1229</v>
      </c>
      <c r="AK359" s="857" t="s">
        <v>1230</v>
      </c>
      <c r="AL359" s="840" t="s">
        <v>1231</v>
      </c>
      <c r="AM359" s="840"/>
      <c r="AN359" s="858"/>
      <c r="AO359" s="844" t="s">
        <v>1232</v>
      </c>
      <c r="AP359" s="859" t="s">
        <v>1233</v>
      </c>
      <c r="AQ359" s="859" t="s">
        <v>1233</v>
      </c>
      <c r="AR359" s="859" t="s">
        <v>1234</v>
      </c>
      <c r="AS359" s="840" t="s">
        <v>1145</v>
      </c>
      <c r="AT359" s="840" t="s">
        <v>1235</v>
      </c>
      <c r="AU359" s="860" t="s">
        <v>1147</v>
      </c>
      <c r="AV359" s="839" t="s">
        <v>1236</v>
      </c>
      <c r="AW359" s="861">
        <v>45317</v>
      </c>
      <c r="AX359" s="862">
        <v>45320</v>
      </c>
      <c r="AY359" s="843" t="s">
        <v>1250</v>
      </c>
      <c r="AZ359" s="842">
        <v>94017990</v>
      </c>
      <c r="BA359" s="842" t="s">
        <v>120</v>
      </c>
      <c r="BB359" s="863" t="s">
        <v>121</v>
      </c>
      <c r="BC359" s="864">
        <v>45305</v>
      </c>
      <c r="BD359" s="860" t="s">
        <v>1238</v>
      </c>
      <c r="BE359" s="865" cm="1">
        <f t="array" ref="BE359">IF(BD359="","",AC359/SUMPRODUCT(--(BD359=$BD$4:$BD$12824),$AC$4:$AC$12824))</f>
        <v>9.1613188758574923E-2</v>
      </c>
      <c r="BF359" s="458"/>
      <c r="BG359" s="458"/>
      <c r="BH359" s="458"/>
      <c r="BI359" s="458"/>
      <c r="BJ359" s="458"/>
      <c r="BK359" s="458"/>
      <c r="BL359" s="458"/>
      <c r="BM359" s="458"/>
      <c r="BN359" s="458"/>
      <c r="BO359" s="866">
        <f>VLOOKUP(BD359,$BD$4:$BN$12824,3,0)*BE359</f>
        <v>1284091.862801505</v>
      </c>
      <c r="BP359" s="866"/>
      <c r="BQ359" s="866"/>
      <c r="BR359" s="866">
        <f>VLOOKUP(BD359,$BD$4:$BN$12824,6,0)*BE359</f>
        <v>430596.27882274846</v>
      </c>
      <c r="BS359" s="866">
        <f>VLOOKUP(BD359,$BD$4:$BN$12824,7,0)*BE359</f>
        <v>41225.934941358719</v>
      </c>
      <c r="BT359" s="866"/>
      <c r="BU359" s="866">
        <f>VLOOKUP(BD359,$BD$4:$BN$12824,9,0)*BE359</f>
        <v>0</v>
      </c>
      <c r="BV359" s="867"/>
      <c r="BW359" s="867">
        <f>VLOOKUP(BD359,$BD$4:$BN$12824,11,0)*BE359</f>
        <v>54967.913255144951</v>
      </c>
      <c r="BX359" s="1146">
        <f t="shared" si="71"/>
        <v>1810881.9898207569</v>
      </c>
      <c r="BY359" s="867">
        <f t="shared" si="66"/>
        <v>3996712.3319551898</v>
      </c>
      <c r="BZ359" s="867">
        <f t="shared" si="63"/>
        <v>15986849.327820759</v>
      </c>
      <c r="CA359" s="867">
        <f>_xlfn.MAXIFS($BY$4:$BY$12824,$S$4:$S$12824,$S359)</f>
        <v>3996712.3319551898</v>
      </c>
      <c r="CB359" s="1032"/>
      <c r="CF359" s="946">
        <f t="shared" si="65"/>
        <v>14175967.338000001</v>
      </c>
    </row>
    <row r="360" spans="1:84">
      <c r="A360" s="1032"/>
      <c r="B360" s="839" t="s">
        <v>98</v>
      </c>
      <c r="C360" s="839" t="s">
        <v>381</v>
      </c>
      <c r="D360" s="839" t="s">
        <v>1222</v>
      </c>
      <c r="E360" s="839" t="s">
        <v>1223</v>
      </c>
      <c r="F360" s="841">
        <v>45047</v>
      </c>
      <c r="G360" s="840" t="s">
        <v>381</v>
      </c>
      <c r="H360" s="842" t="s">
        <v>102</v>
      </c>
      <c r="I360" s="842" t="s">
        <v>1224</v>
      </c>
      <c r="J360" s="841" t="s">
        <v>1225</v>
      </c>
      <c r="K360" s="841" t="s">
        <v>1226</v>
      </c>
      <c r="L360" s="843" t="s">
        <v>106</v>
      </c>
      <c r="M360" s="844"/>
      <c r="N360" s="841"/>
      <c r="O360" s="841" t="s">
        <v>135</v>
      </c>
      <c r="P360" s="841" t="s">
        <v>1251</v>
      </c>
      <c r="Q360" s="843"/>
      <c r="R360" s="845">
        <v>840432</v>
      </c>
      <c r="S360" s="1127" t="s">
        <v>1252</v>
      </c>
      <c r="T360" s="843" t="s">
        <v>1253</v>
      </c>
      <c r="U360" s="842">
        <v>5</v>
      </c>
      <c r="V360" s="842" t="s">
        <v>3</v>
      </c>
      <c r="W360" s="846">
        <v>683</v>
      </c>
      <c r="X360" s="847">
        <f t="shared" si="58"/>
        <v>3415</v>
      </c>
      <c r="Y360" s="848">
        <f t="shared" si="70"/>
        <v>0.54999999999999993</v>
      </c>
      <c r="Z360" s="849">
        <v>307.35000000000002</v>
      </c>
      <c r="AA360" s="849"/>
      <c r="AB360" s="849">
        <f t="shared" si="59"/>
        <v>1536.75</v>
      </c>
      <c r="AC360" s="850">
        <f t="shared" si="60"/>
        <v>1536.75</v>
      </c>
      <c r="AD360" s="851"/>
      <c r="AE360" s="852">
        <v>26339.59</v>
      </c>
      <c r="AF360" s="853">
        <v>7.4999999999999997E-2</v>
      </c>
      <c r="AG360" s="854">
        <f t="shared" si="61"/>
        <v>3319620.9493245324</v>
      </c>
      <c r="AH360" s="853">
        <v>0.1</v>
      </c>
      <c r="AI360" s="855">
        <f t="shared" si="62"/>
        <v>4379698.5881824531</v>
      </c>
      <c r="AJ360" s="845" t="s">
        <v>1229</v>
      </c>
      <c r="AK360" s="857" t="s">
        <v>1230</v>
      </c>
      <c r="AL360" s="840" t="s">
        <v>1231</v>
      </c>
      <c r="AM360" s="840"/>
      <c r="AN360" s="858"/>
      <c r="AO360" s="844" t="s">
        <v>1232</v>
      </c>
      <c r="AP360" s="859" t="s">
        <v>1233</v>
      </c>
      <c r="AQ360" s="859" t="s">
        <v>1233</v>
      </c>
      <c r="AR360" s="859" t="s">
        <v>1234</v>
      </c>
      <c r="AS360" s="840" t="s">
        <v>1145</v>
      </c>
      <c r="AT360" s="840" t="s">
        <v>1235</v>
      </c>
      <c r="AU360" s="860" t="s">
        <v>1147</v>
      </c>
      <c r="AV360" s="839" t="s">
        <v>1236</v>
      </c>
      <c r="AW360" s="861">
        <v>45317</v>
      </c>
      <c r="AX360" s="862">
        <v>45320</v>
      </c>
      <c r="AY360" s="843" t="s">
        <v>1254</v>
      </c>
      <c r="AZ360" s="842">
        <v>44201900</v>
      </c>
      <c r="BA360" s="842" t="s">
        <v>120</v>
      </c>
      <c r="BB360" s="863" t="s">
        <v>121</v>
      </c>
      <c r="BC360" s="864">
        <v>45305</v>
      </c>
      <c r="BD360" s="860" t="s">
        <v>1238</v>
      </c>
      <c r="BE360" s="865" cm="1">
        <f t="array" ref="BE360">IF(BD360="","",AC360/SUMPRODUCT(--(BD360=$BD$4:$BD$12824),$AC$4:$AC$12824))</f>
        <v>0.26158782576131551</v>
      </c>
      <c r="BF360" s="458"/>
      <c r="BG360" s="458"/>
      <c r="BH360" s="458"/>
      <c r="BI360" s="458"/>
      <c r="BJ360" s="458"/>
      <c r="BK360" s="458"/>
      <c r="BL360" s="458"/>
      <c r="BM360" s="458"/>
      <c r="BN360" s="458"/>
      <c r="BO360" s="866">
        <f>VLOOKUP(BD360,$BD$4:$BN$12824,3,0)*BE360</f>
        <v>3666533.2035678425</v>
      </c>
      <c r="BP360" s="866"/>
      <c r="BQ360" s="866"/>
      <c r="BR360" s="866">
        <f>VLOOKUP(BD360,$BD$4:$BN$12824,6,0)*BE360</f>
        <v>1229503.5887790017</v>
      </c>
      <c r="BS360" s="866">
        <f>VLOOKUP(BD360,$BD$4:$BN$12824,7,0)*BE360</f>
        <v>117714.52159259198</v>
      </c>
      <c r="BT360" s="866"/>
      <c r="BU360" s="866">
        <f>VLOOKUP(BD360,$BD$4:$BN$12824,9,0)*BE360</f>
        <v>0</v>
      </c>
      <c r="BV360" s="867"/>
      <c r="BW360" s="867">
        <f>VLOOKUP(BD360,$BD$4:$BN$12824,11,0)*BE360</f>
        <v>156952.69545678931</v>
      </c>
      <c r="BX360" s="1146">
        <f t="shared" si="71"/>
        <v>5170704.0093962252</v>
      </c>
      <c r="BY360" s="867">
        <f t="shared" si="66"/>
        <v>9793537.9782441519</v>
      </c>
      <c r="BZ360" s="867">
        <f t="shared" si="63"/>
        <v>48967689.891220763</v>
      </c>
      <c r="CA360" s="867">
        <f>_xlfn.MAXIFS($BY$4:$BY$12824,$S$4:$S$12824,$S360)</f>
        <v>9793537.9782441519</v>
      </c>
      <c r="CB360" s="1032"/>
      <c r="CF360" s="946">
        <f t="shared" si="65"/>
        <v>40477364.932499997</v>
      </c>
    </row>
    <row r="361" spans="1:84">
      <c r="A361" s="1032"/>
      <c r="B361" s="839" t="s">
        <v>98</v>
      </c>
      <c r="C361" s="839" t="s">
        <v>381</v>
      </c>
      <c r="D361" s="839" t="s">
        <v>1222</v>
      </c>
      <c r="E361" s="839" t="s">
        <v>1223</v>
      </c>
      <c r="F361" s="841">
        <v>45047</v>
      </c>
      <c r="G361" s="840" t="s">
        <v>381</v>
      </c>
      <c r="H361" s="842" t="s">
        <v>102</v>
      </c>
      <c r="I361" s="842" t="s">
        <v>1224</v>
      </c>
      <c r="J361" s="841" t="s">
        <v>1225</v>
      </c>
      <c r="K361" s="841" t="s">
        <v>1226</v>
      </c>
      <c r="L361" s="843" t="s">
        <v>106</v>
      </c>
      <c r="M361" s="844"/>
      <c r="N361" s="841"/>
      <c r="O361" s="841" t="s">
        <v>135</v>
      </c>
      <c r="P361" s="841" t="s">
        <v>1251</v>
      </c>
      <c r="Q361" s="843"/>
      <c r="R361" s="845">
        <v>840433</v>
      </c>
      <c r="S361" s="1127" t="s">
        <v>1255</v>
      </c>
      <c r="T361" s="843" t="s">
        <v>1256</v>
      </c>
      <c r="U361" s="842">
        <v>5</v>
      </c>
      <c r="V361" s="842" t="s">
        <v>3</v>
      </c>
      <c r="W361" s="846">
        <v>683</v>
      </c>
      <c r="X361" s="847">
        <f t="shared" si="58"/>
        <v>3415</v>
      </c>
      <c r="Y361" s="848">
        <f t="shared" si="70"/>
        <v>0.54999999999999993</v>
      </c>
      <c r="Z361" s="849">
        <v>307.35000000000002</v>
      </c>
      <c r="AA361" s="849"/>
      <c r="AB361" s="849">
        <f t="shared" si="59"/>
        <v>1536.75</v>
      </c>
      <c r="AC361" s="850">
        <f t="shared" si="60"/>
        <v>1536.75</v>
      </c>
      <c r="AD361" s="851"/>
      <c r="AE361" s="852">
        <v>26339.59</v>
      </c>
      <c r="AF361" s="853">
        <v>7.4999999999999997E-2</v>
      </c>
      <c r="AG361" s="854">
        <f t="shared" si="61"/>
        <v>3319620.9493245324</v>
      </c>
      <c r="AH361" s="853">
        <v>0.1</v>
      </c>
      <c r="AI361" s="855">
        <f t="shared" si="62"/>
        <v>4379698.5881824531</v>
      </c>
      <c r="AJ361" s="845" t="s">
        <v>1229</v>
      </c>
      <c r="AK361" s="857" t="s">
        <v>1230</v>
      </c>
      <c r="AL361" s="840" t="s">
        <v>1231</v>
      </c>
      <c r="AM361" s="840"/>
      <c r="AN361" s="858"/>
      <c r="AO361" s="844" t="s">
        <v>1232</v>
      </c>
      <c r="AP361" s="859" t="s">
        <v>1233</v>
      </c>
      <c r="AQ361" s="859" t="s">
        <v>1233</v>
      </c>
      <c r="AR361" s="859" t="s">
        <v>1234</v>
      </c>
      <c r="AS361" s="840" t="s">
        <v>1145</v>
      </c>
      <c r="AT361" s="840" t="s">
        <v>1235</v>
      </c>
      <c r="AU361" s="860" t="s">
        <v>1147</v>
      </c>
      <c r="AV361" s="839" t="s">
        <v>1236</v>
      </c>
      <c r="AW361" s="861">
        <v>45317</v>
      </c>
      <c r="AX361" s="862">
        <v>45320</v>
      </c>
      <c r="AY361" s="843" t="s">
        <v>1257</v>
      </c>
      <c r="AZ361" s="842">
        <v>44201900</v>
      </c>
      <c r="BA361" s="842" t="s">
        <v>120</v>
      </c>
      <c r="BB361" s="863" t="s">
        <v>121</v>
      </c>
      <c r="BC361" s="864">
        <v>45305</v>
      </c>
      <c r="BD361" s="860" t="s">
        <v>1238</v>
      </c>
      <c r="BE361" s="865" cm="1">
        <f t="array" ref="BE361">IF(BD361="","",AC361/SUMPRODUCT(--(BD361=$BD$4:$BD$12824),$AC$4:$AC$12824))</f>
        <v>0.26158782576131551</v>
      </c>
      <c r="BF361" s="458"/>
      <c r="BG361" s="458"/>
      <c r="BH361" s="458"/>
      <c r="BI361" s="458"/>
      <c r="BJ361" s="458"/>
      <c r="BK361" s="458"/>
      <c r="BL361" s="458"/>
      <c r="BM361" s="458"/>
      <c r="BN361" s="458"/>
      <c r="BO361" s="866">
        <f>VLOOKUP(BD361,$BD$4:$BN$12824,3,0)*BE361</f>
        <v>3666533.2035678425</v>
      </c>
      <c r="BP361" s="866"/>
      <c r="BQ361" s="866"/>
      <c r="BR361" s="866">
        <f>VLOOKUP(BD361,$BD$4:$BN$12824,6,0)*BE361</f>
        <v>1229503.5887790017</v>
      </c>
      <c r="BS361" s="866">
        <f>VLOOKUP(BD361,$BD$4:$BN$12824,7,0)*BE361</f>
        <v>117714.52159259198</v>
      </c>
      <c r="BT361" s="866"/>
      <c r="BU361" s="866">
        <f>VLOOKUP(BD361,$BD$4:$BN$12824,9,0)*BE361</f>
        <v>0</v>
      </c>
      <c r="BV361" s="867"/>
      <c r="BW361" s="867">
        <f>VLOOKUP(BD361,$BD$4:$BN$12824,11,0)*BE361</f>
        <v>156952.69545678931</v>
      </c>
      <c r="BX361" s="1146">
        <f t="shared" si="71"/>
        <v>5170704.0093962252</v>
      </c>
      <c r="BY361" s="867">
        <f t="shared" si="66"/>
        <v>9793537.9782441519</v>
      </c>
      <c r="BZ361" s="867">
        <f t="shared" si="63"/>
        <v>48967689.891220763</v>
      </c>
      <c r="CA361" s="867">
        <f>_xlfn.MAXIFS($BY$4:$BY$12824,$S$4:$S$12824,$S361)</f>
        <v>9793537.9782441519</v>
      </c>
      <c r="CB361" s="1032"/>
      <c r="CF361" s="946">
        <f t="shared" si="65"/>
        <v>40477364.932499997</v>
      </c>
    </row>
    <row r="362" spans="1:84">
      <c r="A362" s="1032"/>
      <c r="B362" s="839" t="s">
        <v>98</v>
      </c>
      <c r="C362" s="839" t="s">
        <v>381</v>
      </c>
      <c r="D362" s="839" t="s">
        <v>1222</v>
      </c>
      <c r="E362" s="839" t="s">
        <v>1223</v>
      </c>
      <c r="F362" s="841">
        <v>45047</v>
      </c>
      <c r="G362" s="840" t="s">
        <v>381</v>
      </c>
      <c r="H362" s="842" t="s">
        <v>102</v>
      </c>
      <c r="I362" s="842" t="s">
        <v>1224</v>
      </c>
      <c r="J362" s="841" t="s">
        <v>1225</v>
      </c>
      <c r="K362" s="841" t="s">
        <v>1226</v>
      </c>
      <c r="L362" s="843" t="s">
        <v>106</v>
      </c>
      <c r="M362" s="844"/>
      <c r="N362" s="841"/>
      <c r="O362" s="841" t="s">
        <v>135</v>
      </c>
      <c r="P362" s="841" t="s">
        <v>1258</v>
      </c>
      <c r="Q362" s="843"/>
      <c r="R362" s="845">
        <v>840300</v>
      </c>
      <c r="S362" s="1127" t="s">
        <v>1259</v>
      </c>
      <c r="T362" s="843" t="s">
        <v>1260</v>
      </c>
      <c r="U362" s="842">
        <v>2</v>
      </c>
      <c r="V362" s="842" t="s">
        <v>3</v>
      </c>
      <c r="W362" s="846">
        <v>832</v>
      </c>
      <c r="X362" s="847">
        <f t="shared" si="58"/>
        <v>1664</v>
      </c>
      <c r="Y362" s="848">
        <f t="shared" si="70"/>
        <v>0.5</v>
      </c>
      <c r="Z362" s="849">
        <v>416</v>
      </c>
      <c r="AA362" s="849"/>
      <c r="AB362" s="849">
        <f t="shared" si="59"/>
        <v>832</v>
      </c>
      <c r="AC362" s="850">
        <f t="shared" si="60"/>
        <v>832</v>
      </c>
      <c r="AD362" s="851"/>
      <c r="AE362" s="852">
        <v>26339.59</v>
      </c>
      <c r="AF362" s="853">
        <v>0</v>
      </c>
      <c r="AG362" s="854">
        <f t="shared" si="61"/>
        <v>0</v>
      </c>
      <c r="AH362" s="853"/>
      <c r="AI362" s="855">
        <f t="shared" si="62"/>
        <v>0</v>
      </c>
      <c r="AJ362" s="845" t="s">
        <v>1229</v>
      </c>
      <c r="AK362" s="857" t="s">
        <v>1230</v>
      </c>
      <c r="AL362" s="840" t="s">
        <v>1231</v>
      </c>
      <c r="AM362" s="840"/>
      <c r="AN362" s="858"/>
      <c r="AO362" s="844" t="s">
        <v>1232</v>
      </c>
      <c r="AP362" s="859" t="s">
        <v>1233</v>
      </c>
      <c r="AQ362" s="859" t="s">
        <v>1233</v>
      </c>
      <c r="AR362" s="859" t="s">
        <v>1234</v>
      </c>
      <c r="AS362" s="840" t="s">
        <v>1145</v>
      </c>
      <c r="AT362" s="840" t="s">
        <v>1235</v>
      </c>
      <c r="AU362" s="860" t="s">
        <v>1147</v>
      </c>
      <c r="AV362" s="839" t="s">
        <v>1236</v>
      </c>
      <c r="AW362" s="861">
        <v>45317</v>
      </c>
      <c r="AX362" s="862">
        <v>45320</v>
      </c>
      <c r="AY362" s="843" t="s">
        <v>1261</v>
      </c>
      <c r="AZ362" s="842">
        <v>70099100</v>
      </c>
      <c r="BA362" s="842" t="s">
        <v>120</v>
      </c>
      <c r="BB362" s="863" t="s">
        <v>121</v>
      </c>
      <c r="BC362" s="864">
        <v>45305</v>
      </c>
      <c r="BD362" s="860" t="s">
        <v>1238</v>
      </c>
      <c r="BE362" s="865" cm="1">
        <f t="array" ref="BE362">IF(BD362="","",AC362/SUMPRODUCT(--(BD362=$BD$4:$BD$12824),$AC$4:$AC$12824))</f>
        <v>0.1416242531533525</v>
      </c>
      <c r="BF362" s="458"/>
      <c r="BG362" s="458"/>
      <c r="BH362" s="458"/>
      <c r="BI362" s="458"/>
      <c r="BJ362" s="458"/>
      <c r="BK362" s="458"/>
      <c r="BL362" s="458"/>
      <c r="BM362" s="458"/>
      <c r="BN362" s="458"/>
      <c r="BO362" s="866">
        <f>VLOOKUP(BD362,$BD$4:$BN$12824,3,0)*BE362</f>
        <v>1985069.546359814</v>
      </c>
      <c r="BP362" s="866"/>
      <c r="BQ362" s="866"/>
      <c r="BR362" s="866">
        <f>VLOOKUP(BD362,$BD$4:$BN$12824,6,0)*BE362</f>
        <v>665656.08320424869</v>
      </c>
      <c r="BS362" s="866">
        <f>VLOOKUP(BD362,$BD$4:$BN$12824,7,0)*BE362</f>
        <v>63730.913919008628</v>
      </c>
      <c r="BT362" s="866"/>
      <c r="BU362" s="866">
        <f>VLOOKUP(BD362,$BD$4:$BN$12824,9,0)*BE362</f>
        <v>0</v>
      </c>
      <c r="BV362" s="867"/>
      <c r="BW362" s="867">
        <f>VLOOKUP(BD362,$BD$4:$BN$12824,11,0)*BE362</f>
        <v>84974.551892011499</v>
      </c>
      <c r="BX362" s="1146">
        <f t="shared" si="71"/>
        <v>2799431.0953750829</v>
      </c>
      <c r="BY362" s="867">
        <f t="shared" si="66"/>
        <v>12356984.987687541</v>
      </c>
      <c r="BZ362" s="867">
        <f t="shared" si="63"/>
        <v>24713969.975375082</v>
      </c>
      <c r="CA362" s="867">
        <f>_xlfn.MAXIFS($BY$4:$BY$12824,$S$4:$S$12824,$S362)</f>
        <v>12356984.987687541</v>
      </c>
      <c r="CB362" s="1032"/>
      <c r="CF362" s="946">
        <f t="shared" si="65"/>
        <v>21914538.879999999</v>
      </c>
    </row>
    <row r="363" spans="1:84">
      <c r="A363" s="1032"/>
      <c r="B363" s="839" t="s">
        <v>98</v>
      </c>
      <c r="C363" s="840" t="s">
        <v>99</v>
      </c>
      <c r="D363" s="839" t="s">
        <v>1262</v>
      </c>
      <c r="E363" s="839" t="s">
        <v>1263</v>
      </c>
      <c r="F363" s="841">
        <v>45287</v>
      </c>
      <c r="G363" s="840" t="s">
        <v>99</v>
      </c>
      <c r="H363" s="842" t="s">
        <v>102</v>
      </c>
      <c r="I363" s="842" t="s">
        <v>1264</v>
      </c>
      <c r="J363" s="841" t="s">
        <v>247</v>
      </c>
      <c r="K363" s="841" t="s">
        <v>1265</v>
      </c>
      <c r="L363" s="843" t="s">
        <v>1135</v>
      </c>
      <c r="M363" s="844"/>
      <c r="N363" s="841"/>
      <c r="O363" s="841" t="s">
        <v>108</v>
      </c>
      <c r="P363" s="841" t="s">
        <v>160</v>
      </c>
      <c r="Q363" s="843" t="s">
        <v>1266</v>
      </c>
      <c r="R363" s="845">
        <v>5744167152</v>
      </c>
      <c r="S363" s="1127" t="s">
        <v>1267</v>
      </c>
      <c r="T363" s="843" t="s">
        <v>1268</v>
      </c>
      <c r="U363" s="842">
        <v>1</v>
      </c>
      <c r="V363" s="842" t="s">
        <v>3</v>
      </c>
      <c r="W363" s="846">
        <v>1510</v>
      </c>
      <c r="X363" s="847">
        <f t="shared" si="58"/>
        <v>1510</v>
      </c>
      <c r="Y363" s="848">
        <f t="shared" si="70"/>
        <v>0.5</v>
      </c>
      <c r="Z363" s="849">
        <v>755</v>
      </c>
      <c r="AA363" s="849"/>
      <c r="AB363" s="849">
        <f t="shared" si="59"/>
        <v>755</v>
      </c>
      <c r="AC363" s="850">
        <f t="shared" si="60"/>
        <v>755</v>
      </c>
      <c r="AD363" s="851"/>
      <c r="AE363" s="852">
        <v>26664.06</v>
      </c>
      <c r="AF363" s="853">
        <v>0</v>
      </c>
      <c r="AG363" s="854">
        <f t="shared" si="61"/>
        <v>0</v>
      </c>
      <c r="AH363" s="853"/>
      <c r="AI363" s="855">
        <f t="shared" si="62"/>
        <v>0</v>
      </c>
      <c r="AJ363" s="845" t="s">
        <v>1269</v>
      </c>
      <c r="AK363" s="857" t="s">
        <v>1270</v>
      </c>
      <c r="AL363" s="840">
        <v>133389</v>
      </c>
      <c r="AM363" s="840"/>
      <c r="AN363" s="858"/>
      <c r="AO363" s="844" t="s">
        <v>1232</v>
      </c>
      <c r="AP363" s="859">
        <v>45506</v>
      </c>
      <c r="AQ363" s="859">
        <v>45506</v>
      </c>
      <c r="AR363" s="859" t="s">
        <v>1271</v>
      </c>
      <c r="AS363" s="840" t="s">
        <v>1272</v>
      </c>
      <c r="AT363" s="840" t="s">
        <v>1235</v>
      </c>
      <c r="AU363" s="860" t="s">
        <v>1147</v>
      </c>
      <c r="AV363" s="839" t="s">
        <v>1273</v>
      </c>
      <c r="AW363" s="861">
        <v>45377</v>
      </c>
      <c r="AX363" s="862">
        <v>45378</v>
      </c>
      <c r="AY363" s="843" t="s">
        <v>1274</v>
      </c>
      <c r="AZ363" s="842">
        <v>94052990</v>
      </c>
      <c r="BA363" s="842" t="s">
        <v>120</v>
      </c>
      <c r="BB363" s="863" t="s">
        <v>121</v>
      </c>
      <c r="BC363" s="864">
        <v>45305</v>
      </c>
      <c r="BD363" s="860" t="s">
        <v>1275</v>
      </c>
      <c r="BE363" s="865" cm="1">
        <f t="array" ref="BE363">IF(BD363="","",AC363/SUMPRODUCT(--(BD363=$BD$4:$BD$12824),$AC$4:$AC$12824))</f>
        <v>1</v>
      </c>
      <c r="BF363" s="458">
        <v>673640</v>
      </c>
      <c r="BG363" s="458"/>
      <c r="BH363" s="458"/>
      <c r="BI363" s="458"/>
      <c r="BJ363" s="458">
        <v>250000</v>
      </c>
      <c r="BK363" s="458"/>
      <c r="BL363" s="458"/>
      <c r="BM363" s="458"/>
      <c r="BN363" s="458"/>
      <c r="BO363" s="866">
        <f>VLOOKUP(BD363,$BD$4:$BN$12824,3,0)*BE363</f>
        <v>673640</v>
      </c>
      <c r="BP363" s="866"/>
      <c r="BQ363" s="866"/>
      <c r="BR363" s="866">
        <f>VLOOKUP(BD363,$BD$4:$BN$12824,6,0)*BE363</f>
        <v>0</v>
      </c>
      <c r="BS363" s="866">
        <f>VLOOKUP(BD363,$BD$4:$BN$12824,7,0)*BE363</f>
        <v>250000</v>
      </c>
      <c r="BT363" s="866"/>
      <c r="BU363" s="866">
        <f>VLOOKUP(BD363,$BD$4:$BN$12824,9,0)*BE363</f>
        <v>0</v>
      </c>
      <c r="BV363" s="867"/>
      <c r="BW363" s="867">
        <f>VLOOKUP(BD363,$BD$4:$BN$12824,11,0)*BE363</f>
        <v>0</v>
      </c>
      <c r="BX363" s="1146">
        <f t="shared" ref="BX363" si="72">SUM(BO363:BW363)</f>
        <v>923640</v>
      </c>
      <c r="BY363" s="867">
        <f t="shared" si="66"/>
        <v>21055005.300000001</v>
      </c>
      <c r="BZ363" s="867">
        <f t="shared" si="63"/>
        <v>21055005.300000001</v>
      </c>
      <c r="CA363" s="867">
        <f>_xlfn.MAXIFS($BY$4:$BY$12824,$S$4:$S$12824,$S363)</f>
        <v>21055005.300000001</v>
      </c>
      <c r="CB363" s="1032"/>
      <c r="CF363" s="946">
        <f t="shared" si="65"/>
        <v>20131365.300000001</v>
      </c>
    </row>
    <row r="364" spans="1:84">
      <c r="A364" s="1032"/>
      <c r="B364" s="839" t="s">
        <v>98</v>
      </c>
      <c r="C364" s="839" t="s">
        <v>254</v>
      </c>
      <c r="D364" s="839" t="s">
        <v>1276</v>
      </c>
      <c r="E364" s="839" t="s">
        <v>1277</v>
      </c>
      <c r="F364" s="841">
        <v>45180</v>
      </c>
      <c r="G364" s="840" t="s">
        <v>254</v>
      </c>
      <c r="H364" s="842" t="s">
        <v>134</v>
      </c>
      <c r="I364" s="842"/>
      <c r="J364" s="841"/>
      <c r="K364" s="841"/>
      <c r="L364" s="843" t="s">
        <v>106</v>
      </c>
      <c r="M364" s="844"/>
      <c r="N364" s="841"/>
      <c r="O364" s="841" t="s">
        <v>108</v>
      </c>
      <c r="P364" s="841" t="s">
        <v>1136</v>
      </c>
      <c r="Q364" s="843"/>
      <c r="R364" s="845" t="s">
        <v>256</v>
      </c>
      <c r="S364" s="1127" t="s">
        <v>257</v>
      </c>
      <c r="T364" s="843" t="s">
        <v>1278</v>
      </c>
      <c r="U364" s="842">
        <v>4</v>
      </c>
      <c r="V364" s="842" t="s">
        <v>3</v>
      </c>
      <c r="W364" s="846">
        <v>3443</v>
      </c>
      <c r="X364" s="847">
        <f t="shared" si="58"/>
        <v>13772</v>
      </c>
      <c r="Y364" s="848"/>
      <c r="Z364" s="849">
        <v>1721.5</v>
      </c>
      <c r="AA364" s="849" t="s">
        <v>40</v>
      </c>
      <c r="AB364" s="849">
        <f t="shared" si="59"/>
        <v>0</v>
      </c>
      <c r="AC364" s="850">
        <f t="shared" si="60"/>
        <v>6886</v>
      </c>
      <c r="AD364" s="851"/>
      <c r="AE364" s="852">
        <v>27042.41</v>
      </c>
      <c r="AF364" s="853">
        <v>0</v>
      </c>
      <c r="AG364" s="854">
        <f t="shared" si="61"/>
        <v>0</v>
      </c>
      <c r="AH364" s="853"/>
      <c r="AI364" s="855">
        <f t="shared" si="62"/>
        <v>0</v>
      </c>
      <c r="AJ364" s="845" t="s">
        <v>1279</v>
      </c>
      <c r="AK364" s="857" t="s">
        <v>1280</v>
      </c>
      <c r="AL364" s="840" t="s">
        <v>1281</v>
      </c>
      <c r="AM364" s="840"/>
      <c r="AN364" s="858"/>
      <c r="AO364" s="844" t="s">
        <v>1232</v>
      </c>
      <c r="AP364" s="859" t="s">
        <v>1282</v>
      </c>
      <c r="AQ364" s="859" t="s">
        <v>1282</v>
      </c>
      <c r="AR364" s="859" t="s">
        <v>1283</v>
      </c>
      <c r="AS364" s="840" t="s">
        <v>1284</v>
      </c>
      <c r="AT364" s="840" t="s">
        <v>1235</v>
      </c>
      <c r="AU364" s="860" t="s">
        <v>1285</v>
      </c>
      <c r="AV364" s="839" t="s">
        <v>1286</v>
      </c>
      <c r="AW364" s="861">
        <v>45449</v>
      </c>
      <c r="AX364" s="862"/>
      <c r="AY364" s="843" t="s">
        <v>1287</v>
      </c>
      <c r="AZ364" s="842">
        <v>94051199</v>
      </c>
      <c r="BA364" s="842" t="s">
        <v>120</v>
      </c>
      <c r="BB364" s="863" t="s">
        <v>121</v>
      </c>
      <c r="BC364" s="864">
        <v>45418</v>
      </c>
      <c r="BD364" s="860" t="s">
        <v>1288</v>
      </c>
      <c r="BE364" s="865" cm="1">
        <f t="array" ref="BE364">IF(BD364="","",AC364/SUMPRODUCT(--(BD364=$BD$4:$BD$12824),$AC$4:$AC$12824))</f>
        <v>0.78285584356525695</v>
      </c>
      <c r="BF364" s="458">
        <v>8596966</v>
      </c>
      <c r="BG364" s="458"/>
      <c r="BH364" s="458"/>
      <c r="BI364" s="458">
        <v>5893251</v>
      </c>
      <c r="BJ364" s="458">
        <v>250000</v>
      </c>
      <c r="BK364" s="458"/>
      <c r="BL364" s="458"/>
      <c r="BM364" s="458"/>
      <c r="BN364" s="458">
        <v>600000</v>
      </c>
      <c r="BO364" s="866">
        <f>VLOOKUP(BD364,$BD$4:$BN$12824,3,0)*BE364</f>
        <v>6730185.0700318329</v>
      </c>
      <c r="BP364" s="866"/>
      <c r="BQ364" s="866"/>
      <c r="BR364" s="866">
        <f>VLOOKUP(BD364,$BD$4:$BN$12824,6,0)*BE364</f>
        <v>4613565.9829467945</v>
      </c>
      <c r="BS364" s="866">
        <f>VLOOKUP(BD364,$BD$4:$BN$12824,7,0)*BE364</f>
        <v>195713.96089131423</v>
      </c>
      <c r="BT364" s="866"/>
      <c r="BU364" s="866">
        <f>VLOOKUP(BD364,$BD$4:$BN$12824,9,0)*BE364</f>
        <v>0</v>
      </c>
      <c r="BV364" s="867"/>
      <c r="BW364" s="867">
        <f>VLOOKUP(BD364,$BD$4:$BN$12824,11,0)*BE364</f>
        <v>469713.5061391542</v>
      </c>
      <c r="BX364" s="1146">
        <f t="shared" ref="BX364:BX372" si="73">SUM(BO364:BW364)</f>
        <v>12009178.520009095</v>
      </c>
      <c r="BY364" s="867">
        <f t="shared" si="66"/>
        <v>3002294.6300022737</v>
      </c>
      <c r="BZ364" s="867">
        <f t="shared" si="63"/>
        <v>12009178.520009095</v>
      </c>
      <c r="CA364" s="867">
        <f>_xlfn.MAXIFS($BY$4:$BY$12824,$S$4:$S$12824,$S364)</f>
        <v>52511523.23007372</v>
      </c>
      <c r="CB364" s="1032"/>
      <c r="CF364" s="946">
        <f t="shared" si="65"/>
        <v>186214035.25999999</v>
      </c>
    </row>
    <row r="365" spans="1:84">
      <c r="A365" s="1032"/>
      <c r="B365" s="839" t="s">
        <v>98</v>
      </c>
      <c r="C365" s="839" t="s">
        <v>254</v>
      </c>
      <c r="D365" s="839" t="s">
        <v>1276</v>
      </c>
      <c r="E365" s="839" t="s">
        <v>1277</v>
      </c>
      <c r="F365" s="841">
        <v>45180</v>
      </c>
      <c r="G365" s="840" t="s">
        <v>254</v>
      </c>
      <c r="H365" s="842" t="s">
        <v>134</v>
      </c>
      <c r="I365" s="842"/>
      <c r="J365" s="841"/>
      <c r="K365" s="841"/>
      <c r="L365" s="843" t="s">
        <v>106</v>
      </c>
      <c r="M365" s="844"/>
      <c r="N365" s="841"/>
      <c r="O365" s="841" t="s">
        <v>108</v>
      </c>
      <c r="P365" s="841" t="s">
        <v>1136</v>
      </c>
      <c r="Q365" s="843"/>
      <c r="R365" s="845" t="s">
        <v>263</v>
      </c>
      <c r="S365" s="1127" t="s">
        <v>264</v>
      </c>
      <c r="T365" s="843" t="s">
        <v>1289</v>
      </c>
      <c r="U365" s="842">
        <v>1</v>
      </c>
      <c r="V365" s="842" t="s">
        <v>3</v>
      </c>
      <c r="W365" s="846">
        <v>1475</v>
      </c>
      <c r="X365" s="847">
        <f t="shared" si="58"/>
        <v>1475</v>
      </c>
      <c r="Y365" s="848"/>
      <c r="Z365" s="849">
        <v>752.25</v>
      </c>
      <c r="AA365" s="849" t="s">
        <v>40</v>
      </c>
      <c r="AB365" s="849">
        <f t="shared" si="59"/>
        <v>0</v>
      </c>
      <c r="AC365" s="850">
        <f t="shared" si="60"/>
        <v>752.25</v>
      </c>
      <c r="AD365" s="851"/>
      <c r="AE365" s="852">
        <v>27042.41</v>
      </c>
      <c r="AF365" s="853">
        <v>0</v>
      </c>
      <c r="AG365" s="854">
        <f t="shared" si="61"/>
        <v>0</v>
      </c>
      <c r="AH365" s="853"/>
      <c r="AI365" s="855">
        <f t="shared" si="62"/>
        <v>0</v>
      </c>
      <c r="AJ365" s="845" t="s">
        <v>1279</v>
      </c>
      <c r="AK365" s="857" t="s">
        <v>1280</v>
      </c>
      <c r="AL365" s="840" t="s">
        <v>1281</v>
      </c>
      <c r="AM365" s="840"/>
      <c r="AN365" s="858"/>
      <c r="AO365" s="844" t="s">
        <v>1232</v>
      </c>
      <c r="AP365" s="859" t="s">
        <v>1282</v>
      </c>
      <c r="AQ365" s="859" t="s">
        <v>1282</v>
      </c>
      <c r="AR365" s="859" t="s">
        <v>1283</v>
      </c>
      <c r="AS365" s="840" t="s">
        <v>1284</v>
      </c>
      <c r="AT365" s="840" t="s">
        <v>1235</v>
      </c>
      <c r="AU365" s="860" t="s">
        <v>1285</v>
      </c>
      <c r="AV365" s="839" t="s">
        <v>1286</v>
      </c>
      <c r="AW365" s="861">
        <v>45449</v>
      </c>
      <c r="AX365" s="862"/>
      <c r="AY365" s="843" t="s">
        <v>1290</v>
      </c>
      <c r="AZ365" s="842">
        <v>94051199</v>
      </c>
      <c r="BA365" s="842" t="s">
        <v>120</v>
      </c>
      <c r="BB365" s="863" t="s">
        <v>121</v>
      </c>
      <c r="BC365" s="864">
        <v>45418</v>
      </c>
      <c r="BD365" s="860" t="s">
        <v>1288</v>
      </c>
      <c r="BE365" s="865" cm="1">
        <f t="array" ref="BE365">IF(BD365="","",AC365/SUMPRODUCT(--(BD365=$BD$4:$BD$12824),$AC$4:$AC$12824))</f>
        <v>8.5521828103683487E-2</v>
      </c>
      <c r="BF365" s="458"/>
      <c r="BG365" s="458"/>
      <c r="BH365" s="458"/>
      <c r="BI365" s="458"/>
      <c r="BJ365" s="458"/>
      <c r="BK365" s="458"/>
      <c r="BL365" s="458"/>
      <c r="BM365" s="458"/>
      <c r="BN365" s="458"/>
      <c r="BO365" s="866">
        <f>VLOOKUP(BD365,$BD$4:$BN$12824,3,0)*BE365</f>
        <v>735228.24846521136</v>
      </c>
      <c r="BP365" s="866"/>
      <c r="BQ365" s="866"/>
      <c r="BR365" s="866">
        <f>VLOOKUP(BD365,$BD$4:$BN$12824,6,0)*BE365</f>
        <v>504001.59899386083</v>
      </c>
      <c r="BS365" s="866">
        <f>VLOOKUP(BD365,$BD$4:$BN$12824,7,0)*BE365</f>
        <v>21380.45702592087</v>
      </c>
      <c r="BT365" s="866"/>
      <c r="BU365" s="866">
        <f>VLOOKUP(BD365,$BD$4:$BN$12824,9,0)*BE365</f>
        <v>0</v>
      </c>
      <c r="BV365" s="867"/>
      <c r="BW365" s="867">
        <f>VLOOKUP(BD365,$BD$4:$BN$12824,11,0)*BE365</f>
        <v>51313.096862210092</v>
      </c>
      <c r="BX365" s="1146">
        <f t="shared" si="73"/>
        <v>1311923.4013472034</v>
      </c>
      <c r="BY365" s="867">
        <f t="shared" si="66"/>
        <v>1311923.4013472034</v>
      </c>
      <c r="BZ365" s="867">
        <f t="shared" si="63"/>
        <v>1311923.4013472034</v>
      </c>
      <c r="CA365" s="867">
        <f>_xlfn.MAXIFS($BY$4:$BY$12824,$S$4:$S$12824,$S365)</f>
        <v>22340948.800936483</v>
      </c>
      <c r="CB365" s="1032"/>
      <c r="CF365" s="946">
        <f t="shared" si="65"/>
        <v>20342652.922499999</v>
      </c>
    </row>
    <row r="366" spans="1:84">
      <c r="A366" s="1032"/>
      <c r="B366" s="839" t="s">
        <v>98</v>
      </c>
      <c r="C366" s="839" t="s">
        <v>254</v>
      </c>
      <c r="D366" s="839" t="s">
        <v>1276</v>
      </c>
      <c r="E366" s="839" t="s">
        <v>1277</v>
      </c>
      <c r="F366" s="841">
        <v>45180</v>
      </c>
      <c r="G366" s="840" t="s">
        <v>254</v>
      </c>
      <c r="H366" s="842" t="s">
        <v>134</v>
      </c>
      <c r="I366" s="842"/>
      <c r="J366" s="841"/>
      <c r="K366" s="841"/>
      <c r="L366" s="843" t="s">
        <v>106</v>
      </c>
      <c r="M366" s="844"/>
      <c r="N366" s="841"/>
      <c r="O366" s="841" t="s">
        <v>1100</v>
      </c>
      <c r="P366" s="841" t="s">
        <v>124</v>
      </c>
      <c r="Q366" s="843"/>
      <c r="R366" s="845" t="s">
        <v>1291</v>
      </c>
      <c r="S366" s="1127" t="s">
        <v>1292</v>
      </c>
      <c r="T366" s="843" t="s">
        <v>1293</v>
      </c>
      <c r="U366" s="842">
        <v>1</v>
      </c>
      <c r="V366" s="842" t="s">
        <v>3</v>
      </c>
      <c r="W366" s="846"/>
      <c r="X366" s="847">
        <f t="shared" si="58"/>
        <v>0</v>
      </c>
      <c r="Y366" s="848"/>
      <c r="Z366" s="849">
        <v>121</v>
      </c>
      <c r="AA366" s="849" t="s">
        <v>40</v>
      </c>
      <c r="AB366" s="849">
        <f t="shared" si="59"/>
        <v>0</v>
      </c>
      <c r="AC366" s="850">
        <f t="shared" si="60"/>
        <v>121</v>
      </c>
      <c r="AD366" s="851"/>
      <c r="AE366" s="852">
        <v>27042.41</v>
      </c>
      <c r="AF366" s="853">
        <v>0</v>
      </c>
      <c r="AG366" s="854">
        <f t="shared" si="61"/>
        <v>0</v>
      </c>
      <c r="AH366" s="853"/>
      <c r="AI366" s="855">
        <f t="shared" si="62"/>
        <v>0</v>
      </c>
      <c r="AJ366" s="845" t="s">
        <v>1279</v>
      </c>
      <c r="AK366" s="857" t="s">
        <v>1280</v>
      </c>
      <c r="AL366" s="840" t="s">
        <v>1281</v>
      </c>
      <c r="AM366" s="840"/>
      <c r="AN366" s="858"/>
      <c r="AO366" s="844" t="s">
        <v>1232</v>
      </c>
      <c r="AP366" s="859" t="s">
        <v>1282</v>
      </c>
      <c r="AQ366" s="859" t="s">
        <v>1282</v>
      </c>
      <c r="AR366" s="859" t="s">
        <v>1283</v>
      </c>
      <c r="AS366" s="840" t="s">
        <v>1284</v>
      </c>
      <c r="AT366" s="840" t="s">
        <v>1235</v>
      </c>
      <c r="AU366" s="860" t="s">
        <v>1285</v>
      </c>
      <c r="AV366" s="839" t="s">
        <v>1286</v>
      </c>
      <c r="AW366" s="861">
        <v>45449</v>
      </c>
      <c r="AX366" s="862"/>
      <c r="AY366" s="843" t="s">
        <v>1294</v>
      </c>
      <c r="AZ366" s="842" t="s">
        <v>1295</v>
      </c>
      <c r="BA366" s="842" t="s">
        <v>120</v>
      </c>
      <c r="BB366" s="863" t="s">
        <v>121</v>
      </c>
      <c r="BC366" s="864">
        <v>45418</v>
      </c>
      <c r="BD366" s="860" t="s">
        <v>1288</v>
      </c>
      <c r="BE366" s="865" cm="1">
        <f t="array" ref="BE366">IF(BD366="","",AC366/SUMPRODUCT(--(BD366=$BD$4:$BD$12824),$AC$4:$AC$12824))</f>
        <v>1.3756252842201E-2</v>
      </c>
      <c r="BF366" s="458"/>
      <c r="BG366" s="458"/>
      <c r="BH366" s="458"/>
      <c r="BI366" s="458"/>
      <c r="BJ366" s="458"/>
      <c r="BK366" s="458"/>
      <c r="BL366" s="458"/>
      <c r="BM366" s="458"/>
      <c r="BN366" s="458"/>
      <c r="BO366" s="866">
        <f>VLOOKUP(BD366,$BD$4:$BN$12824,3,0)*BE366</f>
        <v>118262.03797180536</v>
      </c>
      <c r="BP366" s="866"/>
      <c r="BQ366" s="866"/>
      <c r="BR366" s="866">
        <f>VLOOKUP(BD366,$BD$4:$BN$12824,6,0)*BE366</f>
        <v>81069.050818553878</v>
      </c>
      <c r="BS366" s="866">
        <f>VLOOKUP(BD366,$BD$4:$BN$12824,7,0)*BE366</f>
        <v>3439.06321055025</v>
      </c>
      <c r="BT366" s="866"/>
      <c r="BU366" s="866">
        <f>VLOOKUP(BD366,$BD$4:$BN$12824,9,0)*BE366</f>
        <v>0</v>
      </c>
      <c r="BV366" s="867"/>
      <c r="BW366" s="867">
        <f>VLOOKUP(BD366,$BD$4:$BN$12824,11,0)*BE366</f>
        <v>8253.7517053205993</v>
      </c>
      <c r="BX366" s="1146">
        <f t="shared" si="73"/>
        <v>211023.90370623011</v>
      </c>
      <c r="BY366" s="867">
        <f t="shared" si="66"/>
        <v>211023.90370623011</v>
      </c>
      <c r="BZ366" s="867">
        <f t="shared" si="63"/>
        <v>211023.90370623011</v>
      </c>
      <c r="CA366" s="867">
        <f>_xlfn.MAXIFS($BY$4:$BY$12824,$S$4:$S$12824,$S366)</f>
        <v>211023.90370623011</v>
      </c>
      <c r="CB366" s="1032"/>
      <c r="CF366" s="946">
        <f t="shared" si="65"/>
        <v>3272131.61</v>
      </c>
    </row>
    <row r="367" spans="1:84">
      <c r="A367" s="1032"/>
      <c r="B367" s="839" t="s">
        <v>98</v>
      </c>
      <c r="C367" s="839" t="s">
        <v>254</v>
      </c>
      <c r="D367" s="839" t="s">
        <v>1276</v>
      </c>
      <c r="E367" s="839" t="s">
        <v>1296</v>
      </c>
      <c r="F367" s="841">
        <v>45239</v>
      </c>
      <c r="G367" s="840" t="s">
        <v>254</v>
      </c>
      <c r="H367" s="842" t="s">
        <v>134</v>
      </c>
      <c r="I367" s="842"/>
      <c r="J367" s="841"/>
      <c r="K367" s="841"/>
      <c r="L367" s="843" t="s">
        <v>106</v>
      </c>
      <c r="M367" s="844"/>
      <c r="N367" s="841" t="s">
        <v>1297</v>
      </c>
      <c r="O367" s="841" t="s">
        <v>108</v>
      </c>
      <c r="P367" s="841" t="s">
        <v>1136</v>
      </c>
      <c r="Q367" s="843"/>
      <c r="R367" s="845" t="s">
        <v>266</v>
      </c>
      <c r="S367" s="1127" t="s">
        <v>267</v>
      </c>
      <c r="T367" s="843" t="s">
        <v>1298</v>
      </c>
      <c r="U367" s="842">
        <v>1</v>
      </c>
      <c r="V367" s="842" t="s">
        <v>3</v>
      </c>
      <c r="W367" s="846">
        <v>1885</v>
      </c>
      <c r="X367" s="847">
        <f t="shared" si="58"/>
        <v>1885</v>
      </c>
      <c r="Y367" s="848">
        <f t="shared" ref="Y367:Y398" si="74">(W367-Z367)/W367</f>
        <v>0.45</v>
      </c>
      <c r="Z367" s="849">
        <v>1036.75</v>
      </c>
      <c r="AA367" s="849"/>
      <c r="AB367" s="849">
        <f t="shared" si="59"/>
        <v>1036.75</v>
      </c>
      <c r="AC367" s="850">
        <f t="shared" si="60"/>
        <v>1036.75</v>
      </c>
      <c r="AD367" s="851"/>
      <c r="AE367" s="852">
        <v>27042.41</v>
      </c>
      <c r="AF367" s="853">
        <v>0</v>
      </c>
      <c r="AG367" s="854">
        <f t="shared" si="61"/>
        <v>0</v>
      </c>
      <c r="AH367" s="853"/>
      <c r="AI367" s="855">
        <f t="shared" si="62"/>
        <v>0</v>
      </c>
      <c r="AJ367" s="845" t="s">
        <v>1279</v>
      </c>
      <c r="AK367" s="857" t="s">
        <v>1280</v>
      </c>
      <c r="AL367" s="840" t="s">
        <v>1281</v>
      </c>
      <c r="AM367" s="840"/>
      <c r="AN367" s="858"/>
      <c r="AO367" s="844" t="s">
        <v>1232</v>
      </c>
      <c r="AP367" s="859" t="s">
        <v>1282</v>
      </c>
      <c r="AQ367" s="859" t="s">
        <v>1282</v>
      </c>
      <c r="AR367" s="859" t="s">
        <v>1283</v>
      </c>
      <c r="AS367" s="840" t="s">
        <v>1284</v>
      </c>
      <c r="AT367" s="840" t="s">
        <v>1235</v>
      </c>
      <c r="AU367" s="860" t="s">
        <v>1285</v>
      </c>
      <c r="AV367" s="839" t="s">
        <v>1286</v>
      </c>
      <c r="AW367" s="861">
        <v>45449</v>
      </c>
      <c r="AX367" s="862"/>
      <c r="AY367" s="843" t="s">
        <v>1299</v>
      </c>
      <c r="AZ367" s="842">
        <v>94051199</v>
      </c>
      <c r="BA367" s="842" t="s">
        <v>120</v>
      </c>
      <c r="BB367" s="863" t="s">
        <v>121</v>
      </c>
      <c r="BC367" s="864">
        <v>45418</v>
      </c>
      <c r="BD367" s="860" t="s">
        <v>1288</v>
      </c>
      <c r="BE367" s="865" cm="1">
        <f t="array" ref="BE367">IF(BD367="","",AC367/SUMPRODUCT(--(BD367=$BD$4:$BD$12824),$AC$4:$AC$12824))</f>
        <v>0.11786607548885857</v>
      </c>
      <c r="BF367" s="458"/>
      <c r="BG367" s="458"/>
      <c r="BH367" s="458"/>
      <c r="BI367" s="458"/>
      <c r="BJ367" s="458"/>
      <c r="BK367" s="458"/>
      <c r="BL367" s="458"/>
      <c r="BM367" s="458"/>
      <c r="BN367" s="458"/>
      <c r="BO367" s="866">
        <f>VLOOKUP(BD367,$BD$4:$BN$12824,3,0)*BE367</f>
        <v>1013290.6435311504</v>
      </c>
      <c r="BP367" s="866"/>
      <c r="BQ367" s="866"/>
      <c r="BR367" s="866">
        <f>VLOOKUP(BD367,$BD$4:$BN$12824,6,0)*BE367</f>
        <v>694614.36724079121</v>
      </c>
      <c r="BS367" s="866">
        <f>VLOOKUP(BD367,$BD$4:$BN$12824,7,0)*BE367</f>
        <v>29466.518872214641</v>
      </c>
      <c r="BT367" s="866"/>
      <c r="BU367" s="866">
        <f>VLOOKUP(BD367,$BD$4:$BN$12824,9,0)*BE367</f>
        <v>0</v>
      </c>
      <c r="BV367" s="867"/>
      <c r="BW367" s="867">
        <f>VLOOKUP(BD367,$BD$4:$BN$12824,11,0)*BE367</f>
        <v>70719.645293315145</v>
      </c>
      <c r="BX367" s="1146">
        <f t="shared" si="73"/>
        <v>1808091.1749374715</v>
      </c>
      <c r="BY367" s="867">
        <f t="shared" si="66"/>
        <v>29844309.742437471</v>
      </c>
      <c r="BZ367" s="867">
        <f t="shared" si="63"/>
        <v>29844309.742437471</v>
      </c>
      <c r="CA367" s="867">
        <f>_xlfn.MAXIFS($BY$4:$BY$12824,$S$4:$S$12824,$S367)</f>
        <v>29844309.742437471</v>
      </c>
      <c r="CB367" s="1032"/>
      <c r="CF367" s="946">
        <f t="shared" si="65"/>
        <v>28036218.567499999</v>
      </c>
    </row>
    <row r="368" spans="1:84">
      <c r="A368" s="1032" t="s">
        <v>1300</v>
      </c>
      <c r="B368" s="839" t="s">
        <v>98</v>
      </c>
      <c r="C368" s="839" t="s">
        <v>131</v>
      </c>
      <c r="D368" s="839" t="s">
        <v>1301</v>
      </c>
      <c r="E368" s="839" t="s">
        <v>1302</v>
      </c>
      <c r="F368" s="841">
        <v>45306</v>
      </c>
      <c r="G368" s="840" t="s">
        <v>133</v>
      </c>
      <c r="H368" s="842" t="s">
        <v>134</v>
      </c>
      <c r="I368" s="842"/>
      <c r="J368" s="841"/>
      <c r="K368" s="841"/>
      <c r="L368" s="843" t="s">
        <v>106</v>
      </c>
      <c r="M368" s="844"/>
      <c r="N368" s="841"/>
      <c r="O368" s="841" t="s">
        <v>135</v>
      </c>
      <c r="P368" s="841" t="s">
        <v>136</v>
      </c>
      <c r="Q368" s="843"/>
      <c r="R368" s="845" t="s">
        <v>1303</v>
      </c>
      <c r="S368" s="1127" t="s">
        <v>1304</v>
      </c>
      <c r="T368" s="843" t="s">
        <v>1305</v>
      </c>
      <c r="U368" s="842">
        <v>6</v>
      </c>
      <c r="V368" s="842" t="s">
        <v>8</v>
      </c>
      <c r="W368" s="846">
        <v>52</v>
      </c>
      <c r="X368" s="847">
        <f t="shared" si="58"/>
        <v>312</v>
      </c>
      <c r="Y368" s="848">
        <f t="shared" si="74"/>
        <v>0.43</v>
      </c>
      <c r="Z368" s="849">
        <v>29.64</v>
      </c>
      <c r="AA368" s="849"/>
      <c r="AB368" s="849">
        <f t="shared" si="59"/>
        <v>177.84</v>
      </c>
      <c r="AC368" s="850">
        <f t="shared" si="60"/>
        <v>177.84</v>
      </c>
      <c r="AD368" s="851"/>
      <c r="AE368" s="852">
        <v>24530</v>
      </c>
      <c r="AF368" s="853">
        <v>0</v>
      </c>
      <c r="AG368" s="854">
        <f t="shared" si="61"/>
        <v>0</v>
      </c>
      <c r="AH368" s="853"/>
      <c r="AI368" s="855">
        <f t="shared" si="62"/>
        <v>0</v>
      </c>
      <c r="AJ368" s="845" t="s">
        <v>1306</v>
      </c>
      <c r="AK368" s="857" t="s">
        <v>1307</v>
      </c>
      <c r="AL368" s="840" t="s">
        <v>1308</v>
      </c>
      <c r="AM368" s="840"/>
      <c r="AN368" s="858"/>
      <c r="AO368" s="844" t="s">
        <v>1232</v>
      </c>
      <c r="AP368" s="859">
        <v>45599</v>
      </c>
      <c r="AQ368" s="859">
        <v>45599</v>
      </c>
      <c r="AR368" s="859" t="s">
        <v>1309</v>
      </c>
      <c r="AS368" s="840" t="s">
        <v>1310</v>
      </c>
      <c r="AT368" s="840" t="s">
        <v>1235</v>
      </c>
      <c r="AU368" s="860" t="s">
        <v>1311</v>
      </c>
      <c r="AV368" s="839" t="s">
        <v>1312</v>
      </c>
      <c r="AW368" s="861">
        <v>45366</v>
      </c>
      <c r="AX368" s="862"/>
      <c r="AY368" s="843" t="s">
        <v>1313</v>
      </c>
      <c r="AZ368" s="842">
        <v>94042120</v>
      </c>
      <c r="BA368" s="842" t="s">
        <v>120</v>
      </c>
      <c r="BB368" s="863" t="s">
        <v>121</v>
      </c>
      <c r="BC368" s="864">
        <v>45305</v>
      </c>
      <c r="BD368" s="860" t="s">
        <v>1314</v>
      </c>
      <c r="BE368" s="865" cm="1">
        <f t="array" ref="BE368">IF(BD368="","",AC368/SUMPRODUCT(--(BD368=$BD$4:$BD$12824),$AC$4:$AC$12824))</f>
        <v>0.12694333804445587</v>
      </c>
      <c r="BF368" s="458">
        <v>13131360</v>
      </c>
      <c r="BG368" s="458"/>
      <c r="BH368" s="458"/>
      <c r="BI368" s="458">
        <v>1243500</v>
      </c>
      <c r="BJ368" s="458">
        <v>250000</v>
      </c>
      <c r="BK368" s="458"/>
      <c r="BL368" s="458"/>
      <c r="BM368" s="458"/>
      <c r="BN368" s="458">
        <v>600000</v>
      </c>
      <c r="BO368" s="866">
        <f>VLOOKUP(BD368,$BD$4:$BN$12824,3,0)*BE368</f>
        <v>1666938.671463446</v>
      </c>
      <c r="BP368" s="866"/>
      <c r="BQ368" s="866"/>
      <c r="BR368" s="866">
        <f>VLOOKUP(BD368,$BD$4:$BN$12824,6,0)*BE368</f>
        <v>157854.04085828087</v>
      </c>
      <c r="BS368" s="866">
        <f>VLOOKUP(BD368,$BD$4:$BN$12824,7,0)*BE368</f>
        <v>31735.834511113968</v>
      </c>
      <c r="BT368" s="866"/>
      <c r="BU368" s="866">
        <f>VLOOKUP(BD368,$BD$4:$BN$12824,9,0)*BE368</f>
        <v>0</v>
      </c>
      <c r="BV368" s="867"/>
      <c r="BW368" s="867">
        <f>VLOOKUP(BD368,$BD$4:$BN$12824,11,0)*BE368</f>
        <v>76166.002826673517</v>
      </c>
      <c r="BX368" s="1146">
        <f t="shared" si="73"/>
        <v>1932694.5496595143</v>
      </c>
      <c r="BY368" s="867">
        <f t="shared" si="66"/>
        <v>1049184.9582765857</v>
      </c>
      <c r="BZ368" s="867">
        <f t="shared" si="63"/>
        <v>6295109.7496595141</v>
      </c>
      <c r="CA368" s="867">
        <f>_xlfn.MAXIFS($BY$4:$BY$12824,$S$4:$S$12824,$S368)</f>
        <v>1049184.9582765857</v>
      </c>
      <c r="CB368" s="1032"/>
      <c r="CF368" s="946">
        <f t="shared" si="65"/>
        <v>4362415.2</v>
      </c>
    </row>
    <row r="369" spans="1:84">
      <c r="A369" s="1032"/>
      <c r="B369" s="839" t="s">
        <v>98</v>
      </c>
      <c r="C369" s="839" t="s">
        <v>131</v>
      </c>
      <c r="D369" s="839" t="s">
        <v>1301</v>
      </c>
      <c r="E369" s="839" t="s">
        <v>1302</v>
      </c>
      <c r="F369" s="841">
        <v>45306</v>
      </c>
      <c r="G369" s="840" t="s">
        <v>133</v>
      </c>
      <c r="H369" s="842" t="s">
        <v>102</v>
      </c>
      <c r="I369" s="842" t="s">
        <v>1315</v>
      </c>
      <c r="J369" s="841" t="s">
        <v>1316</v>
      </c>
      <c r="K369" s="841" t="s">
        <v>1317</v>
      </c>
      <c r="L369" s="843" t="s">
        <v>106</v>
      </c>
      <c r="M369" s="844"/>
      <c r="N369" s="841"/>
      <c r="O369" s="841" t="s">
        <v>135</v>
      </c>
      <c r="P369" s="841" t="s">
        <v>136</v>
      </c>
      <c r="Q369" s="843"/>
      <c r="R369" s="845" t="s">
        <v>137</v>
      </c>
      <c r="S369" s="1127" t="s">
        <v>138</v>
      </c>
      <c r="T369" s="843" t="s">
        <v>1318</v>
      </c>
      <c r="U369" s="842">
        <v>1</v>
      </c>
      <c r="V369" s="842" t="s">
        <v>8</v>
      </c>
      <c r="W369" s="846">
        <v>146</v>
      </c>
      <c r="X369" s="847">
        <f t="shared" si="58"/>
        <v>146</v>
      </c>
      <c r="Y369" s="848">
        <f t="shared" si="74"/>
        <v>0.43</v>
      </c>
      <c r="Z369" s="849">
        <v>83.22</v>
      </c>
      <c r="AA369" s="849"/>
      <c r="AB369" s="849">
        <f t="shared" si="59"/>
        <v>83.22</v>
      </c>
      <c r="AC369" s="850">
        <f t="shared" si="60"/>
        <v>83.22</v>
      </c>
      <c r="AD369" s="851"/>
      <c r="AE369" s="852">
        <v>24530</v>
      </c>
      <c r="AF369" s="853">
        <v>0</v>
      </c>
      <c r="AG369" s="854">
        <f t="shared" si="61"/>
        <v>0</v>
      </c>
      <c r="AH369" s="853"/>
      <c r="AI369" s="855">
        <f t="shared" si="62"/>
        <v>0</v>
      </c>
      <c r="AJ369" s="845" t="s">
        <v>1306</v>
      </c>
      <c r="AK369" s="857" t="s">
        <v>1307</v>
      </c>
      <c r="AL369" s="840" t="s">
        <v>1308</v>
      </c>
      <c r="AM369" s="840"/>
      <c r="AN369" s="858"/>
      <c r="AO369" s="844" t="s">
        <v>1232</v>
      </c>
      <c r="AP369" s="859">
        <v>45599</v>
      </c>
      <c r="AQ369" s="859">
        <v>45599</v>
      </c>
      <c r="AR369" s="859" t="s">
        <v>1309</v>
      </c>
      <c r="AS369" s="840" t="s">
        <v>1310</v>
      </c>
      <c r="AT369" s="840" t="s">
        <v>1235</v>
      </c>
      <c r="AU369" s="860" t="s">
        <v>1311</v>
      </c>
      <c r="AV369" s="839" t="s">
        <v>1312</v>
      </c>
      <c r="AW369" s="861">
        <v>45366</v>
      </c>
      <c r="AX369" s="862"/>
      <c r="AY369" s="843" t="s">
        <v>1319</v>
      </c>
      <c r="AZ369" s="842">
        <v>94042120</v>
      </c>
      <c r="BA369" s="842" t="s">
        <v>120</v>
      </c>
      <c r="BB369" s="863" t="s">
        <v>121</v>
      </c>
      <c r="BC369" s="864">
        <v>45305</v>
      </c>
      <c r="BD369" s="860" t="s">
        <v>1314</v>
      </c>
      <c r="BE369" s="865" cm="1">
        <f t="array" ref="BE369">IF(BD369="","",AC369/SUMPRODUCT(--(BD369=$BD$4:$BD$12824),$AC$4:$AC$12824))</f>
        <v>5.9402972290033829E-2</v>
      </c>
      <c r="BF369" s="458"/>
      <c r="BG369" s="458"/>
      <c r="BH369" s="458"/>
      <c r="BI369" s="458"/>
      <c r="BJ369" s="458"/>
      <c r="BK369" s="458"/>
      <c r="BL369" s="458"/>
      <c r="BM369" s="458"/>
      <c r="BN369" s="458"/>
      <c r="BO369" s="866">
        <f>VLOOKUP(BD369,$BD$4:$BN$12824,3,0)*BE369</f>
        <v>780041.81421045866</v>
      </c>
      <c r="BP369" s="866"/>
      <c r="BQ369" s="866"/>
      <c r="BR369" s="866">
        <f>VLOOKUP(BD369,$BD$4:$BN$12824,6,0)*BE369</f>
        <v>73867.596042657067</v>
      </c>
      <c r="BS369" s="866">
        <f>VLOOKUP(BD369,$BD$4:$BN$12824,7,0)*BE369</f>
        <v>14850.743072508458</v>
      </c>
      <c r="BT369" s="866"/>
      <c r="BU369" s="866">
        <f>VLOOKUP(BD369,$BD$4:$BN$12824,9,0)*BE369</f>
        <v>0</v>
      </c>
      <c r="BV369" s="867"/>
      <c r="BW369" s="867">
        <f>VLOOKUP(BD369,$BD$4:$BN$12824,11,0)*BE369</f>
        <v>35641.783374020299</v>
      </c>
      <c r="BX369" s="1146">
        <f t="shared" si="73"/>
        <v>904401.93669964443</v>
      </c>
      <c r="BY369" s="867">
        <f t="shared" si="66"/>
        <v>2945788.5366996443</v>
      </c>
      <c r="BZ369" s="867">
        <f t="shared" si="63"/>
        <v>2945788.5366996443</v>
      </c>
      <c r="CA369" s="867">
        <f>_xlfn.MAXIFS($BY$4:$BY$12824,$S$4:$S$12824,$S369)</f>
        <v>2945788.5366996443</v>
      </c>
      <c r="CB369" s="1032"/>
      <c r="CF369" s="946">
        <f t="shared" si="65"/>
        <v>2041386.5999999999</v>
      </c>
    </row>
    <row r="370" spans="1:84">
      <c r="A370" s="1032"/>
      <c r="B370" s="839" t="s">
        <v>98</v>
      </c>
      <c r="C370" s="839" t="s">
        <v>131</v>
      </c>
      <c r="D370" s="839" t="s">
        <v>1301</v>
      </c>
      <c r="E370" s="839" t="s">
        <v>1302</v>
      </c>
      <c r="F370" s="841">
        <v>45306</v>
      </c>
      <c r="G370" s="840" t="s">
        <v>133</v>
      </c>
      <c r="H370" s="842" t="s">
        <v>102</v>
      </c>
      <c r="I370" s="842" t="s">
        <v>1315</v>
      </c>
      <c r="J370" s="841" t="s">
        <v>1316</v>
      </c>
      <c r="K370" s="841" t="s">
        <v>1317</v>
      </c>
      <c r="L370" s="843" t="s">
        <v>106</v>
      </c>
      <c r="M370" s="844"/>
      <c r="N370" s="841"/>
      <c r="O370" s="841" t="s">
        <v>135</v>
      </c>
      <c r="P370" s="841" t="s">
        <v>136</v>
      </c>
      <c r="Q370" s="843"/>
      <c r="R370" s="845" t="s">
        <v>1320</v>
      </c>
      <c r="S370" s="1127" t="s">
        <v>1321</v>
      </c>
      <c r="T370" s="843" t="s">
        <v>1322</v>
      </c>
      <c r="U370" s="842">
        <v>1</v>
      </c>
      <c r="V370" s="842" t="s">
        <v>8</v>
      </c>
      <c r="W370" s="846">
        <v>52</v>
      </c>
      <c r="X370" s="847">
        <f t="shared" si="58"/>
        <v>52</v>
      </c>
      <c r="Y370" s="848">
        <f t="shared" si="74"/>
        <v>0.43</v>
      </c>
      <c r="Z370" s="849">
        <v>29.64</v>
      </c>
      <c r="AA370" s="849"/>
      <c r="AB370" s="849">
        <f t="shared" si="59"/>
        <v>29.64</v>
      </c>
      <c r="AC370" s="850">
        <f t="shared" si="60"/>
        <v>29.64</v>
      </c>
      <c r="AD370" s="851"/>
      <c r="AE370" s="852">
        <v>24530</v>
      </c>
      <c r="AF370" s="853">
        <v>0</v>
      </c>
      <c r="AG370" s="854">
        <f t="shared" si="61"/>
        <v>0</v>
      </c>
      <c r="AH370" s="853"/>
      <c r="AI370" s="855">
        <f t="shared" si="62"/>
        <v>0</v>
      </c>
      <c r="AJ370" s="845" t="s">
        <v>1306</v>
      </c>
      <c r="AK370" s="857" t="s">
        <v>1307</v>
      </c>
      <c r="AL370" s="840" t="s">
        <v>1308</v>
      </c>
      <c r="AM370" s="840"/>
      <c r="AN370" s="858"/>
      <c r="AO370" s="844" t="s">
        <v>1232</v>
      </c>
      <c r="AP370" s="859">
        <v>45599</v>
      </c>
      <c r="AQ370" s="859">
        <v>45599</v>
      </c>
      <c r="AR370" s="859" t="s">
        <v>1309</v>
      </c>
      <c r="AS370" s="840" t="s">
        <v>1310</v>
      </c>
      <c r="AT370" s="840" t="s">
        <v>1235</v>
      </c>
      <c r="AU370" s="860" t="s">
        <v>1311</v>
      </c>
      <c r="AV370" s="839" t="s">
        <v>1312</v>
      </c>
      <c r="AW370" s="861">
        <v>45366</v>
      </c>
      <c r="AX370" s="862"/>
      <c r="AY370" s="843" t="s">
        <v>1323</v>
      </c>
      <c r="AZ370" s="842">
        <v>94042120</v>
      </c>
      <c r="BA370" s="842" t="s">
        <v>120</v>
      </c>
      <c r="BB370" s="863" t="s">
        <v>121</v>
      </c>
      <c r="BC370" s="864">
        <v>45305</v>
      </c>
      <c r="BD370" s="860" t="s">
        <v>1314</v>
      </c>
      <c r="BE370" s="865" cm="1">
        <f t="array" ref="BE370">IF(BD370="","",AC370/SUMPRODUCT(--(BD370=$BD$4:$BD$12824),$AC$4:$AC$12824))</f>
        <v>2.1157223007409312E-2</v>
      </c>
      <c r="BF370" s="458"/>
      <c r="BG370" s="458"/>
      <c r="BH370" s="458"/>
      <c r="BI370" s="458"/>
      <c r="BJ370" s="458"/>
      <c r="BK370" s="458"/>
      <c r="BL370" s="458"/>
      <c r="BM370" s="458"/>
      <c r="BN370" s="458"/>
      <c r="BO370" s="866">
        <f>VLOOKUP(BD370,$BD$4:$BN$12824,3,0)*BE370</f>
        <v>277823.11191057437</v>
      </c>
      <c r="BP370" s="866"/>
      <c r="BQ370" s="866"/>
      <c r="BR370" s="866">
        <f>VLOOKUP(BD370,$BD$4:$BN$12824,6,0)*BE370</f>
        <v>26309.006809713479</v>
      </c>
      <c r="BS370" s="866">
        <f>VLOOKUP(BD370,$BD$4:$BN$12824,7,0)*BE370</f>
        <v>5289.3057518523283</v>
      </c>
      <c r="BT370" s="866"/>
      <c r="BU370" s="866">
        <f>VLOOKUP(BD370,$BD$4:$BN$12824,9,0)*BE370</f>
        <v>0</v>
      </c>
      <c r="BV370" s="867"/>
      <c r="BW370" s="867">
        <f>VLOOKUP(BD370,$BD$4:$BN$12824,11,0)*BE370</f>
        <v>12694.333804445587</v>
      </c>
      <c r="BX370" s="1146">
        <f t="shared" si="73"/>
        <v>322115.75827658578</v>
      </c>
      <c r="BY370" s="867">
        <f t="shared" si="66"/>
        <v>1049184.9582765859</v>
      </c>
      <c r="BZ370" s="867">
        <f t="shared" si="63"/>
        <v>1049184.9582765859</v>
      </c>
      <c r="CA370" s="867">
        <f>_xlfn.MAXIFS($BY$4:$BY$12824,$S$4:$S$12824,$S370)</f>
        <v>1049184.9582765859</v>
      </c>
      <c r="CB370" s="1032"/>
      <c r="CF370" s="946">
        <f t="shared" si="65"/>
        <v>727069.20000000007</v>
      </c>
    </row>
    <row r="371" spans="1:84">
      <c r="A371" s="1032"/>
      <c r="B371" s="839" t="s">
        <v>98</v>
      </c>
      <c r="C371" s="839" t="s">
        <v>131</v>
      </c>
      <c r="D371" s="839" t="s">
        <v>1301</v>
      </c>
      <c r="E371" s="839" t="s">
        <v>1302</v>
      </c>
      <c r="F371" s="841">
        <v>45306</v>
      </c>
      <c r="G371" s="840" t="s">
        <v>133</v>
      </c>
      <c r="H371" s="842" t="s">
        <v>102</v>
      </c>
      <c r="I371" s="842" t="s">
        <v>1315</v>
      </c>
      <c r="J371" s="841" t="s">
        <v>1316</v>
      </c>
      <c r="K371" s="841" t="s">
        <v>1317</v>
      </c>
      <c r="L371" s="843" t="s">
        <v>106</v>
      </c>
      <c r="M371" s="844"/>
      <c r="N371" s="841"/>
      <c r="O371" s="841" t="s">
        <v>135</v>
      </c>
      <c r="P371" s="841" t="s">
        <v>136</v>
      </c>
      <c r="Q371" s="843"/>
      <c r="R371" s="845" t="s">
        <v>1324</v>
      </c>
      <c r="S371" s="1127" t="s">
        <v>1325</v>
      </c>
      <c r="T371" s="843" t="s">
        <v>1326</v>
      </c>
      <c r="U371" s="842">
        <v>2</v>
      </c>
      <c r="V371" s="842" t="s">
        <v>8</v>
      </c>
      <c r="W371" s="846">
        <v>91</v>
      </c>
      <c r="X371" s="847">
        <f t="shared" si="58"/>
        <v>182</v>
      </c>
      <c r="Y371" s="848">
        <f t="shared" si="74"/>
        <v>0.43000000000000005</v>
      </c>
      <c r="Z371" s="849">
        <v>51.87</v>
      </c>
      <c r="AA371" s="849"/>
      <c r="AB371" s="849">
        <f t="shared" si="59"/>
        <v>103.74</v>
      </c>
      <c r="AC371" s="850">
        <f t="shared" si="60"/>
        <v>103.74</v>
      </c>
      <c r="AD371" s="851"/>
      <c r="AE371" s="852">
        <v>24530</v>
      </c>
      <c r="AF371" s="853">
        <v>0</v>
      </c>
      <c r="AG371" s="854">
        <f t="shared" si="61"/>
        <v>0</v>
      </c>
      <c r="AH371" s="853"/>
      <c r="AI371" s="855">
        <f t="shared" si="62"/>
        <v>0</v>
      </c>
      <c r="AJ371" s="845" t="s">
        <v>1306</v>
      </c>
      <c r="AK371" s="857" t="s">
        <v>1307</v>
      </c>
      <c r="AL371" s="840" t="s">
        <v>1308</v>
      </c>
      <c r="AM371" s="840"/>
      <c r="AN371" s="858"/>
      <c r="AO371" s="844" t="s">
        <v>1232</v>
      </c>
      <c r="AP371" s="859">
        <v>45599</v>
      </c>
      <c r="AQ371" s="859">
        <v>45599</v>
      </c>
      <c r="AR371" s="859" t="s">
        <v>1309</v>
      </c>
      <c r="AS371" s="840" t="s">
        <v>1310</v>
      </c>
      <c r="AT371" s="840" t="s">
        <v>1235</v>
      </c>
      <c r="AU371" s="860" t="s">
        <v>1311</v>
      </c>
      <c r="AV371" s="839" t="s">
        <v>1312</v>
      </c>
      <c r="AW371" s="861">
        <v>45366</v>
      </c>
      <c r="AX371" s="862"/>
      <c r="AY371" s="843" t="s">
        <v>1327</v>
      </c>
      <c r="AZ371" s="842">
        <v>94042120</v>
      </c>
      <c r="BA371" s="842" t="s">
        <v>120</v>
      </c>
      <c r="BB371" s="863" t="s">
        <v>121</v>
      </c>
      <c r="BC371" s="864">
        <v>45305</v>
      </c>
      <c r="BD371" s="860" t="s">
        <v>1314</v>
      </c>
      <c r="BE371" s="865" cm="1">
        <f t="array" ref="BE371">IF(BD371="","",AC371/SUMPRODUCT(--(BD371=$BD$4:$BD$12824),$AC$4:$AC$12824))</f>
        <v>7.4050280525932585E-2</v>
      </c>
      <c r="BF371" s="458"/>
      <c r="BG371" s="458"/>
      <c r="BH371" s="458"/>
      <c r="BI371" s="458"/>
      <c r="BJ371" s="458"/>
      <c r="BK371" s="458"/>
      <c r="BL371" s="458"/>
      <c r="BM371" s="458"/>
      <c r="BN371" s="458"/>
      <c r="BO371" s="866">
        <f>VLOOKUP(BD371,$BD$4:$BN$12824,3,0)*BE371</f>
        <v>972380.89168701007</v>
      </c>
      <c r="BP371" s="866"/>
      <c r="BQ371" s="866"/>
      <c r="BR371" s="866">
        <f>VLOOKUP(BD371,$BD$4:$BN$12824,6,0)*BE371</f>
        <v>92081.523833997169</v>
      </c>
      <c r="BS371" s="866">
        <f>VLOOKUP(BD371,$BD$4:$BN$12824,7,0)*BE371</f>
        <v>18512.570131483146</v>
      </c>
      <c r="BT371" s="866"/>
      <c r="BU371" s="866">
        <f>VLOOKUP(BD371,$BD$4:$BN$12824,9,0)*BE371</f>
        <v>0</v>
      </c>
      <c r="BV371" s="867"/>
      <c r="BW371" s="867">
        <f>VLOOKUP(BD371,$BD$4:$BN$12824,11,0)*BE371</f>
        <v>44430.168315559553</v>
      </c>
      <c r="BX371" s="1146">
        <f t="shared" si="73"/>
        <v>1127405.1539680501</v>
      </c>
      <c r="BY371" s="867">
        <f t="shared" si="66"/>
        <v>1836073.6769840249</v>
      </c>
      <c r="BZ371" s="867">
        <f t="shared" si="63"/>
        <v>3672147.3539680499</v>
      </c>
      <c r="CA371" s="867">
        <f>_xlfn.MAXIFS($BY$4:$BY$12824,$S$4:$S$12824,$S371)</f>
        <v>1836073.6769840249</v>
      </c>
      <c r="CB371" s="1032"/>
      <c r="CF371" s="946">
        <f t="shared" si="65"/>
        <v>2544742.1999999997</v>
      </c>
    </row>
    <row r="372" spans="1:84">
      <c r="A372" s="1032"/>
      <c r="B372" s="839" t="s">
        <v>98</v>
      </c>
      <c r="C372" s="839" t="s">
        <v>131</v>
      </c>
      <c r="D372" s="839" t="s">
        <v>1301</v>
      </c>
      <c r="E372" s="839" t="s">
        <v>1302</v>
      </c>
      <c r="F372" s="841">
        <v>45306</v>
      </c>
      <c r="G372" s="840" t="s">
        <v>155</v>
      </c>
      <c r="H372" s="842" t="s">
        <v>102</v>
      </c>
      <c r="I372" s="842" t="s">
        <v>1315</v>
      </c>
      <c r="J372" s="841" t="s">
        <v>1316</v>
      </c>
      <c r="K372" s="841" t="s">
        <v>1317</v>
      </c>
      <c r="L372" s="843" t="s">
        <v>106</v>
      </c>
      <c r="M372" s="844"/>
      <c r="N372" s="841"/>
      <c r="O372" s="841" t="s">
        <v>108</v>
      </c>
      <c r="P372" s="841" t="s">
        <v>1136</v>
      </c>
      <c r="Q372" s="843"/>
      <c r="R372" s="845">
        <v>20708101</v>
      </c>
      <c r="S372" s="1127" t="s">
        <v>1328</v>
      </c>
      <c r="T372" s="843" t="s">
        <v>1329</v>
      </c>
      <c r="U372" s="842">
        <v>6</v>
      </c>
      <c r="V372" s="842" t="s">
        <v>8</v>
      </c>
      <c r="W372" s="846">
        <v>305</v>
      </c>
      <c r="X372" s="847">
        <f t="shared" si="58"/>
        <v>1830</v>
      </c>
      <c r="Y372" s="848">
        <f t="shared" si="74"/>
        <v>0.45</v>
      </c>
      <c r="Z372" s="849">
        <v>167.75</v>
      </c>
      <c r="AA372" s="849"/>
      <c r="AB372" s="849">
        <f t="shared" si="59"/>
        <v>1006.5</v>
      </c>
      <c r="AC372" s="850">
        <f t="shared" si="60"/>
        <v>1006.5</v>
      </c>
      <c r="AD372" s="851"/>
      <c r="AE372" s="852">
        <v>24530</v>
      </c>
      <c r="AF372" s="853">
        <v>0</v>
      </c>
      <c r="AG372" s="854">
        <f t="shared" si="61"/>
        <v>0</v>
      </c>
      <c r="AH372" s="853"/>
      <c r="AI372" s="855">
        <f t="shared" si="62"/>
        <v>0</v>
      </c>
      <c r="AJ372" s="845" t="s">
        <v>1306</v>
      </c>
      <c r="AK372" s="857" t="s">
        <v>1307</v>
      </c>
      <c r="AL372" s="840" t="s">
        <v>1308</v>
      </c>
      <c r="AM372" s="840"/>
      <c r="AN372" s="858"/>
      <c r="AO372" s="844" t="s">
        <v>1232</v>
      </c>
      <c r="AP372" s="859">
        <v>45599</v>
      </c>
      <c r="AQ372" s="859">
        <v>45599</v>
      </c>
      <c r="AR372" s="859" t="s">
        <v>1309</v>
      </c>
      <c r="AS372" s="840" t="s">
        <v>1310</v>
      </c>
      <c r="AT372" s="840" t="s">
        <v>1235</v>
      </c>
      <c r="AU372" s="860" t="s">
        <v>1311</v>
      </c>
      <c r="AV372" s="839" t="s">
        <v>1312</v>
      </c>
      <c r="AW372" s="861">
        <v>45366</v>
      </c>
      <c r="AX372" s="862"/>
      <c r="AY372" s="843" t="s">
        <v>1330</v>
      </c>
      <c r="AZ372" s="842">
        <v>94051199</v>
      </c>
      <c r="BA372" s="842" t="s">
        <v>120</v>
      </c>
      <c r="BB372" s="863" t="s">
        <v>121</v>
      </c>
      <c r="BC372" s="864">
        <v>45305</v>
      </c>
      <c r="BD372" s="860" t="s">
        <v>1314</v>
      </c>
      <c r="BE372" s="865" cm="1">
        <f t="array" ref="BE372">IF(BD372="","",AC372/SUMPRODUCT(--(BD372=$BD$4:$BD$12824),$AC$4:$AC$12824))</f>
        <v>0.71844618613216837</v>
      </c>
      <c r="BF372" s="458"/>
      <c r="BG372" s="458"/>
      <c r="BH372" s="458"/>
      <c r="BI372" s="458"/>
      <c r="BJ372" s="458"/>
      <c r="BK372" s="458"/>
      <c r="BL372" s="458"/>
      <c r="BM372" s="458"/>
      <c r="BN372" s="458"/>
      <c r="BO372" s="866">
        <f>VLOOKUP(BD372,$BD$4:$BN$12824,3,0)*BE372</f>
        <v>9434175.5107285101</v>
      </c>
      <c r="BP372" s="866"/>
      <c r="BQ372" s="866"/>
      <c r="BR372" s="866">
        <f>VLOOKUP(BD372,$BD$4:$BN$12824,6,0)*BE372</f>
        <v>893387.83245535137</v>
      </c>
      <c r="BS372" s="866">
        <f>VLOOKUP(BD372,$BD$4:$BN$12824,7,0)*BE372</f>
        <v>179611.5465330421</v>
      </c>
      <c r="BT372" s="866"/>
      <c r="BU372" s="866">
        <f>VLOOKUP(BD372,$BD$4:$BN$12824,9,0)*BE372</f>
        <v>0</v>
      </c>
      <c r="BV372" s="867"/>
      <c r="BW372" s="867">
        <f>VLOOKUP(BD372,$BD$4:$BN$12824,11,0)*BE372</f>
        <v>431067.71167930105</v>
      </c>
      <c r="BX372" s="1146">
        <f t="shared" si="73"/>
        <v>10938242.601396205</v>
      </c>
      <c r="BY372" s="867">
        <f t="shared" si="66"/>
        <v>5937947.9335660338</v>
      </c>
      <c r="BZ372" s="867">
        <f t="shared" si="63"/>
        <v>35627687.601396203</v>
      </c>
      <c r="CA372" s="867">
        <f>_xlfn.MAXIFS($BY$4:$BY$12824,$S$4:$S$12824,$S372)</f>
        <v>5937947.9335660338</v>
      </c>
      <c r="CB372" s="1032"/>
      <c r="CF372" s="946">
        <f t="shared" si="65"/>
        <v>24689445</v>
      </c>
    </row>
    <row r="373" spans="1:84">
      <c r="A373" s="1032"/>
      <c r="B373" s="839" t="s">
        <v>98</v>
      </c>
      <c r="C373" s="839" t="s">
        <v>131</v>
      </c>
      <c r="D373" s="839" t="s">
        <v>1331</v>
      </c>
      <c r="E373" s="839" t="s">
        <v>1332</v>
      </c>
      <c r="F373" s="841">
        <v>45321</v>
      </c>
      <c r="G373" s="840" t="s">
        <v>133</v>
      </c>
      <c r="H373" s="842" t="s">
        <v>134</v>
      </c>
      <c r="I373" s="842"/>
      <c r="J373" s="841"/>
      <c r="K373" s="841"/>
      <c r="L373" s="843" t="s">
        <v>106</v>
      </c>
      <c r="M373" s="844" t="s">
        <v>1333</v>
      </c>
      <c r="N373" s="841">
        <v>45356</v>
      </c>
      <c r="O373" s="841" t="s">
        <v>135</v>
      </c>
      <c r="P373" s="841" t="s">
        <v>136</v>
      </c>
      <c r="Q373" s="843"/>
      <c r="R373" s="845" t="s">
        <v>1334</v>
      </c>
      <c r="S373" s="1127" t="s">
        <v>1335</v>
      </c>
      <c r="T373" s="843" t="s">
        <v>1336</v>
      </c>
      <c r="U373" s="842">
        <v>2</v>
      </c>
      <c r="V373" s="842" t="s">
        <v>8</v>
      </c>
      <c r="W373" s="846">
        <v>65</v>
      </c>
      <c r="X373" s="847">
        <f t="shared" si="58"/>
        <v>130</v>
      </c>
      <c r="Y373" s="848">
        <f t="shared" si="74"/>
        <v>0.600923076923077</v>
      </c>
      <c r="Z373" s="849">
        <v>25.94</v>
      </c>
      <c r="AA373" s="849"/>
      <c r="AB373" s="849">
        <f t="shared" si="59"/>
        <v>51.88</v>
      </c>
      <c r="AC373" s="850">
        <f t="shared" si="60"/>
        <v>51.88</v>
      </c>
      <c r="AD373" s="851"/>
      <c r="AE373" s="852">
        <v>25250</v>
      </c>
      <c r="AF373" s="853">
        <v>0</v>
      </c>
      <c r="AG373" s="854">
        <f t="shared" si="61"/>
        <v>0</v>
      </c>
      <c r="AH373" s="853"/>
      <c r="AI373" s="855">
        <f t="shared" si="62"/>
        <v>0</v>
      </c>
      <c r="AJ373" s="845" t="s">
        <v>1337</v>
      </c>
      <c r="AK373" s="857" t="s">
        <v>1338</v>
      </c>
      <c r="AL373" s="840" t="s">
        <v>1339</v>
      </c>
      <c r="AM373" s="840" t="s">
        <v>1340</v>
      </c>
      <c r="AN373" s="858" t="s">
        <v>1341</v>
      </c>
      <c r="AO373" s="844"/>
      <c r="AP373" s="859" t="s">
        <v>1342</v>
      </c>
      <c r="AQ373" s="859" t="s">
        <v>1343</v>
      </c>
      <c r="AR373" s="859" t="s">
        <v>1344</v>
      </c>
      <c r="AS373" s="840" t="s">
        <v>1310</v>
      </c>
      <c r="AT373" s="840" t="s">
        <v>1235</v>
      </c>
      <c r="AU373" s="860" t="s">
        <v>1345</v>
      </c>
      <c r="AV373" s="839" t="s">
        <v>1346</v>
      </c>
      <c r="AW373" s="861">
        <v>45357</v>
      </c>
      <c r="AX373" s="862"/>
      <c r="AY373" s="843" t="s">
        <v>1347</v>
      </c>
      <c r="AZ373" s="842">
        <v>94042120</v>
      </c>
      <c r="BA373" s="842" t="s">
        <v>120</v>
      </c>
      <c r="BB373" s="863" t="s">
        <v>121</v>
      </c>
      <c r="BC373" s="864">
        <v>45447</v>
      </c>
      <c r="BD373" s="860" t="s">
        <v>1348</v>
      </c>
      <c r="BE373" s="865" cm="1">
        <f t="array" ref="BE373">IF(BD373="","",AC373/SUMPRODUCT(--(BD373=$BD$4:$BD$12824),$AC$4:$AC$12824))</f>
        <v>3.6425516593936143E-3</v>
      </c>
      <c r="BF373" s="458"/>
      <c r="BG373" s="458"/>
      <c r="BH373" s="458"/>
      <c r="BI373" s="458">
        <f>(5634122+181424*2+1005000)+(833333+1115000+5075000)</f>
        <v>14025303</v>
      </c>
      <c r="BJ373" s="458">
        <v>355046</v>
      </c>
      <c r="BK373" s="458"/>
      <c r="BL373" s="458">
        <v>250000</v>
      </c>
      <c r="BM373" s="458"/>
      <c r="BN373" s="458">
        <v>1600000</v>
      </c>
      <c r="BO373" s="866">
        <f>VLOOKUP(BD373,$BD$4:$BN$12824,3,0)*BE373</f>
        <v>0</v>
      </c>
      <c r="BP373" s="866"/>
      <c r="BQ373" s="866"/>
      <c r="BR373" s="866">
        <f>VLOOKUP(BD373,$BD$4:$BN$12824,6,0)*BE373</f>
        <v>51087.890716148235</v>
      </c>
      <c r="BS373" s="866">
        <f>VLOOKUP(BD373,$BD$4:$BN$12824,7,0)*BE373</f>
        <v>1293.2733964610652</v>
      </c>
      <c r="BT373" s="866"/>
      <c r="BU373" s="866">
        <f>VLOOKUP(BD373,$BD$4:$BN$12824,9,0)*BE373</f>
        <v>910.63791484840363</v>
      </c>
      <c r="BV373" s="867"/>
      <c r="BW373" s="867">
        <f>VLOOKUP(BD373,$BD$4:$BN$12824,11,0)*BE373</f>
        <v>5828.0826550297825</v>
      </c>
      <c r="BX373" s="1146">
        <f t="shared" ref="BX373:BX434" si="75">SUM(BO373:BW373)</f>
        <v>59119.884682487493</v>
      </c>
      <c r="BY373" s="867">
        <f t="shared" si="66"/>
        <v>684544.94234124373</v>
      </c>
      <c r="BZ373" s="867">
        <f t="shared" si="63"/>
        <v>1369089.8846824875</v>
      </c>
      <c r="CA373" s="867">
        <f>_xlfn.MAXIFS($BY$4:$BY$12824,$S$4:$S$12824,$S373)</f>
        <v>684544.94234124373</v>
      </c>
      <c r="CB373" s="1032"/>
      <c r="CC373" s="999" t="s">
        <v>1346</v>
      </c>
      <c r="CF373" s="946">
        <f t="shared" si="65"/>
        <v>1309970</v>
      </c>
    </row>
    <row r="374" spans="1:84">
      <c r="A374" s="1032"/>
      <c r="B374" s="839" t="s">
        <v>98</v>
      </c>
      <c r="C374" s="839" t="s">
        <v>131</v>
      </c>
      <c r="D374" s="839" t="s">
        <v>1331</v>
      </c>
      <c r="E374" s="839" t="s">
        <v>1332</v>
      </c>
      <c r="F374" s="841">
        <v>45321</v>
      </c>
      <c r="G374" s="840" t="s">
        <v>133</v>
      </c>
      <c r="H374" s="842" t="s">
        <v>134</v>
      </c>
      <c r="I374" s="842"/>
      <c r="J374" s="841"/>
      <c r="K374" s="841"/>
      <c r="L374" s="843" t="s">
        <v>106</v>
      </c>
      <c r="M374" s="844" t="s">
        <v>1333</v>
      </c>
      <c r="N374" s="841">
        <v>45356</v>
      </c>
      <c r="O374" s="841" t="s">
        <v>135</v>
      </c>
      <c r="P374" s="841" t="s">
        <v>136</v>
      </c>
      <c r="Q374" s="843"/>
      <c r="R374" s="845" t="s">
        <v>1349</v>
      </c>
      <c r="S374" s="1127" t="s">
        <v>1350</v>
      </c>
      <c r="T374" s="843" t="s">
        <v>1351</v>
      </c>
      <c r="U374" s="842">
        <v>1</v>
      </c>
      <c r="V374" s="842" t="s">
        <v>8</v>
      </c>
      <c r="W374" s="846">
        <v>107</v>
      </c>
      <c r="X374" s="847">
        <f t="shared" si="58"/>
        <v>107</v>
      </c>
      <c r="Y374" s="848">
        <f t="shared" si="74"/>
        <v>0.60099999999999998</v>
      </c>
      <c r="Z374" s="849">
        <v>42.692999999999998</v>
      </c>
      <c r="AA374" s="849"/>
      <c r="AB374" s="849">
        <f t="shared" si="59"/>
        <v>42.692999999999998</v>
      </c>
      <c r="AC374" s="850">
        <f t="shared" si="60"/>
        <v>42.692999999999998</v>
      </c>
      <c r="AD374" s="851"/>
      <c r="AE374" s="852">
        <v>25250</v>
      </c>
      <c r="AF374" s="853">
        <v>0</v>
      </c>
      <c r="AG374" s="854">
        <f t="shared" si="61"/>
        <v>0</v>
      </c>
      <c r="AH374" s="853"/>
      <c r="AI374" s="855">
        <f t="shared" si="62"/>
        <v>0</v>
      </c>
      <c r="AJ374" s="845" t="s">
        <v>1337</v>
      </c>
      <c r="AK374" s="857" t="s">
        <v>1338</v>
      </c>
      <c r="AL374" s="840" t="s">
        <v>1339</v>
      </c>
      <c r="AM374" s="840" t="s">
        <v>1340</v>
      </c>
      <c r="AN374" s="858" t="s">
        <v>1341</v>
      </c>
      <c r="AO374" s="844"/>
      <c r="AP374" s="859" t="s">
        <v>1342</v>
      </c>
      <c r="AQ374" s="859" t="s">
        <v>1343</v>
      </c>
      <c r="AR374" s="859" t="s">
        <v>1344</v>
      </c>
      <c r="AS374" s="840" t="s">
        <v>1310</v>
      </c>
      <c r="AT374" s="840" t="s">
        <v>1235</v>
      </c>
      <c r="AU374" s="860" t="s">
        <v>1345</v>
      </c>
      <c r="AV374" s="839" t="s">
        <v>1346</v>
      </c>
      <c r="AW374" s="861">
        <v>45357</v>
      </c>
      <c r="AX374" s="862"/>
      <c r="AY374" s="843" t="s">
        <v>1352</v>
      </c>
      <c r="AZ374" s="842">
        <v>94042120</v>
      </c>
      <c r="BA374" s="842" t="s">
        <v>120</v>
      </c>
      <c r="BB374" s="863" t="s">
        <v>121</v>
      </c>
      <c r="BC374" s="864">
        <v>45447</v>
      </c>
      <c r="BD374" s="860" t="s">
        <v>1348</v>
      </c>
      <c r="BE374" s="865" cm="1">
        <f t="array" ref="BE374">IF(BD374="","",AC374/SUMPRODUCT(--(BD374=$BD$4:$BD$12824),$AC$4:$AC$12824))</f>
        <v>2.9975223206339932E-3</v>
      </c>
      <c r="BF374" s="458"/>
      <c r="BG374" s="458"/>
      <c r="BH374" s="458"/>
      <c r="BI374" s="458"/>
      <c r="BJ374" s="458"/>
      <c r="BK374" s="458"/>
      <c r="BL374" s="458"/>
      <c r="BM374" s="458"/>
      <c r="BN374" s="458"/>
      <c r="BO374" s="866">
        <f>VLOOKUP(BD374,$BD$4:$BN$12824,3,0)*BE374</f>
        <v>0</v>
      </c>
      <c r="BP374" s="866"/>
      <c r="BQ374" s="866"/>
      <c r="BR374" s="866">
        <f>VLOOKUP(BD374,$BD$4:$BN$12824,6,0)*BE374</f>
        <v>42041.158796154908</v>
      </c>
      <c r="BS374" s="866">
        <f>VLOOKUP(BD374,$BD$4:$BN$12824,7,0)*BE374</f>
        <v>1064.2583098518166</v>
      </c>
      <c r="BT374" s="866"/>
      <c r="BU374" s="866">
        <f>VLOOKUP(BD374,$BD$4:$BN$12824,9,0)*BE374</f>
        <v>749.38058015849833</v>
      </c>
      <c r="BV374" s="867"/>
      <c r="BW374" s="867">
        <f>VLOOKUP(BD374,$BD$4:$BN$12824,11,0)*BE374</f>
        <v>4796.0357130143893</v>
      </c>
      <c r="BX374" s="1146">
        <f t="shared" si="75"/>
        <v>48650.83339917961</v>
      </c>
      <c r="BY374" s="867">
        <f t="shared" si="66"/>
        <v>1126649.0833991796</v>
      </c>
      <c r="BZ374" s="867">
        <f t="shared" si="63"/>
        <v>1126649.0833991796</v>
      </c>
      <c r="CA374" s="867">
        <f>_xlfn.MAXIFS($BY$4:$BY$12824,$S$4:$S$12824,$S374)</f>
        <v>1126649.0833991796</v>
      </c>
      <c r="CB374" s="1032"/>
      <c r="CC374" s="999" t="s">
        <v>1353</v>
      </c>
      <c r="CF374" s="946">
        <f t="shared" si="65"/>
        <v>1077998.25</v>
      </c>
    </row>
    <row r="375" spans="1:84">
      <c r="A375" s="1032"/>
      <c r="B375" s="839" t="s">
        <v>98</v>
      </c>
      <c r="C375" s="839" t="s">
        <v>131</v>
      </c>
      <c r="D375" s="839" t="s">
        <v>1331</v>
      </c>
      <c r="E375" s="839" t="s">
        <v>1332</v>
      </c>
      <c r="F375" s="841">
        <v>45321</v>
      </c>
      <c r="G375" s="840" t="s">
        <v>133</v>
      </c>
      <c r="H375" s="842" t="s">
        <v>134</v>
      </c>
      <c r="I375" s="842"/>
      <c r="J375" s="841"/>
      <c r="K375" s="841"/>
      <c r="L375" s="843" t="s">
        <v>106</v>
      </c>
      <c r="M375" s="844" t="s">
        <v>1333</v>
      </c>
      <c r="N375" s="841">
        <v>45356</v>
      </c>
      <c r="O375" s="841" t="s">
        <v>135</v>
      </c>
      <c r="P375" s="841" t="s">
        <v>136</v>
      </c>
      <c r="Q375" s="843"/>
      <c r="R375" s="845" t="s">
        <v>1354</v>
      </c>
      <c r="S375" s="1127" t="s">
        <v>1355</v>
      </c>
      <c r="T375" s="843" t="s">
        <v>1356</v>
      </c>
      <c r="U375" s="842">
        <v>2</v>
      </c>
      <c r="V375" s="842" t="s">
        <v>8</v>
      </c>
      <c r="W375" s="846">
        <v>107</v>
      </c>
      <c r="X375" s="847">
        <f t="shared" si="58"/>
        <v>214</v>
      </c>
      <c r="Y375" s="848">
        <f t="shared" si="74"/>
        <v>0.60102803738317756</v>
      </c>
      <c r="Z375" s="849">
        <v>42.69</v>
      </c>
      <c r="AA375" s="849"/>
      <c r="AB375" s="849">
        <f t="shared" si="59"/>
        <v>85.38</v>
      </c>
      <c r="AC375" s="850">
        <f t="shared" si="60"/>
        <v>85.38</v>
      </c>
      <c r="AD375" s="851"/>
      <c r="AE375" s="852">
        <v>25250</v>
      </c>
      <c r="AF375" s="853">
        <v>0</v>
      </c>
      <c r="AG375" s="854">
        <f t="shared" si="61"/>
        <v>0</v>
      </c>
      <c r="AH375" s="853"/>
      <c r="AI375" s="855">
        <f t="shared" si="62"/>
        <v>0</v>
      </c>
      <c r="AJ375" s="845" t="s">
        <v>1337</v>
      </c>
      <c r="AK375" s="857" t="s">
        <v>1338</v>
      </c>
      <c r="AL375" s="840" t="s">
        <v>1339</v>
      </c>
      <c r="AM375" s="840" t="s">
        <v>1340</v>
      </c>
      <c r="AN375" s="858" t="s">
        <v>1341</v>
      </c>
      <c r="AO375" s="844"/>
      <c r="AP375" s="859" t="s">
        <v>1342</v>
      </c>
      <c r="AQ375" s="859" t="s">
        <v>1343</v>
      </c>
      <c r="AR375" s="859" t="s">
        <v>1344</v>
      </c>
      <c r="AS375" s="840" t="s">
        <v>1310</v>
      </c>
      <c r="AT375" s="840" t="s">
        <v>1235</v>
      </c>
      <c r="AU375" s="860" t="s">
        <v>1345</v>
      </c>
      <c r="AV375" s="839" t="s">
        <v>1346</v>
      </c>
      <c r="AW375" s="861">
        <v>45357</v>
      </c>
      <c r="AX375" s="862"/>
      <c r="AY375" s="843" t="s">
        <v>1357</v>
      </c>
      <c r="AZ375" s="842">
        <v>94042120</v>
      </c>
      <c r="BA375" s="842" t="s">
        <v>120</v>
      </c>
      <c r="BB375" s="863" t="s">
        <v>121</v>
      </c>
      <c r="BC375" s="864">
        <v>45447</v>
      </c>
      <c r="BD375" s="860" t="s">
        <v>1348</v>
      </c>
      <c r="BE375" s="865" cm="1">
        <f t="array" ref="BE375">IF(BD375="","",AC375/SUMPRODUCT(--(BD375=$BD$4:$BD$12824),$AC$4:$AC$12824))</f>
        <v>5.9946233746921117E-3</v>
      </c>
      <c r="BF375" s="458"/>
      <c r="BG375" s="458"/>
      <c r="BH375" s="458"/>
      <c r="BI375" s="458"/>
      <c r="BJ375" s="458"/>
      <c r="BK375" s="458"/>
      <c r="BL375" s="458"/>
      <c r="BM375" s="458"/>
      <c r="BN375" s="458"/>
      <c r="BO375" s="866">
        <f>VLOOKUP(BD375,$BD$4:$BN$12824,3,0)*BE375</f>
        <v>0</v>
      </c>
      <c r="BP375" s="866"/>
      <c r="BQ375" s="866"/>
      <c r="BR375" s="866">
        <f>VLOOKUP(BD375,$BD$4:$BN$12824,6,0)*BE375</f>
        <v>84076.409200939393</v>
      </c>
      <c r="BS375" s="866">
        <f>VLOOKUP(BD375,$BD$4:$BN$12824,7,0)*BE375</f>
        <v>2128.3670506909357</v>
      </c>
      <c r="BT375" s="866"/>
      <c r="BU375" s="866">
        <f>VLOOKUP(BD375,$BD$4:$BN$12824,9,0)*BE375</f>
        <v>1498.6558436730279</v>
      </c>
      <c r="BV375" s="867"/>
      <c r="BW375" s="867">
        <f>VLOOKUP(BD375,$BD$4:$BN$12824,11,0)*BE375</f>
        <v>9591.3973995073793</v>
      </c>
      <c r="BX375" s="1146">
        <f t="shared" si="75"/>
        <v>97294.829494810736</v>
      </c>
      <c r="BY375" s="867">
        <f t="shared" si="66"/>
        <v>1126569.9147474053</v>
      </c>
      <c r="BZ375" s="867">
        <f t="shared" si="63"/>
        <v>2253139.8294948107</v>
      </c>
      <c r="CA375" s="867">
        <f>_xlfn.MAXIFS($BY$4:$BY$12824,$S$4:$S$12824,$S375)</f>
        <v>1126569.9147474053</v>
      </c>
      <c r="CB375" s="1032"/>
      <c r="CC375" s="999" t="s">
        <v>1353</v>
      </c>
      <c r="CF375" s="946">
        <f t="shared" si="65"/>
        <v>2155845</v>
      </c>
    </row>
    <row r="376" spans="1:84">
      <c r="A376" s="1032"/>
      <c r="B376" s="839" t="s">
        <v>98</v>
      </c>
      <c r="C376" s="839" t="s">
        <v>131</v>
      </c>
      <c r="D376" s="839" t="s">
        <v>1331</v>
      </c>
      <c r="E376" s="839" t="s">
        <v>1332</v>
      </c>
      <c r="F376" s="841">
        <v>45321</v>
      </c>
      <c r="G376" s="840" t="s">
        <v>133</v>
      </c>
      <c r="H376" s="842" t="s">
        <v>134</v>
      </c>
      <c r="I376" s="842"/>
      <c r="J376" s="841"/>
      <c r="K376" s="841"/>
      <c r="L376" s="843" t="s">
        <v>106</v>
      </c>
      <c r="M376" s="844" t="s">
        <v>1333</v>
      </c>
      <c r="N376" s="841">
        <v>45356</v>
      </c>
      <c r="O376" s="841" t="s">
        <v>108</v>
      </c>
      <c r="P376" s="841" t="s">
        <v>1136</v>
      </c>
      <c r="Q376" s="843"/>
      <c r="R376" s="845" t="s">
        <v>1358</v>
      </c>
      <c r="S376" s="1127" t="s">
        <v>1359</v>
      </c>
      <c r="T376" s="843" t="s">
        <v>1360</v>
      </c>
      <c r="U376" s="842">
        <v>18</v>
      </c>
      <c r="V376" s="842" t="s">
        <v>8</v>
      </c>
      <c r="W376" s="846">
        <v>41</v>
      </c>
      <c r="X376" s="847">
        <f t="shared" si="58"/>
        <v>738</v>
      </c>
      <c r="Y376" s="848">
        <f t="shared" si="74"/>
        <v>0.60000000000000009</v>
      </c>
      <c r="Z376" s="849">
        <v>16.399999999999999</v>
      </c>
      <c r="AA376" s="849"/>
      <c r="AB376" s="849">
        <f t="shared" si="59"/>
        <v>295.2</v>
      </c>
      <c r="AC376" s="850">
        <f t="shared" si="60"/>
        <v>295.2</v>
      </c>
      <c r="AD376" s="851"/>
      <c r="AE376" s="852">
        <v>25250</v>
      </c>
      <c r="AF376" s="853">
        <v>0</v>
      </c>
      <c r="AG376" s="854">
        <f t="shared" si="61"/>
        <v>0</v>
      </c>
      <c r="AH376" s="853"/>
      <c r="AI376" s="855">
        <f t="shared" si="62"/>
        <v>0</v>
      </c>
      <c r="AJ376" s="845" t="s">
        <v>1337</v>
      </c>
      <c r="AK376" s="857" t="s">
        <v>1338</v>
      </c>
      <c r="AL376" s="840" t="s">
        <v>1339</v>
      </c>
      <c r="AM376" s="840" t="s">
        <v>1340</v>
      </c>
      <c r="AN376" s="858" t="s">
        <v>1341</v>
      </c>
      <c r="AO376" s="844"/>
      <c r="AP376" s="859" t="s">
        <v>1342</v>
      </c>
      <c r="AQ376" s="859" t="s">
        <v>1343</v>
      </c>
      <c r="AR376" s="859" t="s">
        <v>1344</v>
      </c>
      <c r="AS376" s="840" t="s">
        <v>1310</v>
      </c>
      <c r="AT376" s="840" t="s">
        <v>1235</v>
      </c>
      <c r="AU376" s="860" t="s">
        <v>1345</v>
      </c>
      <c r="AV376" s="839" t="s">
        <v>1346</v>
      </c>
      <c r="AW376" s="861">
        <v>45357</v>
      </c>
      <c r="AX376" s="862"/>
      <c r="AY376" s="843" t="s">
        <v>1361</v>
      </c>
      <c r="AZ376" s="842">
        <v>94051199</v>
      </c>
      <c r="BA376" s="842" t="s">
        <v>120</v>
      </c>
      <c r="BB376" s="863" t="s">
        <v>121</v>
      </c>
      <c r="BC376" s="864">
        <v>45447</v>
      </c>
      <c r="BD376" s="860" t="s">
        <v>1348</v>
      </c>
      <c r="BE376" s="865" cm="1">
        <f t="array" ref="BE376">IF(BD376="","",AC376/SUMPRODUCT(--(BD376=$BD$4:$BD$12824),$AC$4:$AC$12824))</f>
        <v>2.0726315533018406E-2</v>
      </c>
      <c r="BF376" s="458"/>
      <c r="BG376" s="458"/>
      <c r="BH376" s="458"/>
      <c r="BI376" s="458"/>
      <c r="BJ376" s="458"/>
      <c r="BK376" s="458"/>
      <c r="BL376" s="458"/>
      <c r="BM376" s="458"/>
      <c r="BN376" s="458"/>
      <c r="BO376" s="866">
        <f>VLOOKUP(BD376,$BD$4:$BN$12824,3,0)*BE376</f>
        <v>0</v>
      </c>
      <c r="BP376" s="866"/>
      <c r="BQ376" s="866"/>
      <c r="BR376" s="866">
        <f>VLOOKUP(BD376,$BD$4:$BN$12824,6,0)*BE376</f>
        <v>290692.85542418965</v>
      </c>
      <c r="BS376" s="866">
        <f>VLOOKUP(BD376,$BD$4:$BN$12824,7,0)*BE376</f>
        <v>7358.7954247360531</v>
      </c>
      <c r="BT376" s="866"/>
      <c r="BU376" s="866">
        <f>VLOOKUP(BD376,$BD$4:$BN$12824,9,0)*BE376</f>
        <v>5181.5788832546014</v>
      </c>
      <c r="BV376" s="867"/>
      <c r="BW376" s="867">
        <f>VLOOKUP(BD376,$BD$4:$BN$12824,11,0)*BE376</f>
        <v>33162.104852829449</v>
      </c>
      <c r="BX376" s="1146">
        <f t="shared" si="75"/>
        <v>336395.33458500972</v>
      </c>
      <c r="BY376" s="867">
        <f t="shared" si="66"/>
        <v>432788.62969916721</v>
      </c>
      <c r="BZ376" s="867">
        <f t="shared" si="63"/>
        <v>7790195.3345850101</v>
      </c>
      <c r="CA376" s="867">
        <f>_xlfn.MAXIFS($BY$4:$BY$12824,$S$4:$S$12824,$S376)</f>
        <v>435687.433313685</v>
      </c>
      <c r="CB376" s="1032"/>
      <c r="CC376" s="999" t="s">
        <v>1353</v>
      </c>
      <c r="CF376" s="946">
        <f t="shared" si="65"/>
        <v>7453800</v>
      </c>
    </row>
    <row r="377" spans="1:84">
      <c r="A377" s="1032"/>
      <c r="B377" s="839" t="s">
        <v>98</v>
      </c>
      <c r="C377" s="839" t="s">
        <v>131</v>
      </c>
      <c r="D377" s="839" t="s">
        <v>1331</v>
      </c>
      <c r="E377" s="839" t="s">
        <v>1332</v>
      </c>
      <c r="F377" s="841">
        <v>45321</v>
      </c>
      <c r="G377" s="840" t="s">
        <v>133</v>
      </c>
      <c r="H377" s="842" t="s">
        <v>134</v>
      </c>
      <c r="I377" s="842"/>
      <c r="J377" s="841"/>
      <c r="K377" s="841"/>
      <c r="L377" s="843" t="s">
        <v>106</v>
      </c>
      <c r="M377" s="844" t="s">
        <v>1333</v>
      </c>
      <c r="N377" s="841">
        <v>45356</v>
      </c>
      <c r="O377" s="841" t="s">
        <v>135</v>
      </c>
      <c r="P377" s="841" t="s">
        <v>1362</v>
      </c>
      <c r="Q377" s="843"/>
      <c r="R377" s="845" t="s">
        <v>1363</v>
      </c>
      <c r="S377" s="1127" t="s">
        <v>1364</v>
      </c>
      <c r="T377" s="843" t="s">
        <v>1365</v>
      </c>
      <c r="U377" s="842">
        <v>6</v>
      </c>
      <c r="V377" s="842" t="s">
        <v>8</v>
      </c>
      <c r="W377" s="846">
        <v>12</v>
      </c>
      <c r="X377" s="847">
        <f t="shared" si="58"/>
        <v>72</v>
      </c>
      <c r="Y377" s="848">
        <f t="shared" si="74"/>
        <v>0.62</v>
      </c>
      <c r="Z377" s="849">
        <v>4.5599999999999996</v>
      </c>
      <c r="AA377" s="849"/>
      <c r="AB377" s="849">
        <f t="shared" si="59"/>
        <v>27.36</v>
      </c>
      <c r="AC377" s="850">
        <f t="shared" si="60"/>
        <v>27.36</v>
      </c>
      <c r="AD377" s="851"/>
      <c r="AE377" s="852">
        <v>25250</v>
      </c>
      <c r="AF377" s="853">
        <v>0</v>
      </c>
      <c r="AG377" s="854">
        <f t="shared" si="61"/>
        <v>0</v>
      </c>
      <c r="AH377" s="853"/>
      <c r="AI377" s="855">
        <f t="shared" si="62"/>
        <v>0</v>
      </c>
      <c r="AJ377" s="845" t="s">
        <v>1337</v>
      </c>
      <c r="AK377" s="857" t="s">
        <v>1338</v>
      </c>
      <c r="AL377" s="840" t="s">
        <v>1339</v>
      </c>
      <c r="AM377" s="840" t="s">
        <v>1340</v>
      </c>
      <c r="AN377" s="858" t="s">
        <v>1341</v>
      </c>
      <c r="AO377" s="844"/>
      <c r="AP377" s="859" t="s">
        <v>1342</v>
      </c>
      <c r="AQ377" s="859" t="s">
        <v>1343</v>
      </c>
      <c r="AR377" s="859" t="s">
        <v>1344</v>
      </c>
      <c r="AS377" s="840" t="s">
        <v>1310</v>
      </c>
      <c r="AT377" s="840" t="s">
        <v>1235</v>
      </c>
      <c r="AU377" s="860" t="s">
        <v>1345</v>
      </c>
      <c r="AV377" s="839" t="s">
        <v>1346</v>
      </c>
      <c r="AW377" s="861">
        <v>45357</v>
      </c>
      <c r="AX377" s="862"/>
      <c r="AY377" s="843" t="s">
        <v>1366</v>
      </c>
      <c r="AZ377" s="842">
        <v>42010000</v>
      </c>
      <c r="BA377" s="842" t="s">
        <v>120</v>
      </c>
      <c r="BB377" s="863" t="s">
        <v>121</v>
      </c>
      <c r="BC377" s="864">
        <v>45447</v>
      </c>
      <c r="BD377" s="860" t="s">
        <v>1348</v>
      </c>
      <c r="BE377" s="865" cm="1">
        <f t="array" ref="BE377">IF(BD377="","",AC377/SUMPRODUCT(--(BD377=$BD$4:$BD$12824),$AC$4:$AC$12824))</f>
        <v>1.9209755859870717E-3</v>
      </c>
      <c r="BF377" s="458"/>
      <c r="BG377" s="458"/>
      <c r="BH377" s="458"/>
      <c r="BI377" s="458"/>
      <c r="BJ377" s="458"/>
      <c r="BK377" s="458"/>
      <c r="BL377" s="458"/>
      <c r="BM377" s="458"/>
      <c r="BN377" s="458"/>
      <c r="BO377" s="866">
        <f>VLOOKUP(BD377,$BD$4:$BN$12824,3,0)*BE377</f>
        <v>0</v>
      </c>
      <c r="BP377" s="866"/>
      <c r="BQ377" s="866"/>
      <c r="BR377" s="866">
        <f>VLOOKUP(BD377,$BD$4:$BN$12824,6,0)*BE377</f>
        <v>26942.264649071236</v>
      </c>
      <c r="BS377" s="866">
        <f>VLOOKUP(BD377,$BD$4:$BN$12824,7,0)*BE377</f>
        <v>682.03469790236591</v>
      </c>
      <c r="BT377" s="866"/>
      <c r="BU377" s="866">
        <f>VLOOKUP(BD377,$BD$4:$BN$12824,9,0)*BE377</f>
        <v>480.24389649676795</v>
      </c>
      <c r="BV377" s="867"/>
      <c r="BW377" s="867">
        <f>VLOOKUP(BD377,$BD$4:$BN$12824,11,0)*BE377</f>
        <v>3073.5609375793147</v>
      </c>
      <c r="BX377" s="1146">
        <f t="shared" si="75"/>
        <v>31178.104181049686</v>
      </c>
      <c r="BY377" s="867">
        <f t="shared" si="66"/>
        <v>120336.35069684162</v>
      </c>
      <c r="BZ377" s="867">
        <f t="shared" si="63"/>
        <v>722018.10418104974</v>
      </c>
      <c r="CA377" s="867">
        <f>_xlfn.MAXIFS($BY$4:$BY$12824,$S$4:$S$12824,$S377)</f>
        <v>120336.35069684162</v>
      </c>
      <c r="CB377" s="1032"/>
      <c r="CC377" s="999" t="s">
        <v>1353</v>
      </c>
      <c r="CF377" s="946">
        <f t="shared" si="65"/>
        <v>690840</v>
      </c>
    </row>
    <row r="378" spans="1:84">
      <c r="A378" s="1032"/>
      <c r="B378" s="839" t="s">
        <v>98</v>
      </c>
      <c r="C378" s="839" t="s">
        <v>131</v>
      </c>
      <c r="D378" s="839" t="s">
        <v>1331</v>
      </c>
      <c r="E378" s="839" t="s">
        <v>1332</v>
      </c>
      <c r="F378" s="841">
        <v>45321</v>
      </c>
      <c r="G378" s="840" t="s">
        <v>133</v>
      </c>
      <c r="H378" s="842" t="s">
        <v>134</v>
      </c>
      <c r="I378" s="842"/>
      <c r="J378" s="841"/>
      <c r="K378" s="841"/>
      <c r="L378" s="843" t="s">
        <v>106</v>
      </c>
      <c r="M378" s="844" t="s">
        <v>1333</v>
      </c>
      <c r="N378" s="841">
        <v>45356</v>
      </c>
      <c r="O378" s="841" t="s">
        <v>135</v>
      </c>
      <c r="P378" s="841" t="s">
        <v>1362</v>
      </c>
      <c r="Q378" s="843"/>
      <c r="R378" s="845" t="s">
        <v>1367</v>
      </c>
      <c r="S378" s="1127" t="s">
        <v>1368</v>
      </c>
      <c r="T378" s="843" t="s">
        <v>1369</v>
      </c>
      <c r="U378" s="842">
        <v>6</v>
      </c>
      <c r="V378" s="842" t="s">
        <v>8</v>
      </c>
      <c r="W378" s="846">
        <v>12</v>
      </c>
      <c r="X378" s="847">
        <f t="shared" si="58"/>
        <v>72</v>
      </c>
      <c r="Y378" s="848">
        <f t="shared" si="74"/>
        <v>0.62</v>
      </c>
      <c r="Z378" s="849">
        <v>4.5599999999999996</v>
      </c>
      <c r="AA378" s="849"/>
      <c r="AB378" s="849">
        <f t="shared" si="59"/>
        <v>27.36</v>
      </c>
      <c r="AC378" s="850">
        <f t="shared" si="60"/>
        <v>27.36</v>
      </c>
      <c r="AD378" s="851"/>
      <c r="AE378" s="852">
        <v>25250</v>
      </c>
      <c r="AF378" s="853">
        <v>0</v>
      </c>
      <c r="AG378" s="854">
        <f t="shared" si="61"/>
        <v>0</v>
      </c>
      <c r="AH378" s="853"/>
      <c r="AI378" s="855">
        <f t="shared" si="62"/>
        <v>0</v>
      </c>
      <c r="AJ378" s="845" t="s">
        <v>1337</v>
      </c>
      <c r="AK378" s="857" t="s">
        <v>1338</v>
      </c>
      <c r="AL378" s="840" t="s">
        <v>1339</v>
      </c>
      <c r="AM378" s="840" t="s">
        <v>1340</v>
      </c>
      <c r="AN378" s="858" t="s">
        <v>1341</v>
      </c>
      <c r="AO378" s="844"/>
      <c r="AP378" s="859" t="s">
        <v>1342</v>
      </c>
      <c r="AQ378" s="859" t="s">
        <v>1343</v>
      </c>
      <c r="AR378" s="859" t="s">
        <v>1344</v>
      </c>
      <c r="AS378" s="840" t="s">
        <v>1310</v>
      </c>
      <c r="AT378" s="840" t="s">
        <v>1235</v>
      </c>
      <c r="AU378" s="860" t="s">
        <v>1345</v>
      </c>
      <c r="AV378" s="839" t="s">
        <v>1346</v>
      </c>
      <c r="AW378" s="861">
        <v>45357</v>
      </c>
      <c r="AX378" s="862"/>
      <c r="AY378" s="843" t="s">
        <v>1370</v>
      </c>
      <c r="AZ378" s="842">
        <v>42010000</v>
      </c>
      <c r="BA378" s="842" t="s">
        <v>120</v>
      </c>
      <c r="BB378" s="863" t="s">
        <v>121</v>
      </c>
      <c r="BC378" s="864">
        <v>45447</v>
      </c>
      <c r="BD378" s="860" t="s">
        <v>1348</v>
      </c>
      <c r="BE378" s="865" cm="1">
        <f t="array" ref="BE378">IF(BD378="","",AC378/SUMPRODUCT(--(BD378=$BD$4:$BD$12824),$AC$4:$AC$12824))</f>
        <v>1.9209755859870717E-3</v>
      </c>
      <c r="BF378" s="458"/>
      <c r="BG378" s="458"/>
      <c r="BH378" s="458"/>
      <c r="BI378" s="458"/>
      <c r="BJ378" s="458"/>
      <c r="BK378" s="458"/>
      <c r="BL378" s="458"/>
      <c r="BM378" s="458"/>
      <c r="BN378" s="458"/>
      <c r="BO378" s="866">
        <f>VLOOKUP(BD378,$BD$4:$BN$12824,3,0)*BE378</f>
        <v>0</v>
      </c>
      <c r="BP378" s="866"/>
      <c r="BQ378" s="866"/>
      <c r="BR378" s="866">
        <f>VLOOKUP(BD378,$BD$4:$BN$12824,6,0)*BE378</f>
        <v>26942.264649071236</v>
      </c>
      <c r="BS378" s="866">
        <f>VLOOKUP(BD378,$BD$4:$BN$12824,7,0)*BE378</f>
        <v>682.03469790236591</v>
      </c>
      <c r="BT378" s="866"/>
      <c r="BU378" s="866">
        <f>VLOOKUP(BD378,$BD$4:$BN$12824,9,0)*BE378</f>
        <v>480.24389649676795</v>
      </c>
      <c r="BV378" s="867"/>
      <c r="BW378" s="867">
        <f>VLOOKUP(BD378,$BD$4:$BN$12824,11,0)*BE378</f>
        <v>3073.5609375793147</v>
      </c>
      <c r="BX378" s="1146">
        <f t="shared" si="75"/>
        <v>31178.104181049686</v>
      </c>
      <c r="BY378" s="867">
        <f t="shared" si="66"/>
        <v>120336.35069684162</v>
      </c>
      <c r="BZ378" s="867">
        <f t="shared" si="63"/>
        <v>722018.10418104974</v>
      </c>
      <c r="CA378" s="867">
        <f>_xlfn.MAXIFS($BY$4:$BY$12824,$S$4:$S$12824,$S378)</f>
        <v>120336.35069684162</v>
      </c>
      <c r="CB378" s="1032"/>
      <c r="CC378" s="999" t="s">
        <v>1353</v>
      </c>
      <c r="CF378" s="946">
        <f t="shared" si="65"/>
        <v>690840</v>
      </c>
    </row>
    <row r="379" spans="1:84">
      <c r="A379" s="1032"/>
      <c r="B379" s="839" t="s">
        <v>98</v>
      </c>
      <c r="C379" s="839" t="s">
        <v>131</v>
      </c>
      <c r="D379" s="839" t="s">
        <v>1331</v>
      </c>
      <c r="E379" s="839" t="s">
        <v>1332</v>
      </c>
      <c r="F379" s="841">
        <v>45321</v>
      </c>
      <c r="G379" s="840" t="s">
        <v>133</v>
      </c>
      <c r="H379" s="842" t="s">
        <v>134</v>
      </c>
      <c r="I379" s="842"/>
      <c r="J379" s="841"/>
      <c r="K379" s="841"/>
      <c r="L379" s="843" t="s">
        <v>106</v>
      </c>
      <c r="M379" s="844" t="s">
        <v>1333</v>
      </c>
      <c r="N379" s="841">
        <v>45356</v>
      </c>
      <c r="O379" s="841" t="s">
        <v>135</v>
      </c>
      <c r="P379" s="841" t="s">
        <v>1362</v>
      </c>
      <c r="Q379" s="843"/>
      <c r="R379" s="845" t="s">
        <v>1371</v>
      </c>
      <c r="S379" s="1127" t="s">
        <v>1372</v>
      </c>
      <c r="T379" s="843" t="s">
        <v>1373</v>
      </c>
      <c r="U379" s="842">
        <v>6</v>
      </c>
      <c r="V379" s="842" t="s">
        <v>8</v>
      </c>
      <c r="W379" s="846">
        <v>12</v>
      </c>
      <c r="X379" s="847">
        <f t="shared" si="58"/>
        <v>72</v>
      </c>
      <c r="Y379" s="848">
        <f t="shared" si="74"/>
        <v>0.62</v>
      </c>
      <c r="Z379" s="849">
        <v>4.5599999999999996</v>
      </c>
      <c r="AA379" s="849"/>
      <c r="AB379" s="849">
        <f t="shared" si="59"/>
        <v>27.36</v>
      </c>
      <c r="AC379" s="850">
        <f t="shared" si="60"/>
        <v>27.36</v>
      </c>
      <c r="AD379" s="851"/>
      <c r="AE379" s="852">
        <v>25250</v>
      </c>
      <c r="AF379" s="853">
        <v>0</v>
      </c>
      <c r="AG379" s="854">
        <f t="shared" si="61"/>
        <v>0</v>
      </c>
      <c r="AH379" s="853"/>
      <c r="AI379" s="855">
        <f t="shared" si="62"/>
        <v>0</v>
      </c>
      <c r="AJ379" s="845" t="s">
        <v>1337</v>
      </c>
      <c r="AK379" s="857" t="s">
        <v>1338</v>
      </c>
      <c r="AL379" s="840" t="s">
        <v>1339</v>
      </c>
      <c r="AM379" s="840" t="s">
        <v>1340</v>
      </c>
      <c r="AN379" s="858" t="s">
        <v>1341</v>
      </c>
      <c r="AO379" s="844"/>
      <c r="AP379" s="859" t="s">
        <v>1342</v>
      </c>
      <c r="AQ379" s="859" t="s">
        <v>1343</v>
      </c>
      <c r="AR379" s="859" t="s">
        <v>1344</v>
      </c>
      <c r="AS379" s="840" t="s">
        <v>1310</v>
      </c>
      <c r="AT379" s="840" t="s">
        <v>1235</v>
      </c>
      <c r="AU379" s="860" t="s">
        <v>1345</v>
      </c>
      <c r="AV379" s="839" t="s">
        <v>1346</v>
      </c>
      <c r="AW379" s="861">
        <v>45357</v>
      </c>
      <c r="AX379" s="862"/>
      <c r="AY379" s="843" t="s">
        <v>1374</v>
      </c>
      <c r="AZ379" s="842">
        <v>42010000</v>
      </c>
      <c r="BA379" s="842" t="s">
        <v>120</v>
      </c>
      <c r="BB379" s="863" t="s">
        <v>121</v>
      </c>
      <c r="BC379" s="864">
        <v>45447</v>
      </c>
      <c r="BD379" s="860" t="s">
        <v>1348</v>
      </c>
      <c r="BE379" s="865" cm="1">
        <f t="array" ref="BE379">IF(BD379="","",AC379/SUMPRODUCT(--(BD379=$BD$4:$BD$12824),$AC$4:$AC$12824))</f>
        <v>1.9209755859870717E-3</v>
      </c>
      <c r="BF379" s="458"/>
      <c r="BG379" s="458"/>
      <c r="BH379" s="458"/>
      <c r="BI379" s="458"/>
      <c r="BJ379" s="458"/>
      <c r="BK379" s="458"/>
      <c r="BL379" s="458"/>
      <c r="BM379" s="458"/>
      <c r="BN379" s="458"/>
      <c r="BO379" s="866">
        <f>VLOOKUP(BD379,$BD$4:$BN$12824,3,0)*BE379</f>
        <v>0</v>
      </c>
      <c r="BP379" s="866"/>
      <c r="BQ379" s="866"/>
      <c r="BR379" s="866">
        <f>VLOOKUP(BD379,$BD$4:$BN$12824,6,0)*BE379</f>
        <v>26942.264649071236</v>
      </c>
      <c r="BS379" s="866">
        <f>VLOOKUP(BD379,$BD$4:$BN$12824,7,0)*BE379</f>
        <v>682.03469790236591</v>
      </c>
      <c r="BT379" s="866"/>
      <c r="BU379" s="866">
        <f>VLOOKUP(BD379,$BD$4:$BN$12824,9,0)*BE379</f>
        <v>480.24389649676795</v>
      </c>
      <c r="BV379" s="867"/>
      <c r="BW379" s="867">
        <f>VLOOKUP(BD379,$BD$4:$BN$12824,11,0)*BE379</f>
        <v>3073.5609375793147</v>
      </c>
      <c r="BX379" s="1146">
        <f t="shared" si="75"/>
        <v>31178.104181049686</v>
      </c>
      <c r="BY379" s="867">
        <f t="shared" si="66"/>
        <v>120336.35069684162</v>
      </c>
      <c r="BZ379" s="867">
        <f t="shared" si="63"/>
        <v>722018.10418104974</v>
      </c>
      <c r="CA379" s="867">
        <f>_xlfn.MAXIFS($BY$4:$BY$12824,$S$4:$S$12824,$S379)</f>
        <v>120336.35069684162</v>
      </c>
      <c r="CB379" s="1032"/>
      <c r="CC379" s="999" t="s">
        <v>1353</v>
      </c>
      <c r="CF379" s="946">
        <f t="shared" si="65"/>
        <v>690840</v>
      </c>
    </row>
    <row r="380" spans="1:84">
      <c r="A380" s="1032"/>
      <c r="B380" s="839" t="s">
        <v>98</v>
      </c>
      <c r="C380" s="839" t="s">
        <v>131</v>
      </c>
      <c r="D380" s="839" t="s">
        <v>1331</v>
      </c>
      <c r="E380" s="839" t="s">
        <v>1332</v>
      </c>
      <c r="F380" s="841">
        <v>45321</v>
      </c>
      <c r="G380" s="840" t="s">
        <v>133</v>
      </c>
      <c r="H380" s="842" t="s">
        <v>134</v>
      </c>
      <c r="I380" s="842"/>
      <c r="J380" s="841"/>
      <c r="K380" s="841"/>
      <c r="L380" s="843" t="s">
        <v>106</v>
      </c>
      <c r="M380" s="844" t="s">
        <v>1333</v>
      </c>
      <c r="N380" s="841">
        <v>45356</v>
      </c>
      <c r="O380" s="841" t="s">
        <v>135</v>
      </c>
      <c r="P380" s="841" t="s">
        <v>1362</v>
      </c>
      <c r="Q380" s="843"/>
      <c r="R380" s="845" t="s">
        <v>1375</v>
      </c>
      <c r="S380" s="1127" t="s">
        <v>1376</v>
      </c>
      <c r="T380" s="843" t="s">
        <v>1377</v>
      </c>
      <c r="U380" s="842">
        <v>6</v>
      </c>
      <c r="V380" s="842" t="s">
        <v>8</v>
      </c>
      <c r="W380" s="846">
        <v>12</v>
      </c>
      <c r="X380" s="847">
        <f t="shared" si="58"/>
        <v>72</v>
      </c>
      <c r="Y380" s="848">
        <f t="shared" si="74"/>
        <v>0.62</v>
      </c>
      <c r="Z380" s="849">
        <v>4.5599999999999996</v>
      </c>
      <c r="AA380" s="849"/>
      <c r="AB380" s="849">
        <f t="shared" si="59"/>
        <v>27.36</v>
      </c>
      <c r="AC380" s="850">
        <f t="shared" si="60"/>
        <v>27.36</v>
      </c>
      <c r="AD380" s="851"/>
      <c r="AE380" s="852">
        <v>25250</v>
      </c>
      <c r="AF380" s="853">
        <v>0</v>
      </c>
      <c r="AG380" s="854">
        <f t="shared" si="61"/>
        <v>0</v>
      </c>
      <c r="AH380" s="853"/>
      <c r="AI380" s="855">
        <f t="shared" si="62"/>
        <v>0</v>
      </c>
      <c r="AJ380" s="845" t="s">
        <v>1337</v>
      </c>
      <c r="AK380" s="857" t="s">
        <v>1338</v>
      </c>
      <c r="AL380" s="840" t="s">
        <v>1339</v>
      </c>
      <c r="AM380" s="840" t="s">
        <v>1340</v>
      </c>
      <c r="AN380" s="858" t="s">
        <v>1341</v>
      </c>
      <c r="AO380" s="844"/>
      <c r="AP380" s="859" t="s">
        <v>1342</v>
      </c>
      <c r="AQ380" s="859" t="s">
        <v>1343</v>
      </c>
      <c r="AR380" s="859" t="s">
        <v>1344</v>
      </c>
      <c r="AS380" s="840" t="s">
        <v>1310</v>
      </c>
      <c r="AT380" s="840" t="s">
        <v>1235</v>
      </c>
      <c r="AU380" s="860" t="s">
        <v>1345</v>
      </c>
      <c r="AV380" s="839" t="s">
        <v>1346</v>
      </c>
      <c r="AW380" s="861">
        <v>45357</v>
      </c>
      <c r="AX380" s="862"/>
      <c r="AY380" s="843" t="s">
        <v>1378</v>
      </c>
      <c r="AZ380" s="842">
        <v>42010000</v>
      </c>
      <c r="BA380" s="842" t="s">
        <v>120</v>
      </c>
      <c r="BB380" s="863" t="s">
        <v>121</v>
      </c>
      <c r="BC380" s="864">
        <v>45447</v>
      </c>
      <c r="BD380" s="860" t="s">
        <v>1348</v>
      </c>
      <c r="BE380" s="865" cm="1">
        <f t="array" ref="BE380">IF(BD380="","",AC380/SUMPRODUCT(--(BD380=$BD$4:$BD$12824),$AC$4:$AC$12824))</f>
        <v>1.9209755859870717E-3</v>
      </c>
      <c r="BF380" s="458"/>
      <c r="BG380" s="458"/>
      <c r="BH380" s="458"/>
      <c r="BI380" s="458"/>
      <c r="BJ380" s="458"/>
      <c r="BK380" s="458"/>
      <c r="BL380" s="458"/>
      <c r="BM380" s="458"/>
      <c r="BN380" s="458"/>
      <c r="BO380" s="866">
        <f>VLOOKUP(BD380,$BD$4:$BN$12824,3,0)*BE380</f>
        <v>0</v>
      </c>
      <c r="BP380" s="866"/>
      <c r="BQ380" s="866"/>
      <c r="BR380" s="866">
        <f>VLOOKUP(BD380,$BD$4:$BN$12824,6,0)*BE380</f>
        <v>26942.264649071236</v>
      </c>
      <c r="BS380" s="866">
        <f>VLOOKUP(BD380,$BD$4:$BN$12824,7,0)*BE380</f>
        <v>682.03469790236591</v>
      </c>
      <c r="BT380" s="866"/>
      <c r="BU380" s="866">
        <f>VLOOKUP(BD380,$BD$4:$BN$12824,9,0)*BE380</f>
        <v>480.24389649676795</v>
      </c>
      <c r="BV380" s="867"/>
      <c r="BW380" s="867">
        <f>VLOOKUP(BD380,$BD$4:$BN$12824,11,0)*BE380</f>
        <v>3073.5609375793147</v>
      </c>
      <c r="BX380" s="1146">
        <f t="shared" si="75"/>
        <v>31178.104181049686</v>
      </c>
      <c r="BY380" s="867">
        <f t="shared" si="66"/>
        <v>120336.35069684162</v>
      </c>
      <c r="BZ380" s="867">
        <f t="shared" si="63"/>
        <v>722018.10418104974</v>
      </c>
      <c r="CA380" s="867">
        <f>_xlfn.MAXIFS($BY$4:$BY$12824,$S$4:$S$12824,$S380)</f>
        <v>120336.35069684162</v>
      </c>
      <c r="CB380" s="1032"/>
      <c r="CC380" s="999" t="s">
        <v>1353</v>
      </c>
      <c r="CF380" s="946">
        <f t="shared" si="65"/>
        <v>690840</v>
      </c>
    </row>
    <row r="381" spans="1:84">
      <c r="A381" s="1032"/>
      <c r="B381" s="839" t="s">
        <v>98</v>
      </c>
      <c r="C381" s="839" t="s">
        <v>131</v>
      </c>
      <c r="D381" s="839" t="s">
        <v>1331</v>
      </c>
      <c r="E381" s="839" t="s">
        <v>1332</v>
      </c>
      <c r="F381" s="841">
        <v>45321</v>
      </c>
      <c r="G381" s="840" t="s">
        <v>133</v>
      </c>
      <c r="H381" s="842" t="s">
        <v>134</v>
      </c>
      <c r="I381" s="842"/>
      <c r="J381" s="841"/>
      <c r="K381" s="841"/>
      <c r="L381" s="843" t="s">
        <v>106</v>
      </c>
      <c r="M381" s="844" t="s">
        <v>1333</v>
      </c>
      <c r="N381" s="841">
        <v>45356</v>
      </c>
      <c r="O381" s="841" t="s">
        <v>135</v>
      </c>
      <c r="P381" s="841" t="s">
        <v>1362</v>
      </c>
      <c r="Q381" s="843"/>
      <c r="R381" s="845" t="s">
        <v>1379</v>
      </c>
      <c r="S381" s="1127" t="s">
        <v>1380</v>
      </c>
      <c r="T381" s="843" t="s">
        <v>1381</v>
      </c>
      <c r="U381" s="842">
        <v>2</v>
      </c>
      <c r="V381" s="842" t="s">
        <v>8</v>
      </c>
      <c r="W381" s="846">
        <v>76</v>
      </c>
      <c r="X381" s="847">
        <f t="shared" si="58"/>
        <v>152</v>
      </c>
      <c r="Y381" s="848">
        <f t="shared" si="74"/>
        <v>0.62000000000000011</v>
      </c>
      <c r="Z381" s="849">
        <v>28.88</v>
      </c>
      <c r="AA381" s="849"/>
      <c r="AB381" s="849">
        <f t="shared" si="59"/>
        <v>57.76</v>
      </c>
      <c r="AC381" s="850">
        <f t="shared" si="60"/>
        <v>57.76</v>
      </c>
      <c r="AD381" s="851"/>
      <c r="AE381" s="852">
        <v>25250</v>
      </c>
      <c r="AF381" s="853">
        <v>0</v>
      </c>
      <c r="AG381" s="854">
        <f t="shared" si="61"/>
        <v>0</v>
      </c>
      <c r="AH381" s="853"/>
      <c r="AI381" s="855">
        <f t="shared" si="62"/>
        <v>0</v>
      </c>
      <c r="AJ381" s="845" t="s">
        <v>1337</v>
      </c>
      <c r="AK381" s="857" t="s">
        <v>1338</v>
      </c>
      <c r="AL381" s="840" t="s">
        <v>1339</v>
      </c>
      <c r="AM381" s="840" t="s">
        <v>1340</v>
      </c>
      <c r="AN381" s="858" t="s">
        <v>1341</v>
      </c>
      <c r="AO381" s="844"/>
      <c r="AP381" s="859" t="s">
        <v>1342</v>
      </c>
      <c r="AQ381" s="859" t="s">
        <v>1343</v>
      </c>
      <c r="AR381" s="859" t="s">
        <v>1344</v>
      </c>
      <c r="AS381" s="840" t="s">
        <v>1310</v>
      </c>
      <c r="AT381" s="840" t="s">
        <v>1235</v>
      </c>
      <c r="AU381" s="860" t="s">
        <v>1345</v>
      </c>
      <c r="AV381" s="839" t="s">
        <v>1346</v>
      </c>
      <c r="AW381" s="861">
        <v>45357</v>
      </c>
      <c r="AX381" s="862"/>
      <c r="AY381" s="843" t="s">
        <v>1382</v>
      </c>
      <c r="AZ381" s="842">
        <v>42010000</v>
      </c>
      <c r="BA381" s="842" t="s">
        <v>120</v>
      </c>
      <c r="BB381" s="863" t="s">
        <v>121</v>
      </c>
      <c r="BC381" s="864">
        <v>45447</v>
      </c>
      <c r="BD381" s="860" t="s">
        <v>1348</v>
      </c>
      <c r="BE381" s="865" cm="1">
        <f t="array" ref="BE381">IF(BD381="","",AC381/SUMPRODUCT(--(BD381=$BD$4:$BD$12824),$AC$4:$AC$12824))</f>
        <v>4.0553929037504847E-3</v>
      </c>
      <c r="BF381" s="458"/>
      <c r="BG381" s="458"/>
      <c r="BH381" s="458"/>
      <c r="BI381" s="458"/>
      <c r="BJ381" s="458"/>
      <c r="BK381" s="458"/>
      <c r="BL381" s="458"/>
      <c r="BM381" s="458"/>
      <c r="BN381" s="458"/>
      <c r="BO381" s="866">
        <f>VLOOKUP(BD381,$BD$4:$BN$12824,3,0)*BE381</f>
        <v>0</v>
      </c>
      <c r="BP381" s="866"/>
      <c r="BQ381" s="866"/>
      <c r="BR381" s="866">
        <f>VLOOKUP(BD381,$BD$4:$BN$12824,6,0)*BE381</f>
        <v>56878.114259150381</v>
      </c>
      <c r="BS381" s="866">
        <f>VLOOKUP(BD381,$BD$4:$BN$12824,7,0)*BE381</f>
        <v>1439.8510289049946</v>
      </c>
      <c r="BT381" s="866"/>
      <c r="BU381" s="866">
        <f>VLOOKUP(BD381,$BD$4:$BN$12824,9,0)*BE381</f>
        <v>1013.8482259376211</v>
      </c>
      <c r="BV381" s="867"/>
      <c r="BW381" s="867">
        <f>VLOOKUP(BD381,$BD$4:$BN$12824,11,0)*BE381</f>
        <v>6488.6286460007759</v>
      </c>
      <c r="BX381" s="1146">
        <f t="shared" si="75"/>
        <v>65820.442159993778</v>
      </c>
      <c r="BY381" s="867">
        <f t="shared" si="66"/>
        <v>762130.2210799969</v>
      </c>
      <c r="BZ381" s="867">
        <f t="shared" si="63"/>
        <v>1524260.4421599938</v>
      </c>
      <c r="CA381" s="867">
        <f>_xlfn.MAXIFS($BY$4:$BY$12824,$S$4:$S$12824,$S381)</f>
        <v>807615.73004487948</v>
      </c>
      <c r="CB381" s="1032"/>
      <c r="CC381" s="999" t="s">
        <v>1353</v>
      </c>
      <c r="CF381" s="946">
        <f t="shared" si="65"/>
        <v>1458440</v>
      </c>
    </row>
    <row r="382" spans="1:84">
      <c r="A382" s="1032"/>
      <c r="B382" s="839" t="s">
        <v>98</v>
      </c>
      <c r="C382" s="839" t="s">
        <v>131</v>
      </c>
      <c r="D382" s="839" t="s">
        <v>1331</v>
      </c>
      <c r="E382" s="839" t="s">
        <v>1332</v>
      </c>
      <c r="F382" s="841">
        <v>45321</v>
      </c>
      <c r="G382" s="840" t="s">
        <v>133</v>
      </c>
      <c r="H382" s="842" t="s">
        <v>134</v>
      </c>
      <c r="I382" s="842"/>
      <c r="J382" s="841"/>
      <c r="K382" s="841"/>
      <c r="L382" s="843" t="s">
        <v>106</v>
      </c>
      <c r="M382" s="844" t="s">
        <v>1333</v>
      </c>
      <c r="N382" s="841">
        <v>45356</v>
      </c>
      <c r="O382" s="841" t="s">
        <v>135</v>
      </c>
      <c r="P382" s="841" t="s">
        <v>1362</v>
      </c>
      <c r="Q382" s="843"/>
      <c r="R382" s="845" t="s">
        <v>1383</v>
      </c>
      <c r="S382" s="1127" t="s">
        <v>1384</v>
      </c>
      <c r="T382" s="843" t="s">
        <v>1385</v>
      </c>
      <c r="U382" s="842">
        <v>2</v>
      </c>
      <c r="V382" s="842" t="s">
        <v>8</v>
      </c>
      <c r="W382" s="846">
        <v>137</v>
      </c>
      <c r="X382" s="847">
        <f t="shared" si="58"/>
        <v>274</v>
      </c>
      <c r="Y382" s="848">
        <f t="shared" si="74"/>
        <v>0.62</v>
      </c>
      <c r="Z382" s="849">
        <v>52.06</v>
      </c>
      <c r="AA382" s="849"/>
      <c r="AB382" s="849">
        <f t="shared" si="59"/>
        <v>104.12</v>
      </c>
      <c r="AC382" s="850">
        <f t="shared" si="60"/>
        <v>104.12</v>
      </c>
      <c r="AD382" s="851"/>
      <c r="AE382" s="852">
        <v>25250</v>
      </c>
      <c r="AF382" s="853">
        <v>0</v>
      </c>
      <c r="AG382" s="854">
        <f t="shared" si="61"/>
        <v>0</v>
      </c>
      <c r="AH382" s="853"/>
      <c r="AI382" s="855">
        <f t="shared" si="62"/>
        <v>0</v>
      </c>
      <c r="AJ382" s="845" t="s">
        <v>1337</v>
      </c>
      <c r="AK382" s="857" t="s">
        <v>1338</v>
      </c>
      <c r="AL382" s="840" t="s">
        <v>1339</v>
      </c>
      <c r="AM382" s="840" t="s">
        <v>1340</v>
      </c>
      <c r="AN382" s="858" t="s">
        <v>1341</v>
      </c>
      <c r="AO382" s="844"/>
      <c r="AP382" s="859" t="s">
        <v>1342</v>
      </c>
      <c r="AQ382" s="859" t="s">
        <v>1343</v>
      </c>
      <c r="AR382" s="859" t="s">
        <v>1344</v>
      </c>
      <c r="AS382" s="840" t="s">
        <v>1310</v>
      </c>
      <c r="AT382" s="840" t="s">
        <v>1235</v>
      </c>
      <c r="AU382" s="860" t="s">
        <v>1345</v>
      </c>
      <c r="AV382" s="839" t="s">
        <v>1346</v>
      </c>
      <c r="AW382" s="861">
        <v>45357</v>
      </c>
      <c r="AX382" s="862"/>
      <c r="AY382" s="843" t="s">
        <v>1386</v>
      </c>
      <c r="AZ382" s="842">
        <v>42010000</v>
      </c>
      <c r="BA382" s="842" t="s">
        <v>120</v>
      </c>
      <c r="BB382" s="863" t="s">
        <v>121</v>
      </c>
      <c r="BC382" s="864">
        <v>45447</v>
      </c>
      <c r="BD382" s="860" t="s">
        <v>1348</v>
      </c>
      <c r="BE382" s="865" cm="1">
        <f t="array" ref="BE382">IF(BD382="","",AC382/SUMPRODUCT(--(BD382=$BD$4:$BD$12824),$AC$4:$AC$12824))</f>
        <v>7.3103793133396898E-3</v>
      </c>
      <c r="BF382" s="458"/>
      <c r="BG382" s="458"/>
      <c r="BH382" s="458"/>
      <c r="BI382" s="458"/>
      <c r="BJ382" s="458"/>
      <c r="BK382" s="458"/>
      <c r="BL382" s="458"/>
      <c r="BM382" s="458"/>
      <c r="BN382" s="458"/>
      <c r="BO382" s="866">
        <f>VLOOKUP(BD382,$BD$4:$BN$12824,3,0)*BE382</f>
        <v>0</v>
      </c>
      <c r="BP382" s="866"/>
      <c r="BQ382" s="866"/>
      <c r="BR382" s="866">
        <f>VLOOKUP(BD382,$BD$4:$BN$12824,6,0)*BE382</f>
        <v>102530.28491452109</v>
      </c>
      <c r="BS382" s="866">
        <f>VLOOKUP(BD382,$BD$4:$BN$12824,7,0)*BE382</f>
        <v>2595.5209336840035</v>
      </c>
      <c r="BT382" s="866"/>
      <c r="BU382" s="866">
        <f>VLOOKUP(BD382,$BD$4:$BN$12824,9,0)*BE382</f>
        <v>1827.5948283349223</v>
      </c>
      <c r="BV382" s="867"/>
      <c r="BW382" s="867">
        <f>VLOOKUP(BD382,$BD$4:$BN$12824,11,0)*BE382</f>
        <v>11696.606901343504</v>
      </c>
      <c r="BX382" s="1146">
        <f t="shared" si="75"/>
        <v>118650.00757788353</v>
      </c>
      <c r="BY382" s="867">
        <f t="shared" si="66"/>
        <v>1373840.0037889418</v>
      </c>
      <c r="BZ382" s="867">
        <f t="shared" si="63"/>
        <v>2747680.0075778835</v>
      </c>
      <c r="CA382" s="867">
        <f>_xlfn.MAXIFS($BY$4:$BY$12824,$S$4:$S$12824,$S382)</f>
        <v>1373840.0037889418</v>
      </c>
      <c r="CB382" s="1032"/>
      <c r="CC382" s="999" t="s">
        <v>1353</v>
      </c>
      <c r="CF382" s="946">
        <f t="shared" si="65"/>
        <v>2629030</v>
      </c>
    </row>
    <row r="383" spans="1:84">
      <c r="A383" s="1032"/>
      <c r="B383" s="839" t="s">
        <v>98</v>
      </c>
      <c r="C383" s="839" t="s">
        <v>131</v>
      </c>
      <c r="D383" s="839" t="s">
        <v>1331</v>
      </c>
      <c r="E383" s="839" t="s">
        <v>1332</v>
      </c>
      <c r="F383" s="841">
        <v>45321</v>
      </c>
      <c r="G383" s="840" t="s">
        <v>133</v>
      </c>
      <c r="H383" s="842" t="s">
        <v>134</v>
      </c>
      <c r="I383" s="842"/>
      <c r="J383" s="841"/>
      <c r="K383" s="841"/>
      <c r="L383" s="843" t="s">
        <v>106</v>
      </c>
      <c r="M383" s="844" t="s">
        <v>1333</v>
      </c>
      <c r="N383" s="841">
        <v>45356</v>
      </c>
      <c r="O383" s="841" t="s">
        <v>135</v>
      </c>
      <c r="P383" s="841" t="s">
        <v>1362</v>
      </c>
      <c r="Q383" s="843"/>
      <c r="R383" s="845" t="s">
        <v>1387</v>
      </c>
      <c r="S383" s="1127" t="s">
        <v>1388</v>
      </c>
      <c r="T383" s="843" t="s">
        <v>1389</v>
      </c>
      <c r="U383" s="842">
        <v>6</v>
      </c>
      <c r="V383" s="842" t="s">
        <v>8</v>
      </c>
      <c r="W383" s="846">
        <v>23</v>
      </c>
      <c r="X383" s="847">
        <f t="shared" si="58"/>
        <v>138</v>
      </c>
      <c r="Y383" s="848">
        <f t="shared" si="74"/>
        <v>0.62</v>
      </c>
      <c r="Z383" s="849">
        <v>8.74</v>
      </c>
      <c r="AA383" s="849"/>
      <c r="AB383" s="849">
        <f t="shared" si="59"/>
        <v>52.44</v>
      </c>
      <c r="AC383" s="850">
        <f t="shared" si="60"/>
        <v>52.44</v>
      </c>
      <c r="AD383" s="851"/>
      <c r="AE383" s="852">
        <v>25250</v>
      </c>
      <c r="AF383" s="853">
        <v>0</v>
      </c>
      <c r="AG383" s="854">
        <f t="shared" si="61"/>
        <v>0</v>
      </c>
      <c r="AH383" s="853"/>
      <c r="AI383" s="855">
        <f t="shared" si="62"/>
        <v>0</v>
      </c>
      <c r="AJ383" s="845" t="s">
        <v>1337</v>
      </c>
      <c r="AK383" s="857" t="s">
        <v>1338</v>
      </c>
      <c r="AL383" s="840" t="s">
        <v>1339</v>
      </c>
      <c r="AM383" s="840" t="s">
        <v>1340</v>
      </c>
      <c r="AN383" s="858" t="s">
        <v>1341</v>
      </c>
      <c r="AO383" s="844"/>
      <c r="AP383" s="859" t="s">
        <v>1342</v>
      </c>
      <c r="AQ383" s="859" t="s">
        <v>1343</v>
      </c>
      <c r="AR383" s="859" t="s">
        <v>1344</v>
      </c>
      <c r="AS383" s="840" t="s">
        <v>1310</v>
      </c>
      <c r="AT383" s="840" t="s">
        <v>1235</v>
      </c>
      <c r="AU383" s="860" t="s">
        <v>1345</v>
      </c>
      <c r="AV383" s="839" t="s">
        <v>1346</v>
      </c>
      <c r="AW383" s="861">
        <v>45357</v>
      </c>
      <c r="AX383" s="862"/>
      <c r="AY383" s="843" t="s">
        <v>1390</v>
      </c>
      <c r="AZ383" s="842">
        <v>42010000</v>
      </c>
      <c r="BA383" s="842" t="s">
        <v>120</v>
      </c>
      <c r="BB383" s="863" t="s">
        <v>121</v>
      </c>
      <c r="BC383" s="864">
        <v>45447</v>
      </c>
      <c r="BD383" s="860" t="s">
        <v>1348</v>
      </c>
      <c r="BE383" s="865" cm="1">
        <f t="array" ref="BE383">IF(BD383="","",AC383/SUMPRODUCT(--(BD383=$BD$4:$BD$12824),$AC$4:$AC$12824))</f>
        <v>3.6818698731418873E-3</v>
      </c>
      <c r="BF383" s="458"/>
      <c r="BG383" s="458"/>
      <c r="BH383" s="458"/>
      <c r="BI383" s="458"/>
      <c r="BJ383" s="458"/>
      <c r="BK383" s="458"/>
      <c r="BL383" s="458"/>
      <c r="BM383" s="458"/>
      <c r="BN383" s="458"/>
      <c r="BO383" s="866">
        <f>VLOOKUP(BD383,$BD$4:$BN$12824,3,0)*BE383</f>
        <v>0</v>
      </c>
      <c r="BP383" s="866"/>
      <c r="BQ383" s="866"/>
      <c r="BR383" s="866">
        <f>VLOOKUP(BD383,$BD$4:$BN$12824,6,0)*BE383</f>
        <v>51639.340577386531</v>
      </c>
      <c r="BS383" s="866">
        <f>VLOOKUP(BD383,$BD$4:$BN$12824,7,0)*BE383</f>
        <v>1307.2331709795344</v>
      </c>
      <c r="BT383" s="866"/>
      <c r="BU383" s="866">
        <f>VLOOKUP(BD383,$BD$4:$BN$12824,9,0)*BE383</f>
        <v>920.4674682854718</v>
      </c>
      <c r="BV383" s="867"/>
      <c r="BW383" s="867">
        <f>VLOOKUP(BD383,$BD$4:$BN$12824,11,0)*BE383</f>
        <v>5890.9917970270199</v>
      </c>
      <c r="BX383" s="1146">
        <f t="shared" si="75"/>
        <v>59758.033013678556</v>
      </c>
      <c r="BY383" s="867">
        <f t="shared" si="66"/>
        <v>230644.67216894645</v>
      </c>
      <c r="BZ383" s="867">
        <f t="shared" si="63"/>
        <v>1383868.0330136786</v>
      </c>
      <c r="CA383" s="867">
        <f>_xlfn.MAXIFS($BY$4:$BY$12824,$S$4:$S$12824,$S383)</f>
        <v>230644.67216894645</v>
      </c>
      <c r="CB383" s="1032"/>
      <c r="CC383" s="999" t="s">
        <v>1353</v>
      </c>
      <c r="CF383" s="946">
        <f t="shared" si="65"/>
        <v>1324110</v>
      </c>
    </row>
    <row r="384" spans="1:84">
      <c r="A384" s="1032"/>
      <c r="B384" s="839" t="s">
        <v>98</v>
      </c>
      <c r="C384" s="839" t="s">
        <v>131</v>
      </c>
      <c r="D384" s="839" t="s">
        <v>1331</v>
      </c>
      <c r="E384" s="839" t="s">
        <v>1332</v>
      </c>
      <c r="F384" s="841">
        <v>45321</v>
      </c>
      <c r="G384" s="840" t="s">
        <v>133</v>
      </c>
      <c r="H384" s="842" t="s">
        <v>134</v>
      </c>
      <c r="I384" s="842"/>
      <c r="J384" s="841"/>
      <c r="K384" s="841"/>
      <c r="L384" s="843" t="s">
        <v>106</v>
      </c>
      <c r="M384" s="844" t="s">
        <v>1333</v>
      </c>
      <c r="N384" s="841">
        <v>45356</v>
      </c>
      <c r="O384" s="841" t="s">
        <v>135</v>
      </c>
      <c r="P384" s="841" t="s">
        <v>1362</v>
      </c>
      <c r="Q384" s="843"/>
      <c r="R384" s="845" t="s">
        <v>1391</v>
      </c>
      <c r="S384" s="1127" t="s">
        <v>1392</v>
      </c>
      <c r="T384" s="843" t="s">
        <v>1393</v>
      </c>
      <c r="U384" s="842">
        <v>6</v>
      </c>
      <c r="V384" s="842" t="s">
        <v>8</v>
      </c>
      <c r="W384" s="846">
        <v>23</v>
      </c>
      <c r="X384" s="847">
        <f t="shared" si="58"/>
        <v>138</v>
      </c>
      <c r="Y384" s="848">
        <f t="shared" si="74"/>
        <v>0.62</v>
      </c>
      <c r="Z384" s="849">
        <v>8.74</v>
      </c>
      <c r="AA384" s="849"/>
      <c r="AB384" s="849">
        <f t="shared" si="59"/>
        <v>52.44</v>
      </c>
      <c r="AC384" s="850">
        <f t="shared" si="60"/>
        <v>52.44</v>
      </c>
      <c r="AD384" s="851"/>
      <c r="AE384" s="852">
        <v>25250</v>
      </c>
      <c r="AF384" s="853">
        <v>0</v>
      </c>
      <c r="AG384" s="854">
        <f t="shared" si="61"/>
        <v>0</v>
      </c>
      <c r="AH384" s="853"/>
      <c r="AI384" s="855">
        <f t="shared" si="62"/>
        <v>0</v>
      </c>
      <c r="AJ384" s="845" t="s">
        <v>1337</v>
      </c>
      <c r="AK384" s="857" t="s">
        <v>1338</v>
      </c>
      <c r="AL384" s="840" t="s">
        <v>1339</v>
      </c>
      <c r="AM384" s="840" t="s">
        <v>1340</v>
      </c>
      <c r="AN384" s="858" t="s">
        <v>1341</v>
      </c>
      <c r="AO384" s="844"/>
      <c r="AP384" s="859" t="s">
        <v>1342</v>
      </c>
      <c r="AQ384" s="859" t="s">
        <v>1343</v>
      </c>
      <c r="AR384" s="859" t="s">
        <v>1344</v>
      </c>
      <c r="AS384" s="840" t="s">
        <v>1310</v>
      </c>
      <c r="AT384" s="840" t="s">
        <v>1235</v>
      </c>
      <c r="AU384" s="860" t="s">
        <v>1345</v>
      </c>
      <c r="AV384" s="839" t="s">
        <v>1346</v>
      </c>
      <c r="AW384" s="861">
        <v>45357</v>
      </c>
      <c r="AX384" s="862"/>
      <c r="AY384" s="843" t="s">
        <v>1394</v>
      </c>
      <c r="AZ384" s="842">
        <v>42010000</v>
      </c>
      <c r="BA384" s="842" t="s">
        <v>120</v>
      </c>
      <c r="BB384" s="863" t="s">
        <v>121</v>
      </c>
      <c r="BC384" s="864">
        <v>45447</v>
      </c>
      <c r="BD384" s="860" t="s">
        <v>1348</v>
      </c>
      <c r="BE384" s="865" cm="1">
        <f t="array" ref="BE384">IF(BD384="","",AC384/SUMPRODUCT(--(BD384=$BD$4:$BD$12824),$AC$4:$AC$12824))</f>
        <v>3.6818698731418873E-3</v>
      </c>
      <c r="BF384" s="458"/>
      <c r="BG384" s="458"/>
      <c r="BH384" s="458"/>
      <c r="BI384" s="458"/>
      <c r="BJ384" s="458"/>
      <c r="BK384" s="458"/>
      <c r="BL384" s="458"/>
      <c r="BM384" s="458"/>
      <c r="BN384" s="458"/>
      <c r="BO384" s="866">
        <f>VLOOKUP(BD384,$BD$4:$BN$12824,3,0)*BE384</f>
        <v>0</v>
      </c>
      <c r="BP384" s="866"/>
      <c r="BQ384" s="866"/>
      <c r="BR384" s="866">
        <f>VLOOKUP(BD384,$BD$4:$BN$12824,6,0)*BE384</f>
        <v>51639.340577386531</v>
      </c>
      <c r="BS384" s="866">
        <f>VLOOKUP(BD384,$BD$4:$BN$12824,7,0)*BE384</f>
        <v>1307.2331709795344</v>
      </c>
      <c r="BT384" s="866"/>
      <c r="BU384" s="866">
        <f>VLOOKUP(BD384,$BD$4:$BN$12824,9,0)*BE384</f>
        <v>920.4674682854718</v>
      </c>
      <c r="BV384" s="867"/>
      <c r="BW384" s="867">
        <f>VLOOKUP(BD384,$BD$4:$BN$12824,11,0)*BE384</f>
        <v>5890.9917970270199</v>
      </c>
      <c r="BX384" s="1146">
        <f t="shared" si="75"/>
        <v>59758.033013678556</v>
      </c>
      <c r="BY384" s="867">
        <f t="shared" si="66"/>
        <v>230644.67216894645</v>
      </c>
      <c r="BZ384" s="867">
        <f t="shared" si="63"/>
        <v>1383868.0330136786</v>
      </c>
      <c r="CA384" s="867">
        <f>_xlfn.MAXIFS($BY$4:$BY$12824,$S$4:$S$12824,$S384)</f>
        <v>230644.67216894645</v>
      </c>
      <c r="CB384" s="1032"/>
      <c r="CC384" s="999" t="s">
        <v>1353</v>
      </c>
      <c r="CF384" s="946">
        <f t="shared" si="65"/>
        <v>1324110</v>
      </c>
    </row>
    <row r="385" spans="1:84">
      <c r="A385" s="1032"/>
      <c r="B385" s="839" t="s">
        <v>98</v>
      </c>
      <c r="C385" s="839" t="s">
        <v>131</v>
      </c>
      <c r="D385" s="839" t="s">
        <v>1331</v>
      </c>
      <c r="E385" s="839" t="s">
        <v>1332</v>
      </c>
      <c r="F385" s="841">
        <v>45321</v>
      </c>
      <c r="G385" s="840" t="s">
        <v>133</v>
      </c>
      <c r="H385" s="842" t="s">
        <v>134</v>
      </c>
      <c r="I385" s="842"/>
      <c r="J385" s="841"/>
      <c r="K385" s="841"/>
      <c r="L385" s="843" t="s">
        <v>106</v>
      </c>
      <c r="M385" s="844" t="s">
        <v>1333</v>
      </c>
      <c r="N385" s="841">
        <v>45356</v>
      </c>
      <c r="O385" s="841" t="s">
        <v>135</v>
      </c>
      <c r="P385" s="841" t="s">
        <v>1362</v>
      </c>
      <c r="Q385" s="843"/>
      <c r="R385" s="845" t="s">
        <v>1395</v>
      </c>
      <c r="S385" s="1127" t="s">
        <v>1396</v>
      </c>
      <c r="T385" s="843" t="s">
        <v>1397</v>
      </c>
      <c r="U385" s="842">
        <v>6</v>
      </c>
      <c r="V385" s="842" t="s">
        <v>8</v>
      </c>
      <c r="W385" s="846">
        <v>23</v>
      </c>
      <c r="X385" s="847">
        <f t="shared" ref="X385:X448" si="76">W385*U385</f>
        <v>138</v>
      </c>
      <c r="Y385" s="848">
        <f t="shared" si="74"/>
        <v>0.62</v>
      </c>
      <c r="Z385" s="849">
        <v>8.74</v>
      </c>
      <c r="AA385" s="849"/>
      <c r="AB385" s="849">
        <f t="shared" ref="AB385:AB448" si="77">IF(AA385="F.O.C", 0, Z385*U385)</f>
        <v>52.44</v>
      </c>
      <c r="AC385" s="850">
        <f t="shared" ref="AC385:AC448" si="78">Z385*U385</f>
        <v>52.44</v>
      </c>
      <c r="AD385" s="851"/>
      <c r="AE385" s="852">
        <v>25250</v>
      </c>
      <c r="AF385" s="853">
        <v>0</v>
      </c>
      <c r="AG385" s="854">
        <f t="shared" ref="AG385:AG448" si="79">(AC385*AE385+BO385+BP385+BQ385+BS385)*AF385</f>
        <v>0</v>
      </c>
      <c r="AH385" s="853"/>
      <c r="AI385" s="855">
        <f t="shared" ref="AI385:AI448" si="80">(AC385*AE385+AG385+BF385+BG385+BH385+BJ385)*AH385</f>
        <v>0</v>
      </c>
      <c r="AJ385" s="845" t="s">
        <v>1337</v>
      </c>
      <c r="AK385" s="857" t="s">
        <v>1338</v>
      </c>
      <c r="AL385" s="840" t="s">
        <v>1339</v>
      </c>
      <c r="AM385" s="840" t="s">
        <v>1340</v>
      </c>
      <c r="AN385" s="858" t="s">
        <v>1341</v>
      </c>
      <c r="AO385" s="844"/>
      <c r="AP385" s="859" t="s">
        <v>1342</v>
      </c>
      <c r="AQ385" s="859" t="s">
        <v>1343</v>
      </c>
      <c r="AR385" s="859" t="s">
        <v>1344</v>
      </c>
      <c r="AS385" s="840" t="s">
        <v>1310</v>
      </c>
      <c r="AT385" s="840" t="s">
        <v>1235</v>
      </c>
      <c r="AU385" s="860" t="s">
        <v>1345</v>
      </c>
      <c r="AV385" s="839" t="s">
        <v>1346</v>
      </c>
      <c r="AW385" s="861">
        <v>45357</v>
      </c>
      <c r="AX385" s="862"/>
      <c r="AY385" s="843" t="s">
        <v>1398</v>
      </c>
      <c r="AZ385" s="842">
        <v>42010000</v>
      </c>
      <c r="BA385" s="842" t="s">
        <v>120</v>
      </c>
      <c r="BB385" s="863" t="s">
        <v>121</v>
      </c>
      <c r="BC385" s="864">
        <v>45447</v>
      </c>
      <c r="BD385" s="860" t="s">
        <v>1348</v>
      </c>
      <c r="BE385" s="865" cm="1">
        <f t="array" ref="BE385">IF(BD385="","",AC385/SUMPRODUCT(--(BD385=$BD$4:$BD$12824),$AC$4:$AC$12824))</f>
        <v>3.6818698731418873E-3</v>
      </c>
      <c r="BF385" s="458"/>
      <c r="BG385" s="458"/>
      <c r="BH385" s="458"/>
      <c r="BI385" s="458"/>
      <c r="BJ385" s="458"/>
      <c r="BK385" s="458"/>
      <c r="BL385" s="458"/>
      <c r="BM385" s="458"/>
      <c r="BN385" s="458"/>
      <c r="BO385" s="866">
        <f>VLOOKUP(BD385,$BD$4:$BN$12824,3,0)*BE385</f>
        <v>0</v>
      </c>
      <c r="BP385" s="866"/>
      <c r="BQ385" s="866"/>
      <c r="BR385" s="866">
        <f>VLOOKUP(BD385,$BD$4:$BN$12824,6,0)*BE385</f>
        <v>51639.340577386531</v>
      </c>
      <c r="BS385" s="866">
        <f>VLOOKUP(BD385,$BD$4:$BN$12824,7,0)*BE385</f>
        <v>1307.2331709795344</v>
      </c>
      <c r="BT385" s="866"/>
      <c r="BU385" s="866">
        <f>VLOOKUP(BD385,$BD$4:$BN$12824,9,0)*BE385</f>
        <v>920.4674682854718</v>
      </c>
      <c r="BV385" s="867"/>
      <c r="BW385" s="867">
        <f>VLOOKUP(BD385,$BD$4:$BN$12824,11,0)*BE385</f>
        <v>5890.9917970270199</v>
      </c>
      <c r="BX385" s="1146">
        <f t="shared" si="75"/>
        <v>59758.033013678556</v>
      </c>
      <c r="BY385" s="867">
        <f t="shared" si="66"/>
        <v>230644.67216894645</v>
      </c>
      <c r="BZ385" s="867">
        <f t="shared" ref="BZ385:BZ448" si="81">BY385*U385</f>
        <v>1383868.0330136786</v>
      </c>
      <c r="CA385" s="867">
        <f>_xlfn.MAXIFS($BY$4:$BY$12824,$S$4:$S$12824,$S385)</f>
        <v>230644.67216894645</v>
      </c>
      <c r="CB385" s="1032"/>
      <c r="CC385" s="999" t="s">
        <v>1353</v>
      </c>
      <c r="CF385" s="946">
        <f t="shared" si="65"/>
        <v>1324110</v>
      </c>
    </row>
    <row r="386" spans="1:84">
      <c r="A386" s="1032"/>
      <c r="B386" s="839" t="s">
        <v>98</v>
      </c>
      <c r="C386" s="839" t="s">
        <v>131</v>
      </c>
      <c r="D386" s="839" t="s">
        <v>1331</v>
      </c>
      <c r="E386" s="839" t="s">
        <v>1332</v>
      </c>
      <c r="F386" s="841">
        <v>45321</v>
      </c>
      <c r="G386" s="840" t="s">
        <v>133</v>
      </c>
      <c r="H386" s="842" t="s">
        <v>134</v>
      </c>
      <c r="I386" s="842"/>
      <c r="J386" s="841"/>
      <c r="K386" s="841"/>
      <c r="L386" s="843" t="s">
        <v>106</v>
      </c>
      <c r="M386" s="844" t="s">
        <v>1333</v>
      </c>
      <c r="N386" s="841">
        <v>45356</v>
      </c>
      <c r="O386" s="841" t="s">
        <v>135</v>
      </c>
      <c r="P386" s="841" t="s">
        <v>1362</v>
      </c>
      <c r="Q386" s="843"/>
      <c r="R386" s="845" t="s">
        <v>1399</v>
      </c>
      <c r="S386" s="1127" t="s">
        <v>1400</v>
      </c>
      <c r="T386" s="843" t="s">
        <v>1401</v>
      </c>
      <c r="U386" s="842">
        <v>4</v>
      </c>
      <c r="V386" s="842" t="s">
        <v>8</v>
      </c>
      <c r="W386" s="846">
        <v>38</v>
      </c>
      <c r="X386" s="847">
        <f t="shared" si="76"/>
        <v>152</v>
      </c>
      <c r="Y386" s="848">
        <f t="shared" si="74"/>
        <v>0.62000000000000011</v>
      </c>
      <c r="Z386" s="849">
        <v>14.44</v>
      </c>
      <c r="AA386" s="849"/>
      <c r="AB386" s="849">
        <f t="shared" si="77"/>
        <v>57.76</v>
      </c>
      <c r="AC386" s="850">
        <f t="shared" si="78"/>
        <v>57.76</v>
      </c>
      <c r="AD386" s="851"/>
      <c r="AE386" s="852">
        <v>25250</v>
      </c>
      <c r="AF386" s="853">
        <v>0</v>
      </c>
      <c r="AG386" s="854">
        <f t="shared" si="79"/>
        <v>0</v>
      </c>
      <c r="AH386" s="853"/>
      <c r="AI386" s="855">
        <f t="shared" si="80"/>
        <v>0</v>
      </c>
      <c r="AJ386" s="845" t="s">
        <v>1337</v>
      </c>
      <c r="AK386" s="857" t="s">
        <v>1338</v>
      </c>
      <c r="AL386" s="840" t="s">
        <v>1339</v>
      </c>
      <c r="AM386" s="840" t="s">
        <v>1340</v>
      </c>
      <c r="AN386" s="858" t="s">
        <v>1341</v>
      </c>
      <c r="AO386" s="844"/>
      <c r="AP386" s="859" t="s">
        <v>1342</v>
      </c>
      <c r="AQ386" s="859" t="s">
        <v>1343</v>
      </c>
      <c r="AR386" s="859" t="s">
        <v>1344</v>
      </c>
      <c r="AS386" s="840" t="s">
        <v>1310</v>
      </c>
      <c r="AT386" s="840" t="s">
        <v>1235</v>
      </c>
      <c r="AU386" s="860" t="s">
        <v>1345</v>
      </c>
      <c r="AV386" s="839" t="s">
        <v>1346</v>
      </c>
      <c r="AW386" s="861">
        <v>45357</v>
      </c>
      <c r="AX386" s="862"/>
      <c r="AY386" s="843" t="s">
        <v>1402</v>
      </c>
      <c r="AZ386" s="842">
        <v>69120000</v>
      </c>
      <c r="BA386" s="842" t="s">
        <v>120</v>
      </c>
      <c r="BB386" s="863" t="s">
        <v>121</v>
      </c>
      <c r="BC386" s="864">
        <v>45447</v>
      </c>
      <c r="BD386" s="860" t="s">
        <v>1348</v>
      </c>
      <c r="BE386" s="865" cm="1">
        <f t="array" ref="BE386">IF(BD386="","",AC386/SUMPRODUCT(--(BD386=$BD$4:$BD$12824),$AC$4:$AC$12824))</f>
        <v>4.0553929037504847E-3</v>
      </c>
      <c r="BF386" s="458"/>
      <c r="BG386" s="458"/>
      <c r="BH386" s="458"/>
      <c r="BI386" s="458"/>
      <c r="BJ386" s="458"/>
      <c r="BK386" s="458"/>
      <c r="BL386" s="458"/>
      <c r="BM386" s="458"/>
      <c r="BN386" s="458"/>
      <c r="BO386" s="866">
        <f>VLOOKUP(BD386,$BD$4:$BN$12824,3,0)*BE386</f>
        <v>0</v>
      </c>
      <c r="BP386" s="866"/>
      <c r="BQ386" s="866"/>
      <c r="BR386" s="866">
        <f>VLOOKUP(BD386,$BD$4:$BN$12824,6,0)*BE386</f>
        <v>56878.114259150381</v>
      </c>
      <c r="BS386" s="866">
        <f>VLOOKUP(BD386,$BD$4:$BN$12824,7,0)*BE386</f>
        <v>1439.8510289049946</v>
      </c>
      <c r="BT386" s="866"/>
      <c r="BU386" s="866">
        <f>VLOOKUP(BD386,$BD$4:$BN$12824,9,0)*BE386</f>
        <v>1013.8482259376211</v>
      </c>
      <c r="BV386" s="867"/>
      <c r="BW386" s="867">
        <f>VLOOKUP(BD386,$BD$4:$BN$12824,11,0)*BE386</f>
        <v>6488.6286460007759</v>
      </c>
      <c r="BX386" s="1146">
        <f t="shared" si="75"/>
        <v>65820.442159993778</v>
      </c>
      <c r="BY386" s="867">
        <f t="shared" si="66"/>
        <v>381065.11053999845</v>
      </c>
      <c r="BZ386" s="867">
        <f t="shared" si="81"/>
        <v>1524260.4421599938</v>
      </c>
      <c r="CA386" s="867">
        <f>_xlfn.MAXIFS($BY$4:$BY$12824,$S$4:$S$12824,$S386)</f>
        <v>381065.11053999845</v>
      </c>
      <c r="CB386" s="1032"/>
      <c r="CC386" s="999" t="s">
        <v>1353</v>
      </c>
      <c r="CF386" s="946">
        <f t="shared" si="65"/>
        <v>1458440</v>
      </c>
    </row>
    <row r="387" spans="1:84">
      <c r="A387" s="1032"/>
      <c r="B387" s="839" t="s">
        <v>98</v>
      </c>
      <c r="C387" s="839" t="s">
        <v>131</v>
      </c>
      <c r="D387" s="839" t="s">
        <v>1331</v>
      </c>
      <c r="E387" s="839" t="s">
        <v>1332</v>
      </c>
      <c r="F387" s="841">
        <v>45321</v>
      </c>
      <c r="G387" s="840" t="s">
        <v>133</v>
      </c>
      <c r="H387" s="842" t="s">
        <v>134</v>
      </c>
      <c r="I387" s="842"/>
      <c r="J387" s="841"/>
      <c r="K387" s="841"/>
      <c r="L387" s="843" t="s">
        <v>106</v>
      </c>
      <c r="M387" s="844" t="s">
        <v>1333</v>
      </c>
      <c r="N387" s="841">
        <v>45356</v>
      </c>
      <c r="O387" s="841" t="s">
        <v>135</v>
      </c>
      <c r="P387" s="841" t="s">
        <v>1362</v>
      </c>
      <c r="Q387" s="843"/>
      <c r="R387" s="845" t="s">
        <v>1403</v>
      </c>
      <c r="S387" s="1127" t="s">
        <v>1404</v>
      </c>
      <c r="T387" s="843" t="s">
        <v>1405</v>
      </c>
      <c r="U387" s="842">
        <v>6</v>
      </c>
      <c r="V387" s="842" t="s">
        <v>8</v>
      </c>
      <c r="W387" s="846">
        <v>15</v>
      </c>
      <c r="X387" s="847">
        <f t="shared" si="76"/>
        <v>90</v>
      </c>
      <c r="Y387" s="848">
        <f t="shared" si="74"/>
        <v>0.62</v>
      </c>
      <c r="Z387" s="849">
        <v>5.7</v>
      </c>
      <c r="AA387" s="849"/>
      <c r="AB387" s="849">
        <f t="shared" si="77"/>
        <v>34.200000000000003</v>
      </c>
      <c r="AC387" s="850">
        <f t="shared" si="78"/>
        <v>34.200000000000003</v>
      </c>
      <c r="AD387" s="851"/>
      <c r="AE387" s="852">
        <v>25250</v>
      </c>
      <c r="AF387" s="853">
        <v>0</v>
      </c>
      <c r="AG387" s="854">
        <f t="shared" si="79"/>
        <v>0</v>
      </c>
      <c r="AH387" s="853"/>
      <c r="AI387" s="855">
        <f t="shared" si="80"/>
        <v>0</v>
      </c>
      <c r="AJ387" s="845" t="s">
        <v>1337</v>
      </c>
      <c r="AK387" s="857" t="s">
        <v>1338</v>
      </c>
      <c r="AL387" s="840" t="s">
        <v>1339</v>
      </c>
      <c r="AM387" s="840" t="s">
        <v>1340</v>
      </c>
      <c r="AN387" s="858" t="s">
        <v>1341</v>
      </c>
      <c r="AO387" s="844"/>
      <c r="AP387" s="859" t="s">
        <v>1342</v>
      </c>
      <c r="AQ387" s="859" t="s">
        <v>1343</v>
      </c>
      <c r="AR387" s="859" t="s">
        <v>1344</v>
      </c>
      <c r="AS387" s="840" t="s">
        <v>1310</v>
      </c>
      <c r="AT387" s="840" t="s">
        <v>1235</v>
      </c>
      <c r="AU387" s="860" t="s">
        <v>1345</v>
      </c>
      <c r="AV387" s="839" t="s">
        <v>1346</v>
      </c>
      <c r="AW387" s="861">
        <v>45357</v>
      </c>
      <c r="AX387" s="862"/>
      <c r="AY387" s="843" t="s">
        <v>1406</v>
      </c>
      <c r="AZ387" s="842">
        <v>42010000</v>
      </c>
      <c r="BA387" s="842" t="s">
        <v>120</v>
      </c>
      <c r="BB387" s="863" t="s">
        <v>121</v>
      </c>
      <c r="BC387" s="864">
        <v>45447</v>
      </c>
      <c r="BD387" s="860" t="s">
        <v>1348</v>
      </c>
      <c r="BE387" s="865" cm="1">
        <f t="array" ref="BE387">IF(BD387="","",AC387/SUMPRODUCT(--(BD387=$BD$4:$BD$12824),$AC$4:$AC$12824))</f>
        <v>2.4012194824838398E-3</v>
      </c>
      <c r="BF387" s="458"/>
      <c r="BG387" s="458"/>
      <c r="BH387" s="458"/>
      <c r="BI387" s="458"/>
      <c r="BJ387" s="458"/>
      <c r="BK387" s="458"/>
      <c r="BL387" s="458"/>
      <c r="BM387" s="458"/>
      <c r="BN387" s="458"/>
      <c r="BO387" s="866">
        <f>VLOOKUP(BD387,$BD$4:$BN$12824,3,0)*BE387</f>
        <v>0</v>
      </c>
      <c r="BP387" s="866"/>
      <c r="BQ387" s="866"/>
      <c r="BR387" s="866">
        <f>VLOOKUP(BD387,$BD$4:$BN$12824,6,0)*BE387</f>
        <v>33677.830811339045</v>
      </c>
      <c r="BS387" s="866">
        <f>VLOOKUP(BD387,$BD$4:$BN$12824,7,0)*BE387</f>
        <v>852.54337237795733</v>
      </c>
      <c r="BT387" s="866"/>
      <c r="BU387" s="866">
        <f>VLOOKUP(BD387,$BD$4:$BN$12824,9,0)*BE387</f>
        <v>600.30487062095995</v>
      </c>
      <c r="BV387" s="867"/>
      <c r="BW387" s="867">
        <f>VLOOKUP(BD387,$BD$4:$BN$12824,11,0)*BE387</f>
        <v>3841.9511719741436</v>
      </c>
      <c r="BX387" s="1146">
        <f t="shared" si="75"/>
        <v>38972.630226312103</v>
      </c>
      <c r="BY387" s="867">
        <f t="shared" si="66"/>
        <v>150420.43837105203</v>
      </c>
      <c r="BZ387" s="867">
        <f t="shared" si="81"/>
        <v>902522.63022631221</v>
      </c>
      <c r="CA387" s="867">
        <f>_xlfn.MAXIFS($BY$4:$BY$12824,$S$4:$S$12824,$S387)</f>
        <v>150420.43837105203</v>
      </c>
      <c r="CB387" s="1032"/>
      <c r="CC387" s="999" t="s">
        <v>1353</v>
      </c>
      <c r="CF387" s="946">
        <f t="shared" si="65"/>
        <v>863550.00000000012</v>
      </c>
    </row>
    <row r="388" spans="1:84">
      <c r="A388" s="1032"/>
      <c r="B388" s="839" t="s">
        <v>98</v>
      </c>
      <c r="C388" s="839" t="s">
        <v>131</v>
      </c>
      <c r="D388" s="839" t="s">
        <v>1331</v>
      </c>
      <c r="E388" s="839" t="s">
        <v>1332</v>
      </c>
      <c r="F388" s="841">
        <v>45321</v>
      </c>
      <c r="G388" s="840" t="s">
        <v>133</v>
      </c>
      <c r="H388" s="842" t="s">
        <v>134</v>
      </c>
      <c r="I388" s="842"/>
      <c r="J388" s="841"/>
      <c r="K388" s="841"/>
      <c r="L388" s="843" t="s">
        <v>106</v>
      </c>
      <c r="M388" s="844" t="s">
        <v>1333</v>
      </c>
      <c r="N388" s="841">
        <v>45356</v>
      </c>
      <c r="O388" s="841" t="s">
        <v>135</v>
      </c>
      <c r="P388" s="841" t="s">
        <v>1362</v>
      </c>
      <c r="Q388" s="843"/>
      <c r="R388" s="845" t="s">
        <v>1407</v>
      </c>
      <c r="S388" s="1127" t="s">
        <v>1408</v>
      </c>
      <c r="T388" s="843" t="s">
        <v>1409</v>
      </c>
      <c r="U388" s="842">
        <v>6</v>
      </c>
      <c r="V388" s="842" t="s">
        <v>8</v>
      </c>
      <c r="W388" s="846">
        <v>15</v>
      </c>
      <c r="X388" s="847">
        <f t="shared" si="76"/>
        <v>90</v>
      </c>
      <c r="Y388" s="848">
        <f t="shared" si="74"/>
        <v>0.62</v>
      </c>
      <c r="Z388" s="849">
        <v>5.7</v>
      </c>
      <c r="AA388" s="849"/>
      <c r="AB388" s="849">
        <f t="shared" si="77"/>
        <v>34.200000000000003</v>
      </c>
      <c r="AC388" s="850">
        <f t="shared" si="78"/>
        <v>34.200000000000003</v>
      </c>
      <c r="AD388" s="851"/>
      <c r="AE388" s="852">
        <v>25250</v>
      </c>
      <c r="AF388" s="853">
        <v>0</v>
      </c>
      <c r="AG388" s="854">
        <f t="shared" si="79"/>
        <v>0</v>
      </c>
      <c r="AH388" s="853"/>
      <c r="AI388" s="855">
        <f t="shared" si="80"/>
        <v>0</v>
      </c>
      <c r="AJ388" s="845" t="s">
        <v>1337</v>
      </c>
      <c r="AK388" s="857" t="s">
        <v>1338</v>
      </c>
      <c r="AL388" s="840" t="s">
        <v>1339</v>
      </c>
      <c r="AM388" s="840" t="s">
        <v>1340</v>
      </c>
      <c r="AN388" s="858" t="s">
        <v>1341</v>
      </c>
      <c r="AO388" s="844"/>
      <c r="AP388" s="859" t="s">
        <v>1342</v>
      </c>
      <c r="AQ388" s="859" t="s">
        <v>1343</v>
      </c>
      <c r="AR388" s="859" t="s">
        <v>1344</v>
      </c>
      <c r="AS388" s="840" t="s">
        <v>1310</v>
      </c>
      <c r="AT388" s="840" t="s">
        <v>1235</v>
      </c>
      <c r="AU388" s="860" t="s">
        <v>1345</v>
      </c>
      <c r="AV388" s="839" t="s">
        <v>1346</v>
      </c>
      <c r="AW388" s="861">
        <v>45357</v>
      </c>
      <c r="AX388" s="862"/>
      <c r="AY388" s="843" t="s">
        <v>1410</v>
      </c>
      <c r="AZ388" s="842">
        <v>42010000</v>
      </c>
      <c r="BA388" s="842" t="s">
        <v>120</v>
      </c>
      <c r="BB388" s="863" t="s">
        <v>121</v>
      </c>
      <c r="BC388" s="864">
        <v>45447</v>
      </c>
      <c r="BD388" s="860" t="s">
        <v>1348</v>
      </c>
      <c r="BE388" s="865" cm="1">
        <f t="array" ref="BE388">IF(BD388="","",AC388/SUMPRODUCT(--(BD388=$BD$4:$BD$12824),$AC$4:$AC$12824))</f>
        <v>2.4012194824838398E-3</v>
      </c>
      <c r="BF388" s="458"/>
      <c r="BG388" s="458"/>
      <c r="BH388" s="458"/>
      <c r="BI388" s="458"/>
      <c r="BJ388" s="458"/>
      <c r="BK388" s="458"/>
      <c r="BL388" s="458"/>
      <c r="BM388" s="458"/>
      <c r="BN388" s="458"/>
      <c r="BO388" s="866">
        <f>VLOOKUP(BD388,$BD$4:$BN$12824,3,0)*BE388</f>
        <v>0</v>
      </c>
      <c r="BP388" s="866"/>
      <c r="BQ388" s="866"/>
      <c r="BR388" s="866">
        <f>VLOOKUP(BD388,$BD$4:$BN$12824,6,0)*BE388</f>
        <v>33677.830811339045</v>
      </c>
      <c r="BS388" s="866">
        <f>VLOOKUP(BD388,$BD$4:$BN$12824,7,0)*BE388</f>
        <v>852.54337237795733</v>
      </c>
      <c r="BT388" s="866"/>
      <c r="BU388" s="866">
        <f>VLOOKUP(BD388,$BD$4:$BN$12824,9,0)*BE388</f>
        <v>600.30487062095995</v>
      </c>
      <c r="BV388" s="867"/>
      <c r="BW388" s="867">
        <f>VLOOKUP(BD388,$BD$4:$BN$12824,11,0)*BE388</f>
        <v>3841.9511719741436</v>
      </c>
      <c r="BX388" s="1146">
        <f t="shared" si="75"/>
        <v>38972.630226312103</v>
      </c>
      <c r="BY388" s="867">
        <f t="shared" si="66"/>
        <v>150420.43837105203</v>
      </c>
      <c r="BZ388" s="867">
        <f t="shared" si="81"/>
        <v>902522.63022631221</v>
      </c>
      <c r="CA388" s="867">
        <f>_xlfn.MAXIFS($BY$4:$BY$12824,$S$4:$S$12824,$S388)</f>
        <v>150420.43837105203</v>
      </c>
      <c r="CB388" s="1032"/>
      <c r="CC388" s="999" t="s">
        <v>1353</v>
      </c>
      <c r="CF388" s="946">
        <f t="shared" si="65"/>
        <v>863550.00000000012</v>
      </c>
    </row>
    <row r="389" spans="1:84">
      <c r="A389" s="1032"/>
      <c r="B389" s="839" t="s">
        <v>98</v>
      </c>
      <c r="C389" s="839" t="s">
        <v>131</v>
      </c>
      <c r="D389" s="839" t="s">
        <v>1331</v>
      </c>
      <c r="E389" s="839" t="s">
        <v>1332</v>
      </c>
      <c r="F389" s="841">
        <v>45321</v>
      </c>
      <c r="G389" s="840" t="s">
        <v>133</v>
      </c>
      <c r="H389" s="842" t="s">
        <v>134</v>
      </c>
      <c r="I389" s="842"/>
      <c r="J389" s="841"/>
      <c r="K389" s="841"/>
      <c r="L389" s="843" t="s">
        <v>106</v>
      </c>
      <c r="M389" s="844" t="s">
        <v>1333</v>
      </c>
      <c r="N389" s="841">
        <v>45356</v>
      </c>
      <c r="O389" s="841" t="s">
        <v>135</v>
      </c>
      <c r="P389" s="841" t="s">
        <v>1362</v>
      </c>
      <c r="Q389" s="843"/>
      <c r="R389" s="845" t="s">
        <v>1411</v>
      </c>
      <c r="S389" s="1127" t="s">
        <v>1412</v>
      </c>
      <c r="T389" s="843" t="s">
        <v>1413</v>
      </c>
      <c r="U389" s="842">
        <v>6</v>
      </c>
      <c r="V389" s="842" t="s">
        <v>8</v>
      </c>
      <c r="W389" s="846">
        <v>23</v>
      </c>
      <c r="X389" s="847">
        <f t="shared" si="76"/>
        <v>138</v>
      </c>
      <c r="Y389" s="848">
        <f t="shared" si="74"/>
        <v>0.62</v>
      </c>
      <c r="Z389" s="849">
        <v>8.74</v>
      </c>
      <c r="AA389" s="849"/>
      <c r="AB389" s="849">
        <f t="shared" si="77"/>
        <v>52.44</v>
      </c>
      <c r="AC389" s="850">
        <f t="shared" si="78"/>
        <v>52.44</v>
      </c>
      <c r="AD389" s="851"/>
      <c r="AE389" s="852">
        <v>25250</v>
      </c>
      <c r="AF389" s="853">
        <v>0</v>
      </c>
      <c r="AG389" s="854">
        <f t="shared" si="79"/>
        <v>0</v>
      </c>
      <c r="AH389" s="853"/>
      <c r="AI389" s="855">
        <f t="shared" si="80"/>
        <v>0</v>
      </c>
      <c r="AJ389" s="845" t="s">
        <v>1337</v>
      </c>
      <c r="AK389" s="857" t="s">
        <v>1338</v>
      </c>
      <c r="AL389" s="840" t="s">
        <v>1339</v>
      </c>
      <c r="AM389" s="840" t="s">
        <v>1340</v>
      </c>
      <c r="AN389" s="858" t="s">
        <v>1341</v>
      </c>
      <c r="AO389" s="844"/>
      <c r="AP389" s="859" t="s">
        <v>1342</v>
      </c>
      <c r="AQ389" s="859" t="s">
        <v>1343</v>
      </c>
      <c r="AR389" s="859" t="s">
        <v>1344</v>
      </c>
      <c r="AS389" s="840" t="s">
        <v>1310</v>
      </c>
      <c r="AT389" s="840" t="s">
        <v>1235</v>
      </c>
      <c r="AU389" s="860" t="s">
        <v>1345</v>
      </c>
      <c r="AV389" s="839" t="s">
        <v>1346</v>
      </c>
      <c r="AW389" s="861">
        <v>45357</v>
      </c>
      <c r="AX389" s="862"/>
      <c r="AY389" s="843" t="s">
        <v>1414</v>
      </c>
      <c r="AZ389" s="842">
        <v>42010000</v>
      </c>
      <c r="BA389" s="842" t="s">
        <v>120</v>
      </c>
      <c r="BB389" s="863" t="s">
        <v>121</v>
      </c>
      <c r="BC389" s="864">
        <v>45447</v>
      </c>
      <c r="BD389" s="860" t="s">
        <v>1348</v>
      </c>
      <c r="BE389" s="865" cm="1">
        <f t="array" ref="BE389">IF(BD389="","",AC389/SUMPRODUCT(--(BD389=$BD$4:$BD$12824),$AC$4:$AC$12824))</f>
        <v>3.6818698731418873E-3</v>
      </c>
      <c r="BF389" s="458"/>
      <c r="BG389" s="458"/>
      <c r="BH389" s="458"/>
      <c r="BI389" s="458"/>
      <c r="BJ389" s="458"/>
      <c r="BK389" s="458"/>
      <c r="BL389" s="458"/>
      <c r="BM389" s="458"/>
      <c r="BN389" s="458"/>
      <c r="BO389" s="866">
        <f>VLOOKUP(BD389,$BD$4:$BN$12824,3,0)*BE389</f>
        <v>0</v>
      </c>
      <c r="BP389" s="866"/>
      <c r="BQ389" s="866"/>
      <c r="BR389" s="866">
        <f>VLOOKUP(BD389,$BD$4:$BN$12824,6,0)*BE389</f>
        <v>51639.340577386531</v>
      </c>
      <c r="BS389" s="866">
        <f>VLOOKUP(BD389,$BD$4:$BN$12824,7,0)*BE389</f>
        <v>1307.2331709795344</v>
      </c>
      <c r="BT389" s="866"/>
      <c r="BU389" s="866">
        <f>VLOOKUP(BD389,$BD$4:$BN$12824,9,0)*BE389</f>
        <v>920.4674682854718</v>
      </c>
      <c r="BV389" s="867"/>
      <c r="BW389" s="867">
        <f>VLOOKUP(BD389,$BD$4:$BN$12824,11,0)*BE389</f>
        <v>5890.9917970270199</v>
      </c>
      <c r="BX389" s="1146">
        <f t="shared" si="75"/>
        <v>59758.033013678556</v>
      </c>
      <c r="BY389" s="867">
        <f t="shared" si="66"/>
        <v>230644.67216894645</v>
      </c>
      <c r="BZ389" s="867">
        <f t="shared" si="81"/>
        <v>1383868.0330136786</v>
      </c>
      <c r="CA389" s="867">
        <f>_xlfn.MAXIFS($BY$4:$BY$12824,$S$4:$S$12824,$S389)</f>
        <v>230644.67216894645</v>
      </c>
      <c r="CB389" s="1032"/>
      <c r="CC389" s="999" t="s">
        <v>1353</v>
      </c>
      <c r="CF389" s="946">
        <f t="shared" ref="CF389:CF449" si="82">AC389*AE389</f>
        <v>1324110</v>
      </c>
    </row>
    <row r="390" spans="1:84">
      <c r="A390" s="1032"/>
      <c r="B390" s="839" t="s">
        <v>98</v>
      </c>
      <c r="C390" s="839" t="s">
        <v>131</v>
      </c>
      <c r="D390" s="839" t="s">
        <v>1331</v>
      </c>
      <c r="E390" s="839" t="s">
        <v>1332</v>
      </c>
      <c r="F390" s="841">
        <v>45321</v>
      </c>
      <c r="G390" s="840" t="s">
        <v>133</v>
      </c>
      <c r="H390" s="842" t="s">
        <v>134</v>
      </c>
      <c r="I390" s="842"/>
      <c r="J390" s="841"/>
      <c r="K390" s="841"/>
      <c r="L390" s="843" t="s">
        <v>106</v>
      </c>
      <c r="M390" s="844" t="s">
        <v>1333</v>
      </c>
      <c r="N390" s="841">
        <v>45356</v>
      </c>
      <c r="O390" s="841" t="s">
        <v>135</v>
      </c>
      <c r="P390" s="841" t="s">
        <v>1362</v>
      </c>
      <c r="Q390" s="843"/>
      <c r="R390" s="845" t="s">
        <v>1415</v>
      </c>
      <c r="S390" s="1127" t="s">
        <v>1416</v>
      </c>
      <c r="T390" s="843" t="s">
        <v>1417</v>
      </c>
      <c r="U390" s="842">
        <v>6</v>
      </c>
      <c r="V390" s="842" t="s">
        <v>8</v>
      </c>
      <c r="W390" s="846">
        <v>23</v>
      </c>
      <c r="X390" s="847">
        <f t="shared" si="76"/>
        <v>138</v>
      </c>
      <c r="Y390" s="848">
        <f t="shared" si="74"/>
        <v>0.62</v>
      </c>
      <c r="Z390" s="849">
        <v>8.74</v>
      </c>
      <c r="AA390" s="849"/>
      <c r="AB390" s="849">
        <f t="shared" si="77"/>
        <v>52.44</v>
      </c>
      <c r="AC390" s="850">
        <f t="shared" si="78"/>
        <v>52.44</v>
      </c>
      <c r="AD390" s="851"/>
      <c r="AE390" s="852">
        <v>25250</v>
      </c>
      <c r="AF390" s="853">
        <v>0</v>
      </c>
      <c r="AG390" s="854">
        <f t="shared" si="79"/>
        <v>0</v>
      </c>
      <c r="AH390" s="853"/>
      <c r="AI390" s="855">
        <f t="shared" si="80"/>
        <v>0</v>
      </c>
      <c r="AJ390" s="845" t="s">
        <v>1337</v>
      </c>
      <c r="AK390" s="857" t="s">
        <v>1338</v>
      </c>
      <c r="AL390" s="840" t="s">
        <v>1339</v>
      </c>
      <c r="AM390" s="840" t="s">
        <v>1340</v>
      </c>
      <c r="AN390" s="858" t="s">
        <v>1341</v>
      </c>
      <c r="AO390" s="844"/>
      <c r="AP390" s="859" t="s">
        <v>1342</v>
      </c>
      <c r="AQ390" s="859" t="s">
        <v>1343</v>
      </c>
      <c r="AR390" s="859" t="s">
        <v>1344</v>
      </c>
      <c r="AS390" s="840" t="s">
        <v>1310</v>
      </c>
      <c r="AT390" s="840" t="s">
        <v>1235</v>
      </c>
      <c r="AU390" s="860" t="s">
        <v>1345</v>
      </c>
      <c r="AV390" s="839" t="s">
        <v>1346</v>
      </c>
      <c r="AW390" s="861">
        <v>45357</v>
      </c>
      <c r="AX390" s="862"/>
      <c r="AY390" s="843" t="s">
        <v>1418</v>
      </c>
      <c r="AZ390" s="842">
        <v>42010000</v>
      </c>
      <c r="BA390" s="842" t="s">
        <v>120</v>
      </c>
      <c r="BB390" s="863" t="s">
        <v>121</v>
      </c>
      <c r="BC390" s="864">
        <v>45447</v>
      </c>
      <c r="BD390" s="860" t="s">
        <v>1348</v>
      </c>
      <c r="BE390" s="865" cm="1">
        <f t="array" ref="BE390">IF(BD390="","",AC390/SUMPRODUCT(--(BD390=$BD$4:$BD$12824),$AC$4:$AC$12824))</f>
        <v>3.6818698731418873E-3</v>
      </c>
      <c r="BF390" s="458"/>
      <c r="BG390" s="458"/>
      <c r="BH390" s="458"/>
      <c r="BI390" s="458"/>
      <c r="BJ390" s="458"/>
      <c r="BK390" s="458"/>
      <c r="BL390" s="458"/>
      <c r="BM390" s="458"/>
      <c r="BN390" s="458"/>
      <c r="BO390" s="866">
        <f>VLOOKUP(BD390,$BD$4:$BN$12824,3,0)*BE390</f>
        <v>0</v>
      </c>
      <c r="BP390" s="866"/>
      <c r="BQ390" s="866"/>
      <c r="BR390" s="866">
        <f>VLOOKUP(BD390,$BD$4:$BN$12824,6,0)*BE390</f>
        <v>51639.340577386531</v>
      </c>
      <c r="BS390" s="866">
        <f>VLOOKUP(BD390,$BD$4:$BN$12824,7,0)*BE390</f>
        <v>1307.2331709795344</v>
      </c>
      <c r="BT390" s="866"/>
      <c r="BU390" s="866">
        <f>VLOOKUP(BD390,$BD$4:$BN$12824,9,0)*BE390</f>
        <v>920.4674682854718</v>
      </c>
      <c r="BV390" s="867"/>
      <c r="BW390" s="867">
        <f>VLOOKUP(BD390,$BD$4:$BN$12824,11,0)*BE390</f>
        <v>5890.9917970270199</v>
      </c>
      <c r="BX390" s="1146">
        <f t="shared" si="75"/>
        <v>59758.033013678556</v>
      </c>
      <c r="BY390" s="867">
        <f t="shared" ref="BY390:BY454" si="83">(AB390*AE390+AG390+BX390)/U390</f>
        <v>230644.67216894645</v>
      </c>
      <c r="BZ390" s="867">
        <f t="shared" si="81"/>
        <v>1383868.0330136786</v>
      </c>
      <c r="CA390" s="867">
        <f>_xlfn.MAXIFS($BY$4:$BY$12824,$S$4:$S$12824,$S390)</f>
        <v>230644.67216894645</v>
      </c>
      <c r="CB390" s="1032"/>
      <c r="CC390" s="999" t="s">
        <v>1353</v>
      </c>
      <c r="CF390" s="946">
        <f t="shared" si="82"/>
        <v>1324110</v>
      </c>
    </row>
    <row r="391" spans="1:84">
      <c r="A391" s="1032"/>
      <c r="B391" s="839" t="s">
        <v>98</v>
      </c>
      <c r="C391" s="839" t="s">
        <v>131</v>
      </c>
      <c r="D391" s="839" t="s">
        <v>1331</v>
      </c>
      <c r="E391" s="839" t="s">
        <v>1332</v>
      </c>
      <c r="F391" s="841">
        <v>45321</v>
      </c>
      <c r="G391" s="840" t="s">
        <v>133</v>
      </c>
      <c r="H391" s="842" t="s">
        <v>134</v>
      </c>
      <c r="I391" s="842"/>
      <c r="J391" s="841"/>
      <c r="K391" s="841"/>
      <c r="L391" s="843" t="s">
        <v>106</v>
      </c>
      <c r="M391" s="844" t="s">
        <v>1333</v>
      </c>
      <c r="N391" s="841">
        <v>45356</v>
      </c>
      <c r="O391" s="841" t="s">
        <v>135</v>
      </c>
      <c r="P391" s="841" t="s">
        <v>1362</v>
      </c>
      <c r="Q391" s="843"/>
      <c r="R391" s="845" t="s">
        <v>1419</v>
      </c>
      <c r="S391" s="1127" t="s">
        <v>1420</v>
      </c>
      <c r="T391" s="843" t="s">
        <v>1421</v>
      </c>
      <c r="U391" s="842">
        <v>6</v>
      </c>
      <c r="V391" s="842" t="s">
        <v>8</v>
      </c>
      <c r="W391" s="846">
        <v>23</v>
      </c>
      <c r="X391" s="847">
        <f t="shared" si="76"/>
        <v>138</v>
      </c>
      <c r="Y391" s="848">
        <f t="shared" si="74"/>
        <v>0.62</v>
      </c>
      <c r="Z391" s="849">
        <v>8.74</v>
      </c>
      <c r="AA391" s="849"/>
      <c r="AB391" s="849">
        <f t="shared" si="77"/>
        <v>52.44</v>
      </c>
      <c r="AC391" s="850">
        <f t="shared" si="78"/>
        <v>52.44</v>
      </c>
      <c r="AD391" s="851"/>
      <c r="AE391" s="852">
        <v>25250</v>
      </c>
      <c r="AF391" s="853">
        <v>0</v>
      </c>
      <c r="AG391" s="854">
        <f t="shared" si="79"/>
        <v>0</v>
      </c>
      <c r="AH391" s="853"/>
      <c r="AI391" s="855">
        <f t="shared" si="80"/>
        <v>0</v>
      </c>
      <c r="AJ391" s="845" t="s">
        <v>1337</v>
      </c>
      <c r="AK391" s="857" t="s">
        <v>1338</v>
      </c>
      <c r="AL391" s="840" t="s">
        <v>1339</v>
      </c>
      <c r="AM391" s="840" t="s">
        <v>1340</v>
      </c>
      <c r="AN391" s="858" t="s">
        <v>1341</v>
      </c>
      <c r="AO391" s="844"/>
      <c r="AP391" s="859" t="s">
        <v>1342</v>
      </c>
      <c r="AQ391" s="859" t="s">
        <v>1343</v>
      </c>
      <c r="AR391" s="859" t="s">
        <v>1344</v>
      </c>
      <c r="AS391" s="840" t="s">
        <v>1310</v>
      </c>
      <c r="AT391" s="840" t="s">
        <v>1235</v>
      </c>
      <c r="AU391" s="860" t="s">
        <v>1345</v>
      </c>
      <c r="AV391" s="839" t="s">
        <v>1346</v>
      </c>
      <c r="AW391" s="861">
        <v>45357</v>
      </c>
      <c r="AX391" s="862"/>
      <c r="AY391" s="843" t="s">
        <v>1422</v>
      </c>
      <c r="AZ391" s="842">
        <v>42010000</v>
      </c>
      <c r="BA391" s="842" t="s">
        <v>120</v>
      </c>
      <c r="BB391" s="863" t="s">
        <v>121</v>
      </c>
      <c r="BC391" s="864">
        <v>45447</v>
      </c>
      <c r="BD391" s="860" t="s">
        <v>1348</v>
      </c>
      <c r="BE391" s="865" cm="1">
        <f t="array" ref="BE391">IF(BD391="","",AC391/SUMPRODUCT(--(BD391=$BD$4:$BD$12824),$AC$4:$AC$12824))</f>
        <v>3.6818698731418873E-3</v>
      </c>
      <c r="BF391" s="458"/>
      <c r="BG391" s="458"/>
      <c r="BH391" s="458"/>
      <c r="BI391" s="458"/>
      <c r="BJ391" s="458"/>
      <c r="BK391" s="458"/>
      <c r="BL391" s="458"/>
      <c r="BM391" s="458"/>
      <c r="BN391" s="458"/>
      <c r="BO391" s="866">
        <f>VLOOKUP(BD391,$BD$4:$BN$12824,3,0)*BE391</f>
        <v>0</v>
      </c>
      <c r="BP391" s="866"/>
      <c r="BQ391" s="866"/>
      <c r="BR391" s="866">
        <f>VLOOKUP(BD391,$BD$4:$BN$12824,6,0)*BE391</f>
        <v>51639.340577386531</v>
      </c>
      <c r="BS391" s="866">
        <f>VLOOKUP(BD391,$BD$4:$BN$12824,7,0)*BE391</f>
        <v>1307.2331709795344</v>
      </c>
      <c r="BT391" s="866"/>
      <c r="BU391" s="866">
        <f>VLOOKUP(BD391,$BD$4:$BN$12824,9,0)*BE391</f>
        <v>920.4674682854718</v>
      </c>
      <c r="BV391" s="867"/>
      <c r="BW391" s="867">
        <f>VLOOKUP(BD391,$BD$4:$BN$12824,11,0)*BE391</f>
        <v>5890.9917970270199</v>
      </c>
      <c r="BX391" s="1146">
        <f t="shared" si="75"/>
        <v>59758.033013678556</v>
      </c>
      <c r="BY391" s="867">
        <f t="shared" si="83"/>
        <v>230644.67216894645</v>
      </c>
      <c r="BZ391" s="867">
        <f t="shared" si="81"/>
        <v>1383868.0330136786</v>
      </c>
      <c r="CA391" s="867">
        <f>_xlfn.MAXIFS($BY$4:$BY$12824,$S$4:$S$12824,$S391)</f>
        <v>230644.67216894645</v>
      </c>
      <c r="CB391" s="1032"/>
      <c r="CC391" s="999" t="s">
        <v>1353</v>
      </c>
      <c r="CF391" s="946">
        <f t="shared" si="82"/>
        <v>1324110</v>
      </c>
    </row>
    <row r="392" spans="1:84">
      <c r="A392" s="1032"/>
      <c r="B392" s="839" t="s">
        <v>98</v>
      </c>
      <c r="C392" s="839" t="s">
        <v>131</v>
      </c>
      <c r="D392" s="839" t="s">
        <v>1331</v>
      </c>
      <c r="E392" s="839" t="s">
        <v>1332</v>
      </c>
      <c r="F392" s="841">
        <v>45321</v>
      </c>
      <c r="G392" s="840" t="s">
        <v>133</v>
      </c>
      <c r="H392" s="842" t="s">
        <v>134</v>
      </c>
      <c r="I392" s="842"/>
      <c r="J392" s="841"/>
      <c r="K392" s="841"/>
      <c r="L392" s="843" t="s">
        <v>106</v>
      </c>
      <c r="M392" s="844" t="s">
        <v>1333</v>
      </c>
      <c r="N392" s="841">
        <v>45356</v>
      </c>
      <c r="O392" s="841" t="s">
        <v>135</v>
      </c>
      <c r="P392" s="841" t="s">
        <v>1362</v>
      </c>
      <c r="Q392" s="843"/>
      <c r="R392" s="845" t="s">
        <v>1423</v>
      </c>
      <c r="S392" s="1127" t="s">
        <v>1424</v>
      </c>
      <c r="T392" s="843" t="s">
        <v>1425</v>
      </c>
      <c r="U392" s="842">
        <v>6</v>
      </c>
      <c r="V392" s="842" t="s">
        <v>8</v>
      </c>
      <c r="W392" s="846">
        <v>23</v>
      </c>
      <c r="X392" s="847">
        <f t="shared" si="76"/>
        <v>138</v>
      </c>
      <c r="Y392" s="848">
        <f t="shared" si="74"/>
        <v>0.62</v>
      </c>
      <c r="Z392" s="849">
        <v>8.74</v>
      </c>
      <c r="AA392" s="849"/>
      <c r="AB392" s="849">
        <f t="shared" si="77"/>
        <v>52.44</v>
      </c>
      <c r="AC392" s="850">
        <f t="shared" si="78"/>
        <v>52.44</v>
      </c>
      <c r="AD392" s="851"/>
      <c r="AE392" s="852">
        <v>25250</v>
      </c>
      <c r="AF392" s="853">
        <v>0</v>
      </c>
      <c r="AG392" s="854">
        <f t="shared" si="79"/>
        <v>0</v>
      </c>
      <c r="AH392" s="853"/>
      <c r="AI392" s="855">
        <f t="shared" si="80"/>
        <v>0</v>
      </c>
      <c r="AJ392" s="845" t="s">
        <v>1337</v>
      </c>
      <c r="AK392" s="857" t="s">
        <v>1338</v>
      </c>
      <c r="AL392" s="840" t="s">
        <v>1339</v>
      </c>
      <c r="AM392" s="840" t="s">
        <v>1340</v>
      </c>
      <c r="AN392" s="858" t="s">
        <v>1341</v>
      </c>
      <c r="AO392" s="844"/>
      <c r="AP392" s="859" t="s">
        <v>1342</v>
      </c>
      <c r="AQ392" s="859" t="s">
        <v>1343</v>
      </c>
      <c r="AR392" s="859" t="s">
        <v>1344</v>
      </c>
      <c r="AS392" s="840" t="s">
        <v>1310</v>
      </c>
      <c r="AT392" s="840" t="s">
        <v>1235</v>
      </c>
      <c r="AU392" s="860" t="s">
        <v>1345</v>
      </c>
      <c r="AV392" s="839" t="s">
        <v>1346</v>
      </c>
      <c r="AW392" s="861">
        <v>45357</v>
      </c>
      <c r="AX392" s="862"/>
      <c r="AY392" s="843" t="s">
        <v>1426</v>
      </c>
      <c r="AZ392" s="842">
        <v>42010000</v>
      </c>
      <c r="BA392" s="842" t="s">
        <v>120</v>
      </c>
      <c r="BB392" s="863" t="s">
        <v>121</v>
      </c>
      <c r="BC392" s="864">
        <v>45447</v>
      </c>
      <c r="BD392" s="860" t="s">
        <v>1348</v>
      </c>
      <c r="BE392" s="865" cm="1">
        <f t="array" ref="BE392">IF(BD392="","",AC392/SUMPRODUCT(--(BD392=$BD$4:$BD$12824),$AC$4:$AC$12824))</f>
        <v>3.6818698731418873E-3</v>
      </c>
      <c r="BF392" s="458"/>
      <c r="BG392" s="458"/>
      <c r="BH392" s="458"/>
      <c r="BI392" s="458"/>
      <c r="BJ392" s="458"/>
      <c r="BK392" s="458"/>
      <c r="BL392" s="458"/>
      <c r="BM392" s="458"/>
      <c r="BN392" s="458"/>
      <c r="BO392" s="866">
        <f>VLOOKUP(BD392,$BD$4:$BN$12824,3,0)*BE392</f>
        <v>0</v>
      </c>
      <c r="BP392" s="866"/>
      <c r="BQ392" s="866"/>
      <c r="BR392" s="866">
        <f>VLOOKUP(BD392,$BD$4:$BN$12824,6,0)*BE392</f>
        <v>51639.340577386531</v>
      </c>
      <c r="BS392" s="866">
        <f>VLOOKUP(BD392,$BD$4:$BN$12824,7,0)*BE392</f>
        <v>1307.2331709795344</v>
      </c>
      <c r="BT392" s="866"/>
      <c r="BU392" s="866">
        <f>VLOOKUP(BD392,$BD$4:$BN$12824,9,0)*BE392</f>
        <v>920.4674682854718</v>
      </c>
      <c r="BV392" s="867"/>
      <c r="BW392" s="867">
        <f>VLOOKUP(BD392,$BD$4:$BN$12824,11,0)*BE392</f>
        <v>5890.9917970270199</v>
      </c>
      <c r="BX392" s="1146">
        <f t="shared" si="75"/>
        <v>59758.033013678556</v>
      </c>
      <c r="BY392" s="867">
        <f t="shared" si="83"/>
        <v>230644.67216894645</v>
      </c>
      <c r="BZ392" s="867">
        <f t="shared" si="81"/>
        <v>1383868.0330136786</v>
      </c>
      <c r="CA392" s="867">
        <f>_xlfn.MAXIFS($BY$4:$BY$12824,$S$4:$S$12824,$S392)</f>
        <v>230644.67216894645</v>
      </c>
      <c r="CB392" s="1032"/>
      <c r="CC392" s="999" t="s">
        <v>1353</v>
      </c>
      <c r="CF392" s="946">
        <f t="shared" si="82"/>
        <v>1324110</v>
      </c>
    </row>
    <row r="393" spans="1:84">
      <c r="A393" s="1032"/>
      <c r="B393" s="839" t="s">
        <v>98</v>
      </c>
      <c r="C393" s="839" t="s">
        <v>131</v>
      </c>
      <c r="D393" s="839" t="s">
        <v>1331</v>
      </c>
      <c r="E393" s="839" t="s">
        <v>1332</v>
      </c>
      <c r="F393" s="841">
        <v>45321</v>
      </c>
      <c r="G393" s="840" t="s">
        <v>133</v>
      </c>
      <c r="H393" s="842" t="s">
        <v>134</v>
      </c>
      <c r="I393" s="842"/>
      <c r="J393" s="841"/>
      <c r="K393" s="841"/>
      <c r="L393" s="843" t="s">
        <v>106</v>
      </c>
      <c r="M393" s="844" t="s">
        <v>1333</v>
      </c>
      <c r="N393" s="841">
        <v>45356</v>
      </c>
      <c r="O393" s="841" t="s">
        <v>135</v>
      </c>
      <c r="P393" s="841" t="s">
        <v>1362</v>
      </c>
      <c r="Q393" s="843"/>
      <c r="R393" s="845" t="s">
        <v>1427</v>
      </c>
      <c r="S393" s="1127" t="s">
        <v>1428</v>
      </c>
      <c r="T393" s="843" t="s">
        <v>1429</v>
      </c>
      <c r="U393" s="842">
        <v>6</v>
      </c>
      <c r="V393" s="842" t="s">
        <v>8</v>
      </c>
      <c r="W393" s="846">
        <v>23</v>
      </c>
      <c r="X393" s="847">
        <f t="shared" si="76"/>
        <v>138</v>
      </c>
      <c r="Y393" s="848">
        <f t="shared" si="74"/>
        <v>0.62</v>
      </c>
      <c r="Z393" s="849">
        <v>8.74</v>
      </c>
      <c r="AA393" s="849"/>
      <c r="AB393" s="849">
        <f t="shared" si="77"/>
        <v>52.44</v>
      </c>
      <c r="AC393" s="850">
        <f t="shared" si="78"/>
        <v>52.44</v>
      </c>
      <c r="AD393" s="851"/>
      <c r="AE393" s="852">
        <v>25250</v>
      </c>
      <c r="AF393" s="853">
        <v>0</v>
      </c>
      <c r="AG393" s="854">
        <f t="shared" si="79"/>
        <v>0</v>
      </c>
      <c r="AH393" s="853"/>
      <c r="AI393" s="855">
        <f t="shared" si="80"/>
        <v>0</v>
      </c>
      <c r="AJ393" s="845" t="s">
        <v>1337</v>
      </c>
      <c r="AK393" s="857" t="s">
        <v>1338</v>
      </c>
      <c r="AL393" s="840" t="s">
        <v>1339</v>
      </c>
      <c r="AM393" s="840" t="s">
        <v>1340</v>
      </c>
      <c r="AN393" s="858" t="s">
        <v>1341</v>
      </c>
      <c r="AO393" s="844"/>
      <c r="AP393" s="859" t="s">
        <v>1342</v>
      </c>
      <c r="AQ393" s="859" t="s">
        <v>1343</v>
      </c>
      <c r="AR393" s="859" t="s">
        <v>1344</v>
      </c>
      <c r="AS393" s="840" t="s">
        <v>1310</v>
      </c>
      <c r="AT393" s="840" t="s">
        <v>1235</v>
      </c>
      <c r="AU393" s="860" t="s">
        <v>1345</v>
      </c>
      <c r="AV393" s="839" t="s">
        <v>1346</v>
      </c>
      <c r="AW393" s="861">
        <v>45357</v>
      </c>
      <c r="AX393" s="862"/>
      <c r="AY393" s="843" t="s">
        <v>1430</v>
      </c>
      <c r="AZ393" s="842">
        <v>42010000</v>
      </c>
      <c r="BA393" s="842" t="s">
        <v>120</v>
      </c>
      <c r="BB393" s="863" t="s">
        <v>121</v>
      </c>
      <c r="BC393" s="864">
        <v>45447</v>
      </c>
      <c r="BD393" s="860" t="s">
        <v>1348</v>
      </c>
      <c r="BE393" s="865" cm="1">
        <f t="array" ref="BE393">IF(BD393="","",AC393/SUMPRODUCT(--(BD393=$BD$4:$BD$12824),$AC$4:$AC$12824))</f>
        <v>3.6818698731418873E-3</v>
      </c>
      <c r="BF393" s="458"/>
      <c r="BG393" s="458"/>
      <c r="BH393" s="458"/>
      <c r="BI393" s="458"/>
      <c r="BJ393" s="458"/>
      <c r="BK393" s="458"/>
      <c r="BL393" s="458"/>
      <c r="BM393" s="458"/>
      <c r="BN393" s="458"/>
      <c r="BO393" s="866">
        <f>VLOOKUP(BD393,$BD$4:$BN$12824,3,0)*BE393</f>
        <v>0</v>
      </c>
      <c r="BP393" s="866"/>
      <c r="BQ393" s="866"/>
      <c r="BR393" s="866">
        <f>VLOOKUP(BD393,$BD$4:$BN$12824,6,0)*BE393</f>
        <v>51639.340577386531</v>
      </c>
      <c r="BS393" s="866">
        <f>VLOOKUP(BD393,$BD$4:$BN$12824,7,0)*BE393</f>
        <v>1307.2331709795344</v>
      </c>
      <c r="BT393" s="866"/>
      <c r="BU393" s="866">
        <f>VLOOKUP(BD393,$BD$4:$BN$12824,9,0)*BE393</f>
        <v>920.4674682854718</v>
      </c>
      <c r="BV393" s="867"/>
      <c r="BW393" s="867">
        <f>VLOOKUP(BD393,$BD$4:$BN$12824,11,0)*BE393</f>
        <v>5890.9917970270199</v>
      </c>
      <c r="BX393" s="1146">
        <f t="shared" si="75"/>
        <v>59758.033013678556</v>
      </c>
      <c r="BY393" s="867">
        <f t="shared" si="83"/>
        <v>230644.67216894645</v>
      </c>
      <c r="BZ393" s="867">
        <f t="shared" si="81"/>
        <v>1383868.0330136786</v>
      </c>
      <c r="CA393" s="867">
        <f>_xlfn.MAXIFS($BY$4:$BY$12824,$S$4:$S$12824,$S393)</f>
        <v>230644.67216894645</v>
      </c>
      <c r="CB393" s="1032"/>
      <c r="CC393" s="999" t="s">
        <v>1353</v>
      </c>
      <c r="CF393" s="946">
        <f t="shared" si="82"/>
        <v>1324110</v>
      </c>
    </row>
    <row r="394" spans="1:84">
      <c r="A394" s="1032"/>
      <c r="B394" s="839" t="s">
        <v>98</v>
      </c>
      <c r="C394" s="839" t="s">
        <v>131</v>
      </c>
      <c r="D394" s="839" t="s">
        <v>1331</v>
      </c>
      <c r="E394" s="839" t="s">
        <v>1332</v>
      </c>
      <c r="F394" s="841">
        <v>45321</v>
      </c>
      <c r="G394" s="840" t="s">
        <v>133</v>
      </c>
      <c r="H394" s="842" t="s">
        <v>134</v>
      </c>
      <c r="I394" s="842"/>
      <c r="J394" s="841"/>
      <c r="K394" s="841"/>
      <c r="L394" s="843" t="s">
        <v>106</v>
      </c>
      <c r="M394" s="844" t="s">
        <v>1333</v>
      </c>
      <c r="N394" s="841">
        <v>45356</v>
      </c>
      <c r="O394" s="841" t="s">
        <v>135</v>
      </c>
      <c r="P394" s="841" t="s">
        <v>1362</v>
      </c>
      <c r="Q394" s="843"/>
      <c r="R394" s="845" t="s">
        <v>1431</v>
      </c>
      <c r="S394" s="1127" t="s">
        <v>1432</v>
      </c>
      <c r="T394" s="843" t="s">
        <v>1433</v>
      </c>
      <c r="U394" s="842">
        <v>6</v>
      </c>
      <c r="V394" s="842" t="s">
        <v>8</v>
      </c>
      <c r="W394" s="846">
        <v>23</v>
      </c>
      <c r="X394" s="847">
        <f t="shared" si="76"/>
        <v>138</v>
      </c>
      <c r="Y394" s="848">
        <f t="shared" si="74"/>
        <v>0.62</v>
      </c>
      <c r="Z394" s="849">
        <v>8.74</v>
      </c>
      <c r="AA394" s="849"/>
      <c r="AB394" s="849">
        <f t="shared" si="77"/>
        <v>52.44</v>
      </c>
      <c r="AC394" s="850">
        <f t="shared" si="78"/>
        <v>52.44</v>
      </c>
      <c r="AD394" s="851"/>
      <c r="AE394" s="852">
        <v>25250</v>
      </c>
      <c r="AF394" s="853">
        <v>0</v>
      </c>
      <c r="AG394" s="854">
        <f t="shared" si="79"/>
        <v>0</v>
      </c>
      <c r="AH394" s="853"/>
      <c r="AI394" s="855">
        <f t="shared" si="80"/>
        <v>0</v>
      </c>
      <c r="AJ394" s="845" t="s">
        <v>1337</v>
      </c>
      <c r="AK394" s="857" t="s">
        <v>1338</v>
      </c>
      <c r="AL394" s="840" t="s">
        <v>1339</v>
      </c>
      <c r="AM394" s="840" t="s">
        <v>1340</v>
      </c>
      <c r="AN394" s="858" t="s">
        <v>1341</v>
      </c>
      <c r="AO394" s="844"/>
      <c r="AP394" s="859" t="s">
        <v>1342</v>
      </c>
      <c r="AQ394" s="859" t="s">
        <v>1343</v>
      </c>
      <c r="AR394" s="859" t="s">
        <v>1344</v>
      </c>
      <c r="AS394" s="840" t="s">
        <v>1310</v>
      </c>
      <c r="AT394" s="840" t="s">
        <v>1235</v>
      </c>
      <c r="AU394" s="860" t="s">
        <v>1345</v>
      </c>
      <c r="AV394" s="839" t="s">
        <v>1346</v>
      </c>
      <c r="AW394" s="861">
        <v>45357</v>
      </c>
      <c r="AX394" s="862"/>
      <c r="AY394" s="843" t="s">
        <v>1434</v>
      </c>
      <c r="AZ394" s="842">
        <v>42010000</v>
      </c>
      <c r="BA394" s="842" t="s">
        <v>120</v>
      </c>
      <c r="BB394" s="863" t="s">
        <v>121</v>
      </c>
      <c r="BC394" s="864">
        <v>45447</v>
      </c>
      <c r="BD394" s="860" t="s">
        <v>1348</v>
      </c>
      <c r="BE394" s="865" cm="1">
        <f t="array" ref="BE394">IF(BD394="","",AC394/SUMPRODUCT(--(BD394=$BD$4:$BD$12824),$AC$4:$AC$12824))</f>
        <v>3.6818698731418873E-3</v>
      </c>
      <c r="BF394" s="458"/>
      <c r="BG394" s="458"/>
      <c r="BH394" s="458"/>
      <c r="BI394" s="458"/>
      <c r="BJ394" s="458"/>
      <c r="BK394" s="458"/>
      <c r="BL394" s="458"/>
      <c r="BM394" s="458"/>
      <c r="BN394" s="458"/>
      <c r="BO394" s="866">
        <f>VLOOKUP(BD394,$BD$4:$BN$12824,3,0)*BE394</f>
        <v>0</v>
      </c>
      <c r="BP394" s="866"/>
      <c r="BQ394" s="866"/>
      <c r="BR394" s="866">
        <f>VLOOKUP(BD394,$BD$4:$BN$12824,6,0)*BE394</f>
        <v>51639.340577386531</v>
      </c>
      <c r="BS394" s="866">
        <f>VLOOKUP(BD394,$BD$4:$BN$12824,7,0)*BE394</f>
        <v>1307.2331709795344</v>
      </c>
      <c r="BT394" s="866"/>
      <c r="BU394" s="866">
        <f>VLOOKUP(BD394,$BD$4:$BN$12824,9,0)*BE394</f>
        <v>920.4674682854718</v>
      </c>
      <c r="BV394" s="867"/>
      <c r="BW394" s="867">
        <f>VLOOKUP(BD394,$BD$4:$BN$12824,11,0)*BE394</f>
        <v>5890.9917970270199</v>
      </c>
      <c r="BX394" s="1146">
        <f t="shared" si="75"/>
        <v>59758.033013678556</v>
      </c>
      <c r="BY394" s="867">
        <f t="shared" si="83"/>
        <v>230644.67216894645</v>
      </c>
      <c r="BZ394" s="867">
        <f t="shared" si="81"/>
        <v>1383868.0330136786</v>
      </c>
      <c r="CA394" s="867">
        <f>_xlfn.MAXIFS($BY$4:$BY$12824,$S$4:$S$12824,$S394)</f>
        <v>230644.67216894645</v>
      </c>
      <c r="CB394" s="1032"/>
      <c r="CC394" s="999" t="s">
        <v>1353</v>
      </c>
      <c r="CF394" s="946">
        <f t="shared" si="82"/>
        <v>1324110</v>
      </c>
    </row>
    <row r="395" spans="1:84">
      <c r="A395" s="1032"/>
      <c r="B395" s="839" t="s">
        <v>98</v>
      </c>
      <c r="C395" s="839" t="s">
        <v>131</v>
      </c>
      <c r="D395" s="839" t="s">
        <v>1331</v>
      </c>
      <c r="E395" s="839" t="s">
        <v>1435</v>
      </c>
      <c r="F395" s="841">
        <v>45539</v>
      </c>
      <c r="G395" s="840" t="s">
        <v>133</v>
      </c>
      <c r="H395" s="842" t="s">
        <v>134</v>
      </c>
      <c r="I395" s="842"/>
      <c r="J395" s="841"/>
      <c r="K395" s="841"/>
      <c r="L395" s="843" t="s">
        <v>106</v>
      </c>
      <c r="M395" s="844" t="s">
        <v>1333</v>
      </c>
      <c r="N395" s="841">
        <v>45356</v>
      </c>
      <c r="O395" s="841" t="s">
        <v>135</v>
      </c>
      <c r="P395" s="841" t="s">
        <v>186</v>
      </c>
      <c r="Q395" s="843"/>
      <c r="R395" s="845">
        <v>541461</v>
      </c>
      <c r="S395" s="1127" t="s">
        <v>1436</v>
      </c>
      <c r="T395" s="843" t="s">
        <v>1437</v>
      </c>
      <c r="U395" s="842">
        <v>60</v>
      </c>
      <c r="V395" s="842" t="s">
        <v>8</v>
      </c>
      <c r="W395" s="846">
        <v>12</v>
      </c>
      <c r="X395" s="847">
        <f t="shared" si="76"/>
        <v>720</v>
      </c>
      <c r="Y395" s="848">
        <f t="shared" si="74"/>
        <v>0.6</v>
      </c>
      <c r="Z395" s="849">
        <v>4.8</v>
      </c>
      <c r="AA395" s="849"/>
      <c r="AB395" s="849">
        <f t="shared" si="77"/>
        <v>288</v>
      </c>
      <c r="AC395" s="850">
        <f t="shared" si="78"/>
        <v>288</v>
      </c>
      <c r="AD395" s="851"/>
      <c r="AE395" s="852">
        <v>25250</v>
      </c>
      <c r="AF395" s="853">
        <v>0</v>
      </c>
      <c r="AG395" s="854">
        <f t="shared" si="79"/>
        <v>0</v>
      </c>
      <c r="AH395" s="853"/>
      <c r="AI395" s="855">
        <f t="shared" si="80"/>
        <v>0</v>
      </c>
      <c r="AJ395" s="845" t="s">
        <v>1337</v>
      </c>
      <c r="AK395" s="857" t="s">
        <v>1338</v>
      </c>
      <c r="AL395" s="840" t="s">
        <v>1339</v>
      </c>
      <c r="AM395" s="840" t="s">
        <v>1340</v>
      </c>
      <c r="AN395" s="858" t="s">
        <v>1341</v>
      </c>
      <c r="AO395" s="844"/>
      <c r="AP395" s="859" t="s">
        <v>1342</v>
      </c>
      <c r="AQ395" s="859" t="s">
        <v>1343</v>
      </c>
      <c r="AR395" s="859" t="s">
        <v>1344</v>
      </c>
      <c r="AS395" s="840" t="s">
        <v>1310</v>
      </c>
      <c r="AT395" s="840" t="s">
        <v>1235</v>
      </c>
      <c r="AU395" s="860" t="s">
        <v>1345</v>
      </c>
      <c r="AV395" s="839" t="s">
        <v>1346</v>
      </c>
      <c r="AW395" s="861">
        <v>45357</v>
      </c>
      <c r="AX395" s="862"/>
      <c r="AY395" s="843" t="s">
        <v>1438</v>
      </c>
      <c r="AZ395" s="842">
        <v>39249090</v>
      </c>
      <c r="BA395" s="842" t="s">
        <v>120</v>
      </c>
      <c r="BB395" s="863" t="s">
        <v>121</v>
      </c>
      <c r="BC395" s="864">
        <v>45447</v>
      </c>
      <c r="BD395" s="860" t="s">
        <v>1348</v>
      </c>
      <c r="BE395" s="865" cm="1">
        <f t="array" ref="BE395">IF(BD395="","",AC395/SUMPRODUCT(--(BD395=$BD$4:$BD$12824),$AC$4:$AC$12824))</f>
        <v>2.0220795641969175E-2</v>
      </c>
      <c r="BF395" s="458"/>
      <c r="BG395" s="458"/>
      <c r="BH395" s="458"/>
      <c r="BI395" s="458"/>
      <c r="BJ395" s="458"/>
      <c r="BK395" s="458"/>
      <c r="BL395" s="458"/>
      <c r="BM395" s="458"/>
      <c r="BN395" s="458"/>
      <c r="BO395" s="866">
        <f>VLOOKUP(BD395,$BD$4:$BN$12824,3,0)*BE395</f>
        <v>0</v>
      </c>
      <c r="BP395" s="866"/>
      <c r="BQ395" s="866"/>
      <c r="BR395" s="866">
        <f>VLOOKUP(BD395,$BD$4:$BN$12824,6,0)*BE395</f>
        <v>283602.78577969718</v>
      </c>
      <c r="BS395" s="866">
        <f>VLOOKUP(BD395,$BD$4:$BN$12824,7,0)*BE395</f>
        <v>7179.3126094985882</v>
      </c>
      <c r="BT395" s="866"/>
      <c r="BU395" s="866">
        <f>VLOOKUP(BD395,$BD$4:$BN$12824,9,0)*BE395</f>
        <v>5055.1989104922941</v>
      </c>
      <c r="BV395" s="867"/>
      <c r="BW395" s="867">
        <f>VLOOKUP(BD395,$BD$4:$BN$12824,11,0)*BE395</f>
        <v>32353.273027150681</v>
      </c>
      <c r="BX395" s="1146">
        <f t="shared" si="75"/>
        <v>328190.5703268387</v>
      </c>
      <c r="BY395" s="867">
        <f t="shared" si="83"/>
        <v>126669.84283878065</v>
      </c>
      <c r="BZ395" s="867">
        <f t="shared" si="81"/>
        <v>7600190.5703268386</v>
      </c>
      <c r="CA395" s="867">
        <f>_xlfn.MAXIFS($BY$4:$BY$12824,$S$4:$S$12824,$S395)</f>
        <v>126669.84283878065</v>
      </c>
      <c r="CB395" s="1032"/>
      <c r="CC395" s="999" t="s">
        <v>1353</v>
      </c>
      <c r="CF395" s="946">
        <f t="shared" si="82"/>
        <v>7272000</v>
      </c>
    </row>
    <row r="396" spans="1:84">
      <c r="A396" s="1032"/>
      <c r="B396" s="839" t="s">
        <v>98</v>
      </c>
      <c r="C396" s="839" t="s">
        <v>131</v>
      </c>
      <c r="D396" s="839" t="s">
        <v>1331</v>
      </c>
      <c r="E396" s="839" t="s">
        <v>1435</v>
      </c>
      <c r="F396" s="841">
        <v>45539</v>
      </c>
      <c r="G396" s="840" t="s">
        <v>133</v>
      </c>
      <c r="H396" s="842" t="s">
        <v>134</v>
      </c>
      <c r="I396" s="842"/>
      <c r="J396" s="841"/>
      <c r="K396" s="841"/>
      <c r="L396" s="843" t="s">
        <v>106</v>
      </c>
      <c r="M396" s="844" t="s">
        <v>1333</v>
      </c>
      <c r="N396" s="841">
        <v>45356</v>
      </c>
      <c r="O396" s="841" t="s">
        <v>135</v>
      </c>
      <c r="P396" s="841" t="s">
        <v>186</v>
      </c>
      <c r="Q396" s="843"/>
      <c r="R396" s="845">
        <v>541457</v>
      </c>
      <c r="S396" s="1127" t="s">
        <v>1439</v>
      </c>
      <c r="T396" s="843" t="s">
        <v>1440</v>
      </c>
      <c r="U396" s="842">
        <v>60</v>
      </c>
      <c r="V396" s="842" t="s">
        <v>8</v>
      </c>
      <c r="W396" s="846">
        <v>12</v>
      </c>
      <c r="X396" s="847">
        <f t="shared" si="76"/>
        <v>720</v>
      </c>
      <c r="Y396" s="848">
        <f t="shared" si="74"/>
        <v>0.6</v>
      </c>
      <c r="Z396" s="849">
        <v>4.8</v>
      </c>
      <c r="AA396" s="849"/>
      <c r="AB396" s="849">
        <f t="shared" si="77"/>
        <v>288</v>
      </c>
      <c r="AC396" s="850">
        <f t="shared" si="78"/>
        <v>288</v>
      </c>
      <c r="AD396" s="851"/>
      <c r="AE396" s="852">
        <v>25250</v>
      </c>
      <c r="AF396" s="853">
        <v>0</v>
      </c>
      <c r="AG396" s="854">
        <f t="shared" si="79"/>
        <v>0</v>
      </c>
      <c r="AH396" s="853"/>
      <c r="AI396" s="855">
        <f t="shared" si="80"/>
        <v>0</v>
      </c>
      <c r="AJ396" s="845" t="s">
        <v>1337</v>
      </c>
      <c r="AK396" s="857" t="s">
        <v>1338</v>
      </c>
      <c r="AL396" s="840" t="s">
        <v>1339</v>
      </c>
      <c r="AM396" s="840" t="s">
        <v>1340</v>
      </c>
      <c r="AN396" s="858" t="s">
        <v>1341</v>
      </c>
      <c r="AO396" s="844"/>
      <c r="AP396" s="859" t="s">
        <v>1342</v>
      </c>
      <c r="AQ396" s="859" t="s">
        <v>1343</v>
      </c>
      <c r="AR396" s="859" t="s">
        <v>1344</v>
      </c>
      <c r="AS396" s="840" t="s">
        <v>1310</v>
      </c>
      <c r="AT396" s="840" t="s">
        <v>1235</v>
      </c>
      <c r="AU396" s="860" t="s">
        <v>1345</v>
      </c>
      <c r="AV396" s="839" t="s">
        <v>1346</v>
      </c>
      <c r="AW396" s="861">
        <v>45357</v>
      </c>
      <c r="AX396" s="862"/>
      <c r="AY396" s="843" t="s">
        <v>1441</v>
      </c>
      <c r="AZ396" s="842">
        <v>39249090</v>
      </c>
      <c r="BA396" s="842" t="s">
        <v>120</v>
      </c>
      <c r="BB396" s="863" t="s">
        <v>121</v>
      </c>
      <c r="BC396" s="864">
        <v>45447</v>
      </c>
      <c r="BD396" s="860" t="s">
        <v>1348</v>
      </c>
      <c r="BE396" s="865" cm="1">
        <f t="array" ref="BE396">IF(BD396="","",AC396/SUMPRODUCT(--(BD396=$BD$4:$BD$12824),$AC$4:$AC$12824))</f>
        <v>2.0220795641969175E-2</v>
      </c>
      <c r="BF396" s="458"/>
      <c r="BG396" s="458"/>
      <c r="BH396" s="458"/>
      <c r="BI396" s="458"/>
      <c r="BJ396" s="458"/>
      <c r="BK396" s="458"/>
      <c r="BL396" s="458"/>
      <c r="BM396" s="458"/>
      <c r="BN396" s="458"/>
      <c r="BO396" s="866">
        <f>VLOOKUP(BD396,$BD$4:$BN$12824,3,0)*BE396</f>
        <v>0</v>
      </c>
      <c r="BP396" s="866"/>
      <c r="BQ396" s="866"/>
      <c r="BR396" s="866">
        <f>VLOOKUP(BD396,$BD$4:$BN$12824,6,0)*BE396</f>
        <v>283602.78577969718</v>
      </c>
      <c r="BS396" s="866">
        <f>VLOOKUP(BD396,$BD$4:$BN$12824,7,0)*BE396</f>
        <v>7179.3126094985882</v>
      </c>
      <c r="BT396" s="866"/>
      <c r="BU396" s="866">
        <f>VLOOKUP(BD396,$BD$4:$BN$12824,9,0)*BE396</f>
        <v>5055.1989104922941</v>
      </c>
      <c r="BV396" s="867"/>
      <c r="BW396" s="867">
        <f>VLOOKUP(BD396,$BD$4:$BN$12824,11,0)*BE396</f>
        <v>32353.273027150681</v>
      </c>
      <c r="BX396" s="1146">
        <f t="shared" si="75"/>
        <v>328190.5703268387</v>
      </c>
      <c r="BY396" s="867">
        <f t="shared" si="83"/>
        <v>126669.84283878065</v>
      </c>
      <c r="BZ396" s="867">
        <f t="shared" si="81"/>
        <v>7600190.5703268386</v>
      </c>
      <c r="CA396" s="867">
        <f>_xlfn.MAXIFS($BY$4:$BY$12824,$S$4:$S$12824,$S396)</f>
        <v>126669.84283878065</v>
      </c>
      <c r="CB396" s="1032"/>
      <c r="CC396" s="999" t="s">
        <v>1353</v>
      </c>
      <c r="CF396" s="946">
        <f t="shared" si="82"/>
        <v>7272000</v>
      </c>
    </row>
    <row r="397" spans="1:84">
      <c r="A397" s="1032"/>
      <c r="B397" s="839" t="s">
        <v>98</v>
      </c>
      <c r="C397" s="839" t="s">
        <v>131</v>
      </c>
      <c r="D397" s="839" t="s">
        <v>1331</v>
      </c>
      <c r="E397" s="839" t="s">
        <v>1435</v>
      </c>
      <c r="F397" s="841">
        <v>45539</v>
      </c>
      <c r="G397" s="840" t="s">
        <v>133</v>
      </c>
      <c r="H397" s="842" t="s">
        <v>134</v>
      </c>
      <c r="I397" s="842"/>
      <c r="J397" s="841"/>
      <c r="K397" s="841"/>
      <c r="L397" s="843" t="s">
        <v>106</v>
      </c>
      <c r="M397" s="844" t="s">
        <v>1333</v>
      </c>
      <c r="N397" s="841">
        <v>45356</v>
      </c>
      <c r="O397" s="841" t="s">
        <v>135</v>
      </c>
      <c r="P397" s="841" t="s">
        <v>186</v>
      </c>
      <c r="Q397" s="843"/>
      <c r="R397" s="845">
        <v>541458</v>
      </c>
      <c r="S397" s="1127" t="s">
        <v>1442</v>
      </c>
      <c r="T397" s="843" t="s">
        <v>1443</v>
      </c>
      <c r="U397" s="842">
        <v>60</v>
      </c>
      <c r="V397" s="842" t="s">
        <v>8</v>
      </c>
      <c r="W397" s="846">
        <v>12</v>
      </c>
      <c r="X397" s="847">
        <f t="shared" si="76"/>
        <v>720</v>
      </c>
      <c r="Y397" s="848">
        <f t="shared" si="74"/>
        <v>0.6</v>
      </c>
      <c r="Z397" s="849">
        <v>4.8</v>
      </c>
      <c r="AA397" s="849"/>
      <c r="AB397" s="849">
        <f t="shared" si="77"/>
        <v>288</v>
      </c>
      <c r="AC397" s="850">
        <f t="shared" si="78"/>
        <v>288</v>
      </c>
      <c r="AD397" s="851"/>
      <c r="AE397" s="852">
        <v>25250</v>
      </c>
      <c r="AF397" s="853">
        <v>0</v>
      </c>
      <c r="AG397" s="854">
        <f t="shared" si="79"/>
        <v>0</v>
      </c>
      <c r="AH397" s="853"/>
      <c r="AI397" s="855">
        <f t="shared" si="80"/>
        <v>0</v>
      </c>
      <c r="AJ397" s="845" t="s">
        <v>1337</v>
      </c>
      <c r="AK397" s="857" t="s">
        <v>1338</v>
      </c>
      <c r="AL397" s="840" t="s">
        <v>1339</v>
      </c>
      <c r="AM397" s="840" t="s">
        <v>1340</v>
      </c>
      <c r="AN397" s="858" t="s">
        <v>1341</v>
      </c>
      <c r="AO397" s="844"/>
      <c r="AP397" s="859" t="s">
        <v>1342</v>
      </c>
      <c r="AQ397" s="859" t="s">
        <v>1343</v>
      </c>
      <c r="AR397" s="859" t="s">
        <v>1344</v>
      </c>
      <c r="AS397" s="840" t="s">
        <v>1310</v>
      </c>
      <c r="AT397" s="840" t="s">
        <v>1235</v>
      </c>
      <c r="AU397" s="860" t="s">
        <v>1345</v>
      </c>
      <c r="AV397" s="839" t="s">
        <v>1346</v>
      </c>
      <c r="AW397" s="861">
        <v>45357</v>
      </c>
      <c r="AX397" s="862"/>
      <c r="AY397" s="843" t="s">
        <v>1444</v>
      </c>
      <c r="AZ397" s="842">
        <v>39249090</v>
      </c>
      <c r="BA397" s="842" t="s">
        <v>120</v>
      </c>
      <c r="BB397" s="863" t="s">
        <v>121</v>
      </c>
      <c r="BC397" s="864">
        <v>45447</v>
      </c>
      <c r="BD397" s="860" t="s">
        <v>1348</v>
      </c>
      <c r="BE397" s="865" cm="1">
        <f t="array" ref="BE397">IF(BD397="","",AC397/SUMPRODUCT(--(BD397=$BD$4:$BD$12824),$AC$4:$AC$12824))</f>
        <v>2.0220795641969175E-2</v>
      </c>
      <c r="BF397" s="458"/>
      <c r="BG397" s="458"/>
      <c r="BH397" s="458"/>
      <c r="BI397" s="458"/>
      <c r="BJ397" s="458"/>
      <c r="BK397" s="458"/>
      <c r="BL397" s="458"/>
      <c r="BM397" s="458"/>
      <c r="BN397" s="458"/>
      <c r="BO397" s="866">
        <f>VLOOKUP(BD397,$BD$4:$BN$12824,3,0)*BE397</f>
        <v>0</v>
      </c>
      <c r="BP397" s="866"/>
      <c r="BQ397" s="866"/>
      <c r="BR397" s="866">
        <f>VLOOKUP(BD397,$BD$4:$BN$12824,6,0)*BE397</f>
        <v>283602.78577969718</v>
      </c>
      <c r="BS397" s="866">
        <f>VLOOKUP(BD397,$BD$4:$BN$12824,7,0)*BE397</f>
        <v>7179.3126094985882</v>
      </c>
      <c r="BT397" s="866"/>
      <c r="BU397" s="866">
        <f>VLOOKUP(BD397,$BD$4:$BN$12824,9,0)*BE397</f>
        <v>5055.1989104922941</v>
      </c>
      <c r="BV397" s="867"/>
      <c r="BW397" s="867">
        <f>VLOOKUP(BD397,$BD$4:$BN$12824,11,0)*BE397</f>
        <v>32353.273027150681</v>
      </c>
      <c r="BX397" s="1146">
        <f t="shared" si="75"/>
        <v>328190.5703268387</v>
      </c>
      <c r="BY397" s="867">
        <f t="shared" si="83"/>
        <v>126669.84283878065</v>
      </c>
      <c r="BZ397" s="867">
        <f t="shared" si="81"/>
        <v>7600190.5703268386</v>
      </c>
      <c r="CA397" s="867">
        <f>_xlfn.MAXIFS($BY$4:$BY$12824,$S$4:$S$12824,$S397)</f>
        <v>126669.84283878065</v>
      </c>
      <c r="CB397" s="1032"/>
      <c r="CC397" s="999" t="s">
        <v>1353</v>
      </c>
      <c r="CF397" s="946">
        <f t="shared" si="82"/>
        <v>7272000</v>
      </c>
    </row>
    <row r="398" spans="1:84">
      <c r="A398" s="1032"/>
      <c r="B398" s="839" t="s">
        <v>98</v>
      </c>
      <c r="C398" s="839" t="s">
        <v>131</v>
      </c>
      <c r="D398" s="839" t="s">
        <v>1331</v>
      </c>
      <c r="E398" s="839" t="s">
        <v>1435</v>
      </c>
      <c r="F398" s="841">
        <v>45539</v>
      </c>
      <c r="G398" s="840" t="s">
        <v>133</v>
      </c>
      <c r="H398" s="842" t="s">
        <v>134</v>
      </c>
      <c r="I398" s="842"/>
      <c r="J398" s="841"/>
      <c r="K398" s="841"/>
      <c r="L398" s="843" t="s">
        <v>106</v>
      </c>
      <c r="M398" s="844" t="s">
        <v>1333</v>
      </c>
      <c r="N398" s="841">
        <v>45356</v>
      </c>
      <c r="O398" s="841" t="s">
        <v>135</v>
      </c>
      <c r="P398" s="841" t="s">
        <v>186</v>
      </c>
      <c r="Q398" s="843"/>
      <c r="R398" s="845">
        <v>541455</v>
      </c>
      <c r="S398" s="1127" t="s">
        <v>1445</v>
      </c>
      <c r="T398" s="843" t="s">
        <v>1446</v>
      </c>
      <c r="U398" s="842">
        <v>48</v>
      </c>
      <c r="V398" s="842" t="s">
        <v>8</v>
      </c>
      <c r="W398" s="846">
        <v>6</v>
      </c>
      <c r="X398" s="847">
        <f t="shared" si="76"/>
        <v>288</v>
      </c>
      <c r="Y398" s="848">
        <f t="shared" si="74"/>
        <v>0.6</v>
      </c>
      <c r="Z398" s="849">
        <v>2.4</v>
      </c>
      <c r="AA398" s="849"/>
      <c r="AB398" s="849">
        <f t="shared" si="77"/>
        <v>115.19999999999999</v>
      </c>
      <c r="AC398" s="850">
        <f t="shared" si="78"/>
        <v>115.19999999999999</v>
      </c>
      <c r="AD398" s="851"/>
      <c r="AE398" s="852">
        <v>25250</v>
      </c>
      <c r="AF398" s="853">
        <v>0</v>
      </c>
      <c r="AG398" s="854">
        <f t="shared" si="79"/>
        <v>0</v>
      </c>
      <c r="AH398" s="853"/>
      <c r="AI398" s="855">
        <f t="shared" si="80"/>
        <v>0</v>
      </c>
      <c r="AJ398" s="845" t="s">
        <v>1337</v>
      </c>
      <c r="AK398" s="857" t="s">
        <v>1338</v>
      </c>
      <c r="AL398" s="840" t="s">
        <v>1339</v>
      </c>
      <c r="AM398" s="840" t="s">
        <v>1340</v>
      </c>
      <c r="AN398" s="858" t="s">
        <v>1341</v>
      </c>
      <c r="AO398" s="844"/>
      <c r="AP398" s="859" t="s">
        <v>1342</v>
      </c>
      <c r="AQ398" s="859" t="s">
        <v>1343</v>
      </c>
      <c r="AR398" s="859" t="s">
        <v>1344</v>
      </c>
      <c r="AS398" s="840" t="s">
        <v>1310</v>
      </c>
      <c r="AT398" s="840" t="s">
        <v>1235</v>
      </c>
      <c r="AU398" s="860" t="s">
        <v>1345</v>
      </c>
      <c r="AV398" s="839" t="s">
        <v>1346</v>
      </c>
      <c r="AW398" s="861">
        <v>45357</v>
      </c>
      <c r="AX398" s="862"/>
      <c r="AY398" s="843" t="s">
        <v>1447</v>
      </c>
      <c r="AZ398" s="842">
        <v>39249090</v>
      </c>
      <c r="BA398" s="842" t="s">
        <v>120</v>
      </c>
      <c r="BB398" s="863" t="s">
        <v>121</v>
      </c>
      <c r="BC398" s="864">
        <v>45447</v>
      </c>
      <c r="BD398" s="860" t="s">
        <v>1348</v>
      </c>
      <c r="BE398" s="865" cm="1">
        <f t="array" ref="BE398">IF(BD398="","",AC398/SUMPRODUCT(--(BD398=$BD$4:$BD$12824),$AC$4:$AC$12824))</f>
        <v>8.0883182567876698E-3</v>
      </c>
      <c r="BF398" s="458"/>
      <c r="BG398" s="458"/>
      <c r="BH398" s="458"/>
      <c r="BI398" s="458"/>
      <c r="BJ398" s="458"/>
      <c r="BK398" s="458"/>
      <c r="BL398" s="458"/>
      <c r="BM398" s="458"/>
      <c r="BN398" s="458"/>
      <c r="BO398" s="866">
        <f>VLOOKUP(BD398,$BD$4:$BN$12824,3,0)*BE398</f>
        <v>0</v>
      </c>
      <c r="BP398" s="866"/>
      <c r="BQ398" s="866"/>
      <c r="BR398" s="866">
        <f>VLOOKUP(BD398,$BD$4:$BN$12824,6,0)*BE398</f>
        <v>113441.11431187888</v>
      </c>
      <c r="BS398" s="866">
        <f>VLOOKUP(BD398,$BD$4:$BN$12824,7,0)*BE398</f>
        <v>2871.7250437994348</v>
      </c>
      <c r="BT398" s="866"/>
      <c r="BU398" s="866">
        <f>VLOOKUP(BD398,$BD$4:$BN$12824,9,0)*BE398</f>
        <v>2022.0795641969175</v>
      </c>
      <c r="BV398" s="867"/>
      <c r="BW398" s="867">
        <f>VLOOKUP(BD398,$BD$4:$BN$12824,11,0)*BE398</f>
        <v>12941.309210860272</v>
      </c>
      <c r="BX398" s="1146">
        <f t="shared" si="75"/>
        <v>131276.22813073552</v>
      </c>
      <c r="BY398" s="867">
        <f t="shared" si="83"/>
        <v>63334.92141939031</v>
      </c>
      <c r="BZ398" s="867">
        <f t="shared" si="81"/>
        <v>3040076.228130735</v>
      </c>
      <c r="CA398" s="867">
        <f>_xlfn.MAXIFS($BY$4:$BY$12824,$S$4:$S$12824,$S398)</f>
        <v>63334.92141939031</v>
      </c>
      <c r="CB398" s="1032"/>
      <c r="CC398" s="999" t="s">
        <v>1353</v>
      </c>
      <c r="CF398" s="946">
        <f t="shared" si="82"/>
        <v>2908799.9999999995</v>
      </c>
    </row>
    <row r="399" spans="1:84">
      <c r="A399" s="1032"/>
      <c r="B399" s="839" t="s">
        <v>98</v>
      </c>
      <c r="C399" s="839" t="s">
        <v>131</v>
      </c>
      <c r="D399" s="839" t="s">
        <v>1331</v>
      </c>
      <c r="E399" s="839" t="s">
        <v>1435</v>
      </c>
      <c r="F399" s="841">
        <v>45539</v>
      </c>
      <c r="G399" s="840" t="s">
        <v>133</v>
      </c>
      <c r="H399" s="842" t="s">
        <v>134</v>
      </c>
      <c r="I399" s="842"/>
      <c r="J399" s="841"/>
      <c r="K399" s="841"/>
      <c r="L399" s="843" t="s">
        <v>106</v>
      </c>
      <c r="M399" s="844" t="s">
        <v>1333</v>
      </c>
      <c r="N399" s="841">
        <v>45356</v>
      </c>
      <c r="O399" s="841" t="s">
        <v>135</v>
      </c>
      <c r="P399" s="841" t="s">
        <v>186</v>
      </c>
      <c r="Q399" s="843"/>
      <c r="R399" s="845">
        <v>541446</v>
      </c>
      <c r="S399" s="1127" t="s">
        <v>200</v>
      </c>
      <c r="T399" s="843" t="s">
        <v>1448</v>
      </c>
      <c r="U399" s="842">
        <v>48</v>
      </c>
      <c r="V399" s="842" t="s">
        <v>8</v>
      </c>
      <c r="W399" s="846">
        <v>6</v>
      </c>
      <c r="X399" s="847">
        <f t="shared" si="76"/>
        <v>288</v>
      </c>
      <c r="Y399" s="848">
        <f t="shared" ref="Y399:Y430" si="84">(W399-Z399)/W399</f>
        <v>0.6</v>
      </c>
      <c r="Z399" s="849">
        <v>2.4</v>
      </c>
      <c r="AA399" s="849"/>
      <c r="AB399" s="849">
        <f t="shared" si="77"/>
        <v>115.19999999999999</v>
      </c>
      <c r="AC399" s="850">
        <f t="shared" si="78"/>
        <v>115.19999999999999</v>
      </c>
      <c r="AD399" s="851"/>
      <c r="AE399" s="852">
        <v>25250</v>
      </c>
      <c r="AF399" s="853">
        <v>0</v>
      </c>
      <c r="AG399" s="854">
        <f t="shared" si="79"/>
        <v>0</v>
      </c>
      <c r="AH399" s="853"/>
      <c r="AI399" s="855">
        <f t="shared" si="80"/>
        <v>0</v>
      </c>
      <c r="AJ399" s="845" t="s">
        <v>1337</v>
      </c>
      <c r="AK399" s="857" t="s">
        <v>1338</v>
      </c>
      <c r="AL399" s="840" t="s">
        <v>1339</v>
      </c>
      <c r="AM399" s="840" t="s">
        <v>1340</v>
      </c>
      <c r="AN399" s="858" t="s">
        <v>1341</v>
      </c>
      <c r="AO399" s="844"/>
      <c r="AP399" s="859" t="s">
        <v>1342</v>
      </c>
      <c r="AQ399" s="859" t="s">
        <v>1343</v>
      </c>
      <c r="AR399" s="859" t="s">
        <v>1344</v>
      </c>
      <c r="AS399" s="840" t="s">
        <v>1310</v>
      </c>
      <c r="AT399" s="840" t="s">
        <v>1235</v>
      </c>
      <c r="AU399" s="860" t="s">
        <v>1345</v>
      </c>
      <c r="AV399" s="839" t="s">
        <v>1346</v>
      </c>
      <c r="AW399" s="861">
        <v>45357</v>
      </c>
      <c r="AX399" s="862"/>
      <c r="AY399" s="843" t="s">
        <v>1449</v>
      </c>
      <c r="AZ399" s="842">
        <v>39249090</v>
      </c>
      <c r="BA399" s="842" t="s">
        <v>120</v>
      </c>
      <c r="BB399" s="863" t="s">
        <v>121</v>
      </c>
      <c r="BC399" s="864">
        <v>45447</v>
      </c>
      <c r="BD399" s="860" t="s">
        <v>1348</v>
      </c>
      <c r="BE399" s="865" cm="1">
        <f t="array" ref="BE399">IF(BD399="","",AC399/SUMPRODUCT(--(BD399=$BD$4:$BD$12824),$AC$4:$AC$12824))</f>
        <v>8.0883182567876698E-3</v>
      </c>
      <c r="BF399" s="458"/>
      <c r="BG399" s="458"/>
      <c r="BH399" s="458"/>
      <c r="BI399" s="458"/>
      <c r="BJ399" s="458"/>
      <c r="BK399" s="458"/>
      <c r="BL399" s="458"/>
      <c r="BM399" s="458"/>
      <c r="BN399" s="458"/>
      <c r="BO399" s="866">
        <f>VLOOKUP(BD399,$BD$4:$BN$12824,3,0)*BE399</f>
        <v>0</v>
      </c>
      <c r="BP399" s="866"/>
      <c r="BQ399" s="866"/>
      <c r="BR399" s="866">
        <f>VLOOKUP(BD399,$BD$4:$BN$12824,6,0)*BE399</f>
        <v>113441.11431187888</v>
      </c>
      <c r="BS399" s="866">
        <f>VLOOKUP(BD399,$BD$4:$BN$12824,7,0)*BE399</f>
        <v>2871.7250437994348</v>
      </c>
      <c r="BT399" s="866"/>
      <c r="BU399" s="866">
        <f>VLOOKUP(BD399,$BD$4:$BN$12824,9,0)*BE399</f>
        <v>2022.0795641969175</v>
      </c>
      <c r="BV399" s="867"/>
      <c r="BW399" s="867">
        <f>VLOOKUP(BD399,$BD$4:$BN$12824,11,0)*BE399</f>
        <v>12941.309210860272</v>
      </c>
      <c r="BX399" s="1146">
        <f t="shared" si="75"/>
        <v>131276.22813073552</v>
      </c>
      <c r="BY399" s="867">
        <f t="shared" si="83"/>
        <v>63334.92141939031</v>
      </c>
      <c r="BZ399" s="867">
        <f t="shared" si="81"/>
        <v>3040076.228130735</v>
      </c>
      <c r="CA399" s="867">
        <f>_xlfn.MAXIFS($BY$4:$BY$12824,$S$4:$S$12824,$S399)</f>
        <v>67100.35472483495</v>
      </c>
      <c r="CB399" s="1032"/>
      <c r="CC399" s="999" t="s">
        <v>1353</v>
      </c>
      <c r="CF399" s="946">
        <f t="shared" si="82"/>
        <v>2908799.9999999995</v>
      </c>
    </row>
    <row r="400" spans="1:84">
      <c r="A400" s="1032"/>
      <c r="B400" s="839" t="s">
        <v>98</v>
      </c>
      <c r="C400" s="839" t="s">
        <v>131</v>
      </c>
      <c r="D400" s="839" t="s">
        <v>1331</v>
      </c>
      <c r="E400" s="839" t="s">
        <v>1435</v>
      </c>
      <c r="F400" s="841">
        <v>45539</v>
      </c>
      <c r="G400" s="840" t="s">
        <v>133</v>
      </c>
      <c r="H400" s="842" t="s">
        <v>134</v>
      </c>
      <c r="I400" s="842"/>
      <c r="J400" s="841"/>
      <c r="K400" s="841"/>
      <c r="L400" s="843" t="s">
        <v>106</v>
      </c>
      <c r="M400" s="844" t="s">
        <v>1333</v>
      </c>
      <c r="N400" s="841">
        <v>45356</v>
      </c>
      <c r="O400" s="841" t="s">
        <v>135</v>
      </c>
      <c r="P400" s="841" t="s">
        <v>186</v>
      </c>
      <c r="Q400" s="843"/>
      <c r="R400" s="845">
        <v>541447</v>
      </c>
      <c r="S400" s="1127" t="s">
        <v>1450</v>
      </c>
      <c r="T400" s="843" t="s">
        <v>1451</v>
      </c>
      <c r="U400" s="842">
        <v>48</v>
      </c>
      <c r="V400" s="842" t="s">
        <v>8</v>
      </c>
      <c r="W400" s="846">
        <v>6</v>
      </c>
      <c r="X400" s="847">
        <f t="shared" si="76"/>
        <v>288</v>
      </c>
      <c r="Y400" s="848">
        <f t="shared" si="84"/>
        <v>0.6</v>
      </c>
      <c r="Z400" s="849">
        <v>2.4</v>
      </c>
      <c r="AA400" s="849"/>
      <c r="AB400" s="849">
        <f t="shared" si="77"/>
        <v>115.19999999999999</v>
      </c>
      <c r="AC400" s="850">
        <f t="shared" si="78"/>
        <v>115.19999999999999</v>
      </c>
      <c r="AD400" s="851"/>
      <c r="AE400" s="852">
        <v>25250</v>
      </c>
      <c r="AF400" s="853">
        <v>0</v>
      </c>
      <c r="AG400" s="854">
        <f t="shared" si="79"/>
        <v>0</v>
      </c>
      <c r="AH400" s="853"/>
      <c r="AI400" s="855">
        <f t="shared" si="80"/>
        <v>0</v>
      </c>
      <c r="AJ400" s="845" t="s">
        <v>1337</v>
      </c>
      <c r="AK400" s="857" t="s">
        <v>1338</v>
      </c>
      <c r="AL400" s="840" t="s">
        <v>1339</v>
      </c>
      <c r="AM400" s="840" t="s">
        <v>1340</v>
      </c>
      <c r="AN400" s="858" t="s">
        <v>1341</v>
      </c>
      <c r="AO400" s="844"/>
      <c r="AP400" s="859" t="s">
        <v>1342</v>
      </c>
      <c r="AQ400" s="859" t="s">
        <v>1343</v>
      </c>
      <c r="AR400" s="859" t="s">
        <v>1344</v>
      </c>
      <c r="AS400" s="840" t="s">
        <v>1310</v>
      </c>
      <c r="AT400" s="840" t="s">
        <v>1235</v>
      </c>
      <c r="AU400" s="860" t="s">
        <v>1345</v>
      </c>
      <c r="AV400" s="839" t="s">
        <v>1346</v>
      </c>
      <c r="AW400" s="861">
        <v>45357</v>
      </c>
      <c r="AX400" s="862"/>
      <c r="AY400" s="843" t="s">
        <v>1452</v>
      </c>
      <c r="AZ400" s="842">
        <v>39249090</v>
      </c>
      <c r="BA400" s="842" t="s">
        <v>120</v>
      </c>
      <c r="BB400" s="863" t="s">
        <v>121</v>
      </c>
      <c r="BC400" s="864">
        <v>45447</v>
      </c>
      <c r="BD400" s="860" t="s">
        <v>1348</v>
      </c>
      <c r="BE400" s="865" cm="1">
        <f t="array" ref="BE400">IF(BD400="","",AC400/SUMPRODUCT(--(BD400=$BD$4:$BD$12824),$AC$4:$AC$12824))</f>
        <v>8.0883182567876698E-3</v>
      </c>
      <c r="BF400" s="458"/>
      <c r="BG400" s="458"/>
      <c r="BH400" s="458"/>
      <c r="BI400" s="458"/>
      <c r="BJ400" s="458"/>
      <c r="BK400" s="458"/>
      <c r="BL400" s="458"/>
      <c r="BM400" s="458"/>
      <c r="BN400" s="458"/>
      <c r="BO400" s="866">
        <f>VLOOKUP(BD400,$BD$4:$BN$12824,3,0)*BE400</f>
        <v>0</v>
      </c>
      <c r="BP400" s="866"/>
      <c r="BQ400" s="866"/>
      <c r="BR400" s="866">
        <f>VLOOKUP(BD400,$BD$4:$BN$12824,6,0)*BE400</f>
        <v>113441.11431187888</v>
      </c>
      <c r="BS400" s="866">
        <f>VLOOKUP(BD400,$BD$4:$BN$12824,7,0)*BE400</f>
        <v>2871.7250437994348</v>
      </c>
      <c r="BT400" s="866"/>
      <c r="BU400" s="866">
        <f>VLOOKUP(BD400,$BD$4:$BN$12824,9,0)*BE400</f>
        <v>2022.0795641969175</v>
      </c>
      <c r="BV400" s="867"/>
      <c r="BW400" s="867">
        <f>VLOOKUP(BD400,$BD$4:$BN$12824,11,0)*BE400</f>
        <v>12941.309210860272</v>
      </c>
      <c r="BX400" s="1146">
        <f t="shared" si="75"/>
        <v>131276.22813073552</v>
      </c>
      <c r="BY400" s="867">
        <f t="shared" si="83"/>
        <v>63334.92141939031</v>
      </c>
      <c r="BZ400" s="867">
        <f t="shared" si="81"/>
        <v>3040076.228130735</v>
      </c>
      <c r="CA400" s="867">
        <f>_xlfn.MAXIFS($BY$4:$BY$12824,$S$4:$S$12824,$S400)</f>
        <v>63334.92141939031</v>
      </c>
      <c r="CB400" s="1032"/>
      <c r="CC400" s="999" t="s">
        <v>1353</v>
      </c>
      <c r="CF400" s="946">
        <f t="shared" si="82"/>
        <v>2908799.9999999995</v>
      </c>
    </row>
    <row r="401" spans="1:84">
      <c r="A401" s="1032"/>
      <c r="B401" s="839" t="s">
        <v>98</v>
      </c>
      <c r="C401" s="839" t="s">
        <v>131</v>
      </c>
      <c r="D401" s="839" t="s">
        <v>1331</v>
      </c>
      <c r="E401" s="839" t="s">
        <v>1435</v>
      </c>
      <c r="F401" s="841">
        <v>45539</v>
      </c>
      <c r="G401" s="840" t="s">
        <v>133</v>
      </c>
      <c r="H401" s="842" t="s">
        <v>134</v>
      </c>
      <c r="I401" s="842"/>
      <c r="J401" s="841"/>
      <c r="K401" s="841"/>
      <c r="L401" s="843" t="s">
        <v>106</v>
      </c>
      <c r="M401" s="844" t="s">
        <v>1333</v>
      </c>
      <c r="N401" s="841">
        <v>45356</v>
      </c>
      <c r="O401" s="841" t="s">
        <v>135</v>
      </c>
      <c r="P401" s="841" t="s">
        <v>186</v>
      </c>
      <c r="Q401" s="843"/>
      <c r="R401" s="845">
        <v>541448</v>
      </c>
      <c r="S401" s="1127" t="s">
        <v>203</v>
      </c>
      <c r="T401" s="843" t="s">
        <v>1453</v>
      </c>
      <c r="U401" s="842">
        <v>48</v>
      </c>
      <c r="V401" s="842" t="s">
        <v>8</v>
      </c>
      <c r="W401" s="846">
        <v>6</v>
      </c>
      <c r="X401" s="847">
        <f t="shared" si="76"/>
        <v>288</v>
      </c>
      <c r="Y401" s="848">
        <f t="shared" si="84"/>
        <v>0.6</v>
      </c>
      <c r="Z401" s="849">
        <v>2.4</v>
      </c>
      <c r="AA401" s="849"/>
      <c r="AB401" s="849">
        <f t="shared" si="77"/>
        <v>115.19999999999999</v>
      </c>
      <c r="AC401" s="850">
        <f t="shared" si="78"/>
        <v>115.19999999999999</v>
      </c>
      <c r="AD401" s="851"/>
      <c r="AE401" s="852">
        <v>25250</v>
      </c>
      <c r="AF401" s="853">
        <v>0</v>
      </c>
      <c r="AG401" s="854">
        <f t="shared" si="79"/>
        <v>0</v>
      </c>
      <c r="AH401" s="853"/>
      <c r="AI401" s="855">
        <f t="shared" si="80"/>
        <v>0</v>
      </c>
      <c r="AJ401" s="845" t="s">
        <v>1337</v>
      </c>
      <c r="AK401" s="857" t="s">
        <v>1338</v>
      </c>
      <c r="AL401" s="840" t="s">
        <v>1339</v>
      </c>
      <c r="AM401" s="840" t="s">
        <v>1340</v>
      </c>
      <c r="AN401" s="858" t="s">
        <v>1341</v>
      </c>
      <c r="AO401" s="844"/>
      <c r="AP401" s="859" t="s">
        <v>1342</v>
      </c>
      <c r="AQ401" s="859" t="s">
        <v>1343</v>
      </c>
      <c r="AR401" s="859" t="s">
        <v>1344</v>
      </c>
      <c r="AS401" s="840" t="s">
        <v>1310</v>
      </c>
      <c r="AT401" s="840" t="s">
        <v>1235</v>
      </c>
      <c r="AU401" s="860" t="s">
        <v>1345</v>
      </c>
      <c r="AV401" s="839" t="s">
        <v>1346</v>
      </c>
      <c r="AW401" s="861">
        <v>45357</v>
      </c>
      <c r="AX401" s="862"/>
      <c r="AY401" s="843" t="s">
        <v>1454</v>
      </c>
      <c r="AZ401" s="842">
        <v>39249090</v>
      </c>
      <c r="BA401" s="842" t="s">
        <v>120</v>
      </c>
      <c r="BB401" s="863" t="s">
        <v>121</v>
      </c>
      <c r="BC401" s="864">
        <v>45447</v>
      </c>
      <c r="BD401" s="860" t="s">
        <v>1348</v>
      </c>
      <c r="BE401" s="865" cm="1">
        <f t="array" ref="BE401">IF(BD401="","",AC401/SUMPRODUCT(--(BD401=$BD$4:$BD$12824),$AC$4:$AC$12824))</f>
        <v>8.0883182567876698E-3</v>
      </c>
      <c r="BF401" s="458"/>
      <c r="BG401" s="458"/>
      <c r="BH401" s="458"/>
      <c r="BI401" s="458"/>
      <c r="BJ401" s="458"/>
      <c r="BK401" s="458"/>
      <c r="BL401" s="458"/>
      <c r="BM401" s="458"/>
      <c r="BN401" s="458"/>
      <c r="BO401" s="866">
        <f>VLOOKUP(BD401,$BD$4:$BN$12824,3,0)*BE401</f>
        <v>0</v>
      </c>
      <c r="BP401" s="866"/>
      <c r="BQ401" s="866"/>
      <c r="BR401" s="866">
        <f>VLOOKUP(BD401,$BD$4:$BN$12824,6,0)*BE401</f>
        <v>113441.11431187888</v>
      </c>
      <c r="BS401" s="866">
        <f>VLOOKUP(BD401,$BD$4:$BN$12824,7,0)*BE401</f>
        <v>2871.7250437994348</v>
      </c>
      <c r="BT401" s="866"/>
      <c r="BU401" s="866">
        <f>VLOOKUP(BD401,$BD$4:$BN$12824,9,0)*BE401</f>
        <v>2022.0795641969175</v>
      </c>
      <c r="BV401" s="867"/>
      <c r="BW401" s="867">
        <f>VLOOKUP(BD401,$BD$4:$BN$12824,11,0)*BE401</f>
        <v>12941.309210860272</v>
      </c>
      <c r="BX401" s="1146">
        <f t="shared" si="75"/>
        <v>131276.22813073552</v>
      </c>
      <c r="BY401" s="867">
        <f t="shared" si="83"/>
        <v>63334.92141939031</v>
      </c>
      <c r="BZ401" s="867">
        <f t="shared" si="81"/>
        <v>3040076.228130735</v>
      </c>
      <c r="CA401" s="867">
        <f>_xlfn.MAXIFS($BY$4:$BY$12824,$S$4:$S$12824,$S401)</f>
        <v>67100.35472483495</v>
      </c>
      <c r="CB401" s="1032"/>
      <c r="CC401" s="999" t="s">
        <v>1353</v>
      </c>
      <c r="CF401" s="946">
        <f t="shared" si="82"/>
        <v>2908799.9999999995</v>
      </c>
    </row>
    <row r="402" spans="1:84">
      <c r="A402" s="1032"/>
      <c r="B402" s="839" t="s">
        <v>98</v>
      </c>
      <c r="C402" s="839" t="s">
        <v>131</v>
      </c>
      <c r="D402" s="839" t="s">
        <v>1331</v>
      </c>
      <c r="E402" s="839" t="s">
        <v>1435</v>
      </c>
      <c r="F402" s="841">
        <v>45539</v>
      </c>
      <c r="G402" s="840" t="s">
        <v>133</v>
      </c>
      <c r="H402" s="842" t="s">
        <v>134</v>
      </c>
      <c r="I402" s="842"/>
      <c r="J402" s="841"/>
      <c r="K402" s="841"/>
      <c r="L402" s="843" t="s">
        <v>106</v>
      </c>
      <c r="M402" s="844" t="s">
        <v>1333</v>
      </c>
      <c r="N402" s="841">
        <v>45356</v>
      </c>
      <c r="O402" s="841" t="s">
        <v>135</v>
      </c>
      <c r="P402" s="841" t="s">
        <v>186</v>
      </c>
      <c r="Q402" s="843"/>
      <c r="R402" s="845">
        <v>541451</v>
      </c>
      <c r="S402" s="1127" t="s">
        <v>212</v>
      </c>
      <c r="T402" s="843" t="s">
        <v>1455</v>
      </c>
      <c r="U402" s="842">
        <v>48</v>
      </c>
      <c r="V402" s="842" t="s">
        <v>8</v>
      </c>
      <c r="W402" s="846">
        <v>6</v>
      </c>
      <c r="X402" s="847">
        <f t="shared" si="76"/>
        <v>288</v>
      </c>
      <c r="Y402" s="848">
        <f t="shared" si="84"/>
        <v>0.6</v>
      </c>
      <c r="Z402" s="849">
        <v>2.4</v>
      </c>
      <c r="AA402" s="849"/>
      <c r="AB402" s="849">
        <f t="shared" si="77"/>
        <v>115.19999999999999</v>
      </c>
      <c r="AC402" s="850">
        <f t="shared" si="78"/>
        <v>115.19999999999999</v>
      </c>
      <c r="AD402" s="851"/>
      <c r="AE402" s="852">
        <v>25250</v>
      </c>
      <c r="AF402" s="853">
        <v>0</v>
      </c>
      <c r="AG402" s="854">
        <f t="shared" si="79"/>
        <v>0</v>
      </c>
      <c r="AH402" s="853"/>
      <c r="AI402" s="855">
        <f t="shared" si="80"/>
        <v>0</v>
      </c>
      <c r="AJ402" s="845" t="s">
        <v>1337</v>
      </c>
      <c r="AK402" s="857" t="s">
        <v>1338</v>
      </c>
      <c r="AL402" s="840" t="s">
        <v>1339</v>
      </c>
      <c r="AM402" s="840" t="s">
        <v>1340</v>
      </c>
      <c r="AN402" s="858" t="s">
        <v>1341</v>
      </c>
      <c r="AO402" s="844"/>
      <c r="AP402" s="859" t="s">
        <v>1342</v>
      </c>
      <c r="AQ402" s="859" t="s">
        <v>1343</v>
      </c>
      <c r="AR402" s="859" t="s">
        <v>1344</v>
      </c>
      <c r="AS402" s="840" t="s">
        <v>1310</v>
      </c>
      <c r="AT402" s="840" t="s">
        <v>1235</v>
      </c>
      <c r="AU402" s="860" t="s">
        <v>1345</v>
      </c>
      <c r="AV402" s="839" t="s">
        <v>1346</v>
      </c>
      <c r="AW402" s="861">
        <v>45357</v>
      </c>
      <c r="AX402" s="862"/>
      <c r="AY402" s="843" t="s">
        <v>1456</v>
      </c>
      <c r="AZ402" s="842">
        <v>39249090</v>
      </c>
      <c r="BA402" s="842" t="s">
        <v>120</v>
      </c>
      <c r="BB402" s="863" t="s">
        <v>121</v>
      </c>
      <c r="BC402" s="864">
        <v>45447</v>
      </c>
      <c r="BD402" s="860" t="s">
        <v>1348</v>
      </c>
      <c r="BE402" s="865" cm="1">
        <f t="array" ref="BE402">IF(BD402="","",AC402/SUMPRODUCT(--(BD402=$BD$4:$BD$12824),$AC$4:$AC$12824))</f>
        <v>8.0883182567876698E-3</v>
      </c>
      <c r="BF402" s="458"/>
      <c r="BG402" s="458"/>
      <c r="BH402" s="458"/>
      <c r="BI402" s="458"/>
      <c r="BJ402" s="458"/>
      <c r="BK402" s="458"/>
      <c r="BL402" s="458"/>
      <c r="BM402" s="458"/>
      <c r="BN402" s="458"/>
      <c r="BO402" s="866">
        <f>VLOOKUP(BD402,$BD$4:$BN$12824,3,0)*BE402</f>
        <v>0</v>
      </c>
      <c r="BP402" s="866"/>
      <c r="BQ402" s="866"/>
      <c r="BR402" s="866">
        <f>VLOOKUP(BD402,$BD$4:$BN$12824,6,0)*BE402</f>
        <v>113441.11431187888</v>
      </c>
      <c r="BS402" s="866">
        <f>VLOOKUP(BD402,$BD$4:$BN$12824,7,0)*BE402</f>
        <v>2871.7250437994348</v>
      </c>
      <c r="BT402" s="866"/>
      <c r="BU402" s="866">
        <f>VLOOKUP(BD402,$BD$4:$BN$12824,9,0)*BE402</f>
        <v>2022.0795641969175</v>
      </c>
      <c r="BV402" s="867"/>
      <c r="BW402" s="867">
        <f>VLOOKUP(BD402,$BD$4:$BN$12824,11,0)*BE402</f>
        <v>12941.309210860272</v>
      </c>
      <c r="BX402" s="1146">
        <f t="shared" si="75"/>
        <v>131276.22813073552</v>
      </c>
      <c r="BY402" s="867">
        <f t="shared" si="83"/>
        <v>63334.92141939031</v>
      </c>
      <c r="BZ402" s="867">
        <f t="shared" si="81"/>
        <v>3040076.228130735</v>
      </c>
      <c r="CA402" s="867">
        <f>_xlfn.MAXIFS($BY$4:$BY$12824,$S$4:$S$12824,$S402)</f>
        <v>67100.35472483495</v>
      </c>
      <c r="CB402" s="1032"/>
      <c r="CC402" s="999" t="s">
        <v>1353</v>
      </c>
      <c r="CF402" s="946">
        <f t="shared" si="82"/>
        <v>2908799.9999999995</v>
      </c>
    </row>
    <row r="403" spans="1:84">
      <c r="A403" s="1032"/>
      <c r="B403" s="839" t="s">
        <v>98</v>
      </c>
      <c r="C403" s="839" t="s">
        <v>131</v>
      </c>
      <c r="D403" s="839" t="s">
        <v>1331</v>
      </c>
      <c r="E403" s="839" t="s">
        <v>1435</v>
      </c>
      <c r="F403" s="841">
        <v>45539</v>
      </c>
      <c r="G403" s="840" t="s">
        <v>133</v>
      </c>
      <c r="H403" s="842" t="s">
        <v>134</v>
      </c>
      <c r="I403" s="842"/>
      <c r="J403" s="841"/>
      <c r="K403" s="841"/>
      <c r="L403" s="843" t="s">
        <v>106</v>
      </c>
      <c r="M403" s="844" t="s">
        <v>1333</v>
      </c>
      <c r="N403" s="841">
        <v>45356</v>
      </c>
      <c r="O403" s="841" t="s">
        <v>135</v>
      </c>
      <c r="P403" s="841" t="s">
        <v>186</v>
      </c>
      <c r="Q403" s="843"/>
      <c r="R403" s="845">
        <v>541449</v>
      </c>
      <c r="S403" s="1127" t="s">
        <v>206</v>
      </c>
      <c r="T403" s="843" t="s">
        <v>1457</v>
      </c>
      <c r="U403" s="842">
        <v>48</v>
      </c>
      <c r="V403" s="842" t="s">
        <v>8</v>
      </c>
      <c r="W403" s="846">
        <v>6</v>
      </c>
      <c r="X403" s="847">
        <f t="shared" si="76"/>
        <v>288</v>
      </c>
      <c r="Y403" s="848">
        <f t="shared" si="84"/>
        <v>0.6</v>
      </c>
      <c r="Z403" s="849">
        <v>2.4</v>
      </c>
      <c r="AA403" s="849"/>
      <c r="AB403" s="849">
        <f t="shared" si="77"/>
        <v>115.19999999999999</v>
      </c>
      <c r="AC403" s="850">
        <f t="shared" si="78"/>
        <v>115.19999999999999</v>
      </c>
      <c r="AD403" s="851"/>
      <c r="AE403" s="852">
        <v>25250</v>
      </c>
      <c r="AF403" s="853">
        <v>0</v>
      </c>
      <c r="AG403" s="854">
        <f t="shared" si="79"/>
        <v>0</v>
      </c>
      <c r="AH403" s="853"/>
      <c r="AI403" s="855">
        <f t="shared" si="80"/>
        <v>0</v>
      </c>
      <c r="AJ403" s="845" t="s">
        <v>1337</v>
      </c>
      <c r="AK403" s="857" t="s">
        <v>1338</v>
      </c>
      <c r="AL403" s="840" t="s">
        <v>1339</v>
      </c>
      <c r="AM403" s="840" t="s">
        <v>1340</v>
      </c>
      <c r="AN403" s="858" t="s">
        <v>1341</v>
      </c>
      <c r="AO403" s="844"/>
      <c r="AP403" s="859" t="s">
        <v>1342</v>
      </c>
      <c r="AQ403" s="859" t="s">
        <v>1343</v>
      </c>
      <c r="AR403" s="859" t="s">
        <v>1344</v>
      </c>
      <c r="AS403" s="840" t="s">
        <v>1310</v>
      </c>
      <c r="AT403" s="840" t="s">
        <v>1235</v>
      </c>
      <c r="AU403" s="860" t="s">
        <v>1345</v>
      </c>
      <c r="AV403" s="839" t="s">
        <v>1346</v>
      </c>
      <c r="AW403" s="861">
        <v>45357</v>
      </c>
      <c r="AX403" s="862"/>
      <c r="AY403" s="843" t="s">
        <v>1458</v>
      </c>
      <c r="AZ403" s="842">
        <v>39249090</v>
      </c>
      <c r="BA403" s="842" t="s">
        <v>120</v>
      </c>
      <c r="BB403" s="863" t="s">
        <v>121</v>
      </c>
      <c r="BC403" s="864">
        <v>45447</v>
      </c>
      <c r="BD403" s="860" t="s">
        <v>1348</v>
      </c>
      <c r="BE403" s="865" cm="1">
        <f t="array" ref="BE403">IF(BD403="","",AC403/SUMPRODUCT(--(BD403=$BD$4:$BD$12824),$AC$4:$AC$12824))</f>
        <v>8.0883182567876698E-3</v>
      </c>
      <c r="BF403" s="458"/>
      <c r="BG403" s="458"/>
      <c r="BH403" s="458"/>
      <c r="BI403" s="458"/>
      <c r="BJ403" s="458"/>
      <c r="BK403" s="458"/>
      <c r="BL403" s="458"/>
      <c r="BM403" s="458"/>
      <c r="BN403" s="458"/>
      <c r="BO403" s="866">
        <f>VLOOKUP(BD403,$BD$4:$BN$12824,3,0)*BE403</f>
        <v>0</v>
      </c>
      <c r="BP403" s="866"/>
      <c r="BQ403" s="866"/>
      <c r="BR403" s="866">
        <f>VLOOKUP(BD403,$BD$4:$BN$12824,6,0)*BE403</f>
        <v>113441.11431187888</v>
      </c>
      <c r="BS403" s="866">
        <f>VLOOKUP(BD403,$BD$4:$BN$12824,7,0)*BE403</f>
        <v>2871.7250437994348</v>
      </c>
      <c r="BT403" s="866"/>
      <c r="BU403" s="866">
        <f>VLOOKUP(BD403,$BD$4:$BN$12824,9,0)*BE403</f>
        <v>2022.0795641969175</v>
      </c>
      <c r="BV403" s="867"/>
      <c r="BW403" s="867">
        <f>VLOOKUP(BD403,$BD$4:$BN$12824,11,0)*BE403</f>
        <v>12941.309210860272</v>
      </c>
      <c r="BX403" s="1146">
        <f t="shared" si="75"/>
        <v>131276.22813073552</v>
      </c>
      <c r="BY403" s="867">
        <f t="shared" si="83"/>
        <v>63334.92141939031</v>
      </c>
      <c r="BZ403" s="867">
        <f t="shared" si="81"/>
        <v>3040076.228130735</v>
      </c>
      <c r="CA403" s="867">
        <f>_xlfn.MAXIFS($BY$4:$BY$12824,$S$4:$S$12824,$S403)</f>
        <v>67100.35472483495</v>
      </c>
      <c r="CB403" s="1032"/>
      <c r="CC403" s="999" t="s">
        <v>1353</v>
      </c>
      <c r="CF403" s="946">
        <f t="shared" si="82"/>
        <v>2908799.9999999995</v>
      </c>
    </row>
    <row r="404" spans="1:84">
      <c r="A404" s="1032"/>
      <c r="B404" s="839" t="s">
        <v>98</v>
      </c>
      <c r="C404" s="839" t="s">
        <v>131</v>
      </c>
      <c r="D404" s="839" t="s">
        <v>1331</v>
      </c>
      <c r="E404" s="839" t="s">
        <v>1435</v>
      </c>
      <c r="F404" s="841">
        <v>45539</v>
      </c>
      <c r="G404" s="840" t="s">
        <v>133</v>
      </c>
      <c r="H404" s="842" t="s">
        <v>134</v>
      </c>
      <c r="I404" s="842"/>
      <c r="J404" s="841"/>
      <c r="K404" s="841"/>
      <c r="L404" s="843" t="s">
        <v>106</v>
      </c>
      <c r="M404" s="844" t="s">
        <v>1333</v>
      </c>
      <c r="N404" s="841">
        <v>45356</v>
      </c>
      <c r="O404" s="841" t="s">
        <v>135</v>
      </c>
      <c r="P404" s="841" t="s">
        <v>186</v>
      </c>
      <c r="Q404" s="843"/>
      <c r="R404" s="845">
        <v>541438</v>
      </c>
      <c r="S404" s="1127" t="s">
        <v>1459</v>
      </c>
      <c r="T404" s="843" t="s">
        <v>1460</v>
      </c>
      <c r="U404" s="842">
        <v>48</v>
      </c>
      <c r="V404" s="842" t="s">
        <v>8</v>
      </c>
      <c r="W404" s="846">
        <v>6</v>
      </c>
      <c r="X404" s="847">
        <f t="shared" si="76"/>
        <v>288</v>
      </c>
      <c r="Y404" s="848">
        <f t="shared" si="84"/>
        <v>0.6</v>
      </c>
      <c r="Z404" s="849">
        <v>2.4</v>
      </c>
      <c r="AA404" s="849"/>
      <c r="AB404" s="849">
        <f t="shared" si="77"/>
        <v>115.19999999999999</v>
      </c>
      <c r="AC404" s="850">
        <f t="shared" si="78"/>
        <v>115.19999999999999</v>
      </c>
      <c r="AD404" s="851"/>
      <c r="AE404" s="852">
        <v>25250</v>
      </c>
      <c r="AF404" s="853">
        <v>0</v>
      </c>
      <c r="AG404" s="854">
        <f t="shared" si="79"/>
        <v>0</v>
      </c>
      <c r="AH404" s="853"/>
      <c r="AI404" s="855">
        <f t="shared" si="80"/>
        <v>0</v>
      </c>
      <c r="AJ404" s="845" t="s">
        <v>1337</v>
      </c>
      <c r="AK404" s="857" t="s">
        <v>1338</v>
      </c>
      <c r="AL404" s="840" t="s">
        <v>1339</v>
      </c>
      <c r="AM404" s="840" t="s">
        <v>1340</v>
      </c>
      <c r="AN404" s="858" t="s">
        <v>1341</v>
      </c>
      <c r="AO404" s="844"/>
      <c r="AP404" s="859" t="s">
        <v>1342</v>
      </c>
      <c r="AQ404" s="859" t="s">
        <v>1343</v>
      </c>
      <c r="AR404" s="859" t="s">
        <v>1344</v>
      </c>
      <c r="AS404" s="840" t="s">
        <v>1310</v>
      </c>
      <c r="AT404" s="840" t="s">
        <v>1235</v>
      </c>
      <c r="AU404" s="860" t="s">
        <v>1345</v>
      </c>
      <c r="AV404" s="839" t="s">
        <v>1346</v>
      </c>
      <c r="AW404" s="861">
        <v>45357</v>
      </c>
      <c r="AX404" s="862"/>
      <c r="AY404" s="843" t="s">
        <v>1461</v>
      </c>
      <c r="AZ404" s="842">
        <v>39249090</v>
      </c>
      <c r="BA404" s="842" t="s">
        <v>120</v>
      </c>
      <c r="BB404" s="863" t="s">
        <v>121</v>
      </c>
      <c r="BC404" s="864">
        <v>45447</v>
      </c>
      <c r="BD404" s="860" t="s">
        <v>1348</v>
      </c>
      <c r="BE404" s="865" cm="1">
        <f t="array" ref="BE404">IF(BD404="","",AC404/SUMPRODUCT(--(BD404=$BD$4:$BD$12824),$AC$4:$AC$12824))</f>
        <v>8.0883182567876698E-3</v>
      </c>
      <c r="BF404" s="458"/>
      <c r="BG404" s="458"/>
      <c r="BH404" s="458"/>
      <c r="BI404" s="458"/>
      <c r="BJ404" s="458"/>
      <c r="BK404" s="458"/>
      <c r="BL404" s="458"/>
      <c r="BM404" s="458"/>
      <c r="BN404" s="458"/>
      <c r="BO404" s="866">
        <f>VLOOKUP(BD404,$BD$4:$BN$12824,3,0)*BE404</f>
        <v>0</v>
      </c>
      <c r="BP404" s="866"/>
      <c r="BQ404" s="866"/>
      <c r="BR404" s="866">
        <f>VLOOKUP(BD404,$BD$4:$BN$12824,6,0)*BE404</f>
        <v>113441.11431187888</v>
      </c>
      <c r="BS404" s="866">
        <f>VLOOKUP(BD404,$BD$4:$BN$12824,7,0)*BE404</f>
        <v>2871.7250437994348</v>
      </c>
      <c r="BT404" s="866"/>
      <c r="BU404" s="866">
        <f>VLOOKUP(BD404,$BD$4:$BN$12824,9,0)*BE404</f>
        <v>2022.0795641969175</v>
      </c>
      <c r="BV404" s="867"/>
      <c r="BW404" s="867">
        <f>VLOOKUP(BD404,$BD$4:$BN$12824,11,0)*BE404</f>
        <v>12941.309210860272</v>
      </c>
      <c r="BX404" s="1146">
        <f t="shared" si="75"/>
        <v>131276.22813073552</v>
      </c>
      <c r="BY404" s="867">
        <f t="shared" si="83"/>
        <v>63334.92141939031</v>
      </c>
      <c r="BZ404" s="867">
        <f t="shared" si="81"/>
        <v>3040076.228130735</v>
      </c>
      <c r="CA404" s="867">
        <f>_xlfn.MAXIFS($BY$4:$BY$12824,$S$4:$S$12824,$S404)</f>
        <v>63334.92141939031</v>
      </c>
      <c r="CB404" s="1032"/>
      <c r="CC404" s="999" t="s">
        <v>1353</v>
      </c>
      <c r="CF404" s="946">
        <f t="shared" si="82"/>
        <v>2908799.9999999995</v>
      </c>
    </row>
    <row r="405" spans="1:84">
      <c r="A405" s="1032"/>
      <c r="B405" s="839" t="s">
        <v>98</v>
      </c>
      <c r="C405" s="839" t="s">
        <v>131</v>
      </c>
      <c r="D405" s="839" t="s">
        <v>1331</v>
      </c>
      <c r="E405" s="839" t="s">
        <v>1435</v>
      </c>
      <c r="F405" s="841">
        <v>45539</v>
      </c>
      <c r="G405" s="840" t="s">
        <v>133</v>
      </c>
      <c r="H405" s="842" t="s">
        <v>134</v>
      </c>
      <c r="I405" s="842"/>
      <c r="J405" s="841"/>
      <c r="K405" s="841"/>
      <c r="L405" s="843" t="s">
        <v>106</v>
      </c>
      <c r="M405" s="844" t="s">
        <v>1333</v>
      </c>
      <c r="N405" s="841">
        <v>45356</v>
      </c>
      <c r="O405" s="841" t="s">
        <v>135</v>
      </c>
      <c r="P405" s="841" t="s">
        <v>186</v>
      </c>
      <c r="Q405" s="843"/>
      <c r="R405" s="845">
        <v>541440</v>
      </c>
      <c r="S405" s="1127" t="s">
        <v>1462</v>
      </c>
      <c r="T405" s="843" t="s">
        <v>1463</v>
      </c>
      <c r="U405" s="842">
        <v>48</v>
      </c>
      <c r="V405" s="842" t="s">
        <v>8</v>
      </c>
      <c r="W405" s="846">
        <v>6</v>
      </c>
      <c r="X405" s="847">
        <f t="shared" si="76"/>
        <v>288</v>
      </c>
      <c r="Y405" s="848">
        <f t="shared" si="84"/>
        <v>0.6</v>
      </c>
      <c r="Z405" s="849">
        <v>2.4</v>
      </c>
      <c r="AA405" s="849"/>
      <c r="AB405" s="849">
        <f t="shared" si="77"/>
        <v>115.19999999999999</v>
      </c>
      <c r="AC405" s="850">
        <f t="shared" si="78"/>
        <v>115.19999999999999</v>
      </c>
      <c r="AD405" s="851"/>
      <c r="AE405" s="852">
        <v>25250</v>
      </c>
      <c r="AF405" s="853">
        <v>0</v>
      </c>
      <c r="AG405" s="854">
        <f t="shared" si="79"/>
        <v>0</v>
      </c>
      <c r="AH405" s="853"/>
      <c r="AI405" s="855">
        <f t="shared" si="80"/>
        <v>0</v>
      </c>
      <c r="AJ405" s="845" t="s">
        <v>1337</v>
      </c>
      <c r="AK405" s="857" t="s">
        <v>1338</v>
      </c>
      <c r="AL405" s="840" t="s">
        <v>1339</v>
      </c>
      <c r="AM405" s="840" t="s">
        <v>1340</v>
      </c>
      <c r="AN405" s="858" t="s">
        <v>1341</v>
      </c>
      <c r="AO405" s="844"/>
      <c r="AP405" s="859" t="s">
        <v>1342</v>
      </c>
      <c r="AQ405" s="859" t="s">
        <v>1343</v>
      </c>
      <c r="AR405" s="859" t="s">
        <v>1344</v>
      </c>
      <c r="AS405" s="840" t="s">
        <v>1310</v>
      </c>
      <c r="AT405" s="840" t="s">
        <v>1235</v>
      </c>
      <c r="AU405" s="860" t="s">
        <v>1345</v>
      </c>
      <c r="AV405" s="839" t="s">
        <v>1346</v>
      </c>
      <c r="AW405" s="861">
        <v>45357</v>
      </c>
      <c r="AX405" s="862"/>
      <c r="AY405" s="843" t="s">
        <v>1464</v>
      </c>
      <c r="AZ405" s="842">
        <v>39249090</v>
      </c>
      <c r="BA405" s="842" t="s">
        <v>120</v>
      </c>
      <c r="BB405" s="863" t="s">
        <v>121</v>
      </c>
      <c r="BC405" s="864">
        <v>45447</v>
      </c>
      <c r="BD405" s="860" t="s">
        <v>1348</v>
      </c>
      <c r="BE405" s="865" cm="1">
        <f t="array" ref="BE405">IF(BD405="","",AC405/SUMPRODUCT(--(BD405=$BD$4:$BD$12824),$AC$4:$AC$12824))</f>
        <v>8.0883182567876698E-3</v>
      </c>
      <c r="BF405" s="458"/>
      <c r="BG405" s="458"/>
      <c r="BH405" s="458"/>
      <c r="BI405" s="458"/>
      <c r="BJ405" s="458"/>
      <c r="BK405" s="458"/>
      <c r="BL405" s="458"/>
      <c r="BM405" s="458"/>
      <c r="BN405" s="458"/>
      <c r="BO405" s="866">
        <f>VLOOKUP(BD405,$BD$4:$BN$12824,3,0)*BE405</f>
        <v>0</v>
      </c>
      <c r="BP405" s="866"/>
      <c r="BQ405" s="866"/>
      <c r="BR405" s="866">
        <f>VLOOKUP(BD405,$BD$4:$BN$12824,6,0)*BE405</f>
        <v>113441.11431187888</v>
      </c>
      <c r="BS405" s="866">
        <f>VLOOKUP(BD405,$BD$4:$BN$12824,7,0)*BE405</f>
        <v>2871.7250437994348</v>
      </c>
      <c r="BT405" s="866"/>
      <c r="BU405" s="866">
        <f>VLOOKUP(BD405,$BD$4:$BN$12824,9,0)*BE405</f>
        <v>2022.0795641969175</v>
      </c>
      <c r="BV405" s="867"/>
      <c r="BW405" s="867">
        <f>VLOOKUP(BD405,$BD$4:$BN$12824,11,0)*BE405</f>
        <v>12941.309210860272</v>
      </c>
      <c r="BX405" s="1146">
        <f t="shared" si="75"/>
        <v>131276.22813073552</v>
      </c>
      <c r="BY405" s="867">
        <f t="shared" si="83"/>
        <v>63334.92141939031</v>
      </c>
      <c r="BZ405" s="867">
        <f t="shared" si="81"/>
        <v>3040076.228130735</v>
      </c>
      <c r="CA405" s="867">
        <f>_xlfn.MAXIFS($BY$4:$BY$12824,$S$4:$S$12824,$S405)</f>
        <v>63334.92141939031</v>
      </c>
      <c r="CB405" s="1032"/>
      <c r="CC405" s="999" t="s">
        <v>1353</v>
      </c>
      <c r="CF405" s="946">
        <f t="shared" si="82"/>
        <v>2908799.9999999995</v>
      </c>
    </row>
    <row r="406" spans="1:84">
      <c r="A406" s="1032"/>
      <c r="B406" s="839" t="s">
        <v>98</v>
      </c>
      <c r="C406" s="839" t="s">
        <v>131</v>
      </c>
      <c r="D406" s="839" t="s">
        <v>1331</v>
      </c>
      <c r="E406" s="839" t="s">
        <v>1435</v>
      </c>
      <c r="F406" s="841">
        <v>45539</v>
      </c>
      <c r="G406" s="840" t="s">
        <v>133</v>
      </c>
      <c r="H406" s="842" t="s">
        <v>134</v>
      </c>
      <c r="I406" s="842"/>
      <c r="J406" s="841"/>
      <c r="K406" s="841"/>
      <c r="L406" s="843" t="s">
        <v>106</v>
      </c>
      <c r="M406" s="844" t="s">
        <v>1333</v>
      </c>
      <c r="N406" s="841">
        <v>45356</v>
      </c>
      <c r="O406" s="841" t="s">
        <v>135</v>
      </c>
      <c r="P406" s="841" t="s">
        <v>186</v>
      </c>
      <c r="Q406" s="843"/>
      <c r="R406" s="845">
        <v>541439</v>
      </c>
      <c r="S406" s="1127" t="s">
        <v>1465</v>
      </c>
      <c r="T406" s="843" t="s">
        <v>1466</v>
      </c>
      <c r="U406" s="842">
        <v>48</v>
      </c>
      <c r="V406" s="842" t="s">
        <v>8</v>
      </c>
      <c r="W406" s="846">
        <v>6</v>
      </c>
      <c r="X406" s="847">
        <f t="shared" si="76"/>
        <v>288</v>
      </c>
      <c r="Y406" s="848">
        <f t="shared" si="84"/>
        <v>0.6</v>
      </c>
      <c r="Z406" s="849">
        <v>2.4</v>
      </c>
      <c r="AA406" s="849"/>
      <c r="AB406" s="849">
        <f t="shared" si="77"/>
        <v>115.19999999999999</v>
      </c>
      <c r="AC406" s="850">
        <f t="shared" si="78"/>
        <v>115.19999999999999</v>
      </c>
      <c r="AD406" s="851"/>
      <c r="AE406" s="852">
        <v>25250</v>
      </c>
      <c r="AF406" s="853">
        <v>0</v>
      </c>
      <c r="AG406" s="854">
        <f t="shared" si="79"/>
        <v>0</v>
      </c>
      <c r="AH406" s="853"/>
      <c r="AI406" s="855">
        <f t="shared" si="80"/>
        <v>0</v>
      </c>
      <c r="AJ406" s="845" t="s">
        <v>1337</v>
      </c>
      <c r="AK406" s="857" t="s">
        <v>1338</v>
      </c>
      <c r="AL406" s="840" t="s">
        <v>1339</v>
      </c>
      <c r="AM406" s="840" t="s">
        <v>1340</v>
      </c>
      <c r="AN406" s="858" t="s">
        <v>1341</v>
      </c>
      <c r="AO406" s="844"/>
      <c r="AP406" s="859" t="s">
        <v>1342</v>
      </c>
      <c r="AQ406" s="859" t="s">
        <v>1343</v>
      </c>
      <c r="AR406" s="859" t="s">
        <v>1344</v>
      </c>
      <c r="AS406" s="840" t="s">
        <v>1310</v>
      </c>
      <c r="AT406" s="840" t="s">
        <v>1235</v>
      </c>
      <c r="AU406" s="860" t="s">
        <v>1345</v>
      </c>
      <c r="AV406" s="839" t="s">
        <v>1346</v>
      </c>
      <c r="AW406" s="861">
        <v>45357</v>
      </c>
      <c r="AX406" s="862"/>
      <c r="AY406" s="843" t="s">
        <v>1467</v>
      </c>
      <c r="AZ406" s="842">
        <v>39249090</v>
      </c>
      <c r="BA406" s="842" t="s">
        <v>120</v>
      </c>
      <c r="BB406" s="863" t="s">
        <v>121</v>
      </c>
      <c r="BC406" s="864">
        <v>45447</v>
      </c>
      <c r="BD406" s="860" t="s">
        <v>1348</v>
      </c>
      <c r="BE406" s="865" cm="1">
        <f t="array" ref="BE406">IF(BD406="","",AC406/SUMPRODUCT(--(BD406=$BD$4:$BD$12824),$AC$4:$AC$12824))</f>
        <v>8.0883182567876698E-3</v>
      </c>
      <c r="BF406" s="458"/>
      <c r="BG406" s="458"/>
      <c r="BH406" s="458"/>
      <c r="BI406" s="458"/>
      <c r="BJ406" s="458"/>
      <c r="BK406" s="458"/>
      <c r="BL406" s="458"/>
      <c r="BM406" s="458"/>
      <c r="BN406" s="458"/>
      <c r="BO406" s="866">
        <f>VLOOKUP(BD406,$BD$4:$BN$12824,3,0)*BE406</f>
        <v>0</v>
      </c>
      <c r="BP406" s="866"/>
      <c r="BQ406" s="866"/>
      <c r="BR406" s="866">
        <f>VLOOKUP(BD406,$BD$4:$BN$12824,6,0)*BE406</f>
        <v>113441.11431187888</v>
      </c>
      <c r="BS406" s="866">
        <f>VLOOKUP(BD406,$BD$4:$BN$12824,7,0)*BE406</f>
        <v>2871.7250437994348</v>
      </c>
      <c r="BT406" s="866"/>
      <c r="BU406" s="866">
        <f>VLOOKUP(BD406,$BD$4:$BN$12824,9,0)*BE406</f>
        <v>2022.0795641969175</v>
      </c>
      <c r="BV406" s="867"/>
      <c r="BW406" s="867">
        <f>VLOOKUP(BD406,$BD$4:$BN$12824,11,0)*BE406</f>
        <v>12941.309210860272</v>
      </c>
      <c r="BX406" s="1146">
        <f t="shared" si="75"/>
        <v>131276.22813073552</v>
      </c>
      <c r="BY406" s="867">
        <f t="shared" si="83"/>
        <v>63334.92141939031</v>
      </c>
      <c r="BZ406" s="867">
        <f t="shared" si="81"/>
        <v>3040076.228130735</v>
      </c>
      <c r="CA406" s="867">
        <f>_xlfn.MAXIFS($BY$4:$BY$12824,$S$4:$S$12824,$S406)</f>
        <v>63334.92141939031</v>
      </c>
      <c r="CB406" s="1032"/>
      <c r="CC406" s="999" t="s">
        <v>1353</v>
      </c>
      <c r="CF406" s="946">
        <f t="shared" si="82"/>
        <v>2908799.9999999995</v>
      </c>
    </row>
    <row r="407" spans="1:84">
      <c r="A407" s="1032"/>
      <c r="B407" s="839" t="s">
        <v>98</v>
      </c>
      <c r="C407" s="839" t="s">
        <v>131</v>
      </c>
      <c r="D407" s="839" t="s">
        <v>1331</v>
      </c>
      <c r="E407" s="839" t="s">
        <v>1435</v>
      </c>
      <c r="F407" s="841">
        <v>45539</v>
      </c>
      <c r="G407" s="840" t="s">
        <v>133</v>
      </c>
      <c r="H407" s="842" t="s">
        <v>134</v>
      </c>
      <c r="I407" s="842"/>
      <c r="J407" s="841"/>
      <c r="K407" s="841"/>
      <c r="L407" s="843" t="s">
        <v>106</v>
      </c>
      <c r="M407" s="844" t="s">
        <v>1333</v>
      </c>
      <c r="N407" s="841">
        <v>45356</v>
      </c>
      <c r="O407" s="841" t="s">
        <v>135</v>
      </c>
      <c r="P407" s="841" t="s">
        <v>186</v>
      </c>
      <c r="Q407" s="843"/>
      <c r="R407" s="845">
        <v>541445</v>
      </c>
      <c r="S407" s="1127" t="s">
        <v>1468</v>
      </c>
      <c r="T407" s="843" t="s">
        <v>1469</v>
      </c>
      <c r="U407" s="842">
        <v>48</v>
      </c>
      <c r="V407" s="842" t="s">
        <v>8</v>
      </c>
      <c r="W407" s="846">
        <v>6</v>
      </c>
      <c r="X407" s="847">
        <f t="shared" si="76"/>
        <v>288</v>
      </c>
      <c r="Y407" s="848">
        <f t="shared" si="84"/>
        <v>0.6</v>
      </c>
      <c r="Z407" s="849">
        <v>2.4</v>
      </c>
      <c r="AA407" s="849"/>
      <c r="AB407" s="849">
        <f t="shared" si="77"/>
        <v>115.19999999999999</v>
      </c>
      <c r="AC407" s="850">
        <f t="shared" si="78"/>
        <v>115.19999999999999</v>
      </c>
      <c r="AD407" s="851"/>
      <c r="AE407" s="852">
        <v>25250</v>
      </c>
      <c r="AF407" s="853">
        <v>0</v>
      </c>
      <c r="AG407" s="854">
        <f t="shared" si="79"/>
        <v>0</v>
      </c>
      <c r="AH407" s="853"/>
      <c r="AI407" s="855">
        <f t="shared" si="80"/>
        <v>0</v>
      </c>
      <c r="AJ407" s="845" t="s">
        <v>1337</v>
      </c>
      <c r="AK407" s="857" t="s">
        <v>1338</v>
      </c>
      <c r="AL407" s="840" t="s">
        <v>1339</v>
      </c>
      <c r="AM407" s="840" t="s">
        <v>1340</v>
      </c>
      <c r="AN407" s="858" t="s">
        <v>1341</v>
      </c>
      <c r="AO407" s="844"/>
      <c r="AP407" s="859" t="s">
        <v>1342</v>
      </c>
      <c r="AQ407" s="859" t="s">
        <v>1343</v>
      </c>
      <c r="AR407" s="859" t="s">
        <v>1344</v>
      </c>
      <c r="AS407" s="840" t="s">
        <v>1310</v>
      </c>
      <c r="AT407" s="840" t="s">
        <v>1235</v>
      </c>
      <c r="AU407" s="860" t="s">
        <v>1345</v>
      </c>
      <c r="AV407" s="839" t="s">
        <v>1346</v>
      </c>
      <c r="AW407" s="861">
        <v>45357</v>
      </c>
      <c r="AX407" s="862"/>
      <c r="AY407" s="843" t="s">
        <v>1470</v>
      </c>
      <c r="AZ407" s="842">
        <v>39249090</v>
      </c>
      <c r="BA407" s="842" t="s">
        <v>120</v>
      </c>
      <c r="BB407" s="863" t="s">
        <v>121</v>
      </c>
      <c r="BC407" s="864">
        <v>45447</v>
      </c>
      <c r="BD407" s="860" t="s">
        <v>1348</v>
      </c>
      <c r="BE407" s="865" cm="1">
        <f t="array" ref="BE407">IF(BD407="","",AC407/SUMPRODUCT(--(BD407=$BD$4:$BD$12824),$AC$4:$AC$12824))</f>
        <v>8.0883182567876698E-3</v>
      </c>
      <c r="BF407" s="458"/>
      <c r="BG407" s="458"/>
      <c r="BH407" s="458"/>
      <c r="BI407" s="458"/>
      <c r="BJ407" s="458"/>
      <c r="BK407" s="458"/>
      <c r="BL407" s="458"/>
      <c r="BM407" s="458"/>
      <c r="BN407" s="458"/>
      <c r="BO407" s="866">
        <f>VLOOKUP(BD407,$BD$4:$BN$12824,3,0)*BE407</f>
        <v>0</v>
      </c>
      <c r="BP407" s="866"/>
      <c r="BQ407" s="866"/>
      <c r="BR407" s="866">
        <f>VLOOKUP(BD407,$BD$4:$BN$12824,6,0)*BE407</f>
        <v>113441.11431187888</v>
      </c>
      <c r="BS407" s="866">
        <f>VLOOKUP(BD407,$BD$4:$BN$12824,7,0)*BE407</f>
        <v>2871.7250437994348</v>
      </c>
      <c r="BT407" s="866"/>
      <c r="BU407" s="866">
        <f>VLOOKUP(BD407,$BD$4:$BN$12824,9,0)*BE407</f>
        <v>2022.0795641969175</v>
      </c>
      <c r="BV407" s="867"/>
      <c r="BW407" s="867">
        <f>VLOOKUP(BD407,$BD$4:$BN$12824,11,0)*BE407</f>
        <v>12941.309210860272</v>
      </c>
      <c r="BX407" s="1146">
        <f t="shared" si="75"/>
        <v>131276.22813073552</v>
      </c>
      <c r="BY407" s="867">
        <f t="shared" si="83"/>
        <v>63334.92141939031</v>
      </c>
      <c r="BZ407" s="867">
        <f t="shared" si="81"/>
        <v>3040076.228130735</v>
      </c>
      <c r="CA407" s="867">
        <f>_xlfn.MAXIFS($BY$4:$BY$12824,$S$4:$S$12824,$S407)</f>
        <v>63334.92141939031</v>
      </c>
      <c r="CB407" s="1032"/>
      <c r="CC407" s="999" t="s">
        <v>1353</v>
      </c>
      <c r="CF407" s="946">
        <f t="shared" si="82"/>
        <v>2908799.9999999995</v>
      </c>
    </row>
    <row r="408" spans="1:84">
      <c r="A408" s="1032"/>
      <c r="B408" s="839" t="s">
        <v>98</v>
      </c>
      <c r="C408" s="839" t="s">
        <v>131</v>
      </c>
      <c r="D408" s="839" t="s">
        <v>1331</v>
      </c>
      <c r="E408" s="839" t="s">
        <v>1435</v>
      </c>
      <c r="F408" s="841">
        <v>45539</v>
      </c>
      <c r="G408" s="840" t="s">
        <v>133</v>
      </c>
      <c r="H408" s="842" t="s">
        <v>134</v>
      </c>
      <c r="I408" s="842"/>
      <c r="J408" s="841"/>
      <c r="K408" s="841"/>
      <c r="L408" s="843" t="s">
        <v>106</v>
      </c>
      <c r="M408" s="844" t="s">
        <v>1333</v>
      </c>
      <c r="N408" s="841">
        <v>45356</v>
      </c>
      <c r="O408" s="841" t="s">
        <v>135</v>
      </c>
      <c r="P408" s="841" t="s">
        <v>186</v>
      </c>
      <c r="Q408" s="843"/>
      <c r="R408" s="845">
        <v>541453</v>
      </c>
      <c r="S408" s="1127" t="s">
        <v>1471</v>
      </c>
      <c r="T408" s="843" t="s">
        <v>1472</v>
      </c>
      <c r="U408" s="842">
        <v>48</v>
      </c>
      <c r="V408" s="842" t="s">
        <v>8</v>
      </c>
      <c r="W408" s="846">
        <v>6</v>
      </c>
      <c r="X408" s="847">
        <f t="shared" si="76"/>
        <v>288</v>
      </c>
      <c r="Y408" s="848">
        <f t="shared" si="84"/>
        <v>0.6</v>
      </c>
      <c r="Z408" s="849">
        <v>2.4</v>
      </c>
      <c r="AA408" s="849"/>
      <c r="AB408" s="849">
        <f t="shared" si="77"/>
        <v>115.19999999999999</v>
      </c>
      <c r="AC408" s="850">
        <f t="shared" si="78"/>
        <v>115.19999999999999</v>
      </c>
      <c r="AD408" s="851"/>
      <c r="AE408" s="852">
        <v>25250</v>
      </c>
      <c r="AF408" s="853">
        <v>0</v>
      </c>
      <c r="AG408" s="854">
        <f t="shared" si="79"/>
        <v>0</v>
      </c>
      <c r="AH408" s="853"/>
      <c r="AI408" s="855">
        <f t="shared" si="80"/>
        <v>0</v>
      </c>
      <c r="AJ408" s="845" t="s">
        <v>1337</v>
      </c>
      <c r="AK408" s="857" t="s">
        <v>1338</v>
      </c>
      <c r="AL408" s="840" t="s">
        <v>1339</v>
      </c>
      <c r="AM408" s="840" t="s">
        <v>1340</v>
      </c>
      <c r="AN408" s="858" t="s">
        <v>1341</v>
      </c>
      <c r="AO408" s="844"/>
      <c r="AP408" s="859" t="s">
        <v>1342</v>
      </c>
      <c r="AQ408" s="859" t="s">
        <v>1343</v>
      </c>
      <c r="AR408" s="859" t="s">
        <v>1344</v>
      </c>
      <c r="AS408" s="840" t="s">
        <v>1310</v>
      </c>
      <c r="AT408" s="840" t="s">
        <v>1235</v>
      </c>
      <c r="AU408" s="860" t="s">
        <v>1345</v>
      </c>
      <c r="AV408" s="839" t="s">
        <v>1346</v>
      </c>
      <c r="AW408" s="861">
        <v>45357</v>
      </c>
      <c r="AX408" s="862"/>
      <c r="AY408" s="843" t="s">
        <v>1473</v>
      </c>
      <c r="AZ408" s="842">
        <v>39249090</v>
      </c>
      <c r="BA408" s="842" t="s">
        <v>120</v>
      </c>
      <c r="BB408" s="863" t="s">
        <v>121</v>
      </c>
      <c r="BC408" s="864">
        <v>45447</v>
      </c>
      <c r="BD408" s="860" t="s">
        <v>1348</v>
      </c>
      <c r="BE408" s="865" cm="1">
        <f t="array" ref="BE408">IF(BD408="","",AC408/SUMPRODUCT(--(BD408=$BD$4:$BD$12824),$AC$4:$AC$12824))</f>
        <v>8.0883182567876698E-3</v>
      </c>
      <c r="BF408" s="458"/>
      <c r="BG408" s="458"/>
      <c r="BH408" s="458"/>
      <c r="BI408" s="458"/>
      <c r="BJ408" s="458"/>
      <c r="BK408" s="458"/>
      <c r="BL408" s="458"/>
      <c r="BM408" s="458"/>
      <c r="BN408" s="458"/>
      <c r="BO408" s="866">
        <f>VLOOKUP(BD408,$BD$4:$BN$12824,3,0)*BE408</f>
        <v>0</v>
      </c>
      <c r="BP408" s="866"/>
      <c r="BQ408" s="866"/>
      <c r="BR408" s="866">
        <f>VLOOKUP(BD408,$BD$4:$BN$12824,6,0)*BE408</f>
        <v>113441.11431187888</v>
      </c>
      <c r="BS408" s="866">
        <f>VLOOKUP(BD408,$BD$4:$BN$12824,7,0)*BE408</f>
        <v>2871.7250437994348</v>
      </c>
      <c r="BT408" s="866"/>
      <c r="BU408" s="866">
        <f>VLOOKUP(BD408,$BD$4:$BN$12824,9,0)*BE408</f>
        <v>2022.0795641969175</v>
      </c>
      <c r="BV408" s="867"/>
      <c r="BW408" s="867">
        <f>VLOOKUP(BD408,$BD$4:$BN$12824,11,0)*BE408</f>
        <v>12941.309210860272</v>
      </c>
      <c r="BX408" s="1146">
        <f t="shared" si="75"/>
        <v>131276.22813073552</v>
      </c>
      <c r="BY408" s="867">
        <f t="shared" si="83"/>
        <v>63334.92141939031</v>
      </c>
      <c r="BZ408" s="867">
        <f t="shared" si="81"/>
        <v>3040076.228130735</v>
      </c>
      <c r="CA408" s="867">
        <f>_xlfn.MAXIFS($BY$4:$BY$12824,$S$4:$S$12824,$S408)</f>
        <v>63334.92141939031</v>
      </c>
      <c r="CB408" s="1032"/>
      <c r="CC408" s="999" t="s">
        <v>1353</v>
      </c>
      <c r="CF408" s="946">
        <f t="shared" si="82"/>
        <v>2908799.9999999995</v>
      </c>
    </row>
    <row r="409" spans="1:84">
      <c r="A409" s="1032"/>
      <c r="B409" s="839" t="s">
        <v>98</v>
      </c>
      <c r="C409" s="839" t="s">
        <v>131</v>
      </c>
      <c r="D409" s="839" t="s">
        <v>1331</v>
      </c>
      <c r="E409" s="839" t="s">
        <v>1435</v>
      </c>
      <c r="F409" s="841">
        <v>45539</v>
      </c>
      <c r="G409" s="840" t="s">
        <v>133</v>
      </c>
      <c r="H409" s="842" t="s">
        <v>134</v>
      </c>
      <c r="I409" s="842"/>
      <c r="J409" s="841"/>
      <c r="K409" s="841"/>
      <c r="L409" s="843" t="s">
        <v>106</v>
      </c>
      <c r="M409" s="844" t="s">
        <v>1333</v>
      </c>
      <c r="N409" s="841">
        <v>45356</v>
      </c>
      <c r="O409" s="841" t="s">
        <v>135</v>
      </c>
      <c r="P409" s="841" t="s">
        <v>186</v>
      </c>
      <c r="Q409" s="843"/>
      <c r="R409" s="845">
        <v>541443</v>
      </c>
      <c r="S409" s="1127" t="s">
        <v>194</v>
      </c>
      <c r="T409" s="843" t="s">
        <v>1474</v>
      </c>
      <c r="U409" s="842">
        <v>48</v>
      </c>
      <c r="V409" s="842" t="s">
        <v>8</v>
      </c>
      <c r="W409" s="846">
        <v>6</v>
      </c>
      <c r="X409" s="847">
        <f t="shared" si="76"/>
        <v>288</v>
      </c>
      <c r="Y409" s="848">
        <f t="shared" si="84"/>
        <v>0.6</v>
      </c>
      <c r="Z409" s="849">
        <v>2.4</v>
      </c>
      <c r="AA409" s="849"/>
      <c r="AB409" s="849">
        <f t="shared" si="77"/>
        <v>115.19999999999999</v>
      </c>
      <c r="AC409" s="850">
        <f t="shared" si="78"/>
        <v>115.19999999999999</v>
      </c>
      <c r="AD409" s="851"/>
      <c r="AE409" s="852">
        <v>25250</v>
      </c>
      <c r="AF409" s="853">
        <v>0</v>
      </c>
      <c r="AG409" s="854">
        <f t="shared" si="79"/>
        <v>0</v>
      </c>
      <c r="AH409" s="853"/>
      <c r="AI409" s="855">
        <f t="shared" si="80"/>
        <v>0</v>
      </c>
      <c r="AJ409" s="845" t="s">
        <v>1337</v>
      </c>
      <c r="AK409" s="857" t="s">
        <v>1338</v>
      </c>
      <c r="AL409" s="840" t="s">
        <v>1339</v>
      </c>
      <c r="AM409" s="840" t="s">
        <v>1340</v>
      </c>
      <c r="AN409" s="858" t="s">
        <v>1341</v>
      </c>
      <c r="AO409" s="844"/>
      <c r="AP409" s="859" t="s">
        <v>1342</v>
      </c>
      <c r="AQ409" s="859" t="s">
        <v>1343</v>
      </c>
      <c r="AR409" s="859" t="s">
        <v>1344</v>
      </c>
      <c r="AS409" s="840" t="s">
        <v>1310</v>
      </c>
      <c r="AT409" s="840" t="s">
        <v>1235</v>
      </c>
      <c r="AU409" s="860" t="s">
        <v>1345</v>
      </c>
      <c r="AV409" s="839" t="s">
        <v>1346</v>
      </c>
      <c r="AW409" s="861">
        <v>45357</v>
      </c>
      <c r="AX409" s="862"/>
      <c r="AY409" s="843" t="s">
        <v>1475</v>
      </c>
      <c r="AZ409" s="842">
        <v>39249090</v>
      </c>
      <c r="BA409" s="842" t="s">
        <v>120</v>
      </c>
      <c r="BB409" s="863" t="s">
        <v>121</v>
      </c>
      <c r="BC409" s="864">
        <v>45447</v>
      </c>
      <c r="BD409" s="860" t="s">
        <v>1348</v>
      </c>
      <c r="BE409" s="865" cm="1">
        <f t="array" ref="BE409">IF(BD409="","",AC409/SUMPRODUCT(--(BD409=$BD$4:$BD$12824),$AC$4:$AC$12824))</f>
        <v>8.0883182567876698E-3</v>
      </c>
      <c r="BF409" s="458"/>
      <c r="BG409" s="458"/>
      <c r="BH409" s="458"/>
      <c r="BI409" s="458"/>
      <c r="BJ409" s="458"/>
      <c r="BK409" s="458"/>
      <c r="BL409" s="458"/>
      <c r="BM409" s="458"/>
      <c r="BN409" s="458"/>
      <c r="BO409" s="866">
        <f>VLOOKUP(BD409,$BD$4:$BN$12824,3,0)*BE409</f>
        <v>0</v>
      </c>
      <c r="BP409" s="866"/>
      <c r="BQ409" s="866"/>
      <c r="BR409" s="866">
        <f>VLOOKUP(BD409,$BD$4:$BN$12824,6,0)*BE409</f>
        <v>113441.11431187888</v>
      </c>
      <c r="BS409" s="866">
        <f>VLOOKUP(BD409,$BD$4:$BN$12824,7,0)*BE409</f>
        <v>2871.7250437994348</v>
      </c>
      <c r="BT409" s="866"/>
      <c r="BU409" s="866">
        <f>VLOOKUP(BD409,$BD$4:$BN$12824,9,0)*BE409</f>
        <v>2022.0795641969175</v>
      </c>
      <c r="BV409" s="867"/>
      <c r="BW409" s="867">
        <f>VLOOKUP(BD409,$BD$4:$BN$12824,11,0)*BE409</f>
        <v>12941.309210860272</v>
      </c>
      <c r="BX409" s="1146">
        <f t="shared" si="75"/>
        <v>131276.22813073552</v>
      </c>
      <c r="BY409" s="867">
        <f t="shared" si="83"/>
        <v>63334.92141939031</v>
      </c>
      <c r="BZ409" s="867">
        <f t="shared" si="81"/>
        <v>3040076.228130735</v>
      </c>
      <c r="CA409" s="867">
        <f>_xlfn.MAXIFS($BY$4:$BY$12824,$S$4:$S$12824,$S409)</f>
        <v>67100.35472483495</v>
      </c>
      <c r="CB409" s="1032"/>
      <c r="CC409" s="999" t="s">
        <v>1353</v>
      </c>
      <c r="CF409" s="946">
        <f t="shared" si="82"/>
        <v>2908799.9999999995</v>
      </c>
    </row>
    <row r="410" spans="1:84">
      <c r="A410" s="1032"/>
      <c r="B410" s="839" t="s">
        <v>98</v>
      </c>
      <c r="C410" s="839" t="s">
        <v>131</v>
      </c>
      <c r="D410" s="839" t="s">
        <v>1331</v>
      </c>
      <c r="E410" s="839" t="s">
        <v>1435</v>
      </c>
      <c r="F410" s="841">
        <v>45539</v>
      </c>
      <c r="G410" s="840" t="s">
        <v>133</v>
      </c>
      <c r="H410" s="842" t="s">
        <v>134</v>
      </c>
      <c r="I410" s="842"/>
      <c r="J410" s="841"/>
      <c r="K410" s="841"/>
      <c r="L410" s="843" t="s">
        <v>106</v>
      </c>
      <c r="M410" s="844" t="s">
        <v>1333</v>
      </c>
      <c r="N410" s="841">
        <v>45356</v>
      </c>
      <c r="O410" s="841" t="s">
        <v>135</v>
      </c>
      <c r="P410" s="841" t="s">
        <v>1476</v>
      </c>
      <c r="Q410" s="843"/>
      <c r="R410" s="845">
        <v>542658</v>
      </c>
      <c r="S410" s="1127" t="s">
        <v>1477</v>
      </c>
      <c r="T410" s="843" t="s">
        <v>1478</v>
      </c>
      <c r="U410" s="842">
        <v>12</v>
      </c>
      <c r="V410" s="842" t="s">
        <v>8</v>
      </c>
      <c r="W410" s="846">
        <v>122</v>
      </c>
      <c r="X410" s="847">
        <f t="shared" si="76"/>
        <v>1464</v>
      </c>
      <c r="Y410" s="848">
        <f t="shared" si="84"/>
        <v>0.6</v>
      </c>
      <c r="Z410" s="849">
        <v>48.8</v>
      </c>
      <c r="AA410" s="849"/>
      <c r="AB410" s="849">
        <f t="shared" si="77"/>
        <v>585.59999999999991</v>
      </c>
      <c r="AC410" s="850">
        <f t="shared" si="78"/>
        <v>585.59999999999991</v>
      </c>
      <c r="AD410" s="851"/>
      <c r="AE410" s="852">
        <v>25250</v>
      </c>
      <c r="AF410" s="853">
        <v>0</v>
      </c>
      <c r="AG410" s="854">
        <f t="shared" si="79"/>
        <v>0</v>
      </c>
      <c r="AH410" s="853"/>
      <c r="AI410" s="855">
        <f t="shared" si="80"/>
        <v>0</v>
      </c>
      <c r="AJ410" s="845" t="s">
        <v>1337</v>
      </c>
      <c r="AK410" s="857" t="s">
        <v>1338</v>
      </c>
      <c r="AL410" s="840" t="s">
        <v>1339</v>
      </c>
      <c r="AM410" s="840" t="s">
        <v>1340</v>
      </c>
      <c r="AN410" s="858" t="s">
        <v>1341</v>
      </c>
      <c r="AO410" s="844"/>
      <c r="AP410" s="859" t="s">
        <v>1342</v>
      </c>
      <c r="AQ410" s="859" t="s">
        <v>1343</v>
      </c>
      <c r="AR410" s="859" t="s">
        <v>1344</v>
      </c>
      <c r="AS410" s="840" t="s">
        <v>1310</v>
      </c>
      <c r="AT410" s="840" t="s">
        <v>1235</v>
      </c>
      <c r="AU410" s="860" t="s">
        <v>1345</v>
      </c>
      <c r="AV410" s="839" t="s">
        <v>1346</v>
      </c>
      <c r="AW410" s="861">
        <v>45357</v>
      </c>
      <c r="AX410" s="862"/>
      <c r="AY410" s="843" t="s">
        <v>1479</v>
      </c>
      <c r="AZ410" s="842">
        <v>91052900</v>
      </c>
      <c r="BA410" s="842" t="s">
        <v>120</v>
      </c>
      <c r="BB410" s="863" t="s">
        <v>121</v>
      </c>
      <c r="BC410" s="864">
        <v>45447</v>
      </c>
      <c r="BD410" s="860" t="s">
        <v>1348</v>
      </c>
      <c r="BE410" s="865" cm="1">
        <f t="array" ref="BE410">IF(BD410="","",AC410/SUMPRODUCT(--(BD410=$BD$4:$BD$12824),$AC$4:$AC$12824))</f>
        <v>4.1115617805337318E-2</v>
      </c>
      <c r="BF410" s="458"/>
      <c r="BG410" s="458"/>
      <c r="BH410" s="458"/>
      <c r="BI410" s="458"/>
      <c r="BJ410" s="458"/>
      <c r="BK410" s="458"/>
      <c r="BL410" s="458"/>
      <c r="BM410" s="458"/>
      <c r="BN410" s="458"/>
      <c r="BO410" s="866">
        <f>VLOOKUP(BD410,$BD$4:$BN$12824,3,0)*BE410</f>
        <v>0</v>
      </c>
      <c r="BP410" s="866"/>
      <c r="BQ410" s="866"/>
      <c r="BR410" s="866">
        <f>VLOOKUP(BD410,$BD$4:$BN$12824,6,0)*BE410</f>
        <v>576658.99775205087</v>
      </c>
      <c r="BS410" s="866">
        <f>VLOOKUP(BD410,$BD$4:$BN$12824,7,0)*BE410</f>
        <v>14597.935639313793</v>
      </c>
      <c r="BT410" s="866"/>
      <c r="BU410" s="866">
        <f>VLOOKUP(BD410,$BD$4:$BN$12824,9,0)*BE410</f>
        <v>10278.904451334329</v>
      </c>
      <c r="BV410" s="867"/>
      <c r="BW410" s="867">
        <f>VLOOKUP(BD410,$BD$4:$BN$12824,11,0)*BE410</f>
        <v>65784.988488539704</v>
      </c>
      <c r="BX410" s="1146">
        <f t="shared" si="75"/>
        <v>667320.82633123873</v>
      </c>
      <c r="BY410" s="867">
        <f t="shared" si="83"/>
        <v>1287810.0688609364</v>
      </c>
      <c r="BZ410" s="867">
        <f t="shared" si="81"/>
        <v>15453720.826331237</v>
      </c>
      <c r="CA410" s="867">
        <f>_xlfn.MAXIFS($BY$4:$BY$12824,$S$4:$S$12824,$S410)</f>
        <v>1287810.0688609364</v>
      </c>
      <c r="CB410" s="1032"/>
      <c r="CC410" s="999" t="s">
        <v>1353</v>
      </c>
      <c r="CF410" s="946">
        <f t="shared" si="82"/>
        <v>14786399.999999998</v>
      </c>
    </row>
    <row r="411" spans="1:84">
      <c r="A411" s="1032"/>
      <c r="B411" s="839" t="s">
        <v>98</v>
      </c>
      <c r="C411" s="839" t="s">
        <v>131</v>
      </c>
      <c r="D411" s="839" t="s">
        <v>1331</v>
      </c>
      <c r="E411" s="839" t="s">
        <v>1435</v>
      </c>
      <c r="F411" s="841">
        <v>45539</v>
      </c>
      <c r="G411" s="840" t="s">
        <v>133</v>
      </c>
      <c r="H411" s="842" t="s">
        <v>134</v>
      </c>
      <c r="I411" s="842"/>
      <c r="J411" s="841"/>
      <c r="K411" s="841"/>
      <c r="L411" s="843" t="s">
        <v>106</v>
      </c>
      <c r="M411" s="844" t="s">
        <v>1333</v>
      </c>
      <c r="N411" s="841">
        <v>45356</v>
      </c>
      <c r="O411" s="841" t="s">
        <v>135</v>
      </c>
      <c r="P411" s="841" t="s">
        <v>1476</v>
      </c>
      <c r="Q411" s="843"/>
      <c r="R411" s="845">
        <v>542660</v>
      </c>
      <c r="S411" s="1127" t="s">
        <v>1480</v>
      </c>
      <c r="T411" s="843" t="s">
        <v>1481</v>
      </c>
      <c r="U411" s="842">
        <v>12</v>
      </c>
      <c r="V411" s="842" t="s">
        <v>8</v>
      </c>
      <c r="W411" s="846">
        <v>122</v>
      </c>
      <c r="X411" s="847">
        <f t="shared" si="76"/>
        <v>1464</v>
      </c>
      <c r="Y411" s="848">
        <f t="shared" si="84"/>
        <v>0.6</v>
      </c>
      <c r="Z411" s="849">
        <v>48.8</v>
      </c>
      <c r="AA411" s="849"/>
      <c r="AB411" s="849">
        <f t="shared" si="77"/>
        <v>585.59999999999991</v>
      </c>
      <c r="AC411" s="850">
        <f t="shared" si="78"/>
        <v>585.59999999999991</v>
      </c>
      <c r="AD411" s="851"/>
      <c r="AE411" s="852">
        <v>25250</v>
      </c>
      <c r="AF411" s="853">
        <v>0</v>
      </c>
      <c r="AG411" s="854">
        <f t="shared" si="79"/>
        <v>0</v>
      </c>
      <c r="AH411" s="853"/>
      <c r="AI411" s="855">
        <f t="shared" si="80"/>
        <v>0</v>
      </c>
      <c r="AJ411" s="845" t="s">
        <v>1337</v>
      </c>
      <c r="AK411" s="857" t="s">
        <v>1338</v>
      </c>
      <c r="AL411" s="840" t="s">
        <v>1339</v>
      </c>
      <c r="AM411" s="840" t="s">
        <v>1340</v>
      </c>
      <c r="AN411" s="858" t="s">
        <v>1341</v>
      </c>
      <c r="AO411" s="844"/>
      <c r="AP411" s="859" t="s">
        <v>1342</v>
      </c>
      <c r="AQ411" s="859" t="s">
        <v>1343</v>
      </c>
      <c r="AR411" s="859" t="s">
        <v>1344</v>
      </c>
      <c r="AS411" s="840" t="s">
        <v>1310</v>
      </c>
      <c r="AT411" s="840" t="s">
        <v>1235</v>
      </c>
      <c r="AU411" s="860" t="s">
        <v>1345</v>
      </c>
      <c r="AV411" s="839" t="s">
        <v>1346</v>
      </c>
      <c r="AW411" s="861">
        <v>45357</v>
      </c>
      <c r="AX411" s="862"/>
      <c r="AY411" s="843" t="s">
        <v>1482</v>
      </c>
      <c r="AZ411" s="842">
        <v>91052900</v>
      </c>
      <c r="BA411" s="842" t="s">
        <v>120</v>
      </c>
      <c r="BB411" s="863" t="s">
        <v>121</v>
      </c>
      <c r="BC411" s="864">
        <v>45447</v>
      </c>
      <c r="BD411" s="860" t="s">
        <v>1348</v>
      </c>
      <c r="BE411" s="865" cm="1">
        <f t="array" ref="BE411">IF(BD411="","",AC411/SUMPRODUCT(--(BD411=$BD$4:$BD$12824),$AC$4:$AC$12824))</f>
        <v>4.1115617805337318E-2</v>
      </c>
      <c r="BF411" s="458"/>
      <c r="BG411" s="458"/>
      <c r="BH411" s="458"/>
      <c r="BI411" s="458"/>
      <c r="BJ411" s="458"/>
      <c r="BK411" s="458"/>
      <c r="BL411" s="458"/>
      <c r="BM411" s="458"/>
      <c r="BN411" s="458"/>
      <c r="BO411" s="866">
        <f>VLOOKUP(BD411,$BD$4:$BN$12824,3,0)*BE411</f>
        <v>0</v>
      </c>
      <c r="BP411" s="866"/>
      <c r="BQ411" s="866"/>
      <c r="BR411" s="866">
        <f>VLOOKUP(BD411,$BD$4:$BN$12824,6,0)*BE411</f>
        <v>576658.99775205087</v>
      </c>
      <c r="BS411" s="866">
        <f>VLOOKUP(BD411,$BD$4:$BN$12824,7,0)*BE411</f>
        <v>14597.935639313793</v>
      </c>
      <c r="BT411" s="866"/>
      <c r="BU411" s="866">
        <f>VLOOKUP(BD411,$BD$4:$BN$12824,9,0)*BE411</f>
        <v>10278.904451334329</v>
      </c>
      <c r="BV411" s="867"/>
      <c r="BW411" s="867">
        <f>VLOOKUP(BD411,$BD$4:$BN$12824,11,0)*BE411</f>
        <v>65784.988488539704</v>
      </c>
      <c r="BX411" s="1146">
        <f t="shared" si="75"/>
        <v>667320.82633123873</v>
      </c>
      <c r="BY411" s="867">
        <f t="shared" si="83"/>
        <v>1287810.0688609364</v>
      </c>
      <c r="BZ411" s="867">
        <f t="shared" si="81"/>
        <v>15453720.826331237</v>
      </c>
      <c r="CA411" s="867">
        <f>_xlfn.MAXIFS($BY$4:$BY$12824,$S$4:$S$12824,$S411)</f>
        <v>1287810.0688609364</v>
      </c>
      <c r="CB411" s="1032"/>
      <c r="CC411" s="999" t="s">
        <v>1353</v>
      </c>
      <c r="CF411" s="946">
        <f t="shared" si="82"/>
        <v>14786399.999999998</v>
      </c>
    </row>
    <row r="412" spans="1:84">
      <c r="A412" s="1032"/>
      <c r="B412" s="839" t="s">
        <v>98</v>
      </c>
      <c r="C412" s="839" t="s">
        <v>131</v>
      </c>
      <c r="D412" s="839" t="s">
        <v>1331</v>
      </c>
      <c r="E412" s="839" t="s">
        <v>1435</v>
      </c>
      <c r="F412" s="841">
        <v>45539</v>
      </c>
      <c r="G412" s="840" t="s">
        <v>133</v>
      </c>
      <c r="H412" s="842" t="s">
        <v>134</v>
      </c>
      <c r="I412" s="842"/>
      <c r="J412" s="841"/>
      <c r="K412" s="841"/>
      <c r="L412" s="843" t="s">
        <v>106</v>
      </c>
      <c r="M412" s="844" t="s">
        <v>1333</v>
      </c>
      <c r="N412" s="841">
        <v>45356</v>
      </c>
      <c r="O412" s="841" t="s">
        <v>135</v>
      </c>
      <c r="P412" s="841" t="s">
        <v>1483</v>
      </c>
      <c r="Q412" s="843"/>
      <c r="R412" s="845" t="s">
        <v>1484</v>
      </c>
      <c r="S412" s="1127" t="s">
        <v>1485</v>
      </c>
      <c r="T412" s="843" t="s">
        <v>1486</v>
      </c>
      <c r="U412" s="842">
        <v>48</v>
      </c>
      <c r="V412" s="842" t="s">
        <v>8</v>
      </c>
      <c r="W412" s="846">
        <v>11</v>
      </c>
      <c r="X412" s="847">
        <f t="shared" si="76"/>
        <v>528</v>
      </c>
      <c r="Y412" s="848">
        <f t="shared" si="84"/>
        <v>0.6</v>
      </c>
      <c r="Z412" s="849">
        <v>4.4000000000000004</v>
      </c>
      <c r="AA412" s="849"/>
      <c r="AB412" s="849">
        <f t="shared" si="77"/>
        <v>211.20000000000002</v>
      </c>
      <c r="AC412" s="850">
        <f t="shared" si="78"/>
        <v>211.20000000000002</v>
      </c>
      <c r="AD412" s="851"/>
      <c r="AE412" s="852">
        <v>25250</v>
      </c>
      <c r="AF412" s="853">
        <v>0</v>
      </c>
      <c r="AG412" s="854">
        <f t="shared" si="79"/>
        <v>0</v>
      </c>
      <c r="AH412" s="853"/>
      <c r="AI412" s="855">
        <f t="shared" si="80"/>
        <v>0</v>
      </c>
      <c r="AJ412" s="845" t="s">
        <v>1337</v>
      </c>
      <c r="AK412" s="857" t="s">
        <v>1338</v>
      </c>
      <c r="AL412" s="840" t="s">
        <v>1339</v>
      </c>
      <c r="AM412" s="840" t="s">
        <v>1340</v>
      </c>
      <c r="AN412" s="858" t="s">
        <v>1341</v>
      </c>
      <c r="AO412" s="844"/>
      <c r="AP412" s="859" t="s">
        <v>1342</v>
      </c>
      <c r="AQ412" s="859" t="s">
        <v>1343</v>
      </c>
      <c r="AR412" s="859" t="s">
        <v>1344</v>
      </c>
      <c r="AS412" s="840" t="s">
        <v>1310</v>
      </c>
      <c r="AT412" s="840" t="s">
        <v>1235</v>
      </c>
      <c r="AU412" s="860" t="s">
        <v>1345</v>
      </c>
      <c r="AV412" s="839" t="s">
        <v>1346</v>
      </c>
      <c r="AW412" s="861">
        <v>45357</v>
      </c>
      <c r="AX412" s="862"/>
      <c r="AY412" s="843" t="s">
        <v>1487</v>
      </c>
      <c r="AZ412" s="842">
        <v>42029290</v>
      </c>
      <c r="BA412" s="842" t="s">
        <v>120</v>
      </c>
      <c r="BB412" s="863" t="s">
        <v>121</v>
      </c>
      <c r="BC412" s="864">
        <v>45447</v>
      </c>
      <c r="BD412" s="860" t="s">
        <v>1348</v>
      </c>
      <c r="BE412" s="865" cm="1">
        <f t="array" ref="BE412">IF(BD412="","",AC412/SUMPRODUCT(--(BD412=$BD$4:$BD$12824),$AC$4:$AC$12824))</f>
        <v>1.4828583470777397E-2</v>
      </c>
      <c r="BF412" s="458"/>
      <c r="BG412" s="458"/>
      <c r="BH412" s="458"/>
      <c r="BI412" s="458"/>
      <c r="BJ412" s="458"/>
      <c r="BK412" s="458"/>
      <c r="BL412" s="458"/>
      <c r="BM412" s="458"/>
      <c r="BN412" s="458"/>
      <c r="BO412" s="866">
        <f>VLOOKUP(BD412,$BD$4:$BN$12824,3,0)*BE412</f>
        <v>0</v>
      </c>
      <c r="BP412" s="866"/>
      <c r="BQ412" s="866"/>
      <c r="BR412" s="866">
        <f>VLOOKUP(BD412,$BD$4:$BN$12824,6,0)*BE412</f>
        <v>207975.37623844465</v>
      </c>
      <c r="BS412" s="866">
        <f>VLOOKUP(BD412,$BD$4:$BN$12824,7,0)*BE412</f>
        <v>5264.8292469656317</v>
      </c>
      <c r="BT412" s="866"/>
      <c r="BU412" s="866">
        <f>VLOOKUP(BD412,$BD$4:$BN$12824,9,0)*BE412</f>
        <v>3707.1458676943494</v>
      </c>
      <c r="BV412" s="867"/>
      <c r="BW412" s="867">
        <f>VLOOKUP(BD412,$BD$4:$BN$12824,11,0)*BE412</f>
        <v>23725.733553243837</v>
      </c>
      <c r="BX412" s="1146">
        <f t="shared" si="75"/>
        <v>240673.08490634846</v>
      </c>
      <c r="BY412" s="867">
        <f t="shared" si="83"/>
        <v>116114.02260221558</v>
      </c>
      <c r="BZ412" s="867">
        <f t="shared" si="81"/>
        <v>5573473.084906348</v>
      </c>
      <c r="CA412" s="867">
        <f>_xlfn.MAXIFS($BY$4:$BY$12824,$S$4:$S$12824,$S412)</f>
        <v>116114.02260221558</v>
      </c>
      <c r="CB412" s="1032"/>
      <c r="CC412" s="999" t="s">
        <v>1353</v>
      </c>
      <c r="CF412" s="946">
        <f t="shared" si="82"/>
        <v>5332800</v>
      </c>
    </row>
    <row r="413" spans="1:84">
      <c r="A413" s="1032"/>
      <c r="B413" s="839" t="s">
        <v>98</v>
      </c>
      <c r="C413" s="839" t="s">
        <v>131</v>
      </c>
      <c r="D413" s="839" t="s">
        <v>1331</v>
      </c>
      <c r="E413" s="839" t="s">
        <v>1435</v>
      </c>
      <c r="F413" s="841">
        <v>45539</v>
      </c>
      <c r="G413" s="840" t="s">
        <v>133</v>
      </c>
      <c r="H413" s="842" t="s">
        <v>134</v>
      </c>
      <c r="I413" s="842"/>
      <c r="J413" s="841"/>
      <c r="K413" s="841"/>
      <c r="L413" s="843" t="s">
        <v>106</v>
      </c>
      <c r="M413" s="844" t="s">
        <v>1333</v>
      </c>
      <c r="N413" s="841">
        <v>45356</v>
      </c>
      <c r="O413" s="841" t="s">
        <v>135</v>
      </c>
      <c r="P413" s="841" t="s">
        <v>1258</v>
      </c>
      <c r="Q413" s="843"/>
      <c r="R413" s="845" t="s">
        <v>1488</v>
      </c>
      <c r="S413" s="1127" t="s">
        <v>1489</v>
      </c>
      <c r="T413" s="843" t="s">
        <v>1490</v>
      </c>
      <c r="U413" s="842">
        <v>3</v>
      </c>
      <c r="V413" s="842" t="s">
        <v>8</v>
      </c>
      <c r="W413" s="846">
        <v>1007</v>
      </c>
      <c r="X413" s="847">
        <f t="shared" si="76"/>
        <v>3021</v>
      </c>
      <c r="Y413" s="848">
        <f t="shared" si="84"/>
        <v>0.60000000000000009</v>
      </c>
      <c r="Z413" s="849">
        <v>402.8</v>
      </c>
      <c r="AA413" s="849"/>
      <c r="AB413" s="849">
        <f t="shared" si="77"/>
        <v>1208.4000000000001</v>
      </c>
      <c r="AC413" s="850">
        <f t="shared" si="78"/>
        <v>1208.4000000000001</v>
      </c>
      <c r="AD413" s="851"/>
      <c r="AE413" s="852">
        <v>25250</v>
      </c>
      <c r="AF413" s="853">
        <v>0.3</v>
      </c>
      <c r="AG413" s="854">
        <f t="shared" si="79"/>
        <v>9162666.9597472064</v>
      </c>
      <c r="AH413" s="853"/>
      <c r="AI413" s="855">
        <f t="shared" si="80"/>
        <v>0</v>
      </c>
      <c r="AJ413" s="845" t="s">
        <v>1337</v>
      </c>
      <c r="AK413" s="857" t="s">
        <v>1338</v>
      </c>
      <c r="AL413" s="840" t="s">
        <v>1339</v>
      </c>
      <c r="AM413" s="840" t="s">
        <v>1340</v>
      </c>
      <c r="AN413" s="858" t="s">
        <v>1341</v>
      </c>
      <c r="AO413" s="844"/>
      <c r="AP413" s="859" t="s">
        <v>1342</v>
      </c>
      <c r="AQ413" s="859" t="s">
        <v>1343</v>
      </c>
      <c r="AR413" s="859" t="s">
        <v>1344</v>
      </c>
      <c r="AS413" s="840" t="s">
        <v>1310</v>
      </c>
      <c r="AT413" s="840" t="s">
        <v>1235</v>
      </c>
      <c r="AU413" s="860" t="s">
        <v>1345</v>
      </c>
      <c r="AV413" s="839" t="s">
        <v>1346</v>
      </c>
      <c r="AW413" s="861">
        <v>45357</v>
      </c>
      <c r="AX413" s="862"/>
      <c r="AY413" s="843" t="s">
        <v>1491</v>
      </c>
      <c r="AZ413" s="842">
        <v>70099200</v>
      </c>
      <c r="BA413" s="842" t="s">
        <v>120</v>
      </c>
      <c r="BB413" s="863" t="s">
        <v>121</v>
      </c>
      <c r="BC413" s="864">
        <v>45447</v>
      </c>
      <c r="BD413" s="860" t="s">
        <v>1348</v>
      </c>
      <c r="BE413" s="865" cm="1">
        <f t="array" ref="BE413">IF(BD413="","",AC413/SUMPRODUCT(--(BD413=$BD$4:$BD$12824),$AC$4:$AC$12824))</f>
        <v>8.484308838109568E-2</v>
      </c>
      <c r="BF413" s="458"/>
      <c r="BG413" s="458"/>
      <c r="BH413" s="458"/>
      <c r="BI413" s="458"/>
      <c r="BJ413" s="458"/>
      <c r="BK413" s="458"/>
      <c r="BL413" s="458"/>
      <c r="BM413" s="458"/>
      <c r="BN413" s="458"/>
      <c r="BO413" s="866">
        <f>VLOOKUP(BD413,$BD$4:$BN$12824,3,0)*BE413</f>
        <v>0</v>
      </c>
      <c r="BP413" s="866"/>
      <c r="BQ413" s="866"/>
      <c r="BR413" s="866">
        <f>VLOOKUP(BD413,$BD$4:$BN$12824,6,0)*BE413</f>
        <v>1189950.0220006465</v>
      </c>
      <c r="BS413" s="866">
        <f>VLOOKUP(BD413,$BD$4:$BN$12824,7,0)*BE413</f>
        <v>30123.199157354498</v>
      </c>
      <c r="BT413" s="866"/>
      <c r="BU413" s="866">
        <f>VLOOKUP(BD413,$BD$4:$BN$12824,9,0)*BE413</f>
        <v>21210.772095273918</v>
      </c>
      <c r="BV413" s="867"/>
      <c r="BW413" s="867">
        <f>VLOOKUP(BD413,$BD$4:$BN$12824,11,0)*BE413</f>
        <v>135748.94140975308</v>
      </c>
      <c r="BX413" s="1146">
        <f t="shared" si="75"/>
        <v>1377032.934663028</v>
      </c>
      <c r="BY413" s="867">
        <f t="shared" si="83"/>
        <v>13683933.298136747</v>
      </c>
      <c r="BZ413" s="867">
        <f t="shared" si="81"/>
        <v>41051799.894410238</v>
      </c>
      <c r="CA413" s="867">
        <f>_xlfn.MAXIFS($BY$4:$BY$12824,$S$4:$S$12824,$S413)</f>
        <v>13683933.298136747</v>
      </c>
      <c r="CB413" s="1032"/>
      <c r="CC413" s="999" t="s">
        <v>1353</v>
      </c>
      <c r="CF413" s="946">
        <f t="shared" si="82"/>
        <v>30512100.000000004</v>
      </c>
    </row>
    <row r="414" spans="1:84">
      <c r="A414" s="1032"/>
      <c r="B414" s="839" t="s">
        <v>98</v>
      </c>
      <c r="C414" s="839" t="s">
        <v>131</v>
      </c>
      <c r="D414" s="839" t="s">
        <v>1331</v>
      </c>
      <c r="E414" s="839" t="s">
        <v>1435</v>
      </c>
      <c r="F414" s="841">
        <v>45539</v>
      </c>
      <c r="G414" s="840" t="s">
        <v>133</v>
      </c>
      <c r="H414" s="842" t="s">
        <v>134</v>
      </c>
      <c r="I414" s="842"/>
      <c r="J414" s="841"/>
      <c r="K414" s="841"/>
      <c r="L414" s="843" t="s">
        <v>106</v>
      </c>
      <c r="M414" s="844" t="s">
        <v>1333</v>
      </c>
      <c r="N414" s="841">
        <v>45356</v>
      </c>
      <c r="O414" s="841" t="s">
        <v>135</v>
      </c>
      <c r="P414" s="841" t="s">
        <v>186</v>
      </c>
      <c r="Q414" s="843"/>
      <c r="R414" s="845">
        <v>507824</v>
      </c>
      <c r="S414" s="1127" t="s">
        <v>1492</v>
      </c>
      <c r="T414" s="843" t="s">
        <v>1493</v>
      </c>
      <c r="U414" s="842">
        <v>12</v>
      </c>
      <c r="V414" s="842" t="s">
        <v>8</v>
      </c>
      <c r="W414" s="846">
        <v>46</v>
      </c>
      <c r="X414" s="847">
        <f t="shared" si="76"/>
        <v>552</v>
      </c>
      <c r="Y414" s="848">
        <f t="shared" si="84"/>
        <v>0.6</v>
      </c>
      <c r="Z414" s="849">
        <v>18.399999999999999</v>
      </c>
      <c r="AA414" s="849"/>
      <c r="AB414" s="849">
        <f t="shared" si="77"/>
        <v>220.79999999999998</v>
      </c>
      <c r="AC414" s="850">
        <f t="shared" si="78"/>
        <v>220.79999999999998</v>
      </c>
      <c r="AD414" s="851"/>
      <c r="AE414" s="852">
        <v>25250</v>
      </c>
      <c r="AF414" s="853">
        <v>0.22</v>
      </c>
      <c r="AG414" s="854">
        <f t="shared" si="79"/>
        <v>1227754.910726802</v>
      </c>
      <c r="AH414" s="853"/>
      <c r="AI414" s="855">
        <f t="shared" si="80"/>
        <v>0</v>
      </c>
      <c r="AJ414" s="845" t="s">
        <v>1337</v>
      </c>
      <c r="AK414" s="857" t="s">
        <v>1338</v>
      </c>
      <c r="AL414" s="840" t="s">
        <v>1339</v>
      </c>
      <c r="AM414" s="840" t="s">
        <v>1340</v>
      </c>
      <c r="AN414" s="858" t="s">
        <v>1341</v>
      </c>
      <c r="AO414" s="844"/>
      <c r="AP414" s="859" t="s">
        <v>1342</v>
      </c>
      <c r="AQ414" s="859" t="s">
        <v>1343</v>
      </c>
      <c r="AR414" s="859" t="s">
        <v>1344</v>
      </c>
      <c r="AS414" s="840" t="s">
        <v>1310</v>
      </c>
      <c r="AT414" s="840" t="s">
        <v>1235</v>
      </c>
      <c r="AU414" s="860" t="s">
        <v>1345</v>
      </c>
      <c r="AV414" s="839" t="s">
        <v>1346</v>
      </c>
      <c r="AW414" s="861">
        <v>45357</v>
      </c>
      <c r="AX414" s="862"/>
      <c r="AY414" s="843" t="s">
        <v>1494</v>
      </c>
      <c r="AZ414" s="842">
        <v>39249090</v>
      </c>
      <c r="BA414" s="842" t="s">
        <v>120</v>
      </c>
      <c r="BB414" s="863" t="s">
        <v>121</v>
      </c>
      <c r="BC414" s="864">
        <v>45447</v>
      </c>
      <c r="BD414" s="860" t="s">
        <v>1348</v>
      </c>
      <c r="BE414" s="865" cm="1">
        <f t="array" ref="BE414">IF(BD414="","",AC414/SUMPRODUCT(--(BD414=$BD$4:$BD$12824),$AC$4:$AC$12824))</f>
        <v>1.5502609992176368E-2</v>
      </c>
      <c r="BF414" s="458"/>
      <c r="BG414" s="458"/>
      <c r="BH414" s="458"/>
      <c r="BI414" s="458"/>
      <c r="BJ414" s="458"/>
      <c r="BK414" s="458"/>
      <c r="BL414" s="458"/>
      <c r="BM414" s="458"/>
      <c r="BN414" s="458"/>
      <c r="BO414" s="866">
        <f>VLOOKUP(BD414,$BD$4:$BN$12824,3,0)*BE414</f>
        <v>0</v>
      </c>
      <c r="BP414" s="866"/>
      <c r="BQ414" s="866"/>
      <c r="BR414" s="866">
        <f>VLOOKUP(BD414,$BD$4:$BN$12824,6,0)*BE414</f>
        <v>217428.80243110118</v>
      </c>
      <c r="BS414" s="866">
        <f>VLOOKUP(BD414,$BD$4:$BN$12824,7,0)*BE414</f>
        <v>5504.1396672822502</v>
      </c>
      <c r="BT414" s="866"/>
      <c r="BU414" s="866">
        <f>VLOOKUP(BD414,$BD$4:$BN$12824,9,0)*BE414</f>
        <v>3875.6524980440918</v>
      </c>
      <c r="BV414" s="867"/>
      <c r="BW414" s="867">
        <f>VLOOKUP(BD414,$BD$4:$BN$12824,11,0)*BE414</f>
        <v>24804.175987482187</v>
      </c>
      <c r="BX414" s="1146">
        <f t="shared" si="75"/>
        <v>251612.77058390973</v>
      </c>
      <c r="BY414" s="867">
        <f t="shared" si="83"/>
        <v>587880.64010922599</v>
      </c>
      <c r="BZ414" s="867">
        <f t="shared" si="81"/>
        <v>7054567.6813107114</v>
      </c>
      <c r="CA414" s="867">
        <f>_xlfn.MAXIFS($BY$4:$BY$12824,$S$4:$S$12824,$S414)</f>
        <v>587880.64010922599</v>
      </c>
      <c r="CB414" s="1032"/>
      <c r="CC414" s="999" t="s">
        <v>1353</v>
      </c>
      <c r="CF414" s="946">
        <f t="shared" si="82"/>
        <v>5575200</v>
      </c>
    </row>
    <row r="415" spans="1:84">
      <c r="A415" s="1032"/>
      <c r="B415" s="839" t="s">
        <v>98</v>
      </c>
      <c r="C415" s="839" t="s">
        <v>131</v>
      </c>
      <c r="D415" s="839" t="s">
        <v>1331</v>
      </c>
      <c r="E415" s="839" t="s">
        <v>1435</v>
      </c>
      <c r="F415" s="841">
        <v>45539</v>
      </c>
      <c r="G415" s="840" t="s">
        <v>133</v>
      </c>
      <c r="H415" s="842" t="s">
        <v>134</v>
      </c>
      <c r="I415" s="842"/>
      <c r="J415" s="841"/>
      <c r="K415" s="841"/>
      <c r="L415" s="843" t="s">
        <v>106</v>
      </c>
      <c r="M415" s="844" t="s">
        <v>1333</v>
      </c>
      <c r="N415" s="841">
        <v>45356</v>
      </c>
      <c r="O415" s="841" t="s">
        <v>135</v>
      </c>
      <c r="P415" s="841" t="s">
        <v>186</v>
      </c>
      <c r="Q415" s="843"/>
      <c r="R415" s="845">
        <v>507822</v>
      </c>
      <c r="S415" s="1127" t="s">
        <v>1495</v>
      </c>
      <c r="T415" s="843" t="s">
        <v>1496</v>
      </c>
      <c r="U415" s="842">
        <v>12</v>
      </c>
      <c r="V415" s="842" t="s">
        <v>8</v>
      </c>
      <c r="W415" s="846">
        <v>46</v>
      </c>
      <c r="X415" s="847">
        <f t="shared" si="76"/>
        <v>552</v>
      </c>
      <c r="Y415" s="848">
        <f t="shared" si="84"/>
        <v>0.6</v>
      </c>
      <c r="Z415" s="849">
        <v>18.399999999999999</v>
      </c>
      <c r="AA415" s="849"/>
      <c r="AB415" s="849">
        <f t="shared" si="77"/>
        <v>220.79999999999998</v>
      </c>
      <c r="AC415" s="850">
        <f t="shared" si="78"/>
        <v>220.79999999999998</v>
      </c>
      <c r="AD415" s="851"/>
      <c r="AE415" s="852">
        <v>25250</v>
      </c>
      <c r="AF415" s="853">
        <v>0.22</v>
      </c>
      <c r="AG415" s="854">
        <f t="shared" si="79"/>
        <v>1227754.910726802</v>
      </c>
      <c r="AH415" s="853"/>
      <c r="AI415" s="855">
        <f t="shared" si="80"/>
        <v>0</v>
      </c>
      <c r="AJ415" s="845" t="s">
        <v>1337</v>
      </c>
      <c r="AK415" s="857" t="s">
        <v>1338</v>
      </c>
      <c r="AL415" s="840" t="s">
        <v>1339</v>
      </c>
      <c r="AM415" s="840" t="s">
        <v>1340</v>
      </c>
      <c r="AN415" s="858" t="s">
        <v>1341</v>
      </c>
      <c r="AO415" s="844"/>
      <c r="AP415" s="859" t="s">
        <v>1342</v>
      </c>
      <c r="AQ415" s="859" t="s">
        <v>1343</v>
      </c>
      <c r="AR415" s="859" t="s">
        <v>1344</v>
      </c>
      <c r="AS415" s="840" t="s">
        <v>1310</v>
      </c>
      <c r="AT415" s="840" t="s">
        <v>1235</v>
      </c>
      <c r="AU415" s="860" t="s">
        <v>1345</v>
      </c>
      <c r="AV415" s="839" t="s">
        <v>1346</v>
      </c>
      <c r="AW415" s="861">
        <v>45357</v>
      </c>
      <c r="AX415" s="862"/>
      <c r="AY415" s="843" t="s">
        <v>1497</v>
      </c>
      <c r="AZ415" s="842">
        <v>39249090</v>
      </c>
      <c r="BA415" s="842" t="s">
        <v>120</v>
      </c>
      <c r="BB415" s="863" t="s">
        <v>121</v>
      </c>
      <c r="BC415" s="864">
        <v>45447</v>
      </c>
      <c r="BD415" s="860" t="s">
        <v>1348</v>
      </c>
      <c r="BE415" s="865" cm="1">
        <f t="array" ref="BE415">IF(BD415="","",AC415/SUMPRODUCT(--(BD415=$BD$4:$BD$12824),$AC$4:$AC$12824))</f>
        <v>1.5502609992176368E-2</v>
      </c>
      <c r="BF415" s="458"/>
      <c r="BG415" s="458"/>
      <c r="BH415" s="458"/>
      <c r="BI415" s="458"/>
      <c r="BJ415" s="458"/>
      <c r="BK415" s="458"/>
      <c r="BL415" s="458"/>
      <c r="BM415" s="458"/>
      <c r="BN415" s="458"/>
      <c r="BO415" s="866">
        <f>VLOOKUP(BD415,$BD$4:$BN$12824,3,0)*BE415</f>
        <v>0</v>
      </c>
      <c r="BP415" s="866"/>
      <c r="BQ415" s="866"/>
      <c r="BR415" s="866">
        <f>VLOOKUP(BD415,$BD$4:$BN$12824,6,0)*BE415</f>
        <v>217428.80243110118</v>
      </c>
      <c r="BS415" s="866">
        <f>VLOOKUP(BD415,$BD$4:$BN$12824,7,0)*BE415</f>
        <v>5504.1396672822502</v>
      </c>
      <c r="BT415" s="866"/>
      <c r="BU415" s="866">
        <f>VLOOKUP(BD415,$BD$4:$BN$12824,9,0)*BE415</f>
        <v>3875.6524980440918</v>
      </c>
      <c r="BV415" s="867"/>
      <c r="BW415" s="867">
        <f>VLOOKUP(BD415,$BD$4:$BN$12824,11,0)*BE415</f>
        <v>24804.175987482187</v>
      </c>
      <c r="BX415" s="1146">
        <f t="shared" si="75"/>
        <v>251612.77058390973</v>
      </c>
      <c r="BY415" s="867">
        <f t="shared" si="83"/>
        <v>587880.64010922599</v>
      </c>
      <c r="BZ415" s="867">
        <f t="shared" si="81"/>
        <v>7054567.6813107114</v>
      </c>
      <c r="CA415" s="867">
        <f>_xlfn.MAXIFS($BY$4:$BY$12824,$S$4:$S$12824,$S415)</f>
        <v>587880.64010922599</v>
      </c>
      <c r="CB415" s="1032"/>
      <c r="CC415" s="999" t="s">
        <v>1353</v>
      </c>
      <c r="CF415" s="946">
        <f t="shared" si="82"/>
        <v>5575200</v>
      </c>
    </row>
    <row r="416" spans="1:84">
      <c r="A416" s="1032"/>
      <c r="B416" s="839" t="s">
        <v>98</v>
      </c>
      <c r="C416" s="839" t="s">
        <v>131</v>
      </c>
      <c r="D416" s="839" t="s">
        <v>1331</v>
      </c>
      <c r="E416" s="839" t="s">
        <v>1332</v>
      </c>
      <c r="F416" s="841">
        <v>45321</v>
      </c>
      <c r="G416" s="840" t="s">
        <v>155</v>
      </c>
      <c r="H416" s="842" t="s">
        <v>134</v>
      </c>
      <c r="I416" s="842"/>
      <c r="J416" s="841"/>
      <c r="K416" s="841"/>
      <c r="L416" s="843" t="s">
        <v>106</v>
      </c>
      <c r="M416" s="844" t="s">
        <v>1333</v>
      </c>
      <c r="N416" s="841">
        <v>45356</v>
      </c>
      <c r="O416" s="841" t="s">
        <v>150</v>
      </c>
      <c r="P416" s="841" t="s">
        <v>461</v>
      </c>
      <c r="Q416" s="843"/>
      <c r="R416" s="845">
        <v>89101203</v>
      </c>
      <c r="S416" s="1127" t="s">
        <v>1498</v>
      </c>
      <c r="T416" s="843" t="s">
        <v>1499</v>
      </c>
      <c r="U416" s="842">
        <v>2</v>
      </c>
      <c r="V416" s="842" t="s">
        <v>8</v>
      </c>
      <c r="W416" s="846">
        <v>452</v>
      </c>
      <c r="X416" s="847">
        <f t="shared" si="76"/>
        <v>904</v>
      </c>
      <c r="Y416" s="848">
        <f t="shared" si="84"/>
        <v>0.56000000000000005</v>
      </c>
      <c r="Z416" s="849">
        <v>198.88</v>
      </c>
      <c r="AA416" s="849"/>
      <c r="AB416" s="849">
        <f t="shared" si="77"/>
        <v>397.76</v>
      </c>
      <c r="AC416" s="850">
        <f t="shared" si="78"/>
        <v>397.76</v>
      </c>
      <c r="AD416" s="851"/>
      <c r="AE416" s="852">
        <v>25250</v>
      </c>
      <c r="AF416" s="853">
        <v>0</v>
      </c>
      <c r="AG416" s="854">
        <f t="shared" si="79"/>
        <v>0</v>
      </c>
      <c r="AH416" s="853"/>
      <c r="AI416" s="855">
        <f t="shared" si="80"/>
        <v>0</v>
      </c>
      <c r="AJ416" s="845" t="s">
        <v>1337</v>
      </c>
      <c r="AK416" s="857" t="s">
        <v>1338</v>
      </c>
      <c r="AL416" s="840" t="s">
        <v>1339</v>
      </c>
      <c r="AM416" s="840" t="s">
        <v>1340</v>
      </c>
      <c r="AN416" s="858" t="s">
        <v>1341</v>
      </c>
      <c r="AO416" s="844"/>
      <c r="AP416" s="859" t="s">
        <v>1342</v>
      </c>
      <c r="AQ416" s="859" t="s">
        <v>1343</v>
      </c>
      <c r="AR416" s="859" t="s">
        <v>1344</v>
      </c>
      <c r="AS416" s="840" t="s">
        <v>1310</v>
      </c>
      <c r="AT416" s="840" t="s">
        <v>1235</v>
      </c>
      <c r="AU416" s="860" t="s">
        <v>1345</v>
      </c>
      <c r="AV416" s="839" t="s">
        <v>1346</v>
      </c>
      <c r="AW416" s="861">
        <v>45357</v>
      </c>
      <c r="AX416" s="862"/>
      <c r="AY416" s="843" t="s">
        <v>1500</v>
      </c>
      <c r="AZ416" s="842">
        <v>94038990</v>
      </c>
      <c r="BA416" s="842" t="s">
        <v>120</v>
      </c>
      <c r="BB416" s="863" t="s">
        <v>121</v>
      </c>
      <c r="BC416" s="864">
        <v>45447</v>
      </c>
      <c r="BD416" s="860" t="s">
        <v>1348</v>
      </c>
      <c r="BE416" s="865" cm="1">
        <f t="array" ref="BE416">IF(BD416="","",AC416/SUMPRODUCT(--(BD416=$BD$4:$BD$12824),$AC$4:$AC$12824))</f>
        <v>2.7927165536630761E-2</v>
      </c>
      <c r="BF416" s="458"/>
      <c r="BG416" s="458"/>
      <c r="BH416" s="458"/>
      <c r="BI416" s="458"/>
      <c r="BJ416" s="458"/>
      <c r="BK416" s="458"/>
      <c r="BL416" s="458"/>
      <c r="BM416" s="458"/>
      <c r="BN416" s="458"/>
      <c r="BO416" s="866">
        <f>VLOOKUP(BD416,$BD$4:$BN$12824,3,0)*BE416</f>
        <v>0</v>
      </c>
      <c r="BP416" s="866"/>
      <c r="BQ416" s="866"/>
      <c r="BR416" s="866">
        <f>VLOOKUP(BD416,$BD$4:$BN$12824,6,0)*BE416</f>
        <v>391686.95858240401</v>
      </c>
      <c r="BS416" s="866">
        <f>VLOOKUP(BD416,$BD$4:$BN$12824,7,0)*BE416</f>
        <v>9915.4284151186057</v>
      </c>
      <c r="BT416" s="866"/>
      <c r="BU416" s="866">
        <f>VLOOKUP(BD416,$BD$4:$BN$12824,9,0)*BE416</f>
        <v>6981.7913841576901</v>
      </c>
      <c r="BV416" s="867"/>
      <c r="BW416" s="867">
        <f>VLOOKUP(BD416,$BD$4:$BN$12824,11,0)*BE416</f>
        <v>44683.464858609215</v>
      </c>
      <c r="BX416" s="1146">
        <f t="shared" si="75"/>
        <v>453267.64324028947</v>
      </c>
      <c r="BY416" s="867">
        <f t="shared" si="83"/>
        <v>5248353.8216201449</v>
      </c>
      <c r="BZ416" s="867">
        <f t="shared" si="81"/>
        <v>10496707.64324029</v>
      </c>
      <c r="CA416" s="867">
        <f>_xlfn.MAXIFS($BY$4:$BY$12824,$S$4:$S$12824,$S416)</f>
        <v>5248353.8216201449</v>
      </c>
      <c r="CB416" s="1032"/>
      <c r="CC416" s="999" t="s">
        <v>1353</v>
      </c>
      <c r="CF416" s="946">
        <f t="shared" si="82"/>
        <v>10043440</v>
      </c>
    </row>
    <row r="417" spans="1:84">
      <c r="A417" s="1032"/>
      <c r="B417" s="839" t="s">
        <v>98</v>
      </c>
      <c r="C417" s="839" t="s">
        <v>131</v>
      </c>
      <c r="D417" s="839" t="s">
        <v>1331</v>
      </c>
      <c r="E417" s="839" t="s">
        <v>1332</v>
      </c>
      <c r="F417" s="841">
        <v>45321</v>
      </c>
      <c r="G417" s="840" t="s">
        <v>155</v>
      </c>
      <c r="H417" s="842" t="s">
        <v>134</v>
      </c>
      <c r="I417" s="842"/>
      <c r="J417" s="841"/>
      <c r="K417" s="841"/>
      <c r="L417" s="843" t="s">
        <v>106</v>
      </c>
      <c r="M417" s="844" t="s">
        <v>1333</v>
      </c>
      <c r="N417" s="841">
        <v>45356</v>
      </c>
      <c r="O417" s="841" t="s">
        <v>150</v>
      </c>
      <c r="P417" s="841" t="s">
        <v>461</v>
      </c>
      <c r="Q417" s="843"/>
      <c r="R417" s="845">
        <v>19001002</v>
      </c>
      <c r="S417" s="1127" t="s">
        <v>1501</v>
      </c>
      <c r="T417" s="843" t="s">
        <v>1502</v>
      </c>
      <c r="U417" s="842">
        <v>1</v>
      </c>
      <c r="V417" s="842" t="s">
        <v>8</v>
      </c>
      <c r="W417" s="846">
        <v>855</v>
      </c>
      <c r="X417" s="847">
        <f t="shared" si="76"/>
        <v>855</v>
      </c>
      <c r="Y417" s="848">
        <f t="shared" si="84"/>
        <v>0.56000000000000005</v>
      </c>
      <c r="Z417" s="849">
        <v>376.2</v>
      </c>
      <c r="AA417" s="849"/>
      <c r="AB417" s="849">
        <f t="shared" si="77"/>
        <v>376.2</v>
      </c>
      <c r="AC417" s="850">
        <f t="shared" si="78"/>
        <v>376.2</v>
      </c>
      <c r="AD417" s="851"/>
      <c r="AE417" s="852">
        <v>25250</v>
      </c>
      <c r="AF417" s="853">
        <v>0</v>
      </c>
      <c r="AG417" s="854">
        <f t="shared" si="79"/>
        <v>0</v>
      </c>
      <c r="AH417" s="853"/>
      <c r="AI417" s="855">
        <f t="shared" si="80"/>
        <v>0</v>
      </c>
      <c r="AJ417" s="845" t="s">
        <v>1337</v>
      </c>
      <c r="AK417" s="857" t="s">
        <v>1338</v>
      </c>
      <c r="AL417" s="840" t="s">
        <v>1339</v>
      </c>
      <c r="AM417" s="840" t="s">
        <v>1340</v>
      </c>
      <c r="AN417" s="858" t="s">
        <v>1341</v>
      </c>
      <c r="AO417" s="844"/>
      <c r="AP417" s="859" t="s">
        <v>1342</v>
      </c>
      <c r="AQ417" s="859" t="s">
        <v>1343</v>
      </c>
      <c r="AR417" s="859" t="s">
        <v>1344</v>
      </c>
      <c r="AS417" s="840" t="s">
        <v>1310</v>
      </c>
      <c r="AT417" s="840" t="s">
        <v>1235</v>
      </c>
      <c r="AU417" s="860" t="s">
        <v>1345</v>
      </c>
      <c r="AV417" s="839" t="s">
        <v>1346</v>
      </c>
      <c r="AW417" s="861">
        <v>45357</v>
      </c>
      <c r="AX417" s="862"/>
      <c r="AY417" s="843" t="s">
        <v>1503</v>
      </c>
      <c r="AZ417" s="842">
        <v>94038990</v>
      </c>
      <c r="BA417" s="842" t="s">
        <v>120</v>
      </c>
      <c r="BB417" s="863" t="s">
        <v>121</v>
      </c>
      <c r="BC417" s="864">
        <v>45447</v>
      </c>
      <c r="BD417" s="860" t="s">
        <v>1348</v>
      </c>
      <c r="BE417" s="865" cm="1">
        <f t="array" ref="BE417">IF(BD417="","",AC417/SUMPRODUCT(--(BD417=$BD$4:$BD$12824),$AC$4:$AC$12824))</f>
        <v>2.6413414307322237E-2</v>
      </c>
      <c r="BF417" s="458"/>
      <c r="BG417" s="458"/>
      <c r="BH417" s="458"/>
      <c r="BI417" s="458"/>
      <c r="BJ417" s="458"/>
      <c r="BK417" s="458"/>
      <c r="BL417" s="458"/>
      <c r="BM417" s="458"/>
      <c r="BN417" s="458"/>
      <c r="BO417" s="866">
        <f>VLOOKUP(BD417,$BD$4:$BN$12824,3,0)*BE417</f>
        <v>0</v>
      </c>
      <c r="BP417" s="866"/>
      <c r="BQ417" s="866"/>
      <c r="BR417" s="866">
        <f>VLOOKUP(BD417,$BD$4:$BN$12824,6,0)*BE417</f>
        <v>370456.13892472949</v>
      </c>
      <c r="BS417" s="866">
        <f>VLOOKUP(BD417,$BD$4:$BN$12824,7,0)*BE417</f>
        <v>9377.9770961575305</v>
      </c>
      <c r="BT417" s="866"/>
      <c r="BU417" s="866">
        <f>VLOOKUP(BD417,$BD$4:$BN$12824,9,0)*BE417</f>
        <v>6603.3535768305592</v>
      </c>
      <c r="BV417" s="867"/>
      <c r="BW417" s="867">
        <f>VLOOKUP(BD417,$BD$4:$BN$12824,11,0)*BE417</f>
        <v>42261.462891715579</v>
      </c>
      <c r="BX417" s="1146">
        <f t="shared" si="75"/>
        <v>428698.93248943321</v>
      </c>
      <c r="BY417" s="867">
        <f t="shared" si="83"/>
        <v>9927748.9324894324</v>
      </c>
      <c r="BZ417" s="867">
        <f t="shared" si="81"/>
        <v>9927748.9324894324</v>
      </c>
      <c r="CA417" s="867">
        <f>_xlfn.MAXIFS($BY$4:$BY$12824,$S$4:$S$12824,$S417)</f>
        <v>9927748.9324894324</v>
      </c>
      <c r="CB417" s="1032"/>
      <c r="CC417" s="999" t="s">
        <v>1353</v>
      </c>
      <c r="CF417" s="946">
        <f t="shared" si="82"/>
        <v>9499050</v>
      </c>
    </row>
    <row r="418" spans="1:84">
      <c r="A418" s="1032"/>
      <c r="B418" s="839" t="s">
        <v>98</v>
      </c>
      <c r="C418" s="839" t="s">
        <v>131</v>
      </c>
      <c r="D418" s="839" t="s">
        <v>1331</v>
      </c>
      <c r="E418" s="839" t="s">
        <v>1332</v>
      </c>
      <c r="F418" s="841">
        <v>45321</v>
      </c>
      <c r="G418" s="840" t="s">
        <v>155</v>
      </c>
      <c r="H418" s="842" t="s">
        <v>134</v>
      </c>
      <c r="I418" s="842"/>
      <c r="J418" s="841"/>
      <c r="K418" s="841"/>
      <c r="L418" s="843" t="s">
        <v>106</v>
      </c>
      <c r="M418" s="844" t="s">
        <v>1333</v>
      </c>
      <c r="N418" s="841">
        <v>45356</v>
      </c>
      <c r="O418" s="841" t="s">
        <v>150</v>
      </c>
      <c r="P418" s="841" t="s">
        <v>461</v>
      </c>
      <c r="Q418" s="843"/>
      <c r="R418" s="845">
        <v>19001005</v>
      </c>
      <c r="S418" s="1127" t="s">
        <v>1504</v>
      </c>
      <c r="T418" s="843" t="s">
        <v>1505</v>
      </c>
      <c r="U418" s="842">
        <v>1</v>
      </c>
      <c r="V418" s="842" t="s">
        <v>8</v>
      </c>
      <c r="W418" s="846">
        <v>1832</v>
      </c>
      <c r="X418" s="847">
        <f t="shared" si="76"/>
        <v>1832</v>
      </c>
      <c r="Y418" s="848">
        <f t="shared" si="84"/>
        <v>0.56000000000000005</v>
      </c>
      <c r="Z418" s="849">
        <v>806.08</v>
      </c>
      <c r="AA418" s="849"/>
      <c r="AB418" s="849">
        <f t="shared" si="77"/>
        <v>806.08</v>
      </c>
      <c r="AC418" s="850">
        <f t="shared" si="78"/>
        <v>806.08</v>
      </c>
      <c r="AD418" s="851"/>
      <c r="AE418" s="852">
        <v>25250</v>
      </c>
      <c r="AF418" s="853">
        <v>0</v>
      </c>
      <c r="AG418" s="854">
        <f t="shared" si="79"/>
        <v>0</v>
      </c>
      <c r="AH418" s="853"/>
      <c r="AI418" s="855">
        <f t="shared" si="80"/>
        <v>0</v>
      </c>
      <c r="AJ418" s="845" t="s">
        <v>1337</v>
      </c>
      <c r="AK418" s="857" t="s">
        <v>1338</v>
      </c>
      <c r="AL418" s="840" t="s">
        <v>1339</v>
      </c>
      <c r="AM418" s="840" t="s">
        <v>1340</v>
      </c>
      <c r="AN418" s="858" t="s">
        <v>1341</v>
      </c>
      <c r="AO418" s="844"/>
      <c r="AP418" s="859" t="s">
        <v>1342</v>
      </c>
      <c r="AQ418" s="859" t="s">
        <v>1343</v>
      </c>
      <c r="AR418" s="859" t="s">
        <v>1344</v>
      </c>
      <c r="AS418" s="840" t="s">
        <v>1310</v>
      </c>
      <c r="AT418" s="840" t="s">
        <v>1235</v>
      </c>
      <c r="AU418" s="860" t="s">
        <v>1345</v>
      </c>
      <c r="AV418" s="839" t="s">
        <v>1346</v>
      </c>
      <c r="AW418" s="861">
        <v>45357</v>
      </c>
      <c r="AX418" s="862"/>
      <c r="AY418" s="843" t="s">
        <v>1506</v>
      </c>
      <c r="AZ418" s="842">
        <v>94038990</v>
      </c>
      <c r="BA418" s="842" t="s">
        <v>120</v>
      </c>
      <c r="BB418" s="863" t="s">
        <v>121</v>
      </c>
      <c r="BC418" s="864">
        <v>45447</v>
      </c>
      <c r="BD418" s="860" t="s">
        <v>1348</v>
      </c>
      <c r="BE418" s="865" cm="1">
        <f t="array" ref="BE418">IF(BD418="","",AC418/SUMPRODUCT(--(BD418=$BD$4:$BD$12824),$AC$4:$AC$12824))</f>
        <v>5.6595760246800401E-2</v>
      </c>
      <c r="BF418" s="458"/>
      <c r="BG418" s="458"/>
      <c r="BH418" s="458"/>
      <c r="BI418" s="458"/>
      <c r="BJ418" s="458"/>
      <c r="BK418" s="458"/>
      <c r="BL418" s="458"/>
      <c r="BM418" s="458"/>
      <c r="BN418" s="458"/>
      <c r="BO418" s="866">
        <f>VLOOKUP(BD418,$BD$4:$BN$12824,3,0)*BE418</f>
        <v>0</v>
      </c>
      <c r="BP418" s="866"/>
      <c r="BQ418" s="866"/>
      <c r="BR418" s="866">
        <f>VLOOKUP(BD418,$BD$4:$BN$12824,6,0)*BE418</f>
        <v>793772.68597673043</v>
      </c>
      <c r="BS418" s="866">
        <f>VLOOKUP(BD418,$BD$4:$BN$12824,7,0)*BE418</f>
        <v>20094.098292585495</v>
      </c>
      <c r="BT418" s="866"/>
      <c r="BU418" s="866">
        <f>VLOOKUP(BD418,$BD$4:$BN$12824,9,0)*BE418</f>
        <v>14148.940061700101</v>
      </c>
      <c r="BV418" s="867"/>
      <c r="BW418" s="867">
        <f>VLOOKUP(BD418,$BD$4:$BN$12824,11,0)*BE418</f>
        <v>90553.216394880641</v>
      </c>
      <c r="BX418" s="1146">
        <f t="shared" si="75"/>
        <v>918568.94072589662</v>
      </c>
      <c r="BY418" s="867">
        <f t="shared" si="83"/>
        <v>21272088.940725897</v>
      </c>
      <c r="BZ418" s="867">
        <f t="shared" si="81"/>
        <v>21272088.940725897</v>
      </c>
      <c r="CA418" s="867">
        <f>_xlfn.MAXIFS($BY$4:$BY$12824,$S$4:$S$12824,$S418)</f>
        <v>21272088.940725897</v>
      </c>
      <c r="CB418" s="1032"/>
      <c r="CC418" s="999" t="s">
        <v>1353</v>
      </c>
      <c r="CF418" s="946">
        <f t="shared" si="82"/>
        <v>20353520</v>
      </c>
    </row>
    <row r="419" spans="1:84">
      <c r="A419" s="1032"/>
      <c r="B419" s="839" t="s">
        <v>98</v>
      </c>
      <c r="C419" s="839" t="s">
        <v>131</v>
      </c>
      <c r="D419" s="839" t="s">
        <v>1331</v>
      </c>
      <c r="E419" s="839" t="s">
        <v>1332</v>
      </c>
      <c r="F419" s="841">
        <v>45321</v>
      </c>
      <c r="G419" s="840" t="s">
        <v>155</v>
      </c>
      <c r="H419" s="842" t="s">
        <v>134</v>
      </c>
      <c r="I419" s="842"/>
      <c r="J419" s="841"/>
      <c r="K419" s="841"/>
      <c r="L419" s="843" t="s">
        <v>106</v>
      </c>
      <c r="M419" s="844" t="s">
        <v>1333</v>
      </c>
      <c r="N419" s="841">
        <v>45356</v>
      </c>
      <c r="O419" s="841" t="s">
        <v>150</v>
      </c>
      <c r="P419" s="841" t="s">
        <v>461</v>
      </c>
      <c r="Q419" s="843"/>
      <c r="R419" s="845">
        <v>19001008</v>
      </c>
      <c r="S419" s="1127" t="s">
        <v>1507</v>
      </c>
      <c r="T419" s="843" t="s">
        <v>1508</v>
      </c>
      <c r="U419" s="842">
        <v>1</v>
      </c>
      <c r="V419" s="842" t="s">
        <v>8</v>
      </c>
      <c r="W419" s="846">
        <v>1954</v>
      </c>
      <c r="X419" s="847">
        <f t="shared" si="76"/>
        <v>1954</v>
      </c>
      <c r="Y419" s="848">
        <f t="shared" si="84"/>
        <v>0.56000000000000005</v>
      </c>
      <c r="Z419" s="849">
        <v>859.76</v>
      </c>
      <c r="AA419" s="849"/>
      <c r="AB419" s="849">
        <f t="shared" si="77"/>
        <v>859.76</v>
      </c>
      <c r="AC419" s="850">
        <f t="shared" si="78"/>
        <v>859.76</v>
      </c>
      <c r="AD419" s="851"/>
      <c r="AE419" s="852">
        <v>25250</v>
      </c>
      <c r="AF419" s="853">
        <v>0</v>
      </c>
      <c r="AG419" s="854">
        <f t="shared" si="79"/>
        <v>0</v>
      </c>
      <c r="AH419" s="853"/>
      <c r="AI419" s="855">
        <f t="shared" si="80"/>
        <v>0</v>
      </c>
      <c r="AJ419" s="845" t="s">
        <v>1337</v>
      </c>
      <c r="AK419" s="857" t="s">
        <v>1338</v>
      </c>
      <c r="AL419" s="840" t="s">
        <v>1339</v>
      </c>
      <c r="AM419" s="840" t="s">
        <v>1340</v>
      </c>
      <c r="AN419" s="858" t="s">
        <v>1341</v>
      </c>
      <c r="AO419" s="844"/>
      <c r="AP419" s="859" t="s">
        <v>1342</v>
      </c>
      <c r="AQ419" s="859" t="s">
        <v>1343</v>
      </c>
      <c r="AR419" s="859" t="s">
        <v>1344</v>
      </c>
      <c r="AS419" s="840" t="s">
        <v>1310</v>
      </c>
      <c r="AT419" s="840" t="s">
        <v>1235</v>
      </c>
      <c r="AU419" s="860" t="s">
        <v>1345</v>
      </c>
      <c r="AV419" s="839" t="s">
        <v>1346</v>
      </c>
      <c r="AW419" s="861">
        <v>45357</v>
      </c>
      <c r="AX419" s="862"/>
      <c r="AY419" s="843" t="s">
        <v>1509</v>
      </c>
      <c r="AZ419" s="842">
        <v>94038990</v>
      </c>
      <c r="BA419" s="842" t="s">
        <v>120</v>
      </c>
      <c r="BB419" s="863" t="s">
        <v>121</v>
      </c>
      <c r="BC419" s="864">
        <v>45447</v>
      </c>
      <c r="BD419" s="860" t="s">
        <v>1348</v>
      </c>
      <c r="BE419" s="865" cm="1">
        <f t="array" ref="BE419">IF(BD419="","",AC419/SUMPRODUCT(--(BD419=$BD$4:$BD$12824),$AC$4:$AC$12824))</f>
        <v>6.0364691878956316E-2</v>
      </c>
      <c r="BF419" s="458"/>
      <c r="BG419" s="458"/>
      <c r="BH419" s="458"/>
      <c r="BI419" s="458"/>
      <c r="BJ419" s="458"/>
      <c r="BK419" s="458"/>
      <c r="BL419" s="458"/>
      <c r="BM419" s="458"/>
      <c r="BN419" s="458"/>
      <c r="BO419" s="866">
        <f>VLOOKUP(BD419,$BD$4:$BN$12824,3,0)*BE419</f>
        <v>0</v>
      </c>
      <c r="BP419" s="866"/>
      <c r="BQ419" s="866"/>
      <c r="BR419" s="866">
        <f>VLOOKUP(BD419,$BD$4:$BN$12824,6,0)*BE419</f>
        <v>846633.09410400165</v>
      </c>
      <c r="BS419" s="866">
        <f>VLOOKUP(BD419,$BD$4:$BN$12824,7,0)*BE419</f>
        <v>21432.242392855926</v>
      </c>
      <c r="BT419" s="866"/>
      <c r="BU419" s="866">
        <f>VLOOKUP(BD419,$BD$4:$BN$12824,9,0)*BE419</f>
        <v>15091.172969739078</v>
      </c>
      <c r="BV419" s="867"/>
      <c r="BW419" s="867">
        <f>VLOOKUP(BD419,$BD$4:$BN$12824,11,0)*BE419</f>
        <v>96583.50700633011</v>
      </c>
      <c r="BX419" s="1146">
        <f t="shared" si="75"/>
        <v>979740.01647292671</v>
      </c>
      <c r="BY419" s="867">
        <f t="shared" si="83"/>
        <v>22688680.016472928</v>
      </c>
      <c r="BZ419" s="867">
        <f t="shared" si="81"/>
        <v>22688680.016472928</v>
      </c>
      <c r="CA419" s="867">
        <f>_xlfn.MAXIFS($BY$4:$BY$12824,$S$4:$S$12824,$S419)</f>
        <v>22688680.016472928</v>
      </c>
      <c r="CB419" s="1032"/>
      <c r="CC419" s="999" t="s">
        <v>1353</v>
      </c>
      <c r="CF419" s="946">
        <f t="shared" si="82"/>
        <v>21708940</v>
      </c>
    </row>
    <row r="420" spans="1:84">
      <c r="A420" s="1032"/>
      <c r="B420" s="839" t="s">
        <v>98</v>
      </c>
      <c r="C420" s="839" t="s">
        <v>131</v>
      </c>
      <c r="D420" s="839" t="s">
        <v>1331</v>
      </c>
      <c r="E420" s="839" t="s">
        <v>1332</v>
      </c>
      <c r="F420" s="841">
        <v>45321</v>
      </c>
      <c r="G420" s="840" t="s">
        <v>155</v>
      </c>
      <c r="H420" s="842" t="s">
        <v>134</v>
      </c>
      <c r="I420" s="842"/>
      <c r="J420" s="841"/>
      <c r="K420" s="841"/>
      <c r="L420" s="843" t="s">
        <v>106</v>
      </c>
      <c r="M420" s="844" t="s">
        <v>1333</v>
      </c>
      <c r="N420" s="841">
        <v>45356</v>
      </c>
      <c r="O420" s="841" t="s">
        <v>108</v>
      </c>
      <c r="P420" s="841" t="s">
        <v>160</v>
      </c>
      <c r="Q420" s="843"/>
      <c r="R420" s="845" t="s">
        <v>1510</v>
      </c>
      <c r="S420" s="1127" t="s">
        <v>1511</v>
      </c>
      <c r="T420" s="843" t="s">
        <v>1512</v>
      </c>
      <c r="U420" s="842">
        <v>6</v>
      </c>
      <c r="V420" s="842" t="s">
        <v>8</v>
      </c>
      <c r="W420" s="846">
        <v>183</v>
      </c>
      <c r="X420" s="847">
        <f t="shared" si="76"/>
        <v>1098</v>
      </c>
      <c r="Y420" s="848">
        <f t="shared" si="84"/>
        <v>0.56000000000000005</v>
      </c>
      <c r="Z420" s="849">
        <v>80.52</v>
      </c>
      <c r="AA420" s="849"/>
      <c r="AB420" s="849">
        <f t="shared" si="77"/>
        <v>483.12</v>
      </c>
      <c r="AC420" s="850">
        <f t="shared" si="78"/>
        <v>483.12</v>
      </c>
      <c r="AD420" s="851"/>
      <c r="AE420" s="852">
        <v>25250</v>
      </c>
      <c r="AF420" s="853">
        <v>0</v>
      </c>
      <c r="AG420" s="854">
        <f t="shared" si="79"/>
        <v>0</v>
      </c>
      <c r="AH420" s="853"/>
      <c r="AI420" s="855">
        <f t="shared" si="80"/>
        <v>0</v>
      </c>
      <c r="AJ420" s="845" t="s">
        <v>1337</v>
      </c>
      <c r="AK420" s="857" t="s">
        <v>1338</v>
      </c>
      <c r="AL420" s="840" t="s">
        <v>1339</v>
      </c>
      <c r="AM420" s="840" t="s">
        <v>1340</v>
      </c>
      <c r="AN420" s="858" t="s">
        <v>1341</v>
      </c>
      <c r="AO420" s="844"/>
      <c r="AP420" s="859" t="s">
        <v>1342</v>
      </c>
      <c r="AQ420" s="859" t="s">
        <v>1343</v>
      </c>
      <c r="AR420" s="859" t="s">
        <v>1344</v>
      </c>
      <c r="AS420" s="840" t="s">
        <v>1310</v>
      </c>
      <c r="AT420" s="840" t="s">
        <v>1235</v>
      </c>
      <c r="AU420" s="860" t="s">
        <v>1345</v>
      </c>
      <c r="AV420" s="839" t="s">
        <v>1346</v>
      </c>
      <c r="AW420" s="861">
        <v>45357</v>
      </c>
      <c r="AX420" s="862"/>
      <c r="AY420" s="843" t="s">
        <v>1513</v>
      </c>
      <c r="AZ420" s="842">
        <v>94052990</v>
      </c>
      <c r="BA420" s="842" t="s">
        <v>120</v>
      </c>
      <c r="BB420" s="863" t="s">
        <v>121</v>
      </c>
      <c r="BC420" s="864">
        <v>45447</v>
      </c>
      <c r="BD420" s="860" t="s">
        <v>1348</v>
      </c>
      <c r="BE420" s="865" cm="1">
        <f t="array" ref="BE420">IF(BD420="","",AC420/SUMPRODUCT(--(BD420=$BD$4:$BD$12824),$AC$4:$AC$12824))</f>
        <v>3.3920384689403296E-2</v>
      </c>
      <c r="BF420" s="458"/>
      <c r="BG420" s="458"/>
      <c r="BH420" s="458"/>
      <c r="BI420" s="458"/>
      <c r="BJ420" s="458"/>
      <c r="BK420" s="458"/>
      <c r="BL420" s="458"/>
      <c r="BM420" s="458"/>
      <c r="BN420" s="458"/>
      <c r="BO420" s="866">
        <f>VLOOKUP(BD420,$BD$4:$BN$12824,3,0)*BE420</f>
        <v>0</v>
      </c>
      <c r="BP420" s="866"/>
      <c r="BQ420" s="866"/>
      <c r="BR420" s="866">
        <f>VLOOKUP(BD420,$BD$4:$BN$12824,6,0)*BE420</f>
        <v>475743.6731454421</v>
      </c>
      <c r="BS420" s="866">
        <f>VLOOKUP(BD420,$BD$4:$BN$12824,7,0)*BE420</f>
        <v>12043.296902433884</v>
      </c>
      <c r="BT420" s="866"/>
      <c r="BU420" s="866">
        <f>VLOOKUP(BD420,$BD$4:$BN$12824,9,0)*BE420</f>
        <v>8480.0961723508244</v>
      </c>
      <c r="BV420" s="867"/>
      <c r="BW420" s="867">
        <f>VLOOKUP(BD420,$BD$4:$BN$12824,11,0)*BE420</f>
        <v>54272.615503045272</v>
      </c>
      <c r="BX420" s="1146">
        <f t="shared" si="75"/>
        <v>550539.68172327208</v>
      </c>
      <c r="BY420" s="867">
        <f t="shared" si="83"/>
        <v>2124886.6136205452</v>
      </c>
      <c r="BZ420" s="867">
        <f t="shared" si="81"/>
        <v>12749319.681723271</v>
      </c>
      <c r="CA420" s="867">
        <f>_xlfn.MAXIFS($BY$4:$BY$12824,$S$4:$S$12824,$S420)</f>
        <v>2656108.2670256817</v>
      </c>
      <c r="CB420" s="1032"/>
      <c r="CC420" s="999" t="s">
        <v>1353</v>
      </c>
      <c r="CF420" s="946">
        <f t="shared" si="82"/>
        <v>12198780</v>
      </c>
    </row>
    <row r="421" spans="1:84">
      <c r="A421" s="1032"/>
      <c r="B421" s="839" t="s">
        <v>98</v>
      </c>
      <c r="C421" s="839" t="s">
        <v>131</v>
      </c>
      <c r="D421" s="839" t="s">
        <v>1331</v>
      </c>
      <c r="E421" s="839" t="s">
        <v>1332</v>
      </c>
      <c r="F421" s="841">
        <v>45321</v>
      </c>
      <c r="G421" s="840" t="s">
        <v>155</v>
      </c>
      <c r="H421" s="842" t="s">
        <v>134</v>
      </c>
      <c r="I421" s="842"/>
      <c r="J421" s="841"/>
      <c r="K421" s="841"/>
      <c r="L421" s="843" t="s">
        <v>106</v>
      </c>
      <c r="M421" s="844" t="s">
        <v>1333</v>
      </c>
      <c r="N421" s="841">
        <v>45356</v>
      </c>
      <c r="O421" s="841" t="s">
        <v>108</v>
      </c>
      <c r="P421" s="841" t="s">
        <v>160</v>
      </c>
      <c r="Q421" s="843"/>
      <c r="R421" s="845" t="s">
        <v>1510</v>
      </c>
      <c r="S421" s="1127" t="s">
        <v>1511</v>
      </c>
      <c r="T421" s="843" t="s">
        <v>1514</v>
      </c>
      <c r="U421" s="842">
        <v>1</v>
      </c>
      <c r="V421" s="842" t="s">
        <v>8</v>
      </c>
      <c r="W421" s="846">
        <v>183</v>
      </c>
      <c r="X421" s="847">
        <f t="shared" si="76"/>
        <v>183</v>
      </c>
      <c r="Y421" s="848">
        <f t="shared" si="84"/>
        <v>0.44999999999999996</v>
      </c>
      <c r="Z421" s="849">
        <v>100.65</v>
      </c>
      <c r="AA421" s="849"/>
      <c r="AB421" s="849">
        <f t="shared" si="77"/>
        <v>100.65</v>
      </c>
      <c r="AC421" s="850">
        <f t="shared" si="78"/>
        <v>100.65</v>
      </c>
      <c r="AD421" s="851"/>
      <c r="AE421" s="852">
        <v>25250</v>
      </c>
      <c r="AF421" s="853">
        <v>0</v>
      </c>
      <c r="AG421" s="854">
        <f t="shared" si="79"/>
        <v>0</v>
      </c>
      <c r="AH421" s="853"/>
      <c r="AI421" s="855">
        <f t="shared" si="80"/>
        <v>0</v>
      </c>
      <c r="AJ421" s="845" t="s">
        <v>1337</v>
      </c>
      <c r="AK421" s="857" t="s">
        <v>1338</v>
      </c>
      <c r="AL421" s="840" t="s">
        <v>1339</v>
      </c>
      <c r="AM421" s="840" t="s">
        <v>1340</v>
      </c>
      <c r="AN421" s="858" t="s">
        <v>1341</v>
      </c>
      <c r="AO421" s="844"/>
      <c r="AP421" s="859" t="s">
        <v>1342</v>
      </c>
      <c r="AQ421" s="859" t="s">
        <v>1343</v>
      </c>
      <c r="AR421" s="859" t="s">
        <v>1344</v>
      </c>
      <c r="AS421" s="840" t="s">
        <v>1310</v>
      </c>
      <c r="AT421" s="840" t="s">
        <v>1235</v>
      </c>
      <c r="AU421" s="860" t="s">
        <v>1345</v>
      </c>
      <c r="AV421" s="839" t="s">
        <v>1346</v>
      </c>
      <c r="AW421" s="861">
        <v>45357</v>
      </c>
      <c r="AX421" s="862"/>
      <c r="AY421" s="843" t="s">
        <v>1515</v>
      </c>
      <c r="AZ421" s="842">
        <v>94052990</v>
      </c>
      <c r="BA421" s="842" t="s">
        <v>120</v>
      </c>
      <c r="BB421" s="863" t="s">
        <v>121</v>
      </c>
      <c r="BC421" s="864">
        <v>45447</v>
      </c>
      <c r="BD421" s="860" t="s">
        <v>1348</v>
      </c>
      <c r="BE421" s="865" cm="1">
        <f t="array" ref="BE421">IF(BD421="","",AC421/SUMPRODUCT(--(BD421=$BD$4:$BD$12824),$AC$4:$AC$12824))</f>
        <v>7.0667468102923537E-3</v>
      </c>
      <c r="BF421" s="458"/>
      <c r="BG421" s="458"/>
      <c r="BH421" s="458"/>
      <c r="BI421" s="458"/>
      <c r="BJ421" s="458"/>
      <c r="BK421" s="458"/>
      <c r="BL421" s="458"/>
      <c r="BM421" s="458"/>
      <c r="BN421" s="458"/>
      <c r="BO421" s="866">
        <f>VLOOKUP(BD421,$BD$4:$BN$12824,3,0)*BE421</f>
        <v>0</v>
      </c>
      <c r="BP421" s="866"/>
      <c r="BQ421" s="866"/>
      <c r="BR421" s="866">
        <f>VLOOKUP(BD421,$BD$4:$BN$12824,6,0)*BE421</f>
        <v>99113.265238633772</v>
      </c>
      <c r="BS421" s="866">
        <f>VLOOKUP(BD421,$BD$4:$BN$12824,7,0)*BE421</f>
        <v>2509.020188007059</v>
      </c>
      <c r="BT421" s="866"/>
      <c r="BU421" s="866">
        <f>VLOOKUP(BD421,$BD$4:$BN$12824,9,0)*BE421</f>
        <v>1766.6867025730885</v>
      </c>
      <c r="BV421" s="867"/>
      <c r="BW421" s="867">
        <f>VLOOKUP(BD421,$BD$4:$BN$12824,11,0)*BE421</f>
        <v>11306.794896467765</v>
      </c>
      <c r="BX421" s="1146">
        <f t="shared" si="75"/>
        <v>114695.76702568168</v>
      </c>
      <c r="BY421" s="867">
        <f t="shared" si="83"/>
        <v>2656108.2670256817</v>
      </c>
      <c r="BZ421" s="867">
        <f t="shared" si="81"/>
        <v>2656108.2670256817</v>
      </c>
      <c r="CA421" s="867">
        <f>_xlfn.MAXIFS($BY$4:$BY$12824,$S$4:$S$12824,$S421)</f>
        <v>2656108.2670256817</v>
      </c>
      <c r="CB421" s="1032"/>
      <c r="CC421" s="999" t="s">
        <v>1353</v>
      </c>
      <c r="CF421" s="946">
        <f t="shared" si="82"/>
        <v>2541412.5</v>
      </c>
    </row>
    <row r="422" spans="1:84">
      <c r="A422" s="1032"/>
      <c r="B422" s="839" t="s">
        <v>98</v>
      </c>
      <c r="C422" s="839" t="s">
        <v>131</v>
      </c>
      <c r="D422" s="839" t="s">
        <v>1331</v>
      </c>
      <c r="E422" s="839" t="s">
        <v>1332</v>
      </c>
      <c r="F422" s="841">
        <v>45321</v>
      </c>
      <c r="G422" s="840" t="s">
        <v>155</v>
      </c>
      <c r="H422" s="842" t="s">
        <v>134</v>
      </c>
      <c r="I422" s="842"/>
      <c r="J422" s="841"/>
      <c r="K422" s="841"/>
      <c r="L422" s="843" t="s">
        <v>106</v>
      </c>
      <c r="M422" s="844" t="s">
        <v>1333</v>
      </c>
      <c r="N422" s="841">
        <v>45356</v>
      </c>
      <c r="O422" s="841" t="s">
        <v>108</v>
      </c>
      <c r="P422" s="841" t="s">
        <v>160</v>
      </c>
      <c r="Q422" s="843"/>
      <c r="R422" s="845" t="s">
        <v>1516</v>
      </c>
      <c r="S422" s="1127" t="s">
        <v>1517</v>
      </c>
      <c r="T422" s="843" t="s">
        <v>1518</v>
      </c>
      <c r="U422" s="842">
        <v>4</v>
      </c>
      <c r="V422" s="842" t="s">
        <v>8</v>
      </c>
      <c r="W422" s="846">
        <v>488</v>
      </c>
      <c r="X422" s="847">
        <f t="shared" si="76"/>
        <v>1952</v>
      </c>
      <c r="Y422" s="848">
        <f t="shared" si="84"/>
        <v>0.55999999999999994</v>
      </c>
      <c r="Z422" s="849">
        <v>214.72</v>
      </c>
      <c r="AA422" s="849"/>
      <c r="AB422" s="849">
        <f t="shared" si="77"/>
        <v>858.88</v>
      </c>
      <c r="AC422" s="850">
        <f t="shared" si="78"/>
        <v>858.88</v>
      </c>
      <c r="AD422" s="851"/>
      <c r="AE422" s="852">
        <v>25250</v>
      </c>
      <c r="AF422" s="853">
        <v>0</v>
      </c>
      <c r="AG422" s="854">
        <f t="shared" si="79"/>
        <v>0</v>
      </c>
      <c r="AH422" s="853"/>
      <c r="AI422" s="855">
        <f t="shared" si="80"/>
        <v>0</v>
      </c>
      <c r="AJ422" s="845" t="s">
        <v>1337</v>
      </c>
      <c r="AK422" s="857" t="s">
        <v>1338</v>
      </c>
      <c r="AL422" s="840" t="s">
        <v>1339</v>
      </c>
      <c r="AM422" s="840" t="s">
        <v>1340</v>
      </c>
      <c r="AN422" s="858" t="s">
        <v>1341</v>
      </c>
      <c r="AO422" s="844"/>
      <c r="AP422" s="859" t="s">
        <v>1342</v>
      </c>
      <c r="AQ422" s="859" t="s">
        <v>1343</v>
      </c>
      <c r="AR422" s="859" t="s">
        <v>1344</v>
      </c>
      <c r="AS422" s="840" t="s">
        <v>1310</v>
      </c>
      <c r="AT422" s="840" t="s">
        <v>1235</v>
      </c>
      <c r="AU422" s="860" t="s">
        <v>1345</v>
      </c>
      <c r="AV422" s="839" t="s">
        <v>1346</v>
      </c>
      <c r="AW422" s="861">
        <v>45357</v>
      </c>
      <c r="AX422" s="862"/>
      <c r="AY422" s="843" t="s">
        <v>1519</v>
      </c>
      <c r="AZ422" s="842">
        <v>94052990</v>
      </c>
      <c r="BA422" s="842" t="s">
        <v>120</v>
      </c>
      <c r="BB422" s="863" t="s">
        <v>121</v>
      </c>
      <c r="BC422" s="864">
        <v>45447</v>
      </c>
      <c r="BD422" s="860" t="s">
        <v>1348</v>
      </c>
      <c r="BE422" s="865" cm="1">
        <f t="array" ref="BE422">IF(BD422="","",AC422/SUMPRODUCT(--(BD422=$BD$4:$BD$12824),$AC$4:$AC$12824))</f>
        <v>6.0302906114494743E-2</v>
      </c>
      <c r="BF422" s="458"/>
      <c r="BG422" s="458"/>
      <c r="BH422" s="458"/>
      <c r="BI422" s="458"/>
      <c r="BJ422" s="458"/>
      <c r="BK422" s="458"/>
      <c r="BL422" s="458"/>
      <c r="BM422" s="458"/>
      <c r="BN422" s="458"/>
      <c r="BO422" s="866">
        <f>VLOOKUP(BD422,$BD$4:$BN$12824,3,0)*BE422</f>
        <v>0</v>
      </c>
      <c r="BP422" s="866"/>
      <c r="BQ422" s="866"/>
      <c r="BR422" s="866">
        <f>VLOOKUP(BD422,$BD$4:$BN$12824,6,0)*BE422</f>
        <v>845766.53003634152</v>
      </c>
      <c r="BS422" s="866">
        <f>VLOOKUP(BD422,$BD$4:$BN$12824,7,0)*BE422</f>
        <v>21410.305604326899</v>
      </c>
      <c r="BT422" s="866"/>
      <c r="BU422" s="866">
        <f>VLOOKUP(BD422,$BD$4:$BN$12824,9,0)*BE422</f>
        <v>15075.726528623685</v>
      </c>
      <c r="BV422" s="867"/>
      <c r="BW422" s="867">
        <f>VLOOKUP(BD422,$BD$4:$BN$12824,11,0)*BE422</f>
        <v>96484.649783191591</v>
      </c>
      <c r="BX422" s="1146">
        <f t="shared" si="75"/>
        <v>978737.21195248375</v>
      </c>
      <c r="BY422" s="867">
        <f t="shared" si="83"/>
        <v>5666364.3029881213</v>
      </c>
      <c r="BZ422" s="867">
        <f t="shared" si="81"/>
        <v>22665457.211952485</v>
      </c>
      <c r="CA422" s="867">
        <f>_xlfn.MAXIFS($BY$4:$BY$12824,$S$4:$S$12824,$S422)</f>
        <v>7190570.6558119534</v>
      </c>
      <c r="CB422" s="1032"/>
      <c r="CC422" s="999" t="s">
        <v>1353</v>
      </c>
      <c r="CF422" s="946">
        <f t="shared" si="82"/>
        <v>21686720</v>
      </c>
    </row>
    <row r="423" spans="1:84">
      <c r="A423" s="1032"/>
      <c r="B423" s="839" t="s">
        <v>98</v>
      </c>
      <c r="C423" s="839" t="s">
        <v>131</v>
      </c>
      <c r="D423" s="839" t="s">
        <v>1331</v>
      </c>
      <c r="E423" s="839" t="s">
        <v>1332</v>
      </c>
      <c r="F423" s="841">
        <v>45321</v>
      </c>
      <c r="G423" s="840" t="s">
        <v>155</v>
      </c>
      <c r="H423" s="842" t="s">
        <v>134</v>
      </c>
      <c r="I423" s="842"/>
      <c r="J423" s="841"/>
      <c r="K423" s="841"/>
      <c r="L423" s="843" t="s">
        <v>106</v>
      </c>
      <c r="M423" s="844" t="s">
        <v>1333</v>
      </c>
      <c r="N423" s="841">
        <v>45356</v>
      </c>
      <c r="O423" s="841" t="s">
        <v>108</v>
      </c>
      <c r="P423" s="841" t="s">
        <v>1136</v>
      </c>
      <c r="Q423" s="843"/>
      <c r="R423" s="845">
        <v>20832201</v>
      </c>
      <c r="S423" s="1127" t="s">
        <v>1520</v>
      </c>
      <c r="T423" s="843" t="s">
        <v>1521</v>
      </c>
      <c r="U423" s="842">
        <v>2</v>
      </c>
      <c r="V423" s="842" t="s">
        <v>8</v>
      </c>
      <c r="W423" s="846">
        <v>183</v>
      </c>
      <c r="X423" s="847">
        <f t="shared" si="76"/>
        <v>366</v>
      </c>
      <c r="Y423" s="848">
        <f t="shared" si="84"/>
        <v>0.56000000000000005</v>
      </c>
      <c r="Z423" s="849">
        <v>80.52</v>
      </c>
      <c r="AA423" s="849"/>
      <c r="AB423" s="849">
        <f t="shared" si="77"/>
        <v>161.04</v>
      </c>
      <c r="AC423" s="850">
        <f t="shared" si="78"/>
        <v>161.04</v>
      </c>
      <c r="AD423" s="851"/>
      <c r="AE423" s="852">
        <v>25250</v>
      </c>
      <c r="AF423" s="853">
        <v>0</v>
      </c>
      <c r="AG423" s="854">
        <f t="shared" si="79"/>
        <v>0</v>
      </c>
      <c r="AH423" s="853"/>
      <c r="AI423" s="855">
        <f t="shared" si="80"/>
        <v>0</v>
      </c>
      <c r="AJ423" s="845" t="s">
        <v>1337</v>
      </c>
      <c r="AK423" s="857" t="s">
        <v>1338</v>
      </c>
      <c r="AL423" s="840" t="s">
        <v>1339</v>
      </c>
      <c r="AM423" s="840" t="s">
        <v>1340</v>
      </c>
      <c r="AN423" s="858" t="s">
        <v>1341</v>
      </c>
      <c r="AO423" s="844"/>
      <c r="AP423" s="859" t="s">
        <v>1342</v>
      </c>
      <c r="AQ423" s="859" t="s">
        <v>1343</v>
      </c>
      <c r="AR423" s="859" t="s">
        <v>1344</v>
      </c>
      <c r="AS423" s="840" t="s">
        <v>1310</v>
      </c>
      <c r="AT423" s="840" t="s">
        <v>1235</v>
      </c>
      <c r="AU423" s="860" t="s">
        <v>1345</v>
      </c>
      <c r="AV423" s="839" t="s">
        <v>1346</v>
      </c>
      <c r="AW423" s="861">
        <v>45357</v>
      </c>
      <c r="AX423" s="862"/>
      <c r="AY423" s="843" t="s">
        <v>1522</v>
      </c>
      <c r="AZ423" s="842">
        <v>94051199</v>
      </c>
      <c r="BA423" s="842" t="s">
        <v>120</v>
      </c>
      <c r="BB423" s="863" t="s">
        <v>121</v>
      </c>
      <c r="BC423" s="864">
        <v>45447</v>
      </c>
      <c r="BD423" s="860" t="s">
        <v>1348</v>
      </c>
      <c r="BE423" s="865" cm="1">
        <f t="array" ref="BE423">IF(BD423="","",AC423/SUMPRODUCT(--(BD423=$BD$4:$BD$12824),$AC$4:$AC$12824))</f>
        <v>1.1306794896467765E-2</v>
      </c>
      <c r="BF423" s="458"/>
      <c r="BG423" s="458"/>
      <c r="BH423" s="458"/>
      <c r="BI423" s="458"/>
      <c r="BJ423" s="458"/>
      <c r="BK423" s="458"/>
      <c r="BL423" s="458"/>
      <c r="BM423" s="458"/>
      <c r="BN423" s="458"/>
      <c r="BO423" s="866">
        <f>VLOOKUP(BD423,$BD$4:$BN$12824,3,0)*BE423</f>
        <v>0</v>
      </c>
      <c r="BP423" s="866"/>
      <c r="BQ423" s="866"/>
      <c r="BR423" s="866">
        <f>VLOOKUP(BD423,$BD$4:$BN$12824,6,0)*BE423</f>
        <v>158581.22438181404</v>
      </c>
      <c r="BS423" s="866">
        <f>VLOOKUP(BD423,$BD$4:$BN$12824,7,0)*BE423</f>
        <v>4014.4323008112942</v>
      </c>
      <c r="BT423" s="866"/>
      <c r="BU423" s="866">
        <f>VLOOKUP(BD423,$BD$4:$BN$12824,9,0)*BE423</f>
        <v>2826.6987241169413</v>
      </c>
      <c r="BV423" s="867"/>
      <c r="BW423" s="867">
        <f>VLOOKUP(BD423,$BD$4:$BN$12824,11,0)*BE423</f>
        <v>18090.871834348425</v>
      </c>
      <c r="BX423" s="1146">
        <f t="shared" si="75"/>
        <v>183513.2272410907</v>
      </c>
      <c r="BY423" s="867">
        <f t="shared" si="83"/>
        <v>2124886.6136205452</v>
      </c>
      <c r="BZ423" s="867">
        <f t="shared" si="81"/>
        <v>4249773.2272410905</v>
      </c>
      <c r="CA423" s="867">
        <f>_xlfn.MAXIFS($BY$4:$BY$12824,$S$4:$S$12824,$S423)</f>
        <v>2124886.6136205452</v>
      </c>
      <c r="CB423" s="1032"/>
      <c r="CC423" s="999" t="s">
        <v>1353</v>
      </c>
      <c r="CF423" s="946">
        <f t="shared" si="82"/>
        <v>4066260</v>
      </c>
    </row>
    <row r="424" spans="1:84">
      <c r="A424" s="1032"/>
      <c r="B424" s="839" t="s">
        <v>98</v>
      </c>
      <c r="C424" s="839" t="s">
        <v>131</v>
      </c>
      <c r="D424" s="839" t="s">
        <v>1331</v>
      </c>
      <c r="E424" s="839" t="s">
        <v>1332</v>
      </c>
      <c r="F424" s="841">
        <v>45321</v>
      </c>
      <c r="G424" s="840" t="s">
        <v>155</v>
      </c>
      <c r="H424" s="842" t="s">
        <v>134</v>
      </c>
      <c r="I424" s="842"/>
      <c r="J424" s="841"/>
      <c r="K424" s="841"/>
      <c r="L424" s="843" t="s">
        <v>106</v>
      </c>
      <c r="M424" s="844" t="s">
        <v>1333</v>
      </c>
      <c r="N424" s="841">
        <v>45356</v>
      </c>
      <c r="O424" s="841" t="s">
        <v>108</v>
      </c>
      <c r="P424" s="841" t="s">
        <v>1136</v>
      </c>
      <c r="Q424" s="843"/>
      <c r="R424" s="845">
        <v>20833401</v>
      </c>
      <c r="S424" s="1127" t="s">
        <v>1523</v>
      </c>
      <c r="T424" s="843" t="s">
        <v>1524</v>
      </c>
      <c r="U424" s="842">
        <v>2</v>
      </c>
      <c r="V424" s="842" t="s">
        <v>8</v>
      </c>
      <c r="W424" s="846">
        <v>183</v>
      </c>
      <c r="X424" s="847">
        <f t="shared" si="76"/>
        <v>366</v>
      </c>
      <c r="Y424" s="848">
        <f t="shared" si="84"/>
        <v>0.56000000000000005</v>
      </c>
      <c r="Z424" s="849">
        <v>80.52</v>
      </c>
      <c r="AA424" s="849"/>
      <c r="AB424" s="849">
        <f t="shared" si="77"/>
        <v>161.04</v>
      </c>
      <c r="AC424" s="850">
        <f t="shared" si="78"/>
        <v>161.04</v>
      </c>
      <c r="AD424" s="851"/>
      <c r="AE424" s="852">
        <v>25250</v>
      </c>
      <c r="AF424" s="853">
        <v>0</v>
      </c>
      <c r="AG424" s="854">
        <f t="shared" si="79"/>
        <v>0</v>
      </c>
      <c r="AH424" s="853"/>
      <c r="AI424" s="855">
        <f t="shared" si="80"/>
        <v>0</v>
      </c>
      <c r="AJ424" s="845" t="s">
        <v>1337</v>
      </c>
      <c r="AK424" s="857" t="s">
        <v>1338</v>
      </c>
      <c r="AL424" s="840" t="s">
        <v>1339</v>
      </c>
      <c r="AM424" s="840" t="s">
        <v>1340</v>
      </c>
      <c r="AN424" s="858" t="s">
        <v>1341</v>
      </c>
      <c r="AO424" s="844"/>
      <c r="AP424" s="859" t="s">
        <v>1342</v>
      </c>
      <c r="AQ424" s="859" t="s">
        <v>1343</v>
      </c>
      <c r="AR424" s="859" t="s">
        <v>1344</v>
      </c>
      <c r="AS424" s="840" t="s">
        <v>1310</v>
      </c>
      <c r="AT424" s="840" t="s">
        <v>1235</v>
      </c>
      <c r="AU424" s="860" t="s">
        <v>1345</v>
      </c>
      <c r="AV424" s="839" t="s">
        <v>1346</v>
      </c>
      <c r="AW424" s="861">
        <v>45357</v>
      </c>
      <c r="AX424" s="862"/>
      <c r="AY424" s="843" t="s">
        <v>1525</v>
      </c>
      <c r="AZ424" s="842">
        <v>94051199</v>
      </c>
      <c r="BA424" s="842" t="s">
        <v>120</v>
      </c>
      <c r="BB424" s="863" t="s">
        <v>121</v>
      </c>
      <c r="BC424" s="864">
        <v>45447</v>
      </c>
      <c r="BD424" s="860" t="s">
        <v>1348</v>
      </c>
      <c r="BE424" s="865" cm="1">
        <f t="array" ref="BE424">IF(BD424="","",AC424/SUMPRODUCT(--(BD424=$BD$4:$BD$12824),$AC$4:$AC$12824))</f>
        <v>1.1306794896467765E-2</v>
      </c>
      <c r="BF424" s="458"/>
      <c r="BG424" s="458"/>
      <c r="BH424" s="458"/>
      <c r="BI424" s="458"/>
      <c r="BJ424" s="458"/>
      <c r="BK424" s="458"/>
      <c r="BL424" s="458"/>
      <c r="BM424" s="458"/>
      <c r="BN424" s="458"/>
      <c r="BO424" s="866">
        <f>VLOOKUP(BD424,$BD$4:$BN$12824,3,0)*BE424</f>
        <v>0</v>
      </c>
      <c r="BP424" s="866"/>
      <c r="BQ424" s="866"/>
      <c r="BR424" s="866">
        <f>VLOOKUP(BD424,$BD$4:$BN$12824,6,0)*BE424</f>
        <v>158581.22438181404</v>
      </c>
      <c r="BS424" s="866">
        <f>VLOOKUP(BD424,$BD$4:$BN$12824,7,0)*BE424</f>
        <v>4014.4323008112942</v>
      </c>
      <c r="BT424" s="866"/>
      <c r="BU424" s="866">
        <f>VLOOKUP(BD424,$BD$4:$BN$12824,9,0)*BE424</f>
        <v>2826.6987241169413</v>
      </c>
      <c r="BV424" s="867"/>
      <c r="BW424" s="867">
        <f>VLOOKUP(BD424,$BD$4:$BN$12824,11,0)*BE424</f>
        <v>18090.871834348425</v>
      </c>
      <c r="BX424" s="1146">
        <f t="shared" si="75"/>
        <v>183513.2272410907</v>
      </c>
      <c r="BY424" s="867">
        <f t="shared" si="83"/>
        <v>2124886.6136205452</v>
      </c>
      <c r="BZ424" s="867">
        <f t="shared" si="81"/>
        <v>4249773.2272410905</v>
      </c>
      <c r="CA424" s="867">
        <f>_xlfn.MAXIFS($BY$4:$BY$12824,$S$4:$S$12824,$S424)</f>
        <v>2124886.6136205452</v>
      </c>
      <c r="CB424" s="1032"/>
      <c r="CC424" s="999" t="s">
        <v>1353</v>
      </c>
      <c r="CF424" s="946">
        <f t="shared" si="82"/>
        <v>4066260</v>
      </c>
    </row>
    <row r="425" spans="1:84">
      <c r="A425" s="1032"/>
      <c r="B425" s="839" t="s">
        <v>98</v>
      </c>
      <c r="C425" s="839" t="s">
        <v>131</v>
      </c>
      <c r="D425" s="839" t="s">
        <v>1331</v>
      </c>
      <c r="E425" s="839" t="s">
        <v>1332</v>
      </c>
      <c r="F425" s="841">
        <v>45321</v>
      </c>
      <c r="G425" s="840" t="s">
        <v>155</v>
      </c>
      <c r="H425" s="842" t="s">
        <v>134</v>
      </c>
      <c r="I425" s="842"/>
      <c r="J425" s="841"/>
      <c r="K425" s="841"/>
      <c r="L425" s="843" t="s">
        <v>106</v>
      </c>
      <c r="M425" s="844" t="s">
        <v>1333</v>
      </c>
      <c r="N425" s="841">
        <v>45356</v>
      </c>
      <c r="O425" s="841" t="s">
        <v>108</v>
      </c>
      <c r="P425" s="841" t="s">
        <v>1136</v>
      </c>
      <c r="Q425" s="843"/>
      <c r="R425" s="845">
        <v>20833501</v>
      </c>
      <c r="S425" s="1127" t="s">
        <v>1526</v>
      </c>
      <c r="T425" s="843" t="s">
        <v>1527</v>
      </c>
      <c r="U425" s="842">
        <v>2</v>
      </c>
      <c r="V425" s="842" t="s">
        <v>8</v>
      </c>
      <c r="W425" s="846">
        <v>183</v>
      </c>
      <c r="X425" s="847">
        <f t="shared" si="76"/>
        <v>366</v>
      </c>
      <c r="Y425" s="848">
        <f t="shared" si="84"/>
        <v>0.56000000000000005</v>
      </c>
      <c r="Z425" s="849">
        <v>80.52</v>
      </c>
      <c r="AA425" s="849"/>
      <c r="AB425" s="849">
        <f t="shared" si="77"/>
        <v>161.04</v>
      </c>
      <c r="AC425" s="850">
        <f t="shared" si="78"/>
        <v>161.04</v>
      </c>
      <c r="AD425" s="851"/>
      <c r="AE425" s="852">
        <v>25250</v>
      </c>
      <c r="AF425" s="853">
        <v>0</v>
      </c>
      <c r="AG425" s="854">
        <f t="shared" si="79"/>
        <v>0</v>
      </c>
      <c r="AH425" s="853"/>
      <c r="AI425" s="855">
        <f t="shared" si="80"/>
        <v>0</v>
      </c>
      <c r="AJ425" s="845" t="s">
        <v>1337</v>
      </c>
      <c r="AK425" s="857" t="s">
        <v>1338</v>
      </c>
      <c r="AL425" s="840" t="s">
        <v>1339</v>
      </c>
      <c r="AM425" s="840" t="s">
        <v>1340</v>
      </c>
      <c r="AN425" s="858" t="s">
        <v>1341</v>
      </c>
      <c r="AO425" s="844"/>
      <c r="AP425" s="859" t="s">
        <v>1342</v>
      </c>
      <c r="AQ425" s="859" t="s">
        <v>1343</v>
      </c>
      <c r="AR425" s="859" t="s">
        <v>1344</v>
      </c>
      <c r="AS425" s="840" t="s">
        <v>1310</v>
      </c>
      <c r="AT425" s="840" t="s">
        <v>1235</v>
      </c>
      <c r="AU425" s="860" t="s">
        <v>1345</v>
      </c>
      <c r="AV425" s="839" t="s">
        <v>1346</v>
      </c>
      <c r="AW425" s="861">
        <v>45357</v>
      </c>
      <c r="AX425" s="862"/>
      <c r="AY425" s="843" t="s">
        <v>1528</v>
      </c>
      <c r="AZ425" s="842">
        <v>94051199</v>
      </c>
      <c r="BA425" s="842" t="s">
        <v>120</v>
      </c>
      <c r="BB425" s="863" t="s">
        <v>121</v>
      </c>
      <c r="BC425" s="864">
        <v>45447</v>
      </c>
      <c r="BD425" s="860" t="s">
        <v>1348</v>
      </c>
      <c r="BE425" s="865" cm="1">
        <f t="array" ref="BE425">IF(BD425="","",AC425/SUMPRODUCT(--(BD425=$BD$4:$BD$12824),$AC$4:$AC$12824))</f>
        <v>1.1306794896467765E-2</v>
      </c>
      <c r="BF425" s="458"/>
      <c r="BG425" s="458"/>
      <c r="BH425" s="458"/>
      <c r="BI425" s="458"/>
      <c r="BJ425" s="458"/>
      <c r="BK425" s="458"/>
      <c r="BL425" s="458"/>
      <c r="BM425" s="458"/>
      <c r="BN425" s="458"/>
      <c r="BO425" s="866">
        <f>VLOOKUP(BD425,$BD$4:$BN$12824,3,0)*BE425</f>
        <v>0</v>
      </c>
      <c r="BP425" s="866"/>
      <c r="BQ425" s="866"/>
      <c r="BR425" s="866">
        <f>VLOOKUP(BD425,$BD$4:$BN$12824,6,0)*BE425</f>
        <v>158581.22438181404</v>
      </c>
      <c r="BS425" s="866">
        <f>VLOOKUP(BD425,$BD$4:$BN$12824,7,0)*BE425</f>
        <v>4014.4323008112942</v>
      </c>
      <c r="BT425" s="866"/>
      <c r="BU425" s="866">
        <f>VLOOKUP(BD425,$BD$4:$BN$12824,9,0)*BE425</f>
        <v>2826.6987241169413</v>
      </c>
      <c r="BV425" s="867"/>
      <c r="BW425" s="867">
        <f>VLOOKUP(BD425,$BD$4:$BN$12824,11,0)*BE425</f>
        <v>18090.871834348425</v>
      </c>
      <c r="BX425" s="1146">
        <f t="shared" si="75"/>
        <v>183513.2272410907</v>
      </c>
      <c r="BY425" s="867">
        <f t="shared" si="83"/>
        <v>2124886.6136205452</v>
      </c>
      <c r="BZ425" s="867">
        <f t="shared" si="81"/>
        <v>4249773.2272410905</v>
      </c>
      <c r="CA425" s="867">
        <f>_xlfn.MAXIFS($BY$4:$BY$12824,$S$4:$S$12824,$S425)</f>
        <v>2124886.6136205452</v>
      </c>
      <c r="CB425" s="1032"/>
      <c r="CC425" s="999" t="s">
        <v>1353</v>
      </c>
      <c r="CF425" s="946">
        <f t="shared" si="82"/>
        <v>4066260</v>
      </c>
    </row>
    <row r="426" spans="1:84">
      <c r="A426" s="1032"/>
      <c r="B426" s="839" t="s">
        <v>98</v>
      </c>
      <c r="C426" s="839" t="s">
        <v>131</v>
      </c>
      <c r="D426" s="839" t="s">
        <v>1331</v>
      </c>
      <c r="E426" s="839" t="s">
        <v>1332</v>
      </c>
      <c r="F426" s="841">
        <v>45321</v>
      </c>
      <c r="G426" s="840" t="s">
        <v>155</v>
      </c>
      <c r="H426" s="842" t="s">
        <v>134</v>
      </c>
      <c r="I426" s="842"/>
      <c r="J426" s="841"/>
      <c r="K426" s="841"/>
      <c r="L426" s="843" t="s">
        <v>106</v>
      </c>
      <c r="M426" s="844" t="s">
        <v>1333</v>
      </c>
      <c r="N426" s="841">
        <v>45356</v>
      </c>
      <c r="O426" s="841" t="s">
        <v>108</v>
      </c>
      <c r="P426" s="841" t="s">
        <v>1136</v>
      </c>
      <c r="Q426" s="843"/>
      <c r="R426" s="845">
        <v>20833601</v>
      </c>
      <c r="S426" s="1127" t="s">
        <v>1529</v>
      </c>
      <c r="T426" s="843" t="s">
        <v>1530</v>
      </c>
      <c r="U426" s="842">
        <v>2</v>
      </c>
      <c r="V426" s="842" t="s">
        <v>8</v>
      </c>
      <c r="W426" s="846">
        <v>183</v>
      </c>
      <c r="X426" s="847">
        <f t="shared" si="76"/>
        <v>366</v>
      </c>
      <c r="Y426" s="848">
        <f t="shared" si="84"/>
        <v>0.56000000000000005</v>
      </c>
      <c r="Z426" s="849">
        <v>80.52</v>
      </c>
      <c r="AA426" s="849"/>
      <c r="AB426" s="849">
        <f t="shared" si="77"/>
        <v>161.04</v>
      </c>
      <c r="AC426" s="850">
        <f t="shared" si="78"/>
        <v>161.04</v>
      </c>
      <c r="AD426" s="851"/>
      <c r="AE426" s="852">
        <v>25250</v>
      </c>
      <c r="AF426" s="853">
        <v>0</v>
      </c>
      <c r="AG426" s="854">
        <f t="shared" si="79"/>
        <v>0</v>
      </c>
      <c r="AH426" s="853"/>
      <c r="AI426" s="855">
        <f t="shared" si="80"/>
        <v>0</v>
      </c>
      <c r="AJ426" s="845" t="s">
        <v>1337</v>
      </c>
      <c r="AK426" s="857" t="s">
        <v>1338</v>
      </c>
      <c r="AL426" s="840" t="s">
        <v>1339</v>
      </c>
      <c r="AM426" s="840" t="s">
        <v>1340</v>
      </c>
      <c r="AN426" s="858" t="s">
        <v>1341</v>
      </c>
      <c r="AO426" s="844"/>
      <c r="AP426" s="859" t="s">
        <v>1342</v>
      </c>
      <c r="AQ426" s="859" t="s">
        <v>1343</v>
      </c>
      <c r="AR426" s="859" t="s">
        <v>1344</v>
      </c>
      <c r="AS426" s="840" t="s">
        <v>1310</v>
      </c>
      <c r="AT426" s="840" t="s">
        <v>1235</v>
      </c>
      <c r="AU426" s="860" t="s">
        <v>1345</v>
      </c>
      <c r="AV426" s="839" t="s">
        <v>1346</v>
      </c>
      <c r="AW426" s="861">
        <v>45357</v>
      </c>
      <c r="AX426" s="862"/>
      <c r="AY426" s="843" t="s">
        <v>1531</v>
      </c>
      <c r="AZ426" s="842">
        <v>94051199</v>
      </c>
      <c r="BA426" s="842" t="s">
        <v>120</v>
      </c>
      <c r="BB426" s="863" t="s">
        <v>121</v>
      </c>
      <c r="BC426" s="864">
        <v>45447</v>
      </c>
      <c r="BD426" s="860" t="s">
        <v>1348</v>
      </c>
      <c r="BE426" s="865" cm="1">
        <f t="array" ref="BE426">IF(BD426="","",AC426/SUMPRODUCT(--(BD426=$BD$4:$BD$12824),$AC$4:$AC$12824))</f>
        <v>1.1306794896467765E-2</v>
      </c>
      <c r="BF426" s="458"/>
      <c r="BG426" s="458"/>
      <c r="BH426" s="458"/>
      <c r="BI426" s="458"/>
      <c r="BJ426" s="458"/>
      <c r="BK426" s="458"/>
      <c r="BL426" s="458"/>
      <c r="BM426" s="458"/>
      <c r="BN426" s="458"/>
      <c r="BO426" s="866">
        <f>VLOOKUP(BD426,$BD$4:$BN$12824,3,0)*BE426</f>
        <v>0</v>
      </c>
      <c r="BP426" s="866"/>
      <c r="BQ426" s="866"/>
      <c r="BR426" s="866">
        <f>VLOOKUP(BD426,$BD$4:$BN$12824,6,0)*BE426</f>
        <v>158581.22438181404</v>
      </c>
      <c r="BS426" s="866">
        <f>VLOOKUP(BD426,$BD$4:$BN$12824,7,0)*BE426</f>
        <v>4014.4323008112942</v>
      </c>
      <c r="BT426" s="866"/>
      <c r="BU426" s="866">
        <f>VLOOKUP(BD426,$BD$4:$BN$12824,9,0)*BE426</f>
        <v>2826.6987241169413</v>
      </c>
      <c r="BV426" s="867"/>
      <c r="BW426" s="867">
        <f>VLOOKUP(BD426,$BD$4:$BN$12824,11,0)*BE426</f>
        <v>18090.871834348425</v>
      </c>
      <c r="BX426" s="1146">
        <f t="shared" si="75"/>
        <v>183513.2272410907</v>
      </c>
      <c r="BY426" s="867">
        <f t="shared" si="83"/>
        <v>2124886.6136205452</v>
      </c>
      <c r="BZ426" s="867">
        <f t="shared" si="81"/>
        <v>4249773.2272410905</v>
      </c>
      <c r="CA426" s="867">
        <f>_xlfn.MAXIFS($BY$4:$BY$12824,$S$4:$S$12824,$S426)</f>
        <v>2124886.6136205452</v>
      </c>
      <c r="CB426" s="1032"/>
      <c r="CC426" s="999" t="s">
        <v>1353</v>
      </c>
      <c r="CF426" s="946">
        <f t="shared" si="82"/>
        <v>4066260</v>
      </c>
    </row>
    <row r="427" spans="1:84">
      <c r="A427" s="1032"/>
      <c r="B427" s="839" t="s">
        <v>98</v>
      </c>
      <c r="C427" s="839" t="s">
        <v>131</v>
      </c>
      <c r="D427" s="839" t="s">
        <v>1331</v>
      </c>
      <c r="E427" s="839" t="s">
        <v>1332</v>
      </c>
      <c r="F427" s="841">
        <v>45321</v>
      </c>
      <c r="G427" s="840" t="s">
        <v>155</v>
      </c>
      <c r="H427" s="842" t="s">
        <v>134</v>
      </c>
      <c r="I427" s="842"/>
      <c r="J427" s="841"/>
      <c r="K427" s="841"/>
      <c r="L427" s="843" t="s">
        <v>106</v>
      </c>
      <c r="M427" s="844" t="s">
        <v>1333</v>
      </c>
      <c r="N427" s="841">
        <v>45356</v>
      </c>
      <c r="O427" s="841" t="s">
        <v>108</v>
      </c>
      <c r="P427" s="841" t="s">
        <v>1136</v>
      </c>
      <c r="Q427" s="843"/>
      <c r="R427" s="845">
        <v>20835002</v>
      </c>
      <c r="S427" s="1127" t="s">
        <v>1532</v>
      </c>
      <c r="T427" s="843" t="s">
        <v>1533</v>
      </c>
      <c r="U427" s="842">
        <v>2</v>
      </c>
      <c r="V427" s="842" t="s">
        <v>8</v>
      </c>
      <c r="W427" s="846">
        <v>183</v>
      </c>
      <c r="X427" s="847">
        <f t="shared" si="76"/>
        <v>366</v>
      </c>
      <c r="Y427" s="848">
        <f t="shared" si="84"/>
        <v>0.56000000000000005</v>
      </c>
      <c r="Z427" s="849">
        <v>80.52</v>
      </c>
      <c r="AA427" s="849"/>
      <c r="AB427" s="849">
        <f t="shared" si="77"/>
        <v>161.04</v>
      </c>
      <c r="AC427" s="850">
        <f t="shared" si="78"/>
        <v>161.04</v>
      </c>
      <c r="AD427" s="851"/>
      <c r="AE427" s="852">
        <v>25250</v>
      </c>
      <c r="AF427" s="853">
        <v>0</v>
      </c>
      <c r="AG427" s="854">
        <f t="shared" si="79"/>
        <v>0</v>
      </c>
      <c r="AH427" s="853"/>
      <c r="AI427" s="855">
        <f t="shared" si="80"/>
        <v>0</v>
      </c>
      <c r="AJ427" s="845" t="s">
        <v>1337</v>
      </c>
      <c r="AK427" s="857" t="s">
        <v>1338</v>
      </c>
      <c r="AL427" s="840" t="s">
        <v>1339</v>
      </c>
      <c r="AM427" s="840" t="s">
        <v>1340</v>
      </c>
      <c r="AN427" s="858" t="s">
        <v>1341</v>
      </c>
      <c r="AO427" s="844"/>
      <c r="AP427" s="859" t="s">
        <v>1342</v>
      </c>
      <c r="AQ427" s="859" t="s">
        <v>1343</v>
      </c>
      <c r="AR427" s="859" t="s">
        <v>1344</v>
      </c>
      <c r="AS427" s="840" t="s">
        <v>1310</v>
      </c>
      <c r="AT427" s="840" t="s">
        <v>1235</v>
      </c>
      <c r="AU427" s="860" t="s">
        <v>1345</v>
      </c>
      <c r="AV427" s="839" t="s">
        <v>1346</v>
      </c>
      <c r="AW427" s="861">
        <v>45357</v>
      </c>
      <c r="AX427" s="862"/>
      <c r="AY427" s="843" t="s">
        <v>1534</v>
      </c>
      <c r="AZ427" s="842">
        <v>94051199</v>
      </c>
      <c r="BA427" s="842" t="s">
        <v>120</v>
      </c>
      <c r="BB427" s="863" t="s">
        <v>121</v>
      </c>
      <c r="BC427" s="864">
        <v>45447</v>
      </c>
      <c r="BD427" s="860" t="s">
        <v>1348</v>
      </c>
      <c r="BE427" s="865" cm="1">
        <f t="array" ref="BE427">IF(BD427="","",AC427/SUMPRODUCT(--(BD427=$BD$4:$BD$12824),$AC$4:$AC$12824))</f>
        <v>1.1306794896467765E-2</v>
      </c>
      <c r="BF427" s="458"/>
      <c r="BG427" s="458"/>
      <c r="BH427" s="458"/>
      <c r="BI427" s="458"/>
      <c r="BJ427" s="458"/>
      <c r="BK427" s="458"/>
      <c r="BL427" s="458"/>
      <c r="BM427" s="458"/>
      <c r="BN427" s="458"/>
      <c r="BO427" s="866">
        <f>VLOOKUP(BD427,$BD$4:$BN$12824,3,0)*BE427</f>
        <v>0</v>
      </c>
      <c r="BP427" s="866"/>
      <c r="BQ427" s="866"/>
      <c r="BR427" s="866">
        <f>VLOOKUP(BD427,$BD$4:$BN$12824,6,0)*BE427</f>
        <v>158581.22438181404</v>
      </c>
      <c r="BS427" s="866">
        <f>VLOOKUP(BD427,$BD$4:$BN$12824,7,0)*BE427</f>
        <v>4014.4323008112942</v>
      </c>
      <c r="BT427" s="866"/>
      <c r="BU427" s="866">
        <f>VLOOKUP(BD427,$BD$4:$BN$12824,9,0)*BE427</f>
        <v>2826.6987241169413</v>
      </c>
      <c r="BV427" s="867"/>
      <c r="BW427" s="867">
        <f>VLOOKUP(BD427,$BD$4:$BN$12824,11,0)*BE427</f>
        <v>18090.871834348425</v>
      </c>
      <c r="BX427" s="1146">
        <f t="shared" si="75"/>
        <v>183513.2272410907</v>
      </c>
      <c r="BY427" s="867">
        <f t="shared" si="83"/>
        <v>2124886.6136205452</v>
      </c>
      <c r="BZ427" s="867">
        <f t="shared" si="81"/>
        <v>4249773.2272410905</v>
      </c>
      <c r="CA427" s="867">
        <f>_xlfn.MAXIFS($BY$4:$BY$12824,$S$4:$S$12824,$S427)</f>
        <v>2124886.6136205452</v>
      </c>
      <c r="CB427" s="1032"/>
      <c r="CC427" s="999" t="s">
        <v>1353</v>
      </c>
      <c r="CF427" s="946">
        <f t="shared" si="82"/>
        <v>4066260</v>
      </c>
    </row>
    <row r="428" spans="1:84">
      <c r="A428" s="1032"/>
      <c r="B428" s="839" t="s">
        <v>98</v>
      </c>
      <c r="C428" s="839" t="s">
        <v>131</v>
      </c>
      <c r="D428" s="839" t="s">
        <v>1331</v>
      </c>
      <c r="E428" s="839" t="s">
        <v>1332</v>
      </c>
      <c r="F428" s="841">
        <v>45321</v>
      </c>
      <c r="G428" s="840" t="s">
        <v>155</v>
      </c>
      <c r="H428" s="842" t="s">
        <v>134</v>
      </c>
      <c r="I428" s="842"/>
      <c r="J428" s="841"/>
      <c r="K428" s="841"/>
      <c r="L428" s="843" t="s">
        <v>106</v>
      </c>
      <c r="M428" s="844" t="s">
        <v>1333</v>
      </c>
      <c r="N428" s="841">
        <v>45356</v>
      </c>
      <c r="O428" s="841" t="s">
        <v>108</v>
      </c>
      <c r="P428" s="841" t="s">
        <v>1136</v>
      </c>
      <c r="Q428" s="843"/>
      <c r="R428" s="845">
        <v>20838101</v>
      </c>
      <c r="S428" s="1127" t="s">
        <v>1535</v>
      </c>
      <c r="T428" s="843" t="s">
        <v>1536</v>
      </c>
      <c r="U428" s="842">
        <v>4</v>
      </c>
      <c r="V428" s="842" t="s">
        <v>8</v>
      </c>
      <c r="W428" s="846">
        <v>256</v>
      </c>
      <c r="X428" s="847">
        <f t="shared" si="76"/>
        <v>1024</v>
      </c>
      <c r="Y428" s="848">
        <f t="shared" si="84"/>
        <v>0.56000000000000005</v>
      </c>
      <c r="Z428" s="849">
        <v>112.64</v>
      </c>
      <c r="AA428" s="849"/>
      <c r="AB428" s="849">
        <f t="shared" si="77"/>
        <v>450.56</v>
      </c>
      <c r="AC428" s="850">
        <f t="shared" si="78"/>
        <v>450.56</v>
      </c>
      <c r="AD428" s="851"/>
      <c r="AE428" s="852">
        <v>25250</v>
      </c>
      <c r="AF428" s="853">
        <v>0</v>
      </c>
      <c r="AG428" s="854">
        <f t="shared" si="79"/>
        <v>0</v>
      </c>
      <c r="AH428" s="853"/>
      <c r="AI428" s="855">
        <f t="shared" si="80"/>
        <v>0</v>
      </c>
      <c r="AJ428" s="845" t="s">
        <v>1337</v>
      </c>
      <c r="AK428" s="857" t="s">
        <v>1338</v>
      </c>
      <c r="AL428" s="840" t="s">
        <v>1339</v>
      </c>
      <c r="AM428" s="840" t="s">
        <v>1340</v>
      </c>
      <c r="AN428" s="858" t="s">
        <v>1341</v>
      </c>
      <c r="AO428" s="844"/>
      <c r="AP428" s="859" t="s">
        <v>1342</v>
      </c>
      <c r="AQ428" s="859" t="s">
        <v>1343</v>
      </c>
      <c r="AR428" s="859" t="s">
        <v>1344</v>
      </c>
      <c r="AS428" s="840" t="s">
        <v>1310</v>
      </c>
      <c r="AT428" s="840" t="s">
        <v>1235</v>
      </c>
      <c r="AU428" s="860" t="s">
        <v>1345</v>
      </c>
      <c r="AV428" s="839" t="s">
        <v>1346</v>
      </c>
      <c r="AW428" s="861">
        <v>45357</v>
      </c>
      <c r="AX428" s="862"/>
      <c r="AY428" s="843" t="s">
        <v>1537</v>
      </c>
      <c r="AZ428" s="842">
        <v>94051199</v>
      </c>
      <c r="BA428" s="842" t="s">
        <v>120</v>
      </c>
      <c r="BB428" s="863" t="s">
        <v>121</v>
      </c>
      <c r="BC428" s="864">
        <v>45447</v>
      </c>
      <c r="BD428" s="860" t="s">
        <v>1348</v>
      </c>
      <c r="BE428" s="865" cm="1">
        <f t="array" ref="BE428">IF(BD428="","",AC428/SUMPRODUCT(--(BD428=$BD$4:$BD$12824),$AC$4:$AC$12824))</f>
        <v>3.1634311404325113E-2</v>
      </c>
      <c r="BF428" s="458"/>
      <c r="BG428" s="458"/>
      <c r="BH428" s="458"/>
      <c r="BI428" s="458"/>
      <c r="BJ428" s="458"/>
      <c r="BK428" s="458"/>
      <c r="BL428" s="458"/>
      <c r="BM428" s="458"/>
      <c r="BN428" s="458"/>
      <c r="BO428" s="866">
        <f>VLOOKUP(BD428,$BD$4:$BN$12824,3,0)*BE428</f>
        <v>0</v>
      </c>
      <c r="BP428" s="866"/>
      <c r="BQ428" s="866"/>
      <c r="BR428" s="866">
        <f>VLOOKUP(BD428,$BD$4:$BN$12824,6,0)*BE428</f>
        <v>443680.80264201522</v>
      </c>
      <c r="BS428" s="866">
        <f>VLOOKUP(BD428,$BD$4:$BN$12824,7,0)*BE428</f>
        <v>11231.635726860015</v>
      </c>
      <c r="BT428" s="866"/>
      <c r="BU428" s="866">
        <f>VLOOKUP(BD428,$BD$4:$BN$12824,9,0)*BE428</f>
        <v>7908.5778510812779</v>
      </c>
      <c r="BV428" s="867"/>
      <c r="BW428" s="867">
        <f>VLOOKUP(BD428,$BD$4:$BN$12824,11,0)*BE428</f>
        <v>50614.89824692018</v>
      </c>
      <c r="BX428" s="1146">
        <f t="shared" si="75"/>
        <v>513435.91446687671</v>
      </c>
      <c r="BY428" s="867">
        <f t="shared" si="83"/>
        <v>2972518.9786167191</v>
      </c>
      <c r="BZ428" s="867">
        <f t="shared" si="81"/>
        <v>11890075.914466877</v>
      </c>
      <c r="CA428" s="867">
        <f>_xlfn.MAXIFS($BY$4:$BY$12824,$S$4:$S$12824,$S428)</f>
        <v>2972518.9786167191</v>
      </c>
      <c r="CB428" s="1032"/>
      <c r="CC428" s="999" t="s">
        <v>1353</v>
      </c>
      <c r="CF428" s="946">
        <f t="shared" si="82"/>
        <v>11376640</v>
      </c>
    </row>
    <row r="429" spans="1:84">
      <c r="A429" s="1032"/>
      <c r="B429" s="839" t="s">
        <v>98</v>
      </c>
      <c r="C429" s="839" t="s">
        <v>131</v>
      </c>
      <c r="D429" s="839" t="s">
        <v>1331</v>
      </c>
      <c r="E429" s="839" t="s">
        <v>1332</v>
      </c>
      <c r="F429" s="841">
        <v>45321</v>
      </c>
      <c r="G429" s="840" t="s">
        <v>155</v>
      </c>
      <c r="H429" s="842" t="s">
        <v>134</v>
      </c>
      <c r="I429" s="842"/>
      <c r="J429" s="841"/>
      <c r="K429" s="841"/>
      <c r="L429" s="843" t="s">
        <v>106</v>
      </c>
      <c r="M429" s="844" t="s">
        <v>1333</v>
      </c>
      <c r="N429" s="841">
        <v>45356</v>
      </c>
      <c r="O429" s="841" t="s">
        <v>108</v>
      </c>
      <c r="P429" s="841" t="s">
        <v>1136</v>
      </c>
      <c r="Q429" s="843"/>
      <c r="R429" s="845">
        <v>20838901</v>
      </c>
      <c r="S429" s="1127" t="s">
        <v>1538</v>
      </c>
      <c r="T429" s="843" t="s">
        <v>1539</v>
      </c>
      <c r="U429" s="842">
        <v>2</v>
      </c>
      <c r="V429" s="842" t="s">
        <v>8</v>
      </c>
      <c r="W429" s="846">
        <v>183</v>
      </c>
      <c r="X429" s="847">
        <f t="shared" si="76"/>
        <v>366</v>
      </c>
      <c r="Y429" s="848">
        <f t="shared" si="84"/>
        <v>0.56000000000000005</v>
      </c>
      <c r="Z429" s="849">
        <v>80.52</v>
      </c>
      <c r="AA429" s="849"/>
      <c r="AB429" s="849">
        <f t="shared" si="77"/>
        <v>161.04</v>
      </c>
      <c r="AC429" s="850">
        <f t="shared" si="78"/>
        <v>161.04</v>
      </c>
      <c r="AD429" s="851"/>
      <c r="AE429" s="852">
        <v>25250</v>
      </c>
      <c r="AF429" s="853">
        <v>0</v>
      </c>
      <c r="AG429" s="854">
        <f t="shared" si="79"/>
        <v>0</v>
      </c>
      <c r="AH429" s="853"/>
      <c r="AI429" s="855">
        <f t="shared" si="80"/>
        <v>0</v>
      </c>
      <c r="AJ429" s="845" t="s">
        <v>1337</v>
      </c>
      <c r="AK429" s="857" t="s">
        <v>1338</v>
      </c>
      <c r="AL429" s="840" t="s">
        <v>1339</v>
      </c>
      <c r="AM429" s="840" t="s">
        <v>1340</v>
      </c>
      <c r="AN429" s="858" t="s">
        <v>1341</v>
      </c>
      <c r="AO429" s="844"/>
      <c r="AP429" s="859" t="s">
        <v>1342</v>
      </c>
      <c r="AQ429" s="859" t="s">
        <v>1343</v>
      </c>
      <c r="AR429" s="859" t="s">
        <v>1344</v>
      </c>
      <c r="AS429" s="840" t="s">
        <v>1310</v>
      </c>
      <c r="AT429" s="840" t="s">
        <v>1235</v>
      </c>
      <c r="AU429" s="860" t="s">
        <v>1345</v>
      </c>
      <c r="AV429" s="839" t="s">
        <v>1346</v>
      </c>
      <c r="AW429" s="861">
        <v>45357</v>
      </c>
      <c r="AX429" s="862"/>
      <c r="AY429" s="843" t="s">
        <v>1540</v>
      </c>
      <c r="AZ429" s="842">
        <v>94051199</v>
      </c>
      <c r="BA429" s="842" t="s">
        <v>120</v>
      </c>
      <c r="BB429" s="863" t="s">
        <v>121</v>
      </c>
      <c r="BC429" s="864">
        <v>45447</v>
      </c>
      <c r="BD429" s="860" t="s">
        <v>1348</v>
      </c>
      <c r="BE429" s="865" cm="1">
        <f t="array" ref="BE429">IF(BD429="","",AC429/SUMPRODUCT(--(BD429=$BD$4:$BD$12824),$AC$4:$AC$12824))</f>
        <v>1.1306794896467765E-2</v>
      </c>
      <c r="BF429" s="458"/>
      <c r="BG429" s="458"/>
      <c r="BH429" s="458"/>
      <c r="BI429" s="458"/>
      <c r="BJ429" s="458"/>
      <c r="BK429" s="458"/>
      <c r="BL429" s="458"/>
      <c r="BM429" s="458"/>
      <c r="BN429" s="458"/>
      <c r="BO429" s="866">
        <f>VLOOKUP(BD429,$BD$4:$BN$12824,3,0)*BE429</f>
        <v>0</v>
      </c>
      <c r="BP429" s="866"/>
      <c r="BQ429" s="866"/>
      <c r="BR429" s="866">
        <f>VLOOKUP(BD429,$BD$4:$BN$12824,6,0)*BE429</f>
        <v>158581.22438181404</v>
      </c>
      <c r="BS429" s="866">
        <f>VLOOKUP(BD429,$BD$4:$BN$12824,7,0)*BE429</f>
        <v>4014.4323008112942</v>
      </c>
      <c r="BT429" s="866"/>
      <c r="BU429" s="866">
        <f>VLOOKUP(BD429,$BD$4:$BN$12824,9,0)*BE429</f>
        <v>2826.6987241169413</v>
      </c>
      <c r="BV429" s="867"/>
      <c r="BW429" s="867">
        <f>VLOOKUP(BD429,$BD$4:$BN$12824,11,0)*BE429</f>
        <v>18090.871834348425</v>
      </c>
      <c r="BX429" s="1146">
        <f t="shared" si="75"/>
        <v>183513.2272410907</v>
      </c>
      <c r="BY429" s="867">
        <f t="shared" si="83"/>
        <v>2124886.6136205452</v>
      </c>
      <c r="BZ429" s="867">
        <f t="shared" si="81"/>
        <v>4249773.2272410905</v>
      </c>
      <c r="CA429" s="867">
        <f>_xlfn.MAXIFS($BY$4:$BY$12824,$S$4:$S$12824,$S429)</f>
        <v>2124886.6136205452</v>
      </c>
      <c r="CB429" s="1032"/>
      <c r="CC429" s="999" t="s">
        <v>1353</v>
      </c>
      <c r="CF429" s="946">
        <f t="shared" si="82"/>
        <v>4066260</v>
      </c>
    </row>
    <row r="430" spans="1:84">
      <c r="A430" s="1032"/>
      <c r="B430" s="839" t="s">
        <v>98</v>
      </c>
      <c r="C430" s="839" t="s">
        <v>131</v>
      </c>
      <c r="D430" s="839" t="s">
        <v>1331</v>
      </c>
      <c r="E430" s="839" t="s">
        <v>1332</v>
      </c>
      <c r="F430" s="841">
        <v>45321</v>
      </c>
      <c r="G430" s="840" t="s">
        <v>155</v>
      </c>
      <c r="H430" s="842" t="s">
        <v>134</v>
      </c>
      <c r="I430" s="842"/>
      <c r="J430" s="841"/>
      <c r="K430" s="841"/>
      <c r="L430" s="843" t="s">
        <v>106</v>
      </c>
      <c r="M430" s="844" t="s">
        <v>1333</v>
      </c>
      <c r="N430" s="841">
        <v>45356</v>
      </c>
      <c r="O430" s="841" t="s">
        <v>108</v>
      </c>
      <c r="P430" s="841" t="s">
        <v>1136</v>
      </c>
      <c r="Q430" s="843"/>
      <c r="R430" s="845">
        <v>20839201</v>
      </c>
      <c r="S430" s="1127" t="s">
        <v>1541</v>
      </c>
      <c r="T430" s="843" t="s">
        <v>1542</v>
      </c>
      <c r="U430" s="842">
        <v>2</v>
      </c>
      <c r="V430" s="842" t="s">
        <v>8</v>
      </c>
      <c r="W430" s="846">
        <v>183</v>
      </c>
      <c r="X430" s="847">
        <f t="shared" si="76"/>
        <v>366</v>
      </c>
      <c r="Y430" s="848">
        <f t="shared" si="84"/>
        <v>0.56000000000000005</v>
      </c>
      <c r="Z430" s="849">
        <v>80.52</v>
      </c>
      <c r="AA430" s="849"/>
      <c r="AB430" s="849">
        <f t="shared" si="77"/>
        <v>161.04</v>
      </c>
      <c r="AC430" s="850">
        <f t="shared" si="78"/>
        <v>161.04</v>
      </c>
      <c r="AD430" s="851"/>
      <c r="AE430" s="852">
        <v>25250</v>
      </c>
      <c r="AF430" s="853">
        <v>0</v>
      </c>
      <c r="AG430" s="854">
        <f t="shared" si="79"/>
        <v>0</v>
      </c>
      <c r="AH430" s="853"/>
      <c r="AI430" s="855">
        <f t="shared" si="80"/>
        <v>0</v>
      </c>
      <c r="AJ430" s="845" t="s">
        <v>1337</v>
      </c>
      <c r="AK430" s="857" t="s">
        <v>1338</v>
      </c>
      <c r="AL430" s="840" t="s">
        <v>1339</v>
      </c>
      <c r="AM430" s="840" t="s">
        <v>1340</v>
      </c>
      <c r="AN430" s="858" t="s">
        <v>1341</v>
      </c>
      <c r="AO430" s="844"/>
      <c r="AP430" s="859" t="s">
        <v>1342</v>
      </c>
      <c r="AQ430" s="859" t="s">
        <v>1343</v>
      </c>
      <c r="AR430" s="859" t="s">
        <v>1344</v>
      </c>
      <c r="AS430" s="840" t="s">
        <v>1310</v>
      </c>
      <c r="AT430" s="840" t="s">
        <v>1235</v>
      </c>
      <c r="AU430" s="860" t="s">
        <v>1345</v>
      </c>
      <c r="AV430" s="839" t="s">
        <v>1346</v>
      </c>
      <c r="AW430" s="861">
        <v>45357</v>
      </c>
      <c r="AX430" s="862"/>
      <c r="AY430" s="843" t="s">
        <v>1543</v>
      </c>
      <c r="AZ430" s="842">
        <v>94051199</v>
      </c>
      <c r="BA430" s="842" t="s">
        <v>120</v>
      </c>
      <c r="BB430" s="863" t="s">
        <v>121</v>
      </c>
      <c r="BC430" s="864">
        <v>45447</v>
      </c>
      <c r="BD430" s="860" t="s">
        <v>1348</v>
      </c>
      <c r="BE430" s="865" cm="1">
        <f t="array" ref="BE430">IF(BD430="","",AC430/SUMPRODUCT(--(BD430=$BD$4:$BD$12824),$AC$4:$AC$12824))</f>
        <v>1.1306794896467765E-2</v>
      </c>
      <c r="BF430" s="458"/>
      <c r="BG430" s="458"/>
      <c r="BH430" s="458"/>
      <c r="BI430" s="458"/>
      <c r="BJ430" s="458"/>
      <c r="BK430" s="458"/>
      <c r="BL430" s="458"/>
      <c r="BM430" s="458"/>
      <c r="BN430" s="458"/>
      <c r="BO430" s="866">
        <f>VLOOKUP(BD430,$BD$4:$BN$12824,3,0)*BE430</f>
        <v>0</v>
      </c>
      <c r="BP430" s="866"/>
      <c r="BQ430" s="866"/>
      <c r="BR430" s="866">
        <f>VLOOKUP(BD430,$BD$4:$BN$12824,6,0)*BE430</f>
        <v>158581.22438181404</v>
      </c>
      <c r="BS430" s="866">
        <f>VLOOKUP(BD430,$BD$4:$BN$12824,7,0)*BE430</f>
        <v>4014.4323008112942</v>
      </c>
      <c r="BT430" s="866"/>
      <c r="BU430" s="866">
        <f>VLOOKUP(BD430,$BD$4:$BN$12824,9,0)*BE430</f>
        <v>2826.6987241169413</v>
      </c>
      <c r="BV430" s="867"/>
      <c r="BW430" s="867">
        <f>VLOOKUP(BD430,$BD$4:$BN$12824,11,0)*BE430</f>
        <v>18090.871834348425</v>
      </c>
      <c r="BX430" s="1146">
        <f t="shared" si="75"/>
        <v>183513.2272410907</v>
      </c>
      <c r="BY430" s="867">
        <f t="shared" si="83"/>
        <v>2124886.6136205452</v>
      </c>
      <c r="BZ430" s="867">
        <f t="shared" si="81"/>
        <v>4249773.2272410905</v>
      </c>
      <c r="CA430" s="867">
        <f>_xlfn.MAXIFS($BY$4:$BY$12824,$S$4:$S$12824,$S430)</f>
        <v>2124886.6136205452</v>
      </c>
      <c r="CB430" s="1032"/>
      <c r="CC430" s="999" t="s">
        <v>1353</v>
      </c>
      <c r="CF430" s="946">
        <f t="shared" si="82"/>
        <v>4066260</v>
      </c>
    </row>
    <row r="431" spans="1:84">
      <c r="A431" s="1032"/>
      <c r="B431" s="839" t="s">
        <v>98</v>
      </c>
      <c r="C431" s="839" t="s">
        <v>131</v>
      </c>
      <c r="D431" s="839" t="s">
        <v>1331</v>
      </c>
      <c r="E431" s="839" t="s">
        <v>1332</v>
      </c>
      <c r="F431" s="841">
        <v>45321</v>
      </c>
      <c r="G431" s="840" t="s">
        <v>155</v>
      </c>
      <c r="H431" s="842" t="s">
        <v>134</v>
      </c>
      <c r="I431" s="842"/>
      <c r="J431" s="841"/>
      <c r="K431" s="841"/>
      <c r="L431" s="843" t="s">
        <v>106</v>
      </c>
      <c r="M431" s="844" t="s">
        <v>1333</v>
      </c>
      <c r="N431" s="841">
        <v>45356</v>
      </c>
      <c r="O431" s="841" t="s">
        <v>108</v>
      </c>
      <c r="P431" s="841" t="s">
        <v>1136</v>
      </c>
      <c r="Q431" s="843"/>
      <c r="R431" s="845">
        <v>20839901</v>
      </c>
      <c r="S431" s="1127" t="s">
        <v>1544</v>
      </c>
      <c r="T431" s="843" t="s">
        <v>1545</v>
      </c>
      <c r="U431" s="842">
        <v>2</v>
      </c>
      <c r="V431" s="842" t="s">
        <v>8</v>
      </c>
      <c r="W431" s="846">
        <v>256</v>
      </c>
      <c r="X431" s="847">
        <f t="shared" si="76"/>
        <v>512</v>
      </c>
      <c r="Y431" s="848">
        <f t="shared" ref="Y431:Y434" si="85">(W431-Z431)/W431</f>
        <v>0.56000000000000005</v>
      </c>
      <c r="Z431" s="849">
        <v>112.64</v>
      </c>
      <c r="AA431" s="849"/>
      <c r="AB431" s="849">
        <f t="shared" si="77"/>
        <v>225.28</v>
      </c>
      <c r="AC431" s="850">
        <f t="shared" si="78"/>
        <v>225.28</v>
      </c>
      <c r="AD431" s="851"/>
      <c r="AE431" s="852">
        <v>25250</v>
      </c>
      <c r="AF431" s="853">
        <v>0</v>
      </c>
      <c r="AG431" s="854">
        <f t="shared" si="79"/>
        <v>0</v>
      </c>
      <c r="AH431" s="853"/>
      <c r="AI431" s="855">
        <f t="shared" si="80"/>
        <v>0</v>
      </c>
      <c r="AJ431" s="845" t="s">
        <v>1337</v>
      </c>
      <c r="AK431" s="857" t="s">
        <v>1338</v>
      </c>
      <c r="AL431" s="840" t="s">
        <v>1339</v>
      </c>
      <c r="AM431" s="840" t="s">
        <v>1340</v>
      </c>
      <c r="AN431" s="858" t="s">
        <v>1341</v>
      </c>
      <c r="AO431" s="844"/>
      <c r="AP431" s="859" t="s">
        <v>1342</v>
      </c>
      <c r="AQ431" s="859" t="s">
        <v>1343</v>
      </c>
      <c r="AR431" s="859" t="s">
        <v>1344</v>
      </c>
      <c r="AS431" s="840" t="s">
        <v>1310</v>
      </c>
      <c r="AT431" s="840" t="s">
        <v>1235</v>
      </c>
      <c r="AU431" s="860" t="s">
        <v>1345</v>
      </c>
      <c r="AV431" s="839" t="s">
        <v>1346</v>
      </c>
      <c r="AW431" s="861">
        <v>45357</v>
      </c>
      <c r="AX431" s="862"/>
      <c r="AY431" s="843" t="s">
        <v>1546</v>
      </c>
      <c r="AZ431" s="842">
        <v>94051199</v>
      </c>
      <c r="BA431" s="842" t="s">
        <v>120</v>
      </c>
      <c r="BB431" s="863" t="s">
        <v>121</v>
      </c>
      <c r="BC431" s="864">
        <v>45447</v>
      </c>
      <c r="BD431" s="860" t="s">
        <v>1348</v>
      </c>
      <c r="BE431" s="865" cm="1">
        <f t="array" ref="BE431">IF(BD431="","",AC431/SUMPRODUCT(--(BD431=$BD$4:$BD$12824),$AC$4:$AC$12824))</f>
        <v>1.5817155702162557E-2</v>
      </c>
      <c r="BF431" s="458"/>
      <c r="BG431" s="458"/>
      <c r="BH431" s="458"/>
      <c r="BI431" s="458"/>
      <c r="BJ431" s="458"/>
      <c r="BK431" s="458"/>
      <c r="BL431" s="458"/>
      <c r="BM431" s="458"/>
      <c r="BN431" s="458"/>
      <c r="BO431" s="866">
        <f>VLOOKUP(BD431,$BD$4:$BN$12824,3,0)*BE431</f>
        <v>0</v>
      </c>
      <c r="BP431" s="866"/>
      <c r="BQ431" s="866"/>
      <c r="BR431" s="866">
        <f>VLOOKUP(BD431,$BD$4:$BN$12824,6,0)*BE431</f>
        <v>221840.40132100761</v>
      </c>
      <c r="BS431" s="866">
        <f>VLOOKUP(BD431,$BD$4:$BN$12824,7,0)*BE431</f>
        <v>5615.8178634300075</v>
      </c>
      <c r="BT431" s="866"/>
      <c r="BU431" s="866">
        <f>VLOOKUP(BD431,$BD$4:$BN$12824,9,0)*BE431</f>
        <v>3954.288925540639</v>
      </c>
      <c r="BV431" s="867"/>
      <c r="BW431" s="867">
        <f>VLOOKUP(BD431,$BD$4:$BN$12824,11,0)*BE431</f>
        <v>25307.44912346009</v>
      </c>
      <c r="BX431" s="1146">
        <f t="shared" si="75"/>
        <v>256717.95723343836</v>
      </c>
      <c r="BY431" s="867">
        <f t="shared" si="83"/>
        <v>2972518.9786167191</v>
      </c>
      <c r="BZ431" s="867">
        <f t="shared" si="81"/>
        <v>5945037.9572334383</v>
      </c>
      <c r="CA431" s="867">
        <f>_xlfn.MAXIFS($BY$4:$BY$12824,$S$4:$S$12824,$S431)</f>
        <v>2972518.9786167191</v>
      </c>
      <c r="CB431" s="1032"/>
      <c r="CC431" s="999" t="s">
        <v>1353</v>
      </c>
      <c r="CF431" s="946">
        <f t="shared" si="82"/>
        <v>5688320</v>
      </c>
    </row>
    <row r="432" spans="1:84">
      <c r="A432" s="1032"/>
      <c r="B432" s="839" t="s">
        <v>98</v>
      </c>
      <c r="C432" s="839" t="s">
        <v>131</v>
      </c>
      <c r="D432" s="839" t="s">
        <v>1331</v>
      </c>
      <c r="E432" s="839" t="s">
        <v>1547</v>
      </c>
      <c r="F432" s="841">
        <v>45377</v>
      </c>
      <c r="G432" s="840" t="s">
        <v>155</v>
      </c>
      <c r="H432" s="842" t="s">
        <v>134</v>
      </c>
      <c r="I432" s="842"/>
      <c r="J432" s="841"/>
      <c r="K432" s="841"/>
      <c r="L432" s="843" t="s">
        <v>106</v>
      </c>
      <c r="M432" s="844" t="s">
        <v>1333</v>
      </c>
      <c r="N432" s="841">
        <v>45356</v>
      </c>
      <c r="O432" s="841" t="s">
        <v>150</v>
      </c>
      <c r="P432" s="841" t="s">
        <v>461</v>
      </c>
      <c r="Q432" s="843"/>
      <c r="R432" s="845">
        <v>83351149</v>
      </c>
      <c r="S432" s="1127" t="s">
        <v>1548</v>
      </c>
      <c r="T432" s="843" t="s">
        <v>1549</v>
      </c>
      <c r="U432" s="842">
        <v>1</v>
      </c>
      <c r="V432" s="842" t="s">
        <v>8</v>
      </c>
      <c r="W432" s="846">
        <v>1954</v>
      </c>
      <c r="X432" s="847">
        <f t="shared" si="76"/>
        <v>1954</v>
      </c>
      <c r="Y432" s="848">
        <f t="shared" si="85"/>
        <v>0.44999999999999996</v>
      </c>
      <c r="Z432" s="849">
        <v>1074.7</v>
      </c>
      <c r="AA432" s="849"/>
      <c r="AB432" s="849">
        <f t="shared" si="77"/>
        <v>1074.7</v>
      </c>
      <c r="AC432" s="850">
        <f t="shared" si="78"/>
        <v>1074.7</v>
      </c>
      <c r="AD432" s="851"/>
      <c r="AE432" s="852">
        <v>25250</v>
      </c>
      <c r="AF432" s="853">
        <v>0.25</v>
      </c>
      <c r="AG432" s="854">
        <f t="shared" si="79"/>
        <v>6790741.3257477675</v>
      </c>
      <c r="AH432" s="853"/>
      <c r="AI432" s="855">
        <f t="shared" si="80"/>
        <v>0</v>
      </c>
      <c r="AJ432" s="845" t="s">
        <v>1337</v>
      </c>
      <c r="AK432" s="857" t="s">
        <v>1338</v>
      </c>
      <c r="AL432" s="840" t="s">
        <v>1339</v>
      </c>
      <c r="AM432" s="840" t="s">
        <v>1340</v>
      </c>
      <c r="AN432" s="858" t="s">
        <v>1341</v>
      </c>
      <c r="AO432" s="844"/>
      <c r="AP432" s="859" t="s">
        <v>1342</v>
      </c>
      <c r="AQ432" s="859" t="s">
        <v>1343</v>
      </c>
      <c r="AR432" s="859" t="s">
        <v>1344</v>
      </c>
      <c r="AS432" s="840" t="s">
        <v>1310</v>
      </c>
      <c r="AT432" s="840" t="s">
        <v>1235</v>
      </c>
      <c r="AU432" s="860" t="s">
        <v>1345</v>
      </c>
      <c r="AV432" s="839" t="s">
        <v>1346</v>
      </c>
      <c r="AW432" s="861">
        <v>45357</v>
      </c>
      <c r="AX432" s="862"/>
      <c r="AY432" s="843" t="s">
        <v>1550</v>
      </c>
      <c r="AZ432" s="842">
        <v>94038990</v>
      </c>
      <c r="BA432" s="842" t="s">
        <v>120</v>
      </c>
      <c r="BB432" s="863" t="s">
        <v>121</v>
      </c>
      <c r="BC432" s="864">
        <v>45447</v>
      </c>
      <c r="BD432" s="860" t="s">
        <v>1348</v>
      </c>
      <c r="BE432" s="865" cm="1">
        <f t="array" ref="BE432">IF(BD432="","",AC432/SUMPRODUCT(--(BD432=$BD$4:$BD$12824),$AC$4:$AC$12824))</f>
        <v>7.5455864848695403E-2</v>
      </c>
      <c r="BF432" s="458"/>
      <c r="BG432" s="458"/>
      <c r="BH432" s="458"/>
      <c r="BI432" s="458"/>
      <c r="BJ432" s="458"/>
      <c r="BK432" s="458"/>
      <c r="BL432" s="458"/>
      <c r="BM432" s="458"/>
      <c r="BN432" s="458"/>
      <c r="BO432" s="866">
        <f>VLOOKUP(BD432,$BD$4:$BN$12824,3,0)*BE432</f>
        <v>0</v>
      </c>
      <c r="BP432" s="866"/>
      <c r="BQ432" s="866"/>
      <c r="BR432" s="866">
        <f>VLOOKUP(BD432,$BD$4:$BN$12824,6,0)*BE432</f>
        <v>1058291.3676300021</v>
      </c>
      <c r="BS432" s="866">
        <f>VLOOKUP(BD432,$BD$4:$BN$12824,7,0)*BE432</f>
        <v>26790.302991069908</v>
      </c>
      <c r="BT432" s="866"/>
      <c r="BU432" s="866">
        <f>VLOOKUP(BD432,$BD$4:$BN$12824,9,0)*BE432</f>
        <v>18863.966212173851</v>
      </c>
      <c r="BV432" s="867"/>
      <c r="BW432" s="867">
        <f>VLOOKUP(BD432,$BD$4:$BN$12824,11,0)*BE432</f>
        <v>120729.38375791264</v>
      </c>
      <c r="BX432" s="1146">
        <f t="shared" si="75"/>
        <v>1224675.0205911584</v>
      </c>
      <c r="BY432" s="867">
        <f t="shared" si="83"/>
        <v>35151591.346338928</v>
      </c>
      <c r="BZ432" s="867">
        <f t="shared" si="81"/>
        <v>35151591.346338928</v>
      </c>
      <c r="CA432" s="867">
        <f>_xlfn.MAXIFS($BY$4:$BY$12824,$S$4:$S$12824,$S432)</f>
        <v>35151591.346338928</v>
      </c>
      <c r="CB432" s="1032"/>
      <c r="CC432" s="999" t="s">
        <v>1353</v>
      </c>
      <c r="CF432" s="946">
        <f t="shared" si="82"/>
        <v>27136175</v>
      </c>
    </row>
    <row r="433" spans="1:84">
      <c r="A433" s="1032"/>
      <c r="B433" s="839" t="s">
        <v>98</v>
      </c>
      <c r="C433" s="839" t="s">
        <v>131</v>
      </c>
      <c r="D433" s="839" t="s">
        <v>1331</v>
      </c>
      <c r="E433" s="839" t="s">
        <v>1551</v>
      </c>
      <c r="F433" s="841">
        <v>45406</v>
      </c>
      <c r="G433" s="840" t="s">
        <v>155</v>
      </c>
      <c r="H433" s="842" t="s">
        <v>134</v>
      </c>
      <c r="I433" s="842"/>
      <c r="J433" s="841"/>
      <c r="K433" s="841"/>
      <c r="L433" s="843" t="s">
        <v>106</v>
      </c>
      <c r="M433" s="844" t="s">
        <v>1333</v>
      </c>
      <c r="N433" s="841">
        <v>45356</v>
      </c>
      <c r="O433" s="841" t="s">
        <v>108</v>
      </c>
      <c r="P433" s="841" t="s">
        <v>160</v>
      </c>
      <c r="Q433" s="843"/>
      <c r="R433" s="845">
        <v>20713601</v>
      </c>
      <c r="S433" s="1127" t="s">
        <v>168</v>
      </c>
      <c r="T433" s="843" t="s">
        <v>1552</v>
      </c>
      <c r="U433" s="842">
        <v>2</v>
      </c>
      <c r="V433" s="842" t="s">
        <v>8</v>
      </c>
      <c r="W433" s="846">
        <v>171</v>
      </c>
      <c r="X433" s="847">
        <f t="shared" si="76"/>
        <v>342</v>
      </c>
      <c r="Y433" s="848">
        <f t="shared" si="85"/>
        <v>0.45</v>
      </c>
      <c r="Z433" s="849">
        <v>94.05</v>
      </c>
      <c r="AA433" s="849"/>
      <c r="AB433" s="849">
        <f t="shared" si="77"/>
        <v>188.1</v>
      </c>
      <c r="AC433" s="850">
        <f t="shared" si="78"/>
        <v>188.1</v>
      </c>
      <c r="AD433" s="851"/>
      <c r="AE433" s="852">
        <v>25250</v>
      </c>
      <c r="AF433" s="853">
        <v>0</v>
      </c>
      <c r="AG433" s="854">
        <f t="shared" si="79"/>
        <v>0</v>
      </c>
      <c r="AH433" s="853"/>
      <c r="AI433" s="855">
        <f t="shared" si="80"/>
        <v>0</v>
      </c>
      <c r="AJ433" s="845" t="s">
        <v>1337</v>
      </c>
      <c r="AK433" s="857" t="s">
        <v>1338</v>
      </c>
      <c r="AL433" s="840" t="s">
        <v>1339</v>
      </c>
      <c r="AM433" s="840" t="s">
        <v>1340</v>
      </c>
      <c r="AN433" s="858" t="s">
        <v>1341</v>
      </c>
      <c r="AO433" s="844"/>
      <c r="AP433" s="859" t="s">
        <v>1342</v>
      </c>
      <c r="AQ433" s="859" t="s">
        <v>1343</v>
      </c>
      <c r="AR433" s="859" t="s">
        <v>1344</v>
      </c>
      <c r="AS433" s="840" t="s">
        <v>1310</v>
      </c>
      <c r="AT433" s="840" t="s">
        <v>1235</v>
      </c>
      <c r="AU433" s="860" t="s">
        <v>1345</v>
      </c>
      <c r="AV433" s="839" t="s">
        <v>1346</v>
      </c>
      <c r="AW433" s="861">
        <v>45357</v>
      </c>
      <c r="AX433" s="862"/>
      <c r="AY433" s="843" t="s">
        <v>1553</v>
      </c>
      <c r="AZ433" s="842">
        <v>94051199</v>
      </c>
      <c r="BA433" s="842" t="s">
        <v>120</v>
      </c>
      <c r="BB433" s="863" t="s">
        <v>121</v>
      </c>
      <c r="BC433" s="864">
        <v>45447</v>
      </c>
      <c r="BD433" s="860" t="s">
        <v>1348</v>
      </c>
      <c r="BE433" s="865" cm="1">
        <f t="array" ref="BE433">IF(BD433="","",AC433/SUMPRODUCT(--(BD433=$BD$4:$BD$12824),$AC$4:$AC$12824))</f>
        <v>1.3206707153661118E-2</v>
      </c>
      <c r="BF433" s="458"/>
      <c r="BG433" s="458"/>
      <c r="BH433" s="458"/>
      <c r="BI433" s="458"/>
      <c r="BJ433" s="458"/>
      <c r="BK433" s="458"/>
      <c r="BL433" s="458"/>
      <c r="BM433" s="458"/>
      <c r="BN433" s="458"/>
      <c r="BO433" s="866">
        <f>VLOOKUP(BD433,$BD$4:$BN$12824,3,0)*BE433</f>
        <v>0</v>
      </c>
      <c r="BP433" s="866"/>
      <c r="BQ433" s="866"/>
      <c r="BR433" s="866">
        <f>VLOOKUP(BD433,$BD$4:$BN$12824,6,0)*BE433</f>
        <v>185228.06946236474</v>
      </c>
      <c r="BS433" s="866">
        <f>VLOOKUP(BD433,$BD$4:$BN$12824,7,0)*BE433</f>
        <v>4688.9885480787652</v>
      </c>
      <c r="BT433" s="866"/>
      <c r="BU433" s="866">
        <f>VLOOKUP(BD433,$BD$4:$BN$12824,9,0)*BE433</f>
        <v>3301.6767884152796</v>
      </c>
      <c r="BV433" s="867"/>
      <c r="BW433" s="867">
        <f>VLOOKUP(BD433,$BD$4:$BN$12824,11,0)*BE433</f>
        <v>21130.731445857789</v>
      </c>
      <c r="BX433" s="1146">
        <f t="shared" si="75"/>
        <v>214349.4662447166</v>
      </c>
      <c r="BY433" s="867">
        <f t="shared" si="83"/>
        <v>2481937.2331223581</v>
      </c>
      <c r="BZ433" s="867">
        <f t="shared" si="81"/>
        <v>4963874.4662447162</v>
      </c>
      <c r="CA433" s="867">
        <f>_xlfn.MAXIFS($BY$4:$BY$12824,$S$4:$S$12824,$S433)</f>
        <v>2798643.9616483245</v>
      </c>
      <c r="CB433" s="1032"/>
      <c r="CC433" s="999" t="s">
        <v>1353</v>
      </c>
      <c r="CF433" s="946">
        <f t="shared" si="82"/>
        <v>4749525</v>
      </c>
    </row>
    <row r="434" spans="1:84">
      <c r="A434" s="1032"/>
      <c r="B434" s="839" t="s">
        <v>98</v>
      </c>
      <c r="C434" s="839" t="s">
        <v>131</v>
      </c>
      <c r="D434" s="839" t="s">
        <v>1331</v>
      </c>
      <c r="E434" s="839" t="s">
        <v>1551</v>
      </c>
      <c r="F434" s="841">
        <v>45406</v>
      </c>
      <c r="G434" s="840" t="s">
        <v>155</v>
      </c>
      <c r="H434" s="842" t="s">
        <v>134</v>
      </c>
      <c r="I434" s="842"/>
      <c r="J434" s="841"/>
      <c r="K434" s="841"/>
      <c r="L434" s="843" t="s">
        <v>106</v>
      </c>
      <c r="M434" s="844" t="s">
        <v>1333</v>
      </c>
      <c r="N434" s="841">
        <v>45356</v>
      </c>
      <c r="O434" s="841" t="s">
        <v>108</v>
      </c>
      <c r="P434" s="841" t="s">
        <v>1136</v>
      </c>
      <c r="Q434" s="843"/>
      <c r="R434" s="845">
        <v>20708101</v>
      </c>
      <c r="S434" s="1127" t="s">
        <v>1328</v>
      </c>
      <c r="T434" s="843" t="s">
        <v>1554</v>
      </c>
      <c r="U434" s="842">
        <v>4</v>
      </c>
      <c r="V434" s="842" t="s">
        <v>8</v>
      </c>
      <c r="W434" s="846">
        <v>305</v>
      </c>
      <c r="X434" s="847">
        <f t="shared" si="76"/>
        <v>1220</v>
      </c>
      <c r="Y434" s="848">
        <f t="shared" si="85"/>
        <v>0.45</v>
      </c>
      <c r="Z434" s="849">
        <v>167.75</v>
      </c>
      <c r="AA434" s="849"/>
      <c r="AB434" s="849">
        <f t="shared" si="77"/>
        <v>671</v>
      </c>
      <c r="AC434" s="850">
        <f t="shared" si="78"/>
        <v>671</v>
      </c>
      <c r="AD434" s="851"/>
      <c r="AE434" s="852">
        <v>25250</v>
      </c>
      <c r="AF434" s="853">
        <v>0</v>
      </c>
      <c r="AG434" s="854">
        <f t="shared" si="79"/>
        <v>0</v>
      </c>
      <c r="AH434" s="853"/>
      <c r="AI434" s="855">
        <f t="shared" si="80"/>
        <v>0</v>
      </c>
      <c r="AJ434" s="845" t="s">
        <v>1337</v>
      </c>
      <c r="AK434" s="857" t="s">
        <v>1338</v>
      </c>
      <c r="AL434" s="840" t="s">
        <v>1339</v>
      </c>
      <c r="AM434" s="840" t="s">
        <v>1340</v>
      </c>
      <c r="AN434" s="858" t="s">
        <v>1341</v>
      </c>
      <c r="AO434" s="844"/>
      <c r="AP434" s="859" t="s">
        <v>1342</v>
      </c>
      <c r="AQ434" s="859" t="s">
        <v>1343</v>
      </c>
      <c r="AR434" s="859" t="s">
        <v>1344</v>
      </c>
      <c r="AS434" s="840" t="s">
        <v>1310</v>
      </c>
      <c r="AT434" s="840" t="s">
        <v>1235</v>
      </c>
      <c r="AU434" s="860" t="s">
        <v>1345</v>
      </c>
      <c r="AV434" s="839" t="s">
        <v>1346</v>
      </c>
      <c r="AW434" s="861">
        <v>45357</v>
      </c>
      <c r="AX434" s="862"/>
      <c r="AY434" s="843" t="s">
        <v>1555</v>
      </c>
      <c r="AZ434" s="842">
        <v>94051199</v>
      </c>
      <c r="BA434" s="842" t="s">
        <v>120</v>
      </c>
      <c r="BB434" s="863" t="s">
        <v>121</v>
      </c>
      <c r="BC434" s="864">
        <v>45447</v>
      </c>
      <c r="BD434" s="860" t="s">
        <v>1348</v>
      </c>
      <c r="BE434" s="865" cm="1">
        <f t="array" ref="BE434">IF(BD434="","",AC434/SUMPRODUCT(--(BD434=$BD$4:$BD$12824),$AC$4:$AC$12824))</f>
        <v>4.7111645401949016E-2</v>
      </c>
      <c r="BF434" s="458"/>
      <c r="BG434" s="458"/>
      <c r="BH434" s="458"/>
      <c r="BI434" s="458"/>
      <c r="BJ434" s="458"/>
      <c r="BK434" s="458"/>
      <c r="BL434" s="458"/>
      <c r="BM434" s="458"/>
      <c r="BN434" s="458"/>
      <c r="BO434" s="866">
        <f>VLOOKUP(BD434,$BD$4:$BN$12824,3,0)*BE434</f>
        <v>0</v>
      </c>
      <c r="BP434" s="866"/>
      <c r="BQ434" s="866"/>
      <c r="BR434" s="866">
        <f>VLOOKUP(BD434,$BD$4:$BN$12824,6,0)*BE434</f>
        <v>660755.10159089172</v>
      </c>
      <c r="BS434" s="866">
        <f>VLOOKUP(BD434,$BD$4:$BN$12824,7,0)*BE434</f>
        <v>16726.801253380392</v>
      </c>
      <c r="BT434" s="866"/>
      <c r="BU434" s="866">
        <f>VLOOKUP(BD434,$BD$4:$BN$12824,9,0)*BE434</f>
        <v>11777.911350487255</v>
      </c>
      <c r="BV434" s="867"/>
      <c r="BW434" s="867">
        <f>VLOOKUP(BD434,$BD$4:$BN$12824,11,0)*BE434</f>
        <v>75378.632643118428</v>
      </c>
      <c r="BX434" s="1146">
        <f t="shared" si="75"/>
        <v>764638.44683787774</v>
      </c>
      <c r="BY434" s="867">
        <f t="shared" si="83"/>
        <v>4426847.111709469</v>
      </c>
      <c r="BZ434" s="867">
        <f t="shared" si="81"/>
        <v>17707388.446837876</v>
      </c>
      <c r="CA434" s="867">
        <f>_xlfn.MAXIFS($BY$4:$BY$12824,$S$4:$S$12824,$S434)</f>
        <v>5937947.9335660338</v>
      </c>
      <c r="CB434" s="1032"/>
      <c r="CC434" s="999" t="s">
        <v>1353</v>
      </c>
      <c r="CF434" s="946">
        <f t="shared" si="82"/>
        <v>16942750</v>
      </c>
    </row>
    <row r="435" spans="1:84">
      <c r="A435" s="1032"/>
      <c r="B435" s="839" t="s">
        <v>98</v>
      </c>
      <c r="C435" s="839" t="s">
        <v>254</v>
      </c>
      <c r="D435" s="839" t="s">
        <v>1556</v>
      </c>
      <c r="E435" s="839" t="s">
        <v>1557</v>
      </c>
      <c r="F435" s="841">
        <v>45366</v>
      </c>
      <c r="G435" s="840" t="s">
        <v>254</v>
      </c>
      <c r="H435" s="842" t="s">
        <v>134</v>
      </c>
      <c r="I435" s="842"/>
      <c r="J435" s="841"/>
      <c r="K435" s="841"/>
      <c r="L435" s="843" t="s">
        <v>106</v>
      </c>
      <c r="M435" s="844"/>
      <c r="N435" s="841">
        <v>45631</v>
      </c>
      <c r="O435" s="841" t="s">
        <v>108</v>
      </c>
      <c r="P435" s="841" t="s">
        <v>1136</v>
      </c>
      <c r="Q435" s="843"/>
      <c r="R435" s="845" t="s">
        <v>1558</v>
      </c>
      <c r="S435" s="1127" t="s">
        <v>1559</v>
      </c>
      <c r="T435" s="843" t="s">
        <v>1560</v>
      </c>
      <c r="U435" s="842">
        <v>1</v>
      </c>
      <c r="V435" s="842" t="s">
        <v>3</v>
      </c>
      <c r="W435" s="846"/>
      <c r="X435" s="847">
        <f t="shared" si="76"/>
        <v>0</v>
      </c>
      <c r="Y435" s="842"/>
      <c r="Z435" s="849">
        <v>193.85</v>
      </c>
      <c r="AA435" s="849"/>
      <c r="AB435" s="849">
        <f t="shared" si="77"/>
        <v>193.85</v>
      </c>
      <c r="AC435" s="850">
        <f t="shared" si="78"/>
        <v>193.85</v>
      </c>
      <c r="AD435" s="851"/>
      <c r="AE435" s="852">
        <v>27042.41</v>
      </c>
      <c r="AF435" s="853">
        <v>0</v>
      </c>
      <c r="AG435" s="854">
        <f t="shared" si="79"/>
        <v>0</v>
      </c>
      <c r="AH435" s="853"/>
      <c r="AI435" s="855">
        <f t="shared" si="80"/>
        <v>0</v>
      </c>
      <c r="AJ435" s="856" t="s">
        <v>1561</v>
      </c>
      <c r="AK435" s="857" t="s">
        <v>1562</v>
      </c>
      <c r="AL435" s="840" t="s">
        <v>1563</v>
      </c>
      <c r="AM435" s="840"/>
      <c r="AN435" s="858"/>
      <c r="AO435" s="844" t="s">
        <v>1184</v>
      </c>
      <c r="AP435" s="859" t="s">
        <v>1564</v>
      </c>
      <c r="AQ435" s="859"/>
      <c r="AR435" s="859">
        <v>45297</v>
      </c>
      <c r="AS435" s="840"/>
      <c r="AT435" s="840" t="s">
        <v>1235</v>
      </c>
      <c r="AU435" s="860" t="s">
        <v>1565</v>
      </c>
      <c r="AV435" s="839" t="s">
        <v>1286</v>
      </c>
      <c r="AW435" s="861">
        <v>45449</v>
      </c>
      <c r="AX435" s="862"/>
      <c r="AY435" s="843" t="s">
        <v>1566</v>
      </c>
      <c r="AZ435" s="842">
        <v>94059990</v>
      </c>
      <c r="BA435" s="842" t="s">
        <v>120</v>
      </c>
      <c r="BB435" s="863" t="s">
        <v>121</v>
      </c>
      <c r="BC435" s="864">
        <v>45602</v>
      </c>
      <c r="BD435" s="860" t="s">
        <v>1567</v>
      </c>
      <c r="BE435" s="865" cm="1">
        <f t="array" ref="BE435">IF(BD435="","",AC435/SUMPRODUCT(--(BD435=$BD$4:$BD$12824),$AC$4:$AC$12824))</f>
        <v>1</v>
      </c>
      <c r="BF435" s="458">
        <v>8796557.0399999991</v>
      </c>
      <c r="BG435" s="458"/>
      <c r="BH435" s="458"/>
      <c r="BI435" s="458"/>
      <c r="BJ435" s="458">
        <v>250000</v>
      </c>
      <c r="BK435" s="458"/>
      <c r="BL435" s="458"/>
      <c r="BM435" s="458"/>
      <c r="BN435" s="458">
        <v>3648000</v>
      </c>
      <c r="BO435" s="866">
        <f>VLOOKUP(BD435,$BD$4:$BN$12824,3,0)*BE435</f>
        <v>8796557.0399999991</v>
      </c>
      <c r="BP435" s="866"/>
      <c r="BQ435" s="866"/>
      <c r="BR435" s="866">
        <f>VLOOKUP(BD435,$BD$4:$BN$12824,6,0)*BE435</f>
        <v>0</v>
      </c>
      <c r="BS435" s="866">
        <f>VLOOKUP(BD435,$BD$4:$BN$12824,7,0)*BE435</f>
        <v>250000</v>
      </c>
      <c r="BT435" s="866"/>
      <c r="BU435" s="866">
        <f>VLOOKUP(BD435,$BD$4:$BN$12824,9,0)*BE435</f>
        <v>0</v>
      </c>
      <c r="BV435" s="867"/>
      <c r="BW435" s="867">
        <f>VLOOKUP(BD435,$BD$4:$BN$12824,11,0)*BE435</f>
        <v>3648000</v>
      </c>
      <c r="BX435" s="1146">
        <f t="shared" ref="BX435" si="86">SUM(BO435:BW435)</f>
        <v>12694557.039999999</v>
      </c>
      <c r="BY435" s="867">
        <f t="shared" si="83"/>
        <v>17936728.218499999</v>
      </c>
      <c r="BZ435" s="867">
        <f t="shared" si="81"/>
        <v>17936728.218499999</v>
      </c>
      <c r="CA435" s="867">
        <f>_xlfn.MAXIFS($BY$4:$BY$12824,$S$4:$S$12824,$S435)</f>
        <v>17936728.218499999</v>
      </c>
      <c r="CB435" s="1032"/>
      <c r="CF435" s="946">
        <f t="shared" si="82"/>
        <v>5242171.1784999995</v>
      </c>
    </row>
    <row r="436" spans="1:84">
      <c r="A436" s="1032"/>
      <c r="B436" s="839" t="s">
        <v>98</v>
      </c>
      <c r="C436" s="839" t="s">
        <v>1568</v>
      </c>
      <c r="D436" s="839" t="s">
        <v>1569</v>
      </c>
      <c r="E436" s="839" t="s">
        <v>1569</v>
      </c>
      <c r="F436" s="841">
        <v>45540</v>
      </c>
      <c r="G436" s="840"/>
      <c r="H436" s="842" t="s">
        <v>102</v>
      </c>
      <c r="I436" s="842"/>
      <c r="J436" s="841"/>
      <c r="K436" s="841"/>
      <c r="L436" s="843" t="s">
        <v>1570</v>
      </c>
      <c r="M436" s="844"/>
      <c r="N436" s="841" t="s">
        <v>1571</v>
      </c>
      <c r="O436" s="841" t="s">
        <v>135</v>
      </c>
      <c r="P436" s="841" t="s">
        <v>220</v>
      </c>
      <c r="Q436" s="843"/>
      <c r="R436" s="845" t="s">
        <v>1572</v>
      </c>
      <c r="S436" s="1127" t="s">
        <v>1572</v>
      </c>
      <c r="T436" s="843" t="s">
        <v>1573</v>
      </c>
      <c r="U436" s="842">
        <v>10000</v>
      </c>
      <c r="V436" s="842" t="s">
        <v>8</v>
      </c>
      <c r="W436" s="846">
        <v>1.1160000000000001</v>
      </c>
      <c r="X436" s="847">
        <f t="shared" si="76"/>
        <v>11160.000000000002</v>
      </c>
      <c r="Y436" s="848">
        <f>(W436-Z436)/W436</f>
        <v>0</v>
      </c>
      <c r="Z436" s="849">
        <v>1.1160000000000001</v>
      </c>
      <c r="AA436" s="849"/>
      <c r="AB436" s="849">
        <f t="shared" si="77"/>
        <v>11160.000000000002</v>
      </c>
      <c r="AC436" s="850">
        <f t="shared" si="78"/>
        <v>11160.000000000002</v>
      </c>
      <c r="AD436" s="851"/>
      <c r="AE436" s="852">
        <v>25250</v>
      </c>
      <c r="AF436" s="853">
        <v>0</v>
      </c>
      <c r="AG436" s="854">
        <f t="shared" si="79"/>
        <v>0</v>
      </c>
      <c r="AH436" s="853"/>
      <c r="AI436" s="855">
        <f t="shared" si="80"/>
        <v>0</v>
      </c>
      <c r="AJ436" s="845" t="s">
        <v>1574</v>
      </c>
      <c r="AK436" s="857" t="s">
        <v>1338</v>
      </c>
      <c r="AL436" s="840" t="s">
        <v>1575</v>
      </c>
      <c r="AM436" s="840" t="s">
        <v>1576</v>
      </c>
      <c r="AN436" s="858" t="s">
        <v>1577</v>
      </c>
      <c r="AO436" s="844" t="s">
        <v>1578</v>
      </c>
      <c r="AP436" s="859" t="s">
        <v>1343</v>
      </c>
      <c r="AQ436" s="859" t="s">
        <v>1579</v>
      </c>
      <c r="AR436" s="859" t="s">
        <v>1580</v>
      </c>
      <c r="AS436" s="840" t="s">
        <v>1581</v>
      </c>
      <c r="AT436" s="840" t="s">
        <v>1235</v>
      </c>
      <c r="AU436" s="860" t="s">
        <v>1582</v>
      </c>
      <c r="AV436" s="839" t="s">
        <v>1583</v>
      </c>
      <c r="AW436" s="859">
        <v>45388</v>
      </c>
      <c r="AX436" s="862"/>
      <c r="AY436" s="843" t="s">
        <v>1584</v>
      </c>
      <c r="AZ436" s="842">
        <v>71179010</v>
      </c>
      <c r="BA436" s="842" t="s">
        <v>120</v>
      </c>
      <c r="BB436" s="863" t="s">
        <v>121</v>
      </c>
      <c r="BC436" s="864">
        <v>45388</v>
      </c>
      <c r="BD436" s="860" t="s">
        <v>1585</v>
      </c>
      <c r="BE436" s="865" cm="1">
        <f t="array" ref="BE436">IF(BD436="","",AC436/SUMPRODUCT(--(BD436=$BD$4:$BD$12824),$AC$4:$AC$12824))</f>
        <v>0.96334456659853052</v>
      </c>
      <c r="BF436" s="458">
        <v>152808</v>
      </c>
      <c r="BG436" s="458"/>
      <c r="BH436" s="458"/>
      <c r="BI436" s="458">
        <v>1080000</v>
      </c>
      <c r="BJ436" s="458">
        <v>288956</v>
      </c>
      <c r="BK436" s="458"/>
      <c r="BL436" s="458"/>
      <c r="BM436" s="458"/>
      <c r="BN436" s="458">
        <v>600000</v>
      </c>
      <c r="BO436" s="866">
        <f>VLOOKUP(BD436,$BD$4:$BN$12824,3,0)*BE436</f>
        <v>147206.75653278825</v>
      </c>
      <c r="BP436" s="866"/>
      <c r="BQ436" s="866"/>
      <c r="BR436" s="866">
        <f>VLOOKUP(BD436,$BD$4:$BN$12824,6,0)*BE436</f>
        <v>1040412.1319264129</v>
      </c>
      <c r="BS436" s="866">
        <f>VLOOKUP(BD436,$BD$4:$BN$12824,7,0)*BE436</f>
        <v>278364.19258604496</v>
      </c>
      <c r="BT436" s="866"/>
      <c r="BU436" s="866">
        <f>VLOOKUP(BD436,$BD$4:$BN$12824,9,0)*BE436</f>
        <v>0</v>
      </c>
      <c r="BV436" s="867"/>
      <c r="BW436" s="867">
        <f>VLOOKUP(BD436,$BD$4:$BN$12824,11,0)*BE436</f>
        <v>578006.73995911831</v>
      </c>
      <c r="BX436" s="1146">
        <f t="shared" ref="BX436:BX438" si="87">SUM(BO436:BW436)</f>
        <v>2043989.8210043646</v>
      </c>
      <c r="BY436" s="867">
        <f t="shared" si="83"/>
        <v>28383.398982100443</v>
      </c>
      <c r="BZ436" s="867">
        <f t="shared" si="81"/>
        <v>283833989.82100445</v>
      </c>
      <c r="CA436" s="867">
        <f>_xlfn.MAXIFS($BY$4:$BY$12824,$S$4:$S$12824,$S436)</f>
        <v>28383.398982100443</v>
      </c>
      <c r="CB436" s="1032"/>
      <c r="CF436" s="946">
        <f t="shared" si="82"/>
        <v>281790000.00000006</v>
      </c>
    </row>
    <row r="437" spans="1:84">
      <c r="A437" s="1032"/>
      <c r="B437" s="839" t="s">
        <v>98</v>
      </c>
      <c r="C437" s="839" t="s">
        <v>1568</v>
      </c>
      <c r="D437" s="839" t="s">
        <v>1569</v>
      </c>
      <c r="E437" s="839" t="s">
        <v>1569</v>
      </c>
      <c r="F437" s="841">
        <v>45540</v>
      </c>
      <c r="G437" s="840"/>
      <c r="H437" s="842" t="s">
        <v>102</v>
      </c>
      <c r="I437" s="842"/>
      <c r="J437" s="841"/>
      <c r="K437" s="841"/>
      <c r="L437" s="843" t="s">
        <v>1570</v>
      </c>
      <c r="M437" s="844"/>
      <c r="N437" s="841" t="s">
        <v>1571</v>
      </c>
      <c r="O437" s="841" t="s">
        <v>135</v>
      </c>
      <c r="P437" s="841" t="s">
        <v>220</v>
      </c>
      <c r="Q437" s="843"/>
      <c r="R437" s="845" t="s">
        <v>1572</v>
      </c>
      <c r="S437" s="1127" t="s">
        <v>1572</v>
      </c>
      <c r="T437" s="843" t="s">
        <v>1573</v>
      </c>
      <c r="U437" s="842">
        <v>40</v>
      </c>
      <c r="V437" s="842" t="s">
        <v>8</v>
      </c>
      <c r="W437" s="846">
        <v>1.1160000000000001</v>
      </c>
      <c r="X437" s="847">
        <f t="shared" si="76"/>
        <v>44.64</v>
      </c>
      <c r="Y437" s="848">
        <f>(W437-Z437)/W437</f>
        <v>0</v>
      </c>
      <c r="Z437" s="849">
        <v>1.1160000000000001</v>
      </c>
      <c r="AA437" s="849"/>
      <c r="AB437" s="849">
        <f t="shared" si="77"/>
        <v>44.64</v>
      </c>
      <c r="AC437" s="850">
        <f t="shared" si="78"/>
        <v>44.64</v>
      </c>
      <c r="AD437" s="851"/>
      <c r="AE437" s="852">
        <v>25250</v>
      </c>
      <c r="AF437" s="853">
        <v>0</v>
      </c>
      <c r="AG437" s="854">
        <f t="shared" si="79"/>
        <v>0</v>
      </c>
      <c r="AH437" s="853"/>
      <c r="AI437" s="855">
        <f t="shared" si="80"/>
        <v>0</v>
      </c>
      <c r="AJ437" s="845" t="s">
        <v>1574</v>
      </c>
      <c r="AK437" s="857" t="s">
        <v>1338</v>
      </c>
      <c r="AL437" s="840" t="s">
        <v>1575</v>
      </c>
      <c r="AM437" s="840" t="s">
        <v>1576</v>
      </c>
      <c r="AN437" s="858">
        <v>0</v>
      </c>
      <c r="AO437" s="844" t="s">
        <v>1578</v>
      </c>
      <c r="AP437" s="859" t="s">
        <v>1343</v>
      </c>
      <c r="AQ437" s="859" t="s">
        <v>1579</v>
      </c>
      <c r="AR437" s="859" t="s">
        <v>1580</v>
      </c>
      <c r="AS437" s="840" t="s">
        <v>1581</v>
      </c>
      <c r="AT437" s="840" t="s">
        <v>1235</v>
      </c>
      <c r="AU437" s="860" t="s">
        <v>1582</v>
      </c>
      <c r="AV437" s="839" t="s">
        <v>1583</v>
      </c>
      <c r="AW437" s="859">
        <v>45388</v>
      </c>
      <c r="AX437" s="862"/>
      <c r="AY437" s="843" t="s">
        <v>1586</v>
      </c>
      <c r="AZ437" s="842">
        <v>71179010</v>
      </c>
      <c r="BA437" s="842" t="s">
        <v>120</v>
      </c>
      <c r="BB437" s="863" t="s">
        <v>121</v>
      </c>
      <c r="BC437" s="864">
        <v>45388</v>
      </c>
      <c r="BD437" s="860" t="s">
        <v>1585</v>
      </c>
      <c r="BE437" s="865" cm="1">
        <f t="array" ref="BE437">IF(BD437="","",AC437/SUMPRODUCT(--(BD437=$BD$4:$BD$12824),$AC$4:$AC$12824))</f>
        <v>3.8533782663941214E-3</v>
      </c>
      <c r="BF437" s="458"/>
      <c r="BG437" s="458"/>
      <c r="BH437" s="458"/>
      <c r="BI437" s="458"/>
      <c r="BJ437" s="458"/>
      <c r="BK437" s="458"/>
      <c r="BL437" s="458"/>
      <c r="BM437" s="458"/>
      <c r="BN437" s="458"/>
      <c r="BO437" s="866">
        <f>VLOOKUP(BD437,$BD$4:$BN$12824,3,0)*BE437</f>
        <v>588.82702613115293</v>
      </c>
      <c r="BP437" s="866"/>
      <c r="BQ437" s="866"/>
      <c r="BR437" s="866">
        <f>VLOOKUP(BD437,$BD$4:$BN$12824,6,0)*BE437</f>
        <v>4161.6485277056508</v>
      </c>
      <c r="BS437" s="866">
        <f>VLOOKUP(BD437,$BD$4:$BN$12824,7,0)*BE437</f>
        <v>1113.4567703441796</v>
      </c>
      <c r="BT437" s="866"/>
      <c r="BU437" s="866">
        <f>VLOOKUP(BD437,$BD$4:$BN$12824,9,0)*BE437</f>
        <v>0</v>
      </c>
      <c r="BV437" s="867"/>
      <c r="BW437" s="867">
        <f>VLOOKUP(BD437,$BD$4:$BN$12824,11,0)*BE437</f>
        <v>2312.026959836473</v>
      </c>
      <c r="BX437" s="1146">
        <f t="shared" si="87"/>
        <v>8175.9592840174564</v>
      </c>
      <c r="BY437" s="867">
        <f t="shared" si="83"/>
        <v>28383.39898210044</v>
      </c>
      <c r="BZ437" s="867">
        <f t="shared" si="81"/>
        <v>1135335.9592840176</v>
      </c>
      <c r="CA437" s="867">
        <f>_xlfn.MAXIFS($BY$4:$BY$12824,$S$4:$S$12824,$S437)</f>
        <v>28383.398982100443</v>
      </c>
      <c r="CB437" s="1032"/>
      <c r="CF437" s="946">
        <f t="shared" si="82"/>
        <v>1127160</v>
      </c>
    </row>
    <row r="438" spans="1:84">
      <c r="A438" s="1032"/>
      <c r="B438" s="839" t="s">
        <v>98</v>
      </c>
      <c r="C438" s="839" t="s">
        <v>1568</v>
      </c>
      <c r="D438" s="839" t="s">
        <v>1569</v>
      </c>
      <c r="E438" s="839" t="s">
        <v>1569</v>
      </c>
      <c r="F438" s="841">
        <v>45540</v>
      </c>
      <c r="G438" s="840"/>
      <c r="H438" s="842" t="s">
        <v>102</v>
      </c>
      <c r="I438" s="842"/>
      <c r="J438" s="841"/>
      <c r="K438" s="841"/>
      <c r="L438" s="843" t="s">
        <v>1570</v>
      </c>
      <c r="M438" s="844"/>
      <c r="N438" s="841" t="s">
        <v>1571</v>
      </c>
      <c r="O438" s="841" t="s">
        <v>135</v>
      </c>
      <c r="P438" s="841" t="s">
        <v>220</v>
      </c>
      <c r="Q438" s="843"/>
      <c r="R438" s="845" t="s">
        <v>1587</v>
      </c>
      <c r="S438" s="1127" t="s">
        <v>1587</v>
      </c>
      <c r="T438" s="843" t="s">
        <v>1588</v>
      </c>
      <c r="U438" s="842">
        <v>2</v>
      </c>
      <c r="V438" s="842" t="s">
        <v>8</v>
      </c>
      <c r="W438" s="846">
        <v>190</v>
      </c>
      <c r="X438" s="847">
        <f t="shared" si="76"/>
        <v>380</v>
      </c>
      <c r="Y438" s="848">
        <f>(W438-Z438)/W438</f>
        <v>0</v>
      </c>
      <c r="Z438" s="849">
        <v>190</v>
      </c>
      <c r="AA438" s="849"/>
      <c r="AB438" s="849">
        <f t="shared" si="77"/>
        <v>380</v>
      </c>
      <c r="AC438" s="850">
        <f t="shared" si="78"/>
        <v>380</v>
      </c>
      <c r="AD438" s="851"/>
      <c r="AE438" s="852">
        <v>25250</v>
      </c>
      <c r="AF438" s="853">
        <v>0</v>
      </c>
      <c r="AG438" s="854">
        <f t="shared" si="79"/>
        <v>0</v>
      </c>
      <c r="AH438" s="853"/>
      <c r="AI438" s="855">
        <f t="shared" si="80"/>
        <v>0</v>
      </c>
      <c r="AJ438" s="845" t="s">
        <v>1574</v>
      </c>
      <c r="AK438" s="857" t="s">
        <v>1338</v>
      </c>
      <c r="AL438" s="840" t="s">
        <v>1575</v>
      </c>
      <c r="AM438" s="840" t="s">
        <v>1576</v>
      </c>
      <c r="AN438" s="858">
        <v>0</v>
      </c>
      <c r="AO438" s="844" t="s">
        <v>1578</v>
      </c>
      <c r="AP438" s="859" t="s">
        <v>1343</v>
      </c>
      <c r="AQ438" s="859" t="s">
        <v>1579</v>
      </c>
      <c r="AR438" s="859" t="s">
        <v>1580</v>
      </c>
      <c r="AS438" s="840" t="s">
        <v>1581</v>
      </c>
      <c r="AT438" s="840" t="s">
        <v>1235</v>
      </c>
      <c r="AU438" s="860" t="s">
        <v>1582</v>
      </c>
      <c r="AV438" s="839" t="s">
        <v>1583</v>
      </c>
      <c r="AW438" s="859">
        <v>45388</v>
      </c>
      <c r="AX438" s="862"/>
      <c r="AY438" s="843" t="s">
        <v>1589</v>
      </c>
      <c r="AZ438" s="842">
        <v>85371019</v>
      </c>
      <c r="BA438" s="842" t="s">
        <v>120</v>
      </c>
      <c r="BB438" s="863" t="s">
        <v>121</v>
      </c>
      <c r="BC438" s="864">
        <v>45388</v>
      </c>
      <c r="BD438" s="860" t="s">
        <v>1585</v>
      </c>
      <c r="BE438" s="865" cm="1">
        <f t="array" ref="BE438">IF(BD438="","",AC438/SUMPRODUCT(--(BD438=$BD$4:$BD$12824),$AC$4:$AC$12824))</f>
        <v>3.2802055135075406E-2</v>
      </c>
      <c r="BF438" s="458"/>
      <c r="BG438" s="458"/>
      <c r="BH438" s="458"/>
      <c r="BI438" s="458"/>
      <c r="BJ438" s="458"/>
      <c r="BK438" s="458"/>
      <c r="BL438" s="458"/>
      <c r="BM438" s="458"/>
      <c r="BN438" s="458"/>
      <c r="BO438" s="866">
        <f>VLOOKUP(BD438,$BD$4:$BN$12824,3,0)*BE438</f>
        <v>5012.4164410806025</v>
      </c>
      <c r="BP438" s="866"/>
      <c r="BQ438" s="866"/>
      <c r="BR438" s="866">
        <f>VLOOKUP(BD438,$BD$4:$BN$12824,6,0)*BE438</f>
        <v>35426.219545881439</v>
      </c>
      <c r="BS438" s="866">
        <f>VLOOKUP(BD438,$BD$4:$BN$12824,7,0)*BE438</f>
        <v>9478.3506436108491</v>
      </c>
      <c r="BT438" s="866"/>
      <c r="BU438" s="866">
        <f>VLOOKUP(BD438,$BD$4:$BN$12824,9,0)*BE438</f>
        <v>0</v>
      </c>
      <c r="BV438" s="867"/>
      <c r="BW438" s="867">
        <f>VLOOKUP(BD438,$BD$4:$BN$12824,11,0)*BE438</f>
        <v>19681.233081045244</v>
      </c>
      <c r="BX438" s="1146">
        <f t="shared" si="87"/>
        <v>69598.219711618134</v>
      </c>
      <c r="BY438" s="867">
        <f t="shared" si="83"/>
        <v>4832299.1098558092</v>
      </c>
      <c r="BZ438" s="867">
        <f t="shared" si="81"/>
        <v>9664598.2197116185</v>
      </c>
      <c r="CA438" s="867">
        <f>_xlfn.MAXIFS($BY$4:$BY$12824,$S$4:$S$12824,$S438)</f>
        <v>4832299.1098558092</v>
      </c>
      <c r="CB438" s="1032"/>
      <c r="CF438" s="946">
        <f t="shared" si="82"/>
        <v>9595000</v>
      </c>
    </row>
    <row r="439" spans="1:84">
      <c r="A439" s="1032"/>
      <c r="B439" s="839" t="s">
        <v>98</v>
      </c>
      <c r="C439" s="839" t="s">
        <v>381</v>
      </c>
      <c r="D439" s="839" t="s">
        <v>1590</v>
      </c>
      <c r="E439" s="839" t="s">
        <v>1591</v>
      </c>
      <c r="F439" s="841">
        <v>45508</v>
      </c>
      <c r="G439" s="840" t="s">
        <v>381</v>
      </c>
      <c r="H439" s="842" t="s">
        <v>102</v>
      </c>
      <c r="I439" s="842" t="s">
        <v>1592</v>
      </c>
      <c r="J439" s="841" t="s">
        <v>1593</v>
      </c>
      <c r="K439" s="841" t="s">
        <v>1594</v>
      </c>
      <c r="L439" s="843" t="s">
        <v>106</v>
      </c>
      <c r="M439" s="844"/>
      <c r="N439" s="841">
        <v>45479</v>
      </c>
      <c r="O439" s="841" t="s">
        <v>150</v>
      </c>
      <c r="P439" s="841" t="s">
        <v>461</v>
      </c>
      <c r="Q439" s="843"/>
      <c r="R439" s="845" t="s">
        <v>1595</v>
      </c>
      <c r="S439" s="1127" t="s">
        <v>1595</v>
      </c>
      <c r="T439" s="843" t="s">
        <v>1596</v>
      </c>
      <c r="U439" s="842">
        <v>1</v>
      </c>
      <c r="V439" s="842" t="s">
        <v>3</v>
      </c>
      <c r="W439" s="846">
        <v>3024</v>
      </c>
      <c r="X439" s="847">
        <f t="shared" si="76"/>
        <v>3024</v>
      </c>
      <c r="Y439" s="848">
        <f>(W439-Z439)/W439</f>
        <v>0.52</v>
      </c>
      <c r="Z439" s="849">
        <v>1451.52</v>
      </c>
      <c r="AA439" s="849"/>
      <c r="AB439" s="849">
        <f t="shared" si="77"/>
        <v>1451.52</v>
      </c>
      <c r="AC439" s="850">
        <f t="shared" si="78"/>
        <v>1451.52</v>
      </c>
      <c r="AD439" s="851"/>
      <c r="AE439" s="852">
        <v>26900</v>
      </c>
      <c r="AF439" s="853">
        <v>0</v>
      </c>
      <c r="AG439" s="854">
        <f t="shared" si="79"/>
        <v>0</v>
      </c>
      <c r="AH439" s="853"/>
      <c r="AI439" s="855">
        <f t="shared" si="80"/>
        <v>0</v>
      </c>
      <c r="AJ439" s="845" t="s">
        <v>1597</v>
      </c>
      <c r="AK439" s="857">
        <v>45632</v>
      </c>
      <c r="AL439" s="840" t="s">
        <v>1598</v>
      </c>
      <c r="AM439" s="840"/>
      <c r="AN439" s="858" t="s">
        <v>1599</v>
      </c>
      <c r="AO439" s="844" t="s">
        <v>1600</v>
      </c>
      <c r="AP439" s="859">
        <v>45476</v>
      </c>
      <c r="AQ439" s="859">
        <v>45476</v>
      </c>
      <c r="AR439" s="859">
        <v>45479</v>
      </c>
      <c r="AS439" s="840" t="s">
        <v>1601</v>
      </c>
      <c r="AT439" s="840" t="s">
        <v>1187</v>
      </c>
      <c r="AU439" s="860" t="s">
        <v>1602</v>
      </c>
      <c r="AV439" s="839"/>
      <c r="AW439" s="861"/>
      <c r="AX439" s="862"/>
      <c r="AY439" s="843" t="s">
        <v>1603</v>
      </c>
      <c r="AZ439" s="842">
        <v>94038990</v>
      </c>
      <c r="BA439" s="842" t="s">
        <v>120</v>
      </c>
      <c r="BB439" s="863" t="s">
        <v>121</v>
      </c>
      <c r="BC439" s="864">
        <v>45603</v>
      </c>
      <c r="BD439" s="860" t="s">
        <v>1604</v>
      </c>
      <c r="BE439" s="865" cm="1">
        <f t="array" ref="BE439">IF(BD439="","",AC439/SUMPRODUCT(--(BD439=$BD$4:$BD$12824),$AC$4:$AC$12824))</f>
        <v>0.98213705748619673</v>
      </c>
      <c r="BF439" s="458">
        <f>5600760+5346180</f>
        <v>10946940</v>
      </c>
      <c r="BG439" s="458"/>
      <c r="BH439" s="458"/>
      <c r="BI439" s="458">
        <v>549893</v>
      </c>
      <c r="BJ439" s="458">
        <v>250000</v>
      </c>
      <c r="BK439" s="458"/>
      <c r="BL439" s="458"/>
      <c r="BM439" s="458"/>
      <c r="BN439" s="458">
        <v>600000</v>
      </c>
      <c r="BO439" s="866">
        <f>VLOOKUP(BD439,$BD$4:$BN$12824,3,0)*BE439</f>
        <v>10751395.440077946</v>
      </c>
      <c r="BP439" s="866"/>
      <c r="BQ439" s="866"/>
      <c r="BR439" s="866">
        <f>VLOOKUP(BD439,$BD$4:$BN$12824,6,0)*BE439</f>
        <v>540070.29295225721</v>
      </c>
      <c r="BS439" s="866">
        <f>VLOOKUP(BD439,$BD$4:$BN$12824,7,0)*BE439</f>
        <v>245534.26437154919</v>
      </c>
      <c r="BT439" s="866"/>
      <c r="BU439" s="866">
        <f>VLOOKUP(BD439,$BD$4:$BN$12824,9,0)*BE439</f>
        <v>0</v>
      </c>
      <c r="BV439" s="867"/>
      <c r="BW439" s="867">
        <f>VLOOKUP(BD439,$BD$4:$BN$12824,11,0)*BE439</f>
        <v>589282.234491718</v>
      </c>
      <c r="BX439" s="1146">
        <f t="shared" ref="BX439:BX440" si="88">SUM(BO439:BW439)</f>
        <v>12126282.231893472</v>
      </c>
      <c r="BY439" s="867">
        <f t="shared" si="83"/>
        <v>51172170.231893472</v>
      </c>
      <c r="BZ439" s="867">
        <f t="shared" si="81"/>
        <v>51172170.231893472</v>
      </c>
      <c r="CA439" s="867">
        <f>_xlfn.MAXIFS($BY$4:$BY$12824,$S$4:$S$12824,$S439)</f>
        <v>51172170.231893472</v>
      </c>
      <c r="CB439" s="1032"/>
      <c r="CF439" s="946">
        <f t="shared" si="82"/>
        <v>39045888</v>
      </c>
    </row>
    <row r="440" spans="1:84">
      <c r="A440" s="1032"/>
      <c r="B440" s="839" t="s">
        <v>98</v>
      </c>
      <c r="C440" s="839" t="s">
        <v>381</v>
      </c>
      <c r="D440" s="839" t="s">
        <v>1590</v>
      </c>
      <c r="E440" s="839" t="s">
        <v>1591</v>
      </c>
      <c r="F440" s="841">
        <v>45508</v>
      </c>
      <c r="G440" s="840" t="s">
        <v>381</v>
      </c>
      <c r="H440" s="842" t="s">
        <v>102</v>
      </c>
      <c r="I440" s="842" t="s">
        <v>1592</v>
      </c>
      <c r="J440" s="841" t="s">
        <v>1593</v>
      </c>
      <c r="K440" s="841" t="s">
        <v>1594</v>
      </c>
      <c r="L440" s="843" t="s">
        <v>106</v>
      </c>
      <c r="M440" s="844"/>
      <c r="N440" s="841">
        <v>45479</v>
      </c>
      <c r="O440" s="841" t="s">
        <v>1100</v>
      </c>
      <c r="P440" s="841" t="s">
        <v>124</v>
      </c>
      <c r="Q440" s="843"/>
      <c r="R440" s="845" t="s">
        <v>1605</v>
      </c>
      <c r="S440" s="1127" t="s">
        <v>1605</v>
      </c>
      <c r="T440" s="843" t="s">
        <v>1606</v>
      </c>
      <c r="U440" s="842">
        <v>4</v>
      </c>
      <c r="V440" s="842" t="s">
        <v>3</v>
      </c>
      <c r="W440" s="846">
        <v>15</v>
      </c>
      <c r="X440" s="847">
        <f t="shared" si="76"/>
        <v>60</v>
      </c>
      <c r="Y440" s="848">
        <f>(W440-Z440)/W440</f>
        <v>0.56000000000000005</v>
      </c>
      <c r="Z440" s="849">
        <v>6.6</v>
      </c>
      <c r="AA440" s="849"/>
      <c r="AB440" s="849">
        <f t="shared" si="77"/>
        <v>26.4</v>
      </c>
      <c r="AC440" s="850">
        <f t="shared" si="78"/>
        <v>26.4</v>
      </c>
      <c r="AD440" s="851"/>
      <c r="AE440" s="852">
        <v>26900</v>
      </c>
      <c r="AF440" s="853">
        <v>0</v>
      </c>
      <c r="AG440" s="854">
        <f t="shared" si="79"/>
        <v>0</v>
      </c>
      <c r="AH440" s="853"/>
      <c r="AI440" s="855">
        <f t="shared" si="80"/>
        <v>0</v>
      </c>
      <c r="AJ440" s="856" t="s">
        <v>1607</v>
      </c>
      <c r="AK440" s="857" t="s">
        <v>1608</v>
      </c>
      <c r="AL440" s="871" t="s">
        <v>1609</v>
      </c>
      <c r="AM440" s="840"/>
      <c r="AN440" s="858" t="s">
        <v>1610</v>
      </c>
      <c r="AO440" s="844" t="s">
        <v>1611</v>
      </c>
      <c r="AP440" s="859"/>
      <c r="AQ440" s="859"/>
      <c r="AR440" s="859"/>
      <c r="AS440" s="840"/>
      <c r="AT440" s="840"/>
      <c r="AU440" s="860" t="s">
        <v>1612</v>
      </c>
      <c r="AV440" s="839" t="s">
        <v>1613</v>
      </c>
      <c r="AW440" s="861"/>
      <c r="AX440" s="862"/>
      <c r="AY440" s="843" t="s">
        <v>1614</v>
      </c>
      <c r="AZ440" s="842"/>
      <c r="BA440" s="842" t="s">
        <v>120</v>
      </c>
      <c r="BB440" s="863" t="s">
        <v>121</v>
      </c>
      <c r="BC440" s="864">
        <v>45603</v>
      </c>
      <c r="BD440" s="860" t="s">
        <v>1604</v>
      </c>
      <c r="BE440" s="865" cm="1">
        <f t="array" ref="BE440">IF(BD440="","",AC440/SUMPRODUCT(--(BD440=$BD$4:$BD$12824),$AC$4:$AC$12824))</f>
        <v>1.786294251380318E-2</v>
      </c>
      <c r="BF440" s="458"/>
      <c r="BG440" s="458"/>
      <c r="BH440" s="458"/>
      <c r="BI440" s="458"/>
      <c r="BJ440" s="458"/>
      <c r="BK440" s="458"/>
      <c r="BL440" s="458"/>
      <c r="BM440" s="458"/>
      <c r="BN440" s="458"/>
      <c r="BO440" s="866">
        <f>VLOOKUP(BD440,$BD$4:$BN$12824,3,0)*BE440</f>
        <v>195544.55992205258</v>
      </c>
      <c r="BP440" s="866"/>
      <c r="BQ440" s="866"/>
      <c r="BR440" s="866">
        <f>VLOOKUP(BD440,$BD$4:$BN$12824,6,0)*BE440</f>
        <v>9822.7070477427715</v>
      </c>
      <c r="BS440" s="866">
        <f>VLOOKUP(BD440,$BD$4:$BN$12824,7,0)*BE440</f>
        <v>4465.735628450795</v>
      </c>
      <c r="BT440" s="866"/>
      <c r="BU440" s="866">
        <f>VLOOKUP(BD440,$BD$4:$BN$12824,9,0)*BE440</f>
        <v>0</v>
      </c>
      <c r="BV440" s="867"/>
      <c r="BW440" s="867">
        <f>VLOOKUP(BD440,$BD$4:$BN$12824,11,0)*BE440</f>
        <v>10717.765508281907</v>
      </c>
      <c r="BX440" s="1146">
        <f t="shared" si="88"/>
        <v>220550.76810652803</v>
      </c>
      <c r="BY440" s="867">
        <f t="shared" si="83"/>
        <v>232677.69202663202</v>
      </c>
      <c r="BZ440" s="867">
        <f t="shared" si="81"/>
        <v>930710.76810652809</v>
      </c>
      <c r="CA440" s="867">
        <f>_xlfn.MAXIFS($BY$4:$BY$12824,$S$4:$S$12824,$S440)</f>
        <v>232677.69202663202</v>
      </c>
      <c r="CB440" s="1032"/>
      <c r="CF440" s="946">
        <f t="shared" si="82"/>
        <v>710160</v>
      </c>
    </row>
    <row r="441" spans="1:84">
      <c r="A441" s="1032"/>
      <c r="B441" s="839" t="s">
        <v>98</v>
      </c>
      <c r="C441" s="839" t="s">
        <v>1615</v>
      </c>
      <c r="D441" s="839" t="s">
        <v>1616</v>
      </c>
      <c r="E441" s="839" t="s">
        <v>1617</v>
      </c>
      <c r="F441" s="841">
        <v>45388</v>
      </c>
      <c r="G441" s="840" t="s">
        <v>1618</v>
      </c>
      <c r="H441" s="842" t="s">
        <v>102</v>
      </c>
      <c r="I441" s="842" t="s">
        <v>1619</v>
      </c>
      <c r="J441" s="841" t="s">
        <v>1620</v>
      </c>
      <c r="K441" s="841" t="s">
        <v>1621</v>
      </c>
      <c r="L441" s="843" t="s">
        <v>1622</v>
      </c>
      <c r="M441" s="844"/>
      <c r="N441" s="841">
        <v>45298</v>
      </c>
      <c r="O441" s="841" t="s">
        <v>108</v>
      </c>
      <c r="P441" s="841" t="s">
        <v>1136</v>
      </c>
      <c r="Q441" s="843"/>
      <c r="R441" s="845" t="s">
        <v>1623</v>
      </c>
      <c r="S441" s="1127" t="s">
        <v>1623</v>
      </c>
      <c r="T441" s="843" t="s">
        <v>1624</v>
      </c>
      <c r="U441" s="842">
        <v>1</v>
      </c>
      <c r="V441" s="842" t="s">
        <v>3</v>
      </c>
      <c r="W441" s="846"/>
      <c r="X441" s="847">
        <f t="shared" si="76"/>
        <v>0</v>
      </c>
      <c r="Y441" s="848"/>
      <c r="Z441" s="849">
        <v>1884</v>
      </c>
      <c r="AA441" s="849"/>
      <c r="AB441" s="849">
        <f t="shared" si="77"/>
        <v>1884</v>
      </c>
      <c r="AC441" s="850">
        <f t="shared" si="78"/>
        <v>1884</v>
      </c>
      <c r="AD441" s="851"/>
      <c r="AE441" s="852">
        <v>27014.25</v>
      </c>
      <c r="AF441" s="853">
        <v>0</v>
      </c>
      <c r="AG441" s="854">
        <f t="shared" si="79"/>
        <v>0</v>
      </c>
      <c r="AH441" s="853"/>
      <c r="AI441" s="855">
        <f t="shared" si="80"/>
        <v>0</v>
      </c>
      <c r="AJ441" s="845" t="s">
        <v>1625</v>
      </c>
      <c r="AK441" s="857">
        <v>45298</v>
      </c>
      <c r="AL441" s="871" t="s">
        <v>1626</v>
      </c>
      <c r="AM441" s="840"/>
      <c r="AN441" s="858"/>
      <c r="AO441" s="844" t="s">
        <v>1627</v>
      </c>
      <c r="AP441" s="859">
        <v>45450</v>
      </c>
      <c r="AQ441" s="859"/>
      <c r="AR441" s="859">
        <v>45542</v>
      </c>
      <c r="AS441" s="840"/>
      <c r="AT441" s="840"/>
      <c r="AU441" s="860" t="s">
        <v>1628</v>
      </c>
      <c r="AV441" s="839" t="s">
        <v>1629</v>
      </c>
      <c r="AW441" s="861">
        <v>45483</v>
      </c>
      <c r="AX441" s="862"/>
      <c r="AY441" s="843" t="s">
        <v>1630</v>
      </c>
      <c r="AZ441" s="842" t="s">
        <v>1631</v>
      </c>
      <c r="BA441" s="842" t="s">
        <v>120</v>
      </c>
      <c r="BB441" s="863" t="s">
        <v>121</v>
      </c>
      <c r="BC441" s="864">
        <v>45633</v>
      </c>
      <c r="BD441" s="860" t="s">
        <v>1632</v>
      </c>
      <c r="BE441" s="865" cm="1">
        <f t="array" ref="BE441">IF(BD441="","",AC441/SUMPRODUCT(--(BD441=$BD$4:$BD$12824),$AC$4:$AC$12824))</f>
        <v>1</v>
      </c>
      <c r="BF441" s="458">
        <v>6872580</v>
      </c>
      <c r="BG441" s="458"/>
      <c r="BH441" s="458"/>
      <c r="BI441" s="458"/>
      <c r="BJ441" s="458"/>
      <c r="BK441" s="458">
        <v>274903</v>
      </c>
      <c r="BL441" s="458"/>
      <c r="BM441" s="458"/>
      <c r="BN441" s="458">
        <v>600000</v>
      </c>
      <c r="BO441" s="866">
        <f>VLOOKUP(BD441,$BD$4:$BN$12824,3,0)*BE441</f>
        <v>6872580</v>
      </c>
      <c r="BP441" s="866"/>
      <c r="BQ441" s="866"/>
      <c r="BR441" s="866">
        <f>VLOOKUP(BD441,$BD$4:$BN$12824,6,0)*BE441</f>
        <v>0</v>
      </c>
      <c r="BS441" s="866">
        <f>VLOOKUP(BD441,$BD$4:$BN$12824,7,0)*BE441</f>
        <v>0</v>
      </c>
      <c r="BT441" s="866"/>
      <c r="BU441" s="866">
        <f>VLOOKUP(BD441,$BD$4:$BN$12824,9,0)*BE441</f>
        <v>0</v>
      </c>
      <c r="BV441" s="867"/>
      <c r="BW441" s="867">
        <f>VLOOKUP(BD441,$BD$4:$BN$12824,11,0)*BE441</f>
        <v>600000</v>
      </c>
      <c r="BX441" s="1146">
        <f t="shared" ref="BX441" si="89">SUM(BO441:BW441)</f>
        <v>7472580</v>
      </c>
      <c r="BY441" s="867">
        <f t="shared" si="83"/>
        <v>58367427</v>
      </c>
      <c r="BZ441" s="867">
        <f t="shared" si="81"/>
        <v>58367427</v>
      </c>
      <c r="CA441" s="867">
        <f>_xlfn.MAXIFS($BY$4:$BY$12824,$S$4:$S$12824,$S441)</f>
        <v>58367427</v>
      </c>
      <c r="CB441" s="1032"/>
      <c r="CF441" s="946">
        <f t="shared" si="82"/>
        <v>50894847</v>
      </c>
    </row>
    <row r="442" spans="1:84">
      <c r="A442" s="1032"/>
      <c r="B442" s="839" t="s">
        <v>98</v>
      </c>
      <c r="C442" s="839" t="s">
        <v>381</v>
      </c>
      <c r="D442" s="839" t="s">
        <v>1590</v>
      </c>
      <c r="E442" s="839" t="s">
        <v>1591</v>
      </c>
      <c r="F442" s="841">
        <v>45508</v>
      </c>
      <c r="G442" s="840" t="s">
        <v>381</v>
      </c>
      <c r="H442" s="842" t="s">
        <v>134</v>
      </c>
      <c r="I442" s="842"/>
      <c r="J442" s="841"/>
      <c r="K442" s="841"/>
      <c r="L442" s="843" t="s">
        <v>106</v>
      </c>
      <c r="M442" s="844" t="s">
        <v>107</v>
      </c>
      <c r="N442" s="841">
        <v>45479</v>
      </c>
      <c r="O442" s="841" t="s">
        <v>150</v>
      </c>
      <c r="P442" s="841" t="s">
        <v>461</v>
      </c>
      <c r="Q442" s="843"/>
      <c r="R442" s="845" t="s">
        <v>1595</v>
      </c>
      <c r="S442" s="1127" t="s">
        <v>1595</v>
      </c>
      <c r="T442" s="843" t="s">
        <v>1596</v>
      </c>
      <c r="U442" s="842">
        <v>1</v>
      </c>
      <c r="V442" s="842" t="s">
        <v>3</v>
      </c>
      <c r="W442" s="846">
        <v>3024</v>
      </c>
      <c r="X442" s="847">
        <f t="shared" si="76"/>
        <v>3024</v>
      </c>
      <c r="Y442" s="848">
        <f t="shared" ref="Y442:Y449" si="90">(W442-Z442)/W442</f>
        <v>0.52</v>
      </c>
      <c r="Z442" s="849">
        <v>1451.52</v>
      </c>
      <c r="AA442" s="849"/>
      <c r="AB442" s="849">
        <f t="shared" si="77"/>
        <v>1451.52</v>
      </c>
      <c r="AC442" s="850">
        <f t="shared" si="78"/>
        <v>1451.52</v>
      </c>
      <c r="AD442" s="851"/>
      <c r="AE442" s="852">
        <v>27222.43</v>
      </c>
      <c r="AF442" s="853">
        <v>0</v>
      </c>
      <c r="AG442" s="854">
        <f t="shared" si="79"/>
        <v>0</v>
      </c>
      <c r="AH442" s="853"/>
      <c r="AI442" s="855">
        <f t="shared" si="80"/>
        <v>0</v>
      </c>
      <c r="AJ442" s="845" t="s">
        <v>1633</v>
      </c>
      <c r="AK442" s="857">
        <v>45632</v>
      </c>
      <c r="AL442" s="840" t="s">
        <v>1634</v>
      </c>
      <c r="AM442" s="840" t="s">
        <v>1635</v>
      </c>
      <c r="AN442" s="858" t="s">
        <v>1636</v>
      </c>
      <c r="AO442" s="844"/>
      <c r="AP442" s="859">
        <v>45603</v>
      </c>
      <c r="AQ442" s="859">
        <v>45603</v>
      </c>
      <c r="AR442" s="859">
        <v>45482</v>
      </c>
      <c r="AS442" s="840"/>
      <c r="AT442" s="840" t="s">
        <v>1235</v>
      </c>
      <c r="AU442" s="860" t="s">
        <v>1602</v>
      </c>
      <c r="AV442" s="839" t="s">
        <v>1637</v>
      </c>
      <c r="AW442" s="861">
        <v>45482</v>
      </c>
      <c r="AX442" s="862"/>
      <c r="AY442" s="843"/>
      <c r="AZ442" s="842"/>
      <c r="BA442" s="842" t="s">
        <v>120</v>
      </c>
      <c r="BB442" s="863" t="s">
        <v>121</v>
      </c>
      <c r="BC442" s="864">
        <v>45547</v>
      </c>
      <c r="BD442" s="860" t="s">
        <v>1638</v>
      </c>
      <c r="BE442" s="865" cm="1">
        <f t="array" ref="BE442">IF(BD442="","",AC442/SUMPRODUCT(--(BD442=$BD$4:$BD$12824),$AC$4:$AC$12824))</f>
        <v>2.2567178213419279E-2</v>
      </c>
      <c r="BF442" s="458">
        <f>16198000+12460000</f>
        <v>28658000</v>
      </c>
      <c r="BG442" s="458"/>
      <c r="BH442" s="458"/>
      <c r="BI442" s="458">
        <f>(6105400+(4517370+1450000+1128600)/1.1)</f>
        <v>12556281.818181816</v>
      </c>
      <c r="BJ442" s="458">
        <v>1731313</v>
      </c>
      <c r="BK442" s="458"/>
      <c r="BL442" s="458">
        <v>500000</v>
      </c>
      <c r="BM442" s="458"/>
      <c r="BN442" s="458">
        <v>1296000</v>
      </c>
      <c r="BO442" s="866">
        <f>VLOOKUP(BD442,$BD$4:$BN$12824,3,0)*BE442</f>
        <v>646730.19324016967</v>
      </c>
      <c r="BP442" s="866"/>
      <c r="BQ442" s="866"/>
      <c r="BR442" s="866">
        <f>VLOOKUP(BD442,$BD$4:$BN$12824,6,0)*BE442</f>
        <v>283359.8494888253</v>
      </c>
      <c r="BS442" s="866">
        <f>VLOOKUP(BD442,$BD$4:$BN$12824,7,0)*BE442</f>
        <v>39070.849014209569</v>
      </c>
      <c r="BT442" s="866"/>
      <c r="BU442" s="866">
        <f>VLOOKUP(BD442,$BD$4:$BN$12824,9,0)*BE442</f>
        <v>11283.58910670964</v>
      </c>
      <c r="BV442" s="867"/>
      <c r="BW442" s="867">
        <f>VLOOKUP(BD442,$BD$4:$BN$12824,11,0)*BE442</f>
        <v>29247.062964591387</v>
      </c>
      <c r="BX442" s="1146">
        <f t="shared" ref="BX442:BX490" si="91">SUM(BO442:BW442)</f>
        <v>1009691.5438145057</v>
      </c>
      <c r="BY442" s="867">
        <f t="shared" si="83"/>
        <v>40523593.1374145</v>
      </c>
      <c r="BZ442" s="867">
        <f t="shared" si="81"/>
        <v>40523593.1374145</v>
      </c>
      <c r="CA442" s="867">
        <f>_xlfn.MAXIFS($BY$4:$BY$12824,$S$4:$S$12824,$S442)</f>
        <v>51172170.231893472</v>
      </c>
      <c r="CB442" s="1032"/>
      <c r="CF442" s="946">
        <f t="shared" si="82"/>
        <v>39513901.593599997</v>
      </c>
    </row>
    <row r="443" spans="1:84">
      <c r="A443" s="1032"/>
      <c r="B443" s="839" t="s">
        <v>98</v>
      </c>
      <c r="C443" s="839" t="s">
        <v>381</v>
      </c>
      <c r="D443" s="839" t="s">
        <v>1590</v>
      </c>
      <c r="E443" s="839" t="s">
        <v>1591</v>
      </c>
      <c r="F443" s="841">
        <v>45508</v>
      </c>
      <c r="G443" s="840" t="s">
        <v>381</v>
      </c>
      <c r="H443" s="842" t="s">
        <v>134</v>
      </c>
      <c r="I443" s="842"/>
      <c r="J443" s="841"/>
      <c r="K443" s="841"/>
      <c r="L443" s="843" t="s">
        <v>106</v>
      </c>
      <c r="M443" s="844" t="s">
        <v>107</v>
      </c>
      <c r="N443" s="841">
        <v>45479</v>
      </c>
      <c r="O443" s="841" t="s">
        <v>150</v>
      </c>
      <c r="P443" s="841" t="s">
        <v>461</v>
      </c>
      <c r="Q443" s="843"/>
      <c r="R443" s="845" t="s">
        <v>1639</v>
      </c>
      <c r="S443" s="1127" t="s">
        <v>1639</v>
      </c>
      <c r="T443" s="843" t="s">
        <v>1640</v>
      </c>
      <c r="U443" s="842">
        <v>1</v>
      </c>
      <c r="V443" s="842" t="s">
        <v>3</v>
      </c>
      <c r="W443" s="846">
        <v>1973</v>
      </c>
      <c r="X443" s="847">
        <f t="shared" si="76"/>
        <v>1973</v>
      </c>
      <c r="Y443" s="848">
        <f t="shared" si="90"/>
        <v>0.52</v>
      </c>
      <c r="Z443" s="849">
        <v>947.04</v>
      </c>
      <c r="AA443" s="849"/>
      <c r="AB443" s="849">
        <f t="shared" si="77"/>
        <v>947.04</v>
      </c>
      <c r="AC443" s="850">
        <f t="shared" si="78"/>
        <v>947.04</v>
      </c>
      <c r="AD443" s="851"/>
      <c r="AE443" s="852">
        <v>27222.43</v>
      </c>
      <c r="AF443" s="853">
        <v>0</v>
      </c>
      <c r="AG443" s="854">
        <f t="shared" si="79"/>
        <v>0</v>
      </c>
      <c r="AH443" s="853"/>
      <c r="AI443" s="855">
        <f t="shared" si="80"/>
        <v>0</v>
      </c>
      <c r="AJ443" s="845" t="s">
        <v>1633</v>
      </c>
      <c r="AK443" s="857">
        <v>45632</v>
      </c>
      <c r="AL443" s="840" t="s">
        <v>1634</v>
      </c>
      <c r="AM443" s="840" t="s">
        <v>1635</v>
      </c>
      <c r="AN443" s="858" t="s">
        <v>1636</v>
      </c>
      <c r="AO443" s="844"/>
      <c r="AP443" s="859">
        <v>45603</v>
      </c>
      <c r="AQ443" s="859">
        <v>45603</v>
      </c>
      <c r="AR443" s="859">
        <v>45482</v>
      </c>
      <c r="AS443" s="840"/>
      <c r="AT443" s="840" t="s">
        <v>1235</v>
      </c>
      <c r="AU443" s="860" t="s">
        <v>1602</v>
      </c>
      <c r="AV443" s="839" t="s">
        <v>1637</v>
      </c>
      <c r="AW443" s="861">
        <v>45482</v>
      </c>
      <c r="AX443" s="862"/>
      <c r="AY443" s="843"/>
      <c r="AZ443" s="842"/>
      <c r="BA443" s="842" t="s">
        <v>120</v>
      </c>
      <c r="BB443" s="863" t="s">
        <v>121</v>
      </c>
      <c r="BC443" s="864">
        <v>45547</v>
      </c>
      <c r="BD443" s="860" t="s">
        <v>1638</v>
      </c>
      <c r="BE443" s="865" cm="1">
        <f t="array" ref="BE443">IF(BD443="","",AC443/SUMPRODUCT(--(BD443=$BD$4:$BD$12824),$AC$4:$AC$12824))</f>
        <v>1.4723889753662777E-2</v>
      </c>
      <c r="BF443" s="458"/>
      <c r="BG443" s="458"/>
      <c r="BH443" s="458"/>
      <c r="BI443" s="458"/>
      <c r="BJ443" s="458"/>
      <c r="BK443" s="458"/>
      <c r="BL443" s="458"/>
      <c r="BM443" s="458"/>
      <c r="BN443" s="458"/>
      <c r="BO443" s="866">
        <f>VLOOKUP(BD443,$BD$4:$BN$12824,3,0)*BE443</f>
        <v>421957.23256046785</v>
      </c>
      <c r="BP443" s="866"/>
      <c r="BQ443" s="866"/>
      <c r="BR443" s="866">
        <f>VLOOKUP(BD443,$BD$4:$BN$12824,6,0)*BE443</f>
        <v>184877.30920682946</v>
      </c>
      <c r="BS443" s="866">
        <f>VLOOKUP(BD443,$BD$4:$BN$12824,7,0)*BE443</f>
        <v>25491.661741083164</v>
      </c>
      <c r="BT443" s="866"/>
      <c r="BU443" s="866">
        <f>VLOOKUP(BD443,$BD$4:$BN$12824,9,0)*BE443</f>
        <v>7361.9448768313887</v>
      </c>
      <c r="BV443" s="867"/>
      <c r="BW443" s="867">
        <f>VLOOKUP(BD443,$BD$4:$BN$12824,11,0)*BE443</f>
        <v>19082.161120746958</v>
      </c>
      <c r="BX443" s="1146">
        <f t="shared" si="91"/>
        <v>658770.30950595881</v>
      </c>
      <c r="BY443" s="867">
        <f t="shared" si="83"/>
        <v>26439500.416705959</v>
      </c>
      <c r="BZ443" s="867">
        <f t="shared" si="81"/>
        <v>26439500.416705959</v>
      </c>
      <c r="CA443" s="867">
        <f>_xlfn.MAXIFS($BY$4:$BY$12824,$S$4:$S$12824,$S443)</f>
        <v>28821782.605887465</v>
      </c>
      <c r="CB443" s="1032"/>
      <c r="CF443" s="946">
        <f t="shared" si="82"/>
        <v>25780730.1072</v>
      </c>
    </row>
    <row r="444" spans="1:84">
      <c r="A444" s="1032"/>
      <c r="B444" s="839" t="s">
        <v>98</v>
      </c>
      <c r="C444" s="839" t="s">
        <v>381</v>
      </c>
      <c r="D444" s="839" t="s">
        <v>1590</v>
      </c>
      <c r="E444" s="839" t="s">
        <v>1591</v>
      </c>
      <c r="F444" s="841">
        <v>45508</v>
      </c>
      <c r="G444" s="840" t="s">
        <v>381</v>
      </c>
      <c r="H444" s="842" t="s">
        <v>134</v>
      </c>
      <c r="I444" s="842"/>
      <c r="J444" s="841"/>
      <c r="K444" s="841"/>
      <c r="L444" s="843" t="s">
        <v>106</v>
      </c>
      <c r="M444" s="844" t="s">
        <v>107</v>
      </c>
      <c r="N444" s="841">
        <v>45479</v>
      </c>
      <c r="O444" s="841" t="s">
        <v>150</v>
      </c>
      <c r="P444" s="841" t="s">
        <v>461</v>
      </c>
      <c r="Q444" s="843"/>
      <c r="R444" s="845" t="s">
        <v>1641</v>
      </c>
      <c r="S444" s="1127" t="s">
        <v>1641</v>
      </c>
      <c r="T444" s="843" t="s">
        <v>1642</v>
      </c>
      <c r="U444" s="842">
        <v>1</v>
      </c>
      <c r="V444" s="842" t="s">
        <v>3</v>
      </c>
      <c r="W444" s="846">
        <v>2184</v>
      </c>
      <c r="X444" s="847">
        <f t="shared" si="76"/>
        <v>2184</v>
      </c>
      <c r="Y444" s="848">
        <f t="shared" si="90"/>
        <v>0.52</v>
      </c>
      <c r="Z444" s="849">
        <v>1048.32</v>
      </c>
      <c r="AA444" s="849"/>
      <c r="AB444" s="849">
        <f t="shared" si="77"/>
        <v>1048.32</v>
      </c>
      <c r="AC444" s="850">
        <f t="shared" si="78"/>
        <v>1048.32</v>
      </c>
      <c r="AD444" s="851"/>
      <c r="AE444" s="852">
        <v>27222.43</v>
      </c>
      <c r="AF444" s="853">
        <v>0</v>
      </c>
      <c r="AG444" s="854">
        <f t="shared" si="79"/>
        <v>0</v>
      </c>
      <c r="AH444" s="853"/>
      <c r="AI444" s="855">
        <f t="shared" si="80"/>
        <v>0</v>
      </c>
      <c r="AJ444" s="845" t="s">
        <v>1633</v>
      </c>
      <c r="AK444" s="857">
        <v>45632</v>
      </c>
      <c r="AL444" s="840" t="s">
        <v>1634</v>
      </c>
      <c r="AM444" s="840" t="s">
        <v>1635</v>
      </c>
      <c r="AN444" s="858" t="s">
        <v>1636</v>
      </c>
      <c r="AO444" s="844"/>
      <c r="AP444" s="859">
        <v>45603</v>
      </c>
      <c r="AQ444" s="859">
        <v>45603</v>
      </c>
      <c r="AR444" s="859">
        <v>45482</v>
      </c>
      <c r="AS444" s="840"/>
      <c r="AT444" s="840" t="s">
        <v>1235</v>
      </c>
      <c r="AU444" s="860" t="s">
        <v>1602</v>
      </c>
      <c r="AV444" s="839" t="s">
        <v>1637</v>
      </c>
      <c r="AW444" s="861">
        <v>45482</v>
      </c>
      <c r="AX444" s="862"/>
      <c r="AY444" s="843"/>
      <c r="AZ444" s="842"/>
      <c r="BA444" s="842" t="s">
        <v>120</v>
      </c>
      <c r="BB444" s="863" t="s">
        <v>121</v>
      </c>
      <c r="BC444" s="864">
        <v>45547</v>
      </c>
      <c r="BD444" s="860" t="s">
        <v>1638</v>
      </c>
      <c r="BE444" s="865" cm="1">
        <f t="array" ref="BE444">IF(BD444="","",AC444/SUMPRODUCT(--(BD444=$BD$4:$BD$12824),$AC$4:$AC$12824))</f>
        <v>1.629851759858059E-2</v>
      </c>
      <c r="BF444" s="458"/>
      <c r="BG444" s="458"/>
      <c r="BH444" s="458"/>
      <c r="BI444" s="458"/>
      <c r="BJ444" s="458"/>
      <c r="BK444" s="458"/>
      <c r="BL444" s="458"/>
      <c r="BM444" s="458"/>
      <c r="BN444" s="458"/>
      <c r="BO444" s="866">
        <f>VLOOKUP(BD444,$BD$4:$BN$12824,3,0)*BE444</f>
        <v>467082.91734012257</v>
      </c>
      <c r="BP444" s="866"/>
      <c r="BQ444" s="866"/>
      <c r="BR444" s="866">
        <f>VLOOKUP(BD444,$BD$4:$BN$12824,6,0)*BE444</f>
        <v>204648.78018637383</v>
      </c>
      <c r="BS444" s="866">
        <f>VLOOKUP(BD444,$BD$4:$BN$12824,7,0)*BE444</f>
        <v>28217.835399151358</v>
      </c>
      <c r="BT444" s="866"/>
      <c r="BU444" s="866">
        <f>VLOOKUP(BD444,$BD$4:$BN$12824,9,0)*BE444</f>
        <v>8149.2587992902945</v>
      </c>
      <c r="BV444" s="867"/>
      <c r="BW444" s="867">
        <f>VLOOKUP(BD444,$BD$4:$BN$12824,11,0)*BE444</f>
        <v>21122.878807760444</v>
      </c>
      <c r="BX444" s="1146">
        <f t="shared" si="91"/>
        <v>729221.67053269839</v>
      </c>
      <c r="BY444" s="867">
        <f t="shared" si="83"/>
        <v>29267039.488132697</v>
      </c>
      <c r="BZ444" s="867">
        <f t="shared" si="81"/>
        <v>29267039.488132697</v>
      </c>
      <c r="CA444" s="867">
        <f>_xlfn.MAXIFS($BY$4:$BY$12824,$S$4:$S$12824,$S444)</f>
        <v>31904091.845543962</v>
      </c>
      <c r="CB444" s="1032"/>
      <c r="CF444" s="946">
        <f t="shared" si="82"/>
        <v>28537817.817599997</v>
      </c>
    </row>
    <row r="445" spans="1:84">
      <c r="A445" s="1032"/>
      <c r="B445" s="839" t="s">
        <v>98</v>
      </c>
      <c r="C445" s="839" t="s">
        <v>381</v>
      </c>
      <c r="D445" s="839" t="s">
        <v>1590</v>
      </c>
      <c r="E445" s="839" t="s">
        <v>1591</v>
      </c>
      <c r="F445" s="841">
        <v>45508</v>
      </c>
      <c r="G445" s="840" t="s">
        <v>381</v>
      </c>
      <c r="H445" s="842" t="s">
        <v>134</v>
      </c>
      <c r="I445" s="842"/>
      <c r="J445" s="841"/>
      <c r="K445" s="841"/>
      <c r="L445" s="843" t="s">
        <v>106</v>
      </c>
      <c r="M445" s="844" t="s">
        <v>107</v>
      </c>
      <c r="N445" s="841">
        <v>45479</v>
      </c>
      <c r="O445" s="841" t="s">
        <v>150</v>
      </c>
      <c r="P445" s="841" t="s">
        <v>461</v>
      </c>
      <c r="Q445" s="843"/>
      <c r="R445" s="845" t="s">
        <v>1643</v>
      </c>
      <c r="S445" s="1127" t="s">
        <v>1643</v>
      </c>
      <c r="T445" s="843" t="s">
        <v>1644</v>
      </c>
      <c r="U445" s="842">
        <v>2</v>
      </c>
      <c r="V445" s="842" t="s">
        <v>3</v>
      </c>
      <c r="W445" s="846">
        <v>2268</v>
      </c>
      <c r="X445" s="847">
        <f t="shared" si="76"/>
        <v>4536</v>
      </c>
      <c r="Y445" s="848">
        <f t="shared" si="90"/>
        <v>0.51999999999999991</v>
      </c>
      <c r="Z445" s="849">
        <v>1088.6400000000001</v>
      </c>
      <c r="AA445" s="849"/>
      <c r="AB445" s="849">
        <f t="shared" si="77"/>
        <v>2177.2800000000002</v>
      </c>
      <c r="AC445" s="850">
        <f t="shared" si="78"/>
        <v>2177.2800000000002</v>
      </c>
      <c r="AD445" s="851"/>
      <c r="AE445" s="852">
        <v>27222.43</v>
      </c>
      <c r="AF445" s="853">
        <v>0</v>
      </c>
      <c r="AG445" s="854">
        <f t="shared" si="79"/>
        <v>0</v>
      </c>
      <c r="AH445" s="853"/>
      <c r="AI445" s="855">
        <f t="shared" si="80"/>
        <v>0</v>
      </c>
      <c r="AJ445" s="845" t="s">
        <v>1633</v>
      </c>
      <c r="AK445" s="857">
        <v>45632</v>
      </c>
      <c r="AL445" s="840" t="s">
        <v>1634</v>
      </c>
      <c r="AM445" s="840" t="s">
        <v>1635</v>
      </c>
      <c r="AN445" s="858" t="s">
        <v>1636</v>
      </c>
      <c r="AO445" s="844"/>
      <c r="AP445" s="859">
        <v>45603</v>
      </c>
      <c r="AQ445" s="859">
        <v>45603</v>
      </c>
      <c r="AR445" s="859">
        <v>45482</v>
      </c>
      <c r="AS445" s="840"/>
      <c r="AT445" s="840" t="s">
        <v>1235</v>
      </c>
      <c r="AU445" s="860" t="s">
        <v>1602</v>
      </c>
      <c r="AV445" s="839" t="s">
        <v>1637</v>
      </c>
      <c r="AW445" s="861">
        <v>45482</v>
      </c>
      <c r="AX445" s="862"/>
      <c r="AY445" s="843"/>
      <c r="AZ445" s="842"/>
      <c r="BA445" s="842" t="s">
        <v>120</v>
      </c>
      <c r="BB445" s="863" t="s">
        <v>121</v>
      </c>
      <c r="BC445" s="864">
        <v>45547</v>
      </c>
      <c r="BD445" s="860" t="s">
        <v>1638</v>
      </c>
      <c r="BE445" s="865" cm="1">
        <f t="array" ref="BE445">IF(BD445="","",AC445/SUMPRODUCT(--(BD445=$BD$4:$BD$12824),$AC$4:$AC$12824))</f>
        <v>3.385076732012892E-2</v>
      </c>
      <c r="BF445" s="458"/>
      <c r="BG445" s="458"/>
      <c r="BH445" s="458"/>
      <c r="BI445" s="458"/>
      <c r="BJ445" s="458"/>
      <c r="BK445" s="458"/>
      <c r="BL445" s="458"/>
      <c r="BM445" s="458"/>
      <c r="BN445" s="458"/>
      <c r="BO445" s="866">
        <f>VLOOKUP(BD445,$BD$4:$BN$12824,3,0)*BE445</f>
        <v>970095.28986025462</v>
      </c>
      <c r="BP445" s="866"/>
      <c r="BQ445" s="866"/>
      <c r="BR445" s="866">
        <f>VLOOKUP(BD445,$BD$4:$BN$12824,6,0)*BE445</f>
        <v>425039.77423323796</v>
      </c>
      <c r="BS445" s="866">
        <f>VLOOKUP(BD445,$BD$4:$BN$12824,7,0)*BE445</f>
        <v>58606.273521314361</v>
      </c>
      <c r="BT445" s="866"/>
      <c r="BU445" s="866">
        <f>VLOOKUP(BD445,$BD$4:$BN$12824,9,0)*BE445</f>
        <v>16925.383660064461</v>
      </c>
      <c r="BV445" s="867"/>
      <c r="BW445" s="867">
        <f>VLOOKUP(BD445,$BD$4:$BN$12824,11,0)*BE445</f>
        <v>43870.59444688708</v>
      </c>
      <c r="BX445" s="1146">
        <f t="shared" si="91"/>
        <v>1514537.3157217584</v>
      </c>
      <c r="BY445" s="867">
        <f t="shared" si="83"/>
        <v>30392694.853060883</v>
      </c>
      <c r="BZ445" s="867">
        <f t="shared" si="81"/>
        <v>60785389.706121765</v>
      </c>
      <c r="CA445" s="867">
        <f>_xlfn.MAXIFS($BY$4:$BY$12824,$S$4:$S$12824,$S445)</f>
        <v>33131172.301141802</v>
      </c>
      <c r="CB445" s="1032"/>
      <c r="CF445" s="946">
        <f t="shared" si="82"/>
        <v>59270852.390400007</v>
      </c>
    </row>
    <row r="446" spans="1:84">
      <c r="A446" s="1032"/>
      <c r="B446" s="839" t="s">
        <v>98</v>
      </c>
      <c r="C446" s="839" t="s">
        <v>381</v>
      </c>
      <c r="D446" s="839" t="s">
        <v>1590</v>
      </c>
      <c r="E446" s="839" t="s">
        <v>1591</v>
      </c>
      <c r="F446" s="841">
        <v>45508</v>
      </c>
      <c r="G446" s="840" t="s">
        <v>381</v>
      </c>
      <c r="H446" s="842" t="s">
        <v>134</v>
      </c>
      <c r="I446" s="842"/>
      <c r="J446" s="841"/>
      <c r="K446" s="841"/>
      <c r="L446" s="843" t="s">
        <v>106</v>
      </c>
      <c r="M446" s="844" t="s">
        <v>107</v>
      </c>
      <c r="N446" s="841">
        <v>45479</v>
      </c>
      <c r="O446" s="841" t="s">
        <v>150</v>
      </c>
      <c r="P446" s="841" t="s">
        <v>461</v>
      </c>
      <c r="Q446" s="843"/>
      <c r="R446" s="845" t="s">
        <v>1645</v>
      </c>
      <c r="S446" s="1127" t="s">
        <v>1645</v>
      </c>
      <c r="T446" s="843" t="s">
        <v>1646</v>
      </c>
      <c r="U446" s="842">
        <v>1</v>
      </c>
      <c r="V446" s="842" t="s">
        <v>3</v>
      </c>
      <c r="W446" s="846">
        <v>4284</v>
      </c>
      <c r="X446" s="847">
        <f t="shared" si="76"/>
        <v>4284</v>
      </c>
      <c r="Y446" s="848">
        <f t="shared" si="90"/>
        <v>0.51999999999999991</v>
      </c>
      <c r="Z446" s="849">
        <v>2056.3200000000002</v>
      </c>
      <c r="AA446" s="849"/>
      <c r="AB446" s="849">
        <f t="shared" si="77"/>
        <v>2056.3200000000002</v>
      </c>
      <c r="AC446" s="850">
        <f t="shared" si="78"/>
        <v>2056.3200000000002</v>
      </c>
      <c r="AD446" s="851"/>
      <c r="AE446" s="852">
        <v>27222.43</v>
      </c>
      <c r="AF446" s="853">
        <v>0</v>
      </c>
      <c r="AG446" s="854">
        <f t="shared" si="79"/>
        <v>0</v>
      </c>
      <c r="AH446" s="853"/>
      <c r="AI446" s="855">
        <f t="shared" si="80"/>
        <v>0</v>
      </c>
      <c r="AJ446" s="845" t="s">
        <v>1633</v>
      </c>
      <c r="AK446" s="857">
        <v>45632</v>
      </c>
      <c r="AL446" s="840" t="s">
        <v>1634</v>
      </c>
      <c r="AM446" s="840" t="s">
        <v>1635</v>
      </c>
      <c r="AN446" s="858" t="s">
        <v>1636</v>
      </c>
      <c r="AO446" s="844"/>
      <c r="AP446" s="859">
        <v>45603</v>
      </c>
      <c r="AQ446" s="859">
        <v>45603</v>
      </c>
      <c r="AR446" s="859">
        <v>45482</v>
      </c>
      <c r="AS446" s="840"/>
      <c r="AT446" s="840" t="s">
        <v>1235</v>
      </c>
      <c r="AU446" s="860" t="s">
        <v>1602</v>
      </c>
      <c r="AV446" s="839" t="s">
        <v>1637</v>
      </c>
      <c r="AW446" s="861">
        <v>45482</v>
      </c>
      <c r="AX446" s="862"/>
      <c r="AY446" s="843"/>
      <c r="AZ446" s="842"/>
      <c r="BA446" s="842" t="s">
        <v>120</v>
      </c>
      <c r="BB446" s="863" t="s">
        <v>121</v>
      </c>
      <c r="BC446" s="864">
        <v>45547</v>
      </c>
      <c r="BD446" s="860" t="s">
        <v>1638</v>
      </c>
      <c r="BE446" s="865" cm="1">
        <f t="array" ref="BE446">IF(BD446="","",AC446/SUMPRODUCT(--(BD446=$BD$4:$BD$12824),$AC$4:$AC$12824))</f>
        <v>3.1970169135677316E-2</v>
      </c>
      <c r="BF446" s="458"/>
      <c r="BG446" s="458"/>
      <c r="BH446" s="458"/>
      <c r="BI446" s="458"/>
      <c r="BJ446" s="458"/>
      <c r="BK446" s="458"/>
      <c r="BL446" s="458"/>
      <c r="BM446" s="458"/>
      <c r="BN446" s="458"/>
      <c r="BO446" s="866">
        <f>VLOOKUP(BD446,$BD$4:$BN$12824,3,0)*BE446</f>
        <v>916201.10709024058</v>
      </c>
      <c r="BP446" s="866"/>
      <c r="BQ446" s="866"/>
      <c r="BR446" s="866">
        <f>VLOOKUP(BD446,$BD$4:$BN$12824,6,0)*BE446</f>
        <v>401426.45344250259</v>
      </c>
      <c r="BS446" s="866">
        <f>VLOOKUP(BD446,$BD$4:$BN$12824,7,0)*BE446</f>
        <v>55350.3694367969</v>
      </c>
      <c r="BT446" s="866"/>
      <c r="BU446" s="866">
        <f>VLOOKUP(BD446,$BD$4:$BN$12824,9,0)*BE446</f>
        <v>15985.084567838658</v>
      </c>
      <c r="BV446" s="867"/>
      <c r="BW446" s="867">
        <f>VLOOKUP(BD446,$BD$4:$BN$12824,11,0)*BE446</f>
        <v>41433.339199837799</v>
      </c>
      <c r="BX446" s="1146">
        <f t="shared" si="91"/>
        <v>1430396.3537372164</v>
      </c>
      <c r="BY446" s="867">
        <f t="shared" si="83"/>
        <v>57408423.611337215</v>
      </c>
      <c r="BZ446" s="867">
        <f t="shared" si="81"/>
        <v>57408423.611337215</v>
      </c>
      <c r="CA446" s="867">
        <f>_xlfn.MAXIFS($BY$4:$BY$12824,$S$4:$S$12824,$S446)</f>
        <v>62581103.235490076</v>
      </c>
      <c r="CB446" s="1032"/>
      <c r="CF446" s="946">
        <f t="shared" si="82"/>
        <v>55978027.257600002</v>
      </c>
    </row>
    <row r="447" spans="1:84">
      <c r="A447" s="1032"/>
      <c r="B447" s="839" t="s">
        <v>98</v>
      </c>
      <c r="C447" s="839" t="s">
        <v>381</v>
      </c>
      <c r="D447" s="839" t="s">
        <v>1590</v>
      </c>
      <c r="E447" s="839" t="s">
        <v>1591</v>
      </c>
      <c r="F447" s="841">
        <v>45508</v>
      </c>
      <c r="G447" s="840" t="s">
        <v>381</v>
      </c>
      <c r="H447" s="842" t="s">
        <v>134</v>
      </c>
      <c r="I447" s="842"/>
      <c r="J447" s="841"/>
      <c r="K447" s="841"/>
      <c r="L447" s="843" t="s">
        <v>106</v>
      </c>
      <c r="M447" s="844" t="s">
        <v>107</v>
      </c>
      <c r="N447" s="841">
        <v>45479</v>
      </c>
      <c r="O447" s="841" t="s">
        <v>150</v>
      </c>
      <c r="P447" s="841" t="s">
        <v>461</v>
      </c>
      <c r="Q447" s="843"/>
      <c r="R447" s="845" t="s">
        <v>1647</v>
      </c>
      <c r="S447" s="1127" t="s">
        <v>1647</v>
      </c>
      <c r="T447" s="843" t="s">
        <v>1648</v>
      </c>
      <c r="U447" s="842">
        <v>2</v>
      </c>
      <c r="V447" s="842" t="s">
        <v>3</v>
      </c>
      <c r="W447" s="846">
        <v>4536</v>
      </c>
      <c r="X447" s="847">
        <f t="shared" si="76"/>
        <v>9072</v>
      </c>
      <c r="Y447" s="848">
        <f t="shared" si="90"/>
        <v>0.51999999999999991</v>
      </c>
      <c r="Z447" s="849">
        <v>2177.2800000000002</v>
      </c>
      <c r="AA447" s="849"/>
      <c r="AB447" s="849">
        <f t="shared" si="77"/>
        <v>4354.5600000000004</v>
      </c>
      <c r="AC447" s="850">
        <f t="shared" si="78"/>
        <v>4354.5600000000004</v>
      </c>
      <c r="AD447" s="851"/>
      <c r="AE447" s="852">
        <v>27222.43</v>
      </c>
      <c r="AF447" s="853">
        <v>0</v>
      </c>
      <c r="AG447" s="854">
        <f t="shared" si="79"/>
        <v>0</v>
      </c>
      <c r="AH447" s="853"/>
      <c r="AI447" s="855">
        <f t="shared" si="80"/>
        <v>0</v>
      </c>
      <c r="AJ447" s="845" t="s">
        <v>1633</v>
      </c>
      <c r="AK447" s="857">
        <v>45632</v>
      </c>
      <c r="AL447" s="840" t="s">
        <v>1634</v>
      </c>
      <c r="AM447" s="840" t="s">
        <v>1635</v>
      </c>
      <c r="AN447" s="858" t="s">
        <v>1636</v>
      </c>
      <c r="AO447" s="844"/>
      <c r="AP447" s="859">
        <v>45603</v>
      </c>
      <c r="AQ447" s="859">
        <v>45603</v>
      </c>
      <c r="AR447" s="859">
        <v>45482</v>
      </c>
      <c r="AS447" s="840"/>
      <c r="AT447" s="840" t="s">
        <v>1235</v>
      </c>
      <c r="AU447" s="860" t="s">
        <v>1602</v>
      </c>
      <c r="AV447" s="839" t="s">
        <v>1637</v>
      </c>
      <c r="AW447" s="861">
        <v>45482</v>
      </c>
      <c r="AX447" s="862"/>
      <c r="AY447" s="843"/>
      <c r="AZ447" s="842"/>
      <c r="BA447" s="842" t="s">
        <v>120</v>
      </c>
      <c r="BB447" s="863" t="s">
        <v>121</v>
      </c>
      <c r="BC447" s="864">
        <v>45547</v>
      </c>
      <c r="BD447" s="860" t="s">
        <v>1638</v>
      </c>
      <c r="BE447" s="865" cm="1">
        <f t="array" ref="BE447">IF(BD447="","",AC447/SUMPRODUCT(--(BD447=$BD$4:$BD$12824),$AC$4:$AC$12824))</f>
        <v>6.7701534640257841E-2</v>
      </c>
      <c r="BF447" s="458"/>
      <c r="BG447" s="458"/>
      <c r="BH447" s="458"/>
      <c r="BI447" s="458"/>
      <c r="BJ447" s="458"/>
      <c r="BK447" s="458"/>
      <c r="BL447" s="458"/>
      <c r="BM447" s="458"/>
      <c r="BN447" s="458"/>
      <c r="BO447" s="866">
        <f>VLOOKUP(BD447,$BD$4:$BN$12824,3,0)*BE447</f>
        <v>1940190.5797205092</v>
      </c>
      <c r="BP447" s="866"/>
      <c r="BQ447" s="866"/>
      <c r="BR447" s="866">
        <f>VLOOKUP(BD447,$BD$4:$BN$12824,6,0)*BE447</f>
        <v>850079.54846647591</v>
      </c>
      <c r="BS447" s="866">
        <f>VLOOKUP(BD447,$BD$4:$BN$12824,7,0)*BE447</f>
        <v>117212.54704262872</v>
      </c>
      <c r="BT447" s="866"/>
      <c r="BU447" s="866">
        <f>VLOOKUP(BD447,$BD$4:$BN$12824,9,0)*BE447</f>
        <v>33850.767320128922</v>
      </c>
      <c r="BV447" s="867"/>
      <c r="BW447" s="867">
        <f>VLOOKUP(BD447,$BD$4:$BN$12824,11,0)*BE447</f>
        <v>87741.188893774161</v>
      </c>
      <c r="BX447" s="1146">
        <f t="shared" si="91"/>
        <v>3029074.6314435168</v>
      </c>
      <c r="BY447" s="867">
        <f t="shared" si="83"/>
        <v>60785389.706121765</v>
      </c>
      <c r="BZ447" s="867">
        <f t="shared" si="81"/>
        <v>121570779.41224353</v>
      </c>
      <c r="CA447" s="867">
        <f>_xlfn.MAXIFS($BY$4:$BY$12824,$S$4:$S$12824,$S447)</f>
        <v>66262344.602283612</v>
      </c>
      <c r="CB447" s="1032"/>
      <c r="CF447" s="946">
        <f t="shared" si="82"/>
        <v>118541704.78080001</v>
      </c>
    </row>
    <row r="448" spans="1:84">
      <c r="A448" s="1032"/>
      <c r="B448" s="839" t="s">
        <v>98</v>
      </c>
      <c r="C448" s="839" t="s">
        <v>381</v>
      </c>
      <c r="D448" s="839" t="s">
        <v>1590</v>
      </c>
      <c r="E448" s="839" t="s">
        <v>1591</v>
      </c>
      <c r="F448" s="841">
        <v>45508</v>
      </c>
      <c r="G448" s="840" t="s">
        <v>381</v>
      </c>
      <c r="H448" s="842" t="s">
        <v>134</v>
      </c>
      <c r="I448" s="842"/>
      <c r="J448" s="841"/>
      <c r="K448" s="841"/>
      <c r="L448" s="843" t="s">
        <v>106</v>
      </c>
      <c r="M448" s="844" t="s">
        <v>107</v>
      </c>
      <c r="N448" s="841">
        <v>45479</v>
      </c>
      <c r="O448" s="841" t="s">
        <v>150</v>
      </c>
      <c r="P448" s="841" t="s">
        <v>461</v>
      </c>
      <c r="Q448" s="843"/>
      <c r="R448" s="845" t="s">
        <v>1649</v>
      </c>
      <c r="S448" s="1127" t="s">
        <v>1649</v>
      </c>
      <c r="T448" s="843" t="s">
        <v>1650</v>
      </c>
      <c r="U448" s="842">
        <v>1</v>
      </c>
      <c r="V448" s="842" t="s">
        <v>3</v>
      </c>
      <c r="W448" s="846">
        <v>4536</v>
      </c>
      <c r="X448" s="847">
        <f t="shared" si="76"/>
        <v>4536</v>
      </c>
      <c r="Y448" s="848">
        <f t="shared" si="90"/>
        <v>0.51999999999999991</v>
      </c>
      <c r="Z448" s="849">
        <v>2177.2800000000002</v>
      </c>
      <c r="AA448" s="849"/>
      <c r="AB448" s="849">
        <f t="shared" si="77"/>
        <v>2177.2800000000002</v>
      </c>
      <c r="AC448" s="850">
        <f t="shared" si="78"/>
        <v>2177.2800000000002</v>
      </c>
      <c r="AD448" s="851"/>
      <c r="AE448" s="852">
        <v>27222.43</v>
      </c>
      <c r="AF448" s="853">
        <v>0</v>
      </c>
      <c r="AG448" s="854">
        <f t="shared" si="79"/>
        <v>0</v>
      </c>
      <c r="AH448" s="853"/>
      <c r="AI448" s="855">
        <f t="shared" si="80"/>
        <v>0</v>
      </c>
      <c r="AJ448" s="845" t="s">
        <v>1633</v>
      </c>
      <c r="AK448" s="857">
        <v>45632</v>
      </c>
      <c r="AL448" s="840" t="s">
        <v>1634</v>
      </c>
      <c r="AM448" s="840" t="s">
        <v>1635</v>
      </c>
      <c r="AN448" s="858" t="s">
        <v>1636</v>
      </c>
      <c r="AO448" s="844"/>
      <c r="AP448" s="859">
        <v>45603</v>
      </c>
      <c r="AQ448" s="859">
        <v>45603</v>
      </c>
      <c r="AR448" s="859">
        <v>45482</v>
      </c>
      <c r="AS448" s="840"/>
      <c r="AT448" s="840" t="s">
        <v>1235</v>
      </c>
      <c r="AU448" s="860" t="s">
        <v>1602</v>
      </c>
      <c r="AV448" s="839" t="s">
        <v>1637</v>
      </c>
      <c r="AW448" s="861">
        <v>45482</v>
      </c>
      <c r="AX448" s="862"/>
      <c r="AY448" s="843"/>
      <c r="AZ448" s="842"/>
      <c r="BA448" s="842" t="s">
        <v>120</v>
      </c>
      <c r="BB448" s="863" t="s">
        <v>121</v>
      </c>
      <c r="BC448" s="864">
        <v>45547</v>
      </c>
      <c r="BD448" s="860" t="s">
        <v>1638</v>
      </c>
      <c r="BE448" s="865" cm="1">
        <f t="array" ref="BE448">IF(BD448="","",AC448/SUMPRODUCT(--(BD448=$BD$4:$BD$12824),$AC$4:$AC$12824))</f>
        <v>3.385076732012892E-2</v>
      </c>
      <c r="BF448" s="458"/>
      <c r="BG448" s="458"/>
      <c r="BH448" s="458"/>
      <c r="BI448" s="458"/>
      <c r="BJ448" s="458"/>
      <c r="BK448" s="458"/>
      <c r="BL448" s="458"/>
      <c r="BM448" s="458"/>
      <c r="BN448" s="458"/>
      <c r="BO448" s="866">
        <f>VLOOKUP(BD448,$BD$4:$BN$12824,3,0)*BE448</f>
        <v>970095.28986025462</v>
      </c>
      <c r="BP448" s="866"/>
      <c r="BQ448" s="866"/>
      <c r="BR448" s="866">
        <f>VLOOKUP(BD448,$BD$4:$BN$12824,6,0)*BE448</f>
        <v>425039.77423323796</v>
      </c>
      <c r="BS448" s="866">
        <f>VLOOKUP(BD448,$BD$4:$BN$12824,7,0)*BE448</f>
        <v>58606.273521314361</v>
      </c>
      <c r="BT448" s="866"/>
      <c r="BU448" s="866">
        <f>VLOOKUP(BD448,$BD$4:$BN$12824,9,0)*BE448</f>
        <v>16925.383660064461</v>
      </c>
      <c r="BV448" s="867"/>
      <c r="BW448" s="867">
        <f>VLOOKUP(BD448,$BD$4:$BN$12824,11,0)*BE448</f>
        <v>43870.59444688708</v>
      </c>
      <c r="BX448" s="1146">
        <f t="shared" si="91"/>
        <v>1514537.3157217584</v>
      </c>
      <c r="BY448" s="867">
        <f t="shared" si="83"/>
        <v>60785389.706121765</v>
      </c>
      <c r="BZ448" s="867">
        <f t="shared" si="81"/>
        <v>60785389.706121765</v>
      </c>
      <c r="CA448" s="867">
        <f>_xlfn.MAXIFS($BY$4:$BY$12824,$S$4:$S$12824,$S448)</f>
        <v>60785389.706121765</v>
      </c>
      <c r="CB448" s="1032"/>
      <c r="CF448" s="946">
        <f t="shared" si="82"/>
        <v>59270852.390400007</v>
      </c>
    </row>
    <row r="449" spans="1:84">
      <c r="A449" s="1032"/>
      <c r="B449" s="839" t="s">
        <v>98</v>
      </c>
      <c r="C449" s="839" t="s">
        <v>381</v>
      </c>
      <c r="D449" s="839" t="s">
        <v>1590</v>
      </c>
      <c r="E449" s="839" t="s">
        <v>1591</v>
      </c>
      <c r="F449" s="841">
        <v>45508</v>
      </c>
      <c r="G449" s="840" t="s">
        <v>381</v>
      </c>
      <c r="H449" s="842" t="s">
        <v>134</v>
      </c>
      <c r="I449" s="842"/>
      <c r="J449" s="841"/>
      <c r="K449" s="841"/>
      <c r="L449" s="843" t="s">
        <v>106</v>
      </c>
      <c r="M449" s="844" t="s">
        <v>107</v>
      </c>
      <c r="N449" s="841">
        <v>45479</v>
      </c>
      <c r="O449" s="841" t="s">
        <v>150</v>
      </c>
      <c r="P449" s="841" t="s">
        <v>151</v>
      </c>
      <c r="Q449" s="843"/>
      <c r="R449" s="845" t="s">
        <v>1651</v>
      </c>
      <c r="S449" s="1127" t="s">
        <v>1651</v>
      </c>
      <c r="T449" s="843" t="s">
        <v>1652</v>
      </c>
      <c r="U449" s="842">
        <v>6</v>
      </c>
      <c r="V449" s="842" t="s">
        <v>3</v>
      </c>
      <c r="W449" s="846">
        <v>410</v>
      </c>
      <c r="X449" s="847">
        <f t="shared" ref="X449:X513" si="92">W449*U449</f>
        <v>2460</v>
      </c>
      <c r="Y449" s="848">
        <f t="shared" si="90"/>
        <v>0.55999999999999994</v>
      </c>
      <c r="Z449" s="849">
        <v>180.4</v>
      </c>
      <c r="AA449" s="849"/>
      <c r="AB449" s="849">
        <f t="shared" ref="AB449:AB513" si="93">IF(AA449="F.O.C", 0, Z449*U449)</f>
        <v>1082.4000000000001</v>
      </c>
      <c r="AC449" s="850">
        <f t="shared" ref="AC449:AC513" si="94">Z449*U449</f>
        <v>1082.4000000000001</v>
      </c>
      <c r="AD449" s="851"/>
      <c r="AE449" s="852">
        <v>27222.43</v>
      </c>
      <c r="AF449" s="853">
        <v>0</v>
      </c>
      <c r="AG449" s="854">
        <f t="shared" ref="AG449:AG513" si="95">(AC449*AE449+BO449+BP449+BQ449+BS449)*AF449</f>
        <v>0</v>
      </c>
      <c r="AH449" s="853"/>
      <c r="AI449" s="855">
        <f t="shared" ref="AI449:AI513" si="96">(AC449*AE449+AG449+BF449+BG449+BH449+BJ449)*AH449</f>
        <v>0</v>
      </c>
      <c r="AJ449" s="845" t="s">
        <v>1633</v>
      </c>
      <c r="AK449" s="857">
        <v>45632</v>
      </c>
      <c r="AL449" s="840" t="s">
        <v>1634</v>
      </c>
      <c r="AM449" s="840" t="s">
        <v>1635</v>
      </c>
      <c r="AN449" s="858" t="s">
        <v>1636</v>
      </c>
      <c r="AO449" s="844"/>
      <c r="AP449" s="859">
        <v>45603</v>
      </c>
      <c r="AQ449" s="859">
        <v>45603</v>
      </c>
      <c r="AR449" s="859">
        <v>45482</v>
      </c>
      <c r="AS449" s="840"/>
      <c r="AT449" s="840" t="s">
        <v>1235</v>
      </c>
      <c r="AU449" s="860" t="s">
        <v>1602</v>
      </c>
      <c r="AV449" s="839" t="s">
        <v>1637</v>
      </c>
      <c r="AW449" s="861">
        <v>45482</v>
      </c>
      <c r="AX449" s="862"/>
      <c r="AY449" s="843"/>
      <c r="AZ449" s="842"/>
      <c r="BA449" s="842" t="s">
        <v>120</v>
      </c>
      <c r="BB449" s="863" t="s">
        <v>121</v>
      </c>
      <c r="BC449" s="864">
        <v>45547</v>
      </c>
      <c r="BD449" s="860" t="s">
        <v>1638</v>
      </c>
      <c r="BE449" s="865" cm="1">
        <f t="array" ref="BE449">IF(BD449="","",AC449/SUMPRODUCT(--(BD449=$BD$4:$BD$12824),$AC$4:$AC$12824))</f>
        <v>1.6828368674358624E-2</v>
      </c>
      <c r="BF449" s="458"/>
      <c r="BG449" s="458"/>
      <c r="BH449" s="458"/>
      <c r="BI449" s="458"/>
      <c r="BJ449" s="458"/>
      <c r="BK449" s="458"/>
      <c r="BL449" s="458"/>
      <c r="BM449" s="458"/>
      <c r="BN449" s="458"/>
      <c r="BO449" s="866">
        <f>VLOOKUP(BD449,$BD$4:$BN$12824,3,0)*BE449</f>
        <v>482267.38946976943</v>
      </c>
      <c r="BP449" s="866"/>
      <c r="BQ449" s="866"/>
      <c r="BR449" s="866">
        <f>VLOOKUP(BD449,$BD$4:$BN$12824,6,0)*BE449</f>
        <v>211301.73961550964</v>
      </c>
      <c r="BS449" s="866">
        <f>VLOOKUP(BD449,$BD$4:$BN$12824,7,0)*BE449</f>
        <v>29135.173454709853</v>
      </c>
      <c r="BT449" s="866"/>
      <c r="BU449" s="866">
        <f>VLOOKUP(BD449,$BD$4:$BN$12824,9,0)*BE449</f>
        <v>8414.1843371793129</v>
      </c>
      <c r="BV449" s="867"/>
      <c r="BW449" s="867">
        <f>VLOOKUP(BD449,$BD$4:$BN$12824,11,0)*BE449</f>
        <v>21809.565801968776</v>
      </c>
      <c r="BX449" s="1146">
        <f t="shared" si="91"/>
        <v>752928.05267913698</v>
      </c>
      <c r="BY449" s="867">
        <f t="shared" si="83"/>
        <v>5036414.3807798568</v>
      </c>
      <c r="BZ449" s="867">
        <f t="shared" ref="BZ449:BZ513" si="97">BY449*U449</f>
        <v>30218486.284679141</v>
      </c>
      <c r="CA449" s="867">
        <f>_xlfn.MAXIFS($BY$4:$BY$12824,$S$4:$S$12824,$S449)</f>
        <v>5755591.6607803665</v>
      </c>
      <c r="CB449" s="1032"/>
      <c r="CF449" s="946">
        <f t="shared" si="82"/>
        <v>29465558.232000005</v>
      </c>
    </row>
    <row r="450" spans="1:84">
      <c r="A450" s="1032"/>
      <c r="B450" s="839" t="s">
        <v>98</v>
      </c>
      <c r="C450" s="839" t="s">
        <v>381</v>
      </c>
      <c r="D450" s="839" t="s">
        <v>1590</v>
      </c>
      <c r="E450" s="839" t="s">
        <v>1591</v>
      </c>
      <c r="F450" s="841">
        <v>45508</v>
      </c>
      <c r="G450" s="840" t="s">
        <v>381</v>
      </c>
      <c r="H450" s="842" t="s">
        <v>134</v>
      </c>
      <c r="I450" s="842"/>
      <c r="J450" s="841"/>
      <c r="K450" s="841"/>
      <c r="L450" s="843" t="s">
        <v>106</v>
      </c>
      <c r="M450" s="844" t="s">
        <v>107</v>
      </c>
      <c r="N450" s="841">
        <v>45479</v>
      </c>
      <c r="O450" s="841" t="s">
        <v>150</v>
      </c>
      <c r="P450" s="841" t="s">
        <v>151</v>
      </c>
      <c r="Q450" s="843"/>
      <c r="R450" s="845" t="s">
        <v>1653</v>
      </c>
      <c r="S450" s="1127" t="s">
        <v>1653</v>
      </c>
      <c r="T450" s="843" t="s">
        <v>1654</v>
      </c>
      <c r="U450" s="842">
        <v>6</v>
      </c>
      <c r="V450" s="842" t="s">
        <v>3</v>
      </c>
      <c r="W450" s="846">
        <v>410</v>
      </c>
      <c r="X450" s="847">
        <f>W450*U450</f>
        <v>2460</v>
      </c>
      <c r="Y450" s="848">
        <f>(W450-Z450)/W450</f>
        <v>0.55999999999999994</v>
      </c>
      <c r="Z450" s="849">
        <v>180.4</v>
      </c>
      <c r="AA450" s="849"/>
      <c r="AB450" s="849">
        <f>IF(AA450="F.O.C", 0, Z450*U450)</f>
        <v>1082.4000000000001</v>
      </c>
      <c r="AC450" s="850">
        <f>Z450*U450</f>
        <v>1082.4000000000001</v>
      </c>
      <c r="AD450" s="851"/>
      <c r="AE450" s="852">
        <v>27222.43</v>
      </c>
      <c r="AF450" s="853">
        <v>0</v>
      </c>
      <c r="AG450" s="854">
        <f>(AC450*AE450+BO450+BP450+BQ450+BS450)*AF450</f>
        <v>0</v>
      </c>
      <c r="AH450" s="853"/>
      <c r="AI450" s="855">
        <f>(AC450*AE450+AG450+BF450+BG450+BH450+BJ450)*AH450</f>
        <v>0</v>
      </c>
      <c r="AJ450" s="845" t="s">
        <v>1633</v>
      </c>
      <c r="AK450" s="857">
        <v>45632</v>
      </c>
      <c r="AL450" s="840" t="s">
        <v>1634</v>
      </c>
      <c r="AM450" s="840" t="s">
        <v>1635</v>
      </c>
      <c r="AN450" s="858" t="s">
        <v>1636</v>
      </c>
      <c r="AO450" s="844"/>
      <c r="AP450" s="859">
        <v>45603</v>
      </c>
      <c r="AQ450" s="859">
        <v>45603</v>
      </c>
      <c r="AR450" s="859">
        <v>45482</v>
      </c>
      <c r="AS450" s="840"/>
      <c r="AT450" s="840" t="s">
        <v>1235</v>
      </c>
      <c r="AU450" s="860" t="s">
        <v>1602</v>
      </c>
      <c r="AV450" s="839" t="s">
        <v>1637</v>
      </c>
      <c r="AW450" s="861">
        <v>45482</v>
      </c>
      <c r="AX450" s="862"/>
      <c r="AY450" s="843"/>
      <c r="AZ450" s="842"/>
      <c r="BA450" s="842" t="s">
        <v>120</v>
      </c>
      <c r="BB450" s="863" t="s">
        <v>121</v>
      </c>
      <c r="BC450" s="864">
        <v>45547</v>
      </c>
      <c r="BD450" s="860" t="s">
        <v>1638</v>
      </c>
      <c r="BE450" s="865" cm="1">
        <f t="array" ref="BE450">IF(BD450="","",AC450/SUMPRODUCT(--(BD450=$BD$4:$BD$12824),$AC$4:$AC$12824))</f>
        <v>1.6828368674358624E-2</v>
      </c>
      <c r="BF450" s="458"/>
      <c r="BG450" s="458"/>
      <c r="BH450" s="458"/>
      <c r="BI450" s="458"/>
      <c r="BJ450" s="458"/>
      <c r="BK450" s="458"/>
      <c r="BL450" s="458"/>
      <c r="BM450" s="458"/>
      <c r="BN450" s="458"/>
      <c r="BO450" s="866">
        <f>VLOOKUP(BD450,$BD$4:$BN$12824,3,0)*BE450</f>
        <v>482267.38946976943</v>
      </c>
      <c r="BP450" s="866"/>
      <c r="BQ450" s="866"/>
      <c r="BR450" s="866">
        <f>VLOOKUP(BD450,$BD$4:$BN$12824,6,0)*BE450</f>
        <v>211301.73961550964</v>
      </c>
      <c r="BS450" s="866">
        <f>VLOOKUP(BD450,$BD$4:$BN$12824,7,0)*BE450</f>
        <v>29135.173454709853</v>
      </c>
      <c r="BT450" s="866"/>
      <c r="BU450" s="866">
        <f>VLOOKUP(BD450,$BD$4:$BN$12824,9,0)*BE450</f>
        <v>8414.1843371793129</v>
      </c>
      <c r="BV450" s="867"/>
      <c r="BW450" s="867">
        <f>VLOOKUP(BD450,$BD$4:$BN$12824,11,0)*BE450</f>
        <v>21809.565801968776</v>
      </c>
      <c r="BX450" s="1146">
        <f>SUM(BO450:BW450)</f>
        <v>752928.05267913698</v>
      </c>
      <c r="BY450" s="867">
        <f>(AB450*AE450+AG450+BX450)/U450</f>
        <v>5036414.3807798568</v>
      </c>
      <c r="BZ450" s="867">
        <f>BY450*U450</f>
        <v>30218486.284679141</v>
      </c>
      <c r="CA450" s="867">
        <f>_xlfn.MAXIFS($BY$4:$BY$12824,$S$4:$S$12824,$S450)</f>
        <v>6594948.7779775029</v>
      </c>
      <c r="CB450" s="1032"/>
      <c r="CF450" s="946">
        <f>AC450*AE450</f>
        <v>29465558.232000005</v>
      </c>
    </row>
    <row r="451" spans="1:84">
      <c r="A451" s="1032"/>
      <c r="B451" s="839" t="s">
        <v>98</v>
      </c>
      <c r="C451" s="839" t="s">
        <v>381</v>
      </c>
      <c r="D451" s="839" t="s">
        <v>1590</v>
      </c>
      <c r="E451" s="839" t="s">
        <v>1591</v>
      </c>
      <c r="F451" s="841">
        <v>45508</v>
      </c>
      <c r="G451" s="840" t="s">
        <v>381</v>
      </c>
      <c r="H451" s="842" t="s">
        <v>134</v>
      </c>
      <c r="I451" s="842"/>
      <c r="J451" s="841"/>
      <c r="K451" s="841"/>
      <c r="L451" s="843" t="s">
        <v>106</v>
      </c>
      <c r="M451" s="844" t="s">
        <v>107</v>
      </c>
      <c r="N451" s="841">
        <v>45479</v>
      </c>
      <c r="O451" s="841" t="s">
        <v>150</v>
      </c>
      <c r="P451" s="841" t="s">
        <v>151</v>
      </c>
      <c r="Q451" s="843"/>
      <c r="R451" s="845" t="s">
        <v>1655</v>
      </c>
      <c r="S451" s="1127" t="s">
        <v>1655</v>
      </c>
      <c r="T451" s="843" t="s">
        <v>1656</v>
      </c>
      <c r="U451" s="842">
        <v>6</v>
      </c>
      <c r="V451" s="842" t="s">
        <v>3</v>
      </c>
      <c r="W451" s="846">
        <v>410</v>
      </c>
      <c r="X451" s="847">
        <f t="shared" si="92"/>
        <v>2460</v>
      </c>
      <c r="Y451" s="848">
        <f t="shared" ref="Y451:Y515" si="98">(W451-Z451)/W451</f>
        <v>0.55999999999999994</v>
      </c>
      <c r="Z451" s="849">
        <v>180.4</v>
      </c>
      <c r="AA451" s="849"/>
      <c r="AB451" s="849">
        <f t="shared" si="93"/>
        <v>1082.4000000000001</v>
      </c>
      <c r="AC451" s="850">
        <f t="shared" si="94"/>
        <v>1082.4000000000001</v>
      </c>
      <c r="AD451" s="851"/>
      <c r="AE451" s="852">
        <v>27222.43</v>
      </c>
      <c r="AF451" s="853">
        <v>0</v>
      </c>
      <c r="AG451" s="854">
        <f t="shared" si="95"/>
        <v>0</v>
      </c>
      <c r="AH451" s="853"/>
      <c r="AI451" s="855">
        <f t="shared" si="96"/>
        <v>0</v>
      </c>
      <c r="AJ451" s="845" t="s">
        <v>1633</v>
      </c>
      <c r="AK451" s="857">
        <v>45632</v>
      </c>
      <c r="AL451" s="840" t="s">
        <v>1634</v>
      </c>
      <c r="AM451" s="840" t="s">
        <v>1635</v>
      </c>
      <c r="AN451" s="858" t="s">
        <v>1636</v>
      </c>
      <c r="AO451" s="844"/>
      <c r="AP451" s="859">
        <v>45603</v>
      </c>
      <c r="AQ451" s="859">
        <v>45603</v>
      </c>
      <c r="AR451" s="859">
        <v>45482</v>
      </c>
      <c r="AS451" s="840"/>
      <c r="AT451" s="840" t="s">
        <v>1235</v>
      </c>
      <c r="AU451" s="860" t="s">
        <v>1602</v>
      </c>
      <c r="AV451" s="839" t="s">
        <v>1637</v>
      </c>
      <c r="AW451" s="861">
        <v>45482</v>
      </c>
      <c r="AX451" s="862"/>
      <c r="AY451" s="843"/>
      <c r="AZ451" s="842"/>
      <c r="BA451" s="842" t="s">
        <v>120</v>
      </c>
      <c r="BB451" s="863" t="s">
        <v>121</v>
      </c>
      <c r="BC451" s="864">
        <v>45547</v>
      </c>
      <c r="BD451" s="860" t="s">
        <v>1638</v>
      </c>
      <c r="BE451" s="865" cm="1">
        <f t="array" ref="BE451">IF(BD451="","",AC451/SUMPRODUCT(--(BD451=$BD$4:$BD$12824),$AC$4:$AC$12824))</f>
        <v>1.6828368674358624E-2</v>
      </c>
      <c r="BF451" s="458"/>
      <c r="BG451" s="458"/>
      <c r="BH451" s="458"/>
      <c r="BI451" s="458"/>
      <c r="BJ451" s="458"/>
      <c r="BK451" s="458"/>
      <c r="BL451" s="458"/>
      <c r="BM451" s="458"/>
      <c r="BN451" s="458"/>
      <c r="BO451" s="866">
        <f>VLOOKUP(BD451,$BD$4:$BN$12824,3,0)*BE451</f>
        <v>482267.38946976943</v>
      </c>
      <c r="BP451" s="866"/>
      <c r="BQ451" s="866"/>
      <c r="BR451" s="866">
        <f>VLOOKUP(BD451,$BD$4:$BN$12824,6,0)*BE451</f>
        <v>211301.73961550964</v>
      </c>
      <c r="BS451" s="866">
        <f>VLOOKUP(BD451,$BD$4:$BN$12824,7,0)*BE451</f>
        <v>29135.173454709853</v>
      </c>
      <c r="BT451" s="866"/>
      <c r="BU451" s="866">
        <f>VLOOKUP(BD451,$BD$4:$BN$12824,9,0)*BE451</f>
        <v>8414.1843371793129</v>
      </c>
      <c r="BV451" s="867"/>
      <c r="BW451" s="867">
        <f>VLOOKUP(BD451,$BD$4:$BN$12824,11,0)*BE451</f>
        <v>21809.565801968776</v>
      </c>
      <c r="BX451" s="1146">
        <f t="shared" si="91"/>
        <v>752928.05267913698</v>
      </c>
      <c r="BY451" s="867">
        <f t="shared" si="83"/>
        <v>5036414.3807798568</v>
      </c>
      <c r="BZ451" s="867">
        <f t="shared" si="97"/>
        <v>30218486.284679141</v>
      </c>
      <c r="CA451" s="867">
        <f>_xlfn.MAXIFS($BY$4:$BY$12824,$S$4:$S$12824,$S451)</f>
        <v>5755591.6607803665</v>
      </c>
      <c r="CB451" s="1032"/>
      <c r="CF451" s="946">
        <f t="shared" ref="CF451:CF515" si="99">AC451*AE451</f>
        <v>29465558.232000005</v>
      </c>
    </row>
    <row r="452" spans="1:84">
      <c r="A452" s="1032"/>
      <c r="B452" s="839" t="s">
        <v>98</v>
      </c>
      <c r="C452" s="839" t="s">
        <v>381</v>
      </c>
      <c r="D452" s="839" t="s">
        <v>1590</v>
      </c>
      <c r="E452" s="839" t="s">
        <v>1591</v>
      </c>
      <c r="F452" s="841">
        <v>45508</v>
      </c>
      <c r="G452" s="840" t="s">
        <v>381</v>
      </c>
      <c r="H452" s="842" t="s">
        <v>134</v>
      </c>
      <c r="I452" s="842"/>
      <c r="J452" s="841"/>
      <c r="K452" s="841"/>
      <c r="L452" s="843" t="s">
        <v>106</v>
      </c>
      <c r="M452" s="844" t="s">
        <v>107</v>
      </c>
      <c r="N452" s="841">
        <v>45479</v>
      </c>
      <c r="O452" s="841" t="s">
        <v>150</v>
      </c>
      <c r="P452" s="841" t="s">
        <v>151</v>
      </c>
      <c r="Q452" s="843"/>
      <c r="R452" s="845" t="s">
        <v>1657</v>
      </c>
      <c r="S452" s="1127" t="s">
        <v>1657</v>
      </c>
      <c r="T452" s="843" t="s">
        <v>1658</v>
      </c>
      <c r="U452" s="842">
        <v>6</v>
      </c>
      <c r="V452" s="842" t="s">
        <v>3</v>
      </c>
      <c r="W452" s="846">
        <v>410</v>
      </c>
      <c r="X452" s="847">
        <f t="shared" si="92"/>
        <v>2460</v>
      </c>
      <c r="Y452" s="848">
        <f t="shared" si="98"/>
        <v>0.55999999999999994</v>
      </c>
      <c r="Z452" s="849">
        <v>180.4</v>
      </c>
      <c r="AA452" s="849"/>
      <c r="AB452" s="849">
        <f t="shared" si="93"/>
        <v>1082.4000000000001</v>
      </c>
      <c r="AC452" s="850">
        <f t="shared" si="94"/>
        <v>1082.4000000000001</v>
      </c>
      <c r="AD452" s="851"/>
      <c r="AE452" s="852">
        <v>27222.43</v>
      </c>
      <c r="AF452" s="853">
        <v>0</v>
      </c>
      <c r="AG452" s="854">
        <f t="shared" si="95"/>
        <v>0</v>
      </c>
      <c r="AH452" s="853"/>
      <c r="AI452" s="855">
        <f t="shared" si="96"/>
        <v>0</v>
      </c>
      <c r="AJ452" s="845" t="s">
        <v>1633</v>
      </c>
      <c r="AK452" s="857">
        <v>45632</v>
      </c>
      <c r="AL452" s="840" t="s">
        <v>1634</v>
      </c>
      <c r="AM452" s="840" t="s">
        <v>1635</v>
      </c>
      <c r="AN452" s="858" t="s">
        <v>1636</v>
      </c>
      <c r="AO452" s="844"/>
      <c r="AP452" s="859">
        <v>45603</v>
      </c>
      <c r="AQ452" s="859">
        <v>45603</v>
      </c>
      <c r="AR452" s="859">
        <v>45482</v>
      </c>
      <c r="AS452" s="840"/>
      <c r="AT452" s="840" t="s">
        <v>1235</v>
      </c>
      <c r="AU452" s="860" t="s">
        <v>1602</v>
      </c>
      <c r="AV452" s="839" t="s">
        <v>1637</v>
      </c>
      <c r="AW452" s="861">
        <v>45482</v>
      </c>
      <c r="AX452" s="862"/>
      <c r="AY452" s="843"/>
      <c r="AZ452" s="842"/>
      <c r="BA452" s="842" t="s">
        <v>120</v>
      </c>
      <c r="BB452" s="863" t="s">
        <v>121</v>
      </c>
      <c r="BC452" s="864">
        <v>45547</v>
      </c>
      <c r="BD452" s="860" t="s">
        <v>1638</v>
      </c>
      <c r="BE452" s="865" cm="1">
        <f t="array" ref="BE452">IF(BD452="","",AC452/SUMPRODUCT(--(BD452=$BD$4:$BD$12824),$AC$4:$AC$12824))</f>
        <v>1.6828368674358624E-2</v>
      </c>
      <c r="BF452" s="458"/>
      <c r="BG452" s="458"/>
      <c r="BH452" s="458"/>
      <c r="BI452" s="458"/>
      <c r="BJ452" s="458"/>
      <c r="BK452" s="458"/>
      <c r="BL452" s="458"/>
      <c r="BM452" s="458"/>
      <c r="BN452" s="458"/>
      <c r="BO452" s="866">
        <f>VLOOKUP(BD452,$BD$4:$BN$12824,3,0)*BE452</f>
        <v>482267.38946976943</v>
      </c>
      <c r="BP452" s="866"/>
      <c r="BQ452" s="866"/>
      <c r="BR452" s="866">
        <f>VLOOKUP(BD452,$BD$4:$BN$12824,6,0)*BE452</f>
        <v>211301.73961550964</v>
      </c>
      <c r="BS452" s="866">
        <f>VLOOKUP(BD452,$BD$4:$BN$12824,7,0)*BE452</f>
        <v>29135.173454709853</v>
      </c>
      <c r="BT452" s="866"/>
      <c r="BU452" s="866">
        <f>VLOOKUP(BD452,$BD$4:$BN$12824,9,0)*BE452</f>
        <v>8414.1843371793129</v>
      </c>
      <c r="BV452" s="867"/>
      <c r="BW452" s="867">
        <f>VLOOKUP(BD452,$BD$4:$BN$12824,11,0)*BE452</f>
        <v>21809.565801968776</v>
      </c>
      <c r="BX452" s="1146">
        <f t="shared" si="91"/>
        <v>752928.05267913698</v>
      </c>
      <c r="BY452" s="867">
        <f t="shared" si="83"/>
        <v>5036414.3807798568</v>
      </c>
      <c r="BZ452" s="867">
        <f t="shared" si="97"/>
        <v>30218486.284679141</v>
      </c>
      <c r="CA452" s="867">
        <f>_xlfn.MAXIFS($BY$4:$BY$12824,$S$4:$S$12824,$S452)</f>
        <v>5755591.6607803665</v>
      </c>
      <c r="CB452" s="1032"/>
      <c r="CF452" s="946">
        <f t="shared" si="99"/>
        <v>29465558.232000005</v>
      </c>
    </row>
    <row r="453" spans="1:84">
      <c r="A453" s="1032"/>
      <c r="B453" s="839" t="s">
        <v>98</v>
      </c>
      <c r="C453" s="839" t="s">
        <v>381</v>
      </c>
      <c r="D453" s="839" t="s">
        <v>1590</v>
      </c>
      <c r="E453" s="839" t="s">
        <v>1591</v>
      </c>
      <c r="F453" s="841">
        <v>45508</v>
      </c>
      <c r="G453" s="840" t="s">
        <v>381</v>
      </c>
      <c r="H453" s="842" t="s">
        <v>134</v>
      </c>
      <c r="I453" s="842"/>
      <c r="J453" s="841"/>
      <c r="K453" s="841"/>
      <c r="L453" s="843" t="s">
        <v>106</v>
      </c>
      <c r="M453" s="844" t="s">
        <v>107</v>
      </c>
      <c r="N453" s="841">
        <v>45479</v>
      </c>
      <c r="O453" s="841" t="s">
        <v>150</v>
      </c>
      <c r="P453" s="841" t="s">
        <v>151</v>
      </c>
      <c r="Q453" s="843"/>
      <c r="R453" s="845" t="s">
        <v>1659</v>
      </c>
      <c r="S453" s="1127" t="s">
        <v>1659</v>
      </c>
      <c r="T453" s="843" t="s">
        <v>1660</v>
      </c>
      <c r="U453" s="842">
        <v>6</v>
      </c>
      <c r="V453" s="842" t="s">
        <v>3</v>
      </c>
      <c r="W453" s="846">
        <v>410</v>
      </c>
      <c r="X453" s="847">
        <f t="shared" si="92"/>
        <v>2460</v>
      </c>
      <c r="Y453" s="848">
        <f t="shared" si="98"/>
        <v>0.55999999999999994</v>
      </c>
      <c r="Z453" s="849">
        <v>180.4</v>
      </c>
      <c r="AA453" s="849"/>
      <c r="AB453" s="849">
        <f t="shared" si="93"/>
        <v>1082.4000000000001</v>
      </c>
      <c r="AC453" s="850">
        <f t="shared" si="94"/>
        <v>1082.4000000000001</v>
      </c>
      <c r="AD453" s="851"/>
      <c r="AE453" s="852">
        <v>27222.43</v>
      </c>
      <c r="AF453" s="853">
        <v>0</v>
      </c>
      <c r="AG453" s="854">
        <f t="shared" si="95"/>
        <v>0</v>
      </c>
      <c r="AH453" s="853"/>
      <c r="AI453" s="855">
        <f t="shared" si="96"/>
        <v>0</v>
      </c>
      <c r="AJ453" s="845" t="s">
        <v>1633</v>
      </c>
      <c r="AK453" s="857">
        <v>45632</v>
      </c>
      <c r="AL453" s="840" t="s">
        <v>1634</v>
      </c>
      <c r="AM453" s="840" t="s">
        <v>1635</v>
      </c>
      <c r="AN453" s="858" t="s">
        <v>1636</v>
      </c>
      <c r="AO453" s="844"/>
      <c r="AP453" s="859">
        <v>45603</v>
      </c>
      <c r="AQ453" s="859">
        <v>45603</v>
      </c>
      <c r="AR453" s="859">
        <v>45482</v>
      </c>
      <c r="AS453" s="840"/>
      <c r="AT453" s="840" t="s">
        <v>1235</v>
      </c>
      <c r="AU453" s="860" t="s">
        <v>1602</v>
      </c>
      <c r="AV453" s="839" t="s">
        <v>1637</v>
      </c>
      <c r="AW453" s="861">
        <v>45482</v>
      </c>
      <c r="AX453" s="862"/>
      <c r="AY453" s="843"/>
      <c r="AZ453" s="842"/>
      <c r="BA453" s="842" t="s">
        <v>120</v>
      </c>
      <c r="BB453" s="863" t="s">
        <v>121</v>
      </c>
      <c r="BC453" s="864">
        <v>45547</v>
      </c>
      <c r="BD453" s="860" t="s">
        <v>1638</v>
      </c>
      <c r="BE453" s="865" cm="1">
        <f t="array" ref="BE453">IF(BD453="","",AC453/SUMPRODUCT(--(BD453=$BD$4:$BD$12824),$AC$4:$AC$12824))</f>
        <v>1.6828368674358624E-2</v>
      </c>
      <c r="BF453" s="458"/>
      <c r="BG453" s="458"/>
      <c r="BH453" s="458"/>
      <c r="BI453" s="458"/>
      <c r="BJ453" s="458"/>
      <c r="BK453" s="458"/>
      <c r="BL453" s="458"/>
      <c r="BM453" s="458"/>
      <c r="BN453" s="458"/>
      <c r="BO453" s="866">
        <f>VLOOKUP(BD453,$BD$4:$BN$12824,3,0)*BE453</f>
        <v>482267.38946976943</v>
      </c>
      <c r="BP453" s="866"/>
      <c r="BQ453" s="866"/>
      <c r="BR453" s="866">
        <f>VLOOKUP(BD453,$BD$4:$BN$12824,6,0)*BE453</f>
        <v>211301.73961550964</v>
      </c>
      <c r="BS453" s="866">
        <f>VLOOKUP(BD453,$BD$4:$BN$12824,7,0)*BE453</f>
        <v>29135.173454709853</v>
      </c>
      <c r="BT453" s="866"/>
      <c r="BU453" s="866">
        <f>VLOOKUP(BD453,$BD$4:$BN$12824,9,0)*BE453</f>
        <v>8414.1843371793129</v>
      </c>
      <c r="BV453" s="867"/>
      <c r="BW453" s="867">
        <f>VLOOKUP(BD453,$BD$4:$BN$12824,11,0)*BE453</f>
        <v>21809.565801968776</v>
      </c>
      <c r="BX453" s="1146">
        <f t="shared" si="91"/>
        <v>752928.05267913698</v>
      </c>
      <c r="BY453" s="867">
        <f t="shared" si="83"/>
        <v>5036414.3807798568</v>
      </c>
      <c r="BZ453" s="867">
        <f t="shared" si="97"/>
        <v>30218486.284679141</v>
      </c>
      <c r="CA453" s="867">
        <f>_xlfn.MAXIFS($BY$4:$BY$12824,$S$4:$S$12824,$S453)</f>
        <v>5755591.6607803665</v>
      </c>
      <c r="CB453" s="1032"/>
      <c r="CF453" s="946">
        <f t="shared" si="99"/>
        <v>29465558.232000005</v>
      </c>
    </row>
    <row r="454" spans="1:84">
      <c r="A454" s="1032"/>
      <c r="B454" s="839" t="s">
        <v>98</v>
      </c>
      <c r="C454" s="839" t="s">
        <v>381</v>
      </c>
      <c r="D454" s="839" t="s">
        <v>1590</v>
      </c>
      <c r="E454" s="839" t="s">
        <v>1591</v>
      </c>
      <c r="F454" s="841">
        <v>45508</v>
      </c>
      <c r="G454" s="840" t="s">
        <v>381</v>
      </c>
      <c r="H454" s="842" t="s">
        <v>134</v>
      </c>
      <c r="I454" s="842"/>
      <c r="J454" s="841"/>
      <c r="K454" s="841"/>
      <c r="L454" s="843" t="s">
        <v>106</v>
      </c>
      <c r="M454" s="844" t="s">
        <v>107</v>
      </c>
      <c r="N454" s="841">
        <v>45479</v>
      </c>
      <c r="O454" s="841" t="s">
        <v>150</v>
      </c>
      <c r="P454" s="841" t="s">
        <v>151</v>
      </c>
      <c r="Q454" s="843"/>
      <c r="R454" s="845" t="s">
        <v>1661</v>
      </c>
      <c r="S454" s="1127" t="s">
        <v>1661</v>
      </c>
      <c r="T454" s="843" t="s">
        <v>1662</v>
      </c>
      <c r="U454" s="842">
        <v>12</v>
      </c>
      <c r="V454" s="842" t="s">
        <v>3</v>
      </c>
      <c r="W454" s="846">
        <v>410</v>
      </c>
      <c r="X454" s="847">
        <f t="shared" si="92"/>
        <v>4920</v>
      </c>
      <c r="Y454" s="848">
        <f t="shared" si="98"/>
        <v>0.55999999999999994</v>
      </c>
      <c r="Z454" s="849">
        <v>180.4</v>
      </c>
      <c r="AA454" s="849"/>
      <c r="AB454" s="849">
        <f t="shared" si="93"/>
        <v>2164.8000000000002</v>
      </c>
      <c r="AC454" s="850">
        <f t="shared" si="94"/>
        <v>2164.8000000000002</v>
      </c>
      <c r="AD454" s="851"/>
      <c r="AE454" s="852">
        <v>27222.43</v>
      </c>
      <c r="AF454" s="853">
        <v>0</v>
      </c>
      <c r="AG454" s="854">
        <f t="shared" si="95"/>
        <v>0</v>
      </c>
      <c r="AH454" s="853"/>
      <c r="AI454" s="855">
        <f t="shared" si="96"/>
        <v>0</v>
      </c>
      <c r="AJ454" s="845" t="s">
        <v>1633</v>
      </c>
      <c r="AK454" s="857">
        <v>45632</v>
      </c>
      <c r="AL454" s="840" t="s">
        <v>1634</v>
      </c>
      <c r="AM454" s="840" t="s">
        <v>1635</v>
      </c>
      <c r="AN454" s="858" t="s">
        <v>1636</v>
      </c>
      <c r="AO454" s="844"/>
      <c r="AP454" s="859">
        <v>45603</v>
      </c>
      <c r="AQ454" s="859">
        <v>45603</v>
      </c>
      <c r="AR454" s="859">
        <v>45482</v>
      </c>
      <c r="AS454" s="840"/>
      <c r="AT454" s="840" t="s">
        <v>1235</v>
      </c>
      <c r="AU454" s="860" t="s">
        <v>1602</v>
      </c>
      <c r="AV454" s="839" t="s">
        <v>1637</v>
      </c>
      <c r="AW454" s="861">
        <v>45482</v>
      </c>
      <c r="AX454" s="862"/>
      <c r="AY454" s="843"/>
      <c r="AZ454" s="842"/>
      <c r="BA454" s="842" t="s">
        <v>120</v>
      </c>
      <c r="BB454" s="863" t="s">
        <v>121</v>
      </c>
      <c r="BC454" s="864">
        <v>45547</v>
      </c>
      <c r="BD454" s="860" t="s">
        <v>1638</v>
      </c>
      <c r="BE454" s="865" cm="1">
        <f t="array" ref="BE454">IF(BD454="","",AC454/SUMPRODUCT(--(BD454=$BD$4:$BD$12824),$AC$4:$AC$12824))</f>
        <v>3.3656737348717249E-2</v>
      </c>
      <c r="BF454" s="458"/>
      <c r="BG454" s="458"/>
      <c r="BH454" s="458"/>
      <c r="BI454" s="458"/>
      <c r="BJ454" s="458"/>
      <c r="BK454" s="458"/>
      <c r="BL454" s="458"/>
      <c r="BM454" s="458"/>
      <c r="BN454" s="458"/>
      <c r="BO454" s="866">
        <f>VLOOKUP(BD454,$BD$4:$BN$12824,3,0)*BE454</f>
        <v>964534.77893953887</v>
      </c>
      <c r="BP454" s="866"/>
      <c r="BQ454" s="866"/>
      <c r="BR454" s="866">
        <f>VLOOKUP(BD454,$BD$4:$BN$12824,6,0)*BE454</f>
        <v>422603.47923101927</v>
      </c>
      <c r="BS454" s="866">
        <f>VLOOKUP(BD454,$BD$4:$BN$12824,7,0)*BE454</f>
        <v>58270.346909419706</v>
      </c>
      <c r="BT454" s="866"/>
      <c r="BU454" s="866">
        <f>VLOOKUP(BD454,$BD$4:$BN$12824,9,0)*BE454</f>
        <v>16828.368674358626</v>
      </c>
      <c r="BV454" s="867"/>
      <c r="BW454" s="867">
        <f>VLOOKUP(BD454,$BD$4:$BN$12824,11,0)*BE454</f>
        <v>43619.131603937552</v>
      </c>
      <c r="BX454" s="1146">
        <f t="shared" si="91"/>
        <v>1505856.105358274</v>
      </c>
      <c r="BY454" s="867">
        <f t="shared" si="83"/>
        <v>5036414.3807798568</v>
      </c>
      <c r="BZ454" s="867">
        <f t="shared" si="97"/>
        <v>60436972.569358282</v>
      </c>
      <c r="CA454" s="867">
        <f>_xlfn.MAXIFS($BY$4:$BY$12824,$S$4:$S$12824,$S454)</f>
        <v>5755591.6607803656</v>
      </c>
      <c r="CB454" s="1032"/>
      <c r="CF454" s="946">
        <f t="shared" si="99"/>
        <v>58931116.464000009</v>
      </c>
    </row>
    <row r="455" spans="1:84">
      <c r="A455" s="1032"/>
      <c r="B455" s="839" t="s">
        <v>98</v>
      </c>
      <c r="C455" s="839" t="s">
        <v>381</v>
      </c>
      <c r="D455" s="839" t="s">
        <v>1590</v>
      </c>
      <c r="E455" s="839" t="s">
        <v>1591</v>
      </c>
      <c r="F455" s="841">
        <v>45508</v>
      </c>
      <c r="G455" s="840" t="s">
        <v>381</v>
      </c>
      <c r="H455" s="842" t="s">
        <v>134</v>
      </c>
      <c r="I455" s="842"/>
      <c r="J455" s="841"/>
      <c r="K455" s="841"/>
      <c r="L455" s="843" t="s">
        <v>106</v>
      </c>
      <c r="M455" s="844" t="s">
        <v>107</v>
      </c>
      <c r="N455" s="841">
        <v>45479</v>
      </c>
      <c r="O455" s="841" t="s">
        <v>150</v>
      </c>
      <c r="P455" s="841" t="s">
        <v>151</v>
      </c>
      <c r="Q455" s="843"/>
      <c r="R455" s="845" t="s">
        <v>1663</v>
      </c>
      <c r="S455" s="1127" t="s">
        <v>1663</v>
      </c>
      <c r="T455" s="843" t="s">
        <v>1664</v>
      </c>
      <c r="U455" s="842">
        <v>6</v>
      </c>
      <c r="V455" s="842" t="s">
        <v>3</v>
      </c>
      <c r="W455" s="846">
        <v>410</v>
      </c>
      <c r="X455" s="847">
        <f t="shared" si="92"/>
        <v>2460</v>
      </c>
      <c r="Y455" s="848">
        <f t="shared" si="98"/>
        <v>0.55999999999999994</v>
      </c>
      <c r="Z455" s="849">
        <v>180.4</v>
      </c>
      <c r="AA455" s="849"/>
      <c r="AB455" s="849">
        <f t="shared" si="93"/>
        <v>1082.4000000000001</v>
      </c>
      <c r="AC455" s="850">
        <f t="shared" si="94"/>
        <v>1082.4000000000001</v>
      </c>
      <c r="AD455" s="851"/>
      <c r="AE455" s="852">
        <v>27222.43</v>
      </c>
      <c r="AF455" s="853">
        <v>0</v>
      </c>
      <c r="AG455" s="854">
        <f t="shared" si="95"/>
        <v>0</v>
      </c>
      <c r="AH455" s="853"/>
      <c r="AI455" s="855">
        <f t="shared" si="96"/>
        <v>0</v>
      </c>
      <c r="AJ455" s="845" t="s">
        <v>1633</v>
      </c>
      <c r="AK455" s="857">
        <v>45632</v>
      </c>
      <c r="AL455" s="840" t="s">
        <v>1634</v>
      </c>
      <c r="AM455" s="840" t="s">
        <v>1635</v>
      </c>
      <c r="AN455" s="858" t="s">
        <v>1636</v>
      </c>
      <c r="AO455" s="844"/>
      <c r="AP455" s="859">
        <v>45603</v>
      </c>
      <c r="AQ455" s="859">
        <v>45603</v>
      </c>
      <c r="AR455" s="859">
        <v>45482</v>
      </c>
      <c r="AS455" s="840"/>
      <c r="AT455" s="840" t="s">
        <v>1235</v>
      </c>
      <c r="AU455" s="860" t="s">
        <v>1602</v>
      </c>
      <c r="AV455" s="839" t="s">
        <v>1637</v>
      </c>
      <c r="AW455" s="861">
        <v>45482</v>
      </c>
      <c r="AX455" s="862"/>
      <c r="AY455" s="843"/>
      <c r="AZ455" s="842"/>
      <c r="BA455" s="842" t="s">
        <v>120</v>
      </c>
      <c r="BB455" s="863" t="s">
        <v>121</v>
      </c>
      <c r="BC455" s="864">
        <v>45547</v>
      </c>
      <c r="BD455" s="860" t="s">
        <v>1638</v>
      </c>
      <c r="BE455" s="865" cm="1">
        <f t="array" ref="BE455">IF(BD455="","",AC455/SUMPRODUCT(--(BD455=$BD$4:$BD$12824),$AC$4:$AC$12824))</f>
        <v>1.6828368674358624E-2</v>
      </c>
      <c r="BF455" s="458"/>
      <c r="BG455" s="458"/>
      <c r="BH455" s="458"/>
      <c r="BI455" s="458"/>
      <c r="BJ455" s="458"/>
      <c r="BK455" s="458"/>
      <c r="BL455" s="458"/>
      <c r="BM455" s="458"/>
      <c r="BN455" s="458"/>
      <c r="BO455" s="866">
        <f>VLOOKUP(BD455,$BD$4:$BN$12824,3,0)*BE455</f>
        <v>482267.38946976943</v>
      </c>
      <c r="BP455" s="866"/>
      <c r="BQ455" s="866"/>
      <c r="BR455" s="866">
        <f>VLOOKUP(BD455,$BD$4:$BN$12824,6,0)*BE455</f>
        <v>211301.73961550964</v>
      </c>
      <c r="BS455" s="866">
        <f>VLOOKUP(BD455,$BD$4:$BN$12824,7,0)*BE455</f>
        <v>29135.173454709853</v>
      </c>
      <c r="BT455" s="866"/>
      <c r="BU455" s="866">
        <f>VLOOKUP(BD455,$BD$4:$BN$12824,9,0)*BE455</f>
        <v>8414.1843371793129</v>
      </c>
      <c r="BV455" s="867"/>
      <c r="BW455" s="867">
        <f>VLOOKUP(BD455,$BD$4:$BN$12824,11,0)*BE455</f>
        <v>21809.565801968776</v>
      </c>
      <c r="BX455" s="1146">
        <f t="shared" si="91"/>
        <v>752928.05267913698</v>
      </c>
      <c r="BY455" s="867">
        <f t="shared" ref="BY455:BY517" si="100">(AB455*AE455+AG455+BX455)/U455</f>
        <v>5036414.3807798568</v>
      </c>
      <c r="BZ455" s="867">
        <f t="shared" si="97"/>
        <v>30218486.284679141</v>
      </c>
      <c r="CA455" s="867">
        <f>_xlfn.MAXIFS($BY$4:$BY$12824,$S$4:$S$12824,$S455)</f>
        <v>5755591.6607803665</v>
      </c>
      <c r="CB455" s="1032"/>
      <c r="CF455" s="946">
        <f t="shared" si="99"/>
        <v>29465558.232000005</v>
      </c>
    </row>
    <row r="456" spans="1:84">
      <c r="A456" s="1032"/>
      <c r="B456" s="839" t="s">
        <v>98</v>
      </c>
      <c r="C456" s="839" t="s">
        <v>381</v>
      </c>
      <c r="D456" s="839" t="s">
        <v>1590</v>
      </c>
      <c r="E456" s="839" t="s">
        <v>1591</v>
      </c>
      <c r="F456" s="841">
        <v>45508</v>
      </c>
      <c r="G456" s="840" t="s">
        <v>381</v>
      </c>
      <c r="H456" s="842" t="s">
        <v>134</v>
      </c>
      <c r="I456" s="842"/>
      <c r="J456" s="841"/>
      <c r="K456" s="841"/>
      <c r="L456" s="843" t="s">
        <v>106</v>
      </c>
      <c r="M456" s="844" t="s">
        <v>107</v>
      </c>
      <c r="N456" s="841">
        <v>45479</v>
      </c>
      <c r="O456" s="841" t="s">
        <v>150</v>
      </c>
      <c r="P456" s="841" t="s">
        <v>151</v>
      </c>
      <c r="Q456" s="843"/>
      <c r="R456" s="845" t="s">
        <v>1665</v>
      </c>
      <c r="S456" s="1127" t="s">
        <v>1665</v>
      </c>
      <c r="T456" s="843" t="s">
        <v>1666</v>
      </c>
      <c r="U456" s="842">
        <v>6</v>
      </c>
      <c r="V456" s="842" t="s">
        <v>3</v>
      </c>
      <c r="W456" s="846">
        <v>410</v>
      </c>
      <c r="X456" s="847">
        <f t="shared" si="92"/>
        <v>2460</v>
      </c>
      <c r="Y456" s="848">
        <f t="shared" si="98"/>
        <v>0.55999999999999994</v>
      </c>
      <c r="Z456" s="849">
        <v>180.4</v>
      </c>
      <c r="AA456" s="849"/>
      <c r="AB456" s="849">
        <f t="shared" si="93"/>
        <v>1082.4000000000001</v>
      </c>
      <c r="AC456" s="850">
        <f t="shared" si="94"/>
        <v>1082.4000000000001</v>
      </c>
      <c r="AD456" s="851"/>
      <c r="AE456" s="852">
        <v>27222.43</v>
      </c>
      <c r="AF456" s="853">
        <v>0</v>
      </c>
      <c r="AG456" s="854">
        <f t="shared" si="95"/>
        <v>0</v>
      </c>
      <c r="AH456" s="853"/>
      <c r="AI456" s="855">
        <f t="shared" si="96"/>
        <v>0</v>
      </c>
      <c r="AJ456" s="845" t="s">
        <v>1633</v>
      </c>
      <c r="AK456" s="857">
        <v>45632</v>
      </c>
      <c r="AL456" s="840" t="s">
        <v>1634</v>
      </c>
      <c r="AM456" s="840" t="s">
        <v>1635</v>
      </c>
      <c r="AN456" s="858" t="s">
        <v>1636</v>
      </c>
      <c r="AO456" s="844"/>
      <c r="AP456" s="859">
        <v>45603</v>
      </c>
      <c r="AQ456" s="859">
        <v>45603</v>
      </c>
      <c r="AR456" s="859">
        <v>45482</v>
      </c>
      <c r="AS456" s="840"/>
      <c r="AT456" s="840" t="s">
        <v>1235</v>
      </c>
      <c r="AU456" s="860" t="s">
        <v>1602</v>
      </c>
      <c r="AV456" s="839" t="s">
        <v>1637</v>
      </c>
      <c r="AW456" s="861">
        <v>45482</v>
      </c>
      <c r="AX456" s="862"/>
      <c r="AY456" s="843"/>
      <c r="AZ456" s="842"/>
      <c r="BA456" s="842" t="s">
        <v>120</v>
      </c>
      <c r="BB456" s="863" t="s">
        <v>121</v>
      </c>
      <c r="BC456" s="864">
        <v>45547</v>
      </c>
      <c r="BD456" s="860" t="s">
        <v>1638</v>
      </c>
      <c r="BE456" s="865" cm="1">
        <f t="array" ref="BE456">IF(BD456="","",AC456/SUMPRODUCT(--(BD456=$BD$4:$BD$12824),$AC$4:$AC$12824))</f>
        <v>1.6828368674358624E-2</v>
      </c>
      <c r="BF456" s="458"/>
      <c r="BG456" s="458"/>
      <c r="BH456" s="458"/>
      <c r="BI456" s="458"/>
      <c r="BJ456" s="458"/>
      <c r="BK456" s="458"/>
      <c r="BL456" s="458"/>
      <c r="BM456" s="458"/>
      <c r="BN456" s="458"/>
      <c r="BO456" s="866">
        <f>VLOOKUP(BD456,$BD$4:$BN$12824,3,0)*BE456</f>
        <v>482267.38946976943</v>
      </c>
      <c r="BP456" s="866"/>
      <c r="BQ456" s="866"/>
      <c r="BR456" s="866">
        <f>VLOOKUP(BD456,$BD$4:$BN$12824,6,0)*BE456</f>
        <v>211301.73961550964</v>
      </c>
      <c r="BS456" s="866">
        <f>VLOOKUP(BD456,$BD$4:$BN$12824,7,0)*BE456</f>
        <v>29135.173454709853</v>
      </c>
      <c r="BT456" s="866"/>
      <c r="BU456" s="866">
        <f>VLOOKUP(BD456,$BD$4:$BN$12824,9,0)*BE456</f>
        <v>8414.1843371793129</v>
      </c>
      <c r="BV456" s="867"/>
      <c r="BW456" s="867">
        <f>VLOOKUP(BD456,$BD$4:$BN$12824,11,0)*BE456</f>
        <v>21809.565801968776</v>
      </c>
      <c r="BX456" s="1146">
        <f t="shared" si="91"/>
        <v>752928.05267913698</v>
      </c>
      <c r="BY456" s="867">
        <f t="shared" si="100"/>
        <v>5036414.3807798568</v>
      </c>
      <c r="BZ456" s="867">
        <f t="shared" si="97"/>
        <v>30218486.284679141</v>
      </c>
      <c r="CA456" s="867">
        <f>_xlfn.MAXIFS($BY$4:$BY$12824,$S$4:$S$12824,$S456)</f>
        <v>5755591.6607803665</v>
      </c>
      <c r="CB456" s="1032"/>
      <c r="CF456" s="946">
        <f t="shared" si="99"/>
        <v>29465558.232000005</v>
      </c>
    </row>
    <row r="457" spans="1:84">
      <c r="A457" s="1032"/>
      <c r="B457" s="839" t="s">
        <v>98</v>
      </c>
      <c r="C457" s="839" t="s">
        <v>381</v>
      </c>
      <c r="D457" s="839" t="s">
        <v>1590</v>
      </c>
      <c r="E457" s="839" t="s">
        <v>1591</v>
      </c>
      <c r="F457" s="841">
        <v>45508</v>
      </c>
      <c r="G457" s="840" t="s">
        <v>381</v>
      </c>
      <c r="H457" s="842" t="s">
        <v>134</v>
      </c>
      <c r="I457" s="842"/>
      <c r="J457" s="841"/>
      <c r="K457" s="841"/>
      <c r="L457" s="843" t="s">
        <v>106</v>
      </c>
      <c r="M457" s="844" t="s">
        <v>107</v>
      </c>
      <c r="N457" s="841">
        <v>45479</v>
      </c>
      <c r="O457" s="841" t="s">
        <v>150</v>
      </c>
      <c r="P457" s="841" t="s">
        <v>151</v>
      </c>
      <c r="Q457" s="843"/>
      <c r="R457" s="845" t="s">
        <v>1667</v>
      </c>
      <c r="S457" s="1127" t="s">
        <v>1667</v>
      </c>
      <c r="T457" s="843" t="s">
        <v>1668</v>
      </c>
      <c r="U457" s="842">
        <v>6</v>
      </c>
      <c r="V457" s="842" t="s">
        <v>3</v>
      </c>
      <c r="W457" s="846">
        <v>410</v>
      </c>
      <c r="X457" s="847">
        <f t="shared" si="92"/>
        <v>2460</v>
      </c>
      <c r="Y457" s="848">
        <f t="shared" si="98"/>
        <v>0.55999999999999994</v>
      </c>
      <c r="Z457" s="849">
        <v>180.4</v>
      </c>
      <c r="AA457" s="849"/>
      <c r="AB457" s="849">
        <f t="shared" si="93"/>
        <v>1082.4000000000001</v>
      </c>
      <c r="AC457" s="850">
        <f t="shared" si="94"/>
        <v>1082.4000000000001</v>
      </c>
      <c r="AD457" s="851"/>
      <c r="AE457" s="852">
        <v>27222.43</v>
      </c>
      <c r="AF457" s="853">
        <v>0</v>
      </c>
      <c r="AG457" s="854">
        <f t="shared" si="95"/>
        <v>0</v>
      </c>
      <c r="AH457" s="853"/>
      <c r="AI457" s="855">
        <f t="shared" si="96"/>
        <v>0</v>
      </c>
      <c r="AJ457" s="845" t="s">
        <v>1633</v>
      </c>
      <c r="AK457" s="857">
        <v>45632</v>
      </c>
      <c r="AL457" s="840" t="s">
        <v>1634</v>
      </c>
      <c r="AM457" s="840" t="s">
        <v>1635</v>
      </c>
      <c r="AN457" s="858" t="s">
        <v>1636</v>
      </c>
      <c r="AO457" s="844"/>
      <c r="AP457" s="859">
        <v>45603</v>
      </c>
      <c r="AQ457" s="859">
        <v>45603</v>
      </c>
      <c r="AR457" s="859">
        <v>45482</v>
      </c>
      <c r="AS457" s="840"/>
      <c r="AT457" s="840" t="s">
        <v>1235</v>
      </c>
      <c r="AU457" s="860" t="s">
        <v>1602</v>
      </c>
      <c r="AV457" s="839" t="s">
        <v>1637</v>
      </c>
      <c r="AW457" s="861">
        <v>45482</v>
      </c>
      <c r="AX457" s="862"/>
      <c r="AY457" s="843"/>
      <c r="AZ457" s="842"/>
      <c r="BA457" s="842" t="s">
        <v>120</v>
      </c>
      <c r="BB457" s="863" t="s">
        <v>121</v>
      </c>
      <c r="BC457" s="864">
        <v>45547</v>
      </c>
      <c r="BD457" s="860" t="s">
        <v>1638</v>
      </c>
      <c r="BE457" s="865" cm="1">
        <f t="array" ref="BE457">IF(BD457="","",AC457/SUMPRODUCT(--(BD457=$BD$4:$BD$12824),$AC$4:$AC$12824))</f>
        <v>1.6828368674358624E-2</v>
      </c>
      <c r="BF457" s="458"/>
      <c r="BG457" s="458"/>
      <c r="BH457" s="458"/>
      <c r="BI457" s="458"/>
      <c r="BJ457" s="458"/>
      <c r="BK457" s="458"/>
      <c r="BL457" s="458"/>
      <c r="BM457" s="458"/>
      <c r="BN457" s="458"/>
      <c r="BO457" s="866">
        <f>VLOOKUP(BD457,$BD$4:$BN$12824,3,0)*BE457</f>
        <v>482267.38946976943</v>
      </c>
      <c r="BP457" s="866"/>
      <c r="BQ457" s="866"/>
      <c r="BR457" s="866">
        <f>VLOOKUP(BD457,$BD$4:$BN$12824,6,0)*BE457</f>
        <v>211301.73961550964</v>
      </c>
      <c r="BS457" s="866">
        <f>VLOOKUP(BD457,$BD$4:$BN$12824,7,0)*BE457</f>
        <v>29135.173454709853</v>
      </c>
      <c r="BT457" s="866"/>
      <c r="BU457" s="866">
        <f>VLOOKUP(BD457,$BD$4:$BN$12824,9,0)*BE457</f>
        <v>8414.1843371793129</v>
      </c>
      <c r="BV457" s="867"/>
      <c r="BW457" s="867">
        <f>VLOOKUP(BD457,$BD$4:$BN$12824,11,0)*BE457</f>
        <v>21809.565801968776</v>
      </c>
      <c r="BX457" s="1146">
        <f t="shared" si="91"/>
        <v>752928.05267913698</v>
      </c>
      <c r="BY457" s="867">
        <f t="shared" si="100"/>
        <v>5036414.3807798568</v>
      </c>
      <c r="BZ457" s="867">
        <f t="shared" si="97"/>
        <v>30218486.284679141</v>
      </c>
      <c r="CA457" s="867">
        <f>_xlfn.MAXIFS($BY$4:$BY$12824,$S$4:$S$12824,$S457)</f>
        <v>5755591.6607803665</v>
      </c>
      <c r="CB457" s="1032"/>
      <c r="CF457" s="946">
        <f t="shared" si="99"/>
        <v>29465558.232000005</v>
      </c>
    </row>
    <row r="458" spans="1:84">
      <c r="A458" s="1032"/>
      <c r="B458" s="839" t="s">
        <v>98</v>
      </c>
      <c r="C458" s="839" t="s">
        <v>381</v>
      </c>
      <c r="D458" s="839" t="s">
        <v>1590</v>
      </c>
      <c r="E458" s="839" t="s">
        <v>1591</v>
      </c>
      <c r="F458" s="841">
        <v>45508</v>
      </c>
      <c r="G458" s="840" t="s">
        <v>381</v>
      </c>
      <c r="H458" s="842" t="s">
        <v>134</v>
      </c>
      <c r="I458" s="842"/>
      <c r="J458" s="841"/>
      <c r="K458" s="841"/>
      <c r="L458" s="843" t="s">
        <v>106</v>
      </c>
      <c r="M458" s="844" t="s">
        <v>107</v>
      </c>
      <c r="N458" s="841">
        <v>45479</v>
      </c>
      <c r="O458" s="841" t="s">
        <v>150</v>
      </c>
      <c r="P458" s="841" t="s">
        <v>151</v>
      </c>
      <c r="Q458" s="843"/>
      <c r="R458" s="845" t="s">
        <v>1669</v>
      </c>
      <c r="S458" s="1127" t="s">
        <v>1669</v>
      </c>
      <c r="T458" s="843" t="s">
        <v>1670</v>
      </c>
      <c r="U458" s="842">
        <v>6</v>
      </c>
      <c r="V458" s="842" t="s">
        <v>3</v>
      </c>
      <c r="W458" s="846">
        <v>410</v>
      </c>
      <c r="X458" s="847">
        <f t="shared" si="92"/>
        <v>2460</v>
      </c>
      <c r="Y458" s="848">
        <f t="shared" si="98"/>
        <v>0.55999999999999994</v>
      </c>
      <c r="Z458" s="849">
        <v>180.4</v>
      </c>
      <c r="AA458" s="849"/>
      <c r="AB458" s="849">
        <f t="shared" si="93"/>
        <v>1082.4000000000001</v>
      </c>
      <c r="AC458" s="850">
        <f t="shared" si="94"/>
        <v>1082.4000000000001</v>
      </c>
      <c r="AD458" s="851"/>
      <c r="AE458" s="852">
        <v>27222.43</v>
      </c>
      <c r="AF458" s="853">
        <v>0</v>
      </c>
      <c r="AG458" s="854">
        <f t="shared" si="95"/>
        <v>0</v>
      </c>
      <c r="AH458" s="853"/>
      <c r="AI458" s="855">
        <f t="shared" si="96"/>
        <v>0</v>
      </c>
      <c r="AJ458" s="845" t="s">
        <v>1633</v>
      </c>
      <c r="AK458" s="857">
        <v>45632</v>
      </c>
      <c r="AL458" s="840" t="s">
        <v>1634</v>
      </c>
      <c r="AM458" s="840" t="s">
        <v>1635</v>
      </c>
      <c r="AN458" s="858" t="s">
        <v>1636</v>
      </c>
      <c r="AO458" s="844"/>
      <c r="AP458" s="859">
        <v>45603</v>
      </c>
      <c r="AQ458" s="859">
        <v>45603</v>
      </c>
      <c r="AR458" s="859">
        <v>45482</v>
      </c>
      <c r="AS458" s="840"/>
      <c r="AT458" s="840" t="s">
        <v>1235</v>
      </c>
      <c r="AU458" s="860" t="s">
        <v>1602</v>
      </c>
      <c r="AV458" s="839" t="s">
        <v>1637</v>
      </c>
      <c r="AW458" s="861">
        <v>45482</v>
      </c>
      <c r="AX458" s="862"/>
      <c r="AY458" s="843"/>
      <c r="AZ458" s="842"/>
      <c r="BA458" s="842" t="s">
        <v>120</v>
      </c>
      <c r="BB458" s="863" t="s">
        <v>121</v>
      </c>
      <c r="BC458" s="864">
        <v>45547</v>
      </c>
      <c r="BD458" s="860" t="s">
        <v>1638</v>
      </c>
      <c r="BE458" s="865" cm="1">
        <f t="array" ref="BE458">IF(BD458="","",AC458/SUMPRODUCT(--(BD458=$BD$4:$BD$12824),$AC$4:$AC$12824))</f>
        <v>1.6828368674358624E-2</v>
      </c>
      <c r="BF458" s="458"/>
      <c r="BG458" s="458"/>
      <c r="BH458" s="458"/>
      <c r="BI458" s="458"/>
      <c r="BJ458" s="458"/>
      <c r="BK458" s="458"/>
      <c r="BL458" s="458"/>
      <c r="BM458" s="458"/>
      <c r="BN458" s="458"/>
      <c r="BO458" s="866">
        <f>VLOOKUP(BD458,$BD$4:$BN$12824,3,0)*BE458</f>
        <v>482267.38946976943</v>
      </c>
      <c r="BP458" s="866"/>
      <c r="BQ458" s="866"/>
      <c r="BR458" s="866">
        <f>VLOOKUP(BD458,$BD$4:$BN$12824,6,0)*BE458</f>
        <v>211301.73961550964</v>
      </c>
      <c r="BS458" s="866">
        <f>VLOOKUP(BD458,$BD$4:$BN$12824,7,0)*BE458</f>
        <v>29135.173454709853</v>
      </c>
      <c r="BT458" s="866"/>
      <c r="BU458" s="866">
        <f>VLOOKUP(BD458,$BD$4:$BN$12824,9,0)*BE458</f>
        <v>8414.1843371793129</v>
      </c>
      <c r="BV458" s="867"/>
      <c r="BW458" s="867">
        <f>VLOOKUP(BD458,$BD$4:$BN$12824,11,0)*BE458</f>
        <v>21809.565801968776</v>
      </c>
      <c r="BX458" s="1146">
        <f t="shared" si="91"/>
        <v>752928.05267913698</v>
      </c>
      <c r="BY458" s="867">
        <f t="shared" si="100"/>
        <v>5036414.3807798568</v>
      </c>
      <c r="BZ458" s="867">
        <f t="shared" si="97"/>
        <v>30218486.284679141</v>
      </c>
      <c r="CA458" s="867">
        <f>_xlfn.MAXIFS($BY$4:$BY$12824,$S$4:$S$12824,$S458)</f>
        <v>5036414.3807798568</v>
      </c>
      <c r="CB458" s="1032"/>
      <c r="CF458" s="946">
        <f t="shared" si="99"/>
        <v>29465558.232000005</v>
      </c>
    </row>
    <row r="459" spans="1:84">
      <c r="A459" s="1032"/>
      <c r="B459" s="839" t="s">
        <v>98</v>
      </c>
      <c r="C459" s="839" t="s">
        <v>381</v>
      </c>
      <c r="D459" s="839" t="s">
        <v>1590</v>
      </c>
      <c r="E459" s="839" t="s">
        <v>1591</v>
      </c>
      <c r="F459" s="841">
        <v>45508</v>
      </c>
      <c r="G459" s="840" t="s">
        <v>381</v>
      </c>
      <c r="H459" s="842" t="s">
        <v>134</v>
      </c>
      <c r="I459" s="842"/>
      <c r="J459" s="841"/>
      <c r="K459" s="841"/>
      <c r="L459" s="843" t="s">
        <v>106</v>
      </c>
      <c r="M459" s="844" t="s">
        <v>107</v>
      </c>
      <c r="N459" s="841">
        <v>45479</v>
      </c>
      <c r="O459" s="841" t="s">
        <v>150</v>
      </c>
      <c r="P459" s="841" t="s">
        <v>151</v>
      </c>
      <c r="Q459" s="843"/>
      <c r="R459" s="845" t="s">
        <v>1671</v>
      </c>
      <c r="S459" s="1127" t="s">
        <v>1671</v>
      </c>
      <c r="T459" s="843" t="s">
        <v>1672</v>
      </c>
      <c r="U459" s="842">
        <v>6</v>
      </c>
      <c r="V459" s="842" t="s">
        <v>3</v>
      </c>
      <c r="W459" s="846">
        <v>410</v>
      </c>
      <c r="X459" s="847">
        <f t="shared" si="92"/>
        <v>2460</v>
      </c>
      <c r="Y459" s="848">
        <f t="shared" si="98"/>
        <v>0.55999999999999994</v>
      </c>
      <c r="Z459" s="849">
        <v>180.4</v>
      </c>
      <c r="AA459" s="849"/>
      <c r="AB459" s="849">
        <f t="shared" si="93"/>
        <v>1082.4000000000001</v>
      </c>
      <c r="AC459" s="850">
        <f t="shared" si="94"/>
        <v>1082.4000000000001</v>
      </c>
      <c r="AD459" s="851"/>
      <c r="AE459" s="852">
        <v>27222.43</v>
      </c>
      <c r="AF459" s="853">
        <v>0</v>
      </c>
      <c r="AG459" s="854">
        <f t="shared" si="95"/>
        <v>0</v>
      </c>
      <c r="AH459" s="853"/>
      <c r="AI459" s="855">
        <f t="shared" si="96"/>
        <v>0</v>
      </c>
      <c r="AJ459" s="845" t="s">
        <v>1633</v>
      </c>
      <c r="AK459" s="857">
        <v>45632</v>
      </c>
      <c r="AL459" s="840" t="s">
        <v>1634</v>
      </c>
      <c r="AM459" s="840" t="s">
        <v>1635</v>
      </c>
      <c r="AN459" s="858" t="s">
        <v>1636</v>
      </c>
      <c r="AO459" s="844"/>
      <c r="AP459" s="859">
        <v>45603</v>
      </c>
      <c r="AQ459" s="859">
        <v>45603</v>
      </c>
      <c r="AR459" s="859">
        <v>45482</v>
      </c>
      <c r="AS459" s="840"/>
      <c r="AT459" s="840" t="s">
        <v>1235</v>
      </c>
      <c r="AU459" s="860" t="s">
        <v>1602</v>
      </c>
      <c r="AV459" s="839" t="s">
        <v>1637</v>
      </c>
      <c r="AW459" s="861">
        <v>45482</v>
      </c>
      <c r="AX459" s="862"/>
      <c r="AY459" s="843"/>
      <c r="AZ459" s="842"/>
      <c r="BA459" s="842" t="s">
        <v>120</v>
      </c>
      <c r="BB459" s="863" t="s">
        <v>121</v>
      </c>
      <c r="BC459" s="864">
        <v>45547</v>
      </c>
      <c r="BD459" s="860" t="s">
        <v>1638</v>
      </c>
      <c r="BE459" s="865" cm="1">
        <f t="array" ref="BE459">IF(BD459="","",AC459/SUMPRODUCT(--(BD459=$BD$4:$BD$12824),$AC$4:$AC$12824))</f>
        <v>1.6828368674358624E-2</v>
      </c>
      <c r="BF459" s="458"/>
      <c r="BG459" s="458"/>
      <c r="BH459" s="458"/>
      <c r="BI459" s="458"/>
      <c r="BJ459" s="458"/>
      <c r="BK459" s="458"/>
      <c r="BL459" s="458"/>
      <c r="BM459" s="458"/>
      <c r="BN459" s="458"/>
      <c r="BO459" s="866">
        <f>VLOOKUP(BD459,$BD$4:$BN$12824,3,0)*BE459</f>
        <v>482267.38946976943</v>
      </c>
      <c r="BP459" s="866"/>
      <c r="BQ459" s="866"/>
      <c r="BR459" s="866">
        <f>VLOOKUP(BD459,$BD$4:$BN$12824,6,0)*BE459</f>
        <v>211301.73961550964</v>
      </c>
      <c r="BS459" s="866">
        <f>VLOOKUP(BD459,$BD$4:$BN$12824,7,0)*BE459</f>
        <v>29135.173454709853</v>
      </c>
      <c r="BT459" s="866"/>
      <c r="BU459" s="866">
        <f>VLOOKUP(BD459,$BD$4:$BN$12824,9,0)*BE459</f>
        <v>8414.1843371793129</v>
      </c>
      <c r="BV459" s="867"/>
      <c r="BW459" s="867">
        <f>VLOOKUP(BD459,$BD$4:$BN$12824,11,0)*BE459</f>
        <v>21809.565801968776</v>
      </c>
      <c r="BX459" s="1146">
        <f t="shared" si="91"/>
        <v>752928.05267913698</v>
      </c>
      <c r="BY459" s="867">
        <f t="shared" si="100"/>
        <v>5036414.3807798568</v>
      </c>
      <c r="BZ459" s="867">
        <f t="shared" si="97"/>
        <v>30218486.284679141</v>
      </c>
      <c r="CA459" s="867">
        <f>_xlfn.MAXIFS($BY$4:$BY$12824,$S$4:$S$12824,$S459)</f>
        <v>5036414.3807798568</v>
      </c>
      <c r="CB459" s="1032"/>
      <c r="CF459" s="946">
        <f t="shared" si="99"/>
        <v>29465558.232000005</v>
      </c>
    </row>
    <row r="460" spans="1:84">
      <c r="A460" s="1032"/>
      <c r="B460" s="839" t="s">
        <v>98</v>
      </c>
      <c r="C460" s="839" t="s">
        <v>381</v>
      </c>
      <c r="D460" s="839" t="s">
        <v>1590</v>
      </c>
      <c r="E460" s="839" t="s">
        <v>1591</v>
      </c>
      <c r="F460" s="841">
        <v>45508</v>
      </c>
      <c r="G460" s="840" t="s">
        <v>381</v>
      </c>
      <c r="H460" s="842" t="s">
        <v>134</v>
      </c>
      <c r="I460" s="842"/>
      <c r="J460" s="841"/>
      <c r="K460" s="841"/>
      <c r="L460" s="843" t="s">
        <v>106</v>
      </c>
      <c r="M460" s="844" t="s">
        <v>107</v>
      </c>
      <c r="N460" s="841">
        <v>45479</v>
      </c>
      <c r="O460" s="841" t="s">
        <v>150</v>
      </c>
      <c r="P460" s="841" t="s">
        <v>151</v>
      </c>
      <c r="Q460" s="843"/>
      <c r="R460" s="872" t="s">
        <v>1673</v>
      </c>
      <c r="S460" s="1127" t="s">
        <v>1673</v>
      </c>
      <c r="T460" s="843" t="s">
        <v>1674</v>
      </c>
      <c r="U460" s="842">
        <v>6</v>
      </c>
      <c r="V460" s="842" t="s">
        <v>3</v>
      </c>
      <c r="W460" s="846">
        <v>410</v>
      </c>
      <c r="X460" s="847">
        <f t="shared" si="92"/>
        <v>2460</v>
      </c>
      <c r="Y460" s="848">
        <f t="shared" si="98"/>
        <v>0.55999999999999994</v>
      </c>
      <c r="Z460" s="849">
        <v>180.4</v>
      </c>
      <c r="AA460" s="849"/>
      <c r="AB460" s="849">
        <f t="shared" si="93"/>
        <v>1082.4000000000001</v>
      </c>
      <c r="AC460" s="850">
        <f t="shared" si="94"/>
        <v>1082.4000000000001</v>
      </c>
      <c r="AD460" s="851"/>
      <c r="AE460" s="852">
        <v>27222.43</v>
      </c>
      <c r="AF460" s="853">
        <v>0</v>
      </c>
      <c r="AG460" s="854">
        <f t="shared" si="95"/>
        <v>0</v>
      </c>
      <c r="AH460" s="853"/>
      <c r="AI460" s="855">
        <f t="shared" si="96"/>
        <v>0</v>
      </c>
      <c r="AJ460" s="845" t="s">
        <v>1633</v>
      </c>
      <c r="AK460" s="857">
        <v>45632</v>
      </c>
      <c r="AL460" s="840" t="s">
        <v>1634</v>
      </c>
      <c r="AM460" s="840" t="s">
        <v>1635</v>
      </c>
      <c r="AN460" s="858" t="s">
        <v>1636</v>
      </c>
      <c r="AO460" s="844"/>
      <c r="AP460" s="859">
        <v>45603</v>
      </c>
      <c r="AQ460" s="859">
        <v>45603</v>
      </c>
      <c r="AR460" s="859">
        <v>45482</v>
      </c>
      <c r="AS460" s="840"/>
      <c r="AT460" s="840" t="s">
        <v>1235</v>
      </c>
      <c r="AU460" s="860" t="s">
        <v>1602</v>
      </c>
      <c r="AV460" s="839" t="s">
        <v>1637</v>
      </c>
      <c r="AW460" s="861">
        <v>45482</v>
      </c>
      <c r="AX460" s="862"/>
      <c r="AY460" s="843"/>
      <c r="AZ460" s="842"/>
      <c r="BA460" s="842" t="s">
        <v>120</v>
      </c>
      <c r="BB460" s="863" t="s">
        <v>121</v>
      </c>
      <c r="BC460" s="864">
        <v>45547</v>
      </c>
      <c r="BD460" s="860" t="s">
        <v>1638</v>
      </c>
      <c r="BE460" s="865" cm="1">
        <f t="array" ref="BE460">IF(BD460="","",AC460/SUMPRODUCT(--(BD460=$BD$4:$BD$12824),$AC$4:$AC$12824))</f>
        <v>1.6828368674358624E-2</v>
      </c>
      <c r="BF460" s="458"/>
      <c r="BG460" s="458"/>
      <c r="BH460" s="458"/>
      <c r="BI460" s="458"/>
      <c r="BJ460" s="458"/>
      <c r="BK460" s="458"/>
      <c r="BL460" s="458"/>
      <c r="BM460" s="458"/>
      <c r="BN460" s="458"/>
      <c r="BO460" s="866">
        <f>VLOOKUP(BD460,$BD$4:$BN$12824,3,0)*BE460</f>
        <v>482267.38946976943</v>
      </c>
      <c r="BP460" s="866"/>
      <c r="BQ460" s="866"/>
      <c r="BR460" s="866">
        <f>VLOOKUP(BD460,$BD$4:$BN$12824,6,0)*BE460</f>
        <v>211301.73961550964</v>
      </c>
      <c r="BS460" s="866">
        <f>VLOOKUP(BD460,$BD$4:$BN$12824,7,0)*BE460</f>
        <v>29135.173454709853</v>
      </c>
      <c r="BT460" s="866"/>
      <c r="BU460" s="866">
        <f>VLOOKUP(BD460,$BD$4:$BN$12824,9,0)*BE460</f>
        <v>8414.1843371793129</v>
      </c>
      <c r="BV460" s="867"/>
      <c r="BW460" s="867">
        <f>VLOOKUP(BD460,$BD$4:$BN$12824,11,0)*BE460</f>
        <v>21809.565801968776</v>
      </c>
      <c r="BX460" s="1146">
        <f t="shared" si="91"/>
        <v>752928.05267913698</v>
      </c>
      <c r="BY460" s="867">
        <f t="shared" si="100"/>
        <v>5036414.3807798568</v>
      </c>
      <c r="BZ460" s="867">
        <f t="shared" si="97"/>
        <v>30218486.284679141</v>
      </c>
      <c r="CA460" s="867">
        <f>_xlfn.MAXIFS($BY$4:$BY$12824,$S$4:$S$12824,$S460)</f>
        <v>5515775.3415811835</v>
      </c>
      <c r="CB460" s="1032"/>
      <c r="CF460" s="946">
        <f t="shared" si="99"/>
        <v>29465558.232000005</v>
      </c>
    </row>
    <row r="461" spans="1:84">
      <c r="A461" s="1032"/>
      <c r="B461" s="839" t="s">
        <v>98</v>
      </c>
      <c r="C461" s="839" t="s">
        <v>381</v>
      </c>
      <c r="D461" s="839" t="s">
        <v>1590</v>
      </c>
      <c r="E461" s="839" t="s">
        <v>1591</v>
      </c>
      <c r="F461" s="841">
        <v>45508</v>
      </c>
      <c r="G461" s="840" t="s">
        <v>381</v>
      </c>
      <c r="H461" s="842" t="s">
        <v>134</v>
      </c>
      <c r="I461" s="842"/>
      <c r="J461" s="841"/>
      <c r="K461" s="841"/>
      <c r="L461" s="843" t="s">
        <v>106</v>
      </c>
      <c r="M461" s="844" t="s">
        <v>107</v>
      </c>
      <c r="N461" s="841">
        <v>45479</v>
      </c>
      <c r="O461" s="841" t="s">
        <v>150</v>
      </c>
      <c r="P461" s="841" t="s">
        <v>151</v>
      </c>
      <c r="Q461" s="843"/>
      <c r="R461" s="845" t="s">
        <v>1675</v>
      </c>
      <c r="S461" s="1127" t="s">
        <v>1675</v>
      </c>
      <c r="T461" s="843" t="s">
        <v>1676</v>
      </c>
      <c r="U461" s="842">
        <v>6</v>
      </c>
      <c r="V461" s="842" t="s">
        <v>3</v>
      </c>
      <c r="W461" s="846">
        <v>410</v>
      </c>
      <c r="X461" s="847">
        <f t="shared" si="92"/>
        <v>2460</v>
      </c>
      <c r="Y461" s="848">
        <f t="shared" si="98"/>
        <v>0.55999999999999994</v>
      </c>
      <c r="Z461" s="849">
        <v>180.4</v>
      </c>
      <c r="AA461" s="849"/>
      <c r="AB461" s="849">
        <f t="shared" si="93"/>
        <v>1082.4000000000001</v>
      </c>
      <c r="AC461" s="850">
        <f t="shared" si="94"/>
        <v>1082.4000000000001</v>
      </c>
      <c r="AD461" s="851"/>
      <c r="AE461" s="852">
        <v>27222.43</v>
      </c>
      <c r="AF461" s="853">
        <v>0</v>
      </c>
      <c r="AG461" s="854">
        <f t="shared" si="95"/>
        <v>0</v>
      </c>
      <c r="AH461" s="853"/>
      <c r="AI461" s="855">
        <f t="shared" si="96"/>
        <v>0</v>
      </c>
      <c r="AJ461" s="845" t="s">
        <v>1633</v>
      </c>
      <c r="AK461" s="857">
        <v>45632</v>
      </c>
      <c r="AL461" s="840" t="s">
        <v>1634</v>
      </c>
      <c r="AM461" s="840" t="s">
        <v>1635</v>
      </c>
      <c r="AN461" s="858" t="s">
        <v>1636</v>
      </c>
      <c r="AO461" s="844"/>
      <c r="AP461" s="859">
        <v>45603</v>
      </c>
      <c r="AQ461" s="859">
        <v>45603</v>
      </c>
      <c r="AR461" s="859">
        <v>45482</v>
      </c>
      <c r="AS461" s="840"/>
      <c r="AT461" s="840" t="s">
        <v>1235</v>
      </c>
      <c r="AU461" s="860" t="s">
        <v>1602</v>
      </c>
      <c r="AV461" s="839" t="s">
        <v>1637</v>
      </c>
      <c r="AW461" s="861">
        <v>45482</v>
      </c>
      <c r="AX461" s="862"/>
      <c r="AY461" s="843"/>
      <c r="AZ461" s="842"/>
      <c r="BA461" s="842" t="s">
        <v>120</v>
      </c>
      <c r="BB461" s="863" t="s">
        <v>121</v>
      </c>
      <c r="BC461" s="864">
        <v>45547</v>
      </c>
      <c r="BD461" s="860" t="s">
        <v>1638</v>
      </c>
      <c r="BE461" s="865" cm="1">
        <f t="array" ref="BE461">IF(BD461="","",AC461/SUMPRODUCT(--(BD461=$BD$4:$BD$12824),$AC$4:$AC$12824))</f>
        <v>1.6828368674358624E-2</v>
      </c>
      <c r="BF461" s="458"/>
      <c r="BG461" s="458"/>
      <c r="BH461" s="458"/>
      <c r="BI461" s="458"/>
      <c r="BJ461" s="458"/>
      <c r="BK461" s="458"/>
      <c r="BL461" s="458"/>
      <c r="BM461" s="458"/>
      <c r="BN461" s="458"/>
      <c r="BO461" s="866">
        <f>VLOOKUP(BD461,$BD$4:$BN$12824,3,0)*BE461</f>
        <v>482267.38946976943</v>
      </c>
      <c r="BP461" s="866"/>
      <c r="BQ461" s="866"/>
      <c r="BR461" s="866">
        <f>VLOOKUP(BD461,$BD$4:$BN$12824,6,0)*BE461</f>
        <v>211301.73961550964</v>
      </c>
      <c r="BS461" s="866">
        <f>VLOOKUP(BD461,$BD$4:$BN$12824,7,0)*BE461</f>
        <v>29135.173454709853</v>
      </c>
      <c r="BT461" s="866"/>
      <c r="BU461" s="866">
        <f>VLOOKUP(BD461,$BD$4:$BN$12824,9,0)*BE461</f>
        <v>8414.1843371793129</v>
      </c>
      <c r="BV461" s="867"/>
      <c r="BW461" s="867">
        <f>VLOOKUP(BD461,$BD$4:$BN$12824,11,0)*BE461</f>
        <v>21809.565801968776</v>
      </c>
      <c r="BX461" s="1146">
        <f t="shared" si="91"/>
        <v>752928.05267913698</v>
      </c>
      <c r="BY461" s="867">
        <f t="shared" si="100"/>
        <v>5036414.3807798568</v>
      </c>
      <c r="BZ461" s="867">
        <f t="shared" si="97"/>
        <v>30218486.284679141</v>
      </c>
      <c r="CA461" s="867">
        <f>_xlfn.MAXIFS($BY$4:$BY$12824,$S$4:$S$12824,$S461)</f>
        <v>5036414.3807798568</v>
      </c>
      <c r="CB461" s="1032"/>
      <c r="CF461" s="946">
        <f t="shared" si="99"/>
        <v>29465558.232000005</v>
      </c>
    </row>
    <row r="462" spans="1:84">
      <c r="A462" s="1032"/>
      <c r="B462" s="839" t="s">
        <v>98</v>
      </c>
      <c r="C462" s="839" t="s">
        <v>381</v>
      </c>
      <c r="D462" s="839" t="s">
        <v>1590</v>
      </c>
      <c r="E462" s="839" t="s">
        <v>1591</v>
      </c>
      <c r="F462" s="841">
        <v>45508</v>
      </c>
      <c r="G462" s="840" t="s">
        <v>381</v>
      </c>
      <c r="H462" s="842" t="s">
        <v>134</v>
      </c>
      <c r="I462" s="842"/>
      <c r="J462" s="841"/>
      <c r="K462" s="841"/>
      <c r="L462" s="843" t="s">
        <v>106</v>
      </c>
      <c r="M462" s="844" t="s">
        <v>107</v>
      </c>
      <c r="N462" s="841">
        <v>45479</v>
      </c>
      <c r="O462" s="841" t="s">
        <v>150</v>
      </c>
      <c r="P462" s="841" t="s">
        <v>151</v>
      </c>
      <c r="Q462" s="843"/>
      <c r="R462" s="845" t="s">
        <v>1677</v>
      </c>
      <c r="S462" s="1127" t="s">
        <v>1677</v>
      </c>
      <c r="T462" s="843" t="s">
        <v>1678</v>
      </c>
      <c r="U462" s="842">
        <v>6</v>
      </c>
      <c r="V462" s="842" t="s">
        <v>3</v>
      </c>
      <c r="W462" s="846">
        <v>410</v>
      </c>
      <c r="X462" s="847">
        <f t="shared" si="92"/>
        <v>2460</v>
      </c>
      <c r="Y462" s="848">
        <f t="shared" si="98"/>
        <v>0.55999999999999994</v>
      </c>
      <c r="Z462" s="849">
        <v>180.4</v>
      </c>
      <c r="AA462" s="849"/>
      <c r="AB462" s="849">
        <f t="shared" si="93"/>
        <v>1082.4000000000001</v>
      </c>
      <c r="AC462" s="850">
        <f t="shared" si="94"/>
        <v>1082.4000000000001</v>
      </c>
      <c r="AD462" s="851"/>
      <c r="AE462" s="852">
        <v>27222.43</v>
      </c>
      <c r="AF462" s="853">
        <v>0</v>
      </c>
      <c r="AG462" s="854">
        <f t="shared" si="95"/>
        <v>0</v>
      </c>
      <c r="AH462" s="853"/>
      <c r="AI462" s="855">
        <f t="shared" si="96"/>
        <v>0</v>
      </c>
      <c r="AJ462" s="845" t="s">
        <v>1633</v>
      </c>
      <c r="AK462" s="857">
        <v>45632</v>
      </c>
      <c r="AL462" s="840" t="s">
        <v>1634</v>
      </c>
      <c r="AM462" s="840" t="s">
        <v>1635</v>
      </c>
      <c r="AN462" s="858" t="s">
        <v>1636</v>
      </c>
      <c r="AO462" s="844"/>
      <c r="AP462" s="859">
        <v>45603</v>
      </c>
      <c r="AQ462" s="859">
        <v>45603</v>
      </c>
      <c r="AR462" s="859">
        <v>45482</v>
      </c>
      <c r="AS462" s="840"/>
      <c r="AT462" s="840" t="s">
        <v>1235</v>
      </c>
      <c r="AU462" s="860" t="s">
        <v>1602</v>
      </c>
      <c r="AV462" s="839" t="s">
        <v>1637</v>
      </c>
      <c r="AW462" s="861">
        <v>45482</v>
      </c>
      <c r="AX462" s="862"/>
      <c r="AY462" s="843"/>
      <c r="AZ462" s="842"/>
      <c r="BA462" s="842" t="s">
        <v>120</v>
      </c>
      <c r="BB462" s="863" t="s">
        <v>121</v>
      </c>
      <c r="BC462" s="864">
        <v>45547</v>
      </c>
      <c r="BD462" s="860" t="s">
        <v>1638</v>
      </c>
      <c r="BE462" s="865" cm="1">
        <f t="array" ref="BE462">IF(BD462="","",AC462/SUMPRODUCT(--(BD462=$BD$4:$BD$12824),$AC$4:$AC$12824))</f>
        <v>1.6828368674358624E-2</v>
      </c>
      <c r="BF462" s="458"/>
      <c r="BG462" s="458"/>
      <c r="BH462" s="458"/>
      <c r="BI462" s="458"/>
      <c r="BJ462" s="458"/>
      <c r="BK462" s="458"/>
      <c r="BL462" s="458"/>
      <c r="BM462" s="458"/>
      <c r="BN462" s="458"/>
      <c r="BO462" s="866">
        <f>VLOOKUP(BD462,$BD$4:$BN$12824,3,0)*BE462</f>
        <v>482267.38946976943</v>
      </c>
      <c r="BP462" s="866"/>
      <c r="BQ462" s="866"/>
      <c r="BR462" s="866">
        <f>VLOOKUP(BD462,$BD$4:$BN$12824,6,0)*BE462</f>
        <v>211301.73961550964</v>
      </c>
      <c r="BS462" s="866">
        <f>VLOOKUP(BD462,$BD$4:$BN$12824,7,0)*BE462</f>
        <v>29135.173454709853</v>
      </c>
      <c r="BT462" s="866"/>
      <c r="BU462" s="866">
        <f>VLOOKUP(BD462,$BD$4:$BN$12824,9,0)*BE462</f>
        <v>8414.1843371793129</v>
      </c>
      <c r="BV462" s="867"/>
      <c r="BW462" s="867">
        <f>VLOOKUP(BD462,$BD$4:$BN$12824,11,0)*BE462</f>
        <v>21809.565801968776</v>
      </c>
      <c r="BX462" s="1146">
        <f t="shared" si="91"/>
        <v>752928.05267913698</v>
      </c>
      <c r="BY462" s="867">
        <f t="shared" si="100"/>
        <v>5036414.3807798568</v>
      </c>
      <c r="BZ462" s="867">
        <f t="shared" si="97"/>
        <v>30218486.284679141</v>
      </c>
      <c r="CA462" s="867">
        <f>_xlfn.MAXIFS($BY$4:$BY$12824,$S$4:$S$12824,$S462)</f>
        <v>5755591.6607803656</v>
      </c>
      <c r="CB462" s="1032"/>
      <c r="CF462" s="946">
        <f t="shared" si="99"/>
        <v>29465558.232000005</v>
      </c>
    </row>
    <row r="463" spans="1:84">
      <c r="A463" s="1032"/>
      <c r="B463" s="839" t="s">
        <v>98</v>
      </c>
      <c r="C463" s="839" t="s">
        <v>381</v>
      </c>
      <c r="D463" s="839" t="s">
        <v>1590</v>
      </c>
      <c r="E463" s="839" t="s">
        <v>1591</v>
      </c>
      <c r="F463" s="841">
        <v>45508</v>
      </c>
      <c r="G463" s="840" t="s">
        <v>381</v>
      </c>
      <c r="H463" s="842" t="s">
        <v>134</v>
      </c>
      <c r="I463" s="842"/>
      <c r="J463" s="841"/>
      <c r="K463" s="841"/>
      <c r="L463" s="843" t="s">
        <v>106</v>
      </c>
      <c r="M463" s="844" t="s">
        <v>107</v>
      </c>
      <c r="N463" s="841">
        <v>45479</v>
      </c>
      <c r="O463" s="841" t="s">
        <v>150</v>
      </c>
      <c r="P463" s="841" t="s">
        <v>151</v>
      </c>
      <c r="Q463" s="843"/>
      <c r="R463" s="845" t="s">
        <v>1679</v>
      </c>
      <c r="S463" s="1127" t="s">
        <v>1679</v>
      </c>
      <c r="T463" s="843" t="s">
        <v>1680</v>
      </c>
      <c r="U463" s="842">
        <v>12</v>
      </c>
      <c r="V463" s="842" t="s">
        <v>3</v>
      </c>
      <c r="W463" s="846">
        <v>494</v>
      </c>
      <c r="X463" s="847">
        <f t="shared" si="92"/>
        <v>5928</v>
      </c>
      <c r="Y463" s="848">
        <f t="shared" si="98"/>
        <v>0.55999999999999994</v>
      </c>
      <c r="Z463" s="849">
        <v>217.36</v>
      </c>
      <c r="AA463" s="849"/>
      <c r="AB463" s="849">
        <f t="shared" si="93"/>
        <v>2608.3200000000002</v>
      </c>
      <c r="AC463" s="850">
        <f t="shared" si="94"/>
        <v>2608.3200000000002</v>
      </c>
      <c r="AD463" s="851"/>
      <c r="AE463" s="852">
        <v>27222.43</v>
      </c>
      <c r="AF463" s="853">
        <v>0</v>
      </c>
      <c r="AG463" s="854">
        <f t="shared" si="95"/>
        <v>0</v>
      </c>
      <c r="AH463" s="853"/>
      <c r="AI463" s="855">
        <f t="shared" si="96"/>
        <v>0</v>
      </c>
      <c r="AJ463" s="845" t="s">
        <v>1633</v>
      </c>
      <c r="AK463" s="857">
        <v>45632</v>
      </c>
      <c r="AL463" s="840" t="s">
        <v>1634</v>
      </c>
      <c r="AM463" s="840" t="s">
        <v>1635</v>
      </c>
      <c r="AN463" s="858" t="s">
        <v>1636</v>
      </c>
      <c r="AO463" s="844"/>
      <c r="AP463" s="859">
        <v>45603</v>
      </c>
      <c r="AQ463" s="859">
        <v>45603</v>
      </c>
      <c r="AR463" s="859">
        <v>45482</v>
      </c>
      <c r="AS463" s="840"/>
      <c r="AT463" s="840" t="s">
        <v>1235</v>
      </c>
      <c r="AU463" s="860" t="s">
        <v>1602</v>
      </c>
      <c r="AV463" s="839" t="s">
        <v>1637</v>
      </c>
      <c r="AW463" s="861">
        <v>45482</v>
      </c>
      <c r="AX463" s="862"/>
      <c r="AY463" s="843"/>
      <c r="AZ463" s="842"/>
      <c r="BA463" s="842" t="s">
        <v>120</v>
      </c>
      <c r="BB463" s="863" t="s">
        <v>121</v>
      </c>
      <c r="BC463" s="864">
        <v>45547</v>
      </c>
      <c r="BD463" s="860" t="s">
        <v>1638</v>
      </c>
      <c r="BE463" s="865" cm="1">
        <f t="array" ref="BE463">IF(BD463="","",AC463/SUMPRODUCT(--(BD463=$BD$4:$BD$12824),$AC$4:$AC$12824))</f>
        <v>4.0552264025039808E-2</v>
      </c>
      <c r="BF463" s="458"/>
      <c r="BG463" s="458"/>
      <c r="BH463" s="458"/>
      <c r="BI463" s="458"/>
      <c r="BJ463" s="458"/>
      <c r="BK463" s="458"/>
      <c r="BL463" s="458"/>
      <c r="BM463" s="458"/>
      <c r="BN463" s="458"/>
      <c r="BO463" s="866">
        <f>VLOOKUP(BD463,$BD$4:$BN$12824,3,0)*BE463</f>
        <v>1162146.7824295908</v>
      </c>
      <c r="BP463" s="866"/>
      <c r="BQ463" s="866"/>
      <c r="BR463" s="866">
        <f>VLOOKUP(BD463,$BD$4:$BN$12824,6,0)*BE463</f>
        <v>509185.6554637159</v>
      </c>
      <c r="BS463" s="866">
        <f>VLOOKUP(BD463,$BD$4:$BN$12824,7,0)*BE463</f>
        <v>70208.661885983747</v>
      </c>
      <c r="BT463" s="866"/>
      <c r="BU463" s="866">
        <f>VLOOKUP(BD463,$BD$4:$BN$12824,9,0)*BE463</f>
        <v>20276.132012519905</v>
      </c>
      <c r="BV463" s="867"/>
      <c r="BW463" s="867">
        <f>VLOOKUP(BD463,$BD$4:$BN$12824,11,0)*BE463</f>
        <v>52555.734176451588</v>
      </c>
      <c r="BX463" s="1146">
        <f t="shared" si="91"/>
        <v>1814372.9659682622</v>
      </c>
      <c r="BY463" s="867">
        <f t="shared" si="100"/>
        <v>6068265.1319640232</v>
      </c>
      <c r="BZ463" s="867">
        <f t="shared" si="97"/>
        <v>72819181.583568275</v>
      </c>
      <c r="CA463" s="867">
        <f>_xlfn.MAXIFS($BY$4:$BY$12824,$S$4:$S$12824,$S463)</f>
        <v>6734334.4051262662</v>
      </c>
      <c r="CB463" s="1032"/>
      <c r="CF463" s="946">
        <f t="shared" si="99"/>
        <v>71004808.617600009</v>
      </c>
    </row>
    <row r="464" spans="1:84">
      <c r="A464" s="1032"/>
      <c r="B464" s="839" t="s">
        <v>98</v>
      </c>
      <c r="C464" s="839" t="s">
        <v>381</v>
      </c>
      <c r="D464" s="839" t="s">
        <v>1590</v>
      </c>
      <c r="E464" s="839" t="s">
        <v>1591</v>
      </c>
      <c r="F464" s="841">
        <v>45508</v>
      </c>
      <c r="G464" s="840" t="s">
        <v>381</v>
      </c>
      <c r="H464" s="842" t="s">
        <v>134</v>
      </c>
      <c r="I464" s="842"/>
      <c r="J464" s="841"/>
      <c r="K464" s="841"/>
      <c r="L464" s="843" t="s">
        <v>106</v>
      </c>
      <c r="M464" s="844" t="s">
        <v>107</v>
      </c>
      <c r="N464" s="841">
        <v>45479</v>
      </c>
      <c r="O464" s="841" t="s">
        <v>150</v>
      </c>
      <c r="P464" s="841" t="s">
        <v>151</v>
      </c>
      <c r="Q464" s="843"/>
      <c r="R464" s="872" t="s">
        <v>1681</v>
      </c>
      <c r="S464" s="1129" t="s">
        <v>1681</v>
      </c>
      <c r="T464" s="843" t="s">
        <v>1682</v>
      </c>
      <c r="U464" s="842">
        <v>12</v>
      </c>
      <c r="V464" s="842" t="s">
        <v>3</v>
      </c>
      <c r="W464" s="846">
        <v>494</v>
      </c>
      <c r="X464" s="847">
        <f>W464*U464</f>
        <v>5928</v>
      </c>
      <c r="Y464" s="848">
        <f>(W464-Z464)/W464</f>
        <v>0.55999999999999994</v>
      </c>
      <c r="Z464" s="849">
        <v>217.36</v>
      </c>
      <c r="AA464" s="849"/>
      <c r="AB464" s="849">
        <f>IF(AA464="F.O.C", 0, Z464*U464)</f>
        <v>2608.3200000000002</v>
      </c>
      <c r="AC464" s="850">
        <f>Z464*U464</f>
        <v>2608.3200000000002</v>
      </c>
      <c r="AD464" s="851"/>
      <c r="AE464" s="852">
        <v>27222.43</v>
      </c>
      <c r="AF464" s="853">
        <v>0</v>
      </c>
      <c r="AG464" s="854">
        <f>(AC464*AE464+BO464+BP464+BQ464+BS464)*AF464</f>
        <v>0</v>
      </c>
      <c r="AH464" s="853"/>
      <c r="AI464" s="855">
        <f>(AC464*AE464+AG464+BF464+BG464+BH464+BJ464)*AH464</f>
        <v>0</v>
      </c>
      <c r="AJ464" s="845" t="s">
        <v>1633</v>
      </c>
      <c r="AK464" s="857">
        <v>45632</v>
      </c>
      <c r="AL464" s="840" t="s">
        <v>1634</v>
      </c>
      <c r="AM464" s="840" t="s">
        <v>1635</v>
      </c>
      <c r="AN464" s="858" t="s">
        <v>1636</v>
      </c>
      <c r="AO464" s="844"/>
      <c r="AP464" s="859">
        <v>45603</v>
      </c>
      <c r="AQ464" s="859">
        <v>45603</v>
      </c>
      <c r="AR464" s="859">
        <v>45482</v>
      </c>
      <c r="AS464" s="840"/>
      <c r="AT464" s="840" t="s">
        <v>1235</v>
      </c>
      <c r="AU464" s="860" t="s">
        <v>1602</v>
      </c>
      <c r="AV464" s="839" t="s">
        <v>1637</v>
      </c>
      <c r="AW464" s="861">
        <v>45482</v>
      </c>
      <c r="AX464" s="862"/>
      <c r="AY464" s="843"/>
      <c r="AZ464" s="842"/>
      <c r="BA464" s="842" t="s">
        <v>120</v>
      </c>
      <c r="BB464" s="863" t="s">
        <v>121</v>
      </c>
      <c r="BC464" s="864">
        <v>45547</v>
      </c>
      <c r="BD464" s="873" t="s">
        <v>1638</v>
      </c>
      <c r="BE464" s="874" cm="1">
        <f t="array" ref="BE464">IF(BD464="","",AC464/SUMPRODUCT(--(BD464=$BD$4:$BD$12824),$AC$4:$AC$12824))</f>
        <v>4.0552264025039808E-2</v>
      </c>
      <c r="BF464" s="875"/>
      <c r="BG464" s="875"/>
      <c r="BH464" s="875"/>
      <c r="BI464" s="875"/>
      <c r="BJ464" s="875"/>
      <c r="BK464" s="875"/>
      <c r="BL464" s="875"/>
      <c r="BM464" s="875"/>
      <c r="BN464" s="875"/>
      <c r="BO464" s="866">
        <f>VLOOKUP(BD464,$BD$4:$BN$12824,3,0)*BE464</f>
        <v>1162146.7824295908</v>
      </c>
      <c r="BP464" s="866"/>
      <c r="BQ464" s="866"/>
      <c r="BR464" s="866">
        <f>VLOOKUP(BD464,$BD$4:$BN$12824,6,0)*BE464</f>
        <v>509185.6554637159</v>
      </c>
      <c r="BS464" s="866">
        <f>VLOOKUP(BD464,$BD$4:$BN$12824,7,0)*BE464</f>
        <v>70208.661885983747</v>
      </c>
      <c r="BT464" s="866"/>
      <c r="BU464" s="866">
        <f>VLOOKUP(BD464,$BD$4:$BN$12824,9,0)*BE464</f>
        <v>20276.132012519905</v>
      </c>
      <c r="BV464" s="867"/>
      <c r="BW464" s="867">
        <f>VLOOKUP(BD464,$BD$4:$BN$12824,11,0)*BE464</f>
        <v>52555.734176451588</v>
      </c>
      <c r="BX464" s="1146">
        <f>SUM(BO464:BW464)</f>
        <v>1814372.9659682622</v>
      </c>
      <c r="BY464" s="867">
        <f>(AB464*AE464+AG464+BX464)/U464</f>
        <v>6068265.1319640232</v>
      </c>
      <c r="BZ464" s="867">
        <f>BY464*U464</f>
        <v>72819181.583568275</v>
      </c>
      <c r="CA464" s="867">
        <f>_xlfn.MAXIFS($BY$4:$BY$12824,$S$4:$S$12824,$S464)</f>
        <v>6068265.1319640232</v>
      </c>
      <c r="CB464" s="944">
        <v>21000000</v>
      </c>
      <c r="CC464" s="1059">
        <v>11900000</v>
      </c>
      <c r="CD464" s="1060">
        <f>((CC464/1.08-CA464-CC464/1.08*15%)*80%)/(CC464/1.08)</f>
        <v>0.23941335512462891</v>
      </c>
      <c r="CE464" s="1061">
        <f>(CC464/1.08-CA464)/(CC464/1.08)</f>
        <v>0.44926669390578611</v>
      </c>
      <c r="CF464" s="946">
        <f>AC464*AE464</f>
        <v>71004808.617600009</v>
      </c>
    </row>
    <row r="465" spans="1:84">
      <c r="A465" s="1032"/>
      <c r="B465" s="839" t="s">
        <v>98</v>
      </c>
      <c r="C465" s="839" t="s">
        <v>381</v>
      </c>
      <c r="D465" s="839" t="s">
        <v>1590</v>
      </c>
      <c r="E465" s="839" t="s">
        <v>1591</v>
      </c>
      <c r="F465" s="841">
        <v>45508</v>
      </c>
      <c r="G465" s="840" t="s">
        <v>381</v>
      </c>
      <c r="H465" s="842" t="s">
        <v>134</v>
      </c>
      <c r="I465" s="842"/>
      <c r="J465" s="841"/>
      <c r="K465" s="841"/>
      <c r="L465" s="843" t="s">
        <v>106</v>
      </c>
      <c r="M465" s="844" t="s">
        <v>107</v>
      </c>
      <c r="N465" s="841">
        <v>45479</v>
      </c>
      <c r="O465" s="841" t="s">
        <v>150</v>
      </c>
      <c r="P465" s="841" t="s">
        <v>151</v>
      </c>
      <c r="Q465" s="843"/>
      <c r="R465" s="876" t="s">
        <v>1683</v>
      </c>
      <c r="S465" s="1127" t="s">
        <v>1683</v>
      </c>
      <c r="T465" s="843" t="s">
        <v>1684</v>
      </c>
      <c r="U465" s="842">
        <v>18</v>
      </c>
      <c r="V465" s="842" t="s">
        <v>3</v>
      </c>
      <c r="W465" s="846">
        <v>494</v>
      </c>
      <c r="X465" s="847">
        <f t="shared" si="92"/>
        <v>8892</v>
      </c>
      <c r="Y465" s="848">
        <f t="shared" si="98"/>
        <v>0.55999999999999994</v>
      </c>
      <c r="Z465" s="849">
        <v>217.36</v>
      </c>
      <c r="AA465" s="849"/>
      <c r="AB465" s="849">
        <f t="shared" si="93"/>
        <v>3912.4800000000005</v>
      </c>
      <c r="AC465" s="850">
        <f t="shared" si="94"/>
        <v>3912.4800000000005</v>
      </c>
      <c r="AD465" s="851"/>
      <c r="AE465" s="852">
        <v>27222.43</v>
      </c>
      <c r="AF465" s="853">
        <v>0</v>
      </c>
      <c r="AG465" s="854">
        <f t="shared" si="95"/>
        <v>0</v>
      </c>
      <c r="AH465" s="853"/>
      <c r="AI465" s="855">
        <f t="shared" si="96"/>
        <v>0</v>
      </c>
      <c r="AJ465" s="845" t="s">
        <v>1633</v>
      </c>
      <c r="AK465" s="857">
        <v>45632</v>
      </c>
      <c r="AL465" s="840" t="s">
        <v>1634</v>
      </c>
      <c r="AM465" s="840" t="s">
        <v>1635</v>
      </c>
      <c r="AN465" s="858" t="s">
        <v>1636</v>
      </c>
      <c r="AO465" s="844"/>
      <c r="AP465" s="859">
        <v>45603</v>
      </c>
      <c r="AQ465" s="859">
        <v>45603</v>
      </c>
      <c r="AR465" s="859">
        <v>45482</v>
      </c>
      <c r="AS465" s="840"/>
      <c r="AT465" s="840" t="s">
        <v>1235</v>
      </c>
      <c r="AU465" s="860" t="s">
        <v>1602</v>
      </c>
      <c r="AV465" s="839" t="s">
        <v>1637</v>
      </c>
      <c r="AW465" s="861">
        <v>45482</v>
      </c>
      <c r="AX465" s="862"/>
      <c r="AY465" s="843"/>
      <c r="AZ465" s="842"/>
      <c r="BA465" s="842" t="s">
        <v>120</v>
      </c>
      <c r="BB465" s="863" t="s">
        <v>121</v>
      </c>
      <c r="BC465" s="864">
        <v>45547</v>
      </c>
      <c r="BD465" s="860" t="s">
        <v>1638</v>
      </c>
      <c r="BE465" s="865" cm="1">
        <f t="array" ref="BE465">IF(BD465="","",AC465/SUMPRODUCT(--(BD465=$BD$4:$BD$12824),$AC$4:$AC$12824))</f>
        <v>6.0828396037559712E-2</v>
      </c>
      <c r="BF465" s="458"/>
      <c r="BG465" s="458"/>
      <c r="BH465" s="458"/>
      <c r="BI465" s="458"/>
      <c r="BJ465" s="458"/>
      <c r="BK465" s="458"/>
      <c r="BL465" s="458"/>
      <c r="BM465" s="458"/>
      <c r="BN465" s="458"/>
      <c r="BO465" s="866">
        <f>VLOOKUP(BD465,$BD$4:$BN$12824,3,0)*BE465</f>
        <v>1743220.1736443862</v>
      </c>
      <c r="BP465" s="866"/>
      <c r="BQ465" s="866"/>
      <c r="BR465" s="866">
        <f>VLOOKUP(BD465,$BD$4:$BN$12824,6,0)*BE465</f>
        <v>763778.48319557391</v>
      </c>
      <c r="BS465" s="866">
        <f>VLOOKUP(BD465,$BD$4:$BN$12824,7,0)*BE465</f>
        <v>105312.99282897562</v>
      </c>
      <c r="BT465" s="866"/>
      <c r="BU465" s="866">
        <f>VLOOKUP(BD465,$BD$4:$BN$12824,9,0)*BE465</f>
        <v>30414.198018779854</v>
      </c>
      <c r="BV465" s="867"/>
      <c r="BW465" s="867">
        <f>VLOOKUP(BD465,$BD$4:$BN$12824,11,0)*BE465</f>
        <v>78833.601264677389</v>
      </c>
      <c r="BX465" s="1146">
        <f t="shared" si="91"/>
        <v>2721559.4489523931</v>
      </c>
      <c r="BY465" s="867">
        <f t="shared" si="100"/>
        <v>6068265.1319640232</v>
      </c>
      <c r="BZ465" s="867">
        <f t="shared" si="97"/>
        <v>109228772.37535241</v>
      </c>
      <c r="CA465" s="867">
        <f>_xlfn.MAXIFS($BY$4:$BY$12824,$S$4:$S$12824,$S465)</f>
        <v>6734334.4051262662</v>
      </c>
      <c r="CB465" s="1032"/>
      <c r="CF465" s="946">
        <f t="shared" si="99"/>
        <v>106507212.92640002</v>
      </c>
    </row>
    <row r="466" spans="1:84">
      <c r="A466" s="1032"/>
      <c r="B466" s="839" t="s">
        <v>98</v>
      </c>
      <c r="C466" s="839" t="s">
        <v>381</v>
      </c>
      <c r="D466" s="839" t="s">
        <v>1590</v>
      </c>
      <c r="E466" s="839" t="s">
        <v>1591</v>
      </c>
      <c r="F466" s="841">
        <v>45508</v>
      </c>
      <c r="G466" s="840" t="s">
        <v>381</v>
      </c>
      <c r="H466" s="842" t="s">
        <v>134</v>
      </c>
      <c r="I466" s="842"/>
      <c r="J466" s="841"/>
      <c r="K466" s="841"/>
      <c r="L466" s="843" t="s">
        <v>106</v>
      </c>
      <c r="M466" s="844" t="s">
        <v>107</v>
      </c>
      <c r="N466" s="841">
        <v>45479</v>
      </c>
      <c r="O466" s="841" t="s">
        <v>150</v>
      </c>
      <c r="P466" s="841" t="s">
        <v>151</v>
      </c>
      <c r="Q466" s="843"/>
      <c r="R466" s="845" t="s">
        <v>1685</v>
      </c>
      <c r="S466" s="1127" t="s">
        <v>1685</v>
      </c>
      <c r="T466" s="843" t="s">
        <v>1686</v>
      </c>
      <c r="U466" s="842">
        <v>12</v>
      </c>
      <c r="V466" s="842" t="s">
        <v>3</v>
      </c>
      <c r="W466" s="846">
        <v>965</v>
      </c>
      <c r="X466" s="847">
        <f t="shared" si="92"/>
        <v>11580</v>
      </c>
      <c r="Y466" s="848">
        <f t="shared" si="98"/>
        <v>0.55999999999999994</v>
      </c>
      <c r="Z466" s="849">
        <v>424.6</v>
      </c>
      <c r="AA466" s="849"/>
      <c r="AB466" s="849">
        <f t="shared" si="93"/>
        <v>5095.2000000000007</v>
      </c>
      <c r="AC466" s="850">
        <f t="shared" si="94"/>
        <v>5095.2000000000007</v>
      </c>
      <c r="AD466" s="851"/>
      <c r="AE466" s="852">
        <v>27222.43</v>
      </c>
      <c r="AF466" s="853">
        <v>0</v>
      </c>
      <c r="AG466" s="854">
        <f t="shared" si="95"/>
        <v>0</v>
      </c>
      <c r="AH466" s="853"/>
      <c r="AI466" s="855">
        <f t="shared" si="96"/>
        <v>0</v>
      </c>
      <c r="AJ466" s="845" t="s">
        <v>1633</v>
      </c>
      <c r="AK466" s="857">
        <v>45632</v>
      </c>
      <c r="AL466" s="840" t="s">
        <v>1634</v>
      </c>
      <c r="AM466" s="840" t="s">
        <v>1635</v>
      </c>
      <c r="AN466" s="858" t="s">
        <v>1636</v>
      </c>
      <c r="AO466" s="844"/>
      <c r="AP466" s="859">
        <v>45603</v>
      </c>
      <c r="AQ466" s="859">
        <v>45603</v>
      </c>
      <c r="AR466" s="859">
        <v>45482</v>
      </c>
      <c r="AS466" s="840"/>
      <c r="AT466" s="840" t="s">
        <v>1235</v>
      </c>
      <c r="AU466" s="860" t="s">
        <v>1602</v>
      </c>
      <c r="AV466" s="839" t="s">
        <v>1637</v>
      </c>
      <c r="AW466" s="861">
        <v>45482</v>
      </c>
      <c r="AX466" s="862"/>
      <c r="AY466" s="843"/>
      <c r="AZ466" s="842"/>
      <c r="BA466" s="842" t="s">
        <v>120</v>
      </c>
      <c r="BB466" s="863" t="s">
        <v>121</v>
      </c>
      <c r="BC466" s="864">
        <v>45547</v>
      </c>
      <c r="BD466" s="860" t="s">
        <v>1638</v>
      </c>
      <c r="BE466" s="865" cm="1">
        <f t="array" ref="BE466">IF(BD466="","",AC466/SUMPRODUCT(--(BD466=$BD$4:$BD$12824),$AC$4:$AC$12824))</f>
        <v>7.9216467174419866E-2</v>
      </c>
      <c r="BF466" s="458"/>
      <c r="BG466" s="458"/>
      <c r="BH466" s="458"/>
      <c r="BI466" s="458"/>
      <c r="BJ466" s="458"/>
      <c r="BK466" s="458"/>
      <c r="BL466" s="458"/>
      <c r="BM466" s="458"/>
      <c r="BN466" s="458"/>
      <c r="BO466" s="866">
        <f>VLOOKUP(BD466,$BD$4:$BN$12824,3,0)*BE466</f>
        <v>2270185.5162845245</v>
      </c>
      <c r="BP466" s="866"/>
      <c r="BQ466" s="866"/>
      <c r="BR466" s="866">
        <f>VLOOKUP(BD466,$BD$4:$BN$12824,6,0)*BE466</f>
        <v>994664.28648276487</v>
      </c>
      <c r="BS466" s="866">
        <f>VLOOKUP(BD466,$BD$4:$BN$12824,7,0)*BE466</f>
        <v>137148.49943314638</v>
      </c>
      <c r="BT466" s="866"/>
      <c r="BU466" s="866">
        <f>VLOOKUP(BD466,$BD$4:$BN$12824,9,0)*BE466</f>
        <v>39608.233587209936</v>
      </c>
      <c r="BV466" s="867"/>
      <c r="BW466" s="867">
        <f>VLOOKUP(BD466,$BD$4:$BN$12824,11,0)*BE466</f>
        <v>102664.54145804814</v>
      </c>
      <c r="BX466" s="1146">
        <f t="shared" si="91"/>
        <v>3544271.0772456937</v>
      </c>
      <c r="BY466" s="867">
        <f t="shared" si="100"/>
        <v>11853999.701103808</v>
      </c>
      <c r="BZ466" s="867">
        <f t="shared" si="97"/>
        <v>142247996.41324571</v>
      </c>
      <c r="CA466" s="867">
        <f>_xlfn.MAXIFS($BY$4:$BY$12824,$S$4:$S$12824,$S466)</f>
        <v>12065378.14042077</v>
      </c>
      <c r="CB466" s="1032"/>
      <c r="CF466" s="946">
        <f t="shared" si="99"/>
        <v>138703725.33600003</v>
      </c>
    </row>
    <row r="467" spans="1:84">
      <c r="A467" s="1032"/>
      <c r="B467" s="839" t="s">
        <v>98</v>
      </c>
      <c r="C467" s="839" t="s">
        <v>381</v>
      </c>
      <c r="D467" s="839" t="s">
        <v>1590</v>
      </c>
      <c r="E467" s="839" t="s">
        <v>1591</v>
      </c>
      <c r="F467" s="841">
        <v>45508</v>
      </c>
      <c r="G467" s="840" t="s">
        <v>381</v>
      </c>
      <c r="H467" s="842" t="s">
        <v>134</v>
      </c>
      <c r="I467" s="842"/>
      <c r="J467" s="841"/>
      <c r="K467" s="841"/>
      <c r="L467" s="843" t="s">
        <v>106</v>
      </c>
      <c r="M467" s="844" t="s">
        <v>107</v>
      </c>
      <c r="N467" s="841">
        <v>45479</v>
      </c>
      <c r="O467" s="841" t="s">
        <v>150</v>
      </c>
      <c r="P467" s="841" t="s">
        <v>151</v>
      </c>
      <c r="Q467" s="843"/>
      <c r="R467" s="845" t="s">
        <v>1687</v>
      </c>
      <c r="S467" s="1127" t="s">
        <v>1687</v>
      </c>
      <c r="T467" s="843" t="s">
        <v>1688</v>
      </c>
      <c r="U467" s="842">
        <v>6</v>
      </c>
      <c r="V467" s="842" t="s">
        <v>3</v>
      </c>
      <c r="W467" s="846">
        <v>410</v>
      </c>
      <c r="X467" s="847">
        <f t="shared" si="92"/>
        <v>2460</v>
      </c>
      <c r="Y467" s="848">
        <f t="shared" si="98"/>
        <v>0.55999999999999994</v>
      </c>
      <c r="Z467" s="849">
        <v>180.4</v>
      </c>
      <c r="AA467" s="849"/>
      <c r="AB467" s="849">
        <f t="shared" si="93"/>
        <v>1082.4000000000001</v>
      </c>
      <c r="AC467" s="850">
        <f t="shared" si="94"/>
        <v>1082.4000000000001</v>
      </c>
      <c r="AD467" s="851"/>
      <c r="AE467" s="852">
        <v>27222.43</v>
      </c>
      <c r="AF467" s="853">
        <v>0</v>
      </c>
      <c r="AG467" s="854">
        <f t="shared" si="95"/>
        <v>0</v>
      </c>
      <c r="AH467" s="853"/>
      <c r="AI467" s="855">
        <f t="shared" si="96"/>
        <v>0</v>
      </c>
      <c r="AJ467" s="845" t="s">
        <v>1633</v>
      </c>
      <c r="AK467" s="857">
        <v>45632</v>
      </c>
      <c r="AL467" s="840" t="s">
        <v>1634</v>
      </c>
      <c r="AM467" s="840" t="s">
        <v>1635</v>
      </c>
      <c r="AN467" s="858" t="s">
        <v>1636</v>
      </c>
      <c r="AO467" s="844"/>
      <c r="AP467" s="859">
        <v>45603</v>
      </c>
      <c r="AQ467" s="859">
        <v>45603</v>
      </c>
      <c r="AR467" s="859">
        <v>45482</v>
      </c>
      <c r="AS467" s="840"/>
      <c r="AT467" s="840" t="s">
        <v>1235</v>
      </c>
      <c r="AU467" s="860" t="s">
        <v>1602</v>
      </c>
      <c r="AV467" s="839" t="s">
        <v>1637</v>
      </c>
      <c r="AW467" s="861">
        <v>45482</v>
      </c>
      <c r="AX467" s="862"/>
      <c r="AY467" s="843"/>
      <c r="AZ467" s="842"/>
      <c r="BA467" s="842" t="s">
        <v>120</v>
      </c>
      <c r="BB467" s="863" t="s">
        <v>121</v>
      </c>
      <c r="BC467" s="864">
        <v>45547</v>
      </c>
      <c r="BD467" s="860" t="s">
        <v>1638</v>
      </c>
      <c r="BE467" s="865" cm="1">
        <f t="array" ref="BE467">IF(BD467="","",AC467/SUMPRODUCT(--(BD467=$BD$4:$BD$12824),$AC$4:$AC$12824))</f>
        <v>1.6828368674358624E-2</v>
      </c>
      <c r="BF467" s="458"/>
      <c r="BG467" s="458"/>
      <c r="BH467" s="458"/>
      <c r="BI467" s="458"/>
      <c r="BJ467" s="458"/>
      <c r="BK467" s="458"/>
      <c r="BL467" s="458"/>
      <c r="BM467" s="458"/>
      <c r="BN467" s="458"/>
      <c r="BO467" s="866">
        <f>VLOOKUP(BD467,$BD$4:$BN$12824,3,0)*BE467</f>
        <v>482267.38946976943</v>
      </c>
      <c r="BP467" s="866"/>
      <c r="BQ467" s="866"/>
      <c r="BR467" s="866">
        <f>VLOOKUP(BD467,$BD$4:$BN$12824,6,0)*BE467</f>
        <v>211301.73961550964</v>
      </c>
      <c r="BS467" s="866">
        <f>VLOOKUP(BD467,$BD$4:$BN$12824,7,0)*BE467</f>
        <v>29135.173454709853</v>
      </c>
      <c r="BT467" s="866"/>
      <c r="BU467" s="866">
        <f>VLOOKUP(BD467,$BD$4:$BN$12824,9,0)*BE467</f>
        <v>8414.1843371793129</v>
      </c>
      <c r="BV467" s="867"/>
      <c r="BW467" s="867">
        <f>VLOOKUP(BD467,$BD$4:$BN$12824,11,0)*BE467</f>
        <v>21809.565801968776</v>
      </c>
      <c r="BX467" s="1146">
        <f t="shared" si="91"/>
        <v>752928.05267913698</v>
      </c>
      <c r="BY467" s="867">
        <f t="shared" si="100"/>
        <v>5036414.3807798568</v>
      </c>
      <c r="BZ467" s="867">
        <f t="shared" si="97"/>
        <v>30218486.284679141</v>
      </c>
      <c r="CA467" s="867">
        <f>_xlfn.MAXIFS($BY$4:$BY$12824,$S$4:$S$12824,$S467)</f>
        <v>5755591.6607803665</v>
      </c>
      <c r="CB467" s="1032"/>
      <c r="CF467" s="946">
        <f t="shared" si="99"/>
        <v>29465558.232000005</v>
      </c>
    </row>
    <row r="468" spans="1:84">
      <c r="A468" s="1032"/>
      <c r="B468" s="839" t="s">
        <v>98</v>
      </c>
      <c r="C468" s="839" t="s">
        <v>381</v>
      </c>
      <c r="D468" s="839" t="s">
        <v>1590</v>
      </c>
      <c r="E468" s="839" t="s">
        <v>1591</v>
      </c>
      <c r="F468" s="841">
        <v>45508</v>
      </c>
      <c r="G468" s="840" t="s">
        <v>381</v>
      </c>
      <c r="H468" s="842" t="s">
        <v>134</v>
      </c>
      <c r="I468" s="842"/>
      <c r="J468" s="841"/>
      <c r="K468" s="841"/>
      <c r="L468" s="843" t="s">
        <v>106</v>
      </c>
      <c r="M468" s="844" t="s">
        <v>107</v>
      </c>
      <c r="N468" s="841">
        <v>45479</v>
      </c>
      <c r="O468" s="841" t="s">
        <v>150</v>
      </c>
      <c r="P468" s="841" t="s">
        <v>151</v>
      </c>
      <c r="Q468" s="843"/>
      <c r="R468" s="845" t="s">
        <v>1689</v>
      </c>
      <c r="S468" s="1127" t="s">
        <v>1689</v>
      </c>
      <c r="T468" s="843" t="s">
        <v>1690</v>
      </c>
      <c r="U468" s="842">
        <v>6</v>
      </c>
      <c r="V468" s="842" t="s">
        <v>3</v>
      </c>
      <c r="W468" s="846">
        <v>410</v>
      </c>
      <c r="X468" s="847">
        <f t="shared" si="92"/>
        <v>2460</v>
      </c>
      <c r="Y468" s="848">
        <f t="shared" si="98"/>
        <v>0.55999999999999994</v>
      </c>
      <c r="Z468" s="849">
        <v>180.4</v>
      </c>
      <c r="AA468" s="849"/>
      <c r="AB468" s="849">
        <f t="shared" si="93"/>
        <v>1082.4000000000001</v>
      </c>
      <c r="AC468" s="850">
        <f t="shared" si="94"/>
        <v>1082.4000000000001</v>
      </c>
      <c r="AD468" s="851"/>
      <c r="AE468" s="852">
        <v>27222.43</v>
      </c>
      <c r="AF468" s="853">
        <v>0</v>
      </c>
      <c r="AG468" s="854">
        <f t="shared" si="95"/>
        <v>0</v>
      </c>
      <c r="AH468" s="853"/>
      <c r="AI468" s="855">
        <f t="shared" si="96"/>
        <v>0</v>
      </c>
      <c r="AJ468" s="845" t="s">
        <v>1633</v>
      </c>
      <c r="AK468" s="857">
        <v>45632</v>
      </c>
      <c r="AL468" s="840" t="s">
        <v>1634</v>
      </c>
      <c r="AM468" s="840" t="s">
        <v>1635</v>
      </c>
      <c r="AN468" s="858" t="s">
        <v>1636</v>
      </c>
      <c r="AO468" s="844"/>
      <c r="AP468" s="859">
        <v>45603</v>
      </c>
      <c r="AQ468" s="859">
        <v>45603</v>
      </c>
      <c r="AR468" s="859">
        <v>45482</v>
      </c>
      <c r="AS468" s="840"/>
      <c r="AT468" s="840" t="s">
        <v>1235</v>
      </c>
      <c r="AU468" s="860" t="s">
        <v>1602</v>
      </c>
      <c r="AV468" s="839" t="s">
        <v>1637</v>
      </c>
      <c r="AW468" s="861">
        <v>45482</v>
      </c>
      <c r="AX468" s="862"/>
      <c r="AY468" s="843"/>
      <c r="AZ468" s="842"/>
      <c r="BA468" s="842" t="s">
        <v>120</v>
      </c>
      <c r="BB468" s="863" t="s">
        <v>121</v>
      </c>
      <c r="BC468" s="864">
        <v>45547</v>
      </c>
      <c r="BD468" s="860" t="s">
        <v>1638</v>
      </c>
      <c r="BE468" s="865" cm="1">
        <f t="array" ref="BE468">IF(BD468="","",AC468/SUMPRODUCT(--(BD468=$BD$4:$BD$12824),$AC$4:$AC$12824))</f>
        <v>1.6828368674358624E-2</v>
      </c>
      <c r="BF468" s="458"/>
      <c r="BG468" s="458"/>
      <c r="BH468" s="458"/>
      <c r="BI468" s="458"/>
      <c r="BJ468" s="458"/>
      <c r="BK468" s="458"/>
      <c r="BL468" s="458"/>
      <c r="BM468" s="458"/>
      <c r="BN468" s="458"/>
      <c r="BO468" s="866">
        <f>VLOOKUP(BD468,$BD$4:$BN$12824,3,0)*BE468</f>
        <v>482267.38946976943</v>
      </c>
      <c r="BP468" s="866"/>
      <c r="BQ468" s="866"/>
      <c r="BR468" s="866">
        <f>VLOOKUP(BD468,$BD$4:$BN$12824,6,0)*BE468</f>
        <v>211301.73961550964</v>
      </c>
      <c r="BS468" s="866">
        <f>VLOOKUP(BD468,$BD$4:$BN$12824,7,0)*BE468</f>
        <v>29135.173454709853</v>
      </c>
      <c r="BT468" s="866"/>
      <c r="BU468" s="866">
        <f>VLOOKUP(BD468,$BD$4:$BN$12824,9,0)*BE468</f>
        <v>8414.1843371793129</v>
      </c>
      <c r="BV468" s="867"/>
      <c r="BW468" s="867">
        <f>VLOOKUP(BD468,$BD$4:$BN$12824,11,0)*BE468</f>
        <v>21809.565801968776</v>
      </c>
      <c r="BX468" s="1146">
        <f t="shared" si="91"/>
        <v>752928.05267913698</v>
      </c>
      <c r="BY468" s="867">
        <f t="shared" si="100"/>
        <v>5036414.3807798568</v>
      </c>
      <c r="BZ468" s="867">
        <f t="shared" si="97"/>
        <v>30218486.284679141</v>
      </c>
      <c r="CA468" s="867">
        <f>_xlfn.MAXIFS($BY$4:$BY$12824,$S$4:$S$12824,$S468)</f>
        <v>5755591.6607803665</v>
      </c>
      <c r="CB468" s="1032"/>
      <c r="CF468" s="946">
        <f t="shared" si="99"/>
        <v>29465558.232000005</v>
      </c>
    </row>
    <row r="469" spans="1:84">
      <c r="A469" s="1032"/>
      <c r="B469" s="839" t="s">
        <v>98</v>
      </c>
      <c r="C469" s="839" t="s">
        <v>381</v>
      </c>
      <c r="D469" s="839" t="s">
        <v>1590</v>
      </c>
      <c r="E469" s="839" t="s">
        <v>1591</v>
      </c>
      <c r="F469" s="841">
        <v>45508</v>
      </c>
      <c r="G469" s="840" t="s">
        <v>381</v>
      </c>
      <c r="H469" s="842" t="s">
        <v>134</v>
      </c>
      <c r="I469" s="842"/>
      <c r="J469" s="841"/>
      <c r="K469" s="841"/>
      <c r="L469" s="843" t="s">
        <v>106</v>
      </c>
      <c r="M469" s="844" t="s">
        <v>107</v>
      </c>
      <c r="N469" s="841">
        <v>45479</v>
      </c>
      <c r="O469" s="841" t="s">
        <v>150</v>
      </c>
      <c r="P469" s="841" t="s">
        <v>151</v>
      </c>
      <c r="Q469" s="843"/>
      <c r="R469" s="845" t="s">
        <v>1691</v>
      </c>
      <c r="S469" s="1127" t="s">
        <v>1691</v>
      </c>
      <c r="T469" s="843" t="s">
        <v>1692</v>
      </c>
      <c r="U469" s="842">
        <v>6</v>
      </c>
      <c r="V469" s="842" t="s">
        <v>3</v>
      </c>
      <c r="W469" s="846">
        <v>410</v>
      </c>
      <c r="X469" s="847">
        <f t="shared" si="92"/>
        <v>2460</v>
      </c>
      <c r="Y469" s="848">
        <f t="shared" si="98"/>
        <v>0.55999999999999994</v>
      </c>
      <c r="Z469" s="849">
        <v>180.4</v>
      </c>
      <c r="AA469" s="849"/>
      <c r="AB469" s="849">
        <f t="shared" si="93"/>
        <v>1082.4000000000001</v>
      </c>
      <c r="AC469" s="850">
        <f t="shared" si="94"/>
        <v>1082.4000000000001</v>
      </c>
      <c r="AD469" s="851"/>
      <c r="AE469" s="852">
        <v>27222.43</v>
      </c>
      <c r="AF469" s="853">
        <v>0</v>
      </c>
      <c r="AG469" s="854">
        <f t="shared" si="95"/>
        <v>0</v>
      </c>
      <c r="AH469" s="853"/>
      <c r="AI469" s="855">
        <f t="shared" si="96"/>
        <v>0</v>
      </c>
      <c r="AJ469" s="845" t="s">
        <v>1633</v>
      </c>
      <c r="AK469" s="857">
        <v>45632</v>
      </c>
      <c r="AL469" s="840" t="s">
        <v>1634</v>
      </c>
      <c r="AM469" s="840" t="s">
        <v>1635</v>
      </c>
      <c r="AN469" s="858" t="s">
        <v>1636</v>
      </c>
      <c r="AO469" s="844"/>
      <c r="AP469" s="859">
        <v>45603</v>
      </c>
      <c r="AQ469" s="859">
        <v>45603</v>
      </c>
      <c r="AR469" s="859">
        <v>45482</v>
      </c>
      <c r="AS469" s="840"/>
      <c r="AT469" s="840" t="s">
        <v>1235</v>
      </c>
      <c r="AU469" s="860" t="s">
        <v>1602</v>
      </c>
      <c r="AV469" s="839" t="s">
        <v>1637</v>
      </c>
      <c r="AW469" s="861">
        <v>45482</v>
      </c>
      <c r="AX469" s="862"/>
      <c r="AY469" s="843"/>
      <c r="AZ469" s="842"/>
      <c r="BA469" s="842" t="s">
        <v>120</v>
      </c>
      <c r="BB469" s="863" t="s">
        <v>121</v>
      </c>
      <c r="BC469" s="864">
        <v>45547</v>
      </c>
      <c r="BD469" s="860" t="s">
        <v>1638</v>
      </c>
      <c r="BE469" s="865" cm="1">
        <f t="array" ref="BE469">IF(BD469="","",AC469/SUMPRODUCT(--(BD469=$BD$4:$BD$12824),$AC$4:$AC$12824))</f>
        <v>1.6828368674358624E-2</v>
      </c>
      <c r="BF469" s="458"/>
      <c r="BG469" s="458"/>
      <c r="BH469" s="458"/>
      <c r="BI469" s="458"/>
      <c r="BJ469" s="458"/>
      <c r="BK469" s="458"/>
      <c r="BL469" s="458"/>
      <c r="BM469" s="458"/>
      <c r="BN469" s="458"/>
      <c r="BO469" s="866">
        <f>VLOOKUP(BD469,$BD$4:$BN$12824,3,0)*BE469</f>
        <v>482267.38946976943</v>
      </c>
      <c r="BP469" s="866"/>
      <c r="BQ469" s="866"/>
      <c r="BR469" s="866">
        <f>VLOOKUP(BD469,$BD$4:$BN$12824,6,0)*BE469</f>
        <v>211301.73961550964</v>
      </c>
      <c r="BS469" s="866">
        <f>VLOOKUP(BD469,$BD$4:$BN$12824,7,0)*BE469</f>
        <v>29135.173454709853</v>
      </c>
      <c r="BT469" s="866"/>
      <c r="BU469" s="866">
        <f>VLOOKUP(BD469,$BD$4:$BN$12824,9,0)*BE469</f>
        <v>8414.1843371793129</v>
      </c>
      <c r="BV469" s="867"/>
      <c r="BW469" s="867">
        <f>VLOOKUP(BD469,$BD$4:$BN$12824,11,0)*BE469</f>
        <v>21809.565801968776</v>
      </c>
      <c r="BX469" s="1146">
        <f t="shared" si="91"/>
        <v>752928.05267913698</v>
      </c>
      <c r="BY469" s="867">
        <f t="shared" si="100"/>
        <v>5036414.3807798568</v>
      </c>
      <c r="BZ469" s="867">
        <f t="shared" si="97"/>
        <v>30218486.284679141</v>
      </c>
      <c r="CA469" s="867">
        <f>_xlfn.MAXIFS($BY$4:$BY$12824,$S$4:$S$12824,$S469)</f>
        <v>5036414.3807798568</v>
      </c>
      <c r="CB469" s="1032"/>
      <c r="CF469" s="946">
        <f t="shared" si="99"/>
        <v>29465558.232000005</v>
      </c>
    </row>
    <row r="470" spans="1:84">
      <c r="A470" s="1032"/>
      <c r="B470" s="839" t="s">
        <v>98</v>
      </c>
      <c r="C470" s="839" t="s">
        <v>381</v>
      </c>
      <c r="D470" s="839" t="s">
        <v>1590</v>
      </c>
      <c r="E470" s="839" t="s">
        <v>1591</v>
      </c>
      <c r="F470" s="841">
        <v>45508</v>
      </c>
      <c r="G470" s="840" t="s">
        <v>381</v>
      </c>
      <c r="H470" s="842" t="s">
        <v>134</v>
      </c>
      <c r="I470" s="842"/>
      <c r="J470" s="841"/>
      <c r="K470" s="841"/>
      <c r="L470" s="843" t="s">
        <v>106</v>
      </c>
      <c r="M470" s="844" t="s">
        <v>107</v>
      </c>
      <c r="N470" s="841">
        <v>45479</v>
      </c>
      <c r="O470" s="841" t="s">
        <v>150</v>
      </c>
      <c r="P470" s="841" t="s">
        <v>151</v>
      </c>
      <c r="Q470" s="843"/>
      <c r="R470" s="845" t="s">
        <v>1693</v>
      </c>
      <c r="S470" s="1127" t="s">
        <v>1693</v>
      </c>
      <c r="T470" s="843" t="s">
        <v>1694</v>
      </c>
      <c r="U470" s="842">
        <v>6</v>
      </c>
      <c r="V470" s="842" t="s">
        <v>3</v>
      </c>
      <c r="W470" s="846">
        <v>410</v>
      </c>
      <c r="X470" s="847">
        <f t="shared" si="92"/>
        <v>2460</v>
      </c>
      <c r="Y470" s="848">
        <f t="shared" si="98"/>
        <v>0.55999999999999994</v>
      </c>
      <c r="Z470" s="849">
        <v>180.4</v>
      </c>
      <c r="AA470" s="849"/>
      <c r="AB470" s="849">
        <f t="shared" si="93"/>
        <v>1082.4000000000001</v>
      </c>
      <c r="AC470" s="850">
        <f t="shared" si="94"/>
        <v>1082.4000000000001</v>
      </c>
      <c r="AD470" s="851"/>
      <c r="AE470" s="852">
        <v>27222.43</v>
      </c>
      <c r="AF470" s="853">
        <v>0</v>
      </c>
      <c r="AG470" s="854">
        <f t="shared" si="95"/>
        <v>0</v>
      </c>
      <c r="AH470" s="853"/>
      <c r="AI470" s="855">
        <f t="shared" si="96"/>
        <v>0</v>
      </c>
      <c r="AJ470" s="845" t="s">
        <v>1633</v>
      </c>
      <c r="AK470" s="857">
        <v>45632</v>
      </c>
      <c r="AL470" s="840" t="s">
        <v>1634</v>
      </c>
      <c r="AM470" s="840" t="s">
        <v>1635</v>
      </c>
      <c r="AN470" s="858" t="s">
        <v>1636</v>
      </c>
      <c r="AO470" s="844"/>
      <c r="AP470" s="859">
        <v>45603</v>
      </c>
      <c r="AQ470" s="859">
        <v>45603</v>
      </c>
      <c r="AR470" s="859">
        <v>45482</v>
      </c>
      <c r="AS470" s="840"/>
      <c r="AT470" s="840" t="s">
        <v>1235</v>
      </c>
      <c r="AU470" s="860" t="s">
        <v>1602</v>
      </c>
      <c r="AV470" s="839" t="s">
        <v>1637</v>
      </c>
      <c r="AW470" s="861">
        <v>45482</v>
      </c>
      <c r="AX470" s="862"/>
      <c r="AY470" s="843"/>
      <c r="AZ470" s="842"/>
      <c r="BA470" s="842" t="s">
        <v>120</v>
      </c>
      <c r="BB470" s="863" t="s">
        <v>121</v>
      </c>
      <c r="BC470" s="864">
        <v>45547</v>
      </c>
      <c r="BD470" s="860" t="s">
        <v>1638</v>
      </c>
      <c r="BE470" s="865" cm="1">
        <f t="array" ref="BE470">IF(BD470="","",AC470/SUMPRODUCT(--(BD470=$BD$4:$BD$12824),$AC$4:$AC$12824))</f>
        <v>1.6828368674358624E-2</v>
      </c>
      <c r="BF470" s="458"/>
      <c r="BG470" s="458"/>
      <c r="BH470" s="458"/>
      <c r="BI470" s="458"/>
      <c r="BJ470" s="458"/>
      <c r="BK470" s="458"/>
      <c r="BL470" s="458"/>
      <c r="BM470" s="458"/>
      <c r="BN470" s="458"/>
      <c r="BO470" s="866">
        <f>VLOOKUP(BD470,$BD$4:$BN$12824,3,0)*BE470</f>
        <v>482267.38946976943</v>
      </c>
      <c r="BP470" s="866"/>
      <c r="BQ470" s="866"/>
      <c r="BR470" s="866">
        <f>VLOOKUP(BD470,$BD$4:$BN$12824,6,0)*BE470</f>
        <v>211301.73961550964</v>
      </c>
      <c r="BS470" s="866">
        <f>VLOOKUP(BD470,$BD$4:$BN$12824,7,0)*BE470</f>
        <v>29135.173454709853</v>
      </c>
      <c r="BT470" s="866"/>
      <c r="BU470" s="866">
        <f>VLOOKUP(BD470,$BD$4:$BN$12824,9,0)*BE470</f>
        <v>8414.1843371793129</v>
      </c>
      <c r="BV470" s="867"/>
      <c r="BW470" s="867">
        <f>VLOOKUP(BD470,$BD$4:$BN$12824,11,0)*BE470</f>
        <v>21809.565801968776</v>
      </c>
      <c r="BX470" s="1146">
        <f t="shared" si="91"/>
        <v>752928.05267913698</v>
      </c>
      <c r="BY470" s="867">
        <f t="shared" si="100"/>
        <v>5036414.3807798568</v>
      </c>
      <c r="BZ470" s="867">
        <f t="shared" si="97"/>
        <v>30218486.284679141</v>
      </c>
      <c r="CA470" s="867">
        <f>_xlfn.MAXIFS($BY$4:$BY$12824,$S$4:$S$12824,$S470)</f>
        <v>5036414.3807798568</v>
      </c>
      <c r="CB470" s="1032"/>
      <c r="CF470" s="946">
        <f t="shared" si="99"/>
        <v>29465558.232000005</v>
      </c>
    </row>
    <row r="471" spans="1:84">
      <c r="A471" s="1032"/>
      <c r="B471" s="839" t="s">
        <v>98</v>
      </c>
      <c r="C471" s="839" t="s">
        <v>381</v>
      </c>
      <c r="D471" s="839" t="s">
        <v>1590</v>
      </c>
      <c r="E471" s="839" t="s">
        <v>1591</v>
      </c>
      <c r="F471" s="841">
        <v>45508</v>
      </c>
      <c r="G471" s="840" t="s">
        <v>381</v>
      </c>
      <c r="H471" s="842" t="s">
        <v>134</v>
      </c>
      <c r="I471" s="842"/>
      <c r="J471" s="841"/>
      <c r="K471" s="841"/>
      <c r="L471" s="843" t="s">
        <v>106</v>
      </c>
      <c r="M471" s="844" t="s">
        <v>107</v>
      </c>
      <c r="N471" s="841">
        <v>45479</v>
      </c>
      <c r="O471" s="841" t="s">
        <v>150</v>
      </c>
      <c r="P471" s="841" t="s">
        <v>151</v>
      </c>
      <c r="Q471" s="843"/>
      <c r="R471" s="845" t="s">
        <v>1695</v>
      </c>
      <c r="S471" s="1127" t="s">
        <v>1695</v>
      </c>
      <c r="T471" s="843" t="s">
        <v>1696</v>
      </c>
      <c r="U471" s="842">
        <v>6</v>
      </c>
      <c r="V471" s="842" t="s">
        <v>3</v>
      </c>
      <c r="W471" s="846">
        <v>410</v>
      </c>
      <c r="X471" s="847">
        <f t="shared" si="92"/>
        <v>2460</v>
      </c>
      <c r="Y471" s="848">
        <f t="shared" si="98"/>
        <v>0.55999999999999994</v>
      </c>
      <c r="Z471" s="849">
        <v>180.4</v>
      </c>
      <c r="AA471" s="849"/>
      <c r="AB471" s="849">
        <f t="shared" si="93"/>
        <v>1082.4000000000001</v>
      </c>
      <c r="AC471" s="850">
        <f t="shared" si="94"/>
        <v>1082.4000000000001</v>
      </c>
      <c r="AD471" s="851"/>
      <c r="AE471" s="852">
        <v>27222.43</v>
      </c>
      <c r="AF471" s="853">
        <v>0</v>
      </c>
      <c r="AG471" s="854">
        <f t="shared" si="95"/>
        <v>0</v>
      </c>
      <c r="AH471" s="853"/>
      <c r="AI471" s="855">
        <f t="shared" si="96"/>
        <v>0</v>
      </c>
      <c r="AJ471" s="845" t="s">
        <v>1633</v>
      </c>
      <c r="AK471" s="857">
        <v>45632</v>
      </c>
      <c r="AL471" s="840" t="s">
        <v>1634</v>
      </c>
      <c r="AM471" s="840" t="s">
        <v>1635</v>
      </c>
      <c r="AN471" s="858" t="s">
        <v>1636</v>
      </c>
      <c r="AO471" s="844"/>
      <c r="AP471" s="859">
        <v>45603</v>
      </c>
      <c r="AQ471" s="859">
        <v>45603</v>
      </c>
      <c r="AR471" s="859">
        <v>45482</v>
      </c>
      <c r="AS471" s="840"/>
      <c r="AT471" s="840" t="s">
        <v>1235</v>
      </c>
      <c r="AU471" s="860" t="s">
        <v>1602</v>
      </c>
      <c r="AV471" s="839" t="s">
        <v>1637</v>
      </c>
      <c r="AW471" s="861">
        <v>45482</v>
      </c>
      <c r="AX471" s="862"/>
      <c r="AY471" s="843"/>
      <c r="AZ471" s="842"/>
      <c r="BA471" s="842" t="s">
        <v>120</v>
      </c>
      <c r="BB471" s="863" t="s">
        <v>121</v>
      </c>
      <c r="BC471" s="864">
        <v>45547</v>
      </c>
      <c r="BD471" s="860" t="s">
        <v>1638</v>
      </c>
      <c r="BE471" s="865" cm="1">
        <f t="array" ref="BE471">IF(BD471="","",AC471/SUMPRODUCT(--(BD471=$BD$4:$BD$12824),$AC$4:$AC$12824))</f>
        <v>1.6828368674358624E-2</v>
      </c>
      <c r="BF471" s="458"/>
      <c r="BG471" s="458"/>
      <c r="BH471" s="458"/>
      <c r="BI471" s="458"/>
      <c r="BJ471" s="458"/>
      <c r="BK471" s="458"/>
      <c r="BL471" s="458"/>
      <c r="BM471" s="458"/>
      <c r="BN471" s="458"/>
      <c r="BO471" s="866">
        <f>VLOOKUP(BD471,$BD$4:$BN$12824,3,0)*BE471</f>
        <v>482267.38946976943</v>
      </c>
      <c r="BP471" s="866"/>
      <c r="BQ471" s="866"/>
      <c r="BR471" s="866">
        <f>VLOOKUP(BD471,$BD$4:$BN$12824,6,0)*BE471</f>
        <v>211301.73961550964</v>
      </c>
      <c r="BS471" s="866">
        <f>VLOOKUP(BD471,$BD$4:$BN$12824,7,0)*BE471</f>
        <v>29135.173454709853</v>
      </c>
      <c r="BT471" s="866"/>
      <c r="BU471" s="866">
        <f>VLOOKUP(BD471,$BD$4:$BN$12824,9,0)*BE471</f>
        <v>8414.1843371793129</v>
      </c>
      <c r="BV471" s="867"/>
      <c r="BW471" s="867">
        <f>VLOOKUP(BD471,$BD$4:$BN$12824,11,0)*BE471</f>
        <v>21809.565801968776</v>
      </c>
      <c r="BX471" s="1146">
        <f t="shared" si="91"/>
        <v>752928.05267913698</v>
      </c>
      <c r="BY471" s="867">
        <f t="shared" si="100"/>
        <v>5036414.3807798568</v>
      </c>
      <c r="BZ471" s="867">
        <f t="shared" si="97"/>
        <v>30218486.284679141</v>
      </c>
      <c r="CA471" s="867">
        <f>_xlfn.MAXIFS($BY$4:$BY$12824,$S$4:$S$12824,$S471)</f>
        <v>5036414.3807798568</v>
      </c>
      <c r="CB471" s="1032"/>
      <c r="CF471" s="946">
        <f t="shared" si="99"/>
        <v>29465558.232000005</v>
      </c>
    </row>
    <row r="472" spans="1:84">
      <c r="A472" s="1032"/>
      <c r="B472" s="839" t="s">
        <v>98</v>
      </c>
      <c r="C472" s="839" t="s">
        <v>381</v>
      </c>
      <c r="D472" s="839" t="s">
        <v>1590</v>
      </c>
      <c r="E472" s="839" t="s">
        <v>1591</v>
      </c>
      <c r="F472" s="841">
        <v>45508</v>
      </c>
      <c r="G472" s="840" t="s">
        <v>381</v>
      </c>
      <c r="H472" s="842" t="s">
        <v>134</v>
      </c>
      <c r="I472" s="842"/>
      <c r="J472" s="841"/>
      <c r="K472" s="841"/>
      <c r="L472" s="843" t="s">
        <v>106</v>
      </c>
      <c r="M472" s="844" t="s">
        <v>107</v>
      </c>
      <c r="N472" s="841">
        <v>45479</v>
      </c>
      <c r="O472" s="841" t="s">
        <v>150</v>
      </c>
      <c r="P472" s="841" t="s">
        <v>151</v>
      </c>
      <c r="Q472" s="843"/>
      <c r="R472" s="845" t="s">
        <v>1697</v>
      </c>
      <c r="S472" s="1127" t="s">
        <v>1697</v>
      </c>
      <c r="T472" s="843" t="s">
        <v>1698</v>
      </c>
      <c r="U472" s="842">
        <v>6</v>
      </c>
      <c r="V472" s="842" t="s">
        <v>3</v>
      </c>
      <c r="W472" s="846">
        <v>410</v>
      </c>
      <c r="X472" s="847">
        <f t="shared" si="92"/>
        <v>2460</v>
      </c>
      <c r="Y472" s="848">
        <f t="shared" si="98"/>
        <v>0.55999999999999994</v>
      </c>
      <c r="Z472" s="849">
        <v>180.4</v>
      </c>
      <c r="AA472" s="849"/>
      <c r="AB472" s="849">
        <f t="shared" si="93"/>
        <v>1082.4000000000001</v>
      </c>
      <c r="AC472" s="850">
        <f t="shared" si="94"/>
        <v>1082.4000000000001</v>
      </c>
      <c r="AD472" s="851"/>
      <c r="AE472" s="852">
        <v>27222.43</v>
      </c>
      <c r="AF472" s="853">
        <v>0</v>
      </c>
      <c r="AG472" s="854">
        <f t="shared" si="95"/>
        <v>0</v>
      </c>
      <c r="AH472" s="853"/>
      <c r="AI472" s="855">
        <f t="shared" si="96"/>
        <v>0</v>
      </c>
      <c r="AJ472" s="845" t="s">
        <v>1633</v>
      </c>
      <c r="AK472" s="857">
        <v>45632</v>
      </c>
      <c r="AL472" s="840" t="s">
        <v>1634</v>
      </c>
      <c r="AM472" s="840" t="s">
        <v>1635</v>
      </c>
      <c r="AN472" s="858" t="s">
        <v>1636</v>
      </c>
      <c r="AO472" s="844"/>
      <c r="AP472" s="859">
        <v>45603</v>
      </c>
      <c r="AQ472" s="859">
        <v>45603</v>
      </c>
      <c r="AR472" s="859">
        <v>45482</v>
      </c>
      <c r="AS472" s="840"/>
      <c r="AT472" s="840" t="s">
        <v>1235</v>
      </c>
      <c r="AU472" s="860" t="s">
        <v>1602</v>
      </c>
      <c r="AV472" s="839" t="s">
        <v>1637</v>
      </c>
      <c r="AW472" s="861">
        <v>45482</v>
      </c>
      <c r="AX472" s="862"/>
      <c r="AY472" s="843"/>
      <c r="AZ472" s="842"/>
      <c r="BA472" s="842" t="s">
        <v>120</v>
      </c>
      <c r="BB472" s="863" t="s">
        <v>121</v>
      </c>
      <c r="BC472" s="864">
        <v>45547</v>
      </c>
      <c r="BD472" s="860" t="s">
        <v>1638</v>
      </c>
      <c r="BE472" s="865" cm="1">
        <f t="array" ref="BE472">IF(BD472="","",AC472/SUMPRODUCT(--(BD472=$BD$4:$BD$12824),$AC$4:$AC$12824))</f>
        <v>1.6828368674358624E-2</v>
      </c>
      <c r="BF472" s="458"/>
      <c r="BG472" s="458"/>
      <c r="BH472" s="458"/>
      <c r="BI472" s="458"/>
      <c r="BJ472" s="458"/>
      <c r="BK472" s="458"/>
      <c r="BL472" s="458"/>
      <c r="BM472" s="458"/>
      <c r="BN472" s="458"/>
      <c r="BO472" s="866">
        <f>VLOOKUP(BD472,$BD$4:$BN$12824,3,0)*BE472</f>
        <v>482267.38946976943</v>
      </c>
      <c r="BP472" s="866"/>
      <c r="BQ472" s="866"/>
      <c r="BR472" s="866">
        <f>VLOOKUP(BD472,$BD$4:$BN$12824,6,0)*BE472</f>
        <v>211301.73961550964</v>
      </c>
      <c r="BS472" s="866">
        <f>VLOOKUP(BD472,$BD$4:$BN$12824,7,0)*BE472</f>
        <v>29135.173454709853</v>
      </c>
      <c r="BT472" s="866"/>
      <c r="BU472" s="866">
        <f>VLOOKUP(BD472,$BD$4:$BN$12824,9,0)*BE472</f>
        <v>8414.1843371793129</v>
      </c>
      <c r="BV472" s="867"/>
      <c r="BW472" s="867">
        <f>VLOOKUP(BD472,$BD$4:$BN$12824,11,0)*BE472</f>
        <v>21809.565801968776</v>
      </c>
      <c r="BX472" s="1146">
        <f t="shared" si="91"/>
        <v>752928.05267913698</v>
      </c>
      <c r="BY472" s="867">
        <f t="shared" si="100"/>
        <v>5036414.3807798568</v>
      </c>
      <c r="BZ472" s="867">
        <f t="shared" si="97"/>
        <v>30218486.284679141</v>
      </c>
      <c r="CA472" s="867">
        <f>_xlfn.MAXIFS($BY$4:$BY$12824,$S$4:$S$12824,$S472)</f>
        <v>5036414.3807798568</v>
      </c>
      <c r="CB472" s="1032"/>
      <c r="CF472" s="946">
        <f t="shared" si="99"/>
        <v>29465558.232000005</v>
      </c>
    </row>
    <row r="473" spans="1:84">
      <c r="A473" s="1032"/>
      <c r="B473" s="839" t="s">
        <v>98</v>
      </c>
      <c r="C473" s="839" t="s">
        <v>381</v>
      </c>
      <c r="D473" s="839" t="s">
        <v>1590</v>
      </c>
      <c r="E473" s="839" t="s">
        <v>1591</v>
      </c>
      <c r="F473" s="841">
        <v>45508</v>
      </c>
      <c r="G473" s="840" t="s">
        <v>381</v>
      </c>
      <c r="H473" s="842" t="s">
        <v>134</v>
      </c>
      <c r="I473" s="842"/>
      <c r="J473" s="841"/>
      <c r="K473" s="841"/>
      <c r="L473" s="843" t="s">
        <v>106</v>
      </c>
      <c r="M473" s="844" t="s">
        <v>107</v>
      </c>
      <c r="N473" s="841">
        <v>45479</v>
      </c>
      <c r="O473" s="841" t="s">
        <v>150</v>
      </c>
      <c r="P473" s="841" t="s">
        <v>151</v>
      </c>
      <c r="Q473" s="843"/>
      <c r="R473" s="845" t="s">
        <v>1699</v>
      </c>
      <c r="S473" s="1127" t="s">
        <v>1699</v>
      </c>
      <c r="T473" s="843" t="s">
        <v>1700</v>
      </c>
      <c r="U473" s="842">
        <v>4</v>
      </c>
      <c r="V473" s="842" t="s">
        <v>3</v>
      </c>
      <c r="W473" s="846">
        <v>310</v>
      </c>
      <c r="X473" s="847">
        <f t="shared" si="92"/>
        <v>1240</v>
      </c>
      <c r="Y473" s="848">
        <f t="shared" si="98"/>
        <v>0.55999999999999994</v>
      </c>
      <c r="Z473" s="849">
        <v>136.4</v>
      </c>
      <c r="AA473" s="849"/>
      <c r="AB473" s="849">
        <f t="shared" si="93"/>
        <v>545.6</v>
      </c>
      <c r="AC473" s="850">
        <f t="shared" si="94"/>
        <v>545.6</v>
      </c>
      <c r="AD473" s="851"/>
      <c r="AE473" s="852">
        <v>27222.43</v>
      </c>
      <c r="AF473" s="853">
        <v>0</v>
      </c>
      <c r="AG473" s="854">
        <f t="shared" si="95"/>
        <v>0</v>
      </c>
      <c r="AH473" s="853"/>
      <c r="AI473" s="855">
        <f t="shared" si="96"/>
        <v>0</v>
      </c>
      <c r="AJ473" s="845" t="s">
        <v>1633</v>
      </c>
      <c r="AK473" s="857">
        <v>45632</v>
      </c>
      <c r="AL473" s="840" t="s">
        <v>1634</v>
      </c>
      <c r="AM473" s="840" t="s">
        <v>1635</v>
      </c>
      <c r="AN473" s="858" t="s">
        <v>1636</v>
      </c>
      <c r="AO473" s="844"/>
      <c r="AP473" s="859">
        <v>45603</v>
      </c>
      <c r="AQ473" s="859">
        <v>45603</v>
      </c>
      <c r="AR473" s="859">
        <v>45482</v>
      </c>
      <c r="AS473" s="840"/>
      <c r="AT473" s="840" t="s">
        <v>1235</v>
      </c>
      <c r="AU473" s="860" t="s">
        <v>1602</v>
      </c>
      <c r="AV473" s="839" t="s">
        <v>1637</v>
      </c>
      <c r="AW473" s="861">
        <v>45482</v>
      </c>
      <c r="AX473" s="862"/>
      <c r="AY473" s="843"/>
      <c r="AZ473" s="842"/>
      <c r="BA473" s="842" t="s">
        <v>120</v>
      </c>
      <c r="BB473" s="863" t="s">
        <v>121</v>
      </c>
      <c r="BC473" s="864">
        <v>45547</v>
      </c>
      <c r="BD473" s="860" t="s">
        <v>1638</v>
      </c>
      <c r="BE473" s="865" cm="1">
        <f t="array" ref="BE473">IF(BD473="","",AC473/SUMPRODUCT(--(BD473=$BD$4:$BD$12824),$AC$4:$AC$12824))</f>
        <v>8.4825923399206062E-3</v>
      </c>
      <c r="BF473" s="458"/>
      <c r="BG473" s="458"/>
      <c r="BH473" s="458"/>
      <c r="BI473" s="458"/>
      <c r="BJ473" s="458"/>
      <c r="BK473" s="458"/>
      <c r="BL473" s="458"/>
      <c r="BM473" s="458"/>
      <c r="BN473" s="458"/>
      <c r="BO473" s="866">
        <f>VLOOKUP(BD473,$BD$4:$BN$12824,3,0)*BE473</f>
        <v>243094.13127744474</v>
      </c>
      <c r="BP473" s="866"/>
      <c r="BQ473" s="866"/>
      <c r="BR473" s="866">
        <f>VLOOKUP(BD473,$BD$4:$BN$12824,6,0)*BE473</f>
        <v>106509.81996879345</v>
      </c>
      <c r="BS473" s="866">
        <f>VLOOKUP(BD473,$BD$4:$BN$12824,7,0)*BE473</f>
        <v>14686.022391804965</v>
      </c>
      <c r="BT473" s="866"/>
      <c r="BU473" s="866">
        <f>VLOOKUP(BD473,$BD$4:$BN$12824,9,0)*BE473</f>
        <v>4241.2961699603029</v>
      </c>
      <c r="BV473" s="867"/>
      <c r="BW473" s="867">
        <f>VLOOKUP(BD473,$BD$4:$BN$12824,11,0)*BE473</f>
        <v>10993.439672537106</v>
      </c>
      <c r="BX473" s="1146">
        <f t="shared" si="91"/>
        <v>379524.70948054054</v>
      </c>
      <c r="BY473" s="867">
        <f t="shared" si="100"/>
        <v>3808020.6293701353</v>
      </c>
      <c r="BZ473" s="867">
        <f t="shared" si="97"/>
        <v>15232082.517480541</v>
      </c>
      <c r="CA473" s="867">
        <f>_xlfn.MAXIFS($BY$4:$BY$12824,$S$4:$S$12824,$S473)</f>
        <v>3808020.6293701353</v>
      </c>
      <c r="CB473" s="1032"/>
      <c r="CF473" s="946">
        <f t="shared" si="99"/>
        <v>14852557.808</v>
      </c>
    </row>
    <row r="474" spans="1:84">
      <c r="A474" s="1032"/>
      <c r="B474" s="839" t="s">
        <v>98</v>
      </c>
      <c r="C474" s="839" t="s">
        <v>381</v>
      </c>
      <c r="D474" s="839" t="s">
        <v>1590</v>
      </c>
      <c r="E474" s="839" t="s">
        <v>1591</v>
      </c>
      <c r="F474" s="841">
        <v>45508</v>
      </c>
      <c r="G474" s="840" t="s">
        <v>381</v>
      </c>
      <c r="H474" s="842" t="s">
        <v>134</v>
      </c>
      <c r="I474" s="842"/>
      <c r="J474" s="841"/>
      <c r="K474" s="841"/>
      <c r="L474" s="843" t="s">
        <v>106</v>
      </c>
      <c r="M474" s="844" t="s">
        <v>107</v>
      </c>
      <c r="N474" s="841">
        <v>45479</v>
      </c>
      <c r="O474" s="841" t="s">
        <v>150</v>
      </c>
      <c r="P474" s="841" t="s">
        <v>151</v>
      </c>
      <c r="Q474" s="843"/>
      <c r="R474" s="845" t="s">
        <v>1701</v>
      </c>
      <c r="S474" s="1127" t="s">
        <v>1701</v>
      </c>
      <c r="T474" s="843" t="s">
        <v>1702</v>
      </c>
      <c r="U474" s="842">
        <v>4</v>
      </c>
      <c r="V474" s="842" t="s">
        <v>3</v>
      </c>
      <c r="W474" s="846">
        <v>310</v>
      </c>
      <c r="X474" s="847">
        <f t="shared" si="92"/>
        <v>1240</v>
      </c>
      <c r="Y474" s="848">
        <f t="shared" si="98"/>
        <v>0.55999999999999994</v>
      </c>
      <c r="Z474" s="849">
        <v>136.4</v>
      </c>
      <c r="AA474" s="849"/>
      <c r="AB474" s="849">
        <f t="shared" si="93"/>
        <v>545.6</v>
      </c>
      <c r="AC474" s="850">
        <f t="shared" si="94"/>
        <v>545.6</v>
      </c>
      <c r="AD474" s="851"/>
      <c r="AE474" s="852">
        <v>27222.43</v>
      </c>
      <c r="AF474" s="853">
        <v>0</v>
      </c>
      <c r="AG474" s="854">
        <f t="shared" si="95"/>
        <v>0</v>
      </c>
      <c r="AH474" s="853"/>
      <c r="AI474" s="855">
        <f t="shared" si="96"/>
        <v>0</v>
      </c>
      <c r="AJ474" s="845" t="s">
        <v>1633</v>
      </c>
      <c r="AK474" s="857">
        <v>45632</v>
      </c>
      <c r="AL474" s="840" t="s">
        <v>1634</v>
      </c>
      <c r="AM474" s="840" t="s">
        <v>1635</v>
      </c>
      <c r="AN474" s="858" t="s">
        <v>1636</v>
      </c>
      <c r="AO474" s="844"/>
      <c r="AP474" s="859">
        <v>45603</v>
      </c>
      <c r="AQ474" s="859">
        <v>45603</v>
      </c>
      <c r="AR474" s="859">
        <v>45482</v>
      </c>
      <c r="AS474" s="840"/>
      <c r="AT474" s="840" t="s">
        <v>1235</v>
      </c>
      <c r="AU474" s="860" t="s">
        <v>1602</v>
      </c>
      <c r="AV474" s="839" t="s">
        <v>1637</v>
      </c>
      <c r="AW474" s="861">
        <v>45482</v>
      </c>
      <c r="AX474" s="862"/>
      <c r="AY474" s="843"/>
      <c r="AZ474" s="842"/>
      <c r="BA474" s="842" t="s">
        <v>120</v>
      </c>
      <c r="BB474" s="863" t="s">
        <v>121</v>
      </c>
      <c r="BC474" s="864">
        <v>45547</v>
      </c>
      <c r="BD474" s="860" t="s">
        <v>1638</v>
      </c>
      <c r="BE474" s="865" cm="1">
        <f t="array" ref="BE474">IF(BD474="","",AC474/SUMPRODUCT(--(BD474=$BD$4:$BD$12824),$AC$4:$AC$12824))</f>
        <v>8.4825923399206062E-3</v>
      </c>
      <c r="BF474" s="458"/>
      <c r="BG474" s="458"/>
      <c r="BH474" s="458"/>
      <c r="BI474" s="458"/>
      <c r="BJ474" s="458"/>
      <c r="BK474" s="458"/>
      <c r="BL474" s="458"/>
      <c r="BM474" s="458"/>
      <c r="BN474" s="458"/>
      <c r="BO474" s="866">
        <f>VLOOKUP(BD474,$BD$4:$BN$12824,3,0)*BE474</f>
        <v>243094.13127744474</v>
      </c>
      <c r="BP474" s="866"/>
      <c r="BQ474" s="866"/>
      <c r="BR474" s="866">
        <f>VLOOKUP(BD474,$BD$4:$BN$12824,6,0)*BE474</f>
        <v>106509.81996879345</v>
      </c>
      <c r="BS474" s="866">
        <f>VLOOKUP(BD474,$BD$4:$BN$12824,7,0)*BE474</f>
        <v>14686.022391804965</v>
      </c>
      <c r="BT474" s="866"/>
      <c r="BU474" s="866">
        <f>VLOOKUP(BD474,$BD$4:$BN$12824,9,0)*BE474</f>
        <v>4241.2961699603029</v>
      </c>
      <c r="BV474" s="867"/>
      <c r="BW474" s="867">
        <f>VLOOKUP(BD474,$BD$4:$BN$12824,11,0)*BE474</f>
        <v>10993.439672537106</v>
      </c>
      <c r="BX474" s="1146">
        <f t="shared" si="91"/>
        <v>379524.70948054054</v>
      </c>
      <c r="BY474" s="867">
        <f t="shared" si="100"/>
        <v>3808020.6293701353</v>
      </c>
      <c r="BZ474" s="867">
        <f t="shared" si="97"/>
        <v>15232082.517480541</v>
      </c>
      <c r="CA474" s="867">
        <f>_xlfn.MAXIFS($BY$4:$BY$12824,$S$4:$S$12824,$S474)</f>
        <v>3808020.6293701353</v>
      </c>
      <c r="CB474" s="1032"/>
      <c r="CF474" s="946">
        <f t="shared" si="99"/>
        <v>14852557.808</v>
      </c>
    </row>
    <row r="475" spans="1:84">
      <c r="A475" s="1032"/>
      <c r="B475" s="839" t="s">
        <v>98</v>
      </c>
      <c r="C475" s="839" t="s">
        <v>381</v>
      </c>
      <c r="D475" s="839" t="s">
        <v>1590</v>
      </c>
      <c r="E475" s="839" t="s">
        <v>1591</v>
      </c>
      <c r="F475" s="841">
        <v>45508</v>
      </c>
      <c r="G475" s="840" t="s">
        <v>381</v>
      </c>
      <c r="H475" s="842" t="s">
        <v>134</v>
      </c>
      <c r="I475" s="842"/>
      <c r="J475" s="841"/>
      <c r="K475" s="841"/>
      <c r="L475" s="843" t="s">
        <v>106</v>
      </c>
      <c r="M475" s="844" t="s">
        <v>107</v>
      </c>
      <c r="N475" s="841">
        <v>45479</v>
      </c>
      <c r="O475" s="841" t="s">
        <v>150</v>
      </c>
      <c r="P475" s="841" t="s">
        <v>151</v>
      </c>
      <c r="Q475" s="843"/>
      <c r="R475" s="845" t="s">
        <v>1703</v>
      </c>
      <c r="S475" s="1127" t="s">
        <v>1703</v>
      </c>
      <c r="T475" s="843" t="s">
        <v>1704</v>
      </c>
      <c r="U475" s="842">
        <v>4</v>
      </c>
      <c r="V475" s="842" t="s">
        <v>3</v>
      </c>
      <c r="W475" s="846">
        <v>310</v>
      </c>
      <c r="X475" s="847">
        <f t="shared" si="92"/>
        <v>1240</v>
      </c>
      <c r="Y475" s="848">
        <f t="shared" si="98"/>
        <v>0.55999999999999994</v>
      </c>
      <c r="Z475" s="849">
        <v>136.4</v>
      </c>
      <c r="AA475" s="849"/>
      <c r="AB475" s="849">
        <f t="shared" si="93"/>
        <v>545.6</v>
      </c>
      <c r="AC475" s="850">
        <f t="shared" si="94"/>
        <v>545.6</v>
      </c>
      <c r="AD475" s="851"/>
      <c r="AE475" s="852">
        <v>27222.43</v>
      </c>
      <c r="AF475" s="853">
        <v>0</v>
      </c>
      <c r="AG475" s="854">
        <f t="shared" si="95"/>
        <v>0</v>
      </c>
      <c r="AH475" s="853"/>
      <c r="AI475" s="855">
        <f t="shared" si="96"/>
        <v>0</v>
      </c>
      <c r="AJ475" s="845" t="s">
        <v>1633</v>
      </c>
      <c r="AK475" s="857">
        <v>45632</v>
      </c>
      <c r="AL475" s="840" t="s">
        <v>1634</v>
      </c>
      <c r="AM475" s="840" t="s">
        <v>1635</v>
      </c>
      <c r="AN475" s="858" t="s">
        <v>1636</v>
      </c>
      <c r="AO475" s="844"/>
      <c r="AP475" s="859">
        <v>45603</v>
      </c>
      <c r="AQ475" s="859">
        <v>45603</v>
      </c>
      <c r="AR475" s="859">
        <v>45482</v>
      </c>
      <c r="AS475" s="840"/>
      <c r="AT475" s="840" t="s">
        <v>1235</v>
      </c>
      <c r="AU475" s="860" t="s">
        <v>1602</v>
      </c>
      <c r="AV475" s="839" t="s">
        <v>1637</v>
      </c>
      <c r="AW475" s="861">
        <v>45482</v>
      </c>
      <c r="AX475" s="862"/>
      <c r="AY475" s="843"/>
      <c r="AZ475" s="842"/>
      <c r="BA475" s="842" t="s">
        <v>120</v>
      </c>
      <c r="BB475" s="863" t="s">
        <v>121</v>
      </c>
      <c r="BC475" s="864">
        <v>45547</v>
      </c>
      <c r="BD475" s="860" t="s">
        <v>1638</v>
      </c>
      <c r="BE475" s="865" cm="1">
        <f t="array" ref="BE475">IF(BD475="","",AC475/SUMPRODUCT(--(BD475=$BD$4:$BD$12824),$AC$4:$AC$12824))</f>
        <v>8.4825923399206062E-3</v>
      </c>
      <c r="BF475" s="458"/>
      <c r="BG475" s="458"/>
      <c r="BH475" s="458"/>
      <c r="BI475" s="458"/>
      <c r="BJ475" s="458"/>
      <c r="BK475" s="458"/>
      <c r="BL475" s="458"/>
      <c r="BM475" s="458"/>
      <c r="BN475" s="458"/>
      <c r="BO475" s="866">
        <f>VLOOKUP(BD475,$BD$4:$BN$12824,3,0)*BE475</f>
        <v>243094.13127744474</v>
      </c>
      <c r="BP475" s="866"/>
      <c r="BQ475" s="866"/>
      <c r="BR475" s="866">
        <f>VLOOKUP(BD475,$BD$4:$BN$12824,6,0)*BE475</f>
        <v>106509.81996879345</v>
      </c>
      <c r="BS475" s="866">
        <f>VLOOKUP(BD475,$BD$4:$BN$12824,7,0)*BE475</f>
        <v>14686.022391804965</v>
      </c>
      <c r="BT475" s="866"/>
      <c r="BU475" s="866">
        <f>VLOOKUP(BD475,$BD$4:$BN$12824,9,0)*BE475</f>
        <v>4241.2961699603029</v>
      </c>
      <c r="BV475" s="867"/>
      <c r="BW475" s="867">
        <f>VLOOKUP(BD475,$BD$4:$BN$12824,11,0)*BE475</f>
        <v>10993.439672537106</v>
      </c>
      <c r="BX475" s="1146">
        <f t="shared" si="91"/>
        <v>379524.70948054054</v>
      </c>
      <c r="BY475" s="867">
        <f t="shared" si="100"/>
        <v>3808020.6293701353</v>
      </c>
      <c r="BZ475" s="867">
        <f t="shared" si="97"/>
        <v>15232082.517480541</v>
      </c>
      <c r="CA475" s="867">
        <f>_xlfn.MAXIFS($BY$4:$BY$12824,$S$4:$S$12824,$S475)</f>
        <v>3808020.6293701353</v>
      </c>
      <c r="CB475" s="1032"/>
      <c r="CF475" s="946">
        <f t="shared" si="99"/>
        <v>14852557.808</v>
      </c>
    </row>
    <row r="476" spans="1:84">
      <c r="A476" s="1032"/>
      <c r="B476" s="839" t="s">
        <v>98</v>
      </c>
      <c r="C476" s="839" t="s">
        <v>381</v>
      </c>
      <c r="D476" s="839" t="s">
        <v>1590</v>
      </c>
      <c r="E476" s="839" t="s">
        <v>1591</v>
      </c>
      <c r="F476" s="841">
        <v>45508</v>
      </c>
      <c r="G476" s="840" t="s">
        <v>381</v>
      </c>
      <c r="H476" s="842" t="s">
        <v>134</v>
      </c>
      <c r="I476" s="842"/>
      <c r="J476" s="841"/>
      <c r="K476" s="841"/>
      <c r="L476" s="843" t="s">
        <v>106</v>
      </c>
      <c r="M476" s="844" t="s">
        <v>107</v>
      </c>
      <c r="N476" s="841">
        <v>45479</v>
      </c>
      <c r="O476" s="841" t="s">
        <v>150</v>
      </c>
      <c r="P476" s="841" t="s">
        <v>151</v>
      </c>
      <c r="Q476" s="843"/>
      <c r="R476" s="845" t="s">
        <v>1705</v>
      </c>
      <c r="S476" s="1127" t="s">
        <v>1705</v>
      </c>
      <c r="T476" s="843" t="s">
        <v>1706</v>
      </c>
      <c r="U476" s="842">
        <v>1</v>
      </c>
      <c r="V476" s="842" t="s">
        <v>3</v>
      </c>
      <c r="W476" s="846">
        <v>1007</v>
      </c>
      <c r="X476" s="847">
        <f t="shared" si="92"/>
        <v>1007</v>
      </c>
      <c r="Y476" s="848">
        <f t="shared" si="98"/>
        <v>0.56000000000000005</v>
      </c>
      <c r="Z476" s="849">
        <v>443.08</v>
      </c>
      <c r="AA476" s="849"/>
      <c r="AB476" s="849">
        <f t="shared" si="93"/>
        <v>443.08</v>
      </c>
      <c r="AC476" s="850">
        <f t="shared" si="94"/>
        <v>443.08</v>
      </c>
      <c r="AD476" s="851"/>
      <c r="AE476" s="852">
        <v>27222.43</v>
      </c>
      <c r="AF476" s="853">
        <v>0</v>
      </c>
      <c r="AG476" s="854">
        <f t="shared" si="95"/>
        <v>0</v>
      </c>
      <c r="AH476" s="853"/>
      <c r="AI476" s="855">
        <f t="shared" si="96"/>
        <v>0</v>
      </c>
      <c r="AJ476" s="845" t="s">
        <v>1633</v>
      </c>
      <c r="AK476" s="857">
        <v>45632</v>
      </c>
      <c r="AL476" s="840" t="s">
        <v>1634</v>
      </c>
      <c r="AM476" s="840" t="s">
        <v>1635</v>
      </c>
      <c r="AN476" s="858" t="s">
        <v>1636</v>
      </c>
      <c r="AO476" s="844"/>
      <c r="AP476" s="859">
        <v>45603</v>
      </c>
      <c r="AQ476" s="859">
        <v>45603</v>
      </c>
      <c r="AR476" s="859">
        <v>45482</v>
      </c>
      <c r="AS476" s="840"/>
      <c r="AT476" s="840" t="s">
        <v>1235</v>
      </c>
      <c r="AU476" s="860" t="s">
        <v>1602</v>
      </c>
      <c r="AV476" s="839" t="s">
        <v>1637</v>
      </c>
      <c r="AW476" s="861">
        <v>45482</v>
      </c>
      <c r="AX476" s="862"/>
      <c r="AY476" s="843"/>
      <c r="AZ476" s="842"/>
      <c r="BA476" s="842" t="s">
        <v>120</v>
      </c>
      <c r="BB476" s="863" t="s">
        <v>121</v>
      </c>
      <c r="BC476" s="864">
        <v>45547</v>
      </c>
      <c r="BD476" s="860" t="s">
        <v>1638</v>
      </c>
      <c r="BE476" s="865" cm="1">
        <f t="array" ref="BE476">IF(BD476="","",AC476/SUMPRODUCT(--(BD476=$BD$4:$BD$12824),$AC$4:$AC$12824))</f>
        <v>6.8886858760484277E-3</v>
      </c>
      <c r="BF476" s="458"/>
      <c r="BG476" s="458"/>
      <c r="BH476" s="458"/>
      <c r="BI476" s="458"/>
      <c r="BJ476" s="458"/>
      <c r="BK476" s="458"/>
      <c r="BL476" s="458"/>
      <c r="BM476" s="458"/>
      <c r="BN476" s="458"/>
      <c r="BO476" s="866">
        <f>VLOOKUP(BD476,$BD$4:$BN$12824,3,0)*BE476</f>
        <v>197415.95983579583</v>
      </c>
      <c r="BP476" s="866"/>
      <c r="BQ476" s="866"/>
      <c r="BR476" s="866">
        <f>VLOOKUP(BD476,$BD$4:$BN$12824,6,0)*BE476</f>
        <v>86496.281216592746</v>
      </c>
      <c r="BS476" s="866">
        <f>VLOOKUP(BD476,$BD$4:$BN$12824,7,0)*BE476</f>
        <v>11926.471410119031</v>
      </c>
      <c r="BT476" s="866"/>
      <c r="BU476" s="866">
        <f>VLOOKUP(BD476,$BD$4:$BN$12824,9,0)*BE476</f>
        <v>3444.3429380242137</v>
      </c>
      <c r="BV476" s="867"/>
      <c r="BW476" s="867">
        <f>VLOOKUP(BD476,$BD$4:$BN$12824,11,0)*BE476</f>
        <v>8927.7368953587629</v>
      </c>
      <c r="BX476" s="1146">
        <f t="shared" si="91"/>
        <v>308210.79229589057</v>
      </c>
      <c r="BY476" s="867">
        <f t="shared" si="100"/>
        <v>12369925.076695889</v>
      </c>
      <c r="BZ476" s="867">
        <f t="shared" si="97"/>
        <v>12369925.076695889</v>
      </c>
      <c r="CA476" s="867">
        <f>_xlfn.MAXIFS($BY$4:$BY$12824,$S$4:$S$12824,$S476)</f>
        <v>12369925.076695889</v>
      </c>
      <c r="CB476" s="1032"/>
      <c r="CF476" s="946">
        <f t="shared" si="99"/>
        <v>12061714.284399999</v>
      </c>
    </row>
    <row r="477" spans="1:84">
      <c r="A477" s="1032"/>
      <c r="B477" s="839" t="s">
        <v>98</v>
      </c>
      <c r="C477" s="839" t="s">
        <v>381</v>
      </c>
      <c r="D477" s="839" t="s">
        <v>1590</v>
      </c>
      <c r="E477" s="839" t="s">
        <v>1591</v>
      </c>
      <c r="F477" s="841">
        <v>45508</v>
      </c>
      <c r="G477" s="840" t="s">
        <v>381</v>
      </c>
      <c r="H477" s="842" t="s">
        <v>134</v>
      </c>
      <c r="I477" s="842"/>
      <c r="J477" s="841"/>
      <c r="K477" s="841"/>
      <c r="L477" s="843" t="s">
        <v>106</v>
      </c>
      <c r="M477" s="844" t="s">
        <v>107</v>
      </c>
      <c r="N477" s="841">
        <v>45479</v>
      </c>
      <c r="O477" s="841" t="s">
        <v>150</v>
      </c>
      <c r="P477" s="841" t="s">
        <v>151</v>
      </c>
      <c r="Q477" s="843"/>
      <c r="R477" s="845" t="s">
        <v>1707</v>
      </c>
      <c r="S477" s="1127" t="s">
        <v>1707</v>
      </c>
      <c r="T477" s="843" t="s">
        <v>1708</v>
      </c>
      <c r="U477" s="842">
        <v>1</v>
      </c>
      <c r="V477" s="842" t="s">
        <v>3</v>
      </c>
      <c r="W477" s="846">
        <v>1007</v>
      </c>
      <c r="X477" s="847">
        <f t="shared" si="92"/>
        <v>1007</v>
      </c>
      <c r="Y477" s="848">
        <f t="shared" si="98"/>
        <v>0.56000000000000005</v>
      </c>
      <c r="Z477" s="849">
        <v>443.08</v>
      </c>
      <c r="AA477" s="849"/>
      <c r="AB477" s="849">
        <f t="shared" si="93"/>
        <v>443.08</v>
      </c>
      <c r="AC477" s="850">
        <f t="shared" si="94"/>
        <v>443.08</v>
      </c>
      <c r="AD477" s="851"/>
      <c r="AE477" s="852">
        <v>27222.43</v>
      </c>
      <c r="AF477" s="853">
        <v>0</v>
      </c>
      <c r="AG477" s="854">
        <f t="shared" si="95"/>
        <v>0</v>
      </c>
      <c r="AH477" s="853"/>
      <c r="AI477" s="855">
        <f t="shared" si="96"/>
        <v>0</v>
      </c>
      <c r="AJ477" s="845" t="s">
        <v>1633</v>
      </c>
      <c r="AK477" s="857">
        <v>45632</v>
      </c>
      <c r="AL477" s="840" t="s">
        <v>1634</v>
      </c>
      <c r="AM477" s="840" t="s">
        <v>1635</v>
      </c>
      <c r="AN477" s="858" t="s">
        <v>1636</v>
      </c>
      <c r="AO477" s="844"/>
      <c r="AP477" s="859">
        <v>45603</v>
      </c>
      <c r="AQ477" s="859">
        <v>45603</v>
      </c>
      <c r="AR477" s="859">
        <v>45482</v>
      </c>
      <c r="AS477" s="840"/>
      <c r="AT477" s="840" t="s">
        <v>1235</v>
      </c>
      <c r="AU477" s="860" t="s">
        <v>1602</v>
      </c>
      <c r="AV477" s="839" t="s">
        <v>1637</v>
      </c>
      <c r="AW477" s="861">
        <v>45482</v>
      </c>
      <c r="AX477" s="862"/>
      <c r="AY477" s="843"/>
      <c r="AZ477" s="842"/>
      <c r="BA477" s="842" t="s">
        <v>120</v>
      </c>
      <c r="BB477" s="863" t="s">
        <v>121</v>
      </c>
      <c r="BC477" s="864">
        <v>45547</v>
      </c>
      <c r="BD477" s="860" t="s">
        <v>1638</v>
      </c>
      <c r="BE477" s="865" cm="1">
        <f t="array" ref="BE477">IF(BD477="","",AC477/SUMPRODUCT(--(BD477=$BD$4:$BD$12824),$AC$4:$AC$12824))</f>
        <v>6.8886858760484277E-3</v>
      </c>
      <c r="BF477" s="458"/>
      <c r="BG477" s="458"/>
      <c r="BH477" s="458"/>
      <c r="BI477" s="458"/>
      <c r="BJ477" s="458"/>
      <c r="BK477" s="458"/>
      <c r="BL477" s="458"/>
      <c r="BM477" s="458"/>
      <c r="BN477" s="458"/>
      <c r="BO477" s="866">
        <f>VLOOKUP(BD477,$BD$4:$BN$12824,3,0)*BE477</f>
        <v>197415.95983579583</v>
      </c>
      <c r="BP477" s="866"/>
      <c r="BQ477" s="866"/>
      <c r="BR477" s="866">
        <f>VLOOKUP(BD477,$BD$4:$BN$12824,6,0)*BE477</f>
        <v>86496.281216592746</v>
      </c>
      <c r="BS477" s="866">
        <f>VLOOKUP(BD477,$BD$4:$BN$12824,7,0)*BE477</f>
        <v>11926.471410119031</v>
      </c>
      <c r="BT477" s="866"/>
      <c r="BU477" s="866">
        <f>VLOOKUP(BD477,$BD$4:$BN$12824,9,0)*BE477</f>
        <v>3444.3429380242137</v>
      </c>
      <c r="BV477" s="867"/>
      <c r="BW477" s="867">
        <f>VLOOKUP(BD477,$BD$4:$BN$12824,11,0)*BE477</f>
        <v>8927.7368953587629</v>
      </c>
      <c r="BX477" s="1146">
        <f t="shared" si="91"/>
        <v>308210.79229589057</v>
      </c>
      <c r="BY477" s="867">
        <f t="shared" si="100"/>
        <v>12369925.076695889</v>
      </c>
      <c r="BZ477" s="867">
        <f t="shared" si="97"/>
        <v>12369925.076695889</v>
      </c>
      <c r="CA477" s="867">
        <f>_xlfn.MAXIFS($BY$4:$BY$12824,$S$4:$S$12824,$S477)</f>
        <v>12369925.076695889</v>
      </c>
      <c r="CB477" s="1032"/>
      <c r="CF477" s="946">
        <f t="shared" si="99"/>
        <v>12061714.284399999</v>
      </c>
    </row>
    <row r="478" spans="1:84">
      <c r="A478" s="1032"/>
      <c r="B478" s="839" t="s">
        <v>98</v>
      </c>
      <c r="C478" s="839" t="s">
        <v>381</v>
      </c>
      <c r="D478" s="839" t="s">
        <v>1590</v>
      </c>
      <c r="E478" s="839" t="s">
        <v>1591</v>
      </c>
      <c r="F478" s="841">
        <v>45508</v>
      </c>
      <c r="G478" s="840" t="s">
        <v>381</v>
      </c>
      <c r="H478" s="842" t="s">
        <v>134</v>
      </c>
      <c r="I478" s="842"/>
      <c r="J478" s="841"/>
      <c r="K478" s="841"/>
      <c r="L478" s="843" t="s">
        <v>106</v>
      </c>
      <c r="M478" s="844" t="s">
        <v>107</v>
      </c>
      <c r="N478" s="841">
        <v>45479</v>
      </c>
      <c r="O478" s="841" t="s">
        <v>150</v>
      </c>
      <c r="P478" s="841" t="s">
        <v>151</v>
      </c>
      <c r="Q478" s="843"/>
      <c r="R478" s="845" t="s">
        <v>1709</v>
      </c>
      <c r="S478" s="1127" t="s">
        <v>1709</v>
      </c>
      <c r="T478" s="843" t="s">
        <v>1710</v>
      </c>
      <c r="U478" s="842">
        <v>1</v>
      </c>
      <c r="V478" s="842" t="s">
        <v>3</v>
      </c>
      <c r="W478" s="846">
        <v>1469</v>
      </c>
      <c r="X478" s="847">
        <f t="shared" si="92"/>
        <v>1469</v>
      </c>
      <c r="Y478" s="848">
        <f t="shared" si="98"/>
        <v>0.55999999999999994</v>
      </c>
      <c r="Z478" s="849">
        <v>646.36</v>
      </c>
      <c r="AA478" s="849"/>
      <c r="AB478" s="849">
        <f t="shared" si="93"/>
        <v>646.36</v>
      </c>
      <c r="AC478" s="850">
        <f t="shared" si="94"/>
        <v>646.36</v>
      </c>
      <c r="AD478" s="851"/>
      <c r="AE478" s="852">
        <v>27222.43</v>
      </c>
      <c r="AF478" s="853">
        <v>0</v>
      </c>
      <c r="AG478" s="854">
        <f t="shared" si="95"/>
        <v>0</v>
      </c>
      <c r="AH478" s="853"/>
      <c r="AI478" s="855">
        <f t="shared" si="96"/>
        <v>0</v>
      </c>
      <c r="AJ478" s="845" t="s">
        <v>1633</v>
      </c>
      <c r="AK478" s="857">
        <v>45632</v>
      </c>
      <c r="AL478" s="840" t="s">
        <v>1634</v>
      </c>
      <c r="AM478" s="840" t="s">
        <v>1635</v>
      </c>
      <c r="AN478" s="858" t="s">
        <v>1636</v>
      </c>
      <c r="AO478" s="844"/>
      <c r="AP478" s="859">
        <v>45603</v>
      </c>
      <c r="AQ478" s="859">
        <v>45603</v>
      </c>
      <c r="AR478" s="859">
        <v>45482</v>
      </c>
      <c r="AS478" s="840"/>
      <c r="AT478" s="840" t="s">
        <v>1235</v>
      </c>
      <c r="AU478" s="860" t="s">
        <v>1602</v>
      </c>
      <c r="AV478" s="839" t="s">
        <v>1637</v>
      </c>
      <c r="AW478" s="861">
        <v>45482</v>
      </c>
      <c r="AX478" s="862"/>
      <c r="AY478" s="843"/>
      <c r="AZ478" s="842"/>
      <c r="BA478" s="842" t="s">
        <v>120</v>
      </c>
      <c r="BB478" s="863" t="s">
        <v>121</v>
      </c>
      <c r="BC478" s="864">
        <v>45547</v>
      </c>
      <c r="BD478" s="860" t="s">
        <v>1638</v>
      </c>
      <c r="BE478" s="865" cm="1">
        <f t="array" ref="BE478">IF(BD478="","",AC478/SUMPRODUCT(--(BD478=$BD$4:$BD$12824),$AC$4:$AC$12824))</f>
        <v>1.0049135602696267E-2</v>
      </c>
      <c r="BF478" s="458"/>
      <c r="BG478" s="458"/>
      <c r="BH478" s="458"/>
      <c r="BI478" s="458"/>
      <c r="BJ478" s="458"/>
      <c r="BK478" s="458"/>
      <c r="BL478" s="458"/>
      <c r="BM478" s="458"/>
      <c r="BN478" s="458"/>
      <c r="BO478" s="866">
        <f>VLOOKUP(BD478,$BD$4:$BN$12824,3,0)*BE478</f>
        <v>287988.1281020696</v>
      </c>
      <c r="BP478" s="866"/>
      <c r="BQ478" s="866"/>
      <c r="BR478" s="866">
        <f>VLOOKUP(BD478,$BD$4:$BN$12824,6,0)*BE478</f>
        <v>126179.77865657871</v>
      </c>
      <c r="BS478" s="866">
        <f>VLOOKUP(BD478,$BD$4:$BN$12824,7,0)*BE478</f>
        <v>17398.199107710883</v>
      </c>
      <c r="BT478" s="866"/>
      <c r="BU478" s="866">
        <f>VLOOKUP(BD478,$BD$4:$BN$12824,9,0)*BE478</f>
        <v>5024.5678013481338</v>
      </c>
      <c r="BV478" s="867"/>
      <c r="BW478" s="867">
        <f>VLOOKUP(BD478,$BD$4:$BN$12824,11,0)*BE478</f>
        <v>13023.679741094362</v>
      </c>
      <c r="BX478" s="1146">
        <f t="shared" si="91"/>
        <v>449614.35340880166</v>
      </c>
      <c r="BY478" s="867">
        <f t="shared" si="100"/>
        <v>18045104.208208803</v>
      </c>
      <c r="BZ478" s="867">
        <f t="shared" si="97"/>
        <v>18045104.208208803</v>
      </c>
      <c r="CA478" s="867">
        <f>_xlfn.MAXIFS($BY$4:$BY$12824,$S$4:$S$12824,$S478)</f>
        <v>18045104.208208803</v>
      </c>
      <c r="CB478" s="1032"/>
      <c r="CF478" s="946">
        <f t="shared" si="99"/>
        <v>17595489.854800001</v>
      </c>
    </row>
    <row r="479" spans="1:84">
      <c r="A479" s="1032"/>
      <c r="B479" s="839" t="s">
        <v>98</v>
      </c>
      <c r="C479" s="839" t="s">
        <v>381</v>
      </c>
      <c r="D479" s="839" t="s">
        <v>1590</v>
      </c>
      <c r="E479" s="839" t="s">
        <v>1591</v>
      </c>
      <c r="F479" s="841">
        <v>45508</v>
      </c>
      <c r="G479" s="840" t="s">
        <v>381</v>
      </c>
      <c r="H479" s="842" t="s">
        <v>134</v>
      </c>
      <c r="I479" s="842"/>
      <c r="J479" s="841"/>
      <c r="K479" s="841"/>
      <c r="L479" s="843" t="s">
        <v>106</v>
      </c>
      <c r="M479" s="844" t="s">
        <v>107</v>
      </c>
      <c r="N479" s="841">
        <v>45479</v>
      </c>
      <c r="O479" s="841" t="s">
        <v>150</v>
      </c>
      <c r="P479" s="841" t="s">
        <v>151</v>
      </c>
      <c r="Q479" s="843"/>
      <c r="R479" s="845" t="s">
        <v>1711</v>
      </c>
      <c r="S479" s="1127" t="s">
        <v>1711</v>
      </c>
      <c r="T479" s="843" t="s">
        <v>1712</v>
      </c>
      <c r="U479" s="842">
        <v>1</v>
      </c>
      <c r="V479" s="842" t="s">
        <v>3</v>
      </c>
      <c r="W479" s="846">
        <v>1343</v>
      </c>
      <c r="X479" s="847">
        <f t="shared" si="92"/>
        <v>1343</v>
      </c>
      <c r="Y479" s="848">
        <f t="shared" si="98"/>
        <v>0.56000000000000005</v>
      </c>
      <c r="Z479" s="849">
        <v>590.91999999999996</v>
      </c>
      <c r="AA479" s="849"/>
      <c r="AB479" s="849">
        <f t="shared" si="93"/>
        <v>590.91999999999996</v>
      </c>
      <c r="AC479" s="850">
        <f t="shared" si="94"/>
        <v>590.91999999999996</v>
      </c>
      <c r="AD479" s="851"/>
      <c r="AE479" s="852">
        <v>27222.43</v>
      </c>
      <c r="AF479" s="853">
        <v>0</v>
      </c>
      <c r="AG479" s="854">
        <f t="shared" si="95"/>
        <v>0</v>
      </c>
      <c r="AH479" s="853"/>
      <c r="AI479" s="855">
        <f t="shared" si="96"/>
        <v>0</v>
      </c>
      <c r="AJ479" s="845" t="s">
        <v>1633</v>
      </c>
      <c r="AK479" s="857">
        <v>45632</v>
      </c>
      <c r="AL479" s="840" t="s">
        <v>1634</v>
      </c>
      <c r="AM479" s="840" t="s">
        <v>1635</v>
      </c>
      <c r="AN479" s="858" t="s">
        <v>1636</v>
      </c>
      <c r="AO479" s="844"/>
      <c r="AP479" s="859">
        <v>45603</v>
      </c>
      <c r="AQ479" s="859">
        <v>45603</v>
      </c>
      <c r="AR479" s="859">
        <v>45482</v>
      </c>
      <c r="AS479" s="840"/>
      <c r="AT479" s="840" t="s">
        <v>1235</v>
      </c>
      <c r="AU479" s="860" t="s">
        <v>1602</v>
      </c>
      <c r="AV479" s="839" t="s">
        <v>1637</v>
      </c>
      <c r="AW479" s="861">
        <v>45482</v>
      </c>
      <c r="AX479" s="862"/>
      <c r="AY479" s="843"/>
      <c r="AZ479" s="842"/>
      <c r="BA479" s="842" t="s">
        <v>120</v>
      </c>
      <c r="BB479" s="863" t="s">
        <v>121</v>
      </c>
      <c r="BC479" s="864">
        <v>45547</v>
      </c>
      <c r="BD479" s="860" t="s">
        <v>1638</v>
      </c>
      <c r="BE479" s="865" cm="1">
        <f t="array" ref="BE479">IF(BD479="","",AC479/SUMPRODUCT(--(BD479=$BD$4:$BD$12824),$AC$4:$AC$12824))</f>
        <v>9.1871947681559461E-3</v>
      </c>
      <c r="BF479" s="458"/>
      <c r="BG479" s="458"/>
      <c r="BH479" s="458"/>
      <c r="BI479" s="458"/>
      <c r="BJ479" s="458"/>
      <c r="BK479" s="458"/>
      <c r="BL479" s="458"/>
      <c r="BM479" s="458"/>
      <c r="BN479" s="458"/>
      <c r="BO479" s="866">
        <f>VLOOKUP(BD479,$BD$4:$BN$12824,3,0)*BE479</f>
        <v>263286.62766581308</v>
      </c>
      <c r="BP479" s="866"/>
      <c r="BQ479" s="866"/>
      <c r="BR479" s="866">
        <f>VLOOKUP(BD479,$BD$4:$BN$12824,6,0)*BE479</f>
        <v>115357.00662749162</v>
      </c>
      <c r="BS479" s="866">
        <f>VLOOKUP(BD479,$BD$4:$BN$12824,7,0)*BE479</f>
        <v>15905.909735640376</v>
      </c>
      <c r="BT479" s="866"/>
      <c r="BU479" s="866">
        <f>VLOOKUP(BD479,$BD$4:$BN$12824,9,0)*BE479</f>
        <v>4593.5973840779734</v>
      </c>
      <c r="BV479" s="867"/>
      <c r="BW479" s="867">
        <f>VLOOKUP(BD479,$BD$4:$BN$12824,11,0)*BE479</f>
        <v>11906.604419530106</v>
      </c>
      <c r="BX479" s="1146">
        <f t="shared" si="91"/>
        <v>411049.74583255313</v>
      </c>
      <c r="BY479" s="867">
        <f t="shared" si="100"/>
        <v>16497328.081432553</v>
      </c>
      <c r="BZ479" s="867">
        <f t="shared" si="97"/>
        <v>16497328.081432553</v>
      </c>
      <c r="CA479" s="867">
        <f>_xlfn.MAXIFS($BY$4:$BY$12824,$S$4:$S$12824,$S479)</f>
        <v>16497328.081432553</v>
      </c>
      <c r="CB479" s="1032"/>
      <c r="CF479" s="946">
        <f t="shared" si="99"/>
        <v>16086278.3356</v>
      </c>
    </row>
    <row r="480" spans="1:84">
      <c r="A480" s="1032"/>
      <c r="B480" s="839" t="s">
        <v>98</v>
      </c>
      <c r="C480" s="839" t="s">
        <v>381</v>
      </c>
      <c r="D480" s="839" t="s">
        <v>1590</v>
      </c>
      <c r="E480" s="839" t="s">
        <v>1591</v>
      </c>
      <c r="F480" s="841">
        <v>45508</v>
      </c>
      <c r="G480" s="840" t="s">
        <v>381</v>
      </c>
      <c r="H480" s="842" t="s">
        <v>134</v>
      </c>
      <c r="I480" s="842"/>
      <c r="J480" s="841"/>
      <c r="K480" s="841"/>
      <c r="L480" s="843" t="s">
        <v>106</v>
      </c>
      <c r="M480" s="844" t="s">
        <v>107</v>
      </c>
      <c r="N480" s="841">
        <v>45479</v>
      </c>
      <c r="O480" s="841" t="s">
        <v>150</v>
      </c>
      <c r="P480" s="841" t="s">
        <v>151</v>
      </c>
      <c r="Q480" s="843"/>
      <c r="R480" s="845" t="s">
        <v>1713</v>
      </c>
      <c r="S480" s="1127" t="s">
        <v>1713</v>
      </c>
      <c r="T480" s="843" t="s">
        <v>1714</v>
      </c>
      <c r="U480" s="842">
        <v>1</v>
      </c>
      <c r="V480" s="842" t="s">
        <v>3</v>
      </c>
      <c r="W480" s="846">
        <v>1343</v>
      </c>
      <c r="X480" s="847">
        <f t="shared" si="92"/>
        <v>1343</v>
      </c>
      <c r="Y480" s="848">
        <f t="shared" si="98"/>
        <v>0.56000000000000005</v>
      </c>
      <c r="Z480" s="849">
        <v>590.91999999999996</v>
      </c>
      <c r="AA480" s="849"/>
      <c r="AB480" s="849">
        <f t="shared" si="93"/>
        <v>590.91999999999996</v>
      </c>
      <c r="AC480" s="850">
        <f t="shared" si="94"/>
        <v>590.91999999999996</v>
      </c>
      <c r="AD480" s="851"/>
      <c r="AE480" s="852">
        <v>27222.43</v>
      </c>
      <c r="AF480" s="853">
        <v>0</v>
      </c>
      <c r="AG480" s="854">
        <f t="shared" si="95"/>
        <v>0</v>
      </c>
      <c r="AH480" s="853"/>
      <c r="AI480" s="855">
        <f t="shared" si="96"/>
        <v>0</v>
      </c>
      <c r="AJ480" s="845" t="s">
        <v>1633</v>
      </c>
      <c r="AK480" s="857">
        <v>45632</v>
      </c>
      <c r="AL480" s="840" t="s">
        <v>1634</v>
      </c>
      <c r="AM480" s="840" t="s">
        <v>1635</v>
      </c>
      <c r="AN480" s="858" t="s">
        <v>1636</v>
      </c>
      <c r="AO480" s="844"/>
      <c r="AP480" s="859">
        <v>45603</v>
      </c>
      <c r="AQ480" s="859">
        <v>45603</v>
      </c>
      <c r="AR480" s="859">
        <v>45482</v>
      </c>
      <c r="AS480" s="840"/>
      <c r="AT480" s="840" t="s">
        <v>1235</v>
      </c>
      <c r="AU480" s="860" t="s">
        <v>1602</v>
      </c>
      <c r="AV480" s="839" t="s">
        <v>1637</v>
      </c>
      <c r="AW480" s="861">
        <v>45482</v>
      </c>
      <c r="AX480" s="862"/>
      <c r="AY480" s="843"/>
      <c r="AZ480" s="842"/>
      <c r="BA480" s="842" t="s">
        <v>120</v>
      </c>
      <c r="BB480" s="863" t="s">
        <v>121</v>
      </c>
      <c r="BC480" s="864">
        <v>45547</v>
      </c>
      <c r="BD480" s="860" t="s">
        <v>1638</v>
      </c>
      <c r="BE480" s="865" cm="1">
        <f t="array" ref="BE480">IF(BD480="","",AC480/SUMPRODUCT(--(BD480=$BD$4:$BD$12824),$AC$4:$AC$12824))</f>
        <v>9.1871947681559461E-3</v>
      </c>
      <c r="BF480" s="458"/>
      <c r="BG480" s="458"/>
      <c r="BH480" s="458"/>
      <c r="BI480" s="458"/>
      <c r="BJ480" s="458"/>
      <c r="BK480" s="458"/>
      <c r="BL480" s="458"/>
      <c r="BM480" s="458"/>
      <c r="BN480" s="458"/>
      <c r="BO480" s="866">
        <f>VLOOKUP(BD480,$BD$4:$BN$12824,3,0)*BE480</f>
        <v>263286.62766581308</v>
      </c>
      <c r="BP480" s="866"/>
      <c r="BQ480" s="866"/>
      <c r="BR480" s="866">
        <f>VLOOKUP(BD480,$BD$4:$BN$12824,6,0)*BE480</f>
        <v>115357.00662749162</v>
      </c>
      <c r="BS480" s="866">
        <f>VLOOKUP(BD480,$BD$4:$BN$12824,7,0)*BE480</f>
        <v>15905.909735640376</v>
      </c>
      <c r="BT480" s="866"/>
      <c r="BU480" s="866">
        <f>VLOOKUP(BD480,$BD$4:$BN$12824,9,0)*BE480</f>
        <v>4593.5973840779734</v>
      </c>
      <c r="BV480" s="867"/>
      <c r="BW480" s="867">
        <f>VLOOKUP(BD480,$BD$4:$BN$12824,11,0)*BE480</f>
        <v>11906.604419530106</v>
      </c>
      <c r="BX480" s="1146">
        <f t="shared" si="91"/>
        <v>411049.74583255313</v>
      </c>
      <c r="BY480" s="867">
        <f t="shared" si="100"/>
        <v>16497328.081432553</v>
      </c>
      <c r="BZ480" s="867">
        <f t="shared" si="97"/>
        <v>16497328.081432553</v>
      </c>
      <c r="CA480" s="867">
        <f>_xlfn.MAXIFS($BY$4:$BY$12824,$S$4:$S$12824,$S480)</f>
        <v>16497328.081432553</v>
      </c>
      <c r="CB480" s="1032"/>
      <c r="CF480" s="946">
        <f t="shared" si="99"/>
        <v>16086278.3356</v>
      </c>
    </row>
    <row r="481" spans="1:84">
      <c r="A481" s="1032"/>
      <c r="B481" s="839" t="s">
        <v>98</v>
      </c>
      <c r="C481" s="839" t="s">
        <v>381</v>
      </c>
      <c r="D481" s="839" t="s">
        <v>1590</v>
      </c>
      <c r="E481" s="839" t="s">
        <v>1591</v>
      </c>
      <c r="F481" s="841">
        <v>45508</v>
      </c>
      <c r="G481" s="840" t="s">
        <v>381</v>
      </c>
      <c r="H481" s="842" t="s">
        <v>134</v>
      </c>
      <c r="I481" s="842"/>
      <c r="J481" s="841"/>
      <c r="K481" s="841"/>
      <c r="L481" s="843" t="s">
        <v>106</v>
      </c>
      <c r="M481" s="844" t="s">
        <v>107</v>
      </c>
      <c r="N481" s="841">
        <v>45479</v>
      </c>
      <c r="O481" s="841" t="s">
        <v>150</v>
      </c>
      <c r="P481" s="841" t="s">
        <v>151</v>
      </c>
      <c r="Q481" s="843"/>
      <c r="R481" s="845" t="s">
        <v>1715</v>
      </c>
      <c r="S481" s="1127" t="s">
        <v>1715</v>
      </c>
      <c r="T481" s="843" t="s">
        <v>1716</v>
      </c>
      <c r="U481" s="842">
        <v>2</v>
      </c>
      <c r="V481" s="842" t="s">
        <v>3</v>
      </c>
      <c r="W481" s="846">
        <v>1763</v>
      </c>
      <c r="X481" s="847">
        <f t="shared" si="92"/>
        <v>3526</v>
      </c>
      <c r="Y481" s="848">
        <f t="shared" si="98"/>
        <v>0.55999999999999994</v>
      </c>
      <c r="Z481" s="849">
        <v>775.72</v>
      </c>
      <c r="AA481" s="849"/>
      <c r="AB481" s="849">
        <f t="shared" si="93"/>
        <v>1551.44</v>
      </c>
      <c r="AC481" s="850">
        <f t="shared" si="94"/>
        <v>1551.44</v>
      </c>
      <c r="AD481" s="851"/>
      <c r="AE481" s="852">
        <v>27222.43</v>
      </c>
      <c r="AF481" s="853">
        <v>0</v>
      </c>
      <c r="AG481" s="854">
        <f t="shared" si="95"/>
        <v>0</v>
      </c>
      <c r="AH481" s="853"/>
      <c r="AI481" s="855">
        <f t="shared" si="96"/>
        <v>0</v>
      </c>
      <c r="AJ481" s="845" t="s">
        <v>1633</v>
      </c>
      <c r="AK481" s="857">
        <v>45632</v>
      </c>
      <c r="AL481" s="840" t="s">
        <v>1634</v>
      </c>
      <c r="AM481" s="840" t="s">
        <v>1635</v>
      </c>
      <c r="AN481" s="858" t="s">
        <v>1636</v>
      </c>
      <c r="AO481" s="844"/>
      <c r="AP481" s="859">
        <v>45603</v>
      </c>
      <c r="AQ481" s="859">
        <v>45603</v>
      </c>
      <c r="AR481" s="859">
        <v>45482</v>
      </c>
      <c r="AS481" s="840"/>
      <c r="AT481" s="840" t="s">
        <v>1235</v>
      </c>
      <c r="AU481" s="860" t="s">
        <v>1602</v>
      </c>
      <c r="AV481" s="839" t="s">
        <v>1637</v>
      </c>
      <c r="AW481" s="861">
        <v>45482</v>
      </c>
      <c r="AX481" s="862"/>
      <c r="AY481" s="843"/>
      <c r="AZ481" s="842"/>
      <c r="BA481" s="842" t="s">
        <v>120</v>
      </c>
      <c r="BB481" s="863" t="s">
        <v>121</v>
      </c>
      <c r="BC481" s="864">
        <v>45547</v>
      </c>
      <c r="BD481" s="860" t="s">
        <v>1638</v>
      </c>
      <c r="BE481" s="865" cm="1">
        <f t="array" ref="BE481">IF(BD481="","",AC481/SUMPRODUCT(--(BD481=$BD$4:$BD$12824),$AC$4:$AC$12824))</f>
        <v>2.4120661766580693E-2</v>
      </c>
      <c r="BF481" s="458"/>
      <c r="BG481" s="458"/>
      <c r="BH481" s="458"/>
      <c r="BI481" s="458"/>
      <c r="BJ481" s="458"/>
      <c r="BK481" s="458"/>
      <c r="BL481" s="458"/>
      <c r="BM481" s="458"/>
      <c r="BN481" s="458"/>
      <c r="BO481" s="866">
        <f>VLOOKUP(BD481,$BD$4:$BN$12824,3,0)*BE481</f>
        <v>691249.92490666953</v>
      </c>
      <c r="BP481" s="866"/>
      <c r="BQ481" s="866"/>
      <c r="BR481" s="866">
        <f>VLOOKUP(BD481,$BD$4:$BN$12824,6,0)*BE481</f>
        <v>302865.82678223046</v>
      </c>
      <c r="BS481" s="866">
        <f>VLOOKUP(BD481,$BD$4:$BN$12824,7,0)*BE481</f>
        <v>41760.41528508412</v>
      </c>
      <c r="BT481" s="866"/>
      <c r="BU481" s="866">
        <f>VLOOKUP(BD481,$BD$4:$BN$12824,9,0)*BE481</f>
        <v>12060.330883290346</v>
      </c>
      <c r="BV481" s="867"/>
      <c r="BW481" s="867">
        <f>VLOOKUP(BD481,$BD$4:$BN$12824,11,0)*BE481</f>
        <v>31260.377649488579</v>
      </c>
      <c r="BX481" s="1146">
        <f t="shared" si="91"/>
        <v>1079196.8755067631</v>
      </c>
      <c r="BY481" s="867">
        <f t="shared" si="100"/>
        <v>21656581.837353382</v>
      </c>
      <c r="BZ481" s="867">
        <f t="shared" si="97"/>
        <v>43313163.674706765</v>
      </c>
      <c r="CA481" s="867">
        <f>_xlfn.MAXIFS($BY$4:$BY$12824,$S$4:$S$12824,$S481)</f>
        <v>21656581.837353382</v>
      </c>
      <c r="CB481" s="1032"/>
      <c r="CF481" s="946">
        <f t="shared" si="99"/>
        <v>42233966.799199998</v>
      </c>
    </row>
    <row r="482" spans="1:84">
      <c r="A482" s="1032"/>
      <c r="B482" s="839" t="s">
        <v>98</v>
      </c>
      <c r="C482" s="839" t="s">
        <v>381</v>
      </c>
      <c r="D482" s="839" t="s">
        <v>1590</v>
      </c>
      <c r="E482" s="839" t="s">
        <v>1591</v>
      </c>
      <c r="F482" s="841">
        <v>45508</v>
      </c>
      <c r="G482" s="840" t="s">
        <v>381</v>
      </c>
      <c r="H482" s="842" t="s">
        <v>134</v>
      </c>
      <c r="I482" s="842"/>
      <c r="J482" s="841"/>
      <c r="K482" s="841"/>
      <c r="L482" s="843" t="s">
        <v>106</v>
      </c>
      <c r="M482" s="844" t="s">
        <v>107</v>
      </c>
      <c r="N482" s="841">
        <v>45479</v>
      </c>
      <c r="O482" s="841" t="s">
        <v>150</v>
      </c>
      <c r="P482" s="841" t="s">
        <v>151</v>
      </c>
      <c r="Q482" s="843"/>
      <c r="R482" s="845" t="s">
        <v>1717</v>
      </c>
      <c r="S482" s="1127" t="s">
        <v>1717</v>
      </c>
      <c r="T482" s="843" t="s">
        <v>1718</v>
      </c>
      <c r="U482" s="842">
        <v>6</v>
      </c>
      <c r="V482" s="842" t="s">
        <v>3</v>
      </c>
      <c r="W482" s="846">
        <v>436</v>
      </c>
      <c r="X482" s="847">
        <f t="shared" si="92"/>
        <v>2616</v>
      </c>
      <c r="Y482" s="848">
        <f t="shared" si="98"/>
        <v>0.55999999999999994</v>
      </c>
      <c r="Z482" s="849">
        <v>191.84</v>
      </c>
      <c r="AA482" s="849"/>
      <c r="AB482" s="849">
        <f t="shared" si="93"/>
        <v>1151.04</v>
      </c>
      <c r="AC482" s="850">
        <f t="shared" si="94"/>
        <v>1151.04</v>
      </c>
      <c r="AD482" s="851"/>
      <c r="AE482" s="852">
        <v>27222.43</v>
      </c>
      <c r="AF482" s="853">
        <v>0</v>
      </c>
      <c r="AG482" s="854">
        <f t="shared" si="95"/>
        <v>0</v>
      </c>
      <c r="AH482" s="853"/>
      <c r="AI482" s="855">
        <f t="shared" si="96"/>
        <v>0</v>
      </c>
      <c r="AJ482" s="845" t="s">
        <v>1633</v>
      </c>
      <c r="AK482" s="857">
        <v>45632</v>
      </c>
      <c r="AL482" s="840" t="s">
        <v>1634</v>
      </c>
      <c r="AM482" s="840" t="s">
        <v>1635</v>
      </c>
      <c r="AN482" s="858" t="s">
        <v>1636</v>
      </c>
      <c r="AO482" s="844"/>
      <c r="AP482" s="859">
        <v>45603</v>
      </c>
      <c r="AQ482" s="859">
        <v>45603</v>
      </c>
      <c r="AR482" s="859">
        <v>45482</v>
      </c>
      <c r="AS482" s="840"/>
      <c r="AT482" s="840" t="s">
        <v>1235</v>
      </c>
      <c r="AU482" s="860" t="s">
        <v>1602</v>
      </c>
      <c r="AV482" s="839" t="s">
        <v>1637</v>
      </c>
      <c r="AW482" s="861">
        <v>45482</v>
      </c>
      <c r="AX482" s="862"/>
      <c r="AY482" s="843"/>
      <c r="AZ482" s="842"/>
      <c r="BA482" s="842" t="s">
        <v>120</v>
      </c>
      <c r="BB482" s="863" t="s">
        <v>121</v>
      </c>
      <c r="BC482" s="864">
        <v>45547</v>
      </c>
      <c r="BD482" s="860" t="s">
        <v>1638</v>
      </c>
      <c r="BE482" s="865" cm="1">
        <f t="array" ref="BE482">IF(BD482="","",AC482/SUMPRODUCT(--(BD482=$BD$4:$BD$12824),$AC$4:$AC$12824))</f>
        <v>1.7895533517122829E-2</v>
      </c>
      <c r="BF482" s="458"/>
      <c r="BG482" s="458"/>
      <c r="BH482" s="458"/>
      <c r="BI482" s="458"/>
      <c r="BJ482" s="458"/>
      <c r="BK482" s="458"/>
      <c r="BL482" s="458"/>
      <c r="BM482" s="458"/>
      <c r="BN482" s="458"/>
      <c r="BO482" s="866">
        <f>VLOOKUP(BD482,$BD$4:$BN$12824,3,0)*BE482</f>
        <v>512850.19953370601</v>
      </c>
      <c r="BP482" s="866"/>
      <c r="BQ482" s="866"/>
      <c r="BR482" s="866">
        <f>VLOOKUP(BD482,$BD$4:$BN$12824,6,0)*BE482</f>
        <v>224701.36212771267</v>
      </c>
      <c r="BS482" s="866">
        <f>VLOOKUP(BD482,$BD$4:$BN$12824,7,0)*BE482</f>
        <v>30982.769820130477</v>
      </c>
      <c r="BT482" s="866"/>
      <c r="BU482" s="866">
        <f>VLOOKUP(BD482,$BD$4:$BN$12824,9,0)*BE482</f>
        <v>8947.7667585614145</v>
      </c>
      <c r="BV482" s="867"/>
      <c r="BW482" s="867">
        <f>VLOOKUP(BD482,$BD$4:$BN$12824,11,0)*BE482</f>
        <v>23192.611438191187</v>
      </c>
      <c r="BX482" s="1146">
        <f t="shared" si="91"/>
        <v>800674.70967830159</v>
      </c>
      <c r="BY482" s="867">
        <f t="shared" si="100"/>
        <v>5355796.7561463835</v>
      </c>
      <c r="BZ482" s="867">
        <f t="shared" si="97"/>
        <v>32134780.536878303</v>
      </c>
      <c r="CA482" s="867">
        <f>_xlfn.MAXIFS($BY$4:$BY$12824,$S$4:$S$12824,$S482)</f>
        <v>5355796.7561463835</v>
      </c>
      <c r="CB482" s="1032"/>
      <c r="CF482" s="946">
        <f t="shared" si="99"/>
        <v>31334105.827199999</v>
      </c>
    </row>
    <row r="483" spans="1:84">
      <c r="A483" s="1032"/>
      <c r="B483" s="839" t="s">
        <v>98</v>
      </c>
      <c r="C483" s="839" t="s">
        <v>381</v>
      </c>
      <c r="D483" s="839" t="s">
        <v>1590</v>
      </c>
      <c r="E483" s="839" t="s">
        <v>1591</v>
      </c>
      <c r="F483" s="841">
        <v>45508</v>
      </c>
      <c r="G483" s="840" t="s">
        <v>381</v>
      </c>
      <c r="H483" s="842" t="s">
        <v>134</v>
      </c>
      <c r="I483" s="842"/>
      <c r="J483" s="841"/>
      <c r="K483" s="841"/>
      <c r="L483" s="843" t="s">
        <v>106</v>
      </c>
      <c r="M483" s="844" t="s">
        <v>107</v>
      </c>
      <c r="N483" s="841">
        <v>45479</v>
      </c>
      <c r="O483" s="841" t="s">
        <v>150</v>
      </c>
      <c r="P483" s="841" t="s">
        <v>151</v>
      </c>
      <c r="Q483" s="843"/>
      <c r="R483" s="845" t="s">
        <v>1719</v>
      </c>
      <c r="S483" s="1127" t="s">
        <v>1719</v>
      </c>
      <c r="T483" s="843" t="s">
        <v>1720</v>
      </c>
      <c r="U483" s="842">
        <v>6</v>
      </c>
      <c r="V483" s="842" t="s">
        <v>3</v>
      </c>
      <c r="W483" s="846">
        <v>494</v>
      </c>
      <c r="X483" s="847">
        <f t="shared" si="92"/>
        <v>2964</v>
      </c>
      <c r="Y483" s="848">
        <f t="shared" si="98"/>
        <v>0.55999999999999994</v>
      </c>
      <c r="Z483" s="849">
        <v>217.36</v>
      </c>
      <c r="AA483" s="849"/>
      <c r="AB483" s="849">
        <f t="shared" si="93"/>
        <v>1304.1600000000001</v>
      </c>
      <c r="AC483" s="850">
        <f t="shared" si="94"/>
        <v>1304.1600000000001</v>
      </c>
      <c r="AD483" s="851"/>
      <c r="AE483" s="852">
        <v>27222.43</v>
      </c>
      <c r="AF483" s="853">
        <v>0</v>
      </c>
      <c r="AG483" s="854">
        <f t="shared" si="95"/>
        <v>0</v>
      </c>
      <c r="AH483" s="853"/>
      <c r="AI483" s="855">
        <f t="shared" si="96"/>
        <v>0</v>
      </c>
      <c r="AJ483" s="845" t="s">
        <v>1633</v>
      </c>
      <c r="AK483" s="857">
        <v>45632</v>
      </c>
      <c r="AL483" s="840" t="s">
        <v>1634</v>
      </c>
      <c r="AM483" s="840" t="s">
        <v>1635</v>
      </c>
      <c r="AN483" s="858" t="s">
        <v>1636</v>
      </c>
      <c r="AO483" s="844"/>
      <c r="AP483" s="859">
        <v>45603</v>
      </c>
      <c r="AQ483" s="859">
        <v>45603</v>
      </c>
      <c r="AR483" s="859">
        <v>45482</v>
      </c>
      <c r="AS483" s="840"/>
      <c r="AT483" s="840" t="s">
        <v>1235</v>
      </c>
      <c r="AU483" s="860" t="s">
        <v>1602</v>
      </c>
      <c r="AV483" s="839" t="s">
        <v>1637</v>
      </c>
      <c r="AW483" s="861">
        <v>45482</v>
      </c>
      <c r="AX483" s="862"/>
      <c r="AY483" s="843"/>
      <c r="AZ483" s="842"/>
      <c r="BA483" s="842" t="s">
        <v>120</v>
      </c>
      <c r="BB483" s="863" t="s">
        <v>121</v>
      </c>
      <c r="BC483" s="864">
        <v>45547</v>
      </c>
      <c r="BD483" s="860" t="s">
        <v>1638</v>
      </c>
      <c r="BE483" s="865" cm="1">
        <f t="array" ref="BE483">IF(BD483="","",AC483/SUMPRODUCT(--(BD483=$BD$4:$BD$12824),$AC$4:$AC$12824))</f>
        <v>2.0276132012519904E-2</v>
      </c>
      <c r="BF483" s="458"/>
      <c r="BG483" s="458"/>
      <c r="BH483" s="458"/>
      <c r="BI483" s="458"/>
      <c r="BJ483" s="458"/>
      <c r="BK483" s="458"/>
      <c r="BL483" s="458"/>
      <c r="BM483" s="458"/>
      <c r="BN483" s="458"/>
      <c r="BO483" s="866">
        <f>VLOOKUP(BD483,$BD$4:$BN$12824,3,0)*BE483</f>
        <v>581073.39121479541</v>
      </c>
      <c r="BP483" s="866"/>
      <c r="BQ483" s="866"/>
      <c r="BR483" s="866">
        <f>VLOOKUP(BD483,$BD$4:$BN$12824,6,0)*BE483</f>
        <v>254592.82773185795</v>
      </c>
      <c r="BS483" s="866">
        <f>VLOOKUP(BD483,$BD$4:$BN$12824,7,0)*BE483</f>
        <v>35104.330942991874</v>
      </c>
      <c r="BT483" s="866"/>
      <c r="BU483" s="866">
        <f>VLOOKUP(BD483,$BD$4:$BN$12824,9,0)*BE483</f>
        <v>10138.066006259953</v>
      </c>
      <c r="BV483" s="867"/>
      <c r="BW483" s="867">
        <f>VLOOKUP(BD483,$BD$4:$BN$12824,11,0)*BE483</f>
        <v>26277.867088225794</v>
      </c>
      <c r="BX483" s="1146">
        <f t="shared" si="91"/>
        <v>907186.48298413109</v>
      </c>
      <c r="BY483" s="867">
        <f t="shared" si="100"/>
        <v>6068265.1319640232</v>
      </c>
      <c r="BZ483" s="867">
        <f t="shared" si="97"/>
        <v>36409590.791784137</v>
      </c>
      <c r="CA483" s="867">
        <f>_xlfn.MAXIFS($BY$4:$BY$12824,$S$4:$S$12824,$S483)</f>
        <v>7716424.8392071798</v>
      </c>
      <c r="CB483" s="1032"/>
      <c r="CF483" s="946">
        <f t="shared" si="99"/>
        <v>35502404.308800004</v>
      </c>
    </row>
    <row r="484" spans="1:84">
      <c r="A484" s="1032"/>
      <c r="B484" s="839" t="s">
        <v>98</v>
      </c>
      <c r="C484" s="839" t="s">
        <v>381</v>
      </c>
      <c r="D484" s="839" t="s">
        <v>1590</v>
      </c>
      <c r="E484" s="839" t="s">
        <v>1591</v>
      </c>
      <c r="F484" s="841">
        <v>45508</v>
      </c>
      <c r="G484" s="840" t="s">
        <v>381</v>
      </c>
      <c r="H484" s="842" t="s">
        <v>134</v>
      </c>
      <c r="I484" s="842"/>
      <c r="J484" s="841"/>
      <c r="K484" s="841"/>
      <c r="L484" s="843" t="s">
        <v>106</v>
      </c>
      <c r="M484" s="844" t="s">
        <v>107</v>
      </c>
      <c r="N484" s="841">
        <v>45479</v>
      </c>
      <c r="O484" s="841" t="s">
        <v>150</v>
      </c>
      <c r="P484" s="841" t="s">
        <v>151</v>
      </c>
      <c r="Q484" s="843"/>
      <c r="R484" s="845" t="s">
        <v>1721</v>
      </c>
      <c r="S484" s="1127" t="s">
        <v>1721</v>
      </c>
      <c r="T484" s="843" t="s">
        <v>1722</v>
      </c>
      <c r="U484" s="842">
        <v>6</v>
      </c>
      <c r="V484" s="842" t="s">
        <v>3</v>
      </c>
      <c r="W484" s="846">
        <v>410</v>
      </c>
      <c r="X484" s="847">
        <f t="shared" si="92"/>
        <v>2460</v>
      </c>
      <c r="Y484" s="848">
        <f t="shared" si="98"/>
        <v>0.55999999999999994</v>
      </c>
      <c r="Z484" s="849">
        <v>180.4</v>
      </c>
      <c r="AA484" s="849"/>
      <c r="AB484" s="849">
        <f t="shared" si="93"/>
        <v>1082.4000000000001</v>
      </c>
      <c r="AC484" s="850">
        <f t="shared" si="94"/>
        <v>1082.4000000000001</v>
      </c>
      <c r="AD484" s="851"/>
      <c r="AE484" s="852">
        <v>27222.43</v>
      </c>
      <c r="AF484" s="853">
        <v>0</v>
      </c>
      <c r="AG484" s="854">
        <f t="shared" si="95"/>
        <v>0</v>
      </c>
      <c r="AH484" s="853"/>
      <c r="AI484" s="855">
        <f t="shared" si="96"/>
        <v>0</v>
      </c>
      <c r="AJ484" s="845" t="s">
        <v>1633</v>
      </c>
      <c r="AK484" s="857">
        <v>45632</v>
      </c>
      <c r="AL484" s="840" t="s">
        <v>1634</v>
      </c>
      <c r="AM484" s="840" t="s">
        <v>1635</v>
      </c>
      <c r="AN484" s="858" t="s">
        <v>1636</v>
      </c>
      <c r="AO484" s="844"/>
      <c r="AP484" s="859">
        <v>45603</v>
      </c>
      <c r="AQ484" s="859">
        <v>45603</v>
      </c>
      <c r="AR484" s="859">
        <v>45482</v>
      </c>
      <c r="AS484" s="840"/>
      <c r="AT484" s="840" t="s">
        <v>1235</v>
      </c>
      <c r="AU484" s="860" t="s">
        <v>1602</v>
      </c>
      <c r="AV484" s="839" t="s">
        <v>1637</v>
      </c>
      <c r="AW484" s="861">
        <v>45482</v>
      </c>
      <c r="AX484" s="862"/>
      <c r="AY484" s="843"/>
      <c r="AZ484" s="842"/>
      <c r="BA484" s="842" t="s">
        <v>120</v>
      </c>
      <c r="BB484" s="863" t="s">
        <v>121</v>
      </c>
      <c r="BC484" s="864">
        <v>45547</v>
      </c>
      <c r="BD484" s="860" t="s">
        <v>1638</v>
      </c>
      <c r="BE484" s="865" cm="1">
        <f t="array" ref="BE484">IF(BD484="","",AC484/SUMPRODUCT(--(BD484=$BD$4:$BD$12824),$AC$4:$AC$12824))</f>
        <v>1.6828368674358624E-2</v>
      </c>
      <c r="BF484" s="458"/>
      <c r="BG484" s="458"/>
      <c r="BH484" s="458"/>
      <c r="BI484" s="458"/>
      <c r="BJ484" s="458"/>
      <c r="BK484" s="458"/>
      <c r="BL484" s="458"/>
      <c r="BM484" s="458"/>
      <c r="BN484" s="458"/>
      <c r="BO484" s="866">
        <f>VLOOKUP(BD484,$BD$4:$BN$12824,3,0)*BE484</f>
        <v>482267.38946976943</v>
      </c>
      <c r="BP484" s="866"/>
      <c r="BQ484" s="866"/>
      <c r="BR484" s="866">
        <f>VLOOKUP(BD484,$BD$4:$BN$12824,6,0)*BE484</f>
        <v>211301.73961550964</v>
      </c>
      <c r="BS484" s="866">
        <f>VLOOKUP(BD484,$BD$4:$BN$12824,7,0)*BE484</f>
        <v>29135.173454709853</v>
      </c>
      <c r="BT484" s="866"/>
      <c r="BU484" s="866">
        <f>VLOOKUP(BD484,$BD$4:$BN$12824,9,0)*BE484</f>
        <v>8414.1843371793129</v>
      </c>
      <c r="BV484" s="867"/>
      <c r="BW484" s="867">
        <f>VLOOKUP(BD484,$BD$4:$BN$12824,11,0)*BE484</f>
        <v>21809.565801968776</v>
      </c>
      <c r="BX484" s="1146">
        <f t="shared" si="91"/>
        <v>752928.05267913698</v>
      </c>
      <c r="BY484" s="867">
        <f t="shared" si="100"/>
        <v>5036414.3807798568</v>
      </c>
      <c r="BZ484" s="867">
        <f t="shared" si="97"/>
        <v>30218486.284679141</v>
      </c>
      <c r="CA484" s="867">
        <f>_xlfn.MAXIFS($BY$4:$BY$12824,$S$4:$S$12824,$S484)</f>
        <v>5036414.3807798568</v>
      </c>
      <c r="CB484" s="1032"/>
      <c r="CF484" s="946">
        <f t="shared" si="99"/>
        <v>29465558.232000005</v>
      </c>
    </row>
    <row r="485" spans="1:84">
      <c r="A485" s="1032"/>
      <c r="B485" s="839" t="s">
        <v>98</v>
      </c>
      <c r="C485" s="839" t="s">
        <v>381</v>
      </c>
      <c r="D485" s="839" t="s">
        <v>1590</v>
      </c>
      <c r="E485" s="839" t="s">
        <v>1591</v>
      </c>
      <c r="F485" s="841">
        <v>45508</v>
      </c>
      <c r="G485" s="840" t="s">
        <v>381</v>
      </c>
      <c r="H485" s="842" t="s">
        <v>134</v>
      </c>
      <c r="I485" s="842"/>
      <c r="J485" s="841"/>
      <c r="K485" s="841"/>
      <c r="L485" s="843" t="s">
        <v>106</v>
      </c>
      <c r="M485" s="844" t="s">
        <v>107</v>
      </c>
      <c r="N485" s="841">
        <v>45479</v>
      </c>
      <c r="O485" s="841" t="s">
        <v>150</v>
      </c>
      <c r="P485" s="841" t="s">
        <v>151</v>
      </c>
      <c r="Q485" s="843"/>
      <c r="R485" s="845" t="s">
        <v>1723</v>
      </c>
      <c r="S485" s="1127" t="s">
        <v>1723</v>
      </c>
      <c r="T485" s="843" t="s">
        <v>1724</v>
      </c>
      <c r="U485" s="842">
        <v>6</v>
      </c>
      <c r="V485" s="842" t="s">
        <v>3</v>
      </c>
      <c r="W485" s="846">
        <v>494</v>
      </c>
      <c r="X485" s="847">
        <f t="shared" si="92"/>
        <v>2964</v>
      </c>
      <c r="Y485" s="848">
        <f t="shared" si="98"/>
        <v>0.55999999999999994</v>
      </c>
      <c r="Z485" s="849">
        <v>217.36</v>
      </c>
      <c r="AA485" s="849"/>
      <c r="AB485" s="849">
        <f t="shared" si="93"/>
        <v>1304.1600000000001</v>
      </c>
      <c r="AC485" s="850">
        <f t="shared" si="94"/>
        <v>1304.1600000000001</v>
      </c>
      <c r="AD485" s="851"/>
      <c r="AE485" s="852">
        <v>27222.43</v>
      </c>
      <c r="AF485" s="853">
        <v>0</v>
      </c>
      <c r="AG485" s="854">
        <f t="shared" si="95"/>
        <v>0</v>
      </c>
      <c r="AH485" s="853"/>
      <c r="AI485" s="855">
        <f t="shared" si="96"/>
        <v>0</v>
      </c>
      <c r="AJ485" s="845" t="s">
        <v>1633</v>
      </c>
      <c r="AK485" s="857">
        <v>45632</v>
      </c>
      <c r="AL485" s="840" t="s">
        <v>1634</v>
      </c>
      <c r="AM485" s="840" t="s">
        <v>1635</v>
      </c>
      <c r="AN485" s="858" t="s">
        <v>1636</v>
      </c>
      <c r="AO485" s="844"/>
      <c r="AP485" s="859">
        <v>45603</v>
      </c>
      <c r="AQ485" s="859">
        <v>45603</v>
      </c>
      <c r="AR485" s="859">
        <v>45482</v>
      </c>
      <c r="AS485" s="840"/>
      <c r="AT485" s="840" t="s">
        <v>1235</v>
      </c>
      <c r="AU485" s="860" t="s">
        <v>1602</v>
      </c>
      <c r="AV485" s="839" t="s">
        <v>1637</v>
      </c>
      <c r="AW485" s="861">
        <v>45482</v>
      </c>
      <c r="AX485" s="862"/>
      <c r="AY485" s="843"/>
      <c r="AZ485" s="842"/>
      <c r="BA485" s="842" t="s">
        <v>120</v>
      </c>
      <c r="BB485" s="863" t="s">
        <v>121</v>
      </c>
      <c r="BC485" s="864">
        <v>45547</v>
      </c>
      <c r="BD485" s="860" t="s">
        <v>1638</v>
      </c>
      <c r="BE485" s="865" cm="1">
        <f t="array" ref="BE485">IF(BD485="","",AC485/SUMPRODUCT(--(BD485=$BD$4:$BD$12824),$AC$4:$AC$12824))</f>
        <v>2.0276132012519904E-2</v>
      </c>
      <c r="BF485" s="458"/>
      <c r="BG485" s="458"/>
      <c r="BH485" s="458"/>
      <c r="BI485" s="458"/>
      <c r="BJ485" s="458"/>
      <c r="BK485" s="458"/>
      <c r="BL485" s="458"/>
      <c r="BM485" s="458"/>
      <c r="BN485" s="458"/>
      <c r="BO485" s="866">
        <f>VLOOKUP(BD485,$BD$4:$BN$12824,3,0)*BE485</f>
        <v>581073.39121479541</v>
      </c>
      <c r="BP485" s="866"/>
      <c r="BQ485" s="866"/>
      <c r="BR485" s="866">
        <f>VLOOKUP(BD485,$BD$4:$BN$12824,6,0)*BE485</f>
        <v>254592.82773185795</v>
      </c>
      <c r="BS485" s="866">
        <f>VLOOKUP(BD485,$BD$4:$BN$12824,7,0)*BE485</f>
        <v>35104.330942991874</v>
      </c>
      <c r="BT485" s="866"/>
      <c r="BU485" s="866">
        <f>VLOOKUP(BD485,$BD$4:$BN$12824,9,0)*BE485</f>
        <v>10138.066006259953</v>
      </c>
      <c r="BV485" s="867"/>
      <c r="BW485" s="867">
        <f>VLOOKUP(BD485,$BD$4:$BN$12824,11,0)*BE485</f>
        <v>26277.867088225794</v>
      </c>
      <c r="BX485" s="1146">
        <f t="shared" si="91"/>
        <v>907186.48298413109</v>
      </c>
      <c r="BY485" s="867">
        <f t="shared" si="100"/>
        <v>6068265.1319640232</v>
      </c>
      <c r="BZ485" s="867">
        <f t="shared" si="97"/>
        <v>36409590.791784137</v>
      </c>
      <c r="CA485" s="867">
        <f>_xlfn.MAXIFS($BY$4:$BY$12824,$S$4:$S$12824,$S485)</f>
        <v>6068265.1319640232</v>
      </c>
      <c r="CB485" s="1032"/>
      <c r="CF485" s="946">
        <f t="shared" si="99"/>
        <v>35502404.308800004</v>
      </c>
    </row>
    <row r="486" spans="1:84">
      <c r="A486" s="1032"/>
      <c r="B486" s="839" t="s">
        <v>98</v>
      </c>
      <c r="C486" s="839" t="s">
        <v>381</v>
      </c>
      <c r="D486" s="839" t="s">
        <v>1590</v>
      </c>
      <c r="E486" s="839" t="s">
        <v>1591</v>
      </c>
      <c r="F486" s="841">
        <v>45508</v>
      </c>
      <c r="G486" s="840" t="s">
        <v>381</v>
      </c>
      <c r="H486" s="842" t="s">
        <v>134</v>
      </c>
      <c r="I486" s="842"/>
      <c r="J486" s="841"/>
      <c r="K486" s="841"/>
      <c r="L486" s="843" t="s">
        <v>106</v>
      </c>
      <c r="M486" s="844" t="s">
        <v>107</v>
      </c>
      <c r="N486" s="841">
        <v>45479</v>
      </c>
      <c r="O486" s="841" t="s">
        <v>150</v>
      </c>
      <c r="P486" s="841" t="s">
        <v>151</v>
      </c>
      <c r="Q486" s="843"/>
      <c r="R486" s="845" t="s">
        <v>1725</v>
      </c>
      <c r="S486" s="1127" t="s">
        <v>1725</v>
      </c>
      <c r="T486" s="843" t="s">
        <v>1726</v>
      </c>
      <c r="U486" s="842">
        <v>6</v>
      </c>
      <c r="V486" s="842" t="s">
        <v>3</v>
      </c>
      <c r="W486" s="846">
        <v>293</v>
      </c>
      <c r="X486" s="847">
        <f t="shared" si="92"/>
        <v>1758</v>
      </c>
      <c r="Y486" s="848">
        <f t="shared" si="98"/>
        <v>0.56000000000000005</v>
      </c>
      <c r="Z486" s="849">
        <v>128.91999999999999</v>
      </c>
      <c r="AA486" s="849"/>
      <c r="AB486" s="849">
        <f t="shared" si="93"/>
        <v>773.52</v>
      </c>
      <c r="AC486" s="850">
        <f t="shared" si="94"/>
        <v>773.52</v>
      </c>
      <c r="AD486" s="851"/>
      <c r="AE486" s="852">
        <v>27222.43</v>
      </c>
      <c r="AF486" s="853">
        <v>0</v>
      </c>
      <c r="AG486" s="854">
        <f t="shared" si="95"/>
        <v>0</v>
      </c>
      <c r="AH486" s="853"/>
      <c r="AI486" s="855">
        <f t="shared" si="96"/>
        <v>0</v>
      </c>
      <c r="AJ486" s="845" t="s">
        <v>1633</v>
      </c>
      <c r="AK486" s="857">
        <v>45632</v>
      </c>
      <c r="AL486" s="840" t="s">
        <v>1634</v>
      </c>
      <c r="AM486" s="840" t="s">
        <v>1635</v>
      </c>
      <c r="AN486" s="858" t="s">
        <v>1636</v>
      </c>
      <c r="AO486" s="844"/>
      <c r="AP486" s="859">
        <v>45603</v>
      </c>
      <c r="AQ486" s="859">
        <v>45603</v>
      </c>
      <c r="AR486" s="859">
        <v>45482</v>
      </c>
      <c r="AS486" s="840"/>
      <c r="AT486" s="840" t="s">
        <v>1235</v>
      </c>
      <c r="AU486" s="860" t="s">
        <v>1602</v>
      </c>
      <c r="AV486" s="839" t="s">
        <v>1637</v>
      </c>
      <c r="AW486" s="861">
        <v>45482</v>
      </c>
      <c r="AX486" s="862"/>
      <c r="AY486" s="843"/>
      <c r="AZ486" s="842"/>
      <c r="BA486" s="842" t="s">
        <v>120</v>
      </c>
      <c r="BB486" s="863" t="s">
        <v>121</v>
      </c>
      <c r="BC486" s="864">
        <v>45547</v>
      </c>
      <c r="BD486" s="860" t="s">
        <v>1638</v>
      </c>
      <c r="BE486" s="865" cm="1">
        <f t="array" ref="BE486">IF(BD486="","",AC486/SUMPRODUCT(--(BD486=$BD$4:$BD$12824),$AC$4:$AC$12824))</f>
        <v>1.2026126881919699E-2</v>
      </c>
      <c r="BF486" s="458"/>
      <c r="BG486" s="458"/>
      <c r="BH486" s="458"/>
      <c r="BI486" s="458"/>
      <c r="BJ486" s="458"/>
      <c r="BK486" s="458"/>
      <c r="BL486" s="458"/>
      <c r="BM486" s="458"/>
      <c r="BN486" s="458"/>
      <c r="BO486" s="866">
        <f>VLOOKUP(BD486,$BD$4:$BN$12824,3,0)*BE486</f>
        <v>344644.74418205471</v>
      </c>
      <c r="BP486" s="866"/>
      <c r="BQ486" s="866"/>
      <c r="BR486" s="866">
        <f>VLOOKUP(BD486,$BD$4:$BN$12824,6,0)*BE486</f>
        <v>151003.4383105959</v>
      </c>
      <c r="BS486" s="866">
        <f>VLOOKUP(BD486,$BD$4:$BN$12824,7,0)*BE486</f>
        <v>20820.989810317038</v>
      </c>
      <c r="BT486" s="866"/>
      <c r="BU486" s="866">
        <f>VLOOKUP(BD486,$BD$4:$BN$12824,9,0)*BE486</f>
        <v>6013.0634409598497</v>
      </c>
      <c r="BV486" s="867"/>
      <c r="BW486" s="867">
        <f>VLOOKUP(BD486,$BD$4:$BN$12824,11,0)*BE486</f>
        <v>15585.860438967929</v>
      </c>
      <c r="BX486" s="1146">
        <f t="shared" si="91"/>
        <v>538068.09618289536</v>
      </c>
      <c r="BY486" s="867">
        <f t="shared" si="100"/>
        <v>3599193.6916304822</v>
      </c>
      <c r="BZ486" s="867">
        <f t="shared" si="97"/>
        <v>21595162.149782892</v>
      </c>
      <c r="CA486" s="867">
        <f>_xlfn.MAXIFS($BY$4:$BY$12824,$S$4:$S$12824,$S486)</f>
        <v>3599193.6916304822</v>
      </c>
      <c r="CB486" s="1032"/>
      <c r="CF486" s="946">
        <f t="shared" si="99"/>
        <v>21057094.053599998</v>
      </c>
    </row>
    <row r="487" spans="1:84">
      <c r="A487" s="1032"/>
      <c r="B487" s="839" t="s">
        <v>98</v>
      </c>
      <c r="C487" s="839" t="s">
        <v>381</v>
      </c>
      <c r="D487" s="839" t="s">
        <v>1590</v>
      </c>
      <c r="E487" s="839" t="s">
        <v>1591</v>
      </c>
      <c r="F487" s="841">
        <v>45508</v>
      </c>
      <c r="G487" s="840" t="s">
        <v>381</v>
      </c>
      <c r="H487" s="842" t="s">
        <v>134</v>
      </c>
      <c r="I487" s="842"/>
      <c r="J487" s="841"/>
      <c r="K487" s="841"/>
      <c r="L487" s="843" t="s">
        <v>106</v>
      </c>
      <c r="M487" s="844" t="s">
        <v>107</v>
      </c>
      <c r="N487" s="841">
        <v>45479</v>
      </c>
      <c r="O487" s="841" t="s">
        <v>150</v>
      </c>
      <c r="P487" s="841" t="s">
        <v>151</v>
      </c>
      <c r="Q487" s="843"/>
      <c r="R487" s="845" t="s">
        <v>1727</v>
      </c>
      <c r="S487" s="1127" t="s">
        <v>1727</v>
      </c>
      <c r="T487" s="843" t="s">
        <v>1728</v>
      </c>
      <c r="U487" s="842">
        <v>6</v>
      </c>
      <c r="V487" s="842" t="s">
        <v>3</v>
      </c>
      <c r="W487" s="846">
        <v>293</v>
      </c>
      <c r="X487" s="847">
        <f t="shared" si="92"/>
        <v>1758</v>
      </c>
      <c r="Y487" s="848">
        <f t="shared" si="98"/>
        <v>0.56000000000000005</v>
      </c>
      <c r="Z487" s="849">
        <v>128.91999999999999</v>
      </c>
      <c r="AA487" s="849"/>
      <c r="AB487" s="849">
        <f t="shared" si="93"/>
        <v>773.52</v>
      </c>
      <c r="AC487" s="850">
        <f t="shared" si="94"/>
        <v>773.52</v>
      </c>
      <c r="AD487" s="851"/>
      <c r="AE487" s="852">
        <v>27222.43</v>
      </c>
      <c r="AF487" s="853">
        <v>0</v>
      </c>
      <c r="AG487" s="854">
        <f t="shared" si="95"/>
        <v>0</v>
      </c>
      <c r="AH487" s="853"/>
      <c r="AI487" s="855">
        <f t="shared" si="96"/>
        <v>0</v>
      </c>
      <c r="AJ487" s="845" t="s">
        <v>1633</v>
      </c>
      <c r="AK487" s="857">
        <v>45632</v>
      </c>
      <c r="AL487" s="840" t="s">
        <v>1634</v>
      </c>
      <c r="AM487" s="840" t="s">
        <v>1635</v>
      </c>
      <c r="AN487" s="858" t="s">
        <v>1636</v>
      </c>
      <c r="AO487" s="844"/>
      <c r="AP487" s="859">
        <v>45603</v>
      </c>
      <c r="AQ487" s="859">
        <v>45603</v>
      </c>
      <c r="AR487" s="859">
        <v>45482</v>
      </c>
      <c r="AS487" s="840"/>
      <c r="AT487" s="840" t="s">
        <v>1235</v>
      </c>
      <c r="AU487" s="860" t="s">
        <v>1602</v>
      </c>
      <c r="AV487" s="839" t="s">
        <v>1637</v>
      </c>
      <c r="AW487" s="861">
        <v>45482</v>
      </c>
      <c r="AX487" s="862"/>
      <c r="AY487" s="843"/>
      <c r="AZ487" s="842"/>
      <c r="BA487" s="842" t="s">
        <v>120</v>
      </c>
      <c r="BB487" s="863" t="s">
        <v>121</v>
      </c>
      <c r="BC487" s="864">
        <v>45547</v>
      </c>
      <c r="BD487" s="860" t="s">
        <v>1638</v>
      </c>
      <c r="BE487" s="865" cm="1">
        <f t="array" ref="BE487">IF(BD487="","",AC487/SUMPRODUCT(--(BD487=$BD$4:$BD$12824),$AC$4:$AC$12824))</f>
        <v>1.2026126881919699E-2</v>
      </c>
      <c r="BF487" s="458"/>
      <c r="BG487" s="458"/>
      <c r="BH487" s="458"/>
      <c r="BI487" s="458"/>
      <c r="BJ487" s="458"/>
      <c r="BK487" s="458"/>
      <c r="BL487" s="458"/>
      <c r="BM487" s="458"/>
      <c r="BN487" s="458"/>
      <c r="BO487" s="866">
        <f>VLOOKUP(BD487,$BD$4:$BN$12824,3,0)*BE487</f>
        <v>344644.74418205471</v>
      </c>
      <c r="BP487" s="866"/>
      <c r="BQ487" s="866"/>
      <c r="BR487" s="866">
        <f>VLOOKUP(BD487,$BD$4:$BN$12824,6,0)*BE487</f>
        <v>151003.4383105959</v>
      </c>
      <c r="BS487" s="866">
        <f>VLOOKUP(BD487,$BD$4:$BN$12824,7,0)*BE487</f>
        <v>20820.989810317038</v>
      </c>
      <c r="BT487" s="866"/>
      <c r="BU487" s="866">
        <f>VLOOKUP(BD487,$BD$4:$BN$12824,9,0)*BE487</f>
        <v>6013.0634409598497</v>
      </c>
      <c r="BV487" s="867"/>
      <c r="BW487" s="867">
        <f>VLOOKUP(BD487,$BD$4:$BN$12824,11,0)*BE487</f>
        <v>15585.860438967929</v>
      </c>
      <c r="BX487" s="1146">
        <f t="shared" si="91"/>
        <v>538068.09618289536</v>
      </c>
      <c r="BY487" s="867">
        <f t="shared" si="100"/>
        <v>3599193.6916304822</v>
      </c>
      <c r="BZ487" s="867">
        <f t="shared" si="97"/>
        <v>21595162.149782892</v>
      </c>
      <c r="CA487" s="867">
        <f>_xlfn.MAXIFS($BY$4:$BY$12824,$S$4:$S$12824,$S487)</f>
        <v>3599193.6916304822</v>
      </c>
      <c r="CB487" s="1032"/>
      <c r="CF487" s="946">
        <f t="shared" si="99"/>
        <v>21057094.053599998</v>
      </c>
    </row>
    <row r="488" spans="1:84">
      <c r="A488" s="1032"/>
      <c r="B488" s="839" t="s">
        <v>98</v>
      </c>
      <c r="C488" s="839" t="s">
        <v>381</v>
      </c>
      <c r="D488" s="839" t="s">
        <v>1590</v>
      </c>
      <c r="E488" s="839" t="s">
        <v>1591</v>
      </c>
      <c r="F488" s="841">
        <v>45508</v>
      </c>
      <c r="G488" s="840" t="s">
        <v>381</v>
      </c>
      <c r="H488" s="842" t="s">
        <v>134</v>
      </c>
      <c r="I488" s="842"/>
      <c r="J488" s="841"/>
      <c r="K488" s="841"/>
      <c r="L488" s="843" t="s">
        <v>106</v>
      </c>
      <c r="M488" s="844" t="s">
        <v>107</v>
      </c>
      <c r="N488" s="841">
        <v>45479</v>
      </c>
      <c r="O488" s="841" t="s">
        <v>150</v>
      </c>
      <c r="P488" s="841" t="s">
        <v>151</v>
      </c>
      <c r="Q488" s="843"/>
      <c r="R488" s="845" t="s">
        <v>1729</v>
      </c>
      <c r="S488" s="1127" t="s">
        <v>1729</v>
      </c>
      <c r="T488" s="843" t="s">
        <v>1730</v>
      </c>
      <c r="U488" s="842">
        <v>6</v>
      </c>
      <c r="V488" s="842" t="s">
        <v>3</v>
      </c>
      <c r="W488" s="846">
        <v>293</v>
      </c>
      <c r="X488" s="847">
        <f t="shared" si="92"/>
        <v>1758</v>
      </c>
      <c r="Y488" s="848">
        <f t="shared" si="98"/>
        <v>0.56000000000000005</v>
      </c>
      <c r="Z488" s="849">
        <v>128.91999999999999</v>
      </c>
      <c r="AA488" s="849"/>
      <c r="AB488" s="849">
        <f t="shared" si="93"/>
        <v>773.52</v>
      </c>
      <c r="AC488" s="850">
        <f t="shared" si="94"/>
        <v>773.52</v>
      </c>
      <c r="AD488" s="851"/>
      <c r="AE488" s="852">
        <v>27222.43</v>
      </c>
      <c r="AF488" s="853">
        <v>0</v>
      </c>
      <c r="AG488" s="854">
        <f t="shared" si="95"/>
        <v>0</v>
      </c>
      <c r="AH488" s="853"/>
      <c r="AI488" s="855">
        <f t="shared" si="96"/>
        <v>0</v>
      </c>
      <c r="AJ488" s="845" t="s">
        <v>1633</v>
      </c>
      <c r="AK488" s="857">
        <v>45632</v>
      </c>
      <c r="AL488" s="840" t="s">
        <v>1634</v>
      </c>
      <c r="AM488" s="840" t="s">
        <v>1635</v>
      </c>
      <c r="AN488" s="858" t="s">
        <v>1636</v>
      </c>
      <c r="AO488" s="844"/>
      <c r="AP488" s="859">
        <v>45603</v>
      </c>
      <c r="AQ488" s="859">
        <v>45603</v>
      </c>
      <c r="AR488" s="859">
        <v>45482</v>
      </c>
      <c r="AS488" s="840"/>
      <c r="AT488" s="840" t="s">
        <v>1235</v>
      </c>
      <c r="AU488" s="860" t="s">
        <v>1602</v>
      </c>
      <c r="AV488" s="839" t="s">
        <v>1637</v>
      </c>
      <c r="AW488" s="861">
        <v>45482</v>
      </c>
      <c r="AX488" s="862"/>
      <c r="AY488" s="843"/>
      <c r="AZ488" s="842"/>
      <c r="BA488" s="842" t="s">
        <v>120</v>
      </c>
      <c r="BB488" s="863" t="s">
        <v>121</v>
      </c>
      <c r="BC488" s="864">
        <v>45547</v>
      </c>
      <c r="BD488" s="860" t="s">
        <v>1638</v>
      </c>
      <c r="BE488" s="865" cm="1">
        <f t="array" ref="BE488">IF(BD488="","",AC488/SUMPRODUCT(--(BD488=$BD$4:$BD$12824),$AC$4:$AC$12824))</f>
        <v>1.2026126881919699E-2</v>
      </c>
      <c r="BF488" s="458"/>
      <c r="BG488" s="458"/>
      <c r="BH488" s="458"/>
      <c r="BI488" s="458"/>
      <c r="BJ488" s="458"/>
      <c r="BK488" s="458"/>
      <c r="BL488" s="458"/>
      <c r="BM488" s="458"/>
      <c r="BN488" s="458"/>
      <c r="BO488" s="866">
        <f>VLOOKUP(BD488,$BD$4:$BN$12824,3,0)*BE488</f>
        <v>344644.74418205471</v>
      </c>
      <c r="BP488" s="866"/>
      <c r="BQ488" s="866"/>
      <c r="BR488" s="866">
        <f>VLOOKUP(BD488,$BD$4:$BN$12824,6,0)*BE488</f>
        <v>151003.4383105959</v>
      </c>
      <c r="BS488" s="866">
        <f>VLOOKUP(BD488,$BD$4:$BN$12824,7,0)*BE488</f>
        <v>20820.989810317038</v>
      </c>
      <c r="BT488" s="866"/>
      <c r="BU488" s="866">
        <f>VLOOKUP(BD488,$BD$4:$BN$12824,9,0)*BE488</f>
        <v>6013.0634409598497</v>
      </c>
      <c r="BV488" s="867"/>
      <c r="BW488" s="867">
        <f>VLOOKUP(BD488,$BD$4:$BN$12824,11,0)*BE488</f>
        <v>15585.860438967929</v>
      </c>
      <c r="BX488" s="1146">
        <f t="shared" si="91"/>
        <v>538068.09618289536</v>
      </c>
      <c r="BY488" s="867">
        <f t="shared" si="100"/>
        <v>3599193.6916304822</v>
      </c>
      <c r="BZ488" s="867">
        <f t="shared" si="97"/>
        <v>21595162.149782892</v>
      </c>
      <c r="CA488" s="867">
        <f>_xlfn.MAXIFS($BY$4:$BY$12824,$S$4:$S$12824,$S488)</f>
        <v>3599193.6916304822</v>
      </c>
      <c r="CB488" s="1032"/>
      <c r="CF488" s="946">
        <f t="shared" si="99"/>
        <v>21057094.053599998</v>
      </c>
    </row>
    <row r="489" spans="1:84">
      <c r="A489" s="1032"/>
      <c r="B489" s="839" t="s">
        <v>98</v>
      </c>
      <c r="C489" s="839" t="s">
        <v>381</v>
      </c>
      <c r="D489" s="839" t="s">
        <v>1590</v>
      </c>
      <c r="E489" s="839" t="s">
        <v>1591</v>
      </c>
      <c r="F489" s="841">
        <v>45508</v>
      </c>
      <c r="G489" s="840" t="s">
        <v>381</v>
      </c>
      <c r="H489" s="842" t="s">
        <v>134</v>
      </c>
      <c r="I489" s="842"/>
      <c r="J489" s="841"/>
      <c r="K489" s="841"/>
      <c r="L489" s="843" t="s">
        <v>106</v>
      </c>
      <c r="M489" s="844" t="s">
        <v>107</v>
      </c>
      <c r="N489" s="841">
        <v>45479</v>
      </c>
      <c r="O489" s="841" t="s">
        <v>1100</v>
      </c>
      <c r="P489" s="841" t="s">
        <v>124</v>
      </c>
      <c r="Q489" s="843"/>
      <c r="R489" s="845" t="s">
        <v>1731</v>
      </c>
      <c r="S489" s="1127" t="s">
        <v>1731</v>
      </c>
      <c r="T489" s="843" t="s">
        <v>1732</v>
      </c>
      <c r="U489" s="842">
        <v>1</v>
      </c>
      <c r="V489" s="842" t="s">
        <v>3</v>
      </c>
      <c r="W489" s="846">
        <v>100</v>
      </c>
      <c r="X489" s="847">
        <f t="shared" si="92"/>
        <v>100</v>
      </c>
      <c r="Y489" s="848">
        <f t="shared" si="98"/>
        <v>0.56000000000000005</v>
      </c>
      <c r="Z489" s="849">
        <v>44</v>
      </c>
      <c r="AA489" s="849"/>
      <c r="AB489" s="849">
        <f t="shared" si="93"/>
        <v>44</v>
      </c>
      <c r="AC489" s="850">
        <f t="shared" si="94"/>
        <v>44</v>
      </c>
      <c r="AD489" s="851"/>
      <c r="AE489" s="852">
        <v>27222.43</v>
      </c>
      <c r="AF489" s="853">
        <v>0</v>
      </c>
      <c r="AG489" s="854">
        <f t="shared" si="95"/>
        <v>0</v>
      </c>
      <c r="AH489" s="853"/>
      <c r="AI489" s="855">
        <f t="shared" si="96"/>
        <v>0</v>
      </c>
      <c r="AJ489" s="845" t="s">
        <v>1633</v>
      </c>
      <c r="AK489" s="857">
        <v>45632</v>
      </c>
      <c r="AL489" s="840" t="s">
        <v>1634</v>
      </c>
      <c r="AM489" s="840" t="s">
        <v>1635</v>
      </c>
      <c r="AN489" s="858" t="s">
        <v>1636</v>
      </c>
      <c r="AO489" s="844"/>
      <c r="AP489" s="859">
        <v>45603</v>
      </c>
      <c r="AQ489" s="859">
        <v>45603</v>
      </c>
      <c r="AR489" s="859">
        <v>45482</v>
      </c>
      <c r="AS489" s="840"/>
      <c r="AT489" s="840" t="s">
        <v>1235</v>
      </c>
      <c r="AU489" s="860" t="s">
        <v>1602</v>
      </c>
      <c r="AV489" s="839" t="s">
        <v>1637</v>
      </c>
      <c r="AW489" s="861">
        <v>45482</v>
      </c>
      <c r="AX489" s="862"/>
      <c r="AY489" s="843"/>
      <c r="AZ489" s="842"/>
      <c r="BA489" s="842" t="s">
        <v>120</v>
      </c>
      <c r="BB489" s="863" t="s">
        <v>121</v>
      </c>
      <c r="BC489" s="864">
        <v>45547</v>
      </c>
      <c r="BD489" s="860" t="s">
        <v>1638</v>
      </c>
      <c r="BE489" s="865" cm="1">
        <f t="array" ref="BE489">IF(BD489="","",AC489/SUMPRODUCT(--(BD489=$BD$4:$BD$12824),$AC$4:$AC$12824))</f>
        <v>6.8408002741295211E-4</v>
      </c>
      <c r="BF489" s="458"/>
      <c r="BG489" s="458"/>
      <c r="BH489" s="458"/>
      <c r="BI489" s="458"/>
      <c r="BJ489" s="458"/>
      <c r="BK489" s="458"/>
      <c r="BL489" s="458"/>
      <c r="BM489" s="458"/>
      <c r="BN489" s="458"/>
      <c r="BO489" s="866">
        <f>VLOOKUP(BD489,$BD$4:$BN$12824,3,0)*BE489</f>
        <v>19604.365425600383</v>
      </c>
      <c r="BP489" s="866"/>
      <c r="BQ489" s="866"/>
      <c r="BR489" s="866">
        <f>VLOOKUP(BD489,$BD$4:$BN$12824,6,0)*BE489</f>
        <v>8589.5016103865692</v>
      </c>
      <c r="BS489" s="866">
        <f>VLOOKUP(BD489,$BD$4:$BN$12824,7,0)*BE489</f>
        <v>1184.3566445004003</v>
      </c>
      <c r="BT489" s="866"/>
      <c r="BU489" s="866">
        <f>VLOOKUP(BD489,$BD$4:$BN$12824,9,0)*BE489</f>
        <v>342.04001370647603</v>
      </c>
      <c r="BV489" s="867"/>
      <c r="BW489" s="867">
        <f>VLOOKUP(BD489,$BD$4:$BN$12824,11,0)*BE489</f>
        <v>886.5677155271859</v>
      </c>
      <c r="BX489" s="1146">
        <f t="shared" si="91"/>
        <v>30606.83140972101</v>
      </c>
      <c r="BY489" s="867">
        <f t="shared" si="100"/>
        <v>1228393.7514097209</v>
      </c>
      <c r="BZ489" s="867">
        <f t="shared" si="97"/>
        <v>1228393.7514097209</v>
      </c>
      <c r="CA489" s="867">
        <f>_xlfn.MAXIFS($BY$4:$BY$12824,$S$4:$S$12824,$S489)</f>
        <v>1228393.7514097209</v>
      </c>
      <c r="CB489" s="1032"/>
      <c r="CF489" s="946">
        <f t="shared" si="99"/>
        <v>1197786.92</v>
      </c>
    </row>
    <row r="490" spans="1:84">
      <c r="A490" s="1032"/>
      <c r="B490" s="839" t="s">
        <v>98</v>
      </c>
      <c r="C490" s="839" t="s">
        <v>381</v>
      </c>
      <c r="D490" s="839" t="s">
        <v>1590</v>
      </c>
      <c r="E490" s="839" t="s">
        <v>1591</v>
      </c>
      <c r="F490" s="841">
        <v>45508</v>
      </c>
      <c r="G490" s="840" t="s">
        <v>381</v>
      </c>
      <c r="H490" s="842" t="s">
        <v>134</v>
      </c>
      <c r="I490" s="842"/>
      <c r="J490" s="841"/>
      <c r="K490" s="841"/>
      <c r="L490" s="843" t="s">
        <v>106</v>
      </c>
      <c r="M490" s="844" t="s">
        <v>107</v>
      </c>
      <c r="N490" s="841">
        <v>45479</v>
      </c>
      <c r="O490" s="841" t="s">
        <v>1100</v>
      </c>
      <c r="P490" s="841" t="s">
        <v>124</v>
      </c>
      <c r="Q490" s="843"/>
      <c r="R490" s="845" t="s">
        <v>1733</v>
      </c>
      <c r="S490" s="1127" t="s">
        <v>1733</v>
      </c>
      <c r="T490" s="843" t="s">
        <v>1734</v>
      </c>
      <c r="U490" s="842">
        <v>1</v>
      </c>
      <c r="V490" s="842" t="s">
        <v>3</v>
      </c>
      <c r="W490" s="846">
        <v>100</v>
      </c>
      <c r="X490" s="847">
        <f t="shared" si="92"/>
        <v>100</v>
      </c>
      <c r="Y490" s="848">
        <f t="shared" si="98"/>
        <v>0.56000000000000005</v>
      </c>
      <c r="Z490" s="849">
        <v>44</v>
      </c>
      <c r="AA490" s="849"/>
      <c r="AB490" s="849">
        <f t="shared" si="93"/>
        <v>44</v>
      </c>
      <c r="AC490" s="850">
        <f t="shared" si="94"/>
        <v>44</v>
      </c>
      <c r="AD490" s="851"/>
      <c r="AE490" s="852">
        <v>27222.43</v>
      </c>
      <c r="AF490" s="853">
        <v>0</v>
      </c>
      <c r="AG490" s="854">
        <f t="shared" si="95"/>
        <v>0</v>
      </c>
      <c r="AH490" s="853"/>
      <c r="AI490" s="855">
        <f t="shared" si="96"/>
        <v>0</v>
      </c>
      <c r="AJ490" s="845" t="s">
        <v>1633</v>
      </c>
      <c r="AK490" s="857">
        <v>45632</v>
      </c>
      <c r="AL490" s="840" t="s">
        <v>1634</v>
      </c>
      <c r="AM490" s="840" t="s">
        <v>1635</v>
      </c>
      <c r="AN490" s="858" t="s">
        <v>1636</v>
      </c>
      <c r="AO490" s="844"/>
      <c r="AP490" s="859">
        <v>45603</v>
      </c>
      <c r="AQ490" s="859">
        <v>45603</v>
      </c>
      <c r="AR490" s="859">
        <v>45482</v>
      </c>
      <c r="AS490" s="840"/>
      <c r="AT490" s="840" t="s">
        <v>1235</v>
      </c>
      <c r="AU490" s="860" t="s">
        <v>1602</v>
      </c>
      <c r="AV490" s="839" t="s">
        <v>1637</v>
      </c>
      <c r="AW490" s="861">
        <v>45482</v>
      </c>
      <c r="AX490" s="862"/>
      <c r="AY490" s="843"/>
      <c r="AZ490" s="842"/>
      <c r="BA490" s="842" t="s">
        <v>120</v>
      </c>
      <c r="BB490" s="863" t="s">
        <v>121</v>
      </c>
      <c r="BC490" s="864">
        <v>45547</v>
      </c>
      <c r="BD490" s="860" t="s">
        <v>1638</v>
      </c>
      <c r="BE490" s="865" cm="1">
        <f t="array" ref="BE490">IF(BD490="","",AC490/SUMPRODUCT(--(BD490=$BD$4:$BD$12824),$AC$4:$AC$12824))</f>
        <v>6.8408002741295211E-4</v>
      </c>
      <c r="BF490" s="458"/>
      <c r="BG490" s="458"/>
      <c r="BH490" s="458"/>
      <c r="BI490" s="458"/>
      <c r="BJ490" s="458"/>
      <c r="BK490" s="458"/>
      <c r="BL490" s="458"/>
      <c r="BM490" s="458"/>
      <c r="BN490" s="458"/>
      <c r="BO490" s="866">
        <f>VLOOKUP(BD490,$BD$4:$BN$12824,3,0)*BE490</f>
        <v>19604.365425600383</v>
      </c>
      <c r="BP490" s="866"/>
      <c r="BQ490" s="866"/>
      <c r="BR490" s="866">
        <f>VLOOKUP(BD490,$BD$4:$BN$12824,6,0)*BE490</f>
        <v>8589.5016103865692</v>
      </c>
      <c r="BS490" s="866">
        <f>VLOOKUP(BD490,$BD$4:$BN$12824,7,0)*BE490</f>
        <v>1184.3566445004003</v>
      </c>
      <c r="BT490" s="866"/>
      <c r="BU490" s="866">
        <f>VLOOKUP(BD490,$BD$4:$BN$12824,9,0)*BE490</f>
        <v>342.04001370647603</v>
      </c>
      <c r="BV490" s="867"/>
      <c r="BW490" s="867">
        <f>VLOOKUP(BD490,$BD$4:$BN$12824,11,0)*BE490</f>
        <v>886.5677155271859</v>
      </c>
      <c r="BX490" s="1146">
        <f t="shared" si="91"/>
        <v>30606.83140972101</v>
      </c>
      <c r="BY490" s="867">
        <f t="shared" si="100"/>
        <v>1228393.7514097209</v>
      </c>
      <c r="BZ490" s="867">
        <f t="shared" si="97"/>
        <v>1228393.7514097209</v>
      </c>
      <c r="CA490" s="867">
        <f>_xlfn.MAXIFS($BY$4:$BY$12824,$S$4:$S$12824,$S490)</f>
        <v>1228393.7514097209</v>
      </c>
      <c r="CB490" s="1032"/>
      <c r="CF490" s="946">
        <f t="shared" si="99"/>
        <v>1197786.92</v>
      </c>
    </row>
    <row r="491" spans="1:84">
      <c r="A491" s="1032"/>
      <c r="B491" s="839" t="s">
        <v>98</v>
      </c>
      <c r="C491" s="839" t="s">
        <v>273</v>
      </c>
      <c r="D491" s="839" t="s">
        <v>1735</v>
      </c>
      <c r="E491" s="839" t="s">
        <v>1736</v>
      </c>
      <c r="F491" s="841">
        <v>45439</v>
      </c>
      <c r="G491" s="840" t="s">
        <v>273</v>
      </c>
      <c r="H491" s="842" t="s">
        <v>134</v>
      </c>
      <c r="I491" s="842"/>
      <c r="J491" s="841"/>
      <c r="K491" s="841"/>
      <c r="L491" s="843" t="s">
        <v>1622</v>
      </c>
      <c r="M491" s="844" t="s">
        <v>275</v>
      </c>
      <c r="N491" s="841"/>
      <c r="O491" s="841" t="s">
        <v>150</v>
      </c>
      <c r="P491" s="841" t="s">
        <v>276</v>
      </c>
      <c r="Q491" s="843"/>
      <c r="R491" s="845" t="s">
        <v>664</v>
      </c>
      <c r="S491" s="1127" t="s">
        <v>664</v>
      </c>
      <c r="T491" s="843" t="s">
        <v>1737</v>
      </c>
      <c r="U491" s="842">
        <v>2</v>
      </c>
      <c r="V491" s="842" t="s">
        <v>3</v>
      </c>
      <c r="W491" s="846">
        <v>1412.22</v>
      </c>
      <c r="X491" s="847">
        <f t="shared" si="92"/>
        <v>2824.44</v>
      </c>
      <c r="Y491" s="848">
        <f t="shared" si="98"/>
        <v>0.5499992918950305</v>
      </c>
      <c r="Z491" s="849">
        <v>635.5</v>
      </c>
      <c r="AA491" s="849"/>
      <c r="AB491" s="849">
        <f t="shared" si="93"/>
        <v>1271</v>
      </c>
      <c r="AC491" s="850">
        <f t="shared" si="94"/>
        <v>1271</v>
      </c>
      <c r="AD491" s="851"/>
      <c r="AE491" s="852">
        <v>26647.05</v>
      </c>
      <c r="AF491" s="853">
        <v>0.1</v>
      </c>
      <c r="AG491" s="854">
        <f t="shared" si="95"/>
        <v>3390198.8079569936</v>
      </c>
      <c r="AH491" s="853"/>
      <c r="AI491" s="855">
        <f t="shared" si="96"/>
        <v>0</v>
      </c>
      <c r="AJ491" s="845" t="s">
        <v>1738</v>
      </c>
      <c r="AK491" s="857" t="s">
        <v>1739</v>
      </c>
      <c r="AL491" s="840" t="s">
        <v>1740</v>
      </c>
      <c r="AM491" s="840"/>
      <c r="AN491" s="858"/>
      <c r="AO491" s="844" t="s">
        <v>1741</v>
      </c>
      <c r="AP491" s="859">
        <v>45481</v>
      </c>
      <c r="AQ491" s="859">
        <v>45451</v>
      </c>
      <c r="AR491" s="859" t="s">
        <v>1742</v>
      </c>
      <c r="AS491" s="840" t="s">
        <v>1284</v>
      </c>
      <c r="AT491" s="840" t="s">
        <v>1743</v>
      </c>
      <c r="AU491" s="860" t="s">
        <v>1210</v>
      </c>
      <c r="AV491" s="839" t="s">
        <v>1744</v>
      </c>
      <c r="AW491" s="861">
        <v>45552</v>
      </c>
      <c r="AX491" s="862" t="s">
        <v>1745</v>
      </c>
      <c r="AY491" s="843"/>
      <c r="AZ491" s="842">
        <v>94031000</v>
      </c>
      <c r="BA491" s="842" t="s">
        <v>120</v>
      </c>
      <c r="BB491" s="863" t="s">
        <v>121</v>
      </c>
      <c r="BC491" s="864">
        <v>45555</v>
      </c>
      <c r="BD491" s="860" t="s">
        <v>1746</v>
      </c>
      <c r="BE491" s="865" cm="1">
        <f t="array" ref="BE491">IF(BD491="","",AC491/SUMPRODUCT(--(BD491=$BD$4:$BD$12824),$AC$4:$AC$12824))</f>
        <v>1.6993566644797425E-2</v>
      </c>
      <c r="BF491" s="458">
        <f>SUM(BP491:BP545)+SUM(BQ491:BQ545)</f>
        <v>0</v>
      </c>
      <c r="BG491" s="458"/>
      <c r="BH491" s="458"/>
      <c r="BI491" s="458">
        <v>14128157</v>
      </c>
      <c r="BJ491" s="458">
        <v>1976485</v>
      </c>
      <c r="BK491" s="458"/>
      <c r="BL491" s="458">
        <f>84795+40000</f>
        <v>124795</v>
      </c>
      <c r="BM491" s="458"/>
      <c r="BN491" s="458"/>
      <c r="BO491" s="866">
        <f>VLOOKUP(BD491,$BD$4:$BN$12824,3,0)*BE491</f>
        <v>0</v>
      </c>
      <c r="BP491" s="866"/>
      <c r="BQ491" s="866"/>
      <c r="BR491" s="866">
        <f>VLOOKUP(BD491,$BD$4:$BN$12824,6,0)*BE491</f>
        <v>240087.77754766127</v>
      </c>
      <c r="BS491" s="866">
        <f>VLOOKUP(BD491,$BD$4:$BN$12824,7,0)*BE491</f>
        <v>33587.529569942439</v>
      </c>
      <c r="BT491" s="866"/>
      <c r="BU491" s="866">
        <f>VLOOKUP(BD491,$BD$4:$BN$12824,9,0)*BE491</f>
        <v>2120.7121494374946</v>
      </c>
      <c r="BV491" s="867"/>
      <c r="BW491" s="867">
        <f>VLOOKUP(BD491,$BD$4:$BN$12824,11,0)*BE491</f>
        <v>0</v>
      </c>
      <c r="BX491" s="1146">
        <f t="shared" ref="BX491:BX545" si="101">SUM(BO491:BW491)</f>
        <v>275796.01926704124</v>
      </c>
      <c r="BY491" s="867">
        <f t="shared" si="100"/>
        <v>18767197.688612014</v>
      </c>
      <c r="BZ491" s="867">
        <f t="shared" si="97"/>
        <v>37534395.377224028</v>
      </c>
      <c r="CA491" s="867">
        <f>_xlfn.MAXIFS($BY$4:$BY$12824,$S$4:$S$12824,$S491)</f>
        <v>18767197.688612014</v>
      </c>
      <c r="CB491" s="1032"/>
      <c r="CF491" s="946">
        <f t="shared" si="99"/>
        <v>33868400.549999997</v>
      </c>
    </row>
    <row r="492" spans="1:84">
      <c r="A492" s="1032"/>
      <c r="B492" s="839" t="s">
        <v>98</v>
      </c>
      <c r="C492" s="839" t="s">
        <v>273</v>
      </c>
      <c r="D492" s="839" t="s">
        <v>1735</v>
      </c>
      <c r="E492" s="839" t="s">
        <v>1736</v>
      </c>
      <c r="F492" s="841">
        <v>45439</v>
      </c>
      <c r="G492" s="840" t="s">
        <v>273</v>
      </c>
      <c r="H492" s="842" t="s">
        <v>134</v>
      </c>
      <c r="I492" s="842"/>
      <c r="J492" s="841"/>
      <c r="K492" s="841"/>
      <c r="L492" s="843" t="s">
        <v>1622</v>
      </c>
      <c r="M492" s="844" t="s">
        <v>275</v>
      </c>
      <c r="N492" s="841"/>
      <c r="O492" s="841" t="s">
        <v>150</v>
      </c>
      <c r="P492" s="841" t="s">
        <v>276</v>
      </c>
      <c r="Q492" s="843"/>
      <c r="R492" s="845" t="s">
        <v>662</v>
      </c>
      <c r="S492" s="1127" t="s">
        <v>662</v>
      </c>
      <c r="T492" s="843" t="s">
        <v>1747</v>
      </c>
      <c r="U492" s="842">
        <v>2</v>
      </c>
      <c r="V492" s="842" t="s">
        <v>3</v>
      </c>
      <c r="W492" s="846">
        <v>1412.22</v>
      </c>
      <c r="X492" s="847">
        <f t="shared" si="92"/>
        <v>2824.44</v>
      </c>
      <c r="Y492" s="848">
        <f t="shared" si="98"/>
        <v>0.5499992918950305</v>
      </c>
      <c r="Z492" s="849">
        <v>635.5</v>
      </c>
      <c r="AA492" s="849"/>
      <c r="AB492" s="849">
        <f t="shared" si="93"/>
        <v>1271</v>
      </c>
      <c r="AC492" s="850">
        <f t="shared" si="94"/>
        <v>1271</v>
      </c>
      <c r="AD492" s="851"/>
      <c r="AE492" s="852">
        <v>26647.05</v>
      </c>
      <c r="AF492" s="853">
        <v>0.1</v>
      </c>
      <c r="AG492" s="854">
        <f t="shared" si="95"/>
        <v>3390198.8079569936</v>
      </c>
      <c r="AH492" s="853"/>
      <c r="AI492" s="855">
        <f t="shared" si="96"/>
        <v>0</v>
      </c>
      <c r="AJ492" s="845" t="s">
        <v>1738</v>
      </c>
      <c r="AK492" s="857" t="s">
        <v>1739</v>
      </c>
      <c r="AL492" s="840" t="s">
        <v>1740</v>
      </c>
      <c r="AM492" s="840"/>
      <c r="AN492" s="858"/>
      <c r="AO492" s="844" t="s">
        <v>1741</v>
      </c>
      <c r="AP492" s="859">
        <v>45481</v>
      </c>
      <c r="AQ492" s="859">
        <v>45451</v>
      </c>
      <c r="AR492" s="859" t="s">
        <v>1742</v>
      </c>
      <c r="AS492" s="840" t="s">
        <v>1284</v>
      </c>
      <c r="AT492" s="840" t="s">
        <v>1743</v>
      </c>
      <c r="AU492" s="860" t="s">
        <v>1210</v>
      </c>
      <c r="AV492" s="839" t="s">
        <v>1744</v>
      </c>
      <c r="AW492" s="861">
        <v>45552</v>
      </c>
      <c r="AX492" s="862" t="s">
        <v>1745</v>
      </c>
      <c r="AY492" s="843"/>
      <c r="AZ492" s="842">
        <v>94031000</v>
      </c>
      <c r="BA492" s="842" t="s">
        <v>120</v>
      </c>
      <c r="BB492" s="863" t="s">
        <v>121</v>
      </c>
      <c r="BC492" s="864">
        <v>45555</v>
      </c>
      <c r="BD492" s="860" t="s">
        <v>1746</v>
      </c>
      <c r="BE492" s="865" cm="1">
        <f t="array" ref="BE492">IF(BD492="","",AC492/SUMPRODUCT(--(BD492=$BD$4:$BD$12824),$AC$4:$AC$12824))</f>
        <v>1.6993566644797425E-2</v>
      </c>
      <c r="BF492" s="458"/>
      <c r="BG492" s="458"/>
      <c r="BH492" s="458"/>
      <c r="BI492" s="458"/>
      <c r="BJ492" s="458"/>
      <c r="BK492" s="458"/>
      <c r="BL492" s="458"/>
      <c r="BM492" s="458"/>
      <c r="BN492" s="458"/>
      <c r="BO492" s="866">
        <f>VLOOKUP(BD492,$BD$4:$BN$12824,3,0)*BE492</f>
        <v>0</v>
      </c>
      <c r="BP492" s="866"/>
      <c r="BQ492" s="866"/>
      <c r="BR492" s="866">
        <f>VLOOKUP(BD492,$BD$4:$BN$12824,6,0)*BE492</f>
        <v>240087.77754766127</v>
      </c>
      <c r="BS492" s="866">
        <f>VLOOKUP(BD492,$BD$4:$BN$12824,7,0)*BE492</f>
        <v>33587.529569942439</v>
      </c>
      <c r="BT492" s="866"/>
      <c r="BU492" s="866">
        <f>VLOOKUP(BD492,$BD$4:$BN$12824,9,0)*BE492</f>
        <v>2120.7121494374946</v>
      </c>
      <c r="BV492" s="867"/>
      <c r="BW492" s="867">
        <f>VLOOKUP(BD492,$BD$4:$BN$12824,11,0)*BE492</f>
        <v>0</v>
      </c>
      <c r="BX492" s="1146">
        <f t="shared" si="101"/>
        <v>275796.01926704124</v>
      </c>
      <c r="BY492" s="867">
        <f t="shared" si="100"/>
        <v>18767197.688612014</v>
      </c>
      <c r="BZ492" s="867">
        <f t="shared" si="97"/>
        <v>37534395.377224028</v>
      </c>
      <c r="CA492" s="867">
        <f>_xlfn.MAXIFS($BY$4:$BY$12824,$S$4:$S$12824,$S492)</f>
        <v>18767197.688612014</v>
      </c>
      <c r="CB492" s="1032"/>
      <c r="CF492" s="946">
        <f t="shared" si="99"/>
        <v>33868400.549999997</v>
      </c>
    </row>
    <row r="493" spans="1:84">
      <c r="A493" s="1032"/>
      <c r="B493" s="839" t="s">
        <v>98</v>
      </c>
      <c r="C493" s="839" t="s">
        <v>273</v>
      </c>
      <c r="D493" s="839" t="s">
        <v>1735</v>
      </c>
      <c r="E493" s="839" t="s">
        <v>1736</v>
      </c>
      <c r="F493" s="841">
        <v>45439</v>
      </c>
      <c r="G493" s="840" t="s">
        <v>273</v>
      </c>
      <c r="H493" s="842" t="s">
        <v>134</v>
      </c>
      <c r="I493" s="842"/>
      <c r="J493" s="841"/>
      <c r="K493" s="841"/>
      <c r="L493" s="843" t="s">
        <v>1622</v>
      </c>
      <c r="M493" s="844" t="s">
        <v>275</v>
      </c>
      <c r="N493" s="841"/>
      <c r="O493" s="841" t="s">
        <v>150</v>
      </c>
      <c r="P493" s="841" t="s">
        <v>276</v>
      </c>
      <c r="Q493" s="843"/>
      <c r="R493" s="845" t="s">
        <v>670</v>
      </c>
      <c r="S493" s="1127" t="s">
        <v>670</v>
      </c>
      <c r="T493" s="843" t="s">
        <v>1748</v>
      </c>
      <c r="U493" s="842">
        <v>2</v>
      </c>
      <c r="V493" s="842" t="s">
        <v>3</v>
      </c>
      <c r="W493" s="846">
        <v>2233.14</v>
      </c>
      <c r="X493" s="847">
        <f t="shared" si="92"/>
        <v>4466.28</v>
      </c>
      <c r="Y493" s="848">
        <f t="shared" si="98"/>
        <v>0.55000582139946441</v>
      </c>
      <c r="Z493" s="849">
        <v>1004.9</v>
      </c>
      <c r="AA493" s="849"/>
      <c r="AB493" s="849">
        <f t="shared" si="93"/>
        <v>2009.8</v>
      </c>
      <c r="AC493" s="850">
        <f t="shared" si="94"/>
        <v>2009.8</v>
      </c>
      <c r="AD493" s="851"/>
      <c r="AE493" s="852">
        <v>26647.05</v>
      </c>
      <c r="AF493" s="853">
        <v>0.1</v>
      </c>
      <c r="AG493" s="854">
        <f t="shared" si="95"/>
        <v>5360835.2196947029</v>
      </c>
      <c r="AH493" s="853"/>
      <c r="AI493" s="855">
        <f t="shared" si="96"/>
        <v>0</v>
      </c>
      <c r="AJ493" s="845" t="s">
        <v>1738</v>
      </c>
      <c r="AK493" s="857" t="s">
        <v>1739</v>
      </c>
      <c r="AL493" s="840" t="s">
        <v>1740</v>
      </c>
      <c r="AM493" s="840"/>
      <c r="AN493" s="858"/>
      <c r="AO493" s="844" t="s">
        <v>1741</v>
      </c>
      <c r="AP493" s="859">
        <v>45481</v>
      </c>
      <c r="AQ493" s="859">
        <v>45451</v>
      </c>
      <c r="AR493" s="859" t="s">
        <v>1742</v>
      </c>
      <c r="AS493" s="840" t="s">
        <v>1284</v>
      </c>
      <c r="AT493" s="840" t="s">
        <v>1743</v>
      </c>
      <c r="AU493" s="860" t="s">
        <v>1210</v>
      </c>
      <c r="AV493" s="839" t="s">
        <v>1744</v>
      </c>
      <c r="AW493" s="861">
        <v>45552</v>
      </c>
      <c r="AX493" s="862" t="s">
        <v>1745</v>
      </c>
      <c r="AY493" s="843"/>
      <c r="AZ493" s="842">
        <v>94031000</v>
      </c>
      <c r="BA493" s="842" t="s">
        <v>120</v>
      </c>
      <c r="BB493" s="863" t="s">
        <v>121</v>
      </c>
      <c r="BC493" s="864">
        <v>45555</v>
      </c>
      <c r="BD493" s="860" t="s">
        <v>1746</v>
      </c>
      <c r="BE493" s="865" cm="1">
        <f t="array" ref="BE493">IF(BD493="","",AC493/SUMPRODUCT(--(BD493=$BD$4:$BD$12824),$AC$4:$AC$12824))</f>
        <v>2.6871495076879515E-2</v>
      </c>
      <c r="BF493" s="458"/>
      <c r="BG493" s="458"/>
      <c r="BH493" s="458"/>
      <c r="BI493" s="458"/>
      <c r="BJ493" s="458"/>
      <c r="BK493" s="458"/>
      <c r="BL493" s="458"/>
      <c r="BM493" s="458"/>
      <c r="BN493" s="458"/>
      <c r="BO493" s="866">
        <f>VLOOKUP(BD493,$BD$4:$BN$12824,3,0)*BE493</f>
        <v>0</v>
      </c>
      <c r="BP493" s="866"/>
      <c r="BQ493" s="866"/>
      <c r="BR493" s="866">
        <f>VLOOKUP(BD493,$BD$4:$BN$12824,6,0)*BE493</f>
        <v>379644.70127088088</v>
      </c>
      <c r="BS493" s="866">
        <f>VLOOKUP(BD493,$BD$4:$BN$12824,7,0)*BE493</f>
        <v>53111.106947026208</v>
      </c>
      <c r="BT493" s="866"/>
      <c r="BU493" s="866">
        <f>VLOOKUP(BD493,$BD$4:$BN$12824,9,0)*BE493</f>
        <v>3353.428228119179</v>
      </c>
      <c r="BV493" s="867"/>
      <c r="BW493" s="867">
        <f>VLOOKUP(BD493,$BD$4:$BN$12824,11,0)*BE493</f>
        <v>0</v>
      </c>
      <c r="BX493" s="1146">
        <f t="shared" si="101"/>
        <v>436109.23644602625</v>
      </c>
      <c r="BY493" s="867">
        <f t="shared" si="100"/>
        <v>29676092.773070361</v>
      </c>
      <c r="BZ493" s="867">
        <f t="shared" si="97"/>
        <v>59352185.546140723</v>
      </c>
      <c r="CA493" s="867">
        <f>_xlfn.MAXIFS($BY$4:$BY$12824,$S$4:$S$12824,$S493)</f>
        <v>29676092.773070361</v>
      </c>
      <c r="CB493" s="1032"/>
      <c r="CF493" s="946">
        <f t="shared" si="99"/>
        <v>53555241.089999996</v>
      </c>
    </row>
    <row r="494" spans="1:84">
      <c r="A494" s="1032"/>
      <c r="B494" s="839" t="s">
        <v>98</v>
      </c>
      <c r="C494" s="839" t="s">
        <v>273</v>
      </c>
      <c r="D494" s="839" t="s">
        <v>1735</v>
      </c>
      <c r="E494" s="839" t="s">
        <v>1736</v>
      </c>
      <c r="F494" s="841">
        <v>45439</v>
      </c>
      <c r="G494" s="840" t="s">
        <v>273</v>
      </c>
      <c r="H494" s="842" t="s">
        <v>134</v>
      </c>
      <c r="I494" s="842"/>
      <c r="J494" s="841"/>
      <c r="K494" s="841"/>
      <c r="L494" s="843" t="s">
        <v>1622</v>
      </c>
      <c r="M494" s="844" t="s">
        <v>275</v>
      </c>
      <c r="N494" s="841"/>
      <c r="O494" s="841" t="s">
        <v>150</v>
      </c>
      <c r="P494" s="841" t="s">
        <v>276</v>
      </c>
      <c r="Q494" s="843"/>
      <c r="R494" s="845" t="s">
        <v>1749</v>
      </c>
      <c r="S494" s="1127" t="s">
        <v>1749</v>
      </c>
      <c r="T494" s="843" t="s">
        <v>1750</v>
      </c>
      <c r="U494" s="842">
        <v>2</v>
      </c>
      <c r="V494" s="842" t="s">
        <v>3</v>
      </c>
      <c r="W494" s="846">
        <v>2233.14</v>
      </c>
      <c r="X494" s="847">
        <f t="shared" si="92"/>
        <v>4466.28</v>
      </c>
      <c r="Y494" s="848">
        <f t="shared" si="98"/>
        <v>0.55000582139946441</v>
      </c>
      <c r="Z494" s="849">
        <v>1004.9</v>
      </c>
      <c r="AA494" s="849"/>
      <c r="AB494" s="849">
        <f t="shared" si="93"/>
        <v>2009.8</v>
      </c>
      <c r="AC494" s="850">
        <f t="shared" si="94"/>
        <v>2009.8</v>
      </c>
      <c r="AD494" s="851"/>
      <c r="AE494" s="852">
        <v>26647.05</v>
      </c>
      <c r="AF494" s="853">
        <v>0.1</v>
      </c>
      <c r="AG494" s="854">
        <f t="shared" si="95"/>
        <v>5360835.2196947029</v>
      </c>
      <c r="AH494" s="853"/>
      <c r="AI494" s="855">
        <f t="shared" si="96"/>
        <v>0</v>
      </c>
      <c r="AJ494" s="845" t="s">
        <v>1738</v>
      </c>
      <c r="AK494" s="857" t="s">
        <v>1739</v>
      </c>
      <c r="AL494" s="840" t="s">
        <v>1740</v>
      </c>
      <c r="AM494" s="840"/>
      <c r="AN494" s="858"/>
      <c r="AO494" s="844" t="s">
        <v>1741</v>
      </c>
      <c r="AP494" s="859">
        <v>45481</v>
      </c>
      <c r="AQ494" s="859">
        <v>45451</v>
      </c>
      <c r="AR494" s="859" t="s">
        <v>1742</v>
      </c>
      <c r="AS494" s="840" t="s">
        <v>1284</v>
      </c>
      <c r="AT494" s="840" t="s">
        <v>1743</v>
      </c>
      <c r="AU494" s="860" t="s">
        <v>1210</v>
      </c>
      <c r="AV494" s="839" t="s">
        <v>1744</v>
      </c>
      <c r="AW494" s="861">
        <v>45552</v>
      </c>
      <c r="AX494" s="862" t="s">
        <v>1745</v>
      </c>
      <c r="AY494" s="843"/>
      <c r="AZ494" s="842">
        <v>94031000</v>
      </c>
      <c r="BA494" s="842" t="s">
        <v>120</v>
      </c>
      <c r="BB494" s="863" t="s">
        <v>121</v>
      </c>
      <c r="BC494" s="864">
        <v>45555</v>
      </c>
      <c r="BD494" s="860" t="s">
        <v>1746</v>
      </c>
      <c r="BE494" s="865" cm="1">
        <f t="array" ref="BE494">IF(BD494="","",AC494/SUMPRODUCT(--(BD494=$BD$4:$BD$12824),$AC$4:$AC$12824))</f>
        <v>2.6871495076879515E-2</v>
      </c>
      <c r="BF494" s="458"/>
      <c r="BG494" s="458"/>
      <c r="BH494" s="458"/>
      <c r="BI494" s="458"/>
      <c r="BJ494" s="458"/>
      <c r="BK494" s="458"/>
      <c r="BL494" s="458"/>
      <c r="BM494" s="458"/>
      <c r="BN494" s="458"/>
      <c r="BO494" s="866">
        <f>VLOOKUP(BD494,$BD$4:$BN$12824,3,0)*BE494</f>
        <v>0</v>
      </c>
      <c r="BP494" s="866"/>
      <c r="BQ494" s="866"/>
      <c r="BR494" s="866">
        <f>VLOOKUP(BD494,$BD$4:$BN$12824,6,0)*BE494</f>
        <v>379644.70127088088</v>
      </c>
      <c r="BS494" s="866">
        <f>VLOOKUP(BD494,$BD$4:$BN$12824,7,0)*BE494</f>
        <v>53111.106947026208</v>
      </c>
      <c r="BT494" s="866"/>
      <c r="BU494" s="866">
        <f>VLOOKUP(BD494,$BD$4:$BN$12824,9,0)*BE494</f>
        <v>3353.428228119179</v>
      </c>
      <c r="BV494" s="867"/>
      <c r="BW494" s="867">
        <f>VLOOKUP(BD494,$BD$4:$BN$12824,11,0)*BE494</f>
        <v>0</v>
      </c>
      <c r="BX494" s="1146">
        <f t="shared" si="101"/>
        <v>436109.23644602625</v>
      </c>
      <c r="BY494" s="867">
        <f t="shared" si="100"/>
        <v>29676092.773070361</v>
      </c>
      <c r="BZ494" s="867">
        <f t="shared" si="97"/>
        <v>59352185.546140723</v>
      </c>
      <c r="CA494" s="867">
        <f>_xlfn.MAXIFS($BY$4:$BY$12824,$S$4:$S$12824,$S494)</f>
        <v>29676092.773070361</v>
      </c>
      <c r="CB494" s="1032"/>
      <c r="CF494" s="946">
        <f t="shared" si="99"/>
        <v>53555241.089999996</v>
      </c>
    </row>
    <row r="495" spans="1:84">
      <c r="A495" s="1032"/>
      <c r="B495" s="839" t="s">
        <v>98</v>
      </c>
      <c r="C495" s="839" t="s">
        <v>273</v>
      </c>
      <c r="D495" s="839" t="s">
        <v>1735</v>
      </c>
      <c r="E495" s="839" t="s">
        <v>1736</v>
      </c>
      <c r="F495" s="841">
        <v>45439</v>
      </c>
      <c r="G495" s="840" t="s">
        <v>273</v>
      </c>
      <c r="H495" s="842" t="s">
        <v>134</v>
      </c>
      <c r="I495" s="842"/>
      <c r="J495" s="841"/>
      <c r="K495" s="841"/>
      <c r="L495" s="843" t="s">
        <v>1622</v>
      </c>
      <c r="M495" s="844" t="s">
        <v>275</v>
      </c>
      <c r="N495" s="841"/>
      <c r="O495" s="841" t="s">
        <v>150</v>
      </c>
      <c r="P495" s="841" t="s">
        <v>276</v>
      </c>
      <c r="Q495" s="843"/>
      <c r="R495" s="845" t="s">
        <v>1751</v>
      </c>
      <c r="S495" s="1127" t="s">
        <v>1751</v>
      </c>
      <c r="T495" s="843" t="s">
        <v>1752</v>
      </c>
      <c r="U495" s="842">
        <v>2</v>
      </c>
      <c r="V495" s="842" t="s">
        <v>3</v>
      </c>
      <c r="W495" s="846">
        <v>1945.04</v>
      </c>
      <c r="X495" s="847">
        <f t="shared" si="92"/>
        <v>3890.08</v>
      </c>
      <c r="Y495" s="848">
        <f t="shared" si="98"/>
        <v>0.5499835478961872</v>
      </c>
      <c r="Z495" s="849">
        <v>875.3</v>
      </c>
      <c r="AA495" s="849"/>
      <c r="AB495" s="849">
        <f t="shared" si="93"/>
        <v>1750.6</v>
      </c>
      <c r="AC495" s="850">
        <f t="shared" si="94"/>
        <v>1750.6</v>
      </c>
      <c r="AD495" s="851"/>
      <c r="AE495" s="852">
        <v>26647.05</v>
      </c>
      <c r="AF495" s="853">
        <v>0.1</v>
      </c>
      <c r="AG495" s="854">
        <f t="shared" si="95"/>
        <v>4669458.7200704282</v>
      </c>
      <c r="AH495" s="853"/>
      <c r="AI495" s="855">
        <f t="shared" si="96"/>
        <v>0</v>
      </c>
      <c r="AJ495" s="845" t="s">
        <v>1738</v>
      </c>
      <c r="AK495" s="857" t="s">
        <v>1739</v>
      </c>
      <c r="AL495" s="840" t="s">
        <v>1740</v>
      </c>
      <c r="AM495" s="840"/>
      <c r="AN495" s="858"/>
      <c r="AO495" s="844" t="s">
        <v>1741</v>
      </c>
      <c r="AP495" s="859">
        <v>45481</v>
      </c>
      <c r="AQ495" s="859">
        <v>45451</v>
      </c>
      <c r="AR495" s="859" t="s">
        <v>1742</v>
      </c>
      <c r="AS495" s="840" t="s">
        <v>1284</v>
      </c>
      <c r="AT495" s="840" t="s">
        <v>1743</v>
      </c>
      <c r="AU495" s="860" t="s">
        <v>1210</v>
      </c>
      <c r="AV495" s="839" t="s">
        <v>1744</v>
      </c>
      <c r="AW495" s="861">
        <v>45552</v>
      </c>
      <c r="AX495" s="862" t="s">
        <v>1745</v>
      </c>
      <c r="AY495" s="843"/>
      <c r="AZ495" s="842">
        <v>94031000</v>
      </c>
      <c r="BA495" s="842" t="s">
        <v>120</v>
      </c>
      <c r="BB495" s="863" t="s">
        <v>121</v>
      </c>
      <c r="BC495" s="864">
        <v>45555</v>
      </c>
      <c r="BD495" s="860" t="s">
        <v>1746</v>
      </c>
      <c r="BE495" s="865" cm="1">
        <f t="array" ref="BE495">IF(BD495="","",AC495/SUMPRODUCT(--(BD495=$BD$4:$BD$12824),$AC$4:$AC$12824))</f>
        <v>2.3405930580946005E-2</v>
      </c>
      <c r="BF495" s="458"/>
      <c r="BG495" s="458"/>
      <c r="BH495" s="458"/>
      <c r="BI495" s="458"/>
      <c r="BJ495" s="458"/>
      <c r="BK495" s="458"/>
      <c r="BL495" s="458"/>
      <c r="BM495" s="458"/>
      <c r="BN495" s="458"/>
      <c r="BO495" s="866">
        <f>VLOOKUP(BD495,$BD$4:$BN$12824,3,0)*BE495</f>
        <v>0</v>
      </c>
      <c r="BP495" s="866"/>
      <c r="BQ495" s="866"/>
      <c r="BR495" s="866">
        <f>VLOOKUP(BD495,$BD$4:$BN$12824,6,0)*BE495</f>
        <v>330682.66197870637</v>
      </c>
      <c r="BS495" s="866">
        <f>VLOOKUP(BD495,$BD$4:$BN$12824,7,0)*BE495</f>
        <v>46261.470704281062</v>
      </c>
      <c r="BT495" s="866"/>
      <c r="BU495" s="866">
        <f>VLOOKUP(BD495,$BD$4:$BN$12824,9,0)*BE495</f>
        <v>2920.9431068491567</v>
      </c>
      <c r="BV495" s="867"/>
      <c r="BW495" s="867">
        <f>VLOOKUP(BD495,$BD$4:$BN$12824,11,0)*BE495</f>
        <v>0</v>
      </c>
      <c r="BX495" s="1146">
        <f t="shared" si="101"/>
        <v>379865.07578983658</v>
      </c>
      <c r="BY495" s="867">
        <f t="shared" si="100"/>
        <v>25848824.762930132</v>
      </c>
      <c r="BZ495" s="867">
        <f t="shared" si="97"/>
        <v>51697649.525860265</v>
      </c>
      <c r="CA495" s="867">
        <f>_xlfn.MAXIFS($BY$4:$BY$12824,$S$4:$S$12824,$S495)</f>
        <v>25848824.762930132</v>
      </c>
      <c r="CB495" s="1032"/>
      <c r="CF495" s="946">
        <f t="shared" si="99"/>
        <v>46648325.729999997</v>
      </c>
    </row>
    <row r="496" spans="1:84">
      <c r="A496" s="1032"/>
      <c r="B496" s="839" t="s">
        <v>98</v>
      </c>
      <c r="C496" s="839" t="s">
        <v>273</v>
      </c>
      <c r="D496" s="839" t="s">
        <v>1735</v>
      </c>
      <c r="E496" s="839" t="s">
        <v>1736</v>
      </c>
      <c r="F496" s="841">
        <v>45439</v>
      </c>
      <c r="G496" s="840" t="s">
        <v>273</v>
      </c>
      <c r="H496" s="842" t="s">
        <v>134</v>
      </c>
      <c r="I496" s="842"/>
      <c r="J496" s="841"/>
      <c r="K496" s="841"/>
      <c r="L496" s="843" t="s">
        <v>1622</v>
      </c>
      <c r="M496" s="844" t="s">
        <v>275</v>
      </c>
      <c r="N496" s="841"/>
      <c r="O496" s="841" t="s">
        <v>150</v>
      </c>
      <c r="P496" s="841" t="s">
        <v>276</v>
      </c>
      <c r="Q496" s="843"/>
      <c r="R496" s="845" t="s">
        <v>307</v>
      </c>
      <c r="S496" s="1127" t="s">
        <v>307</v>
      </c>
      <c r="T496" s="843" t="s">
        <v>1753</v>
      </c>
      <c r="U496" s="842">
        <v>2</v>
      </c>
      <c r="V496" s="842" t="s">
        <v>3</v>
      </c>
      <c r="W496" s="846">
        <v>1945.04</v>
      </c>
      <c r="X496" s="847">
        <f t="shared" si="92"/>
        <v>3890.08</v>
      </c>
      <c r="Y496" s="848">
        <f t="shared" si="98"/>
        <v>0.5499835478961872</v>
      </c>
      <c r="Z496" s="849">
        <v>875.3</v>
      </c>
      <c r="AA496" s="849"/>
      <c r="AB496" s="849">
        <f t="shared" si="93"/>
        <v>1750.6</v>
      </c>
      <c r="AC496" s="850">
        <f t="shared" si="94"/>
        <v>1750.6</v>
      </c>
      <c r="AD496" s="851"/>
      <c r="AE496" s="852">
        <v>26647.05</v>
      </c>
      <c r="AF496" s="853">
        <v>0.1</v>
      </c>
      <c r="AG496" s="854">
        <f t="shared" si="95"/>
        <v>4669458.7200704282</v>
      </c>
      <c r="AH496" s="853"/>
      <c r="AI496" s="855">
        <f t="shared" si="96"/>
        <v>0</v>
      </c>
      <c r="AJ496" s="845" t="s">
        <v>1738</v>
      </c>
      <c r="AK496" s="857" t="s">
        <v>1739</v>
      </c>
      <c r="AL496" s="840" t="s">
        <v>1740</v>
      </c>
      <c r="AM496" s="840"/>
      <c r="AN496" s="858"/>
      <c r="AO496" s="844" t="s">
        <v>1741</v>
      </c>
      <c r="AP496" s="859">
        <v>45481</v>
      </c>
      <c r="AQ496" s="859">
        <v>45451</v>
      </c>
      <c r="AR496" s="859" t="s">
        <v>1742</v>
      </c>
      <c r="AS496" s="840" t="s">
        <v>1284</v>
      </c>
      <c r="AT496" s="840" t="s">
        <v>1743</v>
      </c>
      <c r="AU496" s="860" t="s">
        <v>1210</v>
      </c>
      <c r="AV496" s="839" t="s">
        <v>1744</v>
      </c>
      <c r="AW496" s="861">
        <v>45552</v>
      </c>
      <c r="AX496" s="862" t="s">
        <v>1745</v>
      </c>
      <c r="AY496" s="843"/>
      <c r="AZ496" s="842">
        <v>94031000</v>
      </c>
      <c r="BA496" s="842" t="s">
        <v>120</v>
      </c>
      <c r="BB496" s="863" t="s">
        <v>121</v>
      </c>
      <c r="BC496" s="864">
        <v>45555</v>
      </c>
      <c r="BD496" s="860" t="s">
        <v>1746</v>
      </c>
      <c r="BE496" s="865" cm="1">
        <f t="array" ref="BE496">IF(BD496="","",AC496/SUMPRODUCT(--(BD496=$BD$4:$BD$12824),$AC$4:$AC$12824))</f>
        <v>2.3405930580946005E-2</v>
      </c>
      <c r="BF496" s="458"/>
      <c r="BG496" s="458"/>
      <c r="BH496" s="458"/>
      <c r="BI496" s="458"/>
      <c r="BJ496" s="458"/>
      <c r="BK496" s="458"/>
      <c r="BL496" s="458"/>
      <c r="BM496" s="458"/>
      <c r="BN496" s="458"/>
      <c r="BO496" s="866">
        <f>VLOOKUP(BD496,$BD$4:$BN$12824,3,0)*BE496</f>
        <v>0</v>
      </c>
      <c r="BP496" s="866"/>
      <c r="BQ496" s="866"/>
      <c r="BR496" s="866">
        <f>VLOOKUP(BD496,$BD$4:$BN$12824,6,0)*BE496</f>
        <v>330682.66197870637</v>
      </c>
      <c r="BS496" s="866">
        <f>VLOOKUP(BD496,$BD$4:$BN$12824,7,0)*BE496</f>
        <v>46261.470704281062</v>
      </c>
      <c r="BT496" s="866"/>
      <c r="BU496" s="866">
        <f>VLOOKUP(BD496,$BD$4:$BN$12824,9,0)*BE496</f>
        <v>2920.9431068491567</v>
      </c>
      <c r="BV496" s="867"/>
      <c r="BW496" s="867">
        <f>VLOOKUP(BD496,$BD$4:$BN$12824,11,0)*BE496</f>
        <v>0</v>
      </c>
      <c r="BX496" s="1146">
        <f t="shared" si="101"/>
        <v>379865.07578983658</v>
      </c>
      <c r="BY496" s="867">
        <f t="shared" si="100"/>
        <v>25848824.762930132</v>
      </c>
      <c r="BZ496" s="867">
        <f t="shared" si="97"/>
        <v>51697649.525860265</v>
      </c>
      <c r="CA496" s="867">
        <f>_xlfn.MAXIFS($BY$4:$BY$12824,$S$4:$S$12824,$S496)</f>
        <v>25848824.762930132</v>
      </c>
      <c r="CB496" s="1032"/>
      <c r="CF496" s="946">
        <f t="shared" si="99"/>
        <v>46648325.729999997</v>
      </c>
    </row>
    <row r="497" spans="1:84">
      <c r="A497" s="1032"/>
      <c r="B497" s="839" t="s">
        <v>98</v>
      </c>
      <c r="C497" s="839" t="s">
        <v>273</v>
      </c>
      <c r="D497" s="839" t="s">
        <v>1735</v>
      </c>
      <c r="E497" s="839" t="s">
        <v>1736</v>
      </c>
      <c r="F497" s="841">
        <v>45439</v>
      </c>
      <c r="G497" s="840" t="s">
        <v>273</v>
      </c>
      <c r="H497" s="842" t="s">
        <v>134</v>
      </c>
      <c r="I497" s="842"/>
      <c r="J497" s="841"/>
      <c r="K497" s="841"/>
      <c r="L497" s="843" t="s">
        <v>1622</v>
      </c>
      <c r="M497" s="844" t="s">
        <v>275</v>
      </c>
      <c r="N497" s="841"/>
      <c r="O497" s="841" t="s">
        <v>150</v>
      </c>
      <c r="P497" s="841" t="s">
        <v>276</v>
      </c>
      <c r="Q497" s="843"/>
      <c r="R497" s="845" t="s">
        <v>702</v>
      </c>
      <c r="S497" s="1127" t="s">
        <v>702</v>
      </c>
      <c r="T497" s="843" t="s">
        <v>1754</v>
      </c>
      <c r="U497" s="842">
        <v>2</v>
      </c>
      <c r="V497" s="842" t="s">
        <v>3</v>
      </c>
      <c r="W497" s="846">
        <v>2873.87</v>
      </c>
      <c r="X497" s="847">
        <f t="shared" si="92"/>
        <v>5747.74</v>
      </c>
      <c r="Y497" s="848">
        <f t="shared" si="98"/>
        <v>0.55001444045833658</v>
      </c>
      <c r="Z497" s="849">
        <v>1293.2</v>
      </c>
      <c r="AA497" s="849"/>
      <c r="AB497" s="849">
        <f t="shared" si="93"/>
        <v>2586.4</v>
      </c>
      <c r="AC497" s="850">
        <f t="shared" si="94"/>
        <v>2586.4</v>
      </c>
      <c r="AD497" s="851"/>
      <c r="AE497" s="852">
        <v>26647.05</v>
      </c>
      <c r="AF497" s="853">
        <v>0.1</v>
      </c>
      <c r="AG497" s="854">
        <f t="shared" si="95"/>
        <v>6898827.8496459248</v>
      </c>
      <c r="AH497" s="853"/>
      <c r="AI497" s="855">
        <f t="shared" si="96"/>
        <v>0</v>
      </c>
      <c r="AJ497" s="845" t="s">
        <v>1738</v>
      </c>
      <c r="AK497" s="857" t="s">
        <v>1739</v>
      </c>
      <c r="AL497" s="840" t="s">
        <v>1740</v>
      </c>
      <c r="AM497" s="840"/>
      <c r="AN497" s="858"/>
      <c r="AO497" s="844" t="s">
        <v>1741</v>
      </c>
      <c r="AP497" s="859">
        <v>45481</v>
      </c>
      <c r="AQ497" s="859">
        <v>45451</v>
      </c>
      <c r="AR497" s="859" t="s">
        <v>1742</v>
      </c>
      <c r="AS497" s="840" t="s">
        <v>1284</v>
      </c>
      <c r="AT497" s="840" t="s">
        <v>1743</v>
      </c>
      <c r="AU497" s="860" t="s">
        <v>1210</v>
      </c>
      <c r="AV497" s="839" t="s">
        <v>1744</v>
      </c>
      <c r="AW497" s="861">
        <v>45552</v>
      </c>
      <c r="AX497" s="862" t="s">
        <v>1745</v>
      </c>
      <c r="AY497" s="843"/>
      <c r="AZ497" s="842">
        <v>94031000</v>
      </c>
      <c r="BA497" s="842" t="s">
        <v>120</v>
      </c>
      <c r="BB497" s="863" t="s">
        <v>121</v>
      </c>
      <c r="BC497" s="864">
        <v>45555</v>
      </c>
      <c r="BD497" s="860" t="s">
        <v>1746</v>
      </c>
      <c r="BE497" s="865" cm="1">
        <f t="array" ref="BE497">IF(BD497="","",AC497/SUMPRODUCT(--(BD497=$BD$4:$BD$12824),$AC$4:$AC$12824))</f>
        <v>3.4580771652324205E-2</v>
      </c>
      <c r="BF497" s="458"/>
      <c r="BG497" s="458"/>
      <c r="BH497" s="458"/>
      <c r="BI497" s="458"/>
      <c r="BJ497" s="458"/>
      <c r="BK497" s="458"/>
      <c r="BL497" s="458"/>
      <c r="BM497" s="458"/>
      <c r="BN497" s="458"/>
      <c r="BO497" s="866">
        <f>VLOOKUP(BD497,$BD$4:$BN$12824,3,0)*BE497</f>
        <v>0</v>
      </c>
      <c r="BP497" s="866"/>
      <c r="BQ497" s="866"/>
      <c r="BR497" s="866">
        <f>VLOOKUP(BD497,$BD$4:$BN$12824,6,0)*BE497</f>
        <v>488562.5710851858</v>
      </c>
      <c r="BS497" s="866">
        <f>VLOOKUP(BD497,$BD$4:$BN$12824,7,0)*BE497</f>
        <v>68348.376459244013</v>
      </c>
      <c r="BT497" s="866"/>
      <c r="BU497" s="866">
        <f>VLOOKUP(BD497,$BD$4:$BN$12824,9,0)*BE497</f>
        <v>4315.5073983517996</v>
      </c>
      <c r="BV497" s="867"/>
      <c r="BW497" s="867">
        <f>VLOOKUP(BD497,$BD$4:$BN$12824,11,0)*BE497</f>
        <v>0</v>
      </c>
      <c r="BX497" s="1146">
        <f t="shared" si="101"/>
        <v>561226.45494278159</v>
      </c>
      <c r="BY497" s="867">
        <f t="shared" si="100"/>
        <v>38189992.212294355</v>
      </c>
      <c r="BZ497" s="867">
        <f t="shared" si="97"/>
        <v>76379984.42458871</v>
      </c>
      <c r="CA497" s="867">
        <f>_xlfn.MAXIFS($BY$4:$BY$12824,$S$4:$S$12824,$S497)</f>
        <v>38189992.212294355</v>
      </c>
      <c r="CB497" s="1032"/>
      <c r="CF497" s="946">
        <f t="shared" si="99"/>
        <v>68919930.120000005</v>
      </c>
    </row>
    <row r="498" spans="1:84">
      <c r="A498" s="1032"/>
      <c r="B498" s="839" t="s">
        <v>98</v>
      </c>
      <c r="C498" s="839" t="s">
        <v>273</v>
      </c>
      <c r="D498" s="839" t="s">
        <v>1735</v>
      </c>
      <c r="E498" s="839" t="s">
        <v>1736</v>
      </c>
      <c r="F498" s="841">
        <v>45439</v>
      </c>
      <c r="G498" s="840" t="s">
        <v>273</v>
      </c>
      <c r="H498" s="842" t="s">
        <v>134</v>
      </c>
      <c r="I498" s="842"/>
      <c r="J498" s="841"/>
      <c r="K498" s="841"/>
      <c r="L498" s="843" t="s">
        <v>1622</v>
      </c>
      <c r="M498" s="844" t="s">
        <v>275</v>
      </c>
      <c r="N498" s="841"/>
      <c r="O498" s="841" t="s">
        <v>150</v>
      </c>
      <c r="P498" s="841" t="s">
        <v>276</v>
      </c>
      <c r="Q498" s="843"/>
      <c r="R498" s="845" t="s">
        <v>1095</v>
      </c>
      <c r="S498" s="1127" t="s">
        <v>1095</v>
      </c>
      <c r="T498" s="843" t="s">
        <v>1755</v>
      </c>
      <c r="U498" s="842">
        <v>2</v>
      </c>
      <c r="V498" s="842" t="s">
        <v>3</v>
      </c>
      <c r="W498" s="846">
        <v>2873.87</v>
      </c>
      <c r="X498" s="847">
        <f t="shared" si="92"/>
        <v>5747.74</v>
      </c>
      <c r="Y498" s="848">
        <f t="shared" si="98"/>
        <v>0.55001444045833658</v>
      </c>
      <c r="Z498" s="849">
        <v>1293.2</v>
      </c>
      <c r="AA498" s="849"/>
      <c r="AB498" s="849">
        <f t="shared" si="93"/>
        <v>2586.4</v>
      </c>
      <c r="AC498" s="850">
        <f t="shared" si="94"/>
        <v>2586.4</v>
      </c>
      <c r="AD498" s="851"/>
      <c r="AE498" s="852">
        <v>26647.05</v>
      </c>
      <c r="AF498" s="853">
        <v>0.1</v>
      </c>
      <c r="AG498" s="854">
        <f t="shared" si="95"/>
        <v>6898827.8496459248</v>
      </c>
      <c r="AH498" s="853"/>
      <c r="AI498" s="855">
        <f t="shared" si="96"/>
        <v>0</v>
      </c>
      <c r="AJ498" s="845" t="s">
        <v>1738</v>
      </c>
      <c r="AK498" s="857" t="s">
        <v>1739</v>
      </c>
      <c r="AL498" s="840" t="s">
        <v>1740</v>
      </c>
      <c r="AM498" s="840"/>
      <c r="AN498" s="858"/>
      <c r="AO498" s="844" t="s">
        <v>1741</v>
      </c>
      <c r="AP498" s="859">
        <v>45481</v>
      </c>
      <c r="AQ498" s="859">
        <v>45451</v>
      </c>
      <c r="AR498" s="859" t="s">
        <v>1742</v>
      </c>
      <c r="AS498" s="840" t="s">
        <v>1284</v>
      </c>
      <c r="AT498" s="840" t="s">
        <v>1743</v>
      </c>
      <c r="AU498" s="860" t="s">
        <v>1210</v>
      </c>
      <c r="AV498" s="839" t="s">
        <v>1744</v>
      </c>
      <c r="AW498" s="861">
        <v>45552</v>
      </c>
      <c r="AX498" s="862" t="s">
        <v>1745</v>
      </c>
      <c r="AY498" s="843"/>
      <c r="AZ498" s="842">
        <v>94031000</v>
      </c>
      <c r="BA498" s="842" t="s">
        <v>120</v>
      </c>
      <c r="BB498" s="863" t="s">
        <v>121</v>
      </c>
      <c r="BC498" s="864">
        <v>45555</v>
      </c>
      <c r="BD498" s="860" t="s">
        <v>1746</v>
      </c>
      <c r="BE498" s="865" cm="1">
        <f t="array" ref="BE498">IF(BD498="","",AC498/SUMPRODUCT(--(BD498=$BD$4:$BD$12824),$AC$4:$AC$12824))</f>
        <v>3.4580771652324205E-2</v>
      </c>
      <c r="BF498" s="458"/>
      <c r="BG498" s="458"/>
      <c r="BH498" s="458"/>
      <c r="BI498" s="458"/>
      <c r="BJ498" s="458"/>
      <c r="BK498" s="458"/>
      <c r="BL498" s="458"/>
      <c r="BM498" s="458"/>
      <c r="BN498" s="458"/>
      <c r="BO498" s="866">
        <f>VLOOKUP(BD498,$BD$4:$BN$12824,3,0)*BE498</f>
        <v>0</v>
      </c>
      <c r="BP498" s="866"/>
      <c r="BQ498" s="866"/>
      <c r="BR498" s="866">
        <f>VLOOKUP(BD498,$BD$4:$BN$12824,6,0)*BE498</f>
        <v>488562.5710851858</v>
      </c>
      <c r="BS498" s="866">
        <f>VLOOKUP(BD498,$BD$4:$BN$12824,7,0)*BE498</f>
        <v>68348.376459244013</v>
      </c>
      <c r="BT498" s="866"/>
      <c r="BU498" s="866">
        <f>VLOOKUP(BD498,$BD$4:$BN$12824,9,0)*BE498</f>
        <v>4315.5073983517996</v>
      </c>
      <c r="BV498" s="867"/>
      <c r="BW498" s="867">
        <f>VLOOKUP(BD498,$BD$4:$BN$12824,11,0)*BE498</f>
        <v>0</v>
      </c>
      <c r="BX498" s="1146">
        <f t="shared" si="101"/>
        <v>561226.45494278159</v>
      </c>
      <c r="BY498" s="867">
        <f t="shared" si="100"/>
        <v>38189992.212294355</v>
      </c>
      <c r="BZ498" s="867">
        <f t="shared" si="97"/>
        <v>76379984.42458871</v>
      </c>
      <c r="CA498" s="867">
        <f>_xlfn.MAXIFS($BY$4:$BY$12824,$S$4:$S$12824,$S498)</f>
        <v>51288509.34594956</v>
      </c>
      <c r="CB498" s="1032"/>
      <c r="CF498" s="946">
        <f t="shared" si="99"/>
        <v>68919930.120000005</v>
      </c>
    </row>
    <row r="499" spans="1:84">
      <c r="A499" s="1032"/>
      <c r="B499" s="839" t="s">
        <v>98</v>
      </c>
      <c r="C499" s="839" t="s">
        <v>273</v>
      </c>
      <c r="D499" s="839" t="s">
        <v>1735</v>
      </c>
      <c r="E499" s="839" t="s">
        <v>1736</v>
      </c>
      <c r="F499" s="841">
        <v>45439</v>
      </c>
      <c r="G499" s="840" t="s">
        <v>273</v>
      </c>
      <c r="H499" s="842" t="s">
        <v>134</v>
      </c>
      <c r="I499" s="842"/>
      <c r="J499" s="841"/>
      <c r="K499" s="841"/>
      <c r="L499" s="843" t="s">
        <v>1622</v>
      </c>
      <c r="M499" s="844" t="s">
        <v>275</v>
      </c>
      <c r="N499" s="841"/>
      <c r="O499" s="841" t="s">
        <v>150</v>
      </c>
      <c r="P499" s="841" t="s">
        <v>276</v>
      </c>
      <c r="Q499" s="843"/>
      <c r="R499" s="845" t="s">
        <v>708</v>
      </c>
      <c r="S499" s="1127" t="s">
        <v>708</v>
      </c>
      <c r="T499" s="843" t="s">
        <v>1756</v>
      </c>
      <c r="U499" s="842">
        <v>2</v>
      </c>
      <c r="V499" s="842" t="s">
        <v>3</v>
      </c>
      <c r="W499" s="846">
        <v>2873.87</v>
      </c>
      <c r="X499" s="847">
        <f t="shared" si="92"/>
        <v>5747.74</v>
      </c>
      <c r="Y499" s="848">
        <f t="shared" si="98"/>
        <v>0.55001444045833658</v>
      </c>
      <c r="Z499" s="849">
        <v>1293.2</v>
      </c>
      <c r="AA499" s="849"/>
      <c r="AB499" s="849">
        <f t="shared" si="93"/>
        <v>2586.4</v>
      </c>
      <c r="AC499" s="850">
        <f t="shared" si="94"/>
        <v>2586.4</v>
      </c>
      <c r="AD499" s="851"/>
      <c r="AE499" s="852">
        <v>26647.05</v>
      </c>
      <c r="AF499" s="853">
        <v>0.1</v>
      </c>
      <c r="AG499" s="854">
        <f t="shared" si="95"/>
        <v>6898827.8496459248</v>
      </c>
      <c r="AH499" s="853"/>
      <c r="AI499" s="855">
        <f t="shared" si="96"/>
        <v>0</v>
      </c>
      <c r="AJ499" s="845" t="s">
        <v>1738</v>
      </c>
      <c r="AK499" s="857" t="s">
        <v>1739</v>
      </c>
      <c r="AL499" s="840" t="s">
        <v>1740</v>
      </c>
      <c r="AM499" s="840"/>
      <c r="AN499" s="858"/>
      <c r="AO499" s="844" t="s">
        <v>1741</v>
      </c>
      <c r="AP499" s="859">
        <v>45481</v>
      </c>
      <c r="AQ499" s="859">
        <v>45451</v>
      </c>
      <c r="AR499" s="859" t="s">
        <v>1742</v>
      </c>
      <c r="AS499" s="840" t="s">
        <v>1284</v>
      </c>
      <c r="AT499" s="840" t="s">
        <v>1743</v>
      </c>
      <c r="AU499" s="860" t="s">
        <v>1210</v>
      </c>
      <c r="AV499" s="839" t="s">
        <v>1744</v>
      </c>
      <c r="AW499" s="861">
        <v>45552</v>
      </c>
      <c r="AX499" s="862" t="s">
        <v>1745</v>
      </c>
      <c r="AY499" s="843"/>
      <c r="AZ499" s="842">
        <v>94031000</v>
      </c>
      <c r="BA499" s="842" t="s">
        <v>120</v>
      </c>
      <c r="BB499" s="863" t="s">
        <v>121</v>
      </c>
      <c r="BC499" s="864">
        <v>45555</v>
      </c>
      <c r="BD499" s="860" t="s">
        <v>1746</v>
      </c>
      <c r="BE499" s="865" cm="1">
        <f t="array" ref="BE499">IF(BD499="","",AC499/SUMPRODUCT(--(BD499=$BD$4:$BD$12824),$AC$4:$AC$12824))</f>
        <v>3.4580771652324205E-2</v>
      </c>
      <c r="BF499" s="458"/>
      <c r="BG499" s="458"/>
      <c r="BH499" s="458"/>
      <c r="BI499" s="458"/>
      <c r="BJ499" s="458"/>
      <c r="BK499" s="458"/>
      <c r="BL499" s="458"/>
      <c r="BM499" s="458"/>
      <c r="BN499" s="458"/>
      <c r="BO499" s="866">
        <f>VLOOKUP(BD499,$BD$4:$BN$12824,3,0)*BE499</f>
        <v>0</v>
      </c>
      <c r="BP499" s="866"/>
      <c r="BQ499" s="866"/>
      <c r="BR499" s="866">
        <f>VLOOKUP(BD499,$BD$4:$BN$12824,6,0)*BE499</f>
        <v>488562.5710851858</v>
      </c>
      <c r="BS499" s="866">
        <f>VLOOKUP(BD499,$BD$4:$BN$12824,7,0)*BE499</f>
        <v>68348.376459244013</v>
      </c>
      <c r="BT499" s="866"/>
      <c r="BU499" s="866">
        <f>VLOOKUP(BD499,$BD$4:$BN$12824,9,0)*BE499</f>
        <v>4315.5073983517996</v>
      </c>
      <c r="BV499" s="867"/>
      <c r="BW499" s="867">
        <f>VLOOKUP(BD499,$BD$4:$BN$12824,11,0)*BE499</f>
        <v>0</v>
      </c>
      <c r="BX499" s="1146">
        <f t="shared" si="101"/>
        <v>561226.45494278159</v>
      </c>
      <c r="BY499" s="867">
        <f t="shared" si="100"/>
        <v>38189992.212294355</v>
      </c>
      <c r="BZ499" s="867">
        <f t="shared" si="97"/>
        <v>76379984.42458871</v>
      </c>
      <c r="CA499" s="867">
        <f>_xlfn.MAXIFS($BY$4:$BY$12824,$S$4:$S$12824,$S499)</f>
        <v>38189992.212294355</v>
      </c>
      <c r="CB499" s="1032"/>
      <c r="CF499" s="946">
        <f t="shared" si="99"/>
        <v>68919930.120000005</v>
      </c>
    </row>
    <row r="500" spans="1:84">
      <c r="A500" s="1032"/>
      <c r="B500" s="839" t="s">
        <v>98</v>
      </c>
      <c r="C500" s="839" t="s">
        <v>273</v>
      </c>
      <c r="D500" s="839" t="s">
        <v>1735</v>
      </c>
      <c r="E500" s="839" t="s">
        <v>1736</v>
      </c>
      <c r="F500" s="841">
        <v>45439</v>
      </c>
      <c r="G500" s="840" t="s">
        <v>273</v>
      </c>
      <c r="H500" s="842" t="s">
        <v>134</v>
      </c>
      <c r="I500" s="842"/>
      <c r="J500" s="841"/>
      <c r="K500" s="841"/>
      <c r="L500" s="843" t="s">
        <v>1622</v>
      </c>
      <c r="M500" s="844" t="s">
        <v>275</v>
      </c>
      <c r="N500" s="841"/>
      <c r="O500" s="841" t="s">
        <v>150</v>
      </c>
      <c r="P500" s="841" t="s">
        <v>276</v>
      </c>
      <c r="Q500" s="843"/>
      <c r="R500" s="845" t="s">
        <v>706</v>
      </c>
      <c r="S500" s="1127" t="s">
        <v>706</v>
      </c>
      <c r="T500" s="843" t="s">
        <v>1757</v>
      </c>
      <c r="U500" s="842">
        <v>2</v>
      </c>
      <c r="V500" s="842" t="s">
        <v>3</v>
      </c>
      <c r="W500" s="846">
        <v>2873.87</v>
      </c>
      <c r="X500" s="847">
        <f t="shared" si="92"/>
        <v>5747.74</v>
      </c>
      <c r="Y500" s="848">
        <f t="shared" si="98"/>
        <v>0.55001444045833658</v>
      </c>
      <c r="Z500" s="849">
        <v>1293.2</v>
      </c>
      <c r="AA500" s="849"/>
      <c r="AB500" s="849">
        <f t="shared" si="93"/>
        <v>2586.4</v>
      </c>
      <c r="AC500" s="850">
        <f t="shared" si="94"/>
        <v>2586.4</v>
      </c>
      <c r="AD500" s="851"/>
      <c r="AE500" s="852">
        <v>26647.05</v>
      </c>
      <c r="AF500" s="853">
        <v>0.1</v>
      </c>
      <c r="AG500" s="854">
        <f t="shared" si="95"/>
        <v>6898827.8496459248</v>
      </c>
      <c r="AH500" s="853"/>
      <c r="AI500" s="855">
        <f t="shared" si="96"/>
        <v>0</v>
      </c>
      <c r="AJ500" s="845" t="s">
        <v>1738</v>
      </c>
      <c r="AK500" s="857" t="s">
        <v>1739</v>
      </c>
      <c r="AL500" s="840" t="s">
        <v>1740</v>
      </c>
      <c r="AM500" s="840"/>
      <c r="AN500" s="858"/>
      <c r="AO500" s="844" t="s">
        <v>1741</v>
      </c>
      <c r="AP500" s="859">
        <v>45481</v>
      </c>
      <c r="AQ500" s="859">
        <v>45451</v>
      </c>
      <c r="AR500" s="859" t="s">
        <v>1742</v>
      </c>
      <c r="AS500" s="840" t="s">
        <v>1284</v>
      </c>
      <c r="AT500" s="840" t="s">
        <v>1743</v>
      </c>
      <c r="AU500" s="860" t="s">
        <v>1210</v>
      </c>
      <c r="AV500" s="839" t="s">
        <v>1744</v>
      </c>
      <c r="AW500" s="861">
        <v>45552</v>
      </c>
      <c r="AX500" s="862" t="s">
        <v>1745</v>
      </c>
      <c r="AY500" s="843"/>
      <c r="AZ500" s="842">
        <v>94031000</v>
      </c>
      <c r="BA500" s="842" t="s">
        <v>120</v>
      </c>
      <c r="BB500" s="863" t="s">
        <v>121</v>
      </c>
      <c r="BC500" s="864">
        <v>45555</v>
      </c>
      <c r="BD500" s="860" t="s">
        <v>1746</v>
      </c>
      <c r="BE500" s="865" cm="1">
        <f t="array" ref="BE500">IF(BD500="","",AC500/SUMPRODUCT(--(BD500=$BD$4:$BD$12824),$AC$4:$AC$12824))</f>
        <v>3.4580771652324205E-2</v>
      </c>
      <c r="BF500" s="458"/>
      <c r="BG500" s="458"/>
      <c r="BH500" s="458"/>
      <c r="BI500" s="458"/>
      <c r="BJ500" s="458"/>
      <c r="BK500" s="458"/>
      <c r="BL500" s="458"/>
      <c r="BM500" s="458"/>
      <c r="BN500" s="458"/>
      <c r="BO500" s="866">
        <f>VLOOKUP(BD500,$BD$4:$BN$12824,3,0)*BE500</f>
        <v>0</v>
      </c>
      <c r="BP500" s="866"/>
      <c r="BQ500" s="866"/>
      <c r="BR500" s="866">
        <f>VLOOKUP(BD500,$BD$4:$BN$12824,6,0)*BE500</f>
        <v>488562.5710851858</v>
      </c>
      <c r="BS500" s="866">
        <f>VLOOKUP(BD500,$BD$4:$BN$12824,7,0)*BE500</f>
        <v>68348.376459244013</v>
      </c>
      <c r="BT500" s="866"/>
      <c r="BU500" s="866">
        <f>VLOOKUP(BD500,$BD$4:$BN$12824,9,0)*BE500</f>
        <v>4315.5073983517996</v>
      </c>
      <c r="BV500" s="867"/>
      <c r="BW500" s="867">
        <f>VLOOKUP(BD500,$BD$4:$BN$12824,11,0)*BE500</f>
        <v>0</v>
      </c>
      <c r="BX500" s="1146">
        <f t="shared" si="101"/>
        <v>561226.45494278159</v>
      </c>
      <c r="BY500" s="867">
        <f t="shared" si="100"/>
        <v>38189992.212294355</v>
      </c>
      <c r="BZ500" s="867">
        <f t="shared" si="97"/>
        <v>76379984.42458871</v>
      </c>
      <c r="CA500" s="867">
        <f>_xlfn.MAXIFS($BY$4:$BY$12824,$S$4:$S$12824,$S500)</f>
        <v>38189992.212294355</v>
      </c>
      <c r="CB500" s="1032"/>
      <c r="CF500" s="946">
        <f t="shared" si="99"/>
        <v>68919930.120000005</v>
      </c>
    </row>
    <row r="501" spans="1:84">
      <c r="A501" s="1032"/>
      <c r="B501" s="839" t="s">
        <v>98</v>
      </c>
      <c r="C501" s="839" t="s">
        <v>273</v>
      </c>
      <c r="D501" s="839" t="s">
        <v>1735</v>
      </c>
      <c r="E501" s="839" t="s">
        <v>1736</v>
      </c>
      <c r="F501" s="841">
        <v>45439</v>
      </c>
      <c r="G501" s="840" t="s">
        <v>273</v>
      </c>
      <c r="H501" s="842" t="s">
        <v>134</v>
      </c>
      <c r="I501" s="842"/>
      <c r="J501" s="841"/>
      <c r="K501" s="841"/>
      <c r="L501" s="843" t="s">
        <v>1622</v>
      </c>
      <c r="M501" s="844" t="s">
        <v>275</v>
      </c>
      <c r="N501" s="841"/>
      <c r="O501" s="841" t="s">
        <v>150</v>
      </c>
      <c r="P501" s="841" t="s">
        <v>276</v>
      </c>
      <c r="Q501" s="843"/>
      <c r="R501" s="845" t="s">
        <v>704</v>
      </c>
      <c r="S501" s="1127" t="s">
        <v>704</v>
      </c>
      <c r="T501" s="843" t="s">
        <v>1758</v>
      </c>
      <c r="U501" s="842">
        <v>2</v>
      </c>
      <c r="V501" s="842" t="s">
        <v>3</v>
      </c>
      <c r="W501" s="846">
        <v>2873.87</v>
      </c>
      <c r="X501" s="847">
        <f t="shared" si="92"/>
        <v>5747.74</v>
      </c>
      <c r="Y501" s="848">
        <f t="shared" si="98"/>
        <v>0.55001444045833658</v>
      </c>
      <c r="Z501" s="849">
        <v>1293.2</v>
      </c>
      <c r="AA501" s="849"/>
      <c r="AB501" s="849">
        <f t="shared" si="93"/>
        <v>2586.4</v>
      </c>
      <c r="AC501" s="850">
        <f t="shared" si="94"/>
        <v>2586.4</v>
      </c>
      <c r="AD501" s="851"/>
      <c r="AE501" s="852">
        <v>26647.05</v>
      </c>
      <c r="AF501" s="853">
        <v>0.1</v>
      </c>
      <c r="AG501" s="854">
        <f t="shared" si="95"/>
        <v>6898827.8496459248</v>
      </c>
      <c r="AH501" s="853"/>
      <c r="AI501" s="855">
        <f t="shared" si="96"/>
        <v>0</v>
      </c>
      <c r="AJ501" s="845" t="s">
        <v>1738</v>
      </c>
      <c r="AK501" s="857" t="s">
        <v>1739</v>
      </c>
      <c r="AL501" s="840" t="s">
        <v>1740</v>
      </c>
      <c r="AM501" s="840"/>
      <c r="AN501" s="858"/>
      <c r="AO501" s="844" t="s">
        <v>1741</v>
      </c>
      <c r="AP501" s="859">
        <v>45481</v>
      </c>
      <c r="AQ501" s="859">
        <v>45451</v>
      </c>
      <c r="AR501" s="859" t="s">
        <v>1742</v>
      </c>
      <c r="AS501" s="840" t="s">
        <v>1284</v>
      </c>
      <c r="AT501" s="840" t="s">
        <v>1743</v>
      </c>
      <c r="AU501" s="860" t="s">
        <v>1210</v>
      </c>
      <c r="AV501" s="839" t="s">
        <v>1744</v>
      </c>
      <c r="AW501" s="861">
        <v>45552</v>
      </c>
      <c r="AX501" s="862" t="s">
        <v>1745</v>
      </c>
      <c r="AY501" s="843"/>
      <c r="AZ501" s="842">
        <v>94031000</v>
      </c>
      <c r="BA501" s="842" t="s">
        <v>120</v>
      </c>
      <c r="BB501" s="863" t="s">
        <v>121</v>
      </c>
      <c r="BC501" s="864">
        <v>45555</v>
      </c>
      <c r="BD501" s="860" t="s">
        <v>1746</v>
      </c>
      <c r="BE501" s="865" cm="1">
        <f t="array" ref="BE501">IF(BD501="","",AC501/SUMPRODUCT(--(BD501=$BD$4:$BD$12824),$AC$4:$AC$12824))</f>
        <v>3.4580771652324205E-2</v>
      </c>
      <c r="BF501" s="458"/>
      <c r="BG501" s="458"/>
      <c r="BH501" s="458"/>
      <c r="BI501" s="458"/>
      <c r="BJ501" s="458"/>
      <c r="BK501" s="458"/>
      <c r="BL501" s="458"/>
      <c r="BM501" s="458"/>
      <c r="BN501" s="458"/>
      <c r="BO501" s="866">
        <f>VLOOKUP(BD501,$BD$4:$BN$12824,3,0)*BE501</f>
        <v>0</v>
      </c>
      <c r="BP501" s="866"/>
      <c r="BQ501" s="866"/>
      <c r="BR501" s="866">
        <f>VLOOKUP(BD501,$BD$4:$BN$12824,6,0)*BE501</f>
        <v>488562.5710851858</v>
      </c>
      <c r="BS501" s="866">
        <f>VLOOKUP(BD501,$BD$4:$BN$12824,7,0)*BE501</f>
        <v>68348.376459244013</v>
      </c>
      <c r="BT501" s="866"/>
      <c r="BU501" s="866">
        <f>VLOOKUP(BD501,$BD$4:$BN$12824,9,0)*BE501</f>
        <v>4315.5073983517996</v>
      </c>
      <c r="BV501" s="867"/>
      <c r="BW501" s="867">
        <f>VLOOKUP(BD501,$BD$4:$BN$12824,11,0)*BE501</f>
        <v>0</v>
      </c>
      <c r="BX501" s="1146">
        <f t="shared" si="101"/>
        <v>561226.45494278159</v>
      </c>
      <c r="BY501" s="867">
        <f t="shared" si="100"/>
        <v>38189992.212294355</v>
      </c>
      <c r="BZ501" s="867">
        <f t="shared" si="97"/>
        <v>76379984.42458871</v>
      </c>
      <c r="CA501" s="867">
        <f>_xlfn.MAXIFS($BY$4:$BY$12824,$S$4:$S$12824,$S501)</f>
        <v>38189992.212294355</v>
      </c>
      <c r="CB501" s="1032"/>
      <c r="CF501" s="946">
        <f t="shared" si="99"/>
        <v>68919930.120000005</v>
      </c>
    </row>
    <row r="502" spans="1:84">
      <c r="A502" s="1032"/>
      <c r="B502" s="839" t="s">
        <v>98</v>
      </c>
      <c r="C502" s="839" t="s">
        <v>273</v>
      </c>
      <c r="D502" s="839" t="s">
        <v>1735</v>
      </c>
      <c r="E502" s="839" t="s">
        <v>1736</v>
      </c>
      <c r="F502" s="841">
        <v>45439</v>
      </c>
      <c r="G502" s="840" t="s">
        <v>273</v>
      </c>
      <c r="H502" s="842" t="s">
        <v>134</v>
      </c>
      <c r="I502" s="842"/>
      <c r="J502" s="841"/>
      <c r="K502" s="841"/>
      <c r="L502" s="843" t="s">
        <v>1622</v>
      </c>
      <c r="M502" s="844" t="s">
        <v>275</v>
      </c>
      <c r="N502" s="841"/>
      <c r="O502" s="841" t="s">
        <v>150</v>
      </c>
      <c r="P502" s="841" t="s">
        <v>276</v>
      </c>
      <c r="Q502" s="843"/>
      <c r="R502" s="845" t="s">
        <v>1759</v>
      </c>
      <c r="S502" s="1127" t="s">
        <v>1759</v>
      </c>
      <c r="T502" s="843" t="s">
        <v>1760</v>
      </c>
      <c r="U502" s="842">
        <v>2</v>
      </c>
      <c r="V502" s="842" t="s">
        <v>3</v>
      </c>
      <c r="W502" s="846">
        <v>2873.87</v>
      </c>
      <c r="X502" s="847">
        <f t="shared" si="92"/>
        <v>5747.74</v>
      </c>
      <c r="Y502" s="848">
        <f t="shared" si="98"/>
        <v>0.55001444045833658</v>
      </c>
      <c r="Z502" s="849">
        <v>1293.2</v>
      </c>
      <c r="AA502" s="849"/>
      <c r="AB502" s="849">
        <f t="shared" si="93"/>
        <v>2586.4</v>
      </c>
      <c r="AC502" s="850">
        <f t="shared" si="94"/>
        <v>2586.4</v>
      </c>
      <c r="AD502" s="851"/>
      <c r="AE502" s="852">
        <v>26647.05</v>
      </c>
      <c r="AF502" s="853">
        <v>0.1</v>
      </c>
      <c r="AG502" s="854">
        <f t="shared" si="95"/>
        <v>6898827.8496459248</v>
      </c>
      <c r="AH502" s="853"/>
      <c r="AI502" s="855">
        <f t="shared" si="96"/>
        <v>0</v>
      </c>
      <c r="AJ502" s="845" t="s">
        <v>1738</v>
      </c>
      <c r="AK502" s="857" t="s">
        <v>1739</v>
      </c>
      <c r="AL502" s="840" t="s">
        <v>1740</v>
      </c>
      <c r="AM502" s="840"/>
      <c r="AN502" s="858"/>
      <c r="AO502" s="844" t="s">
        <v>1741</v>
      </c>
      <c r="AP502" s="859">
        <v>45481</v>
      </c>
      <c r="AQ502" s="859">
        <v>45451</v>
      </c>
      <c r="AR502" s="859" t="s">
        <v>1742</v>
      </c>
      <c r="AS502" s="840" t="s">
        <v>1284</v>
      </c>
      <c r="AT502" s="840" t="s">
        <v>1743</v>
      </c>
      <c r="AU502" s="860" t="s">
        <v>1210</v>
      </c>
      <c r="AV502" s="839" t="s">
        <v>1744</v>
      </c>
      <c r="AW502" s="861">
        <v>45552</v>
      </c>
      <c r="AX502" s="862" t="s">
        <v>1745</v>
      </c>
      <c r="AY502" s="843"/>
      <c r="AZ502" s="842">
        <v>94031000</v>
      </c>
      <c r="BA502" s="842" t="s">
        <v>120</v>
      </c>
      <c r="BB502" s="863" t="s">
        <v>121</v>
      </c>
      <c r="BC502" s="864">
        <v>45555</v>
      </c>
      <c r="BD502" s="860" t="s">
        <v>1746</v>
      </c>
      <c r="BE502" s="865" cm="1">
        <f t="array" ref="BE502">IF(BD502="","",AC502/SUMPRODUCT(--(BD502=$BD$4:$BD$12824),$AC$4:$AC$12824))</f>
        <v>3.4580771652324205E-2</v>
      </c>
      <c r="BF502" s="458"/>
      <c r="BG502" s="458"/>
      <c r="BH502" s="458"/>
      <c r="BI502" s="458"/>
      <c r="BJ502" s="458"/>
      <c r="BK502" s="458"/>
      <c r="BL502" s="458"/>
      <c r="BM502" s="458"/>
      <c r="BN502" s="458"/>
      <c r="BO502" s="866">
        <f>VLOOKUP(BD502,$BD$4:$BN$12824,3,0)*BE502</f>
        <v>0</v>
      </c>
      <c r="BP502" s="866"/>
      <c r="BQ502" s="866"/>
      <c r="BR502" s="866">
        <f>VLOOKUP(BD502,$BD$4:$BN$12824,6,0)*BE502</f>
        <v>488562.5710851858</v>
      </c>
      <c r="BS502" s="866">
        <f>VLOOKUP(BD502,$BD$4:$BN$12824,7,0)*BE502</f>
        <v>68348.376459244013</v>
      </c>
      <c r="BT502" s="866"/>
      <c r="BU502" s="866">
        <f>VLOOKUP(BD502,$BD$4:$BN$12824,9,0)*BE502</f>
        <v>4315.5073983517996</v>
      </c>
      <c r="BV502" s="867"/>
      <c r="BW502" s="867">
        <f>VLOOKUP(BD502,$BD$4:$BN$12824,11,0)*BE502</f>
        <v>0</v>
      </c>
      <c r="BX502" s="1146">
        <f t="shared" si="101"/>
        <v>561226.45494278159</v>
      </c>
      <c r="BY502" s="867">
        <f t="shared" si="100"/>
        <v>38189992.212294355</v>
      </c>
      <c r="BZ502" s="867">
        <f t="shared" si="97"/>
        <v>76379984.42458871</v>
      </c>
      <c r="CA502" s="867">
        <f>_xlfn.MAXIFS($BY$4:$BY$12824,$S$4:$S$12824,$S502)</f>
        <v>38189992.212294355</v>
      </c>
      <c r="CB502" s="1032"/>
      <c r="CF502" s="946">
        <f t="shared" si="99"/>
        <v>68919930.120000005</v>
      </c>
    </row>
    <row r="503" spans="1:84">
      <c r="A503" s="1032"/>
      <c r="B503" s="839" t="s">
        <v>98</v>
      </c>
      <c r="C503" s="839" t="s">
        <v>273</v>
      </c>
      <c r="D503" s="839" t="s">
        <v>1735</v>
      </c>
      <c r="E503" s="839" t="s">
        <v>1736</v>
      </c>
      <c r="F503" s="841">
        <v>45439</v>
      </c>
      <c r="G503" s="840" t="s">
        <v>273</v>
      </c>
      <c r="H503" s="842" t="s">
        <v>134</v>
      </c>
      <c r="I503" s="842"/>
      <c r="J503" s="841"/>
      <c r="K503" s="841"/>
      <c r="L503" s="843" t="s">
        <v>1622</v>
      </c>
      <c r="M503" s="844" t="s">
        <v>275</v>
      </c>
      <c r="N503" s="841"/>
      <c r="O503" s="841" t="s">
        <v>150</v>
      </c>
      <c r="P503" s="841" t="s">
        <v>276</v>
      </c>
      <c r="Q503" s="843"/>
      <c r="R503" s="845" t="s">
        <v>1761</v>
      </c>
      <c r="S503" s="1127" t="s">
        <v>1761</v>
      </c>
      <c r="T503" s="843" t="s">
        <v>1762</v>
      </c>
      <c r="U503" s="842">
        <v>2</v>
      </c>
      <c r="V503" s="842" t="s">
        <v>3</v>
      </c>
      <c r="W503" s="846">
        <v>2873.87</v>
      </c>
      <c r="X503" s="847">
        <f t="shared" si="92"/>
        <v>5747.74</v>
      </c>
      <c r="Y503" s="848">
        <f t="shared" si="98"/>
        <v>0.55001444045833658</v>
      </c>
      <c r="Z503" s="849">
        <v>1293.2</v>
      </c>
      <c r="AA503" s="849"/>
      <c r="AB503" s="849">
        <f t="shared" si="93"/>
        <v>2586.4</v>
      </c>
      <c r="AC503" s="850">
        <f t="shared" si="94"/>
        <v>2586.4</v>
      </c>
      <c r="AD503" s="851"/>
      <c r="AE503" s="852">
        <v>26647.05</v>
      </c>
      <c r="AF503" s="853">
        <v>0.1</v>
      </c>
      <c r="AG503" s="854">
        <f t="shared" si="95"/>
        <v>6898827.8496459248</v>
      </c>
      <c r="AH503" s="853"/>
      <c r="AI503" s="855">
        <f t="shared" si="96"/>
        <v>0</v>
      </c>
      <c r="AJ503" s="845" t="s">
        <v>1738</v>
      </c>
      <c r="AK503" s="857" t="s">
        <v>1739</v>
      </c>
      <c r="AL503" s="840" t="s">
        <v>1740</v>
      </c>
      <c r="AM503" s="840"/>
      <c r="AN503" s="858"/>
      <c r="AO503" s="844" t="s">
        <v>1741</v>
      </c>
      <c r="AP503" s="859">
        <v>45481</v>
      </c>
      <c r="AQ503" s="859">
        <v>45451</v>
      </c>
      <c r="AR503" s="859" t="s">
        <v>1742</v>
      </c>
      <c r="AS503" s="840" t="s">
        <v>1284</v>
      </c>
      <c r="AT503" s="840" t="s">
        <v>1743</v>
      </c>
      <c r="AU503" s="860" t="s">
        <v>1210</v>
      </c>
      <c r="AV503" s="839" t="s">
        <v>1744</v>
      </c>
      <c r="AW503" s="861">
        <v>45552</v>
      </c>
      <c r="AX503" s="862" t="s">
        <v>1745</v>
      </c>
      <c r="AY503" s="843"/>
      <c r="AZ503" s="842">
        <v>94031000</v>
      </c>
      <c r="BA503" s="842" t="s">
        <v>120</v>
      </c>
      <c r="BB503" s="863" t="s">
        <v>121</v>
      </c>
      <c r="BC503" s="864">
        <v>45555</v>
      </c>
      <c r="BD503" s="860" t="s">
        <v>1746</v>
      </c>
      <c r="BE503" s="865" cm="1">
        <f t="array" ref="BE503">IF(BD503="","",AC503/SUMPRODUCT(--(BD503=$BD$4:$BD$12824),$AC$4:$AC$12824))</f>
        <v>3.4580771652324205E-2</v>
      </c>
      <c r="BF503" s="458"/>
      <c r="BG503" s="458"/>
      <c r="BH503" s="458"/>
      <c r="BI503" s="458"/>
      <c r="BJ503" s="458"/>
      <c r="BK503" s="458"/>
      <c r="BL503" s="458"/>
      <c r="BM503" s="458"/>
      <c r="BN503" s="458"/>
      <c r="BO503" s="866">
        <f>VLOOKUP(BD503,$BD$4:$BN$12824,3,0)*BE503</f>
        <v>0</v>
      </c>
      <c r="BP503" s="866"/>
      <c r="BQ503" s="866"/>
      <c r="BR503" s="866">
        <f>VLOOKUP(BD503,$BD$4:$BN$12824,6,0)*BE503</f>
        <v>488562.5710851858</v>
      </c>
      <c r="BS503" s="866">
        <f>VLOOKUP(BD503,$BD$4:$BN$12824,7,0)*BE503</f>
        <v>68348.376459244013</v>
      </c>
      <c r="BT503" s="866"/>
      <c r="BU503" s="866">
        <f>VLOOKUP(BD503,$BD$4:$BN$12824,9,0)*BE503</f>
        <v>4315.5073983517996</v>
      </c>
      <c r="BV503" s="867"/>
      <c r="BW503" s="867">
        <f>VLOOKUP(BD503,$BD$4:$BN$12824,11,0)*BE503</f>
        <v>0</v>
      </c>
      <c r="BX503" s="1146">
        <f t="shared" si="101"/>
        <v>561226.45494278159</v>
      </c>
      <c r="BY503" s="867">
        <f t="shared" si="100"/>
        <v>38189992.212294355</v>
      </c>
      <c r="BZ503" s="867">
        <f t="shared" si="97"/>
        <v>76379984.42458871</v>
      </c>
      <c r="CA503" s="867">
        <f>_xlfn.MAXIFS($BY$4:$BY$12824,$S$4:$S$12824,$S503)</f>
        <v>38189992.212294355</v>
      </c>
      <c r="CB503" s="1032"/>
      <c r="CF503" s="946">
        <f t="shared" si="99"/>
        <v>68919930.120000005</v>
      </c>
    </row>
    <row r="504" spans="1:84">
      <c r="A504" s="1032"/>
      <c r="B504" s="839" t="s">
        <v>98</v>
      </c>
      <c r="C504" s="839" t="s">
        <v>273</v>
      </c>
      <c r="D504" s="839" t="s">
        <v>1735</v>
      </c>
      <c r="E504" s="839" t="s">
        <v>1736</v>
      </c>
      <c r="F504" s="841">
        <v>45439</v>
      </c>
      <c r="G504" s="840" t="s">
        <v>273</v>
      </c>
      <c r="H504" s="842" t="s">
        <v>134</v>
      </c>
      <c r="I504" s="842"/>
      <c r="J504" s="841"/>
      <c r="K504" s="841"/>
      <c r="L504" s="843" t="s">
        <v>1622</v>
      </c>
      <c r="M504" s="844" t="s">
        <v>275</v>
      </c>
      <c r="N504" s="841"/>
      <c r="O504" s="841" t="s">
        <v>150</v>
      </c>
      <c r="P504" s="841" t="s">
        <v>276</v>
      </c>
      <c r="Q504" s="843"/>
      <c r="R504" s="845" t="s">
        <v>1763</v>
      </c>
      <c r="S504" s="1127" t="s">
        <v>1763</v>
      </c>
      <c r="T504" s="843" t="s">
        <v>1764</v>
      </c>
      <c r="U504" s="842">
        <v>2</v>
      </c>
      <c r="V504" s="842" t="s">
        <v>3</v>
      </c>
      <c r="W504" s="846">
        <v>2873.87</v>
      </c>
      <c r="X504" s="847">
        <f t="shared" si="92"/>
        <v>5747.74</v>
      </c>
      <c r="Y504" s="848">
        <f t="shared" si="98"/>
        <v>0.55001444045833658</v>
      </c>
      <c r="Z504" s="849">
        <v>1293.2</v>
      </c>
      <c r="AA504" s="849"/>
      <c r="AB504" s="849">
        <f t="shared" si="93"/>
        <v>2586.4</v>
      </c>
      <c r="AC504" s="850">
        <f t="shared" si="94"/>
        <v>2586.4</v>
      </c>
      <c r="AD504" s="851"/>
      <c r="AE504" s="852">
        <v>26647.05</v>
      </c>
      <c r="AF504" s="853">
        <v>0.1</v>
      </c>
      <c r="AG504" s="854">
        <f t="shared" si="95"/>
        <v>6898827.8496459248</v>
      </c>
      <c r="AH504" s="853"/>
      <c r="AI504" s="855">
        <f t="shared" si="96"/>
        <v>0</v>
      </c>
      <c r="AJ504" s="845" t="s">
        <v>1738</v>
      </c>
      <c r="AK504" s="857" t="s">
        <v>1739</v>
      </c>
      <c r="AL504" s="840" t="s">
        <v>1740</v>
      </c>
      <c r="AM504" s="840"/>
      <c r="AN504" s="858"/>
      <c r="AO504" s="844" t="s">
        <v>1741</v>
      </c>
      <c r="AP504" s="859">
        <v>45481</v>
      </c>
      <c r="AQ504" s="859">
        <v>45451</v>
      </c>
      <c r="AR504" s="859" t="s">
        <v>1742</v>
      </c>
      <c r="AS504" s="840" t="s">
        <v>1284</v>
      </c>
      <c r="AT504" s="840" t="s">
        <v>1743</v>
      </c>
      <c r="AU504" s="860" t="s">
        <v>1210</v>
      </c>
      <c r="AV504" s="839" t="s">
        <v>1744</v>
      </c>
      <c r="AW504" s="861">
        <v>45552</v>
      </c>
      <c r="AX504" s="862" t="s">
        <v>1745</v>
      </c>
      <c r="AY504" s="843"/>
      <c r="AZ504" s="842">
        <v>94031000</v>
      </c>
      <c r="BA504" s="842" t="s">
        <v>120</v>
      </c>
      <c r="BB504" s="863" t="s">
        <v>121</v>
      </c>
      <c r="BC504" s="864">
        <v>45555</v>
      </c>
      <c r="BD504" s="860" t="s">
        <v>1746</v>
      </c>
      <c r="BE504" s="865" cm="1">
        <f t="array" ref="BE504">IF(BD504="","",AC504/SUMPRODUCT(--(BD504=$BD$4:$BD$12824),$AC$4:$AC$12824))</f>
        <v>3.4580771652324205E-2</v>
      </c>
      <c r="BF504" s="458"/>
      <c r="BG504" s="458"/>
      <c r="BH504" s="458"/>
      <c r="BI504" s="458"/>
      <c r="BJ504" s="458"/>
      <c r="BK504" s="458"/>
      <c r="BL504" s="458"/>
      <c r="BM504" s="458"/>
      <c r="BN504" s="458"/>
      <c r="BO504" s="866">
        <f>VLOOKUP(BD504,$BD$4:$BN$12824,3,0)*BE504</f>
        <v>0</v>
      </c>
      <c r="BP504" s="866"/>
      <c r="BQ504" s="866"/>
      <c r="BR504" s="866">
        <f>VLOOKUP(BD504,$BD$4:$BN$12824,6,0)*BE504</f>
        <v>488562.5710851858</v>
      </c>
      <c r="BS504" s="866">
        <f>VLOOKUP(BD504,$BD$4:$BN$12824,7,0)*BE504</f>
        <v>68348.376459244013</v>
      </c>
      <c r="BT504" s="866"/>
      <c r="BU504" s="866">
        <f>VLOOKUP(BD504,$BD$4:$BN$12824,9,0)*BE504</f>
        <v>4315.5073983517996</v>
      </c>
      <c r="BV504" s="867"/>
      <c r="BW504" s="867">
        <f>VLOOKUP(BD504,$BD$4:$BN$12824,11,0)*BE504</f>
        <v>0</v>
      </c>
      <c r="BX504" s="1146">
        <f t="shared" si="101"/>
        <v>561226.45494278159</v>
      </c>
      <c r="BY504" s="867">
        <f t="shared" si="100"/>
        <v>38189992.212294355</v>
      </c>
      <c r="BZ504" s="867">
        <f t="shared" si="97"/>
        <v>76379984.42458871</v>
      </c>
      <c r="CA504" s="867">
        <f>_xlfn.MAXIFS($BY$4:$BY$12824,$S$4:$S$12824,$S504)</f>
        <v>38189992.212294355</v>
      </c>
      <c r="CB504" s="1032"/>
      <c r="CF504" s="946">
        <f t="shared" si="99"/>
        <v>68919930.120000005</v>
      </c>
    </row>
    <row r="505" spans="1:84">
      <c r="A505" s="1032"/>
      <c r="B505" s="839" t="s">
        <v>98</v>
      </c>
      <c r="C505" s="839" t="s">
        <v>273</v>
      </c>
      <c r="D505" s="839" t="s">
        <v>1735</v>
      </c>
      <c r="E505" s="839" t="s">
        <v>1736</v>
      </c>
      <c r="F505" s="841">
        <v>45439</v>
      </c>
      <c r="G505" s="840" t="s">
        <v>273</v>
      </c>
      <c r="H505" s="842" t="s">
        <v>134</v>
      </c>
      <c r="I505" s="842"/>
      <c r="J505" s="841"/>
      <c r="K505" s="841"/>
      <c r="L505" s="843" t="s">
        <v>1622</v>
      </c>
      <c r="M505" s="844" t="s">
        <v>275</v>
      </c>
      <c r="N505" s="841"/>
      <c r="O505" s="841" t="s">
        <v>150</v>
      </c>
      <c r="P505" s="841" t="s">
        <v>276</v>
      </c>
      <c r="Q505" s="843"/>
      <c r="R505" s="845" t="s">
        <v>1765</v>
      </c>
      <c r="S505" s="1127" t="s">
        <v>1765</v>
      </c>
      <c r="T505" s="843" t="s">
        <v>1766</v>
      </c>
      <c r="U505" s="842">
        <v>2</v>
      </c>
      <c r="V505" s="842" t="s">
        <v>3</v>
      </c>
      <c r="W505" s="846">
        <v>2873.87</v>
      </c>
      <c r="X505" s="847">
        <f t="shared" si="92"/>
        <v>5747.74</v>
      </c>
      <c r="Y505" s="848">
        <f t="shared" si="98"/>
        <v>0.55001444045833658</v>
      </c>
      <c r="Z505" s="849">
        <v>1293.2</v>
      </c>
      <c r="AA505" s="849"/>
      <c r="AB505" s="849">
        <f t="shared" si="93"/>
        <v>2586.4</v>
      </c>
      <c r="AC505" s="850">
        <f t="shared" si="94"/>
        <v>2586.4</v>
      </c>
      <c r="AD505" s="851"/>
      <c r="AE505" s="852">
        <v>26647.05</v>
      </c>
      <c r="AF505" s="853">
        <v>0.1</v>
      </c>
      <c r="AG505" s="854">
        <f t="shared" si="95"/>
        <v>6898827.8496459248</v>
      </c>
      <c r="AH505" s="853"/>
      <c r="AI505" s="855">
        <f t="shared" si="96"/>
        <v>0</v>
      </c>
      <c r="AJ505" s="845" t="s">
        <v>1738</v>
      </c>
      <c r="AK505" s="857" t="s">
        <v>1739</v>
      </c>
      <c r="AL505" s="840" t="s">
        <v>1740</v>
      </c>
      <c r="AM505" s="840"/>
      <c r="AN505" s="858"/>
      <c r="AO505" s="844" t="s">
        <v>1741</v>
      </c>
      <c r="AP505" s="859">
        <v>45481</v>
      </c>
      <c r="AQ505" s="859">
        <v>45451</v>
      </c>
      <c r="AR505" s="859" t="s">
        <v>1742</v>
      </c>
      <c r="AS505" s="840" t="s">
        <v>1284</v>
      </c>
      <c r="AT505" s="840" t="s">
        <v>1743</v>
      </c>
      <c r="AU505" s="860" t="s">
        <v>1210</v>
      </c>
      <c r="AV505" s="839" t="s">
        <v>1744</v>
      </c>
      <c r="AW505" s="861">
        <v>45552</v>
      </c>
      <c r="AX505" s="862" t="s">
        <v>1745</v>
      </c>
      <c r="AY505" s="843"/>
      <c r="AZ505" s="842">
        <v>94031000</v>
      </c>
      <c r="BA505" s="842" t="s">
        <v>120</v>
      </c>
      <c r="BB505" s="863" t="s">
        <v>121</v>
      </c>
      <c r="BC505" s="864">
        <v>45555</v>
      </c>
      <c r="BD505" s="860" t="s">
        <v>1746</v>
      </c>
      <c r="BE505" s="865" cm="1">
        <f t="array" ref="BE505">IF(BD505="","",AC505/SUMPRODUCT(--(BD505=$BD$4:$BD$12824),$AC$4:$AC$12824))</f>
        <v>3.4580771652324205E-2</v>
      </c>
      <c r="BF505" s="458"/>
      <c r="BG505" s="458"/>
      <c r="BH505" s="458"/>
      <c r="BI505" s="458"/>
      <c r="BJ505" s="458"/>
      <c r="BK505" s="458"/>
      <c r="BL505" s="458"/>
      <c r="BM505" s="458"/>
      <c r="BN505" s="458"/>
      <c r="BO505" s="866">
        <f>VLOOKUP(BD505,$BD$4:$BN$12824,3,0)*BE505</f>
        <v>0</v>
      </c>
      <c r="BP505" s="866"/>
      <c r="BQ505" s="866"/>
      <c r="BR505" s="866">
        <f>VLOOKUP(BD505,$BD$4:$BN$12824,6,0)*BE505</f>
        <v>488562.5710851858</v>
      </c>
      <c r="BS505" s="866">
        <f>VLOOKUP(BD505,$BD$4:$BN$12824,7,0)*BE505</f>
        <v>68348.376459244013</v>
      </c>
      <c r="BT505" s="866"/>
      <c r="BU505" s="866">
        <f>VLOOKUP(BD505,$BD$4:$BN$12824,9,0)*BE505</f>
        <v>4315.5073983517996</v>
      </c>
      <c r="BV505" s="867"/>
      <c r="BW505" s="867">
        <f>VLOOKUP(BD505,$BD$4:$BN$12824,11,0)*BE505</f>
        <v>0</v>
      </c>
      <c r="BX505" s="1146">
        <f t="shared" si="101"/>
        <v>561226.45494278159</v>
      </c>
      <c r="BY505" s="867">
        <f t="shared" si="100"/>
        <v>38189992.212294355</v>
      </c>
      <c r="BZ505" s="867">
        <f t="shared" si="97"/>
        <v>76379984.42458871</v>
      </c>
      <c r="CA505" s="867">
        <f>_xlfn.MAXIFS($BY$4:$BY$12824,$S$4:$S$12824,$S505)</f>
        <v>38189992.212294355</v>
      </c>
      <c r="CB505" s="1032"/>
      <c r="CF505" s="946">
        <f t="shared" si="99"/>
        <v>68919930.120000005</v>
      </c>
    </row>
    <row r="506" spans="1:84">
      <c r="A506" s="1032"/>
      <c r="B506" s="839" t="s">
        <v>98</v>
      </c>
      <c r="C506" s="839" t="s">
        <v>273</v>
      </c>
      <c r="D506" s="839" t="s">
        <v>1735</v>
      </c>
      <c r="E506" s="839" t="s">
        <v>1736</v>
      </c>
      <c r="F506" s="841">
        <v>45439</v>
      </c>
      <c r="G506" s="840" t="s">
        <v>273</v>
      </c>
      <c r="H506" s="842" t="s">
        <v>134</v>
      </c>
      <c r="I506" s="842"/>
      <c r="J506" s="841"/>
      <c r="K506" s="841"/>
      <c r="L506" s="843" t="s">
        <v>1622</v>
      </c>
      <c r="M506" s="844" t="s">
        <v>275</v>
      </c>
      <c r="N506" s="841"/>
      <c r="O506" s="841" t="s">
        <v>150</v>
      </c>
      <c r="P506" s="841" t="s">
        <v>276</v>
      </c>
      <c r="Q506" s="843"/>
      <c r="R506" s="845" t="s">
        <v>1767</v>
      </c>
      <c r="S506" s="1127" t="s">
        <v>1767</v>
      </c>
      <c r="T506" s="843" t="s">
        <v>1768</v>
      </c>
      <c r="U506" s="842">
        <v>2</v>
      </c>
      <c r="V506" s="842" t="s">
        <v>3</v>
      </c>
      <c r="W506" s="846">
        <v>2873.87</v>
      </c>
      <c r="X506" s="847">
        <f t="shared" si="92"/>
        <v>5747.74</v>
      </c>
      <c r="Y506" s="848">
        <f t="shared" si="98"/>
        <v>0.55001444045833658</v>
      </c>
      <c r="Z506" s="849">
        <v>1293.2</v>
      </c>
      <c r="AA506" s="849"/>
      <c r="AB506" s="849">
        <f t="shared" si="93"/>
        <v>2586.4</v>
      </c>
      <c r="AC506" s="850">
        <f t="shared" si="94"/>
        <v>2586.4</v>
      </c>
      <c r="AD506" s="851"/>
      <c r="AE506" s="852">
        <v>26647.05</v>
      </c>
      <c r="AF506" s="853">
        <v>0.1</v>
      </c>
      <c r="AG506" s="854">
        <f t="shared" si="95"/>
        <v>6898827.8496459248</v>
      </c>
      <c r="AH506" s="853"/>
      <c r="AI506" s="855">
        <f t="shared" si="96"/>
        <v>0</v>
      </c>
      <c r="AJ506" s="845" t="s">
        <v>1738</v>
      </c>
      <c r="AK506" s="857" t="s">
        <v>1739</v>
      </c>
      <c r="AL506" s="840" t="s">
        <v>1740</v>
      </c>
      <c r="AM506" s="840"/>
      <c r="AN506" s="858"/>
      <c r="AO506" s="844" t="s">
        <v>1741</v>
      </c>
      <c r="AP506" s="859">
        <v>45481</v>
      </c>
      <c r="AQ506" s="859">
        <v>45451</v>
      </c>
      <c r="AR506" s="859" t="s">
        <v>1742</v>
      </c>
      <c r="AS506" s="840" t="s">
        <v>1284</v>
      </c>
      <c r="AT506" s="840" t="s">
        <v>1743</v>
      </c>
      <c r="AU506" s="860" t="s">
        <v>1210</v>
      </c>
      <c r="AV506" s="839" t="s">
        <v>1744</v>
      </c>
      <c r="AW506" s="861">
        <v>45552</v>
      </c>
      <c r="AX506" s="862" t="s">
        <v>1745</v>
      </c>
      <c r="AY506" s="843"/>
      <c r="AZ506" s="842">
        <v>94031000</v>
      </c>
      <c r="BA506" s="842" t="s">
        <v>120</v>
      </c>
      <c r="BB506" s="863" t="s">
        <v>121</v>
      </c>
      <c r="BC506" s="864">
        <v>45555</v>
      </c>
      <c r="BD506" s="860" t="s">
        <v>1746</v>
      </c>
      <c r="BE506" s="865" cm="1">
        <f t="array" ref="BE506">IF(BD506="","",AC506/SUMPRODUCT(--(BD506=$BD$4:$BD$12824),$AC$4:$AC$12824))</f>
        <v>3.4580771652324205E-2</v>
      </c>
      <c r="BF506" s="458"/>
      <c r="BG506" s="458"/>
      <c r="BH506" s="458"/>
      <c r="BI506" s="458"/>
      <c r="BJ506" s="458"/>
      <c r="BK506" s="458"/>
      <c r="BL506" s="458"/>
      <c r="BM506" s="458"/>
      <c r="BN506" s="458"/>
      <c r="BO506" s="866">
        <f>VLOOKUP(BD506,$BD$4:$BN$12824,3,0)*BE506</f>
        <v>0</v>
      </c>
      <c r="BP506" s="866"/>
      <c r="BQ506" s="866"/>
      <c r="BR506" s="866">
        <f>VLOOKUP(BD506,$BD$4:$BN$12824,6,0)*BE506</f>
        <v>488562.5710851858</v>
      </c>
      <c r="BS506" s="866">
        <f>VLOOKUP(BD506,$BD$4:$BN$12824,7,0)*BE506</f>
        <v>68348.376459244013</v>
      </c>
      <c r="BT506" s="866"/>
      <c r="BU506" s="866">
        <f>VLOOKUP(BD506,$BD$4:$BN$12824,9,0)*BE506</f>
        <v>4315.5073983517996</v>
      </c>
      <c r="BV506" s="867"/>
      <c r="BW506" s="867">
        <f>VLOOKUP(BD506,$BD$4:$BN$12824,11,0)*BE506</f>
        <v>0</v>
      </c>
      <c r="BX506" s="1146">
        <f t="shared" si="101"/>
        <v>561226.45494278159</v>
      </c>
      <c r="BY506" s="867">
        <f t="shared" si="100"/>
        <v>38189992.212294355</v>
      </c>
      <c r="BZ506" s="867">
        <f t="shared" si="97"/>
        <v>76379984.42458871</v>
      </c>
      <c r="CA506" s="867">
        <f>_xlfn.MAXIFS($BY$4:$BY$12824,$S$4:$S$12824,$S506)</f>
        <v>38189992.212294355</v>
      </c>
      <c r="CB506" s="1032"/>
      <c r="CF506" s="946">
        <f t="shared" si="99"/>
        <v>68919930.120000005</v>
      </c>
    </row>
    <row r="507" spans="1:84">
      <c r="A507" s="1032"/>
      <c r="B507" s="839" t="s">
        <v>98</v>
      </c>
      <c r="C507" s="839" t="s">
        <v>273</v>
      </c>
      <c r="D507" s="839" t="s">
        <v>1735</v>
      </c>
      <c r="E507" s="839" t="s">
        <v>1736</v>
      </c>
      <c r="F507" s="841">
        <v>45439</v>
      </c>
      <c r="G507" s="840" t="s">
        <v>273</v>
      </c>
      <c r="H507" s="842" t="s">
        <v>134</v>
      </c>
      <c r="I507" s="842"/>
      <c r="J507" s="841"/>
      <c r="K507" s="841"/>
      <c r="L507" s="843" t="s">
        <v>1622</v>
      </c>
      <c r="M507" s="844" t="s">
        <v>275</v>
      </c>
      <c r="N507" s="841"/>
      <c r="O507" s="841" t="s">
        <v>150</v>
      </c>
      <c r="P507" s="841" t="s">
        <v>276</v>
      </c>
      <c r="Q507" s="843"/>
      <c r="R507" s="845" t="s">
        <v>627</v>
      </c>
      <c r="S507" s="1127" t="s">
        <v>627</v>
      </c>
      <c r="T507" s="843" t="s">
        <v>1769</v>
      </c>
      <c r="U507" s="842">
        <v>2</v>
      </c>
      <c r="V507" s="842" t="s">
        <v>3</v>
      </c>
      <c r="W507" s="846">
        <v>779.46</v>
      </c>
      <c r="X507" s="847">
        <f t="shared" si="92"/>
        <v>1558.92</v>
      </c>
      <c r="Y507" s="848">
        <f t="shared" si="98"/>
        <v>0.54994483360275059</v>
      </c>
      <c r="Z507" s="849">
        <v>350.8</v>
      </c>
      <c r="AA507" s="849"/>
      <c r="AB507" s="849">
        <f t="shared" si="93"/>
        <v>701.6</v>
      </c>
      <c r="AC507" s="850">
        <f t="shared" si="94"/>
        <v>701.6</v>
      </c>
      <c r="AD507" s="851"/>
      <c r="AE507" s="852">
        <v>26647.05</v>
      </c>
      <c r="AF507" s="853">
        <v>0.1</v>
      </c>
      <c r="AG507" s="854">
        <f t="shared" si="95"/>
        <v>1871411.0807731138</v>
      </c>
      <c r="AH507" s="853"/>
      <c r="AI507" s="855">
        <f t="shared" si="96"/>
        <v>0</v>
      </c>
      <c r="AJ507" s="845" t="s">
        <v>1738</v>
      </c>
      <c r="AK507" s="857" t="s">
        <v>1739</v>
      </c>
      <c r="AL507" s="840" t="s">
        <v>1740</v>
      </c>
      <c r="AM507" s="840"/>
      <c r="AN507" s="858"/>
      <c r="AO507" s="844" t="s">
        <v>1741</v>
      </c>
      <c r="AP507" s="859">
        <v>45481</v>
      </c>
      <c r="AQ507" s="859">
        <v>45451</v>
      </c>
      <c r="AR507" s="859" t="s">
        <v>1742</v>
      </c>
      <c r="AS507" s="840" t="s">
        <v>1284</v>
      </c>
      <c r="AT507" s="840" t="s">
        <v>1743</v>
      </c>
      <c r="AU507" s="860" t="s">
        <v>1210</v>
      </c>
      <c r="AV507" s="839" t="s">
        <v>1744</v>
      </c>
      <c r="AW507" s="861">
        <v>45552</v>
      </c>
      <c r="AX507" s="862" t="s">
        <v>1745</v>
      </c>
      <c r="AY507" s="843"/>
      <c r="AZ507" s="842">
        <v>94031000</v>
      </c>
      <c r="BA507" s="842" t="s">
        <v>120</v>
      </c>
      <c r="BB507" s="863" t="s">
        <v>121</v>
      </c>
      <c r="BC507" s="864">
        <v>45555</v>
      </c>
      <c r="BD507" s="860" t="s">
        <v>1746</v>
      </c>
      <c r="BE507" s="865" cm="1">
        <f t="array" ref="BE507">IF(BD507="","",AC507/SUMPRODUCT(--(BD507=$BD$4:$BD$12824),$AC$4:$AC$12824))</f>
        <v>9.3805557497953374E-3</v>
      </c>
      <c r="BF507" s="458"/>
      <c r="BG507" s="458"/>
      <c r="BH507" s="458"/>
      <c r="BI507" s="458"/>
      <c r="BJ507" s="458"/>
      <c r="BK507" s="458"/>
      <c r="BL507" s="458"/>
      <c r="BM507" s="458"/>
      <c r="BN507" s="458"/>
      <c r="BO507" s="866">
        <f>VLOOKUP(BD507,$BD$4:$BN$12824,3,0)*BE507</f>
        <v>0</v>
      </c>
      <c r="BP507" s="866"/>
      <c r="BQ507" s="866"/>
      <c r="BR507" s="866">
        <f>VLOOKUP(BD507,$BD$4:$BN$12824,6,0)*BE507</f>
        <v>132529.96438036126</v>
      </c>
      <c r="BS507" s="866">
        <f>VLOOKUP(BD507,$BD$4:$BN$12824,7,0)*BE507</f>
        <v>18540.527731134236</v>
      </c>
      <c r="BT507" s="866"/>
      <c r="BU507" s="866">
        <f>VLOOKUP(BD507,$BD$4:$BN$12824,9,0)*BE507</f>
        <v>1170.6464547957091</v>
      </c>
      <c r="BV507" s="867"/>
      <c r="BW507" s="867">
        <f>VLOOKUP(BD507,$BD$4:$BN$12824,11,0)*BE507</f>
        <v>0</v>
      </c>
      <c r="BX507" s="1146">
        <f t="shared" si="101"/>
        <v>152241.13856629119</v>
      </c>
      <c r="BY507" s="867">
        <f t="shared" si="100"/>
        <v>10359611.249669705</v>
      </c>
      <c r="BZ507" s="867">
        <f t="shared" si="97"/>
        <v>20719222.499339409</v>
      </c>
      <c r="CA507" s="867">
        <f>_xlfn.MAXIFS($BY$4:$BY$12824,$S$4:$S$12824,$S507)</f>
        <v>10359611.249669705</v>
      </c>
      <c r="CB507" s="1032"/>
      <c r="CF507" s="946">
        <f t="shared" si="99"/>
        <v>18695570.280000001</v>
      </c>
    </row>
    <row r="508" spans="1:84">
      <c r="A508" s="1032"/>
      <c r="B508" s="839" t="s">
        <v>98</v>
      </c>
      <c r="C508" s="839" t="s">
        <v>273</v>
      </c>
      <c r="D508" s="839" t="s">
        <v>1735</v>
      </c>
      <c r="E508" s="839" t="s">
        <v>1736</v>
      </c>
      <c r="F508" s="841">
        <v>45439</v>
      </c>
      <c r="G508" s="840" t="s">
        <v>273</v>
      </c>
      <c r="H508" s="842" t="s">
        <v>134</v>
      </c>
      <c r="I508" s="842"/>
      <c r="J508" s="841"/>
      <c r="K508" s="841"/>
      <c r="L508" s="843" t="s">
        <v>1622</v>
      </c>
      <c r="M508" s="844" t="s">
        <v>275</v>
      </c>
      <c r="N508" s="841"/>
      <c r="O508" s="841" t="s">
        <v>150</v>
      </c>
      <c r="P508" s="841" t="s">
        <v>276</v>
      </c>
      <c r="Q508" s="843"/>
      <c r="R508" s="845" t="s">
        <v>1770</v>
      </c>
      <c r="S508" s="1127" t="s">
        <v>1770</v>
      </c>
      <c r="T508" s="843" t="s">
        <v>1771</v>
      </c>
      <c r="U508" s="842">
        <v>2</v>
      </c>
      <c r="V508" s="842" t="s">
        <v>3</v>
      </c>
      <c r="W508" s="846">
        <v>779.46</v>
      </c>
      <c r="X508" s="847">
        <f t="shared" si="92"/>
        <v>1558.92</v>
      </c>
      <c r="Y508" s="848">
        <f t="shared" si="98"/>
        <v>0.54994483360275059</v>
      </c>
      <c r="Z508" s="849">
        <v>350.8</v>
      </c>
      <c r="AA508" s="849"/>
      <c r="AB508" s="849">
        <f t="shared" si="93"/>
        <v>701.6</v>
      </c>
      <c r="AC508" s="850">
        <f t="shared" si="94"/>
        <v>701.6</v>
      </c>
      <c r="AD508" s="851"/>
      <c r="AE508" s="852">
        <v>26647.05</v>
      </c>
      <c r="AF508" s="853">
        <v>0.1</v>
      </c>
      <c r="AG508" s="854">
        <f t="shared" si="95"/>
        <v>1871411.0807731138</v>
      </c>
      <c r="AH508" s="853"/>
      <c r="AI508" s="855">
        <f t="shared" si="96"/>
        <v>0</v>
      </c>
      <c r="AJ508" s="845" t="s">
        <v>1738</v>
      </c>
      <c r="AK508" s="857" t="s">
        <v>1739</v>
      </c>
      <c r="AL508" s="840" t="s">
        <v>1740</v>
      </c>
      <c r="AM508" s="840"/>
      <c r="AN508" s="858"/>
      <c r="AO508" s="844" t="s">
        <v>1741</v>
      </c>
      <c r="AP508" s="859">
        <v>45481</v>
      </c>
      <c r="AQ508" s="859">
        <v>45451</v>
      </c>
      <c r="AR508" s="859" t="s">
        <v>1742</v>
      </c>
      <c r="AS508" s="840" t="s">
        <v>1284</v>
      </c>
      <c r="AT508" s="840" t="s">
        <v>1743</v>
      </c>
      <c r="AU508" s="860" t="s">
        <v>1210</v>
      </c>
      <c r="AV508" s="839" t="s">
        <v>1744</v>
      </c>
      <c r="AW508" s="861">
        <v>45552</v>
      </c>
      <c r="AX508" s="862" t="s">
        <v>1745</v>
      </c>
      <c r="AY508" s="843"/>
      <c r="AZ508" s="842">
        <v>94031000</v>
      </c>
      <c r="BA508" s="842" t="s">
        <v>120</v>
      </c>
      <c r="BB508" s="863" t="s">
        <v>121</v>
      </c>
      <c r="BC508" s="864">
        <v>45555</v>
      </c>
      <c r="BD508" s="860" t="s">
        <v>1746</v>
      </c>
      <c r="BE508" s="865" cm="1">
        <f t="array" ref="BE508">IF(BD508="","",AC508/SUMPRODUCT(--(BD508=$BD$4:$BD$12824),$AC$4:$AC$12824))</f>
        <v>9.3805557497953374E-3</v>
      </c>
      <c r="BF508" s="458"/>
      <c r="BG508" s="458"/>
      <c r="BH508" s="458"/>
      <c r="BI508" s="458"/>
      <c r="BJ508" s="458"/>
      <c r="BK508" s="458"/>
      <c r="BL508" s="458"/>
      <c r="BM508" s="458"/>
      <c r="BN508" s="458"/>
      <c r="BO508" s="866">
        <f>VLOOKUP(BD508,$BD$4:$BN$12824,3,0)*BE508</f>
        <v>0</v>
      </c>
      <c r="BP508" s="866"/>
      <c r="BQ508" s="866"/>
      <c r="BR508" s="866">
        <f>VLOOKUP(BD508,$BD$4:$BN$12824,6,0)*BE508</f>
        <v>132529.96438036126</v>
      </c>
      <c r="BS508" s="866">
        <f>VLOOKUP(BD508,$BD$4:$BN$12824,7,0)*BE508</f>
        <v>18540.527731134236</v>
      </c>
      <c r="BT508" s="866"/>
      <c r="BU508" s="866">
        <f>VLOOKUP(BD508,$BD$4:$BN$12824,9,0)*BE508</f>
        <v>1170.6464547957091</v>
      </c>
      <c r="BV508" s="867"/>
      <c r="BW508" s="867">
        <f>VLOOKUP(BD508,$BD$4:$BN$12824,11,0)*BE508</f>
        <v>0</v>
      </c>
      <c r="BX508" s="1146">
        <f t="shared" si="101"/>
        <v>152241.13856629119</v>
      </c>
      <c r="BY508" s="867">
        <f t="shared" si="100"/>
        <v>10359611.249669705</v>
      </c>
      <c r="BZ508" s="867">
        <f t="shared" si="97"/>
        <v>20719222.499339409</v>
      </c>
      <c r="CA508" s="867">
        <f>_xlfn.MAXIFS($BY$4:$BY$12824,$S$4:$S$12824,$S508)</f>
        <v>10359611.249669705</v>
      </c>
      <c r="CB508" s="1032"/>
      <c r="CF508" s="946">
        <f t="shared" si="99"/>
        <v>18695570.280000001</v>
      </c>
    </row>
    <row r="509" spans="1:84">
      <c r="A509" s="1032"/>
      <c r="B509" s="839" t="s">
        <v>98</v>
      </c>
      <c r="C509" s="839" t="s">
        <v>273</v>
      </c>
      <c r="D509" s="839" t="s">
        <v>1735</v>
      </c>
      <c r="E509" s="839" t="s">
        <v>1736</v>
      </c>
      <c r="F509" s="841">
        <v>45439</v>
      </c>
      <c r="G509" s="840" t="s">
        <v>273</v>
      </c>
      <c r="H509" s="842" t="s">
        <v>134</v>
      </c>
      <c r="I509" s="842"/>
      <c r="J509" s="841"/>
      <c r="K509" s="841"/>
      <c r="L509" s="843" t="s">
        <v>1622</v>
      </c>
      <c r="M509" s="844" t="s">
        <v>275</v>
      </c>
      <c r="N509" s="841"/>
      <c r="O509" s="841" t="s">
        <v>150</v>
      </c>
      <c r="P509" s="841" t="s">
        <v>276</v>
      </c>
      <c r="Q509" s="843"/>
      <c r="R509" s="845" t="s">
        <v>1772</v>
      </c>
      <c r="S509" s="1127" t="s">
        <v>1772</v>
      </c>
      <c r="T509" s="843" t="s">
        <v>1773</v>
      </c>
      <c r="U509" s="842">
        <v>2</v>
      </c>
      <c r="V509" s="842" t="s">
        <v>3</v>
      </c>
      <c r="W509" s="846">
        <v>747.34</v>
      </c>
      <c r="X509" s="847">
        <f t="shared" si="92"/>
        <v>1494.68</v>
      </c>
      <c r="Y509" s="848">
        <f t="shared" si="98"/>
        <v>0.55000401423716117</v>
      </c>
      <c r="Z509" s="849">
        <v>336.3</v>
      </c>
      <c r="AA509" s="849"/>
      <c r="AB509" s="849">
        <f t="shared" si="93"/>
        <v>672.6</v>
      </c>
      <c r="AC509" s="850">
        <f t="shared" si="94"/>
        <v>672.6</v>
      </c>
      <c r="AD509" s="851"/>
      <c r="AE509" s="852">
        <v>26647.05</v>
      </c>
      <c r="AF509" s="853">
        <v>0.1</v>
      </c>
      <c r="AG509" s="854">
        <f t="shared" si="95"/>
        <v>1794058.0001824349</v>
      </c>
      <c r="AH509" s="853"/>
      <c r="AI509" s="855">
        <f t="shared" si="96"/>
        <v>0</v>
      </c>
      <c r="AJ509" s="845" t="s">
        <v>1738</v>
      </c>
      <c r="AK509" s="857" t="s">
        <v>1739</v>
      </c>
      <c r="AL509" s="840" t="s">
        <v>1740</v>
      </c>
      <c r="AM509" s="840"/>
      <c r="AN509" s="858"/>
      <c r="AO509" s="844" t="s">
        <v>1741</v>
      </c>
      <c r="AP509" s="859">
        <v>45481</v>
      </c>
      <c r="AQ509" s="859">
        <v>45451</v>
      </c>
      <c r="AR509" s="859" t="s">
        <v>1742</v>
      </c>
      <c r="AS509" s="840" t="s">
        <v>1284</v>
      </c>
      <c r="AT509" s="840" t="s">
        <v>1743</v>
      </c>
      <c r="AU509" s="860" t="s">
        <v>1210</v>
      </c>
      <c r="AV509" s="839" t="s">
        <v>1744</v>
      </c>
      <c r="AW509" s="861">
        <v>45552</v>
      </c>
      <c r="AX509" s="862" t="s">
        <v>1745</v>
      </c>
      <c r="AY509" s="843"/>
      <c r="AZ509" s="842">
        <v>94031000</v>
      </c>
      <c r="BA509" s="842" t="s">
        <v>120</v>
      </c>
      <c r="BB509" s="863" t="s">
        <v>121</v>
      </c>
      <c r="BC509" s="864">
        <v>45555</v>
      </c>
      <c r="BD509" s="860" t="s">
        <v>1746</v>
      </c>
      <c r="BE509" s="865" cm="1">
        <f t="array" ref="BE509">IF(BD509="","",AC509/SUMPRODUCT(--(BD509=$BD$4:$BD$12824),$AC$4:$AC$12824))</f>
        <v>8.9928189813459868E-3</v>
      </c>
      <c r="BF509" s="458"/>
      <c r="BG509" s="458"/>
      <c r="BH509" s="458"/>
      <c r="BI509" s="458"/>
      <c r="BJ509" s="458"/>
      <c r="BK509" s="458"/>
      <c r="BL509" s="458"/>
      <c r="BM509" s="458"/>
      <c r="BN509" s="458"/>
      <c r="BO509" s="866">
        <f>VLOOKUP(BD509,$BD$4:$BN$12824,3,0)*BE509</f>
        <v>0</v>
      </c>
      <c r="BP509" s="866"/>
      <c r="BQ509" s="866"/>
      <c r="BR509" s="866">
        <f>VLOOKUP(BD509,$BD$4:$BN$12824,6,0)*BE509</f>
        <v>127051.95844103617</v>
      </c>
      <c r="BS509" s="866">
        <f>VLOOKUP(BD509,$BD$4:$BN$12824,7,0)*BE509</f>
        <v>17774.171824345623</v>
      </c>
      <c r="BT509" s="866"/>
      <c r="BU509" s="866">
        <f>VLOOKUP(BD509,$BD$4:$BN$12824,9,0)*BE509</f>
        <v>1122.2588447770725</v>
      </c>
      <c r="BV509" s="867"/>
      <c r="BW509" s="867">
        <f>VLOOKUP(BD509,$BD$4:$BN$12824,11,0)*BE509</f>
        <v>0</v>
      </c>
      <c r="BX509" s="1146">
        <f t="shared" si="101"/>
        <v>145948.38911015887</v>
      </c>
      <c r="BY509" s="867">
        <f t="shared" si="100"/>
        <v>9931406.109646298</v>
      </c>
      <c r="BZ509" s="867">
        <f t="shared" si="97"/>
        <v>19862812.219292596</v>
      </c>
      <c r="CA509" s="867">
        <f>_xlfn.MAXIFS($BY$4:$BY$12824,$S$4:$S$12824,$S509)</f>
        <v>9931406.109646298</v>
      </c>
      <c r="CB509" s="1032"/>
      <c r="CF509" s="946">
        <f t="shared" si="99"/>
        <v>17922805.830000002</v>
      </c>
    </row>
    <row r="510" spans="1:84">
      <c r="A510" s="1032"/>
      <c r="B510" s="839" t="s">
        <v>98</v>
      </c>
      <c r="C510" s="839" t="s">
        <v>273</v>
      </c>
      <c r="D510" s="839" t="s">
        <v>1735</v>
      </c>
      <c r="E510" s="839" t="s">
        <v>1736</v>
      </c>
      <c r="F510" s="841">
        <v>45439</v>
      </c>
      <c r="G510" s="840" t="s">
        <v>273</v>
      </c>
      <c r="H510" s="842" t="s">
        <v>134</v>
      </c>
      <c r="I510" s="842"/>
      <c r="J510" s="841"/>
      <c r="K510" s="841"/>
      <c r="L510" s="843" t="s">
        <v>1622</v>
      </c>
      <c r="M510" s="844" t="s">
        <v>275</v>
      </c>
      <c r="N510" s="841"/>
      <c r="O510" s="841" t="s">
        <v>150</v>
      </c>
      <c r="P510" s="841" t="s">
        <v>276</v>
      </c>
      <c r="Q510" s="843"/>
      <c r="R510" s="845" t="s">
        <v>1774</v>
      </c>
      <c r="S510" s="1127" t="s">
        <v>1774</v>
      </c>
      <c r="T510" s="843" t="s">
        <v>1775</v>
      </c>
      <c r="U510" s="842">
        <v>2</v>
      </c>
      <c r="V510" s="842" t="s">
        <v>3</v>
      </c>
      <c r="W510" s="846">
        <v>747.34</v>
      </c>
      <c r="X510" s="847">
        <f t="shared" si="92"/>
        <v>1494.68</v>
      </c>
      <c r="Y510" s="848">
        <f t="shared" si="98"/>
        <v>0.55000401423716117</v>
      </c>
      <c r="Z510" s="849">
        <v>336.3</v>
      </c>
      <c r="AA510" s="849"/>
      <c r="AB510" s="849">
        <f t="shared" si="93"/>
        <v>672.6</v>
      </c>
      <c r="AC510" s="850">
        <f t="shared" si="94"/>
        <v>672.6</v>
      </c>
      <c r="AD510" s="851"/>
      <c r="AE510" s="852">
        <v>26647.05</v>
      </c>
      <c r="AF510" s="853">
        <v>0.1</v>
      </c>
      <c r="AG510" s="854">
        <f t="shared" si="95"/>
        <v>1794058.0001824349</v>
      </c>
      <c r="AH510" s="853"/>
      <c r="AI510" s="855">
        <f t="shared" si="96"/>
        <v>0</v>
      </c>
      <c r="AJ510" s="845" t="s">
        <v>1738</v>
      </c>
      <c r="AK510" s="857" t="s">
        <v>1739</v>
      </c>
      <c r="AL510" s="840" t="s">
        <v>1740</v>
      </c>
      <c r="AM510" s="840"/>
      <c r="AN510" s="858"/>
      <c r="AO510" s="844" t="s">
        <v>1741</v>
      </c>
      <c r="AP510" s="859">
        <v>45481</v>
      </c>
      <c r="AQ510" s="859">
        <v>45451</v>
      </c>
      <c r="AR510" s="859" t="s">
        <v>1742</v>
      </c>
      <c r="AS510" s="840" t="s">
        <v>1284</v>
      </c>
      <c r="AT510" s="840" t="s">
        <v>1743</v>
      </c>
      <c r="AU510" s="860" t="s">
        <v>1210</v>
      </c>
      <c r="AV510" s="839" t="s">
        <v>1744</v>
      </c>
      <c r="AW510" s="861">
        <v>45552</v>
      </c>
      <c r="AX510" s="862" t="s">
        <v>1745</v>
      </c>
      <c r="AY510" s="843"/>
      <c r="AZ510" s="842">
        <v>94031000</v>
      </c>
      <c r="BA510" s="842" t="s">
        <v>120</v>
      </c>
      <c r="BB510" s="863" t="s">
        <v>121</v>
      </c>
      <c r="BC510" s="864">
        <v>45555</v>
      </c>
      <c r="BD510" s="860" t="s">
        <v>1746</v>
      </c>
      <c r="BE510" s="865" cm="1">
        <f t="array" ref="BE510">IF(BD510="","",AC510/SUMPRODUCT(--(BD510=$BD$4:$BD$12824),$AC$4:$AC$12824))</f>
        <v>8.9928189813459868E-3</v>
      </c>
      <c r="BF510" s="458"/>
      <c r="BG510" s="458"/>
      <c r="BH510" s="458"/>
      <c r="BI510" s="458"/>
      <c r="BJ510" s="458"/>
      <c r="BK510" s="458"/>
      <c r="BL510" s="458"/>
      <c r="BM510" s="458"/>
      <c r="BN510" s="458"/>
      <c r="BO510" s="866">
        <f>VLOOKUP(BD510,$BD$4:$BN$12824,3,0)*BE510</f>
        <v>0</v>
      </c>
      <c r="BP510" s="866"/>
      <c r="BQ510" s="866"/>
      <c r="BR510" s="866">
        <f>VLOOKUP(BD510,$BD$4:$BN$12824,6,0)*BE510</f>
        <v>127051.95844103617</v>
      </c>
      <c r="BS510" s="866">
        <f>VLOOKUP(BD510,$BD$4:$BN$12824,7,0)*BE510</f>
        <v>17774.171824345623</v>
      </c>
      <c r="BT510" s="866"/>
      <c r="BU510" s="866">
        <f>VLOOKUP(BD510,$BD$4:$BN$12824,9,0)*BE510</f>
        <v>1122.2588447770725</v>
      </c>
      <c r="BV510" s="867"/>
      <c r="BW510" s="867">
        <f>VLOOKUP(BD510,$BD$4:$BN$12824,11,0)*BE510</f>
        <v>0</v>
      </c>
      <c r="BX510" s="1146">
        <f t="shared" si="101"/>
        <v>145948.38911015887</v>
      </c>
      <c r="BY510" s="867">
        <f t="shared" si="100"/>
        <v>9931406.109646298</v>
      </c>
      <c r="BZ510" s="867">
        <f t="shared" si="97"/>
        <v>19862812.219292596</v>
      </c>
      <c r="CA510" s="867">
        <f>_xlfn.MAXIFS($BY$4:$BY$12824,$S$4:$S$12824,$S510)</f>
        <v>9931406.109646298</v>
      </c>
      <c r="CB510" s="1032"/>
      <c r="CF510" s="946">
        <f t="shared" si="99"/>
        <v>17922805.830000002</v>
      </c>
    </row>
    <row r="511" spans="1:84">
      <c r="A511" s="1032"/>
      <c r="B511" s="839" t="s">
        <v>98</v>
      </c>
      <c r="C511" s="839" t="s">
        <v>273</v>
      </c>
      <c r="D511" s="839" t="s">
        <v>1735</v>
      </c>
      <c r="E511" s="839" t="s">
        <v>1736</v>
      </c>
      <c r="F511" s="841">
        <v>45439</v>
      </c>
      <c r="G511" s="840" t="s">
        <v>273</v>
      </c>
      <c r="H511" s="842" t="s">
        <v>134</v>
      </c>
      <c r="I511" s="842"/>
      <c r="J511" s="841"/>
      <c r="K511" s="841"/>
      <c r="L511" s="843" t="s">
        <v>1622</v>
      </c>
      <c r="M511" s="844" t="s">
        <v>275</v>
      </c>
      <c r="N511" s="841"/>
      <c r="O511" s="841" t="s">
        <v>150</v>
      </c>
      <c r="P511" s="841" t="s">
        <v>276</v>
      </c>
      <c r="Q511" s="843"/>
      <c r="R511" s="845" t="s">
        <v>710</v>
      </c>
      <c r="S511" s="1127" t="s">
        <v>710</v>
      </c>
      <c r="T511" s="843" t="s">
        <v>1776</v>
      </c>
      <c r="U511" s="842">
        <v>2</v>
      </c>
      <c r="V511" s="842" t="s">
        <v>3</v>
      </c>
      <c r="W511" s="846">
        <v>1499.07</v>
      </c>
      <c r="X511" s="847">
        <f t="shared" si="92"/>
        <v>2998.14</v>
      </c>
      <c r="Y511" s="848">
        <f t="shared" si="98"/>
        <v>0.54998765901525604</v>
      </c>
      <c r="Z511" s="849">
        <v>674.6</v>
      </c>
      <c r="AA511" s="849"/>
      <c r="AB511" s="849">
        <f t="shared" si="93"/>
        <v>1349.2</v>
      </c>
      <c r="AC511" s="850">
        <f t="shared" si="94"/>
        <v>1349.2</v>
      </c>
      <c r="AD511" s="851"/>
      <c r="AE511" s="852">
        <v>26647.05</v>
      </c>
      <c r="AF511" s="853">
        <v>0.1</v>
      </c>
      <c r="AG511" s="854">
        <f t="shared" si="95"/>
        <v>3598785.3907911698</v>
      </c>
      <c r="AH511" s="853"/>
      <c r="AI511" s="855">
        <f t="shared" si="96"/>
        <v>0</v>
      </c>
      <c r="AJ511" s="845" t="s">
        <v>1738</v>
      </c>
      <c r="AK511" s="857" t="s">
        <v>1739</v>
      </c>
      <c r="AL511" s="840" t="s">
        <v>1740</v>
      </c>
      <c r="AM511" s="840"/>
      <c r="AN511" s="858"/>
      <c r="AO511" s="844" t="s">
        <v>1741</v>
      </c>
      <c r="AP511" s="859">
        <v>45481</v>
      </c>
      <c r="AQ511" s="859">
        <v>45451</v>
      </c>
      <c r="AR511" s="859" t="s">
        <v>1742</v>
      </c>
      <c r="AS511" s="840" t="s">
        <v>1284</v>
      </c>
      <c r="AT511" s="840" t="s">
        <v>1743</v>
      </c>
      <c r="AU511" s="860" t="s">
        <v>1210</v>
      </c>
      <c r="AV511" s="839" t="s">
        <v>1744</v>
      </c>
      <c r="AW511" s="861">
        <v>45552</v>
      </c>
      <c r="AX511" s="862" t="s">
        <v>1745</v>
      </c>
      <c r="AY511" s="843"/>
      <c r="AZ511" s="842">
        <v>94031000</v>
      </c>
      <c r="BA511" s="842" t="s">
        <v>120</v>
      </c>
      <c r="BB511" s="863" t="s">
        <v>121</v>
      </c>
      <c r="BC511" s="864">
        <v>45555</v>
      </c>
      <c r="BD511" s="860" t="s">
        <v>1746</v>
      </c>
      <c r="BE511" s="865" cm="1">
        <f t="array" ref="BE511">IF(BD511="","",AC511/SUMPRODUCT(--(BD511=$BD$4:$BD$12824),$AC$4:$AC$12824))</f>
        <v>1.8039118896271196E-2</v>
      </c>
      <c r="BF511" s="458"/>
      <c r="BG511" s="458"/>
      <c r="BH511" s="458"/>
      <c r="BI511" s="458"/>
      <c r="BJ511" s="458"/>
      <c r="BK511" s="458"/>
      <c r="BL511" s="458"/>
      <c r="BM511" s="458"/>
      <c r="BN511" s="458"/>
      <c r="BO511" s="866">
        <f>VLOOKUP(BD511,$BD$4:$BN$12824,3,0)*BE511</f>
        <v>0</v>
      </c>
      <c r="BP511" s="866"/>
      <c r="BQ511" s="866"/>
      <c r="BR511" s="866">
        <f>VLOOKUP(BD511,$BD$4:$BN$12824,6,0)*BE511</f>
        <v>254859.50390818616</v>
      </c>
      <c r="BS511" s="866">
        <f>VLOOKUP(BD511,$BD$4:$BN$12824,7,0)*BE511</f>
        <v>35654.047911696573</v>
      </c>
      <c r="BT511" s="866"/>
      <c r="BU511" s="866">
        <f>VLOOKUP(BD511,$BD$4:$BN$12824,9,0)*BE511</f>
        <v>2251.1918426601637</v>
      </c>
      <c r="BV511" s="867"/>
      <c r="BW511" s="867">
        <f>VLOOKUP(BD511,$BD$4:$BN$12824,11,0)*BE511</f>
        <v>0</v>
      </c>
      <c r="BX511" s="1146">
        <f t="shared" si="101"/>
        <v>292764.7436625429</v>
      </c>
      <c r="BY511" s="867">
        <f t="shared" si="100"/>
        <v>19921874.997226857</v>
      </c>
      <c r="BZ511" s="867">
        <f t="shared" si="97"/>
        <v>39843749.994453713</v>
      </c>
      <c r="CA511" s="867">
        <f>_xlfn.MAXIFS($BY$4:$BY$12824,$S$4:$S$12824,$S511)</f>
        <v>19921874.997226857</v>
      </c>
      <c r="CB511" s="1032"/>
      <c r="CF511" s="946">
        <f t="shared" si="99"/>
        <v>35952199.859999999</v>
      </c>
    </row>
    <row r="512" spans="1:84">
      <c r="A512" s="1032"/>
      <c r="B512" s="839" t="s">
        <v>98</v>
      </c>
      <c r="C512" s="839" t="s">
        <v>273</v>
      </c>
      <c r="D512" s="839" t="s">
        <v>1735</v>
      </c>
      <c r="E512" s="839" t="s">
        <v>1736</v>
      </c>
      <c r="F512" s="841">
        <v>45439</v>
      </c>
      <c r="G512" s="840" t="s">
        <v>273</v>
      </c>
      <c r="H512" s="842" t="s">
        <v>134</v>
      </c>
      <c r="I512" s="842"/>
      <c r="J512" s="841"/>
      <c r="K512" s="841"/>
      <c r="L512" s="843" t="s">
        <v>1622</v>
      </c>
      <c r="M512" s="844" t="s">
        <v>275</v>
      </c>
      <c r="N512" s="841"/>
      <c r="O512" s="841" t="s">
        <v>150</v>
      </c>
      <c r="P512" s="841" t="s">
        <v>276</v>
      </c>
      <c r="Q512" s="843"/>
      <c r="R512" s="845" t="s">
        <v>712</v>
      </c>
      <c r="S512" s="1127" t="s">
        <v>712</v>
      </c>
      <c r="T512" s="843" t="s">
        <v>1777</v>
      </c>
      <c r="U512" s="842">
        <v>2</v>
      </c>
      <c r="V512" s="842" t="s">
        <v>3</v>
      </c>
      <c r="W512" s="846">
        <v>1499.07</v>
      </c>
      <c r="X512" s="847">
        <f t="shared" si="92"/>
        <v>2998.14</v>
      </c>
      <c r="Y512" s="848">
        <f t="shared" si="98"/>
        <v>0.54998765901525604</v>
      </c>
      <c r="Z512" s="849">
        <v>674.6</v>
      </c>
      <c r="AA512" s="849"/>
      <c r="AB512" s="849">
        <f t="shared" si="93"/>
        <v>1349.2</v>
      </c>
      <c r="AC512" s="850">
        <f t="shared" si="94"/>
        <v>1349.2</v>
      </c>
      <c r="AD512" s="851"/>
      <c r="AE512" s="852">
        <v>26647.05</v>
      </c>
      <c r="AF512" s="853">
        <v>0.1</v>
      </c>
      <c r="AG512" s="854">
        <f t="shared" si="95"/>
        <v>3598785.3907911698</v>
      </c>
      <c r="AH512" s="853"/>
      <c r="AI512" s="855">
        <f t="shared" si="96"/>
        <v>0</v>
      </c>
      <c r="AJ512" s="845" t="s">
        <v>1738</v>
      </c>
      <c r="AK512" s="857" t="s">
        <v>1739</v>
      </c>
      <c r="AL512" s="840" t="s">
        <v>1740</v>
      </c>
      <c r="AM512" s="840"/>
      <c r="AN512" s="858"/>
      <c r="AO512" s="844" t="s">
        <v>1741</v>
      </c>
      <c r="AP512" s="859">
        <v>45481</v>
      </c>
      <c r="AQ512" s="859">
        <v>45451</v>
      </c>
      <c r="AR512" s="859" t="s">
        <v>1742</v>
      </c>
      <c r="AS512" s="840" t="s">
        <v>1284</v>
      </c>
      <c r="AT512" s="840" t="s">
        <v>1743</v>
      </c>
      <c r="AU512" s="860" t="s">
        <v>1210</v>
      </c>
      <c r="AV512" s="839" t="s">
        <v>1744</v>
      </c>
      <c r="AW512" s="861">
        <v>45552</v>
      </c>
      <c r="AX512" s="862" t="s">
        <v>1745</v>
      </c>
      <c r="AY512" s="843"/>
      <c r="AZ512" s="842">
        <v>94031000</v>
      </c>
      <c r="BA512" s="842" t="s">
        <v>120</v>
      </c>
      <c r="BB512" s="863" t="s">
        <v>121</v>
      </c>
      <c r="BC512" s="864">
        <v>45555</v>
      </c>
      <c r="BD512" s="860" t="s">
        <v>1746</v>
      </c>
      <c r="BE512" s="865" cm="1">
        <f t="array" ref="BE512">IF(BD512="","",AC512/SUMPRODUCT(--(BD512=$BD$4:$BD$12824),$AC$4:$AC$12824))</f>
        <v>1.8039118896271196E-2</v>
      </c>
      <c r="BF512" s="458"/>
      <c r="BG512" s="458"/>
      <c r="BH512" s="458"/>
      <c r="BI512" s="458"/>
      <c r="BJ512" s="458"/>
      <c r="BK512" s="458"/>
      <c r="BL512" s="458"/>
      <c r="BM512" s="458"/>
      <c r="BN512" s="458"/>
      <c r="BO512" s="866">
        <f>VLOOKUP(BD512,$BD$4:$BN$12824,3,0)*BE512</f>
        <v>0</v>
      </c>
      <c r="BP512" s="866"/>
      <c r="BQ512" s="866"/>
      <c r="BR512" s="866">
        <f>VLOOKUP(BD512,$BD$4:$BN$12824,6,0)*BE512</f>
        <v>254859.50390818616</v>
      </c>
      <c r="BS512" s="866">
        <f>VLOOKUP(BD512,$BD$4:$BN$12824,7,0)*BE512</f>
        <v>35654.047911696573</v>
      </c>
      <c r="BT512" s="866"/>
      <c r="BU512" s="866">
        <f>VLOOKUP(BD512,$BD$4:$BN$12824,9,0)*BE512</f>
        <v>2251.1918426601637</v>
      </c>
      <c r="BV512" s="867"/>
      <c r="BW512" s="867">
        <f>VLOOKUP(BD512,$BD$4:$BN$12824,11,0)*BE512</f>
        <v>0</v>
      </c>
      <c r="BX512" s="1146">
        <f t="shared" si="101"/>
        <v>292764.7436625429</v>
      </c>
      <c r="BY512" s="867">
        <f t="shared" si="100"/>
        <v>19921874.997226857</v>
      </c>
      <c r="BZ512" s="867">
        <f t="shared" si="97"/>
        <v>39843749.994453713</v>
      </c>
      <c r="CA512" s="867">
        <f>_xlfn.MAXIFS($BY$4:$BY$12824,$S$4:$S$12824,$S512)</f>
        <v>19921874.997226857</v>
      </c>
      <c r="CB512" s="1032"/>
      <c r="CF512" s="946">
        <f t="shared" si="99"/>
        <v>35952199.859999999</v>
      </c>
    </row>
    <row r="513" spans="1:84">
      <c r="A513" s="1032"/>
      <c r="B513" s="839" t="s">
        <v>98</v>
      </c>
      <c r="C513" s="839" t="s">
        <v>273</v>
      </c>
      <c r="D513" s="839" t="s">
        <v>1735</v>
      </c>
      <c r="E513" s="839" t="s">
        <v>1736</v>
      </c>
      <c r="F513" s="841">
        <v>45439</v>
      </c>
      <c r="G513" s="840" t="s">
        <v>273</v>
      </c>
      <c r="H513" s="842" t="s">
        <v>134</v>
      </c>
      <c r="I513" s="842"/>
      <c r="J513" s="841"/>
      <c r="K513" s="841"/>
      <c r="L513" s="843" t="s">
        <v>1622</v>
      </c>
      <c r="M513" s="844" t="s">
        <v>275</v>
      </c>
      <c r="N513" s="841"/>
      <c r="O513" s="841" t="s">
        <v>150</v>
      </c>
      <c r="P513" s="841" t="s">
        <v>276</v>
      </c>
      <c r="Q513" s="843"/>
      <c r="R513" s="845" t="s">
        <v>1778</v>
      </c>
      <c r="S513" s="1127" t="s">
        <v>1778</v>
      </c>
      <c r="T513" s="843" t="s">
        <v>1779</v>
      </c>
      <c r="U513" s="842">
        <v>4</v>
      </c>
      <c r="V513" s="842" t="s">
        <v>3</v>
      </c>
      <c r="W513" s="846">
        <v>714.15</v>
      </c>
      <c r="X513" s="847">
        <f t="shared" si="92"/>
        <v>2856.6</v>
      </c>
      <c r="Y513" s="848">
        <f t="shared" si="98"/>
        <v>0.54995449135335717</v>
      </c>
      <c r="Z513" s="849">
        <v>321.39999999999998</v>
      </c>
      <c r="AA513" s="849"/>
      <c r="AB513" s="849">
        <f t="shared" si="93"/>
        <v>1285.5999999999999</v>
      </c>
      <c r="AC513" s="850">
        <f t="shared" si="94"/>
        <v>1285.5999999999999</v>
      </c>
      <c r="AD513" s="851"/>
      <c r="AE513" s="852">
        <v>26647.05</v>
      </c>
      <c r="AF513" s="853">
        <v>0.1</v>
      </c>
      <c r="AG513" s="854">
        <f t="shared" si="95"/>
        <v>3429142.0830129907</v>
      </c>
      <c r="AH513" s="853"/>
      <c r="AI513" s="855">
        <f t="shared" si="96"/>
        <v>0</v>
      </c>
      <c r="AJ513" s="845" t="s">
        <v>1738</v>
      </c>
      <c r="AK513" s="857" t="s">
        <v>1739</v>
      </c>
      <c r="AL513" s="840" t="s">
        <v>1740</v>
      </c>
      <c r="AM513" s="840"/>
      <c r="AN513" s="858"/>
      <c r="AO513" s="844" t="s">
        <v>1741</v>
      </c>
      <c r="AP513" s="859">
        <v>45481</v>
      </c>
      <c r="AQ513" s="859">
        <v>45451</v>
      </c>
      <c r="AR513" s="859" t="s">
        <v>1742</v>
      </c>
      <c r="AS513" s="840" t="s">
        <v>1284</v>
      </c>
      <c r="AT513" s="840" t="s">
        <v>1743</v>
      </c>
      <c r="AU513" s="860" t="s">
        <v>1210</v>
      </c>
      <c r="AV513" s="839" t="s">
        <v>1744</v>
      </c>
      <c r="AW513" s="861">
        <v>45552</v>
      </c>
      <c r="AX513" s="862" t="s">
        <v>1745</v>
      </c>
      <c r="AY513" s="843"/>
      <c r="AZ513" s="842">
        <v>94031000</v>
      </c>
      <c r="BA513" s="842" t="s">
        <v>120</v>
      </c>
      <c r="BB513" s="863" t="s">
        <v>121</v>
      </c>
      <c r="BC513" s="864">
        <v>45555</v>
      </c>
      <c r="BD513" s="860" t="s">
        <v>1746</v>
      </c>
      <c r="BE513" s="865" cm="1">
        <f t="array" ref="BE513">IF(BD513="","",AC513/SUMPRODUCT(--(BD513=$BD$4:$BD$12824),$AC$4:$AC$12824))</f>
        <v>1.7188772052361582E-2</v>
      </c>
      <c r="BF513" s="458"/>
      <c r="BG513" s="458"/>
      <c r="BH513" s="458"/>
      <c r="BI513" s="458"/>
      <c r="BJ513" s="458"/>
      <c r="BK513" s="458"/>
      <c r="BL513" s="458"/>
      <c r="BM513" s="458"/>
      <c r="BN513" s="458"/>
      <c r="BO513" s="866">
        <f>VLOOKUP(BD513,$BD$4:$BN$12824,3,0)*BE513</f>
        <v>0</v>
      </c>
      <c r="BP513" s="866"/>
      <c r="BQ513" s="866"/>
      <c r="BR513" s="866">
        <f>VLOOKUP(BD513,$BD$4:$BN$12824,6,0)*BE513</f>
        <v>242845.67019297666</v>
      </c>
      <c r="BS513" s="866">
        <f>VLOOKUP(BD513,$BD$4:$BN$12824,7,0)*BE513</f>
        <v>33973.35012991188</v>
      </c>
      <c r="BT513" s="866"/>
      <c r="BU513" s="866">
        <f>VLOOKUP(BD513,$BD$4:$BN$12824,9,0)*BE513</f>
        <v>2145.0728082744636</v>
      </c>
      <c r="BV513" s="867"/>
      <c r="BW513" s="867">
        <f>VLOOKUP(BD513,$BD$4:$BN$12824,11,0)*BE513</f>
        <v>0</v>
      </c>
      <c r="BX513" s="1146">
        <f t="shared" si="101"/>
        <v>278964.09313116298</v>
      </c>
      <c r="BY513" s="867">
        <f t="shared" si="100"/>
        <v>9491388.4140360374</v>
      </c>
      <c r="BZ513" s="867">
        <f t="shared" si="97"/>
        <v>37965553.65614415</v>
      </c>
      <c r="CA513" s="867">
        <f>_xlfn.MAXIFS($BY$4:$BY$12824,$S$4:$S$12824,$S513)</f>
        <v>9491388.4140360374</v>
      </c>
      <c r="CB513" s="1032"/>
      <c r="CF513" s="946">
        <f t="shared" si="99"/>
        <v>34257447.479999997</v>
      </c>
    </row>
    <row r="514" spans="1:84">
      <c r="A514" s="1032"/>
      <c r="B514" s="839" t="s">
        <v>98</v>
      </c>
      <c r="C514" s="839" t="s">
        <v>273</v>
      </c>
      <c r="D514" s="839" t="s">
        <v>1735</v>
      </c>
      <c r="E514" s="839" t="s">
        <v>1736</v>
      </c>
      <c r="F514" s="841">
        <v>45439</v>
      </c>
      <c r="G514" s="840" t="s">
        <v>273</v>
      </c>
      <c r="H514" s="842" t="s">
        <v>134</v>
      </c>
      <c r="I514" s="842"/>
      <c r="J514" s="841"/>
      <c r="K514" s="841"/>
      <c r="L514" s="843" t="s">
        <v>1622</v>
      </c>
      <c r="M514" s="844" t="s">
        <v>275</v>
      </c>
      <c r="N514" s="841"/>
      <c r="O514" s="841" t="s">
        <v>150</v>
      </c>
      <c r="P514" s="841" t="s">
        <v>276</v>
      </c>
      <c r="Q514" s="843"/>
      <c r="R514" s="845" t="s">
        <v>1780</v>
      </c>
      <c r="S514" s="1127" t="s">
        <v>1780</v>
      </c>
      <c r="T514" s="843" t="s">
        <v>1781</v>
      </c>
      <c r="U514" s="842">
        <v>4</v>
      </c>
      <c r="V514" s="842" t="s">
        <v>3</v>
      </c>
      <c r="W514" s="846">
        <v>714.15</v>
      </c>
      <c r="X514" s="847">
        <f t="shared" ref="X514:X577" si="102">W514*U514</f>
        <v>2856.6</v>
      </c>
      <c r="Y514" s="848">
        <f t="shared" si="98"/>
        <v>0.54995449135335717</v>
      </c>
      <c r="Z514" s="849">
        <v>321.39999999999998</v>
      </c>
      <c r="AA514" s="849"/>
      <c r="AB514" s="849">
        <f t="shared" ref="AB514:AB577" si="103">IF(AA514="F.O.C", 0, Z514*U514)</f>
        <v>1285.5999999999999</v>
      </c>
      <c r="AC514" s="850">
        <f t="shared" ref="AC514:AC577" si="104">Z514*U514</f>
        <v>1285.5999999999999</v>
      </c>
      <c r="AD514" s="851"/>
      <c r="AE514" s="852">
        <v>26647.05</v>
      </c>
      <c r="AF514" s="853">
        <v>0.1</v>
      </c>
      <c r="AG514" s="854">
        <f t="shared" ref="AG514:AG577" si="105">(AC514*AE514+BO514+BP514+BQ514+BS514)*AF514</f>
        <v>3429142.0830129907</v>
      </c>
      <c r="AH514" s="853"/>
      <c r="AI514" s="855">
        <f t="shared" ref="AI514:AI577" si="106">(AC514*AE514+AG514+BF514+BG514+BH514+BJ514)*AH514</f>
        <v>0</v>
      </c>
      <c r="AJ514" s="845" t="s">
        <v>1738</v>
      </c>
      <c r="AK514" s="857" t="s">
        <v>1739</v>
      </c>
      <c r="AL514" s="840" t="s">
        <v>1740</v>
      </c>
      <c r="AM514" s="840"/>
      <c r="AN514" s="858"/>
      <c r="AO514" s="844" t="s">
        <v>1741</v>
      </c>
      <c r="AP514" s="859">
        <v>45481</v>
      </c>
      <c r="AQ514" s="859">
        <v>45451</v>
      </c>
      <c r="AR514" s="859" t="s">
        <v>1742</v>
      </c>
      <c r="AS514" s="840" t="s">
        <v>1284</v>
      </c>
      <c r="AT514" s="840" t="s">
        <v>1743</v>
      </c>
      <c r="AU514" s="860" t="s">
        <v>1210</v>
      </c>
      <c r="AV514" s="839" t="s">
        <v>1744</v>
      </c>
      <c r="AW514" s="861">
        <v>45552</v>
      </c>
      <c r="AX514" s="862" t="s">
        <v>1745</v>
      </c>
      <c r="AY514" s="843"/>
      <c r="AZ514" s="842">
        <v>94031000</v>
      </c>
      <c r="BA514" s="842" t="s">
        <v>120</v>
      </c>
      <c r="BB514" s="863" t="s">
        <v>121</v>
      </c>
      <c r="BC514" s="864">
        <v>45555</v>
      </c>
      <c r="BD514" s="860" t="s">
        <v>1746</v>
      </c>
      <c r="BE514" s="865" cm="1">
        <f t="array" ref="BE514">IF(BD514="","",AC514/SUMPRODUCT(--(BD514=$BD$4:$BD$12824),$AC$4:$AC$12824))</f>
        <v>1.7188772052361582E-2</v>
      </c>
      <c r="BF514" s="458"/>
      <c r="BG514" s="458"/>
      <c r="BH514" s="458"/>
      <c r="BI514" s="458"/>
      <c r="BJ514" s="458"/>
      <c r="BK514" s="458"/>
      <c r="BL514" s="458"/>
      <c r="BM514" s="458"/>
      <c r="BN514" s="458"/>
      <c r="BO514" s="866">
        <f>VLOOKUP(BD514,$BD$4:$BN$12824,3,0)*BE514</f>
        <v>0</v>
      </c>
      <c r="BP514" s="866"/>
      <c r="BQ514" s="866"/>
      <c r="BR514" s="866">
        <f>VLOOKUP(BD514,$BD$4:$BN$12824,6,0)*BE514</f>
        <v>242845.67019297666</v>
      </c>
      <c r="BS514" s="866">
        <f>VLOOKUP(BD514,$BD$4:$BN$12824,7,0)*BE514</f>
        <v>33973.35012991188</v>
      </c>
      <c r="BT514" s="866"/>
      <c r="BU514" s="866">
        <f>VLOOKUP(BD514,$BD$4:$BN$12824,9,0)*BE514</f>
        <v>2145.0728082744636</v>
      </c>
      <c r="BV514" s="867"/>
      <c r="BW514" s="867">
        <f>VLOOKUP(BD514,$BD$4:$BN$12824,11,0)*BE514</f>
        <v>0</v>
      </c>
      <c r="BX514" s="1146">
        <f t="shared" si="101"/>
        <v>278964.09313116298</v>
      </c>
      <c r="BY514" s="867">
        <f t="shared" si="100"/>
        <v>9491388.4140360374</v>
      </c>
      <c r="BZ514" s="867">
        <f t="shared" ref="BZ514:BZ577" si="107">BY514*U514</f>
        <v>37965553.65614415</v>
      </c>
      <c r="CA514" s="867">
        <f>_xlfn.MAXIFS($BY$4:$BY$12824,$S$4:$S$12824,$S514)</f>
        <v>9491388.4140360374</v>
      </c>
      <c r="CB514" s="1032"/>
      <c r="CF514" s="946">
        <f t="shared" si="99"/>
        <v>34257447.479999997</v>
      </c>
    </row>
    <row r="515" spans="1:84">
      <c r="A515" s="1032"/>
      <c r="B515" s="839" t="s">
        <v>98</v>
      </c>
      <c r="C515" s="839" t="s">
        <v>273</v>
      </c>
      <c r="D515" s="839" t="s">
        <v>1735</v>
      </c>
      <c r="E515" s="839" t="s">
        <v>1736</v>
      </c>
      <c r="F515" s="841">
        <v>45439</v>
      </c>
      <c r="G515" s="840" t="s">
        <v>273</v>
      </c>
      <c r="H515" s="842" t="s">
        <v>134</v>
      </c>
      <c r="I515" s="842"/>
      <c r="J515" s="841"/>
      <c r="K515" s="841"/>
      <c r="L515" s="843" t="s">
        <v>1622</v>
      </c>
      <c r="M515" s="844" t="s">
        <v>275</v>
      </c>
      <c r="N515" s="841"/>
      <c r="O515" s="841" t="s">
        <v>150</v>
      </c>
      <c r="P515" s="841" t="s">
        <v>276</v>
      </c>
      <c r="Q515" s="843"/>
      <c r="R515" s="845" t="s">
        <v>1782</v>
      </c>
      <c r="S515" s="1127" t="s">
        <v>1782</v>
      </c>
      <c r="T515" s="843" t="s">
        <v>1783</v>
      </c>
      <c r="U515" s="842">
        <v>2</v>
      </c>
      <c r="V515" s="842" t="s">
        <v>3</v>
      </c>
      <c r="W515" s="846">
        <v>714.15</v>
      </c>
      <c r="X515" s="847">
        <f t="shared" si="102"/>
        <v>1428.3</v>
      </c>
      <c r="Y515" s="848">
        <f t="shared" si="98"/>
        <v>0.54995449135335717</v>
      </c>
      <c r="Z515" s="849">
        <v>321.39999999999998</v>
      </c>
      <c r="AA515" s="849"/>
      <c r="AB515" s="849">
        <f t="shared" si="103"/>
        <v>642.79999999999995</v>
      </c>
      <c r="AC515" s="850">
        <f t="shared" si="104"/>
        <v>642.79999999999995</v>
      </c>
      <c r="AD515" s="851"/>
      <c r="AE515" s="852">
        <v>26647.05</v>
      </c>
      <c r="AF515" s="853">
        <v>0.1</v>
      </c>
      <c r="AG515" s="854">
        <f t="shared" si="105"/>
        <v>1714571.0415064953</v>
      </c>
      <c r="AH515" s="853"/>
      <c r="AI515" s="855">
        <f t="shared" si="106"/>
        <v>0</v>
      </c>
      <c r="AJ515" s="845" t="s">
        <v>1738</v>
      </c>
      <c r="AK515" s="857" t="s">
        <v>1739</v>
      </c>
      <c r="AL515" s="840" t="s">
        <v>1740</v>
      </c>
      <c r="AM515" s="840"/>
      <c r="AN515" s="858"/>
      <c r="AO515" s="844" t="s">
        <v>1741</v>
      </c>
      <c r="AP515" s="859">
        <v>45481</v>
      </c>
      <c r="AQ515" s="859">
        <v>45451</v>
      </c>
      <c r="AR515" s="859" t="s">
        <v>1742</v>
      </c>
      <c r="AS515" s="840" t="s">
        <v>1284</v>
      </c>
      <c r="AT515" s="840" t="s">
        <v>1743</v>
      </c>
      <c r="AU515" s="860" t="s">
        <v>1210</v>
      </c>
      <c r="AV515" s="839" t="s">
        <v>1744</v>
      </c>
      <c r="AW515" s="861">
        <v>45552</v>
      </c>
      <c r="AX515" s="862" t="s">
        <v>1745</v>
      </c>
      <c r="AY515" s="843"/>
      <c r="AZ515" s="842">
        <v>94031000</v>
      </c>
      <c r="BA515" s="842" t="s">
        <v>120</v>
      </c>
      <c r="BB515" s="863" t="s">
        <v>121</v>
      </c>
      <c r="BC515" s="864">
        <v>45555</v>
      </c>
      <c r="BD515" s="860" t="s">
        <v>1746</v>
      </c>
      <c r="BE515" s="865" cm="1">
        <f t="array" ref="BE515">IF(BD515="","",AC515/SUMPRODUCT(--(BD515=$BD$4:$BD$12824),$AC$4:$AC$12824))</f>
        <v>8.5943860261807909E-3</v>
      </c>
      <c r="BF515" s="458"/>
      <c r="BG515" s="458"/>
      <c r="BH515" s="458"/>
      <c r="BI515" s="458"/>
      <c r="BJ515" s="458"/>
      <c r="BK515" s="458"/>
      <c r="BL515" s="458"/>
      <c r="BM515" s="458"/>
      <c r="BN515" s="458"/>
      <c r="BO515" s="866">
        <f>VLOOKUP(BD515,$BD$4:$BN$12824,3,0)*BE515</f>
        <v>0</v>
      </c>
      <c r="BP515" s="866"/>
      <c r="BQ515" s="866"/>
      <c r="BR515" s="866">
        <f>VLOOKUP(BD515,$BD$4:$BN$12824,6,0)*BE515</f>
        <v>121422.83509648833</v>
      </c>
      <c r="BS515" s="866">
        <f>VLOOKUP(BD515,$BD$4:$BN$12824,7,0)*BE515</f>
        <v>16986.67506495594</v>
      </c>
      <c r="BT515" s="866"/>
      <c r="BU515" s="866">
        <f>VLOOKUP(BD515,$BD$4:$BN$12824,9,0)*BE515</f>
        <v>1072.5364041372318</v>
      </c>
      <c r="BV515" s="867"/>
      <c r="BW515" s="867">
        <f>VLOOKUP(BD515,$BD$4:$BN$12824,11,0)*BE515</f>
        <v>0</v>
      </c>
      <c r="BX515" s="1146">
        <f t="shared" si="101"/>
        <v>139482.04656558149</v>
      </c>
      <c r="BY515" s="867">
        <f t="shared" si="100"/>
        <v>9491388.4140360374</v>
      </c>
      <c r="BZ515" s="867">
        <f t="shared" si="107"/>
        <v>18982776.828072075</v>
      </c>
      <c r="CA515" s="867">
        <f>_xlfn.MAXIFS($BY$4:$BY$12824,$S$4:$S$12824,$S515)</f>
        <v>9491388.4140360374</v>
      </c>
      <c r="CB515" s="1032"/>
      <c r="CF515" s="946">
        <f t="shared" si="99"/>
        <v>17128723.739999998</v>
      </c>
    </row>
    <row r="516" spans="1:84">
      <c r="A516" s="1032"/>
      <c r="B516" s="839" t="s">
        <v>98</v>
      </c>
      <c r="C516" s="839" t="s">
        <v>273</v>
      </c>
      <c r="D516" s="839" t="s">
        <v>1735</v>
      </c>
      <c r="E516" s="839" t="s">
        <v>1736</v>
      </c>
      <c r="F516" s="841">
        <v>45439</v>
      </c>
      <c r="G516" s="840" t="s">
        <v>273</v>
      </c>
      <c r="H516" s="842" t="s">
        <v>134</v>
      </c>
      <c r="I516" s="842"/>
      <c r="J516" s="841"/>
      <c r="K516" s="841"/>
      <c r="L516" s="843" t="s">
        <v>1622</v>
      </c>
      <c r="M516" s="844" t="s">
        <v>275</v>
      </c>
      <c r="N516" s="841"/>
      <c r="O516" s="841" t="s">
        <v>150</v>
      </c>
      <c r="P516" s="841" t="s">
        <v>276</v>
      </c>
      <c r="Q516" s="843"/>
      <c r="R516" s="845" t="s">
        <v>1784</v>
      </c>
      <c r="S516" s="1127" t="s">
        <v>1784</v>
      </c>
      <c r="T516" s="843" t="s">
        <v>1785</v>
      </c>
      <c r="U516" s="842">
        <v>2</v>
      </c>
      <c r="V516" s="842" t="s">
        <v>3</v>
      </c>
      <c r="W516" s="846">
        <v>714.15</v>
      </c>
      <c r="X516" s="847">
        <f t="shared" si="102"/>
        <v>1428.3</v>
      </c>
      <c r="Y516" s="848">
        <f t="shared" ref="Y516:Y579" si="108">(W516-Z516)/W516</f>
        <v>0.54995449135335717</v>
      </c>
      <c r="Z516" s="849">
        <v>321.39999999999998</v>
      </c>
      <c r="AA516" s="849"/>
      <c r="AB516" s="849">
        <f t="shared" si="103"/>
        <v>642.79999999999995</v>
      </c>
      <c r="AC516" s="850">
        <f t="shared" si="104"/>
        <v>642.79999999999995</v>
      </c>
      <c r="AD516" s="851"/>
      <c r="AE516" s="852">
        <v>26647.05</v>
      </c>
      <c r="AF516" s="853">
        <v>0.1</v>
      </c>
      <c r="AG516" s="854">
        <f t="shared" si="105"/>
        <v>1714571.0415064953</v>
      </c>
      <c r="AH516" s="853"/>
      <c r="AI516" s="855">
        <f t="shared" si="106"/>
        <v>0</v>
      </c>
      <c r="AJ516" s="845" t="s">
        <v>1738</v>
      </c>
      <c r="AK516" s="857" t="s">
        <v>1739</v>
      </c>
      <c r="AL516" s="840" t="s">
        <v>1740</v>
      </c>
      <c r="AM516" s="840"/>
      <c r="AN516" s="858"/>
      <c r="AO516" s="844" t="s">
        <v>1741</v>
      </c>
      <c r="AP516" s="859">
        <v>45481</v>
      </c>
      <c r="AQ516" s="859">
        <v>45451</v>
      </c>
      <c r="AR516" s="859" t="s">
        <v>1742</v>
      </c>
      <c r="AS516" s="840" t="s">
        <v>1284</v>
      </c>
      <c r="AT516" s="840" t="s">
        <v>1743</v>
      </c>
      <c r="AU516" s="860" t="s">
        <v>1210</v>
      </c>
      <c r="AV516" s="839" t="s">
        <v>1744</v>
      </c>
      <c r="AW516" s="861">
        <v>45552</v>
      </c>
      <c r="AX516" s="862" t="s">
        <v>1745</v>
      </c>
      <c r="AY516" s="843"/>
      <c r="AZ516" s="842">
        <v>94031000</v>
      </c>
      <c r="BA516" s="842" t="s">
        <v>120</v>
      </c>
      <c r="BB516" s="863" t="s">
        <v>121</v>
      </c>
      <c r="BC516" s="864">
        <v>45555</v>
      </c>
      <c r="BD516" s="860" t="s">
        <v>1746</v>
      </c>
      <c r="BE516" s="865" cm="1">
        <f t="array" ref="BE516">IF(BD516="","",AC516/SUMPRODUCT(--(BD516=$BD$4:$BD$12824),$AC$4:$AC$12824))</f>
        <v>8.5943860261807909E-3</v>
      </c>
      <c r="BF516" s="458"/>
      <c r="BG516" s="458"/>
      <c r="BH516" s="458"/>
      <c r="BI516" s="458"/>
      <c r="BJ516" s="458"/>
      <c r="BK516" s="458"/>
      <c r="BL516" s="458"/>
      <c r="BM516" s="458"/>
      <c r="BN516" s="458"/>
      <c r="BO516" s="866">
        <f>VLOOKUP(BD516,$BD$4:$BN$12824,3,0)*BE516</f>
        <v>0</v>
      </c>
      <c r="BP516" s="866"/>
      <c r="BQ516" s="866"/>
      <c r="BR516" s="866">
        <f>VLOOKUP(BD516,$BD$4:$BN$12824,6,0)*BE516</f>
        <v>121422.83509648833</v>
      </c>
      <c r="BS516" s="866">
        <f>VLOOKUP(BD516,$BD$4:$BN$12824,7,0)*BE516</f>
        <v>16986.67506495594</v>
      </c>
      <c r="BT516" s="866"/>
      <c r="BU516" s="866">
        <f>VLOOKUP(BD516,$BD$4:$BN$12824,9,0)*BE516</f>
        <v>1072.5364041372318</v>
      </c>
      <c r="BV516" s="867"/>
      <c r="BW516" s="867">
        <f>VLOOKUP(BD516,$BD$4:$BN$12824,11,0)*BE516</f>
        <v>0</v>
      </c>
      <c r="BX516" s="1146">
        <f t="shared" si="101"/>
        <v>139482.04656558149</v>
      </c>
      <c r="BY516" s="867">
        <f t="shared" si="100"/>
        <v>9491388.4140360374</v>
      </c>
      <c r="BZ516" s="867">
        <f t="shared" si="107"/>
        <v>18982776.828072075</v>
      </c>
      <c r="CA516" s="867">
        <f>_xlfn.MAXIFS($BY$4:$BY$12824,$S$4:$S$12824,$S516)</f>
        <v>9491388.4140360374</v>
      </c>
      <c r="CB516" s="1032"/>
      <c r="CF516" s="946">
        <f t="shared" ref="CF516:CF579" si="109">AC516*AE516</f>
        <v>17128723.739999998</v>
      </c>
    </row>
    <row r="517" spans="1:84">
      <c r="A517" s="1032"/>
      <c r="B517" s="839" t="s">
        <v>98</v>
      </c>
      <c r="C517" s="839" t="s">
        <v>273</v>
      </c>
      <c r="D517" s="839" t="s">
        <v>1735</v>
      </c>
      <c r="E517" s="839" t="s">
        <v>1736</v>
      </c>
      <c r="F517" s="841">
        <v>45439</v>
      </c>
      <c r="G517" s="840" t="s">
        <v>273</v>
      </c>
      <c r="H517" s="842" t="s">
        <v>134</v>
      </c>
      <c r="I517" s="842"/>
      <c r="J517" s="841"/>
      <c r="K517" s="841"/>
      <c r="L517" s="843" t="s">
        <v>1622</v>
      </c>
      <c r="M517" s="844" t="s">
        <v>275</v>
      </c>
      <c r="N517" s="841"/>
      <c r="O517" s="841" t="s">
        <v>150</v>
      </c>
      <c r="P517" s="841" t="s">
        <v>276</v>
      </c>
      <c r="Q517" s="843"/>
      <c r="R517" s="845" t="s">
        <v>1786</v>
      </c>
      <c r="S517" s="1127" t="s">
        <v>1786</v>
      </c>
      <c r="T517" s="843" t="s">
        <v>1787</v>
      </c>
      <c r="U517" s="842">
        <v>2</v>
      </c>
      <c r="V517" s="842" t="s">
        <v>3</v>
      </c>
      <c r="W517" s="846">
        <v>714.15</v>
      </c>
      <c r="X517" s="847">
        <f t="shared" si="102"/>
        <v>1428.3</v>
      </c>
      <c r="Y517" s="848">
        <f t="shared" si="108"/>
        <v>0.54995449135335717</v>
      </c>
      <c r="Z517" s="849">
        <v>321.39999999999998</v>
      </c>
      <c r="AA517" s="849"/>
      <c r="AB517" s="849">
        <f t="shared" si="103"/>
        <v>642.79999999999995</v>
      </c>
      <c r="AC517" s="850">
        <f t="shared" si="104"/>
        <v>642.79999999999995</v>
      </c>
      <c r="AD517" s="851"/>
      <c r="AE517" s="852">
        <v>26647.05</v>
      </c>
      <c r="AF517" s="853">
        <v>0.1</v>
      </c>
      <c r="AG517" s="854">
        <f t="shared" si="105"/>
        <v>1714571.0415064953</v>
      </c>
      <c r="AH517" s="853"/>
      <c r="AI517" s="855">
        <f t="shared" si="106"/>
        <v>0</v>
      </c>
      <c r="AJ517" s="845" t="s">
        <v>1738</v>
      </c>
      <c r="AK517" s="857" t="s">
        <v>1739</v>
      </c>
      <c r="AL517" s="840" t="s">
        <v>1740</v>
      </c>
      <c r="AM517" s="840"/>
      <c r="AN517" s="858"/>
      <c r="AO517" s="844" t="s">
        <v>1741</v>
      </c>
      <c r="AP517" s="859">
        <v>45481</v>
      </c>
      <c r="AQ517" s="859">
        <v>45451</v>
      </c>
      <c r="AR517" s="859" t="s">
        <v>1742</v>
      </c>
      <c r="AS517" s="840" t="s">
        <v>1284</v>
      </c>
      <c r="AT517" s="840" t="s">
        <v>1743</v>
      </c>
      <c r="AU517" s="860" t="s">
        <v>1210</v>
      </c>
      <c r="AV517" s="839" t="s">
        <v>1744</v>
      </c>
      <c r="AW517" s="861">
        <v>45552</v>
      </c>
      <c r="AX517" s="862" t="s">
        <v>1745</v>
      </c>
      <c r="AY517" s="843"/>
      <c r="AZ517" s="842">
        <v>94031000</v>
      </c>
      <c r="BA517" s="842" t="s">
        <v>120</v>
      </c>
      <c r="BB517" s="863" t="s">
        <v>121</v>
      </c>
      <c r="BC517" s="864">
        <v>45555</v>
      </c>
      <c r="BD517" s="860" t="s">
        <v>1746</v>
      </c>
      <c r="BE517" s="865" cm="1">
        <f t="array" ref="BE517">IF(BD517="","",AC517/SUMPRODUCT(--(BD517=$BD$4:$BD$12824),$AC$4:$AC$12824))</f>
        <v>8.5943860261807909E-3</v>
      </c>
      <c r="BF517" s="458"/>
      <c r="BG517" s="458"/>
      <c r="BH517" s="458"/>
      <c r="BI517" s="458"/>
      <c r="BJ517" s="458"/>
      <c r="BK517" s="458"/>
      <c r="BL517" s="458"/>
      <c r="BM517" s="458"/>
      <c r="BN517" s="458"/>
      <c r="BO517" s="866">
        <f>VLOOKUP(BD517,$BD$4:$BN$12824,3,0)*BE517</f>
        <v>0</v>
      </c>
      <c r="BP517" s="866"/>
      <c r="BQ517" s="866"/>
      <c r="BR517" s="866">
        <f>VLOOKUP(BD517,$BD$4:$BN$12824,6,0)*BE517</f>
        <v>121422.83509648833</v>
      </c>
      <c r="BS517" s="866">
        <f>VLOOKUP(BD517,$BD$4:$BN$12824,7,0)*BE517</f>
        <v>16986.67506495594</v>
      </c>
      <c r="BT517" s="866"/>
      <c r="BU517" s="866">
        <f>VLOOKUP(BD517,$BD$4:$BN$12824,9,0)*BE517</f>
        <v>1072.5364041372318</v>
      </c>
      <c r="BV517" s="867"/>
      <c r="BW517" s="867">
        <f>VLOOKUP(BD517,$BD$4:$BN$12824,11,0)*BE517</f>
        <v>0</v>
      </c>
      <c r="BX517" s="1146">
        <f t="shared" si="101"/>
        <v>139482.04656558149</v>
      </c>
      <c r="BY517" s="867">
        <f t="shared" si="100"/>
        <v>9491388.4140360374</v>
      </c>
      <c r="BZ517" s="867">
        <f t="shared" si="107"/>
        <v>18982776.828072075</v>
      </c>
      <c r="CA517" s="867">
        <f>_xlfn.MAXIFS($BY$4:$BY$12824,$S$4:$S$12824,$S517)</f>
        <v>9491388.4140360374</v>
      </c>
      <c r="CB517" s="1032"/>
      <c r="CF517" s="946">
        <f t="shared" si="109"/>
        <v>17128723.739999998</v>
      </c>
    </row>
    <row r="518" spans="1:84">
      <c r="A518" s="1032"/>
      <c r="B518" s="839" t="s">
        <v>98</v>
      </c>
      <c r="C518" s="839" t="s">
        <v>273</v>
      </c>
      <c r="D518" s="839" t="s">
        <v>1735</v>
      </c>
      <c r="E518" s="839" t="s">
        <v>1736</v>
      </c>
      <c r="F518" s="841">
        <v>45439</v>
      </c>
      <c r="G518" s="840" t="s">
        <v>273</v>
      </c>
      <c r="H518" s="842" t="s">
        <v>134</v>
      </c>
      <c r="I518" s="842"/>
      <c r="J518" s="841"/>
      <c r="K518" s="841"/>
      <c r="L518" s="843" t="s">
        <v>1622</v>
      </c>
      <c r="M518" s="844" t="s">
        <v>275</v>
      </c>
      <c r="N518" s="841"/>
      <c r="O518" s="841" t="s">
        <v>150</v>
      </c>
      <c r="P518" s="841" t="s">
        <v>276</v>
      </c>
      <c r="Q518" s="843"/>
      <c r="R518" s="845" t="s">
        <v>1788</v>
      </c>
      <c r="S518" s="1127" t="s">
        <v>1788</v>
      </c>
      <c r="T518" s="843" t="s">
        <v>1789</v>
      </c>
      <c r="U518" s="842">
        <v>2</v>
      </c>
      <c r="V518" s="842" t="s">
        <v>3</v>
      </c>
      <c r="W518" s="846">
        <v>714.15</v>
      </c>
      <c r="X518" s="847">
        <f t="shared" si="102"/>
        <v>1428.3</v>
      </c>
      <c r="Y518" s="848">
        <f t="shared" si="108"/>
        <v>0.54995449135335717</v>
      </c>
      <c r="Z518" s="849">
        <v>321.39999999999998</v>
      </c>
      <c r="AA518" s="849"/>
      <c r="AB518" s="849">
        <f t="shared" si="103"/>
        <v>642.79999999999995</v>
      </c>
      <c r="AC518" s="850">
        <f t="shared" si="104"/>
        <v>642.79999999999995</v>
      </c>
      <c r="AD518" s="851"/>
      <c r="AE518" s="852">
        <v>26647.05</v>
      </c>
      <c r="AF518" s="853">
        <v>0.1</v>
      </c>
      <c r="AG518" s="854">
        <f t="shared" si="105"/>
        <v>1714571.0415064953</v>
      </c>
      <c r="AH518" s="853"/>
      <c r="AI518" s="855">
        <f t="shared" si="106"/>
        <v>0</v>
      </c>
      <c r="AJ518" s="845" t="s">
        <v>1738</v>
      </c>
      <c r="AK518" s="857" t="s">
        <v>1739</v>
      </c>
      <c r="AL518" s="840" t="s">
        <v>1740</v>
      </c>
      <c r="AM518" s="840"/>
      <c r="AN518" s="858"/>
      <c r="AO518" s="844" t="s">
        <v>1741</v>
      </c>
      <c r="AP518" s="859">
        <v>45481</v>
      </c>
      <c r="AQ518" s="859">
        <v>45451</v>
      </c>
      <c r="AR518" s="859" t="s">
        <v>1742</v>
      </c>
      <c r="AS518" s="840" t="s">
        <v>1284</v>
      </c>
      <c r="AT518" s="840" t="s">
        <v>1743</v>
      </c>
      <c r="AU518" s="860" t="s">
        <v>1210</v>
      </c>
      <c r="AV518" s="839" t="s">
        <v>1744</v>
      </c>
      <c r="AW518" s="861">
        <v>45552</v>
      </c>
      <c r="AX518" s="862" t="s">
        <v>1745</v>
      </c>
      <c r="AY518" s="843"/>
      <c r="AZ518" s="842">
        <v>94031000</v>
      </c>
      <c r="BA518" s="842" t="s">
        <v>120</v>
      </c>
      <c r="BB518" s="863" t="s">
        <v>121</v>
      </c>
      <c r="BC518" s="864">
        <v>45555</v>
      </c>
      <c r="BD518" s="860" t="s">
        <v>1746</v>
      </c>
      <c r="BE518" s="865" cm="1">
        <f t="array" ref="BE518">IF(BD518="","",AC518/SUMPRODUCT(--(BD518=$BD$4:$BD$12824),$AC$4:$AC$12824))</f>
        <v>8.5943860261807909E-3</v>
      </c>
      <c r="BF518" s="458"/>
      <c r="BG518" s="458"/>
      <c r="BH518" s="458"/>
      <c r="BI518" s="458"/>
      <c r="BJ518" s="458"/>
      <c r="BK518" s="458"/>
      <c r="BL518" s="458"/>
      <c r="BM518" s="458"/>
      <c r="BN518" s="458"/>
      <c r="BO518" s="866">
        <f>VLOOKUP(BD518,$BD$4:$BN$12824,3,0)*BE518</f>
        <v>0</v>
      </c>
      <c r="BP518" s="866"/>
      <c r="BQ518" s="866"/>
      <c r="BR518" s="866">
        <f>VLOOKUP(BD518,$BD$4:$BN$12824,6,0)*BE518</f>
        <v>121422.83509648833</v>
      </c>
      <c r="BS518" s="866">
        <f>VLOOKUP(BD518,$BD$4:$BN$12824,7,0)*BE518</f>
        <v>16986.67506495594</v>
      </c>
      <c r="BT518" s="866"/>
      <c r="BU518" s="866">
        <f>VLOOKUP(BD518,$BD$4:$BN$12824,9,0)*BE518</f>
        <v>1072.5364041372318</v>
      </c>
      <c r="BV518" s="867"/>
      <c r="BW518" s="867">
        <f>VLOOKUP(BD518,$BD$4:$BN$12824,11,0)*BE518</f>
        <v>0</v>
      </c>
      <c r="BX518" s="1146">
        <f t="shared" si="101"/>
        <v>139482.04656558149</v>
      </c>
      <c r="BY518" s="867">
        <f t="shared" ref="BY518:BY581" si="110">(AB518*AE518+AG518+BX518)/U518</f>
        <v>9491388.4140360374</v>
      </c>
      <c r="BZ518" s="867">
        <f t="shared" si="107"/>
        <v>18982776.828072075</v>
      </c>
      <c r="CA518" s="867">
        <f>_xlfn.MAXIFS($BY$4:$BY$12824,$S$4:$S$12824,$S518)</f>
        <v>9491388.4140360374</v>
      </c>
      <c r="CB518" s="1032"/>
      <c r="CF518" s="946">
        <f t="shared" si="109"/>
        <v>17128723.739999998</v>
      </c>
    </row>
    <row r="519" spans="1:84">
      <c r="A519" s="1032"/>
      <c r="B519" s="839" t="s">
        <v>98</v>
      </c>
      <c r="C519" s="839" t="s">
        <v>273</v>
      </c>
      <c r="D519" s="839" t="s">
        <v>1735</v>
      </c>
      <c r="E519" s="839" t="s">
        <v>1736</v>
      </c>
      <c r="F519" s="841">
        <v>45439</v>
      </c>
      <c r="G519" s="840" t="s">
        <v>273</v>
      </c>
      <c r="H519" s="842" t="s">
        <v>134</v>
      </c>
      <c r="I519" s="842"/>
      <c r="J519" s="841"/>
      <c r="K519" s="841"/>
      <c r="L519" s="843" t="s">
        <v>1622</v>
      </c>
      <c r="M519" s="844" t="s">
        <v>275</v>
      </c>
      <c r="N519" s="841"/>
      <c r="O519" s="841" t="s">
        <v>150</v>
      </c>
      <c r="P519" s="841" t="s">
        <v>276</v>
      </c>
      <c r="Q519" s="843"/>
      <c r="R519" s="845" t="s">
        <v>1790</v>
      </c>
      <c r="S519" s="1127" t="s">
        <v>1790</v>
      </c>
      <c r="T519" s="843" t="s">
        <v>1791</v>
      </c>
      <c r="U519" s="842">
        <v>2</v>
      </c>
      <c r="V519" s="842" t="s">
        <v>3</v>
      </c>
      <c r="W519" s="846">
        <v>714.15</v>
      </c>
      <c r="X519" s="847">
        <f t="shared" si="102"/>
        <v>1428.3</v>
      </c>
      <c r="Y519" s="848">
        <f t="shared" si="108"/>
        <v>0.54995449135335717</v>
      </c>
      <c r="Z519" s="849">
        <v>321.39999999999998</v>
      </c>
      <c r="AA519" s="849"/>
      <c r="AB519" s="849">
        <f t="shared" si="103"/>
        <v>642.79999999999995</v>
      </c>
      <c r="AC519" s="850">
        <f t="shared" si="104"/>
        <v>642.79999999999995</v>
      </c>
      <c r="AD519" s="851"/>
      <c r="AE519" s="852">
        <v>26647.05</v>
      </c>
      <c r="AF519" s="853">
        <v>0.1</v>
      </c>
      <c r="AG519" s="854">
        <f t="shared" si="105"/>
        <v>1714571.0415064953</v>
      </c>
      <c r="AH519" s="853"/>
      <c r="AI519" s="855">
        <f t="shared" si="106"/>
        <v>0</v>
      </c>
      <c r="AJ519" s="845" t="s">
        <v>1738</v>
      </c>
      <c r="AK519" s="857" t="s">
        <v>1739</v>
      </c>
      <c r="AL519" s="840" t="s">
        <v>1740</v>
      </c>
      <c r="AM519" s="840"/>
      <c r="AN519" s="858"/>
      <c r="AO519" s="844" t="s">
        <v>1741</v>
      </c>
      <c r="AP519" s="859">
        <v>45481</v>
      </c>
      <c r="AQ519" s="859">
        <v>45451</v>
      </c>
      <c r="AR519" s="859" t="s">
        <v>1742</v>
      </c>
      <c r="AS519" s="840" t="s">
        <v>1284</v>
      </c>
      <c r="AT519" s="840" t="s">
        <v>1743</v>
      </c>
      <c r="AU519" s="860" t="s">
        <v>1210</v>
      </c>
      <c r="AV519" s="839" t="s">
        <v>1744</v>
      </c>
      <c r="AW519" s="861">
        <v>45552</v>
      </c>
      <c r="AX519" s="862" t="s">
        <v>1745</v>
      </c>
      <c r="AY519" s="843"/>
      <c r="AZ519" s="842">
        <v>94031000</v>
      </c>
      <c r="BA519" s="842" t="s">
        <v>120</v>
      </c>
      <c r="BB519" s="863" t="s">
        <v>121</v>
      </c>
      <c r="BC519" s="864">
        <v>45555</v>
      </c>
      <c r="BD519" s="860" t="s">
        <v>1746</v>
      </c>
      <c r="BE519" s="865" cm="1">
        <f t="array" ref="BE519">IF(BD519="","",AC519/SUMPRODUCT(--(BD519=$BD$4:$BD$12824),$AC$4:$AC$12824))</f>
        <v>8.5943860261807909E-3</v>
      </c>
      <c r="BF519" s="458"/>
      <c r="BG519" s="458"/>
      <c r="BH519" s="458"/>
      <c r="BI519" s="458"/>
      <c r="BJ519" s="458"/>
      <c r="BK519" s="458"/>
      <c r="BL519" s="458"/>
      <c r="BM519" s="458"/>
      <c r="BN519" s="458"/>
      <c r="BO519" s="866">
        <f>VLOOKUP(BD519,$BD$4:$BN$12824,3,0)*BE519</f>
        <v>0</v>
      </c>
      <c r="BP519" s="866"/>
      <c r="BQ519" s="866"/>
      <c r="BR519" s="866">
        <f>VLOOKUP(BD519,$BD$4:$BN$12824,6,0)*BE519</f>
        <v>121422.83509648833</v>
      </c>
      <c r="BS519" s="866">
        <f>VLOOKUP(BD519,$BD$4:$BN$12824,7,0)*BE519</f>
        <v>16986.67506495594</v>
      </c>
      <c r="BT519" s="866"/>
      <c r="BU519" s="866">
        <f>VLOOKUP(BD519,$BD$4:$BN$12824,9,0)*BE519</f>
        <v>1072.5364041372318</v>
      </c>
      <c r="BV519" s="867"/>
      <c r="BW519" s="867">
        <f>VLOOKUP(BD519,$BD$4:$BN$12824,11,0)*BE519</f>
        <v>0</v>
      </c>
      <c r="BX519" s="1146">
        <f t="shared" si="101"/>
        <v>139482.04656558149</v>
      </c>
      <c r="BY519" s="867">
        <f t="shared" si="110"/>
        <v>9491388.4140360374</v>
      </c>
      <c r="BZ519" s="867">
        <f t="shared" si="107"/>
        <v>18982776.828072075</v>
      </c>
      <c r="CA519" s="867">
        <f>_xlfn.MAXIFS($BY$4:$BY$12824,$S$4:$S$12824,$S519)</f>
        <v>9491388.4140360374</v>
      </c>
      <c r="CB519" s="1032"/>
      <c r="CF519" s="946">
        <f t="shared" si="109"/>
        <v>17128723.739999998</v>
      </c>
    </row>
    <row r="520" spans="1:84">
      <c r="A520" s="1032"/>
      <c r="B520" s="839" t="s">
        <v>98</v>
      </c>
      <c r="C520" s="839" t="s">
        <v>273</v>
      </c>
      <c r="D520" s="839" t="s">
        <v>1735</v>
      </c>
      <c r="E520" s="839" t="s">
        <v>1736</v>
      </c>
      <c r="F520" s="841">
        <v>45439</v>
      </c>
      <c r="G520" s="840" t="s">
        <v>273</v>
      </c>
      <c r="H520" s="842" t="s">
        <v>134</v>
      </c>
      <c r="I520" s="842"/>
      <c r="J520" s="841"/>
      <c r="K520" s="841"/>
      <c r="L520" s="843" t="s">
        <v>1622</v>
      </c>
      <c r="M520" s="844" t="s">
        <v>275</v>
      </c>
      <c r="N520" s="841"/>
      <c r="O520" s="841" t="s">
        <v>150</v>
      </c>
      <c r="P520" s="841" t="s">
        <v>276</v>
      </c>
      <c r="Q520" s="843"/>
      <c r="R520" s="845" t="s">
        <v>1792</v>
      </c>
      <c r="S520" s="1127" t="s">
        <v>1792</v>
      </c>
      <c r="T520" s="843" t="s">
        <v>1793</v>
      </c>
      <c r="U520" s="842">
        <v>2</v>
      </c>
      <c r="V520" s="842" t="s">
        <v>3</v>
      </c>
      <c r="W520" s="846">
        <v>714.15</v>
      </c>
      <c r="X520" s="847">
        <f t="shared" si="102"/>
        <v>1428.3</v>
      </c>
      <c r="Y520" s="848">
        <f t="shared" si="108"/>
        <v>0.54995449135335717</v>
      </c>
      <c r="Z520" s="849">
        <v>321.39999999999998</v>
      </c>
      <c r="AA520" s="849"/>
      <c r="AB520" s="849">
        <f t="shared" si="103"/>
        <v>642.79999999999995</v>
      </c>
      <c r="AC520" s="850">
        <f t="shared" si="104"/>
        <v>642.79999999999995</v>
      </c>
      <c r="AD520" s="851"/>
      <c r="AE520" s="852">
        <v>26647.05</v>
      </c>
      <c r="AF520" s="853">
        <v>0.1</v>
      </c>
      <c r="AG520" s="854">
        <f t="shared" si="105"/>
        <v>1714571.0415064953</v>
      </c>
      <c r="AH520" s="853"/>
      <c r="AI520" s="855">
        <f t="shared" si="106"/>
        <v>0</v>
      </c>
      <c r="AJ520" s="845" t="s">
        <v>1738</v>
      </c>
      <c r="AK520" s="857" t="s">
        <v>1739</v>
      </c>
      <c r="AL520" s="840" t="s">
        <v>1740</v>
      </c>
      <c r="AM520" s="840"/>
      <c r="AN520" s="858"/>
      <c r="AO520" s="844" t="s">
        <v>1741</v>
      </c>
      <c r="AP520" s="859">
        <v>45481</v>
      </c>
      <c r="AQ520" s="859">
        <v>45451</v>
      </c>
      <c r="AR520" s="859" t="s">
        <v>1742</v>
      </c>
      <c r="AS520" s="840" t="s">
        <v>1284</v>
      </c>
      <c r="AT520" s="840" t="s">
        <v>1743</v>
      </c>
      <c r="AU520" s="860" t="s">
        <v>1210</v>
      </c>
      <c r="AV520" s="839" t="s">
        <v>1744</v>
      </c>
      <c r="AW520" s="861">
        <v>45552</v>
      </c>
      <c r="AX520" s="862" t="s">
        <v>1745</v>
      </c>
      <c r="AY520" s="843"/>
      <c r="AZ520" s="842">
        <v>94031000</v>
      </c>
      <c r="BA520" s="842" t="s">
        <v>120</v>
      </c>
      <c r="BB520" s="863" t="s">
        <v>121</v>
      </c>
      <c r="BC520" s="864">
        <v>45555</v>
      </c>
      <c r="BD520" s="860" t="s">
        <v>1746</v>
      </c>
      <c r="BE520" s="865" cm="1">
        <f t="array" ref="BE520">IF(BD520="","",AC520/SUMPRODUCT(--(BD520=$BD$4:$BD$12824),$AC$4:$AC$12824))</f>
        <v>8.5943860261807909E-3</v>
      </c>
      <c r="BF520" s="458"/>
      <c r="BG520" s="458"/>
      <c r="BH520" s="458"/>
      <c r="BI520" s="458"/>
      <c r="BJ520" s="458"/>
      <c r="BK520" s="458"/>
      <c r="BL520" s="458"/>
      <c r="BM520" s="458"/>
      <c r="BN520" s="458"/>
      <c r="BO520" s="866">
        <f>VLOOKUP(BD520,$BD$4:$BN$12824,3,0)*BE520</f>
        <v>0</v>
      </c>
      <c r="BP520" s="866"/>
      <c r="BQ520" s="866"/>
      <c r="BR520" s="866">
        <f>VLOOKUP(BD520,$BD$4:$BN$12824,6,0)*BE520</f>
        <v>121422.83509648833</v>
      </c>
      <c r="BS520" s="866">
        <f>VLOOKUP(BD520,$BD$4:$BN$12824,7,0)*BE520</f>
        <v>16986.67506495594</v>
      </c>
      <c r="BT520" s="866"/>
      <c r="BU520" s="866">
        <f>VLOOKUP(BD520,$BD$4:$BN$12824,9,0)*BE520</f>
        <v>1072.5364041372318</v>
      </c>
      <c r="BV520" s="867"/>
      <c r="BW520" s="867">
        <f>VLOOKUP(BD520,$BD$4:$BN$12824,11,0)*BE520</f>
        <v>0</v>
      </c>
      <c r="BX520" s="1146">
        <f t="shared" si="101"/>
        <v>139482.04656558149</v>
      </c>
      <c r="BY520" s="867">
        <f t="shared" si="110"/>
        <v>9491388.4140360374</v>
      </c>
      <c r="BZ520" s="867">
        <f t="shared" si="107"/>
        <v>18982776.828072075</v>
      </c>
      <c r="CA520" s="867">
        <f>_xlfn.MAXIFS($BY$4:$BY$12824,$S$4:$S$12824,$S520)</f>
        <v>9491388.4140360374</v>
      </c>
      <c r="CB520" s="1032"/>
      <c r="CF520" s="946">
        <f t="shared" si="109"/>
        <v>17128723.739999998</v>
      </c>
    </row>
    <row r="521" spans="1:84">
      <c r="A521" s="1032"/>
      <c r="B521" s="839" t="s">
        <v>98</v>
      </c>
      <c r="C521" s="839" t="s">
        <v>273</v>
      </c>
      <c r="D521" s="839" t="s">
        <v>1735</v>
      </c>
      <c r="E521" s="839" t="s">
        <v>1736</v>
      </c>
      <c r="F521" s="841">
        <v>45439</v>
      </c>
      <c r="G521" s="840" t="s">
        <v>273</v>
      </c>
      <c r="H521" s="842" t="s">
        <v>134</v>
      </c>
      <c r="I521" s="842"/>
      <c r="J521" s="841"/>
      <c r="K521" s="841"/>
      <c r="L521" s="843" t="s">
        <v>1622</v>
      </c>
      <c r="M521" s="844" t="s">
        <v>275</v>
      </c>
      <c r="N521" s="841"/>
      <c r="O521" s="841" t="s">
        <v>150</v>
      </c>
      <c r="P521" s="841" t="s">
        <v>276</v>
      </c>
      <c r="Q521" s="843"/>
      <c r="R521" s="845" t="s">
        <v>1794</v>
      </c>
      <c r="S521" s="1127" t="s">
        <v>1794</v>
      </c>
      <c r="T521" s="843" t="s">
        <v>1795</v>
      </c>
      <c r="U521" s="842">
        <v>2</v>
      </c>
      <c r="V521" s="842" t="s">
        <v>3</v>
      </c>
      <c r="W521" s="846">
        <v>714.15</v>
      </c>
      <c r="X521" s="847">
        <f t="shared" si="102"/>
        <v>1428.3</v>
      </c>
      <c r="Y521" s="848">
        <f t="shared" si="108"/>
        <v>0.54995449135335717</v>
      </c>
      <c r="Z521" s="849">
        <v>321.39999999999998</v>
      </c>
      <c r="AA521" s="849"/>
      <c r="AB521" s="849">
        <f t="shared" si="103"/>
        <v>642.79999999999995</v>
      </c>
      <c r="AC521" s="850">
        <f t="shared" si="104"/>
        <v>642.79999999999995</v>
      </c>
      <c r="AD521" s="851"/>
      <c r="AE521" s="852">
        <v>26647.05</v>
      </c>
      <c r="AF521" s="853">
        <v>0.1</v>
      </c>
      <c r="AG521" s="854">
        <f t="shared" si="105"/>
        <v>1714571.0415064953</v>
      </c>
      <c r="AH521" s="853"/>
      <c r="AI521" s="855">
        <f t="shared" si="106"/>
        <v>0</v>
      </c>
      <c r="AJ521" s="845" t="s">
        <v>1738</v>
      </c>
      <c r="AK521" s="857" t="s">
        <v>1739</v>
      </c>
      <c r="AL521" s="840" t="s">
        <v>1740</v>
      </c>
      <c r="AM521" s="840"/>
      <c r="AN521" s="858"/>
      <c r="AO521" s="844" t="s">
        <v>1741</v>
      </c>
      <c r="AP521" s="859">
        <v>45481</v>
      </c>
      <c r="AQ521" s="859">
        <v>45451</v>
      </c>
      <c r="AR521" s="859" t="s">
        <v>1742</v>
      </c>
      <c r="AS521" s="840" t="s">
        <v>1284</v>
      </c>
      <c r="AT521" s="840" t="s">
        <v>1743</v>
      </c>
      <c r="AU521" s="860" t="s">
        <v>1210</v>
      </c>
      <c r="AV521" s="839" t="s">
        <v>1744</v>
      </c>
      <c r="AW521" s="861">
        <v>45552</v>
      </c>
      <c r="AX521" s="862" t="s">
        <v>1745</v>
      </c>
      <c r="AY521" s="843"/>
      <c r="AZ521" s="842">
        <v>94031000</v>
      </c>
      <c r="BA521" s="842" t="s">
        <v>120</v>
      </c>
      <c r="BB521" s="863" t="s">
        <v>121</v>
      </c>
      <c r="BC521" s="864">
        <v>45555</v>
      </c>
      <c r="BD521" s="860" t="s">
        <v>1746</v>
      </c>
      <c r="BE521" s="865" cm="1">
        <f t="array" ref="BE521">IF(BD521="","",AC521/SUMPRODUCT(--(BD521=$BD$4:$BD$12824),$AC$4:$AC$12824))</f>
        <v>8.5943860261807909E-3</v>
      </c>
      <c r="BF521" s="458"/>
      <c r="BG521" s="458"/>
      <c r="BH521" s="458"/>
      <c r="BI521" s="458"/>
      <c r="BJ521" s="458"/>
      <c r="BK521" s="458"/>
      <c r="BL521" s="458"/>
      <c r="BM521" s="458"/>
      <c r="BN521" s="458"/>
      <c r="BO521" s="866">
        <f>VLOOKUP(BD521,$BD$4:$BN$12824,3,0)*BE521</f>
        <v>0</v>
      </c>
      <c r="BP521" s="866"/>
      <c r="BQ521" s="866"/>
      <c r="BR521" s="866">
        <f>VLOOKUP(BD521,$BD$4:$BN$12824,6,0)*BE521</f>
        <v>121422.83509648833</v>
      </c>
      <c r="BS521" s="866">
        <f>VLOOKUP(BD521,$BD$4:$BN$12824,7,0)*BE521</f>
        <v>16986.67506495594</v>
      </c>
      <c r="BT521" s="866"/>
      <c r="BU521" s="866">
        <f>VLOOKUP(BD521,$BD$4:$BN$12824,9,0)*BE521</f>
        <v>1072.5364041372318</v>
      </c>
      <c r="BV521" s="867"/>
      <c r="BW521" s="867">
        <f>VLOOKUP(BD521,$BD$4:$BN$12824,11,0)*BE521</f>
        <v>0</v>
      </c>
      <c r="BX521" s="1146">
        <f t="shared" si="101"/>
        <v>139482.04656558149</v>
      </c>
      <c r="BY521" s="867">
        <f t="shared" si="110"/>
        <v>9491388.4140360374</v>
      </c>
      <c r="BZ521" s="867">
        <f t="shared" si="107"/>
        <v>18982776.828072075</v>
      </c>
      <c r="CA521" s="867">
        <f>_xlfn.MAXIFS($BY$4:$BY$12824,$S$4:$S$12824,$S521)</f>
        <v>9491388.4140360374</v>
      </c>
      <c r="CB521" s="1032"/>
      <c r="CF521" s="946">
        <f t="shared" si="109"/>
        <v>17128723.739999998</v>
      </c>
    </row>
    <row r="522" spans="1:84">
      <c r="A522" s="1032"/>
      <c r="B522" s="839" t="s">
        <v>98</v>
      </c>
      <c r="C522" s="839" t="s">
        <v>273</v>
      </c>
      <c r="D522" s="839" t="s">
        <v>1735</v>
      </c>
      <c r="E522" s="839" t="s">
        <v>1736</v>
      </c>
      <c r="F522" s="841">
        <v>45439</v>
      </c>
      <c r="G522" s="840" t="s">
        <v>273</v>
      </c>
      <c r="H522" s="842" t="s">
        <v>134</v>
      </c>
      <c r="I522" s="842"/>
      <c r="J522" s="841"/>
      <c r="K522" s="841"/>
      <c r="L522" s="843" t="s">
        <v>1622</v>
      </c>
      <c r="M522" s="844" t="s">
        <v>275</v>
      </c>
      <c r="N522" s="841"/>
      <c r="O522" s="841" t="s">
        <v>150</v>
      </c>
      <c r="P522" s="841" t="s">
        <v>276</v>
      </c>
      <c r="Q522" s="843"/>
      <c r="R522" s="845" t="s">
        <v>1796</v>
      </c>
      <c r="S522" s="1127" t="s">
        <v>1796</v>
      </c>
      <c r="T522" s="843" t="s">
        <v>1797</v>
      </c>
      <c r="U522" s="842">
        <v>2</v>
      </c>
      <c r="V522" s="842" t="s">
        <v>3</v>
      </c>
      <c r="W522" s="846">
        <v>714.15</v>
      </c>
      <c r="X522" s="847">
        <f t="shared" si="102"/>
        <v>1428.3</v>
      </c>
      <c r="Y522" s="848">
        <f t="shared" si="108"/>
        <v>0.54995449135335717</v>
      </c>
      <c r="Z522" s="849">
        <v>321.39999999999998</v>
      </c>
      <c r="AA522" s="849"/>
      <c r="AB522" s="849">
        <f t="shared" si="103"/>
        <v>642.79999999999995</v>
      </c>
      <c r="AC522" s="850">
        <f t="shared" si="104"/>
        <v>642.79999999999995</v>
      </c>
      <c r="AD522" s="851"/>
      <c r="AE522" s="852">
        <v>26647.05</v>
      </c>
      <c r="AF522" s="853">
        <v>0.1</v>
      </c>
      <c r="AG522" s="854">
        <f t="shared" si="105"/>
        <v>1714571.0415064953</v>
      </c>
      <c r="AH522" s="853"/>
      <c r="AI522" s="855">
        <f t="shared" si="106"/>
        <v>0</v>
      </c>
      <c r="AJ522" s="845" t="s">
        <v>1738</v>
      </c>
      <c r="AK522" s="857" t="s">
        <v>1739</v>
      </c>
      <c r="AL522" s="840" t="s">
        <v>1740</v>
      </c>
      <c r="AM522" s="840"/>
      <c r="AN522" s="858"/>
      <c r="AO522" s="844" t="s">
        <v>1741</v>
      </c>
      <c r="AP522" s="859">
        <v>45481</v>
      </c>
      <c r="AQ522" s="859">
        <v>45451</v>
      </c>
      <c r="AR522" s="859" t="s">
        <v>1742</v>
      </c>
      <c r="AS522" s="840" t="s">
        <v>1284</v>
      </c>
      <c r="AT522" s="840" t="s">
        <v>1743</v>
      </c>
      <c r="AU522" s="860" t="s">
        <v>1210</v>
      </c>
      <c r="AV522" s="839" t="s">
        <v>1744</v>
      </c>
      <c r="AW522" s="861">
        <v>45552</v>
      </c>
      <c r="AX522" s="862" t="s">
        <v>1745</v>
      </c>
      <c r="AY522" s="843"/>
      <c r="AZ522" s="842">
        <v>94031000</v>
      </c>
      <c r="BA522" s="842" t="s">
        <v>120</v>
      </c>
      <c r="BB522" s="863" t="s">
        <v>121</v>
      </c>
      <c r="BC522" s="864">
        <v>45555</v>
      </c>
      <c r="BD522" s="860" t="s">
        <v>1746</v>
      </c>
      <c r="BE522" s="865" cm="1">
        <f t="array" ref="BE522">IF(BD522="","",AC522/SUMPRODUCT(--(BD522=$BD$4:$BD$12824),$AC$4:$AC$12824))</f>
        <v>8.5943860261807909E-3</v>
      </c>
      <c r="BF522" s="458"/>
      <c r="BG522" s="458"/>
      <c r="BH522" s="458"/>
      <c r="BI522" s="458"/>
      <c r="BJ522" s="458"/>
      <c r="BK522" s="458"/>
      <c r="BL522" s="458"/>
      <c r="BM522" s="458"/>
      <c r="BN522" s="458"/>
      <c r="BO522" s="866">
        <f>VLOOKUP(BD522,$BD$4:$BN$12824,3,0)*BE522</f>
        <v>0</v>
      </c>
      <c r="BP522" s="866"/>
      <c r="BQ522" s="866"/>
      <c r="BR522" s="866">
        <f>VLOOKUP(BD522,$BD$4:$BN$12824,6,0)*BE522</f>
        <v>121422.83509648833</v>
      </c>
      <c r="BS522" s="866">
        <f>VLOOKUP(BD522,$BD$4:$BN$12824,7,0)*BE522</f>
        <v>16986.67506495594</v>
      </c>
      <c r="BT522" s="866"/>
      <c r="BU522" s="866">
        <f>VLOOKUP(BD522,$BD$4:$BN$12824,9,0)*BE522</f>
        <v>1072.5364041372318</v>
      </c>
      <c r="BV522" s="867"/>
      <c r="BW522" s="867">
        <f>VLOOKUP(BD522,$BD$4:$BN$12824,11,0)*BE522</f>
        <v>0</v>
      </c>
      <c r="BX522" s="1146">
        <f t="shared" si="101"/>
        <v>139482.04656558149</v>
      </c>
      <c r="BY522" s="867">
        <f t="shared" si="110"/>
        <v>9491388.4140360374</v>
      </c>
      <c r="BZ522" s="867">
        <f t="shared" si="107"/>
        <v>18982776.828072075</v>
      </c>
      <c r="CA522" s="867">
        <f>_xlfn.MAXIFS($BY$4:$BY$12824,$S$4:$S$12824,$S522)</f>
        <v>9491388.4140360374</v>
      </c>
      <c r="CB522" s="1032"/>
      <c r="CF522" s="946">
        <f t="shared" si="109"/>
        <v>17128723.739999998</v>
      </c>
    </row>
    <row r="523" spans="1:84">
      <c r="A523" s="1032"/>
      <c r="B523" s="839" t="s">
        <v>98</v>
      </c>
      <c r="C523" s="839" t="s">
        <v>273</v>
      </c>
      <c r="D523" s="839" t="s">
        <v>1735</v>
      </c>
      <c r="E523" s="839" t="s">
        <v>1736</v>
      </c>
      <c r="F523" s="841">
        <v>45439</v>
      </c>
      <c r="G523" s="840" t="s">
        <v>273</v>
      </c>
      <c r="H523" s="842" t="s">
        <v>134</v>
      </c>
      <c r="I523" s="842"/>
      <c r="J523" s="841"/>
      <c r="K523" s="841"/>
      <c r="L523" s="843" t="s">
        <v>1622</v>
      </c>
      <c r="M523" s="844" t="s">
        <v>275</v>
      </c>
      <c r="N523" s="841"/>
      <c r="O523" s="841" t="s">
        <v>150</v>
      </c>
      <c r="P523" s="841" t="s">
        <v>276</v>
      </c>
      <c r="Q523" s="843"/>
      <c r="R523" s="845" t="s">
        <v>1798</v>
      </c>
      <c r="S523" s="1127" t="s">
        <v>1798</v>
      </c>
      <c r="T523" s="843" t="s">
        <v>1799</v>
      </c>
      <c r="U523" s="842">
        <v>2</v>
      </c>
      <c r="V523" s="842" t="s">
        <v>3</v>
      </c>
      <c r="W523" s="846">
        <v>696.88</v>
      </c>
      <c r="X523" s="847">
        <f t="shared" si="102"/>
        <v>1393.76</v>
      </c>
      <c r="Y523" s="848">
        <f t="shared" si="108"/>
        <v>0.54999426013086894</v>
      </c>
      <c r="Z523" s="849">
        <v>313.60000000000002</v>
      </c>
      <c r="AA523" s="849"/>
      <c r="AB523" s="849">
        <f t="shared" si="103"/>
        <v>627.20000000000005</v>
      </c>
      <c r="AC523" s="850">
        <f t="shared" si="104"/>
        <v>627.20000000000005</v>
      </c>
      <c r="AD523" s="851"/>
      <c r="AE523" s="852">
        <v>26647.05</v>
      </c>
      <c r="AF523" s="853">
        <v>0.1</v>
      </c>
      <c r="AG523" s="854">
        <f t="shared" si="105"/>
        <v>1672960.4188439238</v>
      </c>
      <c r="AH523" s="853"/>
      <c r="AI523" s="855">
        <f t="shared" si="106"/>
        <v>0</v>
      </c>
      <c r="AJ523" s="845" t="s">
        <v>1738</v>
      </c>
      <c r="AK523" s="857" t="s">
        <v>1739</v>
      </c>
      <c r="AL523" s="840" t="s">
        <v>1740</v>
      </c>
      <c r="AM523" s="840"/>
      <c r="AN523" s="858"/>
      <c r="AO523" s="844" t="s">
        <v>1741</v>
      </c>
      <c r="AP523" s="859">
        <v>45481</v>
      </c>
      <c r="AQ523" s="859">
        <v>45451</v>
      </c>
      <c r="AR523" s="859" t="s">
        <v>1742</v>
      </c>
      <c r="AS523" s="840" t="s">
        <v>1284</v>
      </c>
      <c r="AT523" s="840" t="s">
        <v>1743</v>
      </c>
      <c r="AU523" s="860" t="s">
        <v>1210</v>
      </c>
      <c r="AV523" s="839" t="s">
        <v>1744</v>
      </c>
      <c r="AW523" s="861">
        <v>45552</v>
      </c>
      <c r="AX523" s="862" t="s">
        <v>1745</v>
      </c>
      <c r="AY523" s="843"/>
      <c r="AZ523" s="842">
        <v>94031000</v>
      </c>
      <c r="BA523" s="842" t="s">
        <v>120</v>
      </c>
      <c r="BB523" s="863" t="s">
        <v>121</v>
      </c>
      <c r="BC523" s="864">
        <v>45555</v>
      </c>
      <c r="BD523" s="860" t="s">
        <v>1746</v>
      </c>
      <c r="BE523" s="865" cm="1">
        <f t="array" ref="BE523">IF(BD523="","",AC523/SUMPRODUCT(--(BD523=$BD$4:$BD$12824),$AC$4:$AC$12824))</f>
        <v>8.3858103852218306E-3</v>
      </c>
      <c r="BF523" s="458"/>
      <c r="BG523" s="458"/>
      <c r="BH523" s="458"/>
      <c r="BI523" s="458"/>
      <c r="BJ523" s="458"/>
      <c r="BK523" s="458"/>
      <c r="BL523" s="458"/>
      <c r="BM523" s="458"/>
      <c r="BN523" s="458"/>
      <c r="BO523" s="866">
        <f>VLOOKUP(BD523,$BD$4:$BN$12824,3,0)*BE523</f>
        <v>0</v>
      </c>
      <c r="BP523" s="866"/>
      <c r="BQ523" s="866"/>
      <c r="BR523" s="866">
        <f>VLOOKUP(BD523,$BD$4:$BN$12824,6,0)*BE523</f>
        <v>118476.0456946445</v>
      </c>
      <c r="BS523" s="866">
        <f>VLOOKUP(BD523,$BD$4:$BN$12824,7,0)*BE523</f>
        <v>16574.428439235169</v>
      </c>
      <c r="BT523" s="866"/>
      <c r="BU523" s="866">
        <f>VLOOKUP(BD523,$BD$4:$BN$12824,9,0)*BE523</f>
        <v>1046.5072070237584</v>
      </c>
      <c r="BV523" s="867"/>
      <c r="BW523" s="867">
        <f>VLOOKUP(BD523,$BD$4:$BN$12824,11,0)*BE523</f>
        <v>0</v>
      </c>
      <c r="BX523" s="1146">
        <f t="shared" si="101"/>
        <v>136096.98134090344</v>
      </c>
      <c r="BY523" s="867">
        <f t="shared" si="110"/>
        <v>9261043.5800924152</v>
      </c>
      <c r="BZ523" s="867">
        <f t="shared" si="107"/>
        <v>18522087.16018483</v>
      </c>
      <c r="CA523" s="867">
        <f>_xlfn.MAXIFS($BY$4:$BY$12824,$S$4:$S$12824,$S523)</f>
        <v>9261043.5800924152</v>
      </c>
      <c r="CB523" s="1032"/>
      <c r="CF523" s="946">
        <f t="shared" si="109"/>
        <v>16713029.760000002</v>
      </c>
    </row>
    <row r="524" spans="1:84">
      <c r="A524" s="1032"/>
      <c r="B524" s="839" t="s">
        <v>98</v>
      </c>
      <c r="C524" s="839" t="s">
        <v>273</v>
      </c>
      <c r="D524" s="839" t="s">
        <v>1735</v>
      </c>
      <c r="E524" s="839" t="s">
        <v>1736</v>
      </c>
      <c r="F524" s="841">
        <v>45439</v>
      </c>
      <c r="G524" s="840" t="s">
        <v>273</v>
      </c>
      <c r="H524" s="842" t="s">
        <v>134</v>
      </c>
      <c r="I524" s="842"/>
      <c r="J524" s="841"/>
      <c r="K524" s="841"/>
      <c r="L524" s="843" t="s">
        <v>1622</v>
      </c>
      <c r="M524" s="844" t="s">
        <v>275</v>
      </c>
      <c r="N524" s="841"/>
      <c r="O524" s="841" t="s">
        <v>150</v>
      </c>
      <c r="P524" s="841" t="s">
        <v>276</v>
      </c>
      <c r="Q524" s="843"/>
      <c r="R524" s="845" t="s">
        <v>1082</v>
      </c>
      <c r="S524" s="1127" t="s">
        <v>1082</v>
      </c>
      <c r="T524" s="843" t="s">
        <v>1800</v>
      </c>
      <c r="U524" s="842">
        <v>4</v>
      </c>
      <c r="V524" s="842" t="s">
        <v>3</v>
      </c>
      <c r="W524" s="846">
        <v>696.88</v>
      </c>
      <c r="X524" s="847">
        <f t="shared" si="102"/>
        <v>2787.52</v>
      </c>
      <c r="Y524" s="848">
        <f t="shared" si="108"/>
        <v>0.54999426013086894</v>
      </c>
      <c r="Z524" s="849">
        <v>313.60000000000002</v>
      </c>
      <c r="AA524" s="849"/>
      <c r="AB524" s="849">
        <f t="shared" si="103"/>
        <v>1254.4000000000001</v>
      </c>
      <c r="AC524" s="850">
        <f t="shared" si="104"/>
        <v>1254.4000000000001</v>
      </c>
      <c r="AD524" s="851"/>
      <c r="AE524" s="852">
        <v>26647.05</v>
      </c>
      <c r="AF524" s="853">
        <v>0.1</v>
      </c>
      <c r="AG524" s="854">
        <f t="shared" si="105"/>
        <v>3345920.8376878477</v>
      </c>
      <c r="AH524" s="853"/>
      <c r="AI524" s="855">
        <f t="shared" si="106"/>
        <v>0</v>
      </c>
      <c r="AJ524" s="845" t="s">
        <v>1738</v>
      </c>
      <c r="AK524" s="857" t="s">
        <v>1739</v>
      </c>
      <c r="AL524" s="840" t="s">
        <v>1740</v>
      </c>
      <c r="AM524" s="840"/>
      <c r="AN524" s="858"/>
      <c r="AO524" s="844" t="s">
        <v>1741</v>
      </c>
      <c r="AP524" s="859">
        <v>45481</v>
      </c>
      <c r="AQ524" s="859">
        <v>45451</v>
      </c>
      <c r="AR524" s="859" t="s">
        <v>1742</v>
      </c>
      <c r="AS524" s="840" t="s">
        <v>1284</v>
      </c>
      <c r="AT524" s="840" t="s">
        <v>1743</v>
      </c>
      <c r="AU524" s="860" t="s">
        <v>1210</v>
      </c>
      <c r="AV524" s="839" t="s">
        <v>1744</v>
      </c>
      <c r="AW524" s="861">
        <v>45552</v>
      </c>
      <c r="AX524" s="862" t="s">
        <v>1745</v>
      </c>
      <c r="AY524" s="843"/>
      <c r="AZ524" s="842">
        <v>94031000</v>
      </c>
      <c r="BA524" s="842" t="s">
        <v>120</v>
      </c>
      <c r="BB524" s="863" t="s">
        <v>121</v>
      </c>
      <c r="BC524" s="864">
        <v>45555</v>
      </c>
      <c r="BD524" s="860" t="s">
        <v>1746</v>
      </c>
      <c r="BE524" s="865" cm="1">
        <f t="array" ref="BE524">IF(BD524="","",AC524/SUMPRODUCT(--(BD524=$BD$4:$BD$12824),$AC$4:$AC$12824))</f>
        <v>1.6771620770443661E-2</v>
      </c>
      <c r="BF524" s="458"/>
      <c r="BG524" s="458"/>
      <c r="BH524" s="458"/>
      <c r="BI524" s="458"/>
      <c r="BJ524" s="458"/>
      <c r="BK524" s="458"/>
      <c r="BL524" s="458"/>
      <c r="BM524" s="458"/>
      <c r="BN524" s="458"/>
      <c r="BO524" s="866">
        <f>VLOOKUP(BD524,$BD$4:$BN$12824,3,0)*BE524</f>
        <v>0</v>
      </c>
      <c r="BP524" s="866"/>
      <c r="BQ524" s="866"/>
      <c r="BR524" s="866">
        <f>VLOOKUP(BD524,$BD$4:$BN$12824,6,0)*BE524</f>
        <v>236952.09138928901</v>
      </c>
      <c r="BS524" s="866">
        <f>VLOOKUP(BD524,$BD$4:$BN$12824,7,0)*BE524</f>
        <v>33148.856878470338</v>
      </c>
      <c r="BT524" s="866"/>
      <c r="BU524" s="866">
        <f>VLOOKUP(BD524,$BD$4:$BN$12824,9,0)*BE524</f>
        <v>2093.0144140475168</v>
      </c>
      <c r="BV524" s="867"/>
      <c r="BW524" s="867">
        <f>VLOOKUP(BD524,$BD$4:$BN$12824,11,0)*BE524</f>
        <v>0</v>
      </c>
      <c r="BX524" s="1146">
        <f t="shared" si="101"/>
        <v>272193.96268180688</v>
      </c>
      <c r="BY524" s="867">
        <f t="shared" si="110"/>
        <v>9261043.5800924152</v>
      </c>
      <c r="BZ524" s="867">
        <f t="shared" si="107"/>
        <v>37044174.320369661</v>
      </c>
      <c r="CA524" s="867">
        <f>_xlfn.MAXIFS($BY$4:$BY$12824,$S$4:$S$12824,$S524)</f>
        <v>12797106.729772823</v>
      </c>
      <c r="CB524" s="1032"/>
      <c r="CF524" s="946">
        <f t="shared" si="109"/>
        <v>33426059.520000003</v>
      </c>
    </row>
    <row r="525" spans="1:84">
      <c r="A525" s="1032"/>
      <c r="B525" s="839" t="s">
        <v>98</v>
      </c>
      <c r="C525" s="839" t="s">
        <v>273</v>
      </c>
      <c r="D525" s="839" t="s">
        <v>1735</v>
      </c>
      <c r="E525" s="839" t="s">
        <v>1736</v>
      </c>
      <c r="F525" s="841">
        <v>45439</v>
      </c>
      <c r="G525" s="840" t="s">
        <v>273</v>
      </c>
      <c r="H525" s="842" t="s">
        <v>134</v>
      </c>
      <c r="I525" s="842"/>
      <c r="J525" s="841"/>
      <c r="K525" s="841"/>
      <c r="L525" s="843" t="s">
        <v>1622</v>
      </c>
      <c r="M525" s="844" t="s">
        <v>275</v>
      </c>
      <c r="N525" s="841"/>
      <c r="O525" s="841" t="s">
        <v>150</v>
      </c>
      <c r="P525" s="841" t="s">
        <v>276</v>
      </c>
      <c r="Q525" s="843"/>
      <c r="R525" s="845" t="s">
        <v>1801</v>
      </c>
      <c r="S525" s="1127" t="s">
        <v>1801</v>
      </c>
      <c r="T525" s="843" t="s">
        <v>1802</v>
      </c>
      <c r="U525" s="842">
        <v>2</v>
      </c>
      <c r="V525" s="842" t="s">
        <v>3</v>
      </c>
      <c r="W525" s="846">
        <v>696.88</v>
      </c>
      <c r="X525" s="847">
        <f t="shared" si="102"/>
        <v>1393.76</v>
      </c>
      <c r="Y525" s="848">
        <f t="shared" si="108"/>
        <v>0.54999426013086894</v>
      </c>
      <c r="Z525" s="849">
        <v>313.60000000000002</v>
      </c>
      <c r="AA525" s="849"/>
      <c r="AB525" s="849">
        <f t="shared" si="103"/>
        <v>627.20000000000005</v>
      </c>
      <c r="AC525" s="850">
        <f t="shared" si="104"/>
        <v>627.20000000000005</v>
      </c>
      <c r="AD525" s="851"/>
      <c r="AE525" s="852">
        <v>26647.05</v>
      </c>
      <c r="AF525" s="853">
        <v>0.1</v>
      </c>
      <c r="AG525" s="854">
        <f t="shared" si="105"/>
        <v>1672960.4188439238</v>
      </c>
      <c r="AH525" s="853"/>
      <c r="AI525" s="855">
        <f t="shared" si="106"/>
        <v>0</v>
      </c>
      <c r="AJ525" s="845" t="s">
        <v>1738</v>
      </c>
      <c r="AK525" s="857" t="s">
        <v>1739</v>
      </c>
      <c r="AL525" s="840" t="s">
        <v>1740</v>
      </c>
      <c r="AM525" s="840"/>
      <c r="AN525" s="858"/>
      <c r="AO525" s="844" t="s">
        <v>1741</v>
      </c>
      <c r="AP525" s="859">
        <v>45481</v>
      </c>
      <c r="AQ525" s="859">
        <v>45451</v>
      </c>
      <c r="AR525" s="859" t="s">
        <v>1742</v>
      </c>
      <c r="AS525" s="840" t="s">
        <v>1284</v>
      </c>
      <c r="AT525" s="840" t="s">
        <v>1743</v>
      </c>
      <c r="AU525" s="860" t="s">
        <v>1210</v>
      </c>
      <c r="AV525" s="839" t="s">
        <v>1744</v>
      </c>
      <c r="AW525" s="861">
        <v>45552</v>
      </c>
      <c r="AX525" s="862" t="s">
        <v>1745</v>
      </c>
      <c r="AY525" s="843"/>
      <c r="AZ525" s="842">
        <v>94031000</v>
      </c>
      <c r="BA525" s="842" t="s">
        <v>120</v>
      </c>
      <c r="BB525" s="863" t="s">
        <v>121</v>
      </c>
      <c r="BC525" s="864">
        <v>45555</v>
      </c>
      <c r="BD525" s="860" t="s">
        <v>1746</v>
      </c>
      <c r="BE525" s="865" cm="1">
        <f t="array" ref="BE525">IF(BD525="","",AC525/SUMPRODUCT(--(BD525=$BD$4:$BD$12824),$AC$4:$AC$12824))</f>
        <v>8.3858103852218306E-3</v>
      </c>
      <c r="BF525" s="458"/>
      <c r="BG525" s="458"/>
      <c r="BH525" s="458"/>
      <c r="BI525" s="458"/>
      <c r="BJ525" s="458"/>
      <c r="BK525" s="458"/>
      <c r="BL525" s="458"/>
      <c r="BM525" s="458"/>
      <c r="BN525" s="458"/>
      <c r="BO525" s="866">
        <f>VLOOKUP(BD525,$BD$4:$BN$12824,3,0)*BE525</f>
        <v>0</v>
      </c>
      <c r="BP525" s="866"/>
      <c r="BQ525" s="866"/>
      <c r="BR525" s="866">
        <f>VLOOKUP(BD525,$BD$4:$BN$12824,6,0)*BE525</f>
        <v>118476.0456946445</v>
      </c>
      <c r="BS525" s="866">
        <f>VLOOKUP(BD525,$BD$4:$BN$12824,7,0)*BE525</f>
        <v>16574.428439235169</v>
      </c>
      <c r="BT525" s="866"/>
      <c r="BU525" s="866">
        <f>VLOOKUP(BD525,$BD$4:$BN$12824,9,0)*BE525</f>
        <v>1046.5072070237584</v>
      </c>
      <c r="BV525" s="867"/>
      <c r="BW525" s="867">
        <f>VLOOKUP(BD525,$BD$4:$BN$12824,11,0)*BE525</f>
        <v>0</v>
      </c>
      <c r="BX525" s="1146">
        <f t="shared" si="101"/>
        <v>136096.98134090344</v>
      </c>
      <c r="BY525" s="867">
        <f t="shared" si="110"/>
        <v>9261043.5800924152</v>
      </c>
      <c r="BZ525" s="867">
        <f t="shared" si="107"/>
        <v>18522087.16018483</v>
      </c>
      <c r="CA525" s="867">
        <f>_xlfn.MAXIFS($BY$4:$BY$12824,$S$4:$S$12824,$S525)</f>
        <v>9261043.5800924152</v>
      </c>
      <c r="CB525" s="1032"/>
      <c r="CF525" s="946">
        <f t="shared" si="109"/>
        <v>16713029.760000002</v>
      </c>
    </row>
    <row r="526" spans="1:84">
      <c r="A526" s="1032"/>
      <c r="B526" s="839" t="s">
        <v>98</v>
      </c>
      <c r="C526" s="839" t="s">
        <v>273</v>
      </c>
      <c r="D526" s="839" t="s">
        <v>1735</v>
      </c>
      <c r="E526" s="839" t="s">
        <v>1736</v>
      </c>
      <c r="F526" s="841">
        <v>45439</v>
      </c>
      <c r="G526" s="840" t="s">
        <v>273</v>
      </c>
      <c r="H526" s="842" t="s">
        <v>134</v>
      </c>
      <c r="I526" s="842"/>
      <c r="J526" s="841"/>
      <c r="K526" s="841"/>
      <c r="L526" s="843" t="s">
        <v>1622</v>
      </c>
      <c r="M526" s="844" t="s">
        <v>275</v>
      </c>
      <c r="N526" s="841"/>
      <c r="O526" s="841" t="s">
        <v>150</v>
      </c>
      <c r="P526" s="841" t="s">
        <v>276</v>
      </c>
      <c r="Q526" s="843"/>
      <c r="R526" s="845" t="s">
        <v>1803</v>
      </c>
      <c r="S526" s="1127" t="s">
        <v>1803</v>
      </c>
      <c r="T526" s="843" t="s">
        <v>1804</v>
      </c>
      <c r="U526" s="842">
        <v>2</v>
      </c>
      <c r="V526" s="842" t="s">
        <v>3</v>
      </c>
      <c r="W526" s="846">
        <v>696.88</v>
      </c>
      <c r="X526" s="847">
        <f t="shared" si="102"/>
        <v>1393.76</v>
      </c>
      <c r="Y526" s="848">
        <f t="shared" si="108"/>
        <v>0.54999426013086894</v>
      </c>
      <c r="Z526" s="849">
        <v>313.60000000000002</v>
      </c>
      <c r="AA526" s="849"/>
      <c r="AB526" s="849">
        <f t="shared" si="103"/>
        <v>627.20000000000005</v>
      </c>
      <c r="AC526" s="850">
        <f t="shared" si="104"/>
        <v>627.20000000000005</v>
      </c>
      <c r="AD526" s="851"/>
      <c r="AE526" s="852">
        <v>26647.05</v>
      </c>
      <c r="AF526" s="853">
        <v>0.1</v>
      </c>
      <c r="AG526" s="854">
        <f t="shared" si="105"/>
        <v>1672960.4188439238</v>
      </c>
      <c r="AH526" s="853"/>
      <c r="AI526" s="855">
        <f t="shared" si="106"/>
        <v>0</v>
      </c>
      <c r="AJ526" s="845" t="s">
        <v>1738</v>
      </c>
      <c r="AK526" s="857" t="s">
        <v>1739</v>
      </c>
      <c r="AL526" s="840" t="s">
        <v>1740</v>
      </c>
      <c r="AM526" s="840"/>
      <c r="AN526" s="858"/>
      <c r="AO526" s="844" t="s">
        <v>1741</v>
      </c>
      <c r="AP526" s="859">
        <v>45481</v>
      </c>
      <c r="AQ526" s="859">
        <v>45451</v>
      </c>
      <c r="AR526" s="859" t="s">
        <v>1742</v>
      </c>
      <c r="AS526" s="840" t="s">
        <v>1284</v>
      </c>
      <c r="AT526" s="840" t="s">
        <v>1743</v>
      </c>
      <c r="AU526" s="860" t="s">
        <v>1210</v>
      </c>
      <c r="AV526" s="839" t="s">
        <v>1744</v>
      </c>
      <c r="AW526" s="861">
        <v>45552</v>
      </c>
      <c r="AX526" s="862" t="s">
        <v>1745</v>
      </c>
      <c r="AY526" s="843"/>
      <c r="AZ526" s="842">
        <v>94031000</v>
      </c>
      <c r="BA526" s="842" t="s">
        <v>120</v>
      </c>
      <c r="BB526" s="863" t="s">
        <v>121</v>
      </c>
      <c r="BC526" s="864">
        <v>45555</v>
      </c>
      <c r="BD526" s="860" t="s">
        <v>1746</v>
      </c>
      <c r="BE526" s="865" cm="1">
        <f t="array" ref="BE526">IF(BD526="","",AC526/SUMPRODUCT(--(BD526=$BD$4:$BD$12824),$AC$4:$AC$12824))</f>
        <v>8.3858103852218306E-3</v>
      </c>
      <c r="BF526" s="458"/>
      <c r="BG526" s="458"/>
      <c r="BH526" s="458"/>
      <c r="BI526" s="458"/>
      <c r="BJ526" s="458"/>
      <c r="BK526" s="458"/>
      <c r="BL526" s="458"/>
      <c r="BM526" s="458"/>
      <c r="BN526" s="458"/>
      <c r="BO526" s="866">
        <f>VLOOKUP(BD526,$BD$4:$BN$12824,3,0)*BE526</f>
        <v>0</v>
      </c>
      <c r="BP526" s="866"/>
      <c r="BQ526" s="866"/>
      <c r="BR526" s="866">
        <f>VLOOKUP(BD526,$BD$4:$BN$12824,6,0)*BE526</f>
        <v>118476.0456946445</v>
      </c>
      <c r="BS526" s="866">
        <f>VLOOKUP(BD526,$BD$4:$BN$12824,7,0)*BE526</f>
        <v>16574.428439235169</v>
      </c>
      <c r="BT526" s="866"/>
      <c r="BU526" s="866">
        <f>VLOOKUP(BD526,$BD$4:$BN$12824,9,0)*BE526</f>
        <v>1046.5072070237584</v>
      </c>
      <c r="BV526" s="867"/>
      <c r="BW526" s="867">
        <f>VLOOKUP(BD526,$BD$4:$BN$12824,11,0)*BE526</f>
        <v>0</v>
      </c>
      <c r="BX526" s="1146">
        <f t="shared" si="101"/>
        <v>136096.98134090344</v>
      </c>
      <c r="BY526" s="867">
        <f t="shared" si="110"/>
        <v>9261043.5800924152</v>
      </c>
      <c r="BZ526" s="867">
        <f t="shared" si="107"/>
        <v>18522087.16018483</v>
      </c>
      <c r="CA526" s="867">
        <f>_xlfn.MAXIFS($BY$4:$BY$12824,$S$4:$S$12824,$S526)</f>
        <v>9261043.5800924152</v>
      </c>
      <c r="CB526" s="1032"/>
      <c r="CF526" s="946">
        <f t="shared" si="109"/>
        <v>16713029.760000002</v>
      </c>
    </row>
    <row r="527" spans="1:84">
      <c r="A527" s="1032"/>
      <c r="B527" s="839" t="s">
        <v>98</v>
      </c>
      <c r="C527" s="839" t="s">
        <v>273</v>
      </c>
      <c r="D527" s="839" t="s">
        <v>1735</v>
      </c>
      <c r="E527" s="839" t="s">
        <v>1736</v>
      </c>
      <c r="F527" s="841">
        <v>45439</v>
      </c>
      <c r="G527" s="840" t="s">
        <v>273</v>
      </c>
      <c r="H527" s="842" t="s">
        <v>134</v>
      </c>
      <c r="I527" s="842"/>
      <c r="J527" s="841"/>
      <c r="K527" s="841"/>
      <c r="L527" s="843" t="s">
        <v>1622</v>
      </c>
      <c r="M527" s="844" t="s">
        <v>275</v>
      </c>
      <c r="N527" s="841"/>
      <c r="O527" s="841" t="s">
        <v>150</v>
      </c>
      <c r="P527" s="841" t="s">
        <v>276</v>
      </c>
      <c r="Q527" s="843"/>
      <c r="R527" s="845" t="s">
        <v>1805</v>
      </c>
      <c r="S527" s="1127" t="s">
        <v>1805</v>
      </c>
      <c r="T527" s="843" t="s">
        <v>1806</v>
      </c>
      <c r="U527" s="842">
        <v>2</v>
      </c>
      <c r="V527" s="842" t="s">
        <v>3</v>
      </c>
      <c r="W527" s="846">
        <v>696.88</v>
      </c>
      <c r="X527" s="847">
        <f t="shared" si="102"/>
        <v>1393.76</v>
      </c>
      <c r="Y527" s="848">
        <f t="shared" si="108"/>
        <v>0.54999426013086894</v>
      </c>
      <c r="Z527" s="849">
        <v>313.60000000000002</v>
      </c>
      <c r="AA527" s="849"/>
      <c r="AB527" s="849">
        <f t="shared" si="103"/>
        <v>627.20000000000005</v>
      </c>
      <c r="AC527" s="850">
        <f t="shared" si="104"/>
        <v>627.20000000000005</v>
      </c>
      <c r="AD527" s="851"/>
      <c r="AE527" s="852">
        <v>26647.05</v>
      </c>
      <c r="AF527" s="853">
        <v>0.1</v>
      </c>
      <c r="AG527" s="854">
        <f t="shared" si="105"/>
        <v>1672960.4188439238</v>
      </c>
      <c r="AH527" s="853"/>
      <c r="AI527" s="855">
        <f t="shared" si="106"/>
        <v>0</v>
      </c>
      <c r="AJ527" s="845" t="s">
        <v>1738</v>
      </c>
      <c r="AK527" s="857" t="s">
        <v>1739</v>
      </c>
      <c r="AL527" s="840" t="s">
        <v>1740</v>
      </c>
      <c r="AM527" s="840"/>
      <c r="AN527" s="858"/>
      <c r="AO527" s="844" t="s">
        <v>1741</v>
      </c>
      <c r="AP527" s="859">
        <v>45481</v>
      </c>
      <c r="AQ527" s="859">
        <v>45451</v>
      </c>
      <c r="AR527" s="859" t="s">
        <v>1742</v>
      </c>
      <c r="AS527" s="840" t="s">
        <v>1284</v>
      </c>
      <c r="AT527" s="840" t="s">
        <v>1743</v>
      </c>
      <c r="AU527" s="860" t="s">
        <v>1210</v>
      </c>
      <c r="AV527" s="839" t="s">
        <v>1744</v>
      </c>
      <c r="AW527" s="861">
        <v>45552</v>
      </c>
      <c r="AX527" s="862" t="s">
        <v>1745</v>
      </c>
      <c r="AY527" s="843"/>
      <c r="AZ527" s="842">
        <v>94031000</v>
      </c>
      <c r="BA527" s="842" t="s">
        <v>120</v>
      </c>
      <c r="BB527" s="863" t="s">
        <v>121</v>
      </c>
      <c r="BC527" s="864">
        <v>45555</v>
      </c>
      <c r="BD527" s="860" t="s">
        <v>1746</v>
      </c>
      <c r="BE527" s="865" cm="1">
        <f t="array" ref="BE527">IF(BD527="","",AC527/SUMPRODUCT(--(BD527=$BD$4:$BD$12824),$AC$4:$AC$12824))</f>
        <v>8.3858103852218306E-3</v>
      </c>
      <c r="BF527" s="458"/>
      <c r="BG527" s="458"/>
      <c r="BH527" s="458"/>
      <c r="BI527" s="458"/>
      <c r="BJ527" s="458"/>
      <c r="BK527" s="458"/>
      <c r="BL527" s="458"/>
      <c r="BM527" s="458"/>
      <c r="BN527" s="458"/>
      <c r="BO527" s="866">
        <f>VLOOKUP(BD527,$BD$4:$BN$12824,3,0)*BE527</f>
        <v>0</v>
      </c>
      <c r="BP527" s="866"/>
      <c r="BQ527" s="866"/>
      <c r="BR527" s="866">
        <f>VLOOKUP(BD527,$BD$4:$BN$12824,6,0)*BE527</f>
        <v>118476.0456946445</v>
      </c>
      <c r="BS527" s="866">
        <f>VLOOKUP(BD527,$BD$4:$BN$12824,7,0)*BE527</f>
        <v>16574.428439235169</v>
      </c>
      <c r="BT527" s="866"/>
      <c r="BU527" s="866">
        <f>VLOOKUP(BD527,$BD$4:$BN$12824,9,0)*BE527</f>
        <v>1046.5072070237584</v>
      </c>
      <c r="BV527" s="867"/>
      <c r="BW527" s="867">
        <f>VLOOKUP(BD527,$BD$4:$BN$12824,11,0)*BE527</f>
        <v>0</v>
      </c>
      <c r="BX527" s="1146">
        <f t="shared" si="101"/>
        <v>136096.98134090344</v>
      </c>
      <c r="BY527" s="867">
        <f t="shared" si="110"/>
        <v>9261043.5800924152</v>
      </c>
      <c r="BZ527" s="867">
        <f t="shared" si="107"/>
        <v>18522087.16018483</v>
      </c>
      <c r="CA527" s="867">
        <f>_xlfn.MAXIFS($BY$4:$BY$12824,$S$4:$S$12824,$S527)</f>
        <v>9261043.5800924152</v>
      </c>
      <c r="CB527" s="1032"/>
      <c r="CF527" s="946">
        <f t="shared" si="109"/>
        <v>16713029.760000002</v>
      </c>
    </row>
    <row r="528" spans="1:84">
      <c r="A528" s="1032"/>
      <c r="B528" s="839" t="s">
        <v>98</v>
      </c>
      <c r="C528" s="839" t="s">
        <v>273</v>
      </c>
      <c r="D528" s="839" t="s">
        <v>1735</v>
      </c>
      <c r="E528" s="839" t="s">
        <v>1736</v>
      </c>
      <c r="F528" s="841">
        <v>45439</v>
      </c>
      <c r="G528" s="840" t="s">
        <v>273</v>
      </c>
      <c r="H528" s="842" t="s">
        <v>134</v>
      </c>
      <c r="I528" s="842"/>
      <c r="J528" s="841"/>
      <c r="K528" s="841"/>
      <c r="L528" s="843" t="s">
        <v>1622</v>
      </c>
      <c r="M528" s="844" t="s">
        <v>275</v>
      </c>
      <c r="N528" s="841"/>
      <c r="O528" s="841" t="s">
        <v>150</v>
      </c>
      <c r="P528" s="841" t="s">
        <v>276</v>
      </c>
      <c r="Q528" s="843"/>
      <c r="R528" s="845" t="s">
        <v>1807</v>
      </c>
      <c r="S528" s="1127" t="s">
        <v>1807</v>
      </c>
      <c r="T528" s="843" t="s">
        <v>1808</v>
      </c>
      <c r="U528" s="842">
        <v>2</v>
      </c>
      <c r="V528" s="842" t="s">
        <v>3</v>
      </c>
      <c r="W528" s="846">
        <v>696.88</v>
      </c>
      <c r="X528" s="847">
        <f t="shared" si="102"/>
        <v>1393.76</v>
      </c>
      <c r="Y528" s="848">
        <f t="shared" si="108"/>
        <v>0.54999426013086894</v>
      </c>
      <c r="Z528" s="849">
        <v>313.60000000000002</v>
      </c>
      <c r="AA528" s="849"/>
      <c r="AB528" s="849">
        <f t="shared" si="103"/>
        <v>627.20000000000005</v>
      </c>
      <c r="AC528" s="850">
        <f t="shared" si="104"/>
        <v>627.20000000000005</v>
      </c>
      <c r="AD528" s="851"/>
      <c r="AE528" s="852">
        <v>26647.05</v>
      </c>
      <c r="AF528" s="853">
        <v>0.1</v>
      </c>
      <c r="AG528" s="854">
        <f t="shared" si="105"/>
        <v>1672960.4188439238</v>
      </c>
      <c r="AH528" s="853"/>
      <c r="AI528" s="855">
        <f t="shared" si="106"/>
        <v>0</v>
      </c>
      <c r="AJ528" s="845" t="s">
        <v>1738</v>
      </c>
      <c r="AK528" s="857" t="s">
        <v>1739</v>
      </c>
      <c r="AL528" s="840" t="s">
        <v>1740</v>
      </c>
      <c r="AM528" s="840"/>
      <c r="AN528" s="858"/>
      <c r="AO528" s="844" t="s">
        <v>1741</v>
      </c>
      <c r="AP528" s="859">
        <v>45481</v>
      </c>
      <c r="AQ528" s="859">
        <v>45451</v>
      </c>
      <c r="AR528" s="859" t="s">
        <v>1742</v>
      </c>
      <c r="AS528" s="840" t="s">
        <v>1284</v>
      </c>
      <c r="AT528" s="840" t="s">
        <v>1743</v>
      </c>
      <c r="AU528" s="860" t="s">
        <v>1210</v>
      </c>
      <c r="AV528" s="839" t="s">
        <v>1744</v>
      </c>
      <c r="AW528" s="861">
        <v>45552</v>
      </c>
      <c r="AX528" s="862" t="s">
        <v>1745</v>
      </c>
      <c r="AY528" s="843"/>
      <c r="AZ528" s="842">
        <v>94031000</v>
      </c>
      <c r="BA528" s="842" t="s">
        <v>120</v>
      </c>
      <c r="BB528" s="863" t="s">
        <v>121</v>
      </c>
      <c r="BC528" s="864">
        <v>45555</v>
      </c>
      <c r="BD528" s="860" t="s">
        <v>1746</v>
      </c>
      <c r="BE528" s="865" cm="1">
        <f t="array" ref="BE528">IF(BD528="","",AC528/SUMPRODUCT(--(BD528=$BD$4:$BD$12824),$AC$4:$AC$12824))</f>
        <v>8.3858103852218306E-3</v>
      </c>
      <c r="BF528" s="458"/>
      <c r="BG528" s="458"/>
      <c r="BH528" s="458"/>
      <c r="BI528" s="458"/>
      <c r="BJ528" s="458"/>
      <c r="BK528" s="458"/>
      <c r="BL528" s="458"/>
      <c r="BM528" s="458"/>
      <c r="BN528" s="458"/>
      <c r="BO528" s="866">
        <f>VLOOKUP(BD528,$BD$4:$BN$12824,3,0)*BE528</f>
        <v>0</v>
      </c>
      <c r="BP528" s="866"/>
      <c r="BQ528" s="866"/>
      <c r="BR528" s="866">
        <f>VLOOKUP(BD528,$BD$4:$BN$12824,6,0)*BE528</f>
        <v>118476.0456946445</v>
      </c>
      <c r="BS528" s="866">
        <f>VLOOKUP(BD528,$BD$4:$BN$12824,7,0)*BE528</f>
        <v>16574.428439235169</v>
      </c>
      <c r="BT528" s="866"/>
      <c r="BU528" s="866">
        <f>VLOOKUP(BD528,$BD$4:$BN$12824,9,0)*BE528</f>
        <v>1046.5072070237584</v>
      </c>
      <c r="BV528" s="867"/>
      <c r="BW528" s="867">
        <f>VLOOKUP(BD528,$BD$4:$BN$12824,11,0)*BE528</f>
        <v>0</v>
      </c>
      <c r="BX528" s="1146">
        <f t="shared" si="101"/>
        <v>136096.98134090344</v>
      </c>
      <c r="BY528" s="867">
        <f t="shared" si="110"/>
        <v>9261043.5800924152</v>
      </c>
      <c r="BZ528" s="867">
        <f t="shared" si="107"/>
        <v>18522087.16018483</v>
      </c>
      <c r="CA528" s="867">
        <f>_xlfn.MAXIFS($BY$4:$BY$12824,$S$4:$S$12824,$S528)</f>
        <v>9261043.5800924152</v>
      </c>
      <c r="CB528" s="1032"/>
      <c r="CF528" s="946">
        <f t="shared" si="109"/>
        <v>16713029.760000002</v>
      </c>
    </row>
    <row r="529" spans="1:84">
      <c r="A529" s="1032"/>
      <c r="B529" s="839" t="s">
        <v>98</v>
      </c>
      <c r="C529" s="839" t="s">
        <v>273</v>
      </c>
      <c r="D529" s="839" t="s">
        <v>1735</v>
      </c>
      <c r="E529" s="839" t="s">
        <v>1736</v>
      </c>
      <c r="F529" s="841">
        <v>45439</v>
      </c>
      <c r="G529" s="840" t="s">
        <v>273</v>
      </c>
      <c r="H529" s="842" t="s">
        <v>134</v>
      </c>
      <c r="I529" s="842"/>
      <c r="J529" s="841"/>
      <c r="K529" s="841"/>
      <c r="L529" s="843" t="s">
        <v>1622</v>
      </c>
      <c r="M529" s="844" t="s">
        <v>275</v>
      </c>
      <c r="N529" s="841"/>
      <c r="O529" s="841" t="s">
        <v>150</v>
      </c>
      <c r="P529" s="841" t="s">
        <v>276</v>
      </c>
      <c r="Q529" s="843"/>
      <c r="R529" s="845" t="s">
        <v>1809</v>
      </c>
      <c r="S529" s="1127" t="s">
        <v>1809</v>
      </c>
      <c r="T529" s="843" t="s">
        <v>1810</v>
      </c>
      <c r="U529" s="842">
        <v>2</v>
      </c>
      <c r="V529" s="842" t="s">
        <v>3</v>
      </c>
      <c r="W529" s="846">
        <v>696.88</v>
      </c>
      <c r="X529" s="847">
        <f t="shared" si="102"/>
        <v>1393.76</v>
      </c>
      <c r="Y529" s="848">
        <f t="shared" si="108"/>
        <v>0.54999426013086894</v>
      </c>
      <c r="Z529" s="849">
        <v>313.60000000000002</v>
      </c>
      <c r="AA529" s="849"/>
      <c r="AB529" s="849">
        <f t="shared" si="103"/>
        <v>627.20000000000005</v>
      </c>
      <c r="AC529" s="850">
        <f t="shared" si="104"/>
        <v>627.20000000000005</v>
      </c>
      <c r="AD529" s="851"/>
      <c r="AE529" s="852">
        <v>26647.05</v>
      </c>
      <c r="AF529" s="853">
        <v>0.1</v>
      </c>
      <c r="AG529" s="854">
        <f t="shared" si="105"/>
        <v>1672960.4188439238</v>
      </c>
      <c r="AH529" s="853"/>
      <c r="AI529" s="855">
        <f t="shared" si="106"/>
        <v>0</v>
      </c>
      <c r="AJ529" s="845" t="s">
        <v>1738</v>
      </c>
      <c r="AK529" s="857" t="s">
        <v>1739</v>
      </c>
      <c r="AL529" s="840" t="s">
        <v>1740</v>
      </c>
      <c r="AM529" s="840"/>
      <c r="AN529" s="858"/>
      <c r="AO529" s="844" t="s">
        <v>1741</v>
      </c>
      <c r="AP529" s="859">
        <v>45481</v>
      </c>
      <c r="AQ529" s="859">
        <v>45451</v>
      </c>
      <c r="AR529" s="859" t="s">
        <v>1742</v>
      </c>
      <c r="AS529" s="840" t="s">
        <v>1284</v>
      </c>
      <c r="AT529" s="840" t="s">
        <v>1743</v>
      </c>
      <c r="AU529" s="860" t="s">
        <v>1210</v>
      </c>
      <c r="AV529" s="839" t="s">
        <v>1744</v>
      </c>
      <c r="AW529" s="861">
        <v>45552</v>
      </c>
      <c r="AX529" s="862" t="s">
        <v>1745</v>
      </c>
      <c r="AY529" s="843"/>
      <c r="AZ529" s="842">
        <v>94031000</v>
      </c>
      <c r="BA529" s="842" t="s">
        <v>120</v>
      </c>
      <c r="BB529" s="863" t="s">
        <v>121</v>
      </c>
      <c r="BC529" s="864">
        <v>45555</v>
      </c>
      <c r="BD529" s="860" t="s">
        <v>1746</v>
      </c>
      <c r="BE529" s="865" cm="1">
        <f t="array" ref="BE529">IF(BD529="","",AC529/SUMPRODUCT(--(BD529=$BD$4:$BD$12824),$AC$4:$AC$12824))</f>
        <v>8.3858103852218306E-3</v>
      </c>
      <c r="BF529" s="458"/>
      <c r="BG529" s="458"/>
      <c r="BH529" s="458"/>
      <c r="BI529" s="458"/>
      <c r="BJ529" s="458"/>
      <c r="BK529" s="458"/>
      <c r="BL529" s="458"/>
      <c r="BM529" s="458"/>
      <c r="BN529" s="458"/>
      <c r="BO529" s="866">
        <f>VLOOKUP(BD529,$BD$4:$BN$12824,3,0)*BE529</f>
        <v>0</v>
      </c>
      <c r="BP529" s="866"/>
      <c r="BQ529" s="866"/>
      <c r="BR529" s="866">
        <f>VLOOKUP(BD529,$BD$4:$BN$12824,6,0)*BE529</f>
        <v>118476.0456946445</v>
      </c>
      <c r="BS529" s="866">
        <f>VLOOKUP(BD529,$BD$4:$BN$12824,7,0)*BE529</f>
        <v>16574.428439235169</v>
      </c>
      <c r="BT529" s="866"/>
      <c r="BU529" s="866">
        <f>VLOOKUP(BD529,$BD$4:$BN$12824,9,0)*BE529</f>
        <v>1046.5072070237584</v>
      </c>
      <c r="BV529" s="867"/>
      <c r="BW529" s="867">
        <f>VLOOKUP(BD529,$BD$4:$BN$12824,11,0)*BE529</f>
        <v>0</v>
      </c>
      <c r="BX529" s="1146">
        <f t="shared" si="101"/>
        <v>136096.98134090344</v>
      </c>
      <c r="BY529" s="867">
        <f t="shared" si="110"/>
        <v>9261043.5800924152</v>
      </c>
      <c r="BZ529" s="867">
        <f t="shared" si="107"/>
        <v>18522087.16018483</v>
      </c>
      <c r="CA529" s="867">
        <f>_xlfn.MAXIFS($BY$4:$BY$12824,$S$4:$S$12824,$S529)</f>
        <v>9261043.5800924152</v>
      </c>
      <c r="CB529" s="1032"/>
      <c r="CF529" s="946">
        <f t="shared" si="109"/>
        <v>16713029.760000002</v>
      </c>
    </row>
    <row r="530" spans="1:84">
      <c r="A530" s="1032"/>
      <c r="B530" s="839" t="s">
        <v>98</v>
      </c>
      <c r="C530" s="839" t="s">
        <v>273</v>
      </c>
      <c r="D530" s="839" t="s">
        <v>1735</v>
      </c>
      <c r="E530" s="839" t="s">
        <v>1736</v>
      </c>
      <c r="F530" s="841">
        <v>45439</v>
      </c>
      <c r="G530" s="840" t="s">
        <v>273</v>
      </c>
      <c r="H530" s="842" t="s">
        <v>134</v>
      </c>
      <c r="I530" s="842"/>
      <c r="J530" s="841"/>
      <c r="K530" s="841"/>
      <c r="L530" s="843" t="s">
        <v>1622</v>
      </c>
      <c r="M530" s="844" t="s">
        <v>275</v>
      </c>
      <c r="N530" s="841"/>
      <c r="O530" s="841" t="s">
        <v>150</v>
      </c>
      <c r="P530" s="841" t="s">
        <v>276</v>
      </c>
      <c r="Q530" s="843"/>
      <c r="R530" s="845" t="s">
        <v>556</v>
      </c>
      <c r="S530" s="1127" t="s">
        <v>556</v>
      </c>
      <c r="T530" s="843" t="s">
        <v>1811</v>
      </c>
      <c r="U530" s="842">
        <v>5</v>
      </c>
      <c r="V530" s="842" t="s">
        <v>3</v>
      </c>
      <c r="W530" s="846">
        <v>559.32000000000005</v>
      </c>
      <c r="X530" s="847">
        <f t="shared" si="102"/>
        <v>2796.6000000000004</v>
      </c>
      <c r="Y530" s="848">
        <f t="shared" si="108"/>
        <v>0.55002503039404993</v>
      </c>
      <c r="Z530" s="849">
        <v>251.68</v>
      </c>
      <c r="AA530" s="849"/>
      <c r="AB530" s="849">
        <f t="shared" si="103"/>
        <v>1258.4000000000001</v>
      </c>
      <c r="AC530" s="850">
        <f t="shared" si="104"/>
        <v>1258.4000000000001</v>
      </c>
      <c r="AD530" s="851"/>
      <c r="AE530" s="852">
        <v>26647.05</v>
      </c>
      <c r="AF530" s="853">
        <v>0.1</v>
      </c>
      <c r="AG530" s="854">
        <f t="shared" si="105"/>
        <v>3356590.2281141477</v>
      </c>
      <c r="AH530" s="853"/>
      <c r="AI530" s="855">
        <f t="shared" si="106"/>
        <v>0</v>
      </c>
      <c r="AJ530" s="845" t="s">
        <v>1738</v>
      </c>
      <c r="AK530" s="857" t="s">
        <v>1739</v>
      </c>
      <c r="AL530" s="840" t="s">
        <v>1740</v>
      </c>
      <c r="AM530" s="840"/>
      <c r="AN530" s="858"/>
      <c r="AO530" s="844" t="s">
        <v>1741</v>
      </c>
      <c r="AP530" s="859">
        <v>45481</v>
      </c>
      <c r="AQ530" s="859">
        <v>45451</v>
      </c>
      <c r="AR530" s="859" t="s">
        <v>1742</v>
      </c>
      <c r="AS530" s="840" t="s">
        <v>1284</v>
      </c>
      <c r="AT530" s="840" t="s">
        <v>1743</v>
      </c>
      <c r="AU530" s="860" t="s">
        <v>1210</v>
      </c>
      <c r="AV530" s="839" t="s">
        <v>1744</v>
      </c>
      <c r="AW530" s="861">
        <v>45552</v>
      </c>
      <c r="AX530" s="862" t="s">
        <v>1745</v>
      </c>
      <c r="AY530" s="843"/>
      <c r="AZ530" s="842">
        <v>94031000</v>
      </c>
      <c r="BA530" s="842" t="s">
        <v>120</v>
      </c>
      <c r="BB530" s="863" t="s">
        <v>121</v>
      </c>
      <c r="BC530" s="864">
        <v>45555</v>
      </c>
      <c r="BD530" s="860" t="s">
        <v>1746</v>
      </c>
      <c r="BE530" s="865" cm="1">
        <f t="array" ref="BE530">IF(BD530="","",AC530/SUMPRODUCT(--(BD530=$BD$4:$BD$12824),$AC$4:$AC$12824))</f>
        <v>1.682510170402288E-2</v>
      </c>
      <c r="BF530" s="458"/>
      <c r="BG530" s="458"/>
      <c r="BH530" s="458"/>
      <c r="BI530" s="458"/>
      <c r="BJ530" s="458"/>
      <c r="BK530" s="458"/>
      <c r="BL530" s="458"/>
      <c r="BM530" s="458"/>
      <c r="BN530" s="458"/>
      <c r="BO530" s="866">
        <f>VLOOKUP(BD530,$BD$4:$BN$12824,3,0)*BE530</f>
        <v>0</v>
      </c>
      <c r="BP530" s="866"/>
      <c r="BQ530" s="866"/>
      <c r="BR530" s="866">
        <f>VLOOKUP(BD530,$BD$4:$BN$12824,6,0)*BE530</f>
        <v>237707.67841540277</v>
      </c>
      <c r="BS530" s="866">
        <f>VLOOKUP(BD530,$BD$4:$BN$12824,7,0)*BE530</f>
        <v>33254.561141475664</v>
      </c>
      <c r="BT530" s="866"/>
      <c r="BU530" s="866">
        <f>VLOOKUP(BD530,$BD$4:$BN$12824,9,0)*BE530</f>
        <v>2099.6885671535351</v>
      </c>
      <c r="BV530" s="867"/>
      <c r="BW530" s="867">
        <f>VLOOKUP(BD530,$BD$4:$BN$12824,11,0)*BE530</f>
        <v>0</v>
      </c>
      <c r="BX530" s="1146">
        <f t="shared" si="101"/>
        <v>273061.92812403198</v>
      </c>
      <c r="BY530" s="867">
        <f t="shared" si="110"/>
        <v>7432459.9752476364</v>
      </c>
      <c r="BZ530" s="867">
        <f t="shared" si="107"/>
        <v>37162299.876238182</v>
      </c>
      <c r="CA530" s="867">
        <f>_xlfn.MAXIFS($BY$4:$BY$12824,$S$4:$S$12824,$S530)</f>
        <v>17604291.178556655</v>
      </c>
      <c r="CB530" s="1032"/>
      <c r="CF530" s="946">
        <f t="shared" si="109"/>
        <v>33532647.720000003</v>
      </c>
    </row>
    <row r="531" spans="1:84">
      <c r="A531" s="1032"/>
      <c r="B531" s="839" t="s">
        <v>98</v>
      </c>
      <c r="C531" s="839" t="s">
        <v>273</v>
      </c>
      <c r="D531" s="839" t="s">
        <v>1735</v>
      </c>
      <c r="E531" s="839" t="s">
        <v>1736</v>
      </c>
      <c r="F531" s="841">
        <v>45439</v>
      </c>
      <c r="G531" s="840" t="s">
        <v>273</v>
      </c>
      <c r="H531" s="842" t="s">
        <v>134</v>
      </c>
      <c r="I531" s="842"/>
      <c r="J531" s="841"/>
      <c r="K531" s="841"/>
      <c r="L531" s="843" t="s">
        <v>1622</v>
      </c>
      <c r="M531" s="844" t="s">
        <v>275</v>
      </c>
      <c r="N531" s="841"/>
      <c r="O531" s="841" t="s">
        <v>150</v>
      </c>
      <c r="P531" s="841" t="s">
        <v>1812</v>
      </c>
      <c r="Q531" s="843"/>
      <c r="R531" s="845" t="s">
        <v>1813</v>
      </c>
      <c r="S531" s="1127" t="s">
        <v>1813</v>
      </c>
      <c r="T531" s="843" t="s">
        <v>1814</v>
      </c>
      <c r="U531" s="842">
        <v>1</v>
      </c>
      <c r="V531" s="842" t="s">
        <v>3</v>
      </c>
      <c r="W531" s="846">
        <v>291.48</v>
      </c>
      <c r="X531" s="847">
        <f t="shared" si="102"/>
        <v>291.48</v>
      </c>
      <c r="Y531" s="848">
        <f t="shared" si="108"/>
        <v>0.55022643062988885</v>
      </c>
      <c r="Z531" s="849">
        <v>131.1</v>
      </c>
      <c r="AA531" s="849"/>
      <c r="AB531" s="849">
        <f t="shared" si="103"/>
        <v>131.1</v>
      </c>
      <c r="AC531" s="850">
        <f t="shared" si="104"/>
        <v>131.1</v>
      </c>
      <c r="AD531" s="851"/>
      <c r="AE531" s="852">
        <v>26647.05</v>
      </c>
      <c r="AF531" s="853">
        <v>0.1</v>
      </c>
      <c r="AG531" s="854">
        <f t="shared" si="105"/>
        <v>349689.27122200001</v>
      </c>
      <c r="AH531" s="853"/>
      <c r="AI531" s="855">
        <f t="shared" si="106"/>
        <v>0</v>
      </c>
      <c r="AJ531" s="845" t="s">
        <v>1738</v>
      </c>
      <c r="AK531" s="857" t="s">
        <v>1739</v>
      </c>
      <c r="AL531" s="840" t="s">
        <v>1740</v>
      </c>
      <c r="AM531" s="840"/>
      <c r="AN531" s="858"/>
      <c r="AO531" s="844" t="s">
        <v>1741</v>
      </c>
      <c r="AP531" s="859">
        <v>45481</v>
      </c>
      <c r="AQ531" s="859">
        <v>45451</v>
      </c>
      <c r="AR531" s="859" t="s">
        <v>1742</v>
      </c>
      <c r="AS531" s="840" t="s">
        <v>1284</v>
      </c>
      <c r="AT531" s="840" t="s">
        <v>1743</v>
      </c>
      <c r="AU531" s="860" t="s">
        <v>1210</v>
      </c>
      <c r="AV531" s="839" t="s">
        <v>1744</v>
      </c>
      <c r="AW531" s="861">
        <v>45552</v>
      </c>
      <c r="AX531" s="862" t="s">
        <v>1745</v>
      </c>
      <c r="AY531" s="843"/>
      <c r="AZ531" s="842">
        <v>94031000</v>
      </c>
      <c r="BA531" s="842" t="s">
        <v>120</v>
      </c>
      <c r="BB531" s="863" t="s">
        <v>121</v>
      </c>
      <c r="BC531" s="864">
        <v>45555</v>
      </c>
      <c r="BD531" s="860" t="s">
        <v>1746</v>
      </c>
      <c r="BE531" s="865" cm="1">
        <f t="array" ref="BE531">IF(BD531="","",AC531/SUMPRODUCT(--(BD531=$BD$4:$BD$12824),$AC$4:$AC$12824))</f>
        <v>1.7528375980589634E-3</v>
      </c>
      <c r="BF531" s="458"/>
      <c r="BG531" s="458"/>
      <c r="BH531" s="458"/>
      <c r="BI531" s="458"/>
      <c r="BJ531" s="458"/>
      <c r="BK531" s="458"/>
      <c r="BL531" s="458"/>
      <c r="BM531" s="458"/>
      <c r="BN531" s="458"/>
      <c r="BO531" s="866">
        <f>VLOOKUP(BD531,$BD$4:$BN$12824,3,0)*BE531</f>
        <v>0</v>
      </c>
      <c r="BP531" s="866"/>
      <c r="BQ531" s="866"/>
      <c r="BR531" s="866">
        <f>VLOOKUP(BD531,$BD$4:$BN$12824,6,0)*BE531</f>
        <v>24764.364780879929</v>
      </c>
      <c r="BS531" s="866">
        <f>VLOOKUP(BD531,$BD$4:$BN$12824,7,0)*BE531</f>
        <v>3464.45721999957</v>
      </c>
      <c r="BT531" s="866"/>
      <c r="BU531" s="866">
        <f>VLOOKUP(BD531,$BD$4:$BN$12824,9,0)*BE531</f>
        <v>218.74536804976833</v>
      </c>
      <c r="BV531" s="867"/>
      <c r="BW531" s="867">
        <f>VLOOKUP(BD531,$BD$4:$BN$12824,11,0)*BE531</f>
        <v>0</v>
      </c>
      <c r="BX531" s="1146">
        <f t="shared" si="101"/>
        <v>28447.567368929267</v>
      </c>
      <c r="BY531" s="867">
        <f t="shared" si="110"/>
        <v>3871565.0935909292</v>
      </c>
      <c r="BZ531" s="867">
        <f t="shared" si="107"/>
        <v>3871565.0935909292</v>
      </c>
      <c r="CA531" s="867">
        <f>_xlfn.MAXIFS($BY$4:$BY$12824,$S$4:$S$12824,$S531)</f>
        <v>3871565.0935909292</v>
      </c>
      <c r="CB531" s="1032"/>
      <c r="CF531" s="946">
        <f t="shared" si="109"/>
        <v>3493428.2549999999</v>
      </c>
    </row>
    <row r="532" spans="1:84">
      <c r="A532" s="1032"/>
      <c r="B532" s="839" t="s">
        <v>98</v>
      </c>
      <c r="C532" s="839" t="s">
        <v>273</v>
      </c>
      <c r="D532" s="839" t="s">
        <v>1735</v>
      </c>
      <c r="E532" s="839" t="s">
        <v>1736</v>
      </c>
      <c r="F532" s="841">
        <v>45439</v>
      </c>
      <c r="G532" s="840" t="s">
        <v>273</v>
      </c>
      <c r="H532" s="842" t="s">
        <v>134</v>
      </c>
      <c r="I532" s="842"/>
      <c r="J532" s="841"/>
      <c r="K532" s="841"/>
      <c r="L532" s="843" t="s">
        <v>1622</v>
      </c>
      <c r="M532" s="844" t="s">
        <v>275</v>
      </c>
      <c r="N532" s="841"/>
      <c r="O532" s="841" t="s">
        <v>150</v>
      </c>
      <c r="P532" s="841" t="s">
        <v>1812</v>
      </c>
      <c r="Q532" s="843"/>
      <c r="R532" s="845" t="s">
        <v>1815</v>
      </c>
      <c r="S532" s="1127" t="s">
        <v>1815</v>
      </c>
      <c r="T532" s="843" t="s">
        <v>1816</v>
      </c>
      <c r="U532" s="842">
        <v>1</v>
      </c>
      <c r="V532" s="842" t="s">
        <v>3</v>
      </c>
      <c r="W532" s="846">
        <v>291.48</v>
      </c>
      <c r="X532" s="847">
        <f t="shared" si="102"/>
        <v>291.48</v>
      </c>
      <c r="Y532" s="848">
        <f t="shared" si="108"/>
        <v>0.55022643062988885</v>
      </c>
      <c r="Z532" s="849">
        <v>131.1</v>
      </c>
      <c r="AA532" s="849"/>
      <c r="AB532" s="849">
        <f t="shared" si="103"/>
        <v>131.1</v>
      </c>
      <c r="AC532" s="850">
        <f t="shared" si="104"/>
        <v>131.1</v>
      </c>
      <c r="AD532" s="851"/>
      <c r="AE532" s="852">
        <v>26647.05</v>
      </c>
      <c r="AF532" s="853">
        <v>0.1</v>
      </c>
      <c r="AG532" s="854">
        <f t="shared" si="105"/>
        <v>349689.27122200001</v>
      </c>
      <c r="AH532" s="853"/>
      <c r="AI532" s="855">
        <f t="shared" si="106"/>
        <v>0</v>
      </c>
      <c r="AJ532" s="845" t="s">
        <v>1738</v>
      </c>
      <c r="AK532" s="857" t="s">
        <v>1739</v>
      </c>
      <c r="AL532" s="840" t="s">
        <v>1740</v>
      </c>
      <c r="AM532" s="840"/>
      <c r="AN532" s="858"/>
      <c r="AO532" s="844" t="s">
        <v>1741</v>
      </c>
      <c r="AP532" s="859">
        <v>45481</v>
      </c>
      <c r="AQ532" s="859">
        <v>45451</v>
      </c>
      <c r="AR532" s="859" t="s">
        <v>1742</v>
      </c>
      <c r="AS532" s="840" t="s">
        <v>1284</v>
      </c>
      <c r="AT532" s="840" t="s">
        <v>1743</v>
      </c>
      <c r="AU532" s="860" t="s">
        <v>1210</v>
      </c>
      <c r="AV532" s="839" t="s">
        <v>1744</v>
      </c>
      <c r="AW532" s="861">
        <v>45552</v>
      </c>
      <c r="AX532" s="862" t="s">
        <v>1745</v>
      </c>
      <c r="AY532" s="843"/>
      <c r="AZ532" s="842">
        <v>94031000</v>
      </c>
      <c r="BA532" s="842" t="s">
        <v>120</v>
      </c>
      <c r="BB532" s="863" t="s">
        <v>121</v>
      </c>
      <c r="BC532" s="864">
        <v>45555</v>
      </c>
      <c r="BD532" s="860" t="s">
        <v>1746</v>
      </c>
      <c r="BE532" s="865" cm="1">
        <f t="array" ref="BE532">IF(BD532="","",AC532/SUMPRODUCT(--(BD532=$BD$4:$BD$12824),$AC$4:$AC$12824))</f>
        <v>1.7528375980589634E-3</v>
      </c>
      <c r="BF532" s="458"/>
      <c r="BG532" s="458"/>
      <c r="BH532" s="458"/>
      <c r="BI532" s="458"/>
      <c r="BJ532" s="458"/>
      <c r="BK532" s="458"/>
      <c r="BL532" s="458"/>
      <c r="BM532" s="458"/>
      <c r="BN532" s="458"/>
      <c r="BO532" s="866">
        <f>VLOOKUP(BD532,$BD$4:$BN$12824,3,0)*BE532</f>
        <v>0</v>
      </c>
      <c r="BP532" s="866"/>
      <c r="BQ532" s="866"/>
      <c r="BR532" s="866">
        <f>VLOOKUP(BD532,$BD$4:$BN$12824,6,0)*BE532</f>
        <v>24764.364780879929</v>
      </c>
      <c r="BS532" s="866">
        <f>VLOOKUP(BD532,$BD$4:$BN$12824,7,0)*BE532</f>
        <v>3464.45721999957</v>
      </c>
      <c r="BT532" s="866"/>
      <c r="BU532" s="866">
        <f>VLOOKUP(BD532,$BD$4:$BN$12824,9,0)*BE532</f>
        <v>218.74536804976833</v>
      </c>
      <c r="BV532" s="867"/>
      <c r="BW532" s="867">
        <f>VLOOKUP(BD532,$BD$4:$BN$12824,11,0)*BE532</f>
        <v>0</v>
      </c>
      <c r="BX532" s="1146">
        <f t="shared" si="101"/>
        <v>28447.567368929267</v>
      </c>
      <c r="BY532" s="867">
        <f t="shared" si="110"/>
        <v>3871565.0935909292</v>
      </c>
      <c r="BZ532" s="867">
        <f t="shared" si="107"/>
        <v>3871565.0935909292</v>
      </c>
      <c r="CA532" s="867">
        <f>_xlfn.MAXIFS($BY$4:$BY$12824,$S$4:$S$12824,$S532)</f>
        <v>3871565.0935909292</v>
      </c>
      <c r="CB532" s="1032"/>
      <c r="CF532" s="946">
        <f t="shared" si="109"/>
        <v>3493428.2549999999</v>
      </c>
    </row>
    <row r="533" spans="1:84">
      <c r="A533" s="1032"/>
      <c r="B533" s="839" t="s">
        <v>98</v>
      </c>
      <c r="C533" s="839" t="s">
        <v>273</v>
      </c>
      <c r="D533" s="839" t="s">
        <v>1735</v>
      </c>
      <c r="E533" s="839" t="s">
        <v>1736</v>
      </c>
      <c r="F533" s="841">
        <v>45439</v>
      </c>
      <c r="G533" s="840" t="s">
        <v>273</v>
      </c>
      <c r="H533" s="842" t="s">
        <v>134</v>
      </c>
      <c r="I533" s="842"/>
      <c r="J533" s="841"/>
      <c r="K533" s="841"/>
      <c r="L533" s="843" t="s">
        <v>1622</v>
      </c>
      <c r="M533" s="844" t="s">
        <v>275</v>
      </c>
      <c r="N533" s="841"/>
      <c r="O533" s="841" t="s">
        <v>150</v>
      </c>
      <c r="P533" s="841" t="s">
        <v>1812</v>
      </c>
      <c r="Q533" s="843"/>
      <c r="R533" s="845" t="s">
        <v>654</v>
      </c>
      <c r="S533" s="1127" t="s">
        <v>654</v>
      </c>
      <c r="T533" s="843" t="s">
        <v>1817</v>
      </c>
      <c r="U533" s="842">
        <v>1</v>
      </c>
      <c r="V533" s="842" t="s">
        <v>3</v>
      </c>
      <c r="W533" s="846">
        <v>291.48</v>
      </c>
      <c r="X533" s="847">
        <f t="shared" si="102"/>
        <v>291.48</v>
      </c>
      <c r="Y533" s="848">
        <f t="shared" si="108"/>
        <v>0.55022643062988885</v>
      </c>
      <c r="Z533" s="849">
        <v>131.1</v>
      </c>
      <c r="AA533" s="849"/>
      <c r="AB533" s="849">
        <f t="shared" si="103"/>
        <v>131.1</v>
      </c>
      <c r="AC533" s="850">
        <f t="shared" si="104"/>
        <v>131.1</v>
      </c>
      <c r="AD533" s="851"/>
      <c r="AE533" s="852">
        <v>26647.05</v>
      </c>
      <c r="AF533" s="853">
        <v>0.1</v>
      </c>
      <c r="AG533" s="854">
        <f t="shared" si="105"/>
        <v>349689.27122200001</v>
      </c>
      <c r="AH533" s="853"/>
      <c r="AI533" s="855">
        <f t="shared" si="106"/>
        <v>0</v>
      </c>
      <c r="AJ533" s="845" t="s">
        <v>1738</v>
      </c>
      <c r="AK533" s="857" t="s">
        <v>1739</v>
      </c>
      <c r="AL533" s="840" t="s">
        <v>1740</v>
      </c>
      <c r="AM533" s="840"/>
      <c r="AN533" s="858"/>
      <c r="AO533" s="844" t="s">
        <v>1741</v>
      </c>
      <c r="AP533" s="859">
        <v>45481</v>
      </c>
      <c r="AQ533" s="859">
        <v>45451</v>
      </c>
      <c r="AR533" s="859" t="s">
        <v>1742</v>
      </c>
      <c r="AS533" s="840" t="s">
        <v>1284</v>
      </c>
      <c r="AT533" s="840" t="s">
        <v>1743</v>
      </c>
      <c r="AU533" s="860" t="s">
        <v>1210</v>
      </c>
      <c r="AV533" s="839" t="s">
        <v>1744</v>
      </c>
      <c r="AW533" s="861">
        <v>45552</v>
      </c>
      <c r="AX533" s="862" t="s">
        <v>1745</v>
      </c>
      <c r="AY533" s="843"/>
      <c r="AZ533" s="842">
        <v>94031000</v>
      </c>
      <c r="BA533" s="842" t="s">
        <v>120</v>
      </c>
      <c r="BB533" s="863" t="s">
        <v>121</v>
      </c>
      <c r="BC533" s="864">
        <v>45555</v>
      </c>
      <c r="BD533" s="860" t="s">
        <v>1746</v>
      </c>
      <c r="BE533" s="865" cm="1">
        <f t="array" ref="BE533">IF(BD533="","",AC533/SUMPRODUCT(--(BD533=$BD$4:$BD$12824),$AC$4:$AC$12824))</f>
        <v>1.7528375980589634E-3</v>
      </c>
      <c r="BF533" s="458"/>
      <c r="BG533" s="458"/>
      <c r="BH533" s="458"/>
      <c r="BI533" s="458"/>
      <c r="BJ533" s="458"/>
      <c r="BK533" s="458"/>
      <c r="BL533" s="458"/>
      <c r="BM533" s="458"/>
      <c r="BN533" s="458"/>
      <c r="BO533" s="866">
        <f>VLOOKUP(BD533,$BD$4:$BN$12824,3,0)*BE533</f>
        <v>0</v>
      </c>
      <c r="BP533" s="866"/>
      <c r="BQ533" s="866"/>
      <c r="BR533" s="866">
        <f>VLOOKUP(BD533,$BD$4:$BN$12824,6,0)*BE533</f>
        <v>24764.364780879929</v>
      </c>
      <c r="BS533" s="866">
        <f>VLOOKUP(BD533,$BD$4:$BN$12824,7,0)*BE533</f>
        <v>3464.45721999957</v>
      </c>
      <c r="BT533" s="866"/>
      <c r="BU533" s="866">
        <f>VLOOKUP(BD533,$BD$4:$BN$12824,9,0)*BE533</f>
        <v>218.74536804976833</v>
      </c>
      <c r="BV533" s="867"/>
      <c r="BW533" s="867">
        <f>VLOOKUP(BD533,$BD$4:$BN$12824,11,0)*BE533</f>
        <v>0</v>
      </c>
      <c r="BX533" s="1146">
        <f t="shared" si="101"/>
        <v>28447.567368929267</v>
      </c>
      <c r="BY533" s="867">
        <f t="shared" si="110"/>
        <v>3871565.0935909292</v>
      </c>
      <c r="BZ533" s="867">
        <f t="shared" si="107"/>
        <v>3871565.0935909292</v>
      </c>
      <c r="CA533" s="867">
        <f>_xlfn.MAXIFS($BY$4:$BY$12824,$S$4:$S$12824,$S533)</f>
        <v>8623938.5336315539</v>
      </c>
      <c r="CB533" s="1032"/>
      <c r="CF533" s="946">
        <f t="shared" si="109"/>
        <v>3493428.2549999999</v>
      </c>
    </row>
    <row r="534" spans="1:84">
      <c r="A534" s="1032"/>
      <c r="B534" s="839" t="s">
        <v>98</v>
      </c>
      <c r="C534" s="839" t="s">
        <v>273</v>
      </c>
      <c r="D534" s="839" t="s">
        <v>1735</v>
      </c>
      <c r="E534" s="839" t="s">
        <v>1736</v>
      </c>
      <c r="F534" s="841">
        <v>45439</v>
      </c>
      <c r="G534" s="840" t="s">
        <v>273</v>
      </c>
      <c r="H534" s="842" t="s">
        <v>134</v>
      </c>
      <c r="I534" s="842"/>
      <c r="J534" s="841"/>
      <c r="K534" s="841"/>
      <c r="L534" s="843" t="s">
        <v>1622</v>
      </c>
      <c r="M534" s="844" t="s">
        <v>275</v>
      </c>
      <c r="N534" s="841"/>
      <c r="O534" s="841" t="s">
        <v>150</v>
      </c>
      <c r="P534" s="841" t="s">
        <v>1812</v>
      </c>
      <c r="Q534" s="843"/>
      <c r="R534" s="845" t="s">
        <v>656</v>
      </c>
      <c r="S534" s="1127" t="s">
        <v>656</v>
      </c>
      <c r="T534" s="843" t="s">
        <v>1818</v>
      </c>
      <c r="U534" s="842">
        <v>1</v>
      </c>
      <c r="V534" s="842" t="s">
        <v>3</v>
      </c>
      <c r="W534" s="846">
        <v>291.48</v>
      </c>
      <c r="X534" s="847">
        <f t="shared" si="102"/>
        <v>291.48</v>
      </c>
      <c r="Y534" s="848">
        <f t="shared" si="108"/>
        <v>0.55022643062988885</v>
      </c>
      <c r="Z534" s="849">
        <v>131.1</v>
      </c>
      <c r="AA534" s="849"/>
      <c r="AB534" s="849">
        <f t="shared" si="103"/>
        <v>131.1</v>
      </c>
      <c r="AC534" s="850">
        <f t="shared" si="104"/>
        <v>131.1</v>
      </c>
      <c r="AD534" s="851"/>
      <c r="AE534" s="852">
        <v>26647.05</v>
      </c>
      <c r="AF534" s="853">
        <v>0.1</v>
      </c>
      <c r="AG534" s="854">
        <f t="shared" si="105"/>
        <v>349689.27122200001</v>
      </c>
      <c r="AH534" s="853"/>
      <c r="AI534" s="855">
        <f t="shared" si="106"/>
        <v>0</v>
      </c>
      <c r="AJ534" s="845" t="s">
        <v>1738</v>
      </c>
      <c r="AK534" s="857" t="s">
        <v>1739</v>
      </c>
      <c r="AL534" s="840" t="s">
        <v>1740</v>
      </c>
      <c r="AM534" s="840"/>
      <c r="AN534" s="858"/>
      <c r="AO534" s="844" t="s">
        <v>1741</v>
      </c>
      <c r="AP534" s="859">
        <v>45481</v>
      </c>
      <c r="AQ534" s="859">
        <v>45451</v>
      </c>
      <c r="AR534" s="859" t="s">
        <v>1742</v>
      </c>
      <c r="AS534" s="840" t="s">
        <v>1284</v>
      </c>
      <c r="AT534" s="840" t="s">
        <v>1743</v>
      </c>
      <c r="AU534" s="860" t="s">
        <v>1210</v>
      </c>
      <c r="AV534" s="839" t="s">
        <v>1744</v>
      </c>
      <c r="AW534" s="861">
        <v>45552</v>
      </c>
      <c r="AX534" s="862" t="s">
        <v>1745</v>
      </c>
      <c r="AY534" s="843"/>
      <c r="AZ534" s="842">
        <v>94031000</v>
      </c>
      <c r="BA534" s="842" t="s">
        <v>120</v>
      </c>
      <c r="BB534" s="863" t="s">
        <v>121</v>
      </c>
      <c r="BC534" s="864">
        <v>45555</v>
      </c>
      <c r="BD534" s="860" t="s">
        <v>1746</v>
      </c>
      <c r="BE534" s="865" cm="1">
        <f t="array" ref="BE534">IF(BD534="","",AC534/SUMPRODUCT(--(BD534=$BD$4:$BD$12824),$AC$4:$AC$12824))</f>
        <v>1.7528375980589634E-3</v>
      </c>
      <c r="BF534" s="458"/>
      <c r="BG534" s="458"/>
      <c r="BH534" s="458"/>
      <c r="BI534" s="458"/>
      <c r="BJ534" s="458"/>
      <c r="BK534" s="458"/>
      <c r="BL534" s="458"/>
      <c r="BM534" s="458"/>
      <c r="BN534" s="458"/>
      <c r="BO534" s="866">
        <f>VLOOKUP(BD534,$BD$4:$BN$12824,3,0)*BE534</f>
        <v>0</v>
      </c>
      <c r="BP534" s="866"/>
      <c r="BQ534" s="866"/>
      <c r="BR534" s="866">
        <f>VLOOKUP(BD534,$BD$4:$BN$12824,6,0)*BE534</f>
        <v>24764.364780879929</v>
      </c>
      <c r="BS534" s="866">
        <f>VLOOKUP(BD534,$BD$4:$BN$12824,7,0)*BE534</f>
        <v>3464.45721999957</v>
      </c>
      <c r="BT534" s="866"/>
      <c r="BU534" s="866">
        <f>VLOOKUP(BD534,$BD$4:$BN$12824,9,0)*BE534</f>
        <v>218.74536804976833</v>
      </c>
      <c r="BV534" s="867"/>
      <c r="BW534" s="867">
        <f>VLOOKUP(BD534,$BD$4:$BN$12824,11,0)*BE534</f>
        <v>0</v>
      </c>
      <c r="BX534" s="1146">
        <f t="shared" si="101"/>
        <v>28447.567368929267</v>
      </c>
      <c r="BY534" s="867">
        <f t="shared" si="110"/>
        <v>3871565.0935909292</v>
      </c>
      <c r="BZ534" s="867">
        <f t="shared" si="107"/>
        <v>3871565.0935909292</v>
      </c>
      <c r="CA534" s="867">
        <f>_xlfn.MAXIFS($BY$4:$BY$12824,$S$4:$S$12824,$S534)</f>
        <v>8622178.7257479466</v>
      </c>
      <c r="CB534" s="1032"/>
      <c r="CF534" s="946">
        <f t="shared" si="109"/>
        <v>3493428.2549999999</v>
      </c>
    </row>
    <row r="535" spans="1:84">
      <c r="A535" s="1032"/>
      <c r="B535" s="839" t="s">
        <v>98</v>
      </c>
      <c r="C535" s="839" t="s">
        <v>273</v>
      </c>
      <c r="D535" s="839" t="s">
        <v>1735</v>
      </c>
      <c r="E535" s="839" t="s">
        <v>1736</v>
      </c>
      <c r="F535" s="841">
        <v>45439</v>
      </c>
      <c r="G535" s="840" t="s">
        <v>273</v>
      </c>
      <c r="H535" s="842" t="s">
        <v>134</v>
      </c>
      <c r="I535" s="842"/>
      <c r="J535" s="841"/>
      <c r="K535" s="841"/>
      <c r="L535" s="843" t="s">
        <v>1622</v>
      </c>
      <c r="M535" s="844" t="s">
        <v>275</v>
      </c>
      <c r="N535" s="841"/>
      <c r="O535" s="841" t="s">
        <v>150</v>
      </c>
      <c r="P535" s="841" t="s">
        <v>1812</v>
      </c>
      <c r="Q535" s="843"/>
      <c r="R535" s="845" t="s">
        <v>652</v>
      </c>
      <c r="S535" s="1127" t="s">
        <v>652</v>
      </c>
      <c r="T535" s="843" t="s">
        <v>1819</v>
      </c>
      <c r="U535" s="842">
        <v>1</v>
      </c>
      <c r="V535" s="842" t="s">
        <v>3</v>
      </c>
      <c r="W535" s="846">
        <v>291.48</v>
      </c>
      <c r="X535" s="847">
        <f t="shared" si="102"/>
        <v>291.48</v>
      </c>
      <c r="Y535" s="848">
        <f t="shared" si="108"/>
        <v>0.55022643062988885</v>
      </c>
      <c r="Z535" s="849">
        <v>131.1</v>
      </c>
      <c r="AA535" s="849"/>
      <c r="AB535" s="849">
        <f t="shared" si="103"/>
        <v>131.1</v>
      </c>
      <c r="AC535" s="850">
        <f t="shared" si="104"/>
        <v>131.1</v>
      </c>
      <c r="AD535" s="851"/>
      <c r="AE535" s="852">
        <v>26647.05</v>
      </c>
      <c r="AF535" s="853">
        <v>0.1</v>
      </c>
      <c r="AG535" s="854">
        <f t="shared" si="105"/>
        <v>349689.27122200001</v>
      </c>
      <c r="AH535" s="853"/>
      <c r="AI535" s="855">
        <f t="shared" si="106"/>
        <v>0</v>
      </c>
      <c r="AJ535" s="845" t="s">
        <v>1738</v>
      </c>
      <c r="AK535" s="857" t="s">
        <v>1739</v>
      </c>
      <c r="AL535" s="840" t="s">
        <v>1740</v>
      </c>
      <c r="AM535" s="840"/>
      <c r="AN535" s="858"/>
      <c r="AO535" s="844" t="s">
        <v>1741</v>
      </c>
      <c r="AP535" s="859">
        <v>45481</v>
      </c>
      <c r="AQ535" s="859">
        <v>45451</v>
      </c>
      <c r="AR535" s="859" t="s">
        <v>1742</v>
      </c>
      <c r="AS535" s="840" t="s">
        <v>1284</v>
      </c>
      <c r="AT535" s="840" t="s">
        <v>1743</v>
      </c>
      <c r="AU535" s="860" t="s">
        <v>1210</v>
      </c>
      <c r="AV535" s="839" t="s">
        <v>1744</v>
      </c>
      <c r="AW535" s="861">
        <v>45552</v>
      </c>
      <c r="AX535" s="862" t="s">
        <v>1745</v>
      </c>
      <c r="AY535" s="843"/>
      <c r="AZ535" s="842">
        <v>94031000</v>
      </c>
      <c r="BA535" s="842" t="s">
        <v>120</v>
      </c>
      <c r="BB535" s="863" t="s">
        <v>121</v>
      </c>
      <c r="BC535" s="864">
        <v>45555</v>
      </c>
      <c r="BD535" s="860" t="s">
        <v>1746</v>
      </c>
      <c r="BE535" s="865" cm="1">
        <f t="array" ref="BE535">IF(BD535="","",AC535/SUMPRODUCT(--(BD535=$BD$4:$BD$12824),$AC$4:$AC$12824))</f>
        <v>1.7528375980589634E-3</v>
      </c>
      <c r="BF535" s="458"/>
      <c r="BG535" s="458"/>
      <c r="BH535" s="458"/>
      <c r="BI535" s="458"/>
      <c r="BJ535" s="458"/>
      <c r="BK535" s="458"/>
      <c r="BL535" s="458"/>
      <c r="BM535" s="458"/>
      <c r="BN535" s="458"/>
      <c r="BO535" s="866">
        <f>VLOOKUP(BD535,$BD$4:$BN$12824,3,0)*BE535</f>
        <v>0</v>
      </c>
      <c r="BP535" s="866"/>
      <c r="BQ535" s="866"/>
      <c r="BR535" s="866">
        <f>VLOOKUP(BD535,$BD$4:$BN$12824,6,0)*BE535</f>
        <v>24764.364780879929</v>
      </c>
      <c r="BS535" s="866">
        <f>VLOOKUP(BD535,$BD$4:$BN$12824,7,0)*BE535</f>
        <v>3464.45721999957</v>
      </c>
      <c r="BT535" s="866"/>
      <c r="BU535" s="866">
        <f>VLOOKUP(BD535,$BD$4:$BN$12824,9,0)*BE535</f>
        <v>218.74536804976833</v>
      </c>
      <c r="BV535" s="867"/>
      <c r="BW535" s="867">
        <f>VLOOKUP(BD535,$BD$4:$BN$12824,11,0)*BE535</f>
        <v>0</v>
      </c>
      <c r="BX535" s="1146">
        <f t="shared" si="101"/>
        <v>28447.567368929267</v>
      </c>
      <c r="BY535" s="867">
        <f t="shared" si="110"/>
        <v>3871565.0935909292</v>
      </c>
      <c r="BZ535" s="867">
        <f t="shared" si="107"/>
        <v>3871565.0935909292</v>
      </c>
      <c r="CA535" s="867">
        <f>_xlfn.MAXIFS($BY$4:$BY$12824,$S$4:$S$12824,$S535)</f>
        <v>8623938.5336315539</v>
      </c>
      <c r="CB535" s="1032"/>
      <c r="CF535" s="946">
        <f t="shared" si="109"/>
        <v>3493428.2549999999</v>
      </c>
    </row>
    <row r="536" spans="1:84">
      <c r="A536" s="1032"/>
      <c r="B536" s="839" t="s">
        <v>98</v>
      </c>
      <c r="C536" s="839" t="s">
        <v>273</v>
      </c>
      <c r="D536" s="839" t="s">
        <v>1735</v>
      </c>
      <c r="E536" s="839" t="s">
        <v>1736</v>
      </c>
      <c r="F536" s="841">
        <v>45439</v>
      </c>
      <c r="G536" s="840" t="s">
        <v>273</v>
      </c>
      <c r="H536" s="842" t="s">
        <v>134</v>
      </c>
      <c r="I536" s="842"/>
      <c r="J536" s="841"/>
      <c r="K536" s="841"/>
      <c r="L536" s="843" t="s">
        <v>1622</v>
      </c>
      <c r="M536" s="844" t="s">
        <v>275</v>
      </c>
      <c r="N536" s="841"/>
      <c r="O536" s="841" t="s">
        <v>150</v>
      </c>
      <c r="P536" s="841" t="s">
        <v>1812</v>
      </c>
      <c r="Q536" s="843"/>
      <c r="R536" s="845" t="s">
        <v>1820</v>
      </c>
      <c r="S536" s="1127" t="s">
        <v>1820</v>
      </c>
      <c r="T536" s="843" t="s">
        <v>1821</v>
      </c>
      <c r="U536" s="842">
        <v>1</v>
      </c>
      <c r="V536" s="842" t="s">
        <v>3</v>
      </c>
      <c r="W536" s="846">
        <v>291.48</v>
      </c>
      <c r="X536" s="847">
        <f t="shared" si="102"/>
        <v>291.48</v>
      </c>
      <c r="Y536" s="848">
        <f t="shared" si="108"/>
        <v>0.55022643062988885</v>
      </c>
      <c r="Z536" s="849">
        <v>131.1</v>
      </c>
      <c r="AA536" s="849"/>
      <c r="AB536" s="849">
        <f t="shared" si="103"/>
        <v>131.1</v>
      </c>
      <c r="AC536" s="850">
        <f t="shared" si="104"/>
        <v>131.1</v>
      </c>
      <c r="AD536" s="851"/>
      <c r="AE536" s="852">
        <v>26647.05</v>
      </c>
      <c r="AF536" s="853">
        <v>0.1</v>
      </c>
      <c r="AG536" s="854">
        <f t="shared" si="105"/>
        <v>349689.27122200001</v>
      </c>
      <c r="AH536" s="853"/>
      <c r="AI536" s="855">
        <f t="shared" si="106"/>
        <v>0</v>
      </c>
      <c r="AJ536" s="845" t="s">
        <v>1738</v>
      </c>
      <c r="AK536" s="857" t="s">
        <v>1739</v>
      </c>
      <c r="AL536" s="840" t="s">
        <v>1740</v>
      </c>
      <c r="AM536" s="840"/>
      <c r="AN536" s="858"/>
      <c r="AO536" s="844" t="s">
        <v>1741</v>
      </c>
      <c r="AP536" s="859">
        <v>45481</v>
      </c>
      <c r="AQ536" s="859">
        <v>45451</v>
      </c>
      <c r="AR536" s="859" t="s">
        <v>1742</v>
      </c>
      <c r="AS536" s="840" t="s">
        <v>1284</v>
      </c>
      <c r="AT536" s="840" t="s">
        <v>1743</v>
      </c>
      <c r="AU536" s="860" t="s">
        <v>1210</v>
      </c>
      <c r="AV536" s="839" t="s">
        <v>1744</v>
      </c>
      <c r="AW536" s="861">
        <v>45552</v>
      </c>
      <c r="AX536" s="862" t="s">
        <v>1745</v>
      </c>
      <c r="AY536" s="843"/>
      <c r="AZ536" s="842">
        <v>94031000</v>
      </c>
      <c r="BA536" s="842" t="s">
        <v>120</v>
      </c>
      <c r="BB536" s="863" t="s">
        <v>121</v>
      </c>
      <c r="BC536" s="864">
        <v>45555</v>
      </c>
      <c r="BD536" s="860" t="s">
        <v>1746</v>
      </c>
      <c r="BE536" s="865" cm="1">
        <f t="array" ref="BE536">IF(BD536="","",AC536/SUMPRODUCT(--(BD536=$BD$4:$BD$12824),$AC$4:$AC$12824))</f>
        <v>1.7528375980589634E-3</v>
      </c>
      <c r="BF536" s="458"/>
      <c r="BG536" s="458"/>
      <c r="BH536" s="458"/>
      <c r="BI536" s="458"/>
      <c r="BJ536" s="458"/>
      <c r="BK536" s="458"/>
      <c r="BL536" s="458"/>
      <c r="BM536" s="458"/>
      <c r="BN536" s="458"/>
      <c r="BO536" s="866">
        <f>VLOOKUP(BD536,$BD$4:$BN$12824,3,0)*BE536</f>
        <v>0</v>
      </c>
      <c r="BP536" s="866"/>
      <c r="BQ536" s="866"/>
      <c r="BR536" s="866">
        <f>VLOOKUP(BD536,$BD$4:$BN$12824,6,0)*BE536</f>
        <v>24764.364780879929</v>
      </c>
      <c r="BS536" s="866">
        <f>VLOOKUP(BD536,$BD$4:$BN$12824,7,0)*BE536</f>
        <v>3464.45721999957</v>
      </c>
      <c r="BT536" s="866"/>
      <c r="BU536" s="866">
        <f>VLOOKUP(BD536,$BD$4:$BN$12824,9,0)*BE536</f>
        <v>218.74536804976833</v>
      </c>
      <c r="BV536" s="867"/>
      <c r="BW536" s="867">
        <f>VLOOKUP(BD536,$BD$4:$BN$12824,11,0)*BE536</f>
        <v>0</v>
      </c>
      <c r="BX536" s="1146">
        <f t="shared" si="101"/>
        <v>28447.567368929267</v>
      </c>
      <c r="BY536" s="867">
        <f t="shared" si="110"/>
        <v>3871565.0935909292</v>
      </c>
      <c r="BZ536" s="867">
        <f t="shared" si="107"/>
        <v>3871565.0935909292</v>
      </c>
      <c r="CA536" s="867">
        <f>_xlfn.MAXIFS($BY$4:$BY$12824,$S$4:$S$12824,$S536)</f>
        <v>3871565.0935909292</v>
      </c>
      <c r="CB536" s="1032"/>
      <c r="CF536" s="946">
        <f t="shared" si="109"/>
        <v>3493428.2549999999</v>
      </c>
    </row>
    <row r="537" spans="1:84">
      <c r="A537" s="1032"/>
      <c r="B537" s="839" t="s">
        <v>98</v>
      </c>
      <c r="C537" s="839" t="s">
        <v>273</v>
      </c>
      <c r="D537" s="839" t="s">
        <v>1735</v>
      </c>
      <c r="E537" s="839" t="s">
        <v>1736</v>
      </c>
      <c r="F537" s="841">
        <v>45439</v>
      </c>
      <c r="G537" s="840" t="s">
        <v>273</v>
      </c>
      <c r="H537" s="842" t="s">
        <v>134</v>
      </c>
      <c r="I537" s="842"/>
      <c r="J537" s="841"/>
      <c r="K537" s="841"/>
      <c r="L537" s="843" t="s">
        <v>1622</v>
      </c>
      <c r="M537" s="844" t="s">
        <v>275</v>
      </c>
      <c r="N537" s="841"/>
      <c r="O537" s="841" t="s">
        <v>150</v>
      </c>
      <c r="P537" s="841" t="s">
        <v>1812</v>
      </c>
      <c r="Q537" s="843"/>
      <c r="R537" s="845" t="s">
        <v>650</v>
      </c>
      <c r="S537" s="1127" t="s">
        <v>650</v>
      </c>
      <c r="T537" s="843" t="s">
        <v>1822</v>
      </c>
      <c r="U537" s="842">
        <v>1</v>
      </c>
      <c r="V537" s="842" t="s">
        <v>3</v>
      </c>
      <c r="W537" s="846">
        <v>291.48</v>
      </c>
      <c r="X537" s="847">
        <f t="shared" si="102"/>
        <v>291.48</v>
      </c>
      <c r="Y537" s="848">
        <f t="shared" si="108"/>
        <v>0.55022643062988885</v>
      </c>
      <c r="Z537" s="849">
        <v>131.1</v>
      </c>
      <c r="AA537" s="849"/>
      <c r="AB537" s="849">
        <f t="shared" si="103"/>
        <v>131.1</v>
      </c>
      <c r="AC537" s="850">
        <f t="shared" si="104"/>
        <v>131.1</v>
      </c>
      <c r="AD537" s="851"/>
      <c r="AE537" s="852">
        <v>26647.05</v>
      </c>
      <c r="AF537" s="853">
        <v>0.1</v>
      </c>
      <c r="AG537" s="854">
        <f t="shared" si="105"/>
        <v>349689.27122200001</v>
      </c>
      <c r="AH537" s="853"/>
      <c r="AI537" s="855">
        <f t="shared" si="106"/>
        <v>0</v>
      </c>
      <c r="AJ537" s="845" t="s">
        <v>1738</v>
      </c>
      <c r="AK537" s="857" t="s">
        <v>1739</v>
      </c>
      <c r="AL537" s="840" t="s">
        <v>1740</v>
      </c>
      <c r="AM537" s="840"/>
      <c r="AN537" s="858"/>
      <c r="AO537" s="844" t="s">
        <v>1741</v>
      </c>
      <c r="AP537" s="859">
        <v>45481</v>
      </c>
      <c r="AQ537" s="859">
        <v>45451</v>
      </c>
      <c r="AR537" s="859" t="s">
        <v>1742</v>
      </c>
      <c r="AS537" s="840" t="s">
        <v>1284</v>
      </c>
      <c r="AT537" s="840" t="s">
        <v>1743</v>
      </c>
      <c r="AU537" s="860" t="s">
        <v>1210</v>
      </c>
      <c r="AV537" s="839" t="s">
        <v>1744</v>
      </c>
      <c r="AW537" s="861">
        <v>45552</v>
      </c>
      <c r="AX537" s="862" t="s">
        <v>1745</v>
      </c>
      <c r="AY537" s="843"/>
      <c r="AZ537" s="842">
        <v>94031000</v>
      </c>
      <c r="BA537" s="842" t="s">
        <v>120</v>
      </c>
      <c r="BB537" s="863" t="s">
        <v>121</v>
      </c>
      <c r="BC537" s="864">
        <v>45555</v>
      </c>
      <c r="BD537" s="860" t="s">
        <v>1746</v>
      </c>
      <c r="BE537" s="865" cm="1">
        <f t="array" ref="BE537">IF(BD537="","",AC537/SUMPRODUCT(--(BD537=$BD$4:$BD$12824),$AC$4:$AC$12824))</f>
        <v>1.7528375980589634E-3</v>
      </c>
      <c r="BF537" s="458"/>
      <c r="BG537" s="458"/>
      <c r="BH537" s="458"/>
      <c r="BI537" s="458"/>
      <c r="BJ537" s="458"/>
      <c r="BK537" s="458"/>
      <c r="BL537" s="458"/>
      <c r="BM537" s="458"/>
      <c r="BN537" s="458"/>
      <c r="BO537" s="866">
        <f>VLOOKUP(BD537,$BD$4:$BN$12824,3,0)*BE537</f>
        <v>0</v>
      </c>
      <c r="BP537" s="866"/>
      <c r="BQ537" s="866"/>
      <c r="BR537" s="866">
        <f>VLOOKUP(BD537,$BD$4:$BN$12824,6,0)*BE537</f>
        <v>24764.364780879929</v>
      </c>
      <c r="BS537" s="866">
        <f>VLOOKUP(BD537,$BD$4:$BN$12824,7,0)*BE537</f>
        <v>3464.45721999957</v>
      </c>
      <c r="BT537" s="866"/>
      <c r="BU537" s="866">
        <f>VLOOKUP(BD537,$BD$4:$BN$12824,9,0)*BE537</f>
        <v>218.74536804976833</v>
      </c>
      <c r="BV537" s="867"/>
      <c r="BW537" s="867">
        <f>VLOOKUP(BD537,$BD$4:$BN$12824,11,0)*BE537</f>
        <v>0</v>
      </c>
      <c r="BX537" s="1146">
        <f t="shared" si="101"/>
        <v>28447.567368929267</v>
      </c>
      <c r="BY537" s="867">
        <f t="shared" si="110"/>
        <v>3871565.0935909292</v>
      </c>
      <c r="BZ537" s="867">
        <f t="shared" si="107"/>
        <v>3871565.0935909292</v>
      </c>
      <c r="CA537" s="867">
        <f>_xlfn.MAXIFS($BY$4:$BY$12824,$S$4:$S$12824,$S537)</f>
        <v>8623938.5336315539</v>
      </c>
      <c r="CB537" s="1032"/>
      <c r="CF537" s="946">
        <f t="shared" si="109"/>
        <v>3493428.2549999999</v>
      </c>
    </row>
    <row r="538" spans="1:84">
      <c r="A538" s="1032"/>
      <c r="B538" s="839" t="s">
        <v>98</v>
      </c>
      <c r="C538" s="839" t="s">
        <v>273</v>
      </c>
      <c r="D538" s="839" t="s">
        <v>1735</v>
      </c>
      <c r="E538" s="839" t="s">
        <v>1736</v>
      </c>
      <c r="F538" s="841">
        <v>45439</v>
      </c>
      <c r="G538" s="840" t="s">
        <v>273</v>
      </c>
      <c r="H538" s="842" t="s">
        <v>134</v>
      </c>
      <c r="I538" s="842"/>
      <c r="J538" s="841"/>
      <c r="K538" s="841"/>
      <c r="L538" s="843" t="s">
        <v>1622</v>
      </c>
      <c r="M538" s="844" t="s">
        <v>275</v>
      </c>
      <c r="N538" s="841"/>
      <c r="O538" s="841" t="s">
        <v>150</v>
      </c>
      <c r="P538" s="841" t="s">
        <v>1812</v>
      </c>
      <c r="Q538" s="843"/>
      <c r="R538" s="845" t="s">
        <v>1823</v>
      </c>
      <c r="S538" s="1127" t="s">
        <v>1823</v>
      </c>
      <c r="T538" s="843" t="s">
        <v>1824</v>
      </c>
      <c r="U538" s="842">
        <v>1</v>
      </c>
      <c r="V538" s="842" t="s">
        <v>3</v>
      </c>
      <c r="W538" s="846">
        <v>291.48</v>
      </c>
      <c r="X538" s="847">
        <f t="shared" si="102"/>
        <v>291.48</v>
      </c>
      <c r="Y538" s="848">
        <f t="shared" si="108"/>
        <v>0.55022643062988885</v>
      </c>
      <c r="Z538" s="849">
        <v>131.1</v>
      </c>
      <c r="AA538" s="849"/>
      <c r="AB538" s="849">
        <f t="shared" si="103"/>
        <v>131.1</v>
      </c>
      <c r="AC538" s="850">
        <f t="shared" si="104"/>
        <v>131.1</v>
      </c>
      <c r="AD538" s="851"/>
      <c r="AE538" s="852">
        <v>26647.05</v>
      </c>
      <c r="AF538" s="853">
        <v>0.1</v>
      </c>
      <c r="AG538" s="854">
        <f t="shared" si="105"/>
        <v>349689.27122200001</v>
      </c>
      <c r="AH538" s="853"/>
      <c r="AI538" s="855">
        <f t="shared" si="106"/>
        <v>0</v>
      </c>
      <c r="AJ538" s="845" t="s">
        <v>1738</v>
      </c>
      <c r="AK538" s="857" t="s">
        <v>1739</v>
      </c>
      <c r="AL538" s="840" t="s">
        <v>1740</v>
      </c>
      <c r="AM538" s="840"/>
      <c r="AN538" s="858"/>
      <c r="AO538" s="844" t="s">
        <v>1741</v>
      </c>
      <c r="AP538" s="859">
        <v>45481</v>
      </c>
      <c r="AQ538" s="859">
        <v>45451</v>
      </c>
      <c r="AR538" s="859" t="s">
        <v>1742</v>
      </c>
      <c r="AS538" s="840" t="s">
        <v>1284</v>
      </c>
      <c r="AT538" s="840" t="s">
        <v>1743</v>
      </c>
      <c r="AU538" s="860" t="s">
        <v>1210</v>
      </c>
      <c r="AV538" s="839" t="s">
        <v>1744</v>
      </c>
      <c r="AW538" s="861">
        <v>45552</v>
      </c>
      <c r="AX538" s="862" t="s">
        <v>1745</v>
      </c>
      <c r="AY538" s="843"/>
      <c r="AZ538" s="842">
        <v>94031000</v>
      </c>
      <c r="BA538" s="842" t="s">
        <v>120</v>
      </c>
      <c r="BB538" s="863" t="s">
        <v>121</v>
      </c>
      <c r="BC538" s="864">
        <v>45555</v>
      </c>
      <c r="BD538" s="860" t="s">
        <v>1746</v>
      </c>
      <c r="BE538" s="865" cm="1">
        <f t="array" ref="BE538">IF(BD538="","",AC538/SUMPRODUCT(--(BD538=$BD$4:$BD$12824),$AC$4:$AC$12824))</f>
        <v>1.7528375980589634E-3</v>
      </c>
      <c r="BF538" s="458"/>
      <c r="BG538" s="458"/>
      <c r="BH538" s="458"/>
      <c r="BI538" s="458"/>
      <c r="BJ538" s="458"/>
      <c r="BK538" s="458"/>
      <c r="BL538" s="458"/>
      <c r="BM538" s="458"/>
      <c r="BN538" s="458"/>
      <c r="BO538" s="866">
        <f>VLOOKUP(BD538,$BD$4:$BN$12824,3,0)*BE538</f>
        <v>0</v>
      </c>
      <c r="BP538" s="866"/>
      <c r="BQ538" s="866"/>
      <c r="BR538" s="866">
        <f>VLOOKUP(BD538,$BD$4:$BN$12824,6,0)*BE538</f>
        <v>24764.364780879929</v>
      </c>
      <c r="BS538" s="866">
        <f>VLOOKUP(BD538,$BD$4:$BN$12824,7,0)*BE538</f>
        <v>3464.45721999957</v>
      </c>
      <c r="BT538" s="866"/>
      <c r="BU538" s="866">
        <f>VLOOKUP(BD538,$BD$4:$BN$12824,9,0)*BE538</f>
        <v>218.74536804976833</v>
      </c>
      <c r="BV538" s="867"/>
      <c r="BW538" s="867">
        <f>VLOOKUP(BD538,$BD$4:$BN$12824,11,0)*BE538</f>
        <v>0</v>
      </c>
      <c r="BX538" s="1146">
        <f t="shared" si="101"/>
        <v>28447.567368929267</v>
      </c>
      <c r="BY538" s="867">
        <f t="shared" si="110"/>
        <v>3871565.0935909292</v>
      </c>
      <c r="BZ538" s="867">
        <f t="shared" si="107"/>
        <v>3871565.0935909292</v>
      </c>
      <c r="CA538" s="867">
        <f>_xlfn.MAXIFS($BY$4:$BY$12824,$S$4:$S$12824,$S538)</f>
        <v>3871565.0935909292</v>
      </c>
      <c r="CB538" s="1032"/>
      <c r="CF538" s="946">
        <f t="shared" si="109"/>
        <v>3493428.2549999999</v>
      </c>
    </row>
    <row r="539" spans="1:84">
      <c r="A539" s="1032"/>
      <c r="B539" s="839" t="s">
        <v>98</v>
      </c>
      <c r="C539" s="839" t="s">
        <v>273</v>
      </c>
      <c r="D539" s="839" t="s">
        <v>1735</v>
      </c>
      <c r="E539" s="839" t="s">
        <v>1736</v>
      </c>
      <c r="F539" s="841">
        <v>45439</v>
      </c>
      <c r="G539" s="840" t="s">
        <v>273</v>
      </c>
      <c r="H539" s="842" t="s">
        <v>134</v>
      </c>
      <c r="I539" s="842"/>
      <c r="J539" s="841"/>
      <c r="K539" s="841"/>
      <c r="L539" s="843" t="s">
        <v>1622</v>
      </c>
      <c r="M539" s="844" t="s">
        <v>275</v>
      </c>
      <c r="N539" s="841"/>
      <c r="O539" s="841" t="s">
        <v>150</v>
      </c>
      <c r="P539" s="841" t="s">
        <v>276</v>
      </c>
      <c r="Q539" s="843"/>
      <c r="R539" s="845" t="s">
        <v>1825</v>
      </c>
      <c r="S539" s="1127" t="s">
        <v>1825</v>
      </c>
      <c r="T539" s="843" t="s">
        <v>1826</v>
      </c>
      <c r="U539" s="842">
        <v>1</v>
      </c>
      <c r="V539" s="842" t="s">
        <v>3</v>
      </c>
      <c r="W539" s="846">
        <v>6745.77</v>
      </c>
      <c r="X539" s="847">
        <f t="shared" si="102"/>
        <v>6745.77</v>
      </c>
      <c r="Y539" s="848">
        <f t="shared" si="108"/>
        <v>0.58999936256350283</v>
      </c>
      <c r="Z539" s="849">
        <v>2765.77</v>
      </c>
      <c r="AA539" s="849"/>
      <c r="AB539" s="849">
        <f t="shared" si="103"/>
        <v>2765.77</v>
      </c>
      <c r="AC539" s="850">
        <f t="shared" si="104"/>
        <v>2765.77</v>
      </c>
      <c r="AD539" s="851"/>
      <c r="AE539" s="852">
        <v>26647.05</v>
      </c>
      <c r="AF539" s="853">
        <v>0.1</v>
      </c>
      <c r="AG539" s="854">
        <f t="shared" si="105"/>
        <v>7377269.9898373056</v>
      </c>
      <c r="AH539" s="853"/>
      <c r="AI539" s="855">
        <f t="shared" si="106"/>
        <v>0</v>
      </c>
      <c r="AJ539" s="845" t="s">
        <v>1738</v>
      </c>
      <c r="AK539" s="857" t="s">
        <v>1739</v>
      </c>
      <c r="AL539" s="840" t="s">
        <v>1740</v>
      </c>
      <c r="AM539" s="840"/>
      <c r="AN539" s="858"/>
      <c r="AO539" s="844" t="s">
        <v>1741</v>
      </c>
      <c r="AP539" s="859">
        <v>45481</v>
      </c>
      <c r="AQ539" s="859">
        <v>45451</v>
      </c>
      <c r="AR539" s="859" t="s">
        <v>1742</v>
      </c>
      <c r="AS539" s="840" t="s">
        <v>1284</v>
      </c>
      <c r="AT539" s="840" t="s">
        <v>1743</v>
      </c>
      <c r="AU539" s="860" t="s">
        <v>1210</v>
      </c>
      <c r="AV539" s="839" t="s">
        <v>1744</v>
      </c>
      <c r="AW539" s="861">
        <v>45552</v>
      </c>
      <c r="AX539" s="862" t="s">
        <v>1745</v>
      </c>
      <c r="AY539" s="843"/>
      <c r="AZ539" s="842">
        <v>94031000</v>
      </c>
      <c r="BA539" s="842" t="s">
        <v>120</v>
      </c>
      <c r="BB539" s="863" t="s">
        <v>121</v>
      </c>
      <c r="BC539" s="864">
        <v>45555</v>
      </c>
      <c r="BD539" s="860" t="s">
        <v>1746</v>
      </c>
      <c r="BE539" s="865" cm="1">
        <f t="array" ref="BE539">IF(BD539="","",AC539/SUMPRODUCT(--(BD539=$BD$4:$BD$12824),$AC$4:$AC$12824))</f>
        <v>3.6978990416350416E-2</v>
      </c>
      <c r="BF539" s="458"/>
      <c r="BG539" s="458"/>
      <c r="BH539" s="458"/>
      <c r="BI539" s="458"/>
      <c r="BJ539" s="458"/>
      <c r="BK539" s="458"/>
      <c r="BL539" s="458"/>
      <c r="BM539" s="458"/>
      <c r="BN539" s="458"/>
      <c r="BO539" s="866">
        <f>VLOOKUP(BD539,$BD$4:$BN$12824,3,0)*BE539</f>
        <v>0</v>
      </c>
      <c r="BP539" s="866"/>
      <c r="BQ539" s="866"/>
      <c r="BR539" s="866">
        <f>VLOOKUP(BD539,$BD$4:$BN$12824,6,0)*BE539</f>
        <v>522444.98230369407</v>
      </c>
      <c r="BS539" s="866">
        <f>VLOOKUP(BD539,$BD$4:$BN$12824,7,0)*BE539</f>
        <v>73088.419873060353</v>
      </c>
      <c r="BT539" s="866"/>
      <c r="BU539" s="866">
        <f>VLOOKUP(BD539,$BD$4:$BN$12824,9,0)*BE539</f>
        <v>4614.7931090084503</v>
      </c>
      <c r="BV539" s="867"/>
      <c r="BW539" s="867">
        <f>VLOOKUP(BD539,$BD$4:$BN$12824,11,0)*BE539</f>
        <v>0</v>
      </c>
      <c r="BX539" s="1146">
        <f t="shared" si="101"/>
        <v>600148.19528576289</v>
      </c>
      <c r="BY539" s="867">
        <f t="shared" si="110"/>
        <v>81677029.663623065</v>
      </c>
      <c r="BZ539" s="867">
        <f t="shared" si="107"/>
        <v>81677029.663623065</v>
      </c>
      <c r="CA539" s="867">
        <f>_xlfn.MAXIFS($BY$4:$BY$12824,$S$4:$S$12824,$S539)</f>
        <v>81677029.663623065</v>
      </c>
      <c r="CB539" s="1032"/>
      <c r="CF539" s="946">
        <f t="shared" si="109"/>
        <v>73699611.478499994</v>
      </c>
    </row>
    <row r="540" spans="1:84">
      <c r="A540" s="1032"/>
      <c r="B540" s="839" t="s">
        <v>98</v>
      </c>
      <c r="C540" s="839" t="s">
        <v>273</v>
      </c>
      <c r="D540" s="839" t="s">
        <v>1735</v>
      </c>
      <c r="E540" s="839" t="s">
        <v>1736</v>
      </c>
      <c r="F540" s="841">
        <v>45439</v>
      </c>
      <c r="G540" s="840" t="s">
        <v>273</v>
      </c>
      <c r="H540" s="842" t="s">
        <v>134</v>
      </c>
      <c r="I540" s="842"/>
      <c r="J540" s="841"/>
      <c r="K540" s="841"/>
      <c r="L540" s="843" t="s">
        <v>1622</v>
      </c>
      <c r="M540" s="844" t="s">
        <v>275</v>
      </c>
      <c r="N540" s="841"/>
      <c r="O540" s="841" t="s">
        <v>150</v>
      </c>
      <c r="P540" s="841" t="s">
        <v>276</v>
      </c>
      <c r="Q540" s="843"/>
      <c r="R540" s="845" t="s">
        <v>1827</v>
      </c>
      <c r="S540" s="1127" t="s">
        <v>1827</v>
      </c>
      <c r="T540" s="843" t="s">
        <v>1828</v>
      </c>
      <c r="U540" s="842">
        <v>1</v>
      </c>
      <c r="V540" s="842" t="s">
        <v>3</v>
      </c>
      <c r="W540" s="846">
        <v>1281.08</v>
      </c>
      <c r="X540" s="847">
        <f t="shared" si="102"/>
        <v>1281.08</v>
      </c>
      <c r="Y540" s="848">
        <f t="shared" si="108"/>
        <v>0.59000218565585283</v>
      </c>
      <c r="Z540" s="849">
        <v>525.24</v>
      </c>
      <c r="AA540" s="849"/>
      <c r="AB540" s="849">
        <f t="shared" si="103"/>
        <v>525.24</v>
      </c>
      <c r="AC540" s="850">
        <f t="shared" si="104"/>
        <v>525.24</v>
      </c>
      <c r="AD540" s="851"/>
      <c r="AE540" s="852">
        <v>26647.05</v>
      </c>
      <c r="AF540" s="853">
        <v>0.1</v>
      </c>
      <c r="AG540" s="854">
        <f t="shared" si="105"/>
        <v>1400997.6568775231</v>
      </c>
      <c r="AH540" s="853"/>
      <c r="AI540" s="855">
        <f t="shared" si="106"/>
        <v>0</v>
      </c>
      <c r="AJ540" s="845" t="s">
        <v>1738</v>
      </c>
      <c r="AK540" s="857" t="s">
        <v>1739</v>
      </c>
      <c r="AL540" s="840" t="s">
        <v>1740</v>
      </c>
      <c r="AM540" s="840"/>
      <c r="AN540" s="858"/>
      <c r="AO540" s="844" t="s">
        <v>1741</v>
      </c>
      <c r="AP540" s="859">
        <v>45481</v>
      </c>
      <c r="AQ540" s="859">
        <v>45451</v>
      </c>
      <c r="AR540" s="859" t="s">
        <v>1742</v>
      </c>
      <c r="AS540" s="840" t="s">
        <v>1284</v>
      </c>
      <c r="AT540" s="840" t="s">
        <v>1743</v>
      </c>
      <c r="AU540" s="860" t="s">
        <v>1210</v>
      </c>
      <c r="AV540" s="839" t="s">
        <v>1744</v>
      </c>
      <c r="AW540" s="861">
        <v>45552</v>
      </c>
      <c r="AX540" s="862" t="s">
        <v>1745</v>
      </c>
      <c r="AY540" s="843"/>
      <c r="AZ540" s="842">
        <v>94031000</v>
      </c>
      <c r="BA540" s="842" t="s">
        <v>120</v>
      </c>
      <c r="BB540" s="863" t="s">
        <v>121</v>
      </c>
      <c r="BC540" s="864">
        <v>45555</v>
      </c>
      <c r="BD540" s="860" t="s">
        <v>1746</v>
      </c>
      <c r="BE540" s="865" cm="1">
        <f t="array" ref="BE540">IF(BD540="","",AC540/SUMPRODUCT(--(BD540=$BD$4:$BD$12824),$AC$4:$AC$12824))</f>
        <v>7.0225813882874907E-3</v>
      </c>
      <c r="BF540" s="458"/>
      <c r="BG540" s="458"/>
      <c r="BH540" s="458"/>
      <c r="BI540" s="458"/>
      <c r="BJ540" s="458"/>
      <c r="BK540" s="458"/>
      <c r="BL540" s="458"/>
      <c r="BM540" s="458"/>
      <c r="BN540" s="458"/>
      <c r="BO540" s="866">
        <f>VLOOKUP(BD540,$BD$4:$BN$12824,3,0)*BE540</f>
        <v>0</v>
      </c>
      <c r="BP540" s="866"/>
      <c r="BQ540" s="866"/>
      <c r="BR540" s="866">
        <f>VLOOKUP(BD540,$BD$4:$BN$12824,6,0)*BE540</f>
        <v>99216.132399003633</v>
      </c>
      <c r="BS540" s="866">
        <f>VLOOKUP(BD540,$BD$4:$BN$12824,7,0)*BE540</f>
        <v>13880.0267752294</v>
      </c>
      <c r="BT540" s="866"/>
      <c r="BU540" s="866">
        <f>VLOOKUP(BD540,$BD$4:$BN$12824,9,0)*BE540</f>
        <v>876.38304435133739</v>
      </c>
      <c r="BV540" s="867"/>
      <c r="BW540" s="867">
        <f>VLOOKUP(BD540,$BD$4:$BN$12824,11,0)*BE540</f>
        <v>0</v>
      </c>
      <c r="BX540" s="1146">
        <f t="shared" si="101"/>
        <v>113972.54221858438</v>
      </c>
      <c r="BY540" s="867">
        <f t="shared" si="110"/>
        <v>15511066.741096107</v>
      </c>
      <c r="BZ540" s="867">
        <f t="shared" si="107"/>
        <v>15511066.741096107</v>
      </c>
      <c r="CA540" s="867">
        <f>_xlfn.MAXIFS($BY$4:$BY$12824,$S$4:$S$12824,$S540)</f>
        <v>15511066.741096107</v>
      </c>
      <c r="CB540" s="1032"/>
      <c r="CF540" s="946">
        <f t="shared" si="109"/>
        <v>13996096.541999999</v>
      </c>
    </row>
    <row r="541" spans="1:84">
      <c r="A541" s="1032"/>
      <c r="B541" s="839" t="s">
        <v>98</v>
      </c>
      <c r="C541" s="839" t="s">
        <v>273</v>
      </c>
      <c r="D541" s="839" t="s">
        <v>1735</v>
      </c>
      <c r="E541" s="839" t="s">
        <v>1736</v>
      </c>
      <c r="F541" s="841">
        <v>45439</v>
      </c>
      <c r="G541" s="840" t="s">
        <v>273</v>
      </c>
      <c r="H541" s="842" t="s">
        <v>134</v>
      </c>
      <c r="I541" s="842"/>
      <c r="J541" s="841"/>
      <c r="K541" s="841"/>
      <c r="L541" s="843" t="s">
        <v>1622</v>
      </c>
      <c r="M541" s="844" t="s">
        <v>275</v>
      </c>
      <c r="N541" s="841"/>
      <c r="O541" s="841" t="s">
        <v>150</v>
      </c>
      <c r="P541" s="841" t="s">
        <v>276</v>
      </c>
      <c r="Q541" s="843"/>
      <c r="R541" s="845" t="s">
        <v>1829</v>
      </c>
      <c r="S541" s="1127" t="s">
        <v>1829</v>
      </c>
      <c r="T541" s="843" t="s">
        <v>1830</v>
      </c>
      <c r="U541" s="842">
        <v>1</v>
      </c>
      <c r="V541" s="842" t="s">
        <v>3</v>
      </c>
      <c r="W541" s="846">
        <v>9122</v>
      </c>
      <c r="X541" s="847">
        <f t="shared" si="102"/>
        <v>9122</v>
      </c>
      <c r="Y541" s="848">
        <f t="shared" si="108"/>
        <v>0.59</v>
      </c>
      <c r="Z541" s="849">
        <v>3740.02</v>
      </c>
      <c r="AA541" s="849"/>
      <c r="AB541" s="849">
        <f t="shared" si="103"/>
        <v>3740.02</v>
      </c>
      <c r="AC541" s="850">
        <f t="shared" si="104"/>
        <v>3740.02</v>
      </c>
      <c r="AD541" s="851"/>
      <c r="AE541" s="852">
        <v>26647.05</v>
      </c>
      <c r="AF541" s="853">
        <v>0.1</v>
      </c>
      <c r="AG541" s="854">
        <f t="shared" si="105"/>
        <v>9975933.3955431301</v>
      </c>
      <c r="AH541" s="853"/>
      <c r="AI541" s="855">
        <f t="shared" si="106"/>
        <v>0</v>
      </c>
      <c r="AJ541" s="845" t="s">
        <v>1738</v>
      </c>
      <c r="AK541" s="857" t="s">
        <v>1739</v>
      </c>
      <c r="AL541" s="840" t="s">
        <v>1740</v>
      </c>
      <c r="AM541" s="840"/>
      <c r="AN541" s="858"/>
      <c r="AO541" s="844" t="s">
        <v>1741</v>
      </c>
      <c r="AP541" s="859">
        <v>45481</v>
      </c>
      <c r="AQ541" s="859">
        <v>45451</v>
      </c>
      <c r="AR541" s="859" t="s">
        <v>1742</v>
      </c>
      <c r="AS541" s="840" t="s">
        <v>1284</v>
      </c>
      <c r="AT541" s="840" t="s">
        <v>1743</v>
      </c>
      <c r="AU541" s="860" t="s">
        <v>1210</v>
      </c>
      <c r="AV541" s="839" t="s">
        <v>1744</v>
      </c>
      <c r="AW541" s="861">
        <v>45552</v>
      </c>
      <c r="AX541" s="862" t="s">
        <v>1745</v>
      </c>
      <c r="AY541" s="843"/>
      <c r="AZ541" s="842">
        <v>94031000</v>
      </c>
      <c r="BA541" s="842" t="s">
        <v>120</v>
      </c>
      <c r="BB541" s="863" t="s">
        <v>121</v>
      </c>
      <c r="BC541" s="864">
        <v>45555</v>
      </c>
      <c r="BD541" s="860" t="s">
        <v>1746</v>
      </c>
      <c r="BE541" s="865" cm="1">
        <f t="array" ref="BE541">IF(BD541="","",AC541/SUMPRODUCT(--(BD541=$BD$4:$BD$12824),$AC$4:$AC$12824))</f>
        <v>5.0004940301239392E-2</v>
      </c>
      <c r="BF541" s="458"/>
      <c r="BG541" s="458"/>
      <c r="BH541" s="458"/>
      <c r="BI541" s="458"/>
      <c r="BJ541" s="458"/>
      <c r="BK541" s="458"/>
      <c r="BL541" s="458"/>
      <c r="BM541" s="458"/>
      <c r="BN541" s="458"/>
      <c r="BO541" s="866">
        <f>VLOOKUP(BD541,$BD$4:$BN$12824,3,0)*BE541</f>
        <v>0</v>
      </c>
      <c r="BP541" s="866"/>
      <c r="BQ541" s="866"/>
      <c r="BR541" s="866">
        <f>VLOOKUP(BD541,$BD$4:$BN$12824,6,0)*BE541</f>
        <v>706477.64735153748</v>
      </c>
      <c r="BS541" s="866">
        <f>VLOOKUP(BD541,$BD$4:$BN$12824,7,0)*BE541</f>
        <v>98834.014431295145</v>
      </c>
      <c r="BT541" s="866"/>
      <c r="BU541" s="866">
        <f>VLOOKUP(BD541,$BD$4:$BN$12824,9,0)*BE541</f>
        <v>6240.3665248931702</v>
      </c>
      <c r="BV541" s="867"/>
      <c r="BW541" s="867">
        <f>VLOOKUP(BD541,$BD$4:$BN$12824,11,0)*BE541</f>
        <v>0</v>
      </c>
      <c r="BX541" s="1146">
        <f t="shared" si="101"/>
        <v>811552.02830772579</v>
      </c>
      <c r="BY541" s="867">
        <f t="shared" si="110"/>
        <v>110447985.36485085</v>
      </c>
      <c r="BZ541" s="867">
        <f t="shared" si="107"/>
        <v>110447985.36485085</v>
      </c>
      <c r="CA541" s="867">
        <f>_xlfn.MAXIFS($BY$4:$BY$12824,$S$4:$S$12824,$S541)</f>
        <v>110447985.36485085</v>
      </c>
      <c r="CB541" s="1032"/>
      <c r="CF541" s="946">
        <f t="shared" si="109"/>
        <v>99660499.941</v>
      </c>
    </row>
    <row r="542" spans="1:84">
      <c r="A542" s="1032"/>
      <c r="B542" s="839" t="s">
        <v>98</v>
      </c>
      <c r="C542" s="839" t="s">
        <v>273</v>
      </c>
      <c r="D542" s="839" t="s">
        <v>1735</v>
      </c>
      <c r="E542" s="839" t="s">
        <v>1736</v>
      </c>
      <c r="F542" s="841">
        <v>45439</v>
      </c>
      <c r="G542" s="840" t="s">
        <v>273</v>
      </c>
      <c r="H542" s="842" t="s">
        <v>134</v>
      </c>
      <c r="I542" s="842"/>
      <c r="J542" s="841"/>
      <c r="K542" s="841"/>
      <c r="L542" s="843" t="s">
        <v>1622</v>
      </c>
      <c r="M542" s="844" t="s">
        <v>275</v>
      </c>
      <c r="N542" s="841"/>
      <c r="O542" s="841" t="s">
        <v>150</v>
      </c>
      <c r="P542" s="841" t="s">
        <v>276</v>
      </c>
      <c r="Q542" s="843"/>
      <c r="R542" s="845" t="s">
        <v>1831</v>
      </c>
      <c r="S542" s="1127" t="s">
        <v>1831</v>
      </c>
      <c r="T542" s="843" t="s">
        <v>1832</v>
      </c>
      <c r="U542" s="842">
        <v>1</v>
      </c>
      <c r="V542" s="842" t="s">
        <v>3</v>
      </c>
      <c r="W542" s="846">
        <v>12223.28</v>
      </c>
      <c r="X542" s="847">
        <f t="shared" si="102"/>
        <v>12223.28</v>
      </c>
      <c r="Y542" s="848">
        <f t="shared" si="108"/>
        <v>0.59000448324835886</v>
      </c>
      <c r="Z542" s="849">
        <v>5011.49</v>
      </c>
      <c r="AA542" s="849"/>
      <c r="AB542" s="849">
        <f t="shared" si="103"/>
        <v>5011.49</v>
      </c>
      <c r="AC542" s="850">
        <f t="shared" si="104"/>
        <v>5011.49</v>
      </c>
      <c r="AD542" s="851"/>
      <c r="AE542" s="852">
        <v>26647.05</v>
      </c>
      <c r="AF542" s="853">
        <v>0.1</v>
      </c>
      <c r="AG542" s="854">
        <f t="shared" si="105"/>
        <v>13367385.856875215</v>
      </c>
      <c r="AH542" s="853"/>
      <c r="AI542" s="855">
        <f t="shared" si="106"/>
        <v>0</v>
      </c>
      <c r="AJ542" s="845" t="s">
        <v>1738</v>
      </c>
      <c r="AK542" s="857" t="s">
        <v>1739</v>
      </c>
      <c r="AL542" s="840" t="s">
        <v>1740</v>
      </c>
      <c r="AM542" s="840"/>
      <c r="AN542" s="858"/>
      <c r="AO542" s="844" t="s">
        <v>1741</v>
      </c>
      <c r="AP542" s="859">
        <v>45481</v>
      </c>
      <c r="AQ542" s="859">
        <v>45451</v>
      </c>
      <c r="AR542" s="859" t="s">
        <v>1742</v>
      </c>
      <c r="AS542" s="840" t="s">
        <v>1284</v>
      </c>
      <c r="AT542" s="840" t="s">
        <v>1743</v>
      </c>
      <c r="AU542" s="860" t="s">
        <v>1210</v>
      </c>
      <c r="AV542" s="839" t="s">
        <v>1744</v>
      </c>
      <c r="AW542" s="861">
        <v>45552</v>
      </c>
      <c r="AX542" s="862" t="s">
        <v>1745</v>
      </c>
      <c r="AY542" s="843"/>
      <c r="AZ542" s="842">
        <v>94031000</v>
      </c>
      <c r="BA542" s="842" t="s">
        <v>120</v>
      </c>
      <c r="BB542" s="863" t="s">
        <v>121</v>
      </c>
      <c r="BC542" s="864">
        <v>45555</v>
      </c>
      <c r="BD542" s="860" t="s">
        <v>1746</v>
      </c>
      <c r="BE542" s="865" cm="1">
        <f t="array" ref="BE542">IF(BD542="","",AC542/SUMPRODUCT(--(BD542=$BD$4:$BD$12824),$AC$4:$AC$12824))</f>
        <v>6.7004790955732377E-2</v>
      </c>
      <c r="BF542" s="458"/>
      <c r="BG542" s="458"/>
      <c r="BH542" s="458"/>
      <c r="BI542" s="458"/>
      <c r="BJ542" s="458"/>
      <c r="BK542" s="458"/>
      <c r="BL542" s="458"/>
      <c r="BM542" s="458"/>
      <c r="BN542" s="458"/>
      <c r="BO542" s="866">
        <f>VLOOKUP(BD542,$BD$4:$BN$12824,3,0)*BE542</f>
        <v>0</v>
      </c>
      <c r="BP542" s="866"/>
      <c r="BQ542" s="866"/>
      <c r="BR542" s="866">
        <f>VLOOKUP(BD542,$BD$4:$BN$12824,6,0)*BE542</f>
        <v>946654.20637476712</v>
      </c>
      <c r="BS542" s="866">
        <f>VLOOKUP(BD542,$BD$4:$BN$12824,7,0)*BE542</f>
        <v>132433.96425214069</v>
      </c>
      <c r="BT542" s="866"/>
      <c r="BU542" s="866">
        <f>VLOOKUP(BD542,$BD$4:$BN$12824,9,0)*BE542</f>
        <v>8361.8628873206217</v>
      </c>
      <c r="BV542" s="867"/>
      <c r="BW542" s="867">
        <f>VLOOKUP(BD542,$BD$4:$BN$12824,11,0)*BE542</f>
        <v>0</v>
      </c>
      <c r="BX542" s="1146">
        <f t="shared" si="101"/>
        <v>1087450.0335142284</v>
      </c>
      <c r="BY542" s="867">
        <f t="shared" si="110"/>
        <v>147996260.49488944</v>
      </c>
      <c r="BZ542" s="867">
        <f t="shared" si="107"/>
        <v>147996260.49488944</v>
      </c>
      <c r="CA542" s="867">
        <f>_xlfn.MAXIFS($BY$4:$BY$12824,$S$4:$S$12824,$S542)</f>
        <v>147996260.49488944</v>
      </c>
      <c r="CB542" s="1032"/>
      <c r="CF542" s="946">
        <f t="shared" si="109"/>
        <v>133541424.6045</v>
      </c>
    </row>
    <row r="543" spans="1:84">
      <c r="A543" s="1032"/>
      <c r="B543" s="839" t="s">
        <v>98</v>
      </c>
      <c r="C543" s="839" t="s">
        <v>273</v>
      </c>
      <c r="D543" s="839" t="s">
        <v>1735</v>
      </c>
      <c r="E543" s="839" t="s">
        <v>1736</v>
      </c>
      <c r="F543" s="841">
        <v>45439</v>
      </c>
      <c r="G543" s="840" t="s">
        <v>273</v>
      </c>
      <c r="H543" s="842" t="s">
        <v>134</v>
      </c>
      <c r="I543" s="842"/>
      <c r="J543" s="841"/>
      <c r="K543" s="841"/>
      <c r="L543" s="843" t="s">
        <v>1622</v>
      </c>
      <c r="M543" s="844" t="s">
        <v>275</v>
      </c>
      <c r="N543" s="841"/>
      <c r="O543" s="841" t="s">
        <v>150</v>
      </c>
      <c r="P543" s="841" t="s">
        <v>276</v>
      </c>
      <c r="Q543" s="843"/>
      <c r="R543" s="845" t="s">
        <v>1833</v>
      </c>
      <c r="S543" s="1127" t="s">
        <v>1833</v>
      </c>
      <c r="T543" s="843" t="s">
        <v>1834</v>
      </c>
      <c r="U543" s="842">
        <v>1</v>
      </c>
      <c r="V543" s="842" t="s">
        <v>3</v>
      </c>
      <c r="W543" s="846">
        <v>7537.26</v>
      </c>
      <c r="X543" s="847">
        <f t="shared" si="102"/>
        <v>7537.26</v>
      </c>
      <c r="Y543" s="848">
        <f t="shared" si="108"/>
        <v>0.58999954890769313</v>
      </c>
      <c r="Z543" s="849">
        <v>3090.28</v>
      </c>
      <c r="AA543" s="849"/>
      <c r="AB543" s="849">
        <f t="shared" si="103"/>
        <v>3090.28</v>
      </c>
      <c r="AC543" s="850">
        <f t="shared" si="104"/>
        <v>3090.28</v>
      </c>
      <c r="AD543" s="851"/>
      <c r="AE543" s="852">
        <v>26647.05</v>
      </c>
      <c r="AF543" s="853">
        <v>0.1</v>
      </c>
      <c r="AG543" s="854">
        <f t="shared" si="105"/>
        <v>8242850.9616470039</v>
      </c>
      <c r="AH543" s="853"/>
      <c r="AI543" s="855">
        <f t="shared" si="106"/>
        <v>0</v>
      </c>
      <c r="AJ543" s="845" t="s">
        <v>1738</v>
      </c>
      <c r="AK543" s="857" t="s">
        <v>1739</v>
      </c>
      <c r="AL543" s="840" t="s">
        <v>1740</v>
      </c>
      <c r="AM543" s="840"/>
      <c r="AN543" s="858"/>
      <c r="AO543" s="844" t="s">
        <v>1741</v>
      </c>
      <c r="AP543" s="859">
        <v>45481</v>
      </c>
      <c r="AQ543" s="859">
        <v>45451</v>
      </c>
      <c r="AR543" s="859" t="s">
        <v>1742</v>
      </c>
      <c r="AS543" s="840" t="s">
        <v>1284</v>
      </c>
      <c r="AT543" s="840" t="s">
        <v>1743</v>
      </c>
      <c r="AU543" s="860" t="s">
        <v>1210</v>
      </c>
      <c r="AV543" s="839" t="s">
        <v>1744</v>
      </c>
      <c r="AW543" s="861">
        <v>45552</v>
      </c>
      <c r="AX543" s="862" t="s">
        <v>1745</v>
      </c>
      <c r="AY543" s="843"/>
      <c r="AZ543" s="842">
        <v>94031000</v>
      </c>
      <c r="BA543" s="842" t="s">
        <v>120</v>
      </c>
      <c r="BB543" s="863" t="s">
        <v>121</v>
      </c>
      <c r="BC543" s="864">
        <v>45555</v>
      </c>
      <c r="BD543" s="860" t="s">
        <v>1746</v>
      </c>
      <c r="BE543" s="865" cm="1">
        <f t="array" ref="BE543">IF(BD543="","",AC543/SUMPRODUCT(--(BD543=$BD$4:$BD$12824),$AC$4:$AC$12824))</f>
        <v>4.1317764855298658E-2</v>
      </c>
      <c r="BF543" s="458"/>
      <c r="BG543" s="458"/>
      <c r="BH543" s="458"/>
      <c r="BI543" s="458"/>
      <c r="BJ543" s="458"/>
      <c r="BK543" s="458"/>
      <c r="BL543" s="458"/>
      <c r="BM543" s="458"/>
      <c r="BN543" s="458"/>
      <c r="BO543" s="866">
        <f>VLOOKUP(BD543,$BD$4:$BN$12824,3,0)*BE543</f>
        <v>0</v>
      </c>
      <c r="BP543" s="866"/>
      <c r="BQ543" s="866"/>
      <c r="BR543" s="866">
        <f>VLOOKUP(BD543,$BD$4:$BN$12824,6,0)*BE543</f>
        <v>583743.8687647417</v>
      </c>
      <c r="BS543" s="866">
        <f>VLOOKUP(BD543,$BD$4:$BN$12824,7,0)*BE543</f>
        <v>81663.942470024966</v>
      </c>
      <c r="BT543" s="866"/>
      <c r="BU543" s="866">
        <f>VLOOKUP(BD543,$BD$4:$BN$12824,9,0)*BE543</f>
        <v>5156.2504651169957</v>
      </c>
      <c r="BV543" s="867"/>
      <c r="BW543" s="867">
        <f>VLOOKUP(BD543,$BD$4:$BN$12824,11,0)*BE543</f>
        <v>0</v>
      </c>
      <c r="BX543" s="1146">
        <f t="shared" si="101"/>
        <v>670564.06169988366</v>
      </c>
      <c r="BY543" s="867">
        <f t="shared" si="110"/>
        <v>91260260.697346896</v>
      </c>
      <c r="BZ543" s="867">
        <f t="shared" si="107"/>
        <v>91260260.697346896</v>
      </c>
      <c r="CA543" s="867">
        <f>_xlfn.MAXIFS($BY$4:$BY$12824,$S$4:$S$12824,$S543)</f>
        <v>91260260.697346896</v>
      </c>
      <c r="CB543" s="1032"/>
      <c r="CF543" s="946">
        <f t="shared" si="109"/>
        <v>82346845.67400001</v>
      </c>
    </row>
    <row r="544" spans="1:84">
      <c r="A544" s="1032"/>
      <c r="B544" s="839" t="s">
        <v>98</v>
      </c>
      <c r="C544" s="839" t="s">
        <v>273</v>
      </c>
      <c r="D544" s="839" t="s">
        <v>1735</v>
      </c>
      <c r="E544" s="839" t="s">
        <v>1736</v>
      </c>
      <c r="F544" s="841">
        <v>45439</v>
      </c>
      <c r="G544" s="840" t="s">
        <v>273</v>
      </c>
      <c r="H544" s="842" t="s">
        <v>134</v>
      </c>
      <c r="I544" s="842"/>
      <c r="J544" s="841"/>
      <c r="K544" s="841"/>
      <c r="L544" s="843" t="s">
        <v>1622</v>
      </c>
      <c r="M544" s="844" t="s">
        <v>275</v>
      </c>
      <c r="N544" s="841"/>
      <c r="O544" s="841" t="s">
        <v>150</v>
      </c>
      <c r="P544" s="841" t="s">
        <v>276</v>
      </c>
      <c r="Q544" s="843"/>
      <c r="R544" s="845" t="s">
        <v>284</v>
      </c>
      <c r="S544" s="1127" t="s">
        <v>284</v>
      </c>
      <c r="T544" s="843" t="s">
        <v>1835</v>
      </c>
      <c r="U544" s="842">
        <v>2</v>
      </c>
      <c r="V544" s="842" t="s">
        <v>3</v>
      </c>
      <c r="W544" s="846">
        <v>1893.52</v>
      </c>
      <c r="X544" s="847">
        <f t="shared" si="102"/>
        <v>3787.04</v>
      </c>
      <c r="Y544" s="848">
        <f t="shared" si="108"/>
        <v>0.64998785331023701</v>
      </c>
      <c r="Z544" s="849">
        <v>662.755</v>
      </c>
      <c r="AA544" s="849"/>
      <c r="AB544" s="849">
        <f t="shared" si="103"/>
        <v>1325.51</v>
      </c>
      <c r="AC544" s="850">
        <f t="shared" si="104"/>
        <v>1325.51</v>
      </c>
      <c r="AD544" s="851"/>
      <c r="AE544" s="852">
        <v>26647.05</v>
      </c>
      <c r="AF544" s="853">
        <v>0.1</v>
      </c>
      <c r="AG544" s="854">
        <f t="shared" si="105"/>
        <v>3535595.9259914048</v>
      </c>
      <c r="AH544" s="853"/>
      <c r="AI544" s="855">
        <f t="shared" si="106"/>
        <v>0</v>
      </c>
      <c r="AJ544" s="845" t="s">
        <v>1738</v>
      </c>
      <c r="AK544" s="857" t="s">
        <v>1739</v>
      </c>
      <c r="AL544" s="840" t="s">
        <v>1740</v>
      </c>
      <c r="AM544" s="840"/>
      <c r="AN544" s="858"/>
      <c r="AO544" s="844" t="s">
        <v>1741</v>
      </c>
      <c r="AP544" s="859">
        <v>45481</v>
      </c>
      <c r="AQ544" s="859">
        <v>45451</v>
      </c>
      <c r="AR544" s="859" t="s">
        <v>1742</v>
      </c>
      <c r="AS544" s="840" t="s">
        <v>1284</v>
      </c>
      <c r="AT544" s="840" t="s">
        <v>1743</v>
      </c>
      <c r="AU544" s="860" t="s">
        <v>1210</v>
      </c>
      <c r="AV544" s="839" t="s">
        <v>1744</v>
      </c>
      <c r="AW544" s="861">
        <v>45552</v>
      </c>
      <c r="AX544" s="862" t="s">
        <v>1745</v>
      </c>
      <c r="AY544" s="843"/>
      <c r="AZ544" s="842">
        <v>94031000</v>
      </c>
      <c r="BA544" s="842" t="s">
        <v>120</v>
      </c>
      <c r="BB544" s="863" t="s">
        <v>121</v>
      </c>
      <c r="BC544" s="864">
        <v>45555</v>
      </c>
      <c r="BD544" s="860" t="s">
        <v>1746</v>
      </c>
      <c r="BE544" s="865" cm="1">
        <f t="array" ref="BE544">IF(BD544="","",AC544/SUMPRODUCT(--(BD544=$BD$4:$BD$12824),$AC$4:$AC$12824))</f>
        <v>1.772237806714826E-2</v>
      </c>
      <c r="BF544" s="458"/>
      <c r="BG544" s="458"/>
      <c r="BH544" s="458"/>
      <c r="BI544" s="458"/>
      <c r="BJ544" s="458"/>
      <c r="BK544" s="458"/>
      <c r="BL544" s="458"/>
      <c r="BM544" s="458"/>
      <c r="BN544" s="458"/>
      <c r="BO544" s="866">
        <f>VLOOKUP(BD544,$BD$4:$BN$12824,3,0)*BE544</f>
        <v>0</v>
      </c>
      <c r="BP544" s="866"/>
      <c r="BQ544" s="866"/>
      <c r="BR544" s="866">
        <f>VLOOKUP(BD544,$BD$4:$BN$12824,6,0)*BE544</f>
        <v>250384.53974602715</v>
      </c>
      <c r="BS544" s="866">
        <f>VLOOKUP(BD544,$BD$4:$BN$12824,7,0)*BE544</f>
        <v>35028.014414047531</v>
      </c>
      <c r="BT544" s="866"/>
      <c r="BU544" s="866">
        <f>VLOOKUP(BD544,$BD$4:$BN$12824,9,0)*BE544</f>
        <v>2211.6641708897669</v>
      </c>
      <c r="BV544" s="867"/>
      <c r="BW544" s="867">
        <f>VLOOKUP(BD544,$BD$4:$BN$12824,11,0)*BE544</f>
        <v>0</v>
      </c>
      <c r="BX544" s="1146">
        <f t="shared" si="101"/>
        <v>287624.21833096445</v>
      </c>
      <c r="BY544" s="867">
        <f t="shared" si="110"/>
        <v>19572075.694911182</v>
      </c>
      <c r="BZ544" s="867">
        <f t="shared" si="107"/>
        <v>39144151.389822364</v>
      </c>
      <c r="CA544" s="867">
        <f>_xlfn.MAXIFS($BY$4:$BY$12824,$S$4:$S$12824,$S544)</f>
        <v>35762001.889235705</v>
      </c>
      <c r="CB544" s="1032"/>
      <c r="CF544" s="946">
        <f t="shared" si="109"/>
        <v>35320931.245499998</v>
      </c>
    </row>
    <row r="545" spans="1:84">
      <c r="A545" s="1032"/>
      <c r="B545" s="839" t="s">
        <v>98</v>
      </c>
      <c r="C545" s="839" t="s">
        <v>273</v>
      </c>
      <c r="D545" s="839" t="s">
        <v>1735</v>
      </c>
      <c r="E545" s="839" t="s">
        <v>1736</v>
      </c>
      <c r="F545" s="841">
        <v>45439</v>
      </c>
      <c r="G545" s="840" t="s">
        <v>273</v>
      </c>
      <c r="H545" s="842" t="s">
        <v>134</v>
      </c>
      <c r="I545" s="842"/>
      <c r="J545" s="841"/>
      <c r="K545" s="841"/>
      <c r="L545" s="843" t="s">
        <v>1622</v>
      </c>
      <c r="M545" s="844" t="s">
        <v>275</v>
      </c>
      <c r="N545" s="841"/>
      <c r="O545" s="841" t="s">
        <v>150</v>
      </c>
      <c r="P545" s="841" t="s">
        <v>276</v>
      </c>
      <c r="Q545" s="843"/>
      <c r="R545" s="845" t="s">
        <v>1836</v>
      </c>
      <c r="S545" s="1127" t="s">
        <v>1836</v>
      </c>
      <c r="T545" s="843" t="s">
        <v>1837</v>
      </c>
      <c r="U545" s="842">
        <v>2</v>
      </c>
      <c r="V545" s="842" t="s">
        <v>3</v>
      </c>
      <c r="W545" s="846">
        <v>2746.81</v>
      </c>
      <c r="X545" s="847">
        <f t="shared" si="102"/>
        <v>5493.62</v>
      </c>
      <c r="Y545" s="848">
        <f t="shared" si="108"/>
        <v>0.65001219596550186</v>
      </c>
      <c r="Z545" s="849">
        <v>961.35</v>
      </c>
      <c r="AA545" s="849"/>
      <c r="AB545" s="849">
        <f t="shared" si="103"/>
        <v>1922.7</v>
      </c>
      <c r="AC545" s="850">
        <f t="shared" si="104"/>
        <v>1922.7</v>
      </c>
      <c r="AD545" s="851"/>
      <c r="AE545" s="852">
        <v>26647.05</v>
      </c>
      <c r="AF545" s="853">
        <v>0.1</v>
      </c>
      <c r="AG545" s="854">
        <f t="shared" si="105"/>
        <v>5128509.2431620089</v>
      </c>
      <c r="AH545" s="853"/>
      <c r="AI545" s="855">
        <f t="shared" si="106"/>
        <v>0</v>
      </c>
      <c r="AJ545" s="845" t="s">
        <v>1738</v>
      </c>
      <c r="AK545" s="857" t="s">
        <v>1739</v>
      </c>
      <c r="AL545" s="840" t="s">
        <v>1740</v>
      </c>
      <c r="AM545" s="840"/>
      <c r="AN545" s="858"/>
      <c r="AO545" s="844" t="s">
        <v>1741</v>
      </c>
      <c r="AP545" s="859">
        <v>45481</v>
      </c>
      <c r="AQ545" s="859">
        <v>45451</v>
      </c>
      <c r="AR545" s="859" t="s">
        <v>1742</v>
      </c>
      <c r="AS545" s="840" t="s">
        <v>1284</v>
      </c>
      <c r="AT545" s="840" t="s">
        <v>1743</v>
      </c>
      <c r="AU545" s="860" t="s">
        <v>1210</v>
      </c>
      <c r="AV545" s="839" t="s">
        <v>1744</v>
      </c>
      <c r="AW545" s="861">
        <v>45552</v>
      </c>
      <c r="AX545" s="862" t="s">
        <v>1745</v>
      </c>
      <c r="AY545" s="843"/>
      <c r="AZ545" s="842">
        <v>94031000</v>
      </c>
      <c r="BA545" s="842" t="s">
        <v>120</v>
      </c>
      <c r="BB545" s="863" t="s">
        <v>121</v>
      </c>
      <c r="BC545" s="864">
        <v>45555</v>
      </c>
      <c r="BD545" s="860" t="s">
        <v>1746</v>
      </c>
      <c r="BE545" s="865" cm="1">
        <f t="array" ref="BE545">IF(BD545="","",AC545/SUMPRODUCT(--(BD545=$BD$4:$BD$12824),$AC$4:$AC$12824))</f>
        <v>2.5706947748191985E-2</v>
      </c>
      <c r="BF545" s="458"/>
      <c r="BG545" s="458"/>
      <c r="BH545" s="458"/>
      <c r="BI545" s="458"/>
      <c r="BJ545" s="458"/>
      <c r="BK545" s="458"/>
      <c r="BL545" s="458"/>
      <c r="BM545" s="458"/>
      <c r="BN545" s="458"/>
      <c r="BO545" s="866">
        <f>VLOOKUP(BD545,$BD$4:$BN$12824,3,0)*BE545</f>
        <v>0</v>
      </c>
      <c r="BP545" s="866"/>
      <c r="BQ545" s="866"/>
      <c r="BR545" s="866">
        <f>VLOOKUP(BD545,$BD$4:$BN$12824,6,0)*BE545</f>
        <v>363191.79377725284</v>
      </c>
      <c r="BS545" s="866">
        <f>VLOOKUP(BD545,$BD$4:$BN$12824,7,0)*BE545</f>
        <v>50809.396620085237</v>
      </c>
      <c r="BT545" s="866"/>
      <c r="BU545" s="866">
        <f>VLOOKUP(BD545,$BD$4:$BN$12824,9,0)*BE545</f>
        <v>3208.0985442356186</v>
      </c>
      <c r="BV545" s="867"/>
      <c r="BW545" s="867">
        <f>VLOOKUP(BD545,$BD$4:$BN$12824,11,0)*BE545</f>
        <v>0</v>
      </c>
      <c r="BX545" s="1146">
        <f t="shared" si="101"/>
        <v>417209.2889415737</v>
      </c>
      <c r="BY545" s="867">
        <f t="shared" si="110"/>
        <v>28390000.78355179</v>
      </c>
      <c r="BZ545" s="867">
        <f t="shared" si="107"/>
        <v>56780001.56710358</v>
      </c>
      <c r="CA545" s="867">
        <f>_xlfn.MAXIFS($BY$4:$BY$12824,$S$4:$S$12824,$S545)</f>
        <v>28390000.78355179</v>
      </c>
      <c r="CB545" s="1032"/>
      <c r="CF545" s="946">
        <f t="shared" si="109"/>
        <v>51234283.034999996</v>
      </c>
    </row>
    <row r="546" spans="1:84">
      <c r="A546" s="1032"/>
      <c r="B546" s="839" t="s">
        <v>98</v>
      </c>
      <c r="C546" s="840" t="s">
        <v>99</v>
      </c>
      <c r="D546" s="839" t="s">
        <v>1838</v>
      </c>
      <c r="E546" s="839" t="s">
        <v>1839</v>
      </c>
      <c r="F546" s="841">
        <v>45451</v>
      </c>
      <c r="G546" s="840" t="s">
        <v>99</v>
      </c>
      <c r="H546" s="842" t="s">
        <v>102</v>
      </c>
      <c r="I546" s="842" t="s">
        <v>1840</v>
      </c>
      <c r="J546" s="841" t="s">
        <v>1841</v>
      </c>
      <c r="K546" s="841" t="s">
        <v>1842</v>
      </c>
      <c r="L546" s="843" t="s">
        <v>1135</v>
      </c>
      <c r="M546" s="844" t="s">
        <v>107</v>
      </c>
      <c r="N546" s="841">
        <v>45513</v>
      </c>
      <c r="O546" s="841" t="s">
        <v>108</v>
      </c>
      <c r="P546" s="841" t="s">
        <v>1136</v>
      </c>
      <c r="Q546" s="843" t="s">
        <v>1843</v>
      </c>
      <c r="R546" s="845">
        <v>5741111978</v>
      </c>
      <c r="S546" s="1127" t="s">
        <v>1844</v>
      </c>
      <c r="T546" s="843" t="s">
        <v>1845</v>
      </c>
      <c r="U546" s="842">
        <v>1</v>
      </c>
      <c r="V546" s="842" t="s">
        <v>3</v>
      </c>
      <c r="W546" s="846">
        <v>10300</v>
      </c>
      <c r="X546" s="847">
        <f t="shared" si="102"/>
        <v>10300</v>
      </c>
      <c r="Y546" s="848">
        <f t="shared" si="108"/>
        <v>0.5</v>
      </c>
      <c r="Z546" s="849">
        <v>5150</v>
      </c>
      <c r="AA546" s="849"/>
      <c r="AB546" s="849">
        <f t="shared" si="103"/>
        <v>5150</v>
      </c>
      <c r="AC546" s="850">
        <f t="shared" si="104"/>
        <v>5150</v>
      </c>
      <c r="AD546" s="851"/>
      <c r="AE546" s="852">
        <v>26647.05</v>
      </c>
      <c r="AF546" s="853">
        <v>0</v>
      </c>
      <c r="AG546" s="854">
        <f t="shared" si="105"/>
        <v>0</v>
      </c>
      <c r="AH546" s="853"/>
      <c r="AI546" s="855">
        <f t="shared" si="106"/>
        <v>0</v>
      </c>
      <c r="AJ546" s="845" t="s">
        <v>1846</v>
      </c>
      <c r="AK546" s="857" t="s">
        <v>1847</v>
      </c>
      <c r="AL546" s="840" t="s">
        <v>1848</v>
      </c>
      <c r="AM546" s="840"/>
      <c r="AN546" s="858"/>
      <c r="AO546" s="844"/>
      <c r="AP546" s="859">
        <v>45605</v>
      </c>
      <c r="AQ546" s="859"/>
      <c r="AR546" s="859" t="s">
        <v>1745</v>
      </c>
      <c r="AS546" s="840"/>
      <c r="AT546" s="840"/>
      <c r="AU546" s="860" t="s">
        <v>1849</v>
      </c>
      <c r="AV546" s="839" t="s">
        <v>1850</v>
      </c>
      <c r="AW546" s="861">
        <v>45552</v>
      </c>
      <c r="AX546" s="862" t="s">
        <v>1745</v>
      </c>
      <c r="AY546" s="843"/>
      <c r="AZ546" s="842"/>
      <c r="BA546" s="842" t="s">
        <v>120</v>
      </c>
      <c r="BB546" s="863" t="s">
        <v>121</v>
      </c>
      <c r="BC546" s="864">
        <v>45817</v>
      </c>
      <c r="BD546" s="877" t="s">
        <v>1851</v>
      </c>
      <c r="BE546" s="878" cm="1">
        <f t="array" ref="BE546">IF(BD546="","",AC546/SUMPRODUCT(--(BD546=$BD$4:$BD$12824),$AC$4:$AC$12824))</f>
        <v>1</v>
      </c>
      <c r="BF546" s="1146">
        <v>9640800</v>
      </c>
      <c r="BG546" s="458"/>
      <c r="BH546" s="458"/>
      <c r="BI546" s="458"/>
      <c r="BJ546" s="458">
        <v>250000</v>
      </c>
      <c r="BK546" s="458"/>
      <c r="BL546" s="458"/>
      <c r="BM546" s="458"/>
      <c r="BN546" s="458">
        <v>600000</v>
      </c>
      <c r="BO546" s="866">
        <f>VLOOKUP(BD546,$BD$4:$BN$12824,3,0)*BE546</f>
        <v>9640800</v>
      </c>
      <c r="BP546" s="866"/>
      <c r="BQ546" s="866"/>
      <c r="BR546" s="866">
        <f>VLOOKUP(BD546,$BD$4:$BN$12824,6,0)*BE546</f>
        <v>0</v>
      </c>
      <c r="BS546" s="866">
        <f>VLOOKUP(BD546,$BD$4:$BN$12824,7,0)*BE546</f>
        <v>250000</v>
      </c>
      <c r="BT546" s="866"/>
      <c r="BU546" s="866">
        <f>VLOOKUP(BD546,$BD$4:$BN$12824,9,0)*BE546</f>
        <v>0</v>
      </c>
      <c r="BV546" s="867"/>
      <c r="BW546" s="867">
        <f>VLOOKUP(BD546,$BD$4:$BN$12824,11,0)*BE546</f>
        <v>600000</v>
      </c>
      <c r="BX546" s="1146">
        <f>SUM(BO546:BW546)</f>
        <v>10490800</v>
      </c>
      <c r="BY546" s="867">
        <f t="shared" si="110"/>
        <v>147723107.5</v>
      </c>
      <c r="BZ546" s="867">
        <f t="shared" si="107"/>
        <v>147723107.5</v>
      </c>
      <c r="CA546" s="867">
        <f>_xlfn.MAXIFS($BY$4:$BY$12824,$S$4:$S$12824,$S546)</f>
        <v>147723107.5</v>
      </c>
      <c r="CB546" s="1032"/>
      <c r="CF546" s="946">
        <f t="shared" si="109"/>
        <v>137232307.5</v>
      </c>
    </row>
    <row r="547" spans="1:84">
      <c r="A547" s="1032"/>
      <c r="B547" s="839" t="s">
        <v>98</v>
      </c>
      <c r="C547" s="840" t="s">
        <v>99</v>
      </c>
      <c r="D547" s="839" t="s">
        <v>1852</v>
      </c>
      <c r="E547" s="839" t="s">
        <v>1853</v>
      </c>
      <c r="F547" s="841">
        <v>45451</v>
      </c>
      <c r="G547" s="840" t="s">
        <v>99</v>
      </c>
      <c r="H547" s="842" t="s">
        <v>102</v>
      </c>
      <c r="I547" s="842" t="s">
        <v>1840</v>
      </c>
      <c r="J547" s="841" t="s">
        <v>1841</v>
      </c>
      <c r="K547" s="841" t="s">
        <v>1842</v>
      </c>
      <c r="L547" s="843" t="s">
        <v>1135</v>
      </c>
      <c r="M547" s="844" t="s">
        <v>107</v>
      </c>
      <c r="N547" s="841">
        <v>45513</v>
      </c>
      <c r="O547" s="841" t="s">
        <v>108</v>
      </c>
      <c r="P547" s="841" t="s">
        <v>1136</v>
      </c>
      <c r="Q547" s="843" t="s">
        <v>110</v>
      </c>
      <c r="R547" s="845" t="s">
        <v>1854</v>
      </c>
      <c r="S547" s="1127" t="s">
        <v>1855</v>
      </c>
      <c r="T547" s="843" t="s">
        <v>1856</v>
      </c>
      <c r="U547" s="842">
        <v>1</v>
      </c>
      <c r="V547" s="842" t="s">
        <v>3</v>
      </c>
      <c r="W547" s="846">
        <v>1140</v>
      </c>
      <c r="X547" s="847">
        <f t="shared" si="102"/>
        <v>1140</v>
      </c>
      <c r="Y547" s="848">
        <f t="shared" si="108"/>
        <v>0.5</v>
      </c>
      <c r="Z547" s="849">
        <v>570</v>
      </c>
      <c r="AA547" s="849"/>
      <c r="AB547" s="849">
        <f t="shared" si="103"/>
        <v>570</v>
      </c>
      <c r="AC547" s="850">
        <f t="shared" si="104"/>
        <v>570</v>
      </c>
      <c r="AD547" s="851"/>
      <c r="AE547" s="852">
        <v>26761.45</v>
      </c>
      <c r="AF547" s="853">
        <v>0</v>
      </c>
      <c r="AG547" s="854">
        <f t="shared" si="105"/>
        <v>0</v>
      </c>
      <c r="AH547" s="853"/>
      <c r="AI547" s="855">
        <f t="shared" si="106"/>
        <v>0</v>
      </c>
      <c r="AJ547" s="845" t="s">
        <v>1857</v>
      </c>
      <c r="AK547" s="857" t="s">
        <v>1858</v>
      </c>
      <c r="AL547" s="840" t="s">
        <v>1859</v>
      </c>
      <c r="AM547" s="840"/>
      <c r="AN547" s="858"/>
      <c r="AO547" s="844"/>
      <c r="AP547" s="859" t="s">
        <v>1847</v>
      </c>
      <c r="AQ547" s="859"/>
      <c r="AR547" s="859" t="s">
        <v>1860</v>
      </c>
      <c r="AS547" s="840"/>
      <c r="AT547" s="840"/>
      <c r="AU547" s="860" t="s">
        <v>1849</v>
      </c>
      <c r="AV547" s="839" t="s">
        <v>1861</v>
      </c>
      <c r="AW547" s="861">
        <v>45579</v>
      </c>
      <c r="AX547" s="862"/>
      <c r="AY547" s="843"/>
      <c r="AZ547" s="842"/>
      <c r="BA547" s="842" t="s">
        <v>120</v>
      </c>
      <c r="BB547" s="863" t="s">
        <v>121</v>
      </c>
      <c r="BC547" s="864">
        <v>45818</v>
      </c>
      <c r="BD547" s="860" t="s">
        <v>1862</v>
      </c>
      <c r="BE547" s="865" cm="1">
        <f t="array" ref="BE547">IF(BD547="","",AC547/SUMPRODUCT(--(BD547=$BD$4:$BD$12824),$AC$4:$AC$12824))</f>
        <v>0.43346007604562736</v>
      </c>
      <c r="BF547" s="458">
        <v>5006000</v>
      </c>
      <c r="BG547" s="458"/>
      <c r="BH547" s="458"/>
      <c r="BI547" s="458">
        <f>2108527/1.08</f>
        <v>1952339.8148148146</v>
      </c>
      <c r="BJ547" s="458">
        <v>249999.99999999997</v>
      </c>
      <c r="BK547" s="458"/>
      <c r="BL547" s="458"/>
      <c r="BM547" s="458"/>
      <c r="BN547" s="458">
        <v>600000</v>
      </c>
      <c r="BO547" s="866">
        <f>VLOOKUP(BD547,$BD$4:$BN$12824,3,0)*BE547</f>
        <v>2169901.1406844105</v>
      </c>
      <c r="BP547" s="866"/>
      <c r="BQ547" s="866"/>
      <c r="BR547" s="866">
        <f>VLOOKUP(BD547,$BD$4:$BN$12824,6,0)*BE547</f>
        <v>846261.36459653557</v>
      </c>
      <c r="BS547" s="866">
        <f>VLOOKUP(BD547,$BD$4:$BN$12824,7,0)*BE547</f>
        <v>108365.01901140682</v>
      </c>
      <c r="BT547" s="866"/>
      <c r="BU547" s="866">
        <f>VLOOKUP(BD547,$BD$4:$BN$12824,9,0)*BE547</f>
        <v>0</v>
      </c>
      <c r="BV547" s="867"/>
      <c r="BW547" s="867">
        <f>VLOOKUP(BD547,$BD$4:$BN$12824,11,0)*BE547</f>
        <v>260076.04562737641</v>
      </c>
      <c r="BX547" s="1146">
        <f>SUM(BO547:BW547)</f>
        <v>3384603.5699197291</v>
      </c>
      <c r="BY547" s="867">
        <f t="shared" si="110"/>
        <v>18638630.069919728</v>
      </c>
      <c r="BZ547" s="867">
        <f t="shared" si="107"/>
        <v>18638630.069919728</v>
      </c>
      <c r="CA547" s="867">
        <f>_xlfn.MAXIFS($BY$4:$BY$12824,$S$4:$S$12824,$S547)</f>
        <v>18638630.069919728</v>
      </c>
      <c r="CB547" s="1032"/>
      <c r="CF547" s="946">
        <f t="shared" si="109"/>
        <v>15254026.5</v>
      </c>
    </row>
    <row r="548" spans="1:84">
      <c r="A548" s="1032"/>
      <c r="B548" s="839" t="s">
        <v>98</v>
      </c>
      <c r="C548" s="840" t="s">
        <v>99</v>
      </c>
      <c r="D548" s="839" t="s">
        <v>1852</v>
      </c>
      <c r="E548" s="839" t="s">
        <v>1853</v>
      </c>
      <c r="F548" s="841">
        <v>45451</v>
      </c>
      <c r="G548" s="840" t="s">
        <v>99</v>
      </c>
      <c r="H548" s="842" t="s">
        <v>102</v>
      </c>
      <c r="I548" s="842" t="s">
        <v>1840</v>
      </c>
      <c r="J548" s="841" t="s">
        <v>1841</v>
      </c>
      <c r="K548" s="841" t="s">
        <v>1842</v>
      </c>
      <c r="L548" s="843" t="s">
        <v>1135</v>
      </c>
      <c r="M548" s="844" t="s">
        <v>107</v>
      </c>
      <c r="N548" s="841">
        <v>45513</v>
      </c>
      <c r="O548" s="841" t="s">
        <v>108</v>
      </c>
      <c r="P548" s="841" t="s">
        <v>1136</v>
      </c>
      <c r="Q548" s="843" t="s">
        <v>110</v>
      </c>
      <c r="R548" s="845" t="s">
        <v>1007</v>
      </c>
      <c r="S548" s="1127" t="s">
        <v>1008</v>
      </c>
      <c r="T548" s="843" t="s">
        <v>1863</v>
      </c>
      <c r="U548" s="842">
        <v>1</v>
      </c>
      <c r="V548" s="842" t="s">
        <v>3</v>
      </c>
      <c r="W548" s="846">
        <v>995</v>
      </c>
      <c r="X548" s="847">
        <f t="shared" si="102"/>
        <v>995</v>
      </c>
      <c r="Y548" s="848">
        <f t="shared" si="108"/>
        <v>0.5</v>
      </c>
      <c r="Z548" s="849">
        <v>497.5</v>
      </c>
      <c r="AA548" s="849"/>
      <c r="AB548" s="849">
        <f t="shared" si="103"/>
        <v>497.5</v>
      </c>
      <c r="AC548" s="850">
        <f t="shared" si="104"/>
        <v>497.5</v>
      </c>
      <c r="AD548" s="851"/>
      <c r="AE548" s="852">
        <v>26761.45</v>
      </c>
      <c r="AF548" s="853">
        <v>0</v>
      </c>
      <c r="AG548" s="854">
        <f t="shared" si="105"/>
        <v>0</v>
      </c>
      <c r="AH548" s="853"/>
      <c r="AI548" s="855">
        <f t="shared" si="106"/>
        <v>0</v>
      </c>
      <c r="AJ548" s="845" t="s">
        <v>1857</v>
      </c>
      <c r="AK548" s="857" t="s">
        <v>1858</v>
      </c>
      <c r="AL548" s="840" t="s">
        <v>1859</v>
      </c>
      <c r="AM548" s="840"/>
      <c r="AN548" s="858"/>
      <c r="AO548" s="844"/>
      <c r="AP548" s="859" t="s">
        <v>1847</v>
      </c>
      <c r="AQ548" s="859"/>
      <c r="AR548" s="859" t="s">
        <v>1860</v>
      </c>
      <c r="AS548" s="840"/>
      <c r="AT548" s="840"/>
      <c r="AU548" s="860" t="s">
        <v>1849</v>
      </c>
      <c r="AV548" s="839" t="s">
        <v>1861</v>
      </c>
      <c r="AW548" s="861">
        <v>45579</v>
      </c>
      <c r="AX548" s="862"/>
      <c r="AY548" s="843"/>
      <c r="AZ548" s="842"/>
      <c r="BA548" s="842" t="s">
        <v>120</v>
      </c>
      <c r="BB548" s="863" t="s">
        <v>121</v>
      </c>
      <c r="BC548" s="864">
        <v>45818</v>
      </c>
      <c r="BD548" s="860" t="s">
        <v>1862</v>
      </c>
      <c r="BE548" s="865" cm="1">
        <f t="array" ref="BE548">IF(BD548="","",AC548/SUMPRODUCT(--(BD548=$BD$4:$BD$12824),$AC$4:$AC$12824))</f>
        <v>0.37832699619771865</v>
      </c>
      <c r="BF548" s="458"/>
      <c r="BG548" s="458"/>
      <c r="BH548" s="458"/>
      <c r="BI548" s="458"/>
      <c r="BJ548" s="458"/>
      <c r="BK548" s="458"/>
      <c r="BL548" s="458"/>
      <c r="BM548" s="458"/>
      <c r="BN548" s="458"/>
      <c r="BO548" s="866">
        <f>VLOOKUP(BD548,$BD$4:$BN$12824,3,0)*BE548</f>
        <v>1893904.9429657795</v>
      </c>
      <c r="BP548" s="866"/>
      <c r="BQ548" s="866"/>
      <c r="BR548" s="866">
        <f>VLOOKUP(BD548,$BD$4:$BN$12824,6,0)*BE548</f>
        <v>738622.85769609909</v>
      </c>
      <c r="BS548" s="866">
        <f>VLOOKUP(BD548,$BD$4:$BN$12824,7,0)*BE548</f>
        <v>94581.749049429651</v>
      </c>
      <c r="BT548" s="866"/>
      <c r="BU548" s="866">
        <f>VLOOKUP(BD548,$BD$4:$BN$12824,9,0)*BE548</f>
        <v>0</v>
      </c>
      <c r="BV548" s="867"/>
      <c r="BW548" s="867">
        <f>VLOOKUP(BD548,$BD$4:$BN$12824,11,0)*BE548</f>
        <v>226996.19771863119</v>
      </c>
      <c r="BX548" s="1146">
        <f t="shared" ref="BX548:BX550" si="111">SUM(BO548:BW548)</f>
        <v>2954105.7474299395</v>
      </c>
      <c r="BY548" s="867">
        <f t="shared" si="110"/>
        <v>16267927.122429939</v>
      </c>
      <c r="BZ548" s="867">
        <f t="shared" si="107"/>
        <v>16267927.122429939</v>
      </c>
      <c r="CA548" s="867">
        <f>_xlfn.MAXIFS($BY$4:$BY$12824,$S$4:$S$12824,$S548)</f>
        <v>16267927.122429939</v>
      </c>
      <c r="CB548" s="1032"/>
      <c r="CF548" s="946">
        <f t="shared" si="109"/>
        <v>13313821.375</v>
      </c>
    </row>
    <row r="549" spans="1:84">
      <c r="A549" s="1032"/>
      <c r="B549" s="839" t="s">
        <v>98</v>
      </c>
      <c r="C549" s="840" t="s">
        <v>99</v>
      </c>
      <c r="D549" s="839" t="s">
        <v>1852</v>
      </c>
      <c r="E549" s="839" t="s">
        <v>1853</v>
      </c>
      <c r="F549" s="841">
        <v>45451</v>
      </c>
      <c r="G549" s="840" t="s">
        <v>99</v>
      </c>
      <c r="H549" s="842" t="s">
        <v>102</v>
      </c>
      <c r="I549" s="842" t="s">
        <v>1840</v>
      </c>
      <c r="J549" s="841" t="s">
        <v>1841</v>
      </c>
      <c r="K549" s="841" t="s">
        <v>1842</v>
      </c>
      <c r="L549" s="843" t="s">
        <v>1135</v>
      </c>
      <c r="M549" s="844" t="s">
        <v>107</v>
      </c>
      <c r="N549" s="841">
        <v>45513</v>
      </c>
      <c r="O549" s="841" t="s">
        <v>108</v>
      </c>
      <c r="P549" s="841" t="s">
        <v>1136</v>
      </c>
      <c r="Q549" s="843" t="s">
        <v>1864</v>
      </c>
      <c r="R549" s="845" t="s">
        <v>1865</v>
      </c>
      <c r="S549" s="1127" t="s">
        <v>1866</v>
      </c>
      <c r="T549" s="843" t="s">
        <v>1867</v>
      </c>
      <c r="U549" s="842">
        <v>1</v>
      </c>
      <c r="V549" s="842" t="s">
        <v>3</v>
      </c>
      <c r="W549" s="846">
        <v>495</v>
      </c>
      <c r="X549" s="847">
        <f t="shared" si="102"/>
        <v>495</v>
      </c>
      <c r="Y549" s="848">
        <f t="shared" si="108"/>
        <v>0.5</v>
      </c>
      <c r="Z549" s="849">
        <v>247.5</v>
      </c>
      <c r="AA549" s="849"/>
      <c r="AB549" s="849">
        <f t="shared" si="103"/>
        <v>247.5</v>
      </c>
      <c r="AC549" s="850">
        <f t="shared" si="104"/>
        <v>247.5</v>
      </c>
      <c r="AD549" s="851"/>
      <c r="AE549" s="852">
        <v>26761.45</v>
      </c>
      <c r="AF549" s="853">
        <v>0</v>
      </c>
      <c r="AG549" s="854">
        <f t="shared" si="105"/>
        <v>0</v>
      </c>
      <c r="AH549" s="853"/>
      <c r="AI549" s="855">
        <f t="shared" si="106"/>
        <v>0</v>
      </c>
      <c r="AJ549" s="845" t="s">
        <v>1857</v>
      </c>
      <c r="AK549" s="857" t="s">
        <v>1858</v>
      </c>
      <c r="AL549" s="840" t="s">
        <v>1859</v>
      </c>
      <c r="AM549" s="840"/>
      <c r="AN549" s="858"/>
      <c r="AO549" s="844"/>
      <c r="AP549" s="859" t="s">
        <v>1847</v>
      </c>
      <c r="AQ549" s="859"/>
      <c r="AR549" s="859" t="s">
        <v>1860</v>
      </c>
      <c r="AS549" s="840"/>
      <c r="AT549" s="840"/>
      <c r="AU549" s="860" t="s">
        <v>1849</v>
      </c>
      <c r="AV549" s="839" t="s">
        <v>1861</v>
      </c>
      <c r="AW549" s="861">
        <v>45579</v>
      </c>
      <c r="AX549" s="862"/>
      <c r="AY549" s="843"/>
      <c r="AZ549" s="842"/>
      <c r="BA549" s="842" t="s">
        <v>120</v>
      </c>
      <c r="BB549" s="863" t="s">
        <v>121</v>
      </c>
      <c r="BC549" s="864">
        <v>45818</v>
      </c>
      <c r="BD549" s="860" t="s">
        <v>1862</v>
      </c>
      <c r="BE549" s="865" cm="1">
        <f t="array" ref="BE549">IF(BD549="","",AC549/SUMPRODUCT(--(BD549=$BD$4:$BD$12824),$AC$4:$AC$12824))</f>
        <v>0.18821292775665399</v>
      </c>
      <c r="BF549" s="458"/>
      <c r="BG549" s="458"/>
      <c r="BH549" s="458"/>
      <c r="BI549" s="458"/>
      <c r="BJ549" s="458"/>
      <c r="BK549" s="458"/>
      <c r="BL549" s="458"/>
      <c r="BM549" s="458"/>
      <c r="BN549" s="458"/>
      <c r="BO549" s="866">
        <f>VLOOKUP(BD549,$BD$4:$BN$12824,3,0)*BE549</f>
        <v>942193.91634980985</v>
      </c>
      <c r="BP549" s="866"/>
      <c r="BQ549" s="866"/>
      <c r="BR549" s="866">
        <f>VLOOKUP(BD549,$BD$4:$BN$12824,6,0)*BE549</f>
        <v>367455.59252217994</v>
      </c>
      <c r="BS549" s="866">
        <f>VLOOKUP(BD549,$BD$4:$BN$12824,7,0)*BE549</f>
        <v>47053.231939163496</v>
      </c>
      <c r="BT549" s="866"/>
      <c r="BU549" s="866">
        <f>VLOOKUP(BD549,$BD$4:$BN$12824,9,0)*BE549</f>
        <v>0</v>
      </c>
      <c r="BV549" s="867"/>
      <c r="BW549" s="867">
        <f>VLOOKUP(BD549,$BD$4:$BN$12824,11,0)*BE549</f>
        <v>112927.7566539924</v>
      </c>
      <c r="BX549" s="1146">
        <f t="shared" si="111"/>
        <v>1469630.4974651458</v>
      </c>
      <c r="BY549" s="867">
        <f t="shared" si="110"/>
        <v>8093089.3724651458</v>
      </c>
      <c r="BZ549" s="867">
        <f t="shared" si="107"/>
        <v>8093089.3724651458</v>
      </c>
      <c r="CA549" s="867">
        <f>_xlfn.MAXIFS($BY$4:$BY$12824,$S$4:$S$12824,$S549)</f>
        <v>8093089.3724651458</v>
      </c>
      <c r="CB549" s="1032"/>
      <c r="CF549" s="946">
        <f t="shared" si="109"/>
        <v>6623458.875</v>
      </c>
    </row>
    <row r="550" spans="1:84">
      <c r="A550" s="1032"/>
      <c r="B550" s="839" t="s">
        <v>98</v>
      </c>
      <c r="C550" s="839" t="s">
        <v>131</v>
      </c>
      <c r="D550" s="839" t="s">
        <v>1868</v>
      </c>
      <c r="E550" s="839" t="s">
        <v>1332</v>
      </c>
      <c r="F550" s="841">
        <v>45321</v>
      </c>
      <c r="G550" s="840" t="s">
        <v>155</v>
      </c>
      <c r="H550" s="842" t="s">
        <v>134</v>
      </c>
      <c r="I550" s="842"/>
      <c r="J550" s="841"/>
      <c r="K550" s="841"/>
      <c r="L550" s="843" t="s">
        <v>106</v>
      </c>
      <c r="M550" s="844" t="s">
        <v>107</v>
      </c>
      <c r="N550" s="841" t="s">
        <v>1869</v>
      </c>
      <c r="O550" s="841" t="s">
        <v>150</v>
      </c>
      <c r="P550" s="841" t="s">
        <v>461</v>
      </c>
      <c r="Q550" s="843"/>
      <c r="R550" s="845">
        <v>89101204</v>
      </c>
      <c r="S550" s="1127" t="s">
        <v>1870</v>
      </c>
      <c r="T550" s="843" t="s">
        <v>1871</v>
      </c>
      <c r="U550" s="842">
        <v>2</v>
      </c>
      <c r="V550" s="842" t="s">
        <v>8</v>
      </c>
      <c r="W550" s="846">
        <v>415</v>
      </c>
      <c r="X550" s="847">
        <f t="shared" si="102"/>
        <v>830</v>
      </c>
      <c r="Y550" s="848">
        <f t="shared" si="108"/>
        <v>0.56000000000000005</v>
      </c>
      <c r="Z550" s="849">
        <v>182.6</v>
      </c>
      <c r="AA550" s="849"/>
      <c r="AB550" s="849">
        <f t="shared" si="103"/>
        <v>365.2</v>
      </c>
      <c r="AC550" s="850">
        <f t="shared" si="104"/>
        <v>365.2</v>
      </c>
      <c r="AD550" s="851"/>
      <c r="AE550" s="852">
        <v>24580</v>
      </c>
      <c r="AF550" s="853">
        <v>0</v>
      </c>
      <c r="AG550" s="854">
        <f t="shared" si="105"/>
        <v>0</v>
      </c>
      <c r="AH550" s="853"/>
      <c r="AI550" s="855">
        <f t="shared" si="106"/>
        <v>0</v>
      </c>
      <c r="AJ550" s="845" t="s">
        <v>1872</v>
      </c>
      <c r="AK550" s="857" t="s">
        <v>1745</v>
      </c>
      <c r="AL550" s="840">
        <v>244737306</v>
      </c>
      <c r="AM550" s="840"/>
      <c r="AN550" s="858"/>
      <c r="AO550" s="844"/>
      <c r="AP550" s="859" t="s">
        <v>1873</v>
      </c>
      <c r="AQ550" s="859"/>
      <c r="AR550" s="859">
        <v>45453</v>
      </c>
      <c r="AS550" s="840" t="s">
        <v>1874</v>
      </c>
      <c r="AT550" s="840" t="s">
        <v>1875</v>
      </c>
      <c r="AU550" s="860" t="s">
        <v>1876</v>
      </c>
      <c r="AV550" s="839" t="s">
        <v>1877</v>
      </c>
      <c r="AW550" s="861">
        <v>45575</v>
      </c>
      <c r="AX550" s="862">
        <v>45582</v>
      </c>
      <c r="AY550" s="843" t="s">
        <v>1878</v>
      </c>
      <c r="AZ550" s="842">
        <v>94038990</v>
      </c>
      <c r="BA550" s="842" t="s">
        <v>120</v>
      </c>
      <c r="BB550" s="863" t="s">
        <v>121</v>
      </c>
      <c r="BC550" s="864">
        <v>45584</v>
      </c>
      <c r="BD550" s="860" t="s">
        <v>1879</v>
      </c>
      <c r="BE550" s="865" cm="1">
        <f t="array" ref="BE550">IF(BD550="","",AC550/SUMPRODUCT(--(BD550=$BD$4:$BD$12824),$AC$4:$AC$12824))</f>
        <v>9.1928841538766962E-3</v>
      </c>
      <c r="BF550" s="458"/>
      <c r="BG550" s="458"/>
      <c r="BH550" s="458"/>
      <c r="BI550" s="458">
        <f>(7185000+10221760+450000+1405000)</f>
        <v>19261760</v>
      </c>
      <c r="BJ550" s="458">
        <v>963109</v>
      </c>
      <c r="BK550" s="458"/>
      <c r="BL550" s="458">
        <v>500000</v>
      </c>
      <c r="BM550" s="458"/>
      <c r="BN550" s="458">
        <v>2100000</v>
      </c>
      <c r="BO550" s="866">
        <f>VLOOKUP(BD550,$BD$4:$BN$12824,3,0)*BE550</f>
        <v>0</v>
      </c>
      <c r="BP550" s="866"/>
      <c r="BQ550" s="866"/>
      <c r="BR550" s="866">
        <f>VLOOKUP(BD550,$BD$4:$BN$12824,6,0)*BE550</f>
        <v>177071.12827977599</v>
      </c>
      <c r="BS550" s="866">
        <f>VLOOKUP(BD550,$BD$4:$BN$12824,7,0)*BE550</f>
        <v>8853.7494645560309</v>
      </c>
      <c r="BT550" s="866"/>
      <c r="BU550" s="866">
        <f>VLOOKUP(BD550,$BD$4:$BN$12824,9,0)*BE550</f>
        <v>4596.4420769383478</v>
      </c>
      <c r="BV550" s="867"/>
      <c r="BW550" s="867">
        <f>VLOOKUP(BD550,$BD$4:$BN$12824,11,0)*BE550</f>
        <v>19305.056723141061</v>
      </c>
      <c r="BX550" s="1146">
        <f t="shared" si="111"/>
        <v>209826.37654441141</v>
      </c>
      <c r="BY550" s="867">
        <f t="shared" si="110"/>
        <v>4593221.1882722061</v>
      </c>
      <c r="BZ550" s="867">
        <f t="shared" si="107"/>
        <v>9186442.3765444122</v>
      </c>
      <c r="CA550" s="867">
        <f>_xlfn.MAXIFS($BY$4:$BY$12824,$S$4:$S$12824,$S550)</f>
        <v>4593221.1882722061</v>
      </c>
      <c r="CB550" s="1032"/>
      <c r="CC550" s="999" t="s">
        <v>1880</v>
      </c>
      <c r="CF550" s="946">
        <f t="shared" si="109"/>
        <v>8976616</v>
      </c>
    </row>
    <row r="551" spans="1:84">
      <c r="A551" s="1032"/>
      <c r="B551" s="839" t="s">
        <v>98</v>
      </c>
      <c r="C551" s="839" t="s">
        <v>131</v>
      </c>
      <c r="D551" s="839" t="s">
        <v>1868</v>
      </c>
      <c r="E551" s="839" t="s">
        <v>1332</v>
      </c>
      <c r="F551" s="841">
        <v>45321</v>
      </c>
      <c r="G551" s="840" t="s">
        <v>155</v>
      </c>
      <c r="H551" s="842" t="s">
        <v>134</v>
      </c>
      <c r="I551" s="842"/>
      <c r="J551" s="841"/>
      <c r="K551" s="841"/>
      <c r="L551" s="843" t="s">
        <v>106</v>
      </c>
      <c r="M551" s="844" t="s">
        <v>107</v>
      </c>
      <c r="N551" s="841" t="s">
        <v>1869</v>
      </c>
      <c r="O551" s="841" t="s">
        <v>150</v>
      </c>
      <c r="P551" s="841" t="s">
        <v>461</v>
      </c>
      <c r="Q551" s="843"/>
      <c r="R551" s="845" t="s">
        <v>1881</v>
      </c>
      <c r="S551" s="1127" t="s">
        <v>1882</v>
      </c>
      <c r="T551" s="843" t="s">
        <v>1883</v>
      </c>
      <c r="U551" s="842">
        <v>6</v>
      </c>
      <c r="V551" s="842" t="s">
        <v>8</v>
      </c>
      <c r="W551" s="846">
        <v>183</v>
      </c>
      <c r="X551" s="847">
        <f t="shared" si="102"/>
        <v>1098</v>
      </c>
      <c r="Y551" s="848">
        <f t="shared" si="108"/>
        <v>0.56000000000000005</v>
      </c>
      <c r="Z551" s="849">
        <v>80.52</v>
      </c>
      <c r="AA551" s="849"/>
      <c r="AB551" s="849">
        <f t="shared" si="103"/>
        <v>483.12</v>
      </c>
      <c r="AC551" s="850">
        <f t="shared" si="104"/>
        <v>483.12</v>
      </c>
      <c r="AD551" s="851"/>
      <c r="AE551" s="852">
        <v>24580</v>
      </c>
      <c r="AF551" s="853">
        <v>0</v>
      </c>
      <c r="AG551" s="854">
        <f t="shared" si="105"/>
        <v>0</v>
      </c>
      <c r="AH551" s="853"/>
      <c r="AI551" s="855">
        <f t="shared" si="106"/>
        <v>0</v>
      </c>
      <c r="AJ551" s="845" t="s">
        <v>1872</v>
      </c>
      <c r="AK551" s="857" t="s">
        <v>1745</v>
      </c>
      <c r="AL551" s="840">
        <v>244737306</v>
      </c>
      <c r="AM551" s="840"/>
      <c r="AN551" s="858"/>
      <c r="AO551" s="844"/>
      <c r="AP551" s="859" t="s">
        <v>1873</v>
      </c>
      <c r="AQ551" s="859"/>
      <c r="AR551" s="859">
        <v>45453</v>
      </c>
      <c r="AS551" s="840" t="s">
        <v>1874</v>
      </c>
      <c r="AT551" s="840" t="s">
        <v>1875</v>
      </c>
      <c r="AU551" s="860" t="s">
        <v>1876</v>
      </c>
      <c r="AV551" s="839" t="s">
        <v>1877</v>
      </c>
      <c r="AW551" s="861">
        <v>45575</v>
      </c>
      <c r="AX551" s="862">
        <v>45582</v>
      </c>
      <c r="AY551" s="843" t="s">
        <v>1884</v>
      </c>
      <c r="AZ551" s="842">
        <v>94017990</v>
      </c>
      <c r="BA551" s="842" t="s">
        <v>120</v>
      </c>
      <c r="BB551" s="863" t="s">
        <v>121</v>
      </c>
      <c r="BC551" s="864">
        <v>45584</v>
      </c>
      <c r="BD551" s="860" t="s">
        <v>1879</v>
      </c>
      <c r="BE551" s="865" cm="1">
        <f t="array" ref="BE551">IF(BD551="","",AC551/SUMPRODUCT(--(BD551=$BD$4:$BD$12824),$AC$4:$AC$12824))</f>
        <v>1.2161188916815197E-2</v>
      </c>
      <c r="BF551" s="458"/>
      <c r="BG551" s="458"/>
      <c r="BH551" s="458"/>
      <c r="BI551" s="458"/>
      <c r="BJ551" s="458"/>
      <c r="BK551" s="458"/>
      <c r="BL551" s="458"/>
      <c r="BM551" s="458"/>
      <c r="BN551" s="458"/>
      <c r="BO551" s="866">
        <f>VLOOKUP(BD551,$BD$4:$BN$12824,3,0)*BE551</f>
        <v>0</v>
      </c>
      <c r="BP551" s="866"/>
      <c r="BQ551" s="866"/>
      <c r="BR551" s="866">
        <f>VLOOKUP(BD551,$BD$4:$BN$12824,6,0)*BE551</f>
        <v>234245.90223035429</v>
      </c>
      <c r="BS551" s="866">
        <f>VLOOKUP(BD551,$BD$4:$BN$12824,7,0)*BE551</f>
        <v>11712.550496484968</v>
      </c>
      <c r="BT551" s="866"/>
      <c r="BU551" s="866">
        <f>VLOOKUP(BD551,$BD$4:$BN$12824,9,0)*BE551</f>
        <v>6080.5944584075987</v>
      </c>
      <c r="BV551" s="867"/>
      <c r="BW551" s="867">
        <f>VLOOKUP(BD551,$BD$4:$BN$12824,11,0)*BE551</f>
        <v>25538.496725311914</v>
      </c>
      <c r="BX551" s="1146">
        <f t="shared" ref="BX551:BX614" si="112">SUM(BO551:BW551)</f>
        <v>277577.5439105588</v>
      </c>
      <c r="BY551" s="867">
        <f t="shared" si="110"/>
        <v>2025444.5239850932</v>
      </c>
      <c r="BZ551" s="867">
        <f t="shared" si="107"/>
        <v>12152667.143910559</v>
      </c>
      <c r="CA551" s="867">
        <f>_xlfn.MAXIFS($BY$4:$BY$12824,$S$4:$S$12824,$S551)</f>
        <v>2025444.5239850932</v>
      </c>
      <c r="CB551" s="1032"/>
      <c r="CC551" s="999" t="s">
        <v>1885</v>
      </c>
      <c r="CF551" s="946">
        <f t="shared" si="109"/>
        <v>11875089.6</v>
      </c>
    </row>
    <row r="552" spans="1:84">
      <c r="A552" s="1032"/>
      <c r="B552" s="839" t="s">
        <v>98</v>
      </c>
      <c r="C552" s="839" t="s">
        <v>131</v>
      </c>
      <c r="D552" s="839" t="s">
        <v>1868</v>
      </c>
      <c r="E552" s="839" t="s">
        <v>1332</v>
      </c>
      <c r="F552" s="841">
        <v>45321</v>
      </c>
      <c r="G552" s="840" t="s">
        <v>155</v>
      </c>
      <c r="H552" s="842" t="s">
        <v>134</v>
      </c>
      <c r="I552" s="842"/>
      <c r="J552" s="841"/>
      <c r="K552" s="841"/>
      <c r="L552" s="843" t="s">
        <v>106</v>
      </c>
      <c r="M552" s="844" t="s">
        <v>107</v>
      </c>
      <c r="N552" s="841" t="s">
        <v>1869</v>
      </c>
      <c r="O552" s="841" t="s">
        <v>135</v>
      </c>
      <c r="P552" s="841" t="s">
        <v>136</v>
      </c>
      <c r="Q552" s="843"/>
      <c r="R552" s="845">
        <v>20781005</v>
      </c>
      <c r="S552" s="1127" t="s">
        <v>1886</v>
      </c>
      <c r="T552" s="843" t="s">
        <v>1887</v>
      </c>
      <c r="U552" s="842">
        <v>2</v>
      </c>
      <c r="V552" s="842" t="s">
        <v>8</v>
      </c>
      <c r="W552" s="846">
        <v>91</v>
      </c>
      <c r="X552" s="847">
        <f t="shared" si="102"/>
        <v>182</v>
      </c>
      <c r="Y552" s="848">
        <f t="shared" si="108"/>
        <v>0.56000000000000005</v>
      </c>
      <c r="Z552" s="849">
        <v>40.04</v>
      </c>
      <c r="AA552" s="849"/>
      <c r="AB552" s="849">
        <f t="shared" si="103"/>
        <v>80.08</v>
      </c>
      <c r="AC552" s="850">
        <f t="shared" si="104"/>
        <v>80.08</v>
      </c>
      <c r="AD552" s="851"/>
      <c r="AE552" s="852">
        <v>24580</v>
      </c>
      <c r="AF552" s="853">
        <v>0.25</v>
      </c>
      <c r="AG552" s="854">
        <f t="shared" si="105"/>
        <v>492576.95614534611</v>
      </c>
      <c r="AH552" s="853"/>
      <c r="AI552" s="855">
        <f t="shared" si="106"/>
        <v>0</v>
      </c>
      <c r="AJ552" s="845" t="s">
        <v>1872</v>
      </c>
      <c r="AK552" s="857" t="s">
        <v>1745</v>
      </c>
      <c r="AL552" s="840">
        <v>244737306</v>
      </c>
      <c r="AM552" s="840"/>
      <c r="AN552" s="858"/>
      <c r="AO552" s="844"/>
      <c r="AP552" s="859" t="s">
        <v>1873</v>
      </c>
      <c r="AQ552" s="859"/>
      <c r="AR552" s="859">
        <v>45453</v>
      </c>
      <c r="AS552" s="840" t="s">
        <v>1874</v>
      </c>
      <c r="AT552" s="840" t="s">
        <v>1875</v>
      </c>
      <c r="AU552" s="860" t="s">
        <v>1876</v>
      </c>
      <c r="AV552" s="839" t="s">
        <v>1877</v>
      </c>
      <c r="AW552" s="861">
        <v>45575</v>
      </c>
      <c r="AX552" s="862">
        <v>45582</v>
      </c>
      <c r="AY552" s="843" t="s">
        <v>1888</v>
      </c>
      <c r="AZ552" s="842">
        <v>94042120</v>
      </c>
      <c r="BA552" s="842" t="s">
        <v>120</v>
      </c>
      <c r="BB552" s="863" t="s">
        <v>121</v>
      </c>
      <c r="BC552" s="864">
        <v>45584</v>
      </c>
      <c r="BD552" s="860" t="s">
        <v>1879</v>
      </c>
      <c r="BE552" s="865" cm="1">
        <f t="array" ref="BE552">IF(BD552="","",AC552/SUMPRODUCT(--(BD552=$BD$4:$BD$12824),$AC$4:$AC$12824))</f>
        <v>2.0157890554283841E-3</v>
      </c>
      <c r="BF552" s="458"/>
      <c r="BG552" s="458"/>
      <c r="BH552" s="458"/>
      <c r="BI552" s="458"/>
      <c r="BJ552" s="458"/>
      <c r="BK552" s="458"/>
      <c r="BL552" s="458"/>
      <c r="BM552" s="458"/>
      <c r="BN552" s="458"/>
      <c r="BO552" s="866">
        <f>VLOOKUP(BD552,$BD$4:$BN$12824,3,0)*BE552</f>
        <v>0</v>
      </c>
      <c r="BP552" s="866"/>
      <c r="BQ552" s="866"/>
      <c r="BR552" s="866">
        <f>VLOOKUP(BD552,$BD$4:$BN$12824,6,0)*BE552</f>
        <v>38827.644996288233</v>
      </c>
      <c r="BS552" s="866">
        <f>VLOOKUP(BD552,$BD$4:$BN$12824,7,0)*BE552</f>
        <v>1941.4245813845757</v>
      </c>
      <c r="BT552" s="866"/>
      <c r="BU552" s="866">
        <f>VLOOKUP(BD552,$BD$4:$BN$12824,9,0)*BE552</f>
        <v>1007.8945277141921</v>
      </c>
      <c r="BV552" s="867"/>
      <c r="BW552" s="867">
        <f>VLOOKUP(BD552,$BD$4:$BN$12824,11,0)*BE552</f>
        <v>4233.1570163996066</v>
      </c>
      <c r="BX552" s="1146">
        <f t="shared" si="112"/>
        <v>46010.121121786608</v>
      </c>
      <c r="BY552" s="867">
        <f t="shared" si="110"/>
        <v>1253476.7386335663</v>
      </c>
      <c r="BZ552" s="867">
        <f t="shared" si="107"/>
        <v>2506953.4772671326</v>
      </c>
      <c r="CA552" s="867">
        <f>_xlfn.MAXIFS($BY$4:$BY$12824,$S$4:$S$12824,$S552)</f>
        <v>1253476.7386335663</v>
      </c>
      <c r="CB552" s="1032"/>
      <c r="CC552" s="999" t="s">
        <v>1889</v>
      </c>
      <c r="CF552" s="946">
        <f t="shared" si="109"/>
        <v>1968366.4</v>
      </c>
    </row>
    <row r="553" spans="1:84">
      <c r="A553" s="1032"/>
      <c r="B553" s="839" t="s">
        <v>98</v>
      </c>
      <c r="C553" s="839" t="s">
        <v>131</v>
      </c>
      <c r="D553" s="839" t="s">
        <v>1868</v>
      </c>
      <c r="E553" s="839" t="s">
        <v>1332</v>
      </c>
      <c r="F553" s="841">
        <v>45321</v>
      </c>
      <c r="G553" s="840" t="s">
        <v>155</v>
      </c>
      <c r="H553" s="842" t="s">
        <v>134</v>
      </c>
      <c r="I553" s="842"/>
      <c r="J553" s="841"/>
      <c r="K553" s="841"/>
      <c r="L553" s="843" t="s">
        <v>106</v>
      </c>
      <c r="M553" s="844" t="s">
        <v>107</v>
      </c>
      <c r="N553" s="841" t="s">
        <v>1869</v>
      </c>
      <c r="O553" s="841" t="s">
        <v>135</v>
      </c>
      <c r="P553" s="841" t="s">
        <v>136</v>
      </c>
      <c r="Q553" s="843"/>
      <c r="R553" s="845">
        <v>20781004</v>
      </c>
      <c r="S553" s="1127" t="s">
        <v>1890</v>
      </c>
      <c r="T553" s="843" t="s">
        <v>1891</v>
      </c>
      <c r="U553" s="842">
        <v>1</v>
      </c>
      <c r="V553" s="842" t="s">
        <v>8</v>
      </c>
      <c r="W553" s="846">
        <v>91</v>
      </c>
      <c r="X553" s="847">
        <f t="shared" si="102"/>
        <v>91</v>
      </c>
      <c r="Y553" s="848">
        <f t="shared" si="108"/>
        <v>0.56000000000000005</v>
      </c>
      <c r="Z553" s="849">
        <v>40.04</v>
      </c>
      <c r="AA553" s="849"/>
      <c r="AB553" s="849">
        <f t="shared" si="103"/>
        <v>40.04</v>
      </c>
      <c r="AC553" s="850">
        <f t="shared" si="104"/>
        <v>40.04</v>
      </c>
      <c r="AD553" s="851"/>
      <c r="AE553" s="852">
        <v>24580</v>
      </c>
      <c r="AF553" s="853">
        <v>0.25</v>
      </c>
      <c r="AG553" s="854">
        <f t="shared" si="105"/>
        <v>246288.47807267305</v>
      </c>
      <c r="AH553" s="853"/>
      <c r="AI553" s="855">
        <f t="shared" si="106"/>
        <v>0</v>
      </c>
      <c r="AJ553" s="845" t="s">
        <v>1872</v>
      </c>
      <c r="AK553" s="857" t="s">
        <v>1745</v>
      </c>
      <c r="AL553" s="840">
        <v>244737306</v>
      </c>
      <c r="AM553" s="840"/>
      <c r="AN553" s="858"/>
      <c r="AO553" s="844"/>
      <c r="AP553" s="859" t="s">
        <v>1873</v>
      </c>
      <c r="AQ553" s="859"/>
      <c r="AR553" s="859">
        <v>45453</v>
      </c>
      <c r="AS553" s="840" t="s">
        <v>1874</v>
      </c>
      <c r="AT553" s="840" t="s">
        <v>1875</v>
      </c>
      <c r="AU553" s="860" t="s">
        <v>1876</v>
      </c>
      <c r="AV553" s="839" t="s">
        <v>1877</v>
      </c>
      <c r="AW553" s="861">
        <v>45575</v>
      </c>
      <c r="AX553" s="862">
        <v>45582</v>
      </c>
      <c r="AY553" s="843" t="s">
        <v>1892</v>
      </c>
      <c r="AZ553" s="842">
        <v>94042120</v>
      </c>
      <c r="BA553" s="842" t="s">
        <v>120</v>
      </c>
      <c r="BB553" s="863" t="s">
        <v>121</v>
      </c>
      <c r="BC553" s="864">
        <v>45584</v>
      </c>
      <c r="BD553" s="860" t="s">
        <v>1879</v>
      </c>
      <c r="BE553" s="865" cm="1">
        <f t="array" ref="BE553">IF(BD553="","",AC553/SUMPRODUCT(--(BD553=$BD$4:$BD$12824),$AC$4:$AC$12824))</f>
        <v>1.0078945277141921E-3</v>
      </c>
      <c r="BF553" s="458"/>
      <c r="BG553" s="458"/>
      <c r="BH553" s="458"/>
      <c r="BI553" s="458"/>
      <c r="BJ553" s="458"/>
      <c r="BK553" s="458"/>
      <c r="BL553" s="458"/>
      <c r="BM553" s="458"/>
      <c r="BN553" s="458"/>
      <c r="BO553" s="866">
        <f>VLOOKUP(BD553,$BD$4:$BN$12824,3,0)*BE553</f>
        <v>0</v>
      </c>
      <c r="BP553" s="866"/>
      <c r="BQ553" s="866"/>
      <c r="BR553" s="866">
        <f>VLOOKUP(BD553,$BD$4:$BN$12824,6,0)*BE553</f>
        <v>19413.822498144116</v>
      </c>
      <c r="BS553" s="866">
        <f>VLOOKUP(BD553,$BD$4:$BN$12824,7,0)*BE553</f>
        <v>970.71229069228787</v>
      </c>
      <c r="BT553" s="866"/>
      <c r="BU553" s="866">
        <f>VLOOKUP(BD553,$BD$4:$BN$12824,9,0)*BE553</f>
        <v>503.94726385709606</v>
      </c>
      <c r="BV553" s="867"/>
      <c r="BW553" s="867">
        <f>VLOOKUP(BD553,$BD$4:$BN$12824,11,0)*BE553</f>
        <v>2116.5785081998033</v>
      </c>
      <c r="BX553" s="1146">
        <f t="shared" si="112"/>
        <v>23005.060560893304</v>
      </c>
      <c r="BY553" s="867">
        <f t="shared" si="110"/>
        <v>1253476.7386335663</v>
      </c>
      <c r="BZ553" s="867">
        <f t="shared" si="107"/>
        <v>1253476.7386335663</v>
      </c>
      <c r="CA553" s="867">
        <f>_xlfn.MAXIFS($BY$4:$BY$12824,$S$4:$S$12824,$S553)</f>
        <v>1253476.7386335663</v>
      </c>
      <c r="CB553" s="1032"/>
      <c r="CC553" s="999" t="s">
        <v>1889</v>
      </c>
      <c r="CF553" s="946">
        <f t="shared" si="109"/>
        <v>984183.2</v>
      </c>
    </row>
    <row r="554" spans="1:84">
      <c r="A554" s="1032"/>
      <c r="B554" s="839" t="s">
        <v>98</v>
      </c>
      <c r="C554" s="839" t="s">
        <v>131</v>
      </c>
      <c r="D554" s="839" t="s">
        <v>1868</v>
      </c>
      <c r="E554" s="839" t="s">
        <v>1332</v>
      </c>
      <c r="F554" s="841">
        <v>45321</v>
      </c>
      <c r="G554" s="840" t="s">
        <v>155</v>
      </c>
      <c r="H554" s="842" t="s">
        <v>134</v>
      </c>
      <c r="I554" s="842"/>
      <c r="J554" s="841"/>
      <c r="K554" s="841"/>
      <c r="L554" s="843" t="s">
        <v>106</v>
      </c>
      <c r="M554" s="844" t="s">
        <v>107</v>
      </c>
      <c r="N554" s="841" t="s">
        <v>1869</v>
      </c>
      <c r="O554" s="841" t="s">
        <v>135</v>
      </c>
      <c r="P554" s="841" t="s">
        <v>136</v>
      </c>
      <c r="Q554" s="843"/>
      <c r="R554" s="845">
        <v>20781002</v>
      </c>
      <c r="S554" s="1127" t="s">
        <v>1893</v>
      </c>
      <c r="T554" s="843" t="s">
        <v>1894</v>
      </c>
      <c r="U554" s="842">
        <v>1</v>
      </c>
      <c r="V554" s="842" t="s">
        <v>8</v>
      </c>
      <c r="W554" s="846">
        <v>91</v>
      </c>
      <c r="X554" s="847">
        <f t="shared" si="102"/>
        <v>91</v>
      </c>
      <c r="Y554" s="848">
        <f t="shared" si="108"/>
        <v>0.56000000000000005</v>
      </c>
      <c r="Z554" s="849">
        <v>40.04</v>
      </c>
      <c r="AA554" s="849"/>
      <c r="AB554" s="849">
        <f t="shared" si="103"/>
        <v>40.04</v>
      </c>
      <c r="AC554" s="850">
        <f t="shared" si="104"/>
        <v>40.04</v>
      </c>
      <c r="AD554" s="851"/>
      <c r="AE554" s="852">
        <v>24580</v>
      </c>
      <c r="AF554" s="853">
        <v>0.25</v>
      </c>
      <c r="AG554" s="854">
        <f t="shared" si="105"/>
        <v>246288.47807267305</v>
      </c>
      <c r="AH554" s="853"/>
      <c r="AI554" s="855">
        <f t="shared" si="106"/>
        <v>0</v>
      </c>
      <c r="AJ554" s="845" t="s">
        <v>1872</v>
      </c>
      <c r="AK554" s="857" t="s">
        <v>1745</v>
      </c>
      <c r="AL554" s="840">
        <v>244737306</v>
      </c>
      <c r="AM554" s="840"/>
      <c r="AN554" s="858"/>
      <c r="AO554" s="844"/>
      <c r="AP554" s="859" t="s">
        <v>1873</v>
      </c>
      <c r="AQ554" s="859"/>
      <c r="AR554" s="859">
        <v>45453</v>
      </c>
      <c r="AS554" s="840" t="s">
        <v>1874</v>
      </c>
      <c r="AT554" s="840" t="s">
        <v>1875</v>
      </c>
      <c r="AU554" s="860" t="s">
        <v>1876</v>
      </c>
      <c r="AV554" s="839" t="s">
        <v>1877</v>
      </c>
      <c r="AW554" s="861">
        <v>45575</v>
      </c>
      <c r="AX554" s="862">
        <v>45582</v>
      </c>
      <c r="AY554" s="843" t="s">
        <v>1895</v>
      </c>
      <c r="AZ554" s="842">
        <v>94042120</v>
      </c>
      <c r="BA554" s="842" t="s">
        <v>120</v>
      </c>
      <c r="BB554" s="863" t="s">
        <v>121</v>
      </c>
      <c r="BC554" s="864">
        <v>45584</v>
      </c>
      <c r="BD554" s="860" t="s">
        <v>1879</v>
      </c>
      <c r="BE554" s="865" cm="1">
        <f t="array" ref="BE554">IF(BD554="","",AC554/SUMPRODUCT(--(BD554=$BD$4:$BD$12824),$AC$4:$AC$12824))</f>
        <v>1.0078945277141921E-3</v>
      </c>
      <c r="BF554" s="458"/>
      <c r="BG554" s="458"/>
      <c r="BH554" s="458"/>
      <c r="BI554" s="458"/>
      <c r="BJ554" s="458"/>
      <c r="BK554" s="458"/>
      <c r="BL554" s="458"/>
      <c r="BM554" s="458"/>
      <c r="BN554" s="458"/>
      <c r="BO554" s="866">
        <f>VLOOKUP(BD554,$BD$4:$BN$12824,3,0)*BE554</f>
        <v>0</v>
      </c>
      <c r="BP554" s="866"/>
      <c r="BQ554" s="866"/>
      <c r="BR554" s="866">
        <f>VLOOKUP(BD554,$BD$4:$BN$12824,6,0)*BE554</f>
        <v>19413.822498144116</v>
      </c>
      <c r="BS554" s="866">
        <f>VLOOKUP(BD554,$BD$4:$BN$12824,7,0)*BE554</f>
        <v>970.71229069228787</v>
      </c>
      <c r="BT554" s="866"/>
      <c r="BU554" s="866">
        <f>VLOOKUP(BD554,$BD$4:$BN$12824,9,0)*BE554</f>
        <v>503.94726385709606</v>
      </c>
      <c r="BV554" s="867"/>
      <c r="BW554" s="867">
        <f>VLOOKUP(BD554,$BD$4:$BN$12824,11,0)*BE554</f>
        <v>2116.5785081998033</v>
      </c>
      <c r="BX554" s="1146">
        <f t="shared" si="112"/>
        <v>23005.060560893304</v>
      </c>
      <c r="BY554" s="867">
        <f t="shared" si="110"/>
        <v>1253476.7386335663</v>
      </c>
      <c r="BZ554" s="867">
        <f t="shared" si="107"/>
        <v>1253476.7386335663</v>
      </c>
      <c r="CA554" s="867">
        <f>_xlfn.MAXIFS($BY$4:$BY$12824,$S$4:$S$12824,$S554)</f>
        <v>1253476.7386335663</v>
      </c>
      <c r="CB554" s="1032"/>
      <c r="CC554" s="999" t="s">
        <v>1889</v>
      </c>
      <c r="CF554" s="946">
        <f t="shared" si="109"/>
        <v>984183.2</v>
      </c>
    </row>
    <row r="555" spans="1:84">
      <c r="A555" s="1032"/>
      <c r="B555" s="839" t="s">
        <v>98</v>
      </c>
      <c r="C555" s="839" t="s">
        <v>131</v>
      </c>
      <c r="D555" s="839" t="s">
        <v>1868</v>
      </c>
      <c r="E555" s="839" t="s">
        <v>1332</v>
      </c>
      <c r="F555" s="841">
        <v>45321</v>
      </c>
      <c r="G555" s="840" t="s">
        <v>133</v>
      </c>
      <c r="H555" s="842" t="s">
        <v>134</v>
      </c>
      <c r="I555" s="842"/>
      <c r="J555" s="841"/>
      <c r="K555" s="841"/>
      <c r="L555" s="843" t="s">
        <v>106</v>
      </c>
      <c r="M555" s="844" t="s">
        <v>107</v>
      </c>
      <c r="N555" s="841" t="s">
        <v>1869</v>
      </c>
      <c r="O555" s="841" t="s">
        <v>135</v>
      </c>
      <c r="P555" s="841" t="s">
        <v>136</v>
      </c>
      <c r="Q555" s="843"/>
      <c r="R555" s="845" t="s">
        <v>1896</v>
      </c>
      <c r="S555" s="1127" t="s">
        <v>1897</v>
      </c>
      <c r="T555" s="843" t="s">
        <v>1898</v>
      </c>
      <c r="U555" s="842">
        <v>2</v>
      </c>
      <c r="V555" s="842" t="s">
        <v>8</v>
      </c>
      <c r="W555" s="846">
        <v>306.25</v>
      </c>
      <c r="X555" s="847">
        <f t="shared" si="102"/>
        <v>612.5</v>
      </c>
      <c r="Y555" s="848">
        <f t="shared" si="108"/>
        <v>0.60003265306122444</v>
      </c>
      <c r="Z555" s="849">
        <v>122.49</v>
      </c>
      <c r="AA555" s="849"/>
      <c r="AB555" s="849">
        <f t="shared" si="103"/>
        <v>244.98</v>
      </c>
      <c r="AC555" s="850">
        <f t="shared" si="104"/>
        <v>244.98</v>
      </c>
      <c r="AD555" s="851"/>
      <c r="AE555" s="852">
        <v>24580</v>
      </c>
      <c r="AF555" s="853">
        <v>0</v>
      </c>
      <c r="AG555" s="854">
        <f t="shared" si="105"/>
        <v>0</v>
      </c>
      <c r="AH555" s="853"/>
      <c r="AI555" s="855">
        <f t="shared" si="106"/>
        <v>0</v>
      </c>
      <c r="AJ555" s="845" t="s">
        <v>1872</v>
      </c>
      <c r="AK555" s="857" t="s">
        <v>1745</v>
      </c>
      <c r="AL555" s="840">
        <v>244737306</v>
      </c>
      <c r="AM555" s="840"/>
      <c r="AN555" s="858"/>
      <c r="AO555" s="844"/>
      <c r="AP555" s="859" t="s">
        <v>1873</v>
      </c>
      <c r="AQ555" s="859"/>
      <c r="AR555" s="859">
        <v>45453</v>
      </c>
      <c r="AS555" s="840" t="s">
        <v>1874</v>
      </c>
      <c r="AT555" s="840" t="s">
        <v>1875</v>
      </c>
      <c r="AU555" s="860" t="s">
        <v>1876</v>
      </c>
      <c r="AV555" s="839" t="s">
        <v>1877</v>
      </c>
      <c r="AW555" s="861">
        <v>45575</v>
      </c>
      <c r="AX555" s="862">
        <v>45582</v>
      </c>
      <c r="AY555" s="843" t="s">
        <v>1899</v>
      </c>
      <c r="AZ555" s="842">
        <v>94017990</v>
      </c>
      <c r="BA555" s="842" t="s">
        <v>120</v>
      </c>
      <c r="BB555" s="863" t="s">
        <v>121</v>
      </c>
      <c r="BC555" s="864">
        <v>45584</v>
      </c>
      <c r="BD555" s="860" t="s">
        <v>1879</v>
      </c>
      <c r="BE555" s="865" cm="1">
        <f t="array" ref="BE555">IF(BD555="","",AC555/SUMPRODUCT(--(BD555=$BD$4:$BD$12824),$AC$4:$AC$12824))</f>
        <v>6.1666833516339356E-3</v>
      </c>
      <c r="BF555" s="458"/>
      <c r="BG555" s="458"/>
      <c r="BH555" s="458"/>
      <c r="BI555" s="458"/>
      <c r="BJ555" s="458"/>
      <c r="BK555" s="458"/>
      <c r="BL555" s="458"/>
      <c r="BM555" s="458"/>
      <c r="BN555" s="458"/>
      <c r="BO555" s="866">
        <f>VLOOKUP(BD555,$BD$4:$BN$12824,3,0)*BE555</f>
        <v>0</v>
      </c>
      <c r="BP555" s="866"/>
      <c r="BQ555" s="866"/>
      <c r="BR555" s="866">
        <f>VLOOKUP(BD555,$BD$4:$BN$12824,6,0)*BE555</f>
        <v>118781.17471516847</v>
      </c>
      <c r="BS555" s="866">
        <f>VLOOKUP(BD555,$BD$4:$BN$12824,7,0)*BE555</f>
        <v>5939.1882361088083</v>
      </c>
      <c r="BT555" s="866"/>
      <c r="BU555" s="866">
        <f>VLOOKUP(BD555,$BD$4:$BN$12824,9,0)*BE555</f>
        <v>3083.3416758169678</v>
      </c>
      <c r="BV555" s="867"/>
      <c r="BW555" s="867">
        <f>VLOOKUP(BD555,$BD$4:$BN$12824,11,0)*BE555</f>
        <v>12950.035038431264</v>
      </c>
      <c r="BX555" s="1146">
        <f t="shared" si="112"/>
        <v>140753.7396655255</v>
      </c>
      <c r="BY555" s="867">
        <f t="shared" si="110"/>
        <v>3081181.0698327627</v>
      </c>
      <c r="BZ555" s="867">
        <f t="shared" si="107"/>
        <v>6162362.1396655254</v>
      </c>
      <c r="CA555" s="867">
        <f>_xlfn.MAXIFS($BY$4:$BY$12824,$S$4:$S$12824,$S555)</f>
        <v>3081181.0698327627</v>
      </c>
      <c r="CB555" s="1032"/>
      <c r="CC555" s="999" t="s">
        <v>1889</v>
      </c>
      <c r="CF555" s="946">
        <f t="shared" si="109"/>
        <v>6021608.3999999994</v>
      </c>
    </row>
    <row r="556" spans="1:84">
      <c r="A556" s="1032"/>
      <c r="B556" s="839" t="s">
        <v>98</v>
      </c>
      <c r="C556" s="839" t="s">
        <v>131</v>
      </c>
      <c r="D556" s="839" t="s">
        <v>1868</v>
      </c>
      <c r="E556" s="839" t="s">
        <v>1332</v>
      </c>
      <c r="F556" s="841">
        <v>45321</v>
      </c>
      <c r="G556" s="840" t="s">
        <v>133</v>
      </c>
      <c r="H556" s="842" t="s">
        <v>134</v>
      </c>
      <c r="I556" s="842"/>
      <c r="J556" s="841"/>
      <c r="K556" s="841"/>
      <c r="L556" s="843" t="s">
        <v>106</v>
      </c>
      <c r="M556" s="844" t="s">
        <v>107</v>
      </c>
      <c r="N556" s="841" t="s">
        <v>1869</v>
      </c>
      <c r="O556" s="841" t="s">
        <v>135</v>
      </c>
      <c r="P556" s="841" t="s">
        <v>1362</v>
      </c>
      <c r="Q556" s="843"/>
      <c r="R556" s="845" t="s">
        <v>1900</v>
      </c>
      <c r="S556" s="1127" t="s">
        <v>1901</v>
      </c>
      <c r="T556" s="843" t="s">
        <v>1902</v>
      </c>
      <c r="U556" s="842">
        <v>2</v>
      </c>
      <c r="V556" s="842" t="s">
        <v>8</v>
      </c>
      <c r="W556" s="846">
        <v>188.09999999999997</v>
      </c>
      <c r="X556" s="847">
        <f t="shared" si="102"/>
        <v>376.19999999999993</v>
      </c>
      <c r="Y556" s="848">
        <f t="shared" si="108"/>
        <v>0.6</v>
      </c>
      <c r="Z556" s="849">
        <v>75.239999999999995</v>
      </c>
      <c r="AA556" s="849"/>
      <c r="AB556" s="849">
        <f t="shared" si="103"/>
        <v>150.47999999999999</v>
      </c>
      <c r="AC556" s="850">
        <f t="shared" si="104"/>
        <v>150.47999999999999</v>
      </c>
      <c r="AD556" s="851"/>
      <c r="AE556" s="852">
        <v>24580</v>
      </c>
      <c r="AF556" s="853">
        <v>0</v>
      </c>
      <c r="AG556" s="854">
        <f t="shared" si="105"/>
        <v>0</v>
      </c>
      <c r="AH556" s="853"/>
      <c r="AI556" s="855">
        <f t="shared" si="106"/>
        <v>0</v>
      </c>
      <c r="AJ556" s="845" t="s">
        <v>1872</v>
      </c>
      <c r="AK556" s="857" t="s">
        <v>1745</v>
      </c>
      <c r="AL556" s="840">
        <v>244737306</v>
      </c>
      <c r="AM556" s="840"/>
      <c r="AN556" s="858"/>
      <c r="AO556" s="844"/>
      <c r="AP556" s="859" t="s">
        <v>1873</v>
      </c>
      <c r="AQ556" s="859"/>
      <c r="AR556" s="859">
        <v>45453</v>
      </c>
      <c r="AS556" s="840" t="s">
        <v>1874</v>
      </c>
      <c r="AT556" s="840" t="s">
        <v>1875</v>
      </c>
      <c r="AU556" s="860" t="s">
        <v>1876</v>
      </c>
      <c r="AV556" s="839" t="s">
        <v>1877</v>
      </c>
      <c r="AW556" s="861">
        <v>45575</v>
      </c>
      <c r="AX556" s="862">
        <v>45582</v>
      </c>
      <c r="AY556" s="843" t="s">
        <v>1903</v>
      </c>
      <c r="AZ556" s="842">
        <v>42010000</v>
      </c>
      <c r="BA556" s="842" t="s">
        <v>120</v>
      </c>
      <c r="BB556" s="863" t="s">
        <v>121</v>
      </c>
      <c r="BC556" s="864">
        <v>45584</v>
      </c>
      <c r="BD556" s="860" t="s">
        <v>1879</v>
      </c>
      <c r="BE556" s="865" cm="1">
        <f t="array" ref="BE556">IF(BD556="","",AC556/SUMPRODUCT(--(BD556=$BD$4:$BD$12824),$AC$4:$AC$12824))</f>
        <v>3.7879113019588318E-3</v>
      </c>
      <c r="BF556" s="458"/>
      <c r="BG556" s="458"/>
      <c r="BH556" s="458"/>
      <c r="BI556" s="458"/>
      <c r="BJ556" s="458"/>
      <c r="BK556" s="458"/>
      <c r="BL556" s="458"/>
      <c r="BM556" s="458"/>
      <c r="BN556" s="458"/>
      <c r="BO556" s="866">
        <f>VLOOKUP(BD556,$BD$4:$BN$12824,3,0)*BE556</f>
        <v>0</v>
      </c>
      <c r="BP556" s="866"/>
      <c r="BQ556" s="866"/>
      <c r="BR556" s="866">
        <f>VLOOKUP(BD556,$BD$4:$BN$12824,6,0)*BE556</f>
        <v>72961.838399618544</v>
      </c>
      <c r="BS556" s="866">
        <f>VLOOKUP(BD556,$BD$4:$BN$12824,7,0)*BE556</f>
        <v>3648.1714661182687</v>
      </c>
      <c r="BT556" s="866"/>
      <c r="BU556" s="866">
        <f>VLOOKUP(BD556,$BD$4:$BN$12824,9,0)*BE556</f>
        <v>1893.9556509794159</v>
      </c>
      <c r="BV556" s="867"/>
      <c r="BW556" s="867">
        <f>VLOOKUP(BD556,$BD$4:$BN$12824,11,0)*BE556</f>
        <v>7954.6137341135463</v>
      </c>
      <c r="BX556" s="1146">
        <f t="shared" si="112"/>
        <v>86458.579250829775</v>
      </c>
      <c r="BY556" s="867">
        <f t="shared" si="110"/>
        <v>1892628.4896254148</v>
      </c>
      <c r="BZ556" s="867">
        <f t="shared" si="107"/>
        <v>3785256.9792508297</v>
      </c>
      <c r="CA556" s="867">
        <f>_xlfn.MAXIFS($BY$4:$BY$12824,$S$4:$S$12824,$S556)</f>
        <v>1892628.4896254148</v>
      </c>
      <c r="CB556" s="1032"/>
      <c r="CC556" s="999" t="s">
        <v>1889</v>
      </c>
      <c r="CF556" s="946">
        <f t="shared" si="109"/>
        <v>3698798.4</v>
      </c>
    </row>
    <row r="557" spans="1:84">
      <c r="A557" s="1032"/>
      <c r="B557" s="839" t="s">
        <v>98</v>
      </c>
      <c r="C557" s="839" t="s">
        <v>131</v>
      </c>
      <c r="D557" s="839" t="s">
        <v>1868</v>
      </c>
      <c r="E557" s="839" t="s">
        <v>1332</v>
      </c>
      <c r="F557" s="841">
        <v>45321</v>
      </c>
      <c r="G557" s="840" t="s">
        <v>133</v>
      </c>
      <c r="H557" s="842" t="s">
        <v>134</v>
      </c>
      <c r="I557" s="842"/>
      <c r="J557" s="841"/>
      <c r="K557" s="841"/>
      <c r="L557" s="843" t="s">
        <v>106</v>
      </c>
      <c r="M557" s="844" t="s">
        <v>107</v>
      </c>
      <c r="N557" s="841" t="s">
        <v>1869</v>
      </c>
      <c r="O557" s="841" t="s">
        <v>135</v>
      </c>
      <c r="P557" s="841" t="s">
        <v>1362</v>
      </c>
      <c r="Q557" s="843"/>
      <c r="R557" s="845" t="s">
        <v>1387</v>
      </c>
      <c r="S557" s="1127" t="s">
        <v>1388</v>
      </c>
      <c r="T557" s="843" t="s">
        <v>1904</v>
      </c>
      <c r="U557" s="842">
        <v>6</v>
      </c>
      <c r="V557" s="842" t="s">
        <v>8</v>
      </c>
      <c r="W557" s="846">
        <v>21.849999999999998</v>
      </c>
      <c r="X557" s="847">
        <f t="shared" si="102"/>
        <v>131.1</v>
      </c>
      <c r="Y557" s="848">
        <f t="shared" si="108"/>
        <v>0.6</v>
      </c>
      <c r="Z557" s="849">
        <v>8.74</v>
      </c>
      <c r="AA557" s="849"/>
      <c r="AB557" s="849">
        <f t="shared" si="103"/>
        <v>52.44</v>
      </c>
      <c r="AC557" s="850">
        <f t="shared" si="104"/>
        <v>52.44</v>
      </c>
      <c r="AD557" s="851"/>
      <c r="AE557" s="852">
        <v>24580</v>
      </c>
      <c r="AF557" s="853">
        <v>0</v>
      </c>
      <c r="AG557" s="854">
        <f t="shared" si="105"/>
        <v>0</v>
      </c>
      <c r="AH557" s="853"/>
      <c r="AI557" s="855">
        <f t="shared" si="106"/>
        <v>0</v>
      </c>
      <c r="AJ557" s="845" t="s">
        <v>1872</v>
      </c>
      <c r="AK557" s="857" t="s">
        <v>1745</v>
      </c>
      <c r="AL557" s="840">
        <v>244737306</v>
      </c>
      <c r="AM557" s="840"/>
      <c r="AN557" s="858"/>
      <c r="AO557" s="844"/>
      <c r="AP557" s="859" t="s">
        <v>1873</v>
      </c>
      <c r="AQ557" s="859"/>
      <c r="AR557" s="859">
        <v>45453</v>
      </c>
      <c r="AS557" s="840" t="s">
        <v>1874</v>
      </c>
      <c r="AT557" s="840" t="s">
        <v>1875</v>
      </c>
      <c r="AU557" s="860" t="s">
        <v>1876</v>
      </c>
      <c r="AV557" s="839" t="s">
        <v>1877</v>
      </c>
      <c r="AW557" s="861">
        <v>45575</v>
      </c>
      <c r="AX557" s="862">
        <v>45582</v>
      </c>
      <c r="AY557" s="843" t="s">
        <v>1905</v>
      </c>
      <c r="AZ557" s="842">
        <v>42010000</v>
      </c>
      <c r="BA557" s="842" t="s">
        <v>120</v>
      </c>
      <c r="BB557" s="863" t="s">
        <v>121</v>
      </c>
      <c r="BC557" s="864">
        <v>45584</v>
      </c>
      <c r="BD557" s="860" t="s">
        <v>1879</v>
      </c>
      <c r="BE557" s="865" cm="1">
        <f t="array" ref="BE557">IF(BD557="","",AC557/SUMPRODUCT(--(BD557=$BD$4:$BD$12824),$AC$4:$AC$12824))</f>
        <v>1.3200296961371687E-3</v>
      </c>
      <c r="BF557" s="458"/>
      <c r="BG557" s="458"/>
      <c r="BH557" s="458"/>
      <c r="BI557" s="458"/>
      <c r="BJ557" s="458"/>
      <c r="BK557" s="458"/>
      <c r="BL557" s="458"/>
      <c r="BM557" s="458"/>
      <c r="BN557" s="458"/>
      <c r="BO557" s="866">
        <f>VLOOKUP(BD557,$BD$4:$BN$12824,3,0)*BE557</f>
        <v>0</v>
      </c>
      <c r="BP557" s="866"/>
      <c r="BQ557" s="866"/>
      <c r="BR557" s="866">
        <f>VLOOKUP(BD557,$BD$4:$BN$12824,6,0)*BE557</f>
        <v>25426.095199867068</v>
      </c>
      <c r="BS557" s="866">
        <f>VLOOKUP(BD557,$BD$4:$BN$12824,7,0)*BE557</f>
        <v>1271.3324806169724</v>
      </c>
      <c r="BT557" s="866"/>
      <c r="BU557" s="866">
        <f>VLOOKUP(BD557,$BD$4:$BN$12824,9,0)*BE557</f>
        <v>660.01484806858434</v>
      </c>
      <c r="BV557" s="867"/>
      <c r="BW557" s="867">
        <f>VLOOKUP(BD557,$BD$4:$BN$12824,11,0)*BE557</f>
        <v>2772.0623618880541</v>
      </c>
      <c r="BX557" s="1146">
        <f t="shared" si="112"/>
        <v>30129.504890440679</v>
      </c>
      <c r="BY557" s="867">
        <f t="shared" si="110"/>
        <v>219850.78414840679</v>
      </c>
      <c r="BZ557" s="867">
        <f t="shared" si="107"/>
        <v>1319104.7048904407</v>
      </c>
      <c r="CA557" s="867">
        <f>_xlfn.MAXIFS($BY$4:$BY$12824,$S$4:$S$12824,$S557)</f>
        <v>230644.67216894645</v>
      </c>
      <c r="CB557" s="1032"/>
      <c r="CC557" s="999" t="s">
        <v>1889</v>
      </c>
      <c r="CF557" s="946">
        <f t="shared" si="109"/>
        <v>1288975.2</v>
      </c>
    </row>
    <row r="558" spans="1:84">
      <c r="A558" s="1032"/>
      <c r="B558" s="839" t="s">
        <v>98</v>
      </c>
      <c r="C558" s="839" t="s">
        <v>131</v>
      </c>
      <c r="D558" s="839" t="s">
        <v>1868</v>
      </c>
      <c r="E558" s="839" t="s">
        <v>1332</v>
      </c>
      <c r="F558" s="841">
        <v>45321</v>
      </c>
      <c r="G558" s="840" t="s">
        <v>133</v>
      </c>
      <c r="H558" s="842" t="s">
        <v>134</v>
      </c>
      <c r="I558" s="842"/>
      <c r="J558" s="841"/>
      <c r="K558" s="841"/>
      <c r="L558" s="843" t="s">
        <v>106</v>
      </c>
      <c r="M558" s="844" t="s">
        <v>107</v>
      </c>
      <c r="N558" s="841" t="s">
        <v>1869</v>
      </c>
      <c r="O558" s="841" t="s">
        <v>135</v>
      </c>
      <c r="P558" s="841" t="s">
        <v>1362</v>
      </c>
      <c r="Q558" s="843"/>
      <c r="R558" s="845" t="s">
        <v>1391</v>
      </c>
      <c r="S558" s="1127" t="s">
        <v>1392</v>
      </c>
      <c r="T558" s="843" t="s">
        <v>1906</v>
      </c>
      <c r="U558" s="842">
        <v>6</v>
      </c>
      <c r="V558" s="842" t="s">
        <v>8</v>
      </c>
      <c r="W558" s="846">
        <v>21.849999999999998</v>
      </c>
      <c r="X558" s="847">
        <f t="shared" si="102"/>
        <v>131.1</v>
      </c>
      <c r="Y558" s="848">
        <f t="shared" si="108"/>
        <v>0.6</v>
      </c>
      <c r="Z558" s="849">
        <v>8.74</v>
      </c>
      <c r="AA558" s="849"/>
      <c r="AB558" s="849">
        <f t="shared" si="103"/>
        <v>52.44</v>
      </c>
      <c r="AC558" s="850">
        <f t="shared" si="104"/>
        <v>52.44</v>
      </c>
      <c r="AD558" s="851"/>
      <c r="AE558" s="852">
        <v>24580</v>
      </c>
      <c r="AF558" s="853">
        <v>0</v>
      </c>
      <c r="AG558" s="854">
        <f t="shared" si="105"/>
        <v>0</v>
      </c>
      <c r="AH558" s="853"/>
      <c r="AI558" s="855">
        <f t="shared" si="106"/>
        <v>0</v>
      </c>
      <c r="AJ558" s="845" t="s">
        <v>1872</v>
      </c>
      <c r="AK558" s="857" t="s">
        <v>1745</v>
      </c>
      <c r="AL558" s="840">
        <v>244737306</v>
      </c>
      <c r="AM558" s="840"/>
      <c r="AN558" s="858"/>
      <c r="AO558" s="844"/>
      <c r="AP558" s="859" t="s">
        <v>1873</v>
      </c>
      <c r="AQ558" s="859"/>
      <c r="AR558" s="859">
        <v>45453</v>
      </c>
      <c r="AS558" s="840" t="s">
        <v>1874</v>
      </c>
      <c r="AT558" s="840" t="s">
        <v>1875</v>
      </c>
      <c r="AU558" s="860" t="s">
        <v>1876</v>
      </c>
      <c r="AV558" s="839" t="s">
        <v>1877</v>
      </c>
      <c r="AW558" s="861">
        <v>45575</v>
      </c>
      <c r="AX558" s="862">
        <v>45582</v>
      </c>
      <c r="AY558" s="843" t="s">
        <v>1907</v>
      </c>
      <c r="AZ558" s="842">
        <v>42010000</v>
      </c>
      <c r="BA558" s="842" t="s">
        <v>120</v>
      </c>
      <c r="BB558" s="863" t="s">
        <v>121</v>
      </c>
      <c r="BC558" s="864">
        <v>45584</v>
      </c>
      <c r="BD558" s="860" t="s">
        <v>1879</v>
      </c>
      <c r="BE558" s="865" cm="1">
        <f t="array" ref="BE558">IF(BD558="","",AC558/SUMPRODUCT(--(BD558=$BD$4:$BD$12824),$AC$4:$AC$12824))</f>
        <v>1.3200296961371687E-3</v>
      </c>
      <c r="BF558" s="458"/>
      <c r="BG558" s="458"/>
      <c r="BH558" s="458"/>
      <c r="BI558" s="458"/>
      <c r="BJ558" s="458"/>
      <c r="BK558" s="458"/>
      <c r="BL558" s="458"/>
      <c r="BM558" s="458"/>
      <c r="BN558" s="458"/>
      <c r="BO558" s="866">
        <f>VLOOKUP(BD558,$BD$4:$BN$12824,3,0)*BE558</f>
        <v>0</v>
      </c>
      <c r="BP558" s="866"/>
      <c r="BQ558" s="866"/>
      <c r="BR558" s="866">
        <f>VLOOKUP(BD558,$BD$4:$BN$12824,6,0)*BE558</f>
        <v>25426.095199867068</v>
      </c>
      <c r="BS558" s="866">
        <f>VLOOKUP(BD558,$BD$4:$BN$12824,7,0)*BE558</f>
        <v>1271.3324806169724</v>
      </c>
      <c r="BT558" s="866"/>
      <c r="BU558" s="866">
        <f>VLOOKUP(BD558,$BD$4:$BN$12824,9,0)*BE558</f>
        <v>660.01484806858434</v>
      </c>
      <c r="BV558" s="867"/>
      <c r="BW558" s="867">
        <f>VLOOKUP(BD558,$BD$4:$BN$12824,11,0)*BE558</f>
        <v>2772.0623618880541</v>
      </c>
      <c r="BX558" s="1146">
        <f t="shared" si="112"/>
        <v>30129.504890440679</v>
      </c>
      <c r="BY558" s="867">
        <f t="shared" si="110"/>
        <v>219850.78414840679</v>
      </c>
      <c r="BZ558" s="867">
        <f t="shared" si="107"/>
        <v>1319104.7048904407</v>
      </c>
      <c r="CA558" s="867">
        <f>_xlfn.MAXIFS($BY$4:$BY$12824,$S$4:$S$12824,$S558)</f>
        <v>230644.67216894645</v>
      </c>
      <c r="CB558" s="1032"/>
      <c r="CC558" s="999" t="s">
        <v>1889</v>
      </c>
      <c r="CF558" s="946">
        <f t="shared" si="109"/>
        <v>1288975.2</v>
      </c>
    </row>
    <row r="559" spans="1:84">
      <c r="A559" s="1032"/>
      <c r="B559" s="839" t="s">
        <v>98</v>
      </c>
      <c r="C559" s="839" t="s">
        <v>131</v>
      </c>
      <c r="D559" s="839" t="s">
        <v>1868</v>
      </c>
      <c r="E559" s="839" t="s">
        <v>1332</v>
      </c>
      <c r="F559" s="841">
        <v>45321</v>
      </c>
      <c r="G559" s="840" t="s">
        <v>133</v>
      </c>
      <c r="H559" s="842" t="s">
        <v>134</v>
      </c>
      <c r="I559" s="842"/>
      <c r="J559" s="841"/>
      <c r="K559" s="841"/>
      <c r="L559" s="843" t="s">
        <v>106</v>
      </c>
      <c r="M559" s="844" t="s">
        <v>107</v>
      </c>
      <c r="N559" s="841" t="s">
        <v>1869</v>
      </c>
      <c r="O559" s="841" t="s">
        <v>135</v>
      </c>
      <c r="P559" s="841" t="s">
        <v>1362</v>
      </c>
      <c r="Q559" s="843"/>
      <c r="R559" s="845" t="s">
        <v>1395</v>
      </c>
      <c r="S559" s="1127" t="s">
        <v>1396</v>
      </c>
      <c r="T559" s="843" t="s">
        <v>1908</v>
      </c>
      <c r="U559" s="842">
        <v>6</v>
      </c>
      <c r="V559" s="842" t="s">
        <v>8</v>
      </c>
      <c r="W559" s="846">
        <v>21.849999999999998</v>
      </c>
      <c r="X559" s="847">
        <f t="shared" si="102"/>
        <v>131.1</v>
      </c>
      <c r="Y559" s="848">
        <f t="shared" si="108"/>
        <v>0.6</v>
      </c>
      <c r="Z559" s="849">
        <v>8.74</v>
      </c>
      <c r="AA559" s="849"/>
      <c r="AB559" s="849">
        <f t="shared" si="103"/>
        <v>52.44</v>
      </c>
      <c r="AC559" s="850">
        <f t="shared" si="104"/>
        <v>52.44</v>
      </c>
      <c r="AD559" s="851"/>
      <c r="AE559" s="852">
        <v>24580</v>
      </c>
      <c r="AF559" s="853">
        <v>0</v>
      </c>
      <c r="AG559" s="854">
        <f t="shared" si="105"/>
        <v>0</v>
      </c>
      <c r="AH559" s="853"/>
      <c r="AI559" s="855">
        <f t="shared" si="106"/>
        <v>0</v>
      </c>
      <c r="AJ559" s="845" t="s">
        <v>1872</v>
      </c>
      <c r="AK559" s="857" t="s">
        <v>1745</v>
      </c>
      <c r="AL559" s="840">
        <v>244737306</v>
      </c>
      <c r="AM559" s="840"/>
      <c r="AN559" s="858"/>
      <c r="AO559" s="844"/>
      <c r="AP559" s="859" t="s">
        <v>1873</v>
      </c>
      <c r="AQ559" s="859"/>
      <c r="AR559" s="859">
        <v>45453</v>
      </c>
      <c r="AS559" s="840" t="s">
        <v>1874</v>
      </c>
      <c r="AT559" s="840" t="s">
        <v>1875</v>
      </c>
      <c r="AU559" s="860" t="s">
        <v>1876</v>
      </c>
      <c r="AV559" s="839" t="s">
        <v>1877</v>
      </c>
      <c r="AW559" s="861">
        <v>45575</v>
      </c>
      <c r="AX559" s="862">
        <v>45582</v>
      </c>
      <c r="AY559" s="843" t="s">
        <v>1909</v>
      </c>
      <c r="AZ559" s="842">
        <v>42010000</v>
      </c>
      <c r="BA559" s="842" t="s">
        <v>120</v>
      </c>
      <c r="BB559" s="863" t="s">
        <v>121</v>
      </c>
      <c r="BC559" s="864">
        <v>45584</v>
      </c>
      <c r="BD559" s="860" t="s">
        <v>1879</v>
      </c>
      <c r="BE559" s="865" cm="1">
        <f t="array" ref="BE559">IF(BD559="","",AC559/SUMPRODUCT(--(BD559=$BD$4:$BD$12824),$AC$4:$AC$12824))</f>
        <v>1.3200296961371687E-3</v>
      </c>
      <c r="BF559" s="458"/>
      <c r="BG559" s="458"/>
      <c r="BH559" s="458"/>
      <c r="BI559" s="458"/>
      <c r="BJ559" s="458"/>
      <c r="BK559" s="458"/>
      <c r="BL559" s="458"/>
      <c r="BM559" s="458"/>
      <c r="BN559" s="458"/>
      <c r="BO559" s="866">
        <f>VLOOKUP(BD559,$BD$4:$BN$12824,3,0)*BE559</f>
        <v>0</v>
      </c>
      <c r="BP559" s="866"/>
      <c r="BQ559" s="866"/>
      <c r="BR559" s="866">
        <f>VLOOKUP(BD559,$BD$4:$BN$12824,6,0)*BE559</f>
        <v>25426.095199867068</v>
      </c>
      <c r="BS559" s="866">
        <f>VLOOKUP(BD559,$BD$4:$BN$12824,7,0)*BE559</f>
        <v>1271.3324806169724</v>
      </c>
      <c r="BT559" s="866"/>
      <c r="BU559" s="866">
        <f>VLOOKUP(BD559,$BD$4:$BN$12824,9,0)*BE559</f>
        <v>660.01484806858434</v>
      </c>
      <c r="BV559" s="867"/>
      <c r="BW559" s="867">
        <f>VLOOKUP(BD559,$BD$4:$BN$12824,11,0)*BE559</f>
        <v>2772.0623618880541</v>
      </c>
      <c r="BX559" s="1146">
        <f t="shared" si="112"/>
        <v>30129.504890440679</v>
      </c>
      <c r="BY559" s="867">
        <f t="shared" si="110"/>
        <v>219850.78414840679</v>
      </c>
      <c r="BZ559" s="867">
        <f t="shared" si="107"/>
        <v>1319104.7048904407</v>
      </c>
      <c r="CA559" s="867">
        <f>_xlfn.MAXIFS($BY$4:$BY$12824,$S$4:$S$12824,$S559)</f>
        <v>230644.67216894645</v>
      </c>
      <c r="CB559" s="1032"/>
      <c r="CC559" s="999" t="s">
        <v>1889</v>
      </c>
      <c r="CF559" s="946">
        <f t="shared" si="109"/>
        <v>1288975.2</v>
      </c>
    </row>
    <row r="560" spans="1:84">
      <c r="A560" s="1032"/>
      <c r="B560" s="839" t="s">
        <v>98</v>
      </c>
      <c r="C560" s="839" t="s">
        <v>131</v>
      </c>
      <c r="D560" s="839" t="s">
        <v>1868</v>
      </c>
      <c r="E560" s="839" t="s">
        <v>1332</v>
      </c>
      <c r="F560" s="841">
        <v>45321</v>
      </c>
      <c r="G560" s="840" t="s">
        <v>133</v>
      </c>
      <c r="H560" s="842" t="s">
        <v>134</v>
      </c>
      <c r="I560" s="842"/>
      <c r="J560" s="841"/>
      <c r="K560" s="841"/>
      <c r="L560" s="843" t="s">
        <v>106</v>
      </c>
      <c r="M560" s="844" t="s">
        <v>107</v>
      </c>
      <c r="N560" s="841" t="s">
        <v>1869</v>
      </c>
      <c r="O560" s="841" t="s">
        <v>135</v>
      </c>
      <c r="P560" s="841" t="s">
        <v>1362</v>
      </c>
      <c r="Q560" s="843"/>
      <c r="R560" s="845" t="s">
        <v>1399</v>
      </c>
      <c r="S560" s="1127" t="s">
        <v>1400</v>
      </c>
      <c r="T560" s="843" t="s">
        <v>1910</v>
      </c>
      <c r="U560" s="842">
        <v>2</v>
      </c>
      <c r="V560" s="842" t="s">
        <v>8</v>
      </c>
      <c r="W560" s="846">
        <v>36.099999999999994</v>
      </c>
      <c r="X560" s="847">
        <f t="shared" si="102"/>
        <v>72.199999999999989</v>
      </c>
      <c r="Y560" s="848">
        <f t="shared" si="108"/>
        <v>0.6</v>
      </c>
      <c r="Z560" s="849">
        <v>14.44</v>
      </c>
      <c r="AA560" s="849"/>
      <c r="AB560" s="849">
        <f t="shared" si="103"/>
        <v>28.88</v>
      </c>
      <c r="AC560" s="850">
        <f t="shared" si="104"/>
        <v>28.88</v>
      </c>
      <c r="AD560" s="851"/>
      <c r="AE560" s="852">
        <v>24580</v>
      </c>
      <c r="AF560" s="853">
        <v>0</v>
      </c>
      <c r="AG560" s="854">
        <f t="shared" si="105"/>
        <v>0</v>
      </c>
      <c r="AH560" s="853"/>
      <c r="AI560" s="855">
        <f t="shared" si="106"/>
        <v>0</v>
      </c>
      <c r="AJ560" s="845" t="s">
        <v>1872</v>
      </c>
      <c r="AK560" s="857" t="s">
        <v>1745</v>
      </c>
      <c r="AL560" s="840">
        <v>244737306</v>
      </c>
      <c r="AM560" s="840"/>
      <c r="AN560" s="858"/>
      <c r="AO560" s="844"/>
      <c r="AP560" s="859" t="s">
        <v>1873</v>
      </c>
      <c r="AQ560" s="859"/>
      <c r="AR560" s="859">
        <v>45453</v>
      </c>
      <c r="AS560" s="840" t="s">
        <v>1874</v>
      </c>
      <c r="AT560" s="840" t="s">
        <v>1875</v>
      </c>
      <c r="AU560" s="860" t="s">
        <v>1876</v>
      </c>
      <c r="AV560" s="839" t="s">
        <v>1877</v>
      </c>
      <c r="AW560" s="861">
        <v>45575</v>
      </c>
      <c r="AX560" s="862">
        <v>45582</v>
      </c>
      <c r="AY560" s="843" t="s">
        <v>1911</v>
      </c>
      <c r="AZ560" s="842">
        <v>69120000</v>
      </c>
      <c r="BA560" s="842" t="s">
        <v>120</v>
      </c>
      <c r="BB560" s="863" t="s">
        <v>121</v>
      </c>
      <c r="BC560" s="864">
        <v>45584</v>
      </c>
      <c r="BD560" s="860" t="s">
        <v>1879</v>
      </c>
      <c r="BE560" s="865" cm="1">
        <f t="array" ref="BE560">IF(BD560="","",AC560/SUMPRODUCT(--(BD560=$BD$4:$BD$12824),$AC$4:$AC$12824))</f>
        <v>7.2697287613351317E-4</v>
      </c>
      <c r="BF560" s="458"/>
      <c r="BG560" s="458"/>
      <c r="BH560" s="458"/>
      <c r="BI560" s="458"/>
      <c r="BJ560" s="458"/>
      <c r="BK560" s="458"/>
      <c r="BL560" s="458"/>
      <c r="BM560" s="458"/>
      <c r="BN560" s="458"/>
      <c r="BO560" s="866">
        <f>VLOOKUP(BD560,$BD$4:$BN$12824,3,0)*BE560</f>
        <v>0</v>
      </c>
      <c r="BP560" s="866"/>
      <c r="BQ560" s="866"/>
      <c r="BR560" s="866">
        <f>VLOOKUP(BD560,$BD$4:$BN$12824,6,0)*BE560</f>
        <v>14002.777066593459</v>
      </c>
      <c r="BS560" s="866">
        <f>VLOOKUP(BD560,$BD$4:$BN$12824,7,0)*BE560</f>
        <v>700.15411976007169</v>
      </c>
      <c r="BT560" s="866"/>
      <c r="BU560" s="866">
        <f>VLOOKUP(BD560,$BD$4:$BN$12824,9,0)*BE560</f>
        <v>363.48643806675659</v>
      </c>
      <c r="BV560" s="867"/>
      <c r="BW560" s="867">
        <f>VLOOKUP(BD560,$BD$4:$BN$12824,11,0)*BE560</f>
        <v>1526.6430398803777</v>
      </c>
      <c r="BX560" s="1146">
        <f t="shared" si="112"/>
        <v>16593.060664300665</v>
      </c>
      <c r="BY560" s="867">
        <f t="shared" si="110"/>
        <v>363231.73033215036</v>
      </c>
      <c r="BZ560" s="867">
        <f t="shared" si="107"/>
        <v>726463.46066430071</v>
      </c>
      <c r="CA560" s="867">
        <f>_xlfn.MAXIFS($BY$4:$BY$12824,$S$4:$S$12824,$S560)</f>
        <v>381065.11053999845</v>
      </c>
      <c r="CB560" s="1032"/>
      <c r="CC560" s="999" t="s">
        <v>1889</v>
      </c>
      <c r="CF560" s="946">
        <f t="shared" si="109"/>
        <v>709870.4</v>
      </c>
    </row>
    <row r="561" spans="1:84">
      <c r="A561" s="1032"/>
      <c r="B561" s="839" t="s">
        <v>98</v>
      </c>
      <c r="C561" s="839" t="s">
        <v>131</v>
      </c>
      <c r="D561" s="839" t="s">
        <v>1868</v>
      </c>
      <c r="E561" s="839" t="s">
        <v>1332</v>
      </c>
      <c r="F561" s="841">
        <v>45321</v>
      </c>
      <c r="G561" s="840" t="s">
        <v>133</v>
      </c>
      <c r="H561" s="842" t="s">
        <v>134</v>
      </c>
      <c r="I561" s="842"/>
      <c r="J561" s="841"/>
      <c r="K561" s="841"/>
      <c r="L561" s="843" t="s">
        <v>106</v>
      </c>
      <c r="M561" s="844" t="s">
        <v>107</v>
      </c>
      <c r="N561" s="841" t="s">
        <v>1869</v>
      </c>
      <c r="O561" s="841" t="s">
        <v>135</v>
      </c>
      <c r="P561" s="841" t="s">
        <v>1362</v>
      </c>
      <c r="Q561" s="843"/>
      <c r="R561" s="845" t="s">
        <v>1912</v>
      </c>
      <c r="S561" s="1127" t="s">
        <v>1913</v>
      </c>
      <c r="T561" s="843" t="s">
        <v>1914</v>
      </c>
      <c r="U561" s="842">
        <v>6</v>
      </c>
      <c r="V561" s="842" t="s">
        <v>8</v>
      </c>
      <c r="W561" s="846">
        <v>36.099999999999994</v>
      </c>
      <c r="X561" s="847">
        <f t="shared" si="102"/>
        <v>216.59999999999997</v>
      </c>
      <c r="Y561" s="848">
        <f t="shared" si="108"/>
        <v>0.6</v>
      </c>
      <c r="Z561" s="849">
        <v>14.44</v>
      </c>
      <c r="AA561" s="849"/>
      <c r="AB561" s="849">
        <f t="shared" si="103"/>
        <v>86.64</v>
      </c>
      <c r="AC561" s="850">
        <f t="shared" si="104"/>
        <v>86.64</v>
      </c>
      <c r="AD561" s="851"/>
      <c r="AE561" s="852">
        <v>24580</v>
      </c>
      <c r="AF561" s="853">
        <v>0</v>
      </c>
      <c r="AG561" s="854">
        <f t="shared" si="105"/>
        <v>0</v>
      </c>
      <c r="AH561" s="853"/>
      <c r="AI561" s="855">
        <f t="shared" si="106"/>
        <v>0</v>
      </c>
      <c r="AJ561" s="845" t="s">
        <v>1872</v>
      </c>
      <c r="AK561" s="857" t="s">
        <v>1745</v>
      </c>
      <c r="AL561" s="840">
        <v>244737306</v>
      </c>
      <c r="AM561" s="840"/>
      <c r="AN561" s="858"/>
      <c r="AO561" s="844"/>
      <c r="AP561" s="859" t="s">
        <v>1873</v>
      </c>
      <c r="AQ561" s="859"/>
      <c r="AR561" s="859">
        <v>45453</v>
      </c>
      <c r="AS561" s="840" t="s">
        <v>1874</v>
      </c>
      <c r="AT561" s="840" t="s">
        <v>1875</v>
      </c>
      <c r="AU561" s="860" t="s">
        <v>1876</v>
      </c>
      <c r="AV561" s="839" t="s">
        <v>1877</v>
      </c>
      <c r="AW561" s="861">
        <v>45575</v>
      </c>
      <c r="AX561" s="862">
        <v>45582</v>
      </c>
      <c r="AY561" s="843" t="s">
        <v>1915</v>
      </c>
      <c r="AZ561" s="842">
        <v>69120000</v>
      </c>
      <c r="BA561" s="842" t="s">
        <v>120</v>
      </c>
      <c r="BB561" s="863" t="s">
        <v>121</v>
      </c>
      <c r="BC561" s="864">
        <v>45584</v>
      </c>
      <c r="BD561" s="860" t="s">
        <v>1879</v>
      </c>
      <c r="BE561" s="865" cm="1">
        <f t="array" ref="BE561">IF(BD561="","",AC561/SUMPRODUCT(--(BD561=$BD$4:$BD$12824),$AC$4:$AC$12824))</f>
        <v>2.1809186284005395E-3</v>
      </c>
      <c r="BF561" s="458"/>
      <c r="BG561" s="458"/>
      <c r="BH561" s="458"/>
      <c r="BI561" s="458"/>
      <c r="BJ561" s="458"/>
      <c r="BK561" s="458"/>
      <c r="BL561" s="458"/>
      <c r="BM561" s="458"/>
      <c r="BN561" s="458"/>
      <c r="BO561" s="866">
        <f>VLOOKUP(BD561,$BD$4:$BN$12824,3,0)*BE561</f>
        <v>0</v>
      </c>
      <c r="BP561" s="866"/>
      <c r="BQ561" s="866"/>
      <c r="BR561" s="866">
        <f>VLOOKUP(BD561,$BD$4:$BN$12824,6,0)*BE561</f>
        <v>42008.331199780376</v>
      </c>
      <c r="BS561" s="866">
        <f>VLOOKUP(BD561,$BD$4:$BN$12824,7,0)*BE561</f>
        <v>2100.4623592802154</v>
      </c>
      <c r="BT561" s="866"/>
      <c r="BU561" s="866">
        <f>VLOOKUP(BD561,$BD$4:$BN$12824,9,0)*BE561</f>
        <v>1090.4593142002698</v>
      </c>
      <c r="BV561" s="867"/>
      <c r="BW561" s="867">
        <f>VLOOKUP(BD561,$BD$4:$BN$12824,11,0)*BE561</f>
        <v>4579.9291196411332</v>
      </c>
      <c r="BX561" s="1146">
        <f t="shared" si="112"/>
        <v>49779.181992901998</v>
      </c>
      <c r="BY561" s="867">
        <f t="shared" si="110"/>
        <v>363231.73033215036</v>
      </c>
      <c r="BZ561" s="867">
        <f t="shared" si="107"/>
        <v>2179390.3819929021</v>
      </c>
      <c r="CA561" s="867">
        <f>_xlfn.MAXIFS($BY$4:$BY$12824,$S$4:$S$12824,$S561)</f>
        <v>363231.73033215036</v>
      </c>
      <c r="CB561" s="1032"/>
      <c r="CC561" s="999" t="s">
        <v>1889</v>
      </c>
      <c r="CF561" s="946">
        <f t="shared" si="109"/>
        <v>2129611.2000000002</v>
      </c>
    </row>
    <row r="562" spans="1:84">
      <c r="A562" s="1032"/>
      <c r="B562" s="839" t="s">
        <v>98</v>
      </c>
      <c r="C562" s="839" t="s">
        <v>131</v>
      </c>
      <c r="D562" s="839" t="s">
        <v>1868</v>
      </c>
      <c r="E562" s="839" t="s">
        <v>1332</v>
      </c>
      <c r="F562" s="841">
        <v>45321</v>
      </c>
      <c r="G562" s="840" t="s">
        <v>133</v>
      </c>
      <c r="H562" s="842" t="s">
        <v>134</v>
      </c>
      <c r="I562" s="842"/>
      <c r="J562" s="841"/>
      <c r="K562" s="841"/>
      <c r="L562" s="843" t="s">
        <v>106</v>
      </c>
      <c r="M562" s="844" t="s">
        <v>107</v>
      </c>
      <c r="N562" s="841" t="s">
        <v>1869</v>
      </c>
      <c r="O562" s="841" t="s">
        <v>135</v>
      </c>
      <c r="P562" s="841" t="s">
        <v>1362</v>
      </c>
      <c r="Q562" s="843"/>
      <c r="R562" s="845" t="s">
        <v>1916</v>
      </c>
      <c r="S562" s="1127" t="s">
        <v>1917</v>
      </c>
      <c r="T562" s="843" t="s">
        <v>1918</v>
      </c>
      <c r="U562" s="842">
        <v>6</v>
      </c>
      <c r="V562" s="842" t="s">
        <v>8</v>
      </c>
      <c r="W562" s="846">
        <v>50.35</v>
      </c>
      <c r="X562" s="847">
        <f t="shared" si="102"/>
        <v>302.10000000000002</v>
      </c>
      <c r="Y562" s="848">
        <f t="shared" si="108"/>
        <v>0.6</v>
      </c>
      <c r="Z562" s="849">
        <v>20.14</v>
      </c>
      <c r="AA562" s="849"/>
      <c r="AB562" s="849">
        <f t="shared" si="103"/>
        <v>120.84</v>
      </c>
      <c r="AC562" s="850">
        <f t="shared" si="104"/>
        <v>120.84</v>
      </c>
      <c r="AD562" s="851"/>
      <c r="AE562" s="852">
        <v>24580</v>
      </c>
      <c r="AF562" s="853">
        <v>0</v>
      </c>
      <c r="AG562" s="854">
        <f t="shared" si="105"/>
        <v>0</v>
      </c>
      <c r="AH562" s="853"/>
      <c r="AI562" s="855">
        <f t="shared" si="106"/>
        <v>0</v>
      </c>
      <c r="AJ562" s="845" t="s">
        <v>1872</v>
      </c>
      <c r="AK562" s="857" t="s">
        <v>1745</v>
      </c>
      <c r="AL562" s="840">
        <v>244737306</v>
      </c>
      <c r="AM562" s="840"/>
      <c r="AN562" s="858"/>
      <c r="AO562" s="844"/>
      <c r="AP562" s="859" t="s">
        <v>1873</v>
      </c>
      <c r="AQ562" s="859"/>
      <c r="AR562" s="859">
        <v>45453</v>
      </c>
      <c r="AS562" s="840" t="s">
        <v>1874</v>
      </c>
      <c r="AT562" s="840" t="s">
        <v>1875</v>
      </c>
      <c r="AU562" s="860" t="s">
        <v>1876</v>
      </c>
      <c r="AV562" s="839" t="s">
        <v>1877</v>
      </c>
      <c r="AW562" s="861">
        <v>45575</v>
      </c>
      <c r="AX562" s="862">
        <v>45582</v>
      </c>
      <c r="AY562" s="843" t="s">
        <v>1919</v>
      </c>
      <c r="AZ562" s="842">
        <v>69120000</v>
      </c>
      <c r="BA562" s="842" t="s">
        <v>120</v>
      </c>
      <c r="BB562" s="863" t="s">
        <v>121</v>
      </c>
      <c r="BC562" s="864">
        <v>45584</v>
      </c>
      <c r="BD562" s="860" t="s">
        <v>1879</v>
      </c>
      <c r="BE562" s="865" cm="1">
        <f t="array" ref="BE562">IF(BD562="","",AC562/SUMPRODUCT(--(BD562=$BD$4:$BD$12824),$AC$4:$AC$12824))</f>
        <v>3.0418075606639104E-3</v>
      </c>
      <c r="BF562" s="458"/>
      <c r="BG562" s="458"/>
      <c r="BH562" s="458"/>
      <c r="BI562" s="458"/>
      <c r="BJ562" s="458"/>
      <c r="BK562" s="458"/>
      <c r="BL562" s="458"/>
      <c r="BM562" s="458"/>
      <c r="BN562" s="458"/>
      <c r="BO562" s="866">
        <f>VLOOKUP(BD562,$BD$4:$BN$12824,3,0)*BE562</f>
        <v>0</v>
      </c>
      <c r="BP562" s="866"/>
      <c r="BQ562" s="866"/>
      <c r="BR562" s="866">
        <f>VLOOKUP(BD562,$BD$4:$BN$12824,6,0)*BE562</f>
        <v>58590.56719969368</v>
      </c>
      <c r="BS562" s="866">
        <f>VLOOKUP(BD562,$BD$4:$BN$12824,7,0)*BE562</f>
        <v>2929.5922379434583</v>
      </c>
      <c r="BT562" s="866"/>
      <c r="BU562" s="866">
        <f>VLOOKUP(BD562,$BD$4:$BN$12824,9,0)*BE562</f>
        <v>1520.9037803319552</v>
      </c>
      <c r="BV562" s="867"/>
      <c r="BW562" s="867">
        <f>VLOOKUP(BD562,$BD$4:$BN$12824,11,0)*BE562</f>
        <v>6387.7958773942119</v>
      </c>
      <c r="BX562" s="1146">
        <f t="shared" si="112"/>
        <v>69428.859095363296</v>
      </c>
      <c r="BY562" s="867">
        <f t="shared" si="110"/>
        <v>506612.67651589395</v>
      </c>
      <c r="BZ562" s="867">
        <f t="shared" si="107"/>
        <v>3039676.0590953636</v>
      </c>
      <c r="CA562" s="867">
        <f>_xlfn.MAXIFS($BY$4:$BY$12824,$S$4:$S$12824,$S562)</f>
        <v>506612.67651589395</v>
      </c>
      <c r="CB562" s="1032"/>
      <c r="CC562" s="999" t="s">
        <v>1889</v>
      </c>
      <c r="CF562" s="946">
        <f t="shared" si="109"/>
        <v>2970247.2</v>
      </c>
    </row>
    <row r="563" spans="1:84">
      <c r="A563" s="1032"/>
      <c r="B563" s="839" t="s">
        <v>98</v>
      </c>
      <c r="C563" s="839" t="s">
        <v>131</v>
      </c>
      <c r="D563" s="839" t="s">
        <v>1868</v>
      </c>
      <c r="E563" s="839" t="s">
        <v>1332</v>
      </c>
      <c r="F563" s="841">
        <v>45321</v>
      </c>
      <c r="G563" s="840" t="s">
        <v>133</v>
      </c>
      <c r="H563" s="842" t="s">
        <v>134</v>
      </c>
      <c r="I563" s="842"/>
      <c r="J563" s="841"/>
      <c r="K563" s="841"/>
      <c r="L563" s="843" t="s">
        <v>106</v>
      </c>
      <c r="M563" s="844" t="s">
        <v>107</v>
      </c>
      <c r="N563" s="841" t="s">
        <v>1869</v>
      </c>
      <c r="O563" s="841" t="s">
        <v>135</v>
      </c>
      <c r="P563" s="841" t="s">
        <v>1362</v>
      </c>
      <c r="Q563" s="843"/>
      <c r="R563" s="845" t="s">
        <v>1920</v>
      </c>
      <c r="S563" s="1127" t="s">
        <v>1921</v>
      </c>
      <c r="T563" s="843" t="s">
        <v>1922</v>
      </c>
      <c r="U563" s="842">
        <v>6</v>
      </c>
      <c r="V563" s="842" t="s">
        <v>8</v>
      </c>
      <c r="W563" s="846">
        <v>50.35</v>
      </c>
      <c r="X563" s="847">
        <f t="shared" si="102"/>
        <v>302.10000000000002</v>
      </c>
      <c r="Y563" s="848">
        <f t="shared" si="108"/>
        <v>0.6</v>
      </c>
      <c r="Z563" s="849">
        <v>20.14</v>
      </c>
      <c r="AA563" s="849"/>
      <c r="AB563" s="849">
        <f t="shared" si="103"/>
        <v>120.84</v>
      </c>
      <c r="AC563" s="850">
        <f t="shared" si="104"/>
        <v>120.84</v>
      </c>
      <c r="AD563" s="851"/>
      <c r="AE563" s="852">
        <v>24580</v>
      </c>
      <c r="AF563" s="853">
        <v>0</v>
      </c>
      <c r="AG563" s="854">
        <f t="shared" si="105"/>
        <v>0</v>
      </c>
      <c r="AH563" s="853"/>
      <c r="AI563" s="855">
        <f t="shared" si="106"/>
        <v>0</v>
      </c>
      <c r="AJ563" s="845" t="s">
        <v>1872</v>
      </c>
      <c r="AK563" s="857" t="s">
        <v>1745</v>
      </c>
      <c r="AL563" s="840">
        <v>244737306</v>
      </c>
      <c r="AM563" s="840"/>
      <c r="AN563" s="858"/>
      <c r="AO563" s="844"/>
      <c r="AP563" s="859" t="s">
        <v>1873</v>
      </c>
      <c r="AQ563" s="859"/>
      <c r="AR563" s="859">
        <v>45453</v>
      </c>
      <c r="AS563" s="840" t="s">
        <v>1874</v>
      </c>
      <c r="AT563" s="840" t="s">
        <v>1875</v>
      </c>
      <c r="AU563" s="860" t="s">
        <v>1876</v>
      </c>
      <c r="AV563" s="839" t="s">
        <v>1877</v>
      </c>
      <c r="AW563" s="861">
        <v>45575</v>
      </c>
      <c r="AX563" s="862">
        <v>45582</v>
      </c>
      <c r="AY563" s="843" t="s">
        <v>1923</v>
      </c>
      <c r="AZ563" s="842">
        <v>69120000</v>
      </c>
      <c r="BA563" s="842" t="s">
        <v>120</v>
      </c>
      <c r="BB563" s="863" t="s">
        <v>121</v>
      </c>
      <c r="BC563" s="864">
        <v>45584</v>
      </c>
      <c r="BD563" s="860" t="s">
        <v>1879</v>
      </c>
      <c r="BE563" s="865" cm="1">
        <f t="array" ref="BE563">IF(BD563="","",AC563/SUMPRODUCT(--(BD563=$BD$4:$BD$12824),$AC$4:$AC$12824))</f>
        <v>3.0418075606639104E-3</v>
      </c>
      <c r="BF563" s="458"/>
      <c r="BG563" s="458"/>
      <c r="BH563" s="458"/>
      <c r="BI563" s="458"/>
      <c r="BJ563" s="458"/>
      <c r="BK563" s="458"/>
      <c r="BL563" s="458"/>
      <c r="BM563" s="458"/>
      <c r="BN563" s="458"/>
      <c r="BO563" s="866">
        <f>VLOOKUP(BD563,$BD$4:$BN$12824,3,0)*BE563</f>
        <v>0</v>
      </c>
      <c r="BP563" s="866"/>
      <c r="BQ563" s="866"/>
      <c r="BR563" s="866">
        <f>VLOOKUP(BD563,$BD$4:$BN$12824,6,0)*BE563</f>
        <v>58590.56719969368</v>
      </c>
      <c r="BS563" s="866">
        <f>VLOOKUP(BD563,$BD$4:$BN$12824,7,0)*BE563</f>
        <v>2929.5922379434583</v>
      </c>
      <c r="BT563" s="866"/>
      <c r="BU563" s="866">
        <f>VLOOKUP(BD563,$BD$4:$BN$12824,9,0)*BE563</f>
        <v>1520.9037803319552</v>
      </c>
      <c r="BV563" s="867"/>
      <c r="BW563" s="867">
        <f>VLOOKUP(BD563,$BD$4:$BN$12824,11,0)*BE563</f>
        <v>6387.7958773942119</v>
      </c>
      <c r="BX563" s="1146">
        <f t="shared" si="112"/>
        <v>69428.859095363296</v>
      </c>
      <c r="BY563" s="867">
        <f t="shared" si="110"/>
        <v>506612.67651589395</v>
      </c>
      <c r="BZ563" s="867">
        <f t="shared" si="107"/>
        <v>3039676.0590953636</v>
      </c>
      <c r="CA563" s="867">
        <f>_xlfn.MAXIFS($BY$4:$BY$12824,$S$4:$S$12824,$S563)</f>
        <v>506612.67651589395</v>
      </c>
      <c r="CB563" s="1032"/>
      <c r="CC563" s="999" t="s">
        <v>1889</v>
      </c>
      <c r="CF563" s="946">
        <f t="shared" si="109"/>
        <v>2970247.2</v>
      </c>
    </row>
    <row r="564" spans="1:84">
      <c r="A564" s="1032"/>
      <c r="B564" s="839" t="s">
        <v>98</v>
      </c>
      <c r="C564" s="839" t="s">
        <v>131</v>
      </c>
      <c r="D564" s="839" t="s">
        <v>1868</v>
      </c>
      <c r="E564" s="839" t="s">
        <v>1332</v>
      </c>
      <c r="F564" s="841">
        <v>45321</v>
      </c>
      <c r="G564" s="840" t="s">
        <v>133</v>
      </c>
      <c r="H564" s="842" t="s">
        <v>134</v>
      </c>
      <c r="I564" s="842"/>
      <c r="J564" s="841"/>
      <c r="K564" s="841"/>
      <c r="L564" s="843" t="s">
        <v>106</v>
      </c>
      <c r="M564" s="844" t="s">
        <v>107</v>
      </c>
      <c r="N564" s="841" t="s">
        <v>1869</v>
      </c>
      <c r="O564" s="841" t="s">
        <v>135</v>
      </c>
      <c r="P564" s="841" t="s">
        <v>1362</v>
      </c>
      <c r="Q564" s="843"/>
      <c r="R564" s="845" t="s">
        <v>1924</v>
      </c>
      <c r="S564" s="1127" t="s">
        <v>1925</v>
      </c>
      <c r="T564" s="843" t="s">
        <v>1926</v>
      </c>
      <c r="U564" s="842">
        <v>12</v>
      </c>
      <c r="V564" s="842" t="s">
        <v>8</v>
      </c>
      <c r="W564" s="846">
        <v>18.999999999999996</v>
      </c>
      <c r="X564" s="847">
        <f t="shared" si="102"/>
        <v>227.99999999999994</v>
      </c>
      <c r="Y564" s="848">
        <f t="shared" si="108"/>
        <v>0.6</v>
      </c>
      <c r="Z564" s="849">
        <v>7.6</v>
      </c>
      <c r="AA564" s="849"/>
      <c r="AB564" s="849">
        <f t="shared" si="103"/>
        <v>91.199999999999989</v>
      </c>
      <c r="AC564" s="850">
        <f t="shared" si="104"/>
        <v>91.199999999999989</v>
      </c>
      <c r="AD564" s="851"/>
      <c r="AE564" s="852">
        <v>24580</v>
      </c>
      <c r="AF564" s="853">
        <v>0</v>
      </c>
      <c r="AG564" s="854">
        <f t="shared" si="105"/>
        <v>0</v>
      </c>
      <c r="AH564" s="853"/>
      <c r="AI564" s="855">
        <f t="shared" si="106"/>
        <v>0</v>
      </c>
      <c r="AJ564" s="845" t="s">
        <v>1872</v>
      </c>
      <c r="AK564" s="857" t="s">
        <v>1745</v>
      </c>
      <c r="AL564" s="840">
        <v>244737306</v>
      </c>
      <c r="AM564" s="840"/>
      <c r="AN564" s="858"/>
      <c r="AO564" s="844"/>
      <c r="AP564" s="859" t="s">
        <v>1873</v>
      </c>
      <c r="AQ564" s="859"/>
      <c r="AR564" s="859">
        <v>45453</v>
      </c>
      <c r="AS564" s="840" t="s">
        <v>1874</v>
      </c>
      <c r="AT564" s="840" t="s">
        <v>1875</v>
      </c>
      <c r="AU564" s="860" t="s">
        <v>1876</v>
      </c>
      <c r="AV564" s="839" t="s">
        <v>1877</v>
      </c>
      <c r="AW564" s="861">
        <v>45575</v>
      </c>
      <c r="AX564" s="862">
        <v>45582</v>
      </c>
      <c r="AY564" s="843" t="s">
        <v>1927</v>
      </c>
      <c r="AZ564" s="842">
        <v>42010000</v>
      </c>
      <c r="BA564" s="842" t="s">
        <v>120</v>
      </c>
      <c r="BB564" s="863" t="s">
        <v>121</v>
      </c>
      <c r="BC564" s="864">
        <v>45584</v>
      </c>
      <c r="BD564" s="860" t="s">
        <v>1879</v>
      </c>
      <c r="BE564" s="865" cm="1">
        <f t="array" ref="BE564">IF(BD564="","",AC564/SUMPRODUCT(--(BD564=$BD$4:$BD$12824),$AC$4:$AC$12824))</f>
        <v>2.2957038193689885E-3</v>
      </c>
      <c r="BF564" s="458"/>
      <c r="BG564" s="458"/>
      <c r="BH564" s="458"/>
      <c r="BI564" s="458"/>
      <c r="BJ564" s="458"/>
      <c r="BK564" s="458"/>
      <c r="BL564" s="458"/>
      <c r="BM564" s="458"/>
      <c r="BN564" s="458"/>
      <c r="BO564" s="866">
        <f>VLOOKUP(BD564,$BD$4:$BN$12824,3,0)*BE564</f>
        <v>0</v>
      </c>
      <c r="BP564" s="866"/>
      <c r="BQ564" s="866"/>
      <c r="BR564" s="866">
        <f>VLOOKUP(BD564,$BD$4:$BN$12824,6,0)*BE564</f>
        <v>44219.295999768809</v>
      </c>
      <c r="BS564" s="866">
        <f>VLOOKUP(BD564,$BD$4:$BN$12824,7,0)*BE564</f>
        <v>2211.013009768647</v>
      </c>
      <c r="BT564" s="866"/>
      <c r="BU564" s="866">
        <f>VLOOKUP(BD564,$BD$4:$BN$12824,9,0)*BE564</f>
        <v>1147.8519096844943</v>
      </c>
      <c r="BV564" s="867"/>
      <c r="BW564" s="867">
        <f>VLOOKUP(BD564,$BD$4:$BN$12824,11,0)*BE564</f>
        <v>4820.9780206748756</v>
      </c>
      <c r="BX564" s="1146">
        <f t="shared" si="112"/>
        <v>52399.138939896831</v>
      </c>
      <c r="BY564" s="867">
        <f t="shared" si="110"/>
        <v>191174.59491165806</v>
      </c>
      <c r="BZ564" s="867">
        <f t="shared" si="107"/>
        <v>2294095.1389398966</v>
      </c>
      <c r="CA564" s="867">
        <f>_xlfn.MAXIFS($BY$4:$BY$12824,$S$4:$S$12824,$S564)</f>
        <v>191174.59491165806</v>
      </c>
      <c r="CB564" s="1032"/>
      <c r="CC564" s="999" t="s">
        <v>1889</v>
      </c>
      <c r="CF564" s="946">
        <f t="shared" si="109"/>
        <v>2241695.9999999995</v>
      </c>
    </row>
    <row r="565" spans="1:84">
      <c r="A565" s="1032"/>
      <c r="B565" s="839" t="s">
        <v>98</v>
      </c>
      <c r="C565" s="839" t="s">
        <v>131</v>
      </c>
      <c r="D565" s="839" t="s">
        <v>1868</v>
      </c>
      <c r="E565" s="839" t="s">
        <v>1332</v>
      </c>
      <c r="F565" s="841">
        <v>45321</v>
      </c>
      <c r="G565" s="840" t="s">
        <v>133</v>
      </c>
      <c r="H565" s="842" t="s">
        <v>134</v>
      </c>
      <c r="I565" s="842"/>
      <c r="J565" s="841"/>
      <c r="K565" s="841"/>
      <c r="L565" s="843" t="s">
        <v>106</v>
      </c>
      <c r="M565" s="844" t="s">
        <v>107</v>
      </c>
      <c r="N565" s="841" t="s">
        <v>1869</v>
      </c>
      <c r="O565" s="841" t="s">
        <v>135</v>
      </c>
      <c r="P565" s="841" t="s">
        <v>1362</v>
      </c>
      <c r="Q565" s="843"/>
      <c r="R565" s="845" t="s">
        <v>1928</v>
      </c>
      <c r="S565" s="1127" t="s">
        <v>1929</v>
      </c>
      <c r="T565" s="843" t="s">
        <v>1930</v>
      </c>
      <c r="U565" s="842">
        <v>12</v>
      </c>
      <c r="V565" s="842" t="s">
        <v>8</v>
      </c>
      <c r="W565" s="846">
        <v>18.999999999999996</v>
      </c>
      <c r="X565" s="847">
        <f t="shared" si="102"/>
        <v>227.99999999999994</v>
      </c>
      <c r="Y565" s="848">
        <f t="shared" si="108"/>
        <v>0.6</v>
      </c>
      <c r="Z565" s="849">
        <v>7.6</v>
      </c>
      <c r="AA565" s="849"/>
      <c r="AB565" s="849">
        <f t="shared" si="103"/>
        <v>91.199999999999989</v>
      </c>
      <c r="AC565" s="850">
        <f t="shared" si="104"/>
        <v>91.199999999999989</v>
      </c>
      <c r="AD565" s="851"/>
      <c r="AE565" s="852">
        <v>24580</v>
      </c>
      <c r="AF565" s="853">
        <v>0</v>
      </c>
      <c r="AG565" s="854">
        <f t="shared" si="105"/>
        <v>0</v>
      </c>
      <c r="AH565" s="853"/>
      <c r="AI565" s="855">
        <f t="shared" si="106"/>
        <v>0</v>
      </c>
      <c r="AJ565" s="845" t="s">
        <v>1872</v>
      </c>
      <c r="AK565" s="857" t="s">
        <v>1745</v>
      </c>
      <c r="AL565" s="840">
        <v>244737306</v>
      </c>
      <c r="AM565" s="840"/>
      <c r="AN565" s="858"/>
      <c r="AO565" s="844"/>
      <c r="AP565" s="859" t="s">
        <v>1873</v>
      </c>
      <c r="AQ565" s="859"/>
      <c r="AR565" s="859">
        <v>45453</v>
      </c>
      <c r="AS565" s="840" t="s">
        <v>1874</v>
      </c>
      <c r="AT565" s="840" t="s">
        <v>1875</v>
      </c>
      <c r="AU565" s="860" t="s">
        <v>1876</v>
      </c>
      <c r="AV565" s="839" t="s">
        <v>1877</v>
      </c>
      <c r="AW565" s="861">
        <v>45575</v>
      </c>
      <c r="AX565" s="862">
        <v>45582</v>
      </c>
      <c r="AY565" s="843" t="s">
        <v>1931</v>
      </c>
      <c r="AZ565" s="842">
        <v>42010000</v>
      </c>
      <c r="BA565" s="842" t="s">
        <v>120</v>
      </c>
      <c r="BB565" s="863" t="s">
        <v>121</v>
      </c>
      <c r="BC565" s="864">
        <v>45584</v>
      </c>
      <c r="BD565" s="860" t="s">
        <v>1879</v>
      </c>
      <c r="BE565" s="865" cm="1">
        <f t="array" ref="BE565">IF(BD565="","",AC565/SUMPRODUCT(--(BD565=$BD$4:$BD$12824),$AC$4:$AC$12824))</f>
        <v>2.2957038193689885E-3</v>
      </c>
      <c r="BF565" s="458"/>
      <c r="BG565" s="458"/>
      <c r="BH565" s="458"/>
      <c r="BI565" s="458"/>
      <c r="BJ565" s="458"/>
      <c r="BK565" s="458"/>
      <c r="BL565" s="458"/>
      <c r="BM565" s="458"/>
      <c r="BN565" s="458"/>
      <c r="BO565" s="866">
        <f>VLOOKUP(BD565,$BD$4:$BN$12824,3,0)*BE565</f>
        <v>0</v>
      </c>
      <c r="BP565" s="866"/>
      <c r="BQ565" s="866"/>
      <c r="BR565" s="866">
        <f>VLOOKUP(BD565,$BD$4:$BN$12824,6,0)*BE565</f>
        <v>44219.295999768809</v>
      </c>
      <c r="BS565" s="866">
        <f>VLOOKUP(BD565,$BD$4:$BN$12824,7,0)*BE565</f>
        <v>2211.013009768647</v>
      </c>
      <c r="BT565" s="866"/>
      <c r="BU565" s="866">
        <f>VLOOKUP(BD565,$BD$4:$BN$12824,9,0)*BE565</f>
        <v>1147.8519096844943</v>
      </c>
      <c r="BV565" s="867"/>
      <c r="BW565" s="867">
        <f>VLOOKUP(BD565,$BD$4:$BN$12824,11,0)*BE565</f>
        <v>4820.9780206748756</v>
      </c>
      <c r="BX565" s="1146">
        <f t="shared" si="112"/>
        <v>52399.138939896831</v>
      </c>
      <c r="BY565" s="867">
        <f t="shared" si="110"/>
        <v>191174.59491165806</v>
      </c>
      <c r="BZ565" s="867">
        <f t="shared" si="107"/>
        <v>2294095.1389398966</v>
      </c>
      <c r="CA565" s="867">
        <f>_xlfn.MAXIFS($BY$4:$BY$12824,$S$4:$S$12824,$S565)</f>
        <v>191174.59491165806</v>
      </c>
      <c r="CB565" s="1032"/>
      <c r="CC565" s="999" t="s">
        <v>1889</v>
      </c>
      <c r="CF565" s="946">
        <f t="shared" si="109"/>
        <v>2241695.9999999995</v>
      </c>
    </row>
    <row r="566" spans="1:84">
      <c r="A566" s="1032"/>
      <c r="B566" s="839" t="s">
        <v>98</v>
      </c>
      <c r="C566" s="839" t="s">
        <v>131</v>
      </c>
      <c r="D566" s="839" t="s">
        <v>1868</v>
      </c>
      <c r="E566" s="839" t="s">
        <v>1332</v>
      </c>
      <c r="F566" s="841">
        <v>45321</v>
      </c>
      <c r="G566" s="840" t="s">
        <v>133</v>
      </c>
      <c r="H566" s="842" t="s">
        <v>134</v>
      </c>
      <c r="I566" s="842"/>
      <c r="J566" s="841"/>
      <c r="K566" s="841"/>
      <c r="L566" s="843" t="s">
        <v>106</v>
      </c>
      <c r="M566" s="844" t="s">
        <v>107</v>
      </c>
      <c r="N566" s="841" t="s">
        <v>1869</v>
      </c>
      <c r="O566" s="841" t="s">
        <v>135</v>
      </c>
      <c r="P566" s="841" t="s">
        <v>1362</v>
      </c>
      <c r="Q566" s="843"/>
      <c r="R566" s="845" t="s">
        <v>1932</v>
      </c>
      <c r="S566" s="1127" t="s">
        <v>1933</v>
      </c>
      <c r="T566" s="843" t="s">
        <v>1934</v>
      </c>
      <c r="U566" s="842">
        <v>12</v>
      </c>
      <c r="V566" s="842" t="s">
        <v>8</v>
      </c>
      <c r="W566" s="846">
        <v>18.999999999999996</v>
      </c>
      <c r="X566" s="847">
        <f t="shared" si="102"/>
        <v>227.99999999999994</v>
      </c>
      <c r="Y566" s="848">
        <f t="shared" si="108"/>
        <v>0.6</v>
      </c>
      <c r="Z566" s="849">
        <v>7.6</v>
      </c>
      <c r="AA566" s="849"/>
      <c r="AB566" s="849">
        <f t="shared" si="103"/>
        <v>91.199999999999989</v>
      </c>
      <c r="AC566" s="850">
        <f t="shared" si="104"/>
        <v>91.199999999999989</v>
      </c>
      <c r="AD566" s="851"/>
      <c r="AE566" s="852">
        <v>24580</v>
      </c>
      <c r="AF566" s="853">
        <v>0</v>
      </c>
      <c r="AG566" s="854">
        <f t="shared" si="105"/>
        <v>0</v>
      </c>
      <c r="AH566" s="853"/>
      <c r="AI566" s="855">
        <f t="shared" si="106"/>
        <v>0</v>
      </c>
      <c r="AJ566" s="845" t="s">
        <v>1872</v>
      </c>
      <c r="AK566" s="857" t="s">
        <v>1745</v>
      </c>
      <c r="AL566" s="840">
        <v>244737306</v>
      </c>
      <c r="AM566" s="840"/>
      <c r="AN566" s="858"/>
      <c r="AO566" s="844"/>
      <c r="AP566" s="859" t="s">
        <v>1873</v>
      </c>
      <c r="AQ566" s="859"/>
      <c r="AR566" s="859">
        <v>45453</v>
      </c>
      <c r="AS566" s="840" t="s">
        <v>1874</v>
      </c>
      <c r="AT566" s="840" t="s">
        <v>1875</v>
      </c>
      <c r="AU566" s="860" t="s">
        <v>1876</v>
      </c>
      <c r="AV566" s="839" t="s">
        <v>1877</v>
      </c>
      <c r="AW566" s="861">
        <v>45575</v>
      </c>
      <c r="AX566" s="862">
        <v>45582</v>
      </c>
      <c r="AY566" s="843" t="s">
        <v>1935</v>
      </c>
      <c r="AZ566" s="842">
        <v>42010000</v>
      </c>
      <c r="BA566" s="842" t="s">
        <v>120</v>
      </c>
      <c r="BB566" s="863" t="s">
        <v>121</v>
      </c>
      <c r="BC566" s="864">
        <v>45584</v>
      </c>
      <c r="BD566" s="860" t="s">
        <v>1879</v>
      </c>
      <c r="BE566" s="865" cm="1">
        <f t="array" ref="BE566">IF(BD566="","",AC566/SUMPRODUCT(--(BD566=$BD$4:$BD$12824),$AC$4:$AC$12824))</f>
        <v>2.2957038193689885E-3</v>
      </c>
      <c r="BF566" s="458"/>
      <c r="BG566" s="458"/>
      <c r="BH566" s="458"/>
      <c r="BI566" s="458"/>
      <c r="BJ566" s="458"/>
      <c r="BK566" s="458"/>
      <c r="BL566" s="458"/>
      <c r="BM566" s="458"/>
      <c r="BN566" s="458"/>
      <c r="BO566" s="866">
        <f>VLOOKUP(BD566,$BD$4:$BN$12824,3,0)*BE566</f>
        <v>0</v>
      </c>
      <c r="BP566" s="866"/>
      <c r="BQ566" s="866"/>
      <c r="BR566" s="866">
        <f>VLOOKUP(BD566,$BD$4:$BN$12824,6,0)*BE566</f>
        <v>44219.295999768809</v>
      </c>
      <c r="BS566" s="866">
        <f>VLOOKUP(BD566,$BD$4:$BN$12824,7,0)*BE566</f>
        <v>2211.013009768647</v>
      </c>
      <c r="BT566" s="866"/>
      <c r="BU566" s="866">
        <f>VLOOKUP(BD566,$BD$4:$BN$12824,9,0)*BE566</f>
        <v>1147.8519096844943</v>
      </c>
      <c r="BV566" s="867"/>
      <c r="BW566" s="867">
        <f>VLOOKUP(BD566,$BD$4:$BN$12824,11,0)*BE566</f>
        <v>4820.9780206748756</v>
      </c>
      <c r="BX566" s="1146">
        <f t="shared" si="112"/>
        <v>52399.138939896831</v>
      </c>
      <c r="BY566" s="867">
        <f t="shared" si="110"/>
        <v>191174.59491165806</v>
      </c>
      <c r="BZ566" s="867">
        <f t="shared" si="107"/>
        <v>2294095.1389398966</v>
      </c>
      <c r="CA566" s="867">
        <f>_xlfn.MAXIFS($BY$4:$BY$12824,$S$4:$S$12824,$S566)</f>
        <v>191174.59491165806</v>
      </c>
      <c r="CB566" s="1032"/>
      <c r="CC566" s="999" t="s">
        <v>1889</v>
      </c>
      <c r="CF566" s="946">
        <f t="shared" si="109"/>
        <v>2241695.9999999995</v>
      </c>
    </row>
    <row r="567" spans="1:84">
      <c r="A567" s="1032"/>
      <c r="B567" s="839" t="s">
        <v>98</v>
      </c>
      <c r="C567" s="839" t="s">
        <v>131</v>
      </c>
      <c r="D567" s="839" t="s">
        <v>1868</v>
      </c>
      <c r="E567" s="839" t="s">
        <v>1936</v>
      </c>
      <c r="F567" s="841">
        <v>45518</v>
      </c>
      <c r="G567" s="840" t="s">
        <v>133</v>
      </c>
      <c r="H567" s="842" t="s">
        <v>102</v>
      </c>
      <c r="I567" s="842"/>
      <c r="J567" s="841"/>
      <c r="K567" s="841"/>
      <c r="L567" s="843" t="s">
        <v>106</v>
      </c>
      <c r="M567" s="844" t="s">
        <v>107</v>
      </c>
      <c r="N567" s="841" t="s">
        <v>1869</v>
      </c>
      <c r="O567" s="841" t="s">
        <v>150</v>
      </c>
      <c r="P567" s="841" t="s">
        <v>151</v>
      </c>
      <c r="Q567" s="843"/>
      <c r="R567" s="845" t="s">
        <v>436</v>
      </c>
      <c r="S567" s="1127" t="s">
        <v>437</v>
      </c>
      <c r="T567" s="843" t="s">
        <v>1937</v>
      </c>
      <c r="U567" s="842">
        <v>1</v>
      </c>
      <c r="V567" s="842" t="s">
        <v>8</v>
      </c>
      <c r="W567" s="846">
        <v>275</v>
      </c>
      <c r="X567" s="847">
        <f t="shared" si="102"/>
        <v>275</v>
      </c>
      <c r="Y567" s="848">
        <f t="shared" si="108"/>
        <v>0.48698181818181813</v>
      </c>
      <c r="Z567" s="849">
        <v>141.08000000000001</v>
      </c>
      <c r="AA567" s="849"/>
      <c r="AB567" s="849">
        <f t="shared" si="103"/>
        <v>141.08000000000001</v>
      </c>
      <c r="AC567" s="850">
        <f t="shared" si="104"/>
        <v>141.08000000000001</v>
      </c>
      <c r="AD567" s="851"/>
      <c r="AE567" s="852">
        <v>24580</v>
      </c>
      <c r="AF567" s="853">
        <v>0</v>
      </c>
      <c r="AG567" s="854">
        <f t="shared" si="105"/>
        <v>0</v>
      </c>
      <c r="AH567" s="853"/>
      <c r="AI567" s="855">
        <f t="shared" si="106"/>
        <v>0</v>
      </c>
      <c r="AJ567" s="845" t="s">
        <v>1872</v>
      </c>
      <c r="AK567" s="857" t="s">
        <v>1745</v>
      </c>
      <c r="AL567" s="840">
        <v>244737306</v>
      </c>
      <c r="AM567" s="840"/>
      <c r="AN567" s="858"/>
      <c r="AO567" s="844"/>
      <c r="AP567" s="859" t="s">
        <v>1873</v>
      </c>
      <c r="AQ567" s="859"/>
      <c r="AR567" s="859">
        <v>45453</v>
      </c>
      <c r="AS567" s="840" t="s">
        <v>1874</v>
      </c>
      <c r="AT567" s="840" t="s">
        <v>1875</v>
      </c>
      <c r="AU567" s="860" t="s">
        <v>1876</v>
      </c>
      <c r="AV567" s="839" t="s">
        <v>1877</v>
      </c>
      <c r="AW567" s="861">
        <v>45575</v>
      </c>
      <c r="AX567" s="862">
        <v>45582</v>
      </c>
      <c r="AY567" s="843" t="s">
        <v>1938</v>
      </c>
      <c r="AZ567" s="842">
        <v>94017990</v>
      </c>
      <c r="BA567" s="842" t="s">
        <v>120</v>
      </c>
      <c r="BB567" s="863" t="s">
        <v>121</v>
      </c>
      <c r="BC567" s="864">
        <v>45584</v>
      </c>
      <c r="BD567" s="860" t="s">
        <v>1879</v>
      </c>
      <c r="BE567" s="865" cm="1">
        <f t="array" ref="BE567">IF(BD567="","",AC567/SUMPRODUCT(--(BD567=$BD$4:$BD$12824),$AC$4:$AC$12824))</f>
        <v>3.5512927065414145E-3</v>
      </c>
      <c r="BF567" s="458"/>
      <c r="BG567" s="458"/>
      <c r="BH567" s="458"/>
      <c r="BI567" s="458"/>
      <c r="BJ567" s="458"/>
      <c r="BK567" s="458"/>
      <c r="BL567" s="458"/>
      <c r="BM567" s="458"/>
      <c r="BN567" s="458"/>
      <c r="BO567" s="866">
        <f>VLOOKUP(BD567,$BD$4:$BN$12824,3,0)*BE567</f>
        <v>0</v>
      </c>
      <c r="BP567" s="866"/>
      <c r="BQ567" s="866"/>
      <c r="BR567" s="866">
        <f>VLOOKUP(BD567,$BD$4:$BN$12824,6,0)*BE567</f>
        <v>68404.147803151151</v>
      </c>
      <c r="BS567" s="866">
        <f>VLOOKUP(BD567,$BD$4:$BN$12824,7,0)*BE567</f>
        <v>3420.281967304395</v>
      </c>
      <c r="BT567" s="866"/>
      <c r="BU567" s="866">
        <f>VLOOKUP(BD567,$BD$4:$BN$12824,9,0)*BE567</f>
        <v>1775.6463532707073</v>
      </c>
      <c r="BV567" s="867"/>
      <c r="BW567" s="867">
        <f>VLOOKUP(BD567,$BD$4:$BN$12824,11,0)*BE567</f>
        <v>7457.7146837369701</v>
      </c>
      <c r="BX567" s="1146">
        <f t="shared" si="112"/>
        <v>81057.790807463229</v>
      </c>
      <c r="BY567" s="867">
        <f t="shared" si="110"/>
        <v>3548804.1908074636</v>
      </c>
      <c r="BZ567" s="867">
        <f t="shared" si="107"/>
        <v>3548804.1908074636</v>
      </c>
      <c r="CA567" s="867">
        <f>_xlfn.MAXIFS($BY$4:$BY$12824,$S$4:$S$12824,$S567)</f>
        <v>3548804.1908074636</v>
      </c>
      <c r="CB567" s="1032"/>
      <c r="CC567" s="999" t="s">
        <v>1889</v>
      </c>
      <c r="CF567" s="946">
        <f t="shared" si="109"/>
        <v>3467746.4000000004</v>
      </c>
    </row>
    <row r="568" spans="1:84">
      <c r="A568" s="1032"/>
      <c r="B568" s="839" t="s">
        <v>98</v>
      </c>
      <c r="C568" s="839" t="s">
        <v>131</v>
      </c>
      <c r="D568" s="839" t="s">
        <v>1868</v>
      </c>
      <c r="E568" s="839" t="s">
        <v>1936</v>
      </c>
      <c r="F568" s="841">
        <v>45518</v>
      </c>
      <c r="G568" s="840" t="s">
        <v>133</v>
      </c>
      <c r="H568" s="842" t="s">
        <v>102</v>
      </c>
      <c r="I568" s="842"/>
      <c r="J568" s="841"/>
      <c r="K568" s="841"/>
      <c r="L568" s="843" t="s">
        <v>106</v>
      </c>
      <c r="M568" s="844" t="s">
        <v>107</v>
      </c>
      <c r="N568" s="841" t="s">
        <v>1869</v>
      </c>
      <c r="O568" s="841" t="s">
        <v>150</v>
      </c>
      <c r="P568" s="841" t="s">
        <v>461</v>
      </c>
      <c r="Q568" s="843"/>
      <c r="R568" s="845" t="s">
        <v>1939</v>
      </c>
      <c r="S568" s="1127" t="s">
        <v>1940</v>
      </c>
      <c r="T568" s="843" t="s">
        <v>1941</v>
      </c>
      <c r="U568" s="842">
        <v>1</v>
      </c>
      <c r="V568" s="842" t="s">
        <v>8</v>
      </c>
      <c r="W568" s="846">
        <v>214</v>
      </c>
      <c r="X568" s="847">
        <f t="shared" si="102"/>
        <v>214</v>
      </c>
      <c r="Y568" s="848">
        <f t="shared" si="108"/>
        <v>0.48700000000000004</v>
      </c>
      <c r="Z568" s="849">
        <v>109.782</v>
      </c>
      <c r="AA568" s="849"/>
      <c r="AB568" s="849">
        <f t="shared" si="103"/>
        <v>109.782</v>
      </c>
      <c r="AC568" s="850">
        <f t="shared" si="104"/>
        <v>109.782</v>
      </c>
      <c r="AD568" s="851"/>
      <c r="AE568" s="852">
        <v>24580</v>
      </c>
      <c r="AF568" s="853">
        <v>0.05</v>
      </c>
      <c r="AG568" s="854">
        <f t="shared" si="105"/>
        <v>135055.15334552547</v>
      </c>
      <c r="AH568" s="853"/>
      <c r="AI568" s="855">
        <f t="shared" si="106"/>
        <v>0</v>
      </c>
      <c r="AJ568" s="845" t="s">
        <v>1872</v>
      </c>
      <c r="AK568" s="857" t="s">
        <v>1745</v>
      </c>
      <c r="AL568" s="840">
        <v>244737306</v>
      </c>
      <c r="AM568" s="840"/>
      <c r="AN568" s="858"/>
      <c r="AO568" s="844"/>
      <c r="AP568" s="859" t="s">
        <v>1873</v>
      </c>
      <c r="AQ568" s="859"/>
      <c r="AR568" s="859">
        <v>45453</v>
      </c>
      <c r="AS568" s="840" t="s">
        <v>1874</v>
      </c>
      <c r="AT568" s="840" t="s">
        <v>1875</v>
      </c>
      <c r="AU568" s="860" t="s">
        <v>1876</v>
      </c>
      <c r="AV568" s="839" t="s">
        <v>1877</v>
      </c>
      <c r="AW568" s="861">
        <v>45575</v>
      </c>
      <c r="AX568" s="862">
        <v>45582</v>
      </c>
      <c r="AY568" s="843" t="s">
        <v>1942</v>
      </c>
      <c r="AZ568" s="842">
        <v>94032090</v>
      </c>
      <c r="BA568" s="842" t="s">
        <v>120</v>
      </c>
      <c r="BB568" s="863" t="s">
        <v>121</v>
      </c>
      <c r="BC568" s="864">
        <v>45584</v>
      </c>
      <c r="BD568" s="860" t="s">
        <v>1879</v>
      </c>
      <c r="BE568" s="865" cm="1">
        <f t="array" ref="BE568">IF(BD568="","",AC568/SUMPRODUCT(--(BD568=$BD$4:$BD$12824),$AC$4:$AC$12824))</f>
        <v>2.7634534725654203E-3</v>
      </c>
      <c r="BF568" s="458"/>
      <c r="BG568" s="458"/>
      <c r="BH568" s="458"/>
      <c r="BI568" s="458"/>
      <c r="BJ568" s="458"/>
      <c r="BK568" s="458"/>
      <c r="BL568" s="458"/>
      <c r="BM568" s="458"/>
      <c r="BN568" s="458"/>
      <c r="BO568" s="866">
        <f>VLOOKUP(BD568,$BD$4:$BN$12824,3,0)*BE568</f>
        <v>0</v>
      </c>
      <c r="BP568" s="866"/>
      <c r="BQ568" s="866"/>
      <c r="BR568" s="866">
        <f>VLOOKUP(BD568,$BD$4:$BN$12824,6,0)*BE568</f>
        <v>53228.977559721709</v>
      </c>
      <c r="BS568" s="866">
        <f>VLOOKUP(BD568,$BD$4:$BN$12824,7,0)*BE568</f>
        <v>2661.5069105090092</v>
      </c>
      <c r="BT568" s="866"/>
      <c r="BU568" s="866">
        <f>VLOOKUP(BD568,$BD$4:$BN$12824,9,0)*BE568</f>
        <v>1381.7267362827101</v>
      </c>
      <c r="BV568" s="867"/>
      <c r="BW568" s="867">
        <f>VLOOKUP(BD568,$BD$4:$BN$12824,11,0)*BE568</f>
        <v>5803.252292387383</v>
      </c>
      <c r="BX568" s="1146">
        <f t="shared" si="112"/>
        <v>63075.463498900812</v>
      </c>
      <c r="BY568" s="867">
        <f t="shared" si="110"/>
        <v>2896572.176844426</v>
      </c>
      <c r="BZ568" s="867">
        <f t="shared" si="107"/>
        <v>2896572.176844426</v>
      </c>
      <c r="CA568" s="867">
        <f>_xlfn.MAXIFS($BY$4:$BY$12824,$S$4:$S$12824,$S568)</f>
        <v>2896572.176844426</v>
      </c>
      <c r="CB568" s="1032"/>
      <c r="CC568" s="999" t="s">
        <v>1889</v>
      </c>
      <c r="CF568" s="946">
        <f t="shared" si="109"/>
        <v>2698441.56</v>
      </c>
    </row>
    <row r="569" spans="1:84">
      <c r="A569" s="1032"/>
      <c r="B569" s="839" t="s">
        <v>98</v>
      </c>
      <c r="C569" s="839" t="s">
        <v>131</v>
      </c>
      <c r="D569" s="839" t="s">
        <v>1868</v>
      </c>
      <c r="E569" s="839" t="s">
        <v>1936</v>
      </c>
      <c r="F569" s="841">
        <v>45518</v>
      </c>
      <c r="G569" s="840" t="s">
        <v>133</v>
      </c>
      <c r="H569" s="842" t="s">
        <v>102</v>
      </c>
      <c r="I569" s="842"/>
      <c r="J569" s="841"/>
      <c r="K569" s="841"/>
      <c r="L569" s="843" t="s">
        <v>106</v>
      </c>
      <c r="M569" s="844" t="s">
        <v>107</v>
      </c>
      <c r="N569" s="841" t="s">
        <v>1869</v>
      </c>
      <c r="O569" s="841" t="s">
        <v>150</v>
      </c>
      <c r="P569" s="841" t="s">
        <v>461</v>
      </c>
      <c r="Q569" s="843"/>
      <c r="R569" s="845" t="s">
        <v>1943</v>
      </c>
      <c r="S569" s="1127" t="s">
        <v>1944</v>
      </c>
      <c r="T569" s="843" t="s">
        <v>1945</v>
      </c>
      <c r="U569" s="842">
        <v>1</v>
      </c>
      <c r="V569" s="842" t="s">
        <v>8</v>
      </c>
      <c r="W569" s="846">
        <v>305</v>
      </c>
      <c r="X569" s="847">
        <f t="shared" si="102"/>
        <v>305</v>
      </c>
      <c r="Y569" s="848">
        <f t="shared" si="108"/>
        <v>0.48698360655737705</v>
      </c>
      <c r="Z569" s="849">
        <v>156.47</v>
      </c>
      <c r="AA569" s="849"/>
      <c r="AB569" s="849">
        <f t="shared" si="103"/>
        <v>156.47</v>
      </c>
      <c r="AC569" s="850">
        <f t="shared" si="104"/>
        <v>156.47</v>
      </c>
      <c r="AD569" s="851"/>
      <c r="AE569" s="852">
        <v>24580</v>
      </c>
      <c r="AF569" s="853">
        <v>0.05</v>
      </c>
      <c r="AG569" s="854">
        <f t="shared" si="105"/>
        <v>192491.29952063516</v>
      </c>
      <c r="AH569" s="853"/>
      <c r="AI569" s="855">
        <f t="shared" si="106"/>
        <v>0</v>
      </c>
      <c r="AJ569" s="845" t="s">
        <v>1872</v>
      </c>
      <c r="AK569" s="857" t="s">
        <v>1745</v>
      </c>
      <c r="AL569" s="840">
        <v>244737306</v>
      </c>
      <c r="AM569" s="840"/>
      <c r="AN569" s="858"/>
      <c r="AO569" s="844"/>
      <c r="AP569" s="859" t="s">
        <v>1873</v>
      </c>
      <c r="AQ569" s="859"/>
      <c r="AR569" s="859">
        <v>45453</v>
      </c>
      <c r="AS569" s="840" t="s">
        <v>1874</v>
      </c>
      <c r="AT569" s="840" t="s">
        <v>1875</v>
      </c>
      <c r="AU569" s="860" t="s">
        <v>1876</v>
      </c>
      <c r="AV569" s="839" t="s">
        <v>1877</v>
      </c>
      <c r="AW569" s="861">
        <v>45575</v>
      </c>
      <c r="AX569" s="862">
        <v>45582</v>
      </c>
      <c r="AY569" s="843" t="s">
        <v>1946</v>
      </c>
      <c r="AZ569" s="842">
        <v>94032090</v>
      </c>
      <c r="BA569" s="842" t="s">
        <v>120</v>
      </c>
      <c r="BB569" s="863" t="s">
        <v>121</v>
      </c>
      <c r="BC569" s="864">
        <v>45584</v>
      </c>
      <c r="BD569" s="860" t="s">
        <v>1879</v>
      </c>
      <c r="BE569" s="865" cm="1">
        <f t="array" ref="BE569">IF(BD569="","",AC569/SUMPRODUCT(--(BD569=$BD$4:$BD$12824),$AC$4:$AC$12824))</f>
        <v>3.9386927260599306E-3</v>
      </c>
      <c r="BF569" s="458"/>
      <c r="BG569" s="458"/>
      <c r="BH569" s="458"/>
      <c r="BI569" s="458"/>
      <c r="BJ569" s="458"/>
      <c r="BK569" s="458"/>
      <c r="BL569" s="458"/>
      <c r="BM569" s="458"/>
      <c r="BN569" s="458"/>
      <c r="BO569" s="866">
        <f>VLOOKUP(BD569,$BD$4:$BN$12824,3,0)*BE569</f>
        <v>0</v>
      </c>
      <c r="BP569" s="866"/>
      <c r="BQ569" s="866"/>
      <c r="BR569" s="866">
        <f>VLOOKUP(BD569,$BD$4:$BN$12824,6,0)*BE569</f>
        <v>75866.154003112126</v>
      </c>
      <c r="BS569" s="866">
        <f>VLOOKUP(BD569,$BD$4:$BN$12824,7,0)*BE569</f>
        <v>3793.3904127028536</v>
      </c>
      <c r="BT569" s="866"/>
      <c r="BU569" s="866">
        <f>VLOOKUP(BD569,$BD$4:$BN$12824,9,0)*BE569</f>
        <v>1969.3463630299652</v>
      </c>
      <c r="BV569" s="867"/>
      <c r="BW569" s="867">
        <f>VLOOKUP(BD569,$BD$4:$BN$12824,11,0)*BE569</f>
        <v>8271.2547247258535</v>
      </c>
      <c r="BX569" s="1146">
        <f t="shared" si="112"/>
        <v>89900.145503570791</v>
      </c>
      <c r="BY569" s="867">
        <f t="shared" si="110"/>
        <v>4128424.0450242059</v>
      </c>
      <c r="BZ569" s="867">
        <f t="shared" si="107"/>
        <v>4128424.0450242059</v>
      </c>
      <c r="CA569" s="867">
        <f>_xlfn.MAXIFS($BY$4:$BY$12824,$S$4:$S$12824,$S569)</f>
        <v>4128424.0450242059</v>
      </c>
      <c r="CB569" s="1032"/>
      <c r="CC569" s="999" t="s">
        <v>1889</v>
      </c>
      <c r="CF569" s="946">
        <f t="shared" si="109"/>
        <v>3846032.6</v>
      </c>
    </row>
    <row r="570" spans="1:84">
      <c r="A570" s="1032"/>
      <c r="B570" s="839" t="s">
        <v>98</v>
      </c>
      <c r="C570" s="839" t="s">
        <v>131</v>
      </c>
      <c r="D570" s="839" t="s">
        <v>1868</v>
      </c>
      <c r="E570" s="839" t="s">
        <v>1936</v>
      </c>
      <c r="F570" s="841">
        <v>45518</v>
      </c>
      <c r="G570" s="840" t="s">
        <v>133</v>
      </c>
      <c r="H570" s="842" t="s">
        <v>102</v>
      </c>
      <c r="I570" s="842"/>
      <c r="J570" s="841"/>
      <c r="K570" s="841"/>
      <c r="L570" s="843" t="s">
        <v>106</v>
      </c>
      <c r="M570" s="844" t="s">
        <v>107</v>
      </c>
      <c r="N570" s="841" t="s">
        <v>1869</v>
      </c>
      <c r="O570" s="841" t="s">
        <v>150</v>
      </c>
      <c r="P570" s="841" t="s">
        <v>1947</v>
      </c>
      <c r="Q570" s="843"/>
      <c r="R570" s="845" t="s">
        <v>1948</v>
      </c>
      <c r="S570" s="1127" t="s">
        <v>1949</v>
      </c>
      <c r="T570" s="843" t="s">
        <v>1950</v>
      </c>
      <c r="U570" s="842">
        <v>1</v>
      </c>
      <c r="V570" s="842" t="s">
        <v>8</v>
      </c>
      <c r="W570" s="846">
        <v>229</v>
      </c>
      <c r="X570" s="847">
        <f t="shared" si="102"/>
        <v>229</v>
      </c>
      <c r="Y570" s="848">
        <f t="shared" si="108"/>
        <v>0.48698689956331875</v>
      </c>
      <c r="Z570" s="849">
        <v>117.48</v>
      </c>
      <c r="AA570" s="849"/>
      <c r="AB570" s="849">
        <f t="shared" si="103"/>
        <v>117.48</v>
      </c>
      <c r="AC570" s="850">
        <f t="shared" si="104"/>
        <v>117.48</v>
      </c>
      <c r="AD570" s="851"/>
      <c r="AE570" s="852">
        <v>24580</v>
      </c>
      <c r="AF570" s="853">
        <v>0</v>
      </c>
      <c r="AG570" s="854">
        <f t="shared" si="105"/>
        <v>0</v>
      </c>
      <c r="AH570" s="853"/>
      <c r="AI570" s="855">
        <f t="shared" si="106"/>
        <v>0</v>
      </c>
      <c r="AJ570" s="845" t="s">
        <v>1872</v>
      </c>
      <c r="AK570" s="857" t="s">
        <v>1745</v>
      </c>
      <c r="AL570" s="840">
        <v>244737306</v>
      </c>
      <c r="AM570" s="840"/>
      <c r="AN570" s="858"/>
      <c r="AO570" s="844"/>
      <c r="AP570" s="859" t="s">
        <v>1873</v>
      </c>
      <c r="AQ570" s="859"/>
      <c r="AR570" s="859">
        <v>45453</v>
      </c>
      <c r="AS570" s="840" t="s">
        <v>1874</v>
      </c>
      <c r="AT570" s="840" t="s">
        <v>1875</v>
      </c>
      <c r="AU570" s="860" t="s">
        <v>1876</v>
      </c>
      <c r="AV570" s="839" t="s">
        <v>1877</v>
      </c>
      <c r="AW570" s="861">
        <v>45575</v>
      </c>
      <c r="AX570" s="862">
        <v>45582</v>
      </c>
      <c r="AY570" s="843" t="s">
        <v>1951</v>
      </c>
      <c r="AZ570" s="842">
        <v>94017990</v>
      </c>
      <c r="BA570" s="842" t="s">
        <v>120</v>
      </c>
      <c r="BB570" s="863" t="s">
        <v>121</v>
      </c>
      <c r="BC570" s="864">
        <v>45584</v>
      </c>
      <c r="BD570" s="860" t="s">
        <v>1879</v>
      </c>
      <c r="BE570" s="865" cm="1">
        <f t="array" ref="BE570">IF(BD570="","",AC570/SUMPRODUCT(--(BD570=$BD$4:$BD$12824),$AC$4:$AC$12824))</f>
        <v>2.9572289988976847E-3</v>
      </c>
      <c r="BF570" s="458"/>
      <c r="BG570" s="458"/>
      <c r="BH570" s="458"/>
      <c r="BI570" s="458"/>
      <c r="BJ570" s="458"/>
      <c r="BK570" s="458"/>
      <c r="BL570" s="458"/>
      <c r="BM570" s="458"/>
      <c r="BN570" s="458"/>
      <c r="BO570" s="866">
        <f>VLOOKUP(BD570,$BD$4:$BN$12824,3,0)*BE570</f>
        <v>0</v>
      </c>
      <c r="BP570" s="866"/>
      <c r="BQ570" s="866"/>
      <c r="BR570" s="866">
        <f>VLOOKUP(BD570,$BD$4:$BN$12824,6,0)*BE570</f>
        <v>56961.43524180747</v>
      </c>
      <c r="BS570" s="866">
        <f>VLOOKUP(BD570,$BD$4:$BN$12824,7,0)*BE570</f>
        <v>2848.1338638993502</v>
      </c>
      <c r="BT570" s="866"/>
      <c r="BU570" s="866">
        <f>VLOOKUP(BD570,$BD$4:$BN$12824,9,0)*BE570</f>
        <v>1478.6144994488425</v>
      </c>
      <c r="BV570" s="867"/>
      <c r="BW570" s="867">
        <f>VLOOKUP(BD570,$BD$4:$BN$12824,11,0)*BE570</f>
        <v>6210.180897685138</v>
      </c>
      <c r="BX570" s="1146">
        <f t="shared" si="112"/>
        <v>67498.364502840792</v>
      </c>
      <c r="BY570" s="867">
        <f t="shared" si="110"/>
        <v>2955156.7645028406</v>
      </c>
      <c r="BZ570" s="867">
        <f t="shared" si="107"/>
        <v>2955156.7645028406</v>
      </c>
      <c r="CA570" s="867">
        <f>_xlfn.MAXIFS($BY$4:$BY$12824,$S$4:$S$12824,$S570)</f>
        <v>2955156.7645028406</v>
      </c>
      <c r="CB570" s="1032"/>
      <c r="CC570" s="999" t="s">
        <v>1889</v>
      </c>
      <c r="CF570" s="946">
        <f t="shared" si="109"/>
        <v>2887658.4</v>
      </c>
    </row>
    <row r="571" spans="1:84">
      <c r="A571" s="1032"/>
      <c r="B571" s="839" t="s">
        <v>98</v>
      </c>
      <c r="C571" s="839" t="s">
        <v>131</v>
      </c>
      <c r="D571" s="839" t="s">
        <v>1868</v>
      </c>
      <c r="E571" s="839" t="s">
        <v>1952</v>
      </c>
      <c r="F571" s="841">
        <v>45520</v>
      </c>
      <c r="G571" s="840" t="s">
        <v>133</v>
      </c>
      <c r="H571" s="842" t="s">
        <v>134</v>
      </c>
      <c r="I571" s="842"/>
      <c r="J571" s="841"/>
      <c r="K571" s="841"/>
      <c r="L571" s="843" t="s">
        <v>106</v>
      </c>
      <c r="M571" s="844" t="s">
        <v>107</v>
      </c>
      <c r="N571" s="841" t="s">
        <v>1869</v>
      </c>
      <c r="O571" s="841" t="s">
        <v>150</v>
      </c>
      <c r="P571" s="841" t="s">
        <v>384</v>
      </c>
      <c r="Q571" s="843"/>
      <c r="R571" s="845" t="s">
        <v>1953</v>
      </c>
      <c r="S571" s="1127" t="s">
        <v>1954</v>
      </c>
      <c r="T571" s="843" t="s">
        <v>1955</v>
      </c>
      <c r="U571" s="842">
        <v>2</v>
      </c>
      <c r="V571" s="842" t="s">
        <v>8</v>
      </c>
      <c r="W571" s="846">
        <v>2091</v>
      </c>
      <c r="X571" s="847">
        <f t="shared" si="102"/>
        <v>4182</v>
      </c>
      <c r="Y571" s="848">
        <f t="shared" si="108"/>
        <v>0.48699999999999999</v>
      </c>
      <c r="Z571" s="849">
        <v>1072.683</v>
      </c>
      <c r="AA571" s="849"/>
      <c r="AB571" s="849">
        <f t="shared" si="103"/>
        <v>2145.366</v>
      </c>
      <c r="AC571" s="850">
        <f t="shared" si="104"/>
        <v>2145.366</v>
      </c>
      <c r="AD571" s="851"/>
      <c r="AE571" s="852">
        <v>24580</v>
      </c>
      <c r="AF571" s="853">
        <v>0</v>
      </c>
      <c r="AG571" s="854">
        <f t="shared" si="105"/>
        <v>0</v>
      </c>
      <c r="AH571" s="853"/>
      <c r="AI571" s="855">
        <f t="shared" si="106"/>
        <v>0</v>
      </c>
      <c r="AJ571" s="845" t="s">
        <v>1872</v>
      </c>
      <c r="AK571" s="857" t="s">
        <v>1745</v>
      </c>
      <c r="AL571" s="840">
        <v>244737306</v>
      </c>
      <c r="AM571" s="840"/>
      <c r="AN571" s="858"/>
      <c r="AO571" s="844"/>
      <c r="AP571" s="859" t="s">
        <v>1873</v>
      </c>
      <c r="AQ571" s="859"/>
      <c r="AR571" s="859">
        <v>45453</v>
      </c>
      <c r="AS571" s="840" t="s">
        <v>1874</v>
      </c>
      <c r="AT571" s="840" t="s">
        <v>1875</v>
      </c>
      <c r="AU571" s="860" t="s">
        <v>1876</v>
      </c>
      <c r="AV571" s="839" t="s">
        <v>1877</v>
      </c>
      <c r="AW571" s="861">
        <v>45575</v>
      </c>
      <c r="AX571" s="862">
        <v>45582</v>
      </c>
      <c r="AY571" s="843" t="s">
        <v>1956</v>
      </c>
      <c r="AZ571" s="842">
        <v>94017100</v>
      </c>
      <c r="BA571" s="842" t="s">
        <v>120</v>
      </c>
      <c r="BB571" s="863" t="s">
        <v>121</v>
      </c>
      <c r="BC571" s="864">
        <v>45584</v>
      </c>
      <c r="BD571" s="860" t="s">
        <v>1879</v>
      </c>
      <c r="BE571" s="865" cm="1">
        <f t="array" ref="BE571">IF(BD571="","",AC571/SUMPRODUCT(--(BD571=$BD$4:$BD$12824),$AC$4:$AC$12824))</f>
        <v>5.4003562720881255E-2</v>
      </c>
      <c r="BF571" s="458"/>
      <c r="BG571" s="458"/>
      <c r="BH571" s="458"/>
      <c r="BI571" s="458"/>
      <c r="BJ571" s="458"/>
      <c r="BK571" s="458"/>
      <c r="BL571" s="458"/>
      <c r="BM571" s="458"/>
      <c r="BN571" s="458"/>
      <c r="BO571" s="866">
        <f>VLOOKUP(BD571,$BD$4:$BN$12824,3,0)*BE571</f>
        <v>0</v>
      </c>
      <c r="BP571" s="866"/>
      <c r="BQ571" s="866"/>
      <c r="BR571" s="866">
        <f>VLOOKUP(BD571,$BD$4:$BN$12824,6,0)*BE571</f>
        <v>1040203.6642745617</v>
      </c>
      <c r="BS571" s="866">
        <f>VLOOKUP(BD571,$BD$4:$BN$12824,7,0)*BE571</f>
        <v>52011.317288545222</v>
      </c>
      <c r="BT571" s="866"/>
      <c r="BU571" s="866">
        <f>VLOOKUP(BD571,$BD$4:$BN$12824,9,0)*BE571</f>
        <v>27001.781360440629</v>
      </c>
      <c r="BV571" s="867"/>
      <c r="BW571" s="867">
        <f>VLOOKUP(BD571,$BD$4:$BN$12824,11,0)*BE571</f>
        <v>113407.48171385063</v>
      </c>
      <c r="BX571" s="1146">
        <f t="shared" si="112"/>
        <v>1232624.244637398</v>
      </c>
      <c r="BY571" s="867">
        <f t="shared" si="110"/>
        <v>26982860.262318701</v>
      </c>
      <c r="BZ571" s="867">
        <f t="shared" si="107"/>
        <v>53965720.524637401</v>
      </c>
      <c r="CA571" s="867">
        <f>_xlfn.MAXIFS($BY$4:$BY$12824,$S$4:$S$12824,$S571)</f>
        <v>26982860.262318701</v>
      </c>
      <c r="CB571" s="1032"/>
      <c r="CC571" s="999" t="s">
        <v>1889</v>
      </c>
      <c r="CF571" s="946">
        <f t="shared" si="109"/>
        <v>52733096.280000001</v>
      </c>
    </row>
    <row r="572" spans="1:84">
      <c r="A572" s="1032"/>
      <c r="B572" s="839" t="s">
        <v>98</v>
      </c>
      <c r="C572" s="839" t="s">
        <v>131</v>
      </c>
      <c r="D572" s="839" t="s">
        <v>1868</v>
      </c>
      <c r="E572" s="839" t="s">
        <v>1952</v>
      </c>
      <c r="F572" s="841">
        <v>45520</v>
      </c>
      <c r="G572" s="840" t="s">
        <v>133</v>
      </c>
      <c r="H572" s="842" t="s">
        <v>134</v>
      </c>
      <c r="I572" s="842"/>
      <c r="J572" s="841"/>
      <c r="K572" s="841"/>
      <c r="L572" s="843" t="s">
        <v>106</v>
      </c>
      <c r="M572" s="844" t="s">
        <v>107</v>
      </c>
      <c r="N572" s="841" t="s">
        <v>1869</v>
      </c>
      <c r="O572" s="841" t="s">
        <v>150</v>
      </c>
      <c r="P572" s="841" t="s">
        <v>384</v>
      </c>
      <c r="Q572" s="843"/>
      <c r="R572" s="845" t="s">
        <v>1957</v>
      </c>
      <c r="S572" s="1127" t="s">
        <v>1958</v>
      </c>
      <c r="T572" s="843" t="s">
        <v>1959</v>
      </c>
      <c r="U572" s="842">
        <v>2</v>
      </c>
      <c r="V572" s="842" t="s">
        <v>8</v>
      </c>
      <c r="W572" s="846">
        <v>2626</v>
      </c>
      <c r="X572" s="847">
        <f t="shared" si="102"/>
        <v>5252</v>
      </c>
      <c r="Y572" s="848">
        <f t="shared" si="108"/>
        <v>0.48700000000000004</v>
      </c>
      <c r="Z572" s="849">
        <v>1347.1379999999999</v>
      </c>
      <c r="AA572" s="849"/>
      <c r="AB572" s="849">
        <f t="shared" si="103"/>
        <v>2694.2759999999998</v>
      </c>
      <c r="AC572" s="850">
        <f t="shared" si="104"/>
        <v>2694.2759999999998</v>
      </c>
      <c r="AD572" s="851"/>
      <c r="AE572" s="852">
        <v>24580</v>
      </c>
      <c r="AF572" s="853">
        <v>0</v>
      </c>
      <c r="AG572" s="854">
        <f t="shared" si="105"/>
        <v>0</v>
      </c>
      <c r="AH572" s="853"/>
      <c r="AI572" s="855">
        <f t="shared" si="106"/>
        <v>0</v>
      </c>
      <c r="AJ572" s="845" t="s">
        <v>1872</v>
      </c>
      <c r="AK572" s="857" t="s">
        <v>1745</v>
      </c>
      <c r="AL572" s="840">
        <v>244737306</v>
      </c>
      <c r="AM572" s="840"/>
      <c r="AN572" s="858"/>
      <c r="AO572" s="844"/>
      <c r="AP572" s="859" t="s">
        <v>1873</v>
      </c>
      <c r="AQ572" s="859"/>
      <c r="AR572" s="859">
        <v>45453</v>
      </c>
      <c r="AS572" s="840" t="s">
        <v>1874</v>
      </c>
      <c r="AT572" s="840" t="s">
        <v>1875</v>
      </c>
      <c r="AU572" s="860" t="s">
        <v>1876</v>
      </c>
      <c r="AV572" s="839" t="s">
        <v>1877</v>
      </c>
      <c r="AW572" s="861">
        <v>45575</v>
      </c>
      <c r="AX572" s="862">
        <v>45582</v>
      </c>
      <c r="AY572" s="843" t="s">
        <v>1960</v>
      </c>
      <c r="AZ572" s="842">
        <v>94017100</v>
      </c>
      <c r="BA572" s="842" t="s">
        <v>120</v>
      </c>
      <c r="BB572" s="863" t="s">
        <v>121</v>
      </c>
      <c r="BC572" s="864">
        <v>45584</v>
      </c>
      <c r="BD572" s="860" t="s">
        <v>1879</v>
      </c>
      <c r="BE572" s="865" cm="1">
        <f t="array" ref="BE572">IF(BD572="","",AC572/SUMPRODUCT(--(BD572=$BD$4:$BD$12824),$AC$4:$AC$12824))</f>
        <v>6.7820830083708358E-2</v>
      </c>
      <c r="BF572" s="458"/>
      <c r="BG572" s="458"/>
      <c r="BH572" s="458"/>
      <c r="BI572" s="458"/>
      <c r="BJ572" s="458"/>
      <c r="BK572" s="458"/>
      <c r="BL572" s="458"/>
      <c r="BM572" s="458"/>
      <c r="BN572" s="458"/>
      <c r="BO572" s="866">
        <f>VLOOKUP(BD572,$BD$4:$BN$12824,3,0)*BE572</f>
        <v>0</v>
      </c>
      <c r="BP572" s="866"/>
      <c r="BQ572" s="866"/>
      <c r="BR572" s="866">
        <f>VLOOKUP(BD572,$BD$4:$BN$12824,6,0)*BE572</f>
        <v>1306348.5520731702</v>
      </c>
      <c r="BS572" s="866">
        <f>VLOOKUP(BD572,$BD$4:$BN$12824,7,0)*BE572</f>
        <v>65318.851841090276</v>
      </c>
      <c r="BT572" s="866"/>
      <c r="BU572" s="866">
        <f>VLOOKUP(BD572,$BD$4:$BN$12824,9,0)*BE572</f>
        <v>33910.415041854176</v>
      </c>
      <c r="BV572" s="867"/>
      <c r="BW572" s="867">
        <f>VLOOKUP(BD572,$BD$4:$BN$12824,11,0)*BE572</f>
        <v>142423.74317578756</v>
      </c>
      <c r="BX572" s="1146">
        <f t="shared" si="112"/>
        <v>1548001.5621319022</v>
      </c>
      <c r="BY572" s="867">
        <f t="shared" si="110"/>
        <v>33886652.821065947</v>
      </c>
      <c r="BZ572" s="867">
        <f t="shared" si="107"/>
        <v>67773305.642131895</v>
      </c>
      <c r="CA572" s="867">
        <f>_xlfn.MAXIFS($BY$4:$BY$12824,$S$4:$S$12824,$S572)</f>
        <v>33886652.821065947</v>
      </c>
      <c r="CB572" s="1032"/>
      <c r="CC572" s="999" t="s">
        <v>1889</v>
      </c>
      <c r="CF572" s="946">
        <f t="shared" si="109"/>
        <v>66225304.079999998</v>
      </c>
    </row>
    <row r="573" spans="1:84">
      <c r="A573" s="1032"/>
      <c r="B573" s="839" t="s">
        <v>98</v>
      </c>
      <c r="C573" s="839" t="s">
        <v>131</v>
      </c>
      <c r="D573" s="839" t="s">
        <v>1868</v>
      </c>
      <c r="E573" s="839" t="s">
        <v>1952</v>
      </c>
      <c r="F573" s="841">
        <v>45520</v>
      </c>
      <c r="G573" s="840" t="s">
        <v>133</v>
      </c>
      <c r="H573" s="842" t="s">
        <v>134</v>
      </c>
      <c r="I573" s="842"/>
      <c r="J573" s="841"/>
      <c r="K573" s="841"/>
      <c r="L573" s="843" t="s">
        <v>106</v>
      </c>
      <c r="M573" s="844" t="s">
        <v>107</v>
      </c>
      <c r="N573" s="841" t="s">
        <v>1869</v>
      </c>
      <c r="O573" s="841" t="s">
        <v>150</v>
      </c>
      <c r="P573" s="841" t="s">
        <v>461</v>
      </c>
      <c r="Q573" s="843"/>
      <c r="R573" s="845">
        <v>941719</v>
      </c>
      <c r="S573" s="1127" t="s">
        <v>1961</v>
      </c>
      <c r="T573" s="843" t="s">
        <v>1962</v>
      </c>
      <c r="U573" s="842">
        <v>2</v>
      </c>
      <c r="V573" s="842" t="s">
        <v>8</v>
      </c>
      <c r="W573" s="846">
        <v>443</v>
      </c>
      <c r="X573" s="847">
        <f t="shared" si="102"/>
        <v>886</v>
      </c>
      <c r="Y573" s="848">
        <f t="shared" si="108"/>
        <v>0.48700000000000004</v>
      </c>
      <c r="Z573" s="849">
        <v>227.25899999999999</v>
      </c>
      <c r="AA573" s="849"/>
      <c r="AB573" s="849">
        <f t="shared" si="103"/>
        <v>454.51799999999997</v>
      </c>
      <c r="AC573" s="850">
        <f t="shared" si="104"/>
        <v>454.51799999999997</v>
      </c>
      <c r="AD573" s="851"/>
      <c r="AE573" s="852">
        <v>24580</v>
      </c>
      <c r="AF573" s="853">
        <v>0</v>
      </c>
      <c r="AG573" s="854">
        <f t="shared" si="105"/>
        <v>0</v>
      </c>
      <c r="AH573" s="853"/>
      <c r="AI573" s="855">
        <f t="shared" si="106"/>
        <v>0</v>
      </c>
      <c r="AJ573" s="845" t="s">
        <v>1872</v>
      </c>
      <c r="AK573" s="857" t="s">
        <v>1745</v>
      </c>
      <c r="AL573" s="840">
        <v>244737306</v>
      </c>
      <c r="AM573" s="840"/>
      <c r="AN573" s="858"/>
      <c r="AO573" s="844"/>
      <c r="AP573" s="859" t="s">
        <v>1873</v>
      </c>
      <c r="AQ573" s="859"/>
      <c r="AR573" s="859">
        <v>45453</v>
      </c>
      <c r="AS573" s="840" t="s">
        <v>1874</v>
      </c>
      <c r="AT573" s="840" t="s">
        <v>1875</v>
      </c>
      <c r="AU573" s="860" t="s">
        <v>1876</v>
      </c>
      <c r="AV573" s="839" t="s">
        <v>1877</v>
      </c>
      <c r="AW573" s="861">
        <v>45575</v>
      </c>
      <c r="AX573" s="862">
        <v>45582</v>
      </c>
      <c r="AY573" s="843" t="s">
        <v>1963</v>
      </c>
      <c r="AZ573" s="842">
        <v>94038990</v>
      </c>
      <c r="BA573" s="842" t="s">
        <v>120</v>
      </c>
      <c r="BB573" s="863" t="s">
        <v>121</v>
      </c>
      <c r="BC573" s="864">
        <v>45584</v>
      </c>
      <c r="BD573" s="860" t="s">
        <v>1879</v>
      </c>
      <c r="BE573" s="865" cm="1">
        <f t="array" ref="BE573">IF(BD573="","",AC573/SUMPRODUCT(--(BD573=$BD$4:$BD$12824),$AC$4:$AC$12824))</f>
        <v>1.1441213909780198E-2</v>
      </c>
      <c r="BF573" s="458"/>
      <c r="BG573" s="458"/>
      <c r="BH573" s="458"/>
      <c r="BI573" s="458"/>
      <c r="BJ573" s="458"/>
      <c r="BK573" s="458"/>
      <c r="BL573" s="458"/>
      <c r="BM573" s="458"/>
      <c r="BN573" s="458"/>
      <c r="BO573" s="866">
        <f>VLOOKUP(BD573,$BD$4:$BN$12824,3,0)*BE573</f>
        <v>0</v>
      </c>
      <c r="BP573" s="866"/>
      <c r="BQ573" s="866"/>
      <c r="BR573" s="866">
        <f>VLOOKUP(BD573,$BD$4:$BN$12824,6,0)*BE573</f>
        <v>220377.91643884781</v>
      </c>
      <c r="BS573" s="866">
        <f>VLOOKUP(BD573,$BD$4:$BN$12824,7,0)*BE573</f>
        <v>11019.136087434497</v>
      </c>
      <c r="BT573" s="866"/>
      <c r="BU573" s="866">
        <f>VLOOKUP(BD573,$BD$4:$BN$12824,9,0)*BE573</f>
        <v>5720.6069548900987</v>
      </c>
      <c r="BV573" s="867"/>
      <c r="BW573" s="867">
        <f>VLOOKUP(BD573,$BD$4:$BN$12824,11,0)*BE573</f>
        <v>24026.549210538415</v>
      </c>
      <c r="BX573" s="1146">
        <f t="shared" si="112"/>
        <v>261144.20869171084</v>
      </c>
      <c r="BY573" s="867">
        <f t="shared" si="110"/>
        <v>5716598.324345855</v>
      </c>
      <c r="BZ573" s="867">
        <f t="shared" si="107"/>
        <v>11433196.64869171</v>
      </c>
      <c r="CA573" s="867">
        <f>_xlfn.MAXIFS($BY$4:$BY$12824,$S$4:$S$12824,$S573)</f>
        <v>5716598.324345855</v>
      </c>
      <c r="CB573" s="1032"/>
      <c r="CC573" s="999" t="s">
        <v>1889</v>
      </c>
      <c r="CF573" s="946">
        <f t="shared" si="109"/>
        <v>11172052.439999999</v>
      </c>
    </row>
    <row r="574" spans="1:84">
      <c r="A574" s="1032"/>
      <c r="B574" s="839" t="s">
        <v>98</v>
      </c>
      <c r="C574" s="839" t="s">
        <v>131</v>
      </c>
      <c r="D574" s="839" t="s">
        <v>1868</v>
      </c>
      <c r="E574" s="839" t="s">
        <v>1952</v>
      </c>
      <c r="F574" s="841">
        <v>45520</v>
      </c>
      <c r="G574" s="840" t="s">
        <v>133</v>
      </c>
      <c r="H574" s="842" t="s">
        <v>134</v>
      </c>
      <c r="I574" s="842"/>
      <c r="J574" s="841"/>
      <c r="K574" s="841"/>
      <c r="L574" s="843" t="s">
        <v>106</v>
      </c>
      <c r="M574" s="844" t="s">
        <v>107</v>
      </c>
      <c r="N574" s="841" t="s">
        <v>1869</v>
      </c>
      <c r="O574" s="841" t="s">
        <v>150</v>
      </c>
      <c r="P574" s="841" t="s">
        <v>461</v>
      </c>
      <c r="Q574" s="843"/>
      <c r="R574" s="845">
        <v>941725</v>
      </c>
      <c r="S574" s="1127" t="s">
        <v>1964</v>
      </c>
      <c r="T574" s="843" t="s">
        <v>1965</v>
      </c>
      <c r="U574" s="842">
        <v>2</v>
      </c>
      <c r="V574" s="842" t="s">
        <v>8</v>
      </c>
      <c r="W574" s="846">
        <v>443</v>
      </c>
      <c r="X574" s="847">
        <f t="shared" si="102"/>
        <v>886</v>
      </c>
      <c r="Y574" s="848">
        <f t="shared" si="108"/>
        <v>0.48700000000000004</v>
      </c>
      <c r="Z574" s="849">
        <v>227.25899999999999</v>
      </c>
      <c r="AA574" s="849"/>
      <c r="AB574" s="849">
        <f t="shared" si="103"/>
        <v>454.51799999999997</v>
      </c>
      <c r="AC574" s="850">
        <f t="shared" si="104"/>
        <v>454.51799999999997</v>
      </c>
      <c r="AD574" s="851"/>
      <c r="AE574" s="852">
        <v>24580</v>
      </c>
      <c r="AF574" s="853">
        <v>0</v>
      </c>
      <c r="AG574" s="854">
        <f t="shared" si="105"/>
        <v>0</v>
      </c>
      <c r="AH574" s="853"/>
      <c r="AI574" s="855">
        <f t="shared" si="106"/>
        <v>0</v>
      </c>
      <c r="AJ574" s="845" t="s">
        <v>1872</v>
      </c>
      <c r="AK574" s="857" t="s">
        <v>1745</v>
      </c>
      <c r="AL574" s="840">
        <v>244737306</v>
      </c>
      <c r="AM574" s="840"/>
      <c r="AN574" s="858"/>
      <c r="AO574" s="844"/>
      <c r="AP574" s="859" t="s">
        <v>1873</v>
      </c>
      <c r="AQ574" s="859"/>
      <c r="AR574" s="859">
        <v>45453</v>
      </c>
      <c r="AS574" s="840" t="s">
        <v>1874</v>
      </c>
      <c r="AT574" s="840" t="s">
        <v>1875</v>
      </c>
      <c r="AU574" s="860" t="s">
        <v>1876</v>
      </c>
      <c r="AV574" s="839" t="s">
        <v>1877</v>
      </c>
      <c r="AW574" s="861">
        <v>45575</v>
      </c>
      <c r="AX574" s="862">
        <v>45582</v>
      </c>
      <c r="AY574" s="843" t="s">
        <v>1966</v>
      </c>
      <c r="AZ574" s="842">
        <v>94038990</v>
      </c>
      <c r="BA574" s="842" t="s">
        <v>120</v>
      </c>
      <c r="BB574" s="863" t="s">
        <v>121</v>
      </c>
      <c r="BC574" s="864">
        <v>45584</v>
      </c>
      <c r="BD574" s="860" t="s">
        <v>1879</v>
      </c>
      <c r="BE574" s="865" cm="1">
        <f t="array" ref="BE574">IF(BD574="","",AC574/SUMPRODUCT(--(BD574=$BD$4:$BD$12824),$AC$4:$AC$12824))</f>
        <v>1.1441213909780198E-2</v>
      </c>
      <c r="BF574" s="458"/>
      <c r="BG574" s="458"/>
      <c r="BH574" s="458"/>
      <c r="BI574" s="458"/>
      <c r="BJ574" s="458"/>
      <c r="BK574" s="458"/>
      <c r="BL574" s="458"/>
      <c r="BM574" s="458"/>
      <c r="BN574" s="458"/>
      <c r="BO574" s="866">
        <f>VLOOKUP(BD574,$BD$4:$BN$12824,3,0)*BE574</f>
        <v>0</v>
      </c>
      <c r="BP574" s="866"/>
      <c r="BQ574" s="866"/>
      <c r="BR574" s="866">
        <f>VLOOKUP(BD574,$BD$4:$BN$12824,6,0)*BE574</f>
        <v>220377.91643884781</v>
      </c>
      <c r="BS574" s="866">
        <f>VLOOKUP(BD574,$BD$4:$BN$12824,7,0)*BE574</f>
        <v>11019.136087434497</v>
      </c>
      <c r="BT574" s="866"/>
      <c r="BU574" s="866">
        <f>VLOOKUP(BD574,$BD$4:$BN$12824,9,0)*BE574</f>
        <v>5720.6069548900987</v>
      </c>
      <c r="BV574" s="867"/>
      <c r="BW574" s="867">
        <f>VLOOKUP(BD574,$BD$4:$BN$12824,11,0)*BE574</f>
        <v>24026.549210538415</v>
      </c>
      <c r="BX574" s="1146">
        <f t="shared" si="112"/>
        <v>261144.20869171084</v>
      </c>
      <c r="BY574" s="867">
        <f t="shared" si="110"/>
        <v>5716598.324345855</v>
      </c>
      <c r="BZ574" s="867">
        <f t="shared" si="107"/>
        <v>11433196.64869171</v>
      </c>
      <c r="CA574" s="867">
        <f>_xlfn.MAXIFS($BY$4:$BY$12824,$S$4:$S$12824,$S574)</f>
        <v>5716598.324345855</v>
      </c>
      <c r="CB574" s="1032"/>
      <c r="CC574" s="999" t="s">
        <v>1889</v>
      </c>
      <c r="CF574" s="946">
        <f t="shared" si="109"/>
        <v>11172052.439999999</v>
      </c>
    </row>
    <row r="575" spans="1:84">
      <c r="A575" s="1032"/>
      <c r="B575" s="839" t="s">
        <v>98</v>
      </c>
      <c r="C575" s="839" t="s">
        <v>131</v>
      </c>
      <c r="D575" s="839" t="s">
        <v>1868</v>
      </c>
      <c r="E575" s="839" t="s">
        <v>1952</v>
      </c>
      <c r="F575" s="841">
        <v>45520</v>
      </c>
      <c r="G575" s="840" t="s">
        <v>133</v>
      </c>
      <c r="H575" s="842" t="s">
        <v>134</v>
      </c>
      <c r="I575" s="842"/>
      <c r="J575" s="841"/>
      <c r="K575" s="841"/>
      <c r="L575" s="843" t="s">
        <v>106</v>
      </c>
      <c r="M575" s="844" t="s">
        <v>107</v>
      </c>
      <c r="N575" s="841" t="s">
        <v>1869</v>
      </c>
      <c r="O575" s="841" t="s">
        <v>150</v>
      </c>
      <c r="P575" s="841" t="s">
        <v>461</v>
      </c>
      <c r="Q575" s="843"/>
      <c r="R575" s="845">
        <v>941787</v>
      </c>
      <c r="S575" s="1127" t="s">
        <v>1967</v>
      </c>
      <c r="T575" s="843" t="s">
        <v>1968</v>
      </c>
      <c r="U575" s="842">
        <v>1</v>
      </c>
      <c r="V575" s="842" t="s">
        <v>8</v>
      </c>
      <c r="W575" s="846">
        <v>618</v>
      </c>
      <c r="X575" s="847">
        <f t="shared" si="102"/>
        <v>618</v>
      </c>
      <c r="Y575" s="848">
        <f t="shared" si="108"/>
        <v>0.48699999999999999</v>
      </c>
      <c r="Z575" s="849">
        <v>317.03399999999999</v>
      </c>
      <c r="AA575" s="849"/>
      <c r="AB575" s="849">
        <f t="shared" si="103"/>
        <v>317.03399999999999</v>
      </c>
      <c r="AC575" s="850">
        <f t="shared" si="104"/>
        <v>317.03399999999999</v>
      </c>
      <c r="AD575" s="851"/>
      <c r="AE575" s="852">
        <v>24580</v>
      </c>
      <c r="AF575" s="853">
        <v>0</v>
      </c>
      <c r="AG575" s="854">
        <f t="shared" si="105"/>
        <v>0</v>
      </c>
      <c r="AH575" s="853"/>
      <c r="AI575" s="855">
        <f t="shared" si="106"/>
        <v>0</v>
      </c>
      <c r="AJ575" s="845" t="s">
        <v>1872</v>
      </c>
      <c r="AK575" s="857" t="s">
        <v>1745</v>
      </c>
      <c r="AL575" s="840">
        <v>244737306</v>
      </c>
      <c r="AM575" s="840"/>
      <c r="AN575" s="858"/>
      <c r="AO575" s="844"/>
      <c r="AP575" s="859" t="s">
        <v>1873</v>
      </c>
      <c r="AQ575" s="859"/>
      <c r="AR575" s="859">
        <v>45453</v>
      </c>
      <c r="AS575" s="840" t="s">
        <v>1874</v>
      </c>
      <c r="AT575" s="840" t="s">
        <v>1875</v>
      </c>
      <c r="AU575" s="860" t="s">
        <v>1876</v>
      </c>
      <c r="AV575" s="839" t="s">
        <v>1877</v>
      </c>
      <c r="AW575" s="861">
        <v>45575</v>
      </c>
      <c r="AX575" s="862">
        <v>45582</v>
      </c>
      <c r="AY575" s="843" t="s">
        <v>1969</v>
      </c>
      <c r="AZ575" s="842">
        <v>94038990</v>
      </c>
      <c r="BA575" s="842" t="s">
        <v>120</v>
      </c>
      <c r="BB575" s="863" t="s">
        <v>121</v>
      </c>
      <c r="BC575" s="864">
        <v>45584</v>
      </c>
      <c r="BD575" s="860" t="s">
        <v>1879</v>
      </c>
      <c r="BE575" s="865" cm="1">
        <f t="array" ref="BE575">IF(BD575="","",AC575/SUMPRODUCT(--(BD575=$BD$4:$BD$12824),$AC$4:$AC$12824))</f>
        <v>7.9804404020814481E-3</v>
      </c>
      <c r="BF575" s="458"/>
      <c r="BG575" s="458"/>
      <c r="BH575" s="458"/>
      <c r="BI575" s="458"/>
      <c r="BJ575" s="458"/>
      <c r="BK575" s="458"/>
      <c r="BL575" s="458"/>
      <c r="BM575" s="458"/>
      <c r="BN575" s="458"/>
      <c r="BO575" s="866">
        <f>VLOOKUP(BD575,$BD$4:$BN$12824,3,0)*BE575</f>
        <v>0</v>
      </c>
      <c r="BP575" s="866"/>
      <c r="BQ575" s="866"/>
      <c r="BR575" s="866">
        <f>VLOOKUP(BD575,$BD$4:$BN$12824,6,0)*BE575</f>
        <v>153717.32771919636</v>
      </c>
      <c r="BS575" s="866">
        <f>VLOOKUP(BD575,$BD$4:$BN$12824,7,0)*BE575</f>
        <v>7686.0339752082618</v>
      </c>
      <c r="BT575" s="866"/>
      <c r="BU575" s="866">
        <f>VLOOKUP(BD575,$BD$4:$BN$12824,9,0)*BE575</f>
        <v>3990.2202010407241</v>
      </c>
      <c r="BV575" s="867"/>
      <c r="BW575" s="867">
        <f>VLOOKUP(BD575,$BD$4:$BN$12824,11,0)*BE575</f>
        <v>16758.924844371042</v>
      </c>
      <c r="BX575" s="1146">
        <f t="shared" si="112"/>
        <v>182152.5067398164</v>
      </c>
      <c r="BY575" s="867">
        <f t="shared" si="110"/>
        <v>7974848.2267398164</v>
      </c>
      <c r="BZ575" s="867">
        <f t="shared" si="107"/>
        <v>7974848.2267398164</v>
      </c>
      <c r="CA575" s="867">
        <f>_xlfn.MAXIFS($BY$4:$BY$12824,$S$4:$S$12824,$S575)</f>
        <v>7974848.2267398164</v>
      </c>
      <c r="CB575" s="1032"/>
      <c r="CC575" s="999" t="s">
        <v>1889</v>
      </c>
      <c r="CF575" s="946">
        <f t="shared" si="109"/>
        <v>7792695.7199999997</v>
      </c>
    </row>
    <row r="576" spans="1:84">
      <c r="A576" s="1032"/>
      <c r="B576" s="839" t="s">
        <v>98</v>
      </c>
      <c r="C576" s="839" t="s">
        <v>131</v>
      </c>
      <c r="D576" s="839" t="s">
        <v>1868</v>
      </c>
      <c r="E576" s="839" t="s">
        <v>1952</v>
      </c>
      <c r="F576" s="841">
        <v>45520</v>
      </c>
      <c r="G576" s="840" t="s">
        <v>133</v>
      </c>
      <c r="H576" s="842" t="s">
        <v>134</v>
      </c>
      <c r="I576" s="842"/>
      <c r="J576" s="841"/>
      <c r="K576" s="841"/>
      <c r="L576" s="843" t="s">
        <v>106</v>
      </c>
      <c r="M576" s="844" t="s">
        <v>107</v>
      </c>
      <c r="N576" s="841" t="s">
        <v>1869</v>
      </c>
      <c r="O576" s="841" t="s">
        <v>150</v>
      </c>
      <c r="P576" s="841" t="s">
        <v>461</v>
      </c>
      <c r="Q576" s="843"/>
      <c r="R576" s="845" t="s">
        <v>1970</v>
      </c>
      <c r="S576" s="1127" t="s">
        <v>1971</v>
      </c>
      <c r="T576" s="843" t="s">
        <v>1972</v>
      </c>
      <c r="U576" s="842">
        <v>1</v>
      </c>
      <c r="V576" s="842" t="s">
        <v>8</v>
      </c>
      <c r="W576" s="846">
        <v>183</v>
      </c>
      <c r="X576" s="847">
        <f t="shared" si="102"/>
        <v>183</v>
      </c>
      <c r="Y576" s="848">
        <f t="shared" si="108"/>
        <v>0.48699999999999999</v>
      </c>
      <c r="Z576" s="849">
        <v>93.879000000000005</v>
      </c>
      <c r="AA576" s="849"/>
      <c r="AB576" s="849">
        <f t="shared" si="103"/>
        <v>93.879000000000005</v>
      </c>
      <c r="AC576" s="850">
        <f t="shared" si="104"/>
        <v>93.879000000000005</v>
      </c>
      <c r="AD576" s="851"/>
      <c r="AE576" s="852">
        <v>24580</v>
      </c>
      <c r="AF576" s="853">
        <v>0.05</v>
      </c>
      <c r="AG576" s="854">
        <f t="shared" si="105"/>
        <v>115491.08907584655</v>
      </c>
      <c r="AH576" s="853"/>
      <c r="AI576" s="855">
        <f t="shared" si="106"/>
        <v>0</v>
      </c>
      <c r="AJ576" s="845" t="s">
        <v>1872</v>
      </c>
      <c r="AK576" s="857" t="s">
        <v>1745</v>
      </c>
      <c r="AL576" s="840">
        <v>244737306</v>
      </c>
      <c r="AM576" s="840"/>
      <c r="AN576" s="858"/>
      <c r="AO576" s="844"/>
      <c r="AP576" s="859" t="s">
        <v>1873</v>
      </c>
      <c r="AQ576" s="859"/>
      <c r="AR576" s="859">
        <v>45453</v>
      </c>
      <c r="AS576" s="840" t="s">
        <v>1874</v>
      </c>
      <c r="AT576" s="840" t="s">
        <v>1875</v>
      </c>
      <c r="AU576" s="860" t="s">
        <v>1876</v>
      </c>
      <c r="AV576" s="839" t="s">
        <v>1877</v>
      </c>
      <c r="AW576" s="861">
        <v>45575</v>
      </c>
      <c r="AX576" s="862">
        <v>45582</v>
      </c>
      <c r="AY576" s="843" t="s">
        <v>1973</v>
      </c>
      <c r="AZ576" s="842">
        <v>94032090</v>
      </c>
      <c r="BA576" s="842" t="s">
        <v>120</v>
      </c>
      <c r="BB576" s="863" t="s">
        <v>121</v>
      </c>
      <c r="BC576" s="864">
        <v>45584</v>
      </c>
      <c r="BD576" s="860" t="s">
        <v>1879</v>
      </c>
      <c r="BE576" s="865" cm="1">
        <f t="array" ref="BE576">IF(BD576="","",AC576/SUMPRODUCT(--(BD576=$BD$4:$BD$12824),$AC$4:$AC$12824))</f>
        <v>2.3631401190629532E-3</v>
      </c>
      <c r="BF576" s="458"/>
      <c r="BG576" s="458"/>
      <c r="BH576" s="458"/>
      <c r="BI576" s="458"/>
      <c r="BJ576" s="458"/>
      <c r="BK576" s="458"/>
      <c r="BL576" s="458"/>
      <c r="BM576" s="458"/>
      <c r="BN576" s="458"/>
      <c r="BO576" s="866">
        <f>VLOOKUP(BD576,$BD$4:$BN$12824,3,0)*BE576</f>
        <v>0</v>
      </c>
      <c r="BP576" s="866"/>
      <c r="BQ576" s="866"/>
      <c r="BR576" s="866">
        <f>VLOOKUP(BD576,$BD$4:$BN$12824,6,0)*BE576</f>
        <v>45518.237819762027</v>
      </c>
      <c r="BS576" s="866">
        <f>VLOOKUP(BD576,$BD$4:$BN$12824,7,0)*BE576</f>
        <v>2275.9615169306016</v>
      </c>
      <c r="BT576" s="866"/>
      <c r="BU576" s="866">
        <f>VLOOKUP(BD576,$BD$4:$BN$12824,9,0)*BE576</f>
        <v>1181.5700595314765</v>
      </c>
      <c r="BV576" s="867"/>
      <c r="BW576" s="867">
        <f>VLOOKUP(BD576,$BD$4:$BN$12824,11,0)*BE576</f>
        <v>4962.5942500322017</v>
      </c>
      <c r="BX576" s="1146">
        <f t="shared" si="112"/>
        <v>53938.363646256315</v>
      </c>
      <c r="BY576" s="867">
        <f t="shared" si="110"/>
        <v>2476975.2727221032</v>
      </c>
      <c r="BZ576" s="867">
        <f t="shared" si="107"/>
        <v>2476975.2727221032</v>
      </c>
      <c r="CA576" s="867">
        <f>_xlfn.MAXIFS($BY$4:$BY$12824,$S$4:$S$12824,$S576)</f>
        <v>2476975.2727221032</v>
      </c>
      <c r="CB576" s="1032"/>
      <c r="CC576" s="999" t="s">
        <v>1889</v>
      </c>
      <c r="CF576" s="946">
        <f t="shared" si="109"/>
        <v>2307545.8200000003</v>
      </c>
    </row>
    <row r="577" spans="1:84">
      <c r="A577" s="1032"/>
      <c r="B577" s="839" t="s">
        <v>98</v>
      </c>
      <c r="C577" s="839" t="s">
        <v>131</v>
      </c>
      <c r="D577" s="839" t="s">
        <v>1868</v>
      </c>
      <c r="E577" s="839" t="s">
        <v>1952</v>
      </c>
      <c r="F577" s="841">
        <v>45520</v>
      </c>
      <c r="G577" s="840" t="s">
        <v>133</v>
      </c>
      <c r="H577" s="842" t="s">
        <v>134</v>
      </c>
      <c r="I577" s="842"/>
      <c r="J577" s="841"/>
      <c r="K577" s="841"/>
      <c r="L577" s="843" t="s">
        <v>106</v>
      </c>
      <c r="M577" s="844" t="s">
        <v>107</v>
      </c>
      <c r="N577" s="841" t="s">
        <v>1869</v>
      </c>
      <c r="O577" s="841" t="s">
        <v>150</v>
      </c>
      <c r="P577" s="841" t="s">
        <v>461</v>
      </c>
      <c r="Q577" s="843"/>
      <c r="R577" s="845" t="s">
        <v>1974</v>
      </c>
      <c r="S577" s="1127" t="s">
        <v>1975</v>
      </c>
      <c r="T577" s="843" t="s">
        <v>1972</v>
      </c>
      <c r="U577" s="842">
        <v>1</v>
      </c>
      <c r="V577" s="842" t="s">
        <v>8</v>
      </c>
      <c r="W577" s="846">
        <v>183</v>
      </c>
      <c r="X577" s="847">
        <f t="shared" si="102"/>
        <v>183</v>
      </c>
      <c r="Y577" s="848">
        <f t="shared" si="108"/>
        <v>0.48699999999999999</v>
      </c>
      <c r="Z577" s="849">
        <v>93.879000000000005</v>
      </c>
      <c r="AA577" s="849"/>
      <c r="AB577" s="849">
        <f t="shared" si="103"/>
        <v>93.879000000000005</v>
      </c>
      <c r="AC577" s="850">
        <f t="shared" si="104"/>
        <v>93.879000000000005</v>
      </c>
      <c r="AD577" s="851"/>
      <c r="AE577" s="852">
        <v>24580</v>
      </c>
      <c r="AF577" s="853">
        <v>0.05</v>
      </c>
      <c r="AG577" s="854">
        <f t="shared" si="105"/>
        <v>115491.08907584655</v>
      </c>
      <c r="AH577" s="853"/>
      <c r="AI577" s="855">
        <f t="shared" si="106"/>
        <v>0</v>
      </c>
      <c r="AJ577" s="845" t="s">
        <v>1872</v>
      </c>
      <c r="AK577" s="857" t="s">
        <v>1745</v>
      </c>
      <c r="AL577" s="840">
        <v>244737306</v>
      </c>
      <c r="AM577" s="840"/>
      <c r="AN577" s="858"/>
      <c r="AO577" s="844"/>
      <c r="AP577" s="859" t="s">
        <v>1873</v>
      </c>
      <c r="AQ577" s="859"/>
      <c r="AR577" s="859">
        <v>45453</v>
      </c>
      <c r="AS577" s="840" t="s">
        <v>1874</v>
      </c>
      <c r="AT577" s="840" t="s">
        <v>1875</v>
      </c>
      <c r="AU577" s="860" t="s">
        <v>1876</v>
      </c>
      <c r="AV577" s="839" t="s">
        <v>1877</v>
      </c>
      <c r="AW577" s="861">
        <v>45575</v>
      </c>
      <c r="AX577" s="862">
        <v>45582</v>
      </c>
      <c r="AY577" s="843" t="s">
        <v>1976</v>
      </c>
      <c r="AZ577" s="842">
        <v>94032090</v>
      </c>
      <c r="BA577" s="842" t="s">
        <v>120</v>
      </c>
      <c r="BB577" s="863" t="s">
        <v>121</v>
      </c>
      <c r="BC577" s="864">
        <v>45584</v>
      </c>
      <c r="BD577" s="860" t="s">
        <v>1879</v>
      </c>
      <c r="BE577" s="865" cm="1">
        <f t="array" ref="BE577">IF(BD577="","",AC577/SUMPRODUCT(--(BD577=$BD$4:$BD$12824),$AC$4:$AC$12824))</f>
        <v>2.3631401190629532E-3</v>
      </c>
      <c r="BF577" s="458"/>
      <c r="BG577" s="458"/>
      <c r="BH577" s="458"/>
      <c r="BI577" s="458"/>
      <c r="BJ577" s="458"/>
      <c r="BK577" s="458"/>
      <c r="BL577" s="458"/>
      <c r="BM577" s="458"/>
      <c r="BN577" s="458"/>
      <c r="BO577" s="866">
        <f>VLOOKUP(BD577,$BD$4:$BN$12824,3,0)*BE577</f>
        <v>0</v>
      </c>
      <c r="BP577" s="866"/>
      <c r="BQ577" s="866"/>
      <c r="BR577" s="866">
        <f>VLOOKUP(BD577,$BD$4:$BN$12824,6,0)*BE577</f>
        <v>45518.237819762027</v>
      </c>
      <c r="BS577" s="866">
        <f>VLOOKUP(BD577,$BD$4:$BN$12824,7,0)*BE577</f>
        <v>2275.9615169306016</v>
      </c>
      <c r="BT577" s="866"/>
      <c r="BU577" s="866">
        <f>VLOOKUP(BD577,$BD$4:$BN$12824,9,0)*BE577</f>
        <v>1181.5700595314765</v>
      </c>
      <c r="BV577" s="867"/>
      <c r="BW577" s="867">
        <f>VLOOKUP(BD577,$BD$4:$BN$12824,11,0)*BE577</f>
        <v>4962.5942500322017</v>
      </c>
      <c r="BX577" s="1146">
        <f t="shared" si="112"/>
        <v>53938.363646256315</v>
      </c>
      <c r="BY577" s="867">
        <f t="shared" si="110"/>
        <v>2476975.2727221032</v>
      </c>
      <c r="BZ577" s="867">
        <f t="shared" si="107"/>
        <v>2476975.2727221032</v>
      </c>
      <c r="CA577" s="867">
        <f>_xlfn.MAXIFS($BY$4:$BY$12824,$S$4:$S$12824,$S577)</f>
        <v>2476975.2727221032</v>
      </c>
      <c r="CB577" s="1032"/>
      <c r="CC577" s="999" t="s">
        <v>1889</v>
      </c>
      <c r="CF577" s="946">
        <f t="shared" si="109"/>
        <v>2307545.8200000003</v>
      </c>
    </row>
    <row r="578" spans="1:84">
      <c r="A578" s="1032"/>
      <c r="B578" s="839" t="s">
        <v>98</v>
      </c>
      <c r="C578" s="839" t="s">
        <v>131</v>
      </c>
      <c r="D578" s="839" t="s">
        <v>1868</v>
      </c>
      <c r="E578" s="839" t="s">
        <v>1952</v>
      </c>
      <c r="F578" s="841">
        <v>45520</v>
      </c>
      <c r="G578" s="840" t="s">
        <v>133</v>
      </c>
      <c r="H578" s="842" t="s">
        <v>134</v>
      </c>
      <c r="I578" s="842"/>
      <c r="J578" s="841"/>
      <c r="K578" s="841"/>
      <c r="L578" s="843" t="s">
        <v>106</v>
      </c>
      <c r="M578" s="844" t="s">
        <v>107</v>
      </c>
      <c r="N578" s="841" t="s">
        <v>1869</v>
      </c>
      <c r="O578" s="841" t="s">
        <v>150</v>
      </c>
      <c r="P578" s="841" t="s">
        <v>461</v>
      </c>
      <c r="Q578" s="843"/>
      <c r="R578" s="845" t="s">
        <v>1977</v>
      </c>
      <c r="S578" s="1127" t="s">
        <v>1978</v>
      </c>
      <c r="T578" s="843" t="s">
        <v>1972</v>
      </c>
      <c r="U578" s="842">
        <v>1</v>
      </c>
      <c r="V578" s="842" t="s">
        <v>8</v>
      </c>
      <c r="W578" s="846">
        <v>183</v>
      </c>
      <c r="X578" s="847">
        <f t="shared" ref="X578:X641" si="113">W578*U578</f>
        <v>183</v>
      </c>
      <c r="Y578" s="848">
        <f t="shared" si="108"/>
        <v>0.48699999999999999</v>
      </c>
      <c r="Z578" s="849">
        <v>93.879000000000005</v>
      </c>
      <c r="AA578" s="849"/>
      <c r="AB578" s="849">
        <f t="shared" ref="AB578:AB641" si="114">IF(AA578="F.O.C", 0, Z578*U578)</f>
        <v>93.879000000000005</v>
      </c>
      <c r="AC578" s="850">
        <f t="shared" ref="AC578:AC641" si="115">Z578*U578</f>
        <v>93.879000000000005</v>
      </c>
      <c r="AD578" s="851"/>
      <c r="AE578" s="852">
        <v>24580</v>
      </c>
      <c r="AF578" s="853">
        <v>0.05</v>
      </c>
      <c r="AG578" s="854">
        <f t="shared" ref="AG578:AG641" si="116">(AC578*AE578+BO578+BP578+BQ578+BS578)*AF578</f>
        <v>115491.08907584655</v>
      </c>
      <c r="AH578" s="853"/>
      <c r="AI578" s="855">
        <f t="shared" ref="AI578:AI641" si="117">(AC578*AE578+AG578+BF578+BG578+BH578+BJ578)*AH578</f>
        <v>0</v>
      </c>
      <c r="AJ578" s="845" t="s">
        <v>1872</v>
      </c>
      <c r="AK578" s="857" t="s">
        <v>1745</v>
      </c>
      <c r="AL578" s="840">
        <v>244737306</v>
      </c>
      <c r="AM578" s="840"/>
      <c r="AN578" s="858"/>
      <c r="AO578" s="844"/>
      <c r="AP578" s="859" t="s">
        <v>1873</v>
      </c>
      <c r="AQ578" s="859"/>
      <c r="AR578" s="859">
        <v>45453</v>
      </c>
      <c r="AS578" s="840" t="s">
        <v>1874</v>
      </c>
      <c r="AT578" s="840" t="s">
        <v>1875</v>
      </c>
      <c r="AU578" s="860" t="s">
        <v>1876</v>
      </c>
      <c r="AV578" s="839" t="s">
        <v>1877</v>
      </c>
      <c r="AW578" s="861">
        <v>45575</v>
      </c>
      <c r="AX578" s="862">
        <v>45582</v>
      </c>
      <c r="AY578" s="843" t="s">
        <v>1979</v>
      </c>
      <c r="AZ578" s="842">
        <v>94032090</v>
      </c>
      <c r="BA578" s="842" t="s">
        <v>120</v>
      </c>
      <c r="BB578" s="863" t="s">
        <v>121</v>
      </c>
      <c r="BC578" s="864">
        <v>45584</v>
      </c>
      <c r="BD578" s="860" t="s">
        <v>1879</v>
      </c>
      <c r="BE578" s="865" cm="1">
        <f t="array" ref="BE578">IF(BD578="","",AC578/SUMPRODUCT(--(BD578=$BD$4:$BD$12824),$AC$4:$AC$12824))</f>
        <v>2.3631401190629532E-3</v>
      </c>
      <c r="BF578" s="458"/>
      <c r="BG578" s="458"/>
      <c r="BH578" s="458"/>
      <c r="BI578" s="458"/>
      <c r="BJ578" s="458"/>
      <c r="BK578" s="458"/>
      <c r="BL578" s="458"/>
      <c r="BM578" s="458"/>
      <c r="BN578" s="458"/>
      <c r="BO578" s="866">
        <f>VLOOKUP(BD578,$BD$4:$BN$12824,3,0)*BE578</f>
        <v>0</v>
      </c>
      <c r="BP578" s="866"/>
      <c r="BQ578" s="866"/>
      <c r="BR578" s="866">
        <f>VLOOKUP(BD578,$BD$4:$BN$12824,6,0)*BE578</f>
        <v>45518.237819762027</v>
      </c>
      <c r="BS578" s="866">
        <f>VLOOKUP(BD578,$BD$4:$BN$12824,7,0)*BE578</f>
        <v>2275.9615169306016</v>
      </c>
      <c r="BT578" s="866"/>
      <c r="BU578" s="866">
        <f>VLOOKUP(BD578,$BD$4:$BN$12824,9,0)*BE578</f>
        <v>1181.5700595314765</v>
      </c>
      <c r="BV578" s="867"/>
      <c r="BW578" s="867">
        <f>VLOOKUP(BD578,$BD$4:$BN$12824,11,0)*BE578</f>
        <v>4962.5942500322017</v>
      </c>
      <c r="BX578" s="1146">
        <f t="shared" si="112"/>
        <v>53938.363646256315</v>
      </c>
      <c r="BY578" s="867">
        <f t="shared" si="110"/>
        <v>2476975.2727221032</v>
      </c>
      <c r="BZ578" s="867">
        <f t="shared" ref="BZ578:BZ641" si="118">BY578*U578</f>
        <v>2476975.2727221032</v>
      </c>
      <c r="CA578" s="867">
        <f>_xlfn.MAXIFS($BY$4:$BY$12824,$S$4:$S$12824,$S578)</f>
        <v>2476975.2727221032</v>
      </c>
      <c r="CB578" s="1032"/>
      <c r="CC578" s="999" t="s">
        <v>1889</v>
      </c>
      <c r="CF578" s="946">
        <f t="shared" si="109"/>
        <v>2307545.8200000003</v>
      </c>
    </row>
    <row r="579" spans="1:84">
      <c r="A579" s="1032"/>
      <c r="B579" s="839" t="s">
        <v>98</v>
      </c>
      <c r="C579" s="839" t="s">
        <v>131</v>
      </c>
      <c r="D579" s="839" t="s">
        <v>1868</v>
      </c>
      <c r="E579" s="839" t="s">
        <v>1952</v>
      </c>
      <c r="F579" s="841">
        <v>45520</v>
      </c>
      <c r="G579" s="840" t="s">
        <v>133</v>
      </c>
      <c r="H579" s="842" t="s">
        <v>134</v>
      </c>
      <c r="I579" s="842"/>
      <c r="J579" s="841"/>
      <c r="K579" s="841"/>
      <c r="L579" s="843" t="s">
        <v>106</v>
      </c>
      <c r="M579" s="844" t="s">
        <v>107</v>
      </c>
      <c r="N579" s="841" t="s">
        <v>1869</v>
      </c>
      <c r="O579" s="841" t="s">
        <v>150</v>
      </c>
      <c r="P579" s="841" t="s">
        <v>461</v>
      </c>
      <c r="Q579" s="843"/>
      <c r="R579" s="845" t="s">
        <v>1980</v>
      </c>
      <c r="S579" s="1127" t="s">
        <v>1981</v>
      </c>
      <c r="T579" s="843" t="s">
        <v>1972</v>
      </c>
      <c r="U579" s="842">
        <v>1</v>
      </c>
      <c r="V579" s="842" t="s">
        <v>8</v>
      </c>
      <c r="W579" s="846">
        <v>183</v>
      </c>
      <c r="X579" s="847">
        <f t="shared" si="113"/>
        <v>183</v>
      </c>
      <c r="Y579" s="848">
        <f t="shared" si="108"/>
        <v>0.48699999999999999</v>
      </c>
      <c r="Z579" s="849">
        <v>93.879000000000005</v>
      </c>
      <c r="AA579" s="849"/>
      <c r="AB579" s="849">
        <f t="shared" si="114"/>
        <v>93.879000000000005</v>
      </c>
      <c r="AC579" s="850">
        <f t="shared" si="115"/>
        <v>93.879000000000005</v>
      </c>
      <c r="AD579" s="851"/>
      <c r="AE579" s="852">
        <v>24580</v>
      </c>
      <c r="AF579" s="853">
        <v>0.05</v>
      </c>
      <c r="AG579" s="854">
        <f t="shared" si="116"/>
        <v>115491.08907584655</v>
      </c>
      <c r="AH579" s="853"/>
      <c r="AI579" s="855">
        <f t="shared" si="117"/>
        <v>0</v>
      </c>
      <c r="AJ579" s="845" t="s">
        <v>1872</v>
      </c>
      <c r="AK579" s="857" t="s">
        <v>1745</v>
      </c>
      <c r="AL579" s="840">
        <v>244737306</v>
      </c>
      <c r="AM579" s="840"/>
      <c r="AN579" s="858"/>
      <c r="AO579" s="844"/>
      <c r="AP579" s="859" t="s">
        <v>1873</v>
      </c>
      <c r="AQ579" s="859"/>
      <c r="AR579" s="859">
        <v>45453</v>
      </c>
      <c r="AS579" s="840" t="s">
        <v>1874</v>
      </c>
      <c r="AT579" s="840" t="s">
        <v>1875</v>
      </c>
      <c r="AU579" s="860" t="s">
        <v>1876</v>
      </c>
      <c r="AV579" s="839" t="s">
        <v>1877</v>
      </c>
      <c r="AW579" s="861">
        <v>45575</v>
      </c>
      <c r="AX579" s="862">
        <v>45582</v>
      </c>
      <c r="AY579" s="843" t="s">
        <v>1982</v>
      </c>
      <c r="AZ579" s="842">
        <v>94032090</v>
      </c>
      <c r="BA579" s="842" t="s">
        <v>120</v>
      </c>
      <c r="BB579" s="863" t="s">
        <v>121</v>
      </c>
      <c r="BC579" s="864">
        <v>45584</v>
      </c>
      <c r="BD579" s="860" t="s">
        <v>1879</v>
      </c>
      <c r="BE579" s="865" cm="1">
        <f t="array" ref="BE579">IF(BD579="","",AC579/SUMPRODUCT(--(BD579=$BD$4:$BD$12824),$AC$4:$AC$12824))</f>
        <v>2.3631401190629532E-3</v>
      </c>
      <c r="BF579" s="458"/>
      <c r="BG579" s="458"/>
      <c r="BH579" s="458"/>
      <c r="BI579" s="458"/>
      <c r="BJ579" s="458"/>
      <c r="BK579" s="458"/>
      <c r="BL579" s="458"/>
      <c r="BM579" s="458"/>
      <c r="BN579" s="458"/>
      <c r="BO579" s="866">
        <f>VLOOKUP(BD579,$BD$4:$BN$12824,3,0)*BE579</f>
        <v>0</v>
      </c>
      <c r="BP579" s="866"/>
      <c r="BQ579" s="866"/>
      <c r="BR579" s="866">
        <f>VLOOKUP(BD579,$BD$4:$BN$12824,6,0)*BE579</f>
        <v>45518.237819762027</v>
      </c>
      <c r="BS579" s="866">
        <f>VLOOKUP(BD579,$BD$4:$BN$12824,7,0)*BE579</f>
        <v>2275.9615169306016</v>
      </c>
      <c r="BT579" s="866"/>
      <c r="BU579" s="866">
        <f>VLOOKUP(BD579,$BD$4:$BN$12824,9,0)*BE579</f>
        <v>1181.5700595314765</v>
      </c>
      <c r="BV579" s="867"/>
      <c r="BW579" s="867">
        <f>VLOOKUP(BD579,$BD$4:$BN$12824,11,0)*BE579</f>
        <v>4962.5942500322017</v>
      </c>
      <c r="BX579" s="1146">
        <f t="shared" si="112"/>
        <v>53938.363646256315</v>
      </c>
      <c r="BY579" s="867">
        <f t="shared" si="110"/>
        <v>2476975.2727221032</v>
      </c>
      <c r="BZ579" s="867">
        <f t="shared" si="118"/>
        <v>2476975.2727221032</v>
      </c>
      <c r="CA579" s="867">
        <f>_xlfn.MAXIFS($BY$4:$BY$12824,$S$4:$S$12824,$S579)</f>
        <v>2476975.2727221032</v>
      </c>
      <c r="CB579" s="1032"/>
      <c r="CC579" s="999" t="s">
        <v>1889</v>
      </c>
      <c r="CF579" s="946">
        <f t="shared" si="109"/>
        <v>2307545.8200000003</v>
      </c>
    </row>
    <row r="580" spans="1:84">
      <c r="A580" s="1032"/>
      <c r="B580" s="839" t="s">
        <v>98</v>
      </c>
      <c r="C580" s="839" t="s">
        <v>131</v>
      </c>
      <c r="D580" s="839" t="s">
        <v>1868</v>
      </c>
      <c r="E580" s="839" t="s">
        <v>1952</v>
      </c>
      <c r="F580" s="841">
        <v>45520</v>
      </c>
      <c r="G580" s="840" t="s">
        <v>133</v>
      </c>
      <c r="H580" s="842" t="s">
        <v>134</v>
      </c>
      <c r="I580" s="842"/>
      <c r="J580" s="841"/>
      <c r="K580" s="841"/>
      <c r="L580" s="843" t="s">
        <v>106</v>
      </c>
      <c r="M580" s="844" t="s">
        <v>107</v>
      </c>
      <c r="N580" s="841" t="s">
        <v>1869</v>
      </c>
      <c r="O580" s="841" t="s">
        <v>150</v>
      </c>
      <c r="P580" s="841" t="s">
        <v>461</v>
      </c>
      <c r="Q580" s="843"/>
      <c r="R580" s="845" t="s">
        <v>1983</v>
      </c>
      <c r="S580" s="1127" t="s">
        <v>1984</v>
      </c>
      <c r="T580" s="843" t="s">
        <v>1985</v>
      </c>
      <c r="U580" s="842">
        <v>2</v>
      </c>
      <c r="V580" s="842" t="s">
        <v>8</v>
      </c>
      <c r="W580" s="846">
        <v>214</v>
      </c>
      <c r="X580" s="847">
        <f t="shared" si="113"/>
        <v>428</v>
      </c>
      <c r="Y580" s="848">
        <f t="shared" ref="Y580:Y643" si="119">(W580-Z580)/W580</f>
        <v>0.48700000000000004</v>
      </c>
      <c r="Z580" s="849">
        <v>109.782</v>
      </c>
      <c r="AA580" s="849"/>
      <c r="AB580" s="849">
        <f t="shared" si="114"/>
        <v>219.56399999999999</v>
      </c>
      <c r="AC580" s="850">
        <f t="shared" si="115"/>
        <v>219.56399999999999</v>
      </c>
      <c r="AD580" s="851"/>
      <c r="AE580" s="852">
        <v>24580</v>
      </c>
      <c r="AF580" s="853">
        <v>0.05</v>
      </c>
      <c r="AG580" s="854">
        <f t="shared" si="116"/>
        <v>270110.30669105094</v>
      </c>
      <c r="AH580" s="853"/>
      <c r="AI580" s="855">
        <f t="shared" si="117"/>
        <v>0</v>
      </c>
      <c r="AJ580" s="845" t="s">
        <v>1872</v>
      </c>
      <c r="AK580" s="857" t="s">
        <v>1745</v>
      </c>
      <c r="AL580" s="840">
        <v>244737306</v>
      </c>
      <c r="AM580" s="840"/>
      <c r="AN580" s="858"/>
      <c r="AO580" s="844"/>
      <c r="AP580" s="859" t="s">
        <v>1873</v>
      </c>
      <c r="AQ580" s="859"/>
      <c r="AR580" s="859">
        <v>45453</v>
      </c>
      <c r="AS580" s="840" t="s">
        <v>1874</v>
      </c>
      <c r="AT580" s="840" t="s">
        <v>1875</v>
      </c>
      <c r="AU580" s="860" t="s">
        <v>1876</v>
      </c>
      <c r="AV580" s="839" t="s">
        <v>1877</v>
      </c>
      <c r="AW580" s="861">
        <v>45575</v>
      </c>
      <c r="AX580" s="862">
        <v>45582</v>
      </c>
      <c r="AY580" s="843" t="s">
        <v>1986</v>
      </c>
      <c r="AZ580" s="842">
        <v>94032090</v>
      </c>
      <c r="BA580" s="842" t="s">
        <v>120</v>
      </c>
      <c r="BB580" s="863" t="s">
        <v>121</v>
      </c>
      <c r="BC580" s="864">
        <v>45584</v>
      </c>
      <c r="BD580" s="860" t="s">
        <v>1879</v>
      </c>
      <c r="BE580" s="865" cm="1">
        <f t="array" ref="BE580">IF(BD580="","",AC580/SUMPRODUCT(--(BD580=$BD$4:$BD$12824),$AC$4:$AC$12824))</f>
        <v>5.5269069451308406E-3</v>
      </c>
      <c r="BF580" s="458"/>
      <c r="BG580" s="458"/>
      <c r="BH580" s="458"/>
      <c r="BI580" s="458"/>
      <c r="BJ580" s="458"/>
      <c r="BK580" s="458"/>
      <c r="BL580" s="458"/>
      <c r="BM580" s="458"/>
      <c r="BN580" s="458"/>
      <c r="BO580" s="866">
        <f>VLOOKUP(BD580,$BD$4:$BN$12824,3,0)*BE580</f>
        <v>0</v>
      </c>
      <c r="BP580" s="866"/>
      <c r="BQ580" s="866"/>
      <c r="BR580" s="866">
        <f>VLOOKUP(BD580,$BD$4:$BN$12824,6,0)*BE580</f>
        <v>106457.95511944342</v>
      </c>
      <c r="BS580" s="866">
        <f>VLOOKUP(BD580,$BD$4:$BN$12824,7,0)*BE580</f>
        <v>5323.0138210180185</v>
      </c>
      <c r="BT580" s="866"/>
      <c r="BU580" s="866">
        <f>VLOOKUP(BD580,$BD$4:$BN$12824,9,0)*BE580</f>
        <v>2763.4534725654203</v>
      </c>
      <c r="BV580" s="867"/>
      <c r="BW580" s="867">
        <f>VLOOKUP(BD580,$BD$4:$BN$12824,11,0)*BE580</f>
        <v>11606.504584774766</v>
      </c>
      <c r="BX580" s="1146">
        <f t="shared" si="112"/>
        <v>126150.92699780162</v>
      </c>
      <c r="BY580" s="867">
        <f t="shared" si="110"/>
        <v>2896572.176844426</v>
      </c>
      <c r="BZ580" s="867">
        <f t="shared" si="118"/>
        <v>5793144.3536888519</v>
      </c>
      <c r="CA580" s="867">
        <f>_xlfn.MAXIFS($BY$4:$BY$12824,$S$4:$S$12824,$S580)</f>
        <v>2896572.176844426</v>
      </c>
      <c r="CB580" s="1032"/>
      <c r="CC580" s="999" t="s">
        <v>1889</v>
      </c>
      <c r="CF580" s="946">
        <f t="shared" ref="CF580:CF643" si="120">AC580*AE580</f>
        <v>5396883.1200000001</v>
      </c>
    </row>
    <row r="581" spans="1:84">
      <c r="A581" s="1032"/>
      <c r="B581" s="839" t="s">
        <v>98</v>
      </c>
      <c r="C581" s="839" t="s">
        <v>131</v>
      </c>
      <c r="D581" s="839" t="s">
        <v>1868</v>
      </c>
      <c r="E581" s="839" t="s">
        <v>1952</v>
      </c>
      <c r="F581" s="841">
        <v>45520</v>
      </c>
      <c r="G581" s="840" t="s">
        <v>133</v>
      </c>
      <c r="H581" s="842" t="s">
        <v>134</v>
      </c>
      <c r="I581" s="842"/>
      <c r="J581" s="841"/>
      <c r="K581" s="841"/>
      <c r="L581" s="843" t="s">
        <v>106</v>
      </c>
      <c r="M581" s="844" t="s">
        <v>107</v>
      </c>
      <c r="N581" s="841" t="s">
        <v>1869</v>
      </c>
      <c r="O581" s="841" t="s">
        <v>150</v>
      </c>
      <c r="P581" s="841" t="s">
        <v>461</v>
      </c>
      <c r="Q581" s="843"/>
      <c r="R581" s="845" t="s">
        <v>1987</v>
      </c>
      <c r="S581" s="1127" t="s">
        <v>1988</v>
      </c>
      <c r="T581" s="843" t="s">
        <v>1989</v>
      </c>
      <c r="U581" s="842">
        <v>2</v>
      </c>
      <c r="V581" s="842" t="s">
        <v>8</v>
      </c>
      <c r="W581" s="846">
        <v>214</v>
      </c>
      <c r="X581" s="847">
        <f t="shared" si="113"/>
        <v>428</v>
      </c>
      <c r="Y581" s="848">
        <f t="shared" si="119"/>
        <v>0.48700000000000004</v>
      </c>
      <c r="Z581" s="849">
        <v>109.782</v>
      </c>
      <c r="AA581" s="849"/>
      <c r="AB581" s="849">
        <f t="shared" si="114"/>
        <v>219.56399999999999</v>
      </c>
      <c r="AC581" s="850">
        <f t="shared" si="115"/>
        <v>219.56399999999999</v>
      </c>
      <c r="AD581" s="851"/>
      <c r="AE581" s="852">
        <v>24580</v>
      </c>
      <c r="AF581" s="853">
        <v>0.05</v>
      </c>
      <c r="AG581" s="854">
        <f t="shared" si="116"/>
        <v>270110.30669105094</v>
      </c>
      <c r="AH581" s="853"/>
      <c r="AI581" s="855">
        <f t="shared" si="117"/>
        <v>0</v>
      </c>
      <c r="AJ581" s="845" t="s">
        <v>1872</v>
      </c>
      <c r="AK581" s="857" t="s">
        <v>1745</v>
      </c>
      <c r="AL581" s="840">
        <v>244737306</v>
      </c>
      <c r="AM581" s="840"/>
      <c r="AN581" s="858"/>
      <c r="AO581" s="844"/>
      <c r="AP581" s="859" t="s">
        <v>1873</v>
      </c>
      <c r="AQ581" s="859"/>
      <c r="AR581" s="859">
        <v>45453</v>
      </c>
      <c r="AS581" s="840" t="s">
        <v>1874</v>
      </c>
      <c r="AT581" s="840" t="s">
        <v>1875</v>
      </c>
      <c r="AU581" s="860" t="s">
        <v>1876</v>
      </c>
      <c r="AV581" s="839" t="s">
        <v>1877</v>
      </c>
      <c r="AW581" s="861">
        <v>45575</v>
      </c>
      <c r="AX581" s="862">
        <v>45582</v>
      </c>
      <c r="AY581" s="843" t="s">
        <v>1990</v>
      </c>
      <c r="AZ581" s="842">
        <v>94032090</v>
      </c>
      <c r="BA581" s="842" t="s">
        <v>120</v>
      </c>
      <c r="BB581" s="863" t="s">
        <v>121</v>
      </c>
      <c r="BC581" s="864">
        <v>45584</v>
      </c>
      <c r="BD581" s="860" t="s">
        <v>1879</v>
      </c>
      <c r="BE581" s="865" cm="1">
        <f t="array" ref="BE581">IF(BD581="","",AC581/SUMPRODUCT(--(BD581=$BD$4:$BD$12824),$AC$4:$AC$12824))</f>
        <v>5.5269069451308406E-3</v>
      </c>
      <c r="BF581" s="458"/>
      <c r="BG581" s="458"/>
      <c r="BH581" s="458"/>
      <c r="BI581" s="458"/>
      <c r="BJ581" s="458"/>
      <c r="BK581" s="458"/>
      <c r="BL581" s="458"/>
      <c r="BM581" s="458"/>
      <c r="BN581" s="458"/>
      <c r="BO581" s="866">
        <f>VLOOKUP(BD581,$BD$4:$BN$12824,3,0)*BE581</f>
        <v>0</v>
      </c>
      <c r="BP581" s="866"/>
      <c r="BQ581" s="866"/>
      <c r="BR581" s="866">
        <f>VLOOKUP(BD581,$BD$4:$BN$12824,6,0)*BE581</f>
        <v>106457.95511944342</v>
      </c>
      <c r="BS581" s="866">
        <f>VLOOKUP(BD581,$BD$4:$BN$12824,7,0)*BE581</f>
        <v>5323.0138210180185</v>
      </c>
      <c r="BT581" s="866"/>
      <c r="BU581" s="866">
        <f>VLOOKUP(BD581,$BD$4:$BN$12824,9,0)*BE581</f>
        <v>2763.4534725654203</v>
      </c>
      <c r="BV581" s="867"/>
      <c r="BW581" s="867">
        <f>VLOOKUP(BD581,$BD$4:$BN$12824,11,0)*BE581</f>
        <v>11606.504584774766</v>
      </c>
      <c r="BX581" s="1146">
        <f t="shared" si="112"/>
        <v>126150.92699780162</v>
      </c>
      <c r="BY581" s="867">
        <f t="shared" si="110"/>
        <v>2896572.176844426</v>
      </c>
      <c r="BZ581" s="867">
        <f t="shared" si="118"/>
        <v>5793144.3536888519</v>
      </c>
      <c r="CA581" s="867">
        <f>_xlfn.MAXIFS($BY$4:$BY$12824,$S$4:$S$12824,$S581)</f>
        <v>2896572.176844426</v>
      </c>
      <c r="CB581" s="1032"/>
      <c r="CC581" s="999" t="s">
        <v>1889</v>
      </c>
      <c r="CF581" s="946">
        <f t="shared" si="120"/>
        <v>5396883.1200000001</v>
      </c>
    </row>
    <row r="582" spans="1:84">
      <c r="A582" s="1032"/>
      <c r="B582" s="839" t="s">
        <v>98</v>
      </c>
      <c r="C582" s="839" t="s">
        <v>131</v>
      </c>
      <c r="D582" s="839" t="s">
        <v>1868</v>
      </c>
      <c r="E582" s="839" t="s">
        <v>1952</v>
      </c>
      <c r="F582" s="841">
        <v>45520</v>
      </c>
      <c r="G582" s="840" t="s">
        <v>133</v>
      </c>
      <c r="H582" s="842" t="s">
        <v>134</v>
      </c>
      <c r="I582" s="842"/>
      <c r="J582" s="841"/>
      <c r="K582" s="841"/>
      <c r="L582" s="843" t="s">
        <v>106</v>
      </c>
      <c r="M582" s="844" t="s">
        <v>107</v>
      </c>
      <c r="N582" s="841" t="s">
        <v>1869</v>
      </c>
      <c r="O582" s="841" t="s">
        <v>150</v>
      </c>
      <c r="P582" s="841" t="s">
        <v>461</v>
      </c>
      <c r="Q582" s="843"/>
      <c r="R582" s="845" t="s">
        <v>1991</v>
      </c>
      <c r="S582" s="1127" t="s">
        <v>1992</v>
      </c>
      <c r="T582" s="843" t="s">
        <v>1993</v>
      </c>
      <c r="U582" s="842">
        <v>2</v>
      </c>
      <c r="V582" s="842" t="s">
        <v>8</v>
      </c>
      <c r="W582" s="846">
        <v>214</v>
      </c>
      <c r="X582" s="847">
        <f t="shared" si="113"/>
        <v>428</v>
      </c>
      <c r="Y582" s="848">
        <f t="shared" si="119"/>
        <v>0.48700000000000004</v>
      </c>
      <c r="Z582" s="849">
        <v>109.782</v>
      </c>
      <c r="AA582" s="849"/>
      <c r="AB582" s="849">
        <f t="shared" si="114"/>
        <v>219.56399999999999</v>
      </c>
      <c r="AC582" s="850">
        <f t="shared" si="115"/>
        <v>219.56399999999999</v>
      </c>
      <c r="AD582" s="851"/>
      <c r="AE582" s="852">
        <v>24580</v>
      </c>
      <c r="AF582" s="853">
        <v>0.05</v>
      </c>
      <c r="AG582" s="854">
        <f t="shared" si="116"/>
        <v>270110.30669105094</v>
      </c>
      <c r="AH582" s="853"/>
      <c r="AI582" s="855">
        <f t="shared" si="117"/>
        <v>0</v>
      </c>
      <c r="AJ582" s="845" t="s">
        <v>1872</v>
      </c>
      <c r="AK582" s="857" t="s">
        <v>1745</v>
      </c>
      <c r="AL582" s="840">
        <v>244737306</v>
      </c>
      <c r="AM582" s="840"/>
      <c r="AN582" s="858"/>
      <c r="AO582" s="844"/>
      <c r="AP582" s="859" t="s">
        <v>1873</v>
      </c>
      <c r="AQ582" s="859"/>
      <c r="AR582" s="859">
        <v>45453</v>
      </c>
      <c r="AS582" s="840" t="s">
        <v>1874</v>
      </c>
      <c r="AT582" s="840" t="s">
        <v>1875</v>
      </c>
      <c r="AU582" s="860" t="s">
        <v>1876</v>
      </c>
      <c r="AV582" s="839" t="s">
        <v>1877</v>
      </c>
      <c r="AW582" s="861">
        <v>45575</v>
      </c>
      <c r="AX582" s="862">
        <v>45582</v>
      </c>
      <c r="AY582" s="843" t="s">
        <v>1994</v>
      </c>
      <c r="AZ582" s="842">
        <v>94032090</v>
      </c>
      <c r="BA582" s="842" t="s">
        <v>120</v>
      </c>
      <c r="BB582" s="863" t="s">
        <v>121</v>
      </c>
      <c r="BC582" s="864">
        <v>45584</v>
      </c>
      <c r="BD582" s="860" t="s">
        <v>1879</v>
      </c>
      <c r="BE582" s="865" cm="1">
        <f t="array" ref="BE582">IF(BD582="","",AC582/SUMPRODUCT(--(BD582=$BD$4:$BD$12824),$AC$4:$AC$12824))</f>
        <v>5.5269069451308406E-3</v>
      </c>
      <c r="BF582" s="458"/>
      <c r="BG582" s="458"/>
      <c r="BH582" s="458"/>
      <c r="BI582" s="458"/>
      <c r="BJ582" s="458"/>
      <c r="BK582" s="458"/>
      <c r="BL582" s="458"/>
      <c r="BM582" s="458"/>
      <c r="BN582" s="458"/>
      <c r="BO582" s="866">
        <f>VLOOKUP(BD582,$BD$4:$BN$12824,3,0)*BE582</f>
        <v>0</v>
      </c>
      <c r="BP582" s="866"/>
      <c r="BQ582" s="866"/>
      <c r="BR582" s="866">
        <f>VLOOKUP(BD582,$BD$4:$BN$12824,6,0)*BE582</f>
        <v>106457.95511944342</v>
      </c>
      <c r="BS582" s="866">
        <f>VLOOKUP(BD582,$BD$4:$BN$12824,7,0)*BE582</f>
        <v>5323.0138210180185</v>
      </c>
      <c r="BT582" s="866"/>
      <c r="BU582" s="866">
        <f>VLOOKUP(BD582,$BD$4:$BN$12824,9,0)*BE582</f>
        <v>2763.4534725654203</v>
      </c>
      <c r="BV582" s="867"/>
      <c r="BW582" s="867">
        <f>VLOOKUP(BD582,$BD$4:$BN$12824,11,0)*BE582</f>
        <v>11606.504584774766</v>
      </c>
      <c r="BX582" s="1146">
        <f t="shared" si="112"/>
        <v>126150.92699780162</v>
      </c>
      <c r="BY582" s="867">
        <f t="shared" ref="BY582:BY645" si="121">(AB582*AE582+AG582+BX582)/U582</f>
        <v>2896572.176844426</v>
      </c>
      <c r="BZ582" s="867">
        <f t="shared" si="118"/>
        <v>5793144.3536888519</v>
      </c>
      <c r="CA582" s="867">
        <f>_xlfn.MAXIFS($BY$4:$BY$12824,$S$4:$S$12824,$S582)</f>
        <v>2896572.176844426</v>
      </c>
      <c r="CB582" s="1032"/>
      <c r="CC582" s="999" t="s">
        <v>1889</v>
      </c>
      <c r="CF582" s="946">
        <f t="shared" si="120"/>
        <v>5396883.1200000001</v>
      </c>
    </row>
    <row r="583" spans="1:84">
      <c r="A583" s="1032"/>
      <c r="B583" s="839" t="s">
        <v>98</v>
      </c>
      <c r="C583" s="839" t="s">
        <v>131</v>
      </c>
      <c r="D583" s="839" t="s">
        <v>1868</v>
      </c>
      <c r="E583" s="839" t="s">
        <v>1952</v>
      </c>
      <c r="F583" s="841">
        <v>45520</v>
      </c>
      <c r="G583" s="840" t="s">
        <v>133</v>
      </c>
      <c r="H583" s="842" t="s">
        <v>134</v>
      </c>
      <c r="I583" s="842"/>
      <c r="J583" s="841"/>
      <c r="K583" s="841"/>
      <c r="L583" s="843" t="s">
        <v>106</v>
      </c>
      <c r="M583" s="844" t="s">
        <v>107</v>
      </c>
      <c r="N583" s="841" t="s">
        <v>1869</v>
      </c>
      <c r="O583" s="841" t="s">
        <v>150</v>
      </c>
      <c r="P583" s="841" t="s">
        <v>461</v>
      </c>
      <c r="Q583" s="843"/>
      <c r="R583" s="845" t="s">
        <v>1995</v>
      </c>
      <c r="S583" s="1127" t="s">
        <v>1996</v>
      </c>
      <c r="T583" s="843" t="s">
        <v>1997</v>
      </c>
      <c r="U583" s="842">
        <v>2</v>
      </c>
      <c r="V583" s="842" t="s">
        <v>8</v>
      </c>
      <c r="W583" s="846">
        <v>214</v>
      </c>
      <c r="X583" s="847">
        <f t="shared" si="113"/>
        <v>428</v>
      </c>
      <c r="Y583" s="848">
        <f t="shared" si="119"/>
        <v>0.48700000000000004</v>
      </c>
      <c r="Z583" s="849">
        <v>109.782</v>
      </c>
      <c r="AA583" s="849"/>
      <c r="AB583" s="849">
        <f t="shared" si="114"/>
        <v>219.56399999999999</v>
      </c>
      <c r="AC583" s="850">
        <f t="shared" si="115"/>
        <v>219.56399999999999</v>
      </c>
      <c r="AD583" s="851"/>
      <c r="AE583" s="852">
        <v>24580</v>
      </c>
      <c r="AF583" s="853">
        <v>0.05</v>
      </c>
      <c r="AG583" s="854">
        <f t="shared" si="116"/>
        <v>270110.30669105094</v>
      </c>
      <c r="AH583" s="853"/>
      <c r="AI583" s="855">
        <f t="shared" si="117"/>
        <v>0</v>
      </c>
      <c r="AJ583" s="845" t="s">
        <v>1872</v>
      </c>
      <c r="AK583" s="857" t="s">
        <v>1745</v>
      </c>
      <c r="AL583" s="840">
        <v>244737306</v>
      </c>
      <c r="AM583" s="840"/>
      <c r="AN583" s="858"/>
      <c r="AO583" s="844"/>
      <c r="AP583" s="859" t="s">
        <v>1873</v>
      </c>
      <c r="AQ583" s="859"/>
      <c r="AR583" s="859">
        <v>45453</v>
      </c>
      <c r="AS583" s="840" t="s">
        <v>1874</v>
      </c>
      <c r="AT583" s="840" t="s">
        <v>1875</v>
      </c>
      <c r="AU583" s="860" t="s">
        <v>1876</v>
      </c>
      <c r="AV583" s="839" t="s">
        <v>1877</v>
      </c>
      <c r="AW583" s="861">
        <v>45575</v>
      </c>
      <c r="AX583" s="862">
        <v>45582</v>
      </c>
      <c r="AY583" s="843" t="s">
        <v>1998</v>
      </c>
      <c r="AZ583" s="842">
        <v>94032090</v>
      </c>
      <c r="BA583" s="842" t="s">
        <v>120</v>
      </c>
      <c r="BB583" s="863" t="s">
        <v>121</v>
      </c>
      <c r="BC583" s="864">
        <v>45584</v>
      </c>
      <c r="BD583" s="860" t="s">
        <v>1879</v>
      </c>
      <c r="BE583" s="865" cm="1">
        <f t="array" ref="BE583">IF(BD583="","",AC583/SUMPRODUCT(--(BD583=$BD$4:$BD$12824),$AC$4:$AC$12824))</f>
        <v>5.5269069451308406E-3</v>
      </c>
      <c r="BF583" s="458"/>
      <c r="BG583" s="458"/>
      <c r="BH583" s="458"/>
      <c r="BI583" s="458"/>
      <c r="BJ583" s="458"/>
      <c r="BK583" s="458"/>
      <c r="BL583" s="458"/>
      <c r="BM583" s="458"/>
      <c r="BN583" s="458"/>
      <c r="BO583" s="866">
        <f>VLOOKUP(BD583,$BD$4:$BN$12824,3,0)*BE583</f>
        <v>0</v>
      </c>
      <c r="BP583" s="866"/>
      <c r="BQ583" s="866"/>
      <c r="BR583" s="866">
        <f>VLOOKUP(BD583,$BD$4:$BN$12824,6,0)*BE583</f>
        <v>106457.95511944342</v>
      </c>
      <c r="BS583" s="866">
        <f>VLOOKUP(BD583,$BD$4:$BN$12824,7,0)*BE583</f>
        <v>5323.0138210180185</v>
      </c>
      <c r="BT583" s="866"/>
      <c r="BU583" s="866">
        <f>VLOOKUP(BD583,$BD$4:$BN$12824,9,0)*BE583</f>
        <v>2763.4534725654203</v>
      </c>
      <c r="BV583" s="867"/>
      <c r="BW583" s="867">
        <f>VLOOKUP(BD583,$BD$4:$BN$12824,11,0)*BE583</f>
        <v>11606.504584774766</v>
      </c>
      <c r="BX583" s="1146">
        <f t="shared" si="112"/>
        <v>126150.92699780162</v>
      </c>
      <c r="BY583" s="867">
        <f t="shared" si="121"/>
        <v>2896572.176844426</v>
      </c>
      <c r="BZ583" s="867">
        <f t="shared" si="118"/>
        <v>5793144.3536888519</v>
      </c>
      <c r="CA583" s="867">
        <f>_xlfn.MAXIFS($BY$4:$BY$12824,$S$4:$S$12824,$S583)</f>
        <v>2896572.176844426</v>
      </c>
      <c r="CB583" s="1032"/>
      <c r="CC583" s="999" t="s">
        <v>1889</v>
      </c>
      <c r="CF583" s="946">
        <f t="shared" si="120"/>
        <v>5396883.1200000001</v>
      </c>
    </row>
    <row r="584" spans="1:84">
      <c r="A584" s="1032"/>
      <c r="B584" s="839" t="s">
        <v>98</v>
      </c>
      <c r="C584" s="839" t="s">
        <v>131</v>
      </c>
      <c r="D584" s="839" t="s">
        <v>1868</v>
      </c>
      <c r="E584" s="839" t="s">
        <v>1952</v>
      </c>
      <c r="F584" s="841">
        <v>45520</v>
      </c>
      <c r="G584" s="840" t="s">
        <v>133</v>
      </c>
      <c r="H584" s="842" t="s">
        <v>134</v>
      </c>
      <c r="I584" s="842"/>
      <c r="J584" s="841"/>
      <c r="K584" s="841"/>
      <c r="L584" s="843" t="s">
        <v>106</v>
      </c>
      <c r="M584" s="844" t="s">
        <v>107</v>
      </c>
      <c r="N584" s="841" t="s">
        <v>1869</v>
      </c>
      <c r="O584" s="841" t="s">
        <v>150</v>
      </c>
      <c r="P584" s="841" t="s">
        <v>276</v>
      </c>
      <c r="Q584" s="843"/>
      <c r="R584" s="845">
        <v>102611</v>
      </c>
      <c r="S584" s="1127" t="s">
        <v>1999</v>
      </c>
      <c r="T584" s="843" t="s">
        <v>2000</v>
      </c>
      <c r="U584" s="842">
        <v>1</v>
      </c>
      <c r="V584" s="842" t="s">
        <v>8</v>
      </c>
      <c r="W584" s="846">
        <v>580</v>
      </c>
      <c r="X584" s="847">
        <f t="shared" si="113"/>
        <v>580</v>
      </c>
      <c r="Y584" s="848">
        <f t="shared" si="119"/>
        <v>0.48699999999999999</v>
      </c>
      <c r="Z584" s="849">
        <v>297.54000000000002</v>
      </c>
      <c r="AA584" s="849"/>
      <c r="AB584" s="849">
        <f t="shared" si="114"/>
        <v>297.54000000000002</v>
      </c>
      <c r="AC584" s="850">
        <f t="shared" si="115"/>
        <v>297.54000000000002</v>
      </c>
      <c r="AD584" s="851"/>
      <c r="AE584" s="852">
        <v>24580</v>
      </c>
      <c r="AF584" s="853">
        <v>0.05</v>
      </c>
      <c r="AG584" s="854">
        <f t="shared" si="116"/>
        <v>366037.33149721852</v>
      </c>
      <c r="AH584" s="853"/>
      <c r="AI584" s="855">
        <f t="shared" si="117"/>
        <v>0</v>
      </c>
      <c r="AJ584" s="845" t="s">
        <v>1872</v>
      </c>
      <c r="AK584" s="857" t="s">
        <v>1745</v>
      </c>
      <c r="AL584" s="840">
        <v>244737306</v>
      </c>
      <c r="AM584" s="840"/>
      <c r="AN584" s="858"/>
      <c r="AO584" s="844"/>
      <c r="AP584" s="859" t="s">
        <v>1873</v>
      </c>
      <c r="AQ584" s="859"/>
      <c r="AR584" s="859">
        <v>45453</v>
      </c>
      <c r="AS584" s="840" t="s">
        <v>1874</v>
      </c>
      <c r="AT584" s="840" t="s">
        <v>1875</v>
      </c>
      <c r="AU584" s="860" t="s">
        <v>1876</v>
      </c>
      <c r="AV584" s="839" t="s">
        <v>1877</v>
      </c>
      <c r="AW584" s="861">
        <v>45575</v>
      </c>
      <c r="AX584" s="862">
        <v>45582</v>
      </c>
      <c r="AY584" s="843" t="s">
        <v>2001</v>
      </c>
      <c r="AZ584" s="842">
        <v>94033000</v>
      </c>
      <c r="BA584" s="842" t="s">
        <v>120</v>
      </c>
      <c r="BB584" s="863" t="s">
        <v>121</v>
      </c>
      <c r="BC584" s="864">
        <v>45584</v>
      </c>
      <c r="BD584" s="860" t="s">
        <v>1879</v>
      </c>
      <c r="BE584" s="865" cm="1">
        <f t="array" ref="BE584">IF(BD584="","",AC584/SUMPRODUCT(--(BD584=$BD$4:$BD$12824),$AC$4:$AC$12824))</f>
        <v>7.4897337106913271E-3</v>
      </c>
      <c r="BF584" s="458"/>
      <c r="BG584" s="458"/>
      <c r="BH584" s="458"/>
      <c r="BI584" s="458"/>
      <c r="BJ584" s="458"/>
      <c r="BK584" s="458"/>
      <c r="BL584" s="458"/>
      <c r="BM584" s="458"/>
      <c r="BN584" s="458"/>
      <c r="BO584" s="866">
        <f>VLOOKUP(BD584,$BD$4:$BN$12824,3,0)*BE584</f>
        <v>0</v>
      </c>
      <c r="BP584" s="866"/>
      <c r="BQ584" s="866"/>
      <c r="BR584" s="866">
        <f>VLOOKUP(BD584,$BD$4:$BN$12824,6,0)*BE584</f>
        <v>144265.45319924576</v>
      </c>
      <c r="BS584" s="866">
        <f>VLOOKUP(BD584,$BD$4:$BN$12824,7,0)*BE584</f>
        <v>7213.429944370213</v>
      </c>
      <c r="BT584" s="866"/>
      <c r="BU584" s="866">
        <f>VLOOKUP(BD584,$BD$4:$BN$12824,9,0)*BE584</f>
        <v>3744.8668553456637</v>
      </c>
      <c r="BV584" s="867"/>
      <c r="BW584" s="867">
        <f>VLOOKUP(BD584,$BD$4:$BN$12824,11,0)*BE584</f>
        <v>15728.440792451787</v>
      </c>
      <c r="BX584" s="1146">
        <f t="shared" si="112"/>
        <v>170952.19079141342</v>
      </c>
      <c r="BY584" s="867">
        <f t="shared" si="121"/>
        <v>7850522.7222886318</v>
      </c>
      <c r="BZ584" s="867">
        <f t="shared" si="118"/>
        <v>7850522.7222886318</v>
      </c>
      <c r="CA584" s="867">
        <f>_xlfn.MAXIFS($BY$4:$BY$12824,$S$4:$S$12824,$S584)</f>
        <v>7850522.7222886318</v>
      </c>
      <c r="CB584" s="1032"/>
      <c r="CC584" s="999" t="s">
        <v>1889</v>
      </c>
      <c r="CF584" s="946">
        <f t="shared" si="120"/>
        <v>7313533.2000000002</v>
      </c>
    </row>
    <row r="585" spans="1:84">
      <c r="A585" s="1032"/>
      <c r="B585" s="839" t="s">
        <v>98</v>
      </c>
      <c r="C585" s="839" t="s">
        <v>131</v>
      </c>
      <c r="D585" s="839" t="s">
        <v>1868</v>
      </c>
      <c r="E585" s="839" t="s">
        <v>1952</v>
      </c>
      <c r="F585" s="841">
        <v>45520</v>
      </c>
      <c r="G585" s="840" t="s">
        <v>133</v>
      </c>
      <c r="H585" s="842" t="s">
        <v>134</v>
      </c>
      <c r="I585" s="842"/>
      <c r="J585" s="841"/>
      <c r="K585" s="841"/>
      <c r="L585" s="843" t="s">
        <v>106</v>
      </c>
      <c r="M585" s="844" t="s">
        <v>107</v>
      </c>
      <c r="N585" s="841" t="s">
        <v>1869</v>
      </c>
      <c r="O585" s="841" t="s">
        <v>150</v>
      </c>
      <c r="P585" s="841" t="s">
        <v>276</v>
      </c>
      <c r="Q585" s="843"/>
      <c r="R585" s="845">
        <v>102631</v>
      </c>
      <c r="S585" s="1127" t="s">
        <v>2002</v>
      </c>
      <c r="T585" s="843" t="s">
        <v>2003</v>
      </c>
      <c r="U585" s="842">
        <v>1</v>
      </c>
      <c r="V585" s="842" t="s">
        <v>8</v>
      </c>
      <c r="W585" s="846">
        <v>443</v>
      </c>
      <c r="X585" s="847">
        <f t="shared" si="113"/>
        <v>443</v>
      </c>
      <c r="Y585" s="848">
        <f t="shared" si="119"/>
        <v>0.48700000000000004</v>
      </c>
      <c r="Z585" s="849">
        <v>227.25899999999999</v>
      </c>
      <c r="AA585" s="849"/>
      <c r="AB585" s="849">
        <f t="shared" si="114"/>
        <v>227.25899999999999</v>
      </c>
      <c r="AC585" s="850">
        <f t="shared" si="115"/>
        <v>227.25899999999999</v>
      </c>
      <c r="AD585" s="851"/>
      <c r="AE585" s="852">
        <v>24580</v>
      </c>
      <c r="AF585" s="853">
        <v>0.05</v>
      </c>
      <c r="AG585" s="854">
        <f t="shared" si="116"/>
        <v>279576.78940218588</v>
      </c>
      <c r="AH585" s="853"/>
      <c r="AI585" s="855">
        <f t="shared" si="117"/>
        <v>0</v>
      </c>
      <c r="AJ585" s="845" t="s">
        <v>1872</v>
      </c>
      <c r="AK585" s="857" t="s">
        <v>1745</v>
      </c>
      <c r="AL585" s="840">
        <v>244737306</v>
      </c>
      <c r="AM585" s="840"/>
      <c r="AN585" s="858"/>
      <c r="AO585" s="844"/>
      <c r="AP585" s="859" t="s">
        <v>1873</v>
      </c>
      <c r="AQ585" s="859"/>
      <c r="AR585" s="859">
        <v>45453</v>
      </c>
      <c r="AS585" s="840" t="s">
        <v>1874</v>
      </c>
      <c r="AT585" s="840" t="s">
        <v>1875</v>
      </c>
      <c r="AU585" s="860" t="s">
        <v>1876</v>
      </c>
      <c r="AV585" s="839" t="s">
        <v>1877</v>
      </c>
      <c r="AW585" s="861">
        <v>45575</v>
      </c>
      <c r="AX585" s="862">
        <v>45582</v>
      </c>
      <c r="AY585" s="843" t="s">
        <v>2004</v>
      </c>
      <c r="AZ585" s="842">
        <v>94033000</v>
      </c>
      <c r="BA585" s="842" t="s">
        <v>120</v>
      </c>
      <c r="BB585" s="863" t="s">
        <v>121</v>
      </c>
      <c r="BC585" s="864">
        <v>45584</v>
      </c>
      <c r="BD585" s="860" t="s">
        <v>1879</v>
      </c>
      <c r="BE585" s="865" cm="1">
        <f t="array" ref="BE585">IF(BD585="","",AC585/SUMPRODUCT(--(BD585=$BD$4:$BD$12824),$AC$4:$AC$12824))</f>
        <v>5.7206069548900989E-3</v>
      </c>
      <c r="BF585" s="458"/>
      <c r="BG585" s="458"/>
      <c r="BH585" s="458"/>
      <c r="BI585" s="458"/>
      <c r="BJ585" s="458"/>
      <c r="BK585" s="458"/>
      <c r="BL585" s="458"/>
      <c r="BM585" s="458"/>
      <c r="BN585" s="458"/>
      <c r="BO585" s="866">
        <f>VLOOKUP(BD585,$BD$4:$BN$12824,3,0)*BE585</f>
        <v>0</v>
      </c>
      <c r="BP585" s="866"/>
      <c r="BQ585" s="866"/>
      <c r="BR585" s="866">
        <f>VLOOKUP(BD585,$BD$4:$BN$12824,6,0)*BE585</f>
        <v>110188.9582194239</v>
      </c>
      <c r="BS585" s="866">
        <f>VLOOKUP(BD585,$BD$4:$BN$12824,7,0)*BE585</f>
        <v>5509.5680437172487</v>
      </c>
      <c r="BT585" s="866"/>
      <c r="BU585" s="866">
        <f>VLOOKUP(BD585,$BD$4:$BN$12824,9,0)*BE585</f>
        <v>2860.3034774450493</v>
      </c>
      <c r="BV585" s="867"/>
      <c r="BW585" s="867">
        <f>VLOOKUP(BD585,$BD$4:$BN$12824,11,0)*BE585</f>
        <v>12013.274605269207</v>
      </c>
      <c r="BX585" s="1146">
        <f t="shared" si="112"/>
        <v>130572.10434585542</v>
      </c>
      <c r="BY585" s="867">
        <f t="shared" si="121"/>
        <v>5996175.113748041</v>
      </c>
      <c r="BZ585" s="867">
        <f t="shared" si="118"/>
        <v>5996175.113748041</v>
      </c>
      <c r="CA585" s="867">
        <f>_xlfn.MAXIFS($BY$4:$BY$12824,$S$4:$S$12824,$S585)</f>
        <v>5996175.113748041</v>
      </c>
      <c r="CB585" s="1032"/>
      <c r="CC585" s="999" t="s">
        <v>1889</v>
      </c>
      <c r="CF585" s="946">
        <f t="shared" si="120"/>
        <v>5586026.2199999997</v>
      </c>
    </row>
    <row r="586" spans="1:84">
      <c r="A586" s="1032"/>
      <c r="B586" s="839" t="s">
        <v>98</v>
      </c>
      <c r="C586" s="839" t="s">
        <v>131</v>
      </c>
      <c r="D586" s="839" t="s">
        <v>1868</v>
      </c>
      <c r="E586" s="839" t="s">
        <v>1952</v>
      </c>
      <c r="F586" s="841">
        <v>45520</v>
      </c>
      <c r="G586" s="840" t="s">
        <v>133</v>
      </c>
      <c r="H586" s="842" t="s">
        <v>134</v>
      </c>
      <c r="I586" s="842"/>
      <c r="J586" s="841"/>
      <c r="K586" s="841"/>
      <c r="L586" s="843" t="s">
        <v>106</v>
      </c>
      <c r="M586" s="844" t="s">
        <v>107</v>
      </c>
      <c r="N586" s="841" t="s">
        <v>1869</v>
      </c>
      <c r="O586" s="841" t="s">
        <v>150</v>
      </c>
      <c r="P586" s="841" t="s">
        <v>1947</v>
      </c>
      <c r="Q586" s="843"/>
      <c r="R586" s="845" t="s">
        <v>2005</v>
      </c>
      <c r="S586" s="1127" t="s">
        <v>2006</v>
      </c>
      <c r="T586" s="843" t="s">
        <v>2007</v>
      </c>
      <c r="U586" s="842">
        <v>2</v>
      </c>
      <c r="V586" s="842" t="s">
        <v>8</v>
      </c>
      <c r="W586" s="846">
        <v>702</v>
      </c>
      <c r="X586" s="847">
        <f t="shared" si="113"/>
        <v>1404</v>
      </c>
      <c r="Y586" s="848">
        <f t="shared" si="119"/>
        <v>0.48700000000000004</v>
      </c>
      <c r="Z586" s="849">
        <v>360.12599999999998</v>
      </c>
      <c r="AA586" s="849"/>
      <c r="AB586" s="849">
        <f t="shared" si="114"/>
        <v>720.25199999999995</v>
      </c>
      <c r="AC586" s="850">
        <f t="shared" si="115"/>
        <v>720.25199999999995</v>
      </c>
      <c r="AD586" s="851"/>
      <c r="AE586" s="852">
        <v>24580</v>
      </c>
      <c r="AF586" s="853">
        <v>0.05</v>
      </c>
      <c r="AG586" s="854">
        <f t="shared" si="116"/>
        <v>886062.78176223254</v>
      </c>
      <c r="AH586" s="853"/>
      <c r="AI586" s="855">
        <f t="shared" si="117"/>
        <v>0</v>
      </c>
      <c r="AJ586" s="845" t="s">
        <v>1872</v>
      </c>
      <c r="AK586" s="857" t="s">
        <v>1745</v>
      </c>
      <c r="AL586" s="840">
        <v>244737306</v>
      </c>
      <c r="AM586" s="840"/>
      <c r="AN586" s="858"/>
      <c r="AO586" s="844"/>
      <c r="AP586" s="859" t="s">
        <v>1873</v>
      </c>
      <c r="AQ586" s="859"/>
      <c r="AR586" s="859">
        <v>45453</v>
      </c>
      <c r="AS586" s="840" t="s">
        <v>1874</v>
      </c>
      <c r="AT586" s="840" t="s">
        <v>1875</v>
      </c>
      <c r="AU586" s="860" t="s">
        <v>1876</v>
      </c>
      <c r="AV586" s="839" t="s">
        <v>1877</v>
      </c>
      <c r="AW586" s="861">
        <v>45575</v>
      </c>
      <c r="AX586" s="862">
        <v>45582</v>
      </c>
      <c r="AY586" s="843" t="s">
        <v>2008</v>
      </c>
      <c r="AZ586" s="842">
        <v>94016990</v>
      </c>
      <c r="BA586" s="842" t="s">
        <v>120</v>
      </c>
      <c r="BB586" s="863" t="s">
        <v>121</v>
      </c>
      <c r="BC586" s="864">
        <v>45584</v>
      </c>
      <c r="BD586" s="860" t="s">
        <v>1879</v>
      </c>
      <c r="BE586" s="865" cm="1">
        <f t="array" ref="BE586">IF(BD586="","",AC586/SUMPRODUCT(--(BD586=$BD$4:$BD$12824),$AC$4:$AC$12824))</f>
        <v>1.8130320913466589E-2</v>
      </c>
      <c r="BF586" s="458"/>
      <c r="BG586" s="458"/>
      <c r="BH586" s="458"/>
      <c r="BI586" s="458"/>
      <c r="BJ586" s="458"/>
      <c r="BK586" s="458"/>
      <c r="BL586" s="458"/>
      <c r="BM586" s="458"/>
      <c r="BN586" s="458"/>
      <c r="BO586" s="866">
        <f>VLOOKUP(BD586,$BD$4:$BN$12824,3,0)*BE586</f>
        <v>0</v>
      </c>
      <c r="BP586" s="866"/>
      <c r="BQ586" s="866"/>
      <c r="BR586" s="866">
        <f>VLOOKUP(BD586,$BD$4:$BN$12824,6,0)*BE586</f>
        <v>349221.89015817421</v>
      </c>
      <c r="BS586" s="866">
        <f>VLOOKUP(BD586,$BD$4:$BN$12824,7,0)*BE586</f>
        <v>17461.475244647892</v>
      </c>
      <c r="BT586" s="866"/>
      <c r="BU586" s="866">
        <f>VLOOKUP(BD586,$BD$4:$BN$12824,9,0)*BE586</f>
        <v>9065.1604567332943</v>
      </c>
      <c r="BV586" s="867"/>
      <c r="BW586" s="867">
        <f>VLOOKUP(BD586,$BD$4:$BN$12824,11,0)*BE586</f>
        <v>38073.673918279834</v>
      </c>
      <c r="BX586" s="1146">
        <f t="shared" si="112"/>
        <v>413822.19977783522</v>
      </c>
      <c r="BY586" s="867">
        <f t="shared" si="121"/>
        <v>9501839.5707700327</v>
      </c>
      <c r="BZ586" s="867">
        <f t="shared" si="118"/>
        <v>19003679.141540065</v>
      </c>
      <c r="CA586" s="867">
        <f>_xlfn.MAXIFS($BY$4:$BY$12824,$S$4:$S$12824,$S586)</f>
        <v>9501839.5707700327</v>
      </c>
      <c r="CB586" s="1032"/>
      <c r="CC586" s="999" t="s">
        <v>1889</v>
      </c>
      <c r="CF586" s="946">
        <f t="shared" si="120"/>
        <v>17703794.16</v>
      </c>
    </row>
    <row r="587" spans="1:84">
      <c r="A587" s="1032"/>
      <c r="B587" s="839" t="s">
        <v>98</v>
      </c>
      <c r="C587" s="839" t="s">
        <v>131</v>
      </c>
      <c r="D587" s="839" t="s">
        <v>1868</v>
      </c>
      <c r="E587" s="839" t="s">
        <v>1952</v>
      </c>
      <c r="F587" s="841">
        <v>45520</v>
      </c>
      <c r="G587" s="840" t="s">
        <v>133</v>
      </c>
      <c r="H587" s="842" t="s">
        <v>134</v>
      </c>
      <c r="I587" s="842"/>
      <c r="J587" s="841"/>
      <c r="K587" s="841"/>
      <c r="L587" s="843" t="s">
        <v>106</v>
      </c>
      <c r="M587" s="844" t="s">
        <v>107</v>
      </c>
      <c r="N587" s="841" t="s">
        <v>1869</v>
      </c>
      <c r="O587" s="841" t="s">
        <v>150</v>
      </c>
      <c r="P587" s="841" t="s">
        <v>1812</v>
      </c>
      <c r="Q587" s="843"/>
      <c r="R587" s="845" t="s">
        <v>2009</v>
      </c>
      <c r="S587" s="1127" t="s">
        <v>2010</v>
      </c>
      <c r="T587" s="843" t="s">
        <v>2011</v>
      </c>
      <c r="U587" s="842">
        <v>4</v>
      </c>
      <c r="V587" s="842" t="s">
        <v>8</v>
      </c>
      <c r="W587" s="846">
        <v>244</v>
      </c>
      <c r="X587" s="847">
        <f t="shared" si="113"/>
        <v>976</v>
      </c>
      <c r="Y587" s="848">
        <f t="shared" si="119"/>
        <v>0.48699999999999999</v>
      </c>
      <c r="Z587" s="849">
        <v>125.172</v>
      </c>
      <c r="AA587" s="849"/>
      <c r="AB587" s="849">
        <f t="shared" si="114"/>
        <v>500.68799999999999</v>
      </c>
      <c r="AC587" s="850">
        <f t="shared" si="115"/>
        <v>500.68799999999999</v>
      </c>
      <c r="AD587" s="851"/>
      <c r="AE587" s="852">
        <v>24580</v>
      </c>
      <c r="AF587" s="853">
        <v>0</v>
      </c>
      <c r="AG587" s="854">
        <f t="shared" si="116"/>
        <v>0</v>
      </c>
      <c r="AH587" s="853"/>
      <c r="AI587" s="855">
        <f t="shared" si="117"/>
        <v>0</v>
      </c>
      <c r="AJ587" s="845" t="s">
        <v>1872</v>
      </c>
      <c r="AK587" s="857" t="s">
        <v>1745</v>
      </c>
      <c r="AL587" s="840">
        <v>244737306</v>
      </c>
      <c r="AM587" s="840"/>
      <c r="AN587" s="858"/>
      <c r="AO587" s="844"/>
      <c r="AP587" s="859" t="s">
        <v>1873</v>
      </c>
      <c r="AQ587" s="859"/>
      <c r="AR587" s="859">
        <v>45453</v>
      </c>
      <c r="AS587" s="840" t="s">
        <v>1874</v>
      </c>
      <c r="AT587" s="840" t="s">
        <v>1875</v>
      </c>
      <c r="AU587" s="860" t="s">
        <v>1876</v>
      </c>
      <c r="AV587" s="839" t="s">
        <v>1877</v>
      </c>
      <c r="AW587" s="861">
        <v>45575</v>
      </c>
      <c r="AX587" s="862">
        <v>45582</v>
      </c>
      <c r="AY587" s="843" t="s">
        <v>2012</v>
      </c>
      <c r="AZ587" s="842">
        <v>94031000</v>
      </c>
      <c r="BA587" s="842" t="s">
        <v>120</v>
      </c>
      <c r="BB587" s="863" t="s">
        <v>121</v>
      </c>
      <c r="BC587" s="864">
        <v>45584</v>
      </c>
      <c r="BD587" s="860" t="s">
        <v>1879</v>
      </c>
      <c r="BE587" s="865" cm="1">
        <f t="array" ref="BE587">IF(BD587="","",AC587/SUMPRODUCT(--(BD587=$BD$4:$BD$12824),$AC$4:$AC$12824))</f>
        <v>1.2603413968335749E-2</v>
      </c>
      <c r="BF587" s="458"/>
      <c r="BG587" s="458"/>
      <c r="BH587" s="458"/>
      <c r="BI587" s="458"/>
      <c r="BJ587" s="458"/>
      <c r="BK587" s="458"/>
      <c r="BL587" s="458"/>
      <c r="BM587" s="458"/>
      <c r="BN587" s="458"/>
      <c r="BO587" s="866">
        <f>VLOOKUP(BD587,$BD$4:$BN$12824,3,0)*BE587</f>
        <v>0</v>
      </c>
      <c r="BP587" s="866"/>
      <c r="BQ587" s="866"/>
      <c r="BR587" s="866">
        <f>VLOOKUP(BD587,$BD$4:$BN$12824,6,0)*BE587</f>
        <v>242763.93503873079</v>
      </c>
      <c r="BS587" s="866">
        <f>VLOOKUP(BD587,$BD$4:$BN$12824,7,0)*BE587</f>
        <v>12138.461423629875</v>
      </c>
      <c r="BT587" s="866"/>
      <c r="BU587" s="866">
        <f>VLOOKUP(BD587,$BD$4:$BN$12824,9,0)*BE587</f>
        <v>6301.7069841678749</v>
      </c>
      <c r="BV587" s="867"/>
      <c r="BW587" s="867">
        <f>VLOOKUP(BD587,$BD$4:$BN$12824,11,0)*BE587</f>
        <v>26467.169333505073</v>
      </c>
      <c r="BX587" s="1146">
        <f t="shared" si="112"/>
        <v>287671.27278003364</v>
      </c>
      <c r="BY587" s="867">
        <f t="shared" si="121"/>
        <v>3148645.578195008</v>
      </c>
      <c r="BZ587" s="867">
        <f t="shared" si="118"/>
        <v>12594582.312780032</v>
      </c>
      <c r="CA587" s="867">
        <f>_xlfn.MAXIFS($BY$4:$BY$12824,$S$4:$S$12824,$S587)</f>
        <v>3148645.578195008</v>
      </c>
      <c r="CB587" s="1032"/>
      <c r="CC587" s="999" t="s">
        <v>1889</v>
      </c>
      <c r="CF587" s="946">
        <f t="shared" si="120"/>
        <v>12306911.039999999</v>
      </c>
    </row>
    <row r="588" spans="1:84">
      <c r="A588" s="1032"/>
      <c r="B588" s="839" t="s">
        <v>98</v>
      </c>
      <c r="C588" s="839" t="s">
        <v>131</v>
      </c>
      <c r="D588" s="839" t="s">
        <v>1868</v>
      </c>
      <c r="E588" s="839" t="s">
        <v>1952</v>
      </c>
      <c r="F588" s="841">
        <v>45520</v>
      </c>
      <c r="G588" s="840" t="s">
        <v>133</v>
      </c>
      <c r="H588" s="842" t="s">
        <v>134</v>
      </c>
      <c r="I588" s="842"/>
      <c r="J588" s="841"/>
      <c r="K588" s="841"/>
      <c r="L588" s="843" t="s">
        <v>106</v>
      </c>
      <c r="M588" s="844" t="s">
        <v>107</v>
      </c>
      <c r="N588" s="841" t="s">
        <v>1869</v>
      </c>
      <c r="O588" s="841" t="s">
        <v>150</v>
      </c>
      <c r="P588" s="841" t="s">
        <v>1812</v>
      </c>
      <c r="Q588" s="843"/>
      <c r="R588" s="845" t="s">
        <v>2013</v>
      </c>
      <c r="S588" s="1127" t="s">
        <v>2014</v>
      </c>
      <c r="T588" s="843" t="s">
        <v>2015</v>
      </c>
      <c r="U588" s="842">
        <v>4</v>
      </c>
      <c r="V588" s="842" t="s">
        <v>8</v>
      </c>
      <c r="W588" s="846">
        <v>244</v>
      </c>
      <c r="X588" s="847">
        <f t="shared" si="113"/>
        <v>976</v>
      </c>
      <c r="Y588" s="848">
        <f t="shared" si="119"/>
        <v>0.48699999999999999</v>
      </c>
      <c r="Z588" s="849">
        <v>125.172</v>
      </c>
      <c r="AA588" s="849"/>
      <c r="AB588" s="849">
        <f t="shared" si="114"/>
        <v>500.68799999999999</v>
      </c>
      <c r="AC588" s="850">
        <f t="shared" si="115"/>
        <v>500.68799999999999</v>
      </c>
      <c r="AD588" s="851"/>
      <c r="AE588" s="852">
        <v>24580</v>
      </c>
      <c r="AF588" s="853">
        <v>0.05</v>
      </c>
      <c r="AG588" s="854">
        <f t="shared" si="116"/>
        <v>615952.47507118143</v>
      </c>
      <c r="AH588" s="853"/>
      <c r="AI588" s="855">
        <f t="shared" si="117"/>
        <v>0</v>
      </c>
      <c r="AJ588" s="845" t="s">
        <v>1872</v>
      </c>
      <c r="AK588" s="857" t="s">
        <v>1745</v>
      </c>
      <c r="AL588" s="840">
        <v>244737306</v>
      </c>
      <c r="AM588" s="840"/>
      <c r="AN588" s="858"/>
      <c r="AO588" s="844"/>
      <c r="AP588" s="859" t="s">
        <v>1873</v>
      </c>
      <c r="AQ588" s="859"/>
      <c r="AR588" s="859">
        <v>45453</v>
      </c>
      <c r="AS588" s="840" t="s">
        <v>1874</v>
      </c>
      <c r="AT588" s="840" t="s">
        <v>1875</v>
      </c>
      <c r="AU588" s="860" t="s">
        <v>1876</v>
      </c>
      <c r="AV588" s="839" t="s">
        <v>1877</v>
      </c>
      <c r="AW588" s="861">
        <v>45575</v>
      </c>
      <c r="AX588" s="862">
        <v>45582</v>
      </c>
      <c r="AY588" s="843" t="s">
        <v>2016</v>
      </c>
      <c r="AZ588" s="842">
        <v>94031000</v>
      </c>
      <c r="BA588" s="842" t="s">
        <v>120</v>
      </c>
      <c r="BB588" s="863" t="s">
        <v>121</v>
      </c>
      <c r="BC588" s="864">
        <v>45584</v>
      </c>
      <c r="BD588" s="860" t="s">
        <v>1879</v>
      </c>
      <c r="BE588" s="865" cm="1">
        <f t="array" ref="BE588">IF(BD588="","",AC588/SUMPRODUCT(--(BD588=$BD$4:$BD$12824),$AC$4:$AC$12824))</f>
        <v>1.2603413968335749E-2</v>
      </c>
      <c r="BF588" s="458"/>
      <c r="BG588" s="458"/>
      <c r="BH588" s="458"/>
      <c r="BI588" s="458"/>
      <c r="BJ588" s="458"/>
      <c r="BK588" s="458"/>
      <c r="BL588" s="458"/>
      <c r="BM588" s="458"/>
      <c r="BN588" s="458"/>
      <c r="BO588" s="866">
        <f>VLOOKUP(BD588,$BD$4:$BN$12824,3,0)*BE588</f>
        <v>0</v>
      </c>
      <c r="BP588" s="866"/>
      <c r="BQ588" s="866"/>
      <c r="BR588" s="866">
        <f>VLOOKUP(BD588,$BD$4:$BN$12824,6,0)*BE588</f>
        <v>242763.93503873079</v>
      </c>
      <c r="BS588" s="866">
        <f>VLOOKUP(BD588,$BD$4:$BN$12824,7,0)*BE588</f>
        <v>12138.461423629875</v>
      </c>
      <c r="BT588" s="866"/>
      <c r="BU588" s="866">
        <f>VLOOKUP(BD588,$BD$4:$BN$12824,9,0)*BE588</f>
        <v>6301.7069841678749</v>
      </c>
      <c r="BV588" s="867"/>
      <c r="BW588" s="867">
        <f>VLOOKUP(BD588,$BD$4:$BN$12824,11,0)*BE588</f>
        <v>26467.169333505073</v>
      </c>
      <c r="BX588" s="1146">
        <f t="shared" si="112"/>
        <v>287671.27278003364</v>
      </c>
      <c r="BY588" s="867">
        <f t="shared" si="121"/>
        <v>3302633.6969628031</v>
      </c>
      <c r="BZ588" s="867">
        <f t="shared" si="118"/>
        <v>13210534.787851213</v>
      </c>
      <c r="CA588" s="867">
        <f>_xlfn.MAXIFS($BY$4:$BY$12824,$S$4:$S$12824,$S588)</f>
        <v>3302633.6969628031</v>
      </c>
      <c r="CB588" s="1032"/>
      <c r="CC588" s="999" t="s">
        <v>1889</v>
      </c>
      <c r="CF588" s="946">
        <f t="shared" si="120"/>
        <v>12306911.039999999</v>
      </c>
    </row>
    <row r="589" spans="1:84">
      <c r="A589" s="1032"/>
      <c r="B589" s="839" t="s">
        <v>98</v>
      </c>
      <c r="C589" s="839" t="s">
        <v>131</v>
      </c>
      <c r="D589" s="839" t="s">
        <v>1868</v>
      </c>
      <c r="E589" s="839" t="s">
        <v>1952</v>
      </c>
      <c r="F589" s="841">
        <v>45520</v>
      </c>
      <c r="G589" s="840" t="s">
        <v>133</v>
      </c>
      <c r="H589" s="842" t="s">
        <v>134</v>
      </c>
      <c r="I589" s="842"/>
      <c r="J589" s="841"/>
      <c r="K589" s="841"/>
      <c r="L589" s="843" t="s">
        <v>106</v>
      </c>
      <c r="M589" s="844" t="s">
        <v>107</v>
      </c>
      <c r="N589" s="841" t="s">
        <v>1869</v>
      </c>
      <c r="O589" s="841" t="s">
        <v>150</v>
      </c>
      <c r="P589" s="841" t="s">
        <v>1812</v>
      </c>
      <c r="Q589" s="843"/>
      <c r="R589" s="845" t="s">
        <v>2017</v>
      </c>
      <c r="S589" s="1127" t="s">
        <v>2018</v>
      </c>
      <c r="T589" s="843" t="s">
        <v>2019</v>
      </c>
      <c r="U589" s="842">
        <v>4</v>
      </c>
      <c r="V589" s="842" t="s">
        <v>8</v>
      </c>
      <c r="W589" s="846">
        <v>244</v>
      </c>
      <c r="X589" s="847">
        <f t="shared" si="113"/>
        <v>976</v>
      </c>
      <c r="Y589" s="848">
        <f t="shared" si="119"/>
        <v>0.48699999999999999</v>
      </c>
      <c r="Z589" s="849">
        <v>125.172</v>
      </c>
      <c r="AA589" s="849"/>
      <c r="AB589" s="849">
        <f t="shared" si="114"/>
        <v>500.68799999999999</v>
      </c>
      <c r="AC589" s="850">
        <f t="shared" si="115"/>
        <v>500.68799999999999</v>
      </c>
      <c r="AD589" s="851"/>
      <c r="AE589" s="852">
        <v>24580</v>
      </c>
      <c r="AF589" s="853">
        <v>0.05</v>
      </c>
      <c r="AG589" s="854">
        <f t="shared" si="116"/>
        <v>615952.47507118143</v>
      </c>
      <c r="AH589" s="853"/>
      <c r="AI589" s="855">
        <f t="shared" si="117"/>
        <v>0</v>
      </c>
      <c r="AJ589" s="845" t="s">
        <v>1872</v>
      </c>
      <c r="AK589" s="857" t="s">
        <v>1745</v>
      </c>
      <c r="AL589" s="840">
        <v>244737306</v>
      </c>
      <c r="AM589" s="840"/>
      <c r="AN589" s="858"/>
      <c r="AO589" s="844"/>
      <c r="AP589" s="859" t="s">
        <v>1873</v>
      </c>
      <c r="AQ589" s="859"/>
      <c r="AR589" s="859">
        <v>45453</v>
      </c>
      <c r="AS589" s="840" t="s">
        <v>1874</v>
      </c>
      <c r="AT589" s="840" t="s">
        <v>1875</v>
      </c>
      <c r="AU589" s="860" t="s">
        <v>1876</v>
      </c>
      <c r="AV589" s="839" t="s">
        <v>1877</v>
      </c>
      <c r="AW589" s="861">
        <v>45575</v>
      </c>
      <c r="AX589" s="862">
        <v>45582</v>
      </c>
      <c r="AY589" s="843" t="s">
        <v>2020</v>
      </c>
      <c r="AZ589" s="842">
        <v>94031000</v>
      </c>
      <c r="BA589" s="842" t="s">
        <v>120</v>
      </c>
      <c r="BB589" s="863" t="s">
        <v>121</v>
      </c>
      <c r="BC589" s="864">
        <v>45584</v>
      </c>
      <c r="BD589" s="860" t="s">
        <v>1879</v>
      </c>
      <c r="BE589" s="865" cm="1">
        <f t="array" ref="BE589">IF(BD589="","",AC589/SUMPRODUCT(--(BD589=$BD$4:$BD$12824),$AC$4:$AC$12824))</f>
        <v>1.2603413968335749E-2</v>
      </c>
      <c r="BF589" s="458"/>
      <c r="BG589" s="458"/>
      <c r="BH589" s="458"/>
      <c r="BI589" s="458"/>
      <c r="BJ589" s="458"/>
      <c r="BK589" s="458"/>
      <c r="BL589" s="458"/>
      <c r="BM589" s="458"/>
      <c r="BN589" s="458"/>
      <c r="BO589" s="866">
        <f>VLOOKUP(BD589,$BD$4:$BN$12824,3,0)*BE589</f>
        <v>0</v>
      </c>
      <c r="BP589" s="866"/>
      <c r="BQ589" s="866"/>
      <c r="BR589" s="866">
        <f>VLOOKUP(BD589,$BD$4:$BN$12824,6,0)*BE589</f>
        <v>242763.93503873079</v>
      </c>
      <c r="BS589" s="866">
        <f>VLOOKUP(BD589,$BD$4:$BN$12824,7,0)*BE589</f>
        <v>12138.461423629875</v>
      </c>
      <c r="BT589" s="866"/>
      <c r="BU589" s="866">
        <f>VLOOKUP(BD589,$BD$4:$BN$12824,9,0)*BE589</f>
        <v>6301.7069841678749</v>
      </c>
      <c r="BV589" s="867"/>
      <c r="BW589" s="867">
        <f>VLOOKUP(BD589,$BD$4:$BN$12824,11,0)*BE589</f>
        <v>26467.169333505073</v>
      </c>
      <c r="BX589" s="1146">
        <f t="shared" si="112"/>
        <v>287671.27278003364</v>
      </c>
      <c r="BY589" s="867">
        <f t="shared" si="121"/>
        <v>3302633.6969628031</v>
      </c>
      <c r="BZ589" s="867">
        <f t="shared" si="118"/>
        <v>13210534.787851213</v>
      </c>
      <c r="CA589" s="867">
        <f>_xlfn.MAXIFS($BY$4:$BY$12824,$S$4:$S$12824,$S589)</f>
        <v>3302633.6969628031</v>
      </c>
      <c r="CB589" s="1032"/>
      <c r="CC589" s="999" t="s">
        <v>1889</v>
      </c>
      <c r="CF589" s="946">
        <f t="shared" si="120"/>
        <v>12306911.039999999</v>
      </c>
    </row>
    <row r="590" spans="1:84">
      <c r="A590" s="1032"/>
      <c r="B590" s="839" t="s">
        <v>98</v>
      </c>
      <c r="C590" s="839" t="s">
        <v>131</v>
      </c>
      <c r="D590" s="839" t="s">
        <v>1868</v>
      </c>
      <c r="E590" s="839" t="s">
        <v>1952</v>
      </c>
      <c r="F590" s="841">
        <v>45520</v>
      </c>
      <c r="G590" s="840" t="s">
        <v>133</v>
      </c>
      <c r="H590" s="842" t="s">
        <v>134</v>
      </c>
      <c r="I590" s="842"/>
      <c r="J590" s="841"/>
      <c r="K590" s="841"/>
      <c r="L590" s="843" t="s">
        <v>106</v>
      </c>
      <c r="M590" s="844" t="s">
        <v>107</v>
      </c>
      <c r="N590" s="841" t="s">
        <v>1869</v>
      </c>
      <c r="O590" s="841" t="s">
        <v>135</v>
      </c>
      <c r="P590" s="841" t="s">
        <v>2021</v>
      </c>
      <c r="Q590" s="843"/>
      <c r="R590" s="845" t="s">
        <v>2022</v>
      </c>
      <c r="S590" s="1127" t="s">
        <v>2023</v>
      </c>
      <c r="T590" s="843" t="s">
        <v>2024</v>
      </c>
      <c r="U590" s="842">
        <v>2</v>
      </c>
      <c r="V590" s="842" t="s">
        <v>8</v>
      </c>
      <c r="W590" s="846">
        <v>183</v>
      </c>
      <c r="X590" s="847">
        <f t="shared" si="113"/>
        <v>366</v>
      </c>
      <c r="Y590" s="848">
        <f t="shared" si="119"/>
        <v>0.48699999999999999</v>
      </c>
      <c r="Z590" s="849">
        <v>93.879000000000005</v>
      </c>
      <c r="AA590" s="849"/>
      <c r="AB590" s="849">
        <f t="shared" si="114"/>
        <v>187.75800000000001</v>
      </c>
      <c r="AC590" s="850">
        <f t="shared" si="115"/>
        <v>187.75800000000001</v>
      </c>
      <c r="AD590" s="851"/>
      <c r="AE590" s="852">
        <v>24580</v>
      </c>
      <c r="AF590" s="853">
        <v>0</v>
      </c>
      <c r="AG590" s="854">
        <f t="shared" si="116"/>
        <v>0</v>
      </c>
      <c r="AH590" s="853"/>
      <c r="AI590" s="855">
        <f t="shared" si="117"/>
        <v>0</v>
      </c>
      <c r="AJ590" s="845" t="s">
        <v>1872</v>
      </c>
      <c r="AK590" s="857" t="s">
        <v>1745</v>
      </c>
      <c r="AL590" s="840">
        <v>244737306</v>
      </c>
      <c r="AM590" s="840"/>
      <c r="AN590" s="858"/>
      <c r="AO590" s="844"/>
      <c r="AP590" s="859" t="s">
        <v>1873</v>
      </c>
      <c r="AQ590" s="859"/>
      <c r="AR590" s="859">
        <v>45453</v>
      </c>
      <c r="AS590" s="840" t="s">
        <v>1874</v>
      </c>
      <c r="AT590" s="840" t="s">
        <v>1875</v>
      </c>
      <c r="AU590" s="860" t="s">
        <v>1876</v>
      </c>
      <c r="AV590" s="839" t="s">
        <v>1877</v>
      </c>
      <c r="AW590" s="861">
        <v>45575</v>
      </c>
      <c r="AX590" s="862">
        <v>45582</v>
      </c>
      <c r="AY590" s="843" t="s">
        <v>2025</v>
      </c>
      <c r="AZ590" s="842">
        <v>83025000</v>
      </c>
      <c r="BA590" s="842" t="s">
        <v>120</v>
      </c>
      <c r="BB590" s="863" t="s">
        <v>121</v>
      </c>
      <c r="BC590" s="864">
        <v>45584</v>
      </c>
      <c r="BD590" s="860" t="s">
        <v>1879</v>
      </c>
      <c r="BE590" s="865" cm="1">
        <f t="array" ref="BE590">IF(BD590="","",AC590/SUMPRODUCT(--(BD590=$BD$4:$BD$12824),$AC$4:$AC$12824))</f>
        <v>4.7262802381259064E-3</v>
      </c>
      <c r="BF590" s="458"/>
      <c r="BG590" s="458"/>
      <c r="BH590" s="458"/>
      <c r="BI590" s="458"/>
      <c r="BJ590" s="458"/>
      <c r="BK590" s="458"/>
      <c r="BL590" s="458"/>
      <c r="BM590" s="458"/>
      <c r="BN590" s="458"/>
      <c r="BO590" s="866">
        <f>VLOOKUP(BD590,$BD$4:$BN$12824,3,0)*BE590</f>
        <v>0</v>
      </c>
      <c r="BP590" s="866"/>
      <c r="BQ590" s="866"/>
      <c r="BR590" s="866">
        <f>VLOOKUP(BD590,$BD$4:$BN$12824,6,0)*BE590</f>
        <v>91036.475639524055</v>
      </c>
      <c r="BS590" s="866">
        <f>VLOOKUP(BD590,$BD$4:$BN$12824,7,0)*BE590</f>
        <v>4551.9230338612033</v>
      </c>
      <c r="BT590" s="866"/>
      <c r="BU590" s="866">
        <f>VLOOKUP(BD590,$BD$4:$BN$12824,9,0)*BE590</f>
        <v>2363.1401190629531</v>
      </c>
      <c r="BV590" s="867"/>
      <c r="BW590" s="867">
        <f>VLOOKUP(BD590,$BD$4:$BN$12824,11,0)*BE590</f>
        <v>9925.1885000644033</v>
      </c>
      <c r="BX590" s="1146">
        <f t="shared" si="112"/>
        <v>107876.72729251263</v>
      </c>
      <c r="BY590" s="867">
        <f t="shared" si="121"/>
        <v>2361484.1836462566</v>
      </c>
      <c r="BZ590" s="867">
        <f t="shared" si="118"/>
        <v>4722968.3672925131</v>
      </c>
      <c r="CA590" s="867">
        <f>_xlfn.MAXIFS($BY$4:$BY$12824,$S$4:$S$12824,$S590)</f>
        <v>2361484.1836462566</v>
      </c>
      <c r="CB590" s="1032"/>
      <c r="CC590" s="999" t="s">
        <v>1889</v>
      </c>
      <c r="CF590" s="946">
        <f t="shared" si="120"/>
        <v>4615091.6400000006</v>
      </c>
    </row>
    <row r="591" spans="1:84">
      <c r="A591" s="1032"/>
      <c r="B591" s="839" t="s">
        <v>98</v>
      </c>
      <c r="C591" s="839" t="s">
        <v>131</v>
      </c>
      <c r="D591" s="839" t="s">
        <v>1868</v>
      </c>
      <c r="E591" s="839" t="s">
        <v>1952</v>
      </c>
      <c r="F591" s="841">
        <v>45520</v>
      </c>
      <c r="G591" s="840" t="s">
        <v>133</v>
      </c>
      <c r="H591" s="842" t="s">
        <v>134</v>
      </c>
      <c r="I591" s="842"/>
      <c r="J591" s="841"/>
      <c r="K591" s="841"/>
      <c r="L591" s="843" t="s">
        <v>106</v>
      </c>
      <c r="M591" s="844" t="s">
        <v>107</v>
      </c>
      <c r="N591" s="841" t="s">
        <v>1869</v>
      </c>
      <c r="O591" s="841" t="s">
        <v>135</v>
      </c>
      <c r="P591" s="841" t="s">
        <v>2021</v>
      </c>
      <c r="Q591" s="843"/>
      <c r="R591" s="845" t="s">
        <v>2026</v>
      </c>
      <c r="S591" s="1127" t="s">
        <v>2027</v>
      </c>
      <c r="T591" s="843" t="s">
        <v>2028</v>
      </c>
      <c r="U591" s="842">
        <v>2</v>
      </c>
      <c r="V591" s="842" t="s">
        <v>8</v>
      </c>
      <c r="W591" s="846">
        <v>183</v>
      </c>
      <c r="X591" s="847">
        <f t="shared" si="113"/>
        <v>366</v>
      </c>
      <c r="Y591" s="848">
        <f t="shared" si="119"/>
        <v>0.48699999999999999</v>
      </c>
      <c r="Z591" s="849">
        <v>93.879000000000005</v>
      </c>
      <c r="AA591" s="849"/>
      <c r="AB591" s="849">
        <f t="shared" si="114"/>
        <v>187.75800000000001</v>
      </c>
      <c r="AC591" s="850">
        <f t="shared" si="115"/>
        <v>187.75800000000001</v>
      </c>
      <c r="AD591" s="851"/>
      <c r="AE591" s="852">
        <v>24580</v>
      </c>
      <c r="AF591" s="853">
        <v>0</v>
      </c>
      <c r="AG591" s="854">
        <f t="shared" si="116"/>
        <v>0</v>
      </c>
      <c r="AH591" s="853"/>
      <c r="AI591" s="855">
        <f t="shared" si="117"/>
        <v>0</v>
      </c>
      <c r="AJ591" s="845" t="s">
        <v>1872</v>
      </c>
      <c r="AK591" s="857" t="s">
        <v>1745</v>
      </c>
      <c r="AL591" s="840">
        <v>244737306</v>
      </c>
      <c r="AM591" s="840"/>
      <c r="AN591" s="858"/>
      <c r="AO591" s="844"/>
      <c r="AP591" s="859" t="s">
        <v>1873</v>
      </c>
      <c r="AQ591" s="859"/>
      <c r="AR591" s="859">
        <v>45453</v>
      </c>
      <c r="AS591" s="840" t="s">
        <v>1874</v>
      </c>
      <c r="AT591" s="840" t="s">
        <v>1875</v>
      </c>
      <c r="AU591" s="860" t="s">
        <v>1876</v>
      </c>
      <c r="AV591" s="839" t="s">
        <v>1877</v>
      </c>
      <c r="AW591" s="861">
        <v>45575</v>
      </c>
      <c r="AX591" s="862">
        <v>45582</v>
      </c>
      <c r="AY591" s="843" t="s">
        <v>2029</v>
      </c>
      <c r="AZ591" s="842">
        <v>83025000</v>
      </c>
      <c r="BA591" s="842" t="s">
        <v>120</v>
      </c>
      <c r="BB591" s="863" t="s">
        <v>121</v>
      </c>
      <c r="BC591" s="864">
        <v>45584</v>
      </c>
      <c r="BD591" s="860" t="s">
        <v>1879</v>
      </c>
      <c r="BE591" s="865" cm="1">
        <f t="array" ref="BE591">IF(BD591="","",AC591/SUMPRODUCT(--(BD591=$BD$4:$BD$12824),$AC$4:$AC$12824))</f>
        <v>4.7262802381259064E-3</v>
      </c>
      <c r="BF591" s="458"/>
      <c r="BG591" s="458"/>
      <c r="BH591" s="458"/>
      <c r="BI591" s="458"/>
      <c r="BJ591" s="458"/>
      <c r="BK591" s="458"/>
      <c r="BL591" s="458"/>
      <c r="BM591" s="458"/>
      <c r="BN591" s="458"/>
      <c r="BO591" s="866">
        <f>VLOOKUP(BD591,$BD$4:$BN$12824,3,0)*BE591</f>
        <v>0</v>
      </c>
      <c r="BP591" s="866"/>
      <c r="BQ591" s="866"/>
      <c r="BR591" s="866">
        <f>VLOOKUP(BD591,$BD$4:$BN$12824,6,0)*BE591</f>
        <v>91036.475639524055</v>
      </c>
      <c r="BS591" s="866">
        <f>VLOOKUP(BD591,$BD$4:$BN$12824,7,0)*BE591</f>
        <v>4551.9230338612033</v>
      </c>
      <c r="BT591" s="866"/>
      <c r="BU591" s="866">
        <f>VLOOKUP(BD591,$BD$4:$BN$12824,9,0)*BE591</f>
        <v>2363.1401190629531</v>
      </c>
      <c r="BV591" s="867"/>
      <c r="BW591" s="867">
        <f>VLOOKUP(BD591,$BD$4:$BN$12824,11,0)*BE591</f>
        <v>9925.1885000644033</v>
      </c>
      <c r="BX591" s="1146">
        <f t="shared" si="112"/>
        <v>107876.72729251263</v>
      </c>
      <c r="BY591" s="867">
        <f t="shared" si="121"/>
        <v>2361484.1836462566</v>
      </c>
      <c r="BZ591" s="867">
        <f t="shared" si="118"/>
        <v>4722968.3672925131</v>
      </c>
      <c r="CA591" s="867">
        <f>_xlfn.MAXIFS($BY$4:$BY$12824,$S$4:$S$12824,$S591)</f>
        <v>2361484.1836462566</v>
      </c>
      <c r="CB591" s="1032"/>
      <c r="CC591" s="999" t="s">
        <v>1889</v>
      </c>
      <c r="CF591" s="946">
        <f t="shared" si="120"/>
        <v>4615091.6400000006</v>
      </c>
    </row>
    <row r="592" spans="1:84">
      <c r="A592" s="1032"/>
      <c r="B592" s="839" t="s">
        <v>98</v>
      </c>
      <c r="C592" s="839" t="s">
        <v>131</v>
      </c>
      <c r="D592" s="839" t="s">
        <v>1868</v>
      </c>
      <c r="E592" s="839" t="s">
        <v>1952</v>
      </c>
      <c r="F592" s="841">
        <v>45520</v>
      </c>
      <c r="G592" s="840" t="s">
        <v>133</v>
      </c>
      <c r="H592" s="842" t="s">
        <v>134</v>
      </c>
      <c r="I592" s="842"/>
      <c r="J592" s="841"/>
      <c r="K592" s="841"/>
      <c r="L592" s="843" t="s">
        <v>106</v>
      </c>
      <c r="M592" s="844" t="s">
        <v>107</v>
      </c>
      <c r="N592" s="841" t="s">
        <v>1869</v>
      </c>
      <c r="O592" s="841" t="s">
        <v>150</v>
      </c>
      <c r="P592" s="841" t="s">
        <v>151</v>
      </c>
      <c r="Q592" s="843"/>
      <c r="R592" s="845" t="s">
        <v>2030</v>
      </c>
      <c r="S592" s="1127" t="s">
        <v>2031</v>
      </c>
      <c r="T592" s="843" t="s">
        <v>2032</v>
      </c>
      <c r="U592" s="842">
        <v>2</v>
      </c>
      <c r="V592" s="842" t="s">
        <v>8</v>
      </c>
      <c r="W592" s="846">
        <v>212</v>
      </c>
      <c r="X592" s="847">
        <f t="shared" si="113"/>
        <v>424</v>
      </c>
      <c r="Y592" s="848">
        <f t="shared" si="119"/>
        <v>0.48699999999999999</v>
      </c>
      <c r="Z592" s="849">
        <v>108.756</v>
      </c>
      <c r="AA592" s="849"/>
      <c r="AB592" s="849">
        <f t="shared" si="114"/>
        <v>217.512</v>
      </c>
      <c r="AC592" s="850">
        <f t="shared" si="115"/>
        <v>217.512</v>
      </c>
      <c r="AD592" s="851"/>
      <c r="AE592" s="852">
        <v>24580</v>
      </c>
      <c r="AF592" s="853">
        <v>0.25</v>
      </c>
      <c r="AG592" s="854">
        <f t="shared" si="116"/>
        <v>1337929.5565070745</v>
      </c>
      <c r="AH592" s="853"/>
      <c r="AI592" s="855">
        <f t="shared" si="117"/>
        <v>0</v>
      </c>
      <c r="AJ592" s="845" t="s">
        <v>1872</v>
      </c>
      <c r="AK592" s="857" t="s">
        <v>1745</v>
      </c>
      <c r="AL592" s="840">
        <v>244737306</v>
      </c>
      <c r="AM592" s="840"/>
      <c r="AN592" s="858"/>
      <c r="AO592" s="844"/>
      <c r="AP592" s="859" t="s">
        <v>1873</v>
      </c>
      <c r="AQ592" s="859"/>
      <c r="AR592" s="859">
        <v>45453</v>
      </c>
      <c r="AS592" s="840" t="s">
        <v>1874</v>
      </c>
      <c r="AT592" s="840" t="s">
        <v>1875</v>
      </c>
      <c r="AU592" s="860" t="s">
        <v>1876</v>
      </c>
      <c r="AV592" s="839" t="s">
        <v>1877</v>
      </c>
      <c r="AW592" s="861">
        <v>45575</v>
      </c>
      <c r="AX592" s="862">
        <v>45582</v>
      </c>
      <c r="AY592" s="843" t="s">
        <v>2033</v>
      </c>
      <c r="AZ592" s="842">
        <v>94017990</v>
      </c>
      <c r="BA592" s="842" t="s">
        <v>120</v>
      </c>
      <c r="BB592" s="863" t="s">
        <v>121</v>
      </c>
      <c r="BC592" s="864">
        <v>45584</v>
      </c>
      <c r="BD592" s="860" t="s">
        <v>1879</v>
      </c>
      <c r="BE592" s="865" cm="1">
        <f t="array" ref="BE592">IF(BD592="","",AC592/SUMPRODUCT(--(BD592=$BD$4:$BD$12824),$AC$4:$AC$12824))</f>
        <v>5.4752536091950384E-3</v>
      </c>
      <c r="BF592" s="458"/>
      <c r="BG592" s="458"/>
      <c r="BH592" s="458"/>
      <c r="BI592" s="458"/>
      <c r="BJ592" s="458"/>
      <c r="BK592" s="458"/>
      <c r="BL592" s="458"/>
      <c r="BM592" s="458"/>
      <c r="BN592" s="458"/>
      <c r="BO592" s="866">
        <f>VLOOKUP(BD592,$BD$4:$BN$12824,3,0)*BE592</f>
        <v>0</v>
      </c>
      <c r="BP592" s="866"/>
      <c r="BQ592" s="866"/>
      <c r="BR592" s="866">
        <f>VLOOKUP(BD592,$BD$4:$BN$12824,6,0)*BE592</f>
        <v>105463.02095944862</v>
      </c>
      <c r="BS592" s="866">
        <f>VLOOKUP(BD592,$BD$4:$BN$12824,7,0)*BE592</f>
        <v>5273.2660282982242</v>
      </c>
      <c r="BT592" s="866"/>
      <c r="BU592" s="866">
        <f>VLOOKUP(BD592,$BD$4:$BN$12824,9,0)*BE592</f>
        <v>2737.6268045975194</v>
      </c>
      <c r="BV592" s="867"/>
      <c r="BW592" s="867">
        <f>VLOOKUP(BD592,$BD$4:$BN$12824,11,0)*BE592</f>
        <v>11498.03257930958</v>
      </c>
      <c r="BX592" s="1146">
        <f t="shared" si="112"/>
        <v>124971.94637165395</v>
      </c>
      <c r="BY592" s="867">
        <f t="shared" si="121"/>
        <v>3404673.2314393641</v>
      </c>
      <c r="BZ592" s="867">
        <f t="shared" si="118"/>
        <v>6809346.4628787283</v>
      </c>
      <c r="CA592" s="867">
        <f>_xlfn.MAXIFS($BY$4:$BY$12824,$S$4:$S$12824,$S592)</f>
        <v>3404673.2314393641</v>
      </c>
      <c r="CB592" s="1032"/>
      <c r="CC592" s="999" t="s">
        <v>1889</v>
      </c>
      <c r="CF592" s="946">
        <f t="shared" si="120"/>
        <v>5346444.96</v>
      </c>
    </row>
    <row r="593" spans="1:84">
      <c r="A593" s="1032"/>
      <c r="B593" s="839" t="s">
        <v>98</v>
      </c>
      <c r="C593" s="839" t="s">
        <v>131</v>
      </c>
      <c r="D593" s="839" t="s">
        <v>1868</v>
      </c>
      <c r="E593" s="839" t="s">
        <v>1952</v>
      </c>
      <c r="F593" s="841">
        <v>45520</v>
      </c>
      <c r="G593" s="840" t="s">
        <v>155</v>
      </c>
      <c r="H593" s="842" t="s">
        <v>134</v>
      </c>
      <c r="I593" s="842"/>
      <c r="J593" s="841"/>
      <c r="K593" s="841"/>
      <c r="L593" s="843" t="s">
        <v>106</v>
      </c>
      <c r="M593" s="844" t="s">
        <v>107</v>
      </c>
      <c r="N593" s="841" t="s">
        <v>1869</v>
      </c>
      <c r="O593" s="841" t="s">
        <v>150</v>
      </c>
      <c r="P593" s="841" t="s">
        <v>461</v>
      </c>
      <c r="Q593" s="843"/>
      <c r="R593" s="845" t="s">
        <v>2034</v>
      </c>
      <c r="S593" s="1127" t="s">
        <v>2035</v>
      </c>
      <c r="T593" s="843" t="s">
        <v>2036</v>
      </c>
      <c r="U593" s="842">
        <v>2</v>
      </c>
      <c r="V593" s="842" t="s">
        <v>8</v>
      </c>
      <c r="W593" s="846">
        <v>329</v>
      </c>
      <c r="X593" s="847">
        <f t="shared" si="113"/>
        <v>658</v>
      </c>
      <c r="Y593" s="848">
        <f t="shared" si="119"/>
        <v>0.5</v>
      </c>
      <c r="Z593" s="849">
        <v>164.5</v>
      </c>
      <c r="AA593" s="849"/>
      <c r="AB593" s="849">
        <f t="shared" si="114"/>
        <v>329</v>
      </c>
      <c r="AC593" s="850">
        <f t="shared" si="115"/>
        <v>329</v>
      </c>
      <c r="AD593" s="851"/>
      <c r="AE593" s="852">
        <v>24580</v>
      </c>
      <c r="AF593" s="853">
        <v>0.05</v>
      </c>
      <c r="AG593" s="854">
        <f t="shared" si="116"/>
        <v>404739.80662292428</v>
      </c>
      <c r="AH593" s="853"/>
      <c r="AI593" s="855">
        <f t="shared" si="117"/>
        <v>0</v>
      </c>
      <c r="AJ593" s="845" t="s">
        <v>1872</v>
      </c>
      <c r="AK593" s="857" t="s">
        <v>1745</v>
      </c>
      <c r="AL593" s="840">
        <v>244737306</v>
      </c>
      <c r="AM593" s="840"/>
      <c r="AN593" s="858"/>
      <c r="AO593" s="844"/>
      <c r="AP593" s="859" t="s">
        <v>1873</v>
      </c>
      <c r="AQ593" s="859"/>
      <c r="AR593" s="859">
        <v>45453</v>
      </c>
      <c r="AS593" s="840" t="s">
        <v>1874</v>
      </c>
      <c r="AT593" s="840" t="s">
        <v>1875</v>
      </c>
      <c r="AU593" s="860" t="s">
        <v>1876</v>
      </c>
      <c r="AV593" s="839" t="s">
        <v>1877</v>
      </c>
      <c r="AW593" s="861">
        <v>45575</v>
      </c>
      <c r="AX593" s="862">
        <v>45582</v>
      </c>
      <c r="AY593" s="843" t="s">
        <v>2037</v>
      </c>
      <c r="AZ593" s="842">
        <v>94031000</v>
      </c>
      <c r="BA593" s="842" t="s">
        <v>120</v>
      </c>
      <c r="BB593" s="863" t="s">
        <v>121</v>
      </c>
      <c r="BC593" s="864">
        <v>45584</v>
      </c>
      <c r="BD593" s="860" t="s">
        <v>1879</v>
      </c>
      <c r="BE593" s="865" cm="1">
        <f t="array" ref="BE593">IF(BD593="","",AC593/SUMPRODUCT(--(BD593=$BD$4:$BD$12824),$AC$4:$AC$12824))</f>
        <v>8.2816508396096212E-3</v>
      </c>
      <c r="BF593" s="458"/>
      <c r="BG593" s="458"/>
      <c r="BH593" s="458"/>
      <c r="BI593" s="458"/>
      <c r="BJ593" s="458"/>
      <c r="BK593" s="458"/>
      <c r="BL593" s="458"/>
      <c r="BM593" s="458"/>
      <c r="BN593" s="458"/>
      <c r="BO593" s="866">
        <f>VLOOKUP(BD593,$BD$4:$BN$12824,3,0)*BE593</f>
        <v>0</v>
      </c>
      <c r="BP593" s="866"/>
      <c r="BQ593" s="866"/>
      <c r="BR593" s="866">
        <f>VLOOKUP(BD593,$BD$4:$BN$12824,6,0)*BE593</f>
        <v>159519.17087635901</v>
      </c>
      <c r="BS593" s="866">
        <f>VLOOKUP(BD593,$BD$4:$BN$12824,7,0)*BE593</f>
        <v>7976.1324584855829</v>
      </c>
      <c r="BT593" s="866"/>
      <c r="BU593" s="866">
        <f>VLOOKUP(BD593,$BD$4:$BN$12824,9,0)*BE593</f>
        <v>4140.8254198048107</v>
      </c>
      <c r="BV593" s="867"/>
      <c r="BW593" s="867">
        <f>VLOOKUP(BD593,$BD$4:$BN$12824,11,0)*BE593</f>
        <v>17391.466763180204</v>
      </c>
      <c r="BX593" s="1146">
        <f t="shared" si="112"/>
        <v>189027.59551782961</v>
      </c>
      <c r="BY593" s="867">
        <f t="shared" si="121"/>
        <v>4340293.7010703767</v>
      </c>
      <c r="BZ593" s="867">
        <f t="shared" si="118"/>
        <v>8680587.4021407533</v>
      </c>
      <c r="CA593" s="867">
        <f>_xlfn.MAXIFS($BY$4:$BY$12824,$S$4:$S$12824,$S593)</f>
        <v>4340293.7010703767</v>
      </c>
      <c r="CB593" s="1032"/>
      <c r="CC593" s="999" t="s">
        <v>1889</v>
      </c>
      <c r="CF593" s="946">
        <f t="shared" si="120"/>
        <v>8086820</v>
      </c>
    </row>
    <row r="594" spans="1:84">
      <c r="A594" s="1032"/>
      <c r="B594" s="839" t="s">
        <v>98</v>
      </c>
      <c r="C594" s="839" t="s">
        <v>131</v>
      </c>
      <c r="D594" s="839" t="s">
        <v>1868</v>
      </c>
      <c r="E594" s="839" t="s">
        <v>1952</v>
      </c>
      <c r="F594" s="841">
        <v>45520</v>
      </c>
      <c r="G594" s="840" t="s">
        <v>155</v>
      </c>
      <c r="H594" s="842" t="s">
        <v>134</v>
      </c>
      <c r="I594" s="842"/>
      <c r="J594" s="841"/>
      <c r="K594" s="841"/>
      <c r="L594" s="843" t="s">
        <v>106</v>
      </c>
      <c r="M594" s="844" t="s">
        <v>107</v>
      </c>
      <c r="N594" s="841" t="s">
        <v>1869</v>
      </c>
      <c r="O594" s="841" t="s">
        <v>150</v>
      </c>
      <c r="P594" s="841" t="s">
        <v>461</v>
      </c>
      <c r="Q594" s="843"/>
      <c r="R594" s="845" t="s">
        <v>2038</v>
      </c>
      <c r="S594" s="1127" t="s">
        <v>2039</v>
      </c>
      <c r="T594" s="843" t="s">
        <v>2040</v>
      </c>
      <c r="U594" s="842">
        <v>2</v>
      </c>
      <c r="V594" s="842" t="s">
        <v>8</v>
      </c>
      <c r="W594" s="846">
        <v>329</v>
      </c>
      <c r="X594" s="847">
        <f t="shared" si="113"/>
        <v>658</v>
      </c>
      <c r="Y594" s="848">
        <f t="shared" si="119"/>
        <v>0.5</v>
      </c>
      <c r="Z594" s="849">
        <v>164.5</v>
      </c>
      <c r="AA594" s="849"/>
      <c r="AB594" s="849">
        <f t="shared" si="114"/>
        <v>329</v>
      </c>
      <c r="AC594" s="850">
        <f t="shared" si="115"/>
        <v>329</v>
      </c>
      <c r="AD594" s="851"/>
      <c r="AE594" s="852">
        <v>24580</v>
      </c>
      <c r="AF594" s="853">
        <v>0.05</v>
      </c>
      <c r="AG594" s="854">
        <f t="shared" si="116"/>
        <v>404739.80662292428</v>
      </c>
      <c r="AH594" s="853"/>
      <c r="AI594" s="855">
        <f t="shared" si="117"/>
        <v>0</v>
      </c>
      <c r="AJ594" s="845" t="s">
        <v>1872</v>
      </c>
      <c r="AK594" s="857" t="s">
        <v>1745</v>
      </c>
      <c r="AL594" s="840">
        <v>244737306</v>
      </c>
      <c r="AM594" s="840"/>
      <c r="AN594" s="858"/>
      <c r="AO594" s="844"/>
      <c r="AP594" s="859" t="s">
        <v>1873</v>
      </c>
      <c r="AQ594" s="859"/>
      <c r="AR594" s="859">
        <v>45453</v>
      </c>
      <c r="AS594" s="840" t="s">
        <v>1874</v>
      </c>
      <c r="AT594" s="840" t="s">
        <v>1875</v>
      </c>
      <c r="AU594" s="860" t="s">
        <v>1876</v>
      </c>
      <c r="AV594" s="839" t="s">
        <v>1877</v>
      </c>
      <c r="AW594" s="861">
        <v>45575</v>
      </c>
      <c r="AX594" s="862">
        <v>45582</v>
      </c>
      <c r="AY594" s="843" t="s">
        <v>2041</v>
      </c>
      <c r="AZ594" s="842">
        <v>94031000</v>
      </c>
      <c r="BA594" s="842" t="s">
        <v>120</v>
      </c>
      <c r="BB594" s="863" t="s">
        <v>121</v>
      </c>
      <c r="BC594" s="864">
        <v>45584</v>
      </c>
      <c r="BD594" s="860" t="s">
        <v>1879</v>
      </c>
      <c r="BE594" s="865" cm="1">
        <f t="array" ref="BE594">IF(BD594="","",AC594/SUMPRODUCT(--(BD594=$BD$4:$BD$12824),$AC$4:$AC$12824))</f>
        <v>8.2816508396096212E-3</v>
      </c>
      <c r="BF594" s="458"/>
      <c r="BG594" s="458"/>
      <c r="BH594" s="458"/>
      <c r="BI594" s="458"/>
      <c r="BJ594" s="458"/>
      <c r="BK594" s="458"/>
      <c r="BL594" s="458"/>
      <c r="BM594" s="458"/>
      <c r="BN594" s="458"/>
      <c r="BO594" s="866">
        <f>VLOOKUP(BD594,$BD$4:$BN$12824,3,0)*BE594</f>
        <v>0</v>
      </c>
      <c r="BP594" s="866"/>
      <c r="BQ594" s="866"/>
      <c r="BR594" s="866">
        <f>VLOOKUP(BD594,$BD$4:$BN$12824,6,0)*BE594</f>
        <v>159519.17087635901</v>
      </c>
      <c r="BS594" s="866">
        <f>VLOOKUP(BD594,$BD$4:$BN$12824,7,0)*BE594</f>
        <v>7976.1324584855829</v>
      </c>
      <c r="BT594" s="866"/>
      <c r="BU594" s="866">
        <f>VLOOKUP(BD594,$BD$4:$BN$12824,9,0)*BE594</f>
        <v>4140.8254198048107</v>
      </c>
      <c r="BV594" s="867"/>
      <c r="BW594" s="867">
        <f>VLOOKUP(BD594,$BD$4:$BN$12824,11,0)*BE594</f>
        <v>17391.466763180204</v>
      </c>
      <c r="BX594" s="1146">
        <f t="shared" si="112"/>
        <v>189027.59551782961</v>
      </c>
      <c r="BY594" s="867">
        <f t="shared" si="121"/>
        <v>4340293.7010703767</v>
      </c>
      <c r="BZ594" s="867">
        <f t="shared" si="118"/>
        <v>8680587.4021407533</v>
      </c>
      <c r="CA594" s="867">
        <f>_xlfn.MAXIFS($BY$4:$BY$12824,$S$4:$S$12824,$S594)</f>
        <v>4340293.7010703767</v>
      </c>
      <c r="CB594" s="1032"/>
      <c r="CC594" s="999" t="s">
        <v>1889</v>
      </c>
      <c r="CF594" s="946">
        <f t="shared" si="120"/>
        <v>8086820</v>
      </c>
    </row>
    <row r="595" spans="1:84">
      <c r="A595" s="1032"/>
      <c r="B595" s="839" t="s">
        <v>98</v>
      </c>
      <c r="C595" s="839" t="s">
        <v>131</v>
      </c>
      <c r="D595" s="839" t="s">
        <v>1868</v>
      </c>
      <c r="E595" s="839" t="s">
        <v>1952</v>
      </c>
      <c r="F595" s="841">
        <v>45520</v>
      </c>
      <c r="G595" s="840" t="s">
        <v>155</v>
      </c>
      <c r="H595" s="842" t="s">
        <v>134</v>
      </c>
      <c r="I595" s="842"/>
      <c r="J595" s="841"/>
      <c r="K595" s="841"/>
      <c r="L595" s="843" t="s">
        <v>106</v>
      </c>
      <c r="M595" s="844" t="s">
        <v>107</v>
      </c>
      <c r="N595" s="841" t="s">
        <v>1869</v>
      </c>
      <c r="O595" s="841" t="s">
        <v>150</v>
      </c>
      <c r="P595" s="841" t="s">
        <v>461</v>
      </c>
      <c r="Q595" s="843"/>
      <c r="R595" s="845" t="s">
        <v>2042</v>
      </c>
      <c r="S595" s="1127" t="s">
        <v>2043</v>
      </c>
      <c r="T595" s="843" t="s">
        <v>2044</v>
      </c>
      <c r="U595" s="842">
        <v>2</v>
      </c>
      <c r="V595" s="842" t="s">
        <v>8</v>
      </c>
      <c r="W595" s="846">
        <v>329</v>
      </c>
      <c r="X595" s="847">
        <f t="shared" si="113"/>
        <v>658</v>
      </c>
      <c r="Y595" s="848">
        <f t="shared" si="119"/>
        <v>0.5</v>
      </c>
      <c r="Z595" s="849">
        <v>164.5</v>
      </c>
      <c r="AA595" s="849"/>
      <c r="AB595" s="849">
        <f t="shared" si="114"/>
        <v>329</v>
      </c>
      <c r="AC595" s="850">
        <f t="shared" si="115"/>
        <v>329</v>
      </c>
      <c r="AD595" s="851"/>
      <c r="AE595" s="852">
        <v>24580</v>
      </c>
      <c r="AF595" s="853">
        <v>0.05</v>
      </c>
      <c r="AG595" s="854">
        <f t="shared" si="116"/>
        <v>404739.80662292428</v>
      </c>
      <c r="AH595" s="853"/>
      <c r="AI595" s="855">
        <f t="shared" si="117"/>
        <v>0</v>
      </c>
      <c r="AJ595" s="845" t="s">
        <v>1872</v>
      </c>
      <c r="AK595" s="857" t="s">
        <v>1745</v>
      </c>
      <c r="AL595" s="840">
        <v>244737306</v>
      </c>
      <c r="AM595" s="840"/>
      <c r="AN595" s="858"/>
      <c r="AO595" s="844"/>
      <c r="AP595" s="859" t="s">
        <v>1873</v>
      </c>
      <c r="AQ595" s="859"/>
      <c r="AR595" s="859">
        <v>45453</v>
      </c>
      <c r="AS595" s="840" t="s">
        <v>1874</v>
      </c>
      <c r="AT595" s="840" t="s">
        <v>1875</v>
      </c>
      <c r="AU595" s="860" t="s">
        <v>1876</v>
      </c>
      <c r="AV595" s="839" t="s">
        <v>1877</v>
      </c>
      <c r="AW595" s="861">
        <v>45575</v>
      </c>
      <c r="AX595" s="862">
        <v>45582</v>
      </c>
      <c r="AY595" s="843" t="s">
        <v>2045</v>
      </c>
      <c r="AZ595" s="842">
        <v>94031000</v>
      </c>
      <c r="BA595" s="842" t="s">
        <v>120</v>
      </c>
      <c r="BB595" s="863" t="s">
        <v>121</v>
      </c>
      <c r="BC595" s="864">
        <v>45584</v>
      </c>
      <c r="BD595" s="860" t="s">
        <v>1879</v>
      </c>
      <c r="BE595" s="865" cm="1">
        <f t="array" ref="BE595">IF(BD595="","",AC595/SUMPRODUCT(--(BD595=$BD$4:$BD$12824),$AC$4:$AC$12824))</f>
        <v>8.2816508396096212E-3</v>
      </c>
      <c r="BF595" s="458"/>
      <c r="BG595" s="458"/>
      <c r="BH595" s="458"/>
      <c r="BI595" s="458"/>
      <c r="BJ595" s="458"/>
      <c r="BK595" s="458"/>
      <c r="BL595" s="458"/>
      <c r="BM595" s="458"/>
      <c r="BN595" s="458"/>
      <c r="BO595" s="866">
        <f>VLOOKUP(BD595,$BD$4:$BN$12824,3,0)*BE595</f>
        <v>0</v>
      </c>
      <c r="BP595" s="866"/>
      <c r="BQ595" s="866"/>
      <c r="BR595" s="866">
        <f>VLOOKUP(BD595,$BD$4:$BN$12824,6,0)*BE595</f>
        <v>159519.17087635901</v>
      </c>
      <c r="BS595" s="866">
        <f>VLOOKUP(BD595,$BD$4:$BN$12824,7,0)*BE595</f>
        <v>7976.1324584855829</v>
      </c>
      <c r="BT595" s="866"/>
      <c r="BU595" s="866">
        <f>VLOOKUP(BD595,$BD$4:$BN$12824,9,0)*BE595</f>
        <v>4140.8254198048107</v>
      </c>
      <c r="BV595" s="867"/>
      <c r="BW595" s="867">
        <f>VLOOKUP(BD595,$BD$4:$BN$12824,11,0)*BE595</f>
        <v>17391.466763180204</v>
      </c>
      <c r="BX595" s="1146">
        <f t="shared" si="112"/>
        <v>189027.59551782961</v>
      </c>
      <c r="BY595" s="867">
        <f t="shared" si="121"/>
        <v>4340293.7010703767</v>
      </c>
      <c r="BZ595" s="867">
        <f t="shared" si="118"/>
        <v>8680587.4021407533</v>
      </c>
      <c r="CA595" s="867">
        <f>_xlfn.MAXIFS($BY$4:$BY$12824,$S$4:$S$12824,$S595)</f>
        <v>4340293.7010703767</v>
      </c>
      <c r="CB595" s="1032"/>
      <c r="CC595" s="999" t="s">
        <v>1889</v>
      </c>
      <c r="CF595" s="946">
        <f t="shared" si="120"/>
        <v>8086820</v>
      </c>
    </row>
    <row r="596" spans="1:84">
      <c r="A596" s="1032"/>
      <c r="B596" s="839" t="s">
        <v>98</v>
      </c>
      <c r="C596" s="839" t="s">
        <v>131</v>
      </c>
      <c r="D596" s="839" t="s">
        <v>1868</v>
      </c>
      <c r="E596" s="839" t="s">
        <v>1952</v>
      </c>
      <c r="F596" s="841">
        <v>45520</v>
      </c>
      <c r="G596" s="840" t="s">
        <v>133</v>
      </c>
      <c r="H596" s="842" t="s">
        <v>134</v>
      </c>
      <c r="I596" s="842"/>
      <c r="J596" s="841"/>
      <c r="K596" s="841"/>
      <c r="L596" s="843" t="s">
        <v>106</v>
      </c>
      <c r="M596" s="844" t="s">
        <v>107</v>
      </c>
      <c r="N596" s="841" t="s">
        <v>1869</v>
      </c>
      <c r="O596" s="841" t="s">
        <v>108</v>
      </c>
      <c r="P596" s="841" t="s">
        <v>160</v>
      </c>
      <c r="Q596" s="843"/>
      <c r="R596" s="845" t="s">
        <v>2046</v>
      </c>
      <c r="S596" s="1127" t="s">
        <v>2047</v>
      </c>
      <c r="T596" s="843" t="s">
        <v>2048</v>
      </c>
      <c r="U596" s="842">
        <v>2</v>
      </c>
      <c r="V596" s="842" t="s">
        <v>8</v>
      </c>
      <c r="W596" s="846">
        <v>168</v>
      </c>
      <c r="X596" s="847">
        <f t="shared" si="113"/>
        <v>336</v>
      </c>
      <c r="Y596" s="848">
        <f t="shared" si="119"/>
        <v>0.48702380952380947</v>
      </c>
      <c r="Z596" s="849">
        <v>86.18</v>
      </c>
      <c r="AA596" s="849"/>
      <c r="AB596" s="849">
        <f t="shared" si="114"/>
        <v>172.36</v>
      </c>
      <c r="AC596" s="850">
        <f t="shared" si="115"/>
        <v>172.36</v>
      </c>
      <c r="AD596" s="851"/>
      <c r="AE596" s="852">
        <v>24580</v>
      </c>
      <c r="AF596" s="853">
        <v>0</v>
      </c>
      <c r="AG596" s="854">
        <f t="shared" si="116"/>
        <v>0</v>
      </c>
      <c r="AH596" s="853"/>
      <c r="AI596" s="855">
        <f t="shared" si="117"/>
        <v>0</v>
      </c>
      <c r="AJ596" s="845" t="s">
        <v>1872</v>
      </c>
      <c r="AK596" s="857" t="s">
        <v>1745</v>
      </c>
      <c r="AL596" s="840">
        <v>244737306</v>
      </c>
      <c r="AM596" s="840"/>
      <c r="AN596" s="858"/>
      <c r="AO596" s="844"/>
      <c r="AP596" s="859" t="s">
        <v>1873</v>
      </c>
      <c r="AQ596" s="859"/>
      <c r="AR596" s="859">
        <v>45453</v>
      </c>
      <c r="AS596" s="840" t="s">
        <v>1874</v>
      </c>
      <c r="AT596" s="840" t="s">
        <v>1875</v>
      </c>
      <c r="AU596" s="860" t="s">
        <v>1876</v>
      </c>
      <c r="AV596" s="839" t="s">
        <v>1877</v>
      </c>
      <c r="AW596" s="861">
        <v>45575</v>
      </c>
      <c r="AX596" s="862">
        <v>45582</v>
      </c>
      <c r="AY596" s="843" t="s">
        <v>2049</v>
      </c>
      <c r="AZ596" s="842">
        <v>94052990</v>
      </c>
      <c r="BA596" s="842" t="s">
        <v>120</v>
      </c>
      <c r="BB596" s="863" t="s">
        <v>121</v>
      </c>
      <c r="BC596" s="864">
        <v>45584</v>
      </c>
      <c r="BD596" s="860" t="s">
        <v>1879</v>
      </c>
      <c r="BE596" s="865" cm="1">
        <f t="array" ref="BE596">IF(BD596="","",AC596/SUMPRODUCT(--(BD596=$BD$4:$BD$12824),$AC$4:$AC$12824))</f>
        <v>4.3386788410793749E-3</v>
      </c>
      <c r="BF596" s="458"/>
      <c r="BG596" s="458"/>
      <c r="BH596" s="458"/>
      <c r="BI596" s="458"/>
      <c r="BJ596" s="458"/>
      <c r="BK596" s="458"/>
      <c r="BL596" s="458"/>
      <c r="BM596" s="458"/>
      <c r="BN596" s="458"/>
      <c r="BO596" s="866">
        <f>VLOOKUP(BD596,$BD$4:$BN$12824,3,0)*BE596</f>
        <v>0</v>
      </c>
      <c r="BP596" s="866"/>
      <c r="BQ596" s="866"/>
      <c r="BR596" s="866">
        <f>VLOOKUP(BD596,$BD$4:$BN$12824,6,0)*BE596</f>
        <v>83570.590553949063</v>
      </c>
      <c r="BS596" s="866">
        <f>VLOOKUP(BD596,$BD$4:$BN$12824,7,0)*BE596</f>
        <v>4178.6206399531156</v>
      </c>
      <c r="BT596" s="866"/>
      <c r="BU596" s="866">
        <f>VLOOKUP(BD596,$BD$4:$BN$12824,9,0)*BE596</f>
        <v>2169.3394205396876</v>
      </c>
      <c r="BV596" s="867"/>
      <c r="BW596" s="867">
        <f>VLOOKUP(BD596,$BD$4:$BN$12824,11,0)*BE596</f>
        <v>9111.2255662666867</v>
      </c>
      <c r="BX596" s="1146">
        <f t="shared" si="112"/>
        <v>99029.776180708563</v>
      </c>
      <c r="BY596" s="867">
        <f t="shared" si="121"/>
        <v>2167819.2880903548</v>
      </c>
      <c r="BZ596" s="867">
        <f t="shared" si="118"/>
        <v>4335638.5761807095</v>
      </c>
      <c r="CA596" s="867">
        <f>_xlfn.MAXIFS($BY$4:$BY$12824,$S$4:$S$12824,$S596)</f>
        <v>2565458.4426250095</v>
      </c>
      <c r="CB596" s="1032"/>
      <c r="CC596" s="999" t="s">
        <v>1889</v>
      </c>
      <c r="CF596" s="946">
        <f t="shared" si="120"/>
        <v>4236608.8000000007</v>
      </c>
    </row>
    <row r="597" spans="1:84">
      <c r="A597" s="1032"/>
      <c r="B597" s="839" t="s">
        <v>98</v>
      </c>
      <c r="C597" s="839" t="s">
        <v>131</v>
      </c>
      <c r="D597" s="839" t="s">
        <v>1868</v>
      </c>
      <c r="E597" s="839" t="s">
        <v>1952</v>
      </c>
      <c r="F597" s="841">
        <v>45520</v>
      </c>
      <c r="G597" s="840" t="s">
        <v>155</v>
      </c>
      <c r="H597" s="842" t="s">
        <v>134</v>
      </c>
      <c r="I597" s="842"/>
      <c r="J597" s="841"/>
      <c r="K597" s="841"/>
      <c r="L597" s="843" t="s">
        <v>106</v>
      </c>
      <c r="M597" s="844" t="s">
        <v>107</v>
      </c>
      <c r="N597" s="841" t="s">
        <v>1869</v>
      </c>
      <c r="O597" s="841" t="s">
        <v>108</v>
      </c>
      <c r="P597" s="841" t="s">
        <v>160</v>
      </c>
      <c r="Q597" s="843"/>
      <c r="R597" s="845">
        <v>20712201</v>
      </c>
      <c r="S597" s="1127" t="s">
        <v>162</v>
      </c>
      <c r="T597" s="843" t="s">
        <v>2050</v>
      </c>
      <c r="U597" s="842">
        <v>4</v>
      </c>
      <c r="V597" s="842" t="s">
        <v>8</v>
      </c>
      <c r="W597" s="846">
        <v>171</v>
      </c>
      <c r="X597" s="847">
        <f t="shared" si="113"/>
        <v>684</v>
      </c>
      <c r="Y597" s="848">
        <f t="shared" si="119"/>
        <v>0.5</v>
      </c>
      <c r="Z597" s="849">
        <v>85.5</v>
      </c>
      <c r="AA597" s="849"/>
      <c r="AB597" s="849">
        <f t="shared" si="114"/>
        <v>342</v>
      </c>
      <c r="AC597" s="850">
        <f t="shared" si="115"/>
        <v>342</v>
      </c>
      <c r="AD597" s="851"/>
      <c r="AE597" s="852">
        <v>24580</v>
      </c>
      <c r="AF597" s="853">
        <v>0</v>
      </c>
      <c r="AG597" s="854">
        <f t="shared" si="116"/>
        <v>0</v>
      </c>
      <c r="AH597" s="853"/>
      <c r="AI597" s="855">
        <f t="shared" si="117"/>
        <v>0</v>
      </c>
      <c r="AJ597" s="845" t="s">
        <v>1872</v>
      </c>
      <c r="AK597" s="857" t="s">
        <v>1745</v>
      </c>
      <c r="AL597" s="840">
        <v>244737306</v>
      </c>
      <c r="AM597" s="840"/>
      <c r="AN597" s="858"/>
      <c r="AO597" s="844"/>
      <c r="AP597" s="859" t="s">
        <v>1873</v>
      </c>
      <c r="AQ597" s="859"/>
      <c r="AR597" s="859">
        <v>45453</v>
      </c>
      <c r="AS597" s="840" t="s">
        <v>1874</v>
      </c>
      <c r="AT597" s="840" t="s">
        <v>1875</v>
      </c>
      <c r="AU597" s="860" t="s">
        <v>1876</v>
      </c>
      <c r="AV597" s="839" t="s">
        <v>1877</v>
      </c>
      <c r="AW597" s="861">
        <v>45575</v>
      </c>
      <c r="AX597" s="862">
        <v>45582</v>
      </c>
      <c r="AY597" s="843" t="s">
        <v>2051</v>
      </c>
      <c r="AZ597" s="842">
        <v>94052190</v>
      </c>
      <c r="BA597" s="842" t="s">
        <v>120</v>
      </c>
      <c r="BB597" s="863" t="s">
        <v>121</v>
      </c>
      <c r="BC597" s="864">
        <v>45584</v>
      </c>
      <c r="BD597" s="860" t="s">
        <v>1879</v>
      </c>
      <c r="BE597" s="865" cm="1">
        <f t="array" ref="BE597">IF(BD597="","",AC597/SUMPRODUCT(--(BD597=$BD$4:$BD$12824),$AC$4:$AC$12824))</f>
        <v>8.6088893226337095E-3</v>
      </c>
      <c r="BF597" s="458"/>
      <c r="BG597" s="458"/>
      <c r="BH597" s="458"/>
      <c r="BI597" s="458"/>
      <c r="BJ597" s="458"/>
      <c r="BK597" s="458"/>
      <c r="BL597" s="458"/>
      <c r="BM597" s="458"/>
      <c r="BN597" s="458"/>
      <c r="BO597" s="866">
        <f>VLOOKUP(BD597,$BD$4:$BN$12824,3,0)*BE597</f>
        <v>0</v>
      </c>
      <c r="BP597" s="866"/>
      <c r="BQ597" s="866"/>
      <c r="BR597" s="866">
        <f>VLOOKUP(BD597,$BD$4:$BN$12824,6,0)*BE597</f>
        <v>165822.35999913307</v>
      </c>
      <c r="BS597" s="866">
        <f>VLOOKUP(BD597,$BD$4:$BN$12824,7,0)*BE597</f>
        <v>8291.2987866324293</v>
      </c>
      <c r="BT597" s="866"/>
      <c r="BU597" s="866">
        <f>VLOOKUP(BD597,$BD$4:$BN$12824,9,0)*BE597</f>
        <v>4304.4446613168548</v>
      </c>
      <c r="BV597" s="867"/>
      <c r="BW597" s="867">
        <f>VLOOKUP(BD597,$BD$4:$BN$12824,11,0)*BE597</f>
        <v>18078.667577530789</v>
      </c>
      <c r="BX597" s="1146">
        <f t="shared" si="112"/>
        <v>196496.77102461312</v>
      </c>
      <c r="BY597" s="867">
        <f t="shared" si="121"/>
        <v>2150714.1927561532</v>
      </c>
      <c r="BZ597" s="867">
        <f t="shared" si="118"/>
        <v>8602856.7710246127</v>
      </c>
      <c r="CA597" s="867">
        <f>_xlfn.MAXIFS($BY$4:$BY$12824,$S$4:$S$12824,$S597)</f>
        <v>4101317.8229847006</v>
      </c>
      <c r="CB597" s="1032"/>
      <c r="CC597" s="999" t="s">
        <v>1889</v>
      </c>
      <c r="CF597" s="946">
        <f t="shared" si="120"/>
        <v>8406360</v>
      </c>
    </row>
    <row r="598" spans="1:84">
      <c r="A598" s="1032"/>
      <c r="B598" s="839" t="s">
        <v>98</v>
      </c>
      <c r="C598" s="839" t="s">
        <v>131</v>
      </c>
      <c r="D598" s="839" t="s">
        <v>1868</v>
      </c>
      <c r="E598" s="839" t="s">
        <v>1952</v>
      </c>
      <c r="F598" s="841">
        <v>45520</v>
      </c>
      <c r="G598" s="840" t="s">
        <v>155</v>
      </c>
      <c r="H598" s="842" t="s">
        <v>134</v>
      </c>
      <c r="I598" s="842"/>
      <c r="J598" s="841"/>
      <c r="K598" s="841"/>
      <c r="L598" s="843" t="s">
        <v>106</v>
      </c>
      <c r="M598" s="844" t="s">
        <v>107</v>
      </c>
      <c r="N598" s="841" t="s">
        <v>1869</v>
      </c>
      <c r="O598" s="841" t="s">
        <v>108</v>
      </c>
      <c r="P598" s="841" t="s">
        <v>160</v>
      </c>
      <c r="Q598" s="843"/>
      <c r="R598" s="845">
        <v>20713101</v>
      </c>
      <c r="S598" s="1127" t="s">
        <v>2052</v>
      </c>
      <c r="T598" s="843" t="s">
        <v>2053</v>
      </c>
      <c r="U598" s="842">
        <v>2</v>
      </c>
      <c r="V598" s="842" t="s">
        <v>8</v>
      </c>
      <c r="W598" s="846">
        <v>171</v>
      </c>
      <c r="X598" s="847">
        <f t="shared" si="113"/>
        <v>342</v>
      </c>
      <c r="Y598" s="848">
        <f t="shared" si="119"/>
        <v>0.5</v>
      </c>
      <c r="Z598" s="849">
        <v>85.5</v>
      </c>
      <c r="AA598" s="849"/>
      <c r="AB598" s="849">
        <f t="shared" si="114"/>
        <v>171</v>
      </c>
      <c r="AC598" s="850">
        <f t="shared" si="115"/>
        <v>171</v>
      </c>
      <c r="AD598" s="851"/>
      <c r="AE598" s="852">
        <v>24580</v>
      </c>
      <c r="AF598" s="853">
        <v>0</v>
      </c>
      <c r="AG598" s="854">
        <f t="shared" si="116"/>
        <v>0</v>
      </c>
      <c r="AH598" s="853"/>
      <c r="AI598" s="855">
        <f t="shared" si="117"/>
        <v>0</v>
      </c>
      <c r="AJ598" s="845" t="s">
        <v>1872</v>
      </c>
      <c r="AK598" s="857" t="s">
        <v>1745</v>
      </c>
      <c r="AL598" s="840">
        <v>244737306</v>
      </c>
      <c r="AM598" s="840"/>
      <c r="AN598" s="858"/>
      <c r="AO598" s="844"/>
      <c r="AP598" s="859" t="s">
        <v>1873</v>
      </c>
      <c r="AQ598" s="859"/>
      <c r="AR598" s="859">
        <v>45453</v>
      </c>
      <c r="AS598" s="840" t="s">
        <v>1874</v>
      </c>
      <c r="AT598" s="840" t="s">
        <v>1875</v>
      </c>
      <c r="AU598" s="860" t="s">
        <v>1876</v>
      </c>
      <c r="AV598" s="839" t="s">
        <v>1877</v>
      </c>
      <c r="AW598" s="861">
        <v>45575</v>
      </c>
      <c r="AX598" s="862">
        <v>45582</v>
      </c>
      <c r="AY598" s="843" t="s">
        <v>2054</v>
      </c>
      <c r="AZ598" s="842"/>
      <c r="BA598" s="842" t="s">
        <v>120</v>
      </c>
      <c r="BB598" s="863" t="s">
        <v>121</v>
      </c>
      <c r="BC598" s="864">
        <v>45584</v>
      </c>
      <c r="BD598" s="860" t="s">
        <v>1879</v>
      </c>
      <c r="BE598" s="865" cm="1">
        <f t="array" ref="BE598">IF(BD598="","",AC598/SUMPRODUCT(--(BD598=$BD$4:$BD$12824),$AC$4:$AC$12824))</f>
        <v>4.3044446613168547E-3</v>
      </c>
      <c r="BF598" s="458"/>
      <c r="BG598" s="458"/>
      <c r="BH598" s="458"/>
      <c r="BI598" s="458"/>
      <c r="BJ598" s="458"/>
      <c r="BK598" s="458"/>
      <c r="BL598" s="458"/>
      <c r="BM598" s="458"/>
      <c r="BN598" s="458"/>
      <c r="BO598" s="866">
        <f>VLOOKUP(BD598,$BD$4:$BN$12824,3,0)*BE598</f>
        <v>0</v>
      </c>
      <c r="BP598" s="866"/>
      <c r="BQ598" s="866"/>
      <c r="BR598" s="866">
        <f>VLOOKUP(BD598,$BD$4:$BN$12824,6,0)*BE598</f>
        <v>82911.179999566535</v>
      </c>
      <c r="BS598" s="866">
        <f>VLOOKUP(BD598,$BD$4:$BN$12824,7,0)*BE598</f>
        <v>4145.6493933162146</v>
      </c>
      <c r="BT598" s="866"/>
      <c r="BU598" s="866">
        <f>VLOOKUP(BD598,$BD$4:$BN$12824,9,0)*BE598</f>
        <v>2152.2223306584274</v>
      </c>
      <c r="BV598" s="867"/>
      <c r="BW598" s="867">
        <f>VLOOKUP(BD598,$BD$4:$BN$12824,11,0)*BE598</f>
        <v>9039.3337887653943</v>
      </c>
      <c r="BX598" s="1146">
        <f t="shared" si="112"/>
        <v>98248.385512306559</v>
      </c>
      <c r="BY598" s="867">
        <f t="shared" si="121"/>
        <v>2150714.1927561532</v>
      </c>
      <c r="BZ598" s="867">
        <f t="shared" si="118"/>
        <v>4301428.3855123064</v>
      </c>
      <c r="CA598" s="867">
        <f>_xlfn.MAXIFS($BY$4:$BY$12824,$S$4:$S$12824,$S598)</f>
        <v>2150714.1927561532</v>
      </c>
      <c r="CB598" s="1032"/>
      <c r="CC598" s="999" t="s">
        <v>1889</v>
      </c>
      <c r="CF598" s="946">
        <f t="shared" si="120"/>
        <v>4203180</v>
      </c>
    </row>
    <row r="599" spans="1:84">
      <c r="A599" s="1032"/>
      <c r="B599" s="839" t="s">
        <v>98</v>
      </c>
      <c r="C599" s="839" t="s">
        <v>131</v>
      </c>
      <c r="D599" s="839" t="s">
        <v>1868</v>
      </c>
      <c r="E599" s="839" t="s">
        <v>1952</v>
      </c>
      <c r="F599" s="841">
        <v>45520</v>
      </c>
      <c r="G599" s="840" t="s">
        <v>155</v>
      </c>
      <c r="H599" s="842" t="s">
        <v>134</v>
      </c>
      <c r="I599" s="842"/>
      <c r="J599" s="841"/>
      <c r="K599" s="841"/>
      <c r="L599" s="843" t="s">
        <v>106</v>
      </c>
      <c r="M599" s="844" t="s">
        <v>107</v>
      </c>
      <c r="N599" s="841" t="s">
        <v>1869</v>
      </c>
      <c r="O599" s="841" t="s">
        <v>108</v>
      </c>
      <c r="P599" s="841" t="s">
        <v>160</v>
      </c>
      <c r="Q599" s="843"/>
      <c r="R599" s="845">
        <v>20713401</v>
      </c>
      <c r="S599" s="1127" t="s">
        <v>2055</v>
      </c>
      <c r="T599" s="843" t="s">
        <v>2056</v>
      </c>
      <c r="U599" s="842">
        <v>4</v>
      </c>
      <c r="V599" s="842" t="s">
        <v>8</v>
      </c>
      <c r="W599" s="846">
        <v>171</v>
      </c>
      <c r="X599" s="847">
        <f t="shared" si="113"/>
        <v>684</v>
      </c>
      <c r="Y599" s="848">
        <f t="shared" si="119"/>
        <v>0.5</v>
      </c>
      <c r="Z599" s="849">
        <v>85.5</v>
      </c>
      <c r="AA599" s="849"/>
      <c r="AB599" s="849">
        <f t="shared" si="114"/>
        <v>342</v>
      </c>
      <c r="AC599" s="850">
        <f t="shared" si="115"/>
        <v>342</v>
      </c>
      <c r="AD599" s="851"/>
      <c r="AE599" s="852">
        <v>24580</v>
      </c>
      <c r="AF599" s="853">
        <v>0</v>
      </c>
      <c r="AG599" s="854">
        <f t="shared" si="116"/>
        <v>0</v>
      </c>
      <c r="AH599" s="853"/>
      <c r="AI599" s="855">
        <f t="shared" si="117"/>
        <v>0</v>
      </c>
      <c r="AJ599" s="845" t="s">
        <v>1872</v>
      </c>
      <c r="AK599" s="857" t="s">
        <v>1745</v>
      </c>
      <c r="AL599" s="840">
        <v>244737306</v>
      </c>
      <c r="AM599" s="840"/>
      <c r="AN599" s="858"/>
      <c r="AO599" s="844"/>
      <c r="AP599" s="859" t="s">
        <v>1873</v>
      </c>
      <c r="AQ599" s="859"/>
      <c r="AR599" s="859">
        <v>45453</v>
      </c>
      <c r="AS599" s="840" t="s">
        <v>1874</v>
      </c>
      <c r="AT599" s="840" t="s">
        <v>1875</v>
      </c>
      <c r="AU599" s="860" t="s">
        <v>1876</v>
      </c>
      <c r="AV599" s="839" t="s">
        <v>1877</v>
      </c>
      <c r="AW599" s="861">
        <v>45575</v>
      </c>
      <c r="AX599" s="862">
        <v>45582</v>
      </c>
      <c r="AY599" s="843" t="s">
        <v>2057</v>
      </c>
      <c r="AZ599" s="842"/>
      <c r="BA599" s="842" t="s">
        <v>120</v>
      </c>
      <c r="BB599" s="863" t="s">
        <v>121</v>
      </c>
      <c r="BC599" s="864">
        <v>45584</v>
      </c>
      <c r="BD599" s="860" t="s">
        <v>1879</v>
      </c>
      <c r="BE599" s="865" cm="1">
        <f t="array" ref="BE599">IF(BD599="","",AC599/SUMPRODUCT(--(BD599=$BD$4:$BD$12824),$AC$4:$AC$12824))</f>
        <v>8.6088893226337095E-3</v>
      </c>
      <c r="BF599" s="458"/>
      <c r="BG599" s="458"/>
      <c r="BH599" s="458"/>
      <c r="BI599" s="458"/>
      <c r="BJ599" s="458"/>
      <c r="BK599" s="458"/>
      <c r="BL599" s="458"/>
      <c r="BM599" s="458"/>
      <c r="BN599" s="458"/>
      <c r="BO599" s="866">
        <f>VLOOKUP(BD599,$BD$4:$BN$12824,3,0)*BE599</f>
        <v>0</v>
      </c>
      <c r="BP599" s="866"/>
      <c r="BQ599" s="866"/>
      <c r="BR599" s="866">
        <f>VLOOKUP(BD599,$BD$4:$BN$12824,6,0)*BE599</f>
        <v>165822.35999913307</v>
      </c>
      <c r="BS599" s="866">
        <f>VLOOKUP(BD599,$BD$4:$BN$12824,7,0)*BE599</f>
        <v>8291.2987866324293</v>
      </c>
      <c r="BT599" s="866"/>
      <c r="BU599" s="866">
        <f>VLOOKUP(BD599,$BD$4:$BN$12824,9,0)*BE599</f>
        <v>4304.4446613168548</v>
      </c>
      <c r="BV599" s="867"/>
      <c r="BW599" s="867">
        <f>VLOOKUP(BD599,$BD$4:$BN$12824,11,0)*BE599</f>
        <v>18078.667577530789</v>
      </c>
      <c r="BX599" s="1146">
        <f t="shared" si="112"/>
        <v>196496.77102461312</v>
      </c>
      <c r="BY599" s="867">
        <f t="shared" si="121"/>
        <v>2150714.1927561532</v>
      </c>
      <c r="BZ599" s="867">
        <f t="shared" si="118"/>
        <v>8602856.7710246127</v>
      </c>
      <c r="CA599" s="867">
        <f>_xlfn.MAXIFS($BY$4:$BY$12824,$S$4:$S$12824,$S599)</f>
        <v>2504911.9087869511</v>
      </c>
      <c r="CB599" s="1032"/>
      <c r="CC599" s="999" t="s">
        <v>1889</v>
      </c>
      <c r="CF599" s="946">
        <f t="shared" si="120"/>
        <v>8406360</v>
      </c>
    </row>
    <row r="600" spans="1:84">
      <c r="A600" s="1032"/>
      <c r="B600" s="839" t="s">
        <v>98</v>
      </c>
      <c r="C600" s="839" t="s">
        <v>131</v>
      </c>
      <c r="D600" s="839" t="s">
        <v>1868</v>
      </c>
      <c r="E600" s="839" t="s">
        <v>1952</v>
      </c>
      <c r="F600" s="841">
        <v>45520</v>
      </c>
      <c r="G600" s="840" t="s">
        <v>155</v>
      </c>
      <c r="H600" s="842" t="s">
        <v>134</v>
      </c>
      <c r="I600" s="842"/>
      <c r="J600" s="841"/>
      <c r="K600" s="841"/>
      <c r="L600" s="843" t="s">
        <v>106</v>
      </c>
      <c r="M600" s="844" t="s">
        <v>107</v>
      </c>
      <c r="N600" s="841" t="s">
        <v>1869</v>
      </c>
      <c r="O600" s="841" t="s">
        <v>108</v>
      </c>
      <c r="P600" s="841" t="s">
        <v>160</v>
      </c>
      <c r="Q600" s="843"/>
      <c r="R600" s="845">
        <v>20713501</v>
      </c>
      <c r="S600" s="1127" t="s">
        <v>165</v>
      </c>
      <c r="T600" s="843" t="s">
        <v>2058</v>
      </c>
      <c r="U600" s="842">
        <v>6</v>
      </c>
      <c r="V600" s="842" t="s">
        <v>8</v>
      </c>
      <c r="W600" s="846">
        <v>171</v>
      </c>
      <c r="X600" s="847">
        <f t="shared" si="113"/>
        <v>1026</v>
      </c>
      <c r="Y600" s="848">
        <f t="shared" si="119"/>
        <v>0.5</v>
      </c>
      <c r="Z600" s="849">
        <v>85.5</v>
      </c>
      <c r="AA600" s="849"/>
      <c r="AB600" s="849">
        <f t="shared" si="114"/>
        <v>513</v>
      </c>
      <c r="AC600" s="850">
        <f t="shared" si="115"/>
        <v>513</v>
      </c>
      <c r="AD600" s="851"/>
      <c r="AE600" s="852">
        <v>24580</v>
      </c>
      <c r="AF600" s="853">
        <v>0</v>
      </c>
      <c r="AG600" s="854">
        <f t="shared" si="116"/>
        <v>0</v>
      </c>
      <c r="AH600" s="853"/>
      <c r="AI600" s="855">
        <f t="shared" si="117"/>
        <v>0</v>
      </c>
      <c r="AJ600" s="845" t="s">
        <v>1872</v>
      </c>
      <c r="AK600" s="857" t="s">
        <v>1745</v>
      </c>
      <c r="AL600" s="840">
        <v>244737306</v>
      </c>
      <c r="AM600" s="840"/>
      <c r="AN600" s="858"/>
      <c r="AO600" s="844"/>
      <c r="AP600" s="859" t="s">
        <v>1873</v>
      </c>
      <c r="AQ600" s="859"/>
      <c r="AR600" s="859">
        <v>45453</v>
      </c>
      <c r="AS600" s="840" t="s">
        <v>1874</v>
      </c>
      <c r="AT600" s="840" t="s">
        <v>1875</v>
      </c>
      <c r="AU600" s="860" t="s">
        <v>1876</v>
      </c>
      <c r="AV600" s="839" t="s">
        <v>1877</v>
      </c>
      <c r="AW600" s="861">
        <v>45575</v>
      </c>
      <c r="AX600" s="862">
        <v>45582</v>
      </c>
      <c r="AY600" s="843" t="s">
        <v>2059</v>
      </c>
      <c r="AZ600" s="842">
        <v>94052190</v>
      </c>
      <c r="BA600" s="842" t="s">
        <v>120</v>
      </c>
      <c r="BB600" s="863" t="s">
        <v>121</v>
      </c>
      <c r="BC600" s="864">
        <v>45584</v>
      </c>
      <c r="BD600" s="860" t="s">
        <v>1879</v>
      </c>
      <c r="BE600" s="865" cm="1">
        <f t="array" ref="BE600">IF(BD600="","",AC600/SUMPRODUCT(--(BD600=$BD$4:$BD$12824),$AC$4:$AC$12824))</f>
        <v>1.2913333983950562E-2</v>
      </c>
      <c r="BF600" s="458"/>
      <c r="BG600" s="458"/>
      <c r="BH600" s="458"/>
      <c r="BI600" s="458"/>
      <c r="BJ600" s="458"/>
      <c r="BK600" s="458"/>
      <c r="BL600" s="458"/>
      <c r="BM600" s="458"/>
      <c r="BN600" s="458"/>
      <c r="BO600" s="866">
        <f>VLOOKUP(BD600,$BD$4:$BN$12824,3,0)*BE600</f>
        <v>0</v>
      </c>
      <c r="BP600" s="866"/>
      <c r="BQ600" s="866"/>
      <c r="BR600" s="866">
        <f>VLOOKUP(BD600,$BD$4:$BN$12824,6,0)*BE600</f>
        <v>248733.53999869959</v>
      </c>
      <c r="BS600" s="866">
        <f>VLOOKUP(BD600,$BD$4:$BN$12824,7,0)*BE600</f>
        <v>12436.948179948642</v>
      </c>
      <c r="BT600" s="866"/>
      <c r="BU600" s="866">
        <f>VLOOKUP(BD600,$BD$4:$BN$12824,9,0)*BE600</f>
        <v>6456.6669919752812</v>
      </c>
      <c r="BV600" s="867"/>
      <c r="BW600" s="867">
        <f>VLOOKUP(BD600,$BD$4:$BN$12824,11,0)*BE600</f>
        <v>27118.001366296183</v>
      </c>
      <c r="BX600" s="1146">
        <f t="shared" si="112"/>
        <v>294745.15653691971</v>
      </c>
      <c r="BY600" s="867">
        <f t="shared" si="121"/>
        <v>2150714.1927561532</v>
      </c>
      <c r="BZ600" s="867">
        <f t="shared" si="118"/>
        <v>12904285.156536918</v>
      </c>
      <c r="CA600" s="867">
        <f>_xlfn.MAXIFS($BY$4:$BY$12824,$S$4:$S$12824,$S600)</f>
        <v>2798643.9616483245</v>
      </c>
      <c r="CB600" s="1032"/>
      <c r="CC600" s="999" t="s">
        <v>1889</v>
      </c>
      <c r="CF600" s="946">
        <f t="shared" si="120"/>
        <v>12609540</v>
      </c>
    </row>
    <row r="601" spans="1:84">
      <c r="A601" s="1032"/>
      <c r="B601" s="839" t="s">
        <v>98</v>
      </c>
      <c r="C601" s="839" t="s">
        <v>131</v>
      </c>
      <c r="D601" s="839" t="s">
        <v>1868</v>
      </c>
      <c r="E601" s="839" t="s">
        <v>1952</v>
      </c>
      <c r="F601" s="841">
        <v>45520</v>
      </c>
      <c r="G601" s="840" t="s">
        <v>155</v>
      </c>
      <c r="H601" s="842" t="s">
        <v>134</v>
      </c>
      <c r="I601" s="842"/>
      <c r="J601" s="841"/>
      <c r="K601" s="841"/>
      <c r="L601" s="843" t="s">
        <v>106</v>
      </c>
      <c r="M601" s="844" t="s">
        <v>107</v>
      </c>
      <c r="N601" s="841" t="s">
        <v>1869</v>
      </c>
      <c r="O601" s="841" t="s">
        <v>108</v>
      </c>
      <c r="P601" s="841" t="s">
        <v>160</v>
      </c>
      <c r="Q601" s="843"/>
      <c r="R601" s="845">
        <v>20713601</v>
      </c>
      <c r="S601" s="1127" t="s">
        <v>168</v>
      </c>
      <c r="T601" s="843" t="s">
        <v>2060</v>
      </c>
      <c r="U601" s="842">
        <v>4</v>
      </c>
      <c r="V601" s="842" t="s">
        <v>8</v>
      </c>
      <c r="W601" s="846">
        <v>171</v>
      </c>
      <c r="X601" s="847">
        <f t="shared" si="113"/>
        <v>684</v>
      </c>
      <c r="Y601" s="848">
        <f t="shared" si="119"/>
        <v>0.5</v>
      </c>
      <c r="Z601" s="849">
        <v>85.5</v>
      </c>
      <c r="AA601" s="849"/>
      <c r="AB601" s="849">
        <f t="shared" si="114"/>
        <v>342</v>
      </c>
      <c r="AC601" s="850">
        <f t="shared" si="115"/>
        <v>342</v>
      </c>
      <c r="AD601" s="851"/>
      <c r="AE601" s="852">
        <v>24580</v>
      </c>
      <c r="AF601" s="853">
        <v>0</v>
      </c>
      <c r="AG601" s="854">
        <f t="shared" si="116"/>
        <v>0</v>
      </c>
      <c r="AH601" s="853"/>
      <c r="AI601" s="855">
        <f t="shared" si="117"/>
        <v>0</v>
      </c>
      <c r="AJ601" s="845" t="s">
        <v>1872</v>
      </c>
      <c r="AK601" s="857" t="s">
        <v>1745</v>
      </c>
      <c r="AL601" s="840">
        <v>244737306</v>
      </c>
      <c r="AM601" s="840"/>
      <c r="AN601" s="858"/>
      <c r="AO601" s="844"/>
      <c r="AP601" s="859" t="s">
        <v>1873</v>
      </c>
      <c r="AQ601" s="859"/>
      <c r="AR601" s="859">
        <v>45453</v>
      </c>
      <c r="AS601" s="840" t="s">
        <v>1874</v>
      </c>
      <c r="AT601" s="840" t="s">
        <v>1875</v>
      </c>
      <c r="AU601" s="860" t="s">
        <v>1876</v>
      </c>
      <c r="AV601" s="839" t="s">
        <v>1877</v>
      </c>
      <c r="AW601" s="861">
        <v>45575</v>
      </c>
      <c r="AX601" s="862">
        <v>45582</v>
      </c>
      <c r="AY601" s="843" t="s">
        <v>2061</v>
      </c>
      <c r="AZ601" s="842">
        <v>94052190</v>
      </c>
      <c r="BA601" s="842" t="s">
        <v>120</v>
      </c>
      <c r="BB601" s="863" t="s">
        <v>121</v>
      </c>
      <c r="BC601" s="864">
        <v>45584</v>
      </c>
      <c r="BD601" s="860" t="s">
        <v>1879</v>
      </c>
      <c r="BE601" s="865" cm="1">
        <f t="array" ref="BE601">IF(BD601="","",AC601/SUMPRODUCT(--(BD601=$BD$4:$BD$12824),$AC$4:$AC$12824))</f>
        <v>8.6088893226337095E-3</v>
      </c>
      <c r="BF601" s="458"/>
      <c r="BG601" s="458"/>
      <c r="BH601" s="458"/>
      <c r="BI601" s="458"/>
      <c r="BJ601" s="458"/>
      <c r="BK601" s="458"/>
      <c r="BL601" s="458"/>
      <c r="BM601" s="458"/>
      <c r="BN601" s="458"/>
      <c r="BO601" s="866">
        <f>VLOOKUP(BD601,$BD$4:$BN$12824,3,0)*BE601</f>
        <v>0</v>
      </c>
      <c r="BP601" s="866"/>
      <c r="BQ601" s="866"/>
      <c r="BR601" s="866">
        <f>VLOOKUP(BD601,$BD$4:$BN$12824,6,0)*BE601</f>
        <v>165822.35999913307</v>
      </c>
      <c r="BS601" s="866">
        <f>VLOOKUP(BD601,$BD$4:$BN$12824,7,0)*BE601</f>
        <v>8291.2987866324293</v>
      </c>
      <c r="BT601" s="866"/>
      <c r="BU601" s="866">
        <f>VLOOKUP(BD601,$BD$4:$BN$12824,9,0)*BE601</f>
        <v>4304.4446613168548</v>
      </c>
      <c r="BV601" s="867"/>
      <c r="BW601" s="867">
        <f>VLOOKUP(BD601,$BD$4:$BN$12824,11,0)*BE601</f>
        <v>18078.667577530789</v>
      </c>
      <c r="BX601" s="1146">
        <f t="shared" si="112"/>
        <v>196496.77102461312</v>
      </c>
      <c r="BY601" s="867">
        <f t="shared" si="121"/>
        <v>2150714.1927561532</v>
      </c>
      <c r="BZ601" s="867">
        <f t="shared" si="118"/>
        <v>8602856.7710246127</v>
      </c>
      <c r="CA601" s="867">
        <f>_xlfn.MAXIFS($BY$4:$BY$12824,$S$4:$S$12824,$S601)</f>
        <v>2798643.9616483245</v>
      </c>
      <c r="CB601" s="1032"/>
      <c r="CC601" s="999" t="s">
        <v>1889</v>
      </c>
      <c r="CF601" s="946">
        <f t="shared" si="120"/>
        <v>8406360</v>
      </c>
    </row>
    <row r="602" spans="1:84">
      <c r="A602" s="1032"/>
      <c r="B602" s="839" t="s">
        <v>98</v>
      </c>
      <c r="C602" s="839" t="s">
        <v>131</v>
      </c>
      <c r="D602" s="839" t="s">
        <v>1868</v>
      </c>
      <c r="E602" s="839" t="s">
        <v>1952</v>
      </c>
      <c r="F602" s="841">
        <v>45520</v>
      </c>
      <c r="G602" s="840" t="s">
        <v>155</v>
      </c>
      <c r="H602" s="842" t="s">
        <v>134</v>
      </c>
      <c r="I602" s="842"/>
      <c r="J602" s="841"/>
      <c r="K602" s="841"/>
      <c r="L602" s="843" t="s">
        <v>106</v>
      </c>
      <c r="M602" s="844" t="s">
        <v>107</v>
      </c>
      <c r="N602" s="841" t="s">
        <v>1869</v>
      </c>
      <c r="O602" s="841" t="s">
        <v>108</v>
      </c>
      <c r="P602" s="841" t="s">
        <v>160</v>
      </c>
      <c r="Q602" s="843"/>
      <c r="R602" s="845">
        <v>20713701</v>
      </c>
      <c r="S602" s="1127" t="s">
        <v>477</v>
      </c>
      <c r="T602" s="843" t="s">
        <v>2062</v>
      </c>
      <c r="U602" s="842">
        <v>4</v>
      </c>
      <c r="V602" s="842" t="s">
        <v>8</v>
      </c>
      <c r="W602" s="846">
        <v>171</v>
      </c>
      <c r="X602" s="847">
        <f t="shared" si="113"/>
        <v>684</v>
      </c>
      <c r="Y602" s="848">
        <f t="shared" si="119"/>
        <v>0.5</v>
      </c>
      <c r="Z602" s="849">
        <v>85.5</v>
      </c>
      <c r="AA602" s="849"/>
      <c r="AB602" s="849">
        <f t="shared" si="114"/>
        <v>342</v>
      </c>
      <c r="AC602" s="850">
        <f t="shared" si="115"/>
        <v>342</v>
      </c>
      <c r="AD602" s="851"/>
      <c r="AE602" s="852">
        <v>24580</v>
      </c>
      <c r="AF602" s="853">
        <v>0</v>
      </c>
      <c r="AG602" s="854">
        <f t="shared" si="116"/>
        <v>0</v>
      </c>
      <c r="AH602" s="853"/>
      <c r="AI602" s="855">
        <f t="shared" si="117"/>
        <v>0</v>
      </c>
      <c r="AJ602" s="845" t="s">
        <v>1872</v>
      </c>
      <c r="AK602" s="857" t="s">
        <v>1745</v>
      </c>
      <c r="AL602" s="840">
        <v>244737306</v>
      </c>
      <c r="AM602" s="840"/>
      <c r="AN602" s="858"/>
      <c r="AO602" s="844"/>
      <c r="AP602" s="859" t="s">
        <v>1873</v>
      </c>
      <c r="AQ602" s="859"/>
      <c r="AR602" s="859">
        <v>45453</v>
      </c>
      <c r="AS602" s="840" t="s">
        <v>1874</v>
      </c>
      <c r="AT602" s="840" t="s">
        <v>1875</v>
      </c>
      <c r="AU602" s="860" t="s">
        <v>1876</v>
      </c>
      <c r="AV602" s="839" t="s">
        <v>1877</v>
      </c>
      <c r="AW602" s="861">
        <v>45575</v>
      </c>
      <c r="AX602" s="862">
        <v>45582</v>
      </c>
      <c r="AY602" s="843" t="s">
        <v>2063</v>
      </c>
      <c r="AZ602" s="842">
        <v>94052190</v>
      </c>
      <c r="BA602" s="842" t="s">
        <v>120</v>
      </c>
      <c r="BB602" s="863" t="s">
        <v>121</v>
      </c>
      <c r="BC602" s="864">
        <v>45584</v>
      </c>
      <c r="BD602" s="860" t="s">
        <v>1879</v>
      </c>
      <c r="BE602" s="865" cm="1">
        <f t="array" ref="BE602">IF(BD602="","",AC602/SUMPRODUCT(--(BD602=$BD$4:$BD$12824),$AC$4:$AC$12824))</f>
        <v>8.6088893226337095E-3</v>
      </c>
      <c r="BF602" s="458"/>
      <c r="BG602" s="458"/>
      <c r="BH602" s="458"/>
      <c r="BI602" s="458"/>
      <c r="BJ602" s="458"/>
      <c r="BK602" s="458"/>
      <c r="BL602" s="458"/>
      <c r="BM602" s="458"/>
      <c r="BN602" s="458"/>
      <c r="BO602" s="866">
        <f>VLOOKUP(BD602,$BD$4:$BN$12824,3,0)*BE602</f>
        <v>0</v>
      </c>
      <c r="BP602" s="866"/>
      <c r="BQ602" s="866"/>
      <c r="BR602" s="866">
        <f>VLOOKUP(BD602,$BD$4:$BN$12824,6,0)*BE602</f>
        <v>165822.35999913307</v>
      </c>
      <c r="BS602" s="866">
        <f>VLOOKUP(BD602,$BD$4:$BN$12824,7,0)*BE602</f>
        <v>8291.2987866324293</v>
      </c>
      <c r="BT602" s="866"/>
      <c r="BU602" s="866">
        <f>VLOOKUP(BD602,$BD$4:$BN$12824,9,0)*BE602</f>
        <v>4304.4446613168548</v>
      </c>
      <c r="BV602" s="867"/>
      <c r="BW602" s="867">
        <f>VLOOKUP(BD602,$BD$4:$BN$12824,11,0)*BE602</f>
        <v>18078.667577530789</v>
      </c>
      <c r="BX602" s="1146">
        <f t="shared" si="112"/>
        <v>196496.77102461312</v>
      </c>
      <c r="BY602" s="867">
        <f t="shared" si="121"/>
        <v>2150714.1927561532</v>
      </c>
      <c r="BZ602" s="867">
        <f t="shared" si="118"/>
        <v>8602856.7710246127</v>
      </c>
      <c r="CA602" s="867">
        <f>_xlfn.MAXIFS($BY$4:$BY$12824,$S$4:$S$12824,$S602)</f>
        <v>4101317.8229847006</v>
      </c>
      <c r="CB602" s="1032"/>
      <c r="CC602" s="999" t="s">
        <v>1889</v>
      </c>
      <c r="CF602" s="946">
        <f t="shared" si="120"/>
        <v>8406360</v>
      </c>
    </row>
    <row r="603" spans="1:84">
      <c r="A603" s="1032"/>
      <c r="B603" s="839" t="s">
        <v>98</v>
      </c>
      <c r="C603" s="839" t="s">
        <v>131</v>
      </c>
      <c r="D603" s="839" t="s">
        <v>1868</v>
      </c>
      <c r="E603" s="839" t="s">
        <v>1952</v>
      </c>
      <c r="F603" s="841">
        <v>45520</v>
      </c>
      <c r="G603" s="840" t="s">
        <v>155</v>
      </c>
      <c r="H603" s="842" t="s">
        <v>134</v>
      </c>
      <c r="I603" s="842"/>
      <c r="J603" s="841"/>
      <c r="K603" s="841"/>
      <c r="L603" s="843" t="s">
        <v>106</v>
      </c>
      <c r="M603" s="844" t="s">
        <v>107</v>
      </c>
      <c r="N603" s="841" t="s">
        <v>1869</v>
      </c>
      <c r="O603" s="841" t="s">
        <v>108</v>
      </c>
      <c r="P603" s="841" t="s">
        <v>160</v>
      </c>
      <c r="Q603" s="843"/>
      <c r="R603" s="845">
        <v>20715002</v>
      </c>
      <c r="S603" s="1127" t="s">
        <v>480</v>
      </c>
      <c r="T603" s="843" t="s">
        <v>2064</v>
      </c>
      <c r="U603" s="842">
        <v>4</v>
      </c>
      <c r="V603" s="842" t="s">
        <v>8</v>
      </c>
      <c r="W603" s="846">
        <v>171</v>
      </c>
      <c r="X603" s="847">
        <f t="shared" si="113"/>
        <v>684</v>
      </c>
      <c r="Y603" s="848">
        <f t="shared" si="119"/>
        <v>0.5</v>
      </c>
      <c r="Z603" s="849">
        <v>85.5</v>
      </c>
      <c r="AA603" s="849"/>
      <c r="AB603" s="849">
        <f t="shared" si="114"/>
        <v>342</v>
      </c>
      <c r="AC603" s="850">
        <f t="shared" si="115"/>
        <v>342</v>
      </c>
      <c r="AD603" s="851"/>
      <c r="AE603" s="852">
        <v>24580</v>
      </c>
      <c r="AF603" s="853">
        <v>0</v>
      </c>
      <c r="AG603" s="854">
        <f t="shared" si="116"/>
        <v>0</v>
      </c>
      <c r="AH603" s="853"/>
      <c r="AI603" s="855">
        <f t="shared" si="117"/>
        <v>0</v>
      </c>
      <c r="AJ603" s="845" t="s">
        <v>1872</v>
      </c>
      <c r="AK603" s="857" t="s">
        <v>1745</v>
      </c>
      <c r="AL603" s="840">
        <v>244737306</v>
      </c>
      <c r="AM603" s="840"/>
      <c r="AN603" s="858"/>
      <c r="AO603" s="844"/>
      <c r="AP603" s="859" t="s">
        <v>1873</v>
      </c>
      <c r="AQ603" s="859"/>
      <c r="AR603" s="859">
        <v>45453</v>
      </c>
      <c r="AS603" s="840" t="s">
        <v>1874</v>
      </c>
      <c r="AT603" s="840" t="s">
        <v>1875</v>
      </c>
      <c r="AU603" s="860" t="s">
        <v>1876</v>
      </c>
      <c r="AV603" s="839" t="s">
        <v>1877</v>
      </c>
      <c r="AW603" s="861">
        <v>45575</v>
      </c>
      <c r="AX603" s="862">
        <v>45582</v>
      </c>
      <c r="AY603" s="843" t="s">
        <v>2065</v>
      </c>
      <c r="AZ603" s="842">
        <v>94052190</v>
      </c>
      <c r="BA603" s="842" t="s">
        <v>120</v>
      </c>
      <c r="BB603" s="863" t="s">
        <v>121</v>
      </c>
      <c r="BC603" s="864">
        <v>45584</v>
      </c>
      <c r="BD603" s="860" t="s">
        <v>1879</v>
      </c>
      <c r="BE603" s="865" cm="1">
        <f t="array" ref="BE603">IF(BD603="","",AC603/SUMPRODUCT(--(BD603=$BD$4:$BD$12824),$AC$4:$AC$12824))</f>
        <v>8.6088893226337095E-3</v>
      </c>
      <c r="BF603" s="458"/>
      <c r="BG603" s="458"/>
      <c r="BH603" s="458"/>
      <c r="BI603" s="458"/>
      <c r="BJ603" s="458"/>
      <c r="BK603" s="458"/>
      <c r="BL603" s="458"/>
      <c r="BM603" s="458"/>
      <c r="BN603" s="458"/>
      <c r="BO603" s="866">
        <f>VLOOKUP(BD603,$BD$4:$BN$12824,3,0)*BE603</f>
        <v>0</v>
      </c>
      <c r="BP603" s="866"/>
      <c r="BQ603" s="866"/>
      <c r="BR603" s="866">
        <f>VLOOKUP(BD603,$BD$4:$BN$12824,6,0)*BE603</f>
        <v>165822.35999913307</v>
      </c>
      <c r="BS603" s="866">
        <f>VLOOKUP(BD603,$BD$4:$BN$12824,7,0)*BE603</f>
        <v>8291.2987866324293</v>
      </c>
      <c r="BT603" s="866"/>
      <c r="BU603" s="866">
        <f>VLOOKUP(BD603,$BD$4:$BN$12824,9,0)*BE603</f>
        <v>4304.4446613168548</v>
      </c>
      <c r="BV603" s="867"/>
      <c r="BW603" s="867">
        <f>VLOOKUP(BD603,$BD$4:$BN$12824,11,0)*BE603</f>
        <v>18078.667577530789</v>
      </c>
      <c r="BX603" s="1146">
        <f t="shared" si="112"/>
        <v>196496.77102461312</v>
      </c>
      <c r="BY603" s="867">
        <f t="shared" si="121"/>
        <v>2150714.1927561532</v>
      </c>
      <c r="BZ603" s="867">
        <f t="shared" si="118"/>
        <v>8602856.7710246127</v>
      </c>
      <c r="CA603" s="867">
        <f>_xlfn.MAXIFS($BY$4:$BY$12824,$S$4:$S$12824,$S603)</f>
        <v>4101317.8229847006</v>
      </c>
      <c r="CB603" s="1032"/>
      <c r="CC603" s="999" t="s">
        <v>1889</v>
      </c>
      <c r="CF603" s="946">
        <f t="shared" si="120"/>
        <v>8406360</v>
      </c>
    </row>
    <row r="604" spans="1:84">
      <c r="A604" s="1032"/>
      <c r="B604" s="839" t="s">
        <v>98</v>
      </c>
      <c r="C604" s="839" t="s">
        <v>131</v>
      </c>
      <c r="D604" s="839" t="s">
        <v>1868</v>
      </c>
      <c r="E604" s="839" t="s">
        <v>1952</v>
      </c>
      <c r="F604" s="841">
        <v>45520</v>
      </c>
      <c r="G604" s="840" t="s">
        <v>155</v>
      </c>
      <c r="H604" s="842" t="s">
        <v>134</v>
      </c>
      <c r="I604" s="842"/>
      <c r="J604" s="841"/>
      <c r="K604" s="841"/>
      <c r="L604" s="843" t="s">
        <v>106</v>
      </c>
      <c r="M604" s="844" t="s">
        <v>107</v>
      </c>
      <c r="N604" s="841" t="s">
        <v>1869</v>
      </c>
      <c r="O604" s="841" t="s">
        <v>108</v>
      </c>
      <c r="P604" s="841" t="s">
        <v>160</v>
      </c>
      <c r="Q604" s="843"/>
      <c r="R604" s="845">
        <v>20715401</v>
      </c>
      <c r="S604" s="1127" t="s">
        <v>2066</v>
      </c>
      <c r="T604" s="843" t="s">
        <v>2067</v>
      </c>
      <c r="U604" s="842">
        <v>2</v>
      </c>
      <c r="V604" s="842" t="s">
        <v>8</v>
      </c>
      <c r="W604" s="846">
        <v>171</v>
      </c>
      <c r="X604" s="847">
        <f t="shared" si="113"/>
        <v>342</v>
      </c>
      <c r="Y604" s="848">
        <f t="shared" si="119"/>
        <v>0.5</v>
      </c>
      <c r="Z604" s="849">
        <v>85.5</v>
      </c>
      <c r="AA604" s="849"/>
      <c r="AB604" s="849">
        <f t="shared" si="114"/>
        <v>171</v>
      </c>
      <c r="AC604" s="850">
        <f t="shared" si="115"/>
        <v>171</v>
      </c>
      <c r="AD604" s="851"/>
      <c r="AE604" s="852">
        <v>24580</v>
      </c>
      <c r="AF604" s="853">
        <v>0</v>
      </c>
      <c r="AG604" s="854">
        <f t="shared" si="116"/>
        <v>0</v>
      </c>
      <c r="AH604" s="853"/>
      <c r="AI604" s="855">
        <f t="shared" si="117"/>
        <v>0</v>
      </c>
      <c r="AJ604" s="845" t="s">
        <v>1872</v>
      </c>
      <c r="AK604" s="857" t="s">
        <v>1745</v>
      </c>
      <c r="AL604" s="840">
        <v>244737306</v>
      </c>
      <c r="AM604" s="840"/>
      <c r="AN604" s="858"/>
      <c r="AO604" s="844"/>
      <c r="AP604" s="859" t="s">
        <v>1873</v>
      </c>
      <c r="AQ604" s="859"/>
      <c r="AR604" s="859">
        <v>45453</v>
      </c>
      <c r="AS604" s="840" t="s">
        <v>1874</v>
      </c>
      <c r="AT604" s="840" t="s">
        <v>1875</v>
      </c>
      <c r="AU604" s="860" t="s">
        <v>1876</v>
      </c>
      <c r="AV604" s="839" t="s">
        <v>1877</v>
      </c>
      <c r="AW604" s="861">
        <v>45575</v>
      </c>
      <c r="AX604" s="862">
        <v>45582</v>
      </c>
      <c r="AY604" s="843" t="s">
        <v>2068</v>
      </c>
      <c r="AZ604" s="842"/>
      <c r="BA604" s="842" t="s">
        <v>120</v>
      </c>
      <c r="BB604" s="863" t="s">
        <v>121</v>
      </c>
      <c r="BC604" s="864">
        <v>45584</v>
      </c>
      <c r="BD604" s="860" t="s">
        <v>1879</v>
      </c>
      <c r="BE604" s="865" cm="1">
        <f t="array" ref="BE604">IF(BD604="","",AC604/SUMPRODUCT(--(BD604=$BD$4:$BD$12824),$AC$4:$AC$12824))</f>
        <v>4.3044446613168547E-3</v>
      </c>
      <c r="BF604" s="458"/>
      <c r="BG604" s="458"/>
      <c r="BH604" s="458"/>
      <c r="BI604" s="458"/>
      <c r="BJ604" s="458"/>
      <c r="BK604" s="458"/>
      <c r="BL604" s="458"/>
      <c r="BM604" s="458"/>
      <c r="BN604" s="458"/>
      <c r="BO604" s="866">
        <f>VLOOKUP(BD604,$BD$4:$BN$12824,3,0)*BE604</f>
        <v>0</v>
      </c>
      <c r="BP604" s="866"/>
      <c r="BQ604" s="866"/>
      <c r="BR604" s="866">
        <f>VLOOKUP(BD604,$BD$4:$BN$12824,6,0)*BE604</f>
        <v>82911.179999566535</v>
      </c>
      <c r="BS604" s="866">
        <f>VLOOKUP(BD604,$BD$4:$BN$12824,7,0)*BE604</f>
        <v>4145.6493933162146</v>
      </c>
      <c r="BT604" s="866"/>
      <c r="BU604" s="866">
        <f>VLOOKUP(BD604,$BD$4:$BN$12824,9,0)*BE604</f>
        <v>2152.2223306584274</v>
      </c>
      <c r="BV604" s="867"/>
      <c r="BW604" s="867">
        <f>VLOOKUP(BD604,$BD$4:$BN$12824,11,0)*BE604</f>
        <v>9039.3337887653943</v>
      </c>
      <c r="BX604" s="1146">
        <f t="shared" si="112"/>
        <v>98248.385512306559</v>
      </c>
      <c r="BY604" s="867">
        <f t="shared" si="121"/>
        <v>2150714.1927561532</v>
      </c>
      <c r="BZ604" s="867">
        <f t="shared" si="118"/>
        <v>4301428.3855123064</v>
      </c>
      <c r="CA604" s="867">
        <f>_xlfn.MAXIFS($BY$4:$BY$12824,$S$4:$S$12824,$S604)</f>
        <v>2150714.1927561532</v>
      </c>
      <c r="CB604" s="1032"/>
      <c r="CC604" s="999" t="s">
        <v>1889</v>
      </c>
      <c r="CF604" s="946">
        <f t="shared" si="120"/>
        <v>4203180</v>
      </c>
    </row>
    <row r="605" spans="1:84">
      <c r="A605" s="1032"/>
      <c r="B605" s="839" t="s">
        <v>98</v>
      </c>
      <c r="C605" s="839" t="s">
        <v>131</v>
      </c>
      <c r="D605" s="839" t="s">
        <v>1868</v>
      </c>
      <c r="E605" s="839" t="s">
        <v>1952</v>
      </c>
      <c r="F605" s="841">
        <v>45520</v>
      </c>
      <c r="G605" s="840" t="s">
        <v>155</v>
      </c>
      <c r="H605" s="842" t="s">
        <v>134</v>
      </c>
      <c r="I605" s="842"/>
      <c r="J605" s="841"/>
      <c r="K605" s="841"/>
      <c r="L605" s="843" t="s">
        <v>106</v>
      </c>
      <c r="M605" s="844" t="s">
        <v>107</v>
      </c>
      <c r="N605" s="841" t="s">
        <v>1869</v>
      </c>
      <c r="O605" s="841" t="s">
        <v>108</v>
      </c>
      <c r="P605" s="841" t="s">
        <v>160</v>
      </c>
      <c r="Q605" s="843"/>
      <c r="R605" s="845">
        <v>20718901</v>
      </c>
      <c r="S605" s="1127" t="s">
        <v>171</v>
      </c>
      <c r="T605" s="843" t="s">
        <v>2069</v>
      </c>
      <c r="U605" s="842">
        <v>4</v>
      </c>
      <c r="V605" s="842" t="s">
        <v>8</v>
      </c>
      <c r="W605" s="846">
        <v>171</v>
      </c>
      <c r="X605" s="847">
        <f t="shared" si="113"/>
        <v>684</v>
      </c>
      <c r="Y605" s="848">
        <f t="shared" si="119"/>
        <v>0.5</v>
      </c>
      <c r="Z605" s="849">
        <v>85.5</v>
      </c>
      <c r="AA605" s="849"/>
      <c r="AB605" s="849">
        <f t="shared" si="114"/>
        <v>342</v>
      </c>
      <c r="AC605" s="850">
        <f t="shared" si="115"/>
        <v>342</v>
      </c>
      <c r="AD605" s="851"/>
      <c r="AE605" s="852">
        <v>24580</v>
      </c>
      <c r="AF605" s="853">
        <v>0</v>
      </c>
      <c r="AG605" s="854">
        <f t="shared" si="116"/>
        <v>0</v>
      </c>
      <c r="AH605" s="853"/>
      <c r="AI605" s="855">
        <f t="shared" si="117"/>
        <v>0</v>
      </c>
      <c r="AJ605" s="845" t="s">
        <v>1872</v>
      </c>
      <c r="AK605" s="857" t="s">
        <v>1745</v>
      </c>
      <c r="AL605" s="840">
        <v>244737306</v>
      </c>
      <c r="AM605" s="840"/>
      <c r="AN605" s="858"/>
      <c r="AO605" s="844"/>
      <c r="AP605" s="859" t="s">
        <v>1873</v>
      </c>
      <c r="AQ605" s="859"/>
      <c r="AR605" s="859">
        <v>45453</v>
      </c>
      <c r="AS605" s="840" t="s">
        <v>1874</v>
      </c>
      <c r="AT605" s="840" t="s">
        <v>1875</v>
      </c>
      <c r="AU605" s="860" t="s">
        <v>1876</v>
      </c>
      <c r="AV605" s="839" t="s">
        <v>1877</v>
      </c>
      <c r="AW605" s="861">
        <v>45575</v>
      </c>
      <c r="AX605" s="862">
        <v>45582</v>
      </c>
      <c r="AY605" s="843" t="s">
        <v>2070</v>
      </c>
      <c r="AZ605" s="842">
        <v>94052190</v>
      </c>
      <c r="BA605" s="842" t="s">
        <v>120</v>
      </c>
      <c r="BB605" s="863" t="s">
        <v>121</v>
      </c>
      <c r="BC605" s="864">
        <v>45584</v>
      </c>
      <c r="BD605" s="860" t="s">
        <v>1879</v>
      </c>
      <c r="BE605" s="865" cm="1">
        <f t="array" ref="BE605">IF(BD605="","",AC605/SUMPRODUCT(--(BD605=$BD$4:$BD$12824),$AC$4:$AC$12824))</f>
        <v>8.6088893226337095E-3</v>
      </c>
      <c r="BF605" s="458"/>
      <c r="BG605" s="458"/>
      <c r="BH605" s="458"/>
      <c r="BI605" s="458"/>
      <c r="BJ605" s="458"/>
      <c r="BK605" s="458"/>
      <c r="BL605" s="458"/>
      <c r="BM605" s="458"/>
      <c r="BN605" s="458"/>
      <c r="BO605" s="866">
        <f>VLOOKUP(BD605,$BD$4:$BN$12824,3,0)*BE605</f>
        <v>0</v>
      </c>
      <c r="BP605" s="866"/>
      <c r="BQ605" s="866"/>
      <c r="BR605" s="866">
        <f>VLOOKUP(BD605,$BD$4:$BN$12824,6,0)*BE605</f>
        <v>165822.35999913307</v>
      </c>
      <c r="BS605" s="866">
        <f>VLOOKUP(BD605,$BD$4:$BN$12824,7,0)*BE605</f>
        <v>8291.2987866324293</v>
      </c>
      <c r="BT605" s="866"/>
      <c r="BU605" s="866">
        <f>VLOOKUP(BD605,$BD$4:$BN$12824,9,0)*BE605</f>
        <v>4304.4446613168548</v>
      </c>
      <c r="BV605" s="867"/>
      <c r="BW605" s="867">
        <f>VLOOKUP(BD605,$BD$4:$BN$12824,11,0)*BE605</f>
        <v>18078.667577530789</v>
      </c>
      <c r="BX605" s="1146">
        <f t="shared" si="112"/>
        <v>196496.77102461312</v>
      </c>
      <c r="BY605" s="867">
        <f t="shared" si="121"/>
        <v>2150714.1927561532</v>
      </c>
      <c r="BZ605" s="867">
        <f t="shared" si="118"/>
        <v>8602856.7710246127</v>
      </c>
      <c r="CA605" s="867">
        <f>_xlfn.MAXIFS($BY$4:$BY$12824,$S$4:$S$12824,$S605)</f>
        <v>4101317.822984701</v>
      </c>
      <c r="CB605" s="1032"/>
      <c r="CC605" s="999" t="s">
        <v>1889</v>
      </c>
      <c r="CF605" s="946">
        <f t="shared" si="120"/>
        <v>8406360</v>
      </c>
    </row>
    <row r="606" spans="1:84">
      <c r="A606" s="1032"/>
      <c r="B606" s="839" t="s">
        <v>98</v>
      </c>
      <c r="C606" s="839" t="s">
        <v>131</v>
      </c>
      <c r="D606" s="839" t="s">
        <v>1868</v>
      </c>
      <c r="E606" s="839" t="s">
        <v>1952</v>
      </c>
      <c r="F606" s="841">
        <v>45520</v>
      </c>
      <c r="G606" s="840" t="s">
        <v>155</v>
      </c>
      <c r="H606" s="842" t="s">
        <v>134</v>
      </c>
      <c r="I606" s="842"/>
      <c r="J606" s="841"/>
      <c r="K606" s="841"/>
      <c r="L606" s="843" t="s">
        <v>106</v>
      </c>
      <c r="M606" s="844" t="s">
        <v>107</v>
      </c>
      <c r="N606" s="841" t="s">
        <v>1869</v>
      </c>
      <c r="O606" s="841" t="s">
        <v>108</v>
      </c>
      <c r="P606" s="841" t="s">
        <v>160</v>
      </c>
      <c r="Q606" s="843"/>
      <c r="R606" s="845">
        <v>20719201</v>
      </c>
      <c r="S606" s="1127" t="s">
        <v>174</v>
      </c>
      <c r="T606" s="843" t="s">
        <v>2071</v>
      </c>
      <c r="U606" s="842">
        <v>6</v>
      </c>
      <c r="V606" s="842" t="s">
        <v>8</v>
      </c>
      <c r="W606" s="846">
        <v>171</v>
      </c>
      <c r="X606" s="847">
        <f t="shared" si="113"/>
        <v>1026</v>
      </c>
      <c r="Y606" s="848">
        <f t="shared" si="119"/>
        <v>0.5</v>
      </c>
      <c r="Z606" s="849">
        <v>85.5</v>
      </c>
      <c r="AA606" s="849"/>
      <c r="AB606" s="849">
        <f t="shared" si="114"/>
        <v>513</v>
      </c>
      <c r="AC606" s="850">
        <f t="shared" si="115"/>
        <v>513</v>
      </c>
      <c r="AD606" s="851"/>
      <c r="AE606" s="852">
        <v>24580</v>
      </c>
      <c r="AF606" s="853">
        <v>0</v>
      </c>
      <c r="AG606" s="854">
        <f t="shared" si="116"/>
        <v>0</v>
      </c>
      <c r="AH606" s="853"/>
      <c r="AI606" s="855">
        <f t="shared" si="117"/>
        <v>0</v>
      </c>
      <c r="AJ606" s="845" t="s">
        <v>1872</v>
      </c>
      <c r="AK606" s="857" t="s">
        <v>1745</v>
      </c>
      <c r="AL606" s="840">
        <v>244737306</v>
      </c>
      <c r="AM606" s="840"/>
      <c r="AN606" s="858"/>
      <c r="AO606" s="844"/>
      <c r="AP606" s="859" t="s">
        <v>1873</v>
      </c>
      <c r="AQ606" s="859"/>
      <c r="AR606" s="859">
        <v>45453</v>
      </c>
      <c r="AS606" s="840" t="s">
        <v>1874</v>
      </c>
      <c r="AT606" s="840" t="s">
        <v>1875</v>
      </c>
      <c r="AU606" s="860" t="s">
        <v>1876</v>
      </c>
      <c r="AV606" s="839" t="s">
        <v>1877</v>
      </c>
      <c r="AW606" s="861">
        <v>45575</v>
      </c>
      <c r="AX606" s="862">
        <v>45582</v>
      </c>
      <c r="AY606" s="843" t="s">
        <v>2072</v>
      </c>
      <c r="AZ606" s="842">
        <v>94052190</v>
      </c>
      <c r="BA606" s="842" t="s">
        <v>120</v>
      </c>
      <c r="BB606" s="863" t="s">
        <v>121</v>
      </c>
      <c r="BC606" s="864">
        <v>45584</v>
      </c>
      <c r="BD606" s="860" t="s">
        <v>1879</v>
      </c>
      <c r="BE606" s="865" cm="1">
        <f t="array" ref="BE606">IF(BD606="","",AC606/SUMPRODUCT(--(BD606=$BD$4:$BD$12824),$AC$4:$AC$12824))</f>
        <v>1.2913333983950562E-2</v>
      </c>
      <c r="BF606" s="458"/>
      <c r="BG606" s="458"/>
      <c r="BH606" s="458"/>
      <c r="BI606" s="458"/>
      <c r="BJ606" s="458"/>
      <c r="BK606" s="458"/>
      <c r="BL606" s="458"/>
      <c r="BM606" s="458"/>
      <c r="BN606" s="458"/>
      <c r="BO606" s="866">
        <f>VLOOKUP(BD606,$BD$4:$BN$12824,3,0)*BE606</f>
        <v>0</v>
      </c>
      <c r="BP606" s="866"/>
      <c r="BQ606" s="866"/>
      <c r="BR606" s="866">
        <f>VLOOKUP(BD606,$BD$4:$BN$12824,6,0)*BE606</f>
        <v>248733.53999869959</v>
      </c>
      <c r="BS606" s="866">
        <f>VLOOKUP(BD606,$BD$4:$BN$12824,7,0)*BE606</f>
        <v>12436.948179948642</v>
      </c>
      <c r="BT606" s="866"/>
      <c r="BU606" s="866">
        <f>VLOOKUP(BD606,$BD$4:$BN$12824,9,0)*BE606</f>
        <v>6456.6669919752812</v>
      </c>
      <c r="BV606" s="867"/>
      <c r="BW606" s="867">
        <f>VLOOKUP(BD606,$BD$4:$BN$12824,11,0)*BE606</f>
        <v>27118.001366296183</v>
      </c>
      <c r="BX606" s="1146">
        <f t="shared" si="112"/>
        <v>294745.15653691971</v>
      </c>
      <c r="BY606" s="867">
        <f t="shared" si="121"/>
        <v>2150714.1927561532</v>
      </c>
      <c r="BZ606" s="867">
        <f t="shared" si="118"/>
        <v>12904285.156536918</v>
      </c>
      <c r="CA606" s="867">
        <f>_xlfn.MAXIFS($BY$4:$BY$12824,$S$4:$S$12824,$S606)</f>
        <v>4101317.8229847006</v>
      </c>
      <c r="CB606" s="1032"/>
      <c r="CC606" s="999" t="s">
        <v>1889</v>
      </c>
      <c r="CF606" s="946">
        <f t="shared" si="120"/>
        <v>12609540</v>
      </c>
    </row>
    <row r="607" spans="1:84">
      <c r="A607" s="1032"/>
      <c r="B607" s="839" t="s">
        <v>98</v>
      </c>
      <c r="C607" s="839" t="s">
        <v>131</v>
      </c>
      <c r="D607" s="839" t="s">
        <v>1868</v>
      </c>
      <c r="E607" s="839" t="s">
        <v>1952</v>
      </c>
      <c r="F607" s="841">
        <v>45520</v>
      </c>
      <c r="G607" s="840" t="s">
        <v>155</v>
      </c>
      <c r="H607" s="842" t="s">
        <v>134</v>
      </c>
      <c r="I607" s="842"/>
      <c r="J607" s="841"/>
      <c r="K607" s="841"/>
      <c r="L607" s="843" t="s">
        <v>106</v>
      </c>
      <c r="M607" s="844" t="s">
        <v>107</v>
      </c>
      <c r="N607" s="841" t="s">
        <v>1869</v>
      </c>
      <c r="O607" s="841" t="s">
        <v>108</v>
      </c>
      <c r="P607" s="841" t="s">
        <v>160</v>
      </c>
      <c r="Q607" s="843"/>
      <c r="R607" s="845">
        <v>20719501</v>
      </c>
      <c r="S607" s="1127" t="s">
        <v>2073</v>
      </c>
      <c r="T607" s="843" t="s">
        <v>2074</v>
      </c>
      <c r="U607" s="842">
        <v>2</v>
      </c>
      <c r="V607" s="842" t="s">
        <v>8</v>
      </c>
      <c r="W607" s="846">
        <v>171</v>
      </c>
      <c r="X607" s="847">
        <f t="shared" si="113"/>
        <v>342</v>
      </c>
      <c r="Y607" s="848">
        <f t="shared" si="119"/>
        <v>0.5</v>
      </c>
      <c r="Z607" s="849">
        <v>85.5</v>
      </c>
      <c r="AA607" s="849"/>
      <c r="AB607" s="849">
        <f t="shared" si="114"/>
        <v>171</v>
      </c>
      <c r="AC607" s="850">
        <f t="shared" si="115"/>
        <v>171</v>
      </c>
      <c r="AD607" s="851"/>
      <c r="AE607" s="852">
        <v>24580</v>
      </c>
      <c r="AF607" s="853">
        <v>0</v>
      </c>
      <c r="AG607" s="854">
        <f t="shared" si="116"/>
        <v>0</v>
      </c>
      <c r="AH607" s="853"/>
      <c r="AI607" s="855">
        <f t="shared" si="117"/>
        <v>0</v>
      </c>
      <c r="AJ607" s="845" t="s">
        <v>1872</v>
      </c>
      <c r="AK607" s="857" t="s">
        <v>1745</v>
      </c>
      <c r="AL607" s="840">
        <v>244737306</v>
      </c>
      <c r="AM607" s="840"/>
      <c r="AN607" s="858"/>
      <c r="AO607" s="844"/>
      <c r="AP607" s="859" t="s">
        <v>1873</v>
      </c>
      <c r="AQ607" s="859"/>
      <c r="AR607" s="859">
        <v>45453</v>
      </c>
      <c r="AS607" s="840" t="s">
        <v>1874</v>
      </c>
      <c r="AT607" s="840" t="s">
        <v>1875</v>
      </c>
      <c r="AU607" s="860" t="s">
        <v>1876</v>
      </c>
      <c r="AV607" s="839" t="s">
        <v>1877</v>
      </c>
      <c r="AW607" s="861">
        <v>45575</v>
      </c>
      <c r="AX607" s="862">
        <v>45582</v>
      </c>
      <c r="AY607" s="843"/>
      <c r="AZ607" s="842"/>
      <c r="BA607" s="842" t="s">
        <v>120</v>
      </c>
      <c r="BB607" s="863" t="s">
        <v>121</v>
      </c>
      <c r="BC607" s="864">
        <v>45584</v>
      </c>
      <c r="BD607" s="860" t="s">
        <v>1879</v>
      </c>
      <c r="BE607" s="865" cm="1">
        <f t="array" ref="BE607">IF(BD607="","",AC607/SUMPRODUCT(--(BD607=$BD$4:$BD$12824),$AC$4:$AC$12824))</f>
        <v>4.3044446613168547E-3</v>
      </c>
      <c r="BF607" s="458"/>
      <c r="BG607" s="458"/>
      <c r="BH607" s="458"/>
      <c r="BI607" s="458"/>
      <c r="BJ607" s="458"/>
      <c r="BK607" s="458"/>
      <c r="BL607" s="458"/>
      <c r="BM607" s="458"/>
      <c r="BN607" s="458"/>
      <c r="BO607" s="866">
        <f>VLOOKUP(BD607,$BD$4:$BN$12824,3,0)*BE607</f>
        <v>0</v>
      </c>
      <c r="BP607" s="866"/>
      <c r="BQ607" s="866"/>
      <c r="BR607" s="866">
        <f>VLOOKUP(BD607,$BD$4:$BN$12824,6,0)*BE607</f>
        <v>82911.179999566535</v>
      </c>
      <c r="BS607" s="866">
        <f>VLOOKUP(BD607,$BD$4:$BN$12824,7,0)*BE607</f>
        <v>4145.6493933162146</v>
      </c>
      <c r="BT607" s="866"/>
      <c r="BU607" s="866">
        <f>VLOOKUP(BD607,$BD$4:$BN$12824,9,0)*BE607</f>
        <v>2152.2223306584274</v>
      </c>
      <c r="BV607" s="867"/>
      <c r="BW607" s="867">
        <f>VLOOKUP(BD607,$BD$4:$BN$12824,11,0)*BE607</f>
        <v>9039.3337887653943</v>
      </c>
      <c r="BX607" s="1146">
        <f t="shared" si="112"/>
        <v>98248.385512306559</v>
      </c>
      <c r="BY607" s="867">
        <f t="shared" si="121"/>
        <v>2150714.1927561532</v>
      </c>
      <c r="BZ607" s="867">
        <f t="shared" si="118"/>
        <v>4301428.3855123064</v>
      </c>
      <c r="CA607" s="867">
        <f>_xlfn.MAXIFS($BY$4:$BY$12824,$S$4:$S$12824,$S607)</f>
        <v>2150714.1927561532</v>
      </c>
      <c r="CB607" s="1032"/>
      <c r="CC607" s="999" t="s">
        <v>1889</v>
      </c>
      <c r="CF607" s="946">
        <f t="shared" si="120"/>
        <v>4203180</v>
      </c>
    </row>
    <row r="608" spans="1:84">
      <c r="A608" s="1032"/>
      <c r="B608" s="839" t="s">
        <v>98</v>
      </c>
      <c r="C608" s="839" t="s">
        <v>131</v>
      </c>
      <c r="D608" s="839" t="s">
        <v>1868</v>
      </c>
      <c r="E608" s="839" t="s">
        <v>1952</v>
      </c>
      <c r="F608" s="841">
        <v>45520</v>
      </c>
      <c r="G608" s="840" t="s">
        <v>155</v>
      </c>
      <c r="H608" s="842" t="s">
        <v>134</v>
      </c>
      <c r="I608" s="842"/>
      <c r="J608" s="841"/>
      <c r="K608" s="841"/>
      <c r="L608" s="843" t="s">
        <v>106</v>
      </c>
      <c r="M608" s="844" t="s">
        <v>107</v>
      </c>
      <c r="N608" s="841" t="s">
        <v>1869</v>
      </c>
      <c r="O608" s="841" t="s">
        <v>108</v>
      </c>
      <c r="P608" s="841" t="s">
        <v>160</v>
      </c>
      <c r="Q608" s="843"/>
      <c r="R608" s="845">
        <v>20719901</v>
      </c>
      <c r="S608" s="1127" t="s">
        <v>2075</v>
      </c>
      <c r="T608" s="843" t="s">
        <v>2076</v>
      </c>
      <c r="U608" s="842">
        <v>2</v>
      </c>
      <c r="V608" s="842" t="s">
        <v>8</v>
      </c>
      <c r="W608" s="846">
        <v>256</v>
      </c>
      <c r="X608" s="847">
        <f t="shared" si="113"/>
        <v>512</v>
      </c>
      <c r="Y608" s="848">
        <f t="shared" si="119"/>
        <v>0.5</v>
      </c>
      <c r="Z608" s="849">
        <v>128</v>
      </c>
      <c r="AA608" s="849"/>
      <c r="AB608" s="849">
        <f t="shared" si="114"/>
        <v>256</v>
      </c>
      <c r="AC608" s="850">
        <f t="shared" si="115"/>
        <v>256</v>
      </c>
      <c r="AD608" s="851"/>
      <c r="AE608" s="852">
        <v>24580</v>
      </c>
      <c r="AF608" s="853">
        <v>0</v>
      </c>
      <c r="AG608" s="854">
        <f t="shared" si="116"/>
        <v>0</v>
      </c>
      <c r="AH608" s="853"/>
      <c r="AI608" s="855">
        <f t="shared" si="117"/>
        <v>0</v>
      </c>
      <c r="AJ608" s="845" t="s">
        <v>1872</v>
      </c>
      <c r="AK608" s="857" t="s">
        <v>1745</v>
      </c>
      <c r="AL608" s="840">
        <v>244737306</v>
      </c>
      <c r="AM608" s="840"/>
      <c r="AN608" s="858"/>
      <c r="AO608" s="844"/>
      <c r="AP608" s="859" t="s">
        <v>1873</v>
      </c>
      <c r="AQ608" s="859"/>
      <c r="AR608" s="859">
        <v>45453</v>
      </c>
      <c r="AS608" s="840" t="s">
        <v>1874</v>
      </c>
      <c r="AT608" s="840" t="s">
        <v>1875</v>
      </c>
      <c r="AU608" s="860" t="s">
        <v>1876</v>
      </c>
      <c r="AV608" s="839" t="s">
        <v>1877</v>
      </c>
      <c r="AW608" s="861">
        <v>45575</v>
      </c>
      <c r="AX608" s="862">
        <v>45582</v>
      </c>
      <c r="AY608" s="843" t="s">
        <v>2077</v>
      </c>
      <c r="AZ608" s="842">
        <v>94052190</v>
      </c>
      <c r="BA608" s="842" t="s">
        <v>120</v>
      </c>
      <c r="BB608" s="863" t="s">
        <v>121</v>
      </c>
      <c r="BC608" s="864">
        <v>45584</v>
      </c>
      <c r="BD608" s="860" t="s">
        <v>1879</v>
      </c>
      <c r="BE608" s="865" cm="1">
        <f t="array" ref="BE608">IF(BD608="","",AC608/SUMPRODUCT(--(BD608=$BD$4:$BD$12824),$AC$4:$AC$12824))</f>
        <v>6.4440808964743553E-3</v>
      </c>
      <c r="BF608" s="458"/>
      <c r="BG608" s="458"/>
      <c r="BH608" s="458"/>
      <c r="BI608" s="458"/>
      <c r="BJ608" s="458"/>
      <c r="BK608" s="458"/>
      <c r="BL608" s="458"/>
      <c r="BM608" s="458"/>
      <c r="BN608" s="458"/>
      <c r="BO608" s="866">
        <f>VLOOKUP(BD608,$BD$4:$BN$12824,3,0)*BE608</f>
        <v>0</v>
      </c>
      <c r="BP608" s="866"/>
      <c r="BQ608" s="866"/>
      <c r="BR608" s="866">
        <f>VLOOKUP(BD608,$BD$4:$BN$12824,6,0)*BE608</f>
        <v>124124.33964847388</v>
      </c>
      <c r="BS608" s="866">
        <f>VLOOKUP(BD608,$BD$4:$BN$12824,7,0)*BE608</f>
        <v>6206.3523081225203</v>
      </c>
      <c r="BT608" s="866"/>
      <c r="BU608" s="866">
        <f>VLOOKUP(BD608,$BD$4:$BN$12824,9,0)*BE608</f>
        <v>3222.0404482371778</v>
      </c>
      <c r="BV608" s="867"/>
      <c r="BW608" s="867">
        <f>VLOOKUP(BD608,$BD$4:$BN$12824,11,0)*BE608</f>
        <v>13532.569882596146</v>
      </c>
      <c r="BX608" s="1146">
        <f t="shared" si="112"/>
        <v>147085.30228742972</v>
      </c>
      <c r="BY608" s="867">
        <f t="shared" si="121"/>
        <v>3219782.6511437148</v>
      </c>
      <c r="BZ608" s="867">
        <f t="shared" si="118"/>
        <v>6439565.3022874296</v>
      </c>
      <c r="CA608" s="867">
        <f>_xlfn.MAXIFS($BY$4:$BY$12824,$S$4:$S$12824,$S608)</f>
        <v>3772102.639114467</v>
      </c>
      <c r="CB608" s="1032"/>
      <c r="CC608" s="999" t="s">
        <v>1889</v>
      </c>
      <c r="CF608" s="946">
        <f t="shared" si="120"/>
        <v>6292480</v>
      </c>
    </row>
    <row r="609" spans="1:84">
      <c r="A609" s="1032"/>
      <c r="B609" s="839" t="s">
        <v>98</v>
      </c>
      <c r="C609" s="839" t="s">
        <v>131</v>
      </c>
      <c r="D609" s="839" t="s">
        <v>1868</v>
      </c>
      <c r="E609" s="839" t="s">
        <v>1952</v>
      </c>
      <c r="F609" s="841">
        <v>45520</v>
      </c>
      <c r="G609" s="840" t="s">
        <v>155</v>
      </c>
      <c r="H609" s="842" t="s">
        <v>134</v>
      </c>
      <c r="I609" s="842"/>
      <c r="J609" s="841"/>
      <c r="K609" s="841"/>
      <c r="L609" s="843" t="s">
        <v>106</v>
      </c>
      <c r="M609" s="844" t="s">
        <v>107</v>
      </c>
      <c r="N609" s="841" t="s">
        <v>1869</v>
      </c>
      <c r="O609" s="841" t="s">
        <v>108</v>
      </c>
      <c r="P609" s="841" t="s">
        <v>160</v>
      </c>
      <c r="Q609" s="843"/>
      <c r="R609" s="845">
        <v>20794301</v>
      </c>
      <c r="S609" s="1127" t="s">
        <v>2078</v>
      </c>
      <c r="T609" s="843" t="s">
        <v>2079</v>
      </c>
      <c r="U609" s="842">
        <v>2</v>
      </c>
      <c r="V609" s="842" t="s">
        <v>8</v>
      </c>
      <c r="W609" s="846">
        <v>305</v>
      </c>
      <c r="X609" s="847">
        <f t="shared" si="113"/>
        <v>610</v>
      </c>
      <c r="Y609" s="848">
        <f t="shared" si="119"/>
        <v>0.5</v>
      </c>
      <c r="Z609" s="849">
        <v>152.5</v>
      </c>
      <c r="AA609" s="849"/>
      <c r="AB609" s="849">
        <f t="shared" si="114"/>
        <v>305</v>
      </c>
      <c r="AC609" s="850">
        <f t="shared" si="115"/>
        <v>305</v>
      </c>
      <c r="AD609" s="851"/>
      <c r="AE609" s="852">
        <v>24580</v>
      </c>
      <c r="AF609" s="853">
        <v>0</v>
      </c>
      <c r="AG609" s="854">
        <f t="shared" si="116"/>
        <v>0</v>
      </c>
      <c r="AH609" s="853"/>
      <c r="AI609" s="855">
        <f t="shared" si="117"/>
        <v>0</v>
      </c>
      <c r="AJ609" s="845" t="s">
        <v>1872</v>
      </c>
      <c r="AK609" s="857" t="s">
        <v>1745</v>
      </c>
      <c r="AL609" s="840">
        <v>244737306</v>
      </c>
      <c r="AM609" s="840"/>
      <c r="AN609" s="858"/>
      <c r="AO609" s="844"/>
      <c r="AP609" s="859" t="s">
        <v>1873</v>
      </c>
      <c r="AQ609" s="859"/>
      <c r="AR609" s="859">
        <v>45453</v>
      </c>
      <c r="AS609" s="840" t="s">
        <v>1874</v>
      </c>
      <c r="AT609" s="840" t="s">
        <v>1875</v>
      </c>
      <c r="AU609" s="860" t="s">
        <v>1876</v>
      </c>
      <c r="AV609" s="839" t="s">
        <v>1877</v>
      </c>
      <c r="AW609" s="861">
        <v>45575</v>
      </c>
      <c r="AX609" s="862">
        <v>45582</v>
      </c>
      <c r="AY609" s="843" t="s">
        <v>2080</v>
      </c>
      <c r="AZ609" s="842">
        <v>94051999</v>
      </c>
      <c r="BA609" s="842" t="s">
        <v>120</v>
      </c>
      <c r="BB609" s="863" t="s">
        <v>121</v>
      </c>
      <c r="BC609" s="864">
        <v>45584</v>
      </c>
      <c r="BD609" s="860" t="s">
        <v>1879</v>
      </c>
      <c r="BE609" s="865" cm="1">
        <f t="array" ref="BE609">IF(BD609="","",AC609/SUMPRODUCT(--(BD609=$BD$4:$BD$12824),$AC$4:$AC$12824))</f>
        <v>7.6775182555651493E-3</v>
      </c>
      <c r="BF609" s="458"/>
      <c r="BG609" s="458"/>
      <c r="BH609" s="458"/>
      <c r="BI609" s="458"/>
      <c r="BJ609" s="458"/>
      <c r="BK609" s="458"/>
      <c r="BL609" s="458"/>
      <c r="BM609" s="458"/>
      <c r="BN609" s="458"/>
      <c r="BO609" s="866">
        <f>VLOOKUP(BD609,$BD$4:$BN$12824,3,0)*BE609</f>
        <v>0</v>
      </c>
      <c r="BP609" s="866"/>
      <c r="BQ609" s="866"/>
      <c r="BR609" s="866">
        <f>VLOOKUP(BD609,$BD$4:$BN$12824,6,0)*BE609</f>
        <v>147882.51403431458</v>
      </c>
      <c r="BS609" s="866">
        <f>VLOOKUP(BD609,$BD$4:$BN$12824,7,0)*BE609</f>
        <v>7394.2869295990949</v>
      </c>
      <c r="BT609" s="866"/>
      <c r="BU609" s="866">
        <f>VLOOKUP(BD609,$BD$4:$BN$12824,9,0)*BE609</f>
        <v>3838.7591277825745</v>
      </c>
      <c r="BV609" s="867"/>
      <c r="BW609" s="867">
        <f>VLOOKUP(BD609,$BD$4:$BN$12824,11,0)*BE609</f>
        <v>16122.788336686814</v>
      </c>
      <c r="BX609" s="1146">
        <f t="shared" si="112"/>
        <v>175238.34842838306</v>
      </c>
      <c r="BY609" s="867">
        <f t="shared" si="121"/>
        <v>3836069.1742141917</v>
      </c>
      <c r="BZ609" s="867">
        <f t="shared" si="118"/>
        <v>7672138.3484283835</v>
      </c>
      <c r="CA609" s="867">
        <f>_xlfn.MAXIFS($BY$4:$BY$12824,$S$4:$S$12824,$S609)</f>
        <v>3836069.1742141917</v>
      </c>
      <c r="CB609" s="1032"/>
      <c r="CC609" s="999" t="s">
        <v>1889</v>
      </c>
      <c r="CF609" s="946">
        <f t="shared" si="120"/>
        <v>7496900</v>
      </c>
    </row>
    <row r="610" spans="1:84">
      <c r="A610" s="1032"/>
      <c r="B610" s="839" t="s">
        <v>98</v>
      </c>
      <c r="C610" s="839" t="s">
        <v>131</v>
      </c>
      <c r="D610" s="839" t="s">
        <v>1868</v>
      </c>
      <c r="E610" s="839" t="s">
        <v>1952</v>
      </c>
      <c r="F610" s="841">
        <v>45520</v>
      </c>
      <c r="G610" s="840" t="s">
        <v>155</v>
      </c>
      <c r="H610" s="842" t="s">
        <v>134</v>
      </c>
      <c r="I610" s="842"/>
      <c r="J610" s="841"/>
      <c r="K610" s="841"/>
      <c r="L610" s="843" t="s">
        <v>106</v>
      </c>
      <c r="M610" s="844" t="s">
        <v>107</v>
      </c>
      <c r="N610" s="841" t="s">
        <v>1869</v>
      </c>
      <c r="O610" s="841" t="s">
        <v>108</v>
      </c>
      <c r="P610" s="841" t="s">
        <v>160</v>
      </c>
      <c r="Q610" s="843"/>
      <c r="R610" s="845">
        <v>20798901</v>
      </c>
      <c r="S610" s="1127" t="s">
        <v>2081</v>
      </c>
      <c r="T610" s="843" t="s">
        <v>2082</v>
      </c>
      <c r="U610" s="842">
        <v>2</v>
      </c>
      <c r="V610" s="842" t="s">
        <v>8</v>
      </c>
      <c r="W610" s="846">
        <v>305</v>
      </c>
      <c r="X610" s="847">
        <f t="shared" si="113"/>
        <v>610</v>
      </c>
      <c r="Y610" s="848">
        <f t="shared" si="119"/>
        <v>0.5</v>
      </c>
      <c r="Z610" s="849">
        <v>152.5</v>
      </c>
      <c r="AA610" s="849"/>
      <c r="AB610" s="849">
        <f t="shared" si="114"/>
        <v>305</v>
      </c>
      <c r="AC610" s="850">
        <f t="shared" si="115"/>
        <v>305</v>
      </c>
      <c r="AD610" s="851"/>
      <c r="AE610" s="852">
        <v>24580</v>
      </c>
      <c r="AF610" s="853">
        <v>0</v>
      </c>
      <c r="AG610" s="854">
        <f t="shared" si="116"/>
        <v>0</v>
      </c>
      <c r="AH610" s="853"/>
      <c r="AI610" s="855">
        <f t="shared" si="117"/>
        <v>0</v>
      </c>
      <c r="AJ610" s="845" t="s">
        <v>1872</v>
      </c>
      <c r="AK610" s="857" t="s">
        <v>1745</v>
      </c>
      <c r="AL610" s="840">
        <v>244737306</v>
      </c>
      <c r="AM610" s="840"/>
      <c r="AN610" s="858"/>
      <c r="AO610" s="844"/>
      <c r="AP610" s="859" t="s">
        <v>1873</v>
      </c>
      <c r="AQ610" s="859"/>
      <c r="AR610" s="859">
        <v>45453</v>
      </c>
      <c r="AS610" s="840" t="s">
        <v>1874</v>
      </c>
      <c r="AT610" s="840" t="s">
        <v>1875</v>
      </c>
      <c r="AU610" s="860" t="s">
        <v>1876</v>
      </c>
      <c r="AV610" s="839" t="s">
        <v>1877</v>
      </c>
      <c r="AW610" s="861">
        <v>45575</v>
      </c>
      <c r="AX610" s="862">
        <v>45582</v>
      </c>
      <c r="AY610" s="843" t="s">
        <v>2083</v>
      </c>
      <c r="AZ610" s="842">
        <v>94051999</v>
      </c>
      <c r="BA610" s="842" t="s">
        <v>120</v>
      </c>
      <c r="BB610" s="863" t="s">
        <v>121</v>
      </c>
      <c r="BC610" s="864">
        <v>45584</v>
      </c>
      <c r="BD610" s="860" t="s">
        <v>1879</v>
      </c>
      <c r="BE610" s="865" cm="1">
        <f t="array" ref="BE610">IF(BD610="","",AC610/SUMPRODUCT(--(BD610=$BD$4:$BD$12824),$AC$4:$AC$12824))</f>
        <v>7.6775182555651493E-3</v>
      </c>
      <c r="BF610" s="458"/>
      <c r="BG610" s="458"/>
      <c r="BH610" s="458"/>
      <c r="BI610" s="458"/>
      <c r="BJ610" s="458"/>
      <c r="BK610" s="458"/>
      <c r="BL610" s="458"/>
      <c r="BM610" s="458"/>
      <c r="BN610" s="458"/>
      <c r="BO610" s="866">
        <f>VLOOKUP(BD610,$BD$4:$BN$12824,3,0)*BE610</f>
        <v>0</v>
      </c>
      <c r="BP610" s="866"/>
      <c r="BQ610" s="866"/>
      <c r="BR610" s="866">
        <f>VLOOKUP(BD610,$BD$4:$BN$12824,6,0)*BE610</f>
        <v>147882.51403431458</v>
      </c>
      <c r="BS610" s="866">
        <f>VLOOKUP(BD610,$BD$4:$BN$12824,7,0)*BE610</f>
        <v>7394.2869295990949</v>
      </c>
      <c r="BT610" s="866"/>
      <c r="BU610" s="866">
        <f>VLOOKUP(BD610,$BD$4:$BN$12824,9,0)*BE610</f>
        <v>3838.7591277825745</v>
      </c>
      <c r="BV610" s="867"/>
      <c r="BW610" s="867">
        <f>VLOOKUP(BD610,$BD$4:$BN$12824,11,0)*BE610</f>
        <v>16122.788336686814</v>
      </c>
      <c r="BX610" s="1146">
        <f t="shared" si="112"/>
        <v>175238.34842838306</v>
      </c>
      <c r="BY610" s="867">
        <f t="shared" si="121"/>
        <v>3836069.1742141917</v>
      </c>
      <c r="BZ610" s="867">
        <f t="shared" si="118"/>
        <v>7672138.3484283835</v>
      </c>
      <c r="CA610" s="867">
        <f>_xlfn.MAXIFS($BY$4:$BY$12824,$S$4:$S$12824,$S610)</f>
        <v>3836069.1742141917</v>
      </c>
      <c r="CB610" s="1032"/>
      <c r="CC610" s="999" t="s">
        <v>1889</v>
      </c>
      <c r="CF610" s="946">
        <f t="shared" si="120"/>
        <v>7496900</v>
      </c>
    </row>
    <row r="611" spans="1:84">
      <c r="A611" s="1032"/>
      <c r="B611" s="839" t="s">
        <v>98</v>
      </c>
      <c r="C611" s="839" t="s">
        <v>131</v>
      </c>
      <c r="D611" s="839" t="s">
        <v>1868</v>
      </c>
      <c r="E611" s="839" t="s">
        <v>1952</v>
      </c>
      <c r="F611" s="841">
        <v>45520</v>
      </c>
      <c r="G611" s="840" t="s">
        <v>155</v>
      </c>
      <c r="H611" s="842" t="s">
        <v>134</v>
      </c>
      <c r="I611" s="842"/>
      <c r="J611" s="841"/>
      <c r="K611" s="841"/>
      <c r="L611" s="843" t="s">
        <v>106</v>
      </c>
      <c r="M611" s="844" t="s">
        <v>107</v>
      </c>
      <c r="N611" s="841" t="s">
        <v>1869</v>
      </c>
      <c r="O611" s="841" t="s">
        <v>108</v>
      </c>
      <c r="P611" s="841" t="s">
        <v>160</v>
      </c>
      <c r="Q611" s="843"/>
      <c r="R611" s="845" t="s">
        <v>2084</v>
      </c>
      <c r="S611" s="1127" t="s">
        <v>2085</v>
      </c>
      <c r="T611" s="843" t="s">
        <v>2086</v>
      </c>
      <c r="U611" s="842">
        <v>2</v>
      </c>
      <c r="V611" s="842" t="s">
        <v>8</v>
      </c>
      <c r="W611" s="846">
        <v>305</v>
      </c>
      <c r="X611" s="847">
        <f t="shared" si="113"/>
        <v>610</v>
      </c>
      <c r="Y611" s="848">
        <f t="shared" si="119"/>
        <v>0.5</v>
      </c>
      <c r="Z611" s="849">
        <v>152.5</v>
      </c>
      <c r="AA611" s="849"/>
      <c r="AB611" s="849">
        <f t="shared" si="114"/>
        <v>305</v>
      </c>
      <c r="AC611" s="850">
        <f t="shared" si="115"/>
        <v>305</v>
      </c>
      <c r="AD611" s="851"/>
      <c r="AE611" s="852">
        <v>24580</v>
      </c>
      <c r="AF611" s="853">
        <v>0</v>
      </c>
      <c r="AG611" s="854">
        <f t="shared" si="116"/>
        <v>0</v>
      </c>
      <c r="AH611" s="853"/>
      <c r="AI611" s="855">
        <f t="shared" si="117"/>
        <v>0</v>
      </c>
      <c r="AJ611" s="845" t="s">
        <v>1872</v>
      </c>
      <c r="AK611" s="857" t="s">
        <v>1745</v>
      </c>
      <c r="AL611" s="840">
        <v>244737306</v>
      </c>
      <c r="AM611" s="840"/>
      <c r="AN611" s="858"/>
      <c r="AO611" s="844"/>
      <c r="AP611" s="859" t="s">
        <v>1873</v>
      </c>
      <c r="AQ611" s="859"/>
      <c r="AR611" s="859">
        <v>45453</v>
      </c>
      <c r="AS611" s="840" t="s">
        <v>1874</v>
      </c>
      <c r="AT611" s="840" t="s">
        <v>1875</v>
      </c>
      <c r="AU611" s="860" t="s">
        <v>1876</v>
      </c>
      <c r="AV611" s="839" t="s">
        <v>1877</v>
      </c>
      <c r="AW611" s="861">
        <v>45575</v>
      </c>
      <c r="AX611" s="862">
        <v>45582</v>
      </c>
      <c r="AY611" s="843" t="s">
        <v>2087</v>
      </c>
      <c r="AZ611" s="842">
        <v>94051999</v>
      </c>
      <c r="BA611" s="842" t="s">
        <v>120</v>
      </c>
      <c r="BB611" s="863" t="s">
        <v>121</v>
      </c>
      <c r="BC611" s="864">
        <v>45584</v>
      </c>
      <c r="BD611" s="860" t="s">
        <v>1879</v>
      </c>
      <c r="BE611" s="865" cm="1">
        <f t="array" ref="BE611">IF(BD611="","",AC611/SUMPRODUCT(--(BD611=$BD$4:$BD$12824),$AC$4:$AC$12824))</f>
        <v>7.6775182555651493E-3</v>
      </c>
      <c r="BF611" s="458"/>
      <c r="BG611" s="458"/>
      <c r="BH611" s="458"/>
      <c r="BI611" s="458"/>
      <c r="BJ611" s="458"/>
      <c r="BK611" s="458"/>
      <c r="BL611" s="458"/>
      <c r="BM611" s="458"/>
      <c r="BN611" s="458"/>
      <c r="BO611" s="866">
        <f>VLOOKUP(BD611,$BD$4:$BN$12824,3,0)*BE611</f>
        <v>0</v>
      </c>
      <c r="BP611" s="866"/>
      <c r="BQ611" s="866"/>
      <c r="BR611" s="866">
        <f>VLOOKUP(BD611,$BD$4:$BN$12824,6,0)*BE611</f>
        <v>147882.51403431458</v>
      </c>
      <c r="BS611" s="866">
        <f>VLOOKUP(BD611,$BD$4:$BN$12824,7,0)*BE611</f>
        <v>7394.2869295990949</v>
      </c>
      <c r="BT611" s="866"/>
      <c r="BU611" s="866">
        <f>VLOOKUP(BD611,$BD$4:$BN$12824,9,0)*BE611</f>
        <v>3838.7591277825745</v>
      </c>
      <c r="BV611" s="867"/>
      <c r="BW611" s="867">
        <f>VLOOKUP(BD611,$BD$4:$BN$12824,11,0)*BE611</f>
        <v>16122.788336686814</v>
      </c>
      <c r="BX611" s="1146">
        <f t="shared" si="112"/>
        <v>175238.34842838306</v>
      </c>
      <c r="BY611" s="867">
        <f t="shared" si="121"/>
        <v>3836069.1742141917</v>
      </c>
      <c r="BZ611" s="867">
        <f t="shared" si="118"/>
        <v>7672138.3484283835</v>
      </c>
      <c r="CA611" s="867">
        <f>_xlfn.MAXIFS($BY$4:$BY$12824,$S$4:$S$12824,$S611)</f>
        <v>5373018.9043070246</v>
      </c>
      <c r="CB611" s="1032"/>
      <c r="CC611" s="999" t="s">
        <v>1889</v>
      </c>
      <c r="CF611" s="946">
        <f t="shared" si="120"/>
        <v>7496900</v>
      </c>
    </row>
    <row r="612" spans="1:84">
      <c r="A612" s="1032"/>
      <c r="B612" s="839" t="s">
        <v>98</v>
      </c>
      <c r="C612" s="839" t="s">
        <v>131</v>
      </c>
      <c r="D612" s="839" t="s">
        <v>1868</v>
      </c>
      <c r="E612" s="839" t="s">
        <v>1952</v>
      </c>
      <c r="F612" s="841">
        <v>45520</v>
      </c>
      <c r="G612" s="840" t="s">
        <v>155</v>
      </c>
      <c r="H612" s="842" t="s">
        <v>134</v>
      </c>
      <c r="I612" s="842"/>
      <c r="J612" s="841"/>
      <c r="K612" s="841"/>
      <c r="L612" s="843" t="s">
        <v>106</v>
      </c>
      <c r="M612" s="844" t="s">
        <v>107</v>
      </c>
      <c r="N612" s="841" t="s">
        <v>1869</v>
      </c>
      <c r="O612" s="841" t="s">
        <v>108</v>
      </c>
      <c r="P612" s="841" t="s">
        <v>2088</v>
      </c>
      <c r="Q612" s="843"/>
      <c r="R612" s="845" t="s">
        <v>2089</v>
      </c>
      <c r="S612" s="1127" t="s">
        <v>2090</v>
      </c>
      <c r="T612" s="843" t="s">
        <v>2091</v>
      </c>
      <c r="U612" s="842">
        <v>2</v>
      </c>
      <c r="V612" s="842" t="s">
        <v>8</v>
      </c>
      <c r="W612" s="846">
        <v>366</v>
      </c>
      <c r="X612" s="847">
        <f t="shared" si="113"/>
        <v>732</v>
      </c>
      <c r="Y612" s="848">
        <f t="shared" si="119"/>
        <v>0.5</v>
      </c>
      <c r="Z612" s="849">
        <v>183</v>
      </c>
      <c r="AA612" s="849"/>
      <c r="AB612" s="849">
        <f t="shared" si="114"/>
        <v>366</v>
      </c>
      <c r="AC612" s="850">
        <f t="shared" si="115"/>
        <v>366</v>
      </c>
      <c r="AD612" s="851"/>
      <c r="AE612" s="852">
        <v>24580</v>
      </c>
      <c r="AF612" s="853">
        <v>0</v>
      </c>
      <c r="AG612" s="854">
        <f t="shared" si="116"/>
        <v>0</v>
      </c>
      <c r="AH612" s="853"/>
      <c r="AI612" s="855">
        <f t="shared" si="117"/>
        <v>0</v>
      </c>
      <c r="AJ612" s="845" t="s">
        <v>1872</v>
      </c>
      <c r="AK612" s="857" t="s">
        <v>1745</v>
      </c>
      <c r="AL612" s="840">
        <v>244737306</v>
      </c>
      <c r="AM612" s="840"/>
      <c r="AN612" s="858"/>
      <c r="AO612" s="844"/>
      <c r="AP612" s="859" t="s">
        <v>1873</v>
      </c>
      <c r="AQ612" s="859"/>
      <c r="AR612" s="859">
        <v>45453</v>
      </c>
      <c r="AS612" s="840" t="s">
        <v>1874</v>
      </c>
      <c r="AT612" s="840" t="s">
        <v>1875</v>
      </c>
      <c r="AU612" s="860" t="s">
        <v>1876</v>
      </c>
      <c r="AV612" s="839" t="s">
        <v>1877</v>
      </c>
      <c r="AW612" s="861">
        <v>45575</v>
      </c>
      <c r="AX612" s="862">
        <v>45582</v>
      </c>
      <c r="AY612" s="843" t="s">
        <v>2092</v>
      </c>
      <c r="AZ612" s="842">
        <v>94051999</v>
      </c>
      <c r="BA612" s="842" t="s">
        <v>120</v>
      </c>
      <c r="BB612" s="863" t="s">
        <v>121</v>
      </c>
      <c r="BC612" s="864">
        <v>45584</v>
      </c>
      <c r="BD612" s="860" t="s">
        <v>1879</v>
      </c>
      <c r="BE612" s="865" cm="1">
        <f t="array" ref="BE612">IF(BD612="","",AC612/SUMPRODUCT(--(BD612=$BD$4:$BD$12824),$AC$4:$AC$12824))</f>
        <v>9.2130219066781788E-3</v>
      </c>
      <c r="BF612" s="458"/>
      <c r="BG612" s="458"/>
      <c r="BH612" s="458"/>
      <c r="BI612" s="458"/>
      <c r="BJ612" s="458"/>
      <c r="BK612" s="458"/>
      <c r="BL612" s="458"/>
      <c r="BM612" s="458"/>
      <c r="BN612" s="458"/>
      <c r="BO612" s="866">
        <f>VLOOKUP(BD612,$BD$4:$BN$12824,3,0)*BE612</f>
        <v>0</v>
      </c>
      <c r="BP612" s="866"/>
      <c r="BQ612" s="866"/>
      <c r="BR612" s="866">
        <f>VLOOKUP(BD612,$BD$4:$BN$12824,6,0)*BE612</f>
        <v>177459.01684117748</v>
      </c>
      <c r="BS612" s="866">
        <f>VLOOKUP(BD612,$BD$4:$BN$12824,7,0)*BE612</f>
        <v>8873.1443155189136</v>
      </c>
      <c r="BT612" s="866"/>
      <c r="BU612" s="866">
        <f>VLOOKUP(BD612,$BD$4:$BN$12824,9,0)*BE612</f>
        <v>4606.5109533390896</v>
      </c>
      <c r="BV612" s="867"/>
      <c r="BW612" s="867">
        <f>VLOOKUP(BD612,$BD$4:$BN$12824,11,0)*BE612</f>
        <v>19347.346004024177</v>
      </c>
      <c r="BX612" s="1146">
        <f t="shared" si="112"/>
        <v>210286.01811405964</v>
      </c>
      <c r="BY612" s="867">
        <f t="shared" si="121"/>
        <v>4603283.0090570301</v>
      </c>
      <c r="BZ612" s="867">
        <f t="shared" si="118"/>
        <v>9206566.0181140602</v>
      </c>
      <c r="CA612" s="867">
        <f>_xlfn.MAXIFS($BY$4:$BY$12824,$S$4:$S$12824,$S612)</f>
        <v>4603283.0090570301</v>
      </c>
      <c r="CB612" s="1032"/>
      <c r="CC612" s="999" t="s">
        <v>1889</v>
      </c>
      <c r="CF612" s="946">
        <f t="shared" si="120"/>
        <v>8996280</v>
      </c>
    </row>
    <row r="613" spans="1:84">
      <c r="A613" s="1032"/>
      <c r="B613" s="839" t="s">
        <v>98</v>
      </c>
      <c r="C613" s="839" t="s">
        <v>131</v>
      </c>
      <c r="D613" s="839" t="s">
        <v>1868</v>
      </c>
      <c r="E613" s="839" t="s">
        <v>1952</v>
      </c>
      <c r="F613" s="841">
        <v>45520</v>
      </c>
      <c r="G613" s="840" t="s">
        <v>155</v>
      </c>
      <c r="H613" s="842" t="s">
        <v>134</v>
      </c>
      <c r="I613" s="842"/>
      <c r="J613" s="841"/>
      <c r="K613" s="841"/>
      <c r="L613" s="843" t="s">
        <v>106</v>
      </c>
      <c r="M613" s="844" t="s">
        <v>107</v>
      </c>
      <c r="N613" s="841" t="s">
        <v>1869</v>
      </c>
      <c r="O613" s="841" t="s">
        <v>108</v>
      </c>
      <c r="P613" s="841" t="s">
        <v>2088</v>
      </c>
      <c r="Q613" s="843"/>
      <c r="R613" s="845">
        <v>86002002</v>
      </c>
      <c r="S613" s="1127" t="s">
        <v>2093</v>
      </c>
      <c r="T613" s="843" t="s">
        <v>2094</v>
      </c>
      <c r="U613" s="842">
        <v>4</v>
      </c>
      <c r="V613" s="842" t="s">
        <v>8</v>
      </c>
      <c r="W613" s="846">
        <v>269</v>
      </c>
      <c r="X613" s="847">
        <f t="shared" si="113"/>
        <v>1076</v>
      </c>
      <c r="Y613" s="848">
        <f t="shared" si="119"/>
        <v>0.5</v>
      </c>
      <c r="Z613" s="849">
        <v>134.5</v>
      </c>
      <c r="AA613" s="849"/>
      <c r="AB613" s="849">
        <f t="shared" si="114"/>
        <v>538</v>
      </c>
      <c r="AC613" s="850">
        <f t="shared" si="115"/>
        <v>538</v>
      </c>
      <c r="AD613" s="851"/>
      <c r="AE613" s="852">
        <v>24580</v>
      </c>
      <c r="AF613" s="853">
        <v>0</v>
      </c>
      <c r="AG613" s="854">
        <f t="shared" si="116"/>
        <v>0</v>
      </c>
      <c r="AH613" s="853"/>
      <c r="AI613" s="855">
        <f t="shared" si="117"/>
        <v>0</v>
      </c>
      <c r="AJ613" s="845" t="s">
        <v>1872</v>
      </c>
      <c r="AK613" s="857" t="s">
        <v>1745</v>
      </c>
      <c r="AL613" s="840">
        <v>244737306</v>
      </c>
      <c r="AM613" s="840"/>
      <c r="AN613" s="858"/>
      <c r="AO613" s="844"/>
      <c r="AP613" s="859" t="s">
        <v>1873</v>
      </c>
      <c r="AQ613" s="859"/>
      <c r="AR613" s="859">
        <v>45453</v>
      </c>
      <c r="AS613" s="840" t="s">
        <v>1874</v>
      </c>
      <c r="AT613" s="840" t="s">
        <v>1875</v>
      </c>
      <c r="AU613" s="860" t="s">
        <v>1876</v>
      </c>
      <c r="AV613" s="839" t="s">
        <v>1877</v>
      </c>
      <c r="AW613" s="861">
        <v>45575</v>
      </c>
      <c r="AX613" s="862">
        <v>45582</v>
      </c>
      <c r="AY613" s="843" t="s">
        <v>2095</v>
      </c>
      <c r="AZ613" s="842">
        <v>94051999</v>
      </c>
      <c r="BA613" s="842" t="s">
        <v>120</v>
      </c>
      <c r="BB613" s="863" t="s">
        <v>121</v>
      </c>
      <c r="BC613" s="864">
        <v>45584</v>
      </c>
      <c r="BD613" s="860" t="s">
        <v>1879</v>
      </c>
      <c r="BE613" s="865" cm="1">
        <f t="array" ref="BE613">IF(BD613="","",AC613/SUMPRODUCT(--(BD613=$BD$4:$BD$12824),$AC$4:$AC$12824))</f>
        <v>1.3542638758996887E-2</v>
      </c>
      <c r="BF613" s="458"/>
      <c r="BG613" s="458"/>
      <c r="BH613" s="458"/>
      <c r="BI613" s="458"/>
      <c r="BJ613" s="458"/>
      <c r="BK613" s="458"/>
      <c r="BL613" s="458"/>
      <c r="BM613" s="458"/>
      <c r="BN613" s="458"/>
      <c r="BO613" s="866">
        <f>VLOOKUP(BD613,$BD$4:$BN$12824,3,0)*BE613</f>
        <v>0</v>
      </c>
      <c r="BP613" s="866"/>
      <c r="BQ613" s="866"/>
      <c r="BR613" s="866">
        <f>VLOOKUP(BD613,$BD$4:$BN$12824,6,0)*BE613</f>
        <v>260855.05754249587</v>
      </c>
      <c r="BS613" s="866">
        <f>VLOOKUP(BD613,$BD$4:$BN$12824,7,0)*BE613</f>
        <v>13043.037272538733</v>
      </c>
      <c r="BT613" s="866"/>
      <c r="BU613" s="866">
        <f>VLOOKUP(BD613,$BD$4:$BN$12824,9,0)*BE613</f>
        <v>6771.3193794984436</v>
      </c>
      <c r="BV613" s="867"/>
      <c r="BW613" s="867">
        <f>VLOOKUP(BD613,$BD$4:$BN$12824,11,0)*BE613</f>
        <v>28439.541393893462</v>
      </c>
      <c r="BX613" s="1146">
        <f t="shared" si="112"/>
        <v>309108.9555884265</v>
      </c>
      <c r="BY613" s="867">
        <f t="shared" si="121"/>
        <v>3383287.2388971066</v>
      </c>
      <c r="BZ613" s="867">
        <f t="shared" si="118"/>
        <v>13533148.955588426</v>
      </c>
      <c r="CA613" s="867">
        <f>_xlfn.MAXIFS($BY$4:$BY$12824,$S$4:$S$12824,$S613)</f>
        <v>3383287.2388971066</v>
      </c>
      <c r="CB613" s="1032"/>
      <c r="CC613" s="999" t="s">
        <v>1889</v>
      </c>
      <c r="CF613" s="946">
        <f t="shared" si="120"/>
        <v>13224040</v>
      </c>
    </row>
    <row r="614" spans="1:84">
      <c r="A614" s="1032"/>
      <c r="B614" s="839" t="s">
        <v>98</v>
      </c>
      <c r="C614" s="839" t="s">
        <v>131</v>
      </c>
      <c r="D614" s="839" t="s">
        <v>1868</v>
      </c>
      <c r="E614" s="839" t="s">
        <v>1952</v>
      </c>
      <c r="F614" s="841">
        <v>45520</v>
      </c>
      <c r="G614" s="840" t="s">
        <v>155</v>
      </c>
      <c r="H614" s="842" t="s">
        <v>134</v>
      </c>
      <c r="I614" s="842"/>
      <c r="J614" s="841"/>
      <c r="K614" s="841"/>
      <c r="L614" s="843" t="s">
        <v>106</v>
      </c>
      <c r="M614" s="844" t="s">
        <v>107</v>
      </c>
      <c r="N614" s="841" t="s">
        <v>1869</v>
      </c>
      <c r="O614" s="841" t="s">
        <v>108</v>
      </c>
      <c r="P614" s="841" t="s">
        <v>2088</v>
      </c>
      <c r="Q614" s="843"/>
      <c r="R614" s="845">
        <v>86002044</v>
      </c>
      <c r="S614" s="1127" t="s">
        <v>2096</v>
      </c>
      <c r="T614" s="843" t="s">
        <v>2097</v>
      </c>
      <c r="U614" s="842">
        <v>4</v>
      </c>
      <c r="V614" s="842" t="s">
        <v>8</v>
      </c>
      <c r="W614" s="846">
        <v>269</v>
      </c>
      <c r="X614" s="847">
        <f t="shared" si="113"/>
        <v>1076</v>
      </c>
      <c r="Y614" s="848">
        <f t="shared" si="119"/>
        <v>0.5</v>
      </c>
      <c r="Z614" s="849">
        <v>134.5</v>
      </c>
      <c r="AA614" s="849"/>
      <c r="AB614" s="849">
        <f t="shared" si="114"/>
        <v>538</v>
      </c>
      <c r="AC614" s="850">
        <f t="shared" si="115"/>
        <v>538</v>
      </c>
      <c r="AD614" s="851"/>
      <c r="AE614" s="852">
        <v>24580</v>
      </c>
      <c r="AF614" s="853">
        <v>0</v>
      </c>
      <c r="AG614" s="854">
        <f t="shared" si="116"/>
        <v>0</v>
      </c>
      <c r="AH614" s="853"/>
      <c r="AI614" s="855">
        <f t="shared" si="117"/>
        <v>0</v>
      </c>
      <c r="AJ614" s="845" t="s">
        <v>1872</v>
      </c>
      <c r="AK614" s="857" t="s">
        <v>1745</v>
      </c>
      <c r="AL614" s="840">
        <v>244737306</v>
      </c>
      <c r="AM614" s="840"/>
      <c r="AN614" s="858"/>
      <c r="AO614" s="844"/>
      <c r="AP614" s="859" t="s">
        <v>1873</v>
      </c>
      <c r="AQ614" s="859"/>
      <c r="AR614" s="859">
        <v>45453</v>
      </c>
      <c r="AS614" s="840" t="s">
        <v>1874</v>
      </c>
      <c r="AT614" s="840" t="s">
        <v>1875</v>
      </c>
      <c r="AU614" s="860" t="s">
        <v>1876</v>
      </c>
      <c r="AV614" s="839" t="s">
        <v>1877</v>
      </c>
      <c r="AW614" s="861">
        <v>45575</v>
      </c>
      <c r="AX614" s="862">
        <v>45582</v>
      </c>
      <c r="AY614" s="843" t="s">
        <v>2098</v>
      </c>
      <c r="AZ614" s="842">
        <v>94051999</v>
      </c>
      <c r="BA614" s="842" t="s">
        <v>120</v>
      </c>
      <c r="BB614" s="863" t="s">
        <v>121</v>
      </c>
      <c r="BC614" s="864">
        <v>45584</v>
      </c>
      <c r="BD614" s="860" t="s">
        <v>1879</v>
      </c>
      <c r="BE614" s="865" cm="1">
        <f t="array" ref="BE614">IF(BD614="","",AC614/SUMPRODUCT(--(BD614=$BD$4:$BD$12824),$AC$4:$AC$12824))</f>
        <v>1.3542638758996887E-2</v>
      </c>
      <c r="BF614" s="458"/>
      <c r="BG614" s="458"/>
      <c r="BH614" s="458"/>
      <c r="BI614" s="458"/>
      <c r="BJ614" s="458"/>
      <c r="BK614" s="458"/>
      <c r="BL614" s="458"/>
      <c r="BM614" s="458"/>
      <c r="BN614" s="458"/>
      <c r="BO614" s="866">
        <f>VLOOKUP(BD614,$BD$4:$BN$12824,3,0)*BE614</f>
        <v>0</v>
      </c>
      <c r="BP614" s="866"/>
      <c r="BQ614" s="866"/>
      <c r="BR614" s="866">
        <f>VLOOKUP(BD614,$BD$4:$BN$12824,6,0)*BE614</f>
        <v>260855.05754249587</v>
      </c>
      <c r="BS614" s="866">
        <f>VLOOKUP(BD614,$BD$4:$BN$12824,7,0)*BE614</f>
        <v>13043.037272538733</v>
      </c>
      <c r="BT614" s="866"/>
      <c r="BU614" s="866">
        <f>VLOOKUP(BD614,$BD$4:$BN$12824,9,0)*BE614</f>
        <v>6771.3193794984436</v>
      </c>
      <c r="BV614" s="867"/>
      <c r="BW614" s="867">
        <f>VLOOKUP(BD614,$BD$4:$BN$12824,11,0)*BE614</f>
        <v>28439.541393893462</v>
      </c>
      <c r="BX614" s="1146">
        <f t="shared" si="112"/>
        <v>309108.9555884265</v>
      </c>
      <c r="BY614" s="867">
        <f t="shared" si="121"/>
        <v>3383287.2388971066</v>
      </c>
      <c r="BZ614" s="867">
        <f t="shared" si="118"/>
        <v>13533148.955588426</v>
      </c>
      <c r="CA614" s="867">
        <f>_xlfn.MAXIFS($BY$4:$BY$12824,$S$4:$S$12824,$S614)</f>
        <v>3383287.2388971066</v>
      </c>
      <c r="CB614" s="1032"/>
      <c r="CC614" s="999" t="s">
        <v>1889</v>
      </c>
      <c r="CF614" s="946">
        <f t="shared" si="120"/>
        <v>13224040</v>
      </c>
    </row>
    <row r="615" spans="1:84">
      <c r="A615" s="1032"/>
      <c r="B615" s="839" t="s">
        <v>98</v>
      </c>
      <c r="C615" s="839" t="s">
        <v>131</v>
      </c>
      <c r="D615" s="839" t="s">
        <v>1868</v>
      </c>
      <c r="E615" s="839" t="s">
        <v>1952</v>
      </c>
      <c r="F615" s="841">
        <v>45520</v>
      </c>
      <c r="G615" s="840" t="s">
        <v>155</v>
      </c>
      <c r="H615" s="842" t="s">
        <v>134</v>
      </c>
      <c r="I615" s="842"/>
      <c r="J615" s="841"/>
      <c r="K615" s="841"/>
      <c r="L615" s="843" t="s">
        <v>106</v>
      </c>
      <c r="M615" s="844" t="s">
        <v>107</v>
      </c>
      <c r="N615" s="841" t="s">
        <v>1869</v>
      </c>
      <c r="O615" s="841" t="s">
        <v>108</v>
      </c>
      <c r="P615" s="841" t="s">
        <v>2088</v>
      </c>
      <c r="Q615" s="843"/>
      <c r="R615" s="845">
        <v>86002094</v>
      </c>
      <c r="S615" s="1127" t="s">
        <v>2099</v>
      </c>
      <c r="T615" s="843" t="s">
        <v>2100</v>
      </c>
      <c r="U615" s="842">
        <v>4</v>
      </c>
      <c r="V615" s="842" t="s">
        <v>8</v>
      </c>
      <c r="W615" s="846">
        <v>269</v>
      </c>
      <c r="X615" s="847">
        <f t="shared" si="113"/>
        <v>1076</v>
      </c>
      <c r="Y615" s="848">
        <f t="shared" si="119"/>
        <v>0.5</v>
      </c>
      <c r="Z615" s="849">
        <v>134.5</v>
      </c>
      <c r="AA615" s="849"/>
      <c r="AB615" s="849">
        <f t="shared" si="114"/>
        <v>538</v>
      </c>
      <c r="AC615" s="850">
        <f t="shared" si="115"/>
        <v>538</v>
      </c>
      <c r="AD615" s="851"/>
      <c r="AE615" s="852">
        <v>24580</v>
      </c>
      <c r="AF615" s="853">
        <v>0</v>
      </c>
      <c r="AG615" s="854">
        <f t="shared" si="116"/>
        <v>0</v>
      </c>
      <c r="AH615" s="853"/>
      <c r="AI615" s="855">
        <f t="shared" si="117"/>
        <v>0</v>
      </c>
      <c r="AJ615" s="845" t="s">
        <v>1872</v>
      </c>
      <c r="AK615" s="857" t="s">
        <v>1745</v>
      </c>
      <c r="AL615" s="840">
        <v>244737306</v>
      </c>
      <c r="AM615" s="840"/>
      <c r="AN615" s="858"/>
      <c r="AO615" s="844"/>
      <c r="AP615" s="859" t="s">
        <v>1873</v>
      </c>
      <c r="AQ615" s="859"/>
      <c r="AR615" s="859">
        <v>45453</v>
      </c>
      <c r="AS615" s="840" t="s">
        <v>1874</v>
      </c>
      <c r="AT615" s="840" t="s">
        <v>1875</v>
      </c>
      <c r="AU615" s="860" t="s">
        <v>1876</v>
      </c>
      <c r="AV615" s="839" t="s">
        <v>1877</v>
      </c>
      <c r="AW615" s="861">
        <v>45575</v>
      </c>
      <c r="AX615" s="862">
        <v>45582</v>
      </c>
      <c r="AY615" s="843" t="s">
        <v>2101</v>
      </c>
      <c r="AZ615" s="842">
        <v>94051999</v>
      </c>
      <c r="BA615" s="842" t="s">
        <v>120</v>
      </c>
      <c r="BB615" s="863" t="s">
        <v>121</v>
      </c>
      <c r="BC615" s="864">
        <v>45584</v>
      </c>
      <c r="BD615" s="860" t="s">
        <v>1879</v>
      </c>
      <c r="BE615" s="865" cm="1">
        <f t="array" ref="BE615">IF(BD615="","",AC615/SUMPRODUCT(--(BD615=$BD$4:$BD$12824),$AC$4:$AC$12824))</f>
        <v>1.3542638758996887E-2</v>
      </c>
      <c r="BF615" s="458"/>
      <c r="BG615" s="458"/>
      <c r="BH615" s="458"/>
      <c r="BI615" s="458"/>
      <c r="BJ615" s="458"/>
      <c r="BK615" s="458"/>
      <c r="BL615" s="458"/>
      <c r="BM615" s="458"/>
      <c r="BN615" s="458"/>
      <c r="BO615" s="866">
        <f>VLOOKUP(BD615,$BD$4:$BN$12824,3,0)*BE615</f>
        <v>0</v>
      </c>
      <c r="BP615" s="866"/>
      <c r="BQ615" s="866"/>
      <c r="BR615" s="866">
        <f>VLOOKUP(BD615,$BD$4:$BN$12824,6,0)*BE615</f>
        <v>260855.05754249587</v>
      </c>
      <c r="BS615" s="866">
        <f>VLOOKUP(BD615,$BD$4:$BN$12824,7,0)*BE615</f>
        <v>13043.037272538733</v>
      </c>
      <c r="BT615" s="866"/>
      <c r="BU615" s="866">
        <f>VLOOKUP(BD615,$BD$4:$BN$12824,9,0)*BE615</f>
        <v>6771.3193794984436</v>
      </c>
      <c r="BV615" s="867"/>
      <c r="BW615" s="867">
        <f>VLOOKUP(BD615,$BD$4:$BN$12824,11,0)*BE615</f>
        <v>28439.541393893462</v>
      </c>
      <c r="BX615" s="1146">
        <f t="shared" ref="BX615:BX678" si="122">SUM(BO615:BW615)</f>
        <v>309108.9555884265</v>
      </c>
      <c r="BY615" s="867">
        <f t="shared" si="121"/>
        <v>3383287.2388971066</v>
      </c>
      <c r="BZ615" s="867">
        <f t="shared" si="118"/>
        <v>13533148.955588426</v>
      </c>
      <c r="CA615" s="867">
        <f>_xlfn.MAXIFS($BY$4:$BY$12824,$S$4:$S$12824,$S615)</f>
        <v>3383287.2388971066</v>
      </c>
      <c r="CB615" s="1032"/>
      <c r="CC615" s="999" t="s">
        <v>1889</v>
      </c>
      <c r="CF615" s="946">
        <f t="shared" si="120"/>
        <v>13224040</v>
      </c>
    </row>
    <row r="616" spans="1:84">
      <c r="A616" s="1032"/>
      <c r="B616" s="839" t="s">
        <v>98</v>
      </c>
      <c r="C616" s="839" t="s">
        <v>131</v>
      </c>
      <c r="D616" s="839" t="s">
        <v>1868</v>
      </c>
      <c r="E616" s="839" t="s">
        <v>1952</v>
      </c>
      <c r="F616" s="841">
        <v>45520</v>
      </c>
      <c r="G616" s="840" t="s">
        <v>133</v>
      </c>
      <c r="H616" s="842" t="s">
        <v>134</v>
      </c>
      <c r="I616" s="842"/>
      <c r="J616" s="841"/>
      <c r="K616" s="841"/>
      <c r="L616" s="843" t="s">
        <v>106</v>
      </c>
      <c r="M616" s="844" t="s">
        <v>107</v>
      </c>
      <c r="N616" s="841" t="s">
        <v>1869</v>
      </c>
      <c r="O616" s="841" t="s">
        <v>150</v>
      </c>
      <c r="P616" s="841" t="s">
        <v>276</v>
      </c>
      <c r="Q616" s="843"/>
      <c r="R616" s="845" t="s">
        <v>2102</v>
      </c>
      <c r="S616" s="1127" t="s">
        <v>2103</v>
      </c>
      <c r="T616" s="843" t="s">
        <v>2104</v>
      </c>
      <c r="U616" s="842">
        <v>1</v>
      </c>
      <c r="V616" s="842" t="s">
        <v>8</v>
      </c>
      <c r="W616" s="846">
        <v>1801.211111111111</v>
      </c>
      <c r="X616" s="847">
        <f t="shared" si="113"/>
        <v>1801.211111111111</v>
      </c>
      <c r="Y616" s="848">
        <f t="shared" si="119"/>
        <v>9.9999999999999992E-2</v>
      </c>
      <c r="Z616" s="849">
        <v>1621.09</v>
      </c>
      <c r="AA616" s="849"/>
      <c r="AB616" s="849">
        <f t="shared" si="114"/>
        <v>1621.09</v>
      </c>
      <c r="AC616" s="850">
        <f t="shared" si="115"/>
        <v>1621.09</v>
      </c>
      <c r="AD616" s="851"/>
      <c r="AE616" s="852">
        <v>24580</v>
      </c>
      <c r="AF616" s="853">
        <v>0</v>
      </c>
      <c r="AG616" s="854">
        <f t="shared" si="116"/>
        <v>0</v>
      </c>
      <c r="AH616" s="853"/>
      <c r="AI616" s="855">
        <f t="shared" si="117"/>
        <v>0</v>
      </c>
      <c r="AJ616" s="845" t="s">
        <v>1872</v>
      </c>
      <c r="AK616" s="857" t="s">
        <v>1745</v>
      </c>
      <c r="AL616" s="840">
        <v>244737306</v>
      </c>
      <c r="AM616" s="840"/>
      <c r="AN616" s="858"/>
      <c r="AO616" s="844"/>
      <c r="AP616" s="859" t="s">
        <v>1873</v>
      </c>
      <c r="AQ616" s="859"/>
      <c r="AR616" s="859">
        <v>45453</v>
      </c>
      <c r="AS616" s="840" t="s">
        <v>1874</v>
      </c>
      <c r="AT616" s="840" t="s">
        <v>1875</v>
      </c>
      <c r="AU616" s="860" t="s">
        <v>1876</v>
      </c>
      <c r="AV616" s="839" t="s">
        <v>1877</v>
      </c>
      <c r="AW616" s="861">
        <v>45575</v>
      </c>
      <c r="AX616" s="862">
        <v>45582</v>
      </c>
      <c r="AY616" s="843" t="s">
        <v>2105</v>
      </c>
      <c r="AZ616" s="842">
        <v>94038990</v>
      </c>
      <c r="BA616" s="842" t="s">
        <v>120</v>
      </c>
      <c r="BB616" s="863" t="s">
        <v>121</v>
      </c>
      <c r="BC616" s="864">
        <v>45584</v>
      </c>
      <c r="BD616" s="860" t="s">
        <v>1879</v>
      </c>
      <c r="BE616" s="865" cm="1">
        <f t="array" ref="BE616">IF(BD616="","",AC616/SUMPRODUCT(--(BD616=$BD$4:$BD$12824),$AC$4:$AC$12824))</f>
        <v>4.0806387111193797E-2</v>
      </c>
      <c r="BF616" s="458"/>
      <c r="BG616" s="458"/>
      <c r="BH616" s="458"/>
      <c r="BI616" s="458"/>
      <c r="BJ616" s="458"/>
      <c r="BK616" s="458"/>
      <c r="BL616" s="458"/>
      <c r="BM616" s="458"/>
      <c r="BN616" s="458"/>
      <c r="BO616" s="866">
        <f>VLOOKUP(BD616,$BD$4:$BN$12824,3,0)*BE616</f>
        <v>0</v>
      </c>
      <c r="BP616" s="866"/>
      <c r="BQ616" s="866"/>
      <c r="BR616" s="866">
        <f>VLOOKUP(BD616,$BD$4:$BN$12824,6,0)*BE616</f>
        <v>786002.83500290825</v>
      </c>
      <c r="BS616" s="866">
        <f>VLOOKUP(BD616,$BD$4:$BN$12824,7,0)*BE616</f>
        <v>39300.998684274746</v>
      </c>
      <c r="BT616" s="866"/>
      <c r="BU616" s="866">
        <f>VLOOKUP(BD616,$BD$4:$BN$12824,9,0)*BE616</f>
        <v>20403.193555596899</v>
      </c>
      <c r="BV616" s="867"/>
      <c r="BW616" s="867">
        <f>VLOOKUP(BD616,$BD$4:$BN$12824,11,0)*BE616</f>
        <v>85693.412933506974</v>
      </c>
      <c r="BX616" s="1146">
        <f t="shared" si="122"/>
        <v>931400.44017628685</v>
      </c>
      <c r="BY616" s="867">
        <f t="shared" si="121"/>
        <v>40777792.640176281</v>
      </c>
      <c r="BZ616" s="867">
        <f t="shared" si="118"/>
        <v>40777792.640176281</v>
      </c>
      <c r="CA616" s="867">
        <f>_xlfn.MAXIFS($BY$4:$BY$12824,$S$4:$S$12824,$S616)</f>
        <v>40777792.640176281</v>
      </c>
      <c r="CB616" s="1032"/>
      <c r="CC616" s="999" t="s">
        <v>1889</v>
      </c>
      <c r="CF616" s="946">
        <f t="shared" si="120"/>
        <v>39846392.199999996</v>
      </c>
    </row>
    <row r="617" spans="1:84">
      <c r="A617" s="1032"/>
      <c r="B617" s="839" t="s">
        <v>98</v>
      </c>
      <c r="C617" s="839" t="s">
        <v>131</v>
      </c>
      <c r="D617" s="839" t="s">
        <v>1868</v>
      </c>
      <c r="E617" s="839" t="s">
        <v>1952</v>
      </c>
      <c r="F617" s="841">
        <v>45520</v>
      </c>
      <c r="G617" s="840" t="s">
        <v>133</v>
      </c>
      <c r="H617" s="842" t="s">
        <v>134</v>
      </c>
      <c r="I617" s="842"/>
      <c r="J617" s="841"/>
      <c r="K617" s="841"/>
      <c r="L617" s="843" t="s">
        <v>106</v>
      </c>
      <c r="M617" s="844" t="s">
        <v>107</v>
      </c>
      <c r="N617" s="841" t="s">
        <v>1869</v>
      </c>
      <c r="O617" s="841" t="s">
        <v>150</v>
      </c>
      <c r="P617" s="841" t="s">
        <v>276</v>
      </c>
      <c r="Q617" s="843"/>
      <c r="R617" s="845" t="s">
        <v>2106</v>
      </c>
      <c r="S617" s="1127" t="s">
        <v>2107</v>
      </c>
      <c r="T617" s="843" t="s">
        <v>2108</v>
      </c>
      <c r="U617" s="842">
        <v>1</v>
      </c>
      <c r="V617" s="842" t="s">
        <v>8</v>
      </c>
      <c r="W617" s="846">
        <v>4035.6</v>
      </c>
      <c r="X617" s="847">
        <f t="shared" si="113"/>
        <v>4035.6</v>
      </c>
      <c r="Y617" s="848">
        <f t="shared" si="119"/>
        <v>9.9999999999999992E-2</v>
      </c>
      <c r="Z617" s="849">
        <v>3632.04</v>
      </c>
      <c r="AA617" s="849"/>
      <c r="AB617" s="849">
        <f t="shared" si="114"/>
        <v>3632.04</v>
      </c>
      <c r="AC617" s="850">
        <f t="shared" si="115"/>
        <v>3632.04</v>
      </c>
      <c r="AD617" s="851"/>
      <c r="AE617" s="852">
        <v>24580</v>
      </c>
      <c r="AF617" s="853">
        <v>0</v>
      </c>
      <c r="AG617" s="854">
        <f t="shared" si="116"/>
        <v>0</v>
      </c>
      <c r="AH617" s="853"/>
      <c r="AI617" s="855">
        <f t="shared" si="117"/>
        <v>0</v>
      </c>
      <c r="AJ617" s="845" t="s">
        <v>1872</v>
      </c>
      <c r="AK617" s="857" t="s">
        <v>1745</v>
      </c>
      <c r="AL617" s="840">
        <v>244737306</v>
      </c>
      <c r="AM617" s="840"/>
      <c r="AN617" s="858"/>
      <c r="AO617" s="844"/>
      <c r="AP617" s="859" t="s">
        <v>1873</v>
      </c>
      <c r="AQ617" s="859"/>
      <c r="AR617" s="859">
        <v>45453</v>
      </c>
      <c r="AS617" s="840" t="s">
        <v>1874</v>
      </c>
      <c r="AT617" s="840" t="s">
        <v>1875</v>
      </c>
      <c r="AU617" s="860" t="s">
        <v>1876</v>
      </c>
      <c r="AV617" s="839" t="s">
        <v>1877</v>
      </c>
      <c r="AW617" s="861">
        <v>45575</v>
      </c>
      <c r="AX617" s="862">
        <v>45582</v>
      </c>
      <c r="AY617" s="843" t="s">
        <v>2109</v>
      </c>
      <c r="AZ617" s="842">
        <v>94038990</v>
      </c>
      <c r="BA617" s="842" t="s">
        <v>120</v>
      </c>
      <c r="BB617" s="863" t="s">
        <v>121</v>
      </c>
      <c r="BC617" s="864">
        <v>45584</v>
      </c>
      <c r="BD617" s="860" t="s">
        <v>1879</v>
      </c>
      <c r="BE617" s="865" cm="1">
        <f t="array" ref="BE617">IF(BD617="","",AC617/SUMPRODUCT(--(BD617=$BD$4:$BD$12824),$AC$4:$AC$12824))</f>
        <v>9.1426404606369985E-2</v>
      </c>
      <c r="BF617" s="458"/>
      <c r="BG617" s="458"/>
      <c r="BH617" s="458"/>
      <c r="BI617" s="458"/>
      <c r="BJ617" s="458"/>
      <c r="BK617" s="458"/>
      <c r="BL617" s="458"/>
      <c r="BM617" s="458"/>
      <c r="BN617" s="458"/>
      <c r="BO617" s="866">
        <f>VLOOKUP(BD617,$BD$4:$BN$12824,3,0)*BE617</f>
        <v>0</v>
      </c>
      <c r="BP617" s="866"/>
      <c r="BQ617" s="866"/>
      <c r="BR617" s="866">
        <f>VLOOKUP(BD617,$BD$4:$BN$12824,6,0)*BE617</f>
        <v>1761033.4631907931</v>
      </c>
      <c r="BS617" s="866">
        <f>VLOOKUP(BD617,$BD$4:$BN$12824,7,0)*BE617</f>
        <v>88053.593114036383</v>
      </c>
      <c r="BT617" s="866"/>
      <c r="BU617" s="866">
        <f>VLOOKUP(BD617,$BD$4:$BN$12824,9,0)*BE617</f>
        <v>45713.202303184989</v>
      </c>
      <c r="BV617" s="867"/>
      <c r="BW617" s="867">
        <f>VLOOKUP(BD617,$BD$4:$BN$12824,11,0)*BE617</f>
        <v>191995.44967337698</v>
      </c>
      <c r="BX617" s="1146">
        <f t="shared" si="122"/>
        <v>2086795.7082813913</v>
      </c>
      <c r="BY617" s="867">
        <f t="shared" si="121"/>
        <v>91362338.908281401</v>
      </c>
      <c r="BZ617" s="867">
        <f t="shared" si="118"/>
        <v>91362338.908281401</v>
      </c>
      <c r="CA617" s="867">
        <f>_xlfn.MAXIFS($BY$4:$BY$12824,$S$4:$S$12824,$S617)</f>
        <v>91362338.908281401</v>
      </c>
      <c r="CB617" s="1032"/>
      <c r="CC617" s="999" t="s">
        <v>1889</v>
      </c>
      <c r="CF617" s="946">
        <f t="shared" si="120"/>
        <v>89275543.200000003</v>
      </c>
    </row>
    <row r="618" spans="1:84">
      <c r="A618" s="1032"/>
      <c r="B618" s="839" t="s">
        <v>98</v>
      </c>
      <c r="C618" s="839" t="s">
        <v>131</v>
      </c>
      <c r="D618" s="839" t="s">
        <v>1868</v>
      </c>
      <c r="E618" s="839" t="s">
        <v>1952</v>
      </c>
      <c r="F618" s="841">
        <v>45520</v>
      </c>
      <c r="G618" s="840" t="s">
        <v>133</v>
      </c>
      <c r="H618" s="842" t="s">
        <v>134</v>
      </c>
      <c r="I618" s="842"/>
      <c r="J618" s="841"/>
      <c r="K618" s="841"/>
      <c r="L618" s="843" t="s">
        <v>106</v>
      </c>
      <c r="M618" s="844" t="s">
        <v>107</v>
      </c>
      <c r="N618" s="841" t="s">
        <v>1869</v>
      </c>
      <c r="O618" s="841" t="s">
        <v>150</v>
      </c>
      <c r="P618" s="841" t="s">
        <v>276</v>
      </c>
      <c r="Q618" s="843"/>
      <c r="R618" s="845"/>
      <c r="S618" s="1127" t="s">
        <v>2110</v>
      </c>
      <c r="T618" s="843" t="s">
        <v>2111</v>
      </c>
      <c r="U618" s="842">
        <v>1</v>
      </c>
      <c r="V618" s="842" t="s">
        <v>8</v>
      </c>
      <c r="W618" s="846">
        <v>1301.8777777777777</v>
      </c>
      <c r="X618" s="847">
        <f t="shared" si="113"/>
        <v>1301.8777777777777</v>
      </c>
      <c r="Y618" s="848">
        <f t="shared" si="119"/>
        <v>9.9999999999999936E-2</v>
      </c>
      <c r="Z618" s="849">
        <v>1171.69</v>
      </c>
      <c r="AA618" s="849"/>
      <c r="AB618" s="849">
        <f t="shared" si="114"/>
        <v>1171.69</v>
      </c>
      <c r="AC618" s="850">
        <f t="shared" si="115"/>
        <v>1171.69</v>
      </c>
      <c r="AD618" s="851"/>
      <c r="AE618" s="852">
        <v>24580</v>
      </c>
      <c r="AF618" s="853">
        <v>0</v>
      </c>
      <c r="AG618" s="854">
        <f t="shared" si="116"/>
        <v>0</v>
      </c>
      <c r="AH618" s="853"/>
      <c r="AI618" s="855">
        <f t="shared" si="117"/>
        <v>0</v>
      </c>
      <c r="AJ618" s="845" t="s">
        <v>1872</v>
      </c>
      <c r="AK618" s="857" t="s">
        <v>1745</v>
      </c>
      <c r="AL618" s="840">
        <v>244737306</v>
      </c>
      <c r="AM618" s="840"/>
      <c r="AN618" s="858"/>
      <c r="AO618" s="844"/>
      <c r="AP618" s="859" t="s">
        <v>1873</v>
      </c>
      <c r="AQ618" s="859"/>
      <c r="AR618" s="859">
        <v>45453</v>
      </c>
      <c r="AS618" s="840" t="s">
        <v>1874</v>
      </c>
      <c r="AT618" s="840" t="s">
        <v>1875</v>
      </c>
      <c r="AU618" s="860" t="s">
        <v>1876</v>
      </c>
      <c r="AV618" s="839" t="s">
        <v>1877</v>
      </c>
      <c r="AW618" s="861">
        <v>45575</v>
      </c>
      <c r="AX618" s="862">
        <v>45582</v>
      </c>
      <c r="AY618" s="843" t="s">
        <v>2112</v>
      </c>
      <c r="AZ618" s="842">
        <v>94038990</v>
      </c>
      <c r="BA618" s="842" t="s">
        <v>120</v>
      </c>
      <c r="BB618" s="863" t="s">
        <v>121</v>
      </c>
      <c r="BC618" s="864">
        <v>45584</v>
      </c>
      <c r="BD618" s="860" t="s">
        <v>1879</v>
      </c>
      <c r="BE618" s="865" cm="1">
        <f t="array" ref="BE618">IF(BD618="","",AC618/SUMPRODUCT(--(BD618=$BD$4:$BD$12824),$AC$4:$AC$12824))</f>
        <v>2.9494004474961085E-2</v>
      </c>
      <c r="BF618" s="458"/>
      <c r="BG618" s="458"/>
      <c r="BH618" s="458"/>
      <c r="BI618" s="458"/>
      <c r="BJ618" s="458"/>
      <c r="BK618" s="458"/>
      <c r="BL618" s="458"/>
      <c r="BM618" s="458"/>
      <c r="BN618" s="458"/>
      <c r="BO618" s="866">
        <f>VLOOKUP(BD618,$BD$4:$BN$12824,3,0)*BE618</f>
        <v>0</v>
      </c>
      <c r="BP618" s="866"/>
      <c r="BQ618" s="866"/>
      <c r="BR618" s="866">
        <f>VLOOKUP(BD618,$BD$4:$BN$12824,6,0)*BE618</f>
        <v>568106.43563562643</v>
      </c>
      <c r="BS618" s="866">
        <f>VLOOKUP(BD618,$BD$4:$BN$12824,7,0)*BE618</f>
        <v>28405.941155875294</v>
      </c>
      <c r="BT618" s="866"/>
      <c r="BU618" s="866">
        <f>VLOOKUP(BD618,$BD$4:$BN$12824,9,0)*BE618</f>
        <v>14747.002237480543</v>
      </c>
      <c r="BV618" s="867"/>
      <c r="BW618" s="867">
        <f>VLOOKUP(BD618,$BD$4:$BN$12824,11,0)*BE618</f>
        <v>61937.409397418276</v>
      </c>
      <c r="BX618" s="1146">
        <f t="shared" si="122"/>
        <v>673196.78842640063</v>
      </c>
      <c r="BY618" s="867">
        <f t="shared" si="121"/>
        <v>29473336.988426402</v>
      </c>
      <c r="BZ618" s="867">
        <f t="shared" si="118"/>
        <v>29473336.988426402</v>
      </c>
      <c r="CA618" s="867">
        <f>_xlfn.MAXIFS($BY$4:$BY$12824,$S$4:$S$12824,$S618)</f>
        <v>29473336.988426402</v>
      </c>
      <c r="CB618" s="1032"/>
      <c r="CC618" s="999" t="s">
        <v>1889</v>
      </c>
      <c r="CF618" s="946">
        <f t="shared" si="120"/>
        <v>28800140.200000003</v>
      </c>
    </row>
    <row r="619" spans="1:84">
      <c r="A619" s="1032"/>
      <c r="B619" s="839" t="s">
        <v>98</v>
      </c>
      <c r="C619" s="839" t="s">
        <v>131</v>
      </c>
      <c r="D619" s="839" t="s">
        <v>1868</v>
      </c>
      <c r="E619" s="839" t="s">
        <v>1952</v>
      </c>
      <c r="F619" s="841">
        <v>45520</v>
      </c>
      <c r="G619" s="840" t="s">
        <v>133</v>
      </c>
      <c r="H619" s="842" t="s">
        <v>134</v>
      </c>
      <c r="I619" s="842"/>
      <c r="J619" s="841"/>
      <c r="K619" s="841"/>
      <c r="L619" s="843" t="s">
        <v>106</v>
      </c>
      <c r="M619" s="844" t="s">
        <v>107</v>
      </c>
      <c r="N619" s="841" t="s">
        <v>1869</v>
      </c>
      <c r="O619" s="841" t="s">
        <v>150</v>
      </c>
      <c r="P619" s="841" t="s">
        <v>276</v>
      </c>
      <c r="Q619" s="843"/>
      <c r="R619" s="845"/>
      <c r="S619" s="1127" t="s">
        <v>2113</v>
      </c>
      <c r="T619" s="843" t="s">
        <v>2114</v>
      </c>
      <c r="U619" s="842">
        <v>1</v>
      </c>
      <c r="V619" s="842" t="s">
        <v>8</v>
      </c>
      <c r="W619" s="846">
        <v>953.61111111111109</v>
      </c>
      <c r="X619" s="847">
        <f t="shared" si="113"/>
        <v>953.61111111111109</v>
      </c>
      <c r="Y619" s="848">
        <f t="shared" si="119"/>
        <v>9.9999999999999978E-2</v>
      </c>
      <c r="Z619" s="849">
        <v>858.25</v>
      </c>
      <c r="AA619" s="849"/>
      <c r="AB619" s="849">
        <f t="shared" si="114"/>
        <v>858.25</v>
      </c>
      <c r="AC619" s="850">
        <f t="shared" si="115"/>
        <v>858.25</v>
      </c>
      <c r="AD619" s="851"/>
      <c r="AE619" s="852">
        <v>24580</v>
      </c>
      <c r="AF619" s="853">
        <v>0</v>
      </c>
      <c r="AG619" s="854">
        <f t="shared" si="116"/>
        <v>0</v>
      </c>
      <c r="AH619" s="853"/>
      <c r="AI619" s="855">
        <f t="shared" si="117"/>
        <v>0</v>
      </c>
      <c r="AJ619" s="845" t="s">
        <v>1872</v>
      </c>
      <c r="AK619" s="857" t="s">
        <v>1745</v>
      </c>
      <c r="AL619" s="840">
        <v>244737306</v>
      </c>
      <c r="AM619" s="840"/>
      <c r="AN619" s="858"/>
      <c r="AO619" s="844"/>
      <c r="AP619" s="859" t="s">
        <v>1873</v>
      </c>
      <c r="AQ619" s="859"/>
      <c r="AR619" s="859">
        <v>45453</v>
      </c>
      <c r="AS619" s="840" t="s">
        <v>1874</v>
      </c>
      <c r="AT619" s="840" t="s">
        <v>1875</v>
      </c>
      <c r="AU619" s="860" t="s">
        <v>1876</v>
      </c>
      <c r="AV619" s="839" t="s">
        <v>1877</v>
      </c>
      <c r="AW619" s="861">
        <v>45575</v>
      </c>
      <c r="AX619" s="862">
        <v>45582</v>
      </c>
      <c r="AY619" s="843" t="s">
        <v>2115</v>
      </c>
      <c r="AZ619" s="842">
        <v>94038990</v>
      </c>
      <c r="BA619" s="842" t="s">
        <v>120</v>
      </c>
      <c r="BB619" s="863" t="s">
        <v>121</v>
      </c>
      <c r="BC619" s="864">
        <v>45584</v>
      </c>
      <c r="BD619" s="860" t="s">
        <v>1879</v>
      </c>
      <c r="BE619" s="865" cm="1">
        <f t="array" ref="BE619">IF(BD619="","",AC619/SUMPRODUCT(--(BD619=$BD$4:$BD$12824),$AC$4:$AC$12824))</f>
        <v>2.1604032927340294E-2</v>
      </c>
      <c r="BF619" s="458"/>
      <c r="BG619" s="458"/>
      <c r="BH619" s="458"/>
      <c r="BI619" s="458"/>
      <c r="BJ619" s="458"/>
      <c r="BK619" s="458"/>
      <c r="BL619" s="458"/>
      <c r="BM619" s="458"/>
      <c r="BN619" s="458"/>
      <c r="BO619" s="866">
        <f>VLOOKUP(BD619,$BD$4:$BN$12824,3,0)*BE619</f>
        <v>0</v>
      </c>
      <c r="BP619" s="866"/>
      <c r="BQ619" s="866"/>
      <c r="BR619" s="866">
        <f>VLOOKUP(BD619,$BD$4:$BN$12824,6,0)*BE619</f>
        <v>416131.69727852615</v>
      </c>
      <c r="BS619" s="866">
        <f>VLOOKUP(BD619,$BD$4:$BN$12824,7,0)*BE619</f>
        <v>20807.038548617784</v>
      </c>
      <c r="BT619" s="866"/>
      <c r="BU619" s="866">
        <f>VLOOKUP(BD619,$BD$4:$BN$12824,9,0)*BE619</f>
        <v>10802.016463670147</v>
      </c>
      <c r="BV619" s="867"/>
      <c r="BW619" s="867">
        <f>VLOOKUP(BD619,$BD$4:$BN$12824,11,0)*BE619</f>
        <v>45368.469147414617</v>
      </c>
      <c r="BX619" s="1146">
        <f t="shared" si="122"/>
        <v>493109.22143822868</v>
      </c>
      <c r="BY619" s="867">
        <f t="shared" si="121"/>
        <v>21588894.221438229</v>
      </c>
      <c r="BZ619" s="867">
        <f t="shared" si="118"/>
        <v>21588894.221438229</v>
      </c>
      <c r="CA619" s="867">
        <f>_xlfn.MAXIFS($BY$4:$BY$12824,$S$4:$S$12824,$S619)</f>
        <v>21588894.221438229</v>
      </c>
      <c r="CB619" s="1032"/>
      <c r="CC619" s="999" t="s">
        <v>1889</v>
      </c>
      <c r="CF619" s="946">
        <f t="shared" si="120"/>
        <v>21095785</v>
      </c>
    </row>
    <row r="620" spans="1:84">
      <c r="A620" s="1032"/>
      <c r="B620" s="839" t="s">
        <v>98</v>
      </c>
      <c r="C620" s="839" t="s">
        <v>131</v>
      </c>
      <c r="D620" s="839" t="s">
        <v>1868</v>
      </c>
      <c r="E620" s="839" t="s">
        <v>1952</v>
      </c>
      <c r="F620" s="841">
        <v>45520</v>
      </c>
      <c r="G620" s="840" t="s">
        <v>133</v>
      </c>
      <c r="H620" s="842" t="s">
        <v>134</v>
      </c>
      <c r="I620" s="842"/>
      <c r="J620" s="841"/>
      <c r="K620" s="841"/>
      <c r="L620" s="843" t="s">
        <v>106</v>
      </c>
      <c r="M620" s="844" t="s">
        <v>107</v>
      </c>
      <c r="N620" s="841" t="s">
        <v>1869</v>
      </c>
      <c r="O620" s="841" t="s">
        <v>108</v>
      </c>
      <c r="P620" s="841" t="s">
        <v>1136</v>
      </c>
      <c r="Q620" s="843"/>
      <c r="R620" s="845" t="s">
        <v>2116</v>
      </c>
      <c r="S620" s="1127" t="s">
        <v>2117</v>
      </c>
      <c r="T620" s="843" t="s">
        <v>2118</v>
      </c>
      <c r="U620" s="842">
        <v>8</v>
      </c>
      <c r="V620" s="842" t="s">
        <v>8</v>
      </c>
      <c r="W620" s="846">
        <v>43</v>
      </c>
      <c r="X620" s="847">
        <f t="shared" si="113"/>
        <v>344</v>
      </c>
      <c r="Y620" s="848">
        <f t="shared" si="119"/>
        <v>0.48697674418604653</v>
      </c>
      <c r="Z620" s="849">
        <v>22.06</v>
      </c>
      <c r="AA620" s="849"/>
      <c r="AB620" s="849">
        <f t="shared" si="114"/>
        <v>176.48</v>
      </c>
      <c r="AC620" s="850">
        <f t="shared" si="115"/>
        <v>176.48</v>
      </c>
      <c r="AD620" s="851"/>
      <c r="AE620" s="852">
        <v>24580</v>
      </c>
      <c r="AF620" s="853">
        <v>0</v>
      </c>
      <c r="AG620" s="854">
        <f t="shared" si="116"/>
        <v>0</v>
      </c>
      <c r="AH620" s="853"/>
      <c r="AI620" s="855">
        <f t="shared" si="117"/>
        <v>0</v>
      </c>
      <c r="AJ620" s="845" t="s">
        <v>1872</v>
      </c>
      <c r="AK620" s="857" t="s">
        <v>1745</v>
      </c>
      <c r="AL620" s="840">
        <v>244737306</v>
      </c>
      <c r="AM620" s="840"/>
      <c r="AN620" s="858"/>
      <c r="AO620" s="844"/>
      <c r="AP620" s="859" t="s">
        <v>1873</v>
      </c>
      <c r="AQ620" s="859"/>
      <c r="AR620" s="859">
        <v>45453</v>
      </c>
      <c r="AS620" s="840" t="s">
        <v>1874</v>
      </c>
      <c r="AT620" s="840" t="s">
        <v>1875</v>
      </c>
      <c r="AU620" s="860" t="s">
        <v>1876</v>
      </c>
      <c r="AV620" s="839" t="s">
        <v>1877</v>
      </c>
      <c r="AW620" s="861">
        <v>45575</v>
      </c>
      <c r="AX620" s="862">
        <v>45582</v>
      </c>
      <c r="AY620" s="843" t="s">
        <v>2119</v>
      </c>
      <c r="AZ620" s="842">
        <v>94051999</v>
      </c>
      <c r="BA620" s="842" t="s">
        <v>120</v>
      </c>
      <c r="BB620" s="863" t="s">
        <v>121</v>
      </c>
      <c r="BC620" s="864">
        <v>45584</v>
      </c>
      <c r="BD620" s="860" t="s">
        <v>1879</v>
      </c>
      <c r="BE620" s="865" cm="1">
        <f t="array" ref="BE620">IF(BD620="","",AC620/SUMPRODUCT(--(BD620=$BD$4:$BD$12824),$AC$4:$AC$12824))</f>
        <v>4.4423882680070083E-3</v>
      </c>
      <c r="BF620" s="458"/>
      <c r="BG620" s="458"/>
      <c r="BH620" s="458"/>
      <c r="BI620" s="458"/>
      <c r="BJ620" s="458"/>
      <c r="BK620" s="458"/>
      <c r="BL620" s="458"/>
      <c r="BM620" s="458"/>
      <c r="BN620" s="458"/>
      <c r="BO620" s="866">
        <f>VLOOKUP(BD620,$BD$4:$BN$12824,3,0)*BE620</f>
        <v>0</v>
      </c>
      <c r="BP620" s="866"/>
      <c r="BQ620" s="866"/>
      <c r="BR620" s="866">
        <f>VLOOKUP(BD620,$BD$4:$BN$12824,6,0)*BE620</f>
        <v>85568.216645166671</v>
      </c>
      <c r="BS620" s="866">
        <f>VLOOKUP(BD620,$BD$4:$BN$12824,7,0)*BE620</f>
        <v>4278.5041224119614</v>
      </c>
      <c r="BT620" s="866"/>
      <c r="BU620" s="866">
        <f>VLOOKUP(BD620,$BD$4:$BN$12824,9,0)*BE620</f>
        <v>2221.1941340035041</v>
      </c>
      <c r="BV620" s="867"/>
      <c r="BW620" s="867">
        <f>VLOOKUP(BD620,$BD$4:$BN$12824,11,0)*BE620</f>
        <v>9329.0153628147182</v>
      </c>
      <c r="BX620" s="1146">
        <f t="shared" si="122"/>
        <v>101396.93026439685</v>
      </c>
      <c r="BY620" s="867">
        <f t="shared" si="121"/>
        <v>554909.4162830495</v>
      </c>
      <c r="BZ620" s="867">
        <f t="shared" si="118"/>
        <v>4439275.330264396</v>
      </c>
      <c r="CA620" s="867">
        <f>_xlfn.MAXIFS($BY$4:$BY$12824,$S$4:$S$12824,$S620)</f>
        <v>554909.4162830495</v>
      </c>
      <c r="CB620" s="1032"/>
      <c r="CC620" s="999" t="s">
        <v>1889</v>
      </c>
      <c r="CF620" s="946">
        <f t="shared" si="120"/>
        <v>4337878.3999999994</v>
      </c>
    </row>
    <row r="621" spans="1:84">
      <c r="A621" s="1032"/>
      <c r="B621" s="839" t="s">
        <v>98</v>
      </c>
      <c r="C621" s="839" t="s">
        <v>131</v>
      </c>
      <c r="D621" s="839" t="s">
        <v>1868</v>
      </c>
      <c r="E621" s="839" t="s">
        <v>1952</v>
      </c>
      <c r="F621" s="841">
        <v>45520</v>
      </c>
      <c r="G621" s="840" t="s">
        <v>133</v>
      </c>
      <c r="H621" s="842" t="s">
        <v>134</v>
      </c>
      <c r="I621" s="842"/>
      <c r="J621" s="841"/>
      <c r="K621" s="841"/>
      <c r="L621" s="843" t="s">
        <v>106</v>
      </c>
      <c r="M621" s="844" t="s">
        <v>107</v>
      </c>
      <c r="N621" s="841" t="s">
        <v>1869</v>
      </c>
      <c r="O621" s="841" t="s">
        <v>108</v>
      </c>
      <c r="P621" s="841" t="s">
        <v>1136</v>
      </c>
      <c r="Q621" s="843"/>
      <c r="R621" s="845" t="s">
        <v>2120</v>
      </c>
      <c r="S621" s="1127" t="s">
        <v>2121</v>
      </c>
      <c r="T621" s="843" t="s">
        <v>2122</v>
      </c>
      <c r="U621" s="842">
        <v>8</v>
      </c>
      <c r="V621" s="842" t="s">
        <v>8</v>
      </c>
      <c r="W621" s="846">
        <v>43</v>
      </c>
      <c r="X621" s="847">
        <f t="shared" si="113"/>
        <v>344</v>
      </c>
      <c r="Y621" s="848">
        <f t="shared" si="119"/>
        <v>0.48697674418604653</v>
      </c>
      <c r="Z621" s="849">
        <v>22.06</v>
      </c>
      <c r="AA621" s="849"/>
      <c r="AB621" s="849">
        <f t="shared" si="114"/>
        <v>176.48</v>
      </c>
      <c r="AC621" s="850">
        <f t="shared" si="115"/>
        <v>176.48</v>
      </c>
      <c r="AD621" s="851"/>
      <c r="AE621" s="852">
        <v>24580</v>
      </c>
      <c r="AF621" s="853">
        <v>0</v>
      </c>
      <c r="AG621" s="854">
        <f t="shared" si="116"/>
        <v>0</v>
      </c>
      <c r="AH621" s="853"/>
      <c r="AI621" s="855">
        <f t="shared" si="117"/>
        <v>0</v>
      </c>
      <c r="AJ621" s="845" t="s">
        <v>1872</v>
      </c>
      <c r="AK621" s="857" t="s">
        <v>1745</v>
      </c>
      <c r="AL621" s="840">
        <v>244737306</v>
      </c>
      <c r="AM621" s="840"/>
      <c r="AN621" s="858"/>
      <c r="AO621" s="844"/>
      <c r="AP621" s="859" t="s">
        <v>1873</v>
      </c>
      <c r="AQ621" s="859"/>
      <c r="AR621" s="859">
        <v>45453</v>
      </c>
      <c r="AS621" s="840" t="s">
        <v>1874</v>
      </c>
      <c r="AT621" s="840" t="s">
        <v>1875</v>
      </c>
      <c r="AU621" s="860" t="s">
        <v>1876</v>
      </c>
      <c r="AV621" s="839" t="s">
        <v>1877</v>
      </c>
      <c r="AW621" s="861">
        <v>45575</v>
      </c>
      <c r="AX621" s="862">
        <v>45582</v>
      </c>
      <c r="AY621" s="843" t="s">
        <v>2123</v>
      </c>
      <c r="AZ621" s="842">
        <v>94051999</v>
      </c>
      <c r="BA621" s="842" t="s">
        <v>120</v>
      </c>
      <c r="BB621" s="863" t="s">
        <v>121</v>
      </c>
      <c r="BC621" s="864">
        <v>45584</v>
      </c>
      <c r="BD621" s="860" t="s">
        <v>1879</v>
      </c>
      <c r="BE621" s="865" cm="1">
        <f t="array" ref="BE621">IF(BD621="","",AC621/SUMPRODUCT(--(BD621=$BD$4:$BD$12824),$AC$4:$AC$12824))</f>
        <v>4.4423882680070083E-3</v>
      </c>
      <c r="BF621" s="458"/>
      <c r="BG621" s="458"/>
      <c r="BH621" s="458"/>
      <c r="BI621" s="458"/>
      <c r="BJ621" s="458"/>
      <c r="BK621" s="458"/>
      <c r="BL621" s="458"/>
      <c r="BM621" s="458"/>
      <c r="BN621" s="458"/>
      <c r="BO621" s="866">
        <f>VLOOKUP(BD621,$BD$4:$BN$12824,3,0)*BE621</f>
        <v>0</v>
      </c>
      <c r="BP621" s="866"/>
      <c r="BQ621" s="866"/>
      <c r="BR621" s="866">
        <f>VLOOKUP(BD621,$BD$4:$BN$12824,6,0)*BE621</f>
        <v>85568.216645166671</v>
      </c>
      <c r="BS621" s="866">
        <f>VLOOKUP(BD621,$BD$4:$BN$12824,7,0)*BE621</f>
        <v>4278.5041224119614</v>
      </c>
      <c r="BT621" s="866"/>
      <c r="BU621" s="866">
        <f>VLOOKUP(BD621,$BD$4:$BN$12824,9,0)*BE621</f>
        <v>2221.1941340035041</v>
      </c>
      <c r="BV621" s="867"/>
      <c r="BW621" s="867">
        <f>VLOOKUP(BD621,$BD$4:$BN$12824,11,0)*BE621</f>
        <v>9329.0153628147182</v>
      </c>
      <c r="BX621" s="1146">
        <f t="shared" si="122"/>
        <v>101396.93026439685</v>
      </c>
      <c r="BY621" s="867">
        <f t="shared" si="121"/>
        <v>554909.4162830495</v>
      </c>
      <c r="BZ621" s="867">
        <f t="shared" si="118"/>
        <v>4439275.330264396</v>
      </c>
      <c r="CA621" s="867">
        <f>_xlfn.MAXIFS($BY$4:$BY$12824,$S$4:$S$12824,$S621)</f>
        <v>554909.4162830495</v>
      </c>
      <c r="CB621" s="1032"/>
      <c r="CC621" s="999" t="s">
        <v>1889</v>
      </c>
      <c r="CF621" s="946">
        <f t="shared" si="120"/>
        <v>4337878.3999999994</v>
      </c>
    </row>
    <row r="622" spans="1:84">
      <c r="A622" s="1032"/>
      <c r="B622" s="839" t="s">
        <v>98</v>
      </c>
      <c r="C622" s="839" t="s">
        <v>131</v>
      </c>
      <c r="D622" s="839" t="s">
        <v>1868</v>
      </c>
      <c r="E622" s="839" t="s">
        <v>1952</v>
      </c>
      <c r="F622" s="841">
        <v>45520</v>
      </c>
      <c r="G622" s="840" t="s">
        <v>133</v>
      </c>
      <c r="H622" s="842" t="s">
        <v>134</v>
      </c>
      <c r="I622" s="842"/>
      <c r="J622" s="841"/>
      <c r="K622" s="841"/>
      <c r="L622" s="843" t="s">
        <v>106</v>
      </c>
      <c r="M622" s="844" t="s">
        <v>107</v>
      </c>
      <c r="N622" s="841" t="s">
        <v>1869</v>
      </c>
      <c r="O622" s="841" t="s">
        <v>108</v>
      </c>
      <c r="P622" s="841" t="s">
        <v>1136</v>
      </c>
      <c r="Q622" s="843"/>
      <c r="R622" s="845" t="s">
        <v>2124</v>
      </c>
      <c r="S622" s="1127" t="s">
        <v>2125</v>
      </c>
      <c r="T622" s="843" t="s">
        <v>2126</v>
      </c>
      <c r="U622" s="842">
        <v>4</v>
      </c>
      <c r="V622" s="842" t="s">
        <v>8</v>
      </c>
      <c r="W622" s="846">
        <v>229</v>
      </c>
      <c r="X622" s="847">
        <f t="shared" si="113"/>
        <v>916</v>
      </c>
      <c r="Y622" s="848">
        <f t="shared" si="119"/>
        <v>0.48698689956331875</v>
      </c>
      <c r="Z622" s="849">
        <v>117.48</v>
      </c>
      <c r="AA622" s="849"/>
      <c r="AB622" s="849">
        <f t="shared" si="114"/>
        <v>469.92</v>
      </c>
      <c r="AC622" s="850">
        <f t="shared" si="115"/>
        <v>469.92</v>
      </c>
      <c r="AD622" s="851"/>
      <c r="AE622" s="852">
        <v>24580</v>
      </c>
      <c r="AF622" s="853">
        <v>0</v>
      </c>
      <c r="AG622" s="854">
        <f t="shared" si="116"/>
        <v>0</v>
      </c>
      <c r="AH622" s="853"/>
      <c r="AI622" s="855">
        <f t="shared" si="117"/>
        <v>0</v>
      </c>
      <c r="AJ622" s="845" t="s">
        <v>1872</v>
      </c>
      <c r="AK622" s="857" t="s">
        <v>1745</v>
      </c>
      <c r="AL622" s="840">
        <v>244737306</v>
      </c>
      <c r="AM622" s="840"/>
      <c r="AN622" s="858"/>
      <c r="AO622" s="844"/>
      <c r="AP622" s="859" t="s">
        <v>1873</v>
      </c>
      <c r="AQ622" s="859"/>
      <c r="AR622" s="859">
        <v>45453</v>
      </c>
      <c r="AS622" s="840" t="s">
        <v>1874</v>
      </c>
      <c r="AT622" s="840" t="s">
        <v>1875</v>
      </c>
      <c r="AU622" s="860" t="s">
        <v>1876</v>
      </c>
      <c r="AV622" s="839" t="s">
        <v>1877</v>
      </c>
      <c r="AW622" s="861">
        <v>45575</v>
      </c>
      <c r="AX622" s="862">
        <v>45582</v>
      </c>
      <c r="AY622" s="843" t="s">
        <v>2127</v>
      </c>
      <c r="AZ622" s="842">
        <v>94051999</v>
      </c>
      <c r="BA622" s="842" t="s">
        <v>120</v>
      </c>
      <c r="BB622" s="863" t="s">
        <v>121</v>
      </c>
      <c r="BC622" s="864">
        <v>45584</v>
      </c>
      <c r="BD622" s="860" t="s">
        <v>1879</v>
      </c>
      <c r="BE622" s="865" cm="1">
        <f t="array" ref="BE622">IF(BD622="","",AC622/SUMPRODUCT(--(BD622=$BD$4:$BD$12824),$AC$4:$AC$12824))</f>
        <v>1.1828915995590739E-2</v>
      </c>
      <c r="BF622" s="458"/>
      <c r="BG622" s="458"/>
      <c r="BH622" s="458"/>
      <c r="BI622" s="458"/>
      <c r="BJ622" s="458"/>
      <c r="BK622" s="458"/>
      <c r="BL622" s="458"/>
      <c r="BM622" s="458"/>
      <c r="BN622" s="458"/>
      <c r="BO622" s="866">
        <f>VLOOKUP(BD622,$BD$4:$BN$12824,3,0)*BE622</f>
        <v>0</v>
      </c>
      <c r="BP622" s="866"/>
      <c r="BQ622" s="866"/>
      <c r="BR622" s="866">
        <f>VLOOKUP(BD622,$BD$4:$BN$12824,6,0)*BE622</f>
        <v>227845.74096722988</v>
      </c>
      <c r="BS622" s="866">
        <f>VLOOKUP(BD622,$BD$4:$BN$12824,7,0)*BE622</f>
        <v>11392.535455597401</v>
      </c>
      <c r="BT622" s="866"/>
      <c r="BU622" s="866">
        <f>VLOOKUP(BD622,$BD$4:$BN$12824,9,0)*BE622</f>
        <v>5914.4579977953699</v>
      </c>
      <c r="BV622" s="867"/>
      <c r="BW622" s="867">
        <f>VLOOKUP(BD622,$BD$4:$BN$12824,11,0)*BE622</f>
        <v>24840.723590740552</v>
      </c>
      <c r="BX622" s="1146">
        <f t="shared" si="122"/>
        <v>269993.45801136317</v>
      </c>
      <c r="BY622" s="867">
        <f t="shared" si="121"/>
        <v>2955156.7645028406</v>
      </c>
      <c r="BZ622" s="867">
        <f t="shared" si="118"/>
        <v>11820627.058011362</v>
      </c>
      <c r="CA622" s="867">
        <f>_xlfn.MAXIFS($BY$4:$BY$12824,$S$4:$S$12824,$S622)</f>
        <v>2955156.7645028406</v>
      </c>
      <c r="CB622" s="1032"/>
      <c r="CC622" s="999" t="s">
        <v>1889</v>
      </c>
      <c r="CF622" s="946">
        <f t="shared" si="120"/>
        <v>11550633.6</v>
      </c>
    </row>
    <row r="623" spans="1:84">
      <c r="A623" s="1032"/>
      <c r="B623" s="839" t="s">
        <v>98</v>
      </c>
      <c r="C623" s="839" t="s">
        <v>131</v>
      </c>
      <c r="D623" s="839" t="s">
        <v>1868</v>
      </c>
      <c r="E623" s="839" t="s">
        <v>1952</v>
      </c>
      <c r="F623" s="841">
        <v>45520</v>
      </c>
      <c r="G623" s="840" t="s">
        <v>133</v>
      </c>
      <c r="H623" s="842" t="s">
        <v>134</v>
      </c>
      <c r="I623" s="842"/>
      <c r="J623" s="841"/>
      <c r="K623" s="841"/>
      <c r="L623" s="843" t="s">
        <v>106</v>
      </c>
      <c r="M623" s="844" t="s">
        <v>107</v>
      </c>
      <c r="N623" s="841" t="s">
        <v>1869</v>
      </c>
      <c r="O623" s="841" t="s">
        <v>108</v>
      </c>
      <c r="P623" s="841" t="s">
        <v>1136</v>
      </c>
      <c r="Q623" s="843"/>
      <c r="R623" s="845" t="s">
        <v>2128</v>
      </c>
      <c r="S623" s="1127" t="s">
        <v>2129</v>
      </c>
      <c r="T623" s="843" t="s">
        <v>2130</v>
      </c>
      <c r="U623" s="842">
        <v>4</v>
      </c>
      <c r="V623" s="842" t="s">
        <v>8</v>
      </c>
      <c r="W623" s="846">
        <v>229</v>
      </c>
      <c r="X623" s="847">
        <f t="shared" si="113"/>
        <v>916</v>
      </c>
      <c r="Y623" s="848">
        <f t="shared" si="119"/>
        <v>0.48698689956331875</v>
      </c>
      <c r="Z623" s="849">
        <v>117.48</v>
      </c>
      <c r="AA623" s="849"/>
      <c r="AB623" s="849">
        <f t="shared" si="114"/>
        <v>469.92</v>
      </c>
      <c r="AC623" s="850">
        <f t="shared" si="115"/>
        <v>469.92</v>
      </c>
      <c r="AD623" s="851"/>
      <c r="AE623" s="852">
        <v>24580</v>
      </c>
      <c r="AF623" s="853">
        <v>0</v>
      </c>
      <c r="AG623" s="854">
        <f t="shared" si="116"/>
        <v>0</v>
      </c>
      <c r="AH623" s="853"/>
      <c r="AI623" s="855">
        <f t="shared" si="117"/>
        <v>0</v>
      </c>
      <c r="AJ623" s="845" t="s">
        <v>1872</v>
      </c>
      <c r="AK623" s="857" t="s">
        <v>1745</v>
      </c>
      <c r="AL623" s="840">
        <v>244737306</v>
      </c>
      <c r="AM623" s="840"/>
      <c r="AN623" s="858"/>
      <c r="AO623" s="844"/>
      <c r="AP623" s="859" t="s">
        <v>1873</v>
      </c>
      <c r="AQ623" s="859"/>
      <c r="AR623" s="859">
        <v>45453</v>
      </c>
      <c r="AS623" s="840" t="s">
        <v>1874</v>
      </c>
      <c r="AT623" s="840" t="s">
        <v>1875</v>
      </c>
      <c r="AU623" s="860" t="s">
        <v>1876</v>
      </c>
      <c r="AV623" s="839" t="s">
        <v>1877</v>
      </c>
      <c r="AW623" s="861">
        <v>45575</v>
      </c>
      <c r="AX623" s="862">
        <v>45582</v>
      </c>
      <c r="AY623" s="843" t="s">
        <v>2131</v>
      </c>
      <c r="AZ623" s="842">
        <v>94051999</v>
      </c>
      <c r="BA623" s="842" t="s">
        <v>120</v>
      </c>
      <c r="BB623" s="863" t="s">
        <v>121</v>
      </c>
      <c r="BC623" s="864">
        <v>45584</v>
      </c>
      <c r="BD623" s="860" t="s">
        <v>1879</v>
      </c>
      <c r="BE623" s="865" cm="1">
        <f t="array" ref="BE623">IF(BD623="","",AC623/SUMPRODUCT(--(BD623=$BD$4:$BD$12824),$AC$4:$AC$12824))</f>
        <v>1.1828915995590739E-2</v>
      </c>
      <c r="BF623" s="458"/>
      <c r="BG623" s="458"/>
      <c r="BH623" s="458"/>
      <c r="BI623" s="458"/>
      <c r="BJ623" s="458"/>
      <c r="BK623" s="458"/>
      <c r="BL623" s="458"/>
      <c r="BM623" s="458"/>
      <c r="BN623" s="458"/>
      <c r="BO623" s="866">
        <f>VLOOKUP(BD623,$BD$4:$BN$12824,3,0)*BE623</f>
        <v>0</v>
      </c>
      <c r="BP623" s="866"/>
      <c r="BQ623" s="866"/>
      <c r="BR623" s="866">
        <f>VLOOKUP(BD623,$BD$4:$BN$12824,6,0)*BE623</f>
        <v>227845.74096722988</v>
      </c>
      <c r="BS623" s="866">
        <f>VLOOKUP(BD623,$BD$4:$BN$12824,7,0)*BE623</f>
        <v>11392.535455597401</v>
      </c>
      <c r="BT623" s="866"/>
      <c r="BU623" s="866">
        <f>VLOOKUP(BD623,$BD$4:$BN$12824,9,0)*BE623</f>
        <v>5914.4579977953699</v>
      </c>
      <c r="BV623" s="867"/>
      <c r="BW623" s="867">
        <f>VLOOKUP(BD623,$BD$4:$BN$12824,11,0)*BE623</f>
        <v>24840.723590740552</v>
      </c>
      <c r="BX623" s="1146">
        <f t="shared" si="122"/>
        <v>269993.45801136317</v>
      </c>
      <c r="BY623" s="867">
        <f t="shared" si="121"/>
        <v>2955156.7645028406</v>
      </c>
      <c r="BZ623" s="867">
        <f t="shared" si="118"/>
        <v>11820627.058011362</v>
      </c>
      <c r="CA623" s="867">
        <f>_xlfn.MAXIFS($BY$4:$BY$12824,$S$4:$S$12824,$S623)</f>
        <v>2955156.7645028406</v>
      </c>
      <c r="CB623" s="1032"/>
      <c r="CC623" s="999" t="s">
        <v>1889</v>
      </c>
      <c r="CF623" s="946">
        <f t="shared" si="120"/>
        <v>11550633.6</v>
      </c>
    </row>
    <row r="624" spans="1:84">
      <c r="A624" s="1032"/>
      <c r="B624" s="839" t="s">
        <v>98</v>
      </c>
      <c r="C624" s="839" t="s">
        <v>131</v>
      </c>
      <c r="D624" s="839" t="s">
        <v>1868</v>
      </c>
      <c r="E624" s="839" t="s">
        <v>1952</v>
      </c>
      <c r="F624" s="841">
        <v>45520</v>
      </c>
      <c r="G624" s="840" t="s">
        <v>133</v>
      </c>
      <c r="H624" s="842" t="s">
        <v>134</v>
      </c>
      <c r="I624" s="842"/>
      <c r="J624" s="841"/>
      <c r="K624" s="841"/>
      <c r="L624" s="843" t="s">
        <v>106</v>
      </c>
      <c r="M624" s="844" t="s">
        <v>107</v>
      </c>
      <c r="N624" s="841" t="s">
        <v>1869</v>
      </c>
      <c r="O624" s="841" t="s">
        <v>135</v>
      </c>
      <c r="P624" s="841" t="s">
        <v>186</v>
      </c>
      <c r="Q624" s="843"/>
      <c r="R624" s="845" t="s">
        <v>2132</v>
      </c>
      <c r="S624" s="1127" t="s">
        <v>2133</v>
      </c>
      <c r="T624" s="843" t="s">
        <v>2134</v>
      </c>
      <c r="U624" s="842">
        <v>12</v>
      </c>
      <c r="V624" s="842" t="s">
        <v>8</v>
      </c>
      <c r="W624" s="846">
        <v>30</v>
      </c>
      <c r="X624" s="847">
        <f t="shared" si="113"/>
        <v>360</v>
      </c>
      <c r="Y624" s="848">
        <f t="shared" si="119"/>
        <v>0.6</v>
      </c>
      <c r="Z624" s="849">
        <v>12</v>
      </c>
      <c r="AA624" s="849"/>
      <c r="AB624" s="849">
        <f t="shared" si="114"/>
        <v>144</v>
      </c>
      <c r="AC624" s="850">
        <f t="shared" si="115"/>
        <v>144</v>
      </c>
      <c r="AD624" s="851"/>
      <c r="AE624" s="852">
        <v>24580</v>
      </c>
      <c r="AF624" s="853">
        <v>0</v>
      </c>
      <c r="AG624" s="854">
        <f t="shared" si="116"/>
        <v>0</v>
      </c>
      <c r="AH624" s="853"/>
      <c r="AI624" s="855">
        <f t="shared" si="117"/>
        <v>0</v>
      </c>
      <c r="AJ624" s="845" t="s">
        <v>1872</v>
      </c>
      <c r="AK624" s="857" t="s">
        <v>1745</v>
      </c>
      <c r="AL624" s="840">
        <v>244737306</v>
      </c>
      <c r="AM624" s="840"/>
      <c r="AN624" s="858"/>
      <c r="AO624" s="844"/>
      <c r="AP624" s="859" t="s">
        <v>1873</v>
      </c>
      <c r="AQ624" s="859"/>
      <c r="AR624" s="859">
        <v>45453</v>
      </c>
      <c r="AS624" s="840" t="s">
        <v>1874</v>
      </c>
      <c r="AT624" s="840" t="s">
        <v>1875</v>
      </c>
      <c r="AU624" s="860" t="s">
        <v>1876</v>
      </c>
      <c r="AV624" s="839" t="s">
        <v>1877</v>
      </c>
      <c r="AW624" s="861">
        <v>45575</v>
      </c>
      <c r="AX624" s="862">
        <v>45582</v>
      </c>
      <c r="AY624" s="843" t="s">
        <v>2135</v>
      </c>
      <c r="AZ624" s="842">
        <v>73269099</v>
      </c>
      <c r="BA624" s="842" t="s">
        <v>120</v>
      </c>
      <c r="BB624" s="863" t="s">
        <v>121</v>
      </c>
      <c r="BC624" s="864">
        <v>45584</v>
      </c>
      <c r="BD624" s="860" t="s">
        <v>1879</v>
      </c>
      <c r="BE624" s="865" cm="1">
        <f t="array" ref="BE624">IF(BD624="","",AC624/SUMPRODUCT(--(BD624=$BD$4:$BD$12824),$AC$4:$AC$12824))</f>
        <v>3.6247955042668246E-3</v>
      </c>
      <c r="BF624" s="458"/>
      <c r="BG624" s="458"/>
      <c r="BH624" s="458"/>
      <c r="BI624" s="458"/>
      <c r="BJ624" s="458"/>
      <c r="BK624" s="458"/>
      <c r="BL624" s="458"/>
      <c r="BM624" s="458"/>
      <c r="BN624" s="458"/>
      <c r="BO624" s="866">
        <f>VLOOKUP(BD624,$BD$4:$BN$12824,3,0)*BE624</f>
        <v>0</v>
      </c>
      <c r="BP624" s="866"/>
      <c r="BQ624" s="866"/>
      <c r="BR624" s="866">
        <f>VLOOKUP(BD624,$BD$4:$BN$12824,6,0)*BE624</f>
        <v>69819.941052266557</v>
      </c>
      <c r="BS624" s="866">
        <f>VLOOKUP(BD624,$BD$4:$BN$12824,7,0)*BE624</f>
        <v>3491.0731733189173</v>
      </c>
      <c r="BT624" s="866"/>
      <c r="BU624" s="866">
        <f>VLOOKUP(BD624,$BD$4:$BN$12824,9,0)*BE624</f>
        <v>1812.3977521334123</v>
      </c>
      <c r="BV624" s="867"/>
      <c r="BW624" s="867">
        <f>VLOOKUP(BD624,$BD$4:$BN$12824,11,0)*BE624</f>
        <v>7612.0705589603313</v>
      </c>
      <c r="BX624" s="1146">
        <f t="shared" si="122"/>
        <v>82735.482536679221</v>
      </c>
      <c r="BY624" s="867">
        <f t="shared" si="121"/>
        <v>301854.62354472326</v>
      </c>
      <c r="BZ624" s="867">
        <f t="shared" si="118"/>
        <v>3622255.4825366791</v>
      </c>
      <c r="CA624" s="867">
        <f>_xlfn.MAXIFS($BY$4:$BY$12824,$S$4:$S$12824,$S624)</f>
        <v>301854.62354472326</v>
      </c>
      <c r="CB624" s="1032"/>
      <c r="CC624" s="999" t="s">
        <v>1889</v>
      </c>
      <c r="CF624" s="946">
        <f t="shared" si="120"/>
        <v>3539520</v>
      </c>
    </row>
    <row r="625" spans="1:84">
      <c r="A625" s="1032"/>
      <c r="B625" s="839" t="s">
        <v>98</v>
      </c>
      <c r="C625" s="839" t="s">
        <v>131</v>
      </c>
      <c r="D625" s="839" t="s">
        <v>1868</v>
      </c>
      <c r="E625" s="839" t="s">
        <v>1952</v>
      </c>
      <c r="F625" s="841">
        <v>45520</v>
      </c>
      <c r="G625" s="840" t="s">
        <v>133</v>
      </c>
      <c r="H625" s="842" t="s">
        <v>134</v>
      </c>
      <c r="I625" s="842"/>
      <c r="J625" s="841"/>
      <c r="K625" s="841"/>
      <c r="L625" s="843" t="s">
        <v>106</v>
      </c>
      <c r="M625" s="844" t="s">
        <v>107</v>
      </c>
      <c r="N625" s="841" t="s">
        <v>1869</v>
      </c>
      <c r="O625" s="841" t="s">
        <v>135</v>
      </c>
      <c r="P625" s="841" t="s">
        <v>186</v>
      </c>
      <c r="Q625" s="843"/>
      <c r="R625" s="845" t="s">
        <v>2136</v>
      </c>
      <c r="S625" s="1127" t="s">
        <v>2137</v>
      </c>
      <c r="T625" s="843" t="s">
        <v>2138</v>
      </c>
      <c r="U625" s="842">
        <v>12</v>
      </c>
      <c r="V625" s="842" t="s">
        <v>8</v>
      </c>
      <c r="W625" s="846">
        <v>30</v>
      </c>
      <c r="X625" s="847">
        <f t="shared" si="113"/>
        <v>360</v>
      </c>
      <c r="Y625" s="848">
        <f t="shared" si="119"/>
        <v>0.6</v>
      </c>
      <c r="Z625" s="849">
        <v>12</v>
      </c>
      <c r="AA625" s="849"/>
      <c r="AB625" s="849">
        <f t="shared" si="114"/>
        <v>144</v>
      </c>
      <c r="AC625" s="850">
        <f t="shared" si="115"/>
        <v>144</v>
      </c>
      <c r="AD625" s="851"/>
      <c r="AE625" s="852">
        <v>24580</v>
      </c>
      <c r="AF625" s="853">
        <v>0</v>
      </c>
      <c r="AG625" s="854">
        <f t="shared" si="116"/>
        <v>0</v>
      </c>
      <c r="AH625" s="853"/>
      <c r="AI625" s="855">
        <f t="shared" si="117"/>
        <v>0</v>
      </c>
      <c r="AJ625" s="845" t="s">
        <v>1872</v>
      </c>
      <c r="AK625" s="857" t="s">
        <v>1745</v>
      </c>
      <c r="AL625" s="840">
        <v>244737306</v>
      </c>
      <c r="AM625" s="840"/>
      <c r="AN625" s="858"/>
      <c r="AO625" s="844"/>
      <c r="AP625" s="859" t="s">
        <v>1873</v>
      </c>
      <c r="AQ625" s="859"/>
      <c r="AR625" s="859">
        <v>45453</v>
      </c>
      <c r="AS625" s="840" t="s">
        <v>1874</v>
      </c>
      <c r="AT625" s="840" t="s">
        <v>1875</v>
      </c>
      <c r="AU625" s="860" t="s">
        <v>1876</v>
      </c>
      <c r="AV625" s="839" t="s">
        <v>1877</v>
      </c>
      <c r="AW625" s="861">
        <v>45575</v>
      </c>
      <c r="AX625" s="862">
        <v>45582</v>
      </c>
      <c r="AY625" s="843" t="s">
        <v>2139</v>
      </c>
      <c r="AZ625" s="842">
        <v>73269099</v>
      </c>
      <c r="BA625" s="842" t="s">
        <v>120</v>
      </c>
      <c r="BB625" s="863" t="s">
        <v>121</v>
      </c>
      <c r="BC625" s="864">
        <v>45584</v>
      </c>
      <c r="BD625" s="860" t="s">
        <v>1879</v>
      </c>
      <c r="BE625" s="865" cm="1">
        <f t="array" ref="BE625">IF(BD625="","",AC625/SUMPRODUCT(--(BD625=$BD$4:$BD$12824),$AC$4:$AC$12824))</f>
        <v>3.6247955042668246E-3</v>
      </c>
      <c r="BF625" s="458"/>
      <c r="BG625" s="458"/>
      <c r="BH625" s="458"/>
      <c r="BI625" s="458"/>
      <c r="BJ625" s="458"/>
      <c r="BK625" s="458"/>
      <c r="BL625" s="458"/>
      <c r="BM625" s="458"/>
      <c r="BN625" s="458"/>
      <c r="BO625" s="866">
        <f>VLOOKUP(BD625,$BD$4:$BN$12824,3,0)*BE625</f>
        <v>0</v>
      </c>
      <c r="BP625" s="866"/>
      <c r="BQ625" s="866"/>
      <c r="BR625" s="866">
        <f>VLOOKUP(BD625,$BD$4:$BN$12824,6,0)*BE625</f>
        <v>69819.941052266557</v>
      </c>
      <c r="BS625" s="866">
        <f>VLOOKUP(BD625,$BD$4:$BN$12824,7,0)*BE625</f>
        <v>3491.0731733189173</v>
      </c>
      <c r="BT625" s="866"/>
      <c r="BU625" s="866">
        <f>VLOOKUP(BD625,$BD$4:$BN$12824,9,0)*BE625</f>
        <v>1812.3977521334123</v>
      </c>
      <c r="BV625" s="867"/>
      <c r="BW625" s="867">
        <f>VLOOKUP(BD625,$BD$4:$BN$12824,11,0)*BE625</f>
        <v>7612.0705589603313</v>
      </c>
      <c r="BX625" s="1146">
        <f t="shared" si="122"/>
        <v>82735.482536679221</v>
      </c>
      <c r="BY625" s="867">
        <f t="shared" si="121"/>
        <v>301854.62354472326</v>
      </c>
      <c r="BZ625" s="867">
        <f t="shared" si="118"/>
        <v>3622255.4825366791</v>
      </c>
      <c r="CA625" s="867">
        <f>_xlfn.MAXIFS($BY$4:$BY$12824,$S$4:$S$12824,$S625)</f>
        <v>301854.62354472326</v>
      </c>
      <c r="CB625" s="1032"/>
      <c r="CC625" s="999" t="s">
        <v>1889</v>
      </c>
      <c r="CF625" s="946">
        <f t="shared" si="120"/>
        <v>3539520</v>
      </c>
    </row>
    <row r="626" spans="1:84">
      <c r="A626" s="1032"/>
      <c r="B626" s="839" t="s">
        <v>98</v>
      </c>
      <c r="C626" s="839" t="s">
        <v>131</v>
      </c>
      <c r="D626" s="839" t="s">
        <v>1868</v>
      </c>
      <c r="E626" s="839" t="s">
        <v>1952</v>
      </c>
      <c r="F626" s="841">
        <v>45520</v>
      </c>
      <c r="G626" s="840" t="s">
        <v>133</v>
      </c>
      <c r="H626" s="842" t="s">
        <v>134</v>
      </c>
      <c r="I626" s="842"/>
      <c r="J626" s="841"/>
      <c r="K626" s="841"/>
      <c r="L626" s="843" t="s">
        <v>106</v>
      </c>
      <c r="M626" s="844" t="s">
        <v>107</v>
      </c>
      <c r="N626" s="841" t="s">
        <v>1869</v>
      </c>
      <c r="O626" s="841" t="s">
        <v>135</v>
      </c>
      <c r="P626" s="841" t="s">
        <v>186</v>
      </c>
      <c r="Q626" s="843"/>
      <c r="R626" s="845" t="s">
        <v>2140</v>
      </c>
      <c r="S626" s="1127" t="s">
        <v>2141</v>
      </c>
      <c r="T626" s="843" t="s">
        <v>2142</v>
      </c>
      <c r="U626" s="842">
        <v>12</v>
      </c>
      <c r="V626" s="842" t="s">
        <v>8</v>
      </c>
      <c r="W626" s="846">
        <v>30</v>
      </c>
      <c r="X626" s="847">
        <f t="shared" si="113"/>
        <v>360</v>
      </c>
      <c r="Y626" s="848">
        <f t="shared" si="119"/>
        <v>0.6</v>
      </c>
      <c r="Z626" s="849">
        <v>12</v>
      </c>
      <c r="AA626" s="849"/>
      <c r="AB626" s="849">
        <f t="shared" si="114"/>
        <v>144</v>
      </c>
      <c r="AC626" s="850">
        <f t="shared" si="115"/>
        <v>144</v>
      </c>
      <c r="AD626" s="851"/>
      <c r="AE626" s="852">
        <v>24580</v>
      </c>
      <c r="AF626" s="853">
        <v>0</v>
      </c>
      <c r="AG626" s="854">
        <f t="shared" si="116"/>
        <v>0</v>
      </c>
      <c r="AH626" s="853"/>
      <c r="AI626" s="855">
        <f t="shared" si="117"/>
        <v>0</v>
      </c>
      <c r="AJ626" s="845" t="s">
        <v>1872</v>
      </c>
      <c r="AK626" s="857" t="s">
        <v>1745</v>
      </c>
      <c r="AL626" s="840">
        <v>244737306</v>
      </c>
      <c r="AM626" s="840"/>
      <c r="AN626" s="858"/>
      <c r="AO626" s="844"/>
      <c r="AP626" s="859" t="s">
        <v>1873</v>
      </c>
      <c r="AQ626" s="859"/>
      <c r="AR626" s="859">
        <v>45453</v>
      </c>
      <c r="AS626" s="840" t="s">
        <v>1874</v>
      </c>
      <c r="AT626" s="840" t="s">
        <v>1875</v>
      </c>
      <c r="AU626" s="860" t="s">
        <v>1876</v>
      </c>
      <c r="AV626" s="839" t="s">
        <v>1877</v>
      </c>
      <c r="AW626" s="861">
        <v>45575</v>
      </c>
      <c r="AX626" s="862">
        <v>45582</v>
      </c>
      <c r="AY626" s="843" t="s">
        <v>2143</v>
      </c>
      <c r="AZ626" s="842">
        <v>73269099</v>
      </c>
      <c r="BA626" s="842" t="s">
        <v>120</v>
      </c>
      <c r="BB626" s="863" t="s">
        <v>121</v>
      </c>
      <c r="BC626" s="864">
        <v>45584</v>
      </c>
      <c r="BD626" s="860" t="s">
        <v>1879</v>
      </c>
      <c r="BE626" s="865" cm="1">
        <f t="array" ref="BE626">IF(BD626="","",AC626/SUMPRODUCT(--(BD626=$BD$4:$BD$12824),$AC$4:$AC$12824))</f>
        <v>3.6247955042668246E-3</v>
      </c>
      <c r="BF626" s="458"/>
      <c r="BG626" s="458"/>
      <c r="BH626" s="458"/>
      <c r="BI626" s="458"/>
      <c r="BJ626" s="458"/>
      <c r="BK626" s="458"/>
      <c r="BL626" s="458"/>
      <c r="BM626" s="458"/>
      <c r="BN626" s="458"/>
      <c r="BO626" s="866">
        <f>VLOOKUP(BD626,$BD$4:$BN$12824,3,0)*BE626</f>
        <v>0</v>
      </c>
      <c r="BP626" s="866"/>
      <c r="BQ626" s="866"/>
      <c r="BR626" s="866">
        <f>VLOOKUP(BD626,$BD$4:$BN$12824,6,0)*BE626</f>
        <v>69819.941052266557</v>
      </c>
      <c r="BS626" s="866">
        <f>VLOOKUP(BD626,$BD$4:$BN$12824,7,0)*BE626</f>
        <v>3491.0731733189173</v>
      </c>
      <c r="BT626" s="866"/>
      <c r="BU626" s="866">
        <f>VLOOKUP(BD626,$BD$4:$BN$12824,9,0)*BE626</f>
        <v>1812.3977521334123</v>
      </c>
      <c r="BV626" s="867"/>
      <c r="BW626" s="867">
        <f>VLOOKUP(BD626,$BD$4:$BN$12824,11,0)*BE626</f>
        <v>7612.0705589603313</v>
      </c>
      <c r="BX626" s="1146">
        <f t="shared" si="122"/>
        <v>82735.482536679221</v>
      </c>
      <c r="BY626" s="867">
        <f t="shared" si="121"/>
        <v>301854.62354472326</v>
      </c>
      <c r="BZ626" s="867">
        <f t="shared" si="118"/>
        <v>3622255.4825366791</v>
      </c>
      <c r="CA626" s="867">
        <f>_xlfn.MAXIFS($BY$4:$BY$12824,$S$4:$S$12824,$S626)</f>
        <v>301854.62354472326</v>
      </c>
      <c r="CB626" s="1032"/>
      <c r="CC626" s="999" t="s">
        <v>1889</v>
      </c>
      <c r="CF626" s="946">
        <f t="shared" si="120"/>
        <v>3539520</v>
      </c>
    </row>
    <row r="627" spans="1:84">
      <c r="A627" s="1032"/>
      <c r="B627" s="839" t="s">
        <v>98</v>
      </c>
      <c r="C627" s="839" t="s">
        <v>131</v>
      </c>
      <c r="D627" s="839" t="s">
        <v>1868</v>
      </c>
      <c r="E627" s="839" t="s">
        <v>1952</v>
      </c>
      <c r="F627" s="841">
        <v>45520</v>
      </c>
      <c r="G627" s="840" t="s">
        <v>133</v>
      </c>
      <c r="H627" s="842" t="s">
        <v>134</v>
      </c>
      <c r="I627" s="842"/>
      <c r="J627" s="841"/>
      <c r="K627" s="841"/>
      <c r="L627" s="843" t="s">
        <v>106</v>
      </c>
      <c r="M627" s="844" t="s">
        <v>107</v>
      </c>
      <c r="N627" s="841" t="s">
        <v>1869</v>
      </c>
      <c r="O627" s="841" t="s">
        <v>135</v>
      </c>
      <c r="P627" s="841" t="s">
        <v>186</v>
      </c>
      <c r="Q627" s="843"/>
      <c r="R627" s="845" t="s">
        <v>2144</v>
      </c>
      <c r="S627" s="1127" t="s">
        <v>2145</v>
      </c>
      <c r="T627" s="843" t="s">
        <v>2146</v>
      </c>
      <c r="U627" s="842">
        <v>12</v>
      </c>
      <c r="V627" s="842" t="s">
        <v>8</v>
      </c>
      <c r="W627" s="846">
        <v>30</v>
      </c>
      <c r="X627" s="847">
        <f t="shared" si="113"/>
        <v>360</v>
      </c>
      <c r="Y627" s="848">
        <f t="shared" si="119"/>
        <v>0.6</v>
      </c>
      <c r="Z627" s="849">
        <v>12</v>
      </c>
      <c r="AA627" s="849"/>
      <c r="AB627" s="849">
        <f t="shared" si="114"/>
        <v>144</v>
      </c>
      <c r="AC627" s="850">
        <f t="shared" si="115"/>
        <v>144</v>
      </c>
      <c r="AD627" s="851"/>
      <c r="AE627" s="852">
        <v>24580</v>
      </c>
      <c r="AF627" s="853">
        <v>0</v>
      </c>
      <c r="AG627" s="854">
        <f t="shared" si="116"/>
        <v>0</v>
      </c>
      <c r="AH627" s="853"/>
      <c r="AI627" s="855">
        <f t="shared" si="117"/>
        <v>0</v>
      </c>
      <c r="AJ627" s="845" t="s">
        <v>1872</v>
      </c>
      <c r="AK627" s="857" t="s">
        <v>1745</v>
      </c>
      <c r="AL627" s="840">
        <v>244737306</v>
      </c>
      <c r="AM627" s="840"/>
      <c r="AN627" s="858"/>
      <c r="AO627" s="844"/>
      <c r="AP627" s="859" t="s">
        <v>1873</v>
      </c>
      <c r="AQ627" s="859"/>
      <c r="AR627" s="859">
        <v>45453</v>
      </c>
      <c r="AS627" s="840" t="s">
        <v>1874</v>
      </c>
      <c r="AT627" s="840" t="s">
        <v>1875</v>
      </c>
      <c r="AU627" s="860" t="s">
        <v>1876</v>
      </c>
      <c r="AV627" s="839" t="s">
        <v>1877</v>
      </c>
      <c r="AW627" s="861">
        <v>45575</v>
      </c>
      <c r="AX627" s="862">
        <v>45582</v>
      </c>
      <c r="AY627" s="843" t="s">
        <v>2147</v>
      </c>
      <c r="AZ627" s="842">
        <v>73269099</v>
      </c>
      <c r="BA627" s="842" t="s">
        <v>120</v>
      </c>
      <c r="BB627" s="863" t="s">
        <v>121</v>
      </c>
      <c r="BC627" s="864">
        <v>45584</v>
      </c>
      <c r="BD627" s="860" t="s">
        <v>1879</v>
      </c>
      <c r="BE627" s="865" cm="1">
        <f t="array" ref="BE627">IF(BD627="","",AC627/SUMPRODUCT(--(BD627=$BD$4:$BD$12824),$AC$4:$AC$12824))</f>
        <v>3.6247955042668246E-3</v>
      </c>
      <c r="BF627" s="458"/>
      <c r="BG627" s="458"/>
      <c r="BH627" s="458"/>
      <c r="BI627" s="458"/>
      <c r="BJ627" s="458"/>
      <c r="BK627" s="458"/>
      <c r="BL627" s="458"/>
      <c r="BM627" s="458"/>
      <c r="BN627" s="458"/>
      <c r="BO627" s="866">
        <f>VLOOKUP(BD627,$BD$4:$BN$12824,3,0)*BE627</f>
        <v>0</v>
      </c>
      <c r="BP627" s="866"/>
      <c r="BQ627" s="866"/>
      <c r="BR627" s="866">
        <f>VLOOKUP(BD627,$BD$4:$BN$12824,6,0)*BE627</f>
        <v>69819.941052266557</v>
      </c>
      <c r="BS627" s="866">
        <f>VLOOKUP(BD627,$BD$4:$BN$12824,7,0)*BE627</f>
        <v>3491.0731733189173</v>
      </c>
      <c r="BT627" s="866"/>
      <c r="BU627" s="866">
        <f>VLOOKUP(BD627,$BD$4:$BN$12824,9,0)*BE627</f>
        <v>1812.3977521334123</v>
      </c>
      <c r="BV627" s="867"/>
      <c r="BW627" s="867">
        <f>VLOOKUP(BD627,$BD$4:$BN$12824,11,0)*BE627</f>
        <v>7612.0705589603313</v>
      </c>
      <c r="BX627" s="1146">
        <f t="shared" si="122"/>
        <v>82735.482536679221</v>
      </c>
      <c r="BY627" s="867">
        <f t="shared" si="121"/>
        <v>301854.62354472326</v>
      </c>
      <c r="BZ627" s="867">
        <f t="shared" si="118"/>
        <v>3622255.4825366791</v>
      </c>
      <c r="CA627" s="867">
        <f>_xlfn.MAXIFS($BY$4:$BY$12824,$S$4:$S$12824,$S627)</f>
        <v>301854.62354472326</v>
      </c>
      <c r="CB627" s="1032"/>
      <c r="CC627" s="999" t="s">
        <v>1889</v>
      </c>
      <c r="CF627" s="946">
        <f t="shared" si="120"/>
        <v>3539520</v>
      </c>
    </row>
    <row r="628" spans="1:84">
      <c r="A628" s="1032"/>
      <c r="B628" s="839" t="s">
        <v>98</v>
      </c>
      <c r="C628" s="839" t="s">
        <v>131</v>
      </c>
      <c r="D628" s="839" t="s">
        <v>1868</v>
      </c>
      <c r="E628" s="839" t="s">
        <v>1952</v>
      </c>
      <c r="F628" s="841">
        <v>45520</v>
      </c>
      <c r="G628" s="840" t="s">
        <v>133</v>
      </c>
      <c r="H628" s="842" t="s">
        <v>134</v>
      </c>
      <c r="I628" s="842"/>
      <c r="J628" s="841"/>
      <c r="K628" s="841"/>
      <c r="L628" s="843" t="s">
        <v>106</v>
      </c>
      <c r="M628" s="844" t="s">
        <v>107</v>
      </c>
      <c r="N628" s="841" t="s">
        <v>1869</v>
      </c>
      <c r="O628" s="841" t="s">
        <v>135</v>
      </c>
      <c r="P628" s="841" t="s">
        <v>186</v>
      </c>
      <c r="Q628" s="843"/>
      <c r="R628" s="845" t="s">
        <v>2148</v>
      </c>
      <c r="S628" s="1127" t="s">
        <v>2149</v>
      </c>
      <c r="T628" s="843" t="s">
        <v>2150</v>
      </c>
      <c r="U628" s="842">
        <v>12</v>
      </c>
      <c r="V628" s="842" t="s">
        <v>8</v>
      </c>
      <c r="W628" s="846">
        <v>30</v>
      </c>
      <c r="X628" s="847">
        <f t="shared" si="113"/>
        <v>360</v>
      </c>
      <c r="Y628" s="848">
        <f t="shared" si="119"/>
        <v>0.6</v>
      </c>
      <c r="Z628" s="849">
        <v>12</v>
      </c>
      <c r="AA628" s="849"/>
      <c r="AB628" s="849">
        <f t="shared" si="114"/>
        <v>144</v>
      </c>
      <c r="AC628" s="850">
        <f t="shared" si="115"/>
        <v>144</v>
      </c>
      <c r="AD628" s="851"/>
      <c r="AE628" s="852">
        <v>24580</v>
      </c>
      <c r="AF628" s="853">
        <v>0</v>
      </c>
      <c r="AG628" s="854">
        <f t="shared" si="116"/>
        <v>0</v>
      </c>
      <c r="AH628" s="853"/>
      <c r="AI628" s="855">
        <f t="shared" si="117"/>
        <v>0</v>
      </c>
      <c r="AJ628" s="845" t="s">
        <v>1872</v>
      </c>
      <c r="AK628" s="857" t="s">
        <v>1745</v>
      </c>
      <c r="AL628" s="840">
        <v>244737306</v>
      </c>
      <c r="AM628" s="840"/>
      <c r="AN628" s="858"/>
      <c r="AO628" s="844"/>
      <c r="AP628" s="859" t="s">
        <v>1873</v>
      </c>
      <c r="AQ628" s="859"/>
      <c r="AR628" s="859">
        <v>45453</v>
      </c>
      <c r="AS628" s="840" t="s">
        <v>1874</v>
      </c>
      <c r="AT628" s="840" t="s">
        <v>1875</v>
      </c>
      <c r="AU628" s="860" t="s">
        <v>1876</v>
      </c>
      <c r="AV628" s="839" t="s">
        <v>1877</v>
      </c>
      <c r="AW628" s="861">
        <v>45575</v>
      </c>
      <c r="AX628" s="862">
        <v>45582</v>
      </c>
      <c r="AY628" s="843" t="s">
        <v>2151</v>
      </c>
      <c r="AZ628" s="842">
        <v>73269099</v>
      </c>
      <c r="BA628" s="842" t="s">
        <v>120</v>
      </c>
      <c r="BB628" s="863" t="s">
        <v>121</v>
      </c>
      <c r="BC628" s="864">
        <v>45584</v>
      </c>
      <c r="BD628" s="860" t="s">
        <v>1879</v>
      </c>
      <c r="BE628" s="865" cm="1">
        <f t="array" ref="BE628">IF(BD628="","",AC628/SUMPRODUCT(--(BD628=$BD$4:$BD$12824),$AC$4:$AC$12824))</f>
        <v>3.6247955042668246E-3</v>
      </c>
      <c r="BF628" s="458"/>
      <c r="BG628" s="458"/>
      <c r="BH628" s="458"/>
      <c r="BI628" s="458"/>
      <c r="BJ628" s="458"/>
      <c r="BK628" s="458"/>
      <c r="BL628" s="458"/>
      <c r="BM628" s="458"/>
      <c r="BN628" s="458"/>
      <c r="BO628" s="866">
        <f>VLOOKUP(BD628,$BD$4:$BN$12824,3,0)*BE628</f>
        <v>0</v>
      </c>
      <c r="BP628" s="866"/>
      <c r="BQ628" s="866"/>
      <c r="BR628" s="866">
        <f>VLOOKUP(BD628,$BD$4:$BN$12824,6,0)*BE628</f>
        <v>69819.941052266557</v>
      </c>
      <c r="BS628" s="866">
        <f>VLOOKUP(BD628,$BD$4:$BN$12824,7,0)*BE628</f>
        <v>3491.0731733189173</v>
      </c>
      <c r="BT628" s="866"/>
      <c r="BU628" s="866">
        <f>VLOOKUP(BD628,$BD$4:$BN$12824,9,0)*BE628</f>
        <v>1812.3977521334123</v>
      </c>
      <c r="BV628" s="867"/>
      <c r="BW628" s="867">
        <f>VLOOKUP(BD628,$BD$4:$BN$12824,11,0)*BE628</f>
        <v>7612.0705589603313</v>
      </c>
      <c r="BX628" s="1146">
        <f t="shared" si="122"/>
        <v>82735.482536679221</v>
      </c>
      <c r="BY628" s="867">
        <f t="shared" si="121"/>
        <v>301854.62354472326</v>
      </c>
      <c r="BZ628" s="867">
        <f t="shared" si="118"/>
        <v>3622255.4825366791</v>
      </c>
      <c r="CA628" s="867">
        <f>_xlfn.MAXIFS($BY$4:$BY$12824,$S$4:$S$12824,$S628)</f>
        <v>301854.62354472326</v>
      </c>
      <c r="CB628" s="1032"/>
      <c r="CC628" s="999" t="s">
        <v>1889</v>
      </c>
      <c r="CF628" s="946">
        <f t="shared" si="120"/>
        <v>3539520</v>
      </c>
    </row>
    <row r="629" spans="1:84">
      <c r="A629" s="1032"/>
      <c r="B629" s="839" t="s">
        <v>98</v>
      </c>
      <c r="C629" s="839" t="s">
        <v>131</v>
      </c>
      <c r="D629" s="839" t="s">
        <v>1868</v>
      </c>
      <c r="E629" s="839" t="s">
        <v>1952</v>
      </c>
      <c r="F629" s="841">
        <v>45520</v>
      </c>
      <c r="G629" s="840" t="s">
        <v>133</v>
      </c>
      <c r="H629" s="842" t="s">
        <v>134</v>
      </c>
      <c r="I629" s="842"/>
      <c r="J629" s="841"/>
      <c r="K629" s="841"/>
      <c r="L629" s="843" t="s">
        <v>106</v>
      </c>
      <c r="M629" s="844" t="s">
        <v>107</v>
      </c>
      <c r="N629" s="841" t="s">
        <v>1869</v>
      </c>
      <c r="O629" s="841" t="s">
        <v>135</v>
      </c>
      <c r="P629" s="841" t="s">
        <v>186</v>
      </c>
      <c r="Q629" s="843"/>
      <c r="R629" s="845" t="s">
        <v>2152</v>
      </c>
      <c r="S629" s="1127" t="s">
        <v>2153</v>
      </c>
      <c r="T629" s="843" t="s">
        <v>2154</v>
      </c>
      <c r="U629" s="842">
        <v>2</v>
      </c>
      <c r="V629" s="842" t="s">
        <v>8</v>
      </c>
      <c r="W629" s="846">
        <v>76</v>
      </c>
      <c r="X629" s="847">
        <f t="shared" si="113"/>
        <v>152</v>
      </c>
      <c r="Y629" s="848">
        <f t="shared" si="119"/>
        <v>0.6</v>
      </c>
      <c r="Z629" s="849">
        <v>30.4</v>
      </c>
      <c r="AA629" s="849"/>
      <c r="AB629" s="849">
        <f t="shared" si="114"/>
        <v>60.8</v>
      </c>
      <c r="AC629" s="850">
        <f t="shared" si="115"/>
        <v>60.8</v>
      </c>
      <c r="AD629" s="851"/>
      <c r="AE629" s="852">
        <v>24580</v>
      </c>
      <c r="AF629" s="853">
        <v>0</v>
      </c>
      <c r="AG629" s="854">
        <f t="shared" si="116"/>
        <v>0</v>
      </c>
      <c r="AH629" s="853"/>
      <c r="AI629" s="855">
        <f t="shared" si="117"/>
        <v>0</v>
      </c>
      <c r="AJ629" s="845" t="s">
        <v>1872</v>
      </c>
      <c r="AK629" s="857" t="s">
        <v>1745</v>
      </c>
      <c r="AL629" s="840">
        <v>244737306</v>
      </c>
      <c r="AM629" s="840"/>
      <c r="AN629" s="858"/>
      <c r="AO629" s="844"/>
      <c r="AP629" s="859" t="s">
        <v>1873</v>
      </c>
      <c r="AQ629" s="859"/>
      <c r="AR629" s="859">
        <v>45453</v>
      </c>
      <c r="AS629" s="840" t="s">
        <v>1874</v>
      </c>
      <c r="AT629" s="840" t="s">
        <v>1875</v>
      </c>
      <c r="AU629" s="860" t="s">
        <v>1876</v>
      </c>
      <c r="AV629" s="839" t="s">
        <v>1877</v>
      </c>
      <c r="AW629" s="861">
        <v>45575</v>
      </c>
      <c r="AX629" s="862">
        <v>45582</v>
      </c>
      <c r="AY629" s="843" t="s">
        <v>2155</v>
      </c>
      <c r="AZ629" s="842">
        <v>83025000</v>
      </c>
      <c r="BA629" s="842" t="s">
        <v>120</v>
      </c>
      <c r="BB629" s="863" t="s">
        <v>121</v>
      </c>
      <c r="BC629" s="864">
        <v>45584</v>
      </c>
      <c r="BD629" s="860" t="s">
        <v>1879</v>
      </c>
      <c r="BE629" s="865" cm="1">
        <f t="array" ref="BE629">IF(BD629="","",AC629/SUMPRODUCT(--(BD629=$BD$4:$BD$12824),$AC$4:$AC$12824))</f>
        <v>1.5304692129126593E-3</v>
      </c>
      <c r="BF629" s="458"/>
      <c r="BG629" s="458"/>
      <c r="BH629" s="458"/>
      <c r="BI629" s="458"/>
      <c r="BJ629" s="458"/>
      <c r="BK629" s="458"/>
      <c r="BL629" s="458"/>
      <c r="BM629" s="458"/>
      <c r="BN629" s="458"/>
      <c r="BO629" s="866">
        <f>VLOOKUP(BD629,$BD$4:$BN$12824,3,0)*BE629</f>
        <v>0</v>
      </c>
      <c r="BP629" s="866"/>
      <c r="BQ629" s="866"/>
      <c r="BR629" s="866">
        <f>VLOOKUP(BD629,$BD$4:$BN$12824,6,0)*BE629</f>
        <v>29479.530666512546</v>
      </c>
      <c r="BS629" s="866">
        <f>VLOOKUP(BD629,$BD$4:$BN$12824,7,0)*BE629</f>
        <v>1474.0086731790984</v>
      </c>
      <c r="BT629" s="866"/>
      <c r="BU629" s="866">
        <f>VLOOKUP(BD629,$BD$4:$BN$12824,9,0)*BE629</f>
        <v>765.23460645632963</v>
      </c>
      <c r="BV629" s="867"/>
      <c r="BW629" s="867">
        <f>VLOOKUP(BD629,$BD$4:$BN$12824,11,0)*BE629</f>
        <v>3213.9853471165848</v>
      </c>
      <c r="BX629" s="1146">
        <f t="shared" si="122"/>
        <v>34932.759293264557</v>
      </c>
      <c r="BY629" s="867">
        <f t="shared" si="121"/>
        <v>764698.37964663224</v>
      </c>
      <c r="BZ629" s="867">
        <f t="shared" si="118"/>
        <v>1529396.7592932645</v>
      </c>
      <c r="CA629" s="867">
        <f>_xlfn.MAXIFS($BY$4:$BY$12824,$S$4:$S$12824,$S629)</f>
        <v>764698.37964663224</v>
      </c>
      <c r="CB629" s="1032"/>
      <c r="CC629" s="999" t="s">
        <v>1889</v>
      </c>
      <c r="CF629" s="946">
        <f t="shared" si="120"/>
        <v>1494464</v>
      </c>
    </row>
    <row r="630" spans="1:84">
      <c r="A630" s="1032"/>
      <c r="B630" s="839" t="s">
        <v>98</v>
      </c>
      <c r="C630" s="839" t="s">
        <v>131</v>
      </c>
      <c r="D630" s="839" t="s">
        <v>1868</v>
      </c>
      <c r="E630" s="839" t="s">
        <v>1952</v>
      </c>
      <c r="F630" s="841">
        <v>45520</v>
      </c>
      <c r="G630" s="840" t="s">
        <v>133</v>
      </c>
      <c r="H630" s="842" t="s">
        <v>134</v>
      </c>
      <c r="I630" s="842"/>
      <c r="J630" s="841"/>
      <c r="K630" s="841"/>
      <c r="L630" s="843" t="s">
        <v>106</v>
      </c>
      <c r="M630" s="844" t="s">
        <v>107</v>
      </c>
      <c r="N630" s="841" t="s">
        <v>1869</v>
      </c>
      <c r="O630" s="841" t="s">
        <v>135</v>
      </c>
      <c r="P630" s="841" t="s">
        <v>186</v>
      </c>
      <c r="Q630" s="843"/>
      <c r="R630" s="845" t="s">
        <v>2156</v>
      </c>
      <c r="S630" s="1127" t="s">
        <v>2157</v>
      </c>
      <c r="T630" s="843" t="s">
        <v>2158</v>
      </c>
      <c r="U630" s="842">
        <v>2</v>
      </c>
      <c r="V630" s="842" t="s">
        <v>8</v>
      </c>
      <c r="W630" s="846">
        <v>76</v>
      </c>
      <c r="X630" s="847">
        <f t="shared" si="113"/>
        <v>152</v>
      </c>
      <c r="Y630" s="848">
        <f t="shared" si="119"/>
        <v>0.6</v>
      </c>
      <c r="Z630" s="849">
        <v>30.4</v>
      </c>
      <c r="AA630" s="849"/>
      <c r="AB630" s="849">
        <f t="shared" si="114"/>
        <v>60.8</v>
      </c>
      <c r="AC630" s="850">
        <f t="shared" si="115"/>
        <v>60.8</v>
      </c>
      <c r="AD630" s="851"/>
      <c r="AE630" s="852">
        <v>24580</v>
      </c>
      <c r="AF630" s="853">
        <v>0</v>
      </c>
      <c r="AG630" s="854">
        <f t="shared" si="116"/>
        <v>0</v>
      </c>
      <c r="AH630" s="853"/>
      <c r="AI630" s="855">
        <f t="shared" si="117"/>
        <v>0</v>
      </c>
      <c r="AJ630" s="845" t="s">
        <v>1872</v>
      </c>
      <c r="AK630" s="857" t="s">
        <v>1745</v>
      </c>
      <c r="AL630" s="840">
        <v>244737306</v>
      </c>
      <c r="AM630" s="840"/>
      <c r="AN630" s="858"/>
      <c r="AO630" s="844"/>
      <c r="AP630" s="859" t="s">
        <v>1873</v>
      </c>
      <c r="AQ630" s="859"/>
      <c r="AR630" s="859">
        <v>45453</v>
      </c>
      <c r="AS630" s="840" t="s">
        <v>1874</v>
      </c>
      <c r="AT630" s="840" t="s">
        <v>1875</v>
      </c>
      <c r="AU630" s="860" t="s">
        <v>1876</v>
      </c>
      <c r="AV630" s="839" t="s">
        <v>1877</v>
      </c>
      <c r="AW630" s="861">
        <v>45575</v>
      </c>
      <c r="AX630" s="862">
        <v>45582</v>
      </c>
      <c r="AY630" s="843" t="s">
        <v>2159</v>
      </c>
      <c r="AZ630" s="842">
        <v>83025000</v>
      </c>
      <c r="BA630" s="842" t="s">
        <v>120</v>
      </c>
      <c r="BB630" s="863" t="s">
        <v>121</v>
      </c>
      <c r="BC630" s="864">
        <v>45584</v>
      </c>
      <c r="BD630" s="860" t="s">
        <v>1879</v>
      </c>
      <c r="BE630" s="865" cm="1">
        <f t="array" ref="BE630">IF(BD630="","",AC630/SUMPRODUCT(--(BD630=$BD$4:$BD$12824),$AC$4:$AC$12824))</f>
        <v>1.5304692129126593E-3</v>
      </c>
      <c r="BF630" s="458"/>
      <c r="BG630" s="458"/>
      <c r="BH630" s="458"/>
      <c r="BI630" s="458"/>
      <c r="BJ630" s="458"/>
      <c r="BK630" s="458"/>
      <c r="BL630" s="458"/>
      <c r="BM630" s="458"/>
      <c r="BN630" s="458"/>
      <c r="BO630" s="866">
        <f>VLOOKUP(BD630,$BD$4:$BN$12824,3,0)*BE630</f>
        <v>0</v>
      </c>
      <c r="BP630" s="866"/>
      <c r="BQ630" s="866"/>
      <c r="BR630" s="866">
        <f>VLOOKUP(BD630,$BD$4:$BN$12824,6,0)*BE630</f>
        <v>29479.530666512546</v>
      </c>
      <c r="BS630" s="866">
        <f>VLOOKUP(BD630,$BD$4:$BN$12824,7,0)*BE630</f>
        <v>1474.0086731790984</v>
      </c>
      <c r="BT630" s="866"/>
      <c r="BU630" s="866">
        <f>VLOOKUP(BD630,$BD$4:$BN$12824,9,0)*BE630</f>
        <v>765.23460645632963</v>
      </c>
      <c r="BV630" s="867"/>
      <c r="BW630" s="867">
        <f>VLOOKUP(BD630,$BD$4:$BN$12824,11,0)*BE630</f>
        <v>3213.9853471165848</v>
      </c>
      <c r="BX630" s="1146">
        <f t="shared" si="122"/>
        <v>34932.759293264557</v>
      </c>
      <c r="BY630" s="867">
        <f t="shared" si="121"/>
        <v>764698.37964663224</v>
      </c>
      <c r="BZ630" s="867">
        <f t="shared" si="118"/>
        <v>1529396.7592932645</v>
      </c>
      <c r="CA630" s="867">
        <f>_xlfn.MAXIFS($BY$4:$BY$12824,$S$4:$S$12824,$S630)</f>
        <v>764698.37964663224</v>
      </c>
      <c r="CB630" s="1032"/>
      <c r="CC630" s="999" t="s">
        <v>1889</v>
      </c>
      <c r="CF630" s="946">
        <f t="shared" si="120"/>
        <v>1494464</v>
      </c>
    </row>
    <row r="631" spans="1:84">
      <c r="A631" s="1032"/>
      <c r="B631" s="839" t="s">
        <v>98</v>
      </c>
      <c r="C631" s="839" t="s">
        <v>131</v>
      </c>
      <c r="D631" s="839" t="s">
        <v>1868</v>
      </c>
      <c r="E631" s="839" t="s">
        <v>1952</v>
      </c>
      <c r="F631" s="841">
        <v>45520</v>
      </c>
      <c r="G631" s="840" t="s">
        <v>133</v>
      </c>
      <c r="H631" s="842" t="s">
        <v>134</v>
      </c>
      <c r="I631" s="842"/>
      <c r="J631" s="841"/>
      <c r="K631" s="841"/>
      <c r="L631" s="843" t="s">
        <v>106</v>
      </c>
      <c r="M631" s="844" t="s">
        <v>107</v>
      </c>
      <c r="N631" s="841" t="s">
        <v>1869</v>
      </c>
      <c r="O631" s="841" t="s">
        <v>135</v>
      </c>
      <c r="P631" s="841" t="s">
        <v>186</v>
      </c>
      <c r="Q631" s="843"/>
      <c r="R631" s="845">
        <v>506543</v>
      </c>
      <c r="S631" s="1127" t="s">
        <v>2160</v>
      </c>
      <c r="T631" s="843" t="s">
        <v>2161</v>
      </c>
      <c r="U631" s="842">
        <v>6</v>
      </c>
      <c r="V631" s="842" t="s">
        <v>8</v>
      </c>
      <c r="W631" s="846">
        <v>53</v>
      </c>
      <c r="X631" s="847">
        <f t="shared" si="113"/>
        <v>318</v>
      </c>
      <c r="Y631" s="848">
        <f t="shared" si="119"/>
        <v>0.6</v>
      </c>
      <c r="Z631" s="849">
        <v>21.2</v>
      </c>
      <c r="AA631" s="849"/>
      <c r="AB631" s="849">
        <f t="shared" si="114"/>
        <v>127.19999999999999</v>
      </c>
      <c r="AC631" s="850">
        <f t="shared" si="115"/>
        <v>127.19999999999999</v>
      </c>
      <c r="AD631" s="851"/>
      <c r="AE631" s="852">
        <v>24580</v>
      </c>
      <c r="AF631" s="853">
        <v>0</v>
      </c>
      <c r="AG631" s="854">
        <f t="shared" si="116"/>
        <v>0</v>
      </c>
      <c r="AH631" s="853"/>
      <c r="AI631" s="855">
        <f t="shared" si="117"/>
        <v>0</v>
      </c>
      <c r="AJ631" s="845" t="s">
        <v>1872</v>
      </c>
      <c r="AK631" s="857" t="s">
        <v>1745</v>
      </c>
      <c r="AL631" s="840">
        <v>244737306</v>
      </c>
      <c r="AM631" s="840"/>
      <c r="AN631" s="858"/>
      <c r="AO631" s="844"/>
      <c r="AP631" s="859" t="s">
        <v>1873</v>
      </c>
      <c r="AQ631" s="859"/>
      <c r="AR631" s="859">
        <v>45453</v>
      </c>
      <c r="AS631" s="840" t="s">
        <v>1874</v>
      </c>
      <c r="AT631" s="840" t="s">
        <v>1875</v>
      </c>
      <c r="AU631" s="860" t="s">
        <v>1876</v>
      </c>
      <c r="AV631" s="839" t="s">
        <v>1877</v>
      </c>
      <c r="AW631" s="861">
        <v>45575</v>
      </c>
      <c r="AX631" s="862">
        <v>45582</v>
      </c>
      <c r="AY631" s="843" t="s">
        <v>2162</v>
      </c>
      <c r="AZ631" s="842">
        <v>39249090</v>
      </c>
      <c r="BA631" s="842" t="s">
        <v>120</v>
      </c>
      <c r="BB631" s="863" t="s">
        <v>121</v>
      </c>
      <c r="BC631" s="864">
        <v>45584</v>
      </c>
      <c r="BD631" s="860" t="s">
        <v>1879</v>
      </c>
      <c r="BE631" s="865" cm="1">
        <f t="array" ref="BE631">IF(BD631="","",AC631/SUMPRODUCT(--(BD631=$BD$4:$BD$12824),$AC$4:$AC$12824))</f>
        <v>3.2019026954356951E-3</v>
      </c>
      <c r="BF631" s="458"/>
      <c r="BG631" s="458"/>
      <c r="BH631" s="458"/>
      <c r="BI631" s="458"/>
      <c r="BJ631" s="458"/>
      <c r="BK631" s="458"/>
      <c r="BL631" s="458"/>
      <c r="BM631" s="458"/>
      <c r="BN631" s="458"/>
      <c r="BO631" s="866">
        <f>VLOOKUP(BD631,$BD$4:$BN$12824,3,0)*BE631</f>
        <v>0</v>
      </c>
      <c r="BP631" s="866"/>
      <c r="BQ631" s="866"/>
      <c r="BR631" s="866">
        <f>VLOOKUP(BD631,$BD$4:$BN$12824,6,0)*BE631</f>
        <v>61674.281262835451</v>
      </c>
      <c r="BS631" s="866">
        <f>VLOOKUP(BD631,$BD$4:$BN$12824,7,0)*BE631</f>
        <v>3083.7813030983771</v>
      </c>
      <c r="BT631" s="866"/>
      <c r="BU631" s="866">
        <f>VLOOKUP(BD631,$BD$4:$BN$12824,9,0)*BE631</f>
        <v>1600.9513477178475</v>
      </c>
      <c r="BV631" s="867"/>
      <c r="BW631" s="867">
        <f>VLOOKUP(BD631,$BD$4:$BN$12824,11,0)*BE631</f>
        <v>6723.9956604149593</v>
      </c>
      <c r="BX631" s="1146">
        <f t="shared" si="122"/>
        <v>73083.009574066629</v>
      </c>
      <c r="BY631" s="867">
        <f t="shared" si="121"/>
        <v>533276.50159567769</v>
      </c>
      <c r="BZ631" s="867">
        <f t="shared" si="118"/>
        <v>3199659.0095740659</v>
      </c>
      <c r="CA631" s="867">
        <f>_xlfn.MAXIFS($BY$4:$BY$12824,$S$4:$S$12824,$S631)</f>
        <v>533276.50159567769</v>
      </c>
      <c r="CB631" s="1032"/>
      <c r="CC631" s="999" t="s">
        <v>1889</v>
      </c>
      <c r="CF631" s="946">
        <f t="shared" si="120"/>
        <v>3126575.9999999995</v>
      </c>
    </row>
    <row r="632" spans="1:84">
      <c r="A632" s="1032"/>
      <c r="B632" s="839" t="s">
        <v>98</v>
      </c>
      <c r="C632" s="839" t="s">
        <v>131</v>
      </c>
      <c r="D632" s="839" t="s">
        <v>1868</v>
      </c>
      <c r="E632" s="839" t="s">
        <v>1952</v>
      </c>
      <c r="F632" s="841">
        <v>45520</v>
      </c>
      <c r="G632" s="840" t="s">
        <v>133</v>
      </c>
      <c r="H632" s="842" t="s">
        <v>134</v>
      </c>
      <c r="I632" s="842"/>
      <c r="J632" s="841"/>
      <c r="K632" s="841"/>
      <c r="L632" s="843" t="s">
        <v>106</v>
      </c>
      <c r="M632" s="844" t="s">
        <v>107</v>
      </c>
      <c r="N632" s="841" t="s">
        <v>1869</v>
      </c>
      <c r="O632" s="841" t="s">
        <v>135</v>
      </c>
      <c r="P632" s="841" t="s">
        <v>186</v>
      </c>
      <c r="Q632" s="843"/>
      <c r="R632" s="845">
        <v>506542</v>
      </c>
      <c r="S632" s="1127" t="s">
        <v>2163</v>
      </c>
      <c r="T632" s="843" t="s">
        <v>2164</v>
      </c>
      <c r="U632" s="842">
        <v>6</v>
      </c>
      <c r="V632" s="842" t="s">
        <v>8</v>
      </c>
      <c r="W632" s="846">
        <v>38</v>
      </c>
      <c r="X632" s="847">
        <f t="shared" si="113"/>
        <v>228</v>
      </c>
      <c r="Y632" s="848">
        <f t="shared" si="119"/>
        <v>0.6</v>
      </c>
      <c r="Z632" s="849">
        <v>15.2</v>
      </c>
      <c r="AA632" s="849"/>
      <c r="AB632" s="849">
        <f t="shared" si="114"/>
        <v>91.199999999999989</v>
      </c>
      <c r="AC632" s="850">
        <f t="shared" si="115"/>
        <v>91.199999999999989</v>
      </c>
      <c r="AD632" s="851"/>
      <c r="AE632" s="852">
        <v>24580</v>
      </c>
      <c r="AF632" s="853">
        <v>0</v>
      </c>
      <c r="AG632" s="854">
        <f t="shared" si="116"/>
        <v>0</v>
      </c>
      <c r="AH632" s="853"/>
      <c r="AI632" s="855">
        <f t="shared" si="117"/>
        <v>0</v>
      </c>
      <c r="AJ632" s="845" t="s">
        <v>1872</v>
      </c>
      <c r="AK632" s="857" t="s">
        <v>1745</v>
      </c>
      <c r="AL632" s="840">
        <v>244737306</v>
      </c>
      <c r="AM632" s="840"/>
      <c r="AN632" s="858"/>
      <c r="AO632" s="844"/>
      <c r="AP632" s="859" t="s">
        <v>1873</v>
      </c>
      <c r="AQ632" s="859"/>
      <c r="AR632" s="859">
        <v>45453</v>
      </c>
      <c r="AS632" s="840" t="s">
        <v>1874</v>
      </c>
      <c r="AT632" s="840" t="s">
        <v>1875</v>
      </c>
      <c r="AU632" s="860" t="s">
        <v>1876</v>
      </c>
      <c r="AV632" s="839" t="s">
        <v>1877</v>
      </c>
      <c r="AW632" s="861">
        <v>45575</v>
      </c>
      <c r="AX632" s="862">
        <v>45582</v>
      </c>
      <c r="AY632" s="843" t="s">
        <v>2165</v>
      </c>
      <c r="AZ632" s="842">
        <v>73239110</v>
      </c>
      <c r="BA632" s="842" t="s">
        <v>120</v>
      </c>
      <c r="BB632" s="863" t="s">
        <v>121</v>
      </c>
      <c r="BC632" s="864">
        <v>45584</v>
      </c>
      <c r="BD632" s="860" t="s">
        <v>1879</v>
      </c>
      <c r="BE632" s="865" cm="1">
        <f t="array" ref="BE632">IF(BD632="","",AC632/SUMPRODUCT(--(BD632=$BD$4:$BD$12824),$AC$4:$AC$12824))</f>
        <v>2.2957038193689885E-3</v>
      </c>
      <c r="BF632" s="458"/>
      <c r="BG632" s="458"/>
      <c r="BH632" s="458"/>
      <c r="BI632" s="458"/>
      <c r="BJ632" s="458"/>
      <c r="BK632" s="458"/>
      <c r="BL632" s="458"/>
      <c r="BM632" s="458"/>
      <c r="BN632" s="458"/>
      <c r="BO632" s="866">
        <f>VLOOKUP(BD632,$BD$4:$BN$12824,3,0)*BE632</f>
        <v>0</v>
      </c>
      <c r="BP632" s="866"/>
      <c r="BQ632" s="866"/>
      <c r="BR632" s="866">
        <f>VLOOKUP(BD632,$BD$4:$BN$12824,6,0)*BE632</f>
        <v>44219.295999768809</v>
      </c>
      <c r="BS632" s="866">
        <f>VLOOKUP(BD632,$BD$4:$BN$12824,7,0)*BE632</f>
        <v>2211.013009768647</v>
      </c>
      <c r="BT632" s="866"/>
      <c r="BU632" s="866">
        <f>VLOOKUP(BD632,$BD$4:$BN$12824,9,0)*BE632</f>
        <v>1147.8519096844943</v>
      </c>
      <c r="BV632" s="867"/>
      <c r="BW632" s="867">
        <f>VLOOKUP(BD632,$BD$4:$BN$12824,11,0)*BE632</f>
        <v>4820.9780206748756</v>
      </c>
      <c r="BX632" s="1146">
        <f t="shared" si="122"/>
        <v>52399.138939896831</v>
      </c>
      <c r="BY632" s="867">
        <f t="shared" si="121"/>
        <v>382349.18982331612</v>
      </c>
      <c r="BZ632" s="867">
        <f t="shared" si="118"/>
        <v>2294095.1389398966</v>
      </c>
      <c r="CA632" s="867">
        <f>_xlfn.MAXIFS($BY$4:$BY$12824,$S$4:$S$12824,$S632)</f>
        <v>382349.18982331612</v>
      </c>
      <c r="CB632" s="1032"/>
      <c r="CC632" s="999" t="s">
        <v>1889</v>
      </c>
      <c r="CF632" s="946">
        <f t="shared" si="120"/>
        <v>2241695.9999999995</v>
      </c>
    </row>
    <row r="633" spans="1:84">
      <c r="A633" s="1032"/>
      <c r="B633" s="839" t="s">
        <v>98</v>
      </c>
      <c r="C633" s="839" t="s">
        <v>131</v>
      </c>
      <c r="D633" s="839" t="s">
        <v>1868</v>
      </c>
      <c r="E633" s="839" t="s">
        <v>1952</v>
      </c>
      <c r="F633" s="841">
        <v>45520</v>
      </c>
      <c r="G633" s="840" t="s">
        <v>133</v>
      </c>
      <c r="H633" s="842" t="s">
        <v>134</v>
      </c>
      <c r="I633" s="842"/>
      <c r="J633" s="841"/>
      <c r="K633" s="841"/>
      <c r="L633" s="843" t="s">
        <v>106</v>
      </c>
      <c r="M633" s="844" t="s">
        <v>107</v>
      </c>
      <c r="N633" s="841" t="s">
        <v>1869</v>
      </c>
      <c r="O633" s="841" t="s">
        <v>135</v>
      </c>
      <c r="P633" s="841" t="s">
        <v>1483</v>
      </c>
      <c r="Q633" s="843"/>
      <c r="R633" s="845">
        <v>541437</v>
      </c>
      <c r="S633" s="1127" t="s">
        <v>2166</v>
      </c>
      <c r="T633" s="843" t="s">
        <v>2167</v>
      </c>
      <c r="U633" s="842">
        <v>20</v>
      </c>
      <c r="V633" s="842" t="s">
        <v>8</v>
      </c>
      <c r="W633" s="846">
        <v>20</v>
      </c>
      <c r="X633" s="847">
        <f t="shared" si="113"/>
        <v>400</v>
      </c>
      <c r="Y633" s="848">
        <f t="shared" si="119"/>
        <v>0.6</v>
      </c>
      <c r="Z633" s="849">
        <v>8</v>
      </c>
      <c r="AA633" s="849"/>
      <c r="AB633" s="849">
        <f t="shared" si="114"/>
        <v>160</v>
      </c>
      <c r="AC633" s="850">
        <f t="shared" si="115"/>
        <v>160</v>
      </c>
      <c r="AD633" s="851"/>
      <c r="AE633" s="852">
        <v>24580</v>
      </c>
      <c r="AF633" s="853">
        <v>0.25</v>
      </c>
      <c r="AG633" s="854">
        <f t="shared" si="116"/>
        <v>984169.74254814419</v>
      </c>
      <c r="AH633" s="853"/>
      <c r="AI633" s="855">
        <f t="shared" si="117"/>
        <v>0</v>
      </c>
      <c r="AJ633" s="845" t="s">
        <v>1872</v>
      </c>
      <c r="AK633" s="857" t="s">
        <v>1745</v>
      </c>
      <c r="AL633" s="840">
        <v>244737306</v>
      </c>
      <c r="AM633" s="840"/>
      <c r="AN633" s="858"/>
      <c r="AO633" s="844"/>
      <c r="AP633" s="859" t="s">
        <v>1873</v>
      </c>
      <c r="AQ633" s="859"/>
      <c r="AR633" s="859">
        <v>45453</v>
      </c>
      <c r="AS633" s="840" t="s">
        <v>1874</v>
      </c>
      <c r="AT633" s="840" t="s">
        <v>1875</v>
      </c>
      <c r="AU633" s="860" t="s">
        <v>1876</v>
      </c>
      <c r="AV633" s="839" t="s">
        <v>1877</v>
      </c>
      <c r="AW633" s="861">
        <v>45575</v>
      </c>
      <c r="AX633" s="862">
        <v>45582</v>
      </c>
      <c r="AY633" s="843" t="s">
        <v>2168</v>
      </c>
      <c r="AZ633" s="842">
        <v>42022220</v>
      </c>
      <c r="BA633" s="842" t="s">
        <v>120</v>
      </c>
      <c r="BB633" s="863" t="s">
        <v>121</v>
      </c>
      <c r="BC633" s="864">
        <v>45584</v>
      </c>
      <c r="BD633" s="860" t="s">
        <v>1879</v>
      </c>
      <c r="BE633" s="865" cm="1">
        <f t="array" ref="BE633">IF(BD633="","",AC633/SUMPRODUCT(--(BD633=$BD$4:$BD$12824),$AC$4:$AC$12824))</f>
        <v>4.0275505602964719E-3</v>
      </c>
      <c r="BF633" s="458"/>
      <c r="BG633" s="458"/>
      <c r="BH633" s="458"/>
      <c r="BI633" s="458"/>
      <c r="BJ633" s="458"/>
      <c r="BK633" s="458"/>
      <c r="BL633" s="458"/>
      <c r="BM633" s="458"/>
      <c r="BN633" s="458"/>
      <c r="BO633" s="866">
        <f>VLOOKUP(BD633,$BD$4:$BN$12824,3,0)*BE633</f>
        <v>0</v>
      </c>
      <c r="BP633" s="866"/>
      <c r="BQ633" s="866"/>
      <c r="BR633" s="866">
        <f>VLOOKUP(BD633,$BD$4:$BN$12824,6,0)*BE633</f>
        <v>77577.712280296168</v>
      </c>
      <c r="BS633" s="866">
        <f>VLOOKUP(BD633,$BD$4:$BN$12824,7,0)*BE633</f>
        <v>3878.9701925765748</v>
      </c>
      <c r="BT633" s="866"/>
      <c r="BU633" s="866">
        <f>VLOOKUP(BD633,$BD$4:$BN$12824,9,0)*BE633</f>
        <v>2013.7752801482359</v>
      </c>
      <c r="BV633" s="867"/>
      <c r="BW633" s="867">
        <f>VLOOKUP(BD633,$BD$4:$BN$12824,11,0)*BE633</f>
        <v>8457.8561766225903</v>
      </c>
      <c r="BX633" s="1146">
        <f t="shared" si="122"/>
        <v>91928.313929643569</v>
      </c>
      <c r="BY633" s="867">
        <f t="shared" si="121"/>
        <v>250444.9028238894</v>
      </c>
      <c r="BZ633" s="867">
        <f t="shared" si="118"/>
        <v>5008898.0564777879</v>
      </c>
      <c r="CA633" s="867">
        <f>_xlfn.MAXIFS($BY$4:$BY$12824,$S$4:$S$12824,$S633)</f>
        <v>250444.9028238894</v>
      </c>
      <c r="CB633" s="1032"/>
      <c r="CC633" s="999" t="s">
        <v>1889</v>
      </c>
      <c r="CF633" s="946">
        <f t="shared" si="120"/>
        <v>3932800</v>
      </c>
    </row>
    <row r="634" spans="1:84">
      <c r="A634" s="1032"/>
      <c r="B634" s="839" t="s">
        <v>98</v>
      </c>
      <c r="C634" s="839" t="s">
        <v>131</v>
      </c>
      <c r="D634" s="839" t="s">
        <v>1868</v>
      </c>
      <c r="E634" s="839" t="s">
        <v>1952</v>
      </c>
      <c r="F634" s="841">
        <v>45520</v>
      </c>
      <c r="G634" s="840" t="s">
        <v>133</v>
      </c>
      <c r="H634" s="842" t="s">
        <v>134</v>
      </c>
      <c r="I634" s="842"/>
      <c r="J634" s="841"/>
      <c r="K634" s="841"/>
      <c r="L634" s="843" t="s">
        <v>106</v>
      </c>
      <c r="M634" s="844" t="s">
        <v>107</v>
      </c>
      <c r="N634" s="841" t="s">
        <v>1869</v>
      </c>
      <c r="O634" s="841" t="s">
        <v>135</v>
      </c>
      <c r="P634" s="841" t="s">
        <v>1483</v>
      </c>
      <c r="Q634" s="843"/>
      <c r="R634" s="845" t="s">
        <v>2169</v>
      </c>
      <c r="S634" s="1127" t="s">
        <v>2170</v>
      </c>
      <c r="T634" s="843" t="s">
        <v>2171</v>
      </c>
      <c r="U634" s="842">
        <v>8</v>
      </c>
      <c r="V634" s="842" t="s">
        <v>8</v>
      </c>
      <c r="W634" s="846">
        <v>46</v>
      </c>
      <c r="X634" s="847">
        <f t="shared" si="113"/>
        <v>368</v>
      </c>
      <c r="Y634" s="848">
        <f t="shared" si="119"/>
        <v>0.6</v>
      </c>
      <c r="Z634" s="849">
        <v>18.399999999999999</v>
      </c>
      <c r="AA634" s="849"/>
      <c r="AB634" s="849">
        <f t="shared" si="114"/>
        <v>147.19999999999999</v>
      </c>
      <c r="AC634" s="850">
        <f t="shared" si="115"/>
        <v>147.19999999999999</v>
      </c>
      <c r="AD634" s="851"/>
      <c r="AE634" s="852">
        <v>24580</v>
      </c>
      <c r="AF634" s="853">
        <v>0</v>
      </c>
      <c r="AG634" s="854">
        <f t="shared" si="116"/>
        <v>0</v>
      </c>
      <c r="AH634" s="853"/>
      <c r="AI634" s="855">
        <f t="shared" si="117"/>
        <v>0</v>
      </c>
      <c r="AJ634" s="845" t="s">
        <v>1872</v>
      </c>
      <c r="AK634" s="857" t="s">
        <v>1745</v>
      </c>
      <c r="AL634" s="840">
        <v>244737306</v>
      </c>
      <c r="AM634" s="840"/>
      <c r="AN634" s="858"/>
      <c r="AO634" s="844"/>
      <c r="AP634" s="859" t="s">
        <v>1873</v>
      </c>
      <c r="AQ634" s="859"/>
      <c r="AR634" s="859">
        <v>45453</v>
      </c>
      <c r="AS634" s="840" t="s">
        <v>1874</v>
      </c>
      <c r="AT634" s="840" t="s">
        <v>1875</v>
      </c>
      <c r="AU634" s="860" t="s">
        <v>1876</v>
      </c>
      <c r="AV634" s="839" t="s">
        <v>1877</v>
      </c>
      <c r="AW634" s="861">
        <v>45575</v>
      </c>
      <c r="AX634" s="862">
        <v>45582</v>
      </c>
      <c r="AY634" s="843" t="s">
        <v>2172</v>
      </c>
      <c r="AZ634" s="842">
        <v>42022220</v>
      </c>
      <c r="BA634" s="842" t="s">
        <v>120</v>
      </c>
      <c r="BB634" s="863" t="s">
        <v>121</v>
      </c>
      <c r="BC634" s="864">
        <v>45584</v>
      </c>
      <c r="BD634" s="860" t="s">
        <v>1879</v>
      </c>
      <c r="BE634" s="865" cm="1">
        <f t="array" ref="BE634">IF(BD634="","",AC634/SUMPRODUCT(--(BD634=$BD$4:$BD$12824),$AC$4:$AC$12824))</f>
        <v>3.7053465154727539E-3</v>
      </c>
      <c r="BF634" s="458"/>
      <c r="BG634" s="458"/>
      <c r="BH634" s="458"/>
      <c r="BI634" s="458"/>
      <c r="BJ634" s="458"/>
      <c r="BK634" s="458"/>
      <c r="BL634" s="458"/>
      <c r="BM634" s="458"/>
      <c r="BN634" s="458"/>
      <c r="BO634" s="866">
        <f>VLOOKUP(BD634,$BD$4:$BN$12824,3,0)*BE634</f>
        <v>0</v>
      </c>
      <c r="BP634" s="866"/>
      <c r="BQ634" s="866"/>
      <c r="BR634" s="866">
        <f>VLOOKUP(BD634,$BD$4:$BN$12824,6,0)*BE634</f>
        <v>71371.495297872476</v>
      </c>
      <c r="BS634" s="866">
        <f>VLOOKUP(BD634,$BD$4:$BN$12824,7,0)*BE634</f>
        <v>3568.6525771704487</v>
      </c>
      <c r="BT634" s="866"/>
      <c r="BU634" s="866">
        <f>VLOOKUP(BD634,$BD$4:$BN$12824,9,0)*BE634</f>
        <v>1852.6732577363769</v>
      </c>
      <c r="BV634" s="867"/>
      <c r="BW634" s="867">
        <f>VLOOKUP(BD634,$BD$4:$BN$12824,11,0)*BE634</f>
        <v>7781.2276824927831</v>
      </c>
      <c r="BX634" s="1146">
        <f t="shared" si="122"/>
        <v>84574.048815272079</v>
      </c>
      <c r="BY634" s="867">
        <f t="shared" si="121"/>
        <v>462843.75610190898</v>
      </c>
      <c r="BZ634" s="867">
        <f t="shared" si="118"/>
        <v>3702750.0488152718</v>
      </c>
      <c r="CA634" s="867">
        <f>_xlfn.MAXIFS($BY$4:$BY$12824,$S$4:$S$12824,$S634)</f>
        <v>462843.75610190898</v>
      </c>
      <c r="CB634" s="1032"/>
      <c r="CC634" s="999" t="s">
        <v>1889</v>
      </c>
      <c r="CF634" s="946">
        <f t="shared" si="120"/>
        <v>3618175.9999999995</v>
      </c>
    </row>
    <row r="635" spans="1:84">
      <c r="A635" s="1032"/>
      <c r="B635" s="839" t="s">
        <v>98</v>
      </c>
      <c r="C635" s="839" t="s">
        <v>131</v>
      </c>
      <c r="D635" s="839" t="s">
        <v>1868</v>
      </c>
      <c r="E635" s="839" t="s">
        <v>1952</v>
      </c>
      <c r="F635" s="841">
        <v>45520</v>
      </c>
      <c r="G635" s="840" t="s">
        <v>133</v>
      </c>
      <c r="H635" s="842" t="s">
        <v>134</v>
      </c>
      <c r="I635" s="842"/>
      <c r="J635" s="841"/>
      <c r="K635" s="841"/>
      <c r="L635" s="843" t="s">
        <v>106</v>
      </c>
      <c r="M635" s="844" t="s">
        <v>107</v>
      </c>
      <c r="N635" s="841" t="s">
        <v>1869</v>
      </c>
      <c r="O635" s="841" t="s">
        <v>135</v>
      </c>
      <c r="P635" s="841" t="s">
        <v>1483</v>
      </c>
      <c r="Q635" s="843"/>
      <c r="R635" s="845" t="s">
        <v>2173</v>
      </c>
      <c r="S635" s="1127" t="s">
        <v>2174</v>
      </c>
      <c r="T635" s="843" t="s">
        <v>2175</v>
      </c>
      <c r="U635" s="842">
        <v>8</v>
      </c>
      <c r="V635" s="842" t="s">
        <v>8</v>
      </c>
      <c r="W635" s="846">
        <v>46</v>
      </c>
      <c r="X635" s="847">
        <f t="shared" si="113"/>
        <v>368</v>
      </c>
      <c r="Y635" s="848">
        <f t="shared" si="119"/>
        <v>0.6</v>
      </c>
      <c r="Z635" s="849">
        <v>18.399999999999999</v>
      </c>
      <c r="AA635" s="849"/>
      <c r="AB635" s="849">
        <f t="shared" si="114"/>
        <v>147.19999999999999</v>
      </c>
      <c r="AC635" s="850">
        <f t="shared" si="115"/>
        <v>147.19999999999999</v>
      </c>
      <c r="AD635" s="851"/>
      <c r="AE635" s="852">
        <v>24580</v>
      </c>
      <c r="AF635" s="853">
        <v>0</v>
      </c>
      <c r="AG635" s="854">
        <f t="shared" si="116"/>
        <v>0</v>
      </c>
      <c r="AH635" s="853"/>
      <c r="AI635" s="855">
        <f t="shared" si="117"/>
        <v>0</v>
      </c>
      <c r="AJ635" s="845" t="s">
        <v>1872</v>
      </c>
      <c r="AK635" s="857" t="s">
        <v>1745</v>
      </c>
      <c r="AL635" s="840">
        <v>244737306</v>
      </c>
      <c r="AM635" s="840"/>
      <c r="AN635" s="858"/>
      <c r="AO635" s="844"/>
      <c r="AP635" s="859" t="s">
        <v>1873</v>
      </c>
      <c r="AQ635" s="859"/>
      <c r="AR635" s="859">
        <v>45453</v>
      </c>
      <c r="AS635" s="840" t="s">
        <v>1874</v>
      </c>
      <c r="AT635" s="840" t="s">
        <v>1875</v>
      </c>
      <c r="AU635" s="860" t="s">
        <v>1876</v>
      </c>
      <c r="AV635" s="839" t="s">
        <v>1877</v>
      </c>
      <c r="AW635" s="861">
        <v>45575</v>
      </c>
      <c r="AX635" s="862">
        <v>45582</v>
      </c>
      <c r="AY635" s="843" t="s">
        <v>2176</v>
      </c>
      <c r="AZ635" s="842">
        <v>42022220</v>
      </c>
      <c r="BA635" s="842" t="s">
        <v>120</v>
      </c>
      <c r="BB635" s="863" t="s">
        <v>121</v>
      </c>
      <c r="BC635" s="864">
        <v>45584</v>
      </c>
      <c r="BD635" s="860" t="s">
        <v>1879</v>
      </c>
      <c r="BE635" s="865" cm="1">
        <f t="array" ref="BE635">IF(BD635="","",AC635/SUMPRODUCT(--(BD635=$BD$4:$BD$12824),$AC$4:$AC$12824))</f>
        <v>3.7053465154727539E-3</v>
      </c>
      <c r="BF635" s="458"/>
      <c r="BG635" s="458"/>
      <c r="BH635" s="458"/>
      <c r="BI635" s="458"/>
      <c r="BJ635" s="458"/>
      <c r="BK635" s="458"/>
      <c r="BL635" s="458"/>
      <c r="BM635" s="458"/>
      <c r="BN635" s="458"/>
      <c r="BO635" s="866">
        <f>VLOOKUP(BD635,$BD$4:$BN$12824,3,0)*BE635</f>
        <v>0</v>
      </c>
      <c r="BP635" s="866"/>
      <c r="BQ635" s="866"/>
      <c r="BR635" s="866">
        <f>VLOOKUP(BD635,$BD$4:$BN$12824,6,0)*BE635</f>
        <v>71371.495297872476</v>
      </c>
      <c r="BS635" s="866">
        <f>VLOOKUP(BD635,$BD$4:$BN$12824,7,0)*BE635</f>
        <v>3568.6525771704487</v>
      </c>
      <c r="BT635" s="866"/>
      <c r="BU635" s="866">
        <f>VLOOKUP(BD635,$BD$4:$BN$12824,9,0)*BE635</f>
        <v>1852.6732577363769</v>
      </c>
      <c r="BV635" s="867"/>
      <c r="BW635" s="867">
        <f>VLOOKUP(BD635,$BD$4:$BN$12824,11,0)*BE635</f>
        <v>7781.2276824927831</v>
      </c>
      <c r="BX635" s="1146">
        <f t="shared" si="122"/>
        <v>84574.048815272079</v>
      </c>
      <c r="BY635" s="867">
        <f t="shared" si="121"/>
        <v>462843.75610190898</v>
      </c>
      <c r="BZ635" s="867">
        <f t="shared" si="118"/>
        <v>3702750.0488152718</v>
      </c>
      <c r="CA635" s="867">
        <f>_xlfn.MAXIFS($BY$4:$BY$12824,$S$4:$S$12824,$S635)</f>
        <v>462843.75610190898</v>
      </c>
      <c r="CB635" s="1032"/>
      <c r="CC635" s="999" t="s">
        <v>1889</v>
      </c>
      <c r="CF635" s="946">
        <f t="shared" si="120"/>
        <v>3618175.9999999995</v>
      </c>
    </row>
    <row r="636" spans="1:84">
      <c r="A636" s="1032"/>
      <c r="B636" s="839" t="s">
        <v>98</v>
      </c>
      <c r="C636" s="839" t="s">
        <v>131</v>
      </c>
      <c r="D636" s="839" t="s">
        <v>1868</v>
      </c>
      <c r="E636" s="839" t="s">
        <v>1952</v>
      </c>
      <c r="F636" s="841">
        <v>45520</v>
      </c>
      <c r="G636" s="840" t="s">
        <v>133</v>
      </c>
      <c r="H636" s="842" t="s">
        <v>134</v>
      </c>
      <c r="I636" s="842"/>
      <c r="J636" s="841"/>
      <c r="K636" s="841"/>
      <c r="L636" s="843" t="s">
        <v>106</v>
      </c>
      <c r="M636" s="844" t="s">
        <v>107</v>
      </c>
      <c r="N636" s="841" t="s">
        <v>1869</v>
      </c>
      <c r="O636" s="841" t="s">
        <v>135</v>
      </c>
      <c r="P636" s="841" t="s">
        <v>1483</v>
      </c>
      <c r="Q636" s="843"/>
      <c r="R636" s="845" t="s">
        <v>2177</v>
      </c>
      <c r="S636" s="1127" t="s">
        <v>2178</v>
      </c>
      <c r="T636" s="843" t="s">
        <v>2179</v>
      </c>
      <c r="U636" s="842">
        <v>8</v>
      </c>
      <c r="V636" s="842" t="s">
        <v>8</v>
      </c>
      <c r="W636" s="846">
        <v>46</v>
      </c>
      <c r="X636" s="847">
        <f t="shared" si="113"/>
        <v>368</v>
      </c>
      <c r="Y636" s="848">
        <f t="shared" si="119"/>
        <v>0.6</v>
      </c>
      <c r="Z636" s="849">
        <v>18.399999999999999</v>
      </c>
      <c r="AA636" s="849"/>
      <c r="AB636" s="849">
        <f t="shared" si="114"/>
        <v>147.19999999999999</v>
      </c>
      <c r="AC636" s="850">
        <f t="shared" si="115"/>
        <v>147.19999999999999</v>
      </c>
      <c r="AD636" s="851"/>
      <c r="AE636" s="852">
        <v>24580</v>
      </c>
      <c r="AF636" s="853">
        <v>0</v>
      </c>
      <c r="AG636" s="854">
        <f t="shared" si="116"/>
        <v>0</v>
      </c>
      <c r="AH636" s="853"/>
      <c r="AI636" s="855">
        <f t="shared" si="117"/>
        <v>0</v>
      </c>
      <c r="AJ636" s="845" t="s">
        <v>1872</v>
      </c>
      <c r="AK636" s="857" t="s">
        <v>1745</v>
      </c>
      <c r="AL636" s="840">
        <v>244737306</v>
      </c>
      <c r="AM636" s="840"/>
      <c r="AN636" s="858"/>
      <c r="AO636" s="844"/>
      <c r="AP636" s="859" t="s">
        <v>1873</v>
      </c>
      <c r="AQ636" s="859"/>
      <c r="AR636" s="859">
        <v>45453</v>
      </c>
      <c r="AS636" s="840" t="s">
        <v>1874</v>
      </c>
      <c r="AT636" s="840" t="s">
        <v>1875</v>
      </c>
      <c r="AU636" s="860" t="s">
        <v>1876</v>
      </c>
      <c r="AV636" s="839" t="s">
        <v>1877</v>
      </c>
      <c r="AW636" s="861">
        <v>45575</v>
      </c>
      <c r="AX636" s="862">
        <v>45582</v>
      </c>
      <c r="AY636" s="843" t="s">
        <v>2180</v>
      </c>
      <c r="AZ636" s="842">
        <v>42022220</v>
      </c>
      <c r="BA636" s="842" t="s">
        <v>120</v>
      </c>
      <c r="BB636" s="863" t="s">
        <v>121</v>
      </c>
      <c r="BC636" s="864">
        <v>45584</v>
      </c>
      <c r="BD636" s="860" t="s">
        <v>1879</v>
      </c>
      <c r="BE636" s="865" cm="1">
        <f t="array" ref="BE636">IF(BD636="","",AC636/SUMPRODUCT(--(BD636=$BD$4:$BD$12824),$AC$4:$AC$12824))</f>
        <v>3.7053465154727539E-3</v>
      </c>
      <c r="BF636" s="458"/>
      <c r="BG636" s="458"/>
      <c r="BH636" s="458"/>
      <c r="BI636" s="458"/>
      <c r="BJ636" s="458"/>
      <c r="BK636" s="458"/>
      <c r="BL636" s="458"/>
      <c r="BM636" s="458"/>
      <c r="BN636" s="458"/>
      <c r="BO636" s="866">
        <f>VLOOKUP(BD636,$BD$4:$BN$12824,3,0)*BE636</f>
        <v>0</v>
      </c>
      <c r="BP636" s="866"/>
      <c r="BQ636" s="866"/>
      <c r="BR636" s="866">
        <f>VLOOKUP(BD636,$BD$4:$BN$12824,6,0)*BE636</f>
        <v>71371.495297872476</v>
      </c>
      <c r="BS636" s="866">
        <f>VLOOKUP(BD636,$BD$4:$BN$12824,7,0)*BE636</f>
        <v>3568.6525771704487</v>
      </c>
      <c r="BT636" s="866"/>
      <c r="BU636" s="866">
        <f>VLOOKUP(BD636,$BD$4:$BN$12824,9,0)*BE636</f>
        <v>1852.6732577363769</v>
      </c>
      <c r="BV636" s="867"/>
      <c r="BW636" s="867">
        <f>VLOOKUP(BD636,$BD$4:$BN$12824,11,0)*BE636</f>
        <v>7781.2276824927831</v>
      </c>
      <c r="BX636" s="1146">
        <f t="shared" si="122"/>
        <v>84574.048815272079</v>
      </c>
      <c r="BY636" s="867">
        <f t="shared" si="121"/>
        <v>462843.75610190898</v>
      </c>
      <c r="BZ636" s="867">
        <f t="shared" si="118"/>
        <v>3702750.0488152718</v>
      </c>
      <c r="CA636" s="867">
        <f>_xlfn.MAXIFS($BY$4:$BY$12824,$S$4:$S$12824,$S636)</f>
        <v>462843.75610190898</v>
      </c>
      <c r="CB636" s="1032"/>
      <c r="CC636" s="999" t="s">
        <v>1889</v>
      </c>
      <c r="CF636" s="946">
        <f t="shared" si="120"/>
        <v>3618175.9999999995</v>
      </c>
    </row>
    <row r="637" spans="1:84">
      <c r="A637" s="1032"/>
      <c r="B637" s="839" t="s">
        <v>98</v>
      </c>
      <c r="C637" s="839" t="s">
        <v>131</v>
      </c>
      <c r="D637" s="839" t="s">
        <v>1868</v>
      </c>
      <c r="E637" s="839" t="s">
        <v>1952</v>
      </c>
      <c r="F637" s="841">
        <v>45520</v>
      </c>
      <c r="G637" s="840" t="s">
        <v>133</v>
      </c>
      <c r="H637" s="842" t="s">
        <v>134</v>
      </c>
      <c r="I637" s="842"/>
      <c r="J637" s="841"/>
      <c r="K637" s="841"/>
      <c r="L637" s="843" t="s">
        <v>106</v>
      </c>
      <c r="M637" s="844" t="s">
        <v>107</v>
      </c>
      <c r="N637" s="841" t="s">
        <v>1869</v>
      </c>
      <c r="O637" s="841" t="s">
        <v>135</v>
      </c>
      <c r="P637" s="841" t="s">
        <v>1483</v>
      </c>
      <c r="Q637" s="843"/>
      <c r="R637" s="845" t="s">
        <v>2181</v>
      </c>
      <c r="S637" s="1127" t="s">
        <v>2182</v>
      </c>
      <c r="T637" s="843" t="s">
        <v>2183</v>
      </c>
      <c r="U637" s="842">
        <v>8</v>
      </c>
      <c r="V637" s="842" t="s">
        <v>8</v>
      </c>
      <c r="W637" s="846">
        <v>46</v>
      </c>
      <c r="X637" s="847">
        <f t="shared" si="113"/>
        <v>368</v>
      </c>
      <c r="Y637" s="848">
        <f t="shared" si="119"/>
        <v>0.6</v>
      </c>
      <c r="Z637" s="849">
        <v>18.399999999999999</v>
      </c>
      <c r="AA637" s="849"/>
      <c r="AB637" s="849">
        <f t="shared" si="114"/>
        <v>147.19999999999999</v>
      </c>
      <c r="AC637" s="850">
        <f t="shared" si="115"/>
        <v>147.19999999999999</v>
      </c>
      <c r="AD637" s="851"/>
      <c r="AE637" s="852">
        <v>24580</v>
      </c>
      <c r="AF637" s="853">
        <v>0</v>
      </c>
      <c r="AG637" s="854">
        <f t="shared" si="116"/>
        <v>0</v>
      </c>
      <c r="AH637" s="853"/>
      <c r="AI637" s="855">
        <f t="shared" si="117"/>
        <v>0</v>
      </c>
      <c r="AJ637" s="845" t="s">
        <v>1872</v>
      </c>
      <c r="AK637" s="857" t="s">
        <v>1745</v>
      </c>
      <c r="AL637" s="840">
        <v>244737306</v>
      </c>
      <c r="AM637" s="840"/>
      <c r="AN637" s="858"/>
      <c r="AO637" s="844"/>
      <c r="AP637" s="859" t="s">
        <v>1873</v>
      </c>
      <c r="AQ637" s="859"/>
      <c r="AR637" s="859">
        <v>45453</v>
      </c>
      <c r="AS637" s="840" t="s">
        <v>1874</v>
      </c>
      <c r="AT637" s="840" t="s">
        <v>1875</v>
      </c>
      <c r="AU637" s="860" t="s">
        <v>1876</v>
      </c>
      <c r="AV637" s="839" t="s">
        <v>1877</v>
      </c>
      <c r="AW637" s="861">
        <v>45575</v>
      </c>
      <c r="AX637" s="862">
        <v>45582</v>
      </c>
      <c r="AY637" s="843" t="s">
        <v>2184</v>
      </c>
      <c r="AZ637" s="842">
        <v>42022220</v>
      </c>
      <c r="BA637" s="842" t="s">
        <v>120</v>
      </c>
      <c r="BB637" s="863" t="s">
        <v>121</v>
      </c>
      <c r="BC637" s="864">
        <v>45584</v>
      </c>
      <c r="BD637" s="860" t="s">
        <v>1879</v>
      </c>
      <c r="BE637" s="865" cm="1">
        <f t="array" ref="BE637">IF(BD637="","",AC637/SUMPRODUCT(--(BD637=$BD$4:$BD$12824),$AC$4:$AC$12824))</f>
        <v>3.7053465154727539E-3</v>
      </c>
      <c r="BF637" s="458"/>
      <c r="BG637" s="458"/>
      <c r="BH637" s="458"/>
      <c r="BI637" s="458"/>
      <c r="BJ637" s="458"/>
      <c r="BK637" s="458"/>
      <c r="BL637" s="458"/>
      <c r="BM637" s="458"/>
      <c r="BN637" s="458"/>
      <c r="BO637" s="866">
        <f>VLOOKUP(BD637,$BD$4:$BN$12824,3,0)*BE637</f>
        <v>0</v>
      </c>
      <c r="BP637" s="866"/>
      <c r="BQ637" s="866"/>
      <c r="BR637" s="866">
        <f>VLOOKUP(BD637,$BD$4:$BN$12824,6,0)*BE637</f>
        <v>71371.495297872476</v>
      </c>
      <c r="BS637" s="866">
        <f>VLOOKUP(BD637,$BD$4:$BN$12824,7,0)*BE637</f>
        <v>3568.6525771704487</v>
      </c>
      <c r="BT637" s="866"/>
      <c r="BU637" s="866">
        <f>VLOOKUP(BD637,$BD$4:$BN$12824,9,0)*BE637</f>
        <v>1852.6732577363769</v>
      </c>
      <c r="BV637" s="867"/>
      <c r="BW637" s="867">
        <f>VLOOKUP(BD637,$BD$4:$BN$12824,11,0)*BE637</f>
        <v>7781.2276824927831</v>
      </c>
      <c r="BX637" s="1146">
        <f t="shared" si="122"/>
        <v>84574.048815272079</v>
      </c>
      <c r="BY637" s="867">
        <f t="shared" si="121"/>
        <v>462843.75610190898</v>
      </c>
      <c r="BZ637" s="867">
        <f t="shared" si="118"/>
        <v>3702750.0488152718</v>
      </c>
      <c r="CA637" s="867">
        <f>_xlfn.MAXIFS($BY$4:$BY$12824,$S$4:$S$12824,$S637)</f>
        <v>462843.75610190898</v>
      </c>
      <c r="CB637" s="1032"/>
      <c r="CC637" s="999" t="s">
        <v>1889</v>
      </c>
      <c r="CF637" s="946">
        <f t="shared" si="120"/>
        <v>3618175.9999999995</v>
      </c>
    </row>
    <row r="638" spans="1:84">
      <c r="A638" s="1032"/>
      <c r="B638" s="839" t="s">
        <v>98</v>
      </c>
      <c r="C638" s="839" t="s">
        <v>131</v>
      </c>
      <c r="D638" s="839" t="s">
        <v>1868</v>
      </c>
      <c r="E638" s="839" t="s">
        <v>1952</v>
      </c>
      <c r="F638" s="841">
        <v>45520</v>
      </c>
      <c r="G638" s="840" t="s">
        <v>133</v>
      </c>
      <c r="H638" s="842" t="s">
        <v>134</v>
      </c>
      <c r="I638" s="842"/>
      <c r="J638" s="841"/>
      <c r="K638" s="841"/>
      <c r="L638" s="843" t="s">
        <v>106</v>
      </c>
      <c r="M638" s="844" t="s">
        <v>107</v>
      </c>
      <c r="N638" s="841" t="s">
        <v>1869</v>
      </c>
      <c r="O638" s="841" t="s">
        <v>135</v>
      </c>
      <c r="P638" s="841" t="s">
        <v>1483</v>
      </c>
      <c r="Q638" s="843"/>
      <c r="R638" s="845" t="s">
        <v>2185</v>
      </c>
      <c r="S638" s="1127" t="s">
        <v>2186</v>
      </c>
      <c r="T638" s="843" t="s">
        <v>2187</v>
      </c>
      <c r="U638" s="842">
        <v>8</v>
      </c>
      <c r="V638" s="842" t="s">
        <v>8</v>
      </c>
      <c r="W638" s="846">
        <v>46</v>
      </c>
      <c r="X638" s="847">
        <f t="shared" si="113"/>
        <v>368</v>
      </c>
      <c r="Y638" s="848">
        <f t="shared" si="119"/>
        <v>0.6</v>
      </c>
      <c r="Z638" s="849">
        <v>18.399999999999999</v>
      </c>
      <c r="AA638" s="849"/>
      <c r="AB638" s="849">
        <f t="shared" si="114"/>
        <v>147.19999999999999</v>
      </c>
      <c r="AC638" s="850">
        <f t="shared" si="115"/>
        <v>147.19999999999999</v>
      </c>
      <c r="AD638" s="851"/>
      <c r="AE638" s="852">
        <v>24580</v>
      </c>
      <c r="AF638" s="853">
        <v>0</v>
      </c>
      <c r="AG638" s="854">
        <f t="shared" si="116"/>
        <v>0</v>
      </c>
      <c r="AH638" s="853"/>
      <c r="AI638" s="855">
        <f t="shared" si="117"/>
        <v>0</v>
      </c>
      <c r="AJ638" s="845" t="s">
        <v>1872</v>
      </c>
      <c r="AK638" s="857" t="s">
        <v>1745</v>
      </c>
      <c r="AL638" s="840">
        <v>244737306</v>
      </c>
      <c r="AM638" s="840"/>
      <c r="AN638" s="858"/>
      <c r="AO638" s="844"/>
      <c r="AP638" s="859" t="s">
        <v>1873</v>
      </c>
      <c r="AQ638" s="859"/>
      <c r="AR638" s="859">
        <v>45453</v>
      </c>
      <c r="AS638" s="840" t="s">
        <v>1874</v>
      </c>
      <c r="AT638" s="840" t="s">
        <v>1875</v>
      </c>
      <c r="AU638" s="860" t="s">
        <v>1876</v>
      </c>
      <c r="AV638" s="839" t="s">
        <v>1877</v>
      </c>
      <c r="AW638" s="861">
        <v>45575</v>
      </c>
      <c r="AX638" s="862">
        <v>45582</v>
      </c>
      <c r="AY638" s="843" t="s">
        <v>2188</v>
      </c>
      <c r="AZ638" s="842">
        <v>42022220</v>
      </c>
      <c r="BA638" s="842" t="s">
        <v>120</v>
      </c>
      <c r="BB638" s="863" t="s">
        <v>121</v>
      </c>
      <c r="BC638" s="864">
        <v>45584</v>
      </c>
      <c r="BD638" s="860" t="s">
        <v>1879</v>
      </c>
      <c r="BE638" s="865" cm="1">
        <f t="array" ref="BE638">IF(BD638="","",AC638/SUMPRODUCT(--(BD638=$BD$4:$BD$12824),$AC$4:$AC$12824))</f>
        <v>3.7053465154727539E-3</v>
      </c>
      <c r="BF638" s="458"/>
      <c r="BG638" s="458"/>
      <c r="BH638" s="458"/>
      <c r="BI638" s="458"/>
      <c r="BJ638" s="458"/>
      <c r="BK638" s="458"/>
      <c r="BL638" s="458"/>
      <c r="BM638" s="458"/>
      <c r="BN638" s="458"/>
      <c r="BO638" s="866">
        <f>VLOOKUP(BD638,$BD$4:$BN$12824,3,0)*BE638</f>
        <v>0</v>
      </c>
      <c r="BP638" s="866"/>
      <c r="BQ638" s="866"/>
      <c r="BR638" s="866">
        <f>VLOOKUP(BD638,$BD$4:$BN$12824,6,0)*BE638</f>
        <v>71371.495297872476</v>
      </c>
      <c r="BS638" s="866">
        <f>VLOOKUP(BD638,$BD$4:$BN$12824,7,0)*BE638</f>
        <v>3568.6525771704487</v>
      </c>
      <c r="BT638" s="866"/>
      <c r="BU638" s="866">
        <f>VLOOKUP(BD638,$BD$4:$BN$12824,9,0)*BE638</f>
        <v>1852.6732577363769</v>
      </c>
      <c r="BV638" s="867"/>
      <c r="BW638" s="867">
        <f>VLOOKUP(BD638,$BD$4:$BN$12824,11,0)*BE638</f>
        <v>7781.2276824927831</v>
      </c>
      <c r="BX638" s="1146">
        <f t="shared" si="122"/>
        <v>84574.048815272079</v>
      </c>
      <c r="BY638" s="867">
        <f t="shared" si="121"/>
        <v>462843.75610190898</v>
      </c>
      <c r="BZ638" s="867">
        <f t="shared" si="118"/>
        <v>3702750.0488152718</v>
      </c>
      <c r="CA638" s="867">
        <f>_xlfn.MAXIFS($BY$4:$BY$12824,$S$4:$S$12824,$S638)</f>
        <v>462843.75610190898</v>
      </c>
      <c r="CB638" s="1032"/>
      <c r="CC638" s="999" t="s">
        <v>1889</v>
      </c>
      <c r="CF638" s="946">
        <f t="shared" si="120"/>
        <v>3618175.9999999995</v>
      </c>
    </row>
    <row r="639" spans="1:84">
      <c r="A639" s="1032"/>
      <c r="B639" s="839" t="s">
        <v>98</v>
      </c>
      <c r="C639" s="839" t="s">
        <v>131</v>
      </c>
      <c r="D639" s="839" t="s">
        <v>1868</v>
      </c>
      <c r="E639" s="839" t="s">
        <v>1952</v>
      </c>
      <c r="F639" s="841">
        <v>45520</v>
      </c>
      <c r="G639" s="840" t="s">
        <v>133</v>
      </c>
      <c r="H639" s="842" t="s">
        <v>134</v>
      </c>
      <c r="I639" s="842"/>
      <c r="J639" s="841"/>
      <c r="K639" s="841"/>
      <c r="L639" s="843" t="s">
        <v>106</v>
      </c>
      <c r="M639" s="844" t="s">
        <v>107</v>
      </c>
      <c r="N639" s="841" t="s">
        <v>1869</v>
      </c>
      <c r="O639" s="841" t="s">
        <v>135</v>
      </c>
      <c r="P639" s="841" t="s">
        <v>1483</v>
      </c>
      <c r="Q639" s="843"/>
      <c r="R639" s="845" t="s">
        <v>2189</v>
      </c>
      <c r="S639" s="1127" t="s">
        <v>2190</v>
      </c>
      <c r="T639" s="843" t="s">
        <v>2191</v>
      </c>
      <c r="U639" s="842">
        <v>8</v>
      </c>
      <c r="V639" s="842" t="s">
        <v>8</v>
      </c>
      <c r="W639" s="846">
        <v>46</v>
      </c>
      <c r="X639" s="847">
        <f t="shared" si="113"/>
        <v>368</v>
      </c>
      <c r="Y639" s="848">
        <f t="shared" si="119"/>
        <v>0.6</v>
      </c>
      <c r="Z639" s="849">
        <v>18.399999999999999</v>
      </c>
      <c r="AA639" s="849"/>
      <c r="AB639" s="849">
        <f t="shared" si="114"/>
        <v>147.19999999999999</v>
      </c>
      <c r="AC639" s="850">
        <f t="shared" si="115"/>
        <v>147.19999999999999</v>
      </c>
      <c r="AD639" s="851"/>
      <c r="AE639" s="852">
        <v>24580</v>
      </c>
      <c r="AF639" s="853">
        <v>0</v>
      </c>
      <c r="AG639" s="854">
        <f t="shared" si="116"/>
        <v>0</v>
      </c>
      <c r="AH639" s="853"/>
      <c r="AI639" s="855">
        <f t="shared" si="117"/>
        <v>0</v>
      </c>
      <c r="AJ639" s="845" t="s">
        <v>1872</v>
      </c>
      <c r="AK639" s="857" t="s">
        <v>1745</v>
      </c>
      <c r="AL639" s="840">
        <v>244737306</v>
      </c>
      <c r="AM639" s="840"/>
      <c r="AN639" s="858"/>
      <c r="AO639" s="844"/>
      <c r="AP639" s="859" t="s">
        <v>1873</v>
      </c>
      <c r="AQ639" s="859"/>
      <c r="AR639" s="859">
        <v>45453</v>
      </c>
      <c r="AS639" s="840" t="s">
        <v>1874</v>
      </c>
      <c r="AT639" s="840" t="s">
        <v>1875</v>
      </c>
      <c r="AU639" s="860" t="s">
        <v>1876</v>
      </c>
      <c r="AV639" s="839" t="s">
        <v>1877</v>
      </c>
      <c r="AW639" s="861">
        <v>45575</v>
      </c>
      <c r="AX639" s="862">
        <v>45582</v>
      </c>
      <c r="AY639" s="843" t="s">
        <v>2192</v>
      </c>
      <c r="AZ639" s="842">
        <v>42022220</v>
      </c>
      <c r="BA639" s="842" t="s">
        <v>120</v>
      </c>
      <c r="BB639" s="863" t="s">
        <v>121</v>
      </c>
      <c r="BC639" s="864">
        <v>45584</v>
      </c>
      <c r="BD639" s="860" t="s">
        <v>1879</v>
      </c>
      <c r="BE639" s="865" cm="1">
        <f t="array" ref="BE639">IF(BD639="","",AC639/SUMPRODUCT(--(BD639=$BD$4:$BD$12824),$AC$4:$AC$12824))</f>
        <v>3.7053465154727539E-3</v>
      </c>
      <c r="BF639" s="458"/>
      <c r="BG639" s="458"/>
      <c r="BH639" s="458"/>
      <c r="BI639" s="458"/>
      <c r="BJ639" s="458"/>
      <c r="BK639" s="458"/>
      <c r="BL639" s="458"/>
      <c r="BM639" s="458"/>
      <c r="BN639" s="458"/>
      <c r="BO639" s="866">
        <f>VLOOKUP(BD639,$BD$4:$BN$12824,3,0)*BE639</f>
        <v>0</v>
      </c>
      <c r="BP639" s="866"/>
      <c r="BQ639" s="866"/>
      <c r="BR639" s="866">
        <f>VLOOKUP(BD639,$BD$4:$BN$12824,6,0)*BE639</f>
        <v>71371.495297872476</v>
      </c>
      <c r="BS639" s="866">
        <f>VLOOKUP(BD639,$BD$4:$BN$12824,7,0)*BE639</f>
        <v>3568.6525771704487</v>
      </c>
      <c r="BT639" s="866"/>
      <c r="BU639" s="866">
        <f>VLOOKUP(BD639,$BD$4:$BN$12824,9,0)*BE639</f>
        <v>1852.6732577363769</v>
      </c>
      <c r="BV639" s="867"/>
      <c r="BW639" s="867">
        <f>VLOOKUP(BD639,$BD$4:$BN$12824,11,0)*BE639</f>
        <v>7781.2276824927831</v>
      </c>
      <c r="BX639" s="1146">
        <f t="shared" si="122"/>
        <v>84574.048815272079</v>
      </c>
      <c r="BY639" s="867">
        <f t="shared" si="121"/>
        <v>462843.75610190898</v>
      </c>
      <c r="BZ639" s="867">
        <f t="shared" si="118"/>
        <v>3702750.0488152718</v>
      </c>
      <c r="CA639" s="867">
        <f>_xlfn.MAXIFS($BY$4:$BY$12824,$S$4:$S$12824,$S639)</f>
        <v>462843.75610190898</v>
      </c>
      <c r="CB639" s="1032"/>
      <c r="CC639" s="999" t="s">
        <v>1889</v>
      </c>
      <c r="CF639" s="946">
        <f t="shared" si="120"/>
        <v>3618175.9999999995</v>
      </c>
    </row>
    <row r="640" spans="1:84">
      <c r="A640" s="1032"/>
      <c r="B640" s="839" t="s">
        <v>98</v>
      </c>
      <c r="C640" s="839" t="s">
        <v>131</v>
      </c>
      <c r="D640" s="839" t="s">
        <v>1868</v>
      </c>
      <c r="E640" s="839" t="s">
        <v>1952</v>
      </c>
      <c r="F640" s="841">
        <v>45520</v>
      </c>
      <c r="G640" s="840" t="s">
        <v>133</v>
      </c>
      <c r="H640" s="842" t="s">
        <v>134</v>
      </c>
      <c r="I640" s="842"/>
      <c r="J640" s="841"/>
      <c r="K640" s="841"/>
      <c r="L640" s="843" t="s">
        <v>106</v>
      </c>
      <c r="M640" s="844" t="s">
        <v>107</v>
      </c>
      <c r="N640" s="841" t="s">
        <v>1869</v>
      </c>
      <c r="O640" s="841" t="s">
        <v>135</v>
      </c>
      <c r="P640" s="841" t="s">
        <v>1483</v>
      </c>
      <c r="Q640" s="843"/>
      <c r="R640" s="845" t="s">
        <v>2193</v>
      </c>
      <c r="S640" s="1127" t="s">
        <v>2194</v>
      </c>
      <c r="T640" s="843" t="s">
        <v>2195</v>
      </c>
      <c r="U640" s="842">
        <v>40</v>
      </c>
      <c r="V640" s="842" t="s">
        <v>8</v>
      </c>
      <c r="W640" s="846">
        <v>20</v>
      </c>
      <c r="X640" s="847">
        <f t="shared" si="113"/>
        <v>800</v>
      </c>
      <c r="Y640" s="848">
        <f t="shared" si="119"/>
        <v>0.6</v>
      </c>
      <c r="Z640" s="849">
        <v>8</v>
      </c>
      <c r="AA640" s="849"/>
      <c r="AB640" s="849">
        <f t="shared" si="114"/>
        <v>320</v>
      </c>
      <c r="AC640" s="850">
        <f t="shared" si="115"/>
        <v>320</v>
      </c>
      <c r="AD640" s="851"/>
      <c r="AE640" s="852">
        <v>24580</v>
      </c>
      <c r="AF640" s="853">
        <v>0</v>
      </c>
      <c r="AG640" s="854">
        <f t="shared" si="116"/>
        <v>0</v>
      </c>
      <c r="AH640" s="853"/>
      <c r="AI640" s="855">
        <f t="shared" si="117"/>
        <v>0</v>
      </c>
      <c r="AJ640" s="845" t="s">
        <v>1872</v>
      </c>
      <c r="AK640" s="857" t="s">
        <v>1745</v>
      </c>
      <c r="AL640" s="840">
        <v>244737306</v>
      </c>
      <c r="AM640" s="840"/>
      <c r="AN640" s="858"/>
      <c r="AO640" s="844"/>
      <c r="AP640" s="859" t="s">
        <v>1873</v>
      </c>
      <c r="AQ640" s="859"/>
      <c r="AR640" s="859">
        <v>45453</v>
      </c>
      <c r="AS640" s="840" t="s">
        <v>1874</v>
      </c>
      <c r="AT640" s="840" t="s">
        <v>1875</v>
      </c>
      <c r="AU640" s="860" t="s">
        <v>1876</v>
      </c>
      <c r="AV640" s="839" t="s">
        <v>1877</v>
      </c>
      <c r="AW640" s="861">
        <v>45575</v>
      </c>
      <c r="AX640" s="862">
        <v>45582</v>
      </c>
      <c r="AY640" s="843" t="s">
        <v>2196</v>
      </c>
      <c r="AZ640" s="842">
        <v>42022220</v>
      </c>
      <c r="BA640" s="842" t="s">
        <v>120</v>
      </c>
      <c r="BB640" s="863" t="s">
        <v>121</v>
      </c>
      <c r="BC640" s="864">
        <v>45584</v>
      </c>
      <c r="BD640" s="860" t="s">
        <v>1879</v>
      </c>
      <c r="BE640" s="865" cm="1">
        <f t="array" ref="BE640">IF(BD640="","",AC640/SUMPRODUCT(--(BD640=$BD$4:$BD$12824),$AC$4:$AC$12824))</f>
        <v>8.0551011205929439E-3</v>
      </c>
      <c r="BF640" s="458"/>
      <c r="BG640" s="458"/>
      <c r="BH640" s="458"/>
      <c r="BI640" s="458"/>
      <c r="BJ640" s="458"/>
      <c r="BK640" s="458"/>
      <c r="BL640" s="458"/>
      <c r="BM640" s="458"/>
      <c r="BN640" s="458"/>
      <c r="BO640" s="866">
        <f>VLOOKUP(BD640,$BD$4:$BN$12824,3,0)*BE640</f>
        <v>0</v>
      </c>
      <c r="BP640" s="866"/>
      <c r="BQ640" s="866"/>
      <c r="BR640" s="866">
        <f>VLOOKUP(BD640,$BD$4:$BN$12824,6,0)*BE640</f>
        <v>155155.42456059234</v>
      </c>
      <c r="BS640" s="866">
        <f>VLOOKUP(BD640,$BD$4:$BN$12824,7,0)*BE640</f>
        <v>7757.9403851531497</v>
      </c>
      <c r="BT640" s="866"/>
      <c r="BU640" s="866">
        <f>VLOOKUP(BD640,$BD$4:$BN$12824,9,0)*BE640</f>
        <v>4027.5505602964718</v>
      </c>
      <c r="BV640" s="867"/>
      <c r="BW640" s="867">
        <f>VLOOKUP(BD640,$BD$4:$BN$12824,11,0)*BE640</f>
        <v>16915.712353245181</v>
      </c>
      <c r="BX640" s="1146">
        <f t="shared" si="122"/>
        <v>183856.62785928714</v>
      </c>
      <c r="BY640" s="867">
        <f t="shared" si="121"/>
        <v>201236.41569648217</v>
      </c>
      <c r="BZ640" s="867">
        <f t="shared" si="118"/>
        <v>8049456.627859287</v>
      </c>
      <c r="CA640" s="867">
        <f>_xlfn.MAXIFS($BY$4:$BY$12824,$S$4:$S$12824,$S640)</f>
        <v>201236.41569648217</v>
      </c>
      <c r="CB640" s="1032"/>
      <c r="CC640" s="999" t="s">
        <v>1889</v>
      </c>
      <c r="CF640" s="946">
        <f t="shared" si="120"/>
        <v>7865600</v>
      </c>
    </row>
    <row r="641" spans="1:84">
      <c r="A641" s="1032"/>
      <c r="B641" s="839" t="s">
        <v>98</v>
      </c>
      <c r="C641" s="839" t="s">
        <v>131</v>
      </c>
      <c r="D641" s="839" t="s">
        <v>1868</v>
      </c>
      <c r="E641" s="839" t="s">
        <v>1952</v>
      </c>
      <c r="F641" s="841">
        <v>45520</v>
      </c>
      <c r="G641" s="840" t="s">
        <v>133</v>
      </c>
      <c r="H641" s="842" t="s">
        <v>134</v>
      </c>
      <c r="I641" s="842"/>
      <c r="J641" s="841"/>
      <c r="K641" s="841"/>
      <c r="L641" s="843" t="s">
        <v>106</v>
      </c>
      <c r="M641" s="844" t="s">
        <v>107</v>
      </c>
      <c r="N641" s="841" t="s">
        <v>1869</v>
      </c>
      <c r="O641" s="841" t="s">
        <v>135</v>
      </c>
      <c r="P641" s="841" t="s">
        <v>1483</v>
      </c>
      <c r="Q641" s="843"/>
      <c r="R641" s="845" t="s">
        <v>2197</v>
      </c>
      <c r="S641" s="1127" t="s">
        <v>2198</v>
      </c>
      <c r="T641" s="843" t="s">
        <v>2199</v>
      </c>
      <c r="U641" s="842">
        <v>40</v>
      </c>
      <c r="V641" s="842" t="s">
        <v>8</v>
      </c>
      <c r="W641" s="846">
        <v>20</v>
      </c>
      <c r="X641" s="847">
        <f t="shared" si="113"/>
        <v>800</v>
      </c>
      <c r="Y641" s="848">
        <f t="shared" si="119"/>
        <v>0.6</v>
      </c>
      <c r="Z641" s="849">
        <v>8</v>
      </c>
      <c r="AA641" s="849"/>
      <c r="AB641" s="849">
        <f t="shared" si="114"/>
        <v>320</v>
      </c>
      <c r="AC641" s="850">
        <f t="shared" si="115"/>
        <v>320</v>
      </c>
      <c r="AD641" s="851"/>
      <c r="AE641" s="852">
        <v>24580</v>
      </c>
      <c r="AF641" s="853">
        <v>0</v>
      </c>
      <c r="AG641" s="854">
        <f t="shared" si="116"/>
        <v>0</v>
      </c>
      <c r="AH641" s="853"/>
      <c r="AI641" s="855">
        <f t="shared" si="117"/>
        <v>0</v>
      </c>
      <c r="AJ641" s="845" t="s">
        <v>1872</v>
      </c>
      <c r="AK641" s="857" t="s">
        <v>1745</v>
      </c>
      <c r="AL641" s="840">
        <v>244737306</v>
      </c>
      <c r="AM641" s="840"/>
      <c r="AN641" s="858"/>
      <c r="AO641" s="844"/>
      <c r="AP641" s="859" t="s">
        <v>1873</v>
      </c>
      <c r="AQ641" s="859"/>
      <c r="AR641" s="859">
        <v>45453</v>
      </c>
      <c r="AS641" s="840" t="s">
        <v>1874</v>
      </c>
      <c r="AT641" s="840" t="s">
        <v>1875</v>
      </c>
      <c r="AU641" s="860" t="s">
        <v>1876</v>
      </c>
      <c r="AV641" s="839" t="s">
        <v>1877</v>
      </c>
      <c r="AW641" s="861">
        <v>45575</v>
      </c>
      <c r="AX641" s="862">
        <v>45582</v>
      </c>
      <c r="AY641" s="843" t="s">
        <v>2200</v>
      </c>
      <c r="AZ641" s="842">
        <v>42022220</v>
      </c>
      <c r="BA641" s="842" t="s">
        <v>120</v>
      </c>
      <c r="BB641" s="863" t="s">
        <v>121</v>
      </c>
      <c r="BC641" s="864">
        <v>45584</v>
      </c>
      <c r="BD641" s="860" t="s">
        <v>1879</v>
      </c>
      <c r="BE641" s="865" cm="1">
        <f t="array" ref="BE641">IF(BD641="","",AC641/SUMPRODUCT(--(BD641=$BD$4:$BD$12824),$AC$4:$AC$12824))</f>
        <v>8.0551011205929439E-3</v>
      </c>
      <c r="BF641" s="458"/>
      <c r="BG641" s="458"/>
      <c r="BH641" s="458"/>
      <c r="BI641" s="458"/>
      <c r="BJ641" s="458"/>
      <c r="BK641" s="458"/>
      <c r="BL641" s="458"/>
      <c r="BM641" s="458"/>
      <c r="BN641" s="458"/>
      <c r="BO641" s="866">
        <f>VLOOKUP(BD641,$BD$4:$BN$12824,3,0)*BE641</f>
        <v>0</v>
      </c>
      <c r="BP641" s="866"/>
      <c r="BQ641" s="866"/>
      <c r="BR641" s="866">
        <f>VLOOKUP(BD641,$BD$4:$BN$12824,6,0)*BE641</f>
        <v>155155.42456059234</v>
      </c>
      <c r="BS641" s="866">
        <f>VLOOKUP(BD641,$BD$4:$BN$12824,7,0)*BE641</f>
        <v>7757.9403851531497</v>
      </c>
      <c r="BT641" s="866"/>
      <c r="BU641" s="866">
        <f>VLOOKUP(BD641,$BD$4:$BN$12824,9,0)*BE641</f>
        <v>4027.5505602964718</v>
      </c>
      <c r="BV641" s="867"/>
      <c r="BW641" s="867">
        <f>VLOOKUP(BD641,$BD$4:$BN$12824,11,0)*BE641</f>
        <v>16915.712353245181</v>
      </c>
      <c r="BX641" s="1146">
        <f t="shared" si="122"/>
        <v>183856.62785928714</v>
      </c>
      <c r="BY641" s="867">
        <f t="shared" si="121"/>
        <v>201236.41569648217</v>
      </c>
      <c r="BZ641" s="867">
        <f t="shared" si="118"/>
        <v>8049456.627859287</v>
      </c>
      <c r="CA641" s="867">
        <f>_xlfn.MAXIFS($BY$4:$BY$12824,$S$4:$S$12824,$S641)</f>
        <v>201236.41569648217</v>
      </c>
      <c r="CB641" s="1032"/>
      <c r="CC641" s="999" t="s">
        <v>1889</v>
      </c>
      <c r="CF641" s="946">
        <f t="shared" si="120"/>
        <v>7865600</v>
      </c>
    </row>
    <row r="642" spans="1:84">
      <c r="A642" s="1032"/>
      <c r="B642" s="839" t="s">
        <v>98</v>
      </c>
      <c r="C642" s="839" t="s">
        <v>131</v>
      </c>
      <c r="D642" s="839" t="s">
        <v>1868</v>
      </c>
      <c r="E642" s="839" t="s">
        <v>1952</v>
      </c>
      <c r="F642" s="841">
        <v>45520</v>
      </c>
      <c r="G642" s="840" t="s">
        <v>133</v>
      </c>
      <c r="H642" s="842" t="s">
        <v>134</v>
      </c>
      <c r="I642" s="842"/>
      <c r="J642" s="841"/>
      <c r="K642" s="841"/>
      <c r="L642" s="843" t="s">
        <v>106</v>
      </c>
      <c r="M642" s="844" t="s">
        <v>107</v>
      </c>
      <c r="N642" s="841" t="s">
        <v>1869</v>
      </c>
      <c r="O642" s="841" t="s">
        <v>135</v>
      </c>
      <c r="P642" s="841" t="s">
        <v>1483</v>
      </c>
      <c r="Q642" s="843"/>
      <c r="R642" s="845" t="s">
        <v>2201</v>
      </c>
      <c r="S642" s="1127" t="s">
        <v>2202</v>
      </c>
      <c r="T642" s="843" t="s">
        <v>2203</v>
      </c>
      <c r="U642" s="842">
        <v>8</v>
      </c>
      <c r="V642" s="842" t="s">
        <v>8</v>
      </c>
      <c r="W642" s="846">
        <v>56</v>
      </c>
      <c r="X642" s="847">
        <f t="shared" ref="X642:X705" si="123">W642*U642</f>
        <v>448</v>
      </c>
      <c r="Y642" s="848">
        <f t="shared" si="119"/>
        <v>0.6</v>
      </c>
      <c r="Z642" s="849">
        <v>22.4</v>
      </c>
      <c r="AA642" s="849"/>
      <c r="AB642" s="849">
        <f t="shared" ref="AB642:AB705" si="124">IF(AA642="F.O.C", 0, Z642*U642)</f>
        <v>179.2</v>
      </c>
      <c r="AC642" s="850">
        <f t="shared" ref="AC642:AC705" si="125">Z642*U642</f>
        <v>179.2</v>
      </c>
      <c r="AD642" s="851"/>
      <c r="AE642" s="852">
        <v>24580</v>
      </c>
      <c r="AF642" s="853">
        <v>0</v>
      </c>
      <c r="AG642" s="854">
        <f t="shared" ref="AG642:AG705" si="126">(AC642*AE642+BO642+BP642+BQ642+BS642)*AF642</f>
        <v>0</v>
      </c>
      <c r="AH642" s="853"/>
      <c r="AI642" s="855">
        <f t="shared" ref="AI642:AI705" si="127">(AC642*AE642+AG642+BF642+BG642+BH642+BJ642)*AH642</f>
        <v>0</v>
      </c>
      <c r="AJ642" s="845" t="s">
        <v>1872</v>
      </c>
      <c r="AK642" s="857" t="s">
        <v>1745</v>
      </c>
      <c r="AL642" s="840">
        <v>244737306</v>
      </c>
      <c r="AM642" s="840"/>
      <c r="AN642" s="858"/>
      <c r="AO642" s="844"/>
      <c r="AP642" s="859" t="s">
        <v>1873</v>
      </c>
      <c r="AQ642" s="859"/>
      <c r="AR642" s="859">
        <v>45453</v>
      </c>
      <c r="AS642" s="840" t="s">
        <v>1874</v>
      </c>
      <c r="AT642" s="840" t="s">
        <v>1875</v>
      </c>
      <c r="AU642" s="860" t="s">
        <v>1876</v>
      </c>
      <c r="AV642" s="839" t="s">
        <v>1877</v>
      </c>
      <c r="AW642" s="861">
        <v>45575</v>
      </c>
      <c r="AX642" s="862">
        <v>45582</v>
      </c>
      <c r="AY642" s="843" t="s">
        <v>2204</v>
      </c>
      <c r="AZ642" s="842">
        <v>42022220</v>
      </c>
      <c r="BA642" s="842" t="s">
        <v>120</v>
      </c>
      <c r="BB642" s="863" t="s">
        <v>121</v>
      </c>
      <c r="BC642" s="864">
        <v>45584</v>
      </c>
      <c r="BD642" s="860" t="s">
        <v>1879</v>
      </c>
      <c r="BE642" s="865" cm="1">
        <f t="array" ref="BE642">IF(BD642="","",AC642/SUMPRODUCT(--(BD642=$BD$4:$BD$12824),$AC$4:$AC$12824))</f>
        <v>4.5108566275320486E-3</v>
      </c>
      <c r="BF642" s="458"/>
      <c r="BG642" s="458"/>
      <c r="BH642" s="458"/>
      <c r="BI642" s="458"/>
      <c r="BJ642" s="458"/>
      <c r="BK642" s="458"/>
      <c r="BL642" s="458"/>
      <c r="BM642" s="458"/>
      <c r="BN642" s="458"/>
      <c r="BO642" s="866">
        <f>VLOOKUP(BD642,$BD$4:$BN$12824,3,0)*BE642</f>
        <v>0</v>
      </c>
      <c r="BP642" s="866"/>
      <c r="BQ642" s="866"/>
      <c r="BR642" s="866">
        <f>VLOOKUP(BD642,$BD$4:$BN$12824,6,0)*BE642</f>
        <v>86887.037753931712</v>
      </c>
      <c r="BS642" s="866">
        <f>VLOOKUP(BD642,$BD$4:$BN$12824,7,0)*BE642</f>
        <v>4344.4466156857634</v>
      </c>
      <c r="BT642" s="866"/>
      <c r="BU642" s="866">
        <f>VLOOKUP(BD642,$BD$4:$BN$12824,9,0)*BE642</f>
        <v>2255.4283137660245</v>
      </c>
      <c r="BV642" s="867"/>
      <c r="BW642" s="867">
        <f>VLOOKUP(BD642,$BD$4:$BN$12824,11,0)*BE642</f>
        <v>9472.7989178173029</v>
      </c>
      <c r="BX642" s="1146">
        <f t="shared" si="122"/>
        <v>102959.7116012008</v>
      </c>
      <c r="BY642" s="867">
        <f t="shared" si="121"/>
        <v>563461.96395015006</v>
      </c>
      <c r="BZ642" s="867">
        <f t="shared" ref="BZ642:BZ705" si="128">BY642*U642</f>
        <v>4507695.7116012005</v>
      </c>
      <c r="CA642" s="867">
        <f>_xlfn.MAXIFS($BY$4:$BY$12824,$S$4:$S$12824,$S642)</f>
        <v>563461.96395015006</v>
      </c>
      <c r="CB642" s="1032"/>
      <c r="CC642" s="999" t="s">
        <v>1889</v>
      </c>
      <c r="CF642" s="946">
        <f t="shared" si="120"/>
        <v>4404736</v>
      </c>
    </row>
    <row r="643" spans="1:84">
      <c r="A643" s="1032"/>
      <c r="B643" s="839" t="s">
        <v>98</v>
      </c>
      <c r="C643" s="839" t="s">
        <v>131</v>
      </c>
      <c r="D643" s="839" t="s">
        <v>1868</v>
      </c>
      <c r="E643" s="839" t="s">
        <v>1952</v>
      </c>
      <c r="F643" s="841">
        <v>45520</v>
      </c>
      <c r="G643" s="840" t="s">
        <v>133</v>
      </c>
      <c r="H643" s="842" t="s">
        <v>134</v>
      </c>
      <c r="I643" s="842"/>
      <c r="J643" s="841"/>
      <c r="K643" s="841"/>
      <c r="L643" s="843" t="s">
        <v>106</v>
      </c>
      <c r="M643" s="844" t="s">
        <v>107</v>
      </c>
      <c r="N643" s="841" t="s">
        <v>1869</v>
      </c>
      <c r="O643" s="841" t="s">
        <v>135</v>
      </c>
      <c r="P643" s="841" t="s">
        <v>1483</v>
      </c>
      <c r="Q643" s="843"/>
      <c r="R643" s="845" t="s">
        <v>2205</v>
      </c>
      <c r="S643" s="1127" t="s">
        <v>2206</v>
      </c>
      <c r="T643" s="843" t="s">
        <v>2207</v>
      </c>
      <c r="U643" s="842">
        <v>8</v>
      </c>
      <c r="V643" s="842" t="s">
        <v>8</v>
      </c>
      <c r="W643" s="846">
        <v>56</v>
      </c>
      <c r="X643" s="847">
        <f t="shared" si="123"/>
        <v>448</v>
      </c>
      <c r="Y643" s="848">
        <f t="shared" si="119"/>
        <v>0.6</v>
      </c>
      <c r="Z643" s="849">
        <v>22.4</v>
      </c>
      <c r="AA643" s="849"/>
      <c r="AB643" s="849">
        <f t="shared" si="124"/>
        <v>179.2</v>
      </c>
      <c r="AC643" s="850">
        <f t="shared" si="125"/>
        <v>179.2</v>
      </c>
      <c r="AD643" s="851"/>
      <c r="AE643" s="852">
        <v>24580</v>
      </c>
      <c r="AF643" s="853">
        <v>0</v>
      </c>
      <c r="AG643" s="854">
        <f t="shared" si="126"/>
        <v>0</v>
      </c>
      <c r="AH643" s="853"/>
      <c r="AI643" s="855">
        <f t="shared" si="127"/>
        <v>0</v>
      </c>
      <c r="AJ643" s="845" t="s">
        <v>1872</v>
      </c>
      <c r="AK643" s="857" t="s">
        <v>1745</v>
      </c>
      <c r="AL643" s="840">
        <v>244737306</v>
      </c>
      <c r="AM643" s="840"/>
      <c r="AN643" s="858"/>
      <c r="AO643" s="844"/>
      <c r="AP643" s="859" t="s">
        <v>1873</v>
      </c>
      <c r="AQ643" s="859"/>
      <c r="AR643" s="859">
        <v>45453</v>
      </c>
      <c r="AS643" s="840" t="s">
        <v>1874</v>
      </c>
      <c r="AT643" s="840" t="s">
        <v>1875</v>
      </c>
      <c r="AU643" s="860" t="s">
        <v>1876</v>
      </c>
      <c r="AV643" s="839" t="s">
        <v>1877</v>
      </c>
      <c r="AW643" s="861">
        <v>45575</v>
      </c>
      <c r="AX643" s="862">
        <v>45582</v>
      </c>
      <c r="AY643" s="843" t="s">
        <v>2208</v>
      </c>
      <c r="AZ643" s="842">
        <v>42022220</v>
      </c>
      <c r="BA643" s="842" t="s">
        <v>120</v>
      </c>
      <c r="BB643" s="863" t="s">
        <v>121</v>
      </c>
      <c r="BC643" s="864">
        <v>45584</v>
      </c>
      <c r="BD643" s="860" t="s">
        <v>1879</v>
      </c>
      <c r="BE643" s="865" cm="1">
        <f t="array" ref="BE643">IF(BD643="","",AC643/SUMPRODUCT(--(BD643=$BD$4:$BD$12824),$AC$4:$AC$12824))</f>
        <v>4.5108566275320486E-3</v>
      </c>
      <c r="BF643" s="458"/>
      <c r="BG643" s="458"/>
      <c r="BH643" s="458"/>
      <c r="BI643" s="458"/>
      <c r="BJ643" s="458"/>
      <c r="BK643" s="458"/>
      <c r="BL643" s="458"/>
      <c r="BM643" s="458"/>
      <c r="BN643" s="458"/>
      <c r="BO643" s="866">
        <f>VLOOKUP(BD643,$BD$4:$BN$12824,3,0)*BE643</f>
        <v>0</v>
      </c>
      <c r="BP643" s="866"/>
      <c r="BQ643" s="866"/>
      <c r="BR643" s="866">
        <f>VLOOKUP(BD643,$BD$4:$BN$12824,6,0)*BE643</f>
        <v>86887.037753931712</v>
      </c>
      <c r="BS643" s="866">
        <f>VLOOKUP(BD643,$BD$4:$BN$12824,7,0)*BE643</f>
        <v>4344.4466156857634</v>
      </c>
      <c r="BT643" s="866"/>
      <c r="BU643" s="866">
        <f>VLOOKUP(BD643,$BD$4:$BN$12824,9,0)*BE643</f>
        <v>2255.4283137660245</v>
      </c>
      <c r="BV643" s="867"/>
      <c r="BW643" s="867">
        <f>VLOOKUP(BD643,$BD$4:$BN$12824,11,0)*BE643</f>
        <v>9472.7989178173029</v>
      </c>
      <c r="BX643" s="1146">
        <f t="shared" si="122"/>
        <v>102959.7116012008</v>
      </c>
      <c r="BY643" s="867">
        <f t="shared" si="121"/>
        <v>563461.96395015006</v>
      </c>
      <c r="BZ643" s="867">
        <f t="shared" si="128"/>
        <v>4507695.7116012005</v>
      </c>
      <c r="CA643" s="867">
        <f>_xlfn.MAXIFS($BY$4:$BY$12824,$S$4:$S$12824,$S643)</f>
        <v>563461.96395015006</v>
      </c>
      <c r="CB643" s="1032"/>
      <c r="CC643" s="999" t="s">
        <v>1889</v>
      </c>
      <c r="CF643" s="946">
        <f t="shared" si="120"/>
        <v>4404736</v>
      </c>
    </row>
    <row r="644" spans="1:84">
      <c r="A644" s="1032"/>
      <c r="B644" s="839" t="s">
        <v>98</v>
      </c>
      <c r="C644" s="839" t="s">
        <v>131</v>
      </c>
      <c r="D644" s="839" t="s">
        <v>1868</v>
      </c>
      <c r="E644" s="839" t="s">
        <v>1952</v>
      </c>
      <c r="F644" s="841">
        <v>45520</v>
      </c>
      <c r="G644" s="840" t="s">
        <v>133</v>
      </c>
      <c r="H644" s="842" t="s">
        <v>134</v>
      </c>
      <c r="I644" s="842"/>
      <c r="J644" s="841"/>
      <c r="K644" s="841"/>
      <c r="L644" s="843" t="s">
        <v>106</v>
      </c>
      <c r="M644" s="844" t="s">
        <v>107</v>
      </c>
      <c r="N644" s="841" t="s">
        <v>1869</v>
      </c>
      <c r="O644" s="841" t="s">
        <v>135</v>
      </c>
      <c r="P644" s="841" t="s">
        <v>1483</v>
      </c>
      <c r="Q644" s="843"/>
      <c r="R644" s="845" t="s">
        <v>2209</v>
      </c>
      <c r="S644" s="1127" t="s">
        <v>2210</v>
      </c>
      <c r="T644" s="843" t="s">
        <v>2211</v>
      </c>
      <c r="U644" s="842">
        <v>48</v>
      </c>
      <c r="V644" s="842" t="s">
        <v>8</v>
      </c>
      <c r="W644" s="846">
        <v>11</v>
      </c>
      <c r="X644" s="847">
        <f t="shared" si="123"/>
        <v>528</v>
      </c>
      <c r="Y644" s="848">
        <f t="shared" ref="Y644:Y657" si="129">(W644-Z644)/W644</f>
        <v>0.6</v>
      </c>
      <c r="Z644" s="849">
        <v>4.4000000000000004</v>
      </c>
      <c r="AA644" s="849"/>
      <c r="AB644" s="849">
        <f t="shared" si="124"/>
        <v>211.20000000000002</v>
      </c>
      <c r="AC644" s="850">
        <f t="shared" si="125"/>
        <v>211.20000000000002</v>
      </c>
      <c r="AD644" s="851"/>
      <c r="AE644" s="852">
        <v>24580</v>
      </c>
      <c r="AF644" s="853">
        <v>0</v>
      </c>
      <c r="AG644" s="854">
        <f t="shared" si="126"/>
        <v>0</v>
      </c>
      <c r="AH644" s="853"/>
      <c r="AI644" s="855">
        <f t="shared" si="127"/>
        <v>0</v>
      </c>
      <c r="AJ644" s="845" t="s">
        <v>1872</v>
      </c>
      <c r="AK644" s="857" t="s">
        <v>1745</v>
      </c>
      <c r="AL644" s="840">
        <v>244737306</v>
      </c>
      <c r="AM644" s="840"/>
      <c r="AN644" s="858"/>
      <c r="AO644" s="844"/>
      <c r="AP644" s="859" t="s">
        <v>1873</v>
      </c>
      <c r="AQ644" s="859"/>
      <c r="AR644" s="859">
        <v>45453</v>
      </c>
      <c r="AS644" s="840" t="s">
        <v>1874</v>
      </c>
      <c r="AT644" s="840" t="s">
        <v>1875</v>
      </c>
      <c r="AU644" s="860" t="s">
        <v>1876</v>
      </c>
      <c r="AV644" s="839" t="s">
        <v>1877</v>
      </c>
      <c r="AW644" s="861">
        <v>45575</v>
      </c>
      <c r="AX644" s="862">
        <v>45582</v>
      </c>
      <c r="AY644" s="843" t="s">
        <v>2212</v>
      </c>
      <c r="AZ644" s="842">
        <v>42022220</v>
      </c>
      <c r="BA644" s="842" t="s">
        <v>120</v>
      </c>
      <c r="BB644" s="863" t="s">
        <v>121</v>
      </c>
      <c r="BC644" s="864">
        <v>45584</v>
      </c>
      <c r="BD644" s="860" t="s">
        <v>1879</v>
      </c>
      <c r="BE644" s="865" cm="1">
        <f t="array" ref="BE644">IF(BD644="","",AC644/SUMPRODUCT(--(BD644=$BD$4:$BD$12824),$AC$4:$AC$12824))</f>
        <v>5.3163667395913434E-3</v>
      </c>
      <c r="BF644" s="458"/>
      <c r="BG644" s="458"/>
      <c r="BH644" s="458"/>
      <c r="BI644" s="458"/>
      <c r="BJ644" s="458"/>
      <c r="BK644" s="458"/>
      <c r="BL644" s="458"/>
      <c r="BM644" s="458"/>
      <c r="BN644" s="458"/>
      <c r="BO644" s="866">
        <f>VLOOKUP(BD644,$BD$4:$BN$12824,3,0)*BE644</f>
        <v>0</v>
      </c>
      <c r="BP644" s="866"/>
      <c r="BQ644" s="866"/>
      <c r="BR644" s="866">
        <f>VLOOKUP(BD644,$BD$4:$BN$12824,6,0)*BE644</f>
        <v>102402.58020999095</v>
      </c>
      <c r="BS644" s="866">
        <f>VLOOKUP(BD644,$BD$4:$BN$12824,7,0)*BE644</f>
        <v>5120.2406542010795</v>
      </c>
      <c r="BT644" s="866"/>
      <c r="BU644" s="866">
        <f>VLOOKUP(BD644,$BD$4:$BN$12824,9,0)*BE644</f>
        <v>2658.1833697956718</v>
      </c>
      <c r="BV644" s="867"/>
      <c r="BW644" s="867">
        <f>VLOOKUP(BD644,$BD$4:$BN$12824,11,0)*BE644</f>
        <v>11164.370153141821</v>
      </c>
      <c r="BX644" s="1146">
        <f t="shared" si="122"/>
        <v>121345.37438712953</v>
      </c>
      <c r="BY644" s="867">
        <f t="shared" si="121"/>
        <v>110680.02863306519</v>
      </c>
      <c r="BZ644" s="867">
        <f t="shared" si="128"/>
        <v>5312641.3743871292</v>
      </c>
      <c r="CA644" s="867">
        <f>_xlfn.MAXIFS($BY$4:$BY$12824,$S$4:$S$12824,$S644)</f>
        <v>110680.02863306519</v>
      </c>
      <c r="CB644" s="1032"/>
      <c r="CC644" s="999" t="s">
        <v>1889</v>
      </c>
      <c r="CF644" s="946">
        <f t="shared" ref="CF644:CF707" si="130">AC644*AE644</f>
        <v>5191296</v>
      </c>
    </row>
    <row r="645" spans="1:84">
      <c r="A645" s="1032"/>
      <c r="B645" s="839" t="s">
        <v>98</v>
      </c>
      <c r="C645" s="839" t="s">
        <v>131</v>
      </c>
      <c r="D645" s="839" t="s">
        <v>1868</v>
      </c>
      <c r="E645" s="839" t="s">
        <v>1952</v>
      </c>
      <c r="F645" s="841">
        <v>45520</v>
      </c>
      <c r="G645" s="840" t="s">
        <v>133</v>
      </c>
      <c r="H645" s="842" t="s">
        <v>134</v>
      </c>
      <c r="I645" s="842"/>
      <c r="J645" s="841"/>
      <c r="K645" s="841"/>
      <c r="L645" s="843" t="s">
        <v>106</v>
      </c>
      <c r="M645" s="844" t="s">
        <v>107</v>
      </c>
      <c r="N645" s="841" t="s">
        <v>1869</v>
      </c>
      <c r="O645" s="841" t="s">
        <v>135</v>
      </c>
      <c r="P645" s="841" t="s">
        <v>1483</v>
      </c>
      <c r="Q645" s="843"/>
      <c r="R645" s="845" t="s">
        <v>2213</v>
      </c>
      <c r="S645" s="1127" t="s">
        <v>2214</v>
      </c>
      <c r="T645" s="843" t="s">
        <v>2215</v>
      </c>
      <c r="U645" s="842">
        <v>48</v>
      </c>
      <c r="V645" s="842" t="s">
        <v>8</v>
      </c>
      <c r="W645" s="846">
        <v>11</v>
      </c>
      <c r="X645" s="847">
        <f t="shared" si="123"/>
        <v>528</v>
      </c>
      <c r="Y645" s="848">
        <f t="shared" si="129"/>
        <v>0.6</v>
      </c>
      <c r="Z645" s="849">
        <v>4.4000000000000004</v>
      </c>
      <c r="AA645" s="849"/>
      <c r="AB645" s="849">
        <f t="shared" si="124"/>
        <v>211.20000000000002</v>
      </c>
      <c r="AC645" s="850">
        <f t="shared" si="125"/>
        <v>211.20000000000002</v>
      </c>
      <c r="AD645" s="851"/>
      <c r="AE645" s="852">
        <v>24580</v>
      </c>
      <c r="AF645" s="853">
        <v>0</v>
      </c>
      <c r="AG645" s="854">
        <f t="shared" si="126"/>
        <v>0</v>
      </c>
      <c r="AH645" s="853"/>
      <c r="AI645" s="855">
        <f t="shared" si="127"/>
        <v>0</v>
      </c>
      <c r="AJ645" s="845" t="s">
        <v>1872</v>
      </c>
      <c r="AK645" s="857" t="s">
        <v>1745</v>
      </c>
      <c r="AL645" s="840">
        <v>244737306</v>
      </c>
      <c r="AM645" s="840"/>
      <c r="AN645" s="858"/>
      <c r="AO645" s="844"/>
      <c r="AP645" s="859" t="s">
        <v>1873</v>
      </c>
      <c r="AQ645" s="859"/>
      <c r="AR645" s="859">
        <v>45453</v>
      </c>
      <c r="AS645" s="840" t="s">
        <v>1874</v>
      </c>
      <c r="AT645" s="840" t="s">
        <v>1875</v>
      </c>
      <c r="AU645" s="860" t="s">
        <v>1876</v>
      </c>
      <c r="AV645" s="839" t="s">
        <v>1877</v>
      </c>
      <c r="AW645" s="861">
        <v>45575</v>
      </c>
      <c r="AX645" s="862">
        <v>45582</v>
      </c>
      <c r="AY645" s="843" t="s">
        <v>2216</v>
      </c>
      <c r="AZ645" s="842">
        <v>42022220</v>
      </c>
      <c r="BA645" s="842" t="s">
        <v>120</v>
      </c>
      <c r="BB645" s="863" t="s">
        <v>121</v>
      </c>
      <c r="BC645" s="864">
        <v>45584</v>
      </c>
      <c r="BD645" s="860" t="s">
        <v>1879</v>
      </c>
      <c r="BE645" s="865" cm="1">
        <f t="array" ref="BE645">IF(BD645="","",AC645/SUMPRODUCT(--(BD645=$BD$4:$BD$12824),$AC$4:$AC$12824))</f>
        <v>5.3163667395913434E-3</v>
      </c>
      <c r="BF645" s="458"/>
      <c r="BG645" s="458"/>
      <c r="BH645" s="458"/>
      <c r="BI645" s="458"/>
      <c r="BJ645" s="458"/>
      <c r="BK645" s="458"/>
      <c r="BL645" s="458"/>
      <c r="BM645" s="458"/>
      <c r="BN645" s="458"/>
      <c r="BO645" s="866">
        <f>VLOOKUP(BD645,$BD$4:$BN$12824,3,0)*BE645</f>
        <v>0</v>
      </c>
      <c r="BP645" s="866"/>
      <c r="BQ645" s="866"/>
      <c r="BR645" s="866">
        <f>VLOOKUP(BD645,$BD$4:$BN$12824,6,0)*BE645</f>
        <v>102402.58020999095</v>
      </c>
      <c r="BS645" s="866">
        <f>VLOOKUP(BD645,$BD$4:$BN$12824,7,0)*BE645</f>
        <v>5120.2406542010795</v>
      </c>
      <c r="BT645" s="866"/>
      <c r="BU645" s="866">
        <f>VLOOKUP(BD645,$BD$4:$BN$12824,9,0)*BE645</f>
        <v>2658.1833697956718</v>
      </c>
      <c r="BV645" s="867"/>
      <c r="BW645" s="867">
        <f>VLOOKUP(BD645,$BD$4:$BN$12824,11,0)*BE645</f>
        <v>11164.370153141821</v>
      </c>
      <c r="BX645" s="1146">
        <f t="shared" si="122"/>
        <v>121345.37438712953</v>
      </c>
      <c r="BY645" s="867">
        <f t="shared" si="121"/>
        <v>110680.02863306519</v>
      </c>
      <c r="BZ645" s="867">
        <f t="shared" si="128"/>
        <v>5312641.3743871292</v>
      </c>
      <c r="CA645" s="867">
        <f>_xlfn.MAXIFS($BY$4:$BY$12824,$S$4:$S$12824,$S645)</f>
        <v>110680.02863306519</v>
      </c>
      <c r="CB645" s="1032"/>
      <c r="CC645" s="999" t="s">
        <v>1889</v>
      </c>
      <c r="CF645" s="946">
        <f t="shared" si="130"/>
        <v>5191296</v>
      </c>
    </row>
    <row r="646" spans="1:84">
      <c r="A646" s="1032"/>
      <c r="B646" s="839" t="s">
        <v>98</v>
      </c>
      <c r="C646" s="839" t="s">
        <v>131</v>
      </c>
      <c r="D646" s="839" t="s">
        <v>1868</v>
      </c>
      <c r="E646" s="839" t="s">
        <v>1952</v>
      </c>
      <c r="F646" s="841">
        <v>45520</v>
      </c>
      <c r="G646" s="840" t="s">
        <v>133</v>
      </c>
      <c r="H646" s="842" t="s">
        <v>134</v>
      </c>
      <c r="I646" s="842"/>
      <c r="J646" s="841"/>
      <c r="K646" s="841"/>
      <c r="L646" s="843" t="s">
        <v>106</v>
      </c>
      <c r="M646" s="844" t="s">
        <v>107</v>
      </c>
      <c r="N646" s="841" t="s">
        <v>1869</v>
      </c>
      <c r="O646" s="841" t="s">
        <v>135</v>
      </c>
      <c r="P646" s="841" t="s">
        <v>1476</v>
      </c>
      <c r="Q646" s="843"/>
      <c r="R646" s="845" t="s">
        <v>2217</v>
      </c>
      <c r="S646" s="1127" t="s">
        <v>2218</v>
      </c>
      <c r="T646" s="843" t="s">
        <v>2219</v>
      </c>
      <c r="U646" s="842">
        <v>4</v>
      </c>
      <c r="V646" s="842" t="s">
        <v>8</v>
      </c>
      <c r="W646" s="846">
        <v>91</v>
      </c>
      <c r="X646" s="847">
        <f t="shared" si="123"/>
        <v>364</v>
      </c>
      <c r="Y646" s="848">
        <f t="shared" si="129"/>
        <v>0.6</v>
      </c>
      <c r="Z646" s="849">
        <v>36.4</v>
      </c>
      <c r="AA646" s="849"/>
      <c r="AB646" s="849">
        <f t="shared" si="124"/>
        <v>145.6</v>
      </c>
      <c r="AC646" s="850">
        <f t="shared" si="125"/>
        <v>145.6</v>
      </c>
      <c r="AD646" s="851"/>
      <c r="AE646" s="852">
        <v>24580</v>
      </c>
      <c r="AF646" s="853">
        <v>0</v>
      </c>
      <c r="AG646" s="854">
        <f t="shared" si="126"/>
        <v>0</v>
      </c>
      <c r="AH646" s="853"/>
      <c r="AI646" s="855">
        <f t="shared" si="127"/>
        <v>0</v>
      </c>
      <c r="AJ646" s="845" t="s">
        <v>1872</v>
      </c>
      <c r="AK646" s="857" t="s">
        <v>1745</v>
      </c>
      <c r="AL646" s="840">
        <v>244737306</v>
      </c>
      <c r="AM646" s="840"/>
      <c r="AN646" s="858"/>
      <c r="AO646" s="844"/>
      <c r="AP646" s="859" t="s">
        <v>1873</v>
      </c>
      <c r="AQ646" s="859"/>
      <c r="AR646" s="859">
        <v>45453</v>
      </c>
      <c r="AS646" s="840" t="s">
        <v>1874</v>
      </c>
      <c r="AT646" s="840" t="s">
        <v>1875</v>
      </c>
      <c r="AU646" s="860" t="s">
        <v>1876</v>
      </c>
      <c r="AV646" s="839" t="s">
        <v>1877</v>
      </c>
      <c r="AW646" s="861">
        <v>45575</v>
      </c>
      <c r="AX646" s="862">
        <v>45582</v>
      </c>
      <c r="AY646" s="843" t="s">
        <v>2220</v>
      </c>
      <c r="AZ646" s="842">
        <v>91059990</v>
      </c>
      <c r="BA646" s="842" t="s">
        <v>120</v>
      </c>
      <c r="BB646" s="863" t="s">
        <v>121</v>
      </c>
      <c r="BC646" s="864">
        <v>45584</v>
      </c>
      <c r="BD646" s="860" t="s">
        <v>1879</v>
      </c>
      <c r="BE646" s="865" cm="1">
        <f t="array" ref="BE646">IF(BD646="","",AC646/SUMPRODUCT(--(BD646=$BD$4:$BD$12824),$AC$4:$AC$12824))</f>
        <v>3.6650710098697892E-3</v>
      </c>
      <c r="BF646" s="458"/>
      <c r="BG646" s="458"/>
      <c r="BH646" s="458"/>
      <c r="BI646" s="458"/>
      <c r="BJ646" s="458"/>
      <c r="BK646" s="458"/>
      <c r="BL646" s="458"/>
      <c r="BM646" s="458"/>
      <c r="BN646" s="458"/>
      <c r="BO646" s="866">
        <f>VLOOKUP(BD646,$BD$4:$BN$12824,3,0)*BE646</f>
        <v>0</v>
      </c>
      <c r="BP646" s="866"/>
      <c r="BQ646" s="866"/>
      <c r="BR646" s="866">
        <f>VLOOKUP(BD646,$BD$4:$BN$12824,6,0)*BE646</f>
        <v>70595.718175069516</v>
      </c>
      <c r="BS646" s="866">
        <f>VLOOKUP(BD646,$BD$4:$BN$12824,7,0)*BE646</f>
        <v>3529.862875244683</v>
      </c>
      <c r="BT646" s="866"/>
      <c r="BU646" s="866">
        <f>VLOOKUP(BD646,$BD$4:$BN$12824,9,0)*BE646</f>
        <v>1832.5355049348946</v>
      </c>
      <c r="BV646" s="867"/>
      <c r="BW646" s="867">
        <f>VLOOKUP(BD646,$BD$4:$BN$12824,11,0)*BE646</f>
        <v>7696.6491207265572</v>
      </c>
      <c r="BX646" s="1146">
        <f t="shared" si="122"/>
        <v>83654.76567597565</v>
      </c>
      <c r="BY646" s="867">
        <f t="shared" ref="BY646:BY709" si="131">(AB646*AE646+AG646+BX646)/U646</f>
        <v>915625.69141899387</v>
      </c>
      <c r="BZ646" s="867">
        <f t="shared" si="128"/>
        <v>3662502.7656759755</v>
      </c>
      <c r="CA646" s="867">
        <f>_xlfn.MAXIFS($BY$4:$BY$12824,$S$4:$S$12824,$S646)</f>
        <v>975174.26181652397</v>
      </c>
      <c r="CB646" s="1032"/>
      <c r="CC646" s="999" t="s">
        <v>1889</v>
      </c>
      <c r="CF646" s="946">
        <f t="shared" si="130"/>
        <v>3578848</v>
      </c>
    </row>
    <row r="647" spans="1:84">
      <c r="A647" s="1032"/>
      <c r="B647" s="839" t="s">
        <v>98</v>
      </c>
      <c r="C647" s="839" t="s">
        <v>131</v>
      </c>
      <c r="D647" s="839" t="s">
        <v>1868</v>
      </c>
      <c r="E647" s="839" t="s">
        <v>1952</v>
      </c>
      <c r="F647" s="841">
        <v>45520</v>
      </c>
      <c r="G647" s="840" t="s">
        <v>133</v>
      </c>
      <c r="H647" s="842" t="s">
        <v>134</v>
      </c>
      <c r="I647" s="842"/>
      <c r="J647" s="841"/>
      <c r="K647" s="841"/>
      <c r="L647" s="843" t="s">
        <v>106</v>
      </c>
      <c r="M647" s="844" t="s">
        <v>107</v>
      </c>
      <c r="N647" s="841" t="s">
        <v>1869</v>
      </c>
      <c r="O647" s="841" t="s">
        <v>135</v>
      </c>
      <c r="P647" s="841" t="s">
        <v>1476</v>
      </c>
      <c r="Q647" s="843"/>
      <c r="R647" s="845" t="s">
        <v>2221</v>
      </c>
      <c r="S647" s="1127" t="s">
        <v>2222</v>
      </c>
      <c r="T647" s="843" t="s">
        <v>2223</v>
      </c>
      <c r="U647" s="842">
        <v>4</v>
      </c>
      <c r="V647" s="842" t="s">
        <v>8</v>
      </c>
      <c r="W647" s="846">
        <v>91</v>
      </c>
      <c r="X647" s="847">
        <f t="shared" si="123"/>
        <v>364</v>
      </c>
      <c r="Y647" s="848">
        <f t="shared" si="129"/>
        <v>0.6</v>
      </c>
      <c r="Z647" s="849">
        <v>36.4</v>
      </c>
      <c r="AA647" s="849"/>
      <c r="AB647" s="849">
        <f t="shared" si="124"/>
        <v>145.6</v>
      </c>
      <c r="AC647" s="850">
        <f t="shared" si="125"/>
        <v>145.6</v>
      </c>
      <c r="AD647" s="851"/>
      <c r="AE647" s="852">
        <v>24580</v>
      </c>
      <c r="AF647" s="853">
        <v>0</v>
      </c>
      <c r="AG647" s="854">
        <f t="shared" si="126"/>
        <v>0</v>
      </c>
      <c r="AH647" s="853"/>
      <c r="AI647" s="855">
        <f t="shared" si="127"/>
        <v>0</v>
      </c>
      <c r="AJ647" s="845" t="s">
        <v>1872</v>
      </c>
      <c r="AK647" s="857" t="s">
        <v>1745</v>
      </c>
      <c r="AL647" s="840">
        <v>244737306</v>
      </c>
      <c r="AM647" s="840"/>
      <c r="AN647" s="858"/>
      <c r="AO647" s="844"/>
      <c r="AP647" s="859" t="s">
        <v>1873</v>
      </c>
      <c r="AQ647" s="859"/>
      <c r="AR647" s="859">
        <v>45453</v>
      </c>
      <c r="AS647" s="840" t="s">
        <v>1874</v>
      </c>
      <c r="AT647" s="840" t="s">
        <v>1875</v>
      </c>
      <c r="AU647" s="860" t="s">
        <v>1876</v>
      </c>
      <c r="AV647" s="839" t="s">
        <v>1877</v>
      </c>
      <c r="AW647" s="861">
        <v>45575</v>
      </c>
      <c r="AX647" s="862">
        <v>45582</v>
      </c>
      <c r="AY647" s="843" t="s">
        <v>2224</v>
      </c>
      <c r="AZ647" s="842">
        <v>91059990</v>
      </c>
      <c r="BA647" s="842" t="s">
        <v>120</v>
      </c>
      <c r="BB647" s="863" t="s">
        <v>121</v>
      </c>
      <c r="BC647" s="864">
        <v>45584</v>
      </c>
      <c r="BD647" s="860" t="s">
        <v>1879</v>
      </c>
      <c r="BE647" s="865" cm="1">
        <f t="array" ref="BE647">IF(BD647="","",AC647/SUMPRODUCT(--(BD647=$BD$4:$BD$12824),$AC$4:$AC$12824))</f>
        <v>3.6650710098697892E-3</v>
      </c>
      <c r="BF647" s="458"/>
      <c r="BG647" s="458"/>
      <c r="BH647" s="458"/>
      <c r="BI647" s="458"/>
      <c r="BJ647" s="458"/>
      <c r="BK647" s="458"/>
      <c r="BL647" s="458"/>
      <c r="BM647" s="458"/>
      <c r="BN647" s="458"/>
      <c r="BO647" s="866">
        <f>VLOOKUP(BD647,$BD$4:$BN$12824,3,0)*BE647</f>
        <v>0</v>
      </c>
      <c r="BP647" s="866"/>
      <c r="BQ647" s="866"/>
      <c r="BR647" s="866">
        <f>VLOOKUP(BD647,$BD$4:$BN$12824,6,0)*BE647</f>
        <v>70595.718175069516</v>
      </c>
      <c r="BS647" s="866">
        <f>VLOOKUP(BD647,$BD$4:$BN$12824,7,0)*BE647</f>
        <v>3529.862875244683</v>
      </c>
      <c r="BT647" s="866"/>
      <c r="BU647" s="866">
        <f>VLOOKUP(BD647,$BD$4:$BN$12824,9,0)*BE647</f>
        <v>1832.5355049348946</v>
      </c>
      <c r="BV647" s="867"/>
      <c r="BW647" s="867">
        <f>VLOOKUP(BD647,$BD$4:$BN$12824,11,0)*BE647</f>
        <v>7696.6491207265572</v>
      </c>
      <c r="BX647" s="1146">
        <f t="shared" si="122"/>
        <v>83654.76567597565</v>
      </c>
      <c r="BY647" s="867">
        <f t="shared" si="131"/>
        <v>915625.69141899387</v>
      </c>
      <c r="BZ647" s="867">
        <f t="shared" si="128"/>
        <v>3662502.7656759755</v>
      </c>
      <c r="CA647" s="867">
        <f>_xlfn.MAXIFS($BY$4:$BY$12824,$S$4:$S$12824,$S647)</f>
        <v>975174.26181652397</v>
      </c>
      <c r="CB647" s="1032"/>
      <c r="CC647" s="999" t="s">
        <v>1889</v>
      </c>
      <c r="CF647" s="946">
        <f t="shared" si="130"/>
        <v>3578848</v>
      </c>
    </row>
    <row r="648" spans="1:84">
      <c r="A648" s="1032"/>
      <c r="B648" s="839" t="s">
        <v>98</v>
      </c>
      <c r="C648" s="839" t="s">
        <v>131</v>
      </c>
      <c r="D648" s="839" t="s">
        <v>1868</v>
      </c>
      <c r="E648" s="839" t="s">
        <v>1952</v>
      </c>
      <c r="F648" s="841">
        <v>45520</v>
      </c>
      <c r="G648" s="840" t="s">
        <v>133</v>
      </c>
      <c r="H648" s="842" t="s">
        <v>134</v>
      </c>
      <c r="I648" s="842"/>
      <c r="J648" s="841"/>
      <c r="K648" s="841"/>
      <c r="L648" s="843" t="s">
        <v>106</v>
      </c>
      <c r="M648" s="844" t="s">
        <v>107</v>
      </c>
      <c r="N648" s="841" t="s">
        <v>1869</v>
      </c>
      <c r="O648" s="841" t="s">
        <v>135</v>
      </c>
      <c r="P648" s="841" t="s">
        <v>1476</v>
      </c>
      <c r="Q648" s="843"/>
      <c r="R648" s="845" t="s">
        <v>2225</v>
      </c>
      <c r="S648" s="1127" t="s">
        <v>2226</v>
      </c>
      <c r="T648" s="843" t="s">
        <v>2227</v>
      </c>
      <c r="U648" s="842">
        <v>4</v>
      </c>
      <c r="V648" s="842" t="s">
        <v>8</v>
      </c>
      <c r="W648" s="846">
        <v>91</v>
      </c>
      <c r="X648" s="847">
        <f t="shared" si="123"/>
        <v>364</v>
      </c>
      <c r="Y648" s="848">
        <f t="shared" si="129"/>
        <v>0.6</v>
      </c>
      <c r="Z648" s="849">
        <v>36.4</v>
      </c>
      <c r="AA648" s="849"/>
      <c r="AB648" s="849">
        <f t="shared" si="124"/>
        <v>145.6</v>
      </c>
      <c r="AC648" s="850">
        <f t="shared" si="125"/>
        <v>145.6</v>
      </c>
      <c r="AD648" s="851"/>
      <c r="AE648" s="852">
        <v>24580</v>
      </c>
      <c r="AF648" s="853">
        <v>0</v>
      </c>
      <c r="AG648" s="854">
        <f t="shared" si="126"/>
        <v>0</v>
      </c>
      <c r="AH648" s="853"/>
      <c r="AI648" s="855">
        <f t="shared" si="127"/>
        <v>0</v>
      </c>
      <c r="AJ648" s="845" t="s">
        <v>1872</v>
      </c>
      <c r="AK648" s="857" t="s">
        <v>1745</v>
      </c>
      <c r="AL648" s="840">
        <v>244737306</v>
      </c>
      <c r="AM648" s="840"/>
      <c r="AN648" s="858"/>
      <c r="AO648" s="844"/>
      <c r="AP648" s="859" t="s">
        <v>1873</v>
      </c>
      <c r="AQ648" s="859"/>
      <c r="AR648" s="859">
        <v>45453</v>
      </c>
      <c r="AS648" s="840" t="s">
        <v>1874</v>
      </c>
      <c r="AT648" s="840" t="s">
        <v>1875</v>
      </c>
      <c r="AU648" s="860" t="s">
        <v>1876</v>
      </c>
      <c r="AV648" s="839" t="s">
        <v>1877</v>
      </c>
      <c r="AW648" s="861">
        <v>45575</v>
      </c>
      <c r="AX648" s="862">
        <v>45582</v>
      </c>
      <c r="AY648" s="843" t="s">
        <v>2228</v>
      </c>
      <c r="AZ648" s="842">
        <v>91059990</v>
      </c>
      <c r="BA648" s="842" t="s">
        <v>120</v>
      </c>
      <c r="BB648" s="863" t="s">
        <v>121</v>
      </c>
      <c r="BC648" s="864">
        <v>45584</v>
      </c>
      <c r="BD648" s="860" t="s">
        <v>1879</v>
      </c>
      <c r="BE648" s="865" cm="1">
        <f t="array" ref="BE648">IF(BD648="","",AC648/SUMPRODUCT(--(BD648=$BD$4:$BD$12824),$AC$4:$AC$12824))</f>
        <v>3.6650710098697892E-3</v>
      </c>
      <c r="BF648" s="458"/>
      <c r="BG648" s="458"/>
      <c r="BH648" s="458"/>
      <c r="BI648" s="458"/>
      <c r="BJ648" s="458"/>
      <c r="BK648" s="458"/>
      <c r="BL648" s="458"/>
      <c r="BM648" s="458"/>
      <c r="BN648" s="458"/>
      <c r="BO648" s="866">
        <f>VLOOKUP(BD648,$BD$4:$BN$12824,3,0)*BE648</f>
        <v>0</v>
      </c>
      <c r="BP648" s="866"/>
      <c r="BQ648" s="866"/>
      <c r="BR648" s="866">
        <f>VLOOKUP(BD648,$BD$4:$BN$12824,6,0)*BE648</f>
        <v>70595.718175069516</v>
      </c>
      <c r="BS648" s="866">
        <f>VLOOKUP(BD648,$BD$4:$BN$12824,7,0)*BE648</f>
        <v>3529.862875244683</v>
      </c>
      <c r="BT648" s="866"/>
      <c r="BU648" s="866">
        <f>VLOOKUP(BD648,$BD$4:$BN$12824,9,0)*BE648</f>
        <v>1832.5355049348946</v>
      </c>
      <c r="BV648" s="867"/>
      <c r="BW648" s="867">
        <f>VLOOKUP(BD648,$BD$4:$BN$12824,11,0)*BE648</f>
        <v>7696.6491207265572</v>
      </c>
      <c r="BX648" s="1146">
        <f t="shared" si="122"/>
        <v>83654.76567597565</v>
      </c>
      <c r="BY648" s="867">
        <f t="shared" si="131"/>
        <v>915625.69141899387</v>
      </c>
      <c r="BZ648" s="867">
        <f t="shared" si="128"/>
        <v>3662502.7656759755</v>
      </c>
      <c r="CA648" s="867">
        <f>_xlfn.MAXIFS($BY$4:$BY$12824,$S$4:$S$12824,$S648)</f>
        <v>975174.26181652397</v>
      </c>
      <c r="CB648" s="1032"/>
      <c r="CC648" s="999" t="s">
        <v>1889</v>
      </c>
      <c r="CF648" s="946">
        <f t="shared" si="130"/>
        <v>3578848</v>
      </c>
    </row>
    <row r="649" spans="1:84">
      <c r="A649" s="1032"/>
      <c r="B649" s="839" t="s">
        <v>98</v>
      </c>
      <c r="C649" s="839" t="s">
        <v>131</v>
      </c>
      <c r="D649" s="839" t="s">
        <v>1868</v>
      </c>
      <c r="E649" s="839" t="s">
        <v>1952</v>
      </c>
      <c r="F649" s="841">
        <v>45520</v>
      </c>
      <c r="G649" s="840" t="s">
        <v>133</v>
      </c>
      <c r="H649" s="842" t="s">
        <v>134</v>
      </c>
      <c r="I649" s="842"/>
      <c r="J649" s="841"/>
      <c r="K649" s="841"/>
      <c r="L649" s="843" t="s">
        <v>106</v>
      </c>
      <c r="M649" s="844" t="s">
        <v>107</v>
      </c>
      <c r="N649" s="841" t="s">
        <v>1869</v>
      </c>
      <c r="O649" s="841" t="s">
        <v>135</v>
      </c>
      <c r="P649" s="841" t="s">
        <v>1476</v>
      </c>
      <c r="Q649" s="843"/>
      <c r="R649" s="845" t="s">
        <v>2229</v>
      </c>
      <c r="S649" s="1127" t="s">
        <v>2230</v>
      </c>
      <c r="T649" s="843" t="s">
        <v>2231</v>
      </c>
      <c r="U649" s="842">
        <v>4</v>
      </c>
      <c r="V649" s="842" t="s">
        <v>8</v>
      </c>
      <c r="W649" s="846">
        <v>91</v>
      </c>
      <c r="X649" s="847">
        <f t="shared" si="123"/>
        <v>364</v>
      </c>
      <c r="Y649" s="848">
        <f t="shared" si="129"/>
        <v>0.6</v>
      </c>
      <c r="Z649" s="849">
        <v>36.4</v>
      </c>
      <c r="AA649" s="849"/>
      <c r="AB649" s="849">
        <f t="shared" si="124"/>
        <v>145.6</v>
      </c>
      <c r="AC649" s="850">
        <f t="shared" si="125"/>
        <v>145.6</v>
      </c>
      <c r="AD649" s="851"/>
      <c r="AE649" s="852">
        <v>24580</v>
      </c>
      <c r="AF649" s="853">
        <v>0</v>
      </c>
      <c r="AG649" s="854">
        <f t="shared" si="126"/>
        <v>0</v>
      </c>
      <c r="AH649" s="853"/>
      <c r="AI649" s="855">
        <f t="shared" si="127"/>
        <v>0</v>
      </c>
      <c r="AJ649" s="845" t="s">
        <v>1872</v>
      </c>
      <c r="AK649" s="857" t="s">
        <v>1745</v>
      </c>
      <c r="AL649" s="840">
        <v>244737306</v>
      </c>
      <c r="AM649" s="840"/>
      <c r="AN649" s="858"/>
      <c r="AO649" s="844"/>
      <c r="AP649" s="859" t="s">
        <v>1873</v>
      </c>
      <c r="AQ649" s="859"/>
      <c r="AR649" s="859">
        <v>45453</v>
      </c>
      <c r="AS649" s="840" t="s">
        <v>1874</v>
      </c>
      <c r="AT649" s="840" t="s">
        <v>1875</v>
      </c>
      <c r="AU649" s="860" t="s">
        <v>1876</v>
      </c>
      <c r="AV649" s="839" t="s">
        <v>1877</v>
      </c>
      <c r="AW649" s="861">
        <v>45575</v>
      </c>
      <c r="AX649" s="862">
        <v>45582</v>
      </c>
      <c r="AY649" s="843" t="s">
        <v>2232</v>
      </c>
      <c r="AZ649" s="842">
        <v>91059990</v>
      </c>
      <c r="BA649" s="842" t="s">
        <v>120</v>
      </c>
      <c r="BB649" s="863" t="s">
        <v>121</v>
      </c>
      <c r="BC649" s="864">
        <v>45584</v>
      </c>
      <c r="BD649" s="860" t="s">
        <v>1879</v>
      </c>
      <c r="BE649" s="865" cm="1">
        <f t="array" ref="BE649">IF(BD649="","",AC649/SUMPRODUCT(--(BD649=$BD$4:$BD$12824),$AC$4:$AC$12824))</f>
        <v>3.6650710098697892E-3</v>
      </c>
      <c r="BF649" s="458"/>
      <c r="BG649" s="458"/>
      <c r="BH649" s="458"/>
      <c r="BI649" s="458"/>
      <c r="BJ649" s="458"/>
      <c r="BK649" s="458"/>
      <c r="BL649" s="458"/>
      <c r="BM649" s="458"/>
      <c r="BN649" s="458"/>
      <c r="BO649" s="866">
        <f>VLOOKUP(BD649,$BD$4:$BN$12824,3,0)*BE649</f>
        <v>0</v>
      </c>
      <c r="BP649" s="866"/>
      <c r="BQ649" s="866"/>
      <c r="BR649" s="866">
        <f>VLOOKUP(BD649,$BD$4:$BN$12824,6,0)*BE649</f>
        <v>70595.718175069516</v>
      </c>
      <c r="BS649" s="866">
        <f>VLOOKUP(BD649,$BD$4:$BN$12824,7,0)*BE649</f>
        <v>3529.862875244683</v>
      </c>
      <c r="BT649" s="866"/>
      <c r="BU649" s="866">
        <f>VLOOKUP(BD649,$BD$4:$BN$12824,9,0)*BE649</f>
        <v>1832.5355049348946</v>
      </c>
      <c r="BV649" s="867"/>
      <c r="BW649" s="867">
        <f>VLOOKUP(BD649,$BD$4:$BN$12824,11,0)*BE649</f>
        <v>7696.6491207265572</v>
      </c>
      <c r="BX649" s="1146">
        <f t="shared" si="122"/>
        <v>83654.76567597565</v>
      </c>
      <c r="BY649" s="867">
        <f t="shared" si="131"/>
        <v>915625.69141899387</v>
      </c>
      <c r="BZ649" s="867">
        <f t="shared" si="128"/>
        <v>3662502.7656759755</v>
      </c>
      <c r="CA649" s="867">
        <f>_xlfn.MAXIFS($BY$4:$BY$12824,$S$4:$S$12824,$S649)</f>
        <v>975174.26181652397</v>
      </c>
      <c r="CB649" s="1032"/>
      <c r="CC649" s="999" t="s">
        <v>1889</v>
      </c>
      <c r="CF649" s="946">
        <f t="shared" si="130"/>
        <v>3578848</v>
      </c>
    </row>
    <row r="650" spans="1:84">
      <c r="A650" s="1032"/>
      <c r="B650" s="839" t="s">
        <v>98</v>
      </c>
      <c r="C650" s="839" t="s">
        <v>131</v>
      </c>
      <c r="D650" s="839" t="s">
        <v>1868</v>
      </c>
      <c r="E650" s="839" t="s">
        <v>1952</v>
      </c>
      <c r="F650" s="841">
        <v>45520</v>
      </c>
      <c r="G650" s="840" t="s">
        <v>133</v>
      </c>
      <c r="H650" s="842" t="s">
        <v>134</v>
      </c>
      <c r="I650" s="842"/>
      <c r="J650" s="841"/>
      <c r="K650" s="841"/>
      <c r="L650" s="843" t="s">
        <v>106</v>
      </c>
      <c r="M650" s="844" t="s">
        <v>107</v>
      </c>
      <c r="N650" s="841" t="s">
        <v>1869</v>
      </c>
      <c r="O650" s="841" t="s">
        <v>135</v>
      </c>
      <c r="P650" s="841" t="s">
        <v>186</v>
      </c>
      <c r="Q650" s="843"/>
      <c r="R650" s="845" t="s">
        <v>2233</v>
      </c>
      <c r="S650" s="1127" t="s">
        <v>2234</v>
      </c>
      <c r="T650" s="843" t="s">
        <v>2235</v>
      </c>
      <c r="U650" s="842">
        <v>4</v>
      </c>
      <c r="V650" s="842" t="s">
        <v>8</v>
      </c>
      <c r="W650" s="846">
        <v>46</v>
      </c>
      <c r="X650" s="847">
        <f t="shared" si="123"/>
        <v>184</v>
      </c>
      <c r="Y650" s="848">
        <f t="shared" si="129"/>
        <v>0.6</v>
      </c>
      <c r="Z650" s="849">
        <v>18.399999999999999</v>
      </c>
      <c r="AA650" s="849"/>
      <c r="AB650" s="849">
        <f t="shared" si="124"/>
        <v>73.599999999999994</v>
      </c>
      <c r="AC650" s="850">
        <f t="shared" si="125"/>
        <v>73.599999999999994</v>
      </c>
      <c r="AD650" s="851"/>
      <c r="AE650" s="852">
        <v>24580</v>
      </c>
      <c r="AF650" s="853">
        <v>0</v>
      </c>
      <c r="AG650" s="854">
        <f t="shared" si="126"/>
        <v>0</v>
      </c>
      <c r="AH650" s="853"/>
      <c r="AI650" s="855">
        <f t="shared" si="127"/>
        <v>0</v>
      </c>
      <c r="AJ650" s="845" t="s">
        <v>1872</v>
      </c>
      <c r="AK650" s="857" t="s">
        <v>1745</v>
      </c>
      <c r="AL650" s="840">
        <v>244737306</v>
      </c>
      <c r="AM650" s="840"/>
      <c r="AN650" s="858"/>
      <c r="AO650" s="844"/>
      <c r="AP650" s="859" t="s">
        <v>1873</v>
      </c>
      <c r="AQ650" s="859"/>
      <c r="AR650" s="859">
        <v>45453</v>
      </c>
      <c r="AS650" s="840" t="s">
        <v>1874</v>
      </c>
      <c r="AT650" s="840" t="s">
        <v>1875</v>
      </c>
      <c r="AU650" s="860" t="s">
        <v>1876</v>
      </c>
      <c r="AV650" s="839" t="s">
        <v>1877</v>
      </c>
      <c r="AW650" s="861">
        <v>45575</v>
      </c>
      <c r="AX650" s="862">
        <v>45582</v>
      </c>
      <c r="AY650" s="843" t="s">
        <v>2236</v>
      </c>
      <c r="AZ650" s="842">
        <v>42029290</v>
      </c>
      <c r="BA650" s="842" t="s">
        <v>120</v>
      </c>
      <c r="BB650" s="863" t="s">
        <v>121</v>
      </c>
      <c r="BC650" s="864">
        <v>45584</v>
      </c>
      <c r="BD650" s="860" t="s">
        <v>1879</v>
      </c>
      <c r="BE650" s="865" cm="1">
        <f t="array" ref="BE650">IF(BD650="","",AC650/SUMPRODUCT(--(BD650=$BD$4:$BD$12824),$AC$4:$AC$12824))</f>
        <v>1.8526732577363769E-3</v>
      </c>
      <c r="BF650" s="458"/>
      <c r="BG650" s="458"/>
      <c r="BH650" s="458"/>
      <c r="BI650" s="458"/>
      <c r="BJ650" s="458"/>
      <c r="BK650" s="458"/>
      <c r="BL650" s="458"/>
      <c r="BM650" s="458"/>
      <c r="BN650" s="458"/>
      <c r="BO650" s="866">
        <f>VLOOKUP(BD650,$BD$4:$BN$12824,3,0)*BE650</f>
        <v>0</v>
      </c>
      <c r="BP650" s="866"/>
      <c r="BQ650" s="866"/>
      <c r="BR650" s="866">
        <f>VLOOKUP(BD650,$BD$4:$BN$12824,6,0)*BE650</f>
        <v>35685.747648936238</v>
      </c>
      <c r="BS650" s="866">
        <f>VLOOKUP(BD650,$BD$4:$BN$12824,7,0)*BE650</f>
        <v>1784.3262885852243</v>
      </c>
      <c r="BT650" s="866"/>
      <c r="BU650" s="866">
        <f>VLOOKUP(BD650,$BD$4:$BN$12824,9,0)*BE650</f>
        <v>926.33662886818843</v>
      </c>
      <c r="BV650" s="867"/>
      <c r="BW650" s="867">
        <f>VLOOKUP(BD650,$BD$4:$BN$12824,11,0)*BE650</f>
        <v>3890.6138412463915</v>
      </c>
      <c r="BX650" s="1146">
        <f t="shared" si="122"/>
        <v>42287.02440763604</v>
      </c>
      <c r="BY650" s="867">
        <f t="shared" si="131"/>
        <v>462843.75610190898</v>
      </c>
      <c r="BZ650" s="867">
        <f t="shared" si="128"/>
        <v>1851375.0244076359</v>
      </c>
      <c r="CA650" s="867">
        <f>_xlfn.MAXIFS($BY$4:$BY$12824,$S$4:$S$12824,$S650)</f>
        <v>462843.75610190898</v>
      </c>
      <c r="CB650" s="1032"/>
      <c r="CC650" s="999" t="s">
        <v>1889</v>
      </c>
      <c r="CF650" s="946">
        <f t="shared" si="130"/>
        <v>1809087.9999999998</v>
      </c>
    </row>
    <row r="651" spans="1:84">
      <c r="A651" s="1032"/>
      <c r="B651" s="839" t="s">
        <v>98</v>
      </c>
      <c r="C651" s="839" t="s">
        <v>131</v>
      </c>
      <c r="D651" s="839" t="s">
        <v>1868</v>
      </c>
      <c r="E651" s="839" t="s">
        <v>1952</v>
      </c>
      <c r="F651" s="841">
        <v>45520</v>
      </c>
      <c r="G651" s="840" t="s">
        <v>133</v>
      </c>
      <c r="H651" s="842" t="s">
        <v>134</v>
      </c>
      <c r="I651" s="842"/>
      <c r="J651" s="841"/>
      <c r="K651" s="841"/>
      <c r="L651" s="843" t="s">
        <v>106</v>
      </c>
      <c r="M651" s="844" t="s">
        <v>107</v>
      </c>
      <c r="N651" s="841" t="s">
        <v>1869</v>
      </c>
      <c r="O651" s="841" t="s">
        <v>135</v>
      </c>
      <c r="P651" s="841" t="s">
        <v>186</v>
      </c>
      <c r="Q651" s="843"/>
      <c r="R651" s="845" t="s">
        <v>2237</v>
      </c>
      <c r="S651" s="1127" t="s">
        <v>2238</v>
      </c>
      <c r="T651" s="843" t="s">
        <v>2239</v>
      </c>
      <c r="U651" s="842">
        <v>16</v>
      </c>
      <c r="V651" s="842" t="s">
        <v>8</v>
      </c>
      <c r="W651" s="846">
        <v>46</v>
      </c>
      <c r="X651" s="847">
        <f t="shared" si="123"/>
        <v>736</v>
      </c>
      <c r="Y651" s="848">
        <f t="shared" si="129"/>
        <v>0.6</v>
      </c>
      <c r="Z651" s="849">
        <v>18.399999999999999</v>
      </c>
      <c r="AA651" s="849"/>
      <c r="AB651" s="849">
        <f t="shared" si="124"/>
        <v>294.39999999999998</v>
      </c>
      <c r="AC651" s="850">
        <f t="shared" si="125"/>
        <v>294.39999999999998</v>
      </c>
      <c r="AD651" s="851"/>
      <c r="AE651" s="852">
        <v>24580</v>
      </c>
      <c r="AF651" s="853">
        <v>0</v>
      </c>
      <c r="AG651" s="854">
        <f t="shared" si="126"/>
        <v>0</v>
      </c>
      <c r="AH651" s="853"/>
      <c r="AI651" s="855">
        <f t="shared" si="127"/>
        <v>0</v>
      </c>
      <c r="AJ651" s="845" t="s">
        <v>1872</v>
      </c>
      <c r="AK651" s="857" t="s">
        <v>1745</v>
      </c>
      <c r="AL651" s="840">
        <v>244737306</v>
      </c>
      <c r="AM651" s="840"/>
      <c r="AN651" s="858"/>
      <c r="AO651" s="844"/>
      <c r="AP651" s="859" t="s">
        <v>1873</v>
      </c>
      <c r="AQ651" s="859"/>
      <c r="AR651" s="859">
        <v>45453</v>
      </c>
      <c r="AS651" s="840" t="s">
        <v>1874</v>
      </c>
      <c r="AT651" s="840" t="s">
        <v>1875</v>
      </c>
      <c r="AU651" s="860" t="s">
        <v>1876</v>
      </c>
      <c r="AV651" s="839" t="s">
        <v>1877</v>
      </c>
      <c r="AW651" s="861">
        <v>45575</v>
      </c>
      <c r="AX651" s="862">
        <v>45582</v>
      </c>
      <c r="AY651" s="843" t="s">
        <v>2240</v>
      </c>
      <c r="AZ651" s="842">
        <v>42029290</v>
      </c>
      <c r="BA651" s="842" t="s">
        <v>120</v>
      </c>
      <c r="BB651" s="863" t="s">
        <v>121</v>
      </c>
      <c r="BC651" s="864">
        <v>45584</v>
      </c>
      <c r="BD651" s="860" t="s">
        <v>1879</v>
      </c>
      <c r="BE651" s="865" cm="1">
        <f t="array" ref="BE651">IF(BD651="","",AC651/SUMPRODUCT(--(BD651=$BD$4:$BD$12824),$AC$4:$AC$12824))</f>
        <v>7.4106930309455078E-3</v>
      </c>
      <c r="BF651" s="458"/>
      <c r="BG651" s="458"/>
      <c r="BH651" s="458"/>
      <c r="BI651" s="458"/>
      <c r="BJ651" s="458"/>
      <c r="BK651" s="458"/>
      <c r="BL651" s="458"/>
      <c r="BM651" s="458"/>
      <c r="BN651" s="458"/>
      <c r="BO651" s="866">
        <f>VLOOKUP(BD651,$BD$4:$BN$12824,3,0)*BE651</f>
        <v>0</v>
      </c>
      <c r="BP651" s="866"/>
      <c r="BQ651" s="866"/>
      <c r="BR651" s="866">
        <f>VLOOKUP(BD651,$BD$4:$BN$12824,6,0)*BE651</f>
        <v>142742.99059574495</v>
      </c>
      <c r="BS651" s="866">
        <f>VLOOKUP(BD651,$BD$4:$BN$12824,7,0)*BE651</f>
        <v>7137.3051543408974</v>
      </c>
      <c r="BT651" s="866"/>
      <c r="BU651" s="866">
        <f>VLOOKUP(BD651,$BD$4:$BN$12824,9,0)*BE651</f>
        <v>3705.3465154727537</v>
      </c>
      <c r="BV651" s="867"/>
      <c r="BW651" s="867">
        <f>VLOOKUP(BD651,$BD$4:$BN$12824,11,0)*BE651</f>
        <v>15562.455364985566</v>
      </c>
      <c r="BX651" s="1146">
        <f t="shared" si="122"/>
        <v>169148.09763054416</v>
      </c>
      <c r="BY651" s="867">
        <f t="shared" si="131"/>
        <v>462843.75610190898</v>
      </c>
      <c r="BZ651" s="867">
        <f t="shared" si="128"/>
        <v>7405500.0976305436</v>
      </c>
      <c r="CA651" s="867">
        <f>_xlfn.MAXIFS($BY$4:$BY$12824,$S$4:$S$12824,$S651)</f>
        <v>462843.75610190898</v>
      </c>
      <c r="CB651" s="1032"/>
      <c r="CC651" s="999" t="s">
        <v>1889</v>
      </c>
      <c r="CF651" s="946">
        <f t="shared" si="130"/>
        <v>7236351.9999999991</v>
      </c>
    </row>
    <row r="652" spans="1:84">
      <c r="A652" s="1032"/>
      <c r="B652" s="839" t="s">
        <v>98</v>
      </c>
      <c r="C652" s="839" t="s">
        <v>131</v>
      </c>
      <c r="D652" s="839" t="s">
        <v>1868</v>
      </c>
      <c r="E652" s="839" t="s">
        <v>1952</v>
      </c>
      <c r="F652" s="841">
        <v>45520</v>
      </c>
      <c r="G652" s="840" t="s">
        <v>133</v>
      </c>
      <c r="H652" s="842" t="s">
        <v>134</v>
      </c>
      <c r="I652" s="842"/>
      <c r="J652" s="841"/>
      <c r="K652" s="841"/>
      <c r="L652" s="843" t="s">
        <v>106</v>
      </c>
      <c r="M652" s="844" t="s">
        <v>107</v>
      </c>
      <c r="N652" s="841" t="s">
        <v>1869</v>
      </c>
      <c r="O652" s="841" t="s">
        <v>135</v>
      </c>
      <c r="P652" s="841" t="s">
        <v>2021</v>
      </c>
      <c r="Q652" s="843"/>
      <c r="R652" s="845" t="s">
        <v>2241</v>
      </c>
      <c r="S652" s="1127" t="s">
        <v>2242</v>
      </c>
      <c r="T652" s="843" t="s">
        <v>2243</v>
      </c>
      <c r="U652" s="842">
        <v>12</v>
      </c>
      <c r="V652" s="842" t="s">
        <v>8</v>
      </c>
      <c r="W652" s="846">
        <v>30</v>
      </c>
      <c r="X652" s="847">
        <f t="shared" si="123"/>
        <v>360</v>
      </c>
      <c r="Y652" s="848">
        <f t="shared" si="129"/>
        <v>0.6</v>
      </c>
      <c r="Z652" s="849">
        <v>12</v>
      </c>
      <c r="AA652" s="849"/>
      <c r="AB652" s="849">
        <f t="shared" si="124"/>
        <v>144</v>
      </c>
      <c r="AC652" s="850">
        <f t="shared" si="125"/>
        <v>144</v>
      </c>
      <c r="AD652" s="851"/>
      <c r="AE652" s="852">
        <v>24580</v>
      </c>
      <c r="AF652" s="853">
        <v>0</v>
      </c>
      <c r="AG652" s="854">
        <f t="shared" si="126"/>
        <v>0</v>
      </c>
      <c r="AH652" s="853"/>
      <c r="AI652" s="855">
        <f t="shared" si="127"/>
        <v>0</v>
      </c>
      <c r="AJ652" s="845" t="s">
        <v>1872</v>
      </c>
      <c r="AK652" s="857" t="s">
        <v>1745</v>
      </c>
      <c r="AL652" s="840">
        <v>244737306</v>
      </c>
      <c r="AM652" s="840"/>
      <c r="AN652" s="858"/>
      <c r="AO652" s="844"/>
      <c r="AP652" s="859" t="s">
        <v>1873</v>
      </c>
      <c r="AQ652" s="859"/>
      <c r="AR652" s="859">
        <v>45453</v>
      </c>
      <c r="AS652" s="840" t="s">
        <v>1874</v>
      </c>
      <c r="AT652" s="840" t="s">
        <v>1875</v>
      </c>
      <c r="AU652" s="860" t="s">
        <v>1876</v>
      </c>
      <c r="AV652" s="839" t="s">
        <v>1877</v>
      </c>
      <c r="AW652" s="861">
        <v>45575</v>
      </c>
      <c r="AX652" s="862">
        <v>45582</v>
      </c>
      <c r="AY652" s="843" t="s">
        <v>2244</v>
      </c>
      <c r="AZ652" s="842">
        <v>39249090</v>
      </c>
      <c r="BA652" s="842" t="s">
        <v>120</v>
      </c>
      <c r="BB652" s="863" t="s">
        <v>121</v>
      </c>
      <c r="BC652" s="864">
        <v>45584</v>
      </c>
      <c r="BD652" s="860" t="s">
        <v>1879</v>
      </c>
      <c r="BE652" s="865" cm="1">
        <f t="array" ref="BE652">IF(BD652="","",AC652/SUMPRODUCT(--(BD652=$BD$4:$BD$12824),$AC$4:$AC$12824))</f>
        <v>3.6247955042668246E-3</v>
      </c>
      <c r="BF652" s="458"/>
      <c r="BG652" s="458"/>
      <c r="BH652" s="458"/>
      <c r="BI652" s="458"/>
      <c r="BJ652" s="458"/>
      <c r="BK652" s="458"/>
      <c r="BL652" s="458"/>
      <c r="BM652" s="458"/>
      <c r="BN652" s="458"/>
      <c r="BO652" s="866">
        <f>VLOOKUP(BD652,$BD$4:$BN$12824,3,0)*BE652</f>
        <v>0</v>
      </c>
      <c r="BP652" s="866"/>
      <c r="BQ652" s="866"/>
      <c r="BR652" s="866">
        <f>VLOOKUP(BD652,$BD$4:$BN$12824,6,0)*BE652</f>
        <v>69819.941052266557</v>
      </c>
      <c r="BS652" s="866">
        <f>VLOOKUP(BD652,$BD$4:$BN$12824,7,0)*BE652</f>
        <v>3491.0731733189173</v>
      </c>
      <c r="BT652" s="866"/>
      <c r="BU652" s="866">
        <f>VLOOKUP(BD652,$BD$4:$BN$12824,9,0)*BE652</f>
        <v>1812.3977521334123</v>
      </c>
      <c r="BV652" s="867"/>
      <c r="BW652" s="867">
        <f>VLOOKUP(BD652,$BD$4:$BN$12824,11,0)*BE652</f>
        <v>7612.0705589603313</v>
      </c>
      <c r="BX652" s="1146">
        <f t="shared" si="122"/>
        <v>82735.482536679221</v>
      </c>
      <c r="BY652" s="867">
        <f t="shared" si="131"/>
        <v>301854.62354472326</v>
      </c>
      <c r="BZ652" s="867">
        <f t="shared" si="128"/>
        <v>3622255.4825366791</v>
      </c>
      <c r="CA652" s="867">
        <f>_xlfn.MAXIFS($BY$4:$BY$12824,$S$4:$S$12824,$S652)</f>
        <v>301854.62354472326</v>
      </c>
      <c r="CB652" s="1032"/>
      <c r="CC652" s="999" t="s">
        <v>1889</v>
      </c>
      <c r="CF652" s="946">
        <f t="shared" si="130"/>
        <v>3539520</v>
      </c>
    </row>
    <row r="653" spans="1:84">
      <c r="A653" s="1032"/>
      <c r="B653" s="839" t="s">
        <v>98</v>
      </c>
      <c r="C653" s="839" t="s">
        <v>131</v>
      </c>
      <c r="D653" s="839" t="s">
        <v>1868</v>
      </c>
      <c r="E653" s="839" t="s">
        <v>1952</v>
      </c>
      <c r="F653" s="841">
        <v>45520</v>
      </c>
      <c r="G653" s="840" t="s">
        <v>133</v>
      </c>
      <c r="H653" s="842" t="s">
        <v>134</v>
      </c>
      <c r="I653" s="842"/>
      <c r="J653" s="841"/>
      <c r="K653" s="841"/>
      <c r="L653" s="843" t="s">
        <v>106</v>
      </c>
      <c r="M653" s="844" t="s">
        <v>107</v>
      </c>
      <c r="N653" s="841" t="s">
        <v>1869</v>
      </c>
      <c r="O653" s="841" t="s">
        <v>135</v>
      </c>
      <c r="P653" s="841" t="s">
        <v>2021</v>
      </c>
      <c r="Q653" s="843"/>
      <c r="R653" s="845" t="s">
        <v>2245</v>
      </c>
      <c r="S653" s="1127" t="s">
        <v>2246</v>
      </c>
      <c r="T653" s="843" t="s">
        <v>2247</v>
      </c>
      <c r="U653" s="842">
        <v>12</v>
      </c>
      <c r="V653" s="842" t="s">
        <v>8</v>
      </c>
      <c r="W653" s="846">
        <v>30</v>
      </c>
      <c r="X653" s="847">
        <f t="shared" si="123"/>
        <v>360</v>
      </c>
      <c r="Y653" s="848">
        <f t="shared" si="129"/>
        <v>0.6</v>
      </c>
      <c r="Z653" s="849">
        <v>12</v>
      </c>
      <c r="AA653" s="849"/>
      <c r="AB653" s="849">
        <f t="shared" si="124"/>
        <v>144</v>
      </c>
      <c r="AC653" s="850">
        <f t="shared" si="125"/>
        <v>144</v>
      </c>
      <c r="AD653" s="851"/>
      <c r="AE653" s="852">
        <v>24580</v>
      </c>
      <c r="AF653" s="853">
        <v>0</v>
      </c>
      <c r="AG653" s="854">
        <f t="shared" si="126"/>
        <v>0</v>
      </c>
      <c r="AH653" s="853"/>
      <c r="AI653" s="855">
        <f t="shared" si="127"/>
        <v>0</v>
      </c>
      <c r="AJ653" s="845" t="s">
        <v>1872</v>
      </c>
      <c r="AK653" s="857" t="s">
        <v>1745</v>
      </c>
      <c r="AL653" s="840">
        <v>244737306</v>
      </c>
      <c r="AM653" s="840"/>
      <c r="AN653" s="858"/>
      <c r="AO653" s="844"/>
      <c r="AP653" s="859" t="s">
        <v>1873</v>
      </c>
      <c r="AQ653" s="859"/>
      <c r="AR653" s="859">
        <v>45453</v>
      </c>
      <c r="AS653" s="840" t="s">
        <v>1874</v>
      </c>
      <c r="AT653" s="840" t="s">
        <v>1875</v>
      </c>
      <c r="AU653" s="860" t="s">
        <v>1876</v>
      </c>
      <c r="AV653" s="839" t="s">
        <v>1877</v>
      </c>
      <c r="AW653" s="861">
        <v>45575</v>
      </c>
      <c r="AX653" s="862">
        <v>45582</v>
      </c>
      <c r="AY653" s="843" t="s">
        <v>2248</v>
      </c>
      <c r="AZ653" s="842">
        <v>39249090</v>
      </c>
      <c r="BA653" s="842" t="s">
        <v>120</v>
      </c>
      <c r="BB653" s="863" t="s">
        <v>121</v>
      </c>
      <c r="BC653" s="864">
        <v>45584</v>
      </c>
      <c r="BD653" s="860" t="s">
        <v>1879</v>
      </c>
      <c r="BE653" s="865" cm="1">
        <f t="array" ref="BE653">IF(BD653="","",AC653/SUMPRODUCT(--(BD653=$BD$4:$BD$12824),$AC$4:$AC$12824))</f>
        <v>3.6247955042668246E-3</v>
      </c>
      <c r="BF653" s="458"/>
      <c r="BG653" s="458"/>
      <c r="BH653" s="458"/>
      <c r="BI653" s="458"/>
      <c r="BJ653" s="458"/>
      <c r="BK653" s="458"/>
      <c r="BL653" s="458"/>
      <c r="BM653" s="458"/>
      <c r="BN653" s="458"/>
      <c r="BO653" s="866">
        <f>VLOOKUP(BD653,$BD$4:$BN$12824,3,0)*BE653</f>
        <v>0</v>
      </c>
      <c r="BP653" s="866"/>
      <c r="BQ653" s="866"/>
      <c r="BR653" s="866">
        <f>VLOOKUP(BD653,$BD$4:$BN$12824,6,0)*BE653</f>
        <v>69819.941052266557</v>
      </c>
      <c r="BS653" s="866">
        <f>VLOOKUP(BD653,$BD$4:$BN$12824,7,0)*BE653</f>
        <v>3491.0731733189173</v>
      </c>
      <c r="BT653" s="866"/>
      <c r="BU653" s="866">
        <f>VLOOKUP(BD653,$BD$4:$BN$12824,9,0)*BE653</f>
        <v>1812.3977521334123</v>
      </c>
      <c r="BV653" s="867"/>
      <c r="BW653" s="867">
        <f>VLOOKUP(BD653,$BD$4:$BN$12824,11,0)*BE653</f>
        <v>7612.0705589603313</v>
      </c>
      <c r="BX653" s="1146">
        <f t="shared" si="122"/>
        <v>82735.482536679221</v>
      </c>
      <c r="BY653" s="867">
        <f t="shared" si="131"/>
        <v>301854.62354472326</v>
      </c>
      <c r="BZ653" s="867">
        <f t="shared" si="128"/>
        <v>3622255.4825366791</v>
      </c>
      <c r="CA653" s="867">
        <f>_xlfn.MAXIFS($BY$4:$BY$12824,$S$4:$S$12824,$S653)</f>
        <v>301854.62354472326</v>
      </c>
      <c r="CB653" s="1032"/>
      <c r="CC653" s="999" t="s">
        <v>1889</v>
      </c>
      <c r="CF653" s="946">
        <f t="shared" si="130"/>
        <v>3539520</v>
      </c>
    </row>
    <row r="654" spans="1:84">
      <c r="A654" s="1032"/>
      <c r="B654" s="839" t="s">
        <v>98</v>
      </c>
      <c r="C654" s="839" t="s">
        <v>131</v>
      </c>
      <c r="D654" s="839" t="s">
        <v>1868</v>
      </c>
      <c r="E654" s="839" t="s">
        <v>1952</v>
      </c>
      <c r="F654" s="841">
        <v>45520</v>
      </c>
      <c r="G654" s="840" t="s">
        <v>133</v>
      </c>
      <c r="H654" s="842" t="s">
        <v>134</v>
      </c>
      <c r="I654" s="842"/>
      <c r="J654" s="841"/>
      <c r="K654" s="841"/>
      <c r="L654" s="843" t="s">
        <v>106</v>
      </c>
      <c r="M654" s="844" t="s">
        <v>107</v>
      </c>
      <c r="N654" s="841" t="s">
        <v>1869</v>
      </c>
      <c r="O654" s="841" t="s">
        <v>135</v>
      </c>
      <c r="P654" s="841" t="s">
        <v>2021</v>
      </c>
      <c r="Q654" s="843"/>
      <c r="R654" s="845" t="s">
        <v>2249</v>
      </c>
      <c r="S654" s="1127" t="s">
        <v>2250</v>
      </c>
      <c r="T654" s="843" t="s">
        <v>2251</v>
      </c>
      <c r="U654" s="842">
        <v>8</v>
      </c>
      <c r="V654" s="842" t="s">
        <v>8</v>
      </c>
      <c r="W654" s="846">
        <v>46</v>
      </c>
      <c r="X654" s="847">
        <f t="shared" si="123"/>
        <v>368</v>
      </c>
      <c r="Y654" s="848">
        <f t="shared" si="129"/>
        <v>0.6</v>
      </c>
      <c r="Z654" s="849">
        <v>18.399999999999999</v>
      </c>
      <c r="AA654" s="849"/>
      <c r="AB654" s="849">
        <f t="shared" si="124"/>
        <v>147.19999999999999</v>
      </c>
      <c r="AC654" s="850">
        <f t="shared" si="125"/>
        <v>147.19999999999999</v>
      </c>
      <c r="AD654" s="851"/>
      <c r="AE654" s="852">
        <v>24580</v>
      </c>
      <c r="AF654" s="853">
        <v>0</v>
      </c>
      <c r="AG654" s="854">
        <f t="shared" si="126"/>
        <v>0</v>
      </c>
      <c r="AH654" s="853"/>
      <c r="AI654" s="855">
        <f t="shared" si="127"/>
        <v>0</v>
      </c>
      <c r="AJ654" s="845" t="s">
        <v>1872</v>
      </c>
      <c r="AK654" s="857" t="s">
        <v>1745</v>
      </c>
      <c r="AL654" s="840">
        <v>244737306</v>
      </c>
      <c r="AM654" s="840"/>
      <c r="AN654" s="858"/>
      <c r="AO654" s="844"/>
      <c r="AP654" s="859" t="s">
        <v>1873</v>
      </c>
      <c r="AQ654" s="859"/>
      <c r="AR654" s="859">
        <v>45453</v>
      </c>
      <c r="AS654" s="840" t="s">
        <v>1874</v>
      </c>
      <c r="AT654" s="840" t="s">
        <v>1875</v>
      </c>
      <c r="AU654" s="860" t="s">
        <v>1876</v>
      </c>
      <c r="AV654" s="839" t="s">
        <v>1877</v>
      </c>
      <c r="AW654" s="861">
        <v>45575</v>
      </c>
      <c r="AX654" s="862">
        <v>45582</v>
      </c>
      <c r="AY654" s="843" t="s">
        <v>2252</v>
      </c>
      <c r="AZ654" s="842">
        <v>39249090</v>
      </c>
      <c r="BA654" s="842" t="s">
        <v>120</v>
      </c>
      <c r="BB654" s="863" t="s">
        <v>121</v>
      </c>
      <c r="BC654" s="864">
        <v>45584</v>
      </c>
      <c r="BD654" s="860" t="s">
        <v>1879</v>
      </c>
      <c r="BE654" s="865" cm="1">
        <f t="array" ref="BE654">IF(BD654="","",AC654/SUMPRODUCT(--(BD654=$BD$4:$BD$12824),$AC$4:$AC$12824))</f>
        <v>3.7053465154727539E-3</v>
      </c>
      <c r="BF654" s="458"/>
      <c r="BG654" s="458"/>
      <c r="BH654" s="458"/>
      <c r="BI654" s="458"/>
      <c r="BJ654" s="458"/>
      <c r="BK654" s="458"/>
      <c r="BL654" s="458"/>
      <c r="BM654" s="458"/>
      <c r="BN654" s="458"/>
      <c r="BO654" s="866">
        <f>VLOOKUP(BD654,$BD$4:$BN$12824,3,0)*BE654</f>
        <v>0</v>
      </c>
      <c r="BP654" s="866"/>
      <c r="BQ654" s="866"/>
      <c r="BR654" s="866">
        <f>VLOOKUP(BD654,$BD$4:$BN$12824,6,0)*BE654</f>
        <v>71371.495297872476</v>
      </c>
      <c r="BS654" s="866">
        <f>VLOOKUP(BD654,$BD$4:$BN$12824,7,0)*BE654</f>
        <v>3568.6525771704487</v>
      </c>
      <c r="BT654" s="866"/>
      <c r="BU654" s="866">
        <f>VLOOKUP(BD654,$BD$4:$BN$12824,9,0)*BE654</f>
        <v>1852.6732577363769</v>
      </c>
      <c r="BV654" s="867"/>
      <c r="BW654" s="867">
        <f>VLOOKUP(BD654,$BD$4:$BN$12824,11,0)*BE654</f>
        <v>7781.2276824927831</v>
      </c>
      <c r="BX654" s="1146">
        <f t="shared" si="122"/>
        <v>84574.048815272079</v>
      </c>
      <c r="BY654" s="867">
        <f t="shared" si="131"/>
        <v>462843.75610190898</v>
      </c>
      <c r="BZ654" s="867">
        <f t="shared" si="128"/>
        <v>3702750.0488152718</v>
      </c>
      <c r="CA654" s="867">
        <f>_xlfn.MAXIFS($BY$4:$BY$12824,$S$4:$S$12824,$S654)</f>
        <v>462843.75610190898</v>
      </c>
      <c r="CB654" s="1032"/>
      <c r="CC654" s="999" t="s">
        <v>1889</v>
      </c>
      <c r="CF654" s="946">
        <f t="shared" si="130"/>
        <v>3618175.9999999995</v>
      </c>
    </row>
    <row r="655" spans="1:84">
      <c r="A655" s="1032"/>
      <c r="B655" s="839" t="s">
        <v>98</v>
      </c>
      <c r="C655" s="839" t="s">
        <v>131</v>
      </c>
      <c r="D655" s="839" t="s">
        <v>1868</v>
      </c>
      <c r="E655" s="839" t="s">
        <v>1952</v>
      </c>
      <c r="F655" s="841">
        <v>45520</v>
      </c>
      <c r="G655" s="840" t="s">
        <v>133</v>
      </c>
      <c r="H655" s="842" t="s">
        <v>134</v>
      </c>
      <c r="I655" s="842"/>
      <c r="J655" s="841"/>
      <c r="K655" s="841"/>
      <c r="L655" s="843" t="s">
        <v>106</v>
      </c>
      <c r="M655" s="844" t="s">
        <v>107</v>
      </c>
      <c r="N655" s="841" t="s">
        <v>1869</v>
      </c>
      <c r="O655" s="841" t="s">
        <v>135</v>
      </c>
      <c r="P655" s="841" t="s">
        <v>2021</v>
      </c>
      <c r="Q655" s="843"/>
      <c r="R655" s="845" t="s">
        <v>2253</v>
      </c>
      <c r="S655" s="1127" t="s">
        <v>2254</v>
      </c>
      <c r="T655" s="843" t="s">
        <v>2255</v>
      </c>
      <c r="U655" s="842">
        <v>8</v>
      </c>
      <c r="V655" s="842" t="s">
        <v>8</v>
      </c>
      <c r="W655" s="846">
        <v>46</v>
      </c>
      <c r="X655" s="847">
        <f t="shared" si="123"/>
        <v>368</v>
      </c>
      <c r="Y655" s="848">
        <f t="shared" si="129"/>
        <v>0.6</v>
      </c>
      <c r="Z655" s="849">
        <v>18.399999999999999</v>
      </c>
      <c r="AA655" s="849"/>
      <c r="AB655" s="849">
        <f t="shared" si="124"/>
        <v>147.19999999999999</v>
      </c>
      <c r="AC655" s="850">
        <f t="shared" si="125"/>
        <v>147.19999999999999</v>
      </c>
      <c r="AD655" s="851"/>
      <c r="AE655" s="852">
        <v>24580</v>
      </c>
      <c r="AF655" s="853">
        <v>0</v>
      </c>
      <c r="AG655" s="854">
        <f t="shared" si="126"/>
        <v>0</v>
      </c>
      <c r="AH655" s="853"/>
      <c r="AI655" s="855">
        <f t="shared" si="127"/>
        <v>0</v>
      </c>
      <c r="AJ655" s="845" t="s">
        <v>1872</v>
      </c>
      <c r="AK655" s="857" t="s">
        <v>1745</v>
      </c>
      <c r="AL655" s="840">
        <v>244737306</v>
      </c>
      <c r="AM655" s="840"/>
      <c r="AN655" s="858"/>
      <c r="AO655" s="844"/>
      <c r="AP655" s="859" t="s">
        <v>1873</v>
      </c>
      <c r="AQ655" s="859"/>
      <c r="AR655" s="859">
        <v>45453</v>
      </c>
      <c r="AS655" s="840" t="s">
        <v>1874</v>
      </c>
      <c r="AT655" s="840" t="s">
        <v>1875</v>
      </c>
      <c r="AU655" s="860" t="s">
        <v>1876</v>
      </c>
      <c r="AV655" s="839" t="s">
        <v>1877</v>
      </c>
      <c r="AW655" s="861">
        <v>45575</v>
      </c>
      <c r="AX655" s="862">
        <v>45582</v>
      </c>
      <c r="AY655" s="843" t="s">
        <v>2256</v>
      </c>
      <c r="AZ655" s="842">
        <v>39249090</v>
      </c>
      <c r="BA655" s="842" t="s">
        <v>120</v>
      </c>
      <c r="BB655" s="863" t="s">
        <v>121</v>
      </c>
      <c r="BC655" s="864">
        <v>45584</v>
      </c>
      <c r="BD655" s="860" t="s">
        <v>1879</v>
      </c>
      <c r="BE655" s="865" cm="1">
        <f t="array" ref="BE655">IF(BD655="","",AC655/SUMPRODUCT(--(BD655=$BD$4:$BD$12824),$AC$4:$AC$12824))</f>
        <v>3.7053465154727539E-3</v>
      </c>
      <c r="BF655" s="458"/>
      <c r="BG655" s="458"/>
      <c r="BH655" s="458"/>
      <c r="BI655" s="458"/>
      <c r="BJ655" s="458"/>
      <c r="BK655" s="458"/>
      <c r="BL655" s="458"/>
      <c r="BM655" s="458"/>
      <c r="BN655" s="458"/>
      <c r="BO655" s="866">
        <f>VLOOKUP(BD655,$BD$4:$BN$12824,3,0)*BE655</f>
        <v>0</v>
      </c>
      <c r="BP655" s="866"/>
      <c r="BQ655" s="866"/>
      <c r="BR655" s="866">
        <f>VLOOKUP(BD655,$BD$4:$BN$12824,6,0)*BE655</f>
        <v>71371.495297872476</v>
      </c>
      <c r="BS655" s="866">
        <f>VLOOKUP(BD655,$BD$4:$BN$12824,7,0)*BE655</f>
        <v>3568.6525771704487</v>
      </c>
      <c r="BT655" s="866"/>
      <c r="BU655" s="866">
        <f>VLOOKUP(BD655,$BD$4:$BN$12824,9,0)*BE655</f>
        <v>1852.6732577363769</v>
      </c>
      <c r="BV655" s="867"/>
      <c r="BW655" s="867">
        <f>VLOOKUP(BD655,$BD$4:$BN$12824,11,0)*BE655</f>
        <v>7781.2276824927831</v>
      </c>
      <c r="BX655" s="1146">
        <f t="shared" si="122"/>
        <v>84574.048815272079</v>
      </c>
      <c r="BY655" s="867">
        <f t="shared" si="131"/>
        <v>462843.75610190898</v>
      </c>
      <c r="BZ655" s="867">
        <f t="shared" si="128"/>
        <v>3702750.0488152718</v>
      </c>
      <c r="CA655" s="867">
        <f>_xlfn.MAXIFS($BY$4:$BY$12824,$S$4:$S$12824,$S655)</f>
        <v>462843.75610190898</v>
      </c>
      <c r="CB655" s="1032"/>
      <c r="CC655" s="999" t="s">
        <v>1889</v>
      </c>
      <c r="CF655" s="946">
        <f t="shared" si="130"/>
        <v>3618175.9999999995</v>
      </c>
    </row>
    <row r="656" spans="1:84">
      <c r="A656" s="1032"/>
      <c r="B656" s="839" t="s">
        <v>98</v>
      </c>
      <c r="C656" s="839" t="s">
        <v>131</v>
      </c>
      <c r="D656" s="839" t="s">
        <v>1868</v>
      </c>
      <c r="E656" s="839" t="s">
        <v>1952</v>
      </c>
      <c r="F656" s="841">
        <v>45520</v>
      </c>
      <c r="G656" s="840" t="s">
        <v>133</v>
      </c>
      <c r="H656" s="842" t="s">
        <v>134</v>
      </c>
      <c r="I656" s="842"/>
      <c r="J656" s="841"/>
      <c r="K656" s="841"/>
      <c r="L656" s="843" t="s">
        <v>106</v>
      </c>
      <c r="M656" s="844" t="s">
        <v>107</v>
      </c>
      <c r="N656" s="841" t="s">
        <v>1869</v>
      </c>
      <c r="O656" s="841" t="s">
        <v>135</v>
      </c>
      <c r="P656" s="841" t="s">
        <v>186</v>
      </c>
      <c r="Q656" s="843"/>
      <c r="R656" s="845">
        <v>542594</v>
      </c>
      <c r="S656" s="1127" t="s">
        <v>2257</v>
      </c>
      <c r="T656" s="843" t="s">
        <v>2258</v>
      </c>
      <c r="U656" s="842">
        <v>18</v>
      </c>
      <c r="V656" s="842" t="s">
        <v>8</v>
      </c>
      <c r="W656" s="846">
        <v>41</v>
      </c>
      <c r="X656" s="847">
        <f t="shared" si="123"/>
        <v>738</v>
      </c>
      <c r="Y656" s="848">
        <f t="shared" si="129"/>
        <v>0.60000000000000009</v>
      </c>
      <c r="Z656" s="849">
        <v>16.399999999999999</v>
      </c>
      <c r="AA656" s="849"/>
      <c r="AB656" s="849">
        <f t="shared" si="124"/>
        <v>295.2</v>
      </c>
      <c r="AC656" s="850">
        <f t="shared" si="125"/>
        <v>295.2</v>
      </c>
      <c r="AD656" s="851"/>
      <c r="AE656" s="852">
        <v>24580</v>
      </c>
      <c r="AF656" s="853">
        <v>0</v>
      </c>
      <c r="AG656" s="854">
        <f t="shared" si="126"/>
        <v>0</v>
      </c>
      <c r="AH656" s="853"/>
      <c r="AI656" s="855">
        <f t="shared" si="127"/>
        <v>0</v>
      </c>
      <c r="AJ656" s="845" t="s">
        <v>1872</v>
      </c>
      <c r="AK656" s="857" t="s">
        <v>1745</v>
      </c>
      <c r="AL656" s="840">
        <v>244737306</v>
      </c>
      <c r="AM656" s="840"/>
      <c r="AN656" s="858"/>
      <c r="AO656" s="844"/>
      <c r="AP656" s="859" t="s">
        <v>1873</v>
      </c>
      <c r="AQ656" s="859"/>
      <c r="AR656" s="859">
        <v>45453</v>
      </c>
      <c r="AS656" s="840" t="s">
        <v>1874</v>
      </c>
      <c r="AT656" s="840" t="s">
        <v>1875</v>
      </c>
      <c r="AU656" s="860" t="s">
        <v>1876</v>
      </c>
      <c r="AV656" s="839" t="s">
        <v>1877</v>
      </c>
      <c r="AW656" s="861">
        <v>45575</v>
      </c>
      <c r="AX656" s="862">
        <v>45582</v>
      </c>
      <c r="AY656" s="843" t="s">
        <v>2259</v>
      </c>
      <c r="AZ656" s="842">
        <v>73269099</v>
      </c>
      <c r="BA656" s="842" t="s">
        <v>120</v>
      </c>
      <c r="BB656" s="863" t="s">
        <v>121</v>
      </c>
      <c r="BC656" s="864">
        <v>45584</v>
      </c>
      <c r="BD656" s="860" t="s">
        <v>1879</v>
      </c>
      <c r="BE656" s="865" cm="1">
        <f t="array" ref="BE656">IF(BD656="","",AC656/SUMPRODUCT(--(BD656=$BD$4:$BD$12824),$AC$4:$AC$12824))</f>
        <v>7.4308307837469903E-3</v>
      </c>
      <c r="BF656" s="458"/>
      <c r="BG656" s="458"/>
      <c r="BH656" s="458"/>
      <c r="BI656" s="458"/>
      <c r="BJ656" s="458"/>
      <c r="BK656" s="458"/>
      <c r="BL656" s="458"/>
      <c r="BM656" s="458"/>
      <c r="BN656" s="458"/>
      <c r="BO656" s="866">
        <f>VLOOKUP(BD656,$BD$4:$BN$12824,3,0)*BE656</f>
        <v>0</v>
      </c>
      <c r="BP656" s="866"/>
      <c r="BQ656" s="866"/>
      <c r="BR656" s="866">
        <f>VLOOKUP(BD656,$BD$4:$BN$12824,6,0)*BE656</f>
        <v>143130.87915714644</v>
      </c>
      <c r="BS656" s="866">
        <f>VLOOKUP(BD656,$BD$4:$BN$12824,7,0)*BE656</f>
        <v>7156.70000530378</v>
      </c>
      <c r="BT656" s="866"/>
      <c r="BU656" s="866">
        <f>VLOOKUP(BD656,$BD$4:$BN$12824,9,0)*BE656</f>
        <v>3715.4153918734951</v>
      </c>
      <c r="BV656" s="867"/>
      <c r="BW656" s="867">
        <f>VLOOKUP(BD656,$BD$4:$BN$12824,11,0)*BE656</f>
        <v>15604.744645868679</v>
      </c>
      <c r="BX656" s="1146">
        <f t="shared" si="122"/>
        <v>169607.73920019239</v>
      </c>
      <c r="BY656" s="867">
        <f t="shared" si="131"/>
        <v>412534.65217778849</v>
      </c>
      <c r="BZ656" s="867">
        <f t="shared" si="128"/>
        <v>7425623.7392001925</v>
      </c>
      <c r="CA656" s="867">
        <f>_xlfn.MAXIFS($BY$4:$BY$12824,$S$4:$S$12824,$S656)</f>
        <v>412534.65217778849</v>
      </c>
      <c r="CB656" s="1032"/>
      <c r="CC656" s="999" t="s">
        <v>1889</v>
      </c>
      <c r="CF656" s="946">
        <f t="shared" si="130"/>
        <v>7256016</v>
      </c>
    </row>
    <row r="657" spans="1:84">
      <c r="A657" s="1032"/>
      <c r="B657" s="839" t="s">
        <v>98</v>
      </c>
      <c r="C657" s="839" t="s">
        <v>131</v>
      </c>
      <c r="D657" s="839" t="s">
        <v>1868</v>
      </c>
      <c r="E657" s="839" t="s">
        <v>1952</v>
      </c>
      <c r="F657" s="841">
        <v>45520</v>
      </c>
      <c r="G657" s="840" t="s">
        <v>133</v>
      </c>
      <c r="H657" s="842" t="s">
        <v>134</v>
      </c>
      <c r="I657" s="842"/>
      <c r="J657" s="841"/>
      <c r="K657" s="841"/>
      <c r="L657" s="843" t="s">
        <v>106</v>
      </c>
      <c r="M657" s="844" t="s">
        <v>107</v>
      </c>
      <c r="N657" s="841" t="s">
        <v>1869</v>
      </c>
      <c r="O657" s="841" t="s">
        <v>135</v>
      </c>
      <c r="P657" s="841" t="s">
        <v>186</v>
      </c>
      <c r="Q657" s="843"/>
      <c r="R657" s="845">
        <v>542598</v>
      </c>
      <c r="S657" s="1127" t="s">
        <v>2260</v>
      </c>
      <c r="T657" s="843" t="s">
        <v>2261</v>
      </c>
      <c r="U657" s="842">
        <v>18</v>
      </c>
      <c r="V657" s="842" t="s">
        <v>8</v>
      </c>
      <c r="W657" s="846">
        <v>41</v>
      </c>
      <c r="X657" s="847">
        <f t="shared" si="123"/>
        <v>738</v>
      </c>
      <c r="Y657" s="848">
        <f t="shared" si="129"/>
        <v>0.60000000000000009</v>
      </c>
      <c r="Z657" s="849">
        <v>16.399999999999999</v>
      </c>
      <c r="AA657" s="849"/>
      <c r="AB657" s="849">
        <f t="shared" si="124"/>
        <v>295.2</v>
      </c>
      <c r="AC657" s="850">
        <f t="shared" si="125"/>
        <v>295.2</v>
      </c>
      <c r="AD657" s="851"/>
      <c r="AE657" s="852">
        <v>24580</v>
      </c>
      <c r="AF657" s="853">
        <v>0</v>
      </c>
      <c r="AG657" s="854">
        <f t="shared" si="126"/>
        <v>0</v>
      </c>
      <c r="AH657" s="853"/>
      <c r="AI657" s="855">
        <f t="shared" si="127"/>
        <v>0</v>
      </c>
      <c r="AJ657" s="845" t="s">
        <v>1872</v>
      </c>
      <c r="AK657" s="857" t="s">
        <v>1745</v>
      </c>
      <c r="AL657" s="840">
        <v>244737306</v>
      </c>
      <c r="AM657" s="840"/>
      <c r="AN657" s="858"/>
      <c r="AO657" s="844"/>
      <c r="AP657" s="859" t="s">
        <v>1873</v>
      </c>
      <c r="AQ657" s="859"/>
      <c r="AR657" s="859">
        <v>45453</v>
      </c>
      <c r="AS657" s="840" t="s">
        <v>1874</v>
      </c>
      <c r="AT657" s="840" t="s">
        <v>1875</v>
      </c>
      <c r="AU657" s="860" t="s">
        <v>1876</v>
      </c>
      <c r="AV657" s="839" t="s">
        <v>1877</v>
      </c>
      <c r="AW657" s="861">
        <v>45575</v>
      </c>
      <c r="AX657" s="862">
        <v>45582</v>
      </c>
      <c r="AY657" s="843" t="s">
        <v>2262</v>
      </c>
      <c r="AZ657" s="842">
        <v>73269099</v>
      </c>
      <c r="BA657" s="842" t="s">
        <v>120</v>
      </c>
      <c r="BB657" s="863" t="s">
        <v>121</v>
      </c>
      <c r="BC657" s="864">
        <v>45584</v>
      </c>
      <c r="BD657" s="860" t="s">
        <v>1879</v>
      </c>
      <c r="BE657" s="865" cm="1">
        <f t="array" ref="BE657">IF(BD657="","",AC657/SUMPRODUCT(--(BD657=$BD$4:$BD$12824),$AC$4:$AC$12824))</f>
        <v>7.4308307837469903E-3</v>
      </c>
      <c r="BF657" s="458"/>
      <c r="BG657" s="458"/>
      <c r="BH657" s="458"/>
      <c r="BI657" s="458"/>
      <c r="BJ657" s="458"/>
      <c r="BK657" s="458"/>
      <c r="BL657" s="458"/>
      <c r="BM657" s="458"/>
      <c r="BN657" s="458"/>
      <c r="BO657" s="866">
        <f>VLOOKUP(BD657,$BD$4:$BN$12824,3,0)*BE657</f>
        <v>0</v>
      </c>
      <c r="BP657" s="866"/>
      <c r="BQ657" s="866"/>
      <c r="BR657" s="866">
        <f>VLOOKUP(BD657,$BD$4:$BN$12824,6,0)*BE657</f>
        <v>143130.87915714644</v>
      </c>
      <c r="BS657" s="866">
        <f>VLOOKUP(BD657,$BD$4:$BN$12824,7,0)*BE657</f>
        <v>7156.70000530378</v>
      </c>
      <c r="BT657" s="866"/>
      <c r="BU657" s="866">
        <f>VLOOKUP(BD657,$BD$4:$BN$12824,9,0)*BE657</f>
        <v>3715.4153918734951</v>
      </c>
      <c r="BV657" s="867"/>
      <c r="BW657" s="867">
        <f>VLOOKUP(BD657,$BD$4:$BN$12824,11,0)*BE657</f>
        <v>15604.744645868679</v>
      </c>
      <c r="BX657" s="1146">
        <f t="shared" si="122"/>
        <v>169607.73920019239</v>
      </c>
      <c r="BY657" s="867">
        <f t="shared" si="131"/>
        <v>412534.65217778849</v>
      </c>
      <c r="BZ657" s="867">
        <f t="shared" si="128"/>
        <v>7425623.7392001925</v>
      </c>
      <c r="CA657" s="867">
        <f>_xlfn.MAXIFS($BY$4:$BY$12824,$S$4:$S$12824,$S657)</f>
        <v>412534.65217778849</v>
      </c>
      <c r="CB657" s="1032"/>
      <c r="CC657" s="999" t="s">
        <v>1889</v>
      </c>
      <c r="CF657" s="946">
        <f t="shared" si="130"/>
        <v>7256016</v>
      </c>
    </row>
    <row r="658" spans="1:84">
      <c r="A658" s="1032"/>
      <c r="B658" s="839" t="s">
        <v>98</v>
      </c>
      <c r="C658" s="839" t="s">
        <v>131</v>
      </c>
      <c r="D658" s="839" t="s">
        <v>1868</v>
      </c>
      <c r="E658" s="839" t="s">
        <v>1952</v>
      </c>
      <c r="F658" s="841">
        <v>45520</v>
      </c>
      <c r="G658" s="840" t="s">
        <v>133</v>
      </c>
      <c r="H658" s="842" t="s">
        <v>134</v>
      </c>
      <c r="I658" s="842"/>
      <c r="J658" s="841"/>
      <c r="K658" s="841"/>
      <c r="L658" s="843" t="s">
        <v>106</v>
      </c>
      <c r="M658" s="844" t="s">
        <v>107</v>
      </c>
      <c r="N658" s="841" t="s">
        <v>1869</v>
      </c>
      <c r="O658" s="841" t="s">
        <v>135</v>
      </c>
      <c r="P658" s="841" t="s">
        <v>186</v>
      </c>
      <c r="Q658" s="843"/>
      <c r="R658" s="845">
        <v>542684</v>
      </c>
      <c r="S658" s="1127" t="s">
        <v>2263</v>
      </c>
      <c r="T658" s="843" t="s">
        <v>2264</v>
      </c>
      <c r="U658" s="842">
        <v>36</v>
      </c>
      <c r="V658" s="842" t="s">
        <v>8</v>
      </c>
      <c r="W658" s="846">
        <v>7</v>
      </c>
      <c r="X658" s="847">
        <f t="shared" si="123"/>
        <v>252</v>
      </c>
      <c r="Y658" s="848"/>
      <c r="Z658" s="849">
        <v>9.6</v>
      </c>
      <c r="AA658" s="849"/>
      <c r="AB658" s="849">
        <f t="shared" si="124"/>
        <v>345.59999999999997</v>
      </c>
      <c r="AC658" s="850">
        <f t="shared" si="125"/>
        <v>345.59999999999997</v>
      </c>
      <c r="AD658" s="851"/>
      <c r="AE658" s="852">
        <v>24580</v>
      </c>
      <c r="AF658" s="853">
        <v>0</v>
      </c>
      <c r="AG658" s="854">
        <f t="shared" si="126"/>
        <v>0</v>
      </c>
      <c r="AH658" s="853"/>
      <c r="AI658" s="855">
        <f t="shared" si="127"/>
        <v>0</v>
      </c>
      <c r="AJ658" s="845" t="s">
        <v>1872</v>
      </c>
      <c r="AK658" s="857" t="s">
        <v>1745</v>
      </c>
      <c r="AL658" s="840">
        <v>244737306</v>
      </c>
      <c r="AM658" s="840"/>
      <c r="AN658" s="858"/>
      <c r="AO658" s="844"/>
      <c r="AP658" s="859" t="s">
        <v>1873</v>
      </c>
      <c r="AQ658" s="859"/>
      <c r="AR658" s="859">
        <v>45453</v>
      </c>
      <c r="AS658" s="840" t="s">
        <v>1874</v>
      </c>
      <c r="AT658" s="840" t="s">
        <v>1875</v>
      </c>
      <c r="AU658" s="860" t="s">
        <v>1876</v>
      </c>
      <c r="AV658" s="839" t="s">
        <v>1877</v>
      </c>
      <c r="AW658" s="861">
        <v>45575</v>
      </c>
      <c r="AX658" s="862">
        <v>45582</v>
      </c>
      <c r="AY658" s="843" t="s">
        <v>2265</v>
      </c>
      <c r="AZ658" s="842">
        <v>83022090</v>
      </c>
      <c r="BA658" s="842" t="s">
        <v>120</v>
      </c>
      <c r="BB658" s="863" t="s">
        <v>121</v>
      </c>
      <c r="BC658" s="864">
        <v>45584</v>
      </c>
      <c r="BD658" s="860" t="s">
        <v>1879</v>
      </c>
      <c r="BE658" s="865" cm="1">
        <f t="array" ref="BE658">IF(BD658="","",AC658/SUMPRODUCT(--(BD658=$BD$4:$BD$12824),$AC$4:$AC$12824))</f>
        <v>8.6995092102403783E-3</v>
      </c>
      <c r="BF658" s="458"/>
      <c r="BG658" s="458"/>
      <c r="BH658" s="458"/>
      <c r="BI658" s="458"/>
      <c r="BJ658" s="458"/>
      <c r="BK658" s="458"/>
      <c r="BL658" s="458"/>
      <c r="BM658" s="458"/>
      <c r="BN658" s="458"/>
      <c r="BO658" s="866">
        <f>VLOOKUP(BD658,$BD$4:$BN$12824,3,0)*BE658</f>
        <v>0</v>
      </c>
      <c r="BP658" s="866"/>
      <c r="BQ658" s="866"/>
      <c r="BR658" s="866">
        <f>VLOOKUP(BD658,$BD$4:$BN$12824,6,0)*BE658</f>
        <v>167567.85852543972</v>
      </c>
      <c r="BS658" s="866">
        <f>VLOOKUP(BD658,$BD$4:$BN$12824,7,0)*BE658</f>
        <v>8378.5756159654011</v>
      </c>
      <c r="BT658" s="866"/>
      <c r="BU658" s="866">
        <f>VLOOKUP(BD658,$BD$4:$BN$12824,9,0)*BE658</f>
        <v>4349.7546051201889</v>
      </c>
      <c r="BV658" s="867"/>
      <c r="BW658" s="867">
        <f>VLOOKUP(BD658,$BD$4:$BN$12824,11,0)*BE658</f>
        <v>18268.969341504795</v>
      </c>
      <c r="BX658" s="1146">
        <f t="shared" si="122"/>
        <v>198565.15808803012</v>
      </c>
      <c r="BY658" s="867">
        <f t="shared" si="131"/>
        <v>241483.69883577863</v>
      </c>
      <c r="BZ658" s="867">
        <f t="shared" si="128"/>
        <v>8693413.1580880303</v>
      </c>
      <c r="CA658" s="867">
        <f>_xlfn.MAXIFS($BY$4:$BY$12824,$S$4:$S$12824,$S658)</f>
        <v>241483.69883577863</v>
      </c>
      <c r="CB658" s="1032"/>
      <c r="CC658" s="999" t="s">
        <v>1889</v>
      </c>
      <c r="CF658" s="946">
        <f t="shared" si="130"/>
        <v>8494848</v>
      </c>
    </row>
    <row r="659" spans="1:84">
      <c r="A659" s="1032"/>
      <c r="B659" s="839" t="s">
        <v>98</v>
      </c>
      <c r="C659" s="839" t="s">
        <v>131</v>
      </c>
      <c r="D659" s="839" t="s">
        <v>1868</v>
      </c>
      <c r="E659" s="839" t="s">
        <v>1952</v>
      </c>
      <c r="F659" s="841">
        <v>45520</v>
      </c>
      <c r="G659" s="840" t="s">
        <v>133</v>
      </c>
      <c r="H659" s="842" t="s">
        <v>134</v>
      </c>
      <c r="I659" s="842"/>
      <c r="J659" s="841"/>
      <c r="K659" s="841"/>
      <c r="L659" s="843" t="s">
        <v>106</v>
      </c>
      <c r="M659" s="844" t="s">
        <v>107</v>
      </c>
      <c r="N659" s="841" t="s">
        <v>1869</v>
      </c>
      <c r="O659" s="841" t="s">
        <v>135</v>
      </c>
      <c r="P659" s="841" t="s">
        <v>186</v>
      </c>
      <c r="Q659" s="843"/>
      <c r="R659" s="845" t="s">
        <v>2266</v>
      </c>
      <c r="S659" s="1127" t="s">
        <v>2267</v>
      </c>
      <c r="T659" s="843" t="s">
        <v>2268</v>
      </c>
      <c r="U659" s="842">
        <v>36</v>
      </c>
      <c r="V659" s="842" t="s">
        <v>8</v>
      </c>
      <c r="W659" s="846">
        <v>7</v>
      </c>
      <c r="X659" s="847">
        <f t="shared" si="123"/>
        <v>252</v>
      </c>
      <c r="Y659" s="848">
        <f t="shared" ref="Y659:Y679" si="132">(W659-Z659)/W659</f>
        <v>0.6</v>
      </c>
      <c r="Z659" s="849">
        <v>2.8</v>
      </c>
      <c r="AA659" s="849"/>
      <c r="AB659" s="849">
        <f t="shared" si="124"/>
        <v>100.8</v>
      </c>
      <c r="AC659" s="850">
        <f t="shared" si="125"/>
        <v>100.8</v>
      </c>
      <c r="AD659" s="851"/>
      <c r="AE659" s="852">
        <v>24580</v>
      </c>
      <c r="AF659" s="853">
        <v>0</v>
      </c>
      <c r="AG659" s="854">
        <f t="shared" si="126"/>
        <v>0</v>
      </c>
      <c r="AH659" s="853"/>
      <c r="AI659" s="855">
        <f t="shared" si="127"/>
        <v>0</v>
      </c>
      <c r="AJ659" s="845" t="s">
        <v>1872</v>
      </c>
      <c r="AK659" s="857" t="s">
        <v>1745</v>
      </c>
      <c r="AL659" s="840">
        <v>244737306</v>
      </c>
      <c r="AM659" s="840"/>
      <c r="AN659" s="858"/>
      <c r="AO659" s="844"/>
      <c r="AP659" s="859" t="s">
        <v>1873</v>
      </c>
      <c r="AQ659" s="859"/>
      <c r="AR659" s="859">
        <v>45453</v>
      </c>
      <c r="AS659" s="840" t="s">
        <v>1874</v>
      </c>
      <c r="AT659" s="840" t="s">
        <v>1875</v>
      </c>
      <c r="AU659" s="860" t="s">
        <v>1876</v>
      </c>
      <c r="AV659" s="839" t="s">
        <v>1877</v>
      </c>
      <c r="AW659" s="861">
        <v>45575</v>
      </c>
      <c r="AX659" s="862">
        <v>45582</v>
      </c>
      <c r="AY659" s="843" t="s">
        <v>2269</v>
      </c>
      <c r="AZ659" s="842" t="s">
        <v>2270</v>
      </c>
      <c r="BA659" s="842" t="s">
        <v>120</v>
      </c>
      <c r="BB659" s="863" t="s">
        <v>121</v>
      </c>
      <c r="BC659" s="864">
        <v>45584</v>
      </c>
      <c r="BD659" s="860" t="s">
        <v>1879</v>
      </c>
      <c r="BE659" s="865" cm="1">
        <f t="array" ref="BE659">IF(BD659="","",AC659/SUMPRODUCT(--(BD659=$BD$4:$BD$12824),$AC$4:$AC$12824))</f>
        <v>2.5373568529867773E-3</v>
      </c>
      <c r="BF659" s="458"/>
      <c r="BG659" s="458"/>
      <c r="BH659" s="458"/>
      <c r="BI659" s="458"/>
      <c r="BJ659" s="458"/>
      <c r="BK659" s="458"/>
      <c r="BL659" s="458"/>
      <c r="BM659" s="458"/>
      <c r="BN659" s="458"/>
      <c r="BO659" s="866">
        <f>VLOOKUP(BD659,$BD$4:$BN$12824,3,0)*BE659</f>
        <v>0</v>
      </c>
      <c r="BP659" s="866"/>
      <c r="BQ659" s="866"/>
      <c r="BR659" s="866">
        <f>VLOOKUP(BD659,$BD$4:$BN$12824,6,0)*BE659</f>
        <v>48873.958736586588</v>
      </c>
      <c r="BS659" s="866">
        <f>VLOOKUP(BD659,$BD$4:$BN$12824,7,0)*BE659</f>
        <v>2443.7512213232421</v>
      </c>
      <c r="BT659" s="866"/>
      <c r="BU659" s="866">
        <f>VLOOKUP(BD659,$BD$4:$BN$12824,9,0)*BE659</f>
        <v>1268.6784264933885</v>
      </c>
      <c r="BV659" s="867"/>
      <c r="BW659" s="867">
        <f>VLOOKUP(BD659,$BD$4:$BN$12824,11,0)*BE659</f>
        <v>5328.4493912722319</v>
      </c>
      <c r="BX659" s="1146">
        <f t="shared" si="122"/>
        <v>57914.837775675449</v>
      </c>
      <c r="BY659" s="867">
        <f t="shared" si="131"/>
        <v>70432.745493768773</v>
      </c>
      <c r="BZ659" s="867">
        <f t="shared" si="128"/>
        <v>2535578.8377756756</v>
      </c>
      <c r="CA659" s="867">
        <f>_xlfn.MAXIFS($BY$4:$BY$12824,$S$4:$S$12824,$S659)</f>
        <v>70432.745493768773</v>
      </c>
      <c r="CB659" s="1032"/>
      <c r="CC659" s="999" t="s">
        <v>1889</v>
      </c>
      <c r="CF659" s="946">
        <f t="shared" si="130"/>
        <v>2477664</v>
      </c>
    </row>
    <row r="660" spans="1:84">
      <c r="A660" s="1032"/>
      <c r="B660" s="839" t="s">
        <v>98</v>
      </c>
      <c r="C660" s="839" t="s">
        <v>131</v>
      </c>
      <c r="D660" s="839" t="s">
        <v>1868</v>
      </c>
      <c r="E660" s="839" t="s">
        <v>1952</v>
      </c>
      <c r="F660" s="841">
        <v>45520</v>
      </c>
      <c r="G660" s="840" t="s">
        <v>133</v>
      </c>
      <c r="H660" s="842" t="s">
        <v>134</v>
      </c>
      <c r="I660" s="842"/>
      <c r="J660" s="841"/>
      <c r="K660" s="841"/>
      <c r="L660" s="843" t="s">
        <v>106</v>
      </c>
      <c r="M660" s="844" t="s">
        <v>107</v>
      </c>
      <c r="N660" s="841" t="s">
        <v>1869</v>
      </c>
      <c r="O660" s="841" t="s">
        <v>135</v>
      </c>
      <c r="P660" s="841" t="s">
        <v>186</v>
      </c>
      <c r="Q660" s="843"/>
      <c r="R660" s="845" t="s">
        <v>2271</v>
      </c>
      <c r="S660" s="1127" t="s">
        <v>2272</v>
      </c>
      <c r="T660" s="843" t="s">
        <v>2273</v>
      </c>
      <c r="U660" s="842">
        <v>36</v>
      </c>
      <c r="V660" s="842" t="s">
        <v>8</v>
      </c>
      <c r="W660" s="846">
        <v>7</v>
      </c>
      <c r="X660" s="847">
        <f t="shared" si="123"/>
        <v>252</v>
      </c>
      <c r="Y660" s="848">
        <f t="shared" si="132"/>
        <v>0.6</v>
      </c>
      <c r="Z660" s="849">
        <v>2.8</v>
      </c>
      <c r="AA660" s="849"/>
      <c r="AB660" s="849">
        <f t="shared" si="124"/>
        <v>100.8</v>
      </c>
      <c r="AC660" s="850">
        <f t="shared" si="125"/>
        <v>100.8</v>
      </c>
      <c r="AD660" s="851"/>
      <c r="AE660" s="852">
        <v>24580</v>
      </c>
      <c r="AF660" s="853">
        <v>0</v>
      </c>
      <c r="AG660" s="854">
        <f t="shared" si="126"/>
        <v>0</v>
      </c>
      <c r="AH660" s="853"/>
      <c r="AI660" s="855">
        <f t="shared" si="127"/>
        <v>0</v>
      </c>
      <c r="AJ660" s="845" t="s">
        <v>1872</v>
      </c>
      <c r="AK660" s="857" t="s">
        <v>1745</v>
      </c>
      <c r="AL660" s="840">
        <v>244737306</v>
      </c>
      <c r="AM660" s="840"/>
      <c r="AN660" s="858"/>
      <c r="AO660" s="844"/>
      <c r="AP660" s="859" t="s">
        <v>1873</v>
      </c>
      <c r="AQ660" s="859"/>
      <c r="AR660" s="859">
        <v>45453</v>
      </c>
      <c r="AS660" s="840" t="s">
        <v>1874</v>
      </c>
      <c r="AT660" s="840" t="s">
        <v>1875</v>
      </c>
      <c r="AU660" s="860" t="s">
        <v>1876</v>
      </c>
      <c r="AV660" s="839" t="s">
        <v>1877</v>
      </c>
      <c r="AW660" s="861">
        <v>45575</v>
      </c>
      <c r="AX660" s="862">
        <v>45582</v>
      </c>
      <c r="AY660" s="843" t="s">
        <v>2274</v>
      </c>
      <c r="AZ660" s="842" t="s">
        <v>2270</v>
      </c>
      <c r="BA660" s="842" t="s">
        <v>120</v>
      </c>
      <c r="BB660" s="863" t="s">
        <v>121</v>
      </c>
      <c r="BC660" s="864">
        <v>45584</v>
      </c>
      <c r="BD660" s="860" t="s">
        <v>1879</v>
      </c>
      <c r="BE660" s="865" cm="1">
        <f t="array" ref="BE660">IF(BD660="","",AC660/SUMPRODUCT(--(BD660=$BD$4:$BD$12824),$AC$4:$AC$12824))</f>
        <v>2.5373568529867773E-3</v>
      </c>
      <c r="BF660" s="458"/>
      <c r="BG660" s="458"/>
      <c r="BH660" s="458"/>
      <c r="BI660" s="458"/>
      <c r="BJ660" s="458"/>
      <c r="BK660" s="458"/>
      <c r="BL660" s="458"/>
      <c r="BM660" s="458"/>
      <c r="BN660" s="458"/>
      <c r="BO660" s="866">
        <f>VLOOKUP(BD660,$BD$4:$BN$12824,3,0)*BE660</f>
        <v>0</v>
      </c>
      <c r="BP660" s="866"/>
      <c r="BQ660" s="866"/>
      <c r="BR660" s="866">
        <f>VLOOKUP(BD660,$BD$4:$BN$12824,6,0)*BE660</f>
        <v>48873.958736586588</v>
      </c>
      <c r="BS660" s="866">
        <f>VLOOKUP(BD660,$BD$4:$BN$12824,7,0)*BE660</f>
        <v>2443.7512213232421</v>
      </c>
      <c r="BT660" s="866"/>
      <c r="BU660" s="866">
        <f>VLOOKUP(BD660,$BD$4:$BN$12824,9,0)*BE660</f>
        <v>1268.6784264933885</v>
      </c>
      <c r="BV660" s="867"/>
      <c r="BW660" s="867">
        <f>VLOOKUP(BD660,$BD$4:$BN$12824,11,0)*BE660</f>
        <v>5328.4493912722319</v>
      </c>
      <c r="BX660" s="1146">
        <f t="shared" si="122"/>
        <v>57914.837775675449</v>
      </c>
      <c r="BY660" s="867">
        <f t="shared" si="131"/>
        <v>70432.745493768773</v>
      </c>
      <c r="BZ660" s="867">
        <f t="shared" si="128"/>
        <v>2535578.8377756756</v>
      </c>
      <c r="CA660" s="867">
        <f>_xlfn.MAXIFS($BY$4:$BY$12824,$S$4:$S$12824,$S660)</f>
        <v>70432.745493768773</v>
      </c>
      <c r="CB660" s="1032"/>
      <c r="CC660" s="999" t="s">
        <v>1889</v>
      </c>
      <c r="CF660" s="946">
        <f t="shared" si="130"/>
        <v>2477664</v>
      </c>
    </row>
    <row r="661" spans="1:84">
      <c r="A661" s="1032"/>
      <c r="B661" s="839" t="s">
        <v>98</v>
      </c>
      <c r="C661" s="839" t="s">
        <v>131</v>
      </c>
      <c r="D661" s="839" t="s">
        <v>1868</v>
      </c>
      <c r="E661" s="839" t="s">
        <v>1952</v>
      </c>
      <c r="F661" s="841">
        <v>45520</v>
      </c>
      <c r="G661" s="840" t="s">
        <v>133</v>
      </c>
      <c r="H661" s="842" t="s">
        <v>134</v>
      </c>
      <c r="I661" s="842"/>
      <c r="J661" s="841"/>
      <c r="K661" s="841"/>
      <c r="L661" s="843" t="s">
        <v>106</v>
      </c>
      <c r="M661" s="844" t="s">
        <v>107</v>
      </c>
      <c r="N661" s="841" t="s">
        <v>1869</v>
      </c>
      <c r="O661" s="841" t="s">
        <v>135</v>
      </c>
      <c r="P661" s="841" t="s">
        <v>186</v>
      </c>
      <c r="Q661" s="843"/>
      <c r="R661" s="845" t="s">
        <v>2275</v>
      </c>
      <c r="S661" s="1127" t="s">
        <v>2276</v>
      </c>
      <c r="T661" s="843" t="s">
        <v>2277</v>
      </c>
      <c r="U661" s="842">
        <v>36</v>
      </c>
      <c r="V661" s="842" t="s">
        <v>8</v>
      </c>
      <c r="W661" s="846">
        <v>7</v>
      </c>
      <c r="X661" s="847">
        <f t="shared" si="123"/>
        <v>252</v>
      </c>
      <c r="Y661" s="848">
        <f t="shared" si="132"/>
        <v>0.6</v>
      </c>
      <c r="Z661" s="849">
        <v>2.8</v>
      </c>
      <c r="AA661" s="849"/>
      <c r="AB661" s="849">
        <f t="shared" si="124"/>
        <v>100.8</v>
      </c>
      <c r="AC661" s="850">
        <f t="shared" si="125"/>
        <v>100.8</v>
      </c>
      <c r="AD661" s="851"/>
      <c r="AE661" s="852">
        <v>24580</v>
      </c>
      <c r="AF661" s="853">
        <v>0</v>
      </c>
      <c r="AG661" s="854">
        <f t="shared" si="126"/>
        <v>0</v>
      </c>
      <c r="AH661" s="853"/>
      <c r="AI661" s="855">
        <f t="shared" si="127"/>
        <v>0</v>
      </c>
      <c r="AJ661" s="845" t="s">
        <v>1872</v>
      </c>
      <c r="AK661" s="857" t="s">
        <v>1745</v>
      </c>
      <c r="AL661" s="840">
        <v>244737306</v>
      </c>
      <c r="AM661" s="840"/>
      <c r="AN661" s="858"/>
      <c r="AO661" s="844"/>
      <c r="AP661" s="859" t="s">
        <v>1873</v>
      </c>
      <c r="AQ661" s="859"/>
      <c r="AR661" s="859">
        <v>45453</v>
      </c>
      <c r="AS661" s="840" t="s">
        <v>1874</v>
      </c>
      <c r="AT661" s="840" t="s">
        <v>1875</v>
      </c>
      <c r="AU661" s="860" t="s">
        <v>1876</v>
      </c>
      <c r="AV661" s="839" t="s">
        <v>1877</v>
      </c>
      <c r="AW661" s="861">
        <v>45575</v>
      </c>
      <c r="AX661" s="862">
        <v>45582</v>
      </c>
      <c r="AY661" s="843" t="s">
        <v>2278</v>
      </c>
      <c r="AZ661" s="842" t="s">
        <v>2270</v>
      </c>
      <c r="BA661" s="842" t="s">
        <v>120</v>
      </c>
      <c r="BB661" s="863" t="s">
        <v>121</v>
      </c>
      <c r="BC661" s="864">
        <v>45584</v>
      </c>
      <c r="BD661" s="860" t="s">
        <v>1879</v>
      </c>
      <c r="BE661" s="865" cm="1">
        <f t="array" ref="BE661">IF(BD661="","",AC661/SUMPRODUCT(--(BD661=$BD$4:$BD$12824),$AC$4:$AC$12824))</f>
        <v>2.5373568529867773E-3</v>
      </c>
      <c r="BF661" s="458"/>
      <c r="BG661" s="458"/>
      <c r="BH661" s="458"/>
      <c r="BI661" s="458"/>
      <c r="BJ661" s="458"/>
      <c r="BK661" s="458"/>
      <c r="BL661" s="458"/>
      <c r="BM661" s="458"/>
      <c r="BN661" s="458"/>
      <c r="BO661" s="866">
        <f>VLOOKUP(BD661,$BD$4:$BN$12824,3,0)*BE661</f>
        <v>0</v>
      </c>
      <c r="BP661" s="866"/>
      <c r="BQ661" s="866"/>
      <c r="BR661" s="866">
        <f>VLOOKUP(BD661,$BD$4:$BN$12824,6,0)*BE661</f>
        <v>48873.958736586588</v>
      </c>
      <c r="BS661" s="866">
        <f>VLOOKUP(BD661,$BD$4:$BN$12824,7,0)*BE661</f>
        <v>2443.7512213232421</v>
      </c>
      <c r="BT661" s="866"/>
      <c r="BU661" s="866">
        <f>VLOOKUP(BD661,$BD$4:$BN$12824,9,0)*BE661</f>
        <v>1268.6784264933885</v>
      </c>
      <c r="BV661" s="867"/>
      <c r="BW661" s="867">
        <f>VLOOKUP(BD661,$BD$4:$BN$12824,11,0)*BE661</f>
        <v>5328.4493912722319</v>
      </c>
      <c r="BX661" s="1146">
        <f t="shared" si="122"/>
        <v>57914.837775675449</v>
      </c>
      <c r="BY661" s="867">
        <f t="shared" si="131"/>
        <v>70432.745493768773</v>
      </c>
      <c r="BZ661" s="867">
        <f t="shared" si="128"/>
        <v>2535578.8377756756</v>
      </c>
      <c r="CA661" s="867">
        <f>_xlfn.MAXIFS($BY$4:$BY$12824,$S$4:$S$12824,$S661)</f>
        <v>70432.745493768773</v>
      </c>
      <c r="CB661" s="1032"/>
      <c r="CC661" s="999" t="s">
        <v>1889</v>
      </c>
      <c r="CF661" s="946">
        <f t="shared" si="130"/>
        <v>2477664</v>
      </c>
    </row>
    <row r="662" spans="1:84">
      <c r="A662" s="1032"/>
      <c r="B662" s="839" t="s">
        <v>98</v>
      </c>
      <c r="C662" s="839" t="s">
        <v>131</v>
      </c>
      <c r="D662" s="839" t="s">
        <v>1868</v>
      </c>
      <c r="E662" s="839" t="s">
        <v>1952</v>
      </c>
      <c r="F662" s="841">
        <v>45520</v>
      </c>
      <c r="G662" s="840" t="s">
        <v>133</v>
      </c>
      <c r="H662" s="842" t="s">
        <v>134</v>
      </c>
      <c r="I662" s="842"/>
      <c r="J662" s="841"/>
      <c r="K662" s="841"/>
      <c r="L662" s="843" t="s">
        <v>106</v>
      </c>
      <c r="M662" s="844" t="s">
        <v>107</v>
      </c>
      <c r="N662" s="841" t="s">
        <v>1869</v>
      </c>
      <c r="O662" s="841" t="s">
        <v>108</v>
      </c>
      <c r="P662" s="841" t="s">
        <v>1136</v>
      </c>
      <c r="Q662" s="843"/>
      <c r="R662" s="845" t="s">
        <v>2279</v>
      </c>
      <c r="S662" s="1127" t="s">
        <v>2280</v>
      </c>
      <c r="T662" s="843" t="s">
        <v>2281</v>
      </c>
      <c r="U662" s="842">
        <v>18</v>
      </c>
      <c r="V662" s="842" t="s">
        <v>8</v>
      </c>
      <c r="W662" s="846">
        <v>56</v>
      </c>
      <c r="X662" s="847">
        <f t="shared" si="123"/>
        <v>1008</v>
      </c>
      <c r="Y662" s="848">
        <f t="shared" si="132"/>
        <v>0.6</v>
      </c>
      <c r="Z662" s="849">
        <v>22.4</v>
      </c>
      <c r="AA662" s="849"/>
      <c r="AB662" s="849">
        <f t="shared" si="124"/>
        <v>403.2</v>
      </c>
      <c r="AC662" s="850">
        <f t="shared" si="125"/>
        <v>403.2</v>
      </c>
      <c r="AD662" s="851"/>
      <c r="AE662" s="852">
        <v>24580</v>
      </c>
      <c r="AF662" s="853">
        <v>0</v>
      </c>
      <c r="AG662" s="854">
        <f t="shared" si="126"/>
        <v>0</v>
      </c>
      <c r="AH662" s="853"/>
      <c r="AI662" s="855">
        <f t="shared" si="127"/>
        <v>0</v>
      </c>
      <c r="AJ662" s="845" t="s">
        <v>1872</v>
      </c>
      <c r="AK662" s="857" t="s">
        <v>1745</v>
      </c>
      <c r="AL662" s="840">
        <v>244737306</v>
      </c>
      <c r="AM662" s="840"/>
      <c r="AN662" s="858"/>
      <c r="AO662" s="844"/>
      <c r="AP662" s="859" t="s">
        <v>1873</v>
      </c>
      <c r="AQ662" s="859"/>
      <c r="AR662" s="859">
        <v>45453</v>
      </c>
      <c r="AS662" s="840" t="s">
        <v>1874</v>
      </c>
      <c r="AT662" s="840" t="s">
        <v>1875</v>
      </c>
      <c r="AU662" s="860" t="s">
        <v>1876</v>
      </c>
      <c r="AV662" s="839" t="s">
        <v>1877</v>
      </c>
      <c r="AW662" s="861">
        <v>45575</v>
      </c>
      <c r="AX662" s="862">
        <v>45582</v>
      </c>
      <c r="AY662" s="843" t="s">
        <v>2282</v>
      </c>
      <c r="AZ662" s="842">
        <v>94051199</v>
      </c>
      <c r="BA662" s="842" t="s">
        <v>120</v>
      </c>
      <c r="BB662" s="863" t="s">
        <v>121</v>
      </c>
      <c r="BC662" s="864">
        <v>45584</v>
      </c>
      <c r="BD662" s="860" t="s">
        <v>1879</v>
      </c>
      <c r="BE662" s="865" cm="1">
        <f t="array" ref="BE662">IF(BD662="","",AC662/SUMPRODUCT(--(BD662=$BD$4:$BD$12824),$AC$4:$AC$12824))</f>
        <v>1.0149427411947109E-2</v>
      </c>
      <c r="BF662" s="458"/>
      <c r="BG662" s="458"/>
      <c r="BH662" s="458"/>
      <c r="BI662" s="458"/>
      <c r="BJ662" s="458"/>
      <c r="BK662" s="458"/>
      <c r="BL662" s="458"/>
      <c r="BM662" s="458"/>
      <c r="BN662" s="458"/>
      <c r="BO662" s="866">
        <f>VLOOKUP(BD662,$BD$4:$BN$12824,3,0)*BE662</f>
        <v>0</v>
      </c>
      <c r="BP662" s="866"/>
      <c r="BQ662" s="866"/>
      <c r="BR662" s="866">
        <f>VLOOKUP(BD662,$BD$4:$BN$12824,6,0)*BE662</f>
        <v>195495.83494634635</v>
      </c>
      <c r="BS662" s="866">
        <f>VLOOKUP(BD662,$BD$4:$BN$12824,7,0)*BE662</f>
        <v>9775.0048852929685</v>
      </c>
      <c r="BT662" s="866"/>
      <c r="BU662" s="866">
        <f>VLOOKUP(BD662,$BD$4:$BN$12824,9,0)*BE662</f>
        <v>5074.7137059735542</v>
      </c>
      <c r="BV662" s="867"/>
      <c r="BW662" s="867">
        <f>VLOOKUP(BD662,$BD$4:$BN$12824,11,0)*BE662</f>
        <v>21313.797565088928</v>
      </c>
      <c r="BX662" s="1146">
        <f t="shared" si="122"/>
        <v>231659.3511027018</v>
      </c>
      <c r="BY662" s="867">
        <f t="shared" si="131"/>
        <v>563461.96395015018</v>
      </c>
      <c r="BZ662" s="867">
        <f t="shared" si="128"/>
        <v>10142315.351102702</v>
      </c>
      <c r="CA662" s="867">
        <f>_xlfn.MAXIFS($BY$4:$BY$12824,$S$4:$S$12824,$S662)</f>
        <v>563461.96395015018</v>
      </c>
      <c r="CB662" s="1032"/>
      <c r="CC662" s="999" t="s">
        <v>1889</v>
      </c>
      <c r="CF662" s="946">
        <f t="shared" si="130"/>
        <v>9910656</v>
      </c>
    </row>
    <row r="663" spans="1:84">
      <c r="A663" s="1032"/>
      <c r="B663" s="839" t="s">
        <v>98</v>
      </c>
      <c r="C663" s="839" t="s">
        <v>131</v>
      </c>
      <c r="D663" s="839" t="s">
        <v>1868</v>
      </c>
      <c r="E663" s="839" t="s">
        <v>1952</v>
      </c>
      <c r="F663" s="841">
        <v>45520</v>
      </c>
      <c r="G663" s="840" t="s">
        <v>133</v>
      </c>
      <c r="H663" s="842" t="s">
        <v>134</v>
      </c>
      <c r="I663" s="842"/>
      <c r="J663" s="841"/>
      <c r="K663" s="841"/>
      <c r="L663" s="843" t="s">
        <v>106</v>
      </c>
      <c r="M663" s="844" t="s">
        <v>107</v>
      </c>
      <c r="N663" s="841" t="s">
        <v>1869</v>
      </c>
      <c r="O663" s="841" t="s">
        <v>108</v>
      </c>
      <c r="P663" s="841" t="s">
        <v>1136</v>
      </c>
      <c r="Q663" s="843"/>
      <c r="R663" s="845" t="s">
        <v>2283</v>
      </c>
      <c r="S663" s="1127" t="s">
        <v>2284</v>
      </c>
      <c r="T663" s="843" t="s">
        <v>2285</v>
      </c>
      <c r="U663" s="842">
        <v>6</v>
      </c>
      <c r="V663" s="842" t="s">
        <v>8</v>
      </c>
      <c r="W663" s="846">
        <v>99</v>
      </c>
      <c r="X663" s="847">
        <f t="shared" si="123"/>
        <v>594</v>
      </c>
      <c r="Y663" s="848">
        <f t="shared" si="132"/>
        <v>0.6</v>
      </c>
      <c r="Z663" s="849">
        <v>39.6</v>
      </c>
      <c r="AA663" s="849"/>
      <c r="AB663" s="849">
        <f t="shared" si="124"/>
        <v>237.60000000000002</v>
      </c>
      <c r="AC663" s="850">
        <f t="shared" si="125"/>
        <v>237.60000000000002</v>
      </c>
      <c r="AD663" s="851"/>
      <c r="AE663" s="852">
        <v>24580</v>
      </c>
      <c r="AF663" s="853">
        <v>0</v>
      </c>
      <c r="AG663" s="854">
        <f t="shared" si="126"/>
        <v>0</v>
      </c>
      <c r="AH663" s="853"/>
      <c r="AI663" s="855">
        <f t="shared" si="127"/>
        <v>0</v>
      </c>
      <c r="AJ663" s="845" t="s">
        <v>1872</v>
      </c>
      <c r="AK663" s="857" t="s">
        <v>1745</v>
      </c>
      <c r="AL663" s="840">
        <v>244737306</v>
      </c>
      <c r="AM663" s="840"/>
      <c r="AN663" s="858"/>
      <c r="AO663" s="844"/>
      <c r="AP663" s="859" t="s">
        <v>1873</v>
      </c>
      <c r="AQ663" s="859"/>
      <c r="AR663" s="859">
        <v>45453</v>
      </c>
      <c r="AS663" s="840" t="s">
        <v>1874</v>
      </c>
      <c r="AT663" s="840" t="s">
        <v>1875</v>
      </c>
      <c r="AU663" s="860" t="s">
        <v>1876</v>
      </c>
      <c r="AV663" s="839" t="s">
        <v>1877</v>
      </c>
      <c r="AW663" s="861">
        <v>45575</v>
      </c>
      <c r="AX663" s="862">
        <v>45582</v>
      </c>
      <c r="AY663" s="843" t="s">
        <v>2286</v>
      </c>
      <c r="AZ663" s="842">
        <v>94051199</v>
      </c>
      <c r="BA663" s="842" t="s">
        <v>120</v>
      </c>
      <c r="BB663" s="863" t="s">
        <v>121</v>
      </c>
      <c r="BC663" s="864">
        <v>45584</v>
      </c>
      <c r="BD663" s="860" t="s">
        <v>1879</v>
      </c>
      <c r="BE663" s="865" cm="1">
        <f t="array" ref="BE663">IF(BD663="","",AC663/SUMPRODUCT(--(BD663=$BD$4:$BD$12824),$AC$4:$AC$12824))</f>
        <v>5.9809125820402612E-3</v>
      </c>
      <c r="BF663" s="458"/>
      <c r="BG663" s="458"/>
      <c r="BH663" s="458"/>
      <c r="BI663" s="458"/>
      <c r="BJ663" s="458"/>
      <c r="BK663" s="458"/>
      <c r="BL663" s="458"/>
      <c r="BM663" s="458"/>
      <c r="BN663" s="458"/>
      <c r="BO663" s="866">
        <f>VLOOKUP(BD663,$BD$4:$BN$12824,3,0)*BE663</f>
        <v>0</v>
      </c>
      <c r="BP663" s="866"/>
      <c r="BQ663" s="866"/>
      <c r="BR663" s="866">
        <f>VLOOKUP(BD663,$BD$4:$BN$12824,6,0)*BE663</f>
        <v>115202.90273623982</v>
      </c>
      <c r="BS663" s="866">
        <f>VLOOKUP(BD663,$BD$4:$BN$12824,7,0)*BE663</f>
        <v>5760.2707359762135</v>
      </c>
      <c r="BT663" s="866"/>
      <c r="BU663" s="866">
        <f>VLOOKUP(BD663,$BD$4:$BN$12824,9,0)*BE663</f>
        <v>2990.4562910201307</v>
      </c>
      <c r="BV663" s="867"/>
      <c r="BW663" s="867">
        <f>VLOOKUP(BD663,$BD$4:$BN$12824,11,0)*BE663</f>
        <v>12559.916422284548</v>
      </c>
      <c r="BX663" s="1146">
        <f t="shared" si="122"/>
        <v>136513.54618552071</v>
      </c>
      <c r="BY663" s="867">
        <f t="shared" si="131"/>
        <v>996120.2576975869</v>
      </c>
      <c r="BZ663" s="867">
        <f t="shared" si="128"/>
        <v>5976721.5461855214</v>
      </c>
      <c r="CA663" s="867">
        <f>_xlfn.MAXIFS($BY$4:$BY$12824,$S$4:$S$12824,$S663)</f>
        <v>1060903.8672509438</v>
      </c>
      <c r="CB663" s="1032"/>
      <c r="CC663" s="999" t="s">
        <v>1889</v>
      </c>
      <c r="CF663" s="946">
        <f t="shared" si="130"/>
        <v>5840208.0000000009</v>
      </c>
    </row>
    <row r="664" spans="1:84">
      <c r="A664" s="1032"/>
      <c r="B664" s="839" t="s">
        <v>98</v>
      </c>
      <c r="C664" s="839" t="s">
        <v>131</v>
      </c>
      <c r="D664" s="839" t="s">
        <v>1868</v>
      </c>
      <c r="E664" s="839" t="s">
        <v>1952</v>
      </c>
      <c r="F664" s="841">
        <v>45520</v>
      </c>
      <c r="G664" s="840" t="s">
        <v>133</v>
      </c>
      <c r="H664" s="842" t="s">
        <v>134</v>
      </c>
      <c r="I664" s="842"/>
      <c r="J664" s="841"/>
      <c r="K664" s="841"/>
      <c r="L664" s="843" t="s">
        <v>106</v>
      </c>
      <c r="M664" s="844" t="s">
        <v>107</v>
      </c>
      <c r="N664" s="841" t="s">
        <v>1869</v>
      </c>
      <c r="O664" s="841" t="s">
        <v>108</v>
      </c>
      <c r="P664" s="841" t="s">
        <v>1136</v>
      </c>
      <c r="Q664" s="843"/>
      <c r="R664" s="845" t="s">
        <v>2287</v>
      </c>
      <c r="S664" s="1127" t="s">
        <v>2288</v>
      </c>
      <c r="T664" s="843" t="s">
        <v>2289</v>
      </c>
      <c r="U664" s="842">
        <v>6</v>
      </c>
      <c r="V664" s="842" t="s">
        <v>8</v>
      </c>
      <c r="W664" s="846">
        <v>46</v>
      </c>
      <c r="X664" s="847">
        <f t="shared" si="123"/>
        <v>276</v>
      </c>
      <c r="Y664" s="848">
        <f t="shared" si="132"/>
        <v>0.6</v>
      </c>
      <c r="Z664" s="849">
        <v>18.399999999999999</v>
      </c>
      <c r="AA664" s="849"/>
      <c r="AB664" s="849">
        <f t="shared" si="124"/>
        <v>110.39999999999999</v>
      </c>
      <c r="AC664" s="850">
        <f t="shared" si="125"/>
        <v>110.39999999999999</v>
      </c>
      <c r="AD664" s="851"/>
      <c r="AE664" s="852">
        <v>24580</v>
      </c>
      <c r="AF664" s="853">
        <v>0</v>
      </c>
      <c r="AG664" s="854">
        <f t="shared" si="126"/>
        <v>0</v>
      </c>
      <c r="AH664" s="853"/>
      <c r="AI664" s="855">
        <f t="shared" si="127"/>
        <v>0</v>
      </c>
      <c r="AJ664" s="845" t="s">
        <v>1872</v>
      </c>
      <c r="AK664" s="857" t="s">
        <v>1745</v>
      </c>
      <c r="AL664" s="840">
        <v>244737306</v>
      </c>
      <c r="AM664" s="840"/>
      <c r="AN664" s="858"/>
      <c r="AO664" s="844"/>
      <c r="AP664" s="859" t="s">
        <v>1873</v>
      </c>
      <c r="AQ664" s="859"/>
      <c r="AR664" s="859">
        <v>45453</v>
      </c>
      <c r="AS664" s="840" t="s">
        <v>1874</v>
      </c>
      <c r="AT664" s="840" t="s">
        <v>1875</v>
      </c>
      <c r="AU664" s="860" t="s">
        <v>1876</v>
      </c>
      <c r="AV664" s="839" t="s">
        <v>1877</v>
      </c>
      <c r="AW664" s="861">
        <v>45575</v>
      </c>
      <c r="AX664" s="862">
        <v>45582</v>
      </c>
      <c r="AY664" s="843" t="s">
        <v>2290</v>
      </c>
      <c r="AZ664" s="842">
        <v>94051199</v>
      </c>
      <c r="BA664" s="842" t="s">
        <v>120</v>
      </c>
      <c r="BB664" s="863" t="s">
        <v>121</v>
      </c>
      <c r="BC664" s="864">
        <v>45584</v>
      </c>
      <c r="BD664" s="860" t="s">
        <v>1879</v>
      </c>
      <c r="BE664" s="865" cm="1">
        <f t="array" ref="BE664">IF(BD664="","",AC664/SUMPRODUCT(--(BD664=$BD$4:$BD$12824),$AC$4:$AC$12824))</f>
        <v>2.7790098866045656E-3</v>
      </c>
      <c r="BF664" s="458"/>
      <c r="BG664" s="458"/>
      <c r="BH664" s="458"/>
      <c r="BI664" s="458"/>
      <c r="BJ664" s="458"/>
      <c r="BK664" s="458"/>
      <c r="BL664" s="458"/>
      <c r="BM664" s="458"/>
      <c r="BN664" s="458"/>
      <c r="BO664" s="866">
        <f>VLOOKUP(BD664,$BD$4:$BN$12824,3,0)*BE664</f>
        <v>0</v>
      </c>
      <c r="BP664" s="866"/>
      <c r="BQ664" s="866"/>
      <c r="BR664" s="866">
        <f>VLOOKUP(BD664,$BD$4:$BN$12824,6,0)*BE664</f>
        <v>53528.621473404361</v>
      </c>
      <c r="BS664" s="866">
        <f>VLOOKUP(BD664,$BD$4:$BN$12824,7,0)*BE664</f>
        <v>2676.4894328778364</v>
      </c>
      <c r="BT664" s="866"/>
      <c r="BU664" s="866">
        <f>VLOOKUP(BD664,$BD$4:$BN$12824,9,0)*BE664</f>
        <v>1389.5049433022828</v>
      </c>
      <c r="BV664" s="867"/>
      <c r="BW664" s="867">
        <f>VLOOKUP(BD664,$BD$4:$BN$12824,11,0)*BE664</f>
        <v>5835.9207618695882</v>
      </c>
      <c r="BX664" s="1146">
        <f t="shared" si="122"/>
        <v>63430.536611454067</v>
      </c>
      <c r="BY664" s="867">
        <f t="shared" si="131"/>
        <v>462843.75610190904</v>
      </c>
      <c r="BZ664" s="867">
        <f t="shared" si="128"/>
        <v>2777062.5366114541</v>
      </c>
      <c r="CA664" s="867">
        <f>_xlfn.MAXIFS($BY$4:$BY$12824,$S$4:$S$12824,$S664)</f>
        <v>492945.23124791333</v>
      </c>
      <c r="CB664" s="1032"/>
      <c r="CC664" s="999" t="s">
        <v>1889</v>
      </c>
      <c r="CF664" s="946">
        <f t="shared" si="130"/>
        <v>2713632</v>
      </c>
    </row>
    <row r="665" spans="1:84">
      <c r="A665" s="1032"/>
      <c r="B665" s="839" t="s">
        <v>98</v>
      </c>
      <c r="C665" s="839" t="s">
        <v>131</v>
      </c>
      <c r="D665" s="839" t="s">
        <v>1868</v>
      </c>
      <c r="E665" s="839" t="s">
        <v>1952</v>
      </c>
      <c r="F665" s="841">
        <v>45520</v>
      </c>
      <c r="G665" s="840" t="s">
        <v>133</v>
      </c>
      <c r="H665" s="842" t="s">
        <v>134</v>
      </c>
      <c r="I665" s="842"/>
      <c r="J665" s="841"/>
      <c r="K665" s="841"/>
      <c r="L665" s="843" t="s">
        <v>106</v>
      </c>
      <c r="M665" s="844" t="s">
        <v>107</v>
      </c>
      <c r="N665" s="841" t="s">
        <v>1869</v>
      </c>
      <c r="O665" s="841" t="s">
        <v>135</v>
      </c>
      <c r="P665" s="841" t="s">
        <v>186</v>
      </c>
      <c r="Q665" s="843"/>
      <c r="R665" s="845" t="s">
        <v>2291</v>
      </c>
      <c r="S665" s="1127" t="s">
        <v>2292</v>
      </c>
      <c r="T665" s="843" t="s">
        <v>2293</v>
      </c>
      <c r="U665" s="842">
        <v>16</v>
      </c>
      <c r="V665" s="842" t="s">
        <v>8</v>
      </c>
      <c r="W665" s="846">
        <v>46</v>
      </c>
      <c r="X665" s="847">
        <f t="shared" si="123"/>
        <v>736</v>
      </c>
      <c r="Y665" s="848">
        <f t="shared" si="132"/>
        <v>0.6</v>
      </c>
      <c r="Z665" s="849">
        <v>18.399999999999999</v>
      </c>
      <c r="AA665" s="849"/>
      <c r="AB665" s="849">
        <f t="shared" si="124"/>
        <v>294.39999999999998</v>
      </c>
      <c r="AC665" s="850">
        <f t="shared" si="125"/>
        <v>294.39999999999998</v>
      </c>
      <c r="AD665" s="851"/>
      <c r="AE665" s="852">
        <v>24580</v>
      </c>
      <c r="AF665" s="853">
        <v>0</v>
      </c>
      <c r="AG665" s="854">
        <f t="shared" si="126"/>
        <v>0</v>
      </c>
      <c r="AH665" s="853"/>
      <c r="AI665" s="855">
        <f t="shared" si="127"/>
        <v>0</v>
      </c>
      <c r="AJ665" s="845" t="s">
        <v>1872</v>
      </c>
      <c r="AK665" s="857" t="s">
        <v>1745</v>
      </c>
      <c r="AL665" s="840">
        <v>244737306</v>
      </c>
      <c r="AM665" s="840"/>
      <c r="AN665" s="858"/>
      <c r="AO665" s="844"/>
      <c r="AP665" s="859" t="s">
        <v>1873</v>
      </c>
      <c r="AQ665" s="859"/>
      <c r="AR665" s="859">
        <v>45453</v>
      </c>
      <c r="AS665" s="840" t="s">
        <v>1874</v>
      </c>
      <c r="AT665" s="840" t="s">
        <v>1875</v>
      </c>
      <c r="AU665" s="860" t="s">
        <v>1876</v>
      </c>
      <c r="AV665" s="839" t="s">
        <v>1877</v>
      </c>
      <c r="AW665" s="861">
        <v>45575</v>
      </c>
      <c r="AX665" s="862">
        <v>45582</v>
      </c>
      <c r="AY665" s="843" t="s">
        <v>2294</v>
      </c>
      <c r="AZ665" s="842">
        <v>39231090</v>
      </c>
      <c r="BA665" s="842" t="s">
        <v>120</v>
      </c>
      <c r="BB665" s="863" t="s">
        <v>121</v>
      </c>
      <c r="BC665" s="864">
        <v>45584</v>
      </c>
      <c r="BD665" s="860" t="s">
        <v>1879</v>
      </c>
      <c r="BE665" s="865" cm="1">
        <f t="array" ref="BE665">IF(BD665="","",AC665/SUMPRODUCT(--(BD665=$BD$4:$BD$12824),$AC$4:$AC$12824))</f>
        <v>7.4106930309455078E-3</v>
      </c>
      <c r="BF665" s="458"/>
      <c r="BG665" s="458"/>
      <c r="BH665" s="458"/>
      <c r="BI665" s="458"/>
      <c r="BJ665" s="458"/>
      <c r="BK665" s="458"/>
      <c r="BL665" s="458"/>
      <c r="BM665" s="458"/>
      <c r="BN665" s="458"/>
      <c r="BO665" s="866">
        <f>VLOOKUP(BD665,$BD$4:$BN$12824,3,0)*BE665</f>
        <v>0</v>
      </c>
      <c r="BP665" s="866"/>
      <c r="BQ665" s="866"/>
      <c r="BR665" s="866">
        <f>VLOOKUP(BD665,$BD$4:$BN$12824,6,0)*BE665</f>
        <v>142742.99059574495</v>
      </c>
      <c r="BS665" s="866">
        <f>VLOOKUP(BD665,$BD$4:$BN$12824,7,0)*BE665</f>
        <v>7137.3051543408974</v>
      </c>
      <c r="BT665" s="866"/>
      <c r="BU665" s="866">
        <f>VLOOKUP(BD665,$BD$4:$BN$12824,9,0)*BE665</f>
        <v>3705.3465154727537</v>
      </c>
      <c r="BV665" s="867"/>
      <c r="BW665" s="867">
        <f>VLOOKUP(BD665,$BD$4:$BN$12824,11,0)*BE665</f>
        <v>15562.455364985566</v>
      </c>
      <c r="BX665" s="1146">
        <f t="shared" si="122"/>
        <v>169148.09763054416</v>
      </c>
      <c r="BY665" s="867">
        <f t="shared" si="131"/>
        <v>462843.75610190898</v>
      </c>
      <c r="BZ665" s="867">
        <f t="shared" si="128"/>
        <v>7405500.0976305436</v>
      </c>
      <c r="CA665" s="867">
        <f>_xlfn.MAXIFS($BY$4:$BY$12824,$S$4:$S$12824,$S665)</f>
        <v>462843.75610190898</v>
      </c>
      <c r="CB665" s="1032"/>
      <c r="CC665" s="999" t="s">
        <v>1889</v>
      </c>
      <c r="CF665" s="946">
        <f t="shared" si="130"/>
        <v>7236351.9999999991</v>
      </c>
    </row>
    <row r="666" spans="1:84">
      <c r="A666" s="1032"/>
      <c r="B666" s="839" t="s">
        <v>98</v>
      </c>
      <c r="C666" s="839" t="s">
        <v>131</v>
      </c>
      <c r="D666" s="839" t="s">
        <v>1868</v>
      </c>
      <c r="E666" s="839" t="s">
        <v>1952</v>
      </c>
      <c r="F666" s="841">
        <v>45520</v>
      </c>
      <c r="G666" s="840" t="s">
        <v>133</v>
      </c>
      <c r="H666" s="842" t="s">
        <v>134</v>
      </c>
      <c r="I666" s="842"/>
      <c r="J666" s="841"/>
      <c r="K666" s="841"/>
      <c r="L666" s="843" t="s">
        <v>106</v>
      </c>
      <c r="M666" s="844" t="s">
        <v>107</v>
      </c>
      <c r="N666" s="841" t="s">
        <v>1869</v>
      </c>
      <c r="O666" s="841" t="s">
        <v>135</v>
      </c>
      <c r="P666" s="841" t="s">
        <v>186</v>
      </c>
      <c r="Q666" s="843"/>
      <c r="R666" s="845" t="s">
        <v>2295</v>
      </c>
      <c r="S666" s="1127" t="s">
        <v>2296</v>
      </c>
      <c r="T666" s="843" t="s">
        <v>2297</v>
      </c>
      <c r="U666" s="842">
        <v>16</v>
      </c>
      <c r="V666" s="842" t="s">
        <v>8</v>
      </c>
      <c r="W666" s="846">
        <v>46</v>
      </c>
      <c r="X666" s="847">
        <f t="shared" si="123"/>
        <v>736</v>
      </c>
      <c r="Y666" s="848">
        <f t="shared" si="132"/>
        <v>0.6</v>
      </c>
      <c r="Z666" s="849">
        <v>18.399999999999999</v>
      </c>
      <c r="AA666" s="849"/>
      <c r="AB666" s="849">
        <f t="shared" si="124"/>
        <v>294.39999999999998</v>
      </c>
      <c r="AC666" s="850">
        <f t="shared" si="125"/>
        <v>294.39999999999998</v>
      </c>
      <c r="AD666" s="851"/>
      <c r="AE666" s="852">
        <v>24580</v>
      </c>
      <c r="AF666" s="853">
        <v>0</v>
      </c>
      <c r="AG666" s="854">
        <f t="shared" si="126"/>
        <v>0</v>
      </c>
      <c r="AH666" s="853"/>
      <c r="AI666" s="855">
        <f t="shared" si="127"/>
        <v>0</v>
      </c>
      <c r="AJ666" s="845" t="s">
        <v>1872</v>
      </c>
      <c r="AK666" s="857" t="s">
        <v>1745</v>
      </c>
      <c r="AL666" s="840">
        <v>244737306</v>
      </c>
      <c r="AM666" s="840"/>
      <c r="AN666" s="858"/>
      <c r="AO666" s="844"/>
      <c r="AP666" s="859" t="s">
        <v>1873</v>
      </c>
      <c r="AQ666" s="859"/>
      <c r="AR666" s="859">
        <v>45453</v>
      </c>
      <c r="AS666" s="840" t="s">
        <v>1874</v>
      </c>
      <c r="AT666" s="840" t="s">
        <v>1875</v>
      </c>
      <c r="AU666" s="860" t="s">
        <v>1876</v>
      </c>
      <c r="AV666" s="839" t="s">
        <v>1877</v>
      </c>
      <c r="AW666" s="861">
        <v>45575</v>
      </c>
      <c r="AX666" s="862">
        <v>45582</v>
      </c>
      <c r="AY666" s="843" t="s">
        <v>2298</v>
      </c>
      <c r="AZ666" s="842">
        <v>39231090</v>
      </c>
      <c r="BA666" s="842" t="s">
        <v>120</v>
      </c>
      <c r="BB666" s="863" t="s">
        <v>121</v>
      </c>
      <c r="BC666" s="864">
        <v>45584</v>
      </c>
      <c r="BD666" s="860" t="s">
        <v>1879</v>
      </c>
      <c r="BE666" s="865" cm="1">
        <f t="array" ref="BE666">IF(BD666="","",AC666/SUMPRODUCT(--(BD666=$BD$4:$BD$12824),$AC$4:$AC$12824))</f>
        <v>7.4106930309455078E-3</v>
      </c>
      <c r="BF666" s="458"/>
      <c r="BG666" s="458"/>
      <c r="BH666" s="458"/>
      <c r="BI666" s="458"/>
      <c r="BJ666" s="458"/>
      <c r="BK666" s="458"/>
      <c r="BL666" s="458"/>
      <c r="BM666" s="458"/>
      <c r="BN666" s="458"/>
      <c r="BO666" s="866">
        <f>VLOOKUP(BD666,$BD$4:$BN$12824,3,0)*BE666</f>
        <v>0</v>
      </c>
      <c r="BP666" s="866"/>
      <c r="BQ666" s="866"/>
      <c r="BR666" s="866">
        <f>VLOOKUP(BD666,$BD$4:$BN$12824,6,0)*BE666</f>
        <v>142742.99059574495</v>
      </c>
      <c r="BS666" s="866">
        <f>VLOOKUP(BD666,$BD$4:$BN$12824,7,0)*BE666</f>
        <v>7137.3051543408974</v>
      </c>
      <c r="BT666" s="866"/>
      <c r="BU666" s="866">
        <f>VLOOKUP(BD666,$BD$4:$BN$12824,9,0)*BE666</f>
        <v>3705.3465154727537</v>
      </c>
      <c r="BV666" s="867"/>
      <c r="BW666" s="867">
        <f>VLOOKUP(BD666,$BD$4:$BN$12824,11,0)*BE666</f>
        <v>15562.455364985566</v>
      </c>
      <c r="BX666" s="1146">
        <f t="shared" si="122"/>
        <v>169148.09763054416</v>
      </c>
      <c r="BY666" s="867">
        <f t="shared" si="131"/>
        <v>462843.75610190898</v>
      </c>
      <c r="BZ666" s="867">
        <f t="shared" si="128"/>
        <v>7405500.0976305436</v>
      </c>
      <c r="CA666" s="867">
        <f>_xlfn.MAXIFS($BY$4:$BY$12824,$S$4:$S$12824,$S666)</f>
        <v>462843.75610190898</v>
      </c>
      <c r="CB666" s="1032"/>
      <c r="CC666" s="999" t="s">
        <v>1889</v>
      </c>
      <c r="CF666" s="946">
        <f t="shared" si="130"/>
        <v>7236351.9999999991</v>
      </c>
    </row>
    <row r="667" spans="1:84">
      <c r="A667" s="1032"/>
      <c r="B667" s="839" t="s">
        <v>98</v>
      </c>
      <c r="C667" s="839" t="s">
        <v>131</v>
      </c>
      <c r="D667" s="839" t="s">
        <v>1868</v>
      </c>
      <c r="E667" s="839" t="s">
        <v>1952</v>
      </c>
      <c r="F667" s="841">
        <v>45520</v>
      </c>
      <c r="G667" s="840" t="s">
        <v>133</v>
      </c>
      <c r="H667" s="842" t="s">
        <v>134</v>
      </c>
      <c r="I667" s="842"/>
      <c r="J667" s="841"/>
      <c r="K667" s="841"/>
      <c r="L667" s="843" t="s">
        <v>106</v>
      </c>
      <c r="M667" s="844" t="s">
        <v>107</v>
      </c>
      <c r="N667" s="841" t="s">
        <v>1869</v>
      </c>
      <c r="O667" s="841" t="s">
        <v>135</v>
      </c>
      <c r="P667" s="841" t="s">
        <v>186</v>
      </c>
      <c r="Q667" s="843"/>
      <c r="R667" s="845" t="s">
        <v>2299</v>
      </c>
      <c r="S667" s="1127" t="s">
        <v>2300</v>
      </c>
      <c r="T667" s="843" t="s">
        <v>2301</v>
      </c>
      <c r="U667" s="842">
        <v>18</v>
      </c>
      <c r="V667" s="842" t="s">
        <v>8</v>
      </c>
      <c r="W667" s="846">
        <v>15</v>
      </c>
      <c r="X667" s="847">
        <f t="shared" si="123"/>
        <v>270</v>
      </c>
      <c r="Y667" s="848">
        <f t="shared" si="132"/>
        <v>0.6</v>
      </c>
      <c r="Z667" s="849">
        <v>6</v>
      </c>
      <c r="AA667" s="849"/>
      <c r="AB667" s="849">
        <f t="shared" si="124"/>
        <v>108</v>
      </c>
      <c r="AC667" s="850">
        <f t="shared" si="125"/>
        <v>108</v>
      </c>
      <c r="AD667" s="851"/>
      <c r="AE667" s="852">
        <v>24580</v>
      </c>
      <c r="AF667" s="853">
        <v>0</v>
      </c>
      <c r="AG667" s="854">
        <f t="shared" si="126"/>
        <v>0</v>
      </c>
      <c r="AH667" s="853"/>
      <c r="AI667" s="855">
        <f t="shared" si="127"/>
        <v>0</v>
      </c>
      <c r="AJ667" s="845" t="s">
        <v>1872</v>
      </c>
      <c r="AK667" s="857" t="s">
        <v>1745</v>
      </c>
      <c r="AL667" s="840">
        <v>244737306</v>
      </c>
      <c r="AM667" s="840"/>
      <c r="AN667" s="858"/>
      <c r="AO667" s="844"/>
      <c r="AP667" s="859" t="s">
        <v>1873</v>
      </c>
      <c r="AQ667" s="859"/>
      <c r="AR667" s="859">
        <v>45453</v>
      </c>
      <c r="AS667" s="840" t="s">
        <v>1874</v>
      </c>
      <c r="AT667" s="840" t="s">
        <v>1875</v>
      </c>
      <c r="AU667" s="860" t="s">
        <v>1876</v>
      </c>
      <c r="AV667" s="839" t="s">
        <v>1877</v>
      </c>
      <c r="AW667" s="861">
        <v>45575</v>
      </c>
      <c r="AX667" s="862">
        <v>45582</v>
      </c>
      <c r="AY667" s="843" t="s">
        <v>2302</v>
      </c>
      <c r="AZ667" s="842">
        <v>73239990</v>
      </c>
      <c r="BA667" s="842" t="s">
        <v>120</v>
      </c>
      <c r="BB667" s="863" t="s">
        <v>121</v>
      </c>
      <c r="BC667" s="864">
        <v>45584</v>
      </c>
      <c r="BD667" s="860" t="s">
        <v>1879</v>
      </c>
      <c r="BE667" s="865" cm="1">
        <f t="array" ref="BE667">IF(BD667="","",AC667/SUMPRODUCT(--(BD667=$BD$4:$BD$12824),$AC$4:$AC$12824))</f>
        <v>2.7185966282001184E-3</v>
      </c>
      <c r="BF667" s="458"/>
      <c r="BG667" s="458"/>
      <c r="BH667" s="458"/>
      <c r="BI667" s="458"/>
      <c r="BJ667" s="458"/>
      <c r="BK667" s="458"/>
      <c r="BL667" s="458"/>
      <c r="BM667" s="458"/>
      <c r="BN667" s="458"/>
      <c r="BO667" s="866">
        <f>VLOOKUP(BD667,$BD$4:$BN$12824,3,0)*BE667</f>
        <v>0</v>
      </c>
      <c r="BP667" s="866"/>
      <c r="BQ667" s="866"/>
      <c r="BR667" s="866">
        <f>VLOOKUP(BD667,$BD$4:$BN$12824,6,0)*BE667</f>
        <v>52364.955789199914</v>
      </c>
      <c r="BS667" s="866">
        <f>VLOOKUP(BD667,$BD$4:$BN$12824,7,0)*BE667</f>
        <v>2618.3048799891881</v>
      </c>
      <c r="BT667" s="866"/>
      <c r="BU667" s="866">
        <f>VLOOKUP(BD667,$BD$4:$BN$12824,9,0)*BE667</f>
        <v>1359.2983141000593</v>
      </c>
      <c r="BV667" s="867"/>
      <c r="BW667" s="867">
        <f>VLOOKUP(BD667,$BD$4:$BN$12824,11,0)*BE667</f>
        <v>5709.0529192202484</v>
      </c>
      <c r="BX667" s="1146">
        <f t="shared" si="122"/>
        <v>62051.611902509409</v>
      </c>
      <c r="BY667" s="867">
        <f t="shared" si="131"/>
        <v>150927.31177236163</v>
      </c>
      <c r="BZ667" s="867">
        <f t="shared" si="128"/>
        <v>2716691.6119025094</v>
      </c>
      <c r="CA667" s="867">
        <f>_xlfn.MAXIFS($BY$4:$BY$12824,$S$4:$S$12824,$S667)</f>
        <v>150927.31177236163</v>
      </c>
      <c r="CB667" s="1032"/>
      <c r="CC667" s="999" t="s">
        <v>1889</v>
      </c>
      <c r="CF667" s="946">
        <f t="shared" si="130"/>
        <v>2654640</v>
      </c>
    </row>
    <row r="668" spans="1:84">
      <c r="A668" s="1032"/>
      <c r="B668" s="839" t="s">
        <v>98</v>
      </c>
      <c r="C668" s="839" t="s">
        <v>131</v>
      </c>
      <c r="D668" s="839" t="s">
        <v>1868</v>
      </c>
      <c r="E668" s="839" t="s">
        <v>1952</v>
      </c>
      <c r="F668" s="841">
        <v>45520</v>
      </c>
      <c r="G668" s="840" t="s">
        <v>133</v>
      </c>
      <c r="H668" s="842" t="s">
        <v>134</v>
      </c>
      <c r="I668" s="842"/>
      <c r="J668" s="841"/>
      <c r="K668" s="841"/>
      <c r="L668" s="843" t="s">
        <v>106</v>
      </c>
      <c r="M668" s="844" t="s">
        <v>107</v>
      </c>
      <c r="N668" s="841" t="s">
        <v>1869</v>
      </c>
      <c r="O668" s="841" t="s">
        <v>135</v>
      </c>
      <c r="P668" s="841" t="s">
        <v>186</v>
      </c>
      <c r="Q668" s="843"/>
      <c r="R668" s="845" t="s">
        <v>2303</v>
      </c>
      <c r="S668" s="1127" t="s">
        <v>2304</v>
      </c>
      <c r="T668" s="843" t="s">
        <v>2305</v>
      </c>
      <c r="U668" s="842">
        <v>18</v>
      </c>
      <c r="V668" s="842" t="s">
        <v>8</v>
      </c>
      <c r="W668" s="846">
        <v>15</v>
      </c>
      <c r="X668" s="847">
        <f t="shared" si="123"/>
        <v>270</v>
      </c>
      <c r="Y668" s="848">
        <f t="shared" si="132"/>
        <v>0.6</v>
      </c>
      <c r="Z668" s="849">
        <v>6</v>
      </c>
      <c r="AA668" s="849"/>
      <c r="AB668" s="849">
        <f t="shared" si="124"/>
        <v>108</v>
      </c>
      <c r="AC668" s="850">
        <f t="shared" si="125"/>
        <v>108</v>
      </c>
      <c r="AD668" s="851"/>
      <c r="AE668" s="852">
        <v>24580</v>
      </c>
      <c r="AF668" s="853">
        <v>0</v>
      </c>
      <c r="AG668" s="854">
        <f t="shared" si="126"/>
        <v>0</v>
      </c>
      <c r="AH668" s="853"/>
      <c r="AI668" s="855">
        <f t="shared" si="127"/>
        <v>0</v>
      </c>
      <c r="AJ668" s="845" t="s">
        <v>1872</v>
      </c>
      <c r="AK668" s="857" t="s">
        <v>1745</v>
      </c>
      <c r="AL668" s="840">
        <v>244737306</v>
      </c>
      <c r="AM668" s="840"/>
      <c r="AN668" s="858"/>
      <c r="AO668" s="844"/>
      <c r="AP668" s="859" t="s">
        <v>1873</v>
      </c>
      <c r="AQ668" s="859"/>
      <c r="AR668" s="859">
        <v>45453</v>
      </c>
      <c r="AS668" s="840" t="s">
        <v>1874</v>
      </c>
      <c r="AT668" s="840" t="s">
        <v>1875</v>
      </c>
      <c r="AU668" s="860" t="s">
        <v>1876</v>
      </c>
      <c r="AV668" s="839" t="s">
        <v>1877</v>
      </c>
      <c r="AW668" s="861">
        <v>45575</v>
      </c>
      <c r="AX668" s="862">
        <v>45582</v>
      </c>
      <c r="AY668" s="843" t="s">
        <v>2306</v>
      </c>
      <c r="AZ668" s="842">
        <v>73239990</v>
      </c>
      <c r="BA668" s="842" t="s">
        <v>120</v>
      </c>
      <c r="BB668" s="863" t="s">
        <v>121</v>
      </c>
      <c r="BC668" s="864">
        <v>45584</v>
      </c>
      <c r="BD668" s="860" t="s">
        <v>1879</v>
      </c>
      <c r="BE668" s="865" cm="1">
        <f t="array" ref="BE668">IF(BD668="","",AC668/SUMPRODUCT(--(BD668=$BD$4:$BD$12824),$AC$4:$AC$12824))</f>
        <v>2.7185966282001184E-3</v>
      </c>
      <c r="BF668" s="458"/>
      <c r="BG668" s="458"/>
      <c r="BH668" s="458"/>
      <c r="BI668" s="458"/>
      <c r="BJ668" s="458"/>
      <c r="BK668" s="458"/>
      <c r="BL668" s="458"/>
      <c r="BM668" s="458"/>
      <c r="BN668" s="458"/>
      <c r="BO668" s="866">
        <f>VLOOKUP(BD668,$BD$4:$BN$12824,3,0)*BE668</f>
        <v>0</v>
      </c>
      <c r="BP668" s="866"/>
      <c r="BQ668" s="866"/>
      <c r="BR668" s="866">
        <f>VLOOKUP(BD668,$BD$4:$BN$12824,6,0)*BE668</f>
        <v>52364.955789199914</v>
      </c>
      <c r="BS668" s="866">
        <f>VLOOKUP(BD668,$BD$4:$BN$12824,7,0)*BE668</f>
        <v>2618.3048799891881</v>
      </c>
      <c r="BT668" s="866"/>
      <c r="BU668" s="866">
        <f>VLOOKUP(BD668,$BD$4:$BN$12824,9,0)*BE668</f>
        <v>1359.2983141000593</v>
      </c>
      <c r="BV668" s="867"/>
      <c r="BW668" s="867">
        <f>VLOOKUP(BD668,$BD$4:$BN$12824,11,0)*BE668</f>
        <v>5709.0529192202484</v>
      </c>
      <c r="BX668" s="1146">
        <f t="shared" si="122"/>
        <v>62051.611902509409</v>
      </c>
      <c r="BY668" s="867">
        <f t="shared" si="131"/>
        <v>150927.31177236163</v>
      </c>
      <c r="BZ668" s="867">
        <f t="shared" si="128"/>
        <v>2716691.6119025094</v>
      </c>
      <c r="CA668" s="867">
        <f>_xlfn.MAXIFS($BY$4:$BY$12824,$S$4:$S$12824,$S668)</f>
        <v>150927.31177236163</v>
      </c>
      <c r="CB668" s="1032"/>
      <c r="CC668" s="999" t="s">
        <v>1889</v>
      </c>
      <c r="CF668" s="946">
        <f t="shared" si="130"/>
        <v>2654640</v>
      </c>
    </row>
    <row r="669" spans="1:84">
      <c r="A669" s="1032"/>
      <c r="B669" s="839" t="s">
        <v>98</v>
      </c>
      <c r="C669" s="839" t="s">
        <v>131</v>
      </c>
      <c r="D669" s="839" t="s">
        <v>1868</v>
      </c>
      <c r="E669" s="839" t="s">
        <v>1952</v>
      </c>
      <c r="F669" s="841">
        <v>45520</v>
      </c>
      <c r="G669" s="840" t="s">
        <v>133</v>
      </c>
      <c r="H669" s="842" t="s">
        <v>134</v>
      </c>
      <c r="I669" s="842"/>
      <c r="J669" s="841"/>
      <c r="K669" s="841"/>
      <c r="L669" s="843" t="s">
        <v>106</v>
      </c>
      <c r="M669" s="844" t="s">
        <v>107</v>
      </c>
      <c r="N669" s="841" t="s">
        <v>1869</v>
      </c>
      <c r="O669" s="841" t="s">
        <v>135</v>
      </c>
      <c r="P669" s="841" t="s">
        <v>186</v>
      </c>
      <c r="Q669" s="843"/>
      <c r="R669" s="845" t="s">
        <v>2307</v>
      </c>
      <c r="S669" s="1127" t="s">
        <v>2308</v>
      </c>
      <c r="T669" s="843" t="s">
        <v>2309</v>
      </c>
      <c r="U669" s="842">
        <v>18</v>
      </c>
      <c r="V669" s="842" t="s">
        <v>8</v>
      </c>
      <c r="W669" s="846">
        <v>20</v>
      </c>
      <c r="X669" s="847">
        <f t="shared" si="123"/>
        <v>360</v>
      </c>
      <c r="Y669" s="848">
        <f t="shared" si="132"/>
        <v>0.6</v>
      </c>
      <c r="Z669" s="849">
        <v>8</v>
      </c>
      <c r="AA669" s="849"/>
      <c r="AB669" s="849">
        <f t="shared" si="124"/>
        <v>144</v>
      </c>
      <c r="AC669" s="850">
        <f t="shared" si="125"/>
        <v>144</v>
      </c>
      <c r="AD669" s="851"/>
      <c r="AE669" s="852">
        <v>24580</v>
      </c>
      <c r="AF669" s="853">
        <v>0</v>
      </c>
      <c r="AG669" s="854">
        <f t="shared" si="126"/>
        <v>0</v>
      </c>
      <c r="AH669" s="853"/>
      <c r="AI669" s="855">
        <f t="shared" si="127"/>
        <v>0</v>
      </c>
      <c r="AJ669" s="845" t="s">
        <v>1872</v>
      </c>
      <c r="AK669" s="857" t="s">
        <v>1745</v>
      </c>
      <c r="AL669" s="840">
        <v>244737306</v>
      </c>
      <c r="AM669" s="840"/>
      <c r="AN669" s="858"/>
      <c r="AO669" s="844"/>
      <c r="AP669" s="859" t="s">
        <v>1873</v>
      </c>
      <c r="AQ669" s="859"/>
      <c r="AR669" s="859">
        <v>45453</v>
      </c>
      <c r="AS669" s="840" t="s">
        <v>1874</v>
      </c>
      <c r="AT669" s="840" t="s">
        <v>1875</v>
      </c>
      <c r="AU669" s="860" t="s">
        <v>1876</v>
      </c>
      <c r="AV669" s="839" t="s">
        <v>1877</v>
      </c>
      <c r="AW669" s="861">
        <v>45575</v>
      </c>
      <c r="AX669" s="862">
        <v>45582</v>
      </c>
      <c r="AY669" s="843" t="s">
        <v>2310</v>
      </c>
      <c r="AZ669" s="842">
        <v>73239990</v>
      </c>
      <c r="BA669" s="842" t="s">
        <v>120</v>
      </c>
      <c r="BB669" s="863" t="s">
        <v>121</v>
      </c>
      <c r="BC669" s="864">
        <v>45584</v>
      </c>
      <c r="BD669" s="860" t="s">
        <v>1879</v>
      </c>
      <c r="BE669" s="865" cm="1">
        <f t="array" ref="BE669">IF(BD669="","",AC669/SUMPRODUCT(--(BD669=$BD$4:$BD$12824),$AC$4:$AC$12824))</f>
        <v>3.6247955042668246E-3</v>
      </c>
      <c r="BF669" s="458"/>
      <c r="BG669" s="458"/>
      <c r="BH669" s="458"/>
      <c r="BI669" s="458"/>
      <c r="BJ669" s="458"/>
      <c r="BK669" s="458"/>
      <c r="BL669" s="458"/>
      <c r="BM669" s="458"/>
      <c r="BN669" s="458"/>
      <c r="BO669" s="866">
        <f>VLOOKUP(BD669,$BD$4:$BN$12824,3,0)*BE669</f>
        <v>0</v>
      </c>
      <c r="BP669" s="866"/>
      <c r="BQ669" s="866"/>
      <c r="BR669" s="866">
        <f>VLOOKUP(BD669,$BD$4:$BN$12824,6,0)*BE669</f>
        <v>69819.941052266557</v>
      </c>
      <c r="BS669" s="866">
        <f>VLOOKUP(BD669,$BD$4:$BN$12824,7,0)*BE669</f>
        <v>3491.0731733189173</v>
      </c>
      <c r="BT669" s="866"/>
      <c r="BU669" s="866">
        <f>VLOOKUP(BD669,$BD$4:$BN$12824,9,0)*BE669</f>
        <v>1812.3977521334123</v>
      </c>
      <c r="BV669" s="867"/>
      <c r="BW669" s="867">
        <f>VLOOKUP(BD669,$BD$4:$BN$12824,11,0)*BE669</f>
        <v>7612.0705589603313</v>
      </c>
      <c r="BX669" s="1146">
        <f t="shared" si="122"/>
        <v>82735.482536679221</v>
      </c>
      <c r="BY669" s="867">
        <f t="shared" si="131"/>
        <v>201236.41569648217</v>
      </c>
      <c r="BZ669" s="867">
        <f t="shared" si="128"/>
        <v>3622255.4825366791</v>
      </c>
      <c r="CA669" s="867">
        <f>_xlfn.MAXIFS($BY$4:$BY$12824,$S$4:$S$12824,$S669)</f>
        <v>201236.41569648217</v>
      </c>
      <c r="CB669" s="1032"/>
      <c r="CC669" s="999" t="s">
        <v>1889</v>
      </c>
      <c r="CF669" s="946">
        <f t="shared" si="130"/>
        <v>3539520</v>
      </c>
    </row>
    <row r="670" spans="1:84">
      <c r="A670" s="1032"/>
      <c r="B670" s="839" t="s">
        <v>98</v>
      </c>
      <c r="C670" s="839" t="s">
        <v>131</v>
      </c>
      <c r="D670" s="839" t="s">
        <v>1868</v>
      </c>
      <c r="E670" s="839" t="s">
        <v>1952</v>
      </c>
      <c r="F670" s="841">
        <v>45520</v>
      </c>
      <c r="G670" s="840" t="s">
        <v>133</v>
      </c>
      <c r="H670" s="842" t="s">
        <v>134</v>
      </c>
      <c r="I670" s="842"/>
      <c r="J670" s="841"/>
      <c r="K670" s="841"/>
      <c r="L670" s="843" t="s">
        <v>106</v>
      </c>
      <c r="M670" s="844" t="s">
        <v>107</v>
      </c>
      <c r="N670" s="841" t="s">
        <v>1869</v>
      </c>
      <c r="O670" s="841" t="s">
        <v>135</v>
      </c>
      <c r="P670" s="841" t="s">
        <v>186</v>
      </c>
      <c r="Q670" s="843"/>
      <c r="R670" s="845" t="s">
        <v>2311</v>
      </c>
      <c r="S670" s="1127" t="s">
        <v>2312</v>
      </c>
      <c r="T670" s="843" t="s">
        <v>2313</v>
      </c>
      <c r="U670" s="842">
        <v>18</v>
      </c>
      <c r="V670" s="842" t="s">
        <v>8</v>
      </c>
      <c r="W670" s="846">
        <v>20</v>
      </c>
      <c r="X670" s="847">
        <f t="shared" si="123"/>
        <v>360</v>
      </c>
      <c r="Y670" s="848">
        <f t="shared" si="132"/>
        <v>0.6</v>
      </c>
      <c r="Z670" s="849">
        <v>8</v>
      </c>
      <c r="AA670" s="849"/>
      <c r="AB670" s="849">
        <f t="shared" si="124"/>
        <v>144</v>
      </c>
      <c r="AC670" s="850">
        <f t="shared" si="125"/>
        <v>144</v>
      </c>
      <c r="AD670" s="851"/>
      <c r="AE670" s="852">
        <v>24580</v>
      </c>
      <c r="AF670" s="853">
        <v>0</v>
      </c>
      <c r="AG670" s="854">
        <f t="shared" si="126"/>
        <v>0</v>
      </c>
      <c r="AH670" s="853"/>
      <c r="AI670" s="855">
        <f t="shared" si="127"/>
        <v>0</v>
      </c>
      <c r="AJ670" s="845" t="s">
        <v>1872</v>
      </c>
      <c r="AK670" s="857" t="s">
        <v>1745</v>
      </c>
      <c r="AL670" s="840">
        <v>244737306</v>
      </c>
      <c r="AM670" s="840"/>
      <c r="AN670" s="858"/>
      <c r="AO670" s="844"/>
      <c r="AP670" s="859" t="s">
        <v>1873</v>
      </c>
      <c r="AQ670" s="859"/>
      <c r="AR670" s="859">
        <v>45453</v>
      </c>
      <c r="AS670" s="840" t="s">
        <v>1874</v>
      </c>
      <c r="AT670" s="840" t="s">
        <v>1875</v>
      </c>
      <c r="AU670" s="860" t="s">
        <v>1876</v>
      </c>
      <c r="AV670" s="839" t="s">
        <v>1877</v>
      </c>
      <c r="AW670" s="861">
        <v>45575</v>
      </c>
      <c r="AX670" s="862">
        <v>45582</v>
      </c>
      <c r="AY670" s="843" t="s">
        <v>2314</v>
      </c>
      <c r="AZ670" s="842">
        <v>73239990</v>
      </c>
      <c r="BA670" s="842" t="s">
        <v>120</v>
      </c>
      <c r="BB670" s="863" t="s">
        <v>121</v>
      </c>
      <c r="BC670" s="864">
        <v>45584</v>
      </c>
      <c r="BD670" s="860" t="s">
        <v>1879</v>
      </c>
      <c r="BE670" s="865" cm="1">
        <f t="array" ref="BE670">IF(BD670="","",AC670/SUMPRODUCT(--(BD670=$BD$4:$BD$12824),$AC$4:$AC$12824))</f>
        <v>3.6247955042668246E-3</v>
      </c>
      <c r="BF670" s="458"/>
      <c r="BG670" s="458"/>
      <c r="BH670" s="458"/>
      <c r="BI670" s="458"/>
      <c r="BJ670" s="458"/>
      <c r="BK670" s="458"/>
      <c r="BL670" s="458"/>
      <c r="BM670" s="458"/>
      <c r="BN670" s="458"/>
      <c r="BO670" s="866">
        <f>VLOOKUP(BD670,$BD$4:$BN$12824,3,0)*BE670</f>
        <v>0</v>
      </c>
      <c r="BP670" s="866"/>
      <c r="BQ670" s="866"/>
      <c r="BR670" s="866">
        <f>VLOOKUP(BD670,$BD$4:$BN$12824,6,0)*BE670</f>
        <v>69819.941052266557</v>
      </c>
      <c r="BS670" s="866">
        <f>VLOOKUP(BD670,$BD$4:$BN$12824,7,0)*BE670</f>
        <v>3491.0731733189173</v>
      </c>
      <c r="BT670" s="866"/>
      <c r="BU670" s="866">
        <f>VLOOKUP(BD670,$BD$4:$BN$12824,9,0)*BE670</f>
        <v>1812.3977521334123</v>
      </c>
      <c r="BV670" s="867"/>
      <c r="BW670" s="867">
        <f>VLOOKUP(BD670,$BD$4:$BN$12824,11,0)*BE670</f>
        <v>7612.0705589603313</v>
      </c>
      <c r="BX670" s="1146">
        <f t="shared" si="122"/>
        <v>82735.482536679221</v>
      </c>
      <c r="BY670" s="867">
        <f t="shared" si="131"/>
        <v>201236.41569648217</v>
      </c>
      <c r="BZ670" s="867">
        <f t="shared" si="128"/>
        <v>3622255.4825366791</v>
      </c>
      <c r="CA670" s="867">
        <f>_xlfn.MAXIFS($BY$4:$BY$12824,$S$4:$S$12824,$S670)</f>
        <v>201236.41569648217</v>
      </c>
      <c r="CB670" s="1032"/>
      <c r="CC670" s="999" t="s">
        <v>1889</v>
      </c>
      <c r="CF670" s="946">
        <f t="shared" si="130"/>
        <v>3539520</v>
      </c>
    </row>
    <row r="671" spans="1:84">
      <c r="A671" s="1032"/>
      <c r="B671" s="839" t="s">
        <v>98</v>
      </c>
      <c r="C671" s="839" t="s">
        <v>131</v>
      </c>
      <c r="D671" s="839" t="s">
        <v>1868</v>
      </c>
      <c r="E671" s="839" t="s">
        <v>1952</v>
      </c>
      <c r="F671" s="841">
        <v>45520</v>
      </c>
      <c r="G671" s="840" t="s">
        <v>133</v>
      </c>
      <c r="H671" s="842" t="s">
        <v>134</v>
      </c>
      <c r="I671" s="842"/>
      <c r="J671" s="841"/>
      <c r="K671" s="841"/>
      <c r="L671" s="843" t="s">
        <v>106</v>
      </c>
      <c r="M671" s="844" t="s">
        <v>107</v>
      </c>
      <c r="N671" s="841" t="s">
        <v>1869</v>
      </c>
      <c r="O671" s="841" t="s">
        <v>135</v>
      </c>
      <c r="P671" s="841" t="s">
        <v>186</v>
      </c>
      <c r="Q671" s="843"/>
      <c r="R671" s="845" t="s">
        <v>2315</v>
      </c>
      <c r="S671" s="1127" t="s">
        <v>2316</v>
      </c>
      <c r="T671" s="843" t="s">
        <v>2317</v>
      </c>
      <c r="U671" s="842">
        <v>18</v>
      </c>
      <c r="V671" s="842" t="s">
        <v>8</v>
      </c>
      <c r="W671" s="846">
        <v>15</v>
      </c>
      <c r="X671" s="847">
        <f t="shared" si="123"/>
        <v>270</v>
      </c>
      <c r="Y671" s="848">
        <f t="shared" si="132"/>
        <v>0.6</v>
      </c>
      <c r="Z671" s="849">
        <v>6</v>
      </c>
      <c r="AA671" s="849"/>
      <c r="AB671" s="849">
        <f t="shared" si="124"/>
        <v>108</v>
      </c>
      <c r="AC671" s="850">
        <f t="shared" si="125"/>
        <v>108</v>
      </c>
      <c r="AD671" s="851"/>
      <c r="AE671" s="852">
        <v>24580</v>
      </c>
      <c r="AF671" s="853">
        <v>0</v>
      </c>
      <c r="AG671" s="854">
        <f t="shared" si="126"/>
        <v>0</v>
      </c>
      <c r="AH671" s="853"/>
      <c r="AI671" s="855">
        <f t="shared" si="127"/>
        <v>0</v>
      </c>
      <c r="AJ671" s="845" t="s">
        <v>1872</v>
      </c>
      <c r="AK671" s="857" t="s">
        <v>1745</v>
      </c>
      <c r="AL671" s="840">
        <v>244737306</v>
      </c>
      <c r="AM671" s="840"/>
      <c r="AN671" s="858"/>
      <c r="AO671" s="844"/>
      <c r="AP671" s="859" t="s">
        <v>1873</v>
      </c>
      <c r="AQ671" s="859"/>
      <c r="AR671" s="859">
        <v>45453</v>
      </c>
      <c r="AS671" s="840" t="s">
        <v>1874</v>
      </c>
      <c r="AT671" s="840" t="s">
        <v>1875</v>
      </c>
      <c r="AU671" s="860" t="s">
        <v>1876</v>
      </c>
      <c r="AV671" s="839" t="s">
        <v>1877</v>
      </c>
      <c r="AW671" s="861">
        <v>45575</v>
      </c>
      <c r="AX671" s="862">
        <v>45582</v>
      </c>
      <c r="AY671" s="843" t="s">
        <v>2318</v>
      </c>
      <c r="AZ671" s="842">
        <v>73239990</v>
      </c>
      <c r="BA671" s="842" t="s">
        <v>120</v>
      </c>
      <c r="BB671" s="863" t="s">
        <v>121</v>
      </c>
      <c r="BC671" s="864">
        <v>45584</v>
      </c>
      <c r="BD671" s="860" t="s">
        <v>1879</v>
      </c>
      <c r="BE671" s="865" cm="1">
        <f t="array" ref="BE671">IF(BD671="","",AC671/SUMPRODUCT(--(BD671=$BD$4:$BD$12824),$AC$4:$AC$12824))</f>
        <v>2.7185966282001184E-3</v>
      </c>
      <c r="BF671" s="458"/>
      <c r="BG671" s="458"/>
      <c r="BH671" s="458"/>
      <c r="BI671" s="458"/>
      <c r="BJ671" s="458"/>
      <c r="BK671" s="458"/>
      <c r="BL671" s="458"/>
      <c r="BM671" s="458"/>
      <c r="BN671" s="458"/>
      <c r="BO671" s="866">
        <f>VLOOKUP(BD671,$BD$4:$BN$12824,3,0)*BE671</f>
        <v>0</v>
      </c>
      <c r="BP671" s="866"/>
      <c r="BQ671" s="866"/>
      <c r="BR671" s="866">
        <f>VLOOKUP(BD671,$BD$4:$BN$12824,6,0)*BE671</f>
        <v>52364.955789199914</v>
      </c>
      <c r="BS671" s="866">
        <f>VLOOKUP(BD671,$BD$4:$BN$12824,7,0)*BE671</f>
        <v>2618.3048799891881</v>
      </c>
      <c r="BT671" s="866"/>
      <c r="BU671" s="866">
        <f>VLOOKUP(BD671,$BD$4:$BN$12824,9,0)*BE671</f>
        <v>1359.2983141000593</v>
      </c>
      <c r="BV671" s="867"/>
      <c r="BW671" s="867">
        <f>VLOOKUP(BD671,$BD$4:$BN$12824,11,0)*BE671</f>
        <v>5709.0529192202484</v>
      </c>
      <c r="BX671" s="1146">
        <f t="shared" si="122"/>
        <v>62051.611902509409</v>
      </c>
      <c r="BY671" s="867">
        <f t="shared" si="131"/>
        <v>150927.31177236163</v>
      </c>
      <c r="BZ671" s="867">
        <f t="shared" si="128"/>
        <v>2716691.6119025094</v>
      </c>
      <c r="CA671" s="867">
        <f>_xlfn.MAXIFS($BY$4:$BY$12824,$S$4:$S$12824,$S671)</f>
        <v>150927.31177236163</v>
      </c>
      <c r="CB671" s="1032"/>
      <c r="CC671" s="999" t="s">
        <v>1889</v>
      </c>
      <c r="CF671" s="946">
        <f t="shared" si="130"/>
        <v>2654640</v>
      </c>
    </row>
    <row r="672" spans="1:84">
      <c r="A672" s="1032"/>
      <c r="B672" s="839" t="s">
        <v>98</v>
      </c>
      <c r="C672" s="839" t="s">
        <v>131</v>
      </c>
      <c r="D672" s="839" t="s">
        <v>1868</v>
      </c>
      <c r="E672" s="839" t="s">
        <v>1952</v>
      </c>
      <c r="F672" s="841">
        <v>45520</v>
      </c>
      <c r="G672" s="840" t="s">
        <v>133</v>
      </c>
      <c r="H672" s="842" t="s">
        <v>134</v>
      </c>
      <c r="I672" s="842"/>
      <c r="J672" s="841"/>
      <c r="K672" s="841"/>
      <c r="L672" s="843" t="s">
        <v>106</v>
      </c>
      <c r="M672" s="844" t="s">
        <v>107</v>
      </c>
      <c r="N672" s="841" t="s">
        <v>1869</v>
      </c>
      <c r="O672" s="841" t="s">
        <v>135</v>
      </c>
      <c r="P672" s="841" t="s">
        <v>186</v>
      </c>
      <c r="Q672" s="843"/>
      <c r="R672" s="845" t="s">
        <v>2319</v>
      </c>
      <c r="S672" s="1127" t="s">
        <v>2320</v>
      </c>
      <c r="T672" s="843" t="s">
        <v>2321</v>
      </c>
      <c r="U672" s="842">
        <v>18</v>
      </c>
      <c r="V672" s="842" t="s">
        <v>8</v>
      </c>
      <c r="W672" s="846">
        <v>12</v>
      </c>
      <c r="X672" s="847">
        <f t="shared" si="123"/>
        <v>216</v>
      </c>
      <c r="Y672" s="848">
        <f t="shared" si="132"/>
        <v>0.6</v>
      </c>
      <c r="Z672" s="849">
        <v>4.8</v>
      </c>
      <c r="AA672" s="849"/>
      <c r="AB672" s="849">
        <f t="shared" si="124"/>
        <v>86.399999999999991</v>
      </c>
      <c r="AC672" s="850">
        <f t="shared" si="125"/>
        <v>86.399999999999991</v>
      </c>
      <c r="AD672" s="851"/>
      <c r="AE672" s="852">
        <v>24580</v>
      </c>
      <c r="AF672" s="853">
        <v>0</v>
      </c>
      <c r="AG672" s="854">
        <f t="shared" si="126"/>
        <v>0</v>
      </c>
      <c r="AH672" s="853"/>
      <c r="AI672" s="855">
        <f t="shared" si="127"/>
        <v>0</v>
      </c>
      <c r="AJ672" s="845" t="s">
        <v>1872</v>
      </c>
      <c r="AK672" s="857" t="s">
        <v>1745</v>
      </c>
      <c r="AL672" s="840">
        <v>244737306</v>
      </c>
      <c r="AM672" s="840"/>
      <c r="AN672" s="858"/>
      <c r="AO672" s="844"/>
      <c r="AP672" s="859" t="s">
        <v>1873</v>
      </c>
      <c r="AQ672" s="859"/>
      <c r="AR672" s="859">
        <v>45453</v>
      </c>
      <c r="AS672" s="840" t="s">
        <v>1874</v>
      </c>
      <c r="AT672" s="840" t="s">
        <v>1875</v>
      </c>
      <c r="AU672" s="860" t="s">
        <v>1876</v>
      </c>
      <c r="AV672" s="839" t="s">
        <v>1877</v>
      </c>
      <c r="AW672" s="861">
        <v>45575</v>
      </c>
      <c r="AX672" s="862">
        <v>45582</v>
      </c>
      <c r="AY672" s="843" t="s">
        <v>2322</v>
      </c>
      <c r="AZ672" s="842">
        <v>73239990</v>
      </c>
      <c r="BA672" s="842" t="s">
        <v>120</v>
      </c>
      <c r="BB672" s="863" t="s">
        <v>121</v>
      </c>
      <c r="BC672" s="864">
        <v>45584</v>
      </c>
      <c r="BD672" s="860" t="s">
        <v>1879</v>
      </c>
      <c r="BE672" s="865" cm="1">
        <f t="array" ref="BE672">IF(BD672="","",AC672/SUMPRODUCT(--(BD672=$BD$4:$BD$12824),$AC$4:$AC$12824))</f>
        <v>2.1748773025600946E-3</v>
      </c>
      <c r="BF672" s="458"/>
      <c r="BG672" s="458"/>
      <c r="BH672" s="458"/>
      <c r="BI672" s="458"/>
      <c r="BJ672" s="458"/>
      <c r="BK672" s="458"/>
      <c r="BL672" s="458"/>
      <c r="BM672" s="458"/>
      <c r="BN672" s="458"/>
      <c r="BO672" s="866">
        <f>VLOOKUP(BD672,$BD$4:$BN$12824,3,0)*BE672</f>
        <v>0</v>
      </c>
      <c r="BP672" s="866"/>
      <c r="BQ672" s="866"/>
      <c r="BR672" s="866">
        <f>VLOOKUP(BD672,$BD$4:$BN$12824,6,0)*BE672</f>
        <v>41891.96463135993</v>
      </c>
      <c r="BS672" s="866">
        <f>VLOOKUP(BD672,$BD$4:$BN$12824,7,0)*BE672</f>
        <v>2094.6439039913503</v>
      </c>
      <c r="BT672" s="866"/>
      <c r="BU672" s="866">
        <f>VLOOKUP(BD672,$BD$4:$BN$12824,9,0)*BE672</f>
        <v>1087.4386512800472</v>
      </c>
      <c r="BV672" s="867"/>
      <c r="BW672" s="867">
        <f>VLOOKUP(BD672,$BD$4:$BN$12824,11,0)*BE672</f>
        <v>4567.2423353761988</v>
      </c>
      <c r="BX672" s="1146">
        <f t="shared" si="122"/>
        <v>49641.28952200753</v>
      </c>
      <c r="BY672" s="867">
        <f t="shared" si="131"/>
        <v>120741.84941788932</v>
      </c>
      <c r="BZ672" s="867">
        <f t="shared" si="128"/>
        <v>2173353.2895220076</v>
      </c>
      <c r="CA672" s="867">
        <f>_xlfn.MAXIFS($BY$4:$BY$12824,$S$4:$S$12824,$S672)</f>
        <v>120741.84941788932</v>
      </c>
      <c r="CB672" s="1032"/>
      <c r="CC672" s="999" t="s">
        <v>1889</v>
      </c>
      <c r="CF672" s="946">
        <f t="shared" si="130"/>
        <v>2123712</v>
      </c>
    </row>
    <row r="673" spans="1:84">
      <c r="A673" s="1032"/>
      <c r="B673" s="839" t="s">
        <v>98</v>
      </c>
      <c r="C673" s="839" t="s">
        <v>131</v>
      </c>
      <c r="D673" s="839" t="s">
        <v>1868</v>
      </c>
      <c r="E673" s="839" t="s">
        <v>1952</v>
      </c>
      <c r="F673" s="841">
        <v>45520</v>
      </c>
      <c r="G673" s="840" t="s">
        <v>133</v>
      </c>
      <c r="H673" s="842" t="s">
        <v>134</v>
      </c>
      <c r="I673" s="842"/>
      <c r="J673" s="841"/>
      <c r="K673" s="841"/>
      <c r="L673" s="843" t="s">
        <v>106</v>
      </c>
      <c r="M673" s="844" t="s">
        <v>107</v>
      </c>
      <c r="N673" s="841" t="s">
        <v>1869</v>
      </c>
      <c r="O673" s="841" t="s">
        <v>135</v>
      </c>
      <c r="P673" s="841" t="s">
        <v>186</v>
      </c>
      <c r="Q673" s="843"/>
      <c r="R673" s="845" t="s">
        <v>2323</v>
      </c>
      <c r="S673" s="1127" t="s">
        <v>2324</v>
      </c>
      <c r="T673" s="843" t="s">
        <v>2325</v>
      </c>
      <c r="U673" s="842">
        <v>18</v>
      </c>
      <c r="V673" s="842" t="s">
        <v>8</v>
      </c>
      <c r="W673" s="846">
        <v>12</v>
      </c>
      <c r="X673" s="847">
        <f t="shared" si="123"/>
        <v>216</v>
      </c>
      <c r="Y673" s="848">
        <f t="shared" si="132"/>
        <v>0.6</v>
      </c>
      <c r="Z673" s="849">
        <v>4.8</v>
      </c>
      <c r="AA673" s="849"/>
      <c r="AB673" s="849">
        <f t="shared" si="124"/>
        <v>86.399999999999991</v>
      </c>
      <c r="AC673" s="850">
        <f t="shared" si="125"/>
        <v>86.399999999999991</v>
      </c>
      <c r="AD673" s="851"/>
      <c r="AE673" s="852">
        <v>24580</v>
      </c>
      <c r="AF673" s="853">
        <v>0</v>
      </c>
      <c r="AG673" s="854">
        <f t="shared" si="126"/>
        <v>0</v>
      </c>
      <c r="AH673" s="853"/>
      <c r="AI673" s="855">
        <f t="shared" si="127"/>
        <v>0</v>
      </c>
      <c r="AJ673" s="845" t="s">
        <v>1872</v>
      </c>
      <c r="AK673" s="857" t="s">
        <v>1745</v>
      </c>
      <c r="AL673" s="840">
        <v>244737306</v>
      </c>
      <c r="AM673" s="840"/>
      <c r="AN673" s="858"/>
      <c r="AO673" s="844"/>
      <c r="AP673" s="859" t="s">
        <v>1873</v>
      </c>
      <c r="AQ673" s="859"/>
      <c r="AR673" s="859">
        <v>45453</v>
      </c>
      <c r="AS673" s="840" t="s">
        <v>1874</v>
      </c>
      <c r="AT673" s="840" t="s">
        <v>1875</v>
      </c>
      <c r="AU673" s="860" t="s">
        <v>1876</v>
      </c>
      <c r="AV673" s="839" t="s">
        <v>1877</v>
      </c>
      <c r="AW673" s="861">
        <v>45575</v>
      </c>
      <c r="AX673" s="862">
        <v>45582</v>
      </c>
      <c r="AY673" s="843" t="s">
        <v>2326</v>
      </c>
      <c r="AZ673" s="842">
        <v>73239990</v>
      </c>
      <c r="BA673" s="842" t="s">
        <v>120</v>
      </c>
      <c r="BB673" s="863" t="s">
        <v>121</v>
      </c>
      <c r="BC673" s="864">
        <v>45584</v>
      </c>
      <c r="BD673" s="860" t="s">
        <v>1879</v>
      </c>
      <c r="BE673" s="865" cm="1">
        <f t="array" ref="BE673">IF(BD673="","",AC673/SUMPRODUCT(--(BD673=$BD$4:$BD$12824),$AC$4:$AC$12824))</f>
        <v>2.1748773025600946E-3</v>
      </c>
      <c r="BF673" s="458"/>
      <c r="BG673" s="458"/>
      <c r="BH673" s="458"/>
      <c r="BI673" s="458"/>
      <c r="BJ673" s="458"/>
      <c r="BK673" s="458"/>
      <c r="BL673" s="458"/>
      <c r="BM673" s="458"/>
      <c r="BN673" s="458"/>
      <c r="BO673" s="866">
        <f>VLOOKUP(BD673,$BD$4:$BN$12824,3,0)*BE673</f>
        <v>0</v>
      </c>
      <c r="BP673" s="866"/>
      <c r="BQ673" s="866"/>
      <c r="BR673" s="866">
        <f>VLOOKUP(BD673,$BD$4:$BN$12824,6,0)*BE673</f>
        <v>41891.96463135993</v>
      </c>
      <c r="BS673" s="866">
        <f>VLOOKUP(BD673,$BD$4:$BN$12824,7,0)*BE673</f>
        <v>2094.6439039913503</v>
      </c>
      <c r="BT673" s="866"/>
      <c r="BU673" s="866">
        <f>VLOOKUP(BD673,$BD$4:$BN$12824,9,0)*BE673</f>
        <v>1087.4386512800472</v>
      </c>
      <c r="BV673" s="867"/>
      <c r="BW673" s="867">
        <f>VLOOKUP(BD673,$BD$4:$BN$12824,11,0)*BE673</f>
        <v>4567.2423353761988</v>
      </c>
      <c r="BX673" s="1146">
        <f t="shared" si="122"/>
        <v>49641.28952200753</v>
      </c>
      <c r="BY673" s="867">
        <f t="shared" si="131"/>
        <v>120741.84941788932</v>
      </c>
      <c r="BZ673" s="867">
        <f t="shared" si="128"/>
        <v>2173353.2895220076</v>
      </c>
      <c r="CA673" s="867">
        <f>_xlfn.MAXIFS($BY$4:$BY$12824,$S$4:$S$12824,$S673)</f>
        <v>120741.84941788932</v>
      </c>
      <c r="CB673" s="1032"/>
      <c r="CC673" s="999" t="s">
        <v>1889</v>
      </c>
      <c r="CF673" s="946">
        <f t="shared" si="130"/>
        <v>2123712</v>
      </c>
    </row>
    <row r="674" spans="1:84">
      <c r="A674" s="1032"/>
      <c r="B674" s="839" t="s">
        <v>98</v>
      </c>
      <c r="C674" s="839" t="s">
        <v>131</v>
      </c>
      <c r="D674" s="839" t="s">
        <v>1868</v>
      </c>
      <c r="E674" s="839" t="s">
        <v>1952</v>
      </c>
      <c r="F674" s="841">
        <v>45520</v>
      </c>
      <c r="G674" s="840" t="s">
        <v>133</v>
      </c>
      <c r="H674" s="842" t="s">
        <v>134</v>
      </c>
      <c r="I674" s="842"/>
      <c r="J674" s="841"/>
      <c r="K674" s="841"/>
      <c r="L674" s="843" t="s">
        <v>106</v>
      </c>
      <c r="M674" s="844" t="s">
        <v>107</v>
      </c>
      <c r="N674" s="841" t="s">
        <v>1869</v>
      </c>
      <c r="O674" s="841" t="s">
        <v>135</v>
      </c>
      <c r="P674" s="841" t="s">
        <v>186</v>
      </c>
      <c r="Q674" s="843"/>
      <c r="R674" s="845" t="s">
        <v>2327</v>
      </c>
      <c r="S674" s="1127" t="s">
        <v>2328</v>
      </c>
      <c r="T674" s="843" t="s">
        <v>2329</v>
      </c>
      <c r="U674" s="842">
        <v>36</v>
      </c>
      <c r="V674" s="842" t="s">
        <v>8</v>
      </c>
      <c r="W674" s="846">
        <v>7</v>
      </c>
      <c r="X674" s="847">
        <f t="shared" si="123"/>
        <v>252</v>
      </c>
      <c r="Y674" s="848">
        <f t="shared" si="132"/>
        <v>0.6</v>
      </c>
      <c r="Z674" s="849">
        <v>2.8</v>
      </c>
      <c r="AA674" s="849"/>
      <c r="AB674" s="849">
        <f t="shared" si="124"/>
        <v>100.8</v>
      </c>
      <c r="AC674" s="850">
        <f t="shared" si="125"/>
        <v>100.8</v>
      </c>
      <c r="AD674" s="851"/>
      <c r="AE674" s="852">
        <v>24580</v>
      </c>
      <c r="AF674" s="853">
        <v>0</v>
      </c>
      <c r="AG674" s="854">
        <f t="shared" si="126"/>
        <v>0</v>
      </c>
      <c r="AH674" s="853"/>
      <c r="AI674" s="855">
        <f t="shared" si="127"/>
        <v>0</v>
      </c>
      <c r="AJ674" s="845" t="s">
        <v>1872</v>
      </c>
      <c r="AK674" s="857" t="s">
        <v>1745</v>
      </c>
      <c r="AL674" s="840">
        <v>244737306</v>
      </c>
      <c r="AM674" s="840"/>
      <c r="AN674" s="858"/>
      <c r="AO674" s="844"/>
      <c r="AP674" s="859" t="s">
        <v>1873</v>
      </c>
      <c r="AQ674" s="859"/>
      <c r="AR674" s="859">
        <v>45453</v>
      </c>
      <c r="AS674" s="840" t="s">
        <v>1874</v>
      </c>
      <c r="AT674" s="840" t="s">
        <v>1875</v>
      </c>
      <c r="AU674" s="860" t="s">
        <v>1876</v>
      </c>
      <c r="AV674" s="839" t="s">
        <v>1877</v>
      </c>
      <c r="AW674" s="861">
        <v>45575</v>
      </c>
      <c r="AX674" s="862">
        <v>45582</v>
      </c>
      <c r="AY674" s="843" t="s">
        <v>2330</v>
      </c>
      <c r="AZ674" s="842" t="s">
        <v>2270</v>
      </c>
      <c r="BA674" s="842" t="s">
        <v>120</v>
      </c>
      <c r="BB674" s="863" t="s">
        <v>121</v>
      </c>
      <c r="BC674" s="864">
        <v>45584</v>
      </c>
      <c r="BD674" s="860" t="s">
        <v>1879</v>
      </c>
      <c r="BE674" s="865" cm="1">
        <f t="array" ref="BE674">IF(BD674="","",AC674/SUMPRODUCT(--(BD674=$BD$4:$BD$12824),$AC$4:$AC$12824))</f>
        <v>2.5373568529867773E-3</v>
      </c>
      <c r="BF674" s="458"/>
      <c r="BG674" s="458"/>
      <c r="BH674" s="458"/>
      <c r="BI674" s="458"/>
      <c r="BJ674" s="458"/>
      <c r="BK674" s="458"/>
      <c r="BL674" s="458"/>
      <c r="BM674" s="458"/>
      <c r="BN674" s="458"/>
      <c r="BO674" s="866">
        <f>VLOOKUP(BD674,$BD$4:$BN$12824,3,0)*BE674</f>
        <v>0</v>
      </c>
      <c r="BP674" s="866"/>
      <c r="BQ674" s="866"/>
      <c r="BR674" s="866">
        <f>VLOOKUP(BD674,$BD$4:$BN$12824,6,0)*BE674</f>
        <v>48873.958736586588</v>
      </c>
      <c r="BS674" s="866">
        <f>VLOOKUP(BD674,$BD$4:$BN$12824,7,0)*BE674</f>
        <v>2443.7512213232421</v>
      </c>
      <c r="BT674" s="866"/>
      <c r="BU674" s="866">
        <f>VLOOKUP(BD674,$BD$4:$BN$12824,9,0)*BE674</f>
        <v>1268.6784264933885</v>
      </c>
      <c r="BV674" s="867"/>
      <c r="BW674" s="867">
        <f>VLOOKUP(BD674,$BD$4:$BN$12824,11,0)*BE674</f>
        <v>5328.4493912722319</v>
      </c>
      <c r="BX674" s="1146">
        <f t="shared" si="122"/>
        <v>57914.837775675449</v>
      </c>
      <c r="BY674" s="867">
        <f t="shared" si="131"/>
        <v>70432.745493768773</v>
      </c>
      <c r="BZ674" s="867">
        <f t="shared" si="128"/>
        <v>2535578.8377756756</v>
      </c>
      <c r="CA674" s="867">
        <f>_xlfn.MAXIFS($BY$4:$BY$12824,$S$4:$S$12824,$S674)</f>
        <v>70432.745493768773</v>
      </c>
      <c r="CB674" s="1032"/>
      <c r="CC674" s="999" t="s">
        <v>1889</v>
      </c>
      <c r="CF674" s="946">
        <f t="shared" si="130"/>
        <v>2477664</v>
      </c>
    </row>
    <row r="675" spans="1:84">
      <c r="A675" s="1032"/>
      <c r="B675" s="839" t="s">
        <v>98</v>
      </c>
      <c r="C675" s="839" t="s">
        <v>131</v>
      </c>
      <c r="D675" s="839" t="s">
        <v>1868</v>
      </c>
      <c r="E675" s="839" t="s">
        <v>1952</v>
      </c>
      <c r="F675" s="841">
        <v>45520</v>
      </c>
      <c r="G675" s="840" t="s">
        <v>133</v>
      </c>
      <c r="H675" s="842" t="s">
        <v>134</v>
      </c>
      <c r="I675" s="842"/>
      <c r="J675" s="841"/>
      <c r="K675" s="841"/>
      <c r="L675" s="843" t="s">
        <v>106</v>
      </c>
      <c r="M675" s="844" t="s">
        <v>107</v>
      </c>
      <c r="N675" s="841" t="s">
        <v>1869</v>
      </c>
      <c r="O675" s="841" t="s">
        <v>135</v>
      </c>
      <c r="P675" s="841" t="s">
        <v>186</v>
      </c>
      <c r="Q675" s="843"/>
      <c r="R675" s="845" t="s">
        <v>2331</v>
      </c>
      <c r="S675" s="1127" t="s">
        <v>2332</v>
      </c>
      <c r="T675" s="843" t="s">
        <v>2333</v>
      </c>
      <c r="U675" s="842">
        <v>36</v>
      </c>
      <c r="V675" s="842" t="s">
        <v>8</v>
      </c>
      <c r="W675" s="846">
        <v>7</v>
      </c>
      <c r="X675" s="847">
        <f t="shared" si="123"/>
        <v>252</v>
      </c>
      <c r="Y675" s="848">
        <f t="shared" si="132"/>
        <v>0.6</v>
      </c>
      <c r="Z675" s="849">
        <v>2.8</v>
      </c>
      <c r="AA675" s="849"/>
      <c r="AB675" s="849">
        <f t="shared" si="124"/>
        <v>100.8</v>
      </c>
      <c r="AC675" s="850">
        <f t="shared" si="125"/>
        <v>100.8</v>
      </c>
      <c r="AD675" s="851"/>
      <c r="AE675" s="852">
        <v>24580</v>
      </c>
      <c r="AF675" s="853">
        <v>0</v>
      </c>
      <c r="AG675" s="854">
        <f t="shared" si="126"/>
        <v>0</v>
      </c>
      <c r="AH675" s="853"/>
      <c r="AI675" s="855">
        <f t="shared" si="127"/>
        <v>0</v>
      </c>
      <c r="AJ675" s="845" t="s">
        <v>1872</v>
      </c>
      <c r="AK675" s="857" t="s">
        <v>1745</v>
      </c>
      <c r="AL675" s="840">
        <v>244737306</v>
      </c>
      <c r="AM675" s="840"/>
      <c r="AN675" s="858"/>
      <c r="AO675" s="844"/>
      <c r="AP675" s="859" t="s">
        <v>1873</v>
      </c>
      <c r="AQ675" s="859"/>
      <c r="AR675" s="859">
        <v>45453</v>
      </c>
      <c r="AS675" s="840" t="s">
        <v>1874</v>
      </c>
      <c r="AT675" s="840" t="s">
        <v>1875</v>
      </c>
      <c r="AU675" s="860" t="s">
        <v>1876</v>
      </c>
      <c r="AV675" s="839" t="s">
        <v>1877</v>
      </c>
      <c r="AW675" s="861">
        <v>45575</v>
      </c>
      <c r="AX675" s="862">
        <v>45582</v>
      </c>
      <c r="AY675" s="843" t="s">
        <v>2334</v>
      </c>
      <c r="AZ675" s="842" t="s">
        <v>2270</v>
      </c>
      <c r="BA675" s="842" t="s">
        <v>120</v>
      </c>
      <c r="BB675" s="863" t="s">
        <v>121</v>
      </c>
      <c r="BC675" s="864">
        <v>45584</v>
      </c>
      <c r="BD675" s="860" t="s">
        <v>1879</v>
      </c>
      <c r="BE675" s="865" cm="1">
        <f t="array" ref="BE675">IF(BD675="","",AC675/SUMPRODUCT(--(BD675=$BD$4:$BD$12824),$AC$4:$AC$12824))</f>
        <v>2.5373568529867773E-3</v>
      </c>
      <c r="BF675" s="458"/>
      <c r="BG675" s="458"/>
      <c r="BH675" s="458"/>
      <c r="BI675" s="458"/>
      <c r="BJ675" s="458"/>
      <c r="BK675" s="458"/>
      <c r="BL675" s="458"/>
      <c r="BM675" s="458"/>
      <c r="BN675" s="458"/>
      <c r="BO675" s="866">
        <f>VLOOKUP(BD675,$BD$4:$BN$12824,3,0)*BE675</f>
        <v>0</v>
      </c>
      <c r="BP675" s="866"/>
      <c r="BQ675" s="866"/>
      <c r="BR675" s="866">
        <f>VLOOKUP(BD675,$BD$4:$BN$12824,6,0)*BE675</f>
        <v>48873.958736586588</v>
      </c>
      <c r="BS675" s="866">
        <f>VLOOKUP(BD675,$BD$4:$BN$12824,7,0)*BE675</f>
        <v>2443.7512213232421</v>
      </c>
      <c r="BT675" s="866"/>
      <c r="BU675" s="866">
        <f>VLOOKUP(BD675,$BD$4:$BN$12824,9,0)*BE675</f>
        <v>1268.6784264933885</v>
      </c>
      <c r="BV675" s="867"/>
      <c r="BW675" s="867">
        <f>VLOOKUP(BD675,$BD$4:$BN$12824,11,0)*BE675</f>
        <v>5328.4493912722319</v>
      </c>
      <c r="BX675" s="1146">
        <f t="shared" si="122"/>
        <v>57914.837775675449</v>
      </c>
      <c r="BY675" s="867">
        <f t="shared" si="131"/>
        <v>70432.745493768773</v>
      </c>
      <c r="BZ675" s="867">
        <f t="shared" si="128"/>
        <v>2535578.8377756756</v>
      </c>
      <c r="CA675" s="867">
        <f>_xlfn.MAXIFS($BY$4:$BY$12824,$S$4:$S$12824,$S675)</f>
        <v>70432.745493768773</v>
      </c>
      <c r="CB675" s="1032"/>
      <c r="CC675" s="999" t="s">
        <v>1889</v>
      </c>
      <c r="CF675" s="946">
        <f t="shared" si="130"/>
        <v>2477664</v>
      </c>
    </row>
    <row r="676" spans="1:84">
      <c r="A676" s="1032"/>
      <c r="B676" s="839" t="s">
        <v>98</v>
      </c>
      <c r="C676" s="839" t="s">
        <v>131</v>
      </c>
      <c r="D676" s="839" t="s">
        <v>1868</v>
      </c>
      <c r="E676" s="839" t="s">
        <v>1952</v>
      </c>
      <c r="F676" s="841">
        <v>45520</v>
      </c>
      <c r="G676" s="840" t="s">
        <v>133</v>
      </c>
      <c r="H676" s="842" t="s">
        <v>134</v>
      </c>
      <c r="I676" s="842"/>
      <c r="J676" s="841"/>
      <c r="K676" s="841"/>
      <c r="L676" s="843" t="s">
        <v>106</v>
      </c>
      <c r="M676" s="844" t="s">
        <v>107</v>
      </c>
      <c r="N676" s="841" t="s">
        <v>1869</v>
      </c>
      <c r="O676" s="841" t="s">
        <v>135</v>
      </c>
      <c r="P676" s="841" t="s">
        <v>186</v>
      </c>
      <c r="Q676" s="843"/>
      <c r="R676" s="845" t="s">
        <v>2335</v>
      </c>
      <c r="S676" s="1127" t="s">
        <v>2336</v>
      </c>
      <c r="T676" s="843" t="s">
        <v>2337</v>
      </c>
      <c r="U676" s="842">
        <v>36</v>
      </c>
      <c r="V676" s="842" t="s">
        <v>8</v>
      </c>
      <c r="W676" s="846">
        <v>7</v>
      </c>
      <c r="X676" s="847">
        <f t="shared" si="123"/>
        <v>252</v>
      </c>
      <c r="Y676" s="848">
        <f t="shared" si="132"/>
        <v>0.6</v>
      </c>
      <c r="Z676" s="849">
        <v>2.8</v>
      </c>
      <c r="AA676" s="849"/>
      <c r="AB676" s="849">
        <f t="shared" si="124"/>
        <v>100.8</v>
      </c>
      <c r="AC676" s="850">
        <f t="shared" si="125"/>
        <v>100.8</v>
      </c>
      <c r="AD676" s="851"/>
      <c r="AE676" s="852">
        <v>24580</v>
      </c>
      <c r="AF676" s="853">
        <v>0</v>
      </c>
      <c r="AG676" s="854">
        <f t="shared" si="126"/>
        <v>0</v>
      </c>
      <c r="AH676" s="853"/>
      <c r="AI676" s="855">
        <f t="shared" si="127"/>
        <v>0</v>
      </c>
      <c r="AJ676" s="845" t="s">
        <v>1872</v>
      </c>
      <c r="AK676" s="857" t="s">
        <v>1745</v>
      </c>
      <c r="AL676" s="840">
        <v>244737306</v>
      </c>
      <c r="AM676" s="840"/>
      <c r="AN676" s="858"/>
      <c r="AO676" s="844"/>
      <c r="AP676" s="859" t="s">
        <v>1873</v>
      </c>
      <c r="AQ676" s="859"/>
      <c r="AR676" s="859">
        <v>45453</v>
      </c>
      <c r="AS676" s="840" t="s">
        <v>1874</v>
      </c>
      <c r="AT676" s="840" t="s">
        <v>1875</v>
      </c>
      <c r="AU676" s="860" t="s">
        <v>1876</v>
      </c>
      <c r="AV676" s="839" t="s">
        <v>1877</v>
      </c>
      <c r="AW676" s="861">
        <v>45575</v>
      </c>
      <c r="AX676" s="862">
        <v>45582</v>
      </c>
      <c r="AY676" s="843" t="s">
        <v>2338</v>
      </c>
      <c r="AZ676" s="842" t="s">
        <v>2270</v>
      </c>
      <c r="BA676" s="842" t="s">
        <v>120</v>
      </c>
      <c r="BB676" s="863" t="s">
        <v>121</v>
      </c>
      <c r="BC676" s="864">
        <v>45584</v>
      </c>
      <c r="BD676" s="860" t="s">
        <v>1879</v>
      </c>
      <c r="BE676" s="865" cm="1">
        <f t="array" ref="BE676">IF(BD676="","",AC676/SUMPRODUCT(--(BD676=$BD$4:$BD$12824),$AC$4:$AC$12824))</f>
        <v>2.5373568529867773E-3</v>
      </c>
      <c r="BF676" s="458"/>
      <c r="BG676" s="458"/>
      <c r="BH676" s="458"/>
      <c r="BI676" s="458"/>
      <c r="BJ676" s="458"/>
      <c r="BK676" s="458"/>
      <c r="BL676" s="458"/>
      <c r="BM676" s="458"/>
      <c r="BN676" s="458"/>
      <c r="BO676" s="866">
        <f>VLOOKUP(BD676,$BD$4:$BN$12824,3,0)*BE676</f>
        <v>0</v>
      </c>
      <c r="BP676" s="866"/>
      <c r="BQ676" s="866"/>
      <c r="BR676" s="866">
        <f>VLOOKUP(BD676,$BD$4:$BN$12824,6,0)*BE676</f>
        <v>48873.958736586588</v>
      </c>
      <c r="BS676" s="866">
        <f>VLOOKUP(BD676,$BD$4:$BN$12824,7,0)*BE676</f>
        <v>2443.7512213232421</v>
      </c>
      <c r="BT676" s="866"/>
      <c r="BU676" s="866">
        <f>VLOOKUP(BD676,$BD$4:$BN$12824,9,0)*BE676</f>
        <v>1268.6784264933885</v>
      </c>
      <c r="BV676" s="867"/>
      <c r="BW676" s="867">
        <f>VLOOKUP(BD676,$BD$4:$BN$12824,11,0)*BE676</f>
        <v>5328.4493912722319</v>
      </c>
      <c r="BX676" s="1146">
        <f t="shared" si="122"/>
        <v>57914.837775675449</v>
      </c>
      <c r="BY676" s="867">
        <f t="shared" si="131"/>
        <v>70432.745493768773</v>
      </c>
      <c r="BZ676" s="867">
        <f t="shared" si="128"/>
        <v>2535578.8377756756</v>
      </c>
      <c r="CA676" s="867">
        <f>_xlfn.MAXIFS($BY$4:$BY$12824,$S$4:$S$12824,$S676)</f>
        <v>70432.745493768773</v>
      </c>
      <c r="CB676" s="1032"/>
      <c r="CC676" s="999" t="s">
        <v>1889</v>
      </c>
      <c r="CF676" s="946">
        <f t="shared" si="130"/>
        <v>2477664</v>
      </c>
    </row>
    <row r="677" spans="1:84">
      <c r="A677" s="1032"/>
      <c r="B677" s="839" t="s">
        <v>98</v>
      </c>
      <c r="C677" s="839" t="s">
        <v>131</v>
      </c>
      <c r="D677" s="839" t="s">
        <v>1868</v>
      </c>
      <c r="E677" s="839" t="s">
        <v>1952</v>
      </c>
      <c r="F677" s="841">
        <v>45520</v>
      </c>
      <c r="G677" s="840" t="s">
        <v>133</v>
      </c>
      <c r="H677" s="842" t="s">
        <v>134</v>
      </c>
      <c r="I677" s="842"/>
      <c r="J677" s="841"/>
      <c r="K677" s="841"/>
      <c r="L677" s="843" t="s">
        <v>106</v>
      </c>
      <c r="M677" s="844" t="s">
        <v>107</v>
      </c>
      <c r="N677" s="841" t="s">
        <v>1869</v>
      </c>
      <c r="O677" s="841" t="s">
        <v>135</v>
      </c>
      <c r="P677" s="841" t="s">
        <v>186</v>
      </c>
      <c r="Q677" s="843"/>
      <c r="R677" s="845" t="s">
        <v>2339</v>
      </c>
      <c r="S677" s="1127" t="s">
        <v>2340</v>
      </c>
      <c r="T677" s="843" t="s">
        <v>2341</v>
      </c>
      <c r="U677" s="842">
        <v>36</v>
      </c>
      <c r="V677" s="842" t="s">
        <v>8</v>
      </c>
      <c r="W677" s="846">
        <v>7</v>
      </c>
      <c r="X677" s="847">
        <f t="shared" si="123"/>
        <v>252</v>
      </c>
      <c r="Y677" s="848">
        <f t="shared" si="132"/>
        <v>0.6</v>
      </c>
      <c r="Z677" s="849">
        <v>2.8</v>
      </c>
      <c r="AA677" s="849"/>
      <c r="AB677" s="849">
        <f t="shared" si="124"/>
        <v>100.8</v>
      </c>
      <c r="AC677" s="850">
        <f t="shared" si="125"/>
        <v>100.8</v>
      </c>
      <c r="AD677" s="851"/>
      <c r="AE677" s="852">
        <v>24580</v>
      </c>
      <c r="AF677" s="853">
        <v>0</v>
      </c>
      <c r="AG677" s="854">
        <f t="shared" si="126"/>
        <v>0</v>
      </c>
      <c r="AH677" s="853"/>
      <c r="AI677" s="855">
        <f t="shared" si="127"/>
        <v>0</v>
      </c>
      <c r="AJ677" s="845" t="s">
        <v>1872</v>
      </c>
      <c r="AK677" s="857" t="s">
        <v>1745</v>
      </c>
      <c r="AL677" s="840">
        <v>244737306</v>
      </c>
      <c r="AM677" s="840"/>
      <c r="AN677" s="858"/>
      <c r="AO677" s="844"/>
      <c r="AP677" s="859" t="s">
        <v>1873</v>
      </c>
      <c r="AQ677" s="859"/>
      <c r="AR677" s="859">
        <v>45453</v>
      </c>
      <c r="AS677" s="840" t="s">
        <v>1874</v>
      </c>
      <c r="AT677" s="840" t="s">
        <v>1875</v>
      </c>
      <c r="AU677" s="860" t="s">
        <v>1876</v>
      </c>
      <c r="AV677" s="839" t="s">
        <v>1877</v>
      </c>
      <c r="AW677" s="861">
        <v>45575</v>
      </c>
      <c r="AX677" s="862">
        <v>45582</v>
      </c>
      <c r="AY677" s="843" t="s">
        <v>2342</v>
      </c>
      <c r="AZ677" s="842" t="s">
        <v>2270</v>
      </c>
      <c r="BA677" s="842" t="s">
        <v>120</v>
      </c>
      <c r="BB677" s="863" t="s">
        <v>121</v>
      </c>
      <c r="BC677" s="864">
        <v>45584</v>
      </c>
      <c r="BD677" s="860" t="s">
        <v>1879</v>
      </c>
      <c r="BE677" s="865" cm="1">
        <f t="array" ref="BE677">IF(BD677="","",AC677/SUMPRODUCT(--(BD677=$BD$4:$BD$12824),$AC$4:$AC$12824))</f>
        <v>2.5373568529867773E-3</v>
      </c>
      <c r="BF677" s="458"/>
      <c r="BG677" s="458"/>
      <c r="BH677" s="458"/>
      <c r="BI677" s="458"/>
      <c r="BJ677" s="458"/>
      <c r="BK677" s="458"/>
      <c r="BL677" s="458"/>
      <c r="BM677" s="458"/>
      <c r="BN677" s="458"/>
      <c r="BO677" s="866">
        <f>VLOOKUP(BD677,$BD$4:$BN$12824,3,0)*BE677</f>
        <v>0</v>
      </c>
      <c r="BP677" s="866"/>
      <c r="BQ677" s="866"/>
      <c r="BR677" s="866">
        <f>VLOOKUP(BD677,$BD$4:$BN$12824,6,0)*BE677</f>
        <v>48873.958736586588</v>
      </c>
      <c r="BS677" s="866">
        <f>VLOOKUP(BD677,$BD$4:$BN$12824,7,0)*BE677</f>
        <v>2443.7512213232421</v>
      </c>
      <c r="BT677" s="866"/>
      <c r="BU677" s="866">
        <f>VLOOKUP(BD677,$BD$4:$BN$12824,9,0)*BE677</f>
        <v>1268.6784264933885</v>
      </c>
      <c r="BV677" s="867"/>
      <c r="BW677" s="867">
        <f>VLOOKUP(BD677,$BD$4:$BN$12824,11,0)*BE677</f>
        <v>5328.4493912722319</v>
      </c>
      <c r="BX677" s="1146">
        <f t="shared" si="122"/>
        <v>57914.837775675449</v>
      </c>
      <c r="BY677" s="867">
        <f t="shared" si="131"/>
        <v>70432.745493768773</v>
      </c>
      <c r="BZ677" s="867">
        <f t="shared" si="128"/>
        <v>2535578.8377756756</v>
      </c>
      <c r="CA677" s="867">
        <f>_xlfn.MAXIFS($BY$4:$BY$12824,$S$4:$S$12824,$S677)</f>
        <v>70432.745493768773</v>
      </c>
      <c r="CB677" s="1032"/>
      <c r="CC677" s="999" t="s">
        <v>1889</v>
      </c>
      <c r="CF677" s="946">
        <f t="shared" si="130"/>
        <v>2477664</v>
      </c>
    </row>
    <row r="678" spans="1:84">
      <c r="A678" s="1032"/>
      <c r="B678" s="839" t="s">
        <v>98</v>
      </c>
      <c r="C678" s="839" t="s">
        <v>131</v>
      </c>
      <c r="D678" s="839" t="s">
        <v>1868</v>
      </c>
      <c r="E678" s="839" t="s">
        <v>1952</v>
      </c>
      <c r="F678" s="841">
        <v>45520</v>
      </c>
      <c r="G678" s="840" t="s">
        <v>133</v>
      </c>
      <c r="H678" s="842" t="s">
        <v>134</v>
      </c>
      <c r="I678" s="842"/>
      <c r="J678" s="841"/>
      <c r="K678" s="841"/>
      <c r="L678" s="843" t="s">
        <v>106</v>
      </c>
      <c r="M678" s="844" t="s">
        <v>107</v>
      </c>
      <c r="N678" s="841" t="s">
        <v>1869</v>
      </c>
      <c r="O678" s="841" t="s">
        <v>135</v>
      </c>
      <c r="P678" s="841" t="s">
        <v>186</v>
      </c>
      <c r="Q678" s="843"/>
      <c r="R678" s="845" t="s">
        <v>2343</v>
      </c>
      <c r="S678" s="1127" t="s">
        <v>2344</v>
      </c>
      <c r="T678" s="843" t="s">
        <v>2345</v>
      </c>
      <c r="U678" s="842">
        <v>36</v>
      </c>
      <c r="V678" s="842" t="s">
        <v>8</v>
      </c>
      <c r="W678" s="846">
        <v>7</v>
      </c>
      <c r="X678" s="847">
        <f t="shared" si="123"/>
        <v>252</v>
      </c>
      <c r="Y678" s="848">
        <f t="shared" si="132"/>
        <v>0.6</v>
      </c>
      <c r="Z678" s="849">
        <v>2.8</v>
      </c>
      <c r="AA678" s="849"/>
      <c r="AB678" s="849">
        <f t="shared" si="124"/>
        <v>100.8</v>
      </c>
      <c r="AC678" s="850">
        <f t="shared" si="125"/>
        <v>100.8</v>
      </c>
      <c r="AD678" s="851"/>
      <c r="AE678" s="852">
        <v>24580</v>
      </c>
      <c r="AF678" s="853">
        <v>0</v>
      </c>
      <c r="AG678" s="854">
        <f t="shared" si="126"/>
        <v>0</v>
      </c>
      <c r="AH678" s="853"/>
      <c r="AI678" s="855">
        <f t="shared" si="127"/>
        <v>0</v>
      </c>
      <c r="AJ678" s="845" t="s">
        <v>1872</v>
      </c>
      <c r="AK678" s="857" t="s">
        <v>1745</v>
      </c>
      <c r="AL678" s="840">
        <v>244737306</v>
      </c>
      <c r="AM678" s="840"/>
      <c r="AN678" s="858"/>
      <c r="AO678" s="844"/>
      <c r="AP678" s="859" t="s">
        <v>1873</v>
      </c>
      <c r="AQ678" s="859"/>
      <c r="AR678" s="859">
        <v>45453</v>
      </c>
      <c r="AS678" s="840" t="s">
        <v>1874</v>
      </c>
      <c r="AT678" s="840" t="s">
        <v>1875</v>
      </c>
      <c r="AU678" s="860" t="s">
        <v>1876</v>
      </c>
      <c r="AV678" s="839" t="s">
        <v>1877</v>
      </c>
      <c r="AW678" s="861">
        <v>45575</v>
      </c>
      <c r="AX678" s="862">
        <v>45582</v>
      </c>
      <c r="AY678" s="843" t="s">
        <v>2346</v>
      </c>
      <c r="AZ678" s="842" t="s">
        <v>2270</v>
      </c>
      <c r="BA678" s="842" t="s">
        <v>120</v>
      </c>
      <c r="BB678" s="863" t="s">
        <v>121</v>
      </c>
      <c r="BC678" s="864">
        <v>45584</v>
      </c>
      <c r="BD678" s="860" t="s">
        <v>1879</v>
      </c>
      <c r="BE678" s="865" cm="1">
        <f t="array" ref="BE678">IF(BD678="","",AC678/SUMPRODUCT(--(BD678=$BD$4:$BD$12824),$AC$4:$AC$12824))</f>
        <v>2.5373568529867773E-3</v>
      </c>
      <c r="BF678" s="458"/>
      <c r="BG678" s="458"/>
      <c r="BH678" s="458"/>
      <c r="BI678" s="458"/>
      <c r="BJ678" s="458"/>
      <c r="BK678" s="458"/>
      <c r="BL678" s="458"/>
      <c r="BM678" s="458"/>
      <c r="BN678" s="458"/>
      <c r="BO678" s="866">
        <f>VLOOKUP(BD678,$BD$4:$BN$12824,3,0)*BE678</f>
        <v>0</v>
      </c>
      <c r="BP678" s="866"/>
      <c r="BQ678" s="866"/>
      <c r="BR678" s="866">
        <f>VLOOKUP(BD678,$BD$4:$BN$12824,6,0)*BE678</f>
        <v>48873.958736586588</v>
      </c>
      <c r="BS678" s="866">
        <f>VLOOKUP(BD678,$BD$4:$BN$12824,7,0)*BE678</f>
        <v>2443.7512213232421</v>
      </c>
      <c r="BT678" s="866"/>
      <c r="BU678" s="866">
        <f>VLOOKUP(BD678,$BD$4:$BN$12824,9,0)*BE678</f>
        <v>1268.6784264933885</v>
      </c>
      <c r="BV678" s="867"/>
      <c r="BW678" s="867">
        <f>VLOOKUP(BD678,$BD$4:$BN$12824,11,0)*BE678</f>
        <v>5328.4493912722319</v>
      </c>
      <c r="BX678" s="1146">
        <f t="shared" si="122"/>
        <v>57914.837775675449</v>
      </c>
      <c r="BY678" s="867">
        <f t="shared" si="131"/>
        <v>70432.745493768773</v>
      </c>
      <c r="BZ678" s="867">
        <f t="shared" si="128"/>
        <v>2535578.8377756756</v>
      </c>
      <c r="CA678" s="867">
        <f>_xlfn.MAXIFS($BY$4:$BY$12824,$S$4:$S$12824,$S678)</f>
        <v>70432.745493768773</v>
      </c>
      <c r="CB678" s="1032"/>
      <c r="CC678" s="999" t="s">
        <v>1889</v>
      </c>
      <c r="CF678" s="946">
        <f t="shared" si="130"/>
        <v>2477664</v>
      </c>
    </row>
    <row r="679" spans="1:84">
      <c r="A679" s="1032"/>
      <c r="B679" s="839" t="s">
        <v>98</v>
      </c>
      <c r="C679" s="839" t="s">
        <v>131</v>
      </c>
      <c r="D679" s="839" t="s">
        <v>1868</v>
      </c>
      <c r="E679" s="839" t="s">
        <v>1952</v>
      </c>
      <c r="F679" s="841">
        <v>45520</v>
      </c>
      <c r="G679" s="840" t="s">
        <v>133</v>
      </c>
      <c r="H679" s="842" t="s">
        <v>134</v>
      </c>
      <c r="I679" s="842"/>
      <c r="J679" s="841"/>
      <c r="K679" s="841"/>
      <c r="L679" s="843" t="s">
        <v>106</v>
      </c>
      <c r="M679" s="844" t="s">
        <v>107</v>
      </c>
      <c r="N679" s="841" t="s">
        <v>1869</v>
      </c>
      <c r="O679" s="841" t="s">
        <v>135</v>
      </c>
      <c r="P679" s="841" t="s">
        <v>186</v>
      </c>
      <c r="Q679" s="843"/>
      <c r="R679" s="845" t="s">
        <v>2347</v>
      </c>
      <c r="S679" s="1127" t="s">
        <v>2348</v>
      </c>
      <c r="T679" s="843" t="s">
        <v>2349</v>
      </c>
      <c r="U679" s="842">
        <v>36</v>
      </c>
      <c r="V679" s="842" t="s">
        <v>8</v>
      </c>
      <c r="W679" s="846">
        <v>7</v>
      </c>
      <c r="X679" s="847">
        <f t="shared" si="123"/>
        <v>252</v>
      </c>
      <c r="Y679" s="848">
        <f t="shared" si="132"/>
        <v>0.6</v>
      </c>
      <c r="Z679" s="849">
        <v>2.8</v>
      </c>
      <c r="AA679" s="849"/>
      <c r="AB679" s="849">
        <f t="shared" si="124"/>
        <v>100.8</v>
      </c>
      <c r="AC679" s="850">
        <f t="shared" si="125"/>
        <v>100.8</v>
      </c>
      <c r="AD679" s="851"/>
      <c r="AE679" s="852">
        <v>24580</v>
      </c>
      <c r="AF679" s="853">
        <v>0</v>
      </c>
      <c r="AG679" s="854">
        <f t="shared" si="126"/>
        <v>0</v>
      </c>
      <c r="AH679" s="853"/>
      <c r="AI679" s="855">
        <f t="shared" si="127"/>
        <v>0</v>
      </c>
      <c r="AJ679" s="845" t="s">
        <v>1872</v>
      </c>
      <c r="AK679" s="857" t="s">
        <v>1745</v>
      </c>
      <c r="AL679" s="840">
        <v>244737306</v>
      </c>
      <c r="AM679" s="840"/>
      <c r="AN679" s="858"/>
      <c r="AO679" s="844"/>
      <c r="AP679" s="859" t="s">
        <v>1873</v>
      </c>
      <c r="AQ679" s="859"/>
      <c r="AR679" s="859">
        <v>45453</v>
      </c>
      <c r="AS679" s="840" t="s">
        <v>1874</v>
      </c>
      <c r="AT679" s="840" t="s">
        <v>1875</v>
      </c>
      <c r="AU679" s="860" t="s">
        <v>1876</v>
      </c>
      <c r="AV679" s="839" t="s">
        <v>1877</v>
      </c>
      <c r="AW679" s="861">
        <v>45575</v>
      </c>
      <c r="AX679" s="862">
        <v>45582</v>
      </c>
      <c r="AY679" s="843" t="s">
        <v>2350</v>
      </c>
      <c r="AZ679" s="842" t="s">
        <v>2270</v>
      </c>
      <c r="BA679" s="842" t="s">
        <v>120</v>
      </c>
      <c r="BB679" s="863" t="s">
        <v>121</v>
      </c>
      <c r="BC679" s="864">
        <v>45584</v>
      </c>
      <c r="BD679" s="860" t="s">
        <v>1879</v>
      </c>
      <c r="BE679" s="865" cm="1">
        <f t="array" ref="BE679">IF(BD679="","",AC679/SUMPRODUCT(--(BD679=$BD$4:$BD$12824),$AC$4:$AC$12824))</f>
        <v>2.5373568529867773E-3</v>
      </c>
      <c r="BF679" s="458"/>
      <c r="BG679" s="458"/>
      <c r="BH679" s="458"/>
      <c r="BI679" s="458"/>
      <c r="BJ679" s="458"/>
      <c r="BK679" s="458"/>
      <c r="BL679" s="458"/>
      <c r="BM679" s="458"/>
      <c r="BN679" s="458"/>
      <c r="BO679" s="866">
        <f>VLOOKUP(BD679,$BD$4:$BN$12824,3,0)*BE679</f>
        <v>0</v>
      </c>
      <c r="BP679" s="866"/>
      <c r="BQ679" s="866"/>
      <c r="BR679" s="866">
        <f>VLOOKUP(BD679,$BD$4:$BN$12824,6,0)*BE679</f>
        <v>48873.958736586588</v>
      </c>
      <c r="BS679" s="866">
        <f>VLOOKUP(BD679,$BD$4:$BN$12824,7,0)*BE679</f>
        <v>2443.7512213232421</v>
      </c>
      <c r="BT679" s="866"/>
      <c r="BU679" s="866">
        <f>VLOOKUP(BD679,$BD$4:$BN$12824,9,0)*BE679</f>
        <v>1268.6784264933885</v>
      </c>
      <c r="BV679" s="867"/>
      <c r="BW679" s="867">
        <f>VLOOKUP(BD679,$BD$4:$BN$12824,11,0)*BE679</f>
        <v>5328.4493912722319</v>
      </c>
      <c r="BX679" s="1146">
        <f t="shared" ref="BX679:BX684" si="133">SUM(BO679:BW679)</f>
        <v>57914.837775675449</v>
      </c>
      <c r="BY679" s="867">
        <f t="shared" si="131"/>
        <v>70432.745493768773</v>
      </c>
      <c r="BZ679" s="867">
        <f t="shared" si="128"/>
        <v>2535578.8377756756</v>
      </c>
      <c r="CA679" s="867">
        <f>_xlfn.MAXIFS($BY$4:$BY$12824,$S$4:$S$12824,$S679)</f>
        <v>70432.745493768773</v>
      </c>
      <c r="CB679" s="1032"/>
      <c r="CC679" s="999" t="s">
        <v>1889</v>
      </c>
      <c r="CF679" s="946">
        <f t="shared" si="130"/>
        <v>2477664</v>
      </c>
    </row>
    <row r="680" spans="1:84">
      <c r="A680" s="1032"/>
      <c r="B680" s="839" t="s">
        <v>98</v>
      </c>
      <c r="C680" s="839" t="s">
        <v>131</v>
      </c>
      <c r="D680" s="839" t="s">
        <v>1868</v>
      </c>
      <c r="E680" s="839" t="s">
        <v>2351</v>
      </c>
      <c r="F680" s="841">
        <v>45525</v>
      </c>
      <c r="G680" s="868" t="s">
        <v>149</v>
      </c>
      <c r="H680" s="842" t="s">
        <v>134</v>
      </c>
      <c r="I680" s="842"/>
      <c r="J680" s="841"/>
      <c r="K680" s="841"/>
      <c r="L680" s="843" t="s">
        <v>106</v>
      </c>
      <c r="M680" s="844" t="s">
        <v>107</v>
      </c>
      <c r="N680" s="841" t="s">
        <v>1869</v>
      </c>
      <c r="O680" s="841" t="s">
        <v>108</v>
      </c>
      <c r="P680" s="841" t="s">
        <v>160</v>
      </c>
      <c r="Q680" s="843"/>
      <c r="R680" s="845" t="s">
        <v>2352</v>
      </c>
      <c r="S680" s="1127" t="s">
        <v>2353</v>
      </c>
      <c r="T680" s="843" t="s">
        <v>2354</v>
      </c>
      <c r="U680" s="842">
        <v>1</v>
      </c>
      <c r="V680" s="842" t="s">
        <v>8</v>
      </c>
      <c r="W680" s="846"/>
      <c r="X680" s="847">
        <f t="shared" si="123"/>
        <v>0</v>
      </c>
      <c r="Y680" s="842"/>
      <c r="Z680" s="849">
        <v>68.849999999999994</v>
      </c>
      <c r="AA680" s="849"/>
      <c r="AB680" s="849">
        <f t="shared" si="124"/>
        <v>68.849999999999994</v>
      </c>
      <c r="AC680" s="850">
        <f t="shared" si="125"/>
        <v>68.849999999999994</v>
      </c>
      <c r="AD680" s="851"/>
      <c r="AE680" s="852">
        <v>24580</v>
      </c>
      <c r="AF680" s="853">
        <v>0</v>
      </c>
      <c r="AG680" s="854">
        <f t="shared" si="126"/>
        <v>0</v>
      </c>
      <c r="AH680" s="853"/>
      <c r="AI680" s="855">
        <f t="shared" si="127"/>
        <v>0</v>
      </c>
      <c r="AJ680" s="845" t="s">
        <v>1872</v>
      </c>
      <c r="AK680" s="857" t="s">
        <v>1745</v>
      </c>
      <c r="AL680" s="840">
        <v>244737306</v>
      </c>
      <c r="AM680" s="840"/>
      <c r="AN680" s="858"/>
      <c r="AO680" s="844"/>
      <c r="AP680" s="859" t="s">
        <v>1873</v>
      </c>
      <c r="AQ680" s="859"/>
      <c r="AR680" s="859">
        <v>45453</v>
      </c>
      <c r="AS680" s="840" t="s">
        <v>1874</v>
      </c>
      <c r="AT680" s="840" t="s">
        <v>1875</v>
      </c>
      <c r="AU680" s="860" t="s">
        <v>1876</v>
      </c>
      <c r="AV680" s="839" t="s">
        <v>1877</v>
      </c>
      <c r="AW680" s="861">
        <v>45575</v>
      </c>
      <c r="AX680" s="862">
        <v>45582</v>
      </c>
      <c r="AY680" s="843" t="s">
        <v>2355</v>
      </c>
      <c r="AZ680" s="842">
        <v>94051999</v>
      </c>
      <c r="BA680" s="842" t="s">
        <v>120</v>
      </c>
      <c r="BB680" s="863" t="s">
        <v>121</v>
      </c>
      <c r="BC680" s="864">
        <v>45584</v>
      </c>
      <c r="BD680" s="860" t="s">
        <v>1879</v>
      </c>
      <c r="BE680" s="865" cm="1">
        <f t="array" ref="BE680">IF(BD680="","",AC680/SUMPRODUCT(--(BD680=$BD$4:$BD$12824),$AC$4:$AC$12824))</f>
        <v>1.7331053504775755E-3</v>
      </c>
      <c r="BF680" s="458"/>
      <c r="BG680" s="458"/>
      <c r="BH680" s="458"/>
      <c r="BI680" s="458"/>
      <c r="BJ680" s="458"/>
      <c r="BK680" s="458"/>
      <c r="BL680" s="458"/>
      <c r="BM680" s="458"/>
      <c r="BN680" s="458"/>
      <c r="BO680" s="866">
        <f>VLOOKUP(BD680,$BD$4:$BN$12824,3,0)*BE680</f>
        <v>0</v>
      </c>
      <c r="BP680" s="866"/>
      <c r="BQ680" s="866"/>
      <c r="BR680" s="866">
        <f>VLOOKUP(BD680,$BD$4:$BN$12824,6,0)*BE680</f>
        <v>33382.659315614947</v>
      </c>
      <c r="BS680" s="866">
        <f>VLOOKUP(BD680,$BD$4:$BN$12824,7,0)*BE680</f>
        <v>1669.1693609931074</v>
      </c>
      <c r="BT680" s="866"/>
      <c r="BU680" s="866">
        <f>VLOOKUP(BD680,$BD$4:$BN$12824,9,0)*BE680</f>
        <v>866.55267523878774</v>
      </c>
      <c r="BV680" s="867"/>
      <c r="BW680" s="867">
        <f>VLOOKUP(BD680,$BD$4:$BN$12824,11,0)*BE680</f>
        <v>3639.5212360029086</v>
      </c>
      <c r="BX680" s="1146">
        <f t="shared" si="133"/>
        <v>39557.902587849756</v>
      </c>
      <c r="BY680" s="867">
        <f t="shared" si="131"/>
        <v>1731890.9025878494</v>
      </c>
      <c r="BZ680" s="867">
        <f t="shared" si="128"/>
        <v>1731890.9025878494</v>
      </c>
      <c r="CA680" s="867">
        <f>_xlfn.MAXIFS($BY$4:$BY$12824,$S$4:$S$12824,$S680)</f>
        <v>1731890.9025878494</v>
      </c>
      <c r="CB680" s="1032"/>
      <c r="CC680" s="999" t="s">
        <v>1889</v>
      </c>
      <c r="CF680" s="946">
        <f t="shared" si="130"/>
        <v>1692332.9999999998</v>
      </c>
    </row>
    <row r="681" spans="1:84">
      <c r="A681" s="1032"/>
      <c r="B681" s="839" t="s">
        <v>98</v>
      </c>
      <c r="C681" s="839" t="s">
        <v>131</v>
      </c>
      <c r="D681" s="839" t="s">
        <v>1868</v>
      </c>
      <c r="E681" s="839" t="s">
        <v>2351</v>
      </c>
      <c r="F681" s="841">
        <v>45525</v>
      </c>
      <c r="G681" s="840" t="s">
        <v>155</v>
      </c>
      <c r="H681" s="842" t="s">
        <v>134</v>
      </c>
      <c r="I681" s="842"/>
      <c r="J681" s="841"/>
      <c r="K681" s="841"/>
      <c r="L681" s="843" t="s">
        <v>106</v>
      </c>
      <c r="M681" s="844" t="s">
        <v>107</v>
      </c>
      <c r="N681" s="841" t="s">
        <v>1869</v>
      </c>
      <c r="O681" s="841" t="s">
        <v>108</v>
      </c>
      <c r="P681" s="841" t="s">
        <v>160</v>
      </c>
      <c r="Q681" s="843"/>
      <c r="R681" s="845" t="s">
        <v>2356</v>
      </c>
      <c r="S681" s="1127" t="s">
        <v>2357</v>
      </c>
      <c r="T681" s="843" t="s">
        <v>2358</v>
      </c>
      <c r="U681" s="842">
        <v>2</v>
      </c>
      <c r="V681" s="842" t="s">
        <v>8</v>
      </c>
      <c r="W681" s="846"/>
      <c r="X681" s="847">
        <f t="shared" si="123"/>
        <v>0</v>
      </c>
      <c r="Y681" s="848"/>
      <c r="Z681" s="849">
        <v>61</v>
      </c>
      <c r="AA681" s="849"/>
      <c r="AB681" s="849">
        <f t="shared" si="124"/>
        <v>122</v>
      </c>
      <c r="AC681" s="850">
        <f t="shared" si="125"/>
        <v>122</v>
      </c>
      <c r="AD681" s="851"/>
      <c r="AE681" s="852">
        <v>24580</v>
      </c>
      <c r="AF681" s="853">
        <v>0</v>
      </c>
      <c r="AG681" s="854">
        <f t="shared" si="126"/>
        <v>0</v>
      </c>
      <c r="AH681" s="853"/>
      <c r="AI681" s="855">
        <f t="shared" si="127"/>
        <v>0</v>
      </c>
      <c r="AJ681" s="845" t="s">
        <v>1872</v>
      </c>
      <c r="AK681" s="857" t="s">
        <v>1745</v>
      </c>
      <c r="AL681" s="840">
        <v>244737306</v>
      </c>
      <c r="AM681" s="840"/>
      <c r="AN681" s="858"/>
      <c r="AO681" s="844"/>
      <c r="AP681" s="859" t="s">
        <v>1873</v>
      </c>
      <c r="AQ681" s="859"/>
      <c r="AR681" s="859">
        <v>45453</v>
      </c>
      <c r="AS681" s="840" t="s">
        <v>1874</v>
      </c>
      <c r="AT681" s="840" t="s">
        <v>1875</v>
      </c>
      <c r="AU681" s="860" t="s">
        <v>1876</v>
      </c>
      <c r="AV681" s="839" t="s">
        <v>1877</v>
      </c>
      <c r="AW681" s="861">
        <v>45575</v>
      </c>
      <c r="AX681" s="862">
        <v>45582</v>
      </c>
      <c r="AY681" s="843" t="s">
        <v>2359</v>
      </c>
      <c r="AZ681" s="842">
        <v>94052990</v>
      </c>
      <c r="BA681" s="842" t="s">
        <v>120</v>
      </c>
      <c r="BB681" s="863" t="s">
        <v>121</v>
      </c>
      <c r="BC681" s="864">
        <v>45584</v>
      </c>
      <c r="BD681" s="860" t="s">
        <v>1879</v>
      </c>
      <c r="BE681" s="865" cm="1">
        <f t="array" ref="BE681">IF(BD681="","",AC681/SUMPRODUCT(--(BD681=$BD$4:$BD$12824),$AC$4:$AC$12824))</f>
        <v>3.0710073022260599E-3</v>
      </c>
      <c r="BF681" s="458"/>
      <c r="BG681" s="458"/>
      <c r="BH681" s="458"/>
      <c r="BI681" s="458"/>
      <c r="BJ681" s="458"/>
      <c r="BK681" s="458"/>
      <c r="BL681" s="458"/>
      <c r="BM681" s="458"/>
      <c r="BN681" s="458"/>
      <c r="BO681" s="866">
        <f>VLOOKUP(BD681,$BD$4:$BN$12824,3,0)*BE681</f>
        <v>0</v>
      </c>
      <c r="BP681" s="866"/>
      <c r="BQ681" s="866"/>
      <c r="BR681" s="866">
        <f>VLOOKUP(BD681,$BD$4:$BN$12824,6,0)*BE681</f>
        <v>59153.005613725829</v>
      </c>
      <c r="BS681" s="866">
        <f>VLOOKUP(BD681,$BD$4:$BN$12824,7,0)*BE681</f>
        <v>2957.7147718396382</v>
      </c>
      <c r="BT681" s="866"/>
      <c r="BU681" s="866">
        <f>VLOOKUP(BD681,$BD$4:$BN$12824,9,0)*BE681</f>
        <v>1535.5036511130299</v>
      </c>
      <c r="BV681" s="867"/>
      <c r="BW681" s="867">
        <f>VLOOKUP(BD681,$BD$4:$BN$12824,11,0)*BE681</f>
        <v>6449.115334674726</v>
      </c>
      <c r="BX681" s="1146">
        <f t="shared" si="133"/>
        <v>70095.339371353228</v>
      </c>
      <c r="BY681" s="867">
        <f t="shared" si="131"/>
        <v>1534427.6696856767</v>
      </c>
      <c r="BZ681" s="867">
        <f t="shared" si="128"/>
        <v>3068855.3393713534</v>
      </c>
      <c r="CA681" s="867">
        <f>_xlfn.MAXIFS($BY$4:$BY$12824,$S$4:$S$12824,$S681)</f>
        <v>1797642.6639529883</v>
      </c>
      <c r="CB681" s="1032"/>
      <c r="CC681" s="999" t="s">
        <v>1889</v>
      </c>
      <c r="CF681" s="946">
        <f t="shared" si="130"/>
        <v>2998760</v>
      </c>
    </row>
    <row r="682" spans="1:84">
      <c r="A682" s="1032"/>
      <c r="B682" s="839" t="s">
        <v>98</v>
      </c>
      <c r="C682" s="839" t="s">
        <v>131</v>
      </c>
      <c r="D682" s="839" t="s">
        <v>1868</v>
      </c>
      <c r="E682" s="839" t="s">
        <v>2351</v>
      </c>
      <c r="F682" s="841">
        <v>45525</v>
      </c>
      <c r="G682" s="840" t="s">
        <v>155</v>
      </c>
      <c r="H682" s="842" t="s">
        <v>134</v>
      </c>
      <c r="I682" s="842"/>
      <c r="J682" s="841"/>
      <c r="K682" s="841"/>
      <c r="L682" s="843" t="s">
        <v>106</v>
      </c>
      <c r="M682" s="844" t="s">
        <v>107</v>
      </c>
      <c r="N682" s="841" t="s">
        <v>1869</v>
      </c>
      <c r="O682" s="841" t="s">
        <v>108</v>
      </c>
      <c r="P682" s="841" t="s">
        <v>1136</v>
      </c>
      <c r="Q682" s="843"/>
      <c r="R682" s="845" t="s">
        <v>2360</v>
      </c>
      <c r="S682" s="1127" t="s">
        <v>2361</v>
      </c>
      <c r="T682" s="843" t="s">
        <v>2362</v>
      </c>
      <c r="U682" s="842">
        <v>2</v>
      </c>
      <c r="V682" s="842" t="s">
        <v>8</v>
      </c>
      <c r="W682" s="846"/>
      <c r="X682" s="847">
        <f t="shared" si="123"/>
        <v>0</v>
      </c>
      <c r="Y682" s="848"/>
      <c r="Z682" s="849">
        <v>109.5</v>
      </c>
      <c r="AA682" s="849"/>
      <c r="AB682" s="849">
        <f t="shared" si="124"/>
        <v>219</v>
      </c>
      <c r="AC682" s="850">
        <f t="shared" si="125"/>
        <v>219</v>
      </c>
      <c r="AD682" s="851"/>
      <c r="AE682" s="852">
        <v>24580</v>
      </c>
      <c r="AF682" s="853">
        <v>0</v>
      </c>
      <c r="AG682" s="854">
        <f t="shared" si="126"/>
        <v>0</v>
      </c>
      <c r="AH682" s="853"/>
      <c r="AI682" s="855">
        <f t="shared" si="127"/>
        <v>0</v>
      </c>
      <c r="AJ682" s="845" t="s">
        <v>1872</v>
      </c>
      <c r="AK682" s="857" t="s">
        <v>1745</v>
      </c>
      <c r="AL682" s="840">
        <v>244737306</v>
      </c>
      <c r="AM682" s="840"/>
      <c r="AN682" s="858"/>
      <c r="AO682" s="844"/>
      <c r="AP682" s="859" t="s">
        <v>1873</v>
      </c>
      <c r="AQ682" s="859"/>
      <c r="AR682" s="859">
        <v>45453</v>
      </c>
      <c r="AS682" s="840" t="s">
        <v>1874</v>
      </c>
      <c r="AT682" s="840" t="s">
        <v>1875</v>
      </c>
      <c r="AU682" s="860" t="s">
        <v>1876</v>
      </c>
      <c r="AV682" s="839" t="s">
        <v>1877</v>
      </c>
      <c r="AW682" s="861">
        <v>45575</v>
      </c>
      <c r="AX682" s="862">
        <v>45582</v>
      </c>
      <c r="AY682" s="843" t="s">
        <v>2363</v>
      </c>
      <c r="AZ682" s="842">
        <v>94051999</v>
      </c>
      <c r="BA682" s="842" t="s">
        <v>120</v>
      </c>
      <c r="BB682" s="863" t="s">
        <v>121</v>
      </c>
      <c r="BC682" s="864">
        <v>45584</v>
      </c>
      <c r="BD682" s="860" t="s">
        <v>1879</v>
      </c>
      <c r="BE682" s="865" cm="1">
        <f t="array" ref="BE682">IF(BD682="","",AC682/SUMPRODUCT(--(BD682=$BD$4:$BD$12824),$AC$4:$AC$12824))</f>
        <v>5.512709829405796E-3</v>
      </c>
      <c r="BF682" s="458"/>
      <c r="BG682" s="458"/>
      <c r="BH682" s="458"/>
      <c r="BI682" s="458"/>
      <c r="BJ682" s="458"/>
      <c r="BK682" s="458"/>
      <c r="BL682" s="458"/>
      <c r="BM682" s="458"/>
      <c r="BN682" s="458"/>
      <c r="BO682" s="866">
        <f>VLOOKUP(BD682,$BD$4:$BN$12824,3,0)*BE682</f>
        <v>0</v>
      </c>
      <c r="BP682" s="866"/>
      <c r="BQ682" s="866"/>
      <c r="BR682" s="866">
        <f>VLOOKUP(BD682,$BD$4:$BN$12824,6,0)*BE682</f>
        <v>106184.49368365538</v>
      </c>
      <c r="BS682" s="866">
        <f>VLOOKUP(BD682,$BD$4:$BN$12824,7,0)*BE682</f>
        <v>5309.3404510891869</v>
      </c>
      <c r="BT682" s="866"/>
      <c r="BU682" s="866">
        <f>VLOOKUP(BD682,$BD$4:$BN$12824,9,0)*BE682</f>
        <v>2756.354914702898</v>
      </c>
      <c r="BV682" s="867"/>
      <c r="BW682" s="867">
        <f>VLOOKUP(BD682,$BD$4:$BN$12824,11,0)*BE682</f>
        <v>11576.690641752171</v>
      </c>
      <c r="BX682" s="1146">
        <f t="shared" si="133"/>
        <v>125826.87969119963</v>
      </c>
      <c r="BY682" s="867">
        <f t="shared" si="131"/>
        <v>2754423.4398455997</v>
      </c>
      <c r="BZ682" s="867">
        <f t="shared" si="128"/>
        <v>5508846.8796911994</v>
      </c>
      <c r="CA682" s="867">
        <f>_xlfn.MAXIFS($BY$4:$BY$12824,$S$4:$S$12824,$S682)</f>
        <v>2754423.4398455997</v>
      </c>
      <c r="CB682" s="1032"/>
      <c r="CC682" s="999" t="s">
        <v>1889</v>
      </c>
      <c r="CF682" s="946">
        <f t="shared" si="130"/>
        <v>5383020</v>
      </c>
    </row>
    <row r="683" spans="1:84">
      <c r="A683" s="1032"/>
      <c r="B683" s="839" t="s">
        <v>98</v>
      </c>
      <c r="C683" s="839" t="s">
        <v>131</v>
      </c>
      <c r="D683" s="839" t="s">
        <v>1868</v>
      </c>
      <c r="E683" s="839" t="s">
        <v>2351</v>
      </c>
      <c r="F683" s="841">
        <v>45525</v>
      </c>
      <c r="G683" s="840" t="s">
        <v>155</v>
      </c>
      <c r="H683" s="842" t="s">
        <v>134</v>
      </c>
      <c r="I683" s="842"/>
      <c r="J683" s="841"/>
      <c r="K683" s="841"/>
      <c r="L683" s="843" t="s">
        <v>106</v>
      </c>
      <c r="M683" s="844" t="s">
        <v>107</v>
      </c>
      <c r="N683" s="841" t="s">
        <v>1869</v>
      </c>
      <c r="O683" s="841" t="s">
        <v>108</v>
      </c>
      <c r="P683" s="841" t="s">
        <v>1136</v>
      </c>
      <c r="Q683" s="843"/>
      <c r="R683" s="845" t="s">
        <v>2364</v>
      </c>
      <c r="S683" s="1127" t="s">
        <v>2365</v>
      </c>
      <c r="T683" s="843" t="s">
        <v>2366</v>
      </c>
      <c r="U683" s="842">
        <v>2</v>
      </c>
      <c r="V683" s="842" t="s">
        <v>8</v>
      </c>
      <c r="W683" s="846"/>
      <c r="X683" s="847">
        <f t="shared" si="123"/>
        <v>0</v>
      </c>
      <c r="Y683" s="848"/>
      <c r="Z683" s="849">
        <v>109.5</v>
      </c>
      <c r="AA683" s="849"/>
      <c r="AB683" s="849">
        <f t="shared" si="124"/>
        <v>219</v>
      </c>
      <c r="AC683" s="850">
        <f t="shared" si="125"/>
        <v>219</v>
      </c>
      <c r="AD683" s="851"/>
      <c r="AE683" s="852">
        <v>24580</v>
      </c>
      <c r="AF683" s="853">
        <v>0</v>
      </c>
      <c r="AG683" s="854">
        <f t="shared" si="126"/>
        <v>0</v>
      </c>
      <c r="AH683" s="853"/>
      <c r="AI683" s="855">
        <f t="shared" si="127"/>
        <v>0</v>
      </c>
      <c r="AJ683" s="845" t="s">
        <v>1872</v>
      </c>
      <c r="AK683" s="857" t="s">
        <v>1745</v>
      </c>
      <c r="AL683" s="840">
        <v>244737306</v>
      </c>
      <c r="AM683" s="840"/>
      <c r="AN683" s="858"/>
      <c r="AO683" s="844"/>
      <c r="AP683" s="859" t="s">
        <v>1873</v>
      </c>
      <c r="AQ683" s="859"/>
      <c r="AR683" s="859">
        <v>45453</v>
      </c>
      <c r="AS683" s="840" t="s">
        <v>1874</v>
      </c>
      <c r="AT683" s="840" t="s">
        <v>1875</v>
      </c>
      <c r="AU683" s="860" t="s">
        <v>1876</v>
      </c>
      <c r="AV683" s="839" t="s">
        <v>1877</v>
      </c>
      <c r="AW683" s="861">
        <v>45575</v>
      </c>
      <c r="AX683" s="862">
        <v>45582</v>
      </c>
      <c r="AY683" s="843" t="s">
        <v>2367</v>
      </c>
      <c r="AZ683" s="842">
        <v>94051999</v>
      </c>
      <c r="BA683" s="842" t="s">
        <v>120</v>
      </c>
      <c r="BB683" s="863" t="s">
        <v>121</v>
      </c>
      <c r="BC683" s="864">
        <v>45584</v>
      </c>
      <c r="BD683" s="860" t="s">
        <v>1879</v>
      </c>
      <c r="BE683" s="865" cm="1">
        <f t="array" ref="BE683">IF(BD683="","",AC683/SUMPRODUCT(--(BD683=$BD$4:$BD$12824),$AC$4:$AC$12824))</f>
        <v>5.512709829405796E-3</v>
      </c>
      <c r="BF683" s="458"/>
      <c r="BG683" s="458"/>
      <c r="BH683" s="458"/>
      <c r="BI683" s="458"/>
      <c r="BJ683" s="458"/>
      <c r="BK683" s="458"/>
      <c r="BL683" s="458"/>
      <c r="BM683" s="458"/>
      <c r="BN683" s="458"/>
      <c r="BO683" s="866">
        <f>VLOOKUP(BD683,$BD$4:$BN$12824,3,0)*BE683</f>
        <v>0</v>
      </c>
      <c r="BP683" s="866"/>
      <c r="BQ683" s="866"/>
      <c r="BR683" s="866">
        <f>VLOOKUP(BD683,$BD$4:$BN$12824,6,0)*BE683</f>
        <v>106184.49368365538</v>
      </c>
      <c r="BS683" s="866">
        <f>VLOOKUP(BD683,$BD$4:$BN$12824,7,0)*BE683</f>
        <v>5309.3404510891869</v>
      </c>
      <c r="BT683" s="866"/>
      <c r="BU683" s="866">
        <f>VLOOKUP(BD683,$BD$4:$BN$12824,9,0)*BE683</f>
        <v>2756.354914702898</v>
      </c>
      <c r="BV683" s="867"/>
      <c r="BW683" s="867">
        <f>VLOOKUP(BD683,$BD$4:$BN$12824,11,0)*BE683</f>
        <v>11576.690641752171</v>
      </c>
      <c r="BX683" s="1146">
        <f t="shared" si="133"/>
        <v>125826.87969119963</v>
      </c>
      <c r="BY683" s="867">
        <f t="shared" si="131"/>
        <v>2754423.4398455997</v>
      </c>
      <c r="BZ683" s="867">
        <f t="shared" si="128"/>
        <v>5508846.8796911994</v>
      </c>
      <c r="CA683" s="867">
        <f>_xlfn.MAXIFS($BY$4:$BY$12824,$S$4:$S$12824,$S683)</f>
        <v>2754423.4398455997</v>
      </c>
      <c r="CB683" s="1032"/>
      <c r="CC683" s="999" t="s">
        <v>1889</v>
      </c>
      <c r="CF683" s="946">
        <f t="shared" si="130"/>
        <v>5383020</v>
      </c>
    </row>
    <row r="684" spans="1:84">
      <c r="A684" s="1032"/>
      <c r="B684" s="839" t="s">
        <v>98</v>
      </c>
      <c r="C684" s="839" t="s">
        <v>131</v>
      </c>
      <c r="D684" s="839" t="s">
        <v>1868</v>
      </c>
      <c r="E684" s="839" t="s">
        <v>2351</v>
      </c>
      <c r="F684" s="841">
        <v>45525</v>
      </c>
      <c r="G684" s="840" t="s">
        <v>155</v>
      </c>
      <c r="H684" s="842" t="s">
        <v>134</v>
      </c>
      <c r="I684" s="842"/>
      <c r="J684" s="841"/>
      <c r="K684" s="841"/>
      <c r="L684" s="843" t="s">
        <v>106</v>
      </c>
      <c r="M684" s="844" t="s">
        <v>107</v>
      </c>
      <c r="N684" s="841" t="s">
        <v>1869</v>
      </c>
      <c r="O684" s="841" t="s">
        <v>108</v>
      </c>
      <c r="P684" s="841" t="s">
        <v>1136</v>
      </c>
      <c r="Q684" s="843"/>
      <c r="R684" s="845" t="s">
        <v>2364</v>
      </c>
      <c r="S684" s="1127" t="s">
        <v>2365</v>
      </c>
      <c r="T684" s="843" t="s">
        <v>2368</v>
      </c>
      <c r="U684" s="842">
        <v>2</v>
      </c>
      <c r="V684" s="842" t="s">
        <v>8</v>
      </c>
      <c r="W684" s="846"/>
      <c r="X684" s="847">
        <f t="shared" si="123"/>
        <v>0</v>
      </c>
      <c r="Y684" s="848"/>
      <c r="Z684" s="849">
        <v>109.5</v>
      </c>
      <c r="AA684" s="849"/>
      <c r="AB684" s="849">
        <f t="shared" si="124"/>
        <v>219</v>
      </c>
      <c r="AC684" s="850">
        <f t="shared" si="125"/>
        <v>219</v>
      </c>
      <c r="AD684" s="851"/>
      <c r="AE684" s="852">
        <v>24580</v>
      </c>
      <c r="AF684" s="853">
        <v>0</v>
      </c>
      <c r="AG684" s="854">
        <f t="shared" si="126"/>
        <v>0</v>
      </c>
      <c r="AH684" s="853"/>
      <c r="AI684" s="855">
        <f t="shared" si="127"/>
        <v>0</v>
      </c>
      <c r="AJ684" s="845" t="s">
        <v>1872</v>
      </c>
      <c r="AK684" s="857" t="s">
        <v>1745</v>
      </c>
      <c r="AL684" s="840">
        <v>244737306</v>
      </c>
      <c r="AM684" s="840"/>
      <c r="AN684" s="858"/>
      <c r="AO684" s="844"/>
      <c r="AP684" s="859" t="s">
        <v>1873</v>
      </c>
      <c r="AQ684" s="859"/>
      <c r="AR684" s="859">
        <v>45453</v>
      </c>
      <c r="AS684" s="840" t="s">
        <v>1874</v>
      </c>
      <c r="AT684" s="840" t="s">
        <v>1875</v>
      </c>
      <c r="AU684" s="860" t="s">
        <v>1876</v>
      </c>
      <c r="AV684" s="839" t="s">
        <v>1877</v>
      </c>
      <c r="AW684" s="861">
        <v>45575</v>
      </c>
      <c r="AX684" s="862">
        <v>45582</v>
      </c>
      <c r="AY684" s="843" t="s">
        <v>2367</v>
      </c>
      <c r="AZ684" s="842">
        <v>94051999</v>
      </c>
      <c r="BA684" s="842" t="s">
        <v>120</v>
      </c>
      <c r="BB684" s="863" t="s">
        <v>121</v>
      </c>
      <c r="BC684" s="864">
        <v>45584</v>
      </c>
      <c r="BD684" s="860" t="s">
        <v>1879</v>
      </c>
      <c r="BE684" s="865" cm="1">
        <f t="array" ref="BE684">IF(BD684="","",AC684/SUMPRODUCT(--(BD684=$BD$4:$BD$12824),$AC$4:$AC$12824))</f>
        <v>5.512709829405796E-3</v>
      </c>
      <c r="BF684" s="458"/>
      <c r="BG684" s="458"/>
      <c r="BH684" s="458"/>
      <c r="BI684" s="458"/>
      <c r="BJ684" s="458"/>
      <c r="BK684" s="458"/>
      <c r="BL684" s="458"/>
      <c r="BM684" s="458"/>
      <c r="BN684" s="458"/>
      <c r="BO684" s="866">
        <f>VLOOKUP(BD684,$BD$4:$BN$12824,3,0)*BE684</f>
        <v>0</v>
      </c>
      <c r="BP684" s="866"/>
      <c r="BQ684" s="866"/>
      <c r="BR684" s="866">
        <f>VLOOKUP(BD684,$BD$4:$BN$12824,6,0)*BE684</f>
        <v>106184.49368365538</v>
      </c>
      <c r="BS684" s="866">
        <f>VLOOKUP(BD684,$BD$4:$BN$12824,7,0)*BE684</f>
        <v>5309.3404510891869</v>
      </c>
      <c r="BT684" s="866"/>
      <c r="BU684" s="866">
        <f>VLOOKUP(BD684,$BD$4:$BN$12824,9,0)*BE684</f>
        <v>2756.354914702898</v>
      </c>
      <c r="BV684" s="867"/>
      <c r="BW684" s="867">
        <f>VLOOKUP(BD684,$BD$4:$BN$12824,11,0)*BE684</f>
        <v>11576.690641752171</v>
      </c>
      <c r="BX684" s="1146">
        <f t="shared" si="133"/>
        <v>125826.87969119963</v>
      </c>
      <c r="BY684" s="867">
        <f t="shared" si="131"/>
        <v>2754423.4398455997</v>
      </c>
      <c r="BZ684" s="867">
        <f t="shared" si="128"/>
        <v>5508846.8796911994</v>
      </c>
      <c r="CA684" s="867">
        <f>_xlfn.MAXIFS($BY$4:$BY$12824,$S$4:$S$12824,$S684)</f>
        <v>2754423.4398455997</v>
      </c>
      <c r="CB684" s="1032"/>
      <c r="CC684" s="999" t="s">
        <v>1889</v>
      </c>
      <c r="CF684" s="946">
        <f t="shared" si="130"/>
        <v>5383020</v>
      </c>
    </row>
    <row r="685" spans="1:84">
      <c r="A685" s="1032"/>
      <c r="B685" s="839" t="s">
        <v>98</v>
      </c>
      <c r="C685" s="840" t="s">
        <v>99</v>
      </c>
      <c r="D685" s="839" t="s">
        <v>2369</v>
      </c>
      <c r="E685" s="839" t="s">
        <v>2370</v>
      </c>
      <c r="F685" s="841">
        <v>45629</v>
      </c>
      <c r="G685" s="840" t="s">
        <v>99</v>
      </c>
      <c r="H685" s="842" t="s">
        <v>134</v>
      </c>
      <c r="I685" s="842"/>
      <c r="J685" s="841"/>
      <c r="K685" s="841"/>
      <c r="L685" s="843" t="s">
        <v>1135</v>
      </c>
      <c r="M685" s="844" t="s">
        <v>107</v>
      </c>
      <c r="N685" s="841">
        <v>45513</v>
      </c>
      <c r="O685" s="841" t="s">
        <v>108</v>
      </c>
      <c r="P685" s="841" t="s">
        <v>1136</v>
      </c>
      <c r="Q685" s="843" t="s">
        <v>2371</v>
      </c>
      <c r="R685" s="845" t="s">
        <v>2372</v>
      </c>
      <c r="S685" s="1127" t="s">
        <v>2373</v>
      </c>
      <c r="T685" s="843" t="s">
        <v>2374</v>
      </c>
      <c r="U685" s="842">
        <v>1</v>
      </c>
      <c r="V685" s="842" t="s">
        <v>3</v>
      </c>
      <c r="W685" s="846">
        <v>12950</v>
      </c>
      <c r="X685" s="847">
        <f t="shared" si="123"/>
        <v>12950</v>
      </c>
      <c r="Y685" s="848">
        <f>(W685-Z685)/W685</f>
        <v>0.55000000000000004</v>
      </c>
      <c r="Z685" s="849">
        <v>5827.5</v>
      </c>
      <c r="AA685" s="849"/>
      <c r="AB685" s="849">
        <f t="shared" si="124"/>
        <v>5827.5</v>
      </c>
      <c r="AC685" s="850">
        <f t="shared" si="125"/>
        <v>5827.5</v>
      </c>
      <c r="AD685" s="851"/>
      <c r="AE685" s="852">
        <v>26979.87</v>
      </c>
      <c r="AF685" s="853">
        <v>0</v>
      </c>
      <c r="AG685" s="854">
        <f t="shared" si="126"/>
        <v>0</v>
      </c>
      <c r="AH685" s="853"/>
      <c r="AI685" s="855">
        <f t="shared" si="127"/>
        <v>0</v>
      </c>
      <c r="AJ685" s="845" t="s">
        <v>2375</v>
      </c>
      <c r="AK685" s="857">
        <v>45357</v>
      </c>
      <c r="AL685" s="840" t="s">
        <v>2376</v>
      </c>
      <c r="AM685" s="840"/>
      <c r="AN685" s="858"/>
      <c r="AO685" s="844"/>
      <c r="AP685" s="859" t="s">
        <v>1847</v>
      </c>
      <c r="AQ685" s="859"/>
      <c r="AR685" s="859" t="s">
        <v>2377</v>
      </c>
      <c r="AS685" s="840"/>
      <c r="AT685" s="840"/>
      <c r="AU685" s="860" t="s">
        <v>1849</v>
      </c>
      <c r="AV685" s="839" t="s">
        <v>2378</v>
      </c>
      <c r="AW685" s="861">
        <v>45594</v>
      </c>
      <c r="AX685" s="862" t="s">
        <v>2377</v>
      </c>
      <c r="AY685" s="843"/>
      <c r="AZ685" s="842"/>
      <c r="BA685" s="842" t="s">
        <v>120</v>
      </c>
      <c r="BB685" s="863" t="s">
        <v>121</v>
      </c>
      <c r="BC685" s="864">
        <v>45594</v>
      </c>
      <c r="BD685" s="860" t="s">
        <v>2379</v>
      </c>
      <c r="BE685" s="865" cm="1">
        <f t="array" ref="BE685">IF(BD685="","",AC685/SUMPRODUCT(--(BD685=$BD$4:$BD$12824),$AC$4:$AC$12824))</f>
        <v>0.87003583159151987</v>
      </c>
      <c r="BF685" s="458">
        <v>1528604</v>
      </c>
      <c r="BG685" s="458"/>
      <c r="BH685" s="458"/>
      <c r="BI685" s="458">
        <v>1531318</v>
      </c>
      <c r="BJ685" s="458">
        <v>250000</v>
      </c>
      <c r="BK685" s="458"/>
      <c r="BL685" s="458"/>
      <c r="BM685" s="458"/>
      <c r="BN685" s="458">
        <v>600000</v>
      </c>
      <c r="BO685" s="866">
        <f>VLOOKUP(BD685,$BD$4:$BN$12824,3,0)*BE685</f>
        <v>1329940.2523141236</v>
      </c>
      <c r="BP685" s="866"/>
      <c r="BQ685" s="866"/>
      <c r="BR685" s="866">
        <f>VLOOKUP(BD685,$BD$4:$BN$12824,6,0)*BE685</f>
        <v>1332301.529561063</v>
      </c>
      <c r="BS685" s="866">
        <f>VLOOKUP(BD685,$BD$4:$BN$12824,7,0)*BE685</f>
        <v>217508.95789787997</v>
      </c>
      <c r="BT685" s="866"/>
      <c r="BU685" s="866">
        <f>VLOOKUP(BD685,$BD$4:$BN$12824,9,0)*BE685</f>
        <v>0</v>
      </c>
      <c r="BV685" s="867"/>
      <c r="BW685" s="867">
        <f>VLOOKUP(BD685,$BD$4:$BN$12824,11,0)*BE685</f>
        <v>522021.49895491195</v>
      </c>
      <c r="BX685" s="1146">
        <f t="shared" ref="BX685:BX686" si="134">SUM(BO685:BW685)</f>
        <v>3401772.2387279784</v>
      </c>
      <c r="BY685" s="867">
        <f t="shared" si="131"/>
        <v>160626964.66372797</v>
      </c>
      <c r="BZ685" s="867">
        <f t="shared" si="128"/>
        <v>160626964.66372797</v>
      </c>
      <c r="CA685" s="867">
        <f>_xlfn.MAXIFS($BY$4:$BY$12824,$S$4:$S$12824,$S685)</f>
        <v>160626964.66372797</v>
      </c>
      <c r="CB685" s="1032"/>
      <c r="CF685" s="946">
        <f t="shared" si="130"/>
        <v>157225192.42499998</v>
      </c>
    </row>
    <row r="686" spans="1:84">
      <c r="A686" s="1032"/>
      <c r="B686" s="839" t="s">
        <v>98</v>
      </c>
      <c r="C686" s="840" t="s">
        <v>99</v>
      </c>
      <c r="D686" s="839" t="s">
        <v>2369</v>
      </c>
      <c r="E686" s="839" t="s">
        <v>2370</v>
      </c>
      <c r="F686" s="841">
        <v>45629</v>
      </c>
      <c r="G686" s="840" t="s">
        <v>99</v>
      </c>
      <c r="H686" s="842" t="s">
        <v>134</v>
      </c>
      <c r="I686" s="842"/>
      <c r="J686" s="841"/>
      <c r="K686" s="841"/>
      <c r="L686" s="843" t="s">
        <v>1135</v>
      </c>
      <c r="M686" s="844" t="s">
        <v>107</v>
      </c>
      <c r="N686" s="841">
        <v>45513</v>
      </c>
      <c r="O686" s="841" t="s">
        <v>108</v>
      </c>
      <c r="P686" s="841" t="s">
        <v>1136</v>
      </c>
      <c r="Q686" s="843" t="s">
        <v>110</v>
      </c>
      <c r="R686" s="845" t="s">
        <v>1854</v>
      </c>
      <c r="S686" s="1127" t="s">
        <v>1855</v>
      </c>
      <c r="T686" s="843" t="s">
        <v>2380</v>
      </c>
      <c r="U686" s="842">
        <v>1</v>
      </c>
      <c r="V686" s="842" t="s">
        <v>3</v>
      </c>
      <c r="W686" s="846">
        <v>1140</v>
      </c>
      <c r="X686" s="847">
        <f t="shared" si="123"/>
        <v>1140</v>
      </c>
      <c r="Y686" s="848">
        <f>(W686-Z686)/W686</f>
        <v>0.55000000000000004</v>
      </c>
      <c r="Z686" s="849">
        <v>513</v>
      </c>
      <c r="AA686" s="849"/>
      <c r="AB686" s="849">
        <f t="shared" si="124"/>
        <v>513</v>
      </c>
      <c r="AC686" s="850">
        <f t="shared" si="125"/>
        <v>513</v>
      </c>
      <c r="AD686" s="851"/>
      <c r="AE686" s="852">
        <v>26979.87</v>
      </c>
      <c r="AF686" s="853">
        <v>0</v>
      </c>
      <c r="AG686" s="854">
        <f t="shared" si="126"/>
        <v>0</v>
      </c>
      <c r="AH686" s="853"/>
      <c r="AI686" s="855">
        <f t="shared" si="127"/>
        <v>0</v>
      </c>
      <c r="AJ686" s="845" t="s">
        <v>2375</v>
      </c>
      <c r="AK686" s="857">
        <v>45357</v>
      </c>
      <c r="AL686" s="840" t="s">
        <v>2376</v>
      </c>
      <c r="AM686" s="840"/>
      <c r="AN686" s="858"/>
      <c r="AO686" s="844"/>
      <c r="AP686" s="859" t="s">
        <v>1847</v>
      </c>
      <c r="AQ686" s="859"/>
      <c r="AR686" s="859" t="s">
        <v>2377</v>
      </c>
      <c r="AS686" s="840"/>
      <c r="AT686" s="840"/>
      <c r="AU686" s="860"/>
      <c r="AV686" s="839" t="s">
        <v>2378</v>
      </c>
      <c r="AW686" s="861">
        <v>45594</v>
      </c>
      <c r="AX686" s="862" t="s">
        <v>2377</v>
      </c>
      <c r="AY686" s="843"/>
      <c r="AZ686" s="842"/>
      <c r="BA686" s="842" t="s">
        <v>120</v>
      </c>
      <c r="BB686" s="863" t="s">
        <v>121</v>
      </c>
      <c r="BC686" s="864">
        <v>45594</v>
      </c>
      <c r="BD686" s="860" t="s">
        <v>2379</v>
      </c>
      <c r="BE686" s="865" cm="1">
        <f t="array" ref="BE686">IF(BD686="","",AC686/SUMPRODUCT(--(BD686=$BD$4:$BD$12824),$AC$4:$AC$12824))</f>
        <v>7.6590026873693637E-2</v>
      </c>
      <c r="BF686" s="458"/>
      <c r="BG686" s="458"/>
      <c r="BH686" s="458"/>
      <c r="BI686" s="458"/>
      <c r="BJ686" s="458"/>
      <c r="BK686" s="458"/>
      <c r="BL686" s="458"/>
      <c r="BM686" s="458"/>
      <c r="BN686" s="458"/>
      <c r="BO686" s="866">
        <f>VLOOKUP(BD686,$BD$4:$BN$12824,3,0)*BE686</f>
        <v>117075.82143923559</v>
      </c>
      <c r="BP686" s="866"/>
      <c r="BQ686" s="866"/>
      <c r="BR686" s="866">
        <f>VLOOKUP(BD686,$BD$4:$BN$12824,6,0)*BE686</f>
        <v>117283.6867721708</v>
      </c>
      <c r="BS686" s="866">
        <f>VLOOKUP(BD686,$BD$4:$BN$12824,7,0)*BE686</f>
        <v>19147.50671842341</v>
      </c>
      <c r="BT686" s="866"/>
      <c r="BU686" s="866">
        <f>VLOOKUP(BD686,$BD$4:$BN$12824,9,0)*BE686</f>
        <v>0</v>
      </c>
      <c r="BV686" s="867"/>
      <c r="BW686" s="867">
        <f>VLOOKUP(BD686,$BD$4:$BN$12824,11,0)*BE686</f>
        <v>45954.016124216185</v>
      </c>
      <c r="BX686" s="1146">
        <f t="shared" si="134"/>
        <v>299461.03105404601</v>
      </c>
      <c r="BY686" s="867">
        <f t="shared" si="131"/>
        <v>14140134.341054045</v>
      </c>
      <c r="BZ686" s="867">
        <f t="shared" si="128"/>
        <v>14140134.341054045</v>
      </c>
      <c r="CA686" s="867">
        <f>_xlfn.MAXIFS($BY$4:$BY$12824,$S$4:$S$12824,$S686)</f>
        <v>18638630.069919728</v>
      </c>
      <c r="CB686" s="1032"/>
      <c r="CF686" s="946">
        <f t="shared" si="130"/>
        <v>13840673.309999999</v>
      </c>
    </row>
    <row r="687" spans="1:84">
      <c r="A687" s="1032"/>
      <c r="B687" s="839" t="s">
        <v>98</v>
      </c>
      <c r="C687" s="840" t="s">
        <v>99</v>
      </c>
      <c r="D687" s="839" t="s">
        <v>2381</v>
      </c>
      <c r="E687" s="839" t="s">
        <v>2381</v>
      </c>
      <c r="F687" s="841">
        <v>45315</v>
      </c>
      <c r="G687" s="840" t="s">
        <v>99</v>
      </c>
      <c r="H687" s="842" t="s">
        <v>134</v>
      </c>
      <c r="I687" s="842"/>
      <c r="J687" s="841"/>
      <c r="K687" s="841"/>
      <c r="L687" s="843" t="s">
        <v>1135</v>
      </c>
      <c r="M687" s="844" t="s">
        <v>107</v>
      </c>
      <c r="N687" s="841"/>
      <c r="O687" s="841" t="s">
        <v>108</v>
      </c>
      <c r="P687" s="841" t="s">
        <v>1136</v>
      </c>
      <c r="Q687" s="843" t="s">
        <v>2382</v>
      </c>
      <c r="R687" s="845">
        <v>5741095094</v>
      </c>
      <c r="S687" s="1127" t="s">
        <v>2383</v>
      </c>
      <c r="T687" s="843" t="s">
        <v>2384</v>
      </c>
      <c r="U687" s="842">
        <v>1</v>
      </c>
      <c r="V687" s="842" t="s">
        <v>3</v>
      </c>
      <c r="W687" s="846"/>
      <c r="X687" s="847">
        <f t="shared" si="123"/>
        <v>0</v>
      </c>
      <c r="Y687" s="848"/>
      <c r="Z687" s="849">
        <v>357.5</v>
      </c>
      <c r="AA687" s="849"/>
      <c r="AB687" s="849">
        <f t="shared" si="124"/>
        <v>357.5</v>
      </c>
      <c r="AC687" s="850">
        <f t="shared" si="125"/>
        <v>357.5</v>
      </c>
      <c r="AD687" s="851"/>
      <c r="AE687" s="852">
        <v>26979.87</v>
      </c>
      <c r="AF687" s="853">
        <v>0</v>
      </c>
      <c r="AG687" s="854">
        <f t="shared" si="126"/>
        <v>0</v>
      </c>
      <c r="AH687" s="853"/>
      <c r="AI687" s="855">
        <f t="shared" si="127"/>
        <v>0</v>
      </c>
      <c r="AJ687" s="845" t="s">
        <v>2385</v>
      </c>
      <c r="AK687" s="857" t="s">
        <v>2386</v>
      </c>
      <c r="AL687" s="840" t="s">
        <v>2387</v>
      </c>
      <c r="AM687" s="840"/>
      <c r="AN687" s="858"/>
      <c r="AO687" s="844"/>
      <c r="AP687" s="859"/>
      <c r="AQ687" s="859"/>
      <c r="AR687" s="859">
        <v>45484</v>
      </c>
      <c r="AS687" s="840"/>
      <c r="AT687" s="840"/>
      <c r="AU687" s="860" t="s">
        <v>2388</v>
      </c>
      <c r="AV687" s="839" t="s">
        <v>2378</v>
      </c>
      <c r="AW687" s="861">
        <v>45594</v>
      </c>
      <c r="AX687" s="862" t="s">
        <v>2377</v>
      </c>
      <c r="AY687" s="843"/>
      <c r="AZ687" s="842"/>
      <c r="BA687" s="842" t="s">
        <v>120</v>
      </c>
      <c r="BB687" s="863" t="s">
        <v>121</v>
      </c>
      <c r="BC687" s="864">
        <v>45594</v>
      </c>
      <c r="BD687" s="860" t="s">
        <v>2379</v>
      </c>
      <c r="BE687" s="865" cm="1">
        <f t="array" ref="BE687">IF(BD687="","",AC687/SUMPRODUCT(--(BD687=$BD$4:$BD$12824),$AC$4:$AC$12824))</f>
        <v>5.3374141534786507E-2</v>
      </c>
      <c r="BF687" s="458"/>
      <c r="BG687" s="458"/>
      <c r="BH687" s="458"/>
      <c r="BI687" s="458"/>
      <c r="BJ687" s="458"/>
      <c r="BK687" s="458"/>
      <c r="BL687" s="458"/>
      <c r="BM687" s="458"/>
      <c r="BN687" s="458"/>
      <c r="BO687" s="866">
        <f>VLOOKUP(BD687,$BD$4:$BN$12824,3,0)*BE687</f>
        <v>81587.926246640796</v>
      </c>
      <c r="BP687" s="866"/>
      <c r="BQ687" s="866"/>
      <c r="BR687" s="866">
        <f>VLOOKUP(BD687,$BD$4:$BN$12824,6,0)*BE687</f>
        <v>81732.783666766205</v>
      </c>
      <c r="BS687" s="866">
        <f>VLOOKUP(BD687,$BD$4:$BN$12824,7,0)*BE687</f>
        <v>13343.535383696626</v>
      </c>
      <c r="BT687" s="866"/>
      <c r="BU687" s="866">
        <f>VLOOKUP(BD687,$BD$4:$BN$12824,9,0)*BE687</f>
        <v>0</v>
      </c>
      <c r="BV687" s="867"/>
      <c r="BW687" s="867">
        <f>VLOOKUP(BD687,$BD$4:$BN$12824,11,0)*BE687</f>
        <v>32024.484920871902</v>
      </c>
      <c r="BX687" s="1146">
        <f t="shared" ref="BX687:BX699" si="135">SUM(BO687:BW687)</f>
        <v>208688.73021797554</v>
      </c>
      <c r="BY687" s="867">
        <f t="shared" si="131"/>
        <v>9853992.255217975</v>
      </c>
      <c r="BZ687" s="867">
        <f t="shared" si="128"/>
        <v>9853992.255217975</v>
      </c>
      <c r="CA687" s="867">
        <f>_xlfn.MAXIFS($BY$4:$BY$12824,$S$4:$S$12824,$S687)</f>
        <v>9853992.255217975</v>
      </c>
      <c r="CB687" s="1032"/>
      <c r="CF687" s="946">
        <f t="shared" si="130"/>
        <v>9645303.5250000004</v>
      </c>
    </row>
    <row r="688" spans="1:84">
      <c r="A688" s="1032"/>
      <c r="B688" s="839" t="s">
        <v>98</v>
      </c>
      <c r="C688" s="839" t="s">
        <v>273</v>
      </c>
      <c r="D688" s="839" t="s">
        <v>2389</v>
      </c>
      <c r="E688" s="839" t="s">
        <v>2389</v>
      </c>
      <c r="F688" s="841">
        <v>45580</v>
      </c>
      <c r="G688" s="840" t="s">
        <v>273</v>
      </c>
      <c r="H688" s="842" t="s">
        <v>134</v>
      </c>
      <c r="I688" s="842"/>
      <c r="J688" s="841"/>
      <c r="K688" s="841"/>
      <c r="L688" s="843"/>
      <c r="M688" s="844" t="s">
        <v>275</v>
      </c>
      <c r="N688" s="841"/>
      <c r="O688" s="841" t="s">
        <v>1100</v>
      </c>
      <c r="P688" s="841" t="s">
        <v>124</v>
      </c>
      <c r="Q688" s="843"/>
      <c r="R688" s="845" t="s">
        <v>2390</v>
      </c>
      <c r="S688" s="1127" t="s">
        <v>2390</v>
      </c>
      <c r="T688" s="843" t="s">
        <v>2391</v>
      </c>
      <c r="U688" s="842">
        <v>2</v>
      </c>
      <c r="V688" s="842" t="s">
        <v>3</v>
      </c>
      <c r="W688" s="846">
        <v>76.489999999999995</v>
      </c>
      <c r="X688" s="847">
        <f t="shared" si="123"/>
        <v>152.97999999999999</v>
      </c>
      <c r="Y688" s="848">
        <v>0.5</v>
      </c>
      <c r="Z688" s="849">
        <v>38.244999999999997</v>
      </c>
      <c r="AA688" s="849" t="s">
        <v>40</v>
      </c>
      <c r="AB688" s="849">
        <f t="shared" si="124"/>
        <v>0</v>
      </c>
      <c r="AC688" s="850">
        <f t="shared" si="125"/>
        <v>76.489999999999995</v>
      </c>
      <c r="AD688" s="851"/>
      <c r="AE688" s="852">
        <v>26353.87</v>
      </c>
      <c r="AF688" s="853">
        <v>0.2</v>
      </c>
      <c r="AG688" s="854">
        <f t="shared" si="126"/>
        <v>403161.50325999997</v>
      </c>
      <c r="AH688" s="853"/>
      <c r="AI688" s="855">
        <f t="shared" si="127"/>
        <v>0</v>
      </c>
      <c r="AJ688" s="845" t="s">
        <v>2392</v>
      </c>
      <c r="AK688" s="857">
        <v>45515</v>
      </c>
      <c r="AL688" s="840" t="s">
        <v>2393</v>
      </c>
      <c r="AM688" s="840"/>
      <c r="AN688" s="858"/>
      <c r="AO688" s="844" t="s">
        <v>116</v>
      </c>
      <c r="AP688" s="859">
        <v>45607</v>
      </c>
      <c r="AQ688" s="859"/>
      <c r="AR688" s="859" t="s">
        <v>2394</v>
      </c>
      <c r="AS688" s="840"/>
      <c r="AT688" s="840"/>
      <c r="AU688" s="860" t="s">
        <v>1210</v>
      </c>
      <c r="AV688" s="839" t="s">
        <v>2395</v>
      </c>
      <c r="AW688" s="861">
        <v>45616</v>
      </c>
      <c r="AX688" s="862" t="s">
        <v>2396</v>
      </c>
      <c r="AY688" s="843" t="s">
        <v>2397</v>
      </c>
      <c r="AZ688" s="842">
        <v>73269099</v>
      </c>
      <c r="BA688" s="842" t="s">
        <v>120</v>
      </c>
      <c r="BB688" s="863" t="s">
        <v>121</v>
      </c>
      <c r="BC688" s="864">
        <v>45587</v>
      </c>
      <c r="BD688" s="860" t="s">
        <v>2398</v>
      </c>
      <c r="BE688" s="865" cm="1">
        <f t="array" ref="BE688">IF(BD688="","",AC688/SUMPRODUCT(--(BD688=$BD$4:$BD$12824),$AC$4:$AC$12824))</f>
        <v>4.9632734634551492E-2</v>
      </c>
      <c r="BF688" s="458">
        <v>0</v>
      </c>
      <c r="BG688" s="458"/>
      <c r="BH688" s="458"/>
      <c r="BI688" s="458">
        <v>0</v>
      </c>
      <c r="BJ688" s="458">
        <v>0</v>
      </c>
      <c r="BK688" s="458"/>
      <c r="BL688" s="458">
        <v>0</v>
      </c>
      <c r="BM688" s="458"/>
      <c r="BN688" s="458">
        <v>0</v>
      </c>
      <c r="BO688" s="866">
        <f>VLOOKUP(BD688,$BD$4:$BN$12824,3,0)*BE688</f>
        <v>0</v>
      </c>
      <c r="BP688" s="866"/>
      <c r="BQ688" s="866"/>
      <c r="BR688" s="866">
        <f>VLOOKUP(BD688,$BD$4:$BN$12824,6,0)*BE688</f>
        <v>0</v>
      </c>
      <c r="BS688" s="866">
        <f>VLOOKUP(BD688,$BD$4:$BN$12824,7,0)*BE688</f>
        <v>0</v>
      </c>
      <c r="BT688" s="866"/>
      <c r="BU688" s="866">
        <f>VLOOKUP(BD688,$BD$4:$BN$12824,9,0)*BE688</f>
        <v>0</v>
      </c>
      <c r="BV688" s="867"/>
      <c r="BW688" s="867">
        <f>VLOOKUP(BD688,$BD$4:$BN$12824,11,0)*BE688</f>
        <v>0</v>
      </c>
      <c r="BX688" s="1146">
        <f t="shared" si="135"/>
        <v>0</v>
      </c>
      <c r="BY688" s="867">
        <f>(AB688*AE688+AG688+BX688)/U688</f>
        <v>201580.75162999998</v>
      </c>
      <c r="BZ688" s="867">
        <f t="shared" si="128"/>
        <v>403161.50325999997</v>
      </c>
      <c r="CA688" s="867">
        <f>_xlfn.MAXIFS($BY$4:$BY$12824,$S$4:$S$12824,$S688)</f>
        <v>1680552.2084839954</v>
      </c>
      <c r="CB688" s="1032"/>
      <c r="CF688" s="946">
        <f t="shared" si="130"/>
        <v>2015807.5162999998</v>
      </c>
    </row>
    <row r="689" spans="1:84">
      <c r="A689" s="1032"/>
      <c r="B689" s="839" t="s">
        <v>98</v>
      </c>
      <c r="C689" s="839" t="s">
        <v>273</v>
      </c>
      <c r="D689" s="839" t="s">
        <v>2389</v>
      </c>
      <c r="E689" s="839" t="s">
        <v>2389</v>
      </c>
      <c r="F689" s="841">
        <v>45580</v>
      </c>
      <c r="G689" s="840" t="s">
        <v>273</v>
      </c>
      <c r="H689" s="842" t="s">
        <v>134</v>
      </c>
      <c r="I689" s="842"/>
      <c r="J689" s="841"/>
      <c r="K689" s="841"/>
      <c r="L689" s="843"/>
      <c r="M689" s="844" t="s">
        <v>275</v>
      </c>
      <c r="N689" s="841"/>
      <c r="O689" s="841" t="s">
        <v>1100</v>
      </c>
      <c r="P689" s="841" t="s">
        <v>124</v>
      </c>
      <c r="Q689" s="843"/>
      <c r="R689" s="845" t="s">
        <v>2399</v>
      </c>
      <c r="S689" s="1127" t="s">
        <v>2399</v>
      </c>
      <c r="T689" s="843" t="s">
        <v>2400</v>
      </c>
      <c r="U689" s="842">
        <v>1</v>
      </c>
      <c r="V689" s="842" t="s">
        <v>3</v>
      </c>
      <c r="W689" s="846">
        <v>28.75</v>
      </c>
      <c r="X689" s="847">
        <f t="shared" si="123"/>
        <v>28.75</v>
      </c>
      <c r="Y689" s="848">
        <v>0.5</v>
      </c>
      <c r="Z689" s="849">
        <v>14.375</v>
      </c>
      <c r="AA689" s="849" t="s">
        <v>40</v>
      </c>
      <c r="AB689" s="849">
        <f t="shared" si="124"/>
        <v>0</v>
      </c>
      <c r="AC689" s="850">
        <f t="shared" si="125"/>
        <v>14.375</v>
      </c>
      <c r="AD689" s="851"/>
      <c r="AE689" s="852">
        <v>26353.87</v>
      </c>
      <c r="AF689" s="853">
        <v>0.1</v>
      </c>
      <c r="AG689" s="854">
        <f t="shared" si="126"/>
        <v>37883.688125000001</v>
      </c>
      <c r="AH689" s="853">
        <v>0.08</v>
      </c>
      <c r="AI689" s="855">
        <f t="shared" si="127"/>
        <v>33337.645550000001</v>
      </c>
      <c r="AJ689" s="845" t="s">
        <v>2392</v>
      </c>
      <c r="AK689" s="857">
        <v>45515</v>
      </c>
      <c r="AL689" s="840" t="s">
        <v>2393</v>
      </c>
      <c r="AM689" s="840"/>
      <c r="AN689" s="858"/>
      <c r="AO689" s="844" t="s">
        <v>116</v>
      </c>
      <c r="AP689" s="859">
        <v>45607</v>
      </c>
      <c r="AQ689" s="859"/>
      <c r="AR689" s="859" t="s">
        <v>2394</v>
      </c>
      <c r="AS689" s="840"/>
      <c r="AT689" s="840"/>
      <c r="AU689" s="860" t="s">
        <v>1210</v>
      </c>
      <c r="AV689" s="839" t="s">
        <v>2395</v>
      </c>
      <c r="AW689" s="861">
        <v>45616</v>
      </c>
      <c r="AX689" s="862" t="s">
        <v>2396</v>
      </c>
      <c r="AY689" s="843"/>
      <c r="AZ689" s="842"/>
      <c r="BA689" s="842" t="s">
        <v>120</v>
      </c>
      <c r="BB689" s="863" t="s">
        <v>121</v>
      </c>
      <c r="BC689" s="864">
        <v>45587</v>
      </c>
      <c r="BD689" s="860" t="s">
        <v>2398</v>
      </c>
      <c r="BE689" s="865" cm="1">
        <f t="array" ref="BE689">IF(BD689="","",AC689/SUMPRODUCT(--(BD689=$BD$4:$BD$12824),$AC$4:$AC$12824))</f>
        <v>9.3276318521594691E-3</v>
      </c>
      <c r="BF689" s="458"/>
      <c r="BG689" s="458"/>
      <c r="BH689" s="458"/>
      <c r="BI689" s="458"/>
      <c r="BJ689" s="458"/>
      <c r="BK689" s="458"/>
      <c r="BL689" s="458"/>
      <c r="BM689" s="458"/>
      <c r="BN689" s="458"/>
      <c r="BO689" s="866">
        <f>VLOOKUP(BD689,$BD$4:$BN$12824,3,0)*BE689</f>
        <v>0</v>
      </c>
      <c r="BP689" s="866"/>
      <c r="BQ689" s="866"/>
      <c r="BR689" s="866">
        <f>VLOOKUP(BD689,$BD$4:$BN$12824,6,0)*BE689</f>
        <v>0</v>
      </c>
      <c r="BS689" s="866">
        <f>VLOOKUP(BD689,$BD$4:$BN$12824,7,0)*BE689</f>
        <v>0</v>
      </c>
      <c r="BT689" s="866"/>
      <c r="BU689" s="866">
        <f>VLOOKUP(BD689,$BD$4:$BN$12824,9,0)*BE689</f>
        <v>0</v>
      </c>
      <c r="BV689" s="867"/>
      <c r="BW689" s="867">
        <f>VLOOKUP(BD689,$BD$4:$BN$12824,11,0)*BE689</f>
        <v>0</v>
      </c>
      <c r="BX689" s="1146">
        <f t="shared" si="135"/>
        <v>0</v>
      </c>
      <c r="BY689" s="867">
        <f t="shared" ref="BY689:BY699" si="136">(AB689*AE689+AG689+BX689)/U689</f>
        <v>37883.688125000001</v>
      </c>
      <c r="BZ689" s="867">
        <f t="shared" si="128"/>
        <v>37883.688125000001</v>
      </c>
      <c r="CA689" s="867">
        <f>_xlfn.MAXIFS($BY$4:$BY$12824,$S$4:$S$12824,$S689)</f>
        <v>457926.97167717729</v>
      </c>
      <c r="CB689" s="1032"/>
      <c r="CF689" s="946">
        <f t="shared" si="130"/>
        <v>378836.88124999998</v>
      </c>
    </row>
    <row r="690" spans="1:84">
      <c r="A690" s="1032"/>
      <c r="B690" s="839" t="s">
        <v>98</v>
      </c>
      <c r="C690" s="839" t="s">
        <v>273</v>
      </c>
      <c r="D690" s="839" t="s">
        <v>2389</v>
      </c>
      <c r="E690" s="839" t="s">
        <v>2389</v>
      </c>
      <c r="F690" s="841">
        <v>45580</v>
      </c>
      <c r="G690" s="840" t="s">
        <v>273</v>
      </c>
      <c r="H690" s="842" t="s">
        <v>134</v>
      </c>
      <c r="I690" s="842"/>
      <c r="J690" s="841"/>
      <c r="K690" s="841"/>
      <c r="L690" s="843"/>
      <c r="M690" s="844" t="s">
        <v>275</v>
      </c>
      <c r="N690" s="841"/>
      <c r="O690" s="841" t="s">
        <v>1100</v>
      </c>
      <c r="P690" s="841" t="s">
        <v>124</v>
      </c>
      <c r="Q690" s="843"/>
      <c r="R690" s="845" t="s">
        <v>2401</v>
      </c>
      <c r="S690" s="1127" t="s">
        <v>2401</v>
      </c>
      <c r="T690" s="843" t="s">
        <v>2402</v>
      </c>
      <c r="U690" s="842">
        <v>3</v>
      </c>
      <c r="V690" s="842" t="s">
        <v>3</v>
      </c>
      <c r="W690" s="846">
        <v>2.95</v>
      </c>
      <c r="X690" s="847">
        <f t="shared" si="123"/>
        <v>8.8500000000000014</v>
      </c>
      <c r="Y690" s="848">
        <v>0.5</v>
      </c>
      <c r="Z690" s="849">
        <v>1.4750000000000001</v>
      </c>
      <c r="AA690" s="849" t="s">
        <v>40</v>
      </c>
      <c r="AB690" s="849">
        <f t="shared" si="124"/>
        <v>0</v>
      </c>
      <c r="AC690" s="850">
        <f t="shared" si="125"/>
        <v>4.4250000000000007</v>
      </c>
      <c r="AD690" s="851"/>
      <c r="AE690" s="852">
        <v>26353.87</v>
      </c>
      <c r="AF690" s="853">
        <v>0.2</v>
      </c>
      <c r="AG690" s="854">
        <f t="shared" si="126"/>
        <v>23323.174950000004</v>
      </c>
      <c r="AH690" s="853"/>
      <c r="AI690" s="855">
        <f t="shared" si="127"/>
        <v>0</v>
      </c>
      <c r="AJ690" s="845" t="s">
        <v>2392</v>
      </c>
      <c r="AK690" s="857">
        <v>45515</v>
      </c>
      <c r="AL690" s="840" t="s">
        <v>2393</v>
      </c>
      <c r="AM690" s="840"/>
      <c r="AN690" s="858"/>
      <c r="AO690" s="844" t="s">
        <v>116</v>
      </c>
      <c r="AP690" s="859">
        <v>45607</v>
      </c>
      <c r="AQ690" s="859"/>
      <c r="AR690" s="859" t="s">
        <v>2394</v>
      </c>
      <c r="AS690" s="840"/>
      <c r="AT690" s="840"/>
      <c r="AU690" s="860" t="s">
        <v>1210</v>
      </c>
      <c r="AV690" s="839" t="s">
        <v>2395</v>
      </c>
      <c r="AW690" s="861">
        <v>45616</v>
      </c>
      <c r="AX690" s="862" t="s">
        <v>2396</v>
      </c>
      <c r="AY690" s="843"/>
      <c r="AZ690" s="842"/>
      <c r="BA690" s="842" t="s">
        <v>120</v>
      </c>
      <c r="BB690" s="863" t="s">
        <v>121</v>
      </c>
      <c r="BC690" s="864">
        <v>45587</v>
      </c>
      <c r="BD690" s="860" t="s">
        <v>2398</v>
      </c>
      <c r="BE690" s="865" cm="1">
        <f t="array" ref="BE690">IF(BD690="","",AC690/SUMPRODUCT(--(BD690=$BD$4:$BD$12824),$AC$4:$AC$12824))</f>
        <v>2.8712884136212632E-3</v>
      </c>
      <c r="BF690" s="458"/>
      <c r="BG690" s="458"/>
      <c r="BH690" s="458"/>
      <c r="BI690" s="458"/>
      <c r="BJ690" s="458"/>
      <c r="BK690" s="458"/>
      <c r="BL690" s="458"/>
      <c r="BM690" s="458"/>
      <c r="BN690" s="458"/>
      <c r="BO690" s="866">
        <f>VLOOKUP(BD690,$BD$4:$BN$12824,3,0)*BE690</f>
        <v>0</v>
      </c>
      <c r="BP690" s="866"/>
      <c r="BQ690" s="866"/>
      <c r="BR690" s="866">
        <f>VLOOKUP(BD690,$BD$4:$BN$12824,6,0)*BE690</f>
        <v>0</v>
      </c>
      <c r="BS690" s="866">
        <f>VLOOKUP(BD690,$BD$4:$BN$12824,7,0)*BE690</f>
        <v>0</v>
      </c>
      <c r="BT690" s="866"/>
      <c r="BU690" s="866">
        <f>VLOOKUP(BD690,$BD$4:$BN$12824,9,0)*BE690</f>
        <v>0</v>
      </c>
      <c r="BV690" s="867"/>
      <c r="BW690" s="867">
        <f>VLOOKUP(BD690,$BD$4:$BN$12824,11,0)*BE690</f>
        <v>0</v>
      </c>
      <c r="BX690" s="1146">
        <f t="shared" si="135"/>
        <v>0</v>
      </c>
      <c r="BY690" s="867">
        <f t="shared" si="136"/>
        <v>7774.3916500000014</v>
      </c>
      <c r="BZ690" s="867">
        <f t="shared" si="128"/>
        <v>23323.174950000004</v>
      </c>
      <c r="CA690" s="867">
        <f>_xlfn.MAXIFS($BY$4:$BY$12824,$S$4:$S$12824,$S690)</f>
        <v>46979.766206775435</v>
      </c>
      <c r="CB690" s="1032"/>
      <c r="CF690" s="946">
        <f t="shared" si="130"/>
        <v>116615.87475000002</v>
      </c>
    </row>
    <row r="691" spans="1:84">
      <c r="A691" s="1032"/>
      <c r="B691" s="839" t="s">
        <v>98</v>
      </c>
      <c r="C691" s="839" t="s">
        <v>273</v>
      </c>
      <c r="D691" s="839" t="s">
        <v>2389</v>
      </c>
      <c r="E691" s="839" t="s">
        <v>2389</v>
      </c>
      <c r="F691" s="841">
        <v>45580</v>
      </c>
      <c r="G691" s="840" t="s">
        <v>273</v>
      </c>
      <c r="H691" s="842" t="s">
        <v>134</v>
      </c>
      <c r="I691" s="842"/>
      <c r="J691" s="841"/>
      <c r="K691" s="841"/>
      <c r="L691" s="843"/>
      <c r="M691" s="844" t="s">
        <v>275</v>
      </c>
      <c r="N691" s="841"/>
      <c r="O691" s="841" t="s">
        <v>1100</v>
      </c>
      <c r="P691" s="841" t="s">
        <v>124</v>
      </c>
      <c r="Q691" s="843"/>
      <c r="R691" s="845" t="s">
        <v>2403</v>
      </c>
      <c r="S691" s="1127" t="s">
        <v>2403</v>
      </c>
      <c r="T691" s="843" t="s">
        <v>2404</v>
      </c>
      <c r="U691" s="842">
        <v>1</v>
      </c>
      <c r="V691" s="842" t="s">
        <v>3</v>
      </c>
      <c r="W691" s="846">
        <v>27.34</v>
      </c>
      <c r="X691" s="847">
        <f t="shared" si="123"/>
        <v>27.34</v>
      </c>
      <c r="Y691" s="848">
        <v>0.5</v>
      </c>
      <c r="Z691" s="849">
        <v>13.67</v>
      </c>
      <c r="AA691" s="849" t="s">
        <v>40</v>
      </c>
      <c r="AB691" s="849">
        <f t="shared" si="124"/>
        <v>0</v>
      </c>
      <c r="AC691" s="850">
        <f t="shared" si="125"/>
        <v>13.67</v>
      </c>
      <c r="AD691" s="851"/>
      <c r="AE691" s="852">
        <v>26353.87</v>
      </c>
      <c r="AF691" s="853">
        <v>0.2</v>
      </c>
      <c r="AG691" s="854">
        <f t="shared" si="126"/>
        <v>72051.480580000003</v>
      </c>
      <c r="AH691" s="853"/>
      <c r="AI691" s="855">
        <f t="shared" si="127"/>
        <v>0</v>
      </c>
      <c r="AJ691" s="845" t="s">
        <v>2392</v>
      </c>
      <c r="AK691" s="857">
        <v>45515</v>
      </c>
      <c r="AL691" s="840" t="s">
        <v>2393</v>
      </c>
      <c r="AM691" s="840"/>
      <c r="AN691" s="858"/>
      <c r="AO691" s="844" t="s">
        <v>116</v>
      </c>
      <c r="AP691" s="859">
        <v>45607</v>
      </c>
      <c r="AQ691" s="859"/>
      <c r="AR691" s="859" t="s">
        <v>2394</v>
      </c>
      <c r="AS691" s="840"/>
      <c r="AT691" s="840"/>
      <c r="AU691" s="860" t="s">
        <v>1210</v>
      </c>
      <c r="AV691" s="839" t="s">
        <v>2395</v>
      </c>
      <c r="AW691" s="861">
        <v>45616</v>
      </c>
      <c r="AX691" s="862" t="s">
        <v>2396</v>
      </c>
      <c r="AY691" s="843"/>
      <c r="AZ691" s="842"/>
      <c r="BA691" s="842" t="s">
        <v>120</v>
      </c>
      <c r="BB691" s="863" t="s">
        <v>121</v>
      </c>
      <c r="BC691" s="864">
        <v>45587</v>
      </c>
      <c r="BD691" s="860" t="s">
        <v>2398</v>
      </c>
      <c r="BE691" s="865" cm="1">
        <f t="array" ref="BE691">IF(BD691="","",AC691/SUMPRODUCT(--(BD691=$BD$4:$BD$12824),$AC$4:$AC$12824))</f>
        <v>8.8701723421926917E-3</v>
      </c>
      <c r="BF691" s="458"/>
      <c r="BG691" s="458"/>
      <c r="BH691" s="458"/>
      <c r="BI691" s="458"/>
      <c r="BJ691" s="458"/>
      <c r="BK691" s="458"/>
      <c r="BL691" s="458"/>
      <c r="BM691" s="458"/>
      <c r="BN691" s="458"/>
      <c r="BO691" s="866">
        <f>VLOOKUP(BD691,$BD$4:$BN$12824,3,0)*BE691</f>
        <v>0</v>
      </c>
      <c r="BP691" s="866"/>
      <c r="BQ691" s="866"/>
      <c r="BR691" s="866">
        <f>VLOOKUP(BD691,$BD$4:$BN$12824,6,0)*BE691</f>
        <v>0</v>
      </c>
      <c r="BS691" s="866">
        <f>VLOOKUP(BD691,$BD$4:$BN$12824,7,0)*BE691</f>
        <v>0</v>
      </c>
      <c r="BT691" s="866"/>
      <c r="BU691" s="866">
        <f>VLOOKUP(BD691,$BD$4:$BN$12824,9,0)*BE691</f>
        <v>0</v>
      </c>
      <c r="BV691" s="867"/>
      <c r="BW691" s="867">
        <f>VLOOKUP(BD691,$BD$4:$BN$12824,11,0)*BE691</f>
        <v>0</v>
      </c>
      <c r="BX691" s="1146">
        <f t="shared" si="135"/>
        <v>0</v>
      </c>
      <c r="BY691" s="867">
        <f t="shared" si="136"/>
        <v>72051.480580000003</v>
      </c>
      <c r="BZ691" s="867">
        <f t="shared" si="128"/>
        <v>72051.480580000003</v>
      </c>
      <c r="CA691" s="867">
        <f>_xlfn.MAXIFS($BY$4:$BY$12824,$S$4:$S$12824,$S691)</f>
        <v>435493.37882040866</v>
      </c>
      <c r="CB691" s="1032"/>
      <c r="CF691" s="946">
        <f t="shared" si="130"/>
        <v>360257.40289999999</v>
      </c>
    </row>
    <row r="692" spans="1:84">
      <c r="A692" s="1032"/>
      <c r="B692" s="839" t="s">
        <v>98</v>
      </c>
      <c r="C692" s="839" t="s">
        <v>273</v>
      </c>
      <c r="D692" s="839" t="s">
        <v>2389</v>
      </c>
      <c r="E692" s="839" t="s">
        <v>2389</v>
      </c>
      <c r="F692" s="841">
        <v>45580</v>
      </c>
      <c r="G692" s="840" t="s">
        <v>273</v>
      </c>
      <c r="H692" s="842" t="s">
        <v>134</v>
      </c>
      <c r="I692" s="842"/>
      <c r="J692" s="841"/>
      <c r="K692" s="841"/>
      <c r="L692" s="843"/>
      <c r="M692" s="844" t="s">
        <v>275</v>
      </c>
      <c r="N692" s="841"/>
      <c r="O692" s="841" t="s">
        <v>1100</v>
      </c>
      <c r="P692" s="841" t="s">
        <v>124</v>
      </c>
      <c r="Q692" s="843"/>
      <c r="R692" s="845" t="s">
        <v>2405</v>
      </c>
      <c r="S692" s="1127" t="s">
        <v>2406</v>
      </c>
      <c r="T692" s="843" t="s">
        <v>2407</v>
      </c>
      <c r="U692" s="842">
        <v>48</v>
      </c>
      <c r="V692" s="842" t="s">
        <v>3</v>
      </c>
      <c r="W692" s="846"/>
      <c r="X692" s="847">
        <f t="shared" si="123"/>
        <v>0</v>
      </c>
      <c r="Y692" s="848"/>
      <c r="Z692" s="849">
        <v>0.67</v>
      </c>
      <c r="AA692" s="849" t="s">
        <v>40</v>
      </c>
      <c r="AB692" s="849">
        <f t="shared" si="124"/>
        <v>0</v>
      </c>
      <c r="AC692" s="850">
        <f t="shared" si="125"/>
        <v>32.160000000000004</v>
      </c>
      <c r="AD692" s="851"/>
      <c r="AE692" s="852">
        <v>26353.87</v>
      </c>
      <c r="AF692" s="853">
        <v>0</v>
      </c>
      <c r="AG692" s="854">
        <f t="shared" si="126"/>
        <v>0</v>
      </c>
      <c r="AH692" s="853"/>
      <c r="AI692" s="855">
        <f t="shared" si="127"/>
        <v>0</v>
      </c>
      <c r="AJ692" s="845" t="s">
        <v>2392</v>
      </c>
      <c r="AK692" s="857">
        <v>45515</v>
      </c>
      <c r="AL692" s="840" t="s">
        <v>2393</v>
      </c>
      <c r="AM692" s="840"/>
      <c r="AN692" s="858"/>
      <c r="AO692" s="844" t="s">
        <v>116</v>
      </c>
      <c r="AP692" s="859">
        <v>45607</v>
      </c>
      <c r="AQ692" s="859"/>
      <c r="AR692" s="859" t="s">
        <v>2394</v>
      </c>
      <c r="AS692" s="840"/>
      <c r="AT692" s="840"/>
      <c r="AU692" s="860" t="s">
        <v>1210</v>
      </c>
      <c r="AV692" s="839" t="s">
        <v>2395</v>
      </c>
      <c r="AW692" s="861">
        <v>45616</v>
      </c>
      <c r="AX692" s="862" t="s">
        <v>2396</v>
      </c>
      <c r="AY692" s="843"/>
      <c r="AZ692" s="842"/>
      <c r="BA692" s="842" t="s">
        <v>120</v>
      </c>
      <c r="BB692" s="863" t="s">
        <v>121</v>
      </c>
      <c r="BC692" s="864">
        <v>45587</v>
      </c>
      <c r="BD692" s="860" t="s">
        <v>2398</v>
      </c>
      <c r="BE692" s="865" cm="1">
        <f t="array" ref="BE692">IF(BD692="","",AC692/SUMPRODUCT(--(BD692=$BD$4:$BD$12824),$AC$4:$AC$12824))</f>
        <v>2.0867940199335553E-2</v>
      </c>
      <c r="BF692" s="458"/>
      <c r="BG692" s="458"/>
      <c r="BH692" s="458"/>
      <c r="BI692" s="458"/>
      <c r="BJ692" s="458"/>
      <c r="BK692" s="458"/>
      <c r="BL692" s="458"/>
      <c r="BM692" s="458"/>
      <c r="BN692" s="458"/>
      <c r="BO692" s="866">
        <f>VLOOKUP(BD692,$BD$4:$BN$12824,3,0)*BE692</f>
        <v>0</v>
      </c>
      <c r="BP692" s="866"/>
      <c r="BQ692" s="866"/>
      <c r="BR692" s="866">
        <f>VLOOKUP(BD692,$BD$4:$BN$12824,6,0)*BE692</f>
        <v>0</v>
      </c>
      <c r="BS692" s="866">
        <f>VLOOKUP(BD692,$BD$4:$BN$12824,7,0)*BE692</f>
        <v>0</v>
      </c>
      <c r="BT692" s="866"/>
      <c r="BU692" s="866">
        <f>VLOOKUP(BD692,$BD$4:$BN$12824,9,0)*BE692</f>
        <v>0</v>
      </c>
      <c r="BV692" s="867"/>
      <c r="BW692" s="867">
        <f>VLOOKUP(BD692,$BD$4:$BN$12824,11,0)*BE692</f>
        <v>0</v>
      </c>
      <c r="BX692" s="1146">
        <f t="shared" si="135"/>
        <v>0</v>
      </c>
      <c r="BY692" s="867">
        <f t="shared" si="136"/>
        <v>0</v>
      </c>
      <c r="BZ692" s="867">
        <f t="shared" si="128"/>
        <v>0</v>
      </c>
      <c r="CA692" s="867">
        <f>_xlfn.MAXIFS($BY$4:$BY$12824,$S$4:$S$12824,$S692)</f>
        <v>0</v>
      </c>
      <c r="CB692" s="1032"/>
      <c r="CF692" s="946">
        <f t="shared" si="130"/>
        <v>847540.45920000004</v>
      </c>
    </row>
    <row r="693" spans="1:84">
      <c r="A693" s="1032"/>
      <c r="B693" s="839" t="s">
        <v>98</v>
      </c>
      <c r="C693" s="839" t="s">
        <v>273</v>
      </c>
      <c r="D693" s="839" t="s">
        <v>2389</v>
      </c>
      <c r="E693" s="839" t="s">
        <v>2389</v>
      </c>
      <c r="F693" s="841">
        <v>45580</v>
      </c>
      <c r="G693" s="840" t="s">
        <v>273</v>
      </c>
      <c r="H693" s="842" t="s">
        <v>134</v>
      </c>
      <c r="I693" s="842"/>
      <c r="J693" s="841"/>
      <c r="K693" s="841"/>
      <c r="L693" s="843"/>
      <c r="M693" s="844" t="s">
        <v>275</v>
      </c>
      <c r="N693" s="841"/>
      <c r="O693" s="841" t="s">
        <v>1100</v>
      </c>
      <c r="P693" s="841" t="s">
        <v>124</v>
      </c>
      <c r="Q693" s="843"/>
      <c r="R693" s="845" t="s">
        <v>2408</v>
      </c>
      <c r="S693" s="1127" t="s">
        <v>2409</v>
      </c>
      <c r="T693" s="843" t="s">
        <v>2410</v>
      </c>
      <c r="U693" s="842">
        <v>10</v>
      </c>
      <c r="V693" s="842" t="s">
        <v>3</v>
      </c>
      <c r="W693" s="846"/>
      <c r="X693" s="847">
        <f t="shared" si="123"/>
        <v>0</v>
      </c>
      <c r="Y693" s="848"/>
      <c r="Z693" s="849">
        <v>20</v>
      </c>
      <c r="AA693" s="849" t="s">
        <v>40</v>
      </c>
      <c r="AB693" s="849">
        <f t="shared" si="124"/>
        <v>0</v>
      </c>
      <c r="AC693" s="850">
        <f t="shared" si="125"/>
        <v>200</v>
      </c>
      <c r="AD693" s="851"/>
      <c r="AE693" s="852">
        <v>26353.87</v>
      </c>
      <c r="AF693" s="853">
        <v>0.2</v>
      </c>
      <c r="AG693" s="854">
        <f t="shared" si="126"/>
        <v>1054154.8</v>
      </c>
      <c r="AH693" s="853"/>
      <c r="AI693" s="855">
        <f t="shared" si="127"/>
        <v>0</v>
      </c>
      <c r="AJ693" s="845" t="s">
        <v>2392</v>
      </c>
      <c r="AK693" s="857">
        <v>45515</v>
      </c>
      <c r="AL693" s="840" t="s">
        <v>2393</v>
      </c>
      <c r="AM693" s="840"/>
      <c r="AN693" s="858"/>
      <c r="AO693" s="844" t="s">
        <v>116</v>
      </c>
      <c r="AP693" s="859">
        <v>45607</v>
      </c>
      <c r="AQ693" s="859"/>
      <c r="AR693" s="859" t="s">
        <v>2394</v>
      </c>
      <c r="AS693" s="840"/>
      <c r="AT693" s="840"/>
      <c r="AU693" s="860" t="s">
        <v>1210</v>
      </c>
      <c r="AV693" s="839" t="s">
        <v>2395</v>
      </c>
      <c r="AW693" s="861">
        <v>45616</v>
      </c>
      <c r="AX693" s="862" t="s">
        <v>2396</v>
      </c>
      <c r="AY693" s="843"/>
      <c r="AZ693" s="842"/>
      <c r="BA693" s="842" t="s">
        <v>120</v>
      </c>
      <c r="BB693" s="863" t="s">
        <v>121</v>
      </c>
      <c r="BC693" s="864">
        <v>45587</v>
      </c>
      <c r="BD693" s="860" t="s">
        <v>2398</v>
      </c>
      <c r="BE693" s="865" cm="1">
        <f t="array" ref="BE693">IF(BD693="","",AC693/SUMPRODUCT(--(BD693=$BD$4:$BD$12824),$AC$4:$AC$12824))</f>
        <v>0.12977574750830564</v>
      </c>
      <c r="BF693" s="458"/>
      <c r="BG693" s="458"/>
      <c r="BH693" s="458"/>
      <c r="BI693" s="458"/>
      <c r="BJ693" s="458"/>
      <c r="BK693" s="458"/>
      <c r="BL693" s="458"/>
      <c r="BM693" s="458"/>
      <c r="BN693" s="458"/>
      <c r="BO693" s="866">
        <f>VLOOKUP(BD693,$BD$4:$BN$12824,3,0)*BE693</f>
        <v>0</v>
      </c>
      <c r="BP693" s="866"/>
      <c r="BQ693" s="866"/>
      <c r="BR693" s="866">
        <f>VLOOKUP(BD693,$BD$4:$BN$12824,6,0)*BE693</f>
        <v>0</v>
      </c>
      <c r="BS693" s="866">
        <f>VLOOKUP(BD693,$BD$4:$BN$12824,7,0)*BE693</f>
        <v>0</v>
      </c>
      <c r="BT693" s="866"/>
      <c r="BU693" s="866">
        <f>VLOOKUP(BD693,$BD$4:$BN$12824,9,0)*BE693</f>
        <v>0</v>
      </c>
      <c r="BV693" s="867"/>
      <c r="BW693" s="867">
        <f>VLOOKUP(BD693,$BD$4:$BN$12824,11,0)*BE693</f>
        <v>0</v>
      </c>
      <c r="BX693" s="1146">
        <f t="shared" si="135"/>
        <v>0</v>
      </c>
      <c r="BY693" s="867">
        <f t="shared" si="136"/>
        <v>105415.48000000001</v>
      </c>
      <c r="BZ693" s="867">
        <f t="shared" si="128"/>
        <v>1054154.8</v>
      </c>
      <c r="CA693" s="867">
        <f>_xlfn.MAXIFS($BY$4:$BY$12824,$S$4:$S$12824,$S693)</f>
        <v>105415.48000000001</v>
      </c>
      <c r="CB693" s="1032"/>
      <c r="CF693" s="946">
        <f t="shared" si="130"/>
        <v>5270774</v>
      </c>
    </row>
    <row r="694" spans="1:84">
      <c r="A694" s="1032"/>
      <c r="B694" s="839" t="s">
        <v>98</v>
      </c>
      <c r="C694" s="839" t="s">
        <v>273</v>
      </c>
      <c r="D694" s="839" t="s">
        <v>2389</v>
      </c>
      <c r="E694" s="839" t="s">
        <v>2389</v>
      </c>
      <c r="F694" s="841">
        <v>45580</v>
      </c>
      <c r="G694" s="840" t="s">
        <v>273</v>
      </c>
      <c r="H694" s="842" t="s">
        <v>134</v>
      </c>
      <c r="I694" s="842"/>
      <c r="J694" s="841"/>
      <c r="K694" s="841"/>
      <c r="L694" s="843"/>
      <c r="M694" s="844" t="s">
        <v>275</v>
      </c>
      <c r="N694" s="841"/>
      <c r="O694" s="841" t="s">
        <v>1100</v>
      </c>
      <c r="P694" s="841" t="s">
        <v>124</v>
      </c>
      <c r="Q694" s="843"/>
      <c r="R694" s="845" t="s">
        <v>2411</v>
      </c>
      <c r="S694" s="1127" t="s">
        <v>2411</v>
      </c>
      <c r="T694" s="843" t="s">
        <v>2412</v>
      </c>
      <c r="U694" s="842">
        <v>10</v>
      </c>
      <c r="V694" s="842" t="s">
        <v>3</v>
      </c>
      <c r="W694" s="846"/>
      <c r="X694" s="847">
        <f t="shared" si="123"/>
        <v>0</v>
      </c>
      <c r="Y694" s="848"/>
      <c r="Z694" s="849">
        <v>20</v>
      </c>
      <c r="AA694" s="849" t="s">
        <v>40</v>
      </c>
      <c r="AB694" s="849">
        <f t="shared" si="124"/>
        <v>0</v>
      </c>
      <c r="AC694" s="850">
        <f t="shared" si="125"/>
        <v>200</v>
      </c>
      <c r="AD694" s="851"/>
      <c r="AE694" s="852">
        <v>26353.87</v>
      </c>
      <c r="AF694" s="853">
        <v>0.2</v>
      </c>
      <c r="AG694" s="854">
        <f t="shared" si="126"/>
        <v>1054154.8</v>
      </c>
      <c r="AH694" s="853"/>
      <c r="AI694" s="855">
        <f t="shared" si="127"/>
        <v>0</v>
      </c>
      <c r="AJ694" s="845" t="s">
        <v>2392</v>
      </c>
      <c r="AK694" s="857">
        <v>45515</v>
      </c>
      <c r="AL694" s="840" t="s">
        <v>2393</v>
      </c>
      <c r="AM694" s="840"/>
      <c r="AN694" s="858"/>
      <c r="AO694" s="844" t="s">
        <v>116</v>
      </c>
      <c r="AP694" s="859">
        <v>45607</v>
      </c>
      <c r="AQ694" s="859"/>
      <c r="AR694" s="859" t="s">
        <v>2394</v>
      </c>
      <c r="AS694" s="840"/>
      <c r="AT694" s="840"/>
      <c r="AU694" s="860" t="s">
        <v>1210</v>
      </c>
      <c r="AV694" s="839" t="s">
        <v>2395</v>
      </c>
      <c r="AW694" s="861">
        <v>45616</v>
      </c>
      <c r="AX694" s="862" t="s">
        <v>2396</v>
      </c>
      <c r="AY694" s="843"/>
      <c r="AZ694" s="842"/>
      <c r="BA694" s="842" t="s">
        <v>120</v>
      </c>
      <c r="BB694" s="863" t="s">
        <v>121</v>
      </c>
      <c r="BC694" s="864">
        <v>45587</v>
      </c>
      <c r="BD694" s="860" t="s">
        <v>2398</v>
      </c>
      <c r="BE694" s="865" cm="1">
        <f t="array" ref="BE694">IF(BD694="","",AC694/SUMPRODUCT(--(BD694=$BD$4:$BD$12824),$AC$4:$AC$12824))</f>
        <v>0.12977574750830564</v>
      </c>
      <c r="BF694" s="458"/>
      <c r="BG694" s="458"/>
      <c r="BH694" s="458"/>
      <c r="BI694" s="458"/>
      <c r="BJ694" s="458"/>
      <c r="BK694" s="458"/>
      <c r="BL694" s="458"/>
      <c r="BM694" s="458"/>
      <c r="BN694" s="458"/>
      <c r="BO694" s="866">
        <f>VLOOKUP(BD694,$BD$4:$BN$12824,3,0)*BE694</f>
        <v>0</v>
      </c>
      <c r="BP694" s="866"/>
      <c r="BQ694" s="866"/>
      <c r="BR694" s="866">
        <f>VLOOKUP(BD694,$BD$4:$BN$12824,6,0)*BE694</f>
        <v>0</v>
      </c>
      <c r="BS694" s="866">
        <f>VLOOKUP(BD694,$BD$4:$BN$12824,7,0)*BE694</f>
        <v>0</v>
      </c>
      <c r="BT694" s="866"/>
      <c r="BU694" s="866">
        <f>VLOOKUP(BD694,$BD$4:$BN$12824,9,0)*BE694</f>
        <v>0</v>
      </c>
      <c r="BV694" s="867"/>
      <c r="BW694" s="867">
        <f>VLOOKUP(BD694,$BD$4:$BN$12824,11,0)*BE694</f>
        <v>0</v>
      </c>
      <c r="BX694" s="1146">
        <f t="shared" si="135"/>
        <v>0</v>
      </c>
      <c r="BY694" s="867">
        <f t="shared" si="136"/>
        <v>105415.48000000001</v>
      </c>
      <c r="BZ694" s="867">
        <f t="shared" si="128"/>
        <v>1054154.8</v>
      </c>
      <c r="CA694" s="867">
        <f>_xlfn.MAXIFS($BY$4:$BY$12824,$S$4:$S$12824,$S694)</f>
        <v>105415.48000000001</v>
      </c>
      <c r="CB694" s="1032"/>
      <c r="CF694" s="946">
        <f t="shared" si="130"/>
        <v>5270774</v>
      </c>
    </row>
    <row r="695" spans="1:84">
      <c r="A695" s="1032"/>
      <c r="B695" s="839" t="s">
        <v>98</v>
      </c>
      <c r="C695" s="839" t="s">
        <v>273</v>
      </c>
      <c r="D695" s="839" t="s">
        <v>2389</v>
      </c>
      <c r="E695" s="839" t="s">
        <v>2389</v>
      </c>
      <c r="F695" s="841">
        <v>45580</v>
      </c>
      <c r="G695" s="840" t="s">
        <v>273</v>
      </c>
      <c r="H695" s="842" t="s">
        <v>134</v>
      </c>
      <c r="I695" s="842"/>
      <c r="J695" s="841"/>
      <c r="K695" s="841"/>
      <c r="L695" s="843"/>
      <c r="M695" s="844" t="s">
        <v>275</v>
      </c>
      <c r="N695" s="841"/>
      <c r="O695" s="841" t="s">
        <v>1100</v>
      </c>
      <c r="P695" s="841" t="s">
        <v>124</v>
      </c>
      <c r="Q695" s="843"/>
      <c r="R695" s="845" t="s">
        <v>2413</v>
      </c>
      <c r="S695" s="1127" t="s">
        <v>2414</v>
      </c>
      <c r="T695" s="843" t="s">
        <v>2415</v>
      </c>
      <c r="U695" s="842">
        <v>10</v>
      </c>
      <c r="V695" s="842" t="s">
        <v>3</v>
      </c>
      <c r="W695" s="846"/>
      <c r="X695" s="847">
        <f t="shared" si="123"/>
        <v>0</v>
      </c>
      <c r="Y695" s="848"/>
      <c r="Z695" s="849">
        <v>20</v>
      </c>
      <c r="AA695" s="849" t="s">
        <v>40</v>
      </c>
      <c r="AB695" s="849">
        <f t="shared" si="124"/>
        <v>0</v>
      </c>
      <c r="AC695" s="850">
        <f t="shared" si="125"/>
        <v>200</v>
      </c>
      <c r="AD695" s="851"/>
      <c r="AE695" s="852">
        <v>26353.87</v>
      </c>
      <c r="AF695" s="853">
        <v>0.2</v>
      </c>
      <c r="AG695" s="854">
        <f t="shared" si="126"/>
        <v>1054154.8</v>
      </c>
      <c r="AH695" s="853"/>
      <c r="AI695" s="855">
        <f t="shared" si="127"/>
        <v>0</v>
      </c>
      <c r="AJ695" s="845" t="s">
        <v>2392</v>
      </c>
      <c r="AK695" s="857">
        <v>45515</v>
      </c>
      <c r="AL695" s="840" t="s">
        <v>2393</v>
      </c>
      <c r="AM695" s="840"/>
      <c r="AN695" s="858"/>
      <c r="AO695" s="844" t="s">
        <v>116</v>
      </c>
      <c r="AP695" s="859">
        <v>45607</v>
      </c>
      <c r="AQ695" s="859"/>
      <c r="AR695" s="859" t="s">
        <v>2394</v>
      </c>
      <c r="AS695" s="840"/>
      <c r="AT695" s="840"/>
      <c r="AU695" s="860" t="s">
        <v>1210</v>
      </c>
      <c r="AV695" s="839" t="s">
        <v>2395</v>
      </c>
      <c r="AW695" s="861">
        <v>45616</v>
      </c>
      <c r="AX695" s="862" t="s">
        <v>2396</v>
      </c>
      <c r="AY695" s="843"/>
      <c r="AZ695" s="842"/>
      <c r="BA695" s="842" t="s">
        <v>120</v>
      </c>
      <c r="BB695" s="863" t="s">
        <v>121</v>
      </c>
      <c r="BC695" s="864">
        <v>45587</v>
      </c>
      <c r="BD695" s="860" t="s">
        <v>2398</v>
      </c>
      <c r="BE695" s="865" cm="1">
        <f t="array" ref="BE695">IF(BD695="","",AC695/SUMPRODUCT(--(BD695=$BD$4:$BD$12824),$AC$4:$AC$12824))</f>
        <v>0.12977574750830564</v>
      </c>
      <c r="BF695" s="458"/>
      <c r="BG695" s="458"/>
      <c r="BH695" s="458"/>
      <c r="BI695" s="458"/>
      <c r="BJ695" s="458"/>
      <c r="BK695" s="458"/>
      <c r="BL695" s="458"/>
      <c r="BM695" s="458"/>
      <c r="BN695" s="458"/>
      <c r="BO695" s="866">
        <f>VLOOKUP(BD695,$BD$4:$BN$12824,3,0)*BE695</f>
        <v>0</v>
      </c>
      <c r="BP695" s="866"/>
      <c r="BQ695" s="866"/>
      <c r="BR695" s="866">
        <f>VLOOKUP(BD695,$BD$4:$BN$12824,6,0)*BE695</f>
        <v>0</v>
      </c>
      <c r="BS695" s="866">
        <f>VLOOKUP(BD695,$BD$4:$BN$12824,7,0)*BE695</f>
        <v>0</v>
      </c>
      <c r="BT695" s="866"/>
      <c r="BU695" s="866">
        <f>VLOOKUP(BD695,$BD$4:$BN$12824,9,0)*BE695</f>
        <v>0</v>
      </c>
      <c r="BV695" s="867"/>
      <c r="BW695" s="867">
        <f>VLOOKUP(BD695,$BD$4:$BN$12824,11,0)*BE695</f>
        <v>0</v>
      </c>
      <c r="BX695" s="1146">
        <f t="shared" si="135"/>
        <v>0</v>
      </c>
      <c r="BY695" s="867">
        <f t="shared" si="136"/>
        <v>105415.48000000001</v>
      </c>
      <c r="BZ695" s="867">
        <f t="shared" si="128"/>
        <v>1054154.8</v>
      </c>
      <c r="CA695" s="867">
        <f>_xlfn.MAXIFS($BY$4:$BY$12824,$S$4:$S$12824,$S695)</f>
        <v>105415.48000000001</v>
      </c>
      <c r="CB695" s="1032"/>
      <c r="CF695" s="946">
        <f t="shared" si="130"/>
        <v>5270774</v>
      </c>
    </row>
    <row r="696" spans="1:84">
      <c r="A696" s="1032"/>
      <c r="B696" s="839" t="s">
        <v>98</v>
      </c>
      <c r="C696" s="839" t="s">
        <v>273</v>
      </c>
      <c r="D696" s="839" t="s">
        <v>2389</v>
      </c>
      <c r="E696" s="839" t="s">
        <v>2389</v>
      </c>
      <c r="F696" s="841">
        <v>45580</v>
      </c>
      <c r="G696" s="840" t="s">
        <v>273</v>
      </c>
      <c r="H696" s="842" t="s">
        <v>134</v>
      </c>
      <c r="I696" s="842"/>
      <c r="J696" s="841"/>
      <c r="K696" s="841"/>
      <c r="L696" s="843"/>
      <c r="M696" s="844" t="s">
        <v>275</v>
      </c>
      <c r="N696" s="841"/>
      <c r="O696" s="841" t="s">
        <v>1100</v>
      </c>
      <c r="P696" s="841" t="s">
        <v>124</v>
      </c>
      <c r="Q696" s="843"/>
      <c r="R696" s="845" t="s">
        <v>2416</v>
      </c>
      <c r="S696" s="1127" t="s">
        <v>2417</v>
      </c>
      <c r="T696" s="843" t="s">
        <v>2418</v>
      </c>
      <c r="U696" s="842">
        <v>10</v>
      </c>
      <c r="V696" s="842" t="s">
        <v>3</v>
      </c>
      <c r="W696" s="846"/>
      <c r="X696" s="847">
        <f t="shared" si="123"/>
        <v>0</v>
      </c>
      <c r="Y696" s="848"/>
      <c r="Z696" s="849">
        <v>20</v>
      </c>
      <c r="AA696" s="849" t="s">
        <v>40</v>
      </c>
      <c r="AB696" s="849">
        <f t="shared" si="124"/>
        <v>0</v>
      </c>
      <c r="AC696" s="850">
        <f t="shared" si="125"/>
        <v>200</v>
      </c>
      <c r="AD696" s="851"/>
      <c r="AE696" s="852">
        <v>26353.87</v>
      </c>
      <c r="AF696" s="853">
        <v>0.2</v>
      </c>
      <c r="AG696" s="854">
        <f t="shared" si="126"/>
        <v>1054154.8</v>
      </c>
      <c r="AH696" s="853"/>
      <c r="AI696" s="855">
        <f t="shared" si="127"/>
        <v>0</v>
      </c>
      <c r="AJ696" s="845" t="s">
        <v>2392</v>
      </c>
      <c r="AK696" s="857">
        <v>45515</v>
      </c>
      <c r="AL696" s="840" t="s">
        <v>2393</v>
      </c>
      <c r="AM696" s="840"/>
      <c r="AN696" s="858"/>
      <c r="AO696" s="844" t="s">
        <v>116</v>
      </c>
      <c r="AP696" s="859">
        <v>45607</v>
      </c>
      <c r="AQ696" s="859"/>
      <c r="AR696" s="859" t="s">
        <v>2394</v>
      </c>
      <c r="AS696" s="840"/>
      <c r="AT696" s="840"/>
      <c r="AU696" s="860" t="s">
        <v>1210</v>
      </c>
      <c r="AV696" s="839" t="s">
        <v>2395</v>
      </c>
      <c r="AW696" s="861">
        <v>45616</v>
      </c>
      <c r="AX696" s="862" t="s">
        <v>2396</v>
      </c>
      <c r="AY696" s="843"/>
      <c r="AZ696" s="842"/>
      <c r="BA696" s="842" t="s">
        <v>120</v>
      </c>
      <c r="BB696" s="863" t="s">
        <v>121</v>
      </c>
      <c r="BC696" s="864">
        <v>45587</v>
      </c>
      <c r="BD696" s="860" t="s">
        <v>2398</v>
      </c>
      <c r="BE696" s="865" cm="1">
        <f t="array" ref="BE696">IF(BD696="","",AC696/SUMPRODUCT(--(BD696=$BD$4:$BD$12824),$AC$4:$AC$12824))</f>
        <v>0.12977574750830564</v>
      </c>
      <c r="BF696" s="458"/>
      <c r="BG696" s="458"/>
      <c r="BH696" s="458"/>
      <c r="BI696" s="458"/>
      <c r="BJ696" s="458"/>
      <c r="BK696" s="458"/>
      <c r="BL696" s="458"/>
      <c r="BM696" s="458"/>
      <c r="BN696" s="458"/>
      <c r="BO696" s="866">
        <f>VLOOKUP(BD696,$BD$4:$BN$12824,3,0)*BE696</f>
        <v>0</v>
      </c>
      <c r="BP696" s="866"/>
      <c r="BQ696" s="866"/>
      <c r="BR696" s="866">
        <f>VLOOKUP(BD696,$BD$4:$BN$12824,6,0)*BE696</f>
        <v>0</v>
      </c>
      <c r="BS696" s="866">
        <f>VLOOKUP(BD696,$BD$4:$BN$12824,7,0)*BE696</f>
        <v>0</v>
      </c>
      <c r="BT696" s="866"/>
      <c r="BU696" s="866">
        <f>VLOOKUP(BD696,$BD$4:$BN$12824,9,0)*BE696</f>
        <v>0</v>
      </c>
      <c r="BV696" s="867"/>
      <c r="BW696" s="867">
        <f>VLOOKUP(BD696,$BD$4:$BN$12824,11,0)*BE696</f>
        <v>0</v>
      </c>
      <c r="BX696" s="1146">
        <f t="shared" si="135"/>
        <v>0</v>
      </c>
      <c r="BY696" s="867">
        <f t="shared" si="136"/>
        <v>105415.48000000001</v>
      </c>
      <c r="BZ696" s="867">
        <f t="shared" si="128"/>
        <v>1054154.8</v>
      </c>
      <c r="CA696" s="867">
        <f>_xlfn.MAXIFS($BY$4:$BY$12824,$S$4:$S$12824,$S696)</f>
        <v>105415.48000000001</v>
      </c>
      <c r="CB696" s="1032"/>
      <c r="CF696" s="946">
        <f t="shared" si="130"/>
        <v>5270774</v>
      </c>
    </row>
    <row r="697" spans="1:84">
      <c r="A697" s="1032"/>
      <c r="B697" s="839" t="s">
        <v>98</v>
      </c>
      <c r="C697" s="839" t="s">
        <v>273</v>
      </c>
      <c r="D697" s="839" t="s">
        <v>2389</v>
      </c>
      <c r="E697" s="839" t="s">
        <v>2389</v>
      </c>
      <c r="F697" s="841">
        <v>45580</v>
      </c>
      <c r="G697" s="840" t="s">
        <v>273</v>
      </c>
      <c r="H697" s="842" t="s">
        <v>134</v>
      </c>
      <c r="I697" s="842"/>
      <c r="J697" s="841"/>
      <c r="K697" s="841"/>
      <c r="L697" s="843"/>
      <c r="M697" s="844" t="s">
        <v>275</v>
      </c>
      <c r="N697" s="841"/>
      <c r="O697" s="841" t="s">
        <v>1100</v>
      </c>
      <c r="P697" s="841" t="s">
        <v>124</v>
      </c>
      <c r="Q697" s="843"/>
      <c r="R697" s="845" t="s">
        <v>2419</v>
      </c>
      <c r="S697" s="1127" t="s">
        <v>2420</v>
      </c>
      <c r="T697" s="843" t="s">
        <v>2421</v>
      </c>
      <c r="U697" s="842">
        <v>10</v>
      </c>
      <c r="V697" s="842" t="s">
        <v>3</v>
      </c>
      <c r="W697" s="846"/>
      <c r="X697" s="847">
        <f t="shared" si="123"/>
        <v>0</v>
      </c>
      <c r="Y697" s="848"/>
      <c r="Z697" s="849">
        <v>20</v>
      </c>
      <c r="AA697" s="849" t="s">
        <v>40</v>
      </c>
      <c r="AB697" s="849">
        <f t="shared" si="124"/>
        <v>0</v>
      </c>
      <c r="AC697" s="850">
        <f t="shared" si="125"/>
        <v>200</v>
      </c>
      <c r="AD697" s="851"/>
      <c r="AE697" s="852">
        <v>26353.87</v>
      </c>
      <c r="AF697" s="853">
        <v>0.2</v>
      </c>
      <c r="AG697" s="854">
        <f t="shared" si="126"/>
        <v>1054154.8</v>
      </c>
      <c r="AH697" s="853"/>
      <c r="AI697" s="855">
        <f t="shared" si="127"/>
        <v>0</v>
      </c>
      <c r="AJ697" s="845" t="s">
        <v>2392</v>
      </c>
      <c r="AK697" s="857">
        <v>45515</v>
      </c>
      <c r="AL697" s="840" t="s">
        <v>2393</v>
      </c>
      <c r="AM697" s="840"/>
      <c r="AN697" s="858"/>
      <c r="AO697" s="844" t="s">
        <v>116</v>
      </c>
      <c r="AP697" s="859">
        <v>45607</v>
      </c>
      <c r="AQ697" s="859"/>
      <c r="AR697" s="859" t="s">
        <v>2394</v>
      </c>
      <c r="AS697" s="840"/>
      <c r="AT697" s="840"/>
      <c r="AU697" s="860" t="s">
        <v>1210</v>
      </c>
      <c r="AV697" s="839" t="s">
        <v>2395</v>
      </c>
      <c r="AW697" s="861">
        <v>45616</v>
      </c>
      <c r="AX697" s="862" t="s">
        <v>2396</v>
      </c>
      <c r="AY697" s="843"/>
      <c r="AZ697" s="842"/>
      <c r="BA697" s="842" t="s">
        <v>120</v>
      </c>
      <c r="BB697" s="863" t="s">
        <v>121</v>
      </c>
      <c r="BC697" s="864">
        <v>45587</v>
      </c>
      <c r="BD697" s="860" t="s">
        <v>2398</v>
      </c>
      <c r="BE697" s="865" cm="1">
        <f t="array" ref="BE697">IF(BD697="","",AC697/SUMPRODUCT(--(BD697=$BD$4:$BD$12824),$AC$4:$AC$12824))</f>
        <v>0.12977574750830564</v>
      </c>
      <c r="BF697" s="458"/>
      <c r="BG697" s="458"/>
      <c r="BH697" s="458"/>
      <c r="BI697" s="458"/>
      <c r="BJ697" s="458"/>
      <c r="BK697" s="458"/>
      <c r="BL697" s="458"/>
      <c r="BM697" s="458"/>
      <c r="BN697" s="458"/>
      <c r="BO697" s="866">
        <f>VLOOKUP(BD697,$BD$4:$BN$12824,3,0)*BE697</f>
        <v>0</v>
      </c>
      <c r="BP697" s="866"/>
      <c r="BQ697" s="866"/>
      <c r="BR697" s="866">
        <f>VLOOKUP(BD697,$BD$4:$BN$12824,6,0)*BE697</f>
        <v>0</v>
      </c>
      <c r="BS697" s="866">
        <f>VLOOKUP(BD697,$BD$4:$BN$12824,7,0)*BE697</f>
        <v>0</v>
      </c>
      <c r="BT697" s="866"/>
      <c r="BU697" s="866">
        <f>VLOOKUP(BD697,$BD$4:$BN$12824,9,0)*BE697</f>
        <v>0</v>
      </c>
      <c r="BV697" s="867"/>
      <c r="BW697" s="867">
        <f>VLOOKUP(BD697,$BD$4:$BN$12824,11,0)*BE697</f>
        <v>0</v>
      </c>
      <c r="BX697" s="1146">
        <f t="shared" si="135"/>
        <v>0</v>
      </c>
      <c r="BY697" s="867">
        <f t="shared" si="136"/>
        <v>105415.48000000001</v>
      </c>
      <c r="BZ697" s="867">
        <f t="shared" si="128"/>
        <v>1054154.8</v>
      </c>
      <c r="CA697" s="867">
        <f>_xlfn.MAXIFS($BY$4:$BY$12824,$S$4:$S$12824,$S697)</f>
        <v>105415.48000000001</v>
      </c>
      <c r="CB697" s="1032"/>
      <c r="CF697" s="946">
        <f t="shared" si="130"/>
        <v>5270774</v>
      </c>
    </row>
    <row r="698" spans="1:84">
      <c r="A698" s="1032"/>
      <c r="B698" s="839" t="s">
        <v>98</v>
      </c>
      <c r="C698" s="839" t="s">
        <v>273</v>
      </c>
      <c r="D698" s="839" t="s">
        <v>2389</v>
      </c>
      <c r="E698" s="839" t="s">
        <v>2389</v>
      </c>
      <c r="F698" s="841">
        <v>45580</v>
      </c>
      <c r="G698" s="840" t="s">
        <v>273</v>
      </c>
      <c r="H698" s="842" t="s">
        <v>134</v>
      </c>
      <c r="I698" s="842"/>
      <c r="J698" s="841"/>
      <c r="K698" s="841"/>
      <c r="L698" s="843"/>
      <c r="M698" s="844" t="s">
        <v>275</v>
      </c>
      <c r="N698" s="841"/>
      <c r="O698" s="841" t="s">
        <v>1100</v>
      </c>
      <c r="P698" s="841" t="s">
        <v>124</v>
      </c>
      <c r="Q698" s="843"/>
      <c r="R698" s="845" t="s">
        <v>2422</v>
      </c>
      <c r="S698" s="1127" t="s">
        <v>2423</v>
      </c>
      <c r="T698" s="843" t="s">
        <v>2424</v>
      </c>
      <c r="U698" s="842">
        <v>10</v>
      </c>
      <c r="V698" s="842" t="s">
        <v>3</v>
      </c>
      <c r="W698" s="846"/>
      <c r="X698" s="847">
        <f t="shared" si="123"/>
        <v>0</v>
      </c>
      <c r="Y698" s="848"/>
      <c r="Z698" s="849">
        <v>20</v>
      </c>
      <c r="AA698" s="849" t="s">
        <v>40</v>
      </c>
      <c r="AB698" s="849">
        <f t="shared" si="124"/>
        <v>0</v>
      </c>
      <c r="AC698" s="850">
        <f t="shared" si="125"/>
        <v>200</v>
      </c>
      <c r="AD698" s="851"/>
      <c r="AE698" s="852">
        <v>26353.87</v>
      </c>
      <c r="AF698" s="853">
        <v>0.2</v>
      </c>
      <c r="AG698" s="854">
        <f t="shared" si="126"/>
        <v>1054154.8</v>
      </c>
      <c r="AH698" s="853"/>
      <c r="AI698" s="855">
        <f t="shared" si="127"/>
        <v>0</v>
      </c>
      <c r="AJ698" s="845" t="s">
        <v>2392</v>
      </c>
      <c r="AK698" s="857">
        <v>45515</v>
      </c>
      <c r="AL698" s="840" t="s">
        <v>2393</v>
      </c>
      <c r="AM698" s="840"/>
      <c r="AN698" s="858"/>
      <c r="AO698" s="844" t="s">
        <v>116</v>
      </c>
      <c r="AP698" s="859">
        <v>45607</v>
      </c>
      <c r="AQ698" s="859"/>
      <c r="AR698" s="859" t="s">
        <v>2394</v>
      </c>
      <c r="AS698" s="840"/>
      <c r="AT698" s="840"/>
      <c r="AU698" s="860" t="s">
        <v>1210</v>
      </c>
      <c r="AV698" s="839" t="s">
        <v>2395</v>
      </c>
      <c r="AW698" s="861">
        <v>45616</v>
      </c>
      <c r="AX698" s="862" t="s">
        <v>2396</v>
      </c>
      <c r="AY698" s="843"/>
      <c r="AZ698" s="842"/>
      <c r="BA698" s="842" t="s">
        <v>120</v>
      </c>
      <c r="BB698" s="863" t="s">
        <v>121</v>
      </c>
      <c r="BC698" s="864">
        <v>45587</v>
      </c>
      <c r="BD698" s="860" t="s">
        <v>2398</v>
      </c>
      <c r="BE698" s="865" cm="1">
        <f t="array" ref="BE698">IF(BD698="","",AC698/SUMPRODUCT(--(BD698=$BD$4:$BD$12824),$AC$4:$AC$12824))</f>
        <v>0.12977574750830564</v>
      </c>
      <c r="BF698" s="458"/>
      <c r="BG698" s="458"/>
      <c r="BH698" s="458"/>
      <c r="BI698" s="458"/>
      <c r="BJ698" s="458"/>
      <c r="BK698" s="458"/>
      <c r="BL698" s="458"/>
      <c r="BM698" s="458"/>
      <c r="BN698" s="458"/>
      <c r="BO698" s="866">
        <f>VLOOKUP(BD698,$BD$4:$BN$12824,3,0)*BE698</f>
        <v>0</v>
      </c>
      <c r="BP698" s="866"/>
      <c r="BQ698" s="866"/>
      <c r="BR698" s="866">
        <f>VLOOKUP(BD698,$BD$4:$BN$12824,6,0)*BE698</f>
        <v>0</v>
      </c>
      <c r="BS698" s="866">
        <f>VLOOKUP(BD698,$BD$4:$BN$12824,7,0)*BE698</f>
        <v>0</v>
      </c>
      <c r="BT698" s="866"/>
      <c r="BU698" s="866">
        <f>VLOOKUP(BD698,$BD$4:$BN$12824,9,0)*BE698</f>
        <v>0</v>
      </c>
      <c r="BV698" s="867"/>
      <c r="BW698" s="867">
        <f>VLOOKUP(BD698,$BD$4:$BN$12824,11,0)*BE698</f>
        <v>0</v>
      </c>
      <c r="BX698" s="1146">
        <f t="shared" si="135"/>
        <v>0</v>
      </c>
      <c r="BY698" s="867">
        <f t="shared" si="136"/>
        <v>105415.48000000001</v>
      </c>
      <c r="BZ698" s="867">
        <f t="shared" si="128"/>
        <v>1054154.8</v>
      </c>
      <c r="CA698" s="867">
        <f>_xlfn.MAXIFS($BY$4:$BY$12824,$S$4:$S$12824,$S698)</f>
        <v>105415.48000000001</v>
      </c>
      <c r="CB698" s="1032"/>
      <c r="CF698" s="946">
        <f t="shared" si="130"/>
        <v>5270774</v>
      </c>
    </row>
    <row r="699" spans="1:84">
      <c r="A699" s="1032"/>
      <c r="B699" s="839" t="s">
        <v>98</v>
      </c>
      <c r="C699" s="839" t="s">
        <v>273</v>
      </c>
      <c r="D699" s="839" t="s">
        <v>2389</v>
      </c>
      <c r="E699" s="839" t="s">
        <v>2389</v>
      </c>
      <c r="F699" s="841">
        <v>45580</v>
      </c>
      <c r="G699" s="840" t="s">
        <v>273</v>
      </c>
      <c r="H699" s="842" t="s">
        <v>134</v>
      </c>
      <c r="I699" s="842"/>
      <c r="J699" s="841"/>
      <c r="K699" s="841"/>
      <c r="L699" s="843"/>
      <c r="M699" s="844" t="s">
        <v>275</v>
      </c>
      <c r="N699" s="841"/>
      <c r="O699" s="841" t="s">
        <v>1100</v>
      </c>
      <c r="P699" s="841" t="s">
        <v>124</v>
      </c>
      <c r="Q699" s="843"/>
      <c r="R699" s="845" t="s">
        <v>2425</v>
      </c>
      <c r="S699" s="1127" t="s">
        <v>2426</v>
      </c>
      <c r="T699" s="843" t="s">
        <v>2427</v>
      </c>
      <c r="U699" s="842">
        <v>10</v>
      </c>
      <c r="V699" s="842" t="s">
        <v>3</v>
      </c>
      <c r="W699" s="846"/>
      <c r="X699" s="847">
        <f t="shared" si="123"/>
        <v>0</v>
      </c>
      <c r="Y699" s="848"/>
      <c r="Z699" s="849">
        <v>20</v>
      </c>
      <c r="AA699" s="849" t="s">
        <v>40</v>
      </c>
      <c r="AB699" s="849">
        <f t="shared" si="124"/>
        <v>0</v>
      </c>
      <c r="AC699" s="850">
        <f t="shared" si="125"/>
        <v>200</v>
      </c>
      <c r="AD699" s="851"/>
      <c r="AE699" s="852">
        <v>26353.87</v>
      </c>
      <c r="AF699" s="853">
        <v>0.2</v>
      </c>
      <c r="AG699" s="854">
        <f t="shared" si="126"/>
        <v>1054154.8</v>
      </c>
      <c r="AH699" s="853"/>
      <c r="AI699" s="855">
        <f t="shared" si="127"/>
        <v>0</v>
      </c>
      <c r="AJ699" s="845" t="s">
        <v>2392</v>
      </c>
      <c r="AK699" s="857">
        <v>45515</v>
      </c>
      <c r="AL699" s="840" t="s">
        <v>2393</v>
      </c>
      <c r="AM699" s="840"/>
      <c r="AN699" s="858"/>
      <c r="AO699" s="844" t="s">
        <v>116</v>
      </c>
      <c r="AP699" s="859">
        <v>45607</v>
      </c>
      <c r="AQ699" s="859"/>
      <c r="AR699" s="859" t="s">
        <v>2394</v>
      </c>
      <c r="AS699" s="840"/>
      <c r="AT699" s="840"/>
      <c r="AU699" s="860" t="s">
        <v>1210</v>
      </c>
      <c r="AV699" s="839" t="s">
        <v>2395</v>
      </c>
      <c r="AW699" s="861">
        <v>45616</v>
      </c>
      <c r="AX699" s="862" t="s">
        <v>2396</v>
      </c>
      <c r="AY699" s="843"/>
      <c r="AZ699" s="842"/>
      <c r="BA699" s="842" t="s">
        <v>120</v>
      </c>
      <c r="BB699" s="863" t="s">
        <v>121</v>
      </c>
      <c r="BC699" s="864">
        <v>45587</v>
      </c>
      <c r="BD699" s="860" t="s">
        <v>2398</v>
      </c>
      <c r="BE699" s="865" cm="1">
        <f t="array" ref="BE699">IF(BD699="","",AC699/SUMPRODUCT(--(BD699=$BD$4:$BD$12824),$AC$4:$AC$12824))</f>
        <v>0.12977574750830564</v>
      </c>
      <c r="BF699" s="458"/>
      <c r="BG699" s="458"/>
      <c r="BH699" s="458"/>
      <c r="BI699" s="458"/>
      <c r="BJ699" s="458"/>
      <c r="BK699" s="458"/>
      <c r="BL699" s="458"/>
      <c r="BM699" s="458"/>
      <c r="BN699" s="458"/>
      <c r="BO699" s="866">
        <f>VLOOKUP(BD699,$BD$4:$BN$12824,3,0)*BE699</f>
        <v>0</v>
      </c>
      <c r="BP699" s="866"/>
      <c r="BQ699" s="866"/>
      <c r="BR699" s="866">
        <f>VLOOKUP(BD699,$BD$4:$BN$12824,6,0)*BE699</f>
        <v>0</v>
      </c>
      <c r="BS699" s="866">
        <f>VLOOKUP(BD699,$BD$4:$BN$12824,7,0)*BE699</f>
        <v>0</v>
      </c>
      <c r="BT699" s="866"/>
      <c r="BU699" s="866">
        <f>VLOOKUP(BD699,$BD$4:$BN$12824,9,0)*BE699</f>
        <v>0</v>
      </c>
      <c r="BV699" s="867"/>
      <c r="BW699" s="867">
        <f>VLOOKUP(BD699,$BD$4:$BN$12824,11,0)*BE699</f>
        <v>0</v>
      </c>
      <c r="BX699" s="1146">
        <f t="shared" si="135"/>
        <v>0</v>
      </c>
      <c r="BY699" s="867">
        <f t="shared" si="136"/>
        <v>105415.48000000001</v>
      </c>
      <c r="BZ699" s="867">
        <f t="shared" si="128"/>
        <v>1054154.8</v>
      </c>
      <c r="CA699" s="867">
        <f>_xlfn.MAXIFS($BY$4:$BY$12824,$S$4:$S$12824,$S699)</f>
        <v>105415.48000000001</v>
      </c>
      <c r="CB699" s="1032"/>
      <c r="CF699" s="946">
        <f t="shared" si="130"/>
        <v>5270774</v>
      </c>
    </row>
    <row r="700" spans="1:84">
      <c r="A700" s="1032"/>
      <c r="B700" s="839" t="s">
        <v>98</v>
      </c>
      <c r="C700" s="839" t="s">
        <v>273</v>
      </c>
      <c r="D700" s="839" t="s">
        <v>2428</v>
      </c>
      <c r="E700" s="839" t="s">
        <v>2429</v>
      </c>
      <c r="F700" s="841">
        <v>45580</v>
      </c>
      <c r="G700" s="840" t="s">
        <v>273</v>
      </c>
      <c r="H700" s="842" t="s">
        <v>102</v>
      </c>
      <c r="I700" s="842"/>
      <c r="J700" s="841" t="s">
        <v>2430</v>
      </c>
      <c r="K700" s="841">
        <v>45424</v>
      </c>
      <c r="L700" s="843"/>
      <c r="M700" s="844" t="s">
        <v>275</v>
      </c>
      <c r="N700" s="841"/>
      <c r="O700" s="841" t="s">
        <v>1100</v>
      </c>
      <c r="P700" s="841" t="s">
        <v>124</v>
      </c>
      <c r="Q700" s="843"/>
      <c r="R700" s="845">
        <v>16177.3</v>
      </c>
      <c r="S700" s="1127" t="s">
        <v>2431</v>
      </c>
      <c r="T700" s="843" t="s">
        <v>2432</v>
      </c>
      <c r="U700" s="842">
        <v>3</v>
      </c>
      <c r="V700" s="842" t="s">
        <v>3</v>
      </c>
      <c r="W700" s="846">
        <v>28.05</v>
      </c>
      <c r="X700" s="847">
        <f t="shared" si="123"/>
        <v>84.15</v>
      </c>
      <c r="Y700" s="848">
        <v>0.5</v>
      </c>
      <c r="Z700" s="849">
        <v>14.025</v>
      </c>
      <c r="AA700" s="849"/>
      <c r="AB700" s="849">
        <f t="shared" si="124"/>
        <v>42.075000000000003</v>
      </c>
      <c r="AC700" s="850">
        <f t="shared" si="125"/>
        <v>42.075000000000003</v>
      </c>
      <c r="AD700" s="851"/>
      <c r="AE700" s="852">
        <v>26353.87</v>
      </c>
      <c r="AF700" s="853">
        <v>0.1</v>
      </c>
      <c r="AG700" s="854">
        <f t="shared" si="126"/>
        <v>160978.86845755516</v>
      </c>
      <c r="AH700" s="853"/>
      <c r="AI700" s="855">
        <f t="shared" si="127"/>
        <v>0</v>
      </c>
      <c r="AJ700" s="845" t="s">
        <v>2392</v>
      </c>
      <c r="AK700" s="857">
        <v>45515</v>
      </c>
      <c r="AL700" s="840" t="s">
        <v>2393</v>
      </c>
      <c r="AM700" s="840"/>
      <c r="AN700" s="858"/>
      <c r="AO700" s="844" t="s">
        <v>116</v>
      </c>
      <c r="AP700" s="859">
        <v>45607</v>
      </c>
      <c r="AQ700" s="859">
        <v>45607</v>
      </c>
      <c r="AR700" s="859" t="s">
        <v>2394</v>
      </c>
      <c r="AS700" s="840" t="s">
        <v>1088</v>
      </c>
      <c r="AT700" s="840" t="s">
        <v>1089</v>
      </c>
      <c r="AU700" s="860" t="s">
        <v>1210</v>
      </c>
      <c r="AV700" s="839" t="s">
        <v>2395</v>
      </c>
      <c r="AW700" s="861">
        <v>45616</v>
      </c>
      <c r="AX700" s="862" t="s">
        <v>2433</v>
      </c>
      <c r="AY700" s="843"/>
      <c r="AZ700" s="842">
        <v>73269099</v>
      </c>
      <c r="BA700" s="842" t="s">
        <v>120</v>
      </c>
      <c r="BB700" s="863" t="s">
        <v>121</v>
      </c>
      <c r="BC700" s="864">
        <v>45618</v>
      </c>
      <c r="BD700" s="860" t="s">
        <v>2434</v>
      </c>
      <c r="BE700" s="865" cm="1">
        <f t="array" ref="BE700">IF(BD700="","",AC700/SUMPRODUCT(--(BD700=$BD$4:$BD$12824),$AC$4:$AC$12824))</f>
        <v>2.340503646346145E-2</v>
      </c>
      <c r="BF700" s="458">
        <v>21153496</v>
      </c>
      <c r="BG700" s="458"/>
      <c r="BH700" s="458"/>
      <c r="BI700" s="458">
        <v>1557144</v>
      </c>
      <c r="BJ700" s="458">
        <v>250000</v>
      </c>
      <c r="BK700" s="458"/>
      <c r="BL700" s="458"/>
      <c r="BM700" s="458"/>
      <c r="BN700" s="458">
        <v>600000</v>
      </c>
      <c r="BO700" s="866">
        <f>VLOOKUP(BD700,$BD$4:$BN$12824,3,0)*BE700</f>
        <v>495098.34520968591</v>
      </c>
      <c r="BP700" s="866"/>
      <c r="BQ700" s="866"/>
      <c r="BR700" s="866">
        <f>VLOOKUP(BD700,$BD$4:$BN$12824,6,0)*BE700</f>
        <v>36445.012098860214</v>
      </c>
      <c r="BS700" s="866">
        <f>VLOOKUP(BD700,$BD$4:$BN$12824,7,0)*BE700</f>
        <v>5851.2591158653622</v>
      </c>
      <c r="BT700" s="866"/>
      <c r="BU700" s="866">
        <f>VLOOKUP(BD700,$BD$4:$BN$12824,9,0)*BE700</f>
        <v>0</v>
      </c>
      <c r="BV700" s="867"/>
      <c r="BW700" s="867">
        <f>VLOOKUP(BD700,$BD$4:$BN$12824,11,0)*BE700</f>
        <v>14043.02187807687</v>
      </c>
      <c r="BX700" s="1146">
        <f t="shared" ref="BX700:BX705" si="137">SUM(BO700:BW700)</f>
        <v>551437.63830248825</v>
      </c>
      <c r="BY700" s="867">
        <f t="shared" si="131"/>
        <v>607085.19567001448</v>
      </c>
      <c r="BZ700" s="867">
        <f t="shared" si="128"/>
        <v>1821255.5870100434</v>
      </c>
      <c r="CA700" s="867">
        <f>_xlfn.MAXIFS($BY$4:$BY$12824,$S$4:$S$12824,$S700)</f>
        <v>607085.19567001448</v>
      </c>
      <c r="CB700" s="1032"/>
      <c r="CF700" s="946">
        <f t="shared" si="130"/>
        <v>1108839.0802500001</v>
      </c>
    </row>
    <row r="701" spans="1:84">
      <c r="A701" s="1032"/>
      <c r="B701" s="839" t="s">
        <v>98</v>
      </c>
      <c r="C701" s="839" t="s">
        <v>273</v>
      </c>
      <c r="D701" s="839" t="s">
        <v>2428</v>
      </c>
      <c r="E701" s="839" t="s">
        <v>2429</v>
      </c>
      <c r="F701" s="841">
        <v>45580</v>
      </c>
      <c r="G701" s="840" t="s">
        <v>273</v>
      </c>
      <c r="H701" s="842" t="s">
        <v>102</v>
      </c>
      <c r="I701" s="842"/>
      <c r="J701" s="841" t="s">
        <v>2430</v>
      </c>
      <c r="K701" s="841">
        <v>45424</v>
      </c>
      <c r="L701" s="843"/>
      <c r="M701" s="844" t="s">
        <v>275</v>
      </c>
      <c r="N701" s="841"/>
      <c r="O701" s="841" t="s">
        <v>1100</v>
      </c>
      <c r="P701" s="841" t="s">
        <v>124</v>
      </c>
      <c r="Q701" s="843"/>
      <c r="R701" s="845">
        <v>16187.3</v>
      </c>
      <c r="S701" s="1127" t="s">
        <v>2435</v>
      </c>
      <c r="T701" s="843" t="s">
        <v>2436</v>
      </c>
      <c r="U701" s="842">
        <v>2</v>
      </c>
      <c r="V701" s="842" t="s">
        <v>3</v>
      </c>
      <c r="W701" s="846">
        <v>28.05</v>
      </c>
      <c r="X701" s="847">
        <f t="shared" si="123"/>
        <v>56.1</v>
      </c>
      <c r="Y701" s="848">
        <v>0.5</v>
      </c>
      <c r="Z701" s="849">
        <v>14.025</v>
      </c>
      <c r="AA701" s="849"/>
      <c r="AB701" s="849">
        <f t="shared" si="124"/>
        <v>28.05</v>
      </c>
      <c r="AC701" s="850">
        <f t="shared" si="125"/>
        <v>28.05</v>
      </c>
      <c r="AD701" s="851"/>
      <c r="AE701" s="852">
        <v>26353.87</v>
      </c>
      <c r="AF701" s="853">
        <v>0.1</v>
      </c>
      <c r="AG701" s="854">
        <f t="shared" si="126"/>
        <v>107319.24563837011</v>
      </c>
      <c r="AH701" s="853"/>
      <c r="AI701" s="855">
        <f t="shared" si="127"/>
        <v>0</v>
      </c>
      <c r="AJ701" s="845" t="s">
        <v>2392</v>
      </c>
      <c r="AK701" s="857">
        <v>45515</v>
      </c>
      <c r="AL701" s="840" t="s">
        <v>2393</v>
      </c>
      <c r="AM701" s="840"/>
      <c r="AN701" s="858"/>
      <c r="AO701" s="844" t="s">
        <v>116</v>
      </c>
      <c r="AP701" s="859">
        <v>45607</v>
      </c>
      <c r="AQ701" s="859">
        <v>45607</v>
      </c>
      <c r="AR701" s="859" t="s">
        <v>2394</v>
      </c>
      <c r="AS701" s="840" t="s">
        <v>1088</v>
      </c>
      <c r="AT701" s="840" t="s">
        <v>1089</v>
      </c>
      <c r="AU701" s="860" t="s">
        <v>1210</v>
      </c>
      <c r="AV701" s="839" t="s">
        <v>2395</v>
      </c>
      <c r="AW701" s="861">
        <v>45616</v>
      </c>
      <c r="AX701" s="862" t="s">
        <v>2433</v>
      </c>
      <c r="AY701" s="843"/>
      <c r="AZ701" s="842">
        <v>73269099</v>
      </c>
      <c r="BA701" s="842" t="s">
        <v>120</v>
      </c>
      <c r="BB701" s="863" t="s">
        <v>121</v>
      </c>
      <c r="BC701" s="864">
        <v>45618</v>
      </c>
      <c r="BD701" s="860" t="s">
        <v>2434</v>
      </c>
      <c r="BE701" s="865" cm="1">
        <f t="array" ref="BE701">IF(BD701="","",AC701/SUMPRODUCT(--(BD701=$BD$4:$BD$12824),$AC$4:$AC$12824))</f>
        <v>1.5603357642307632E-2</v>
      </c>
      <c r="BF701" s="458"/>
      <c r="BG701" s="458"/>
      <c r="BH701" s="458"/>
      <c r="BI701" s="458"/>
      <c r="BJ701" s="458"/>
      <c r="BK701" s="458"/>
      <c r="BL701" s="458"/>
      <c r="BM701" s="458"/>
      <c r="BN701" s="458"/>
      <c r="BO701" s="866">
        <f>VLOOKUP(BD701,$BD$4:$BN$12824,3,0)*BE701</f>
        <v>330065.56347312394</v>
      </c>
      <c r="BP701" s="866"/>
      <c r="BQ701" s="866"/>
      <c r="BR701" s="866">
        <f>VLOOKUP(BD701,$BD$4:$BN$12824,6,0)*BE701</f>
        <v>24296.674732573476</v>
      </c>
      <c r="BS701" s="866">
        <f>VLOOKUP(BD701,$BD$4:$BN$12824,7,0)*BE701</f>
        <v>3900.839410576908</v>
      </c>
      <c r="BT701" s="866"/>
      <c r="BU701" s="866">
        <f>VLOOKUP(BD701,$BD$4:$BN$12824,9,0)*BE701</f>
        <v>0</v>
      </c>
      <c r="BV701" s="867"/>
      <c r="BW701" s="867">
        <f>VLOOKUP(BD701,$BD$4:$BN$12824,11,0)*BE701</f>
        <v>9362.0145853845788</v>
      </c>
      <c r="BX701" s="1146">
        <f t="shared" si="137"/>
        <v>367625.09220165887</v>
      </c>
      <c r="BY701" s="867">
        <f t="shared" si="131"/>
        <v>607085.19567001448</v>
      </c>
      <c r="BZ701" s="867">
        <f t="shared" si="128"/>
        <v>1214170.391340029</v>
      </c>
      <c r="CA701" s="867">
        <f>_xlfn.MAXIFS($BY$4:$BY$12824,$S$4:$S$12824,$S701)</f>
        <v>607085.19567001448</v>
      </c>
      <c r="CB701" s="1032"/>
      <c r="CF701" s="946">
        <f t="shared" si="130"/>
        <v>739226.05350000004</v>
      </c>
    </row>
    <row r="702" spans="1:84">
      <c r="A702" s="1032"/>
      <c r="B702" s="839" t="s">
        <v>98</v>
      </c>
      <c r="C702" s="839" t="s">
        <v>273</v>
      </c>
      <c r="D702" s="839" t="s">
        <v>2428</v>
      </c>
      <c r="E702" s="839" t="s">
        <v>2429</v>
      </c>
      <c r="F702" s="841">
        <v>45580</v>
      </c>
      <c r="G702" s="840" t="s">
        <v>273</v>
      </c>
      <c r="H702" s="842" t="s">
        <v>102</v>
      </c>
      <c r="I702" s="842"/>
      <c r="J702" s="841" t="s">
        <v>2430</v>
      </c>
      <c r="K702" s="841">
        <v>45424</v>
      </c>
      <c r="L702" s="843"/>
      <c r="M702" s="844" t="s">
        <v>275</v>
      </c>
      <c r="N702" s="841"/>
      <c r="O702" s="841" t="s">
        <v>1100</v>
      </c>
      <c r="P702" s="841" t="s">
        <v>124</v>
      </c>
      <c r="Q702" s="843"/>
      <c r="R702" s="845">
        <v>16190.3</v>
      </c>
      <c r="S702" s="1127" t="s">
        <v>2437</v>
      </c>
      <c r="T702" s="843" t="s">
        <v>2438</v>
      </c>
      <c r="U702" s="842">
        <v>4</v>
      </c>
      <c r="V702" s="842" t="s">
        <v>3</v>
      </c>
      <c r="W702" s="846">
        <v>40.68</v>
      </c>
      <c r="X702" s="847">
        <f t="shared" si="123"/>
        <v>162.72</v>
      </c>
      <c r="Y702" s="848">
        <v>0.5</v>
      </c>
      <c r="Z702" s="849">
        <v>20.34</v>
      </c>
      <c r="AA702" s="849"/>
      <c r="AB702" s="849">
        <f t="shared" si="124"/>
        <v>81.36</v>
      </c>
      <c r="AC702" s="850">
        <f t="shared" si="125"/>
        <v>81.36</v>
      </c>
      <c r="AD702" s="851"/>
      <c r="AE702" s="852">
        <v>26353.87</v>
      </c>
      <c r="AF702" s="853">
        <v>0.1</v>
      </c>
      <c r="AG702" s="854">
        <f t="shared" si="126"/>
        <v>311283.20232220285</v>
      </c>
      <c r="AH702" s="853"/>
      <c r="AI702" s="855">
        <f t="shared" si="127"/>
        <v>0</v>
      </c>
      <c r="AJ702" s="845" t="s">
        <v>2392</v>
      </c>
      <c r="AK702" s="857">
        <v>45515</v>
      </c>
      <c r="AL702" s="840" t="s">
        <v>2393</v>
      </c>
      <c r="AM702" s="840"/>
      <c r="AN702" s="858"/>
      <c r="AO702" s="844" t="s">
        <v>116</v>
      </c>
      <c r="AP702" s="859">
        <v>45607</v>
      </c>
      <c r="AQ702" s="859">
        <v>45607</v>
      </c>
      <c r="AR702" s="859" t="s">
        <v>2394</v>
      </c>
      <c r="AS702" s="840" t="s">
        <v>1088</v>
      </c>
      <c r="AT702" s="840" t="s">
        <v>1089</v>
      </c>
      <c r="AU702" s="860" t="s">
        <v>1210</v>
      </c>
      <c r="AV702" s="839" t="s">
        <v>2395</v>
      </c>
      <c r="AW702" s="861">
        <v>45616</v>
      </c>
      <c r="AX702" s="862" t="s">
        <v>2433</v>
      </c>
      <c r="AY702" s="843"/>
      <c r="AZ702" s="842">
        <v>73269099</v>
      </c>
      <c r="BA702" s="842" t="s">
        <v>120</v>
      </c>
      <c r="BB702" s="863" t="s">
        <v>121</v>
      </c>
      <c r="BC702" s="864">
        <v>45618</v>
      </c>
      <c r="BD702" s="860" t="s">
        <v>2434</v>
      </c>
      <c r="BE702" s="865" cm="1">
        <f t="array" ref="BE702">IF(BD702="","",AC702/SUMPRODUCT(--(BD702=$BD$4:$BD$12824),$AC$4:$AC$12824))</f>
        <v>4.5258081204212083E-2</v>
      </c>
      <c r="BF702" s="458"/>
      <c r="BG702" s="458"/>
      <c r="BH702" s="458"/>
      <c r="BI702" s="458"/>
      <c r="BJ702" s="458"/>
      <c r="BK702" s="458"/>
      <c r="BL702" s="458"/>
      <c r="BM702" s="458"/>
      <c r="BN702" s="458"/>
      <c r="BO702" s="866">
        <f>VLOOKUP(BD702,$BD$4:$BN$12824,3,0)*BE702</f>
        <v>957366.63972097554</v>
      </c>
      <c r="BP702" s="866"/>
      <c r="BQ702" s="866"/>
      <c r="BR702" s="866">
        <f>VLOOKUP(BD702,$BD$4:$BN$12824,6,0)*BE702</f>
        <v>70473.349598651621</v>
      </c>
      <c r="BS702" s="866">
        <f>VLOOKUP(BD702,$BD$4:$BN$12824,7,0)*BE702</f>
        <v>11314.52030105302</v>
      </c>
      <c r="BT702" s="866"/>
      <c r="BU702" s="866">
        <f>VLOOKUP(BD702,$BD$4:$BN$12824,9,0)*BE702</f>
        <v>0</v>
      </c>
      <c r="BV702" s="867"/>
      <c r="BW702" s="867">
        <f>VLOOKUP(BD702,$BD$4:$BN$12824,11,0)*BE702</f>
        <v>27154.848722527251</v>
      </c>
      <c r="BX702" s="1146">
        <f t="shared" si="137"/>
        <v>1066309.3583432075</v>
      </c>
      <c r="BY702" s="867">
        <f t="shared" si="131"/>
        <v>880435.85596635262</v>
      </c>
      <c r="BZ702" s="867">
        <f t="shared" si="128"/>
        <v>3521743.4238654105</v>
      </c>
      <c r="CA702" s="867">
        <f>_xlfn.MAXIFS($BY$4:$BY$12824,$S$4:$S$12824,$S702)</f>
        <v>880435.85596635262</v>
      </c>
      <c r="CB702" s="1032"/>
      <c r="CF702" s="946">
        <f t="shared" si="130"/>
        <v>2144150.8632</v>
      </c>
    </row>
    <row r="703" spans="1:84">
      <c r="A703" s="1032"/>
      <c r="B703" s="839" t="s">
        <v>98</v>
      </c>
      <c r="C703" s="839" t="s">
        <v>273</v>
      </c>
      <c r="D703" s="839" t="s">
        <v>2428</v>
      </c>
      <c r="E703" s="839" t="s">
        <v>2429</v>
      </c>
      <c r="F703" s="841">
        <v>45580</v>
      </c>
      <c r="G703" s="840" t="s">
        <v>273</v>
      </c>
      <c r="H703" s="842" t="s">
        <v>102</v>
      </c>
      <c r="I703" s="842"/>
      <c r="J703" s="841" t="s">
        <v>2430</v>
      </c>
      <c r="K703" s="841">
        <v>45424</v>
      </c>
      <c r="L703" s="843"/>
      <c r="M703" s="844" t="s">
        <v>275</v>
      </c>
      <c r="N703" s="841"/>
      <c r="O703" s="841" t="s">
        <v>1100</v>
      </c>
      <c r="P703" s="841" t="s">
        <v>124</v>
      </c>
      <c r="Q703" s="843"/>
      <c r="R703" s="845">
        <v>16853.3</v>
      </c>
      <c r="S703" s="1127" t="s">
        <v>2439</v>
      </c>
      <c r="T703" s="843" t="s">
        <v>2440</v>
      </c>
      <c r="U703" s="842">
        <v>4</v>
      </c>
      <c r="V703" s="842" t="s">
        <v>3</v>
      </c>
      <c r="W703" s="846">
        <v>81.72</v>
      </c>
      <c r="X703" s="847">
        <f t="shared" si="123"/>
        <v>326.88</v>
      </c>
      <c r="Y703" s="848">
        <v>0.5</v>
      </c>
      <c r="Z703" s="849">
        <v>40.86</v>
      </c>
      <c r="AA703" s="849"/>
      <c r="AB703" s="849">
        <f t="shared" si="124"/>
        <v>163.44</v>
      </c>
      <c r="AC703" s="850">
        <f t="shared" si="125"/>
        <v>163.44</v>
      </c>
      <c r="AD703" s="851"/>
      <c r="AE703" s="852">
        <v>26353.87</v>
      </c>
      <c r="AF703" s="853">
        <v>0.1</v>
      </c>
      <c r="AG703" s="854">
        <f t="shared" si="126"/>
        <v>625321.12324902683</v>
      </c>
      <c r="AH703" s="853"/>
      <c r="AI703" s="855">
        <f t="shared" si="127"/>
        <v>0</v>
      </c>
      <c r="AJ703" s="845" t="s">
        <v>2392</v>
      </c>
      <c r="AK703" s="857">
        <v>45515</v>
      </c>
      <c r="AL703" s="840" t="s">
        <v>2393</v>
      </c>
      <c r="AM703" s="840"/>
      <c r="AN703" s="858"/>
      <c r="AO703" s="844" t="s">
        <v>116</v>
      </c>
      <c r="AP703" s="859">
        <v>45607</v>
      </c>
      <c r="AQ703" s="859">
        <v>45607</v>
      </c>
      <c r="AR703" s="859" t="s">
        <v>2394</v>
      </c>
      <c r="AS703" s="840" t="s">
        <v>1088</v>
      </c>
      <c r="AT703" s="840" t="s">
        <v>1089</v>
      </c>
      <c r="AU703" s="860" t="s">
        <v>1210</v>
      </c>
      <c r="AV703" s="839" t="s">
        <v>2395</v>
      </c>
      <c r="AW703" s="861">
        <v>45616</v>
      </c>
      <c r="AX703" s="862" t="s">
        <v>2433</v>
      </c>
      <c r="AY703" s="843"/>
      <c r="AZ703" s="842">
        <v>73269099</v>
      </c>
      <c r="BA703" s="842" t="s">
        <v>120</v>
      </c>
      <c r="BB703" s="863" t="s">
        <v>121</v>
      </c>
      <c r="BC703" s="864">
        <v>45618</v>
      </c>
      <c r="BD703" s="860" t="s">
        <v>2434</v>
      </c>
      <c r="BE703" s="865" cm="1">
        <f t="array" ref="BE703">IF(BD703="","",AC703/SUMPRODUCT(--(BD703=$BD$4:$BD$12824),$AC$4:$AC$12824))</f>
        <v>9.0916676401381791E-2</v>
      </c>
      <c r="BF703" s="458"/>
      <c r="BG703" s="458"/>
      <c r="BH703" s="458"/>
      <c r="BI703" s="458"/>
      <c r="BJ703" s="458"/>
      <c r="BK703" s="458"/>
      <c r="BL703" s="458"/>
      <c r="BM703" s="458"/>
      <c r="BN703" s="458"/>
      <c r="BO703" s="866">
        <f>VLOOKUP(BD703,$BD$4:$BN$12824,3,0)*BE703</f>
        <v>1923205.5505899242</v>
      </c>
      <c r="BP703" s="866"/>
      <c r="BQ703" s="866"/>
      <c r="BR703" s="866">
        <f>VLOOKUP(BD703,$BD$4:$BN$12824,6,0)*BE703</f>
        <v>141570.35715835326</v>
      </c>
      <c r="BS703" s="866">
        <f>VLOOKUP(BD703,$BD$4:$BN$12824,7,0)*BE703</f>
        <v>22729.169100345447</v>
      </c>
      <c r="BT703" s="866"/>
      <c r="BU703" s="866">
        <f>VLOOKUP(BD703,$BD$4:$BN$12824,9,0)*BE703</f>
        <v>0</v>
      </c>
      <c r="BV703" s="867"/>
      <c r="BW703" s="867">
        <f>VLOOKUP(BD703,$BD$4:$BN$12824,11,0)*BE703</f>
        <v>54550.005840829072</v>
      </c>
      <c r="BX703" s="1146">
        <f t="shared" si="137"/>
        <v>2142055.082689452</v>
      </c>
      <c r="BY703" s="867">
        <f t="shared" si="131"/>
        <v>1768663.1796846197</v>
      </c>
      <c r="BZ703" s="867">
        <f t="shared" si="128"/>
        <v>7074652.7187384786</v>
      </c>
      <c r="CA703" s="867">
        <f>_xlfn.MAXIFS($BY$4:$BY$12824,$S$4:$S$12824,$S703)</f>
        <v>1768663.1796846197</v>
      </c>
      <c r="CB703" s="1032"/>
      <c r="CF703" s="946">
        <f t="shared" si="130"/>
        <v>4307276.5127999997</v>
      </c>
    </row>
    <row r="704" spans="1:84">
      <c r="A704" s="1032"/>
      <c r="B704" s="839" t="s">
        <v>98</v>
      </c>
      <c r="C704" s="839" t="s">
        <v>273</v>
      </c>
      <c r="D704" s="839" t="s">
        <v>2428</v>
      </c>
      <c r="E704" s="839" t="s">
        <v>2429</v>
      </c>
      <c r="F704" s="841">
        <v>45580</v>
      </c>
      <c r="G704" s="840" t="s">
        <v>273</v>
      </c>
      <c r="H704" s="842" t="s">
        <v>102</v>
      </c>
      <c r="I704" s="842"/>
      <c r="J704" s="841" t="s">
        <v>2430</v>
      </c>
      <c r="K704" s="841">
        <v>45424</v>
      </c>
      <c r="L704" s="843"/>
      <c r="M704" s="844" t="s">
        <v>275</v>
      </c>
      <c r="N704" s="841"/>
      <c r="O704" s="841" t="s">
        <v>1100</v>
      </c>
      <c r="P704" s="841" t="s">
        <v>124</v>
      </c>
      <c r="Q704" s="843"/>
      <c r="R704" s="845">
        <v>15523.24</v>
      </c>
      <c r="S704" s="1127" t="s">
        <v>2441</v>
      </c>
      <c r="T704" s="843" t="s">
        <v>2442</v>
      </c>
      <c r="U704" s="842">
        <v>2</v>
      </c>
      <c r="V704" s="842" t="s">
        <v>3</v>
      </c>
      <c r="W704" s="846">
        <v>62.23</v>
      </c>
      <c r="X704" s="847">
        <f t="shared" si="123"/>
        <v>124.46</v>
      </c>
      <c r="Y704" s="848">
        <v>0.5</v>
      </c>
      <c r="Z704" s="849">
        <v>31.114999999999998</v>
      </c>
      <c r="AA704" s="849"/>
      <c r="AB704" s="849">
        <f t="shared" si="124"/>
        <v>62.23</v>
      </c>
      <c r="AC704" s="850">
        <f t="shared" si="125"/>
        <v>62.23</v>
      </c>
      <c r="AD704" s="851"/>
      <c r="AE704" s="852">
        <v>26353.87</v>
      </c>
      <c r="AF704" s="853">
        <v>0.1</v>
      </c>
      <c r="AG704" s="854">
        <f t="shared" si="126"/>
        <v>238091.85939664065</v>
      </c>
      <c r="AH704" s="853"/>
      <c r="AI704" s="855">
        <f t="shared" si="127"/>
        <v>0</v>
      </c>
      <c r="AJ704" s="845" t="s">
        <v>2392</v>
      </c>
      <c r="AK704" s="857">
        <v>45515</v>
      </c>
      <c r="AL704" s="840" t="s">
        <v>2393</v>
      </c>
      <c r="AM704" s="840"/>
      <c r="AN704" s="858"/>
      <c r="AO704" s="844" t="s">
        <v>116</v>
      </c>
      <c r="AP704" s="859">
        <v>45607</v>
      </c>
      <c r="AQ704" s="859">
        <v>45607</v>
      </c>
      <c r="AR704" s="859" t="s">
        <v>2394</v>
      </c>
      <c r="AS704" s="840" t="s">
        <v>1088</v>
      </c>
      <c r="AT704" s="840" t="s">
        <v>1089</v>
      </c>
      <c r="AU704" s="860" t="s">
        <v>1210</v>
      </c>
      <c r="AV704" s="839" t="s">
        <v>2395</v>
      </c>
      <c r="AW704" s="861">
        <v>45616</v>
      </c>
      <c r="AX704" s="862" t="s">
        <v>2433</v>
      </c>
      <c r="AY704" s="843"/>
      <c r="AZ704" s="842">
        <v>73269099</v>
      </c>
      <c r="BA704" s="842" t="s">
        <v>120</v>
      </c>
      <c r="BB704" s="863" t="s">
        <v>121</v>
      </c>
      <c r="BC704" s="864">
        <v>45618</v>
      </c>
      <c r="BD704" s="860" t="s">
        <v>2434</v>
      </c>
      <c r="BE704" s="865" cm="1">
        <f t="array" ref="BE704">IF(BD704="","",AC704/SUMPRODUCT(--(BD704=$BD$4:$BD$12824),$AC$4:$AC$12824))</f>
        <v>3.461664691910174E-2</v>
      </c>
      <c r="BF704" s="458"/>
      <c r="BG704" s="458"/>
      <c r="BH704" s="458"/>
      <c r="BI704" s="458"/>
      <c r="BJ704" s="458"/>
      <c r="BK704" s="458"/>
      <c r="BL704" s="458"/>
      <c r="BM704" s="458"/>
      <c r="BN704" s="458"/>
      <c r="BO704" s="866">
        <f>VLOOKUP(BD704,$BD$4:$BN$12824,3,0)*BE704</f>
        <v>732263.10213663103</v>
      </c>
      <c r="BP704" s="866"/>
      <c r="BQ704" s="866"/>
      <c r="BR704" s="866">
        <f>VLOOKUP(BD704,$BD$4:$BN$12824,6,0)*BE704</f>
        <v>53903.104050197762</v>
      </c>
      <c r="BS704" s="866">
        <f>VLOOKUP(BD704,$BD$4:$BN$12824,7,0)*BE704</f>
        <v>8654.1617297754347</v>
      </c>
      <c r="BT704" s="866"/>
      <c r="BU704" s="866">
        <f>VLOOKUP(BD704,$BD$4:$BN$12824,9,0)*BE704</f>
        <v>0</v>
      </c>
      <c r="BV704" s="867"/>
      <c r="BW704" s="867">
        <f>VLOOKUP(BD704,$BD$4:$BN$12824,11,0)*BE704</f>
        <v>20769.988151461042</v>
      </c>
      <c r="BX704" s="1146">
        <f t="shared" si="137"/>
        <v>815590.35606806527</v>
      </c>
      <c r="BY704" s="867">
        <f t="shared" si="131"/>
        <v>1346841.772782353</v>
      </c>
      <c r="BZ704" s="867">
        <f t="shared" si="128"/>
        <v>2693683.545564706</v>
      </c>
      <c r="CA704" s="867">
        <f>_xlfn.MAXIFS($BY$4:$BY$12824,$S$4:$S$12824,$S704)</f>
        <v>1784591.3505756871</v>
      </c>
      <c r="CB704" s="1032"/>
      <c r="CF704" s="946">
        <f t="shared" si="130"/>
        <v>1640001.3300999999</v>
      </c>
    </row>
    <row r="705" spans="1:84">
      <c r="A705" s="1032"/>
      <c r="B705" s="839" t="s">
        <v>98</v>
      </c>
      <c r="C705" s="839" t="s">
        <v>273</v>
      </c>
      <c r="D705" s="839" t="s">
        <v>2428</v>
      </c>
      <c r="E705" s="839" t="s">
        <v>2429</v>
      </c>
      <c r="F705" s="841">
        <v>45580</v>
      </c>
      <c r="G705" s="840" t="s">
        <v>273</v>
      </c>
      <c r="H705" s="842" t="s">
        <v>102</v>
      </c>
      <c r="I705" s="842"/>
      <c r="J705" s="841" t="s">
        <v>2430</v>
      </c>
      <c r="K705" s="841">
        <v>45424</v>
      </c>
      <c r="L705" s="843"/>
      <c r="M705" s="844" t="s">
        <v>275</v>
      </c>
      <c r="N705" s="841"/>
      <c r="O705" s="841" t="s">
        <v>1100</v>
      </c>
      <c r="P705" s="841" t="s">
        <v>124</v>
      </c>
      <c r="Q705" s="843"/>
      <c r="R705" s="845">
        <v>15532</v>
      </c>
      <c r="S705" s="1127" t="s">
        <v>2443</v>
      </c>
      <c r="T705" s="843" t="s">
        <v>2444</v>
      </c>
      <c r="U705" s="842">
        <v>2</v>
      </c>
      <c r="V705" s="842" t="s">
        <v>3</v>
      </c>
      <c r="W705" s="846">
        <v>111.96</v>
      </c>
      <c r="X705" s="847">
        <f t="shared" si="123"/>
        <v>223.92</v>
      </c>
      <c r="Y705" s="848">
        <v>0.5</v>
      </c>
      <c r="Z705" s="849">
        <v>55.98</v>
      </c>
      <c r="AA705" s="849"/>
      <c r="AB705" s="849">
        <f t="shared" si="124"/>
        <v>111.96</v>
      </c>
      <c r="AC705" s="850">
        <f t="shared" si="125"/>
        <v>111.96</v>
      </c>
      <c r="AD705" s="851"/>
      <c r="AE705" s="852">
        <v>26353.87</v>
      </c>
      <c r="AF705" s="853">
        <v>0.1</v>
      </c>
      <c r="AG705" s="854">
        <f t="shared" si="126"/>
        <v>428358.74301860662</v>
      </c>
      <c r="AH705" s="853"/>
      <c r="AI705" s="855">
        <f t="shared" si="127"/>
        <v>0</v>
      </c>
      <c r="AJ705" s="845" t="s">
        <v>2392</v>
      </c>
      <c r="AK705" s="857">
        <v>45515</v>
      </c>
      <c r="AL705" s="840" t="s">
        <v>2393</v>
      </c>
      <c r="AM705" s="840"/>
      <c r="AN705" s="858"/>
      <c r="AO705" s="844" t="s">
        <v>116</v>
      </c>
      <c r="AP705" s="859">
        <v>45607</v>
      </c>
      <c r="AQ705" s="859">
        <v>45607</v>
      </c>
      <c r="AR705" s="859" t="s">
        <v>2394</v>
      </c>
      <c r="AS705" s="840" t="s">
        <v>1088</v>
      </c>
      <c r="AT705" s="840" t="s">
        <v>1089</v>
      </c>
      <c r="AU705" s="860" t="s">
        <v>1210</v>
      </c>
      <c r="AV705" s="839" t="s">
        <v>2395</v>
      </c>
      <c r="AW705" s="861">
        <v>45616</v>
      </c>
      <c r="AX705" s="862" t="s">
        <v>2433</v>
      </c>
      <c r="AY705" s="843"/>
      <c r="AZ705" s="842">
        <v>73269099</v>
      </c>
      <c r="BA705" s="842" t="s">
        <v>120</v>
      </c>
      <c r="BB705" s="863" t="s">
        <v>121</v>
      </c>
      <c r="BC705" s="864">
        <v>45618</v>
      </c>
      <c r="BD705" s="860" t="s">
        <v>2434</v>
      </c>
      <c r="BE705" s="865" cm="1">
        <f t="array" ref="BE705">IF(BD705="","",AC705/SUMPRODUCT(--(BD705=$BD$4:$BD$12824),$AC$4:$AC$12824))</f>
        <v>6.2279925904911312E-2</v>
      </c>
      <c r="BF705" s="458"/>
      <c r="BG705" s="458"/>
      <c r="BH705" s="458"/>
      <c r="BI705" s="458"/>
      <c r="BJ705" s="458"/>
      <c r="BK705" s="458"/>
      <c r="BL705" s="458"/>
      <c r="BM705" s="458"/>
      <c r="BN705" s="458"/>
      <c r="BO705" s="866">
        <f>VLOOKUP(BD705,$BD$4:$BN$12824,3,0)*BE705</f>
        <v>1317438.1635098378</v>
      </c>
      <c r="BP705" s="866"/>
      <c r="BQ705" s="866"/>
      <c r="BR705" s="866">
        <f>VLOOKUP(BD705,$BD$4:$BN$12824,6,0)*BE705</f>
        <v>96978.812943277226</v>
      </c>
      <c r="BS705" s="866">
        <f>VLOOKUP(BD705,$BD$4:$BN$12824,7,0)*BE705</f>
        <v>15569.981476227827</v>
      </c>
      <c r="BT705" s="866"/>
      <c r="BU705" s="866">
        <f>VLOOKUP(BD705,$BD$4:$BN$12824,9,0)*BE705</f>
        <v>0</v>
      </c>
      <c r="BV705" s="867"/>
      <c r="BW705" s="867">
        <f>VLOOKUP(BD705,$BD$4:$BN$12824,11,0)*BE705</f>
        <v>37367.955542946787</v>
      </c>
      <c r="BX705" s="1146">
        <f t="shared" si="137"/>
        <v>1467354.9134722895</v>
      </c>
      <c r="BY705" s="867">
        <f t="shared" si="131"/>
        <v>2423146.4708454479</v>
      </c>
      <c r="BZ705" s="867">
        <f t="shared" si="128"/>
        <v>4846292.9416908957</v>
      </c>
      <c r="CA705" s="867">
        <f>_xlfn.MAXIFS($BY$4:$BY$12824,$S$4:$S$12824,$S705)</f>
        <v>3210026.6989352019</v>
      </c>
      <c r="CB705" s="1032"/>
      <c r="CF705" s="946">
        <f t="shared" si="130"/>
        <v>2950579.2851999998</v>
      </c>
    </row>
    <row r="706" spans="1:84">
      <c r="A706" s="1032"/>
      <c r="B706" s="839" t="s">
        <v>98</v>
      </c>
      <c r="C706" s="839" t="s">
        <v>273</v>
      </c>
      <c r="D706" s="839" t="s">
        <v>2428</v>
      </c>
      <c r="E706" s="839" t="s">
        <v>2429</v>
      </c>
      <c r="F706" s="841">
        <v>45580</v>
      </c>
      <c r="G706" s="840" t="s">
        <v>273</v>
      </c>
      <c r="H706" s="842" t="s">
        <v>102</v>
      </c>
      <c r="I706" s="842"/>
      <c r="J706" s="841" t="s">
        <v>2430</v>
      </c>
      <c r="K706" s="841">
        <v>45424</v>
      </c>
      <c r="L706" s="843"/>
      <c r="M706" s="844" t="s">
        <v>275</v>
      </c>
      <c r="N706" s="841"/>
      <c r="O706" s="841" t="s">
        <v>1100</v>
      </c>
      <c r="P706" s="841" t="s">
        <v>124</v>
      </c>
      <c r="Q706" s="843"/>
      <c r="R706" s="845">
        <v>11726.24</v>
      </c>
      <c r="S706" s="1127" t="s">
        <v>2445</v>
      </c>
      <c r="T706" s="843" t="s">
        <v>2446</v>
      </c>
      <c r="U706" s="842">
        <v>4</v>
      </c>
      <c r="V706" s="842" t="s">
        <v>3</v>
      </c>
      <c r="W706" s="846">
        <v>52.52</v>
      </c>
      <c r="X706" s="847">
        <f t="shared" ref="X706:X769" si="138">W706*U706</f>
        <v>210.08</v>
      </c>
      <c r="Y706" s="848">
        <v>0.5</v>
      </c>
      <c r="Z706" s="849">
        <v>26.26</v>
      </c>
      <c r="AA706" s="849"/>
      <c r="AB706" s="849">
        <f t="shared" ref="AB706:AB769" si="139">IF(AA706="F.O.C", 0, Z706*U706)</f>
        <v>105.04</v>
      </c>
      <c r="AC706" s="850">
        <f t="shared" ref="AC706:AC769" si="140">Z706*U706</f>
        <v>105.04</v>
      </c>
      <c r="AD706" s="851"/>
      <c r="AE706" s="852">
        <v>26353.87</v>
      </c>
      <c r="AF706" s="853">
        <v>0.1</v>
      </c>
      <c r="AG706" s="854">
        <f t="shared" ref="AG706:AG769" si="141">(AC706*AE706+BO706+BP706+BQ706+BS706)*AF706</f>
        <v>401882.83642974665</v>
      </c>
      <c r="AH706" s="853"/>
      <c r="AI706" s="855">
        <f t="shared" ref="AI706:AI769" si="142">(AC706*AE706+AG706+BF706+BG706+BH706+BJ706)*AH706</f>
        <v>0</v>
      </c>
      <c r="AJ706" s="845" t="s">
        <v>2392</v>
      </c>
      <c r="AK706" s="857">
        <v>45515</v>
      </c>
      <c r="AL706" s="840" t="s">
        <v>2393</v>
      </c>
      <c r="AM706" s="840"/>
      <c r="AN706" s="858"/>
      <c r="AO706" s="844" t="s">
        <v>116</v>
      </c>
      <c r="AP706" s="859">
        <v>45607</v>
      </c>
      <c r="AQ706" s="859">
        <v>45607</v>
      </c>
      <c r="AR706" s="859" t="s">
        <v>2394</v>
      </c>
      <c r="AS706" s="840" t="s">
        <v>1088</v>
      </c>
      <c r="AT706" s="840" t="s">
        <v>1089</v>
      </c>
      <c r="AU706" s="860" t="s">
        <v>1210</v>
      </c>
      <c r="AV706" s="839" t="s">
        <v>2395</v>
      </c>
      <c r="AW706" s="861">
        <v>45616</v>
      </c>
      <c r="AX706" s="862" t="s">
        <v>2433</v>
      </c>
      <c r="AY706" s="843"/>
      <c r="AZ706" s="842">
        <v>73269099</v>
      </c>
      <c r="BA706" s="842" t="s">
        <v>120</v>
      </c>
      <c r="BB706" s="863" t="s">
        <v>121</v>
      </c>
      <c r="BC706" s="864">
        <v>45618</v>
      </c>
      <c r="BD706" s="860" t="s">
        <v>2434</v>
      </c>
      <c r="BE706" s="865" cm="1">
        <f t="array" ref="BE706">IF(BD706="","",AC706/SUMPRODUCT(--(BD706=$BD$4:$BD$12824),$AC$4:$AC$12824))</f>
        <v>5.8430541417040772E-2</v>
      </c>
      <c r="BF706" s="458"/>
      <c r="BG706" s="458"/>
      <c r="BH706" s="458"/>
      <c r="BI706" s="458"/>
      <c r="BJ706" s="458"/>
      <c r="BK706" s="458"/>
      <c r="BL706" s="458"/>
      <c r="BM706" s="458"/>
      <c r="BN706" s="458"/>
      <c r="BO706" s="866">
        <f>VLOOKUP(BD706,$BD$4:$BN$12824,3,0)*BE706</f>
        <v>1236010.2241432064</v>
      </c>
      <c r="BP706" s="866"/>
      <c r="BQ706" s="866"/>
      <c r="BR706" s="866">
        <f>VLOOKUP(BD706,$BD$4:$BN$12824,6,0)*BE706</f>
        <v>90984.766984296541</v>
      </c>
      <c r="BS706" s="866">
        <f>VLOOKUP(BD706,$BD$4:$BN$12824,7,0)*BE706</f>
        <v>14607.635354260194</v>
      </c>
      <c r="BT706" s="866"/>
      <c r="BU706" s="866">
        <f>VLOOKUP(BD706,$BD$4:$BN$12824,9,0)*BE706</f>
        <v>0</v>
      </c>
      <c r="BV706" s="867"/>
      <c r="BW706" s="867">
        <f>VLOOKUP(BD706,$BD$4:$BN$12824,11,0)*BE706</f>
        <v>35058.324850224461</v>
      </c>
      <c r="BX706" s="1146">
        <f t="shared" ref="BX706:BX746" si="143">SUM(BO706:BW706)</f>
        <v>1376660.9513319875</v>
      </c>
      <c r="BY706" s="867">
        <f t="shared" si="131"/>
        <v>1136688.5731404335</v>
      </c>
      <c r="BZ706" s="867">
        <f t="shared" ref="BZ706:BZ769" si="144">BY706*U706</f>
        <v>4546754.2925617341</v>
      </c>
      <c r="CA706" s="867">
        <f>_xlfn.MAXIFS($BY$4:$BY$12824,$S$4:$S$12824,$S706)</f>
        <v>1136688.5731404335</v>
      </c>
      <c r="CB706" s="1032"/>
      <c r="CF706" s="946">
        <f t="shared" si="130"/>
        <v>2768210.5048000002</v>
      </c>
    </row>
    <row r="707" spans="1:84">
      <c r="A707" s="1032"/>
      <c r="B707" s="839" t="s">
        <v>98</v>
      </c>
      <c r="C707" s="839" t="s">
        <v>273</v>
      </c>
      <c r="D707" s="839" t="s">
        <v>2428</v>
      </c>
      <c r="E707" s="839" t="s">
        <v>2429</v>
      </c>
      <c r="F707" s="841">
        <v>45580</v>
      </c>
      <c r="G707" s="840" t="s">
        <v>273</v>
      </c>
      <c r="H707" s="842" t="s">
        <v>102</v>
      </c>
      <c r="I707" s="842"/>
      <c r="J707" s="841" t="s">
        <v>2430</v>
      </c>
      <c r="K707" s="841">
        <v>45424</v>
      </c>
      <c r="L707" s="843"/>
      <c r="M707" s="844" t="s">
        <v>275</v>
      </c>
      <c r="N707" s="841"/>
      <c r="O707" s="841" t="s">
        <v>1100</v>
      </c>
      <c r="P707" s="841" t="s">
        <v>124</v>
      </c>
      <c r="Q707" s="843"/>
      <c r="R707" s="845">
        <v>11727.24</v>
      </c>
      <c r="S707" s="1127" t="s">
        <v>2447</v>
      </c>
      <c r="T707" s="843" t="s">
        <v>2448</v>
      </c>
      <c r="U707" s="842">
        <v>3</v>
      </c>
      <c r="V707" s="842" t="s">
        <v>3</v>
      </c>
      <c r="W707" s="846">
        <v>43.68</v>
      </c>
      <c r="X707" s="847">
        <f t="shared" si="138"/>
        <v>131.04</v>
      </c>
      <c r="Y707" s="848">
        <v>0.5</v>
      </c>
      <c r="Z707" s="849">
        <v>21.84</v>
      </c>
      <c r="AA707" s="849"/>
      <c r="AB707" s="849">
        <f t="shared" si="139"/>
        <v>65.52</v>
      </c>
      <c r="AC707" s="850">
        <f t="shared" si="140"/>
        <v>65.52</v>
      </c>
      <c r="AD707" s="851"/>
      <c r="AE707" s="852">
        <v>26353.87</v>
      </c>
      <c r="AF707" s="853">
        <v>0.1</v>
      </c>
      <c r="AG707" s="854">
        <f t="shared" si="141"/>
        <v>250679.39302053503</v>
      </c>
      <c r="AH707" s="853"/>
      <c r="AI707" s="855">
        <f t="shared" si="142"/>
        <v>0</v>
      </c>
      <c r="AJ707" s="845" t="s">
        <v>2392</v>
      </c>
      <c r="AK707" s="857">
        <v>45515</v>
      </c>
      <c r="AL707" s="840" t="s">
        <v>2393</v>
      </c>
      <c r="AM707" s="840"/>
      <c r="AN707" s="858"/>
      <c r="AO707" s="844" t="s">
        <v>116</v>
      </c>
      <c r="AP707" s="859">
        <v>45607</v>
      </c>
      <c r="AQ707" s="859">
        <v>45607</v>
      </c>
      <c r="AR707" s="859" t="s">
        <v>2394</v>
      </c>
      <c r="AS707" s="840" t="s">
        <v>1088</v>
      </c>
      <c r="AT707" s="840" t="s">
        <v>1089</v>
      </c>
      <c r="AU707" s="860" t="s">
        <v>1210</v>
      </c>
      <c r="AV707" s="839" t="s">
        <v>2395</v>
      </c>
      <c r="AW707" s="861">
        <v>45616</v>
      </c>
      <c r="AX707" s="862" t="s">
        <v>2433</v>
      </c>
      <c r="AY707" s="843"/>
      <c r="AZ707" s="842">
        <v>73269099</v>
      </c>
      <c r="BA707" s="842" t="s">
        <v>120</v>
      </c>
      <c r="BB707" s="863" t="s">
        <v>121</v>
      </c>
      <c r="BC707" s="864">
        <v>45618</v>
      </c>
      <c r="BD707" s="860" t="s">
        <v>2434</v>
      </c>
      <c r="BE707" s="865" cm="1">
        <f t="array" ref="BE707">IF(BD707="","",AC707/SUMPRODUCT(--(BD707=$BD$4:$BD$12824),$AC$4:$AC$12824))</f>
        <v>3.6446773359144244E-2</v>
      </c>
      <c r="BF707" s="458"/>
      <c r="BG707" s="458"/>
      <c r="BH707" s="458"/>
      <c r="BI707" s="458"/>
      <c r="BJ707" s="458"/>
      <c r="BK707" s="458"/>
      <c r="BL707" s="458"/>
      <c r="BM707" s="458"/>
      <c r="BN707" s="458"/>
      <c r="BO707" s="866">
        <f>VLOOKUP(BD707,$BD$4:$BN$12824,3,0)*BE707</f>
        <v>770976.67446556431</v>
      </c>
      <c r="BP707" s="866"/>
      <c r="BQ707" s="866"/>
      <c r="BR707" s="866">
        <f>VLOOKUP(BD707,$BD$4:$BN$12824,6,0)*BE707</f>
        <v>56752.874455551304</v>
      </c>
      <c r="BS707" s="866">
        <f>VLOOKUP(BD707,$BD$4:$BN$12824,7,0)*BE707</f>
        <v>9111.6933397860612</v>
      </c>
      <c r="BT707" s="866"/>
      <c r="BU707" s="866">
        <f>VLOOKUP(BD707,$BD$4:$BN$12824,9,0)*BE707</f>
        <v>0</v>
      </c>
      <c r="BV707" s="867"/>
      <c r="BW707" s="867">
        <f>VLOOKUP(BD707,$BD$4:$BN$12824,11,0)*BE707</f>
        <v>21868.064015486547</v>
      </c>
      <c r="BX707" s="1146">
        <f t="shared" si="143"/>
        <v>858709.30627638812</v>
      </c>
      <c r="BY707" s="867">
        <f t="shared" si="131"/>
        <v>945364.75389897439</v>
      </c>
      <c r="BZ707" s="867">
        <f t="shared" si="144"/>
        <v>2836094.2616969231</v>
      </c>
      <c r="CA707" s="867">
        <f>_xlfn.MAXIFS($BY$4:$BY$12824,$S$4:$S$12824,$S707)</f>
        <v>945364.75389897439</v>
      </c>
      <c r="CB707" s="1032"/>
      <c r="CF707" s="946">
        <f t="shared" si="130"/>
        <v>1726705.5623999999</v>
      </c>
    </row>
    <row r="708" spans="1:84">
      <c r="A708" s="1032"/>
      <c r="B708" s="839" t="s">
        <v>98</v>
      </c>
      <c r="C708" s="839" t="s">
        <v>273</v>
      </c>
      <c r="D708" s="839" t="s">
        <v>2428</v>
      </c>
      <c r="E708" s="839" t="s">
        <v>2429</v>
      </c>
      <c r="F708" s="841">
        <v>45580</v>
      </c>
      <c r="G708" s="840" t="s">
        <v>273</v>
      </c>
      <c r="H708" s="842" t="s">
        <v>102</v>
      </c>
      <c r="I708" s="842"/>
      <c r="J708" s="841" t="s">
        <v>2430</v>
      </c>
      <c r="K708" s="841">
        <v>45424</v>
      </c>
      <c r="L708" s="843"/>
      <c r="M708" s="844" t="s">
        <v>275</v>
      </c>
      <c r="N708" s="841"/>
      <c r="O708" s="841" t="s">
        <v>1100</v>
      </c>
      <c r="P708" s="841" t="s">
        <v>124</v>
      </c>
      <c r="Q708" s="843"/>
      <c r="R708" s="845">
        <v>10734</v>
      </c>
      <c r="S708" s="1127" t="s">
        <v>2449</v>
      </c>
      <c r="T708" s="843" t="s">
        <v>2450</v>
      </c>
      <c r="U708" s="842">
        <v>12</v>
      </c>
      <c r="V708" s="842" t="s">
        <v>3</v>
      </c>
      <c r="W708" s="846">
        <v>60.06</v>
      </c>
      <c r="X708" s="847">
        <f t="shared" si="138"/>
        <v>720.72</v>
      </c>
      <c r="Y708" s="848">
        <v>0.5</v>
      </c>
      <c r="Z708" s="849">
        <v>30.03</v>
      </c>
      <c r="AA708" s="849"/>
      <c r="AB708" s="849">
        <f t="shared" si="139"/>
        <v>360.36</v>
      </c>
      <c r="AC708" s="850">
        <f t="shared" si="140"/>
        <v>360.36</v>
      </c>
      <c r="AD708" s="851"/>
      <c r="AE708" s="852">
        <v>26353.87</v>
      </c>
      <c r="AF708" s="853">
        <v>0.1</v>
      </c>
      <c r="AG708" s="854">
        <f t="shared" si="141"/>
        <v>1378736.6616129428</v>
      </c>
      <c r="AH708" s="853"/>
      <c r="AI708" s="855">
        <f t="shared" si="142"/>
        <v>0</v>
      </c>
      <c r="AJ708" s="845" t="s">
        <v>2392</v>
      </c>
      <c r="AK708" s="857">
        <v>45515</v>
      </c>
      <c r="AL708" s="840" t="s">
        <v>2393</v>
      </c>
      <c r="AM708" s="840"/>
      <c r="AN708" s="858"/>
      <c r="AO708" s="844" t="s">
        <v>116</v>
      </c>
      <c r="AP708" s="859">
        <v>45607</v>
      </c>
      <c r="AQ708" s="859">
        <v>45607</v>
      </c>
      <c r="AR708" s="859" t="s">
        <v>2394</v>
      </c>
      <c r="AS708" s="840" t="s">
        <v>1088</v>
      </c>
      <c r="AT708" s="840" t="s">
        <v>1089</v>
      </c>
      <c r="AU708" s="860" t="s">
        <v>1210</v>
      </c>
      <c r="AV708" s="839" t="s">
        <v>2395</v>
      </c>
      <c r="AW708" s="861">
        <v>45616</v>
      </c>
      <c r="AX708" s="862" t="s">
        <v>2433</v>
      </c>
      <c r="AY708" s="843"/>
      <c r="AZ708" s="842">
        <v>73269099</v>
      </c>
      <c r="BA708" s="842" t="s">
        <v>120</v>
      </c>
      <c r="BB708" s="863" t="s">
        <v>121</v>
      </c>
      <c r="BC708" s="864">
        <v>45618</v>
      </c>
      <c r="BD708" s="860" t="s">
        <v>2434</v>
      </c>
      <c r="BE708" s="865" cm="1">
        <f t="array" ref="BE708">IF(BD708="","",AC708/SUMPRODUCT(--(BD708=$BD$4:$BD$12824),$AC$4:$AC$12824))</f>
        <v>0.20045725347529333</v>
      </c>
      <c r="BF708" s="458"/>
      <c r="BG708" s="458"/>
      <c r="BH708" s="458"/>
      <c r="BI708" s="458"/>
      <c r="BJ708" s="458"/>
      <c r="BK708" s="458"/>
      <c r="BL708" s="458"/>
      <c r="BM708" s="458"/>
      <c r="BN708" s="458"/>
      <c r="BO708" s="866">
        <f>VLOOKUP(BD708,$BD$4:$BN$12824,3,0)*BE708</f>
        <v>4240371.7095606038</v>
      </c>
      <c r="BP708" s="866"/>
      <c r="BQ708" s="866"/>
      <c r="BR708" s="866">
        <f>VLOOKUP(BD708,$BD$4:$BN$12824,6,0)*BE708</f>
        <v>312140.80950553215</v>
      </c>
      <c r="BS708" s="866">
        <f>VLOOKUP(BD708,$BD$4:$BN$12824,7,0)*BE708</f>
        <v>50114.313368823336</v>
      </c>
      <c r="BT708" s="866"/>
      <c r="BU708" s="866">
        <f>VLOOKUP(BD708,$BD$4:$BN$12824,9,0)*BE708</f>
        <v>0</v>
      </c>
      <c r="BV708" s="867"/>
      <c r="BW708" s="867">
        <f>VLOOKUP(BD708,$BD$4:$BN$12824,11,0)*BE708</f>
        <v>120274.352085176</v>
      </c>
      <c r="BX708" s="1146">
        <f t="shared" si="143"/>
        <v>4722901.1845201356</v>
      </c>
      <c r="BY708" s="867">
        <f t="shared" si="131"/>
        <v>1299876.5366110897</v>
      </c>
      <c r="BZ708" s="867">
        <f t="shared" si="144"/>
        <v>15598518.439333078</v>
      </c>
      <c r="CA708" s="867">
        <f>_xlfn.MAXIFS($BY$4:$BY$12824,$S$4:$S$12824,$S708)</f>
        <v>1299876.5366110897</v>
      </c>
      <c r="CB708" s="1032"/>
      <c r="CF708" s="946">
        <f t="shared" ref="CF708:CF771" si="145">AC708*AE708</f>
        <v>9496880.5932</v>
      </c>
    </row>
    <row r="709" spans="1:84">
      <c r="A709" s="1032"/>
      <c r="B709" s="839" t="s">
        <v>98</v>
      </c>
      <c r="C709" s="839" t="s">
        <v>273</v>
      </c>
      <c r="D709" s="839" t="s">
        <v>2428</v>
      </c>
      <c r="E709" s="839" t="s">
        <v>2429</v>
      </c>
      <c r="F709" s="841">
        <v>45580</v>
      </c>
      <c r="G709" s="840" t="s">
        <v>273</v>
      </c>
      <c r="H709" s="842" t="s">
        <v>102</v>
      </c>
      <c r="I709" s="842"/>
      <c r="J709" s="841" t="s">
        <v>2430</v>
      </c>
      <c r="K709" s="841">
        <v>45424</v>
      </c>
      <c r="L709" s="843"/>
      <c r="M709" s="844" t="s">
        <v>275</v>
      </c>
      <c r="N709" s="841"/>
      <c r="O709" s="841" t="s">
        <v>1100</v>
      </c>
      <c r="P709" s="841" t="s">
        <v>124</v>
      </c>
      <c r="Q709" s="843"/>
      <c r="R709" s="845">
        <v>10734</v>
      </c>
      <c r="S709" s="1127" t="s">
        <v>2449</v>
      </c>
      <c r="T709" s="843" t="s">
        <v>2450</v>
      </c>
      <c r="U709" s="842">
        <v>12</v>
      </c>
      <c r="V709" s="842" t="s">
        <v>3</v>
      </c>
      <c r="W709" s="846">
        <v>10.01</v>
      </c>
      <c r="X709" s="847">
        <f t="shared" si="138"/>
        <v>120.12</v>
      </c>
      <c r="Y709" s="848">
        <v>0.5</v>
      </c>
      <c r="Z709" s="849">
        <v>5.0049999999999999</v>
      </c>
      <c r="AA709" s="849"/>
      <c r="AB709" s="849">
        <f t="shared" si="139"/>
        <v>60.06</v>
      </c>
      <c r="AC709" s="850">
        <f t="shared" si="140"/>
        <v>60.06</v>
      </c>
      <c r="AD709" s="851"/>
      <c r="AE709" s="852">
        <v>26353.87</v>
      </c>
      <c r="AF709" s="853">
        <v>0.1</v>
      </c>
      <c r="AG709" s="854">
        <f t="shared" si="141"/>
        <v>229789.44360215712</v>
      </c>
      <c r="AH709" s="853"/>
      <c r="AI709" s="855">
        <f t="shared" si="142"/>
        <v>0</v>
      </c>
      <c r="AJ709" s="845" t="s">
        <v>2392</v>
      </c>
      <c r="AK709" s="857">
        <v>45515</v>
      </c>
      <c r="AL709" s="840" t="s">
        <v>2393</v>
      </c>
      <c r="AM709" s="840"/>
      <c r="AN709" s="858"/>
      <c r="AO709" s="844" t="s">
        <v>116</v>
      </c>
      <c r="AP709" s="859">
        <v>45607</v>
      </c>
      <c r="AQ709" s="859">
        <v>45607</v>
      </c>
      <c r="AR709" s="859" t="s">
        <v>2394</v>
      </c>
      <c r="AS709" s="840" t="s">
        <v>1088</v>
      </c>
      <c r="AT709" s="840" t="s">
        <v>1089</v>
      </c>
      <c r="AU709" s="860" t="s">
        <v>1210</v>
      </c>
      <c r="AV709" s="839" t="s">
        <v>2395</v>
      </c>
      <c r="AW709" s="861">
        <v>45616</v>
      </c>
      <c r="AX709" s="862" t="s">
        <v>2433</v>
      </c>
      <c r="AY709" s="843"/>
      <c r="AZ709" s="842">
        <v>73269099</v>
      </c>
      <c r="BA709" s="842" t="s">
        <v>120</v>
      </c>
      <c r="BB709" s="863" t="s">
        <v>121</v>
      </c>
      <c r="BC709" s="864">
        <v>45618</v>
      </c>
      <c r="BD709" s="860" t="s">
        <v>2434</v>
      </c>
      <c r="BE709" s="865" cm="1">
        <f t="array" ref="BE709">IF(BD709="","",AC709/SUMPRODUCT(--(BD709=$BD$4:$BD$12824),$AC$4:$AC$12824))</f>
        <v>3.3409542245882225E-2</v>
      </c>
      <c r="BF709" s="458"/>
      <c r="BG709" s="458"/>
      <c r="BH709" s="458"/>
      <c r="BI709" s="458"/>
      <c r="BJ709" s="458"/>
      <c r="BK709" s="458"/>
      <c r="BL709" s="458"/>
      <c r="BM709" s="458"/>
      <c r="BN709" s="458"/>
      <c r="BO709" s="866">
        <f>VLOOKUP(BD709,$BD$4:$BN$12824,3,0)*BE709</f>
        <v>706728.6182601006</v>
      </c>
      <c r="BP709" s="866"/>
      <c r="BQ709" s="866"/>
      <c r="BR709" s="866">
        <f>VLOOKUP(BD709,$BD$4:$BN$12824,6,0)*BE709</f>
        <v>52023.468250922029</v>
      </c>
      <c r="BS709" s="866">
        <f>VLOOKUP(BD709,$BD$4:$BN$12824,7,0)*BE709</f>
        <v>8352.3855614705553</v>
      </c>
      <c r="BT709" s="866"/>
      <c r="BU709" s="866">
        <f>VLOOKUP(BD709,$BD$4:$BN$12824,9,0)*BE709</f>
        <v>0</v>
      </c>
      <c r="BV709" s="867"/>
      <c r="BW709" s="867">
        <f>VLOOKUP(BD709,$BD$4:$BN$12824,11,0)*BE709</f>
        <v>20045.725347529336</v>
      </c>
      <c r="BX709" s="1146">
        <f t="shared" si="143"/>
        <v>787150.19742002245</v>
      </c>
      <c r="BY709" s="867">
        <f t="shared" si="131"/>
        <v>216646.08943518161</v>
      </c>
      <c r="BZ709" s="867">
        <f t="shared" si="144"/>
        <v>2599753.0732221794</v>
      </c>
      <c r="CA709" s="867">
        <f>_xlfn.MAXIFS($BY$4:$BY$12824,$S$4:$S$12824,$S709)</f>
        <v>1299876.5366110897</v>
      </c>
      <c r="CB709" s="1032"/>
      <c r="CF709" s="946">
        <f t="shared" si="145"/>
        <v>1582813.4321999999</v>
      </c>
    </row>
    <row r="710" spans="1:84">
      <c r="A710" s="1032"/>
      <c r="B710" s="839" t="s">
        <v>98</v>
      </c>
      <c r="C710" s="839" t="s">
        <v>273</v>
      </c>
      <c r="D710" s="839" t="s">
        <v>2428</v>
      </c>
      <c r="E710" s="839" t="s">
        <v>2429</v>
      </c>
      <c r="F710" s="841">
        <v>45580</v>
      </c>
      <c r="G710" s="840" t="s">
        <v>273</v>
      </c>
      <c r="H710" s="842" t="s">
        <v>102</v>
      </c>
      <c r="I710" s="842"/>
      <c r="J710" s="841" t="s">
        <v>2430</v>
      </c>
      <c r="K710" s="841">
        <v>45424</v>
      </c>
      <c r="L710" s="843"/>
      <c r="M710" s="844" t="s">
        <v>275</v>
      </c>
      <c r="N710" s="841"/>
      <c r="O710" s="841" t="s">
        <v>1100</v>
      </c>
      <c r="P710" s="841" t="s">
        <v>124</v>
      </c>
      <c r="Q710" s="843"/>
      <c r="R710" s="845">
        <v>11067.23</v>
      </c>
      <c r="S710" s="1127" t="s">
        <v>2451</v>
      </c>
      <c r="T710" s="843" t="s">
        <v>2452</v>
      </c>
      <c r="U710" s="842">
        <v>1</v>
      </c>
      <c r="V710" s="842" t="s">
        <v>3</v>
      </c>
      <c r="W710" s="846">
        <v>85.36</v>
      </c>
      <c r="X710" s="847">
        <f t="shared" si="138"/>
        <v>85.36</v>
      </c>
      <c r="Y710" s="848">
        <v>0.5</v>
      </c>
      <c r="Z710" s="849">
        <v>42.68</v>
      </c>
      <c r="AA710" s="849"/>
      <c r="AB710" s="849">
        <f t="shared" si="139"/>
        <v>42.68</v>
      </c>
      <c r="AC710" s="850">
        <f t="shared" si="140"/>
        <v>42.68</v>
      </c>
      <c r="AD710" s="851"/>
      <c r="AE710" s="852">
        <v>26353.87</v>
      </c>
      <c r="AF710" s="853">
        <v>0.1</v>
      </c>
      <c r="AG710" s="854">
        <f t="shared" si="141"/>
        <v>163293.59728504939</v>
      </c>
      <c r="AH710" s="853"/>
      <c r="AI710" s="855">
        <f t="shared" si="142"/>
        <v>0</v>
      </c>
      <c r="AJ710" s="845" t="s">
        <v>2392</v>
      </c>
      <c r="AK710" s="857">
        <v>45515</v>
      </c>
      <c r="AL710" s="840" t="s">
        <v>2393</v>
      </c>
      <c r="AM710" s="840"/>
      <c r="AN710" s="858"/>
      <c r="AO710" s="844" t="s">
        <v>116</v>
      </c>
      <c r="AP710" s="859">
        <v>45607</v>
      </c>
      <c r="AQ710" s="859">
        <v>45607</v>
      </c>
      <c r="AR710" s="859" t="s">
        <v>2394</v>
      </c>
      <c r="AS710" s="840" t="s">
        <v>1088</v>
      </c>
      <c r="AT710" s="840" t="s">
        <v>1089</v>
      </c>
      <c r="AU710" s="860" t="s">
        <v>1210</v>
      </c>
      <c r="AV710" s="839" t="s">
        <v>2395</v>
      </c>
      <c r="AW710" s="861">
        <v>45616</v>
      </c>
      <c r="AX710" s="862" t="s">
        <v>2433</v>
      </c>
      <c r="AY710" s="843"/>
      <c r="AZ710" s="842">
        <v>73269099</v>
      </c>
      <c r="BA710" s="842" t="s">
        <v>120</v>
      </c>
      <c r="BB710" s="863" t="s">
        <v>121</v>
      </c>
      <c r="BC710" s="864">
        <v>45618</v>
      </c>
      <c r="BD710" s="860" t="s">
        <v>2434</v>
      </c>
      <c r="BE710" s="865" cm="1">
        <f t="array" ref="BE710">IF(BD710="","",AC710/SUMPRODUCT(--(BD710=$BD$4:$BD$12824),$AC$4:$AC$12824))</f>
        <v>2.3741579471432787E-2</v>
      </c>
      <c r="BF710" s="458"/>
      <c r="BG710" s="458"/>
      <c r="BH710" s="458"/>
      <c r="BI710" s="458"/>
      <c r="BJ710" s="458"/>
      <c r="BK710" s="458"/>
      <c r="BL710" s="458"/>
      <c r="BM710" s="458"/>
      <c r="BN710" s="458"/>
      <c r="BO710" s="866">
        <f>VLOOKUP(BD710,$BD$4:$BN$12824,3,0)*BE710</f>
        <v>502217.40638263559</v>
      </c>
      <c r="BP710" s="866"/>
      <c r="BQ710" s="866"/>
      <c r="BR710" s="866">
        <f>VLOOKUP(BD710,$BD$4:$BN$12824,6,0)*BE710</f>
        <v>36969.058024464735</v>
      </c>
      <c r="BS710" s="866">
        <f>VLOOKUP(BD710,$BD$4:$BN$12824,7,0)*BE710</f>
        <v>5935.3948678581964</v>
      </c>
      <c r="BT710" s="866"/>
      <c r="BU710" s="866">
        <f>VLOOKUP(BD710,$BD$4:$BN$12824,9,0)*BE710</f>
        <v>0</v>
      </c>
      <c r="BV710" s="867"/>
      <c r="BW710" s="867">
        <f>VLOOKUP(BD710,$BD$4:$BN$12824,11,0)*BE710</f>
        <v>14244.947682859673</v>
      </c>
      <c r="BX710" s="1146">
        <f t="shared" si="143"/>
        <v>559366.80695781822</v>
      </c>
      <c r="BY710" s="867">
        <f t="shared" ref="BY710:BY773" si="146">(AB710*AE710+AG710+BX710)/U710</f>
        <v>1847443.5758428676</v>
      </c>
      <c r="BZ710" s="867">
        <f t="shared" si="144"/>
        <v>1847443.5758428676</v>
      </c>
      <c r="CA710" s="867">
        <f>_xlfn.MAXIFS($BY$4:$BY$12824,$S$4:$S$12824,$S710)</f>
        <v>1847443.5758428676</v>
      </c>
      <c r="CB710" s="1032"/>
      <c r="CF710" s="946">
        <f t="shared" si="145"/>
        <v>1124783.1716</v>
      </c>
    </row>
    <row r="711" spans="1:84">
      <c r="A711" s="1032"/>
      <c r="B711" s="839" t="s">
        <v>98</v>
      </c>
      <c r="C711" s="839" t="s">
        <v>273</v>
      </c>
      <c r="D711" s="839" t="s">
        <v>2428</v>
      </c>
      <c r="E711" s="839" t="s">
        <v>2429</v>
      </c>
      <c r="F711" s="841">
        <v>45580</v>
      </c>
      <c r="G711" s="840" t="s">
        <v>273</v>
      </c>
      <c r="H711" s="842" t="s">
        <v>102</v>
      </c>
      <c r="I711" s="842"/>
      <c r="J711" s="841" t="s">
        <v>2430</v>
      </c>
      <c r="K711" s="841">
        <v>45424</v>
      </c>
      <c r="L711" s="843"/>
      <c r="M711" s="844" t="s">
        <v>275</v>
      </c>
      <c r="N711" s="841"/>
      <c r="O711" s="841" t="s">
        <v>1100</v>
      </c>
      <c r="P711" s="841" t="s">
        <v>124</v>
      </c>
      <c r="Q711" s="843"/>
      <c r="R711" s="845">
        <v>11203.23</v>
      </c>
      <c r="S711" s="1127" t="s">
        <v>2453</v>
      </c>
      <c r="T711" s="843" t="s">
        <v>2454</v>
      </c>
      <c r="U711" s="842">
        <v>4</v>
      </c>
      <c r="V711" s="842" t="s">
        <v>3</v>
      </c>
      <c r="W711" s="846">
        <v>50.68</v>
      </c>
      <c r="X711" s="847">
        <f t="shared" si="138"/>
        <v>202.72</v>
      </c>
      <c r="Y711" s="848">
        <v>0.5</v>
      </c>
      <c r="Z711" s="849">
        <v>25.34</v>
      </c>
      <c r="AA711" s="849"/>
      <c r="AB711" s="849">
        <f t="shared" si="139"/>
        <v>101.36</v>
      </c>
      <c r="AC711" s="850">
        <f t="shared" si="140"/>
        <v>101.36</v>
      </c>
      <c r="AD711" s="851"/>
      <c r="AE711" s="852">
        <v>26353.87</v>
      </c>
      <c r="AF711" s="853">
        <v>0.1</v>
      </c>
      <c r="AG711" s="854">
        <f t="shared" si="141"/>
        <v>387803.16356168245</v>
      </c>
      <c r="AH711" s="853"/>
      <c r="AI711" s="855">
        <f t="shared" si="142"/>
        <v>0</v>
      </c>
      <c r="AJ711" s="845" t="s">
        <v>2392</v>
      </c>
      <c r="AK711" s="857">
        <v>45515</v>
      </c>
      <c r="AL711" s="840" t="s">
        <v>2393</v>
      </c>
      <c r="AM711" s="840"/>
      <c r="AN711" s="858"/>
      <c r="AO711" s="844" t="s">
        <v>116</v>
      </c>
      <c r="AP711" s="859">
        <v>45607</v>
      </c>
      <c r="AQ711" s="859">
        <v>45607</v>
      </c>
      <c r="AR711" s="859" t="s">
        <v>2394</v>
      </c>
      <c r="AS711" s="840" t="s">
        <v>1088</v>
      </c>
      <c r="AT711" s="840" t="s">
        <v>1089</v>
      </c>
      <c r="AU711" s="860" t="s">
        <v>1210</v>
      </c>
      <c r="AV711" s="839" t="s">
        <v>2395</v>
      </c>
      <c r="AW711" s="861">
        <v>45616</v>
      </c>
      <c r="AX711" s="862" t="s">
        <v>2433</v>
      </c>
      <c r="AY711" s="843"/>
      <c r="AZ711" s="842">
        <v>73269099</v>
      </c>
      <c r="BA711" s="842" t="s">
        <v>120</v>
      </c>
      <c r="BB711" s="863" t="s">
        <v>121</v>
      </c>
      <c r="BC711" s="864">
        <v>45618</v>
      </c>
      <c r="BD711" s="860" t="s">
        <v>2434</v>
      </c>
      <c r="BE711" s="865" cm="1">
        <f t="array" ref="BE711">IF(BD711="","",AC711/SUMPRODUCT(--(BD711=$BD$4:$BD$12824),$AC$4:$AC$12824))</f>
        <v>5.6383469897479555E-2</v>
      </c>
      <c r="BF711" s="458"/>
      <c r="BG711" s="458"/>
      <c r="BH711" s="458"/>
      <c r="BI711" s="458"/>
      <c r="BJ711" s="458"/>
      <c r="BK711" s="458"/>
      <c r="BL711" s="458"/>
      <c r="BM711" s="458"/>
      <c r="BN711" s="458"/>
      <c r="BO711" s="866">
        <f>VLOOKUP(BD711,$BD$4:$BN$12824,3,0)*BE711</f>
        <v>1192707.5049424542</v>
      </c>
      <c r="BP711" s="866"/>
      <c r="BQ711" s="866"/>
      <c r="BR711" s="866">
        <f>VLOOKUP(BD711,$BD$4:$BN$12824,6,0)*BE711</f>
        <v>87797.181850040899</v>
      </c>
      <c r="BS711" s="866">
        <f>VLOOKUP(BD711,$BD$4:$BN$12824,7,0)*BE711</f>
        <v>14095.867474369888</v>
      </c>
      <c r="BT711" s="866"/>
      <c r="BU711" s="866">
        <f>VLOOKUP(BD711,$BD$4:$BN$12824,9,0)*BE711</f>
        <v>0</v>
      </c>
      <c r="BV711" s="867"/>
      <c r="BW711" s="867">
        <f>VLOOKUP(BD711,$BD$4:$BN$12824,11,0)*BE711</f>
        <v>33830.081938487732</v>
      </c>
      <c r="BX711" s="1146">
        <f t="shared" si="143"/>
        <v>1328430.6362053526</v>
      </c>
      <c r="BY711" s="867">
        <f t="shared" si="146"/>
        <v>1096865.5157417587</v>
      </c>
      <c r="BZ711" s="867">
        <f t="shared" si="144"/>
        <v>4387462.062967035</v>
      </c>
      <c r="CA711" s="867">
        <f>_xlfn.MAXIFS($BY$4:$BY$12824,$S$4:$S$12824,$S711)</f>
        <v>1096865.5157417587</v>
      </c>
      <c r="CB711" s="1032"/>
      <c r="CF711" s="946">
        <f t="shared" si="145"/>
        <v>2671228.2631999999</v>
      </c>
    </row>
    <row r="712" spans="1:84">
      <c r="A712" s="1032"/>
      <c r="B712" s="839" t="s">
        <v>98</v>
      </c>
      <c r="C712" s="839" t="s">
        <v>273</v>
      </c>
      <c r="D712" s="839" t="s">
        <v>2428</v>
      </c>
      <c r="E712" s="839" t="s">
        <v>2429</v>
      </c>
      <c r="F712" s="841">
        <v>45580</v>
      </c>
      <c r="G712" s="840" t="s">
        <v>273</v>
      </c>
      <c r="H712" s="842" t="s">
        <v>102</v>
      </c>
      <c r="I712" s="842"/>
      <c r="J712" s="841" t="s">
        <v>2430</v>
      </c>
      <c r="K712" s="841">
        <v>45424</v>
      </c>
      <c r="L712" s="843"/>
      <c r="M712" s="844" t="s">
        <v>275</v>
      </c>
      <c r="N712" s="841"/>
      <c r="O712" s="841" t="s">
        <v>1100</v>
      </c>
      <c r="P712" s="841" t="s">
        <v>124</v>
      </c>
      <c r="Q712" s="843"/>
      <c r="R712" s="845">
        <v>11204.23</v>
      </c>
      <c r="S712" s="1127" t="s">
        <v>2455</v>
      </c>
      <c r="T712" s="843" t="s">
        <v>2456</v>
      </c>
      <c r="U712" s="842">
        <v>4</v>
      </c>
      <c r="V712" s="842" t="s">
        <v>3</v>
      </c>
      <c r="W712" s="846">
        <v>41.77</v>
      </c>
      <c r="X712" s="847">
        <f t="shared" si="138"/>
        <v>167.08</v>
      </c>
      <c r="Y712" s="848">
        <v>0.5</v>
      </c>
      <c r="Z712" s="849">
        <v>20.885000000000002</v>
      </c>
      <c r="AA712" s="849"/>
      <c r="AB712" s="849">
        <f t="shared" si="139"/>
        <v>83.54</v>
      </c>
      <c r="AC712" s="850">
        <f t="shared" si="140"/>
        <v>83.54</v>
      </c>
      <c r="AD712" s="851"/>
      <c r="AE712" s="852">
        <v>26353.87</v>
      </c>
      <c r="AF712" s="853">
        <v>0.1</v>
      </c>
      <c r="AG712" s="854">
        <f t="shared" si="141"/>
        <v>319623.87809730618</v>
      </c>
      <c r="AH712" s="853"/>
      <c r="AI712" s="855">
        <f t="shared" si="142"/>
        <v>0</v>
      </c>
      <c r="AJ712" s="845" t="s">
        <v>2392</v>
      </c>
      <c r="AK712" s="857">
        <v>45515</v>
      </c>
      <c r="AL712" s="840" t="s">
        <v>2393</v>
      </c>
      <c r="AM712" s="840"/>
      <c r="AN712" s="858"/>
      <c r="AO712" s="844" t="s">
        <v>116</v>
      </c>
      <c r="AP712" s="859">
        <v>45607</v>
      </c>
      <c r="AQ712" s="859">
        <v>45607</v>
      </c>
      <c r="AR712" s="859" t="s">
        <v>2394</v>
      </c>
      <c r="AS712" s="840" t="s">
        <v>1088</v>
      </c>
      <c r="AT712" s="840" t="s">
        <v>1089</v>
      </c>
      <c r="AU712" s="860" t="s">
        <v>1210</v>
      </c>
      <c r="AV712" s="839" t="s">
        <v>2395</v>
      </c>
      <c r="AW712" s="861">
        <v>45616</v>
      </c>
      <c r="AX712" s="862" t="s">
        <v>2433</v>
      </c>
      <c r="AY712" s="843"/>
      <c r="AZ712" s="842">
        <v>73269099</v>
      </c>
      <c r="BA712" s="842" t="s">
        <v>120</v>
      </c>
      <c r="BB712" s="863" t="s">
        <v>121</v>
      </c>
      <c r="BC712" s="864">
        <v>45618</v>
      </c>
      <c r="BD712" s="860" t="s">
        <v>2434</v>
      </c>
      <c r="BE712" s="865" cm="1">
        <f t="array" ref="BE712">IF(BD712="","",AC712/SUMPRODUCT(--(BD712=$BD$4:$BD$12824),$AC$4:$AC$12824))</f>
        <v>4.6470748571778242E-2</v>
      </c>
      <c r="BF712" s="458"/>
      <c r="BG712" s="458"/>
      <c r="BH712" s="458"/>
      <c r="BI712" s="458"/>
      <c r="BJ712" s="458"/>
      <c r="BK712" s="458"/>
      <c r="BL712" s="458"/>
      <c r="BM712" s="458"/>
      <c r="BN712" s="458"/>
      <c r="BO712" s="866">
        <f>VLOOKUP(BD712,$BD$4:$BN$12824,3,0)*BE712</f>
        <v>983018.79403011675</v>
      </c>
      <c r="BP712" s="866"/>
      <c r="BQ712" s="866"/>
      <c r="BR712" s="866">
        <f>VLOOKUP(BD712,$BD$4:$BN$12824,6,0)*BE712</f>
        <v>72361.647314053058</v>
      </c>
      <c r="BS712" s="866">
        <f>VLOOKUP(BD712,$BD$4:$BN$12824,7,0)*BE712</f>
        <v>11617.68714294456</v>
      </c>
      <c r="BT712" s="866"/>
      <c r="BU712" s="866">
        <f>VLOOKUP(BD712,$BD$4:$BN$12824,9,0)*BE712</f>
        <v>0</v>
      </c>
      <c r="BV712" s="867"/>
      <c r="BW712" s="867">
        <f>VLOOKUP(BD712,$BD$4:$BN$12824,11,0)*BE712</f>
        <v>27882.449143066944</v>
      </c>
      <c r="BX712" s="1146">
        <f t="shared" si="143"/>
        <v>1094880.5776301816</v>
      </c>
      <c r="BY712" s="867">
        <f t="shared" si="146"/>
        <v>904026.68888187199</v>
      </c>
      <c r="BZ712" s="867">
        <f t="shared" si="144"/>
        <v>3616106.755527488</v>
      </c>
      <c r="CA712" s="867">
        <f>_xlfn.MAXIFS($BY$4:$BY$12824,$S$4:$S$12824,$S712)</f>
        <v>904026.68888187199</v>
      </c>
      <c r="CB712" s="1032"/>
      <c r="CF712" s="946">
        <f t="shared" si="145"/>
        <v>2201602.2998000002</v>
      </c>
    </row>
    <row r="713" spans="1:84">
      <c r="A713" s="1032"/>
      <c r="B713" s="839" t="s">
        <v>98</v>
      </c>
      <c r="C713" s="839" t="s">
        <v>273</v>
      </c>
      <c r="D713" s="839" t="s">
        <v>2428</v>
      </c>
      <c r="E713" s="839" t="s">
        <v>2429</v>
      </c>
      <c r="F713" s="841">
        <v>45580</v>
      </c>
      <c r="G713" s="840" t="s">
        <v>273</v>
      </c>
      <c r="H713" s="842" t="s">
        <v>102</v>
      </c>
      <c r="I713" s="842"/>
      <c r="J713" s="841" t="s">
        <v>2430</v>
      </c>
      <c r="K713" s="841">
        <v>45424</v>
      </c>
      <c r="L713" s="843"/>
      <c r="M713" s="844" t="s">
        <v>275</v>
      </c>
      <c r="N713" s="841"/>
      <c r="O713" s="841" t="s">
        <v>1100</v>
      </c>
      <c r="P713" s="841" t="s">
        <v>124</v>
      </c>
      <c r="Q713" s="843"/>
      <c r="R713" s="845">
        <v>11213.23</v>
      </c>
      <c r="S713" s="1127" t="s">
        <v>2457</v>
      </c>
      <c r="T713" s="843" t="s">
        <v>2458</v>
      </c>
      <c r="U713" s="842">
        <v>2</v>
      </c>
      <c r="V713" s="842" t="s">
        <v>3</v>
      </c>
      <c r="W713" s="846">
        <v>41.77</v>
      </c>
      <c r="X713" s="847">
        <f t="shared" si="138"/>
        <v>83.54</v>
      </c>
      <c r="Y713" s="848">
        <v>0.5</v>
      </c>
      <c r="Z713" s="849">
        <v>20.885000000000002</v>
      </c>
      <c r="AA713" s="849"/>
      <c r="AB713" s="849">
        <f t="shared" si="139"/>
        <v>41.77</v>
      </c>
      <c r="AC713" s="850">
        <f t="shared" si="140"/>
        <v>41.77</v>
      </c>
      <c r="AD713" s="851"/>
      <c r="AE713" s="852">
        <v>26353.87</v>
      </c>
      <c r="AF713" s="853">
        <v>0.1</v>
      </c>
      <c r="AG713" s="854">
        <f t="shared" si="141"/>
        <v>159811.93904865309</v>
      </c>
      <c r="AH713" s="853"/>
      <c r="AI713" s="855">
        <f t="shared" si="142"/>
        <v>0</v>
      </c>
      <c r="AJ713" s="845" t="s">
        <v>2392</v>
      </c>
      <c r="AK713" s="857">
        <v>45515</v>
      </c>
      <c r="AL713" s="840" t="s">
        <v>2393</v>
      </c>
      <c r="AM713" s="840"/>
      <c r="AN713" s="858"/>
      <c r="AO713" s="844" t="s">
        <v>116</v>
      </c>
      <c r="AP713" s="859">
        <v>45607</v>
      </c>
      <c r="AQ713" s="859">
        <v>45607</v>
      </c>
      <c r="AR713" s="859" t="s">
        <v>2394</v>
      </c>
      <c r="AS713" s="840" t="s">
        <v>1088</v>
      </c>
      <c r="AT713" s="840" t="s">
        <v>1089</v>
      </c>
      <c r="AU713" s="860" t="s">
        <v>1210</v>
      </c>
      <c r="AV713" s="839" t="s">
        <v>2395</v>
      </c>
      <c r="AW713" s="861">
        <v>45616</v>
      </c>
      <c r="AX713" s="862" t="s">
        <v>2433</v>
      </c>
      <c r="AY713" s="843"/>
      <c r="AZ713" s="842">
        <v>73269099</v>
      </c>
      <c r="BA713" s="842" t="s">
        <v>120</v>
      </c>
      <c r="BB713" s="863" t="s">
        <v>121</v>
      </c>
      <c r="BC713" s="864">
        <v>45618</v>
      </c>
      <c r="BD713" s="860" t="s">
        <v>2434</v>
      </c>
      <c r="BE713" s="865" cm="1">
        <f t="array" ref="BE713">IF(BD713="","",AC713/SUMPRODUCT(--(BD713=$BD$4:$BD$12824),$AC$4:$AC$12824))</f>
        <v>2.3235374285889121E-2</v>
      </c>
      <c r="BF713" s="458"/>
      <c r="BG713" s="458"/>
      <c r="BH713" s="458"/>
      <c r="BI713" s="458"/>
      <c r="BJ713" s="458"/>
      <c r="BK713" s="458"/>
      <c r="BL713" s="458"/>
      <c r="BM713" s="458"/>
      <c r="BN713" s="458"/>
      <c r="BO713" s="866">
        <f>VLOOKUP(BD713,$BD$4:$BN$12824,3,0)*BE713</f>
        <v>491509.39701505838</v>
      </c>
      <c r="BP713" s="866"/>
      <c r="BQ713" s="866"/>
      <c r="BR713" s="866">
        <f>VLOOKUP(BD713,$BD$4:$BN$12824,6,0)*BE713</f>
        <v>36180.823657026529</v>
      </c>
      <c r="BS713" s="866">
        <f>VLOOKUP(BD713,$BD$4:$BN$12824,7,0)*BE713</f>
        <v>5808.84357147228</v>
      </c>
      <c r="BT713" s="866"/>
      <c r="BU713" s="866">
        <f>VLOOKUP(BD713,$BD$4:$BN$12824,9,0)*BE713</f>
        <v>0</v>
      </c>
      <c r="BV713" s="867"/>
      <c r="BW713" s="867">
        <f>VLOOKUP(BD713,$BD$4:$BN$12824,11,0)*BE713</f>
        <v>13941.224571533472</v>
      </c>
      <c r="BX713" s="1146">
        <f t="shared" si="143"/>
        <v>547440.28881509078</v>
      </c>
      <c r="BY713" s="867">
        <f t="shared" si="146"/>
        <v>904026.68888187199</v>
      </c>
      <c r="BZ713" s="867">
        <f t="shared" si="144"/>
        <v>1808053.377763744</v>
      </c>
      <c r="CA713" s="867">
        <f>_xlfn.MAXIFS($BY$4:$BY$12824,$S$4:$S$12824,$S713)</f>
        <v>904026.68888187199</v>
      </c>
      <c r="CB713" s="1032"/>
      <c r="CF713" s="946">
        <f t="shared" si="145"/>
        <v>1100801.1499000001</v>
      </c>
    </row>
    <row r="714" spans="1:84">
      <c r="A714" s="1032"/>
      <c r="B714" s="839" t="s">
        <v>98</v>
      </c>
      <c r="C714" s="839" t="s">
        <v>273</v>
      </c>
      <c r="D714" s="839" t="s">
        <v>2428</v>
      </c>
      <c r="E714" s="839" t="s">
        <v>2429</v>
      </c>
      <c r="F714" s="841">
        <v>45580</v>
      </c>
      <c r="G714" s="840" t="s">
        <v>273</v>
      </c>
      <c r="H714" s="842" t="s">
        <v>102</v>
      </c>
      <c r="I714" s="842"/>
      <c r="J714" s="841" t="s">
        <v>2430</v>
      </c>
      <c r="K714" s="841">
        <v>45424</v>
      </c>
      <c r="L714" s="843"/>
      <c r="M714" s="844" t="s">
        <v>275</v>
      </c>
      <c r="N714" s="841"/>
      <c r="O714" s="841" t="s">
        <v>1100</v>
      </c>
      <c r="P714" s="841" t="s">
        <v>124</v>
      </c>
      <c r="Q714" s="843"/>
      <c r="R714" s="845">
        <v>11213.23</v>
      </c>
      <c r="S714" s="1127" t="s">
        <v>2457</v>
      </c>
      <c r="T714" s="843" t="s">
        <v>2459</v>
      </c>
      <c r="U714" s="842">
        <v>2</v>
      </c>
      <c r="V714" s="842" t="s">
        <v>3</v>
      </c>
      <c r="W714" s="846">
        <v>41.77</v>
      </c>
      <c r="X714" s="847">
        <f t="shared" si="138"/>
        <v>83.54</v>
      </c>
      <c r="Y714" s="848">
        <v>0.5</v>
      </c>
      <c r="Z714" s="849">
        <v>20.885000000000002</v>
      </c>
      <c r="AA714" s="849"/>
      <c r="AB714" s="849">
        <f t="shared" si="139"/>
        <v>41.77</v>
      </c>
      <c r="AC714" s="850">
        <f t="shared" si="140"/>
        <v>41.77</v>
      </c>
      <c r="AD714" s="851"/>
      <c r="AE714" s="852">
        <v>26353.87</v>
      </c>
      <c r="AF714" s="853">
        <v>0.1</v>
      </c>
      <c r="AG714" s="854">
        <f t="shared" si="141"/>
        <v>159811.93904865309</v>
      </c>
      <c r="AH714" s="853"/>
      <c r="AI714" s="855">
        <f t="shared" si="142"/>
        <v>0</v>
      </c>
      <c r="AJ714" s="845" t="s">
        <v>2392</v>
      </c>
      <c r="AK714" s="857">
        <v>45515</v>
      </c>
      <c r="AL714" s="840" t="s">
        <v>2393</v>
      </c>
      <c r="AM714" s="840"/>
      <c r="AN714" s="858"/>
      <c r="AO714" s="844" t="s">
        <v>116</v>
      </c>
      <c r="AP714" s="859">
        <v>45607</v>
      </c>
      <c r="AQ714" s="859">
        <v>45607</v>
      </c>
      <c r="AR714" s="859" t="s">
        <v>2394</v>
      </c>
      <c r="AS714" s="840" t="s">
        <v>1088</v>
      </c>
      <c r="AT714" s="840" t="s">
        <v>1089</v>
      </c>
      <c r="AU714" s="860" t="s">
        <v>1210</v>
      </c>
      <c r="AV714" s="839" t="s">
        <v>2395</v>
      </c>
      <c r="AW714" s="861">
        <v>45616</v>
      </c>
      <c r="AX714" s="862" t="s">
        <v>2433</v>
      </c>
      <c r="AY714" s="843"/>
      <c r="AZ714" s="842">
        <v>73269099</v>
      </c>
      <c r="BA714" s="842" t="s">
        <v>120</v>
      </c>
      <c r="BB714" s="863" t="s">
        <v>121</v>
      </c>
      <c r="BC714" s="864">
        <v>45618</v>
      </c>
      <c r="BD714" s="860" t="s">
        <v>2434</v>
      </c>
      <c r="BE714" s="865" cm="1">
        <f t="array" ref="BE714">IF(BD714="","",AC714/SUMPRODUCT(--(BD714=$BD$4:$BD$12824),$AC$4:$AC$12824))</f>
        <v>2.3235374285889121E-2</v>
      </c>
      <c r="BF714" s="458"/>
      <c r="BG714" s="458"/>
      <c r="BH714" s="458"/>
      <c r="BI714" s="458"/>
      <c r="BJ714" s="458"/>
      <c r="BK714" s="458"/>
      <c r="BL714" s="458"/>
      <c r="BM714" s="458"/>
      <c r="BN714" s="458"/>
      <c r="BO714" s="866">
        <f>VLOOKUP(BD714,$BD$4:$BN$12824,3,0)*BE714</f>
        <v>491509.39701505838</v>
      </c>
      <c r="BP714" s="866"/>
      <c r="BQ714" s="866"/>
      <c r="BR714" s="866">
        <f>VLOOKUP(BD714,$BD$4:$BN$12824,6,0)*BE714</f>
        <v>36180.823657026529</v>
      </c>
      <c r="BS714" s="866">
        <f>VLOOKUP(BD714,$BD$4:$BN$12824,7,0)*BE714</f>
        <v>5808.84357147228</v>
      </c>
      <c r="BT714" s="866"/>
      <c r="BU714" s="866">
        <f>VLOOKUP(BD714,$BD$4:$BN$12824,9,0)*BE714</f>
        <v>0</v>
      </c>
      <c r="BV714" s="867"/>
      <c r="BW714" s="867">
        <f>VLOOKUP(BD714,$BD$4:$BN$12824,11,0)*BE714</f>
        <v>13941.224571533472</v>
      </c>
      <c r="BX714" s="1146">
        <f t="shared" si="143"/>
        <v>547440.28881509078</v>
      </c>
      <c r="BY714" s="867">
        <f t="shared" si="146"/>
        <v>904026.68888187199</v>
      </c>
      <c r="BZ714" s="867">
        <f t="shared" si="144"/>
        <v>1808053.377763744</v>
      </c>
      <c r="CA714" s="867">
        <f>_xlfn.MAXIFS($BY$4:$BY$12824,$S$4:$S$12824,$S714)</f>
        <v>904026.68888187199</v>
      </c>
      <c r="CB714" s="1032"/>
      <c r="CF714" s="946">
        <f t="shared" si="145"/>
        <v>1100801.1499000001</v>
      </c>
    </row>
    <row r="715" spans="1:84">
      <c r="A715" s="1032"/>
      <c r="B715" s="839" t="s">
        <v>98</v>
      </c>
      <c r="C715" s="839" t="s">
        <v>273</v>
      </c>
      <c r="D715" s="839" t="s">
        <v>2428</v>
      </c>
      <c r="E715" s="839" t="s">
        <v>2429</v>
      </c>
      <c r="F715" s="841">
        <v>45580</v>
      </c>
      <c r="G715" s="840" t="s">
        <v>273</v>
      </c>
      <c r="H715" s="842" t="s">
        <v>102</v>
      </c>
      <c r="I715" s="842"/>
      <c r="J715" s="841" t="s">
        <v>2430</v>
      </c>
      <c r="K715" s="841">
        <v>45424</v>
      </c>
      <c r="L715" s="843"/>
      <c r="M715" s="844" t="s">
        <v>275</v>
      </c>
      <c r="N715" s="841"/>
      <c r="O715" s="841" t="s">
        <v>1100</v>
      </c>
      <c r="P715" s="841" t="s">
        <v>124</v>
      </c>
      <c r="Q715" s="843"/>
      <c r="R715" s="845">
        <v>11215.23</v>
      </c>
      <c r="S715" s="1127" t="s">
        <v>2460</v>
      </c>
      <c r="T715" s="843" t="s">
        <v>2461</v>
      </c>
      <c r="U715" s="842">
        <v>2</v>
      </c>
      <c r="V715" s="842" t="s">
        <v>3</v>
      </c>
      <c r="W715" s="846">
        <v>32.93</v>
      </c>
      <c r="X715" s="847">
        <f t="shared" si="138"/>
        <v>65.86</v>
      </c>
      <c r="Y715" s="848">
        <v>0.5</v>
      </c>
      <c r="Z715" s="849">
        <v>16.465</v>
      </c>
      <c r="AA715" s="849"/>
      <c r="AB715" s="849">
        <f t="shared" si="139"/>
        <v>32.93</v>
      </c>
      <c r="AC715" s="850">
        <f t="shared" si="140"/>
        <v>32.93</v>
      </c>
      <c r="AD715" s="851"/>
      <c r="AE715" s="852">
        <v>26353.87</v>
      </c>
      <c r="AF715" s="853">
        <v>0.1</v>
      </c>
      <c r="AG715" s="854">
        <f t="shared" si="141"/>
        <v>125990.1161808031</v>
      </c>
      <c r="AH715" s="853"/>
      <c r="AI715" s="855">
        <f t="shared" si="142"/>
        <v>0</v>
      </c>
      <c r="AJ715" s="845" t="s">
        <v>2392</v>
      </c>
      <c r="AK715" s="857">
        <v>45515</v>
      </c>
      <c r="AL715" s="840" t="s">
        <v>2393</v>
      </c>
      <c r="AM715" s="840"/>
      <c r="AN715" s="858"/>
      <c r="AO715" s="844" t="s">
        <v>116</v>
      </c>
      <c r="AP715" s="859">
        <v>45607</v>
      </c>
      <c r="AQ715" s="859">
        <v>45607</v>
      </c>
      <c r="AR715" s="859" t="s">
        <v>2394</v>
      </c>
      <c r="AS715" s="840" t="s">
        <v>1088</v>
      </c>
      <c r="AT715" s="840" t="s">
        <v>1089</v>
      </c>
      <c r="AU715" s="860" t="s">
        <v>1210</v>
      </c>
      <c r="AV715" s="839" t="s">
        <v>2395</v>
      </c>
      <c r="AW715" s="861">
        <v>45616</v>
      </c>
      <c r="AX715" s="862" t="s">
        <v>2433</v>
      </c>
      <c r="AY715" s="843"/>
      <c r="AZ715" s="842">
        <v>73269099</v>
      </c>
      <c r="BA715" s="842" t="s">
        <v>120</v>
      </c>
      <c r="BB715" s="863" t="s">
        <v>121</v>
      </c>
      <c r="BC715" s="864">
        <v>45618</v>
      </c>
      <c r="BD715" s="860" t="s">
        <v>2434</v>
      </c>
      <c r="BE715" s="865" cm="1">
        <f t="array" ref="BE715">IF(BD715="","",AC715/SUMPRODUCT(--(BD715=$BD$4:$BD$12824),$AC$4:$AC$12824))</f>
        <v>1.8317952483464895E-2</v>
      </c>
      <c r="BF715" s="458"/>
      <c r="BG715" s="458"/>
      <c r="BH715" s="458"/>
      <c r="BI715" s="458"/>
      <c r="BJ715" s="458"/>
      <c r="BK715" s="458"/>
      <c r="BL715" s="458"/>
      <c r="BM715" s="458"/>
      <c r="BN715" s="458"/>
      <c r="BO715" s="866">
        <f>VLOOKUP(BD715,$BD$4:$BN$12824,3,0)*BE715</f>
        <v>387488.73458716471</v>
      </c>
      <c r="BP715" s="866"/>
      <c r="BQ715" s="866"/>
      <c r="BR715" s="866">
        <f>VLOOKUP(BD715,$BD$4:$BN$12824,6,0)*BE715</f>
        <v>28523.68980191246</v>
      </c>
      <c r="BS715" s="866">
        <f>VLOOKUP(BD715,$BD$4:$BN$12824,7,0)*BE715</f>
        <v>4579.4881208662237</v>
      </c>
      <c r="BT715" s="866"/>
      <c r="BU715" s="866">
        <f>VLOOKUP(BD715,$BD$4:$BN$12824,9,0)*BE715</f>
        <v>0</v>
      </c>
      <c r="BV715" s="867"/>
      <c r="BW715" s="867">
        <f>VLOOKUP(BD715,$BD$4:$BN$12824,11,0)*BE715</f>
        <v>10990.771490078938</v>
      </c>
      <c r="BX715" s="1146">
        <f t="shared" si="143"/>
        <v>431582.68400002236</v>
      </c>
      <c r="BY715" s="867">
        <f t="shared" si="146"/>
        <v>712702.86964041274</v>
      </c>
      <c r="BZ715" s="867">
        <f t="shared" si="144"/>
        <v>1425405.7392808255</v>
      </c>
      <c r="CA715" s="867">
        <f>_xlfn.MAXIFS($BY$4:$BY$12824,$S$4:$S$12824,$S715)</f>
        <v>712702.86964041274</v>
      </c>
      <c r="CB715" s="1032"/>
      <c r="CF715" s="946">
        <f t="shared" si="145"/>
        <v>867832.93909999996</v>
      </c>
    </row>
    <row r="716" spans="1:84">
      <c r="A716" s="1032"/>
      <c r="B716" s="839" t="s">
        <v>98</v>
      </c>
      <c r="C716" s="839" t="s">
        <v>273</v>
      </c>
      <c r="D716" s="839" t="s">
        <v>2428</v>
      </c>
      <c r="E716" s="839" t="s">
        <v>2429</v>
      </c>
      <c r="F716" s="841">
        <v>45580</v>
      </c>
      <c r="G716" s="840" t="s">
        <v>273</v>
      </c>
      <c r="H716" s="842" t="s">
        <v>102</v>
      </c>
      <c r="I716" s="842"/>
      <c r="J716" s="841" t="s">
        <v>2430</v>
      </c>
      <c r="K716" s="841">
        <v>45424</v>
      </c>
      <c r="L716" s="843"/>
      <c r="M716" s="844" t="s">
        <v>275</v>
      </c>
      <c r="N716" s="841"/>
      <c r="O716" s="841" t="s">
        <v>1100</v>
      </c>
      <c r="P716" s="841" t="s">
        <v>124</v>
      </c>
      <c r="Q716" s="843"/>
      <c r="R716" s="845">
        <v>14110.23</v>
      </c>
      <c r="S716" s="1127" t="s">
        <v>2462</v>
      </c>
      <c r="T716" s="843" t="s">
        <v>2463</v>
      </c>
      <c r="U716" s="842">
        <v>1</v>
      </c>
      <c r="V716" s="842" t="s">
        <v>3</v>
      </c>
      <c r="W716" s="846">
        <v>5.25</v>
      </c>
      <c r="X716" s="847">
        <f t="shared" si="138"/>
        <v>5.25</v>
      </c>
      <c r="Y716" s="848">
        <v>0.5</v>
      </c>
      <c r="Z716" s="849">
        <v>2.625</v>
      </c>
      <c r="AA716" s="849"/>
      <c r="AB716" s="849">
        <f t="shared" si="139"/>
        <v>2.625</v>
      </c>
      <c r="AC716" s="850">
        <f t="shared" si="140"/>
        <v>2.625</v>
      </c>
      <c r="AD716" s="851"/>
      <c r="AE716" s="852">
        <v>26353.87</v>
      </c>
      <c r="AF716" s="853">
        <v>0.1</v>
      </c>
      <c r="AG716" s="854">
        <f t="shared" si="141"/>
        <v>10043.244912681694</v>
      </c>
      <c r="AH716" s="853"/>
      <c r="AI716" s="855">
        <f t="shared" si="142"/>
        <v>0</v>
      </c>
      <c r="AJ716" s="845" t="s">
        <v>2392</v>
      </c>
      <c r="AK716" s="857">
        <v>45515</v>
      </c>
      <c r="AL716" s="840" t="s">
        <v>2393</v>
      </c>
      <c r="AM716" s="840"/>
      <c r="AN716" s="858"/>
      <c r="AO716" s="844" t="s">
        <v>116</v>
      </c>
      <c r="AP716" s="859">
        <v>45607</v>
      </c>
      <c r="AQ716" s="859">
        <v>45607</v>
      </c>
      <c r="AR716" s="859" t="s">
        <v>2394</v>
      </c>
      <c r="AS716" s="840" t="s">
        <v>1088</v>
      </c>
      <c r="AT716" s="840" t="s">
        <v>1089</v>
      </c>
      <c r="AU716" s="860" t="s">
        <v>1210</v>
      </c>
      <c r="AV716" s="839" t="s">
        <v>2395</v>
      </c>
      <c r="AW716" s="861">
        <v>45616</v>
      </c>
      <c r="AX716" s="862" t="s">
        <v>2433</v>
      </c>
      <c r="AY716" s="843"/>
      <c r="AZ716" s="842">
        <v>73269099</v>
      </c>
      <c r="BA716" s="842" t="s">
        <v>120</v>
      </c>
      <c r="BB716" s="863" t="s">
        <v>121</v>
      </c>
      <c r="BC716" s="864">
        <v>45618</v>
      </c>
      <c r="BD716" s="860" t="s">
        <v>2434</v>
      </c>
      <c r="BE716" s="865" cm="1">
        <f t="array" ref="BE716">IF(BD716="","",AC716/SUMPRODUCT(--(BD716=$BD$4:$BD$12824),$AC$4:$AC$12824))</f>
        <v>1.4602072659913559E-3</v>
      </c>
      <c r="BF716" s="458"/>
      <c r="BG716" s="458"/>
      <c r="BH716" s="458"/>
      <c r="BI716" s="458"/>
      <c r="BJ716" s="458"/>
      <c r="BK716" s="458"/>
      <c r="BL716" s="458"/>
      <c r="BM716" s="458"/>
      <c r="BN716" s="458"/>
      <c r="BO716" s="866">
        <f>VLOOKUP(BD716,$BD$4:$BN$12824,3,0)*BE716</f>
        <v>30888.488560319085</v>
      </c>
      <c r="BP716" s="866"/>
      <c r="BQ716" s="866"/>
      <c r="BR716" s="866">
        <f>VLOOKUP(BD716,$BD$4:$BN$12824,6,0)*BE716</f>
        <v>2273.7529829948439</v>
      </c>
      <c r="BS716" s="866">
        <f>VLOOKUP(BD716,$BD$4:$BN$12824,7,0)*BE716</f>
        <v>365.05181649783896</v>
      </c>
      <c r="BT716" s="866"/>
      <c r="BU716" s="866">
        <f>VLOOKUP(BD716,$BD$4:$BN$12824,9,0)*BE716</f>
        <v>0</v>
      </c>
      <c r="BV716" s="867"/>
      <c r="BW716" s="867">
        <f>VLOOKUP(BD716,$BD$4:$BN$12824,11,0)*BE716</f>
        <v>876.12435959481354</v>
      </c>
      <c r="BX716" s="1146">
        <f t="shared" si="143"/>
        <v>34403.417719406585</v>
      </c>
      <c r="BY716" s="867">
        <f t="shared" si="146"/>
        <v>113625.57138208828</v>
      </c>
      <c r="BZ716" s="867">
        <f t="shared" si="144"/>
        <v>113625.57138208828</v>
      </c>
      <c r="CA716" s="867">
        <f>_xlfn.MAXIFS($BY$4:$BY$12824,$S$4:$S$12824,$S716)</f>
        <v>113625.57138208828</v>
      </c>
      <c r="CB716" s="1032"/>
      <c r="CF716" s="946">
        <f t="shared" si="145"/>
        <v>69178.908750000002</v>
      </c>
    </row>
    <row r="717" spans="1:84">
      <c r="A717" s="1032"/>
      <c r="B717" s="839" t="s">
        <v>98</v>
      </c>
      <c r="C717" s="839" t="s">
        <v>273</v>
      </c>
      <c r="D717" s="839" t="s">
        <v>2428</v>
      </c>
      <c r="E717" s="839" t="s">
        <v>2429</v>
      </c>
      <c r="F717" s="841">
        <v>45580</v>
      </c>
      <c r="G717" s="840" t="s">
        <v>273</v>
      </c>
      <c r="H717" s="842" t="s">
        <v>102</v>
      </c>
      <c r="I717" s="842"/>
      <c r="J717" s="841" t="s">
        <v>2430</v>
      </c>
      <c r="K717" s="841">
        <v>45424</v>
      </c>
      <c r="L717" s="843"/>
      <c r="M717" s="844" t="s">
        <v>275</v>
      </c>
      <c r="N717" s="841"/>
      <c r="O717" s="841" t="s">
        <v>1100</v>
      </c>
      <c r="P717" s="841" t="s">
        <v>124</v>
      </c>
      <c r="Q717" s="843"/>
      <c r="R717" s="845">
        <v>14111.23</v>
      </c>
      <c r="S717" s="1127" t="s">
        <v>2464</v>
      </c>
      <c r="T717" s="843" t="s">
        <v>2465</v>
      </c>
      <c r="U717" s="842">
        <v>1</v>
      </c>
      <c r="V717" s="842" t="s">
        <v>3</v>
      </c>
      <c r="W717" s="846">
        <v>5.25</v>
      </c>
      <c r="X717" s="847">
        <f t="shared" si="138"/>
        <v>5.25</v>
      </c>
      <c r="Y717" s="848">
        <v>0.5</v>
      </c>
      <c r="Z717" s="849">
        <v>2.625</v>
      </c>
      <c r="AA717" s="849"/>
      <c r="AB717" s="849">
        <f t="shared" si="139"/>
        <v>2.625</v>
      </c>
      <c r="AC717" s="850">
        <f t="shared" si="140"/>
        <v>2.625</v>
      </c>
      <c r="AD717" s="851"/>
      <c r="AE717" s="852">
        <v>26353.87</v>
      </c>
      <c r="AF717" s="853">
        <v>0.1</v>
      </c>
      <c r="AG717" s="854">
        <f t="shared" si="141"/>
        <v>10043.244912681694</v>
      </c>
      <c r="AH717" s="853"/>
      <c r="AI717" s="855">
        <f t="shared" si="142"/>
        <v>0</v>
      </c>
      <c r="AJ717" s="845" t="s">
        <v>2392</v>
      </c>
      <c r="AK717" s="857">
        <v>45515</v>
      </c>
      <c r="AL717" s="840" t="s">
        <v>2393</v>
      </c>
      <c r="AM717" s="840"/>
      <c r="AN717" s="858"/>
      <c r="AO717" s="844" t="s">
        <v>116</v>
      </c>
      <c r="AP717" s="859">
        <v>45607</v>
      </c>
      <c r="AQ717" s="859">
        <v>45607</v>
      </c>
      <c r="AR717" s="859" t="s">
        <v>2394</v>
      </c>
      <c r="AS717" s="840" t="s">
        <v>1088</v>
      </c>
      <c r="AT717" s="840" t="s">
        <v>1089</v>
      </c>
      <c r="AU717" s="860" t="s">
        <v>1210</v>
      </c>
      <c r="AV717" s="839" t="s">
        <v>2395</v>
      </c>
      <c r="AW717" s="861">
        <v>45616</v>
      </c>
      <c r="AX717" s="862" t="s">
        <v>2433</v>
      </c>
      <c r="AY717" s="843"/>
      <c r="AZ717" s="842">
        <v>73269099</v>
      </c>
      <c r="BA717" s="842" t="s">
        <v>120</v>
      </c>
      <c r="BB717" s="863" t="s">
        <v>121</v>
      </c>
      <c r="BC717" s="864">
        <v>45618</v>
      </c>
      <c r="BD717" s="860" t="s">
        <v>2434</v>
      </c>
      <c r="BE717" s="865" cm="1">
        <f t="array" ref="BE717">IF(BD717="","",AC717/SUMPRODUCT(--(BD717=$BD$4:$BD$12824),$AC$4:$AC$12824))</f>
        <v>1.4602072659913559E-3</v>
      </c>
      <c r="BF717" s="458"/>
      <c r="BG717" s="458"/>
      <c r="BH717" s="458"/>
      <c r="BI717" s="458"/>
      <c r="BJ717" s="458"/>
      <c r="BK717" s="458"/>
      <c r="BL717" s="458"/>
      <c r="BM717" s="458"/>
      <c r="BN717" s="458"/>
      <c r="BO717" s="866">
        <f>VLOOKUP(BD717,$BD$4:$BN$12824,3,0)*BE717</f>
        <v>30888.488560319085</v>
      </c>
      <c r="BP717" s="866"/>
      <c r="BQ717" s="866"/>
      <c r="BR717" s="866">
        <f>VLOOKUP(BD717,$BD$4:$BN$12824,6,0)*BE717</f>
        <v>2273.7529829948439</v>
      </c>
      <c r="BS717" s="866">
        <f>VLOOKUP(BD717,$BD$4:$BN$12824,7,0)*BE717</f>
        <v>365.05181649783896</v>
      </c>
      <c r="BT717" s="866"/>
      <c r="BU717" s="866">
        <f>VLOOKUP(BD717,$BD$4:$BN$12824,9,0)*BE717</f>
        <v>0</v>
      </c>
      <c r="BV717" s="867"/>
      <c r="BW717" s="867">
        <f>VLOOKUP(BD717,$BD$4:$BN$12824,11,0)*BE717</f>
        <v>876.12435959481354</v>
      </c>
      <c r="BX717" s="1146">
        <f t="shared" si="143"/>
        <v>34403.417719406585</v>
      </c>
      <c r="BY717" s="867">
        <f t="shared" si="146"/>
        <v>113625.57138208828</v>
      </c>
      <c r="BZ717" s="867">
        <f t="shared" si="144"/>
        <v>113625.57138208828</v>
      </c>
      <c r="CA717" s="867">
        <f>_xlfn.MAXIFS($BY$4:$BY$12824,$S$4:$S$12824,$S717)</f>
        <v>113625.57138208828</v>
      </c>
      <c r="CB717" s="1032"/>
      <c r="CF717" s="946">
        <f t="shared" si="145"/>
        <v>69178.908750000002</v>
      </c>
    </row>
    <row r="718" spans="1:84">
      <c r="A718" s="1032"/>
      <c r="B718" s="839" t="s">
        <v>98</v>
      </c>
      <c r="C718" s="839" t="s">
        <v>273</v>
      </c>
      <c r="D718" s="839" t="s">
        <v>2428</v>
      </c>
      <c r="E718" s="839" t="s">
        <v>2429</v>
      </c>
      <c r="F718" s="841">
        <v>45580</v>
      </c>
      <c r="G718" s="840" t="s">
        <v>273</v>
      </c>
      <c r="H718" s="842" t="s">
        <v>102</v>
      </c>
      <c r="I718" s="842"/>
      <c r="J718" s="841" t="s">
        <v>2430</v>
      </c>
      <c r="K718" s="841">
        <v>45424</v>
      </c>
      <c r="L718" s="843"/>
      <c r="M718" s="844" t="s">
        <v>275</v>
      </c>
      <c r="N718" s="841"/>
      <c r="O718" s="841" t="s">
        <v>1100</v>
      </c>
      <c r="P718" s="841" t="s">
        <v>124</v>
      </c>
      <c r="Q718" s="843"/>
      <c r="R718" s="845">
        <v>14264.23</v>
      </c>
      <c r="S718" s="1127" t="s">
        <v>2466</v>
      </c>
      <c r="T718" s="843" t="s">
        <v>2467</v>
      </c>
      <c r="U718" s="842">
        <v>2</v>
      </c>
      <c r="V718" s="842" t="s">
        <v>3</v>
      </c>
      <c r="W718" s="846">
        <v>81.72</v>
      </c>
      <c r="X718" s="847">
        <f t="shared" si="138"/>
        <v>163.44</v>
      </c>
      <c r="Y718" s="848">
        <v>0.5</v>
      </c>
      <c r="Z718" s="849">
        <v>40.86</v>
      </c>
      <c r="AA718" s="849"/>
      <c r="AB718" s="849">
        <f t="shared" si="139"/>
        <v>81.72</v>
      </c>
      <c r="AC718" s="850">
        <f t="shared" si="140"/>
        <v>81.72</v>
      </c>
      <c r="AD718" s="851"/>
      <c r="AE718" s="852">
        <v>26353.87</v>
      </c>
      <c r="AF718" s="853">
        <v>0.1</v>
      </c>
      <c r="AG718" s="854">
        <f t="shared" si="141"/>
        <v>312660.56162451342</v>
      </c>
      <c r="AH718" s="853"/>
      <c r="AI718" s="855">
        <f t="shared" si="142"/>
        <v>0</v>
      </c>
      <c r="AJ718" s="845" t="s">
        <v>2392</v>
      </c>
      <c r="AK718" s="857">
        <v>45515</v>
      </c>
      <c r="AL718" s="840" t="s">
        <v>2393</v>
      </c>
      <c r="AM718" s="840"/>
      <c r="AN718" s="858"/>
      <c r="AO718" s="844" t="s">
        <v>116</v>
      </c>
      <c r="AP718" s="859">
        <v>45607</v>
      </c>
      <c r="AQ718" s="859">
        <v>45607</v>
      </c>
      <c r="AR718" s="859" t="s">
        <v>2394</v>
      </c>
      <c r="AS718" s="840" t="s">
        <v>1088</v>
      </c>
      <c r="AT718" s="840" t="s">
        <v>1089</v>
      </c>
      <c r="AU718" s="860" t="s">
        <v>1210</v>
      </c>
      <c r="AV718" s="839" t="s">
        <v>2395</v>
      </c>
      <c r="AW718" s="861">
        <v>45616</v>
      </c>
      <c r="AX718" s="862" t="s">
        <v>2433</v>
      </c>
      <c r="AY718" s="843"/>
      <c r="AZ718" s="842">
        <v>73269099</v>
      </c>
      <c r="BA718" s="842" t="s">
        <v>120</v>
      </c>
      <c r="BB718" s="863" t="s">
        <v>121</v>
      </c>
      <c r="BC718" s="864">
        <v>45618</v>
      </c>
      <c r="BD718" s="860" t="s">
        <v>2434</v>
      </c>
      <c r="BE718" s="865" cm="1">
        <f t="array" ref="BE718">IF(BD718="","",AC718/SUMPRODUCT(--(BD718=$BD$4:$BD$12824),$AC$4:$AC$12824))</f>
        <v>4.5458338200690895E-2</v>
      </c>
      <c r="BF718" s="458"/>
      <c r="BG718" s="458"/>
      <c r="BH718" s="458"/>
      <c r="BI718" s="458"/>
      <c r="BJ718" s="458"/>
      <c r="BK718" s="458"/>
      <c r="BL718" s="458"/>
      <c r="BM718" s="458"/>
      <c r="BN718" s="458"/>
      <c r="BO718" s="866">
        <f>VLOOKUP(BD718,$BD$4:$BN$12824,3,0)*BE718</f>
        <v>961602.77529496211</v>
      </c>
      <c r="BP718" s="866"/>
      <c r="BQ718" s="866"/>
      <c r="BR718" s="866">
        <f>VLOOKUP(BD718,$BD$4:$BN$12824,6,0)*BE718</f>
        <v>70785.178579176631</v>
      </c>
      <c r="BS718" s="866">
        <f>VLOOKUP(BD718,$BD$4:$BN$12824,7,0)*BE718</f>
        <v>11364.584550172724</v>
      </c>
      <c r="BT718" s="866"/>
      <c r="BU718" s="866">
        <f>VLOOKUP(BD718,$BD$4:$BN$12824,9,0)*BE718</f>
        <v>0</v>
      </c>
      <c r="BV718" s="867"/>
      <c r="BW718" s="867">
        <f>VLOOKUP(BD718,$BD$4:$BN$12824,11,0)*BE718</f>
        <v>27275.002920414536</v>
      </c>
      <c r="BX718" s="1146">
        <f t="shared" si="143"/>
        <v>1071027.541344726</v>
      </c>
      <c r="BY718" s="867">
        <f t="shared" si="146"/>
        <v>1768663.1796846197</v>
      </c>
      <c r="BZ718" s="867">
        <f t="shared" si="144"/>
        <v>3537326.3593692393</v>
      </c>
      <c r="CA718" s="867">
        <f>_xlfn.MAXIFS($BY$4:$BY$12824,$S$4:$S$12824,$S718)</f>
        <v>1768663.1796846197</v>
      </c>
      <c r="CB718" s="1032"/>
      <c r="CF718" s="946">
        <f t="shared" si="145"/>
        <v>2153638.2563999998</v>
      </c>
    </row>
    <row r="719" spans="1:84">
      <c r="A719" s="1032"/>
      <c r="B719" s="839" t="s">
        <v>98</v>
      </c>
      <c r="C719" s="839" t="s">
        <v>273</v>
      </c>
      <c r="D719" s="839" t="s">
        <v>2428</v>
      </c>
      <c r="E719" s="839" t="s">
        <v>2429</v>
      </c>
      <c r="F719" s="841">
        <v>45580</v>
      </c>
      <c r="G719" s="840" t="s">
        <v>273</v>
      </c>
      <c r="H719" s="842" t="s">
        <v>102</v>
      </c>
      <c r="I719" s="842"/>
      <c r="J719" s="841" t="s">
        <v>2430</v>
      </c>
      <c r="K719" s="841">
        <v>45424</v>
      </c>
      <c r="L719" s="843"/>
      <c r="M719" s="844" t="s">
        <v>275</v>
      </c>
      <c r="N719" s="841"/>
      <c r="O719" s="841" t="s">
        <v>1100</v>
      </c>
      <c r="P719" s="841" t="s">
        <v>124</v>
      </c>
      <c r="Q719" s="843"/>
      <c r="R719" s="845">
        <v>15193.23</v>
      </c>
      <c r="S719" s="1127" t="s">
        <v>2468</v>
      </c>
      <c r="T719" s="843" t="s">
        <v>2469</v>
      </c>
      <c r="U719" s="842">
        <v>1</v>
      </c>
      <c r="V719" s="842" t="s">
        <v>3</v>
      </c>
      <c r="W719" s="846">
        <v>50.68</v>
      </c>
      <c r="X719" s="847">
        <f t="shared" si="138"/>
        <v>50.68</v>
      </c>
      <c r="Y719" s="848">
        <v>0.5</v>
      </c>
      <c r="Z719" s="849">
        <v>25.34</v>
      </c>
      <c r="AA719" s="849"/>
      <c r="AB719" s="849">
        <f t="shared" si="139"/>
        <v>25.34</v>
      </c>
      <c r="AC719" s="850">
        <f t="shared" si="140"/>
        <v>25.34</v>
      </c>
      <c r="AD719" s="851"/>
      <c r="AE719" s="852">
        <v>26353.87</v>
      </c>
      <c r="AF719" s="853">
        <v>0.1</v>
      </c>
      <c r="AG719" s="854">
        <f t="shared" si="141"/>
        <v>96950.790890420612</v>
      </c>
      <c r="AH719" s="853"/>
      <c r="AI719" s="855">
        <f t="shared" si="142"/>
        <v>0</v>
      </c>
      <c r="AJ719" s="845" t="s">
        <v>2392</v>
      </c>
      <c r="AK719" s="857">
        <v>45515</v>
      </c>
      <c r="AL719" s="840" t="s">
        <v>2393</v>
      </c>
      <c r="AM719" s="840"/>
      <c r="AN719" s="858"/>
      <c r="AO719" s="844" t="s">
        <v>116</v>
      </c>
      <c r="AP719" s="859">
        <v>45607</v>
      </c>
      <c r="AQ719" s="859">
        <v>45607</v>
      </c>
      <c r="AR719" s="859" t="s">
        <v>2394</v>
      </c>
      <c r="AS719" s="840" t="s">
        <v>1088</v>
      </c>
      <c r="AT719" s="840" t="s">
        <v>1089</v>
      </c>
      <c r="AU719" s="860" t="s">
        <v>1210</v>
      </c>
      <c r="AV719" s="839" t="s">
        <v>2395</v>
      </c>
      <c r="AW719" s="861">
        <v>45616</v>
      </c>
      <c r="AX719" s="862" t="s">
        <v>2433</v>
      </c>
      <c r="AY719" s="843"/>
      <c r="AZ719" s="842">
        <v>73269099</v>
      </c>
      <c r="BA719" s="842" t="s">
        <v>120</v>
      </c>
      <c r="BB719" s="863" t="s">
        <v>121</v>
      </c>
      <c r="BC719" s="864">
        <v>45618</v>
      </c>
      <c r="BD719" s="860" t="s">
        <v>2434</v>
      </c>
      <c r="BE719" s="865" cm="1">
        <f t="array" ref="BE719">IF(BD719="","",AC719/SUMPRODUCT(--(BD719=$BD$4:$BD$12824),$AC$4:$AC$12824))</f>
        <v>1.4095867474369889E-2</v>
      </c>
      <c r="BF719" s="458"/>
      <c r="BG719" s="458"/>
      <c r="BH719" s="458"/>
      <c r="BI719" s="458"/>
      <c r="BJ719" s="458"/>
      <c r="BK719" s="458"/>
      <c r="BL719" s="458"/>
      <c r="BM719" s="458"/>
      <c r="BN719" s="458"/>
      <c r="BO719" s="866">
        <f>VLOOKUP(BD719,$BD$4:$BN$12824,3,0)*BE719</f>
        <v>298176.87623561354</v>
      </c>
      <c r="BP719" s="866"/>
      <c r="BQ719" s="866"/>
      <c r="BR719" s="866">
        <f>VLOOKUP(BD719,$BD$4:$BN$12824,6,0)*BE719</f>
        <v>21949.295462510225</v>
      </c>
      <c r="BS719" s="866">
        <f>VLOOKUP(BD719,$BD$4:$BN$12824,7,0)*BE719</f>
        <v>3523.9668685924721</v>
      </c>
      <c r="BT719" s="866"/>
      <c r="BU719" s="866">
        <f>VLOOKUP(BD719,$BD$4:$BN$12824,9,0)*BE719</f>
        <v>0</v>
      </c>
      <c r="BV719" s="867"/>
      <c r="BW719" s="867">
        <f>VLOOKUP(BD719,$BD$4:$BN$12824,11,0)*BE719</f>
        <v>8457.5204846219331</v>
      </c>
      <c r="BX719" s="1146">
        <f t="shared" si="143"/>
        <v>332107.65905133815</v>
      </c>
      <c r="BY719" s="867">
        <f t="shared" si="146"/>
        <v>1096865.5157417587</v>
      </c>
      <c r="BZ719" s="867">
        <f t="shared" si="144"/>
        <v>1096865.5157417587</v>
      </c>
      <c r="CA719" s="867">
        <f>_xlfn.MAXIFS($BY$4:$BY$12824,$S$4:$S$12824,$S719)</f>
        <v>1096865.5157417587</v>
      </c>
      <c r="CB719" s="1032"/>
      <c r="CF719" s="946">
        <f t="shared" si="145"/>
        <v>667807.06579999998</v>
      </c>
    </row>
    <row r="720" spans="1:84">
      <c r="A720" s="1032"/>
      <c r="B720" s="839" t="s">
        <v>98</v>
      </c>
      <c r="C720" s="839" t="s">
        <v>273</v>
      </c>
      <c r="D720" s="839" t="s">
        <v>2428</v>
      </c>
      <c r="E720" s="839" t="s">
        <v>2429</v>
      </c>
      <c r="F720" s="841">
        <v>45580</v>
      </c>
      <c r="G720" s="840" t="s">
        <v>273</v>
      </c>
      <c r="H720" s="842" t="s">
        <v>102</v>
      </c>
      <c r="I720" s="842"/>
      <c r="J720" s="841" t="s">
        <v>2430</v>
      </c>
      <c r="K720" s="841">
        <v>45424</v>
      </c>
      <c r="L720" s="843"/>
      <c r="M720" s="844" t="s">
        <v>275</v>
      </c>
      <c r="N720" s="841"/>
      <c r="O720" s="841" t="s">
        <v>1100</v>
      </c>
      <c r="P720" s="841" t="s">
        <v>124</v>
      </c>
      <c r="Q720" s="843"/>
      <c r="R720" s="845">
        <v>16170</v>
      </c>
      <c r="S720" s="1127" t="s">
        <v>2470</v>
      </c>
      <c r="T720" s="843" t="s">
        <v>2471</v>
      </c>
      <c r="U720" s="842">
        <v>6</v>
      </c>
      <c r="V720" s="842" t="s">
        <v>3</v>
      </c>
      <c r="W720" s="846">
        <v>6.43</v>
      </c>
      <c r="X720" s="847">
        <f t="shared" si="138"/>
        <v>38.58</v>
      </c>
      <c r="Y720" s="848">
        <v>0.5</v>
      </c>
      <c r="Z720" s="849">
        <v>3.2149999999999999</v>
      </c>
      <c r="AA720" s="849"/>
      <c r="AB720" s="849">
        <f t="shared" si="139"/>
        <v>19.29</v>
      </c>
      <c r="AC720" s="850">
        <f t="shared" si="140"/>
        <v>19.29</v>
      </c>
      <c r="AD720" s="851"/>
      <c r="AE720" s="852">
        <v>26353.87</v>
      </c>
      <c r="AF720" s="853">
        <v>0.1</v>
      </c>
      <c r="AG720" s="854">
        <f t="shared" si="141"/>
        <v>73803.50261547805</v>
      </c>
      <c r="AH720" s="853"/>
      <c r="AI720" s="855">
        <f t="shared" si="142"/>
        <v>0</v>
      </c>
      <c r="AJ720" s="845" t="s">
        <v>2392</v>
      </c>
      <c r="AK720" s="857">
        <v>45515</v>
      </c>
      <c r="AL720" s="840" t="s">
        <v>2393</v>
      </c>
      <c r="AM720" s="840"/>
      <c r="AN720" s="858"/>
      <c r="AO720" s="844" t="s">
        <v>116</v>
      </c>
      <c r="AP720" s="859">
        <v>45607</v>
      </c>
      <c r="AQ720" s="859">
        <v>45607</v>
      </c>
      <c r="AR720" s="859" t="s">
        <v>2394</v>
      </c>
      <c r="AS720" s="840" t="s">
        <v>1088</v>
      </c>
      <c r="AT720" s="840" t="s">
        <v>1089</v>
      </c>
      <c r="AU720" s="860" t="s">
        <v>1210</v>
      </c>
      <c r="AV720" s="839" t="s">
        <v>2395</v>
      </c>
      <c r="AW720" s="861">
        <v>45616</v>
      </c>
      <c r="AX720" s="862" t="s">
        <v>2433</v>
      </c>
      <c r="AY720" s="843"/>
      <c r="AZ720" s="842">
        <v>73269099</v>
      </c>
      <c r="BA720" s="842" t="s">
        <v>120</v>
      </c>
      <c r="BB720" s="863" t="s">
        <v>121</v>
      </c>
      <c r="BC720" s="864">
        <v>45618</v>
      </c>
      <c r="BD720" s="860" t="s">
        <v>2434</v>
      </c>
      <c r="BE720" s="865" cm="1">
        <f t="array" ref="BE720">IF(BD720="","",AC720/SUMPRODUCT(--(BD720=$BD$4:$BD$12824),$AC$4:$AC$12824))</f>
        <v>1.0730437394656478E-2</v>
      </c>
      <c r="BF720" s="458"/>
      <c r="BG720" s="458"/>
      <c r="BH720" s="458"/>
      <c r="BI720" s="458"/>
      <c r="BJ720" s="458"/>
      <c r="BK720" s="458"/>
      <c r="BL720" s="458"/>
      <c r="BM720" s="458"/>
      <c r="BN720" s="458"/>
      <c r="BO720" s="866">
        <f>VLOOKUP(BD720,$BD$4:$BN$12824,3,0)*BE720</f>
        <v>226986.26450611625</v>
      </c>
      <c r="BP720" s="866"/>
      <c r="BQ720" s="866"/>
      <c r="BR720" s="866">
        <f>VLOOKUP(BD720,$BD$4:$BN$12824,6,0)*BE720</f>
        <v>16708.836206464966</v>
      </c>
      <c r="BS720" s="866">
        <f>VLOOKUP(BD720,$BD$4:$BN$12824,7,0)*BE720</f>
        <v>2682.6093486641194</v>
      </c>
      <c r="BT720" s="866"/>
      <c r="BU720" s="866">
        <f>VLOOKUP(BD720,$BD$4:$BN$12824,9,0)*BE720</f>
        <v>0</v>
      </c>
      <c r="BV720" s="867"/>
      <c r="BW720" s="867">
        <f>VLOOKUP(BD720,$BD$4:$BN$12824,11,0)*BE720</f>
        <v>6438.262436793887</v>
      </c>
      <c r="BX720" s="1146">
        <f t="shared" si="143"/>
        <v>252815.97249803922</v>
      </c>
      <c r="BY720" s="867">
        <f t="shared" si="146"/>
        <v>139164.2712355862</v>
      </c>
      <c r="BZ720" s="867">
        <f t="shared" si="144"/>
        <v>834985.62741351721</v>
      </c>
      <c r="CA720" s="867">
        <f>_xlfn.MAXIFS($BY$4:$BY$12824,$S$4:$S$12824,$S720)</f>
        <v>139164.2712355862</v>
      </c>
      <c r="CB720" s="1032"/>
      <c r="CF720" s="946">
        <f t="shared" si="145"/>
        <v>508366.15229999996</v>
      </c>
    </row>
    <row r="721" spans="1:84">
      <c r="A721" s="1032"/>
      <c r="B721" s="839" t="s">
        <v>98</v>
      </c>
      <c r="C721" s="839" t="s">
        <v>273</v>
      </c>
      <c r="D721" s="839" t="s">
        <v>2428</v>
      </c>
      <c r="E721" s="839" t="s">
        <v>2429</v>
      </c>
      <c r="F721" s="841">
        <v>45580</v>
      </c>
      <c r="G721" s="840" t="s">
        <v>273</v>
      </c>
      <c r="H721" s="842" t="s">
        <v>102</v>
      </c>
      <c r="I721" s="842"/>
      <c r="J721" s="841" t="s">
        <v>2430</v>
      </c>
      <c r="K721" s="841">
        <v>45424</v>
      </c>
      <c r="L721" s="843"/>
      <c r="M721" s="844" t="s">
        <v>275</v>
      </c>
      <c r="N721" s="841"/>
      <c r="O721" s="841" t="s">
        <v>1100</v>
      </c>
      <c r="P721" s="841" t="s">
        <v>124</v>
      </c>
      <c r="Q721" s="843"/>
      <c r="R721" s="845">
        <v>16178.23</v>
      </c>
      <c r="S721" s="1127" t="s">
        <v>2472</v>
      </c>
      <c r="T721" s="843" t="s">
        <v>2473</v>
      </c>
      <c r="U721" s="842">
        <v>1</v>
      </c>
      <c r="V721" s="842" t="s">
        <v>3</v>
      </c>
      <c r="W721" s="846">
        <v>31.45</v>
      </c>
      <c r="X721" s="847">
        <f t="shared" si="138"/>
        <v>31.45</v>
      </c>
      <c r="Y721" s="848">
        <v>0.5</v>
      </c>
      <c r="Z721" s="849">
        <v>15.725</v>
      </c>
      <c r="AA721" s="849"/>
      <c r="AB721" s="849">
        <f t="shared" si="139"/>
        <v>15.725</v>
      </c>
      <c r="AC721" s="850">
        <f t="shared" si="140"/>
        <v>15.725</v>
      </c>
      <c r="AD721" s="851"/>
      <c r="AE721" s="852">
        <v>26353.87</v>
      </c>
      <c r="AF721" s="853">
        <v>0.1</v>
      </c>
      <c r="AG721" s="854">
        <f t="shared" si="141"/>
        <v>60163.819524540813</v>
      </c>
      <c r="AH721" s="853"/>
      <c r="AI721" s="855">
        <f t="shared" si="142"/>
        <v>0</v>
      </c>
      <c r="AJ721" s="845" t="s">
        <v>2392</v>
      </c>
      <c r="AK721" s="857">
        <v>45515</v>
      </c>
      <c r="AL721" s="840" t="s">
        <v>2393</v>
      </c>
      <c r="AM721" s="840"/>
      <c r="AN721" s="858"/>
      <c r="AO721" s="844" t="s">
        <v>116</v>
      </c>
      <c r="AP721" s="859">
        <v>45607</v>
      </c>
      <c r="AQ721" s="859">
        <v>45607</v>
      </c>
      <c r="AR721" s="859" t="s">
        <v>2394</v>
      </c>
      <c r="AS721" s="840" t="s">
        <v>1088</v>
      </c>
      <c r="AT721" s="840" t="s">
        <v>1089</v>
      </c>
      <c r="AU721" s="860" t="s">
        <v>1210</v>
      </c>
      <c r="AV721" s="839" t="s">
        <v>2395</v>
      </c>
      <c r="AW721" s="861">
        <v>45616</v>
      </c>
      <c r="AX721" s="862" t="s">
        <v>2433</v>
      </c>
      <c r="AY721" s="843"/>
      <c r="AZ721" s="842">
        <v>73269099</v>
      </c>
      <c r="BA721" s="842" t="s">
        <v>120</v>
      </c>
      <c r="BB721" s="863" t="s">
        <v>121</v>
      </c>
      <c r="BC721" s="864">
        <v>45618</v>
      </c>
      <c r="BD721" s="860" t="s">
        <v>2434</v>
      </c>
      <c r="BE721" s="865" cm="1">
        <f t="array" ref="BE721">IF(BD721="","",AC721/SUMPRODUCT(--(BD721=$BD$4:$BD$12824),$AC$4:$AC$12824))</f>
        <v>8.7473368600815508E-3</v>
      </c>
      <c r="BF721" s="458"/>
      <c r="BG721" s="458"/>
      <c r="BH721" s="458"/>
      <c r="BI721" s="458"/>
      <c r="BJ721" s="458"/>
      <c r="BK721" s="458"/>
      <c r="BL721" s="458"/>
      <c r="BM721" s="458"/>
      <c r="BN721" s="458"/>
      <c r="BO721" s="866">
        <f>VLOOKUP(BD721,$BD$4:$BN$12824,3,0)*BE721</f>
        <v>185036.75528038765</v>
      </c>
      <c r="BP721" s="866"/>
      <c r="BQ721" s="866"/>
      <c r="BR721" s="866">
        <f>VLOOKUP(BD721,$BD$4:$BN$12824,6,0)*BE721</f>
        <v>13620.863107654826</v>
      </c>
      <c r="BS721" s="866">
        <f>VLOOKUP(BD721,$BD$4:$BN$12824,7,0)*BE721</f>
        <v>2186.8342150203875</v>
      </c>
      <c r="BT721" s="866"/>
      <c r="BU721" s="866">
        <f>VLOOKUP(BD721,$BD$4:$BN$12824,9,0)*BE721</f>
        <v>0</v>
      </c>
      <c r="BV721" s="867"/>
      <c r="BW721" s="867">
        <f>VLOOKUP(BD721,$BD$4:$BN$12824,11,0)*BE721</f>
        <v>5248.4021160489301</v>
      </c>
      <c r="BX721" s="1146">
        <f t="shared" si="143"/>
        <v>206092.85471911178</v>
      </c>
      <c r="BY721" s="867">
        <f t="shared" si="146"/>
        <v>680671.2799936526</v>
      </c>
      <c r="BZ721" s="867">
        <f t="shared" si="144"/>
        <v>680671.2799936526</v>
      </c>
      <c r="CA721" s="867">
        <f>_xlfn.MAXIFS($BY$4:$BY$12824,$S$4:$S$12824,$S721)</f>
        <v>680671.2799936526</v>
      </c>
      <c r="CB721" s="1032"/>
      <c r="CF721" s="946">
        <f t="shared" si="145"/>
        <v>414414.60574999999</v>
      </c>
    </row>
    <row r="722" spans="1:84">
      <c r="A722" s="1032"/>
      <c r="B722" s="839" t="s">
        <v>98</v>
      </c>
      <c r="C722" s="839" t="s">
        <v>273</v>
      </c>
      <c r="D722" s="839" t="s">
        <v>2428</v>
      </c>
      <c r="E722" s="839" t="s">
        <v>2429</v>
      </c>
      <c r="F722" s="841">
        <v>45580</v>
      </c>
      <c r="G722" s="840" t="s">
        <v>273</v>
      </c>
      <c r="H722" s="842" t="s">
        <v>102</v>
      </c>
      <c r="I722" s="842"/>
      <c r="J722" s="841" t="s">
        <v>2430</v>
      </c>
      <c r="K722" s="841">
        <v>45424</v>
      </c>
      <c r="L722" s="843"/>
      <c r="M722" s="844" t="s">
        <v>275</v>
      </c>
      <c r="N722" s="841"/>
      <c r="O722" s="841" t="s">
        <v>1100</v>
      </c>
      <c r="P722" s="841" t="s">
        <v>124</v>
      </c>
      <c r="Q722" s="843"/>
      <c r="R722" s="845">
        <v>16189.23</v>
      </c>
      <c r="S722" s="1127" t="s">
        <v>2474</v>
      </c>
      <c r="T722" s="843" t="s">
        <v>2475</v>
      </c>
      <c r="U722" s="842">
        <v>4</v>
      </c>
      <c r="V722" s="842" t="s">
        <v>3</v>
      </c>
      <c r="W722" s="846">
        <v>31.45</v>
      </c>
      <c r="X722" s="847">
        <f t="shared" si="138"/>
        <v>125.8</v>
      </c>
      <c r="Y722" s="848">
        <v>0.5</v>
      </c>
      <c r="Z722" s="849">
        <v>15.725</v>
      </c>
      <c r="AA722" s="849"/>
      <c r="AB722" s="849">
        <f t="shared" si="139"/>
        <v>62.9</v>
      </c>
      <c r="AC722" s="850">
        <f t="shared" si="140"/>
        <v>62.9</v>
      </c>
      <c r="AD722" s="851"/>
      <c r="AE722" s="852">
        <v>26353.87</v>
      </c>
      <c r="AF722" s="853">
        <v>0.1</v>
      </c>
      <c r="AG722" s="854">
        <f t="shared" si="141"/>
        <v>240655.27809816325</v>
      </c>
      <c r="AH722" s="853"/>
      <c r="AI722" s="855">
        <f t="shared" si="142"/>
        <v>0</v>
      </c>
      <c r="AJ722" s="845" t="s">
        <v>2392</v>
      </c>
      <c r="AK722" s="857">
        <v>45515</v>
      </c>
      <c r="AL722" s="840" t="s">
        <v>2393</v>
      </c>
      <c r="AM722" s="840"/>
      <c r="AN722" s="858"/>
      <c r="AO722" s="844" t="s">
        <v>116</v>
      </c>
      <c r="AP722" s="859">
        <v>45607</v>
      </c>
      <c r="AQ722" s="859">
        <v>45607</v>
      </c>
      <c r="AR722" s="859" t="s">
        <v>2394</v>
      </c>
      <c r="AS722" s="840" t="s">
        <v>1088</v>
      </c>
      <c r="AT722" s="840" t="s">
        <v>1089</v>
      </c>
      <c r="AU722" s="860" t="s">
        <v>1210</v>
      </c>
      <c r="AV722" s="839" t="s">
        <v>2395</v>
      </c>
      <c r="AW722" s="861">
        <v>45616</v>
      </c>
      <c r="AX722" s="862" t="s">
        <v>2433</v>
      </c>
      <c r="AY722" s="843"/>
      <c r="AZ722" s="842">
        <v>73269099</v>
      </c>
      <c r="BA722" s="842" t="s">
        <v>120</v>
      </c>
      <c r="BB722" s="863" t="s">
        <v>121</v>
      </c>
      <c r="BC722" s="864">
        <v>45618</v>
      </c>
      <c r="BD722" s="860" t="s">
        <v>2434</v>
      </c>
      <c r="BE722" s="865" cm="1">
        <f t="array" ref="BE722">IF(BD722="","",AC722/SUMPRODUCT(--(BD722=$BD$4:$BD$12824),$AC$4:$AC$12824))</f>
        <v>3.4989347440326203E-2</v>
      </c>
      <c r="BF722" s="458"/>
      <c r="BG722" s="458"/>
      <c r="BH722" s="458"/>
      <c r="BI722" s="458"/>
      <c r="BJ722" s="458"/>
      <c r="BK722" s="458"/>
      <c r="BL722" s="458"/>
      <c r="BM722" s="458"/>
      <c r="BN722" s="458"/>
      <c r="BO722" s="866">
        <f>VLOOKUP(BD722,$BD$4:$BN$12824,3,0)*BE722</f>
        <v>740147.02112155058</v>
      </c>
      <c r="BP722" s="866"/>
      <c r="BQ722" s="866"/>
      <c r="BR722" s="866">
        <f>VLOOKUP(BD722,$BD$4:$BN$12824,6,0)*BE722</f>
        <v>54483.452430619305</v>
      </c>
      <c r="BS722" s="866">
        <f>VLOOKUP(BD722,$BD$4:$BN$12824,7,0)*BE722</f>
        <v>8747.3368600815502</v>
      </c>
      <c r="BT722" s="866"/>
      <c r="BU722" s="866">
        <f>VLOOKUP(BD722,$BD$4:$BN$12824,9,0)*BE722</f>
        <v>0</v>
      </c>
      <c r="BV722" s="867"/>
      <c r="BW722" s="867">
        <f>VLOOKUP(BD722,$BD$4:$BN$12824,11,0)*BE722</f>
        <v>20993.60846419572</v>
      </c>
      <c r="BX722" s="1146">
        <f t="shared" si="143"/>
        <v>824371.41887644713</v>
      </c>
      <c r="BY722" s="867">
        <f t="shared" si="146"/>
        <v>680671.2799936526</v>
      </c>
      <c r="BZ722" s="867">
        <f t="shared" si="144"/>
        <v>2722685.1199746104</v>
      </c>
      <c r="CA722" s="867">
        <f>_xlfn.MAXIFS($BY$4:$BY$12824,$S$4:$S$12824,$S722)</f>
        <v>680671.2799936526</v>
      </c>
      <c r="CB722" s="1032"/>
      <c r="CF722" s="946">
        <f t="shared" si="145"/>
        <v>1657658.423</v>
      </c>
    </row>
    <row r="723" spans="1:84">
      <c r="A723" s="1032"/>
      <c r="B723" s="839" t="s">
        <v>98</v>
      </c>
      <c r="C723" s="839" t="s">
        <v>273</v>
      </c>
      <c r="D723" s="839" t="s">
        <v>2428</v>
      </c>
      <c r="E723" s="839" t="s">
        <v>2429</v>
      </c>
      <c r="F723" s="841">
        <v>45580</v>
      </c>
      <c r="G723" s="840" t="s">
        <v>273</v>
      </c>
      <c r="H723" s="842" t="s">
        <v>102</v>
      </c>
      <c r="I723" s="842"/>
      <c r="J723" s="841" t="s">
        <v>2430</v>
      </c>
      <c r="K723" s="841">
        <v>45424</v>
      </c>
      <c r="L723" s="843"/>
      <c r="M723" s="844" t="s">
        <v>275</v>
      </c>
      <c r="N723" s="841"/>
      <c r="O723" s="841" t="s">
        <v>1100</v>
      </c>
      <c r="P723" s="841" t="s">
        <v>124</v>
      </c>
      <c r="Q723" s="843"/>
      <c r="R723" s="845">
        <v>16190.23</v>
      </c>
      <c r="S723" s="1127" t="s">
        <v>2476</v>
      </c>
      <c r="T723" s="843" t="s">
        <v>2477</v>
      </c>
      <c r="U723" s="842">
        <v>1</v>
      </c>
      <c r="V723" s="842" t="s">
        <v>3</v>
      </c>
      <c r="W723" s="846">
        <v>40.68</v>
      </c>
      <c r="X723" s="847">
        <f t="shared" si="138"/>
        <v>40.68</v>
      </c>
      <c r="Y723" s="848">
        <v>0.5</v>
      </c>
      <c r="Z723" s="849">
        <v>20.34</v>
      </c>
      <c r="AA723" s="849"/>
      <c r="AB723" s="849">
        <f t="shared" si="139"/>
        <v>20.34</v>
      </c>
      <c r="AC723" s="850">
        <f t="shared" si="140"/>
        <v>20.34</v>
      </c>
      <c r="AD723" s="851"/>
      <c r="AE723" s="852">
        <v>26353.87</v>
      </c>
      <c r="AF723" s="853">
        <v>0.1</v>
      </c>
      <c r="AG723" s="854">
        <f t="shared" si="141"/>
        <v>77820.800580550713</v>
      </c>
      <c r="AH723" s="853"/>
      <c r="AI723" s="855">
        <f t="shared" si="142"/>
        <v>0</v>
      </c>
      <c r="AJ723" s="845" t="s">
        <v>2392</v>
      </c>
      <c r="AK723" s="857">
        <v>45515</v>
      </c>
      <c r="AL723" s="840" t="s">
        <v>2393</v>
      </c>
      <c r="AM723" s="840"/>
      <c r="AN723" s="858"/>
      <c r="AO723" s="844" t="s">
        <v>116</v>
      </c>
      <c r="AP723" s="859">
        <v>45607</v>
      </c>
      <c r="AQ723" s="859">
        <v>45607</v>
      </c>
      <c r="AR723" s="859" t="s">
        <v>2394</v>
      </c>
      <c r="AS723" s="840" t="s">
        <v>1088</v>
      </c>
      <c r="AT723" s="840" t="s">
        <v>1089</v>
      </c>
      <c r="AU723" s="860" t="s">
        <v>1210</v>
      </c>
      <c r="AV723" s="839" t="s">
        <v>2395</v>
      </c>
      <c r="AW723" s="861">
        <v>45616</v>
      </c>
      <c r="AX723" s="862" t="s">
        <v>2433</v>
      </c>
      <c r="AY723" s="843"/>
      <c r="AZ723" s="842">
        <v>73269099</v>
      </c>
      <c r="BA723" s="842" t="s">
        <v>120</v>
      </c>
      <c r="BB723" s="863" t="s">
        <v>121</v>
      </c>
      <c r="BC723" s="864">
        <v>45618</v>
      </c>
      <c r="BD723" s="860" t="s">
        <v>2434</v>
      </c>
      <c r="BE723" s="865" cm="1">
        <f t="array" ref="BE723">IF(BD723="","",AC723/SUMPRODUCT(--(BD723=$BD$4:$BD$12824),$AC$4:$AC$12824))</f>
        <v>1.1314520301053021E-2</v>
      </c>
      <c r="BF723" s="458"/>
      <c r="BG723" s="458"/>
      <c r="BH723" s="458"/>
      <c r="BI723" s="458"/>
      <c r="BJ723" s="458"/>
      <c r="BK723" s="458"/>
      <c r="BL723" s="458"/>
      <c r="BM723" s="458"/>
      <c r="BN723" s="458"/>
      <c r="BO723" s="866">
        <f>VLOOKUP(BD723,$BD$4:$BN$12824,3,0)*BE723</f>
        <v>239341.65993024388</v>
      </c>
      <c r="BP723" s="866"/>
      <c r="BQ723" s="866"/>
      <c r="BR723" s="866">
        <f>VLOOKUP(BD723,$BD$4:$BN$12824,6,0)*BE723</f>
        <v>17618.337399662905</v>
      </c>
      <c r="BS723" s="866">
        <f>VLOOKUP(BD723,$BD$4:$BN$12824,7,0)*BE723</f>
        <v>2828.6300752632551</v>
      </c>
      <c r="BT723" s="866"/>
      <c r="BU723" s="866">
        <f>VLOOKUP(BD723,$BD$4:$BN$12824,9,0)*BE723</f>
        <v>0</v>
      </c>
      <c r="BV723" s="867"/>
      <c r="BW723" s="867">
        <f>VLOOKUP(BD723,$BD$4:$BN$12824,11,0)*BE723</f>
        <v>6788.7121806318128</v>
      </c>
      <c r="BX723" s="1146">
        <f t="shared" si="143"/>
        <v>266577.33958580188</v>
      </c>
      <c r="BY723" s="867">
        <f t="shared" si="146"/>
        <v>880435.85596635262</v>
      </c>
      <c r="BZ723" s="867">
        <f t="shared" si="144"/>
        <v>880435.85596635262</v>
      </c>
      <c r="CA723" s="867">
        <f>_xlfn.MAXIFS($BY$4:$BY$12824,$S$4:$S$12824,$S723)</f>
        <v>880435.85596635262</v>
      </c>
      <c r="CB723" s="1032"/>
      <c r="CF723" s="946">
        <f t="shared" si="145"/>
        <v>536037.71580000001</v>
      </c>
    </row>
    <row r="724" spans="1:84">
      <c r="A724" s="1032"/>
      <c r="B724" s="839" t="s">
        <v>98</v>
      </c>
      <c r="C724" s="839" t="s">
        <v>273</v>
      </c>
      <c r="D724" s="839" t="s">
        <v>2428</v>
      </c>
      <c r="E724" s="839" t="s">
        <v>2429</v>
      </c>
      <c r="F724" s="841">
        <v>45580</v>
      </c>
      <c r="G724" s="840" t="s">
        <v>273</v>
      </c>
      <c r="H724" s="842" t="s">
        <v>102</v>
      </c>
      <c r="I724" s="842"/>
      <c r="J724" s="841" t="s">
        <v>2430</v>
      </c>
      <c r="K724" s="841">
        <v>45424</v>
      </c>
      <c r="L724" s="843"/>
      <c r="M724" s="844" t="s">
        <v>275</v>
      </c>
      <c r="N724" s="841"/>
      <c r="O724" s="841" t="s">
        <v>1100</v>
      </c>
      <c r="P724" s="841" t="s">
        <v>124</v>
      </c>
      <c r="Q724" s="843"/>
      <c r="R724" s="845">
        <v>16853.23</v>
      </c>
      <c r="S724" s="1127" t="s">
        <v>2478</v>
      </c>
      <c r="T724" s="843" t="s">
        <v>2479</v>
      </c>
      <c r="U724" s="842">
        <v>1</v>
      </c>
      <c r="V724" s="842" t="s">
        <v>3</v>
      </c>
      <c r="W724" s="846">
        <v>81.72</v>
      </c>
      <c r="X724" s="847">
        <f t="shared" si="138"/>
        <v>81.72</v>
      </c>
      <c r="Y724" s="848">
        <v>0.5</v>
      </c>
      <c r="Z724" s="849">
        <v>40.86</v>
      </c>
      <c r="AA724" s="849"/>
      <c r="AB724" s="849">
        <f t="shared" si="139"/>
        <v>40.86</v>
      </c>
      <c r="AC724" s="850">
        <f t="shared" si="140"/>
        <v>40.86</v>
      </c>
      <c r="AD724" s="851"/>
      <c r="AE724" s="852">
        <v>26353.87</v>
      </c>
      <c r="AF724" s="853">
        <v>0.1</v>
      </c>
      <c r="AG724" s="854">
        <f t="shared" si="141"/>
        <v>156330.28081225671</v>
      </c>
      <c r="AH724" s="853"/>
      <c r="AI724" s="855">
        <f t="shared" si="142"/>
        <v>0</v>
      </c>
      <c r="AJ724" s="845" t="s">
        <v>2392</v>
      </c>
      <c r="AK724" s="857">
        <v>45515</v>
      </c>
      <c r="AL724" s="840" t="s">
        <v>2393</v>
      </c>
      <c r="AM724" s="840"/>
      <c r="AN724" s="858"/>
      <c r="AO724" s="844" t="s">
        <v>116</v>
      </c>
      <c r="AP724" s="859">
        <v>45607</v>
      </c>
      <c r="AQ724" s="859">
        <v>45607</v>
      </c>
      <c r="AR724" s="859" t="s">
        <v>2394</v>
      </c>
      <c r="AS724" s="840" t="s">
        <v>1088</v>
      </c>
      <c r="AT724" s="840" t="s">
        <v>1089</v>
      </c>
      <c r="AU724" s="860" t="s">
        <v>1210</v>
      </c>
      <c r="AV724" s="839" t="s">
        <v>2395</v>
      </c>
      <c r="AW724" s="861">
        <v>45616</v>
      </c>
      <c r="AX724" s="862" t="s">
        <v>2433</v>
      </c>
      <c r="AY724" s="843"/>
      <c r="AZ724" s="842">
        <v>73269099</v>
      </c>
      <c r="BA724" s="842" t="s">
        <v>120</v>
      </c>
      <c r="BB724" s="863" t="s">
        <v>121</v>
      </c>
      <c r="BC724" s="864">
        <v>45618</v>
      </c>
      <c r="BD724" s="860" t="s">
        <v>2434</v>
      </c>
      <c r="BE724" s="865" cm="1">
        <f t="array" ref="BE724">IF(BD724="","",AC724/SUMPRODUCT(--(BD724=$BD$4:$BD$12824),$AC$4:$AC$12824))</f>
        <v>2.2729169100345448E-2</v>
      </c>
      <c r="BF724" s="458"/>
      <c r="BG724" s="458"/>
      <c r="BH724" s="458"/>
      <c r="BI724" s="458"/>
      <c r="BJ724" s="458"/>
      <c r="BK724" s="458"/>
      <c r="BL724" s="458"/>
      <c r="BM724" s="458"/>
      <c r="BN724" s="458"/>
      <c r="BO724" s="866">
        <f>VLOOKUP(BD724,$BD$4:$BN$12824,3,0)*BE724</f>
        <v>480801.38764748105</v>
      </c>
      <c r="BP724" s="866"/>
      <c r="BQ724" s="866"/>
      <c r="BR724" s="866">
        <f>VLOOKUP(BD724,$BD$4:$BN$12824,6,0)*BE724</f>
        <v>35392.589289588315</v>
      </c>
      <c r="BS724" s="866">
        <f>VLOOKUP(BD724,$BD$4:$BN$12824,7,0)*BE724</f>
        <v>5682.2922750863618</v>
      </c>
      <c r="BT724" s="866"/>
      <c r="BU724" s="866">
        <f>VLOOKUP(BD724,$BD$4:$BN$12824,9,0)*BE724</f>
        <v>0</v>
      </c>
      <c r="BV724" s="867"/>
      <c r="BW724" s="867">
        <f>VLOOKUP(BD724,$BD$4:$BN$12824,11,0)*BE724</f>
        <v>13637.501460207268</v>
      </c>
      <c r="BX724" s="1146">
        <f t="shared" si="143"/>
        <v>535513.770672363</v>
      </c>
      <c r="BY724" s="867">
        <f t="shared" si="146"/>
        <v>1768663.1796846197</v>
      </c>
      <c r="BZ724" s="867">
        <f t="shared" si="144"/>
        <v>1768663.1796846197</v>
      </c>
      <c r="CA724" s="867">
        <f>_xlfn.MAXIFS($BY$4:$BY$12824,$S$4:$S$12824,$S724)</f>
        <v>1768663.1796846197</v>
      </c>
      <c r="CB724" s="1032"/>
      <c r="CF724" s="946">
        <f t="shared" si="145"/>
        <v>1076819.1281999999</v>
      </c>
    </row>
    <row r="725" spans="1:84">
      <c r="A725" s="1032"/>
      <c r="B725" s="839" t="s">
        <v>98</v>
      </c>
      <c r="C725" s="839" t="s">
        <v>273</v>
      </c>
      <c r="D725" s="839" t="s">
        <v>2428</v>
      </c>
      <c r="E725" s="839" t="s">
        <v>2429</v>
      </c>
      <c r="F725" s="841">
        <v>45580</v>
      </c>
      <c r="G725" s="840" t="s">
        <v>273</v>
      </c>
      <c r="H725" s="842" t="s">
        <v>102</v>
      </c>
      <c r="I725" s="842"/>
      <c r="J725" s="841" t="s">
        <v>2430</v>
      </c>
      <c r="K725" s="841">
        <v>45424</v>
      </c>
      <c r="L725" s="843"/>
      <c r="M725" s="844" t="s">
        <v>275</v>
      </c>
      <c r="N725" s="841"/>
      <c r="O725" s="841" t="s">
        <v>1100</v>
      </c>
      <c r="P725" s="841" t="s">
        <v>124</v>
      </c>
      <c r="Q725" s="843"/>
      <c r="R725" s="845">
        <v>18443</v>
      </c>
      <c r="S725" s="1127" t="s">
        <v>2480</v>
      </c>
      <c r="T725" s="843" t="s">
        <v>2481</v>
      </c>
      <c r="U725" s="842">
        <v>4</v>
      </c>
      <c r="V725" s="842" t="s">
        <v>3</v>
      </c>
      <c r="W725" s="846">
        <v>18.21</v>
      </c>
      <c r="X725" s="847">
        <f t="shared" si="138"/>
        <v>72.84</v>
      </c>
      <c r="Y725" s="848">
        <v>0.5</v>
      </c>
      <c r="Z725" s="849">
        <v>9.1050000000000004</v>
      </c>
      <c r="AA725" s="849"/>
      <c r="AB725" s="849">
        <f t="shared" si="139"/>
        <v>36.42</v>
      </c>
      <c r="AC725" s="850">
        <f t="shared" si="140"/>
        <v>36.42</v>
      </c>
      <c r="AD725" s="851"/>
      <c r="AE725" s="852">
        <v>26353.87</v>
      </c>
      <c r="AF725" s="853">
        <v>0.1</v>
      </c>
      <c r="AG725" s="854">
        <f t="shared" si="141"/>
        <v>139342.84941709228</v>
      </c>
      <c r="AH725" s="853"/>
      <c r="AI725" s="855">
        <f t="shared" si="142"/>
        <v>0</v>
      </c>
      <c r="AJ725" s="845" t="s">
        <v>2392</v>
      </c>
      <c r="AK725" s="857">
        <v>45515</v>
      </c>
      <c r="AL725" s="840" t="s">
        <v>2393</v>
      </c>
      <c r="AM725" s="840"/>
      <c r="AN725" s="858"/>
      <c r="AO725" s="844" t="s">
        <v>116</v>
      </c>
      <c r="AP725" s="859">
        <v>45607</v>
      </c>
      <c r="AQ725" s="859">
        <v>45607</v>
      </c>
      <c r="AR725" s="859" t="s">
        <v>2394</v>
      </c>
      <c r="AS725" s="840" t="s">
        <v>1088</v>
      </c>
      <c r="AT725" s="840" t="s">
        <v>1089</v>
      </c>
      <c r="AU725" s="860" t="s">
        <v>1210</v>
      </c>
      <c r="AV725" s="839" t="s">
        <v>2395</v>
      </c>
      <c r="AW725" s="861">
        <v>45616</v>
      </c>
      <c r="AX725" s="862" t="s">
        <v>2433</v>
      </c>
      <c r="AY725" s="843"/>
      <c r="AZ725" s="842">
        <v>73269099</v>
      </c>
      <c r="BA725" s="842" t="s">
        <v>120</v>
      </c>
      <c r="BB725" s="863" t="s">
        <v>121</v>
      </c>
      <c r="BC725" s="864">
        <v>45618</v>
      </c>
      <c r="BD725" s="860" t="s">
        <v>2434</v>
      </c>
      <c r="BE725" s="865" cm="1">
        <f t="array" ref="BE725">IF(BD725="","",AC725/SUMPRODUCT(--(BD725=$BD$4:$BD$12824),$AC$4:$AC$12824))</f>
        <v>2.0259332810440071E-2</v>
      </c>
      <c r="BF725" s="458"/>
      <c r="BG725" s="458"/>
      <c r="BH725" s="458"/>
      <c r="BI725" s="458"/>
      <c r="BJ725" s="458"/>
      <c r="BK725" s="458"/>
      <c r="BL725" s="458"/>
      <c r="BM725" s="458"/>
      <c r="BN725" s="458"/>
      <c r="BO725" s="866">
        <f>VLOOKUP(BD725,$BD$4:$BN$12824,3,0)*BE725</f>
        <v>428555.71556831279</v>
      </c>
      <c r="BP725" s="866"/>
      <c r="BQ725" s="866"/>
      <c r="BR725" s="866">
        <f>VLOOKUP(BD725,$BD$4:$BN$12824,6,0)*BE725</f>
        <v>31546.698529779893</v>
      </c>
      <c r="BS725" s="866">
        <f>VLOOKUP(BD725,$BD$4:$BN$12824,7,0)*BE725</f>
        <v>5064.8332026100179</v>
      </c>
      <c r="BT725" s="866"/>
      <c r="BU725" s="866">
        <f>VLOOKUP(BD725,$BD$4:$BN$12824,9,0)*BE725</f>
        <v>0</v>
      </c>
      <c r="BV725" s="867"/>
      <c r="BW725" s="867">
        <f>VLOOKUP(BD725,$BD$4:$BN$12824,11,0)*BE725</f>
        <v>12155.599686264042</v>
      </c>
      <c r="BX725" s="1146">
        <f t="shared" si="143"/>
        <v>477322.84698696679</v>
      </c>
      <c r="BY725" s="867">
        <f t="shared" si="146"/>
        <v>394118.41045101476</v>
      </c>
      <c r="BZ725" s="867">
        <f t="shared" si="144"/>
        <v>1576473.641804059</v>
      </c>
      <c r="CA725" s="867">
        <f>_xlfn.MAXIFS($BY$4:$BY$12824,$S$4:$S$12824,$S725)</f>
        <v>394118.41045101476</v>
      </c>
      <c r="CB725" s="1032"/>
      <c r="CF725" s="946">
        <f t="shared" si="145"/>
        <v>959807.94539999997</v>
      </c>
    </row>
    <row r="726" spans="1:84">
      <c r="A726" s="1032"/>
      <c r="B726" s="839" t="s">
        <v>98</v>
      </c>
      <c r="C726" s="839" t="s">
        <v>273</v>
      </c>
      <c r="D726" s="839" t="s">
        <v>2428</v>
      </c>
      <c r="E726" s="839" t="s">
        <v>2429</v>
      </c>
      <c r="F726" s="841">
        <v>45580</v>
      </c>
      <c r="G726" s="840" t="s">
        <v>273</v>
      </c>
      <c r="H726" s="842" t="s">
        <v>102</v>
      </c>
      <c r="I726" s="842"/>
      <c r="J726" s="841" t="s">
        <v>2430</v>
      </c>
      <c r="K726" s="841">
        <v>45424</v>
      </c>
      <c r="L726" s="843"/>
      <c r="M726" s="844" t="s">
        <v>275</v>
      </c>
      <c r="N726" s="841"/>
      <c r="O726" s="841" t="s">
        <v>1100</v>
      </c>
      <c r="P726" s="841" t="s">
        <v>124</v>
      </c>
      <c r="Q726" s="843"/>
      <c r="R726" s="845">
        <v>18459</v>
      </c>
      <c r="S726" s="1127" t="s">
        <v>2482</v>
      </c>
      <c r="T726" s="843" t="s">
        <v>2483</v>
      </c>
      <c r="U726" s="842">
        <v>1</v>
      </c>
      <c r="V726" s="842" t="s">
        <v>3</v>
      </c>
      <c r="W726" s="846">
        <v>37.33</v>
      </c>
      <c r="X726" s="847">
        <f t="shared" si="138"/>
        <v>37.33</v>
      </c>
      <c r="Y726" s="848">
        <v>0.5</v>
      </c>
      <c r="Z726" s="849">
        <v>18.664999999999999</v>
      </c>
      <c r="AA726" s="849"/>
      <c r="AB726" s="849">
        <f t="shared" si="139"/>
        <v>18.664999999999999</v>
      </c>
      <c r="AC726" s="850">
        <f t="shared" si="140"/>
        <v>18.664999999999999</v>
      </c>
      <c r="AD726" s="851"/>
      <c r="AE726" s="852">
        <v>26353.87</v>
      </c>
      <c r="AF726" s="853">
        <v>0.1</v>
      </c>
      <c r="AG726" s="854">
        <f t="shared" si="141"/>
        <v>71412.253826744301</v>
      </c>
      <c r="AH726" s="853"/>
      <c r="AI726" s="855">
        <f t="shared" si="142"/>
        <v>0</v>
      </c>
      <c r="AJ726" s="845" t="s">
        <v>2392</v>
      </c>
      <c r="AK726" s="857">
        <v>45515</v>
      </c>
      <c r="AL726" s="840" t="s">
        <v>2393</v>
      </c>
      <c r="AM726" s="840"/>
      <c r="AN726" s="858"/>
      <c r="AO726" s="844" t="s">
        <v>116</v>
      </c>
      <c r="AP726" s="859">
        <v>45607</v>
      </c>
      <c r="AQ726" s="859">
        <v>45607</v>
      </c>
      <c r="AR726" s="859" t="s">
        <v>2394</v>
      </c>
      <c r="AS726" s="840" t="s">
        <v>1088</v>
      </c>
      <c r="AT726" s="840" t="s">
        <v>1089</v>
      </c>
      <c r="AU726" s="860" t="s">
        <v>1210</v>
      </c>
      <c r="AV726" s="839" t="s">
        <v>2395</v>
      </c>
      <c r="AW726" s="861">
        <v>45616</v>
      </c>
      <c r="AX726" s="862" t="s">
        <v>2433</v>
      </c>
      <c r="AY726" s="843"/>
      <c r="AZ726" s="842">
        <v>73269099</v>
      </c>
      <c r="BA726" s="842" t="s">
        <v>120</v>
      </c>
      <c r="BB726" s="863" t="s">
        <v>121</v>
      </c>
      <c r="BC726" s="864">
        <v>45618</v>
      </c>
      <c r="BD726" s="860" t="s">
        <v>2434</v>
      </c>
      <c r="BE726" s="865" cm="1">
        <f t="array" ref="BE726">IF(BD726="","",AC726/SUMPRODUCT(--(BD726=$BD$4:$BD$12824),$AC$4:$AC$12824))</f>
        <v>1.0382768997991869E-2</v>
      </c>
      <c r="BF726" s="458"/>
      <c r="BG726" s="458"/>
      <c r="BH726" s="458"/>
      <c r="BI726" s="458"/>
      <c r="BJ726" s="458"/>
      <c r="BK726" s="458"/>
      <c r="BL726" s="458"/>
      <c r="BM726" s="458"/>
      <c r="BN726" s="458"/>
      <c r="BO726" s="866">
        <f>VLOOKUP(BD726,$BD$4:$BN$12824,3,0)*BE726</f>
        <v>219631.862467945</v>
      </c>
      <c r="BP726" s="866"/>
      <c r="BQ726" s="866"/>
      <c r="BR726" s="866">
        <f>VLOOKUP(BD726,$BD$4:$BN$12824,6,0)*BE726</f>
        <v>16167.46644860905</v>
      </c>
      <c r="BS726" s="866">
        <f>VLOOKUP(BD726,$BD$4:$BN$12824,7,0)*BE726</f>
        <v>2595.6922494979672</v>
      </c>
      <c r="BT726" s="866"/>
      <c r="BU726" s="866">
        <f>VLOOKUP(BD726,$BD$4:$BN$12824,9,0)*BE726</f>
        <v>0</v>
      </c>
      <c r="BV726" s="867"/>
      <c r="BW726" s="867">
        <f>VLOOKUP(BD726,$BD$4:$BN$12824,11,0)*BE726</f>
        <v>6229.6613987951214</v>
      </c>
      <c r="BX726" s="1146">
        <f t="shared" si="143"/>
        <v>244624.68256484714</v>
      </c>
      <c r="BY726" s="867">
        <f t="shared" si="146"/>
        <v>807931.91994159145</v>
      </c>
      <c r="BZ726" s="867">
        <f t="shared" si="144"/>
        <v>807931.91994159145</v>
      </c>
      <c r="CA726" s="867">
        <f>_xlfn.MAXIFS($BY$4:$BY$12824,$S$4:$S$12824,$S726)</f>
        <v>807931.91994159145</v>
      </c>
      <c r="CB726" s="1032"/>
      <c r="CF726" s="946">
        <f t="shared" si="145"/>
        <v>491894.98354999995</v>
      </c>
    </row>
    <row r="727" spans="1:84">
      <c r="A727" s="1032"/>
      <c r="B727" s="839" t="s">
        <v>98</v>
      </c>
      <c r="C727" s="839" t="s">
        <v>273</v>
      </c>
      <c r="D727" s="839" t="s">
        <v>2428</v>
      </c>
      <c r="E727" s="839" t="s">
        <v>2429</v>
      </c>
      <c r="F727" s="841">
        <v>45580</v>
      </c>
      <c r="G727" s="840" t="s">
        <v>273</v>
      </c>
      <c r="H727" s="842" t="s">
        <v>102</v>
      </c>
      <c r="I727" s="842"/>
      <c r="J727" s="841" t="s">
        <v>2430</v>
      </c>
      <c r="K727" s="841">
        <v>45424</v>
      </c>
      <c r="L727" s="843"/>
      <c r="M727" s="844" t="s">
        <v>275</v>
      </c>
      <c r="N727" s="841"/>
      <c r="O727" s="841" t="s">
        <v>1100</v>
      </c>
      <c r="P727" s="841" t="s">
        <v>124</v>
      </c>
      <c r="Q727" s="843"/>
      <c r="R727" s="845">
        <v>18460</v>
      </c>
      <c r="S727" s="1127" t="s">
        <v>2484</v>
      </c>
      <c r="T727" s="843" t="s">
        <v>2485</v>
      </c>
      <c r="U727" s="842">
        <v>1</v>
      </c>
      <c r="V727" s="842" t="s">
        <v>3</v>
      </c>
      <c r="W727" s="846">
        <v>37.33</v>
      </c>
      <c r="X727" s="847">
        <f t="shared" si="138"/>
        <v>37.33</v>
      </c>
      <c r="Y727" s="848">
        <v>0.5</v>
      </c>
      <c r="Z727" s="849">
        <v>18.664999999999999</v>
      </c>
      <c r="AA727" s="849"/>
      <c r="AB727" s="849">
        <f t="shared" si="139"/>
        <v>18.664999999999999</v>
      </c>
      <c r="AC727" s="850">
        <f t="shared" si="140"/>
        <v>18.664999999999999</v>
      </c>
      <c r="AD727" s="851"/>
      <c r="AE727" s="852">
        <v>26353.87</v>
      </c>
      <c r="AF727" s="853">
        <v>0.1</v>
      </c>
      <c r="AG727" s="854">
        <f t="shared" si="141"/>
        <v>71412.253826744301</v>
      </c>
      <c r="AH727" s="853"/>
      <c r="AI727" s="855">
        <f t="shared" si="142"/>
        <v>0</v>
      </c>
      <c r="AJ727" s="845" t="s">
        <v>2392</v>
      </c>
      <c r="AK727" s="857">
        <v>45515</v>
      </c>
      <c r="AL727" s="840" t="s">
        <v>2393</v>
      </c>
      <c r="AM727" s="840"/>
      <c r="AN727" s="858"/>
      <c r="AO727" s="844" t="s">
        <v>116</v>
      </c>
      <c r="AP727" s="859">
        <v>45607</v>
      </c>
      <c r="AQ727" s="859">
        <v>45607</v>
      </c>
      <c r="AR727" s="859" t="s">
        <v>2394</v>
      </c>
      <c r="AS727" s="840" t="s">
        <v>1088</v>
      </c>
      <c r="AT727" s="840" t="s">
        <v>1089</v>
      </c>
      <c r="AU727" s="860" t="s">
        <v>1210</v>
      </c>
      <c r="AV727" s="839" t="s">
        <v>2395</v>
      </c>
      <c r="AW727" s="861">
        <v>45616</v>
      </c>
      <c r="AX727" s="862" t="s">
        <v>2433</v>
      </c>
      <c r="AY727" s="843"/>
      <c r="AZ727" s="842">
        <v>73269099</v>
      </c>
      <c r="BA727" s="842" t="s">
        <v>120</v>
      </c>
      <c r="BB727" s="863" t="s">
        <v>121</v>
      </c>
      <c r="BC727" s="864">
        <v>45618</v>
      </c>
      <c r="BD727" s="860" t="s">
        <v>2434</v>
      </c>
      <c r="BE727" s="865" cm="1">
        <f t="array" ref="BE727">IF(BD727="","",AC727/SUMPRODUCT(--(BD727=$BD$4:$BD$12824),$AC$4:$AC$12824))</f>
        <v>1.0382768997991869E-2</v>
      </c>
      <c r="BF727" s="458"/>
      <c r="BG727" s="458"/>
      <c r="BH727" s="458"/>
      <c r="BI727" s="458"/>
      <c r="BJ727" s="458"/>
      <c r="BK727" s="458"/>
      <c r="BL727" s="458"/>
      <c r="BM727" s="458"/>
      <c r="BN727" s="458"/>
      <c r="BO727" s="866">
        <f>VLOOKUP(BD727,$BD$4:$BN$12824,3,0)*BE727</f>
        <v>219631.862467945</v>
      </c>
      <c r="BP727" s="866"/>
      <c r="BQ727" s="866"/>
      <c r="BR727" s="866">
        <f>VLOOKUP(BD727,$BD$4:$BN$12824,6,0)*BE727</f>
        <v>16167.46644860905</v>
      </c>
      <c r="BS727" s="866">
        <f>VLOOKUP(BD727,$BD$4:$BN$12824,7,0)*BE727</f>
        <v>2595.6922494979672</v>
      </c>
      <c r="BT727" s="866"/>
      <c r="BU727" s="866">
        <f>VLOOKUP(BD727,$BD$4:$BN$12824,9,0)*BE727</f>
        <v>0</v>
      </c>
      <c r="BV727" s="867"/>
      <c r="BW727" s="867">
        <f>VLOOKUP(BD727,$BD$4:$BN$12824,11,0)*BE727</f>
        <v>6229.6613987951214</v>
      </c>
      <c r="BX727" s="1146">
        <f t="shared" si="143"/>
        <v>244624.68256484714</v>
      </c>
      <c r="BY727" s="867">
        <f t="shared" si="146"/>
        <v>807931.91994159145</v>
      </c>
      <c r="BZ727" s="867">
        <f t="shared" si="144"/>
        <v>807931.91994159145</v>
      </c>
      <c r="CA727" s="867">
        <f>_xlfn.MAXIFS($BY$4:$BY$12824,$S$4:$S$12824,$S727)</f>
        <v>807931.91994159145</v>
      </c>
      <c r="CB727" s="1032"/>
      <c r="CF727" s="946">
        <f t="shared" si="145"/>
        <v>491894.98354999995</v>
      </c>
    </row>
    <row r="728" spans="1:84">
      <c r="A728" s="1032"/>
      <c r="B728" s="839" t="s">
        <v>98</v>
      </c>
      <c r="C728" s="839" t="s">
        <v>273</v>
      </c>
      <c r="D728" s="839" t="s">
        <v>2428</v>
      </c>
      <c r="E728" s="839" t="s">
        <v>2429</v>
      </c>
      <c r="F728" s="841">
        <v>45580</v>
      </c>
      <c r="G728" s="840" t="s">
        <v>273</v>
      </c>
      <c r="H728" s="842" t="s">
        <v>102</v>
      </c>
      <c r="I728" s="842"/>
      <c r="J728" s="841" t="s">
        <v>2430</v>
      </c>
      <c r="K728" s="841">
        <v>45424</v>
      </c>
      <c r="L728" s="843"/>
      <c r="M728" s="844" t="s">
        <v>275</v>
      </c>
      <c r="N728" s="841"/>
      <c r="O728" s="841" t="s">
        <v>1100</v>
      </c>
      <c r="P728" s="841" t="s">
        <v>124</v>
      </c>
      <c r="Q728" s="843"/>
      <c r="R728" s="845">
        <v>18475</v>
      </c>
      <c r="S728" s="1127" t="s">
        <v>2486</v>
      </c>
      <c r="T728" s="843" t="s">
        <v>2487</v>
      </c>
      <c r="U728" s="842">
        <v>1</v>
      </c>
      <c r="V728" s="842" t="s">
        <v>3</v>
      </c>
      <c r="W728" s="846">
        <v>35.64</v>
      </c>
      <c r="X728" s="847">
        <f t="shared" si="138"/>
        <v>35.64</v>
      </c>
      <c r="Y728" s="848">
        <v>0.5</v>
      </c>
      <c r="Z728" s="849">
        <v>17.82</v>
      </c>
      <c r="AA728" s="849"/>
      <c r="AB728" s="849">
        <f t="shared" si="139"/>
        <v>17.82</v>
      </c>
      <c r="AC728" s="850">
        <f t="shared" si="140"/>
        <v>17.82</v>
      </c>
      <c r="AD728" s="851"/>
      <c r="AE728" s="852">
        <v>26353.87</v>
      </c>
      <c r="AF728" s="853">
        <v>0.1</v>
      </c>
      <c r="AG728" s="854">
        <f t="shared" si="141"/>
        <v>68179.285464376284</v>
      </c>
      <c r="AH728" s="853"/>
      <c r="AI728" s="855">
        <f t="shared" si="142"/>
        <v>0</v>
      </c>
      <c r="AJ728" s="845" t="s">
        <v>2392</v>
      </c>
      <c r="AK728" s="857">
        <v>45515</v>
      </c>
      <c r="AL728" s="840" t="s">
        <v>2393</v>
      </c>
      <c r="AM728" s="840"/>
      <c r="AN728" s="858"/>
      <c r="AO728" s="844" t="s">
        <v>116</v>
      </c>
      <c r="AP728" s="859">
        <v>45607</v>
      </c>
      <c r="AQ728" s="859">
        <v>45607</v>
      </c>
      <c r="AR728" s="859" t="s">
        <v>2394</v>
      </c>
      <c r="AS728" s="840" t="s">
        <v>1088</v>
      </c>
      <c r="AT728" s="840" t="s">
        <v>1089</v>
      </c>
      <c r="AU728" s="860" t="s">
        <v>1210</v>
      </c>
      <c r="AV728" s="839" t="s">
        <v>2395</v>
      </c>
      <c r="AW728" s="861">
        <v>45616</v>
      </c>
      <c r="AX728" s="862" t="s">
        <v>2433</v>
      </c>
      <c r="AY728" s="843"/>
      <c r="AZ728" s="842">
        <v>73269099</v>
      </c>
      <c r="BA728" s="842" t="s">
        <v>120</v>
      </c>
      <c r="BB728" s="863" t="s">
        <v>121</v>
      </c>
      <c r="BC728" s="864">
        <v>45618</v>
      </c>
      <c r="BD728" s="860" t="s">
        <v>2434</v>
      </c>
      <c r="BE728" s="865" cm="1">
        <f t="array" ref="BE728">IF(BD728="","",AC728/SUMPRODUCT(--(BD728=$BD$4:$BD$12824),$AC$4:$AC$12824))</f>
        <v>9.9127213257013194E-3</v>
      </c>
      <c r="BF728" s="458"/>
      <c r="BG728" s="458"/>
      <c r="BH728" s="458"/>
      <c r="BI728" s="458"/>
      <c r="BJ728" s="458"/>
      <c r="BK728" s="458"/>
      <c r="BL728" s="458"/>
      <c r="BM728" s="458"/>
      <c r="BN728" s="458"/>
      <c r="BO728" s="866">
        <f>VLOOKUP(BD728,$BD$4:$BN$12824,3,0)*BE728</f>
        <v>209688.71091233756</v>
      </c>
      <c r="BP728" s="866"/>
      <c r="BQ728" s="866"/>
      <c r="BR728" s="866">
        <f>VLOOKUP(BD728,$BD$4:$BN$12824,6,0)*BE728</f>
        <v>15435.534535987856</v>
      </c>
      <c r="BS728" s="866">
        <f>VLOOKUP(BD728,$BD$4:$BN$12824,7,0)*BE728</f>
        <v>2478.1803314253298</v>
      </c>
      <c r="BT728" s="866"/>
      <c r="BU728" s="866">
        <f>VLOOKUP(BD728,$BD$4:$BN$12824,9,0)*BE728</f>
        <v>0</v>
      </c>
      <c r="BV728" s="867"/>
      <c r="BW728" s="867">
        <f>VLOOKUP(BD728,$BD$4:$BN$12824,11,0)*BE728</f>
        <v>5947.6327954207918</v>
      </c>
      <c r="BX728" s="1146">
        <f t="shared" si="143"/>
        <v>233550.05857517154</v>
      </c>
      <c r="BY728" s="867">
        <f t="shared" si="146"/>
        <v>771355.30743954785</v>
      </c>
      <c r="BZ728" s="867">
        <f t="shared" si="144"/>
        <v>771355.30743954785</v>
      </c>
      <c r="CA728" s="867">
        <f>_xlfn.MAXIFS($BY$4:$BY$12824,$S$4:$S$12824,$S728)</f>
        <v>771355.30743954785</v>
      </c>
      <c r="CB728" s="1032"/>
      <c r="CF728" s="946">
        <f t="shared" si="145"/>
        <v>469625.96340000001</v>
      </c>
    </row>
    <row r="729" spans="1:84">
      <c r="A729" s="1032"/>
      <c r="B729" s="839" t="s">
        <v>98</v>
      </c>
      <c r="C729" s="839" t="s">
        <v>273</v>
      </c>
      <c r="D729" s="839" t="s">
        <v>2428</v>
      </c>
      <c r="E729" s="839" t="s">
        <v>2429</v>
      </c>
      <c r="F729" s="841">
        <v>45580</v>
      </c>
      <c r="G729" s="840" t="s">
        <v>273</v>
      </c>
      <c r="H729" s="842" t="s">
        <v>102</v>
      </c>
      <c r="I729" s="842"/>
      <c r="J729" s="841" t="s">
        <v>2430</v>
      </c>
      <c r="K729" s="841">
        <v>45424</v>
      </c>
      <c r="L729" s="843"/>
      <c r="M729" s="844" t="s">
        <v>275</v>
      </c>
      <c r="N729" s="841"/>
      <c r="O729" s="841" t="s">
        <v>1100</v>
      </c>
      <c r="P729" s="841" t="s">
        <v>124</v>
      </c>
      <c r="Q729" s="843"/>
      <c r="R729" s="845">
        <v>18477</v>
      </c>
      <c r="S729" s="1127" t="s">
        <v>2488</v>
      </c>
      <c r="T729" s="843" t="s">
        <v>2489</v>
      </c>
      <c r="U729" s="842">
        <v>1</v>
      </c>
      <c r="V729" s="842" t="s">
        <v>3</v>
      </c>
      <c r="W729" s="846">
        <v>21.1</v>
      </c>
      <c r="X729" s="847">
        <f t="shared" si="138"/>
        <v>21.1</v>
      </c>
      <c r="Y729" s="848">
        <v>0.5</v>
      </c>
      <c r="Z729" s="849">
        <v>10.55</v>
      </c>
      <c r="AA729" s="849"/>
      <c r="AB729" s="849">
        <f t="shared" si="139"/>
        <v>10.55</v>
      </c>
      <c r="AC729" s="850">
        <f t="shared" si="140"/>
        <v>10.55</v>
      </c>
      <c r="AD729" s="851"/>
      <c r="AE729" s="852">
        <v>26353.87</v>
      </c>
      <c r="AF729" s="853">
        <v>0.1</v>
      </c>
      <c r="AG729" s="854">
        <f t="shared" si="141"/>
        <v>40364.279553825472</v>
      </c>
      <c r="AH729" s="853"/>
      <c r="AI729" s="855">
        <f t="shared" si="142"/>
        <v>0</v>
      </c>
      <c r="AJ729" s="845" t="s">
        <v>2392</v>
      </c>
      <c r="AK729" s="857">
        <v>45515</v>
      </c>
      <c r="AL729" s="840" t="s">
        <v>2393</v>
      </c>
      <c r="AM729" s="840"/>
      <c r="AN729" s="858"/>
      <c r="AO729" s="844" t="s">
        <v>116</v>
      </c>
      <c r="AP729" s="859">
        <v>45607</v>
      </c>
      <c r="AQ729" s="859">
        <v>45607</v>
      </c>
      <c r="AR729" s="859" t="s">
        <v>2394</v>
      </c>
      <c r="AS729" s="840" t="s">
        <v>1088</v>
      </c>
      <c r="AT729" s="840" t="s">
        <v>1089</v>
      </c>
      <c r="AU729" s="860" t="s">
        <v>1210</v>
      </c>
      <c r="AV729" s="839" t="s">
        <v>2395</v>
      </c>
      <c r="AW729" s="861">
        <v>45616</v>
      </c>
      <c r="AX729" s="862" t="s">
        <v>2433</v>
      </c>
      <c r="AY729" s="843"/>
      <c r="AZ729" s="842">
        <v>73269099</v>
      </c>
      <c r="BA729" s="842" t="s">
        <v>120</v>
      </c>
      <c r="BB729" s="863" t="s">
        <v>121</v>
      </c>
      <c r="BC729" s="864">
        <v>45618</v>
      </c>
      <c r="BD729" s="860" t="s">
        <v>2434</v>
      </c>
      <c r="BE729" s="865" cm="1">
        <f t="array" ref="BE729">IF(BD729="","",AC729/SUMPRODUCT(--(BD729=$BD$4:$BD$12824),$AC$4:$AC$12824))</f>
        <v>5.8686425356985926E-3</v>
      </c>
      <c r="BF729" s="458"/>
      <c r="BG729" s="458"/>
      <c r="BH729" s="458"/>
      <c r="BI729" s="458"/>
      <c r="BJ729" s="458"/>
      <c r="BK729" s="458"/>
      <c r="BL729" s="458"/>
      <c r="BM729" s="458"/>
      <c r="BN729" s="458"/>
      <c r="BO729" s="866">
        <f>VLOOKUP(BD729,$BD$4:$BN$12824,3,0)*BE729</f>
        <v>124142.30640433004</v>
      </c>
      <c r="BP729" s="866"/>
      <c r="BQ729" s="866"/>
      <c r="BR729" s="866">
        <f>VLOOKUP(BD729,$BD$4:$BN$12824,6,0)*BE729</f>
        <v>9138.3215126078485</v>
      </c>
      <c r="BS729" s="866">
        <f>VLOOKUP(BD729,$BD$4:$BN$12824,7,0)*BE729</f>
        <v>1467.1606339246482</v>
      </c>
      <c r="BT729" s="866"/>
      <c r="BU729" s="866">
        <f>VLOOKUP(BD729,$BD$4:$BN$12824,9,0)*BE729</f>
        <v>0</v>
      </c>
      <c r="BV729" s="867"/>
      <c r="BW729" s="867">
        <f>VLOOKUP(BD729,$BD$4:$BN$12824,11,0)*BE729</f>
        <v>3521.1855214191555</v>
      </c>
      <c r="BX729" s="1146">
        <f t="shared" si="143"/>
        <v>138268.97407228171</v>
      </c>
      <c r="BY729" s="867">
        <f t="shared" si="146"/>
        <v>456666.58212610718</v>
      </c>
      <c r="BZ729" s="867">
        <f t="shared" si="144"/>
        <v>456666.58212610718</v>
      </c>
      <c r="CA729" s="867">
        <f>_xlfn.MAXIFS($BY$4:$BY$12824,$S$4:$S$12824,$S729)</f>
        <v>456666.58212610718</v>
      </c>
      <c r="CB729" s="1032"/>
      <c r="CF729" s="946">
        <f t="shared" si="145"/>
        <v>278033.3285</v>
      </c>
    </row>
    <row r="730" spans="1:84">
      <c r="A730" s="1032"/>
      <c r="B730" s="839" t="s">
        <v>98</v>
      </c>
      <c r="C730" s="839" t="s">
        <v>254</v>
      </c>
      <c r="D730" s="839" t="s">
        <v>2490</v>
      </c>
      <c r="E730" s="839" t="s">
        <v>2491</v>
      </c>
      <c r="F730" s="841">
        <v>45497</v>
      </c>
      <c r="G730" s="840" t="s">
        <v>254</v>
      </c>
      <c r="H730" s="842" t="s">
        <v>134</v>
      </c>
      <c r="I730" s="842"/>
      <c r="J730" s="841"/>
      <c r="K730" s="841"/>
      <c r="L730" s="843" t="s">
        <v>106</v>
      </c>
      <c r="M730" s="844" t="s">
        <v>107</v>
      </c>
      <c r="N730" s="841" t="s">
        <v>2492</v>
      </c>
      <c r="O730" s="841" t="s">
        <v>108</v>
      </c>
      <c r="P730" s="841" t="s">
        <v>2088</v>
      </c>
      <c r="Q730" s="843"/>
      <c r="R730" s="845" t="s">
        <v>2493</v>
      </c>
      <c r="S730" s="1127" t="s">
        <v>2494</v>
      </c>
      <c r="T730" s="843" t="s">
        <v>2495</v>
      </c>
      <c r="U730" s="842">
        <v>4</v>
      </c>
      <c r="V730" s="842" t="s">
        <v>3</v>
      </c>
      <c r="W730" s="846">
        <v>238</v>
      </c>
      <c r="X730" s="847">
        <f t="shared" si="138"/>
        <v>952</v>
      </c>
      <c r="Y730" s="848">
        <f t="shared" ref="Y730:Y744" si="147">(W730-Z730)/W730</f>
        <v>0.48130252100840337</v>
      </c>
      <c r="Z730" s="849">
        <v>123.45</v>
      </c>
      <c r="AA730" s="849"/>
      <c r="AB730" s="849">
        <f t="shared" si="139"/>
        <v>493.8</v>
      </c>
      <c r="AC730" s="850">
        <f t="shared" si="140"/>
        <v>493.8</v>
      </c>
      <c r="AD730" s="851"/>
      <c r="AE730" s="852">
        <v>26385.040000000001</v>
      </c>
      <c r="AF730" s="853">
        <v>0</v>
      </c>
      <c r="AG730" s="854">
        <f t="shared" si="141"/>
        <v>0</v>
      </c>
      <c r="AH730" s="853"/>
      <c r="AI730" s="855">
        <f t="shared" si="142"/>
        <v>0</v>
      </c>
      <c r="AJ730" s="845" t="s">
        <v>2496</v>
      </c>
      <c r="AK730" s="857">
        <v>45392</v>
      </c>
      <c r="AL730" s="840" t="s">
        <v>2497</v>
      </c>
      <c r="AM730" s="840"/>
      <c r="AN730" s="858"/>
      <c r="AO730" s="844" t="s">
        <v>1741</v>
      </c>
      <c r="AP730" s="859" t="s">
        <v>2498</v>
      </c>
      <c r="AQ730" s="859" t="s">
        <v>2499</v>
      </c>
      <c r="AR730" s="859" t="s">
        <v>2500</v>
      </c>
      <c r="AS730" s="840" t="s">
        <v>2501</v>
      </c>
      <c r="AT730" s="840" t="s">
        <v>1743</v>
      </c>
      <c r="AU730" s="860" t="s">
        <v>2502</v>
      </c>
      <c r="AV730" s="839" t="s">
        <v>2503</v>
      </c>
      <c r="AW730" s="861">
        <v>45625</v>
      </c>
      <c r="AX730" s="862">
        <v>45363</v>
      </c>
      <c r="AY730" s="843" t="s">
        <v>2504</v>
      </c>
      <c r="AZ730" s="842">
        <v>94051999</v>
      </c>
      <c r="BA730" s="842" t="s">
        <v>120</v>
      </c>
      <c r="BB730" s="863" t="s">
        <v>121</v>
      </c>
      <c r="BC730" s="864">
        <v>45363</v>
      </c>
      <c r="BD730" s="860" t="s">
        <v>2505</v>
      </c>
      <c r="BE730" s="865" cm="1">
        <f t="array" ref="BE730">IF(BD730="","",AC730/SUMPRODUCT(--(BD730=$BD$4:$BD$12824),$AC$4:$AC$12824))</f>
        <v>2.2435012067110585E-2</v>
      </c>
      <c r="BF730" s="458">
        <v>11585665</v>
      </c>
      <c r="BG730" s="458"/>
      <c r="BH730" s="458"/>
      <c r="BI730" s="458">
        <v>1237501</v>
      </c>
      <c r="BJ730" s="458">
        <v>579966</v>
      </c>
      <c r="BK730" s="458"/>
      <c r="BL730" s="458">
        <v>6492</v>
      </c>
      <c r="BM730" s="458"/>
      <c r="BN730" s="458">
        <v>600000</v>
      </c>
      <c r="BO730" s="866">
        <f>VLOOKUP(BD730,$BD$4:$BN$12824,3,0)*BE730</f>
        <v>259924.53408050074</v>
      </c>
      <c r="BP730" s="866"/>
      <c r="BQ730" s="866"/>
      <c r="BR730" s="866">
        <f>VLOOKUP(BD730,$BD$4:$BN$12824,6,0)*BE730</f>
        <v>27763.349868061418</v>
      </c>
      <c r="BS730" s="866">
        <f>VLOOKUP(BD730,$BD$4:$BN$12824,7,0)*BE730</f>
        <v>13011.544208513858</v>
      </c>
      <c r="BT730" s="866"/>
      <c r="BU730" s="866">
        <f>VLOOKUP(BD730,$BD$4:$BN$12824,9,0)*BE730</f>
        <v>145.64809833968192</v>
      </c>
      <c r="BV730" s="867"/>
      <c r="BW730" s="867">
        <f>VLOOKUP(BD730,$BD$4:$BN$12824,11,0)*BE730</f>
        <v>13461.007240266352</v>
      </c>
      <c r="BX730" s="1146">
        <f t="shared" si="143"/>
        <v>314306.08349568205</v>
      </c>
      <c r="BY730" s="867">
        <f t="shared" si="146"/>
        <v>3335809.7088739206</v>
      </c>
      <c r="BZ730" s="867">
        <f t="shared" si="144"/>
        <v>13343238.835495682</v>
      </c>
      <c r="CA730" s="867">
        <f>_xlfn.MAXIFS($BY$4:$BY$12824,$S$4:$S$12824,$S730)</f>
        <v>3335809.7088739206</v>
      </c>
      <c r="CB730" s="1032"/>
      <c r="CF730" s="946">
        <f t="shared" si="145"/>
        <v>13028932.752</v>
      </c>
    </row>
    <row r="731" spans="1:84">
      <c r="A731" s="1032"/>
      <c r="B731" s="839" t="s">
        <v>98</v>
      </c>
      <c r="C731" s="839" t="s">
        <v>254</v>
      </c>
      <c r="D731" s="839" t="s">
        <v>2490</v>
      </c>
      <c r="E731" s="839" t="s">
        <v>2491</v>
      </c>
      <c r="F731" s="841">
        <v>45497</v>
      </c>
      <c r="G731" s="840" t="s">
        <v>254</v>
      </c>
      <c r="H731" s="842" t="s">
        <v>134</v>
      </c>
      <c r="I731" s="842"/>
      <c r="J731" s="841"/>
      <c r="K731" s="841"/>
      <c r="L731" s="843" t="s">
        <v>106</v>
      </c>
      <c r="M731" s="844" t="s">
        <v>107</v>
      </c>
      <c r="N731" s="841" t="s">
        <v>2492</v>
      </c>
      <c r="O731" s="841" t="s">
        <v>108</v>
      </c>
      <c r="P731" s="841" t="s">
        <v>1136</v>
      </c>
      <c r="Q731" s="843"/>
      <c r="R731" s="845" t="s">
        <v>2506</v>
      </c>
      <c r="S731" s="1127" t="s">
        <v>2507</v>
      </c>
      <c r="T731" s="843" t="s">
        <v>2508</v>
      </c>
      <c r="U731" s="842">
        <v>4</v>
      </c>
      <c r="V731" s="842" t="s">
        <v>3</v>
      </c>
      <c r="W731" s="846">
        <v>131</v>
      </c>
      <c r="X731" s="847">
        <f t="shared" si="138"/>
        <v>524</v>
      </c>
      <c r="Y731" s="848">
        <f t="shared" si="147"/>
        <v>0.48129770992366411</v>
      </c>
      <c r="Z731" s="849">
        <v>67.95</v>
      </c>
      <c r="AA731" s="849"/>
      <c r="AB731" s="849">
        <f t="shared" si="139"/>
        <v>271.8</v>
      </c>
      <c r="AC731" s="850">
        <f t="shared" si="140"/>
        <v>271.8</v>
      </c>
      <c r="AD731" s="851"/>
      <c r="AE731" s="852">
        <v>26385.040000000001</v>
      </c>
      <c r="AF731" s="853">
        <v>0</v>
      </c>
      <c r="AG731" s="854">
        <f t="shared" si="141"/>
        <v>0</v>
      </c>
      <c r="AH731" s="853"/>
      <c r="AI731" s="855">
        <f t="shared" si="142"/>
        <v>0</v>
      </c>
      <c r="AJ731" s="845" t="s">
        <v>2496</v>
      </c>
      <c r="AK731" s="857">
        <v>45392</v>
      </c>
      <c r="AL731" s="840" t="s">
        <v>2497</v>
      </c>
      <c r="AM731" s="840"/>
      <c r="AN731" s="858"/>
      <c r="AO731" s="844" t="s">
        <v>1741</v>
      </c>
      <c r="AP731" s="859" t="s">
        <v>2498</v>
      </c>
      <c r="AQ731" s="859" t="s">
        <v>2499</v>
      </c>
      <c r="AR731" s="859" t="s">
        <v>2500</v>
      </c>
      <c r="AS731" s="840" t="s">
        <v>2501</v>
      </c>
      <c r="AT731" s="840" t="s">
        <v>1743</v>
      </c>
      <c r="AU731" s="860" t="s">
        <v>2502</v>
      </c>
      <c r="AV731" s="839" t="s">
        <v>2503</v>
      </c>
      <c r="AW731" s="861">
        <v>45625</v>
      </c>
      <c r="AX731" s="862">
        <v>45363</v>
      </c>
      <c r="AY731" s="843" t="s">
        <v>2509</v>
      </c>
      <c r="AZ731" s="842">
        <v>94051999</v>
      </c>
      <c r="BA731" s="842" t="s">
        <v>120</v>
      </c>
      <c r="BB731" s="863" t="s">
        <v>121</v>
      </c>
      <c r="BC731" s="864">
        <v>45363</v>
      </c>
      <c r="BD731" s="860" t="s">
        <v>2505</v>
      </c>
      <c r="BE731" s="865" cm="1">
        <f t="array" ref="BE731">IF(BD731="","",AC731/SUMPRODUCT(--(BD731=$BD$4:$BD$12824),$AC$4:$AC$12824))</f>
        <v>1.234879765054811E-2</v>
      </c>
      <c r="BF731" s="458"/>
      <c r="BG731" s="458"/>
      <c r="BH731" s="458"/>
      <c r="BI731" s="458"/>
      <c r="BJ731" s="458"/>
      <c r="BK731" s="458"/>
      <c r="BL731" s="458"/>
      <c r="BM731" s="458"/>
      <c r="BN731" s="458"/>
      <c r="BO731" s="866">
        <f>VLOOKUP(BD731,$BD$4:$BN$12824,3,0)*BE731</f>
        <v>143069.03273203748</v>
      </c>
      <c r="BP731" s="866"/>
      <c r="BQ731" s="866"/>
      <c r="BR731" s="866">
        <f>VLOOKUP(BD731,$BD$4:$BN$12824,6,0)*BE731</f>
        <v>15281.649441350937</v>
      </c>
      <c r="BS731" s="866">
        <f>VLOOKUP(BD731,$BD$4:$BN$12824,7,0)*BE731</f>
        <v>7161.8827781977852</v>
      </c>
      <c r="BT731" s="866"/>
      <c r="BU731" s="866">
        <f>VLOOKUP(BD731,$BD$4:$BN$12824,9,0)*BE731</f>
        <v>80.16839434735833</v>
      </c>
      <c r="BV731" s="867"/>
      <c r="BW731" s="867">
        <f>VLOOKUP(BD731,$BD$4:$BN$12824,11,0)*BE731</f>
        <v>7409.2785903288659</v>
      </c>
      <c r="BX731" s="1146">
        <f t="shared" si="143"/>
        <v>173002.01193626245</v>
      </c>
      <c r="BY731" s="867">
        <f t="shared" si="146"/>
        <v>1836113.9709840657</v>
      </c>
      <c r="BZ731" s="867">
        <f t="shared" si="144"/>
        <v>7344455.8839362627</v>
      </c>
      <c r="CA731" s="867">
        <f>_xlfn.MAXIFS($BY$4:$BY$12824,$S$4:$S$12824,$S731)</f>
        <v>1960005.2636090375</v>
      </c>
      <c r="CB731" s="1032"/>
      <c r="CF731" s="946">
        <f t="shared" si="145"/>
        <v>7171453.8720000004</v>
      </c>
    </row>
    <row r="732" spans="1:84">
      <c r="A732" s="1032"/>
      <c r="B732" s="839" t="s">
        <v>98</v>
      </c>
      <c r="C732" s="839" t="s">
        <v>254</v>
      </c>
      <c r="D732" s="839" t="s">
        <v>2490</v>
      </c>
      <c r="E732" s="839" t="s">
        <v>2491</v>
      </c>
      <c r="F732" s="841">
        <v>45497</v>
      </c>
      <c r="G732" s="840" t="s">
        <v>254</v>
      </c>
      <c r="H732" s="842" t="s">
        <v>134</v>
      </c>
      <c r="I732" s="842"/>
      <c r="J732" s="841"/>
      <c r="K732" s="841"/>
      <c r="L732" s="843" t="s">
        <v>106</v>
      </c>
      <c r="M732" s="844" t="s">
        <v>107</v>
      </c>
      <c r="N732" s="841" t="s">
        <v>2492</v>
      </c>
      <c r="O732" s="841" t="s">
        <v>108</v>
      </c>
      <c r="P732" s="841" t="s">
        <v>269</v>
      </c>
      <c r="Q732" s="843"/>
      <c r="R732" s="845" t="s">
        <v>2510</v>
      </c>
      <c r="S732" s="1127" t="s">
        <v>2511</v>
      </c>
      <c r="T732" s="843" t="s">
        <v>2512</v>
      </c>
      <c r="U732" s="842">
        <v>1</v>
      </c>
      <c r="V732" s="842" t="s">
        <v>3</v>
      </c>
      <c r="W732" s="846">
        <v>582</v>
      </c>
      <c r="X732" s="847">
        <f t="shared" si="138"/>
        <v>582</v>
      </c>
      <c r="Y732" s="848">
        <f t="shared" si="147"/>
        <v>0.48130584192439863</v>
      </c>
      <c r="Z732" s="849">
        <v>301.88</v>
      </c>
      <c r="AA732" s="849"/>
      <c r="AB732" s="849">
        <f t="shared" si="139"/>
        <v>301.88</v>
      </c>
      <c r="AC732" s="850">
        <f t="shared" si="140"/>
        <v>301.88</v>
      </c>
      <c r="AD732" s="851"/>
      <c r="AE732" s="852">
        <v>26385.040000000001</v>
      </c>
      <c r="AF732" s="853">
        <v>0</v>
      </c>
      <c r="AG732" s="854">
        <f t="shared" si="141"/>
        <v>0</v>
      </c>
      <c r="AH732" s="853"/>
      <c r="AI732" s="855">
        <f t="shared" si="142"/>
        <v>0</v>
      </c>
      <c r="AJ732" s="845" t="s">
        <v>2496</v>
      </c>
      <c r="AK732" s="857">
        <v>45392</v>
      </c>
      <c r="AL732" s="840" t="s">
        <v>2497</v>
      </c>
      <c r="AM732" s="840"/>
      <c r="AN732" s="858"/>
      <c r="AO732" s="844" t="s">
        <v>1741</v>
      </c>
      <c r="AP732" s="859" t="s">
        <v>2498</v>
      </c>
      <c r="AQ732" s="859" t="s">
        <v>2499</v>
      </c>
      <c r="AR732" s="859" t="s">
        <v>2500</v>
      </c>
      <c r="AS732" s="840" t="s">
        <v>2501</v>
      </c>
      <c r="AT732" s="840" t="s">
        <v>1743</v>
      </c>
      <c r="AU732" s="860" t="s">
        <v>2502</v>
      </c>
      <c r="AV732" s="839" t="s">
        <v>2503</v>
      </c>
      <c r="AW732" s="861">
        <v>45625</v>
      </c>
      <c r="AX732" s="862">
        <v>45363</v>
      </c>
      <c r="AY732" s="843" t="s">
        <v>2513</v>
      </c>
      <c r="AZ732" s="842">
        <v>94052990</v>
      </c>
      <c r="BA732" s="842" t="s">
        <v>120</v>
      </c>
      <c r="BB732" s="863" t="s">
        <v>121</v>
      </c>
      <c r="BC732" s="864">
        <v>45363</v>
      </c>
      <c r="BD732" s="860" t="s">
        <v>2505</v>
      </c>
      <c r="BE732" s="865" cm="1">
        <f t="array" ref="BE732">IF(BD732="","",AC732/SUMPRODUCT(--(BD732=$BD$4:$BD$12824),$AC$4:$AC$12824))</f>
        <v>1.3715434270594053E-2</v>
      </c>
      <c r="BF732" s="458"/>
      <c r="BG732" s="458"/>
      <c r="BH732" s="458"/>
      <c r="BI732" s="458"/>
      <c r="BJ732" s="458"/>
      <c r="BK732" s="458"/>
      <c r="BL732" s="458"/>
      <c r="BM732" s="458"/>
      <c r="BN732" s="458"/>
      <c r="BO732" s="866">
        <f>VLOOKUP(BD732,$BD$4:$BN$12824,3,0)*BE732</f>
        <v>158902.42678862205</v>
      </c>
      <c r="BP732" s="866"/>
      <c r="BQ732" s="866"/>
      <c r="BR732" s="866">
        <f>VLOOKUP(BD732,$BD$4:$BN$12824,6,0)*BE732</f>
        <v>16972.863625294412</v>
      </c>
      <c r="BS732" s="866">
        <f>VLOOKUP(BD732,$BD$4:$BN$12824,7,0)*BE732</f>
        <v>7954.4855521793506</v>
      </c>
      <c r="BT732" s="866"/>
      <c r="BU732" s="866">
        <f>VLOOKUP(BD732,$BD$4:$BN$12824,9,0)*BE732</f>
        <v>89.040599284696583</v>
      </c>
      <c r="BV732" s="867"/>
      <c r="BW732" s="867">
        <f>VLOOKUP(BD732,$BD$4:$BN$12824,11,0)*BE732</f>
        <v>8229.2605623564323</v>
      </c>
      <c r="BX732" s="1146">
        <f t="shared" si="143"/>
        <v>192148.07712773693</v>
      </c>
      <c r="BY732" s="867">
        <f t="shared" si="146"/>
        <v>8157263.9523277376</v>
      </c>
      <c r="BZ732" s="867">
        <f t="shared" si="144"/>
        <v>8157263.9523277376</v>
      </c>
      <c r="CA732" s="867">
        <f>_xlfn.MAXIFS($BY$4:$BY$12824,$S$4:$S$12824,$S732)</f>
        <v>8157263.9523277376</v>
      </c>
      <c r="CB732" s="1032"/>
      <c r="CF732" s="946">
        <f t="shared" si="145"/>
        <v>7965115.8752000006</v>
      </c>
    </row>
    <row r="733" spans="1:84">
      <c r="A733" s="1032"/>
      <c r="B733" s="839" t="s">
        <v>98</v>
      </c>
      <c r="C733" s="839" t="s">
        <v>254</v>
      </c>
      <c r="D733" s="839" t="s">
        <v>2490</v>
      </c>
      <c r="E733" s="839" t="s">
        <v>2491</v>
      </c>
      <c r="F733" s="841">
        <v>45497</v>
      </c>
      <c r="G733" s="840" t="s">
        <v>254</v>
      </c>
      <c r="H733" s="842" t="s">
        <v>134</v>
      </c>
      <c r="I733" s="842"/>
      <c r="J733" s="841"/>
      <c r="K733" s="841"/>
      <c r="L733" s="843" t="s">
        <v>106</v>
      </c>
      <c r="M733" s="844" t="s">
        <v>107</v>
      </c>
      <c r="N733" s="841" t="s">
        <v>2492</v>
      </c>
      <c r="O733" s="841" t="s">
        <v>108</v>
      </c>
      <c r="P733" s="841" t="s">
        <v>269</v>
      </c>
      <c r="Q733" s="843"/>
      <c r="R733" s="845" t="s">
        <v>2514</v>
      </c>
      <c r="S733" s="1127" t="s">
        <v>2515</v>
      </c>
      <c r="T733" s="843" t="s">
        <v>2516</v>
      </c>
      <c r="U733" s="842">
        <v>2</v>
      </c>
      <c r="V733" s="842" t="s">
        <v>3</v>
      </c>
      <c r="W733" s="846">
        <v>2148</v>
      </c>
      <c r="X733" s="847">
        <f t="shared" si="138"/>
        <v>4296</v>
      </c>
      <c r="Y733" s="848">
        <f t="shared" si="147"/>
        <v>0.48129888268156423</v>
      </c>
      <c r="Z733" s="849">
        <v>1114.17</v>
      </c>
      <c r="AA733" s="849"/>
      <c r="AB733" s="849">
        <f t="shared" si="139"/>
        <v>2228.34</v>
      </c>
      <c r="AC733" s="850">
        <f t="shared" si="140"/>
        <v>2228.34</v>
      </c>
      <c r="AD733" s="851"/>
      <c r="AE733" s="852">
        <v>26385.040000000001</v>
      </c>
      <c r="AF733" s="853">
        <v>0</v>
      </c>
      <c r="AG733" s="854">
        <f t="shared" si="141"/>
        <v>0</v>
      </c>
      <c r="AH733" s="853"/>
      <c r="AI733" s="855">
        <f t="shared" si="142"/>
        <v>0</v>
      </c>
      <c r="AJ733" s="845" t="s">
        <v>2496</v>
      </c>
      <c r="AK733" s="857">
        <v>45392</v>
      </c>
      <c r="AL733" s="840" t="s">
        <v>2497</v>
      </c>
      <c r="AM733" s="840"/>
      <c r="AN733" s="858"/>
      <c r="AO733" s="844" t="s">
        <v>1741</v>
      </c>
      <c r="AP733" s="859" t="s">
        <v>2498</v>
      </c>
      <c r="AQ733" s="859" t="s">
        <v>2499</v>
      </c>
      <c r="AR733" s="859" t="s">
        <v>2500</v>
      </c>
      <c r="AS733" s="840" t="s">
        <v>2501</v>
      </c>
      <c r="AT733" s="840" t="s">
        <v>1743</v>
      </c>
      <c r="AU733" s="860" t="s">
        <v>2502</v>
      </c>
      <c r="AV733" s="839" t="s">
        <v>2503</v>
      </c>
      <c r="AW733" s="861">
        <v>45625</v>
      </c>
      <c r="AX733" s="862">
        <v>45363</v>
      </c>
      <c r="AY733" s="843" t="s">
        <v>2517</v>
      </c>
      <c r="AZ733" s="842">
        <v>94052990</v>
      </c>
      <c r="BA733" s="842" t="s">
        <v>120</v>
      </c>
      <c r="BB733" s="863" t="s">
        <v>121</v>
      </c>
      <c r="BC733" s="864">
        <v>45363</v>
      </c>
      <c r="BD733" s="860" t="s">
        <v>2505</v>
      </c>
      <c r="BE733" s="865" cm="1">
        <f t="array" ref="BE733">IF(BD733="","",AC733/SUMPRODUCT(--(BD733=$BD$4:$BD$12824),$AC$4:$AC$12824))</f>
        <v>0.10124105870721993</v>
      </c>
      <c r="BF733" s="458"/>
      <c r="BG733" s="458"/>
      <c r="BH733" s="458"/>
      <c r="BI733" s="458"/>
      <c r="BJ733" s="458"/>
      <c r="BK733" s="458"/>
      <c r="BL733" s="458"/>
      <c r="BM733" s="458"/>
      <c r="BN733" s="458"/>
      <c r="BO733" s="866">
        <f>VLOOKUP(BD733,$BD$4:$BN$12824,3,0)*BE733</f>
        <v>1172944.9904271832</v>
      </c>
      <c r="BP733" s="866"/>
      <c r="BQ733" s="866"/>
      <c r="BR733" s="866">
        <f>VLOOKUP(BD733,$BD$4:$BN$12824,6,0)*BE733</f>
        <v>125285.91139124337</v>
      </c>
      <c r="BS733" s="866">
        <f>VLOOKUP(BD733,$BD$4:$BN$12824,7,0)*BE733</f>
        <v>58716.371854191515</v>
      </c>
      <c r="BT733" s="866"/>
      <c r="BU733" s="866">
        <f>VLOOKUP(BD733,$BD$4:$BN$12824,9,0)*BE733</f>
        <v>657.2569531272718</v>
      </c>
      <c r="BV733" s="867"/>
      <c r="BW733" s="867">
        <f>VLOOKUP(BD733,$BD$4:$BN$12824,11,0)*BE733</f>
        <v>60744.635224331956</v>
      </c>
      <c r="BX733" s="1146">
        <f t="shared" si="143"/>
        <v>1418349.1658500771</v>
      </c>
      <c r="BY733" s="867">
        <f t="shared" si="146"/>
        <v>30106594.599725042</v>
      </c>
      <c r="BZ733" s="867">
        <f t="shared" si="144"/>
        <v>60213189.199450083</v>
      </c>
      <c r="CA733" s="867">
        <f>_xlfn.MAXIFS($BY$4:$BY$12824,$S$4:$S$12824,$S733)</f>
        <v>30106594.599725042</v>
      </c>
      <c r="CB733" s="1032"/>
      <c r="CF733" s="946">
        <f t="shared" si="145"/>
        <v>58794840.033600003</v>
      </c>
    </row>
    <row r="734" spans="1:84">
      <c r="A734" s="1032"/>
      <c r="B734" s="839" t="s">
        <v>98</v>
      </c>
      <c r="C734" s="839" t="s">
        <v>254</v>
      </c>
      <c r="D734" s="839" t="s">
        <v>2490</v>
      </c>
      <c r="E734" s="839" t="s">
        <v>2491</v>
      </c>
      <c r="F734" s="841">
        <v>45497</v>
      </c>
      <c r="G734" s="840" t="s">
        <v>254</v>
      </c>
      <c r="H734" s="842" t="s">
        <v>102</v>
      </c>
      <c r="I734" s="842" t="s">
        <v>2518</v>
      </c>
      <c r="J734" s="841" t="s">
        <v>2519</v>
      </c>
      <c r="K734" s="841" t="s">
        <v>2520</v>
      </c>
      <c r="L734" s="843" t="s">
        <v>106</v>
      </c>
      <c r="M734" s="844" t="s">
        <v>107</v>
      </c>
      <c r="N734" s="841" t="s">
        <v>2492</v>
      </c>
      <c r="O734" s="841" t="s">
        <v>108</v>
      </c>
      <c r="P734" s="841" t="s">
        <v>269</v>
      </c>
      <c r="Q734" s="843"/>
      <c r="R734" s="845" t="s">
        <v>2521</v>
      </c>
      <c r="S734" s="1127" t="s">
        <v>2522</v>
      </c>
      <c r="T734" s="843" t="s">
        <v>2523</v>
      </c>
      <c r="U734" s="842">
        <v>1</v>
      </c>
      <c r="V734" s="842" t="s">
        <v>3</v>
      </c>
      <c r="W734" s="846">
        <v>1279</v>
      </c>
      <c r="X734" s="847">
        <f t="shared" si="138"/>
        <v>1279</v>
      </c>
      <c r="Y734" s="848">
        <f t="shared" si="147"/>
        <v>0.48129788897576237</v>
      </c>
      <c r="Z734" s="849">
        <v>663.42</v>
      </c>
      <c r="AA734" s="849"/>
      <c r="AB734" s="849">
        <f t="shared" si="139"/>
        <v>663.42</v>
      </c>
      <c r="AC734" s="850">
        <f t="shared" si="140"/>
        <v>663.42</v>
      </c>
      <c r="AD734" s="851"/>
      <c r="AE734" s="852">
        <v>26385.040000000001</v>
      </c>
      <c r="AF734" s="853">
        <v>0</v>
      </c>
      <c r="AG734" s="854">
        <f t="shared" si="141"/>
        <v>0</v>
      </c>
      <c r="AH734" s="853"/>
      <c r="AI734" s="855">
        <f t="shared" si="142"/>
        <v>0</v>
      </c>
      <c r="AJ734" s="845" t="s">
        <v>2496</v>
      </c>
      <c r="AK734" s="857">
        <v>45392</v>
      </c>
      <c r="AL734" s="840" t="s">
        <v>2497</v>
      </c>
      <c r="AM734" s="840"/>
      <c r="AN734" s="858"/>
      <c r="AO734" s="844" t="s">
        <v>1741</v>
      </c>
      <c r="AP734" s="859" t="s">
        <v>2498</v>
      </c>
      <c r="AQ734" s="859" t="s">
        <v>2499</v>
      </c>
      <c r="AR734" s="859" t="s">
        <v>2500</v>
      </c>
      <c r="AS734" s="840" t="s">
        <v>2501</v>
      </c>
      <c r="AT734" s="840" t="s">
        <v>1743</v>
      </c>
      <c r="AU734" s="860" t="s">
        <v>2502</v>
      </c>
      <c r="AV734" s="839" t="s">
        <v>2503</v>
      </c>
      <c r="AW734" s="861">
        <v>45625</v>
      </c>
      <c r="AX734" s="862">
        <v>45363</v>
      </c>
      <c r="AY734" s="843" t="s">
        <v>2524</v>
      </c>
      <c r="AZ734" s="842">
        <v>94052990</v>
      </c>
      <c r="BA734" s="842" t="s">
        <v>120</v>
      </c>
      <c r="BB734" s="863" t="s">
        <v>121</v>
      </c>
      <c r="BC734" s="864">
        <v>45363</v>
      </c>
      <c r="BD734" s="860" t="s">
        <v>2505</v>
      </c>
      <c r="BE734" s="865" cm="1">
        <f t="array" ref="BE734">IF(BD734="","",AC734/SUMPRODUCT(--(BD734=$BD$4:$BD$12824),$AC$4:$AC$12824))</f>
        <v>3.0141425082143587E-2</v>
      </c>
      <c r="BF734" s="458"/>
      <c r="BG734" s="458"/>
      <c r="BH734" s="458"/>
      <c r="BI734" s="458"/>
      <c r="BJ734" s="458"/>
      <c r="BK734" s="458"/>
      <c r="BL734" s="458"/>
      <c r="BM734" s="458"/>
      <c r="BN734" s="458"/>
      <c r="BO734" s="866">
        <f>VLOOKUP(BD734,$BD$4:$BN$12824,3,0)*BE734</f>
        <v>349208.45362431306</v>
      </c>
      <c r="BP734" s="866"/>
      <c r="BQ734" s="866"/>
      <c r="BR734" s="866">
        <f>VLOOKUP(BD734,$BD$4:$BN$12824,6,0)*BE734</f>
        <v>37300.043680577772</v>
      </c>
      <c r="BS734" s="866">
        <f>VLOOKUP(BD734,$BD$4:$BN$12824,7,0)*BE734</f>
        <v>17481.001739190488</v>
      </c>
      <c r="BT734" s="866"/>
      <c r="BU734" s="866">
        <f>VLOOKUP(BD734,$BD$4:$BN$12824,9,0)*BE734</f>
        <v>195.67813163327617</v>
      </c>
      <c r="BV734" s="867"/>
      <c r="BW734" s="867">
        <f>VLOOKUP(BD734,$BD$4:$BN$12824,11,0)*BE734</f>
        <v>18084.85504928615</v>
      </c>
      <c r="BX734" s="1146">
        <f t="shared" si="143"/>
        <v>422270.03222500073</v>
      </c>
      <c r="BY734" s="867">
        <f t="shared" si="146"/>
        <v>17926633.269025002</v>
      </c>
      <c r="BZ734" s="867">
        <f t="shared" si="144"/>
        <v>17926633.269025002</v>
      </c>
      <c r="CA734" s="867">
        <f>_xlfn.MAXIFS($BY$4:$BY$12824,$S$4:$S$12824,$S734)</f>
        <v>21722969.941884875</v>
      </c>
      <c r="CB734" s="1032"/>
      <c r="CF734" s="946">
        <f t="shared" si="145"/>
        <v>17504363.2368</v>
      </c>
    </row>
    <row r="735" spans="1:84">
      <c r="A735" s="1032"/>
      <c r="B735" s="839" t="s">
        <v>98</v>
      </c>
      <c r="C735" s="839" t="s">
        <v>254</v>
      </c>
      <c r="D735" s="839" t="s">
        <v>2490</v>
      </c>
      <c r="E735" s="839" t="s">
        <v>2491</v>
      </c>
      <c r="F735" s="841">
        <v>45497</v>
      </c>
      <c r="G735" s="840" t="s">
        <v>254</v>
      </c>
      <c r="H735" s="842" t="s">
        <v>134</v>
      </c>
      <c r="I735" s="842"/>
      <c r="J735" s="841"/>
      <c r="K735" s="841"/>
      <c r="L735" s="843" t="s">
        <v>106</v>
      </c>
      <c r="M735" s="844" t="s">
        <v>107</v>
      </c>
      <c r="N735" s="841" t="s">
        <v>2492</v>
      </c>
      <c r="O735" s="841" t="s">
        <v>108</v>
      </c>
      <c r="P735" s="841" t="s">
        <v>160</v>
      </c>
      <c r="Q735" s="843"/>
      <c r="R735" s="845" t="s">
        <v>2525</v>
      </c>
      <c r="S735" s="1127" t="s">
        <v>2526</v>
      </c>
      <c r="T735" s="843" t="s">
        <v>2527</v>
      </c>
      <c r="U735" s="842">
        <v>1</v>
      </c>
      <c r="V735" s="842" t="s">
        <v>3</v>
      </c>
      <c r="W735" s="846">
        <v>918</v>
      </c>
      <c r="X735" s="847">
        <f t="shared" si="138"/>
        <v>918</v>
      </c>
      <c r="Y735" s="848">
        <f t="shared" si="147"/>
        <v>0.48129629629629628</v>
      </c>
      <c r="Z735" s="849">
        <v>476.17</v>
      </c>
      <c r="AA735" s="849"/>
      <c r="AB735" s="849">
        <f t="shared" si="139"/>
        <v>476.17</v>
      </c>
      <c r="AC735" s="850">
        <f t="shared" si="140"/>
        <v>476.17</v>
      </c>
      <c r="AD735" s="851"/>
      <c r="AE735" s="852">
        <v>26385.040000000001</v>
      </c>
      <c r="AF735" s="853">
        <v>0</v>
      </c>
      <c r="AG735" s="854">
        <f t="shared" si="141"/>
        <v>0</v>
      </c>
      <c r="AH735" s="853"/>
      <c r="AI735" s="855">
        <f t="shared" si="142"/>
        <v>0</v>
      </c>
      <c r="AJ735" s="845" t="s">
        <v>2496</v>
      </c>
      <c r="AK735" s="857">
        <v>45392</v>
      </c>
      <c r="AL735" s="840" t="s">
        <v>2497</v>
      </c>
      <c r="AM735" s="840"/>
      <c r="AN735" s="858"/>
      <c r="AO735" s="844" t="s">
        <v>1741</v>
      </c>
      <c r="AP735" s="859" t="s">
        <v>2498</v>
      </c>
      <c r="AQ735" s="859" t="s">
        <v>2499</v>
      </c>
      <c r="AR735" s="859" t="s">
        <v>2500</v>
      </c>
      <c r="AS735" s="840" t="s">
        <v>2501</v>
      </c>
      <c r="AT735" s="840" t="s">
        <v>1743</v>
      </c>
      <c r="AU735" s="860" t="s">
        <v>2502</v>
      </c>
      <c r="AV735" s="839" t="s">
        <v>2503</v>
      </c>
      <c r="AW735" s="861">
        <v>45625</v>
      </c>
      <c r="AX735" s="862">
        <v>45363</v>
      </c>
      <c r="AY735" s="843" t="s">
        <v>2528</v>
      </c>
      <c r="AZ735" s="842">
        <v>94052990</v>
      </c>
      <c r="BA735" s="842" t="s">
        <v>120</v>
      </c>
      <c r="BB735" s="863" t="s">
        <v>121</v>
      </c>
      <c r="BC735" s="864">
        <v>45363</v>
      </c>
      <c r="BD735" s="860" t="s">
        <v>2505</v>
      </c>
      <c r="BE735" s="865" cm="1">
        <f t="array" ref="BE735">IF(BD735="","",AC735/SUMPRODUCT(--(BD735=$BD$4:$BD$12824),$AC$4:$AC$12824))</f>
        <v>2.1634021255561051E-2</v>
      </c>
      <c r="BF735" s="458"/>
      <c r="BG735" s="458"/>
      <c r="BH735" s="458"/>
      <c r="BI735" s="458"/>
      <c r="BJ735" s="458"/>
      <c r="BK735" s="458"/>
      <c r="BL735" s="458"/>
      <c r="BM735" s="458"/>
      <c r="BN735" s="458"/>
      <c r="BO735" s="866">
        <f>VLOOKUP(BD735,$BD$4:$BN$12824,3,0)*BE735</f>
        <v>250644.52286980973</v>
      </c>
      <c r="BP735" s="866"/>
      <c r="BQ735" s="866"/>
      <c r="BR735" s="866">
        <f>VLOOKUP(BD735,$BD$4:$BN$12824,6,0)*BE735</f>
        <v>26772.122937778058</v>
      </c>
      <c r="BS735" s="866">
        <f>VLOOKUP(BD735,$BD$4:$BN$12824,7,0)*BE735</f>
        <v>12546.996771502721</v>
      </c>
      <c r="BT735" s="866"/>
      <c r="BU735" s="866">
        <f>VLOOKUP(BD735,$BD$4:$BN$12824,9,0)*BE735</f>
        <v>140.44806599110234</v>
      </c>
      <c r="BV735" s="867"/>
      <c r="BW735" s="867">
        <f>VLOOKUP(BD735,$BD$4:$BN$12824,11,0)*BE735</f>
        <v>12980.41275333663</v>
      </c>
      <c r="BX735" s="1146">
        <f t="shared" si="143"/>
        <v>303084.50339841825</v>
      </c>
      <c r="BY735" s="867">
        <f t="shared" si="146"/>
        <v>12866849.00019842</v>
      </c>
      <c r="BZ735" s="867">
        <f t="shared" si="144"/>
        <v>12866849.00019842</v>
      </c>
      <c r="CA735" s="867">
        <f>_xlfn.MAXIFS($BY$4:$BY$12824,$S$4:$S$12824,$S735)</f>
        <v>18631795.865820702</v>
      </c>
      <c r="CB735" s="1032"/>
      <c r="CF735" s="946">
        <f t="shared" si="145"/>
        <v>12563764.496800002</v>
      </c>
    </row>
    <row r="736" spans="1:84">
      <c r="A736" s="1032"/>
      <c r="B736" s="839" t="s">
        <v>98</v>
      </c>
      <c r="C736" s="839" t="s">
        <v>254</v>
      </c>
      <c r="D736" s="839" t="s">
        <v>2490</v>
      </c>
      <c r="E736" s="839" t="s">
        <v>2491</v>
      </c>
      <c r="F736" s="841">
        <v>45497</v>
      </c>
      <c r="G736" s="840" t="s">
        <v>254</v>
      </c>
      <c r="H736" s="842" t="s">
        <v>134</v>
      </c>
      <c r="I736" s="842"/>
      <c r="J736" s="841"/>
      <c r="K736" s="841"/>
      <c r="L736" s="843" t="s">
        <v>106</v>
      </c>
      <c r="M736" s="844" t="s">
        <v>107</v>
      </c>
      <c r="N736" s="841" t="s">
        <v>2492</v>
      </c>
      <c r="O736" s="841" t="s">
        <v>108</v>
      </c>
      <c r="P736" s="841" t="s">
        <v>160</v>
      </c>
      <c r="Q736" s="843"/>
      <c r="R736" s="845" t="s">
        <v>2529</v>
      </c>
      <c r="S736" s="1127" t="s">
        <v>2530</v>
      </c>
      <c r="T736" s="843" t="s">
        <v>2531</v>
      </c>
      <c r="U736" s="842">
        <v>1</v>
      </c>
      <c r="V736" s="842" t="s">
        <v>3</v>
      </c>
      <c r="W736" s="846">
        <v>1311</v>
      </c>
      <c r="X736" s="847">
        <f t="shared" si="138"/>
        <v>1311</v>
      </c>
      <c r="Y736" s="848">
        <f t="shared" si="147"/>
        <v>0.48129672006102214</v>
      </c>
      <c r="Z736" s="849">
        <v>680.02</v>
      </c>
      <c r="AA736" s="849"/>
      <c r="AB736" s="849">
        <f t="shared" si="139"/>
        <v>680.02</v>
      </c>
      <c r="AC736" s="850">
        <f t="shared" si="140"/>
        <v>680.02</v>
      </c>
      <c r="AD736" s="851"/>
      <c r="AE736" s="852">
        <v>26385.040000000001</v>
      </c>
      <c r="AF736" s="853">
        <v>0</v>
      </c>
      <c r="AG736" s="854">
        <f t="shared" si="141"/>
        <v>0</v>
      </c>
      <c r="AH736" s="853"/>
      <c r="AI736" s="855">
        <f t="shared" si="142"/>
        <v>0</v>
      </c>
      <c r="AJ736" s="845" t="s">
        <v>2496</v>
      </c>
      <c r="AK736" s="857">
        <v>45392</v>
      </c>
      <c r="AL736" s="840" t="s">
        <v>2497</v>
      </c>
      <c r="AM736" s="840"/>
      <c r="AN736" s="858"/>
      <c r="AO736" s="844" t="s">
        <v>1741</v>
      </c>
      <c r="AP736" s="859" t="s">
        <v>2498</v>
      </c>
      <c r="AQ736" s="859" t="s">
        <v>2499</v>
      </c>
      <c r="AR736" s="859" t="s">
        <v>2500</v>
      </c>
      <c r="AS736" s="840" t="s">
        <v>2501</v>
      </c>
      <c r="AT736" s="840" t="s">
        <v>1743</v>
      </c>
      <c r="AU736" s="860" t="s">
        <v>2502</v>
      </c>
      <c r="AV736" s="839" t="s">
        <v>2503</v>
      </c>
      <c r="AW736" s="861">
        <v>45625</v>
      </c>
      <c r="AX736" s="862">
        <v>45363</v>
      </c>
      <c r="AY736" s="843" t="s">
        <v>2532</v>
      </c>
      <c r="AZ736" s="842">
        <v>94052990</v>
      </c>
      <c r="BA736" s="842" t="s">
        <v>120</v>
      </c>
      <c r="BB736" s="863" t="s">
        <v>121</v>
      </c>
      <c r="BC736" s="864">
        <v>45363</v>
      </c>
      <c r="BD736" s="860" t="s">
        <v>2505</v>
      </c>
      <c r="BE736" s="865" cm="1">
        <f t="array" ref="BE736">IF(BD736="","",AC736/SUMPRODUCT(--(BD736=$BD$4:$BD$12824),$AC$4:$AC$12824))</f>
        <v>3.089561949347213E-2</v>
      </c>
      <c r="BF736" s="458"/>
      <c r="BG736" s="458"/>
      <c r="BH736" s="458"/>
      <c r="BI736" s="458"/>
      <c r="BJ736" s="458"/>
      <c r="BK736" s="458"/>
      <c r="BL736" s="458"/>
      <c r="BM736" s="458"/>
      <c r="BN736" s="458"/>
      <c r="BO736" s="866">
        <f>VLOOKUP(BD736,$BD$4:$BN$12824,3,0)*BE736</f>
        <v>357946.29741883778</v>
      </c>
      <c r="BP736" s="866"/>
      <c r="BQ736" s="866"/>
      <c r="BR736" s="866">
        <f>VLOOKUP(BD736,$BD$4:$BN$12824,6,0)*BE736</f>
        <v>38233.360018791253</v>
      </c>
      <c r="BS736" s="866">
        <f>VLOOKUP(BD736,$BD$4:$BN$12824,7,0)*BE736</f>
        <v>17918.408855151058</v>
      </c>
      <c r="BT736" s="866"/>
      <c r="BU736" s="866">
        <f>VLOOKUP(BD736,$BD$4:$BN$12824,9,0)*BE736</f>
        <v>200.57436175162107</v>
      </c>
      <c r="BV736" s="867"/>
      <c r="BW736" s="867">
        <f>VLOOKUP(BD736,$BD$4:$BN$12824,11,0)*BE736</f>
        <v>18537.371696083279</v>
      </c>
      <c r="BX736" s="1146">
        <f t="shared" si="143"/>
        <v>432836.012350615</v>
      </c>
      <c r="BY736" s="867">
        <f t="shared" si="146"/>
        <v>18375190.913150616</v>
      </c>
      <c r="BZ736" s="867">
        <f t="shared" si="144"/>
        <v>18375190.913150616</v>
      </c>
      <c r="CA736" s="867">
        <f>_xlfn.MAXIFS($BY$4:$BY$12824,$S$4:$S$12824,$S736)</f>
        <v>18375190.913150616</v>
      </c>
      <c r="CB736" s="1032"/>
      <c r="CF736" s="946">
        <f t="shared" si="145"/>
        <v>17942354.900800001</v>
      </c>
    </row>
    <row r="737" spans="1:84">
      <c r="A737" s="1032"/>
      <c r="B737" s="839" t="s">
        <v>98</v>
      </c>
      <c r="C737" s="839" t="s">
        <v>254</v>
      </c>
      <c r="D737" s="839" t="s">
        <v>2490</v>
      </c>
      <c r="E737" s="839" t="s">
        <v>2491</v>
      </c>
      <c r="F737" s="841">
        <v>45497</v>
      </c>
      <c r="G737" s="840" t="s">
        <v>254</v>
      </c>
      <c r="H737" s="842" t="s">
        <v>134</v>
      </c>
      <c r="I737" s="842"/>
      <c r="J737" s="841"/>
      <c r="K737" s="841"/>
      <c r="L737" s="843" t="s">
        <v>106</v>
      </c>
      <c r="M737" s="844" t="s">
        <v>107</v>
      </c>
      <c r="N737" s="841" t="s">
        <v>2492</v>
      </c>
      <c r="O737" s="841" t="s">
        <v>108</v>
      </c>
      <c r="P737" s="841" t="s">
        <v>269</v>
      </c>
      <c r="Q737" s="843"/>
      <c r="R737" s="845" t="s">
        <v>270</v>
      </c>
      <c r="S737" s="1127" t="s">
        <v>271</v>
      </c>
      <c r="T737" s="843" t="s">
        <v>2533</v>
      </c>
      <c r="U737" s="842">
        <v>2</v>
      </c>
      <c r="V737" s="842" t="s">
        <v>3</v>
      </c>
      <c r="W737" s="846">
        <v>1762</v>
      </c>
      <c r="X737" s="847">
        <f t="shared" si="138"/>
        <v>3524</v>
      </c>
      <c r="Y737" s="848">
        <f t="shared" si="147"/>
        <v>0.48129965947786602</v>
      </c>
      <c r="Z737" s="849">
        <v>913.95</v>
      </c>
      <c r="AA737" s="849"/>
      <c r="AB737" s="849">
        <f t="shared" si="139"/>
        <v>1827.9</v>
      </c>
      <c r="AC737" s="850">
        <f t="shared" si="140"/>
        <v>1827.9</v>
      </c>
      <c r="AD737" s="851"/>
      <c r="AE737" s="852">
        <v>26385.040000000001</v>
      </c>
      <c r="AF737" s="853">
        <v>0</v>
      </c>
      <c r="AG737" s="854">
        <f t="shared" si="141"/>
        <v>0</v>
      </c>
      <c r="AH737" s="853"/>
      <c r="AI737" s="855">
        <f t="shared" si="142"/>
        <v>0</v>
      </c>
      <c r="AJ737" s="845" t="s">
        <v>2496</v>
      </c>
      <c r="AK737" s="857">
        <v>45392</v>
      </c>
      <c r="AL737" s="840" t="s">
        <v>2497</v>
      </c>
      <c r="AM737" s="840"/>
      <c r="AN737" s="858"/>
      <c r="AO737" s="844" t="s">
        <v>1741</v>
      </c>
      <c r="AP737" s="859" t="s">
        <v>2498</v>
      </c>
      <c r="AQ737" s="859" t="s">
        <v>2499</v>
      </c>
      <c r="AR737" s="859" t="s">
        <v>2500</v>
      </c>
      <c r="AS737" s="840" t="s">
        <v>2501</v>
      </c>
      <c r="AT737" s="840" t="s">
        <v>1743</v>
      </c>
      <c r="AU737" s="860" t="s">
        <v>2502</v>
      </c>
      <c r="AV737" s="839" t="s">
        <v>2503</v>
      </c>
      <c r="AW737" s="861">
        <v>45625</v>
      </c>
      <c r="AX737" s="862">
        <v>45363</v>
      </c>
      <c r="AY737" s="843" t="s">
        <v>2534</v>
      </c>
      <c r="AZ737" s="842">
        <v>94052990</v>
      </c>
      <c r="BA737" s="842" t="s">
        <v>120</v>
      </c>
      <c r="BB737" s="863" t="s">
        <v>121</v>
      </c>
      <c r="BC737" s="864">
        <v>45363</v>
      </c>
      <c r="BD737" s="860" t="s">
        <v>2505</v>
      </c>
      <c r="BE737" s="865" cm="1">
        <f t="array" ref="BE737">IF(BD737="","",AC737/SUMPRODUCT(--(BD737=$BD$4:$BD$12824),$AC$4:$AC$12824))</f>
        <v>8.3047708702858311E-2</v>
      </c>
      <c r="BF737" s="458"/>
      <c r="BG737" s="458"/>
      <c r="BH737" s="458"/>
      <c r="BI737" s="458"/>
      <c r="BJ737" s="458"/>
      <c r="BK737" s="458"/>
      <c r="BL737" s="458"/>
      <c r="BM737" s="458"/>
      <c r="BN737" s="458"/>
      <c r="BO737" s="866">
        <f>VLOOKUP(BD737,$BD$4:$BN$12824,3,0)*BE737</f>
        <v>962162.93204890098</v>
      </c>
      <c r="BP737" s="866"/>
      <c r="BQ737" s="866"/>
      <c r="BR737" s="866">
        <f>VLOOKUP(BD737,$BD$4:$BN$12824,6,0)*BE737</f>
        <v>102771.62256749587</v>
      </c>
      <c r="BS737" s="866">
        <f>VLOOKUP(BD737,$BD$4:$BN$12824,7,0)*BE737</f>
        <v>48164.847425561922</v>
      </c>
      <c r="BT737" s="866"/>
      <c r="BU737" s="866">
        <f>VLOOKUP(BD737,$BD$4:$BN$12824,9,0)*BE737</f>
        <v>539.14572489895613</v>
      </c>
      <c r="BV737" s="867"/>
      <c r="BW737" s="867">
        <f>VLOOKUP(BD737,$BD$4:$BN$12824,11,0)*BE737</f>
        <v>49828.625221714989</v>
      </c>
      <c r="BX737" s="1146">
        <f t="shared" si="143"/>
        <v>1163467.1729885726</v>
      </c>
      <c r="BY737" s="867">
        <f t="shared" si="146"/>
        <v>24696340.894494288</v>
      </c>
      <c r="BZ737" s="867">
        <f t="shared" si="144"/>
        <v>49392681.788988575</v>
      </c>
      <c r="CA737" s="867">
        <f>_xlfn.MAXIFS($BY$4:$BY$12824,$S$4:$S$12824,$S737)</f>
        <v>26066964.668753684</v>
      </c>
      <c r="CB737" s="1032"/>
      <c r="CF737" s="946">
        <f t="shared" si="145"/>
        <v>48229214.616000004</v>
      </c>
    </row>
    <row r="738" spans="1:84">
      <c r="A738" s="1032"/>
      <c r="B738" s="839" t="s">
        <v>98</v>
      </c>
      <c r="C738" s="839" t="s">
        <v>254</v>
      </c>
      <c r="D738" s="839" t="s">
        <v>2490</v>
      </c>
      <c r="E738" s="839" t="s">
        <v>2491</v>
      </c>
      <c r="F738" s="841">
        <v>45497</v>
      </c>
      <c r="G738" s="840" t="s">
        <v>254</v>
      </c>
      <c r="H738" s="842" t="s">
        <v>134</v>
      </c>
      <c r="I738" s="842"/>
      <c r="J738" s="841"/>
      <c r="K738" s="841"/>
      <c r="L738" s="843" t="s">
        <v>106</v>
      </c>
      <c r="M738" s="844" t="s">
        <v>107</v>
      </c>
      <c r="N738" s="841" t="s">
        <v>2492</v>
      </c>
      <c r="O738" s="841" t="s">
        <v>108</v>
      </c>
      <c r="P738" s="841" t="s">
        <v>160</v>
      </c>
      <c r="Q738" s="843"/>
      <c r="R738" s="845" t="s">
        <v>2535</v>
      </c>
      <c r="S738" s="1127" t="s">
        <v>2536</v>
      </c>
      <c r="T738" s="843" t="s">
        <v>2537</v>
      </c>
      <c r="U738" s="842">
        <v>1</v>
      </c>
      <c r="V738" s="842" t="s">
        <v>3</v>
      </c>
      <c r="W738" s="846">
        <v>984</v>
      </c>
      <c r="X738" s="847">
        <f t="shared" si="138"/>
        <v>984</v>
      </c>
      <c r="Y738" s="848">
        <f t="shared" si="147"/>
        <v>0.4813008130081301</v>
      </c>
      <c r="Z738" s="849">
        <v>510.4</v>
      </c>
      <c r="AA738" s="849"/>
      <c r="AB738" s="849">
        <f t="shared" si="139"/>
        <v>510.4</v>
      </c>
      <c r="AC738" s="850">
        <f t="shared" si="140"/>
        <v>510.4</v>
      </c>
      <c r="AD738" s="851"/>
      <c r="AE738" s="852">
        <v>26385.040000000001</v>
      </c>
      <c r="AF738" s="853">
        <v>0</v>
      </c>
      <c r="AG738" s="854">
        <f t="shared" si="141"/>
        <v>0</v>
      </c>
      <c r="AH738" s="853"/>
      <c r="AI738" s="855">
        <f t="shared" si="142"/>
        <v>0</v>
      </c>
      <c r="AJ738" s="845" t="s">
        <v>2496</v>
      </c>
      <c r="AK738" s="857">
        <v>45392</v>
      </c>
      <c r="AL738" s="840" t="s">
        <v>2497</v>
      </c>
      <c r="AM738" s="840"/>
      <c r="AN738" s="858"/>
      <c r="AO738" s="844" t="s">
        <v>1741</v>
      </c>
      <c r="AP738" s="859" t="s">
        <v>2498</v>
      </c>
      <c r="AQ738" s="859" t="s">
        <v>2499</v>
      </c>
      <c r="AR738" s="859" t="s">
        <v>2500</v>
      </c>
      <c r="AS738" s="840" t="s">
        <v>2501</v>
      </c>
      <c r="AT738" s="840" t="s">
        <v>1743</v>
      </c>
      <c r="AU738" s="860" t="s">
        <v>2502</v>
      </c>
      <c r="AV738" s="839" t="s">
        <v>2503</v>
      </c>
      <c r="AW738" s="861">
        <v>45625</v>
      </c>
      <c r="AX738" s="862">
        <v>45363</v>
      </c>
      <c r="AY738" s="843" t="s">
        <v>2538</v>
      </c>
      <c r="AZ738" s="842">
        <v>94052990</v>
      </c>
      <c r="BA738" s="842" t="s">
        <v>120</v>
      </c>
      <c r="BB738" s="863" t="s">
        <v>121</v>
      </c>
      <c r="BC738" s="864">
        <v>45363</v>
      </c>
      <c r="BD738" s="860" t="s">
        <v>2505</v>
      </c>
      <c r="BE738" s="865" cm="1">
        <f t="array" ref="BE738">IF(BD738="","",AC738/SUMPRODUCT(--(BD738=$BD$4:$BD$12824),$AC$4:$AC$12824))</f>
        <v>2.3189206478439129E-2</v>
      </c>
      <c r="BF738" s="458"/>
      <c r="BG738" s="458"/>
      <c r="BH738" s="458"/>
      <c r="BI738" s="458"/>
      <c r="BJ738" s="458"/>
      <c r="BK738" s="458"/>
      <c r="BL738" s="458"/>
      <c r="BM738" s="458"/>
      <c r="BN738" s="458"/>
      <c r="BO738" s="866">
        <f>VLOOKUP(BD738,$BD$4:$BN$12824,3,0)*BE738</f>
        <v>268662.37787502544</v>
      </c>
      <c r="BP738" s="866"/>
      <c r="BQ738" s="866"/>
      <c r="BR738" s="866">
        <f>VLOOKUP(BD738,$BD$4:$BN$12824,6,0)*BE738</f>
        <v>28696.666206274902</v>
      </c>
      <c r="BS738" s="866">
        <f>VLOOKUP(BD738,$BD$4:$BN$12824,7,0)*BE738</f>
        <v>13448.951324474428</v>
      </c>
      <c r="BT738" s="866"/>
      <c r="BU738" s="866">
        <f>VLOOKUP(BD738,$BD$4:$BN$12824,9,0)*BE738</f>
        <v>150.54432845802683</v>
      </c>
      <c r="BV738" s="867"/>
      <c r="BW738" s="867">
        <f>VLOOKUP(BD738,$BD$4:$BN$12824,11,0)*BE738</f>
        <v>13913.523887063477</v>
      </c>
      <c r="BX738" s="1146">
        <f t="shared" si="143"/>
        <v>324872.06362129626</v>
      </c>
      <c r="BY738" s="867">
        <f t="shared" si="146"/>
        <v>13791796.479621295</v>
      </c>
      <c r="BZ738" s="867">
        <f t="shared" si="144"/>
        <v>13791796.479621295</v>
      </c>
      <c r="CA738" s="867">
        <f>_xlfn.MAXIFS($BY$4:$BY$12824,$S$4:$S$12824,$S738)</f>
        <v>14946643.266184215</v>
      </c>
      <c r="CB738" s="1032"/>
      <c r="CF738" s="946">
        <f t="shared" si="145"/>
        <v>13466924.415999999</v>
      </c>
    </row>
    <row r="739" spans="1:84">
      <c r="A739" s="1032"/>
      <c r="B739" s="839" t="s">
        <v>98</v>
      </c>
      <c r="C739" s="839" t="s">
        <v>254</v>
      </c>
      <c r="D739" s="839" t="s">
        <v>2490</v>
      </c>
      <c r="E739" s="839" t="s">
        <v>2491</v>
      </c>
      <c r="F739" s="841">
        <v>45497</v>
      </c>
      <c r="G739" s="840" t="s">
        <v>254</v>
      </c>
      <c r="H739" s="842" t="s">
        <v>134</v>
      </c>
      <c r="I739" s="842"/>
      <c r="J739" s="841"/>
      <c r="K739" s="841"/>
      <c r="L739" s="843" t="s">
        <v>106</v>
      </c>
      <c r="M739" s="844" t="s">
        <v>107</v>
      </c>
      <c r="N739" s="841" t="s">
        <v>2492</v>
      </c>
      <c r="O739" s="841" t="s">
        <v>108</v>
      </c>
      <c r="P739" s="841" t="s">
        <v>160</v>
      </c>
      <c r="Q739" s="843"/>
      <c r="R739" s="845" t="s">
        <v>2539</v>
      </c>
      <c r="S739" s="1127" t="s">
        <v>2540</v>
      </c>
      <c r="T739" s="843" t="s">
        <v>2541</v>
      </c>
      <c r="U739" s="842">
        <v>1</v>
      </c>
      <c r="V739" s="842" t="s">
        <v>3</v>
      </c>
      <c r="W739" s="846">
        <v>984</v>
      </c>
      <c r="X739" s="847">
        <f t="shared" si="138"/>
        <v>984</v>
      </c>
      <c r="Y739" s="848">
        <f t="shared" si="147"/>
        <v>0.4813008130081301</v>
      </c>
      <c r="Z739" s="849">
        <v>510.4</v>
      </c>
      <c r="AA739" s="849"/>
      <c r="AB739" s="849">
        <f t="shared" si="139"/>
        <v>510.4</v>
      </c>
      <c r="AC739" s="850">
        <f t="shared" si="140"/>
        <v>510.4</v>
      </c>
      <c r="AD739" s="851"/>
      <c r="AE739" s="852">
        <v>26385.040000000001</v>
      </c>
      <c r="AF739" s="853">
        <v>0</v>
      </c>
      <c r="AG739" s="854">
        <f t="shared" si="141"/>
        <v>0</v>
      </c>
      <c r="AH739" s="853"/>
      <c r="AI739" s="855">
        <f t="shared" si="142"/>
        <v>0</v>
      </c>
      <c r="AJ739" s="845" t="s">
        <v>2496</v>
      </c>
      <c r="AK739" s="857">
        <v>45392</v>
      </c>
      <c r="AL739" s="840" t="s">
        <v>2497</v>
      </c>
      <c r="AM739" s="840"/>
      <c r="AN739" s="858"/>
      <c r="AO739" s="844" t="s">
        <v>1741</v>
      </c>
      <c r="AP739" s="859" t="s">
        <v>2498</v>
      </c>
      <c r="AQ739" s="859" t="s">
        <v>2499</v>
      </c>
      <c r="AR739" s="859" t="s">
        <v>2500</v>
      </c>
      <c r="AS739" s="840" t="s">
        <v>2501</v>
      </c>
      <c r="AT739" s="840" t="s">
        <v>1743</v>
      </c>
      <c r="AU739" s="860" t="s">
        <v>2502</v>
      </c>
      <c r="AV739" s="839" t="s">
        <v>2503</v>
      </c>
      <c r="AW739" s="861">
        <v>45625</v>
      </c>
      <c r="AX739" s="862">
        <v>45363</v>
      </c>
      <c r="AY739" s="843" t="s">
        <v>2542</v>
      </c>
      <c r="AZ739" s="842">
        <v>94052190</v>
      </c>
      <c r="BA739" s="842" t="s">
        <v>120</v>
      </c>
      <c r="BB739" s="863" t="s">
        <v>121</v>
      </c>
      <c r="BC739" s="864">
        <v>45363</v>
      </c>
      <c r="BD739" s="860" t="s">
        <v>2505</v>
      </c>
      <c r="BE739" s="865" cm="1">
        <f t="array" ref="BE739">IF(BD739="","",AC739/SUMPRODUCT(--(BD739=$BD$4:$BD$12824),$AC$4:$AC$12824))</f>
        <v>2.3189206478439129E-2</v>
      </c>
      <c r="BF739" s="458"/>
      <c r="BG739" s="458"/>
      <c r="BH739" s="458"/>
      <c r="BI739" s="458"/>
      <c r="BJ739" s="458"/>
      <c r="BK739" s="458"/>
      <c r="BL739" s="458"/>
      <c r="BM739" s="458"/>
      <c r="BN739" s="458"/>
      <c r="BO739" s="866">
        <f>VLOOKUP(BD739,$BD$4:$BN$12824,3,0)*BE739</f>
        <v>268662.37787502544</v>
      </c>
      <c r="BP739" s="866"/>
      <c r="BQ739" s="866"/>
      <c r="BR739" s="866">
        <f>VLOOKUP(BD739,$BD$4:$BN$12824,6,0)*BE739</f>
        <v>28696.666206274902</v>
      </c>
      <c r="BS739" s="866">
        <f>VLOOKUP(BD739,$BD$4:$BN$12824,7,0)*BE739</f>
        <v>13448.951324474428</v>
      </c>
      <c r="BT739" s="866"/>
      <c r="BU739" s="866">
        <f>VLOOKUP(BD739,$BD$4:$BN$12824,9,0)*BE739</f>
        <v>150.54432845802683</v>
      </c>
      <c r="BV739" s="867"/>
      <c r="BW739" s="867">
        <f>VLOOKUP(BD739,$BD$4:$BN$12824,11,0)*BE739</f>
        <v>13913.523887063477</v>
      </c>
      <c r="BX739" s="1146">
        <f t="shared" si="143"/>
        <v>324872.06362129626</v>
      </c>
      <c r="BY739" s="867">
        <f t="shared" si="146"/>
        <v>13791796.479621295</v>
      </c>
      <c r="BZ739" s="867">
        <f t="shared" si="144"/>
        <v>13791796.479621295</v>
      </c>
      <c r="CA739" s="867">
        <f>_xlfn.MAXIFS($BY$4:$BY$12824,$S$4:$S$12824,$S739)</f>
        <v>13791796.479621295</v>
      </c>
      <c r="CB739" s="1032"/>
      <c r="CF739" s="946">
        <f t="shared" si="145"/>
        <v>13466924.415999999</v>
      </c>
    </row>
    <row r="740" spans="1:84">
      <c r="A740" s="1032"/>
      <c r="B740" s="839" t="s">
        <v>98</v>
      </c>
      <c r="C740" s="839" t="s">
        <v>254</v>
      </c>
      <c r="D740" s="839" t="s">
        <v>2490</v>
      </c>
      <c r="E740" s="839" t="s">
        <v>2491</v>
      </c>
      <c r="F740" s="841">
        <v>45497</v>
      </c>
      <c r="G740" s="840" t="s">
        <v>254</v>
      </c>
      <c r="H740" s="842" t="s">
        <v>134</v>
      </c>
      <c r="I740" s="842"/>
      <c r="J740" s="841"/>
      <c r="K740" s="841"/>
      <c r="L740" s="843" t="s">
        <v>106</v>
      </c>
      <c r="M740" s="844" t="s">
        <v>107</v>
      </c>
      <c r="N740" s="841" t="s">
        <v>2492</v>
      </c>
      <c r="O740" s="841" t="s">
        <v>108</v>
      </c>
      <c r="P740" s="841" t="s">
        <v>160</v>
      </c>
      <c r="Q740" s="843"/>
      <c r="R740" s="845" t="s">
        <v>2543</v>
      </c>
      <c r="S740" s="1127" t="s">
        <v>2544</v>
      </c>
      <c r="T740" s="843" t="s">
        <v>2545</v>
      </c>
      <c r="U740" s="842">
        <v>1</v>
      </c>
      <c r="V740" s="842" t="s">
        <v>3</v>
      </c>
      <c r="W740" s="846">
        <v>984</v>
      </c>
      <c r="X740" s="847">
        <f t="shared" si="138"/>
        <v>984</v>
      </c>
      <c r="Y740" s="848">
        <f t="shared" si="147"/>
        <v>0.4813008130081301</v>
      </c>
      <c r="Z740" s="849">
        <v>510.4</v>
      </c>
      <c r="AA740" s="849"/>
      <c r="AB740" s="849">
        <f t="shared" si="139"/>
        <v>510.4</v>
      </c>
      <c r="AC740" s="850">
        <f t="shared" si="140"/>
        <v>510.4</v>
      </c>
      <c r="AD740" s="851"/>
      <c r="AE740" s="852">
        <v>26385.040000000001</v>
      </c>
      <c r="AF740" s="853">
        <v>0</v>
      </c>
      <c r="AG740" s="854">
        <f t="shared" si="141"/>
        <v>0</v>
      </c>
      <c r="AH740" s="853"/>
      <c r="AI740" s="855">
        <f t="shared" si="142"/>
        <v>0</v>
      </c>
      <c r="AJ740" s="845" t="s">
        <v>2496</v>
      </c>
      <c r="AK740" s="857">
        <v>45392</v>
      </c>
      <c r="AL740" s="840" t="s">
        <v>2497</v>
      </c>
      <c r="AM740" s="840"/>
      <c r="AN740" s="858"/>
      <c r="AO740" s="844" t="s">
        <v>1741</v>
      </c>
      <c r="AP740" s="859" t="s">
        <v>2498</v>
      </c>
      <c r="AQ740" s="859" t="s">
        <v>2499</v>
      </c>
      <c r="AR740" s="859" t="s">
        <v>2500</v>
      </c>
      <c r="AS740" s="840" t="s">
        <v>2501</v>
      </c>
      <c r="AT740" s="840" t="s">
        <v>1743</v>
      </c>
      <c r="AU740" s="860" t="s">
        <v>2502</v>
      </c>
      <c r="AV740" s="839" t="s">
        <v>2503</v>
      </c>
      <c r="AW740" s="861">
        <v>45625</v>
      </c>
      <c r="AX740" s="862">
        <v>45363</v>
      </c>
      <c r="AY740" s="843" t="s">
        <v>2546</v>
      </c>
      <c r="AZ740" s="842">
        <v>94052990</v>
      </c>
      <c r="BA740" s="842" t="s">
        <v>120</v>
      </c>
      <c r="BB740" s="863" t="s">
        <v>121</v>
      </c>
      <c r="BC740" s="864">
        <v>45363</v>
      </c>
      <c r="BD740" s="860" t="s">
        <v>2505</v>
      </c>
      <c r="BE740" s="865" cm="1">
        <f t="array" ref="BE740">IF(BD740="","",AC740/SUMPRODUCT(--(BD740=$BD$4:$BD$12824),$AC$4:$AC$12824))</f>
        <v>2.3189206478439129E-2</v>
      </c>
      <c r="BF740" s="458"/>
      <c r="BG740" s="458"/>
      <c r="BH740" s="458"/>
      <c r="BI740" s="458"/>
      <c r="BJ740" s="458"/>
      <c r="BK740" s="458"/>
      <c r="BL740" s="458"/>
      <c r="BM740" s="458"/>
      <c r="BN740" s="458"/>
      <c r="BO740" s="866">
        <f>VLOOKUP(BD740,$BD$4:$BN$12824,3,0)*BE740</f>
        <v>268662.37787502544</v>
      </c>
      <c r="BP740" s="866"/>
      <c r="BQ740" s="866"/>
      <c r="BR740" s="866">
        <f>VLOOKUP(BD740,$BD$4:$BN$12824,6,0)*BE740</f>
        <v>28696.666206274902</v>
      </c>
      <c r="BS740" s="866">
        <f>VLOOKUP(BD740,$BD$4:$BN$12824,7,0)*BE740</f>
        <v>13448.951324474428</v>
      </c>
      <c r="BT740" s="866"/>
      <c r="BU740" s="866">
        <f>VLOOKUP(BD740,$BD$4:$BN$12824,9,0)*BE740</f>
        <v>150.54432845802683</v>
      </c>
      <c r="BV740" s="867"/>
      <c r="BW740" s="867">
        <f>VLOOKUP(BD740,$BD$4:$BN$12824,11,0)*BE740</f>
        <v>13913.523887063477</v>
      </c>
      <c r="BX740" s="1146">
        <f t="shared" si="143"/>
        <v>324872.06362129626</v>
      </c>
      <c r="BY740" s="867">
        <f t="shared" si="146"/>
        <v>13791796.479621295</v>
      </c>
      <c r="BZ740" s="867">
        <f t="shared" si="144"/>
        <v>13791796.479621295</v>
      </c>
      <c r="CA740" s="867">
        <f>_xlfn.MAXIFS($BY$4:$BY$12824,$S$4:$S$12824,$S740)</f>
        <v>13791796.479621295</v>
      </c>
      <c r="CB740" s="1032"/>
      <c r="CF740" s="946">
        <f t="shared" si="145"/>
        <v>13466924.415999999</v>
      </c>
    </row>
    <row r="741" spans="1:84">
      <c r="A741" s="1032"/>
      <c r="B741" s="839" t="s">
        <v>98</v>
      </c>
      <c r="C741" s="839" t="s">
        <v>254</v>
      </c>
      <c r="D741" s="839" t="s">
        <v>2490</v>
      </c>
      <c r="E741" s="839" t="s">
        <v>2491</v>
      </c>
      <c r="F741" s="841">
        <v>45497</v>
      </c>
      <c r="G741" s="840" t="s">
        <v>254</v>
      </c>
      <c r="H741" s="842" t="s">
        <v>134</v>
      </c>
      <c r="I741" s="842"/>
      <c r="J741" s="841"/>
      <c r="K741" s="841"/>
      <c r="L741" s="843" t="s">
        <v>106</v>
      </c>
      <c r="M741" s="844" t="s">
        <v>107</v>
      </c>
      <c r="N741" s="841" t="s">
        <v>2492</v>
      </c>
      <c r="O741" s="841" t="s">
        <v>108</v>
      </c>
      <c r="P741" s="841" t="s">
        <v>160</v>
      </c>
      <c r="Q741" s="843"/>
      <c r="R741" s="845" t="s">
        <v>2547</v>
      </c>
      <c r="S741" s="1127" t="s">
        <v>2548</v>
      </c>
      <c r="T741" s="843" t="s">
        <v>2549</v>
      </c>
      <c r="U741" s="842">
        <v>2</v>
      </c>
      <c r="V741" s="842" t="s">
        <v>3</v>
      </c>
      <c r="W741" s="846">
        <v>451</v>
      </c>
      <c r="X741" s="847">
        <f t="shared" si="138"/>
        <v>902</v>
      </c>
      <c r="Y741" s="848">
        <f t="shared" si="147"/>
        <v>0.48130820399113078</v>
      </c>
      <c r="Z741" s="849">
        <v>233.93</v>
      </c>
      <c r="AA741" s="849"/>
      <c r="AB741" s="849">
        <f t="shared" si="139"/>
        <v>467.86</v>
      </c>
      <c r="AC741" s="850">
        <f t="shared" si="140"/>
        <v>467.86</v>
      </c>
      <c r="AD741" s="851"/>
      <c r="AE741" s="852">
        <v>26385.040000000001</v>
      </c>
      <c r="AF741" s="853">
        <v>0</v>
      </c>
      <c r="AG741" s="854">
        <f t="shared" si="141"/>
        <v>0</v>
      </c>
      <c r="AH741" s="853"/>
      <c r="AI741" s="855">
        <f t="shared" si="142"/>
        <v>0</v>
      </c>
      <c r="AJ741" s="845" t="s">
        <v>2496</v>
      </c>
      <c r="AK741" s="857">
        <v>45392</v>
      </c>
      <c r="AL741" s="840" t="s">
        <v>2497</v>
      </c>
      <c r="AM741" s="840"/>
      <c r="AN741" s="858"/>
      <c r="AO741" s="844" t="s">
        <v>1741</v>
      </c>
      <c r="AP741" s="859" t="s">
        <v>2498</v>
      </c>
      <c r="AQ741" s="859" t="s">
        <v>2499</v>
      </c>
      <c r="AR741" s="859" t="s">
        <v>2500</v>
      </c>
      <c r="AS741" s="840" t="s">
        <v>2501</v>
      </c>
      <c r="AT741" s="840" t="s">
        <v>1743</v>
      </c>
      <c r="AU741" s="860" t="s">
        <v>2502</v>
      </c>
      <c r="AV741" s="870" t="s">
        <v>2503</v>
      </c>
      <c r="AW741" s="861">
        <v>45625</v>
      </c>
      <c r="AX741" s="862">
        <v>45363</v>
      </c>
      <c r="AY741" s="843" t="s">
        <v>2550</v>
      </c>
      <c r="AZ741" s="842">
        <v>94052990</v>
      </c>
      <c r="BA741" s="842" t="s">
        <v>120</v>
      </c>
      <c r="BB741" s="863" t="s">
        <v>121</v>
      </c>
      <c r="BC741" s="864">
        <v>45363</v>
      </c>
      <c r="BD741" s="860" t="s">
        <v>2505</v>
      </c>
      <c r="BE741" s="865" cm="1">
        <f t="array" ref="BE741">IF(BD741="","",AC741/SUMPRODUCT(--(BD741=$BD$4:$BD$12824),$AC$4:$AC$12824))</f>
        <v>2.125646971591405E-2</v>
      </c>
      <c r="BF741" s="458"/>
      <c r="BG741" s="458"/>
      <c r="BH741" s="458"/>
      <c r="BI741" s="458"/>
      <c r="BJ741" s="458"/>
      <c r="BK741" s="458"/>
      <c r="BL741" s="458"/>
      <c r="BM741" s="458"/>
      <c r="BN741" s="458"/>
      <c r="BO741" s="866">
        <f>VLOOKUP(BD741,$BD$4:$BN$12824,3,0)*BE741</f>
        <v>246270.33721122536</v>
      </c>
      <c r="BP741" s="866"/>
      <c r="BQ741" s="866"/>
      <c r="BR741" s="866">
        <f>VLOOKUP(BD741,$BD$4:$BN$12824,6,0)*BE741</f>
        <v>26304.902529913354</v>
      </c>
      <c r="BS741" s="866">
        <f>VLOOKUP(BD741,$BD$4:$BN$12824,7,0)*BE741</f>
        <v>12328.029715259809</v>
      </c>
      <c r="BT741" s="866"/>
      <c r="BU741" s="866">
        <f>VLOOKUP(BD741,$BD$4:$BN$12824,9,0)*BE741</f>
        <v>137.99700139571402</v>
      </c>
      <c r="BV741" s="867"/>
      <c r="BW741" s="867">
        <f>VLOOKUP(BD741,$BD$4:$BN$12824,11,0)*BE741</f>
        <v>12753.881829548431</v>
      </c>
      <c r="BX741" s="1146">
        <f t="shared" si="143"/>
        <v>297795.14828734269</v>
      </c>
      <c r="BY741" s="867">
        <f t="shared" si="146"/>
        <v>6321149.9813436717</v>
      </c>
      <c r="BZ741" s="867">
        <f t="shared" si="144"/>
        <v>12642299.962687343</v>
      </c>
      <c r="CA741" s="867">
        <f>_xlfn.MAXIFS($BY$4:$BY$12824,$S$4:$S$12824,$S741)</f>
        <v>6321149.9813436717</v>
      </c>
      <c r="CB741" s="1032"/>
      <c r="CF741" s="946">
        <f t="shared" si="145"/>
        <v>12344504.8144</v>
      </c>
    </row>
    <row r="742" spans="1:84">
      <c r="A742" s="1032"/>
      <c r="B742" s="839" t="s">
        <v>98</v>
      </c>
      <c r="C742" s="839" t="s">
        <v>254</v>
      </c>
      <c r="D742" s="839" t="s">
        <v>2490</v>
      </c>
      <c r="E742" s="839" t="s">
        <v>2491</v>
      </c>
      <c r="F742" s="841">
        <v>45497</v>
      </c>
      <c r="G742" s="840" t="s">
        <v>254</v>
      </c>
      <c r="H742" s="842" t="s">
        <v>102</v>
      </c>
      <c r="I742" s="842" t="s">
        <v>2518</v>
      </c>
      <c r="J742" s="841" t="s">
        <v>2519</v>
      </c>
      <c r="K742" s="841" t="s">
        <v>2520</v>
      </c>
      <c r="L742" s="843" t="s">
        <v>106</v>
      </c>
      <c r="M742" s="844" t="s">
        <v>107</v>
      </c>
      <c r="N742" s="841" t="s">
        <v>2492</v>
      </c>
      <c r="O742" s="841" t="s">
        <v>108</v>
      </c>
      <c r="P742" s="841" t="s">
        <v>160</v>
      </c>
      <c r="Q742" s="843"/>
      <c r="R742" s="845" t="s">
        <v>2551</v>
      </c>
      <c r="S742" s="1127" t="s">
        <v>2552</v>
      </c>
      <c r="T742" s="843" t="s">
        <v>2553</v>
      </c>
      <c r="U742" s="842">
        <v>1</v>
      </c>
      <c r="V742" s="842" t="s">
        <v>3</v>
      </c>
      <c r="W742" s="846">
        <v>344</v>
      </c>
      <c r="X742" s="847">
        <f t="shared" si="138"/>
        <v>344</v>
      </c>
      <c r="Y742" s="848">
        <f t="shared" si="147"/>
        <v>0.48130813953488372</v>
      </c>
      <c r="Z742" s="849">
        <v>178.43</v>
      </c>
      <c r="AA742" s="849"/>
      <c r="AB742" s="849">
        <f t="shared" si="139"/>
        <v>178.43</v>
      </c>
      <c r="AC742" s="850">
        <f t="shared" si="140"/>
        <v>178.43</v>
      </c>
      <c r="AD742" s="851"/>
      <c r="AE742" s="852">
        <v>26385.040000000001</v>
      </c>
      <c r="AF742" s="853">
        <v>0</v>
      </c>
      <c r="AG742" s="854">
        <f t="shared" si="141"/>
        <v>0</v>
      </c>
      <c r="AH742" s="853"/>
      <c r="AI742" s="855">
        <f t="shared" si="142"/>
        <v>0</v>
      </c>
      <c r="AJ742" s="845" t="s">
        <v>2496</v>
      </c>
      <c r="AK742" s="857">
        <v>45392</v>
      </c>
      <c r="AL742" s="840" t="s">
        <v>2497</v>
      </c>
      <c r="AM742" s="840"/>
      <c r="AN742" s="858"/>
      <c r="AO742" s="844" t="s">
        <v>1741</v>
      </c>
      <c r="AP742" s="859" t="s">
        <v>2498</v>
      </c>
      <c r="AQ742" s="859" t="s">
        <v>2499</v>
      </c>
      <c r="AR742" s="859" t="s">
        <v>2500</v>
      </c>
      <c r="AS742" s="840" t="s">
        <v>2501</v>
      </c>
      <c r="AT742" s="840" t="s">
        <v>1743</v>
      </c>
      <c r="AU742" s="860" t="s">
        <v>2502</v>
      </c>
      <c r="AV742" s="839" t="s">
        <v>2503</v>
      </c>
      <c r="AW742" s="861">
        <v>45625</v>
      </c>
      <c r="AX742" s="862">
        <v>45363</v>
      </c>
      <c r="AY742" s="843"/>
      <c r="AZ742" s="842">
        <v>94052990</v>
      </c>
      <c r="BA742" s="842" t="s">
        <v>120</v>
      </c>
      <c r="BB742" s="863" t="s">
        <v>121</v>
      </c>
      <c r="BC742" s="864">
        <v>45363</v>
      </c>
      <c r="BD742" s="860" t="s">
        <v>2505</v>
      </c>
      <c r="BE742" s="865" cm="1">
        <f t="array" ref="BE742">IF(BD742="","",AC742/SUMPRODUCT(--(BD742=$BD$4:$BD$12824),$AC$4:$AC$12824))</f>
        <v>8.1066812538164064E-3</v>
      </c>
      <c r="BF742" s="458"/>
      <c r="BG742" s="458"/>
      <c r="BH742" s="458"/>
      <c r="BI742" s="458"/>
      <c r="BJ742" s="458"/>
      <c r="BK742" s="458"/>
      <c r="BL742" s="458"/>
      <c r="BM742" s="458"/>
      <c r="BN742" s="458"/>
      <c r="BO742" s="866">
        <f>VLOOKUP(BD742,$BD$4:$BN$12824,3,0)*BE742</f>
        <v>93921.293268496855</v>
      </c>
      <c r="BP742" s="866"/>
      <c r="BQ742" s="866"/>
      <c r="BR742" s="866">
        <f>VLOOKUP(BD742,$BD$4:$BN$12824,6,0)*BE742</f>
        <v>10032.026158279057</v>
      </c>
      <c r="BS742" s="866">
        <f>VLOOKUP(BD742,$BD$4:$BN$12824,7,0)*BE742</f>
        <v>4701.5995000508856</v>
      </c>
      <c r="BT742" s="866"/>
      <c r="BU742" s="866">
        <f>VLOOKUP(BD742,$BD$4:$BN$12824,9,0)*BE742</f>
        <v>52.628574699776109</v>
      </c>
      <c r="BV742" s="867"/>
      <c r="BW742" s="867">
        <f>VLOOKUP(BD742,$BD$4:$BN$12824,11,0)*BE742</f>
        <v>4864.0087522898439</v>
      </c>
      <c r="BX742" s="1146">
        <f t="shared" si="143"/>
        <v>113571.55625381641</v>
      </c>
      <c r="BY742" s="867">
        <f t="shared" si="146"/>
        <v>4821454.2434538165</v>
      </c>
      <c r="BZ742" s="867">
        <f t="shared" si="144"/>
        <v>4821454.2434538165</v>
      </c>
      <c r="CA742" s="867">
        <f>_xlfn.MAXIFS($BY$4:$BY$12824,$S$4:$S$12824,$S742)</f>
        <v>4821454.2434538165</v>
      </c>
      <c r="CB742" s="1032"/>
      <c r="CF742" s="946">
        <f t="shared" si="145"/>
        <v>4707882.6872000005</v>
      </c>
    </row>
    <row r="743" spans="1:84">
      <c r="A743" s="1032"/>
      <c r="B743" s="839" t="s">
        <v>98</v>
      </c>
      <c r="C743" s="839" t="s">
        <v>254</v>
      </c>
      <c r="D743" s="839" t="s">
        <v>2490</v>
      </c>
      <c r="E743" s="839" t="s">
        <v>2491</v>
      </c>
      <c r="F743" s="841">
        <v>45497</v>
      </c>
      <c r="G743" s="840" t="s">
        <v>254</v>
      </c>
      <c r="H743" s="842" t="s">
        <v>102</v>
      </c>
      <c r="I743" s="842" t="s">
        <v>2554</v>
      </c>
      <c r="J743" s="841" t="s">
        <v>2555</v>
      </c>
      <c r="K743" s="841" t="s">
        <v>2556</v>
      </c>
      <c r="L743" s="843" t="s">
        <v>106</v>
      </c>
      <c r="M743" s="844" t="s">
        <v>107</v>
      </c>
      <c r="N743" s="841" t="s">
        <v>2492</v>
      </c>
      <c r="O743" s="841" t="s">
        <v>108</v>
      </c>
      <c r="P743" s="841" t="s">
        <v>1136</v>
      </c>
      <c r="Q743" s="843"/>
      <c r="R743" s="845" t="s">
        <v>2557</v>
      </c>
      <c r="S743" s="1127" t="s">
        <v>2558</v>
      </c>
      <c r="T743" s="843" t="s">
        <v>2559</v>
      </c>
      <c r="U743" s="842">
        <v>4</v>
      </c>
      <c r="V743" s="842" t="s">
        <v>3</v>
      </c>
      <c r="W743" s="846">
        <v>4197</v>
      </c>
      <c r="X743" s="847">
        <f t="shared" si="138"/>
        <v>16788</v>
      </c>
      <c r="Y743" s="848">
        <f t="shared" si="147"/>
        <v>0.48130092923516798</v>
      </c>
      <c r="Z743" s="849">
        <v>2176.98</v>
      </c>
      <c r="AA743" s="849"/>
      <c r="AB743" s="849">
        <f t="shared" si="139"/>
        <v>8707.92</v>
      </c>
      <c r="AC743" s="850">
        <f t="shared" si="140"/>
        <v>8707.92</v>
      </c>
      <c r="AD743" s="851"/>
      <c r="AE743" s="852">
        <v>26385.040000000001</v>
      </c>
      <c r="AF743" s="853">
        <v>0</v>
      </c>
      <c r="AG743" s="854">
        <f t="shared" si="141"/>
        <v>0</v>
      </c>
      <c r="AH743" s="853"/>
      <c r="AI743" s="855">
        <f t="shared" si="142"/>
        <v>0</v>
      </c>
      <c r="AJ743" s="845" t="s">
        <v>2496</v>
      </c>
      <c r="AK743" s="857">
        <v>45392</v>
      </c>
      <c r="AL743" s="840" t="s">
        <v>2497</v>
      </c>
      <c r="AM743" s="840"/>
      <c r="AN743" s="858"/>
      <c r="AO743" s="844" t="s">
        <v>1741</v>
      </c>
      <c r="AP743" s="859" t="s">
        <v>2498</v>
      </c>
      <c r="AQ743" s="859" t="s">
        <v>2499</v>
      </c>
      <c r="AR743" s="859" t="s">
        <v>2500</v>
      </c>
      <c r="AS743" s="840" t="s">
        <v>2501</v>
      </c>
      <c r="AT743" s="840" t="s">
        <v>1743</v>
      </c>
      <c r="AU743" s="860" t="s">
        <v>2502</v>
      </c>
      <c r="AV743" s="839" t="s">
        <v>2503</v>
      </c>
      <c r="AW743" s="861">
        <v>45625</v>
      </c>
      <c r="AX743" s="862">
        <v>45363</v>
      </c>
      <c r="AY743" s="843" t="s">
        <v>2560</v>
      </c>
      <c r="AZ743" s="842">
        <v>94051999</v>
      </c>
      <c r="BA743" s="842" t="s">
        <v>120</v>
      </c>
      <c r="BB743" s="863" t="s">
        <v>121</v>
      </c>
      <c r="BC743" s="864">
        <v>45363</v>
      </c>
      <c r="BD743" s="860" t="s">
        <v>2505</v>
      </c>
      <c r="BE743" s="865" cm="1">
        <f t="array" ref="BE743">IF(BD743="","",AC743/SUMPRODUCT(--(BD743=$BD$4:$BD$12824),$AC$4:$AC$12824))</f>
        <v>0.39563039748771484</v>
      </c>
      <c r="BF743" s="458"/>
      <c r="BG743" s="458"/>
      <c r="BH743" s="458"/>
      <c r="BI743" s="458"/>
      <c r="BJ743" s="458"/>
      <c r="BK743" s="458"/>
      <c r="BL743" s="458"/>
      <c r="BM743" s="458"/>
      <c r="BN743" s="458"/>
      <c r="BO743" s="866">
        <f>VLOOKUP(BD743,$BD$4:$BN$12824,3,0)*BE743</f>
        <v>4583641.2491095057</v>
      </c>
      <c r="BP743" s="866"/>
      <c r="BQ743" s="866"/>
      <c r="BR743" s="866">
        <f>VLOOKUP(BD743,$BD$4:$BN$12824,6,0)*BE743</f>
        <v>489593.01252144459</v>
      </c>
      <c r="BS743" s="866">
        <f>VLOOKUP(BD743,$BD$4:$BN$12824,7,0)*BE743</f>
        <v>229452.17910936003</v>
      </c>
      <c r="BT743" s="866"/>
      <c r="BU743" s="866">
        <f>VLOOKUP(BD743,$BD$4:$BN$12824,9,0)*BE743</f>
        <v>2568.4325404902447</v>
      </c>
      <c r="BV743" s="867"/>
      <c r="BW743" s="867">
        <f>VLOOKUP(BD743,$BD$4:$BN$12824,11,0)*BE743</f>
        <v>237378.23849262891</v>
      </c>
      <c r="BX743" s="1146">
        <f t="shared" si="143"/>
        <v>5542633.1117734294</v>
      </c>
      <c r="BY743" s="867">
        <f t="shared" si="146"/>
        <v>58825362.657143362</v>
      </c>
      <c r="BZ743" s="867">
        <f t="shared" si="144"/>
        <v>235301450.62857345</v>
      </c>
      <c r="CA743" s="867">
        <f>_xlfn.MAXIFS($BY$4:$BY$12824,$S$4:$S$12824,$S743)</f>
        <v>58825362.657143362</v>
      </c>
      <c r="CB743" s="1032"/>
      <c r="CF743" s="946">
        <f t="shared" si="145"/>
        <v>229758817.51680002</v>
      </c>
    </row>
    <row r="744" spans="1:84">
      <c r="A744" s="1032"/>
      <c r="B744" s="839" t="s">
        <v>98</v>
      </c>
      <c r="C744" s="839" t="s">
        <v>254</v>
      </c>
      <c r="D744" s="839" t="s">
        <v>2490</v>
      </c>
      <c r="E744" s="839" t="s">
        <v>2561</v>
      </c>
      <c r="F744" s="841">
        <v>45497</v>
      </c>
      <c r="G744" s="840" t="s">
        <v>254</v>
      </c>
      <c r="H744" s="842" t="s">
        <v>134</v>
      </c>
      <c r="I744" s="842"/>
      <c r="J744" s="841"/>
      <c r="K744" s="841"/>
      <c r="L744" s="843" t="s">
        <v>106</v>
      </c>
      <c r="M744" s="844" t="s">
        <v>107</v>
      </c>
      <c r="N744" s="841" t="s">
        <v>2492</v>
      </c>
      <c r="O744" s="841" t="s">
        <v>108</v>
      </c>
      <c r="P744" s="841" t="s">
        <v>160</v>
      </c>
      <c r="Q744" s="843"/>
      <c r="R744" s="845" t="s">
        <v>2562</v>
      </c>
      <c r="S744" s="1127" t="s">
        <v>2563</v>
      </c>
      <c r="T744" s="843" t="s">
        <v>2564</v>
      </c>
      <c r="U744" s="842">
        <v>5</v>
      </c>
      <c r="V744" s="842" t="s">
        <v>3</v>
      </c>
      <c r="W744" s="846">
        <v>984</v>
      </c>
      <c r="X744" s="847">
        <f t="shared" si="138"/>
        <v>4920</v>
      </c>
      <c r="Y744" s="848">
        <f t="shared" si="147"/>
        <v>0.5</v>
      </c>
      <c r="Z744" s="849">
        <v>492</v>
      </c>
      <c r="AA744" s="849"/>
      <c r="AB744" s="849">
        <f t="shared" si="139"/>
        <v>2460</v>
      </c>
      <c r="AC744" s="850">
        <f t="shared" si="140"/>
        <v>2460</v>
      </c>
      <c r="AD744" s="851"/>
      <c r="AE744" s="852">
        <v>26385.040000000001</v>
      </c>
      <c r="AF744" s="853">
        <v>0</v>
      </c>
      <c r="AG744" s="854">
        <f t="shared" si="141"/>
        <v>0</v>
      </c>
      <c r="AH744" s="853"/>
      <c r="AI744" s="855">
        <f t="shared" si="142"/>
        <v>0</v>
      </c>
      <c r="AJ744" s="845" t="s">
        <v>2496</v>
      </c>
      <c r="AK744" s="857">
        <v>45392</v>
      </c>
      <c r="AL744" s="840" t="s">
        <v>2497</v>
      </c>
      <c r="AM744" s="840"/>
      <c r="AN744" s="858"/>
      <c r="AO744" s="844" t="s">
        <v>1741</v>
      </c>
      <c r="AP744" s="859" t="s">
        <v>2498</v>
      </c>
      <c r="AQ744" s="859" t="s">
        <v>2499</v>
      </c>
      <c r="AR744" s="859" t="s">
        <v>2500</v>
      </c>
      <c r="AS744" s="840" t="s">
        <v>2501</v>
      </c>
      <c r="AT744" s="840" t="s">
        <v>1743</v>
      </c>
      <c r="AU744" s="860" t="s">
        <v>2502</v>
      </c>
      <c r="AV744" s="839" t="s">
        <v>2503</v>
      </c>
      <c r="AW744" s="861">
        <v>45625</v>
      </c>
      <c r="AX744" s="862">
        <v>45363</v>
      </c>
      <c r="AY744" s="843" t="s">
        <v>2565</v>
      </c>
      <c r="AZ744" s="842">
        <v>94052990</v>
      </c>
      <c r="BA744" s="842" t="s">
        <v>120</v>
      </c>
      <c r="BB744" s="863" t="s">
        <v>121</v>
      </c>
      <c r="BC744" s="864">
        <v>45363</v>
      </c>
      <c r="BD744" s="860" t="s">
        <v>2505</v>
      </c>
      <c r="BE744" s="865" cm="1">
        <f t="array" ref="BE744">IF(BD744="","",AC744/SUMPRODUCT(--(BD744=$BD$4:$BD$12824),$AC$4:$AC$12824))</f>
        <v>0.11176615975109769</v>
      </c>
      <c r="BF744" s="458"/>
      <c r="BG744" s="458"/>
      <c r="BH744" s="458"/>
      <c r="BI744" s="458"/>
      <c r="BJ744" s="458"/>
      <c r="BK744" s="458"/>
      <c r="BL744" s="458"/>
      <c r="BM744" s="458"/>
      <c r="BN744" s="458"/>
      <c r="BO744" s="866">
        <f>VLOOKUP(BD744,$BD$4:$BN$12824,3,0)*BE744</f>
        <v>1294885.2852127012</v>
      </c>
      <c r="BP744" s="866"/>
      <c r="BQ744" s="866"/>
      <c r="BR744" s="866">
        <f>VLOOKUP(BD744,$BD$4:$BN$12824,6,0)*BE744</f>
        <v>138310.73445814315</v>
      </c>
      <c r="BS744" s="866">
        <f>VLOOKUP(BD744,$BD$4:$BN$12824,7,0)*BE744</f>
        <v>64820.572606205118</v>
      </c>
      <c r="BT744" s="866"/>
      <c r="BU744" s="866">
        <f>VLOOKUP(BD744,$BD$4:$BN$12824,9,0)*BE744</f>
        <v>725.58590910412624</v>
      </c>
      <c r="BV744" s="867"/>
      <c r="BW744" s="867">
        <f>VLOOKUP(BD744,$BD$4:$BN$12824,11,0)*BE744</f>
        <v>67059.695850658609</v>
      </c>
      <c r="BX744" s="1146">
        <f t="shared" si="143"/>
        <v>1565801.8740368122</v>
      </c>
      <c r="BY744" s="867">
        <f t="shared" si="146"/>
        <v>13294600.054807361</v>
      </c>
      <c r="BZ744" s="867">
        <f t="shared" si="144"/>
        <v>66473000.27403681</v>
      </c>
      <c r="CA744" s="867">
        <f>_xlfn.MAXIFS($BY$4:$BY$12824,$S$4:$S$12824,$S744)</f>
        <v>13294600.054807361</v>
      </c>
      <c r="CB744" s="1032"/>
      <c r="CF744" s="946">
        <f t="shared" si="145"/>
        <v>64907198.399999999</v>
      </c>
    </row>
    <row r="745" spans="1:84">
      <c r="A745" s="1032"/>
      <c r="B745" s="839" t="s">
        <v>98</v>
      </c>
      <c r="C745" s="839" t="s">
        <v>254</v>
      </c>
      <c r="D745" s="839" t="s">
        <v>2490</v>
      </c>
      <c r="E745" s="839" t="s">
        <v>2491</v>
      </c>
      <c r="F745" s="841">
        <v>45497</v>
      </c>
      <c r="G745" s="840" t="s">
        <v>254</v>
      </c>
      <c r="H745" s="842" t="s">
        <v>102</v>
      </c>
      <c r="I745" s="842" t="s">
        <v>2554</v>
      </c>
      <c r="J745" s="841" t="s">
        <v>2555</v>
      </c>
      <c r="K745" s="841" t="s">
        <v>2556</v>
      </c>
      <c r="L745" s="843" t="s">
        <v>106</v>
      </c>
      <c r="M745" s="844" t="s">
        <v>107</v>
      </c>
      <c r="N745" s="841" t="s">
        <v>2492</v>
      </c>
      <c r="O745" s="841" t="s">
        <v>108</v>
      </c>
      <c r="P745" s="841" t="s">
        <v>1136</v>
      </c>
      <c r="Q745" s="843"/>
      <c r="R745" s="845" t="s">
        <v>256</v>
      </c>
      <c r="S745" s="1127" t="s">
        <v>257</v>
      </c>
      <c r="T745" s="843" t="s">
        <v>1278</v>
      </c>
      <c r="U745" s="842">
        <v>1</v>
      </c>
      <c r="V745" s="842" t="s">
        <v>3</v>
      </c>
      <c r="W745" s="846">
        <v>3443</v>
      </c>
      <c r="X745" s="847">
        <f t="shared" si="138"/>
        <v>3443</v>
      </c>
      <c r="Y745" s="848">
        <v>0.5</v>
      </c>
      <c r="Z745" s="846">
        <v>1721.5</v>
      </c>
      <c r="AA745" s="849" t="s">
        <v>40</v>
      </c>
      <c r="AB745" s="849">
        <f t="shared" si="139"/>
        <v>0</v>
      </c>
      <c r="AC745" s="850">
        <f t="shared" si="140"/>
        <v>1721.5</v>
      </c>
      <c r="AD745" s="851"/>
      <c r="AE745" s="852">
        <v>26385.040000000001</v>
      </c>
      <c r="AF745" s="853">
        <v>0</v>
      </c>
      <c r="AG745" s="854">
        <f t="shared" si="141"/>
        <v>0</v>
      </c>
      <c r="AH745" s="853"/>
      <c r="AI745" s="855">
        <f t="shared" si="142"/>
        <v>0</v>
      </c>
      <c r="AJ745" s="845" t="s">
        <v>2496</v>
      </c>
      <c r="AK745" s="857">
        <v>45392</v>
      </c>
      <c r="AL745" s="840" t="s">
        <v>2497</v>
      </c>
      <c r="AM745" s="840"/>
      <c r="AN745" s="858"/>
      <c r="AO745" s="844" t="s">
        <v>1741</v>
      </c>
      <c r="AP745" s="859" t="s">
        <v>2498</v>
      </c>
      <c r="AQ745" s="859" t="s">
        <v>2499</v>
      </c>
      <c r="AR745" s="859" t="s">
        <v>2500</v>
      </c>
      <c r="AS745" s="840" t="s">
        <v>2501</v>
      </c>
      <c r="AT745" s="840" t="s">
        <v>1743</v>
      </c>
      <c r="AU745" s="860" t="s">
        <v>2502</v>
      </c>
      <c r="AV745" s="839" t="s">
        <v>2503</v>
      </c>
      <c r="AW745" s="861">
        <v>45625</v>
      </c>
      <c r="AX745" s="862">
        <v>45363</v>
      </c>
      <c r="AY745" s="843" t="s">
        <v>2566</v>
      </c>
      <c r="AZ745" s="842">
        <v>94051999</v>
      </c>
      <c r="BA745" s="842" t="s">
        <v>120</v>
      </c>
      <c r="BB745" s="863" t="s">
        <v>121</v>
      </c>
      <c r="BC745" s="864">
        <v>45363</v>
      </c>
      <c r="BD745" s="860" t="s">
        <v>2505</v>
      </c>
      <c r="BE745" s="865" cm="1">
        <f t="array" ref="BE745">IF(BD745="","",AC745/SUMPRODUCT(--(BD745=$BD$4:$BD$12824),$AC$4:$AC$12824))</f>
        <v>7.821359512663198E-2</v>
      </c>
      <c r="BF745" s="458"/>
      <c r="BG745" s="458"/>
      <c r="BH745" s="458"/>
      <c r="BI745" s="458"/>
      <c r="BJ745" s="458"/>
      <c r="BK745" s="458"/>
      <c r="BL745" s="458"/>
      <c r="BM745" s="458"/>
      <c r="BN745" s="458"/>
      <c r="BO745" s="866">
        <f>VLOOKUP(BD745,$BD$4:$BN$12824,3,0)*BE745</f>
        <v>906156.51158279064</v>
      </c>
      <c r="BP745" s="866"/>
      <c r="BQ745" s="866"/>
      <c r="BR745" s="866">
        <f>VLOOKUP(BD745,$BD$4:$BN$12824,6,0)*BE745</f>
        <v>96789.402182802194</v>
      </c>
      <c r="BS745" s="866">
        <f>VLOOKUP(BD745,$BD$4:$BN$12824,7,0)*BE745</f>
        <v>45361.225911212241</v>
      </c>
      <c r="BT745" s="866"/>
      <c r="BU745" s="866">
        <f>VLOOKUP(BD745,$BD$4:$BN$12824,9,0)*BE745</f>
        <v>507.76265956209483</v>
      </c>
      <c r="BV745" s="867"/>
      <c r="BW745" s="867">
        <f>VLOOKUP(BD745,$BD$4:$BN$12824,11,0)*BE745</f>
        <v>46928.157075979187</v>
      </c>
      <c r="BX745" s="1146">
        <f t="shared" si="143"/>
        <v>1095743.0594123465</v>
      </c>
      <c r="BY745" s="867">
        <f t="shared" si="146"/>
        <v>1095743.0594123465</v>
      </c>
      <c r="BZ745" s="867">
        <f t="shared" si="144"/>
        <v>1095743.0594123465</v>
      </c>
      <c r="CA745" s="867">
        <f>_xlfn.MAXIFS($BY$4:$BY$12824,$S$4:$S$12824,$S745)</f>
        <v>52511523.23007372</v>
      </c>
      <c r="CB745" s="1032"/>
      <c r="CF745" s="946">
        <f t="shared" si="145"/>
        <v>45421846.359999999</v>
      </c>
    </row>
    <row r="746" spans="1:84">
      <c r="A746" s="1032"/>
      <c r="B746" s="839" t="s">
        <v>98</v>
      </c>
      <c r="C746" s="839" t="s">
        <v>1615</v>
      </c>
      <c r="D746" s="839" t="s">
        <v>2567</v>
      </c>
      <c r="E746" s="839" t="s">
        <v>2568</v>
      </c>
      <c r="F746" s="841">
        <v>45633</v>
      </c>
      <c r="G746" s="840" t="s">
        <v>1618</v>
      </c>
      <c r="H746" s="842" t="s">
        <v>134</v>
      </c>
      <c r="I746" s="842"/>
      <c r="J746" s="841"/>
      <c r="K746" s="841"/>
      <c r="L746" s="843" t="s">
        <v>106</v>
      </c>
      <c r="M746" s="844" t="s">
        <v>107</v>
      </c>
      <c r="N746" s="841" t="s">
        <v>2569</v>
      </c>
      <c r="O746" s="841" t="s">
        <v>108</v>
      </c>
      <c r="P746" s="841" t="s">
        <v>1136</v>
      </c>
      <c r="Q746" s="843"/>
      <c r="R746" s="845" t="s">
        <v>2570</v>
      </c>
      <c r="S746" s="1127" t="s">
        <v>2571</v>
      </c>
      <c r="T746" s="843" t="s">
        <v>2572</v>
      </c>
      <c r="U746" s="842">
        <v>1</v>
      </c>
      <c r="V746" s="842" t="s">
        <v>3</v>
      </c>
      <c r="W746" s="846"/>
      <c r="X746" s="847">
        <f t="shared" si="138"/>
        <v>0</v>
      </c>
      <c r="Y746" s="842"/>
      <c r="Z746" s="849">
        <v>2038.51</v>
      </c>
      <c r="AA746" s="849"/>
      <c r="AB746" s="849">
        <f t="shared" si="139"/>
        <v>2038.51</v>
      </c>
      <c r="AC746" s="850">
        <f t="shared" si="140"/>
        <v>2038.51</v>
      </c>
      <c r="AD746" s="851"/>
      <c r="AE746" s="852">
        <v>26253.919999999998</v>
      </c>
      <c r="AF746" s="853">
        <v>0</v>
      </c>
      <c r="AG746" s="854">
        <f t="shared" si="141"/>
        <v>0</v>
      </c>
      <c r="AH746" s="853"/>
      <c r="AI746" s="855">
        <f t="shared" si="142"/>
        <v>0</v>
      </c>
      <c r="AJ746" s="845" t="s">
        <v>2573</v>
      </c>
      <c r="AK746" s="857">
        <v>45392</v>
      </c>
      <c r="AL746" s="840" t="s">
        <v>2574</v>
      </c>
      <c r="AM746" s="840"/>
      <c r="AN746" s="858"/>
      <c r="AO746" s="844" t="s">
        <v>1741</v>
      </c>
      <c r="AP746" s="859">
        <v>45423</v>
      </c>
      <c r="AQ746" s="859">
        <v>45423</v>
      </c>
      <c r="AR746" s="859" t="s">
        <v>2575</v>
      </c>
      <c r="AS746" s="840" t="s">
        <v>2576</v>
      </c>
      <c r="AT746" s="840" t="s">
        <v>1743</v>
      </c>
      <c r="AU746" s="860" t="s">
        <v>1311</v>
      </c>
      <c r="AV746" s="839" t="s">
        <v>2577</v>
      </c>
      <c r="AW746" s="861">
        <v>45642</v>
      </c>
      <c r="AX746" s="862" t="s">
        <v>2578</v>
      </c>
      <c r="AY746" s="843" t="s">
        <v>2579</v>
      </c>
      <c r="AZ746" s="842">
        <v>94051999</v>
      </c>
      <c r="BA746" s="842" t="s">
        <v>120</v>
      </c>
      <c r="BB746" s="863" t="s">
        <v>121</v>
      </c>
      <c r="BC746" s="864">
        <v>45645</v>
      </c>
      <c r="BD746" s="860" t="s">
        <v>2580</v>
      </c>
      <c r="BE746" s="865" cm="1">
        <f t="array" ref="BE746">IF(BD746="","",AC746/SUMPRODUCT(--(BD746=$BD$4:$BD$12824),$AC$4:$AC$12824))</f>
        <v>9.2793336574369945E-2</v>
      </c>
      <c r="BF746" s="458">
        <v>13477333</v>
      </c>
      <c r="BG746" s="458"/>
      <c r="BH746" s="458"/>
      <c r="BI746" s="458">
        <f>8198453+1757913</f>
        <v>9956366</v>
      </c>
      <c r="BJ746" s="458">
        <v>579905</v>
      </c>
      <c r="BK746" s="458"/>
      <c r="BL746" s="458"/>
      <c r="BM746" s="458"/>
      <c r="BN746" s="458">
        <v>600000</v>
      </c>
      <c r="BO746" s="866">
        <f>VLOOKUP(BD746,$BD$4:$BN$12824,3,0)*BE746</f>
        <v>1250606.6971938631</v>
      </c>
      <c r="BP746" s="866"/>
      <c r="BQ746" s="866"/>
      <c r="BR746" s="866">
        <f>VLOOKUP(BD746,$BD$4:$BN$12824,6,0)*BE746</f>
        <v>923884.4212956134</v>
      </c>
      <c r="BS746" s="866">
        <f>VLOOKUP(BD746,$BD$4:$BN$12824,7,0)*BE746</f>
        <v>53811.319846160004</v>
      </c>
      <c r="BT746" s="866"/>
      <c r="BU746" s="866">
        <f>VLOOKUP(BD746,$BD$4:$BN$12824,9,0)*BE746</f>
        <v>0</v>
      </c>
      <c r="BV746" s="867"/>
      <c r="BW746" s="867">
        <f>VLOOKUP(BD746,$BD$4:$BN$12824,11,0)*BE746</f>
        <v>55676.001944621967</v>
      </c>
      <c r="BX746" s="1146">
        <f t="shared" si="143"/>
        <v>2283978.4402802582</v>
      </c>
      <c r="BY746" s="867">
        <f t="shared" si="146"/>
        <v>55802856.899480253</v>
      </c>
      <c r="BZ746" s="867">
        <f t="shared" si="144"/>
        <v>55802856.899480253</v>
      </c>
      <c r="CA746" s="867">
        <f>_xlfn.MAXIFS($BY$4:$BY$12824,$S$4:$S$12824,$S746)</f>
        <v>55802856.899480253</v>
      </c>
      <c r="CB746" s="1032"/>
      <c r="CF746" s="946">
        <f t="shared" si="145"/>
        <v>53518878.459199995</v>
      </c>
    </row>
    <row r="747" spans="1:84">
      <c r="A747" s="1032"/>
      <c r="B747" s="839" t="s">
        <v>98</v>
      </c>
      <c r="C747" s="839" t="s">
        <v>1615</v>
      </c>
      <c r="D747" s="839" t="s">
        <v>2567</v>
      </c>
      <c r="E747" s="839" t="s">
        <v>2568</v>
      </c>
      <c r="F747" s="841">
        <v>45633</v>
      </c>
      <c r="G747" s="840" t="s">
        <v>1618</v>
      </c>
      <c r="H747" s="842" t="s">
        <v>134</v>
      </c>
      <c r="I747" s="842"/>
      <c r="J747" s="841"/>
      <c r="K747" s="841"/>
      <c r="L747" s="843" t="s">
        <v>106</v>
      </c>
      <c r="M747" s="844" t="s">
        <v>107</v>
      </c>
      <c r="N747" s="841" t="s">
        <v>2569</v>
      </c>
      <c r="O747" s="841" t="s">
        <v>108</v>
      </c>
      <c r="P747" s="841" t="s">
        <v>1136</v>
      </c>
      <c r="Q747" s="843"/>
      <c r="R747" s="845" t="s">
        <v>2581</v>
      </c>
      <c r="S747" s="1127" t="s">
        <v>2582</v>
      </c>
      <c r="T747" s="843" t="s">
        <v>2583</v>
      </c>
      <c r="U747" s="842">
        <v>2</v>
      </c>
      <c r="V747" s="842" t="s">
        <v>3</v>
      </c>
      <c r="W747" s="846"/>
      <c r="X747" s="847">
        <f t="shared" si="138"/>
        <v>0</v>
      </c>
      <c r="Y747" s="848"/>
      <c r="Z747" s="849">
        <v>835.16</v>
      </c>
      <c r="AA747" s="849"/>
      <c r="AB747" s="849">
        <f t="shared" si="139"/>
        <v>1670.32</v>
      </c>
      <c r="AC747" s="850">
        <f t="shared" si="140"/>
        <v>1670.32</v>
      </c>
      <c r="AD747" s="851"/>
      <c r="AE747" s="852">
        <v>26253.919999999998</v>
      </c>
      <c r="AF747" s="853">
        <v>0</v>
      </c>
      <c r="AG747" s="854">
        <f t="shared" si="141"/>
        <v>0</v>
      </c>
      <c r="AH747" s="853"/>
      <c r="AI747" s="855">
        <f t="shared" si="142"/>
        <v>0</v>
      </c>
      <c r="AJ747" s="845" t="s">
        <v>2573</v>
      </c>
      <c r="AK747" s="857">
        <v>45392</v>
      </c>
      <c r="AL747" s="840" t="s">
        <v>2574</v>
      </c>
      <c r="AM747" s="840"/>
      <c r="AN747" s="858"/>
      <c r="AO747" s="844" t="s">
        <v>1741</v>
      </c>
      <c r="AP747" s="859">
        <v>45423</v>
      </c>
      <c r="AQ747" s="859">
        <v>45423</v>
      </c>
      <c r="AR747" s="859" t="s">
        <v>2575</v>
      </c>
      <c r="AS747" s="840" t="s">
        <v>2576</v>
      </c>
      <c r="AT747" s="840" t="s">
        <v>1743</v>
      </c>
      <c r="AU747" s="860" t="s">
        <v>1311</v>
      </c>
      <c r="AV747" s="839" t="s">
        <v>2577</v>
      </c>
      <c r="AW747" s="861">
        <v>45642</v>
      </c>
      <c r="AX747" s="862" t="s">
        <v>2578</v>
      </c>
      <c r="AY747" s="843" t="s">
        <v>2584</v>
      </c>
      <c r="AZ747" s="842">
        <v>94052990</v>
      </c>
      <c r="BA747" s="842" t="s">
        <v>120</v>
      </c>
      <c r="BB747" s="863" t="s">
        <v>121</v>
      </c>
      <c r="BC747" s="864">
        <v>45645</v>
      </c>
      <c r="BD747" s="860" t="s">
        <v>2580</v>
      </c>
      <c r="BE747" s="865" cm="1">
        <f t="array" ref="BE747">IF(BD747="","",AC747/SUMPRODUCT(--(BD747=$BD$4:$BD$12824),$AC$4:$AC$12824))</f>
        <v>7.6033262503937479E-2</v>
      </c>
      <c r="BF747" s="458"/>
      <c r="BG747" s="458"/>
      <c r="BH747" s="458"/>
      <c r="BI747" s="458"/>
      <c r="BJ747" s="458"/>
      <c r="BK747" s="458"/>
      <c r="BL747" s="458"/>
      <c r="BM747" s="458"/>
      <c r="BN747" s="458"/>
      <c r="BO747" s="866">
        <f>VLOOKUP(BD747,$BD$4:$BN$12824,3,0)*BE747</f>
        <v>1024725.5978419792</v>
      </c>
      <c r="BP747" s="866"/>
      <c r="BQ747" s="866"/>
      <c r="BR747" s="866">
        <f>VLOOKUP(BD747,$BD$4:$BN$12824,6,0)*BE747</f>
        <v>757014.98966327799</v>
      </c>
      <c r="BS747" s="866">
        <f>VLOOKUP(BD747,$BD$4:$BN$12824,7,0)*BE747</f>
        <v>44092.069092345861</v>
      </c>
      <c r="BT747" s="866"/>
      <c r="BU747" s="866">
        <f>VLOOKUP(BD747,$BD$4:$BN$12824,9,0)*BE747</f>
        <v>0</v>
      </c>
      <c r="BV747" s="867"/>
      <c r="BW747" s="867">
        <f>VLOOKUP(BD747,$BD$4:$BN$12824,11,0)*BE747</f>
        <v>45619.957502362486</v>
      </c>
      <c r="BX747" s="1146">
        <f t="shared" ref="BX747:BX773" si="148">SUM(BO747:BW747)</f>
        <v>1871452.6140999657</v>
      </c>
      <c r="BY747" s="867">
        <f t="shared" si="146"/>
        <v>22861950.134249981</v>
      </c>
      <c r="BZ747" s="867">
        <f t="shared" si="144"/>
        <v>45723900.268499963</v>
      </c>
      <c r="CA747" s="867">
        <f>_xlfn.MAXIFS($BY$4:$BY$12824,$S$4:$S$12824,$S747)</f>
        <v>22861950.134249981</v>
      </c>
      <c r="CB747" s="1032"/>
      <c r="CF747" s="946">
        <f t="shared" si="145"/>
        <v>43852447.654399998</v>
      </c>
    </row>
    <row r="748" spans="1:84">
      <c r="A748" s="1032"/>
      <c r="B748" s="839" t="s">
        <v>98</v>
      </c>
      <c r="C748" s="839" t="s">
        <v>1615</v>
      </c>
      <c r="D748" s="839" t="s">
        <v>2567</v>
      </c>
      <c r="E748" s="839" t="s">
        <v>2568</v>
      </c>
      <c r="F748" s="841">
        <v>45633</v>
      </c>
      <c r="G748" s="840" t="s">
        <v>1618</v>
      </c>
      <c r="H748" s="842" t="s">
        <v>134</v>
      </c>
      <c r="I748" s="842"/>
      <c r="J748" s="841"/>
      <c r="K748" s="841"/>
      <c r="L748" s="843" t="s">
        <v>106</v>
      </c>
      <c r="M748" s="844" t="s">
        <v>107</v>
      </c>
      <c r="N748" s="841" t="s">
        <v>2569</v>
      </c>
      <c r="O748" s="841" t="s">
        <v>108</v>
      </c>
      <c r="P748" s="841" t="s">
        <v>1136</v>
      </c>
      <c r="Q748" s="843"/>
      <c r="R748" s="845" t="s">
        <v>2585</v>
      </c>
      <c r="S748" s="1127" t="s">
        <v>2586</v>
      </c>
      <c r="T748" s="843" t="s">
        <v>2587</v>
      </c>
      <c r="U748" s="842">
        <v>3</v>
      </c>
      <c r="V748" s="842" t="s">
        <v>3</v>
      </c>
      <c r="W748" s="846"/>
      <c r="X748" s="847">
        <f t="shared" si="138"/>
        <v>0</v>
      </c>
      <c r="Y748" s="848"/>
      <c r="Z748" s="849">
        <v>685.71</v>
      </c>
      <c r="AA748" s="849"/>
      <c r="AB748" s="849">
        <f t="shared" si="139"/>
        <v>2057.13</v>
      </c>
      <c r="AC748" s="850">
        <f t="shared" si="140"/>
        <v>2057.13</v>
      </c>
      <c r="AD748" s="851"/>
      <c r="AE748" s="852">
        <v>26253.919999999998</v>
      </c>
      <c r="AF748" s="853">
        <v>0</v>
      </c>
      <c r="AG748" s="854">
        <f t="shared" si="141"/>
        <v>0</v>
      </c>
      <c r="AH748" s="853"/>
      <c r="AI748" s="855">
        <f t="shared" si="142"/>
        <v>0</v>
      </c>
      <c r="AJ748" s="845" t="s">
        <v>2573</v>
      </c>
      <c r="AK748" s="857">
        <v>45392</v>
      </c>
      <c r="AL748" s="840" t="s">
        <v>2574</v>
      </c>
      <c r="AM748" s="840"/>
      <c r="AN748" s="858"/>
      <c r="AO748" s="844" t="s">
        <v>1741</v>
      </c>
      <c r="AP748" s="859">
        <v>45423</v>
      </c>
      <c r="AQ748" s="859">
        <v>45423</v>
      </c>
      <c r="AR748" s="859" t="s">
        <v>2575</v>
      </c>
      <c r="AS748" s="840" t="s">
        <v>2576</v>
      </c>
      <c r="AT748" s="840" t="s">
        <v>1743</v>
      </c>
      <c r="AU748" s="860" t="s">
        <v>1311</v>
      </c>
      <c r="AV748" s="839" t="s">
        <v>2577</v>
      </c>
      <c r="AW748" s="861">
        <v>45642</v>
      </c>
      <c r="AX748" s="862" t="s">
        <v>2578</v>
      </c>
      <c r="AY748" s="843" t="s">
        <v>2588</v>
      </c>
      <c r="AZ748" s="842">
        <v>94052990</v>
      </c>
      <c r="BA748" s="842" t="s">
        <v>120</v>
      </c>
      <c r="BB748" s="863" t="s">
        <v>121</v>
      </c>
      <c r="BC748" s="864">
        <v>45645</v>
      </c>
      <c r="BD748" s="860" t="s">
        <v>2580</v>
      </c>
      <c r="BE748" s="865" cm="1">
        <f t="array" ref="BE748">IF(BD748="","",AC748/SUMPRODUCT(--(BD748=$BD$4:$BD$12824),$AC$4:$AC$12824))</f>
        <v>9.3640922275207705E-2</v>
      </c>
      <c r="BF748" s="458"/>
      <c r="BG748" s="458"/>
      <c r="BH748" s="458"/>
      <c r="BI748" s="458"/>
      <c r="BJ748" s="458"/>
      <c r="BK748" s="458"/>
      <c r="BL748" s="458"/>
      <c r="BM748" s="458"/>
      <c r="BN748" s="458"/>
      <c r="BO748" s="866">
        <f>VLOOKUP(BD748,$BD$4:$BN$12824,3,0)*BE748</f>
        <v>1262029.8919300919</v>
      </c>
      <c r="BP748" s="866"/>
      <c r="BQ748" s="866"/>
      <c r="BR748" s="866">
        <f>VLOOKUP(BD748,$BD$4:$BN$12824,6,0)*BE748</f>
        <v>932323.2947495206</v>
      </c>
      <c r="BS748" s="866">
        <f>VLOOKUP(BD748,$BD$4:$BN$12824,7,0)*BE748</f>
        <v>54302.839032004325</v>
      </c>
      <c r="BT748" s="866"/>
      <c r="BU748" s="866">
        <f>VLOOKUP(BD748,$BD$4:$BN$12824,9,0)*BE748</f>
        <v>0</v>
      </c>
      <c r="BV748" s="867"/>
      <c r="BW748" s="867">
        <f>VLOOKUP(BD748,$BD$4:$BN$12824,11,0)*BE748</f>
        <v>56184.553365124622</v>
      </c>
      <c r="BX748" s="1146">
        <f t="shared" si="148"/>
        <v>2304840.5790767409</v>
      </c>
      <c r="BY748" s="867">
        <f t="shared" si="146"/>
        <v>18770855.676225577</v>
      </c>
      <c r="BZ748" s="867">
        <f t="shared" si="144"/>
        <v>56312567.028676733</v>
      </c>
      <c r="CA748" s="867">
        <f>_xlfn.MAXIFS($BY$4:$BY$12824,$S$4:$S$12824,$S748)</f>
        <v>18770855.676225577</v>
      </c>
      <c r="CB748" s="1032"/>
      <c r="CF748" s="946">
        <f t="shared" si="145"/>
        <v>54007726.449599996</v>
      </c>
    </row>
    <row r="749" spans="1:84">
      <c r="A749" s="1032"/>
      <c r="B749" s="839" t="s">
        <v>98</v>
      </c>
      <c r="C749" s="839" t="s">
        <v>1615</v>
      </c>
      <c r="D749" s="839" t="s">
        <v>2567</v>
      </c>
      <c r="E749" s="839" t="s">
        <v>2568</v>
      </c>
      <c r="F749" s="841">
        <v>45633</v>
      </c>
      <c r="G749" s="840" t="s">
        <v>1618</v>
      </c>
      <c r="H749" s="842" t="s">
        <v>134</v>
      </c>
      <c r="I749" s="842"/>
      <c r="J749" s="841"/>
      <c r="K749" s="841"/>
      <c r="L749" s="843" t="s">
        <v>106</v>
      </c>
      <c r="M749" s="844" t="s">
        <v>107</v>
      </c>
      <c r="N749" s="841" t="s">
        <v>2569</v>
      </c>
      <c r="O749" s="841" t="s">
        <v>108</v>
      </c>
      <c r="P749" s="841" t="s">
        <v>1136</v>
      </c>
      <c r="Q749" s="843"/>
      <c r="R749" s="845" t="s">
        <v>2589</v>
      </c>
      <c r="S749" s="1127" t="s">
        <v>2590</v>
      </c>
      <c r="T749" s="843" t="s">
        <v>2591</v>
      </c>
      <c r="U749" s="842">
        <v>3</v>
      </c>
      <c r="V749" s="842" t="s">
        <v>3</v>
      </c>
      <c r="W749" s="846"/>
      <c r="X749" s="847">
        <f t="shared" si="138"/>
        <v>0</v>
      </c>
      <c r="Y749" s="848"/>
      <c r="Z749" s="849">
        <v>720.87</v>
      </c>
      <c r="AA749" s="849"/>
      <c r="AB749" s="849">
        <f t="shared" si="139"/>
        <v>2162.61</v>
      </c>
      <c r="AC749" s="850">
        <f t="shared" si="140"/>
        <v>2162.61</v>
      </c>
      <c r="AD749" s="851"/>
      <c r="AE749" s="852">
        <v>26253.919999999998</v>
      </c>
      <c r="AF749" s="853">
        <v>0</v>
      </c>
      <c r="AG749" s="854">
        <f t="shared" si="141"/>
        <v>0</v>
      </c>
      <c r="AH749" s="853"/>
      <c r="AI749" s="855">
        <f t="shared" si="142"/>
        <v>0</v>
      </c>
      <c r="AJ749" s="845" t="s">
        <v>2573</v>
      </c>
      <c r="AK749" s="857">
        <v>45392</v>
      </c>
      <c r="AL749" s="840" t="s">
        <v>2574</v>
      </c>
      <c r="AM749" s="840"/>
      <c r="AN749" s="858"/>
      <c r="AO749" s="844" t="s">
        <v>1741</v>
      </c>
      <c r="AP749" s="859">
        <v>45423</v>
      </c>
      <c r="AQ749" s="859">
        <v>45423</v>
      </c>
      <c r="AR749" s="859" t="s">
        <v>2575</v>
      </c>
      <c r="AS749" s="840" t="s">
        <v>2576</v>
      </c>
      <c r="AT749" s="840" t="s">
        <v>1743</v>
      </c>
      <c r="AU749" s="860" t="s">
        <v>1311</v>
      </c>
      <c r="AV749" s="839" t="s">
        <v>2577</v>
      </c>
      <c r="AW749" s="861">
        <v>45642</v>
      </c>
      <c r="AX749" s="862" t="s">
        <v>2578</v>
      </c>
      <c r="AY749" s="843" t="s">
        <v>2592</v>
      </c>
      <c r="AZ749" s="842">
        <v>94052990</v>
      </c>
      <c r="BA749" s="842" t="s">
        <v>120</v>
      </c>
      <c r="BB749" s="863" t="s">
        <v>121</v>
      </c>
      <c r="BC749" s="864">
        <v>45645</v>
      </c>
      <c r="BD749" s="860" t="s">
        <v>2580</v>
      </c>
      <c r="BE749" s="865" cm="1">
        <f t="array" ref="BE749">IF(BD749="","",AC749/SUMPRODUCT(--(BD749=$BD$4:$BD$12824),$AC$4:$AC$12824))</f>
        <v>9.8442390574045843E-2</v>
      </c>
      <c r="BF749" s="458"/>
      <c r="BG749" s="458"/>
      <c r="BH749" s="458"/>
      <c r="BI749" s="458"/>
      <c r="BJ749" s="458"/>
      <c r="BK749" s="458"/>
      <c r="BL749" s="458"/>
      <c r="BM749" s="458"/>
      <c r="BN749" s="458"/>
      <c r="BO749" s="866">
        <f>VLOOKUP(BD749,$BD$4:$BN$12824,3,0)*BE749</f>
        <v>1326740.879082477</v>
      </c>
      <c r="BP749" s="866"/>
      <c r="BQ749" s="866"/>
      <c r="BR749" s="866">
        <f>VLOOKUP(BD749,$BD$4:$BN$12824,6,0)*BE749</f>
        <v>980128.47047015047</v>
      </c>
      <c r="BS749" s="866">
        <f>VLOOKUP(BD749,$BD$4:$BN$12824,7,0)*BE749</f>
        <v>57087.234505842054</v>
      </c>
      <c r="BT749" s="866"/>
      <c r="BU749" s="866">
        <f>VLOOKUP(BD749,$BD$4:$BN$12824,9,0)*BE749</f>
        <v>0</v>
      </c>
      <c r="BV749" s="867"/>
      <c r="BW749" s="867">
        <f>VLOOKUP(BD749,$BD$4:$BN$12824,11,0)*BE749</f>
        <v>59065.434344427507</v>
      </c>
      <c r="BX749" s="1146">
        <f t="shared" si="148"/>
        <v>2423022.0184028973</v>
      </c>
      <c r="BY749" s="867">
        <f t="shared" si="146"/>
        <v>19733337.316534299</v>
      </c>
      <c r="BZ749" s="867">
        <f t="shared" si="144"/>
        <v>59200011.949602902</v>
      </c>
      <c r="CA749" s="867">
        <f>_xlfn.MAXIFS($BY$4:$BY$12824,$S$4:$S$12824,$S749)</f>
        <v>19733337.316534299</v>
      </c>
      <c r="CB749" s="1032"/>
      <c r="CF749" s="946">
        <f t="shared" si="145"/>
        <v>56776989.931199998</v>
      </c>
    </row>
    <row r="750" spans="1:84">
      <c r="A750" s="1032"/>
      <c r="B750" s="839" t="s">
        <v>98</v>
      </c>
      <c r="C750" s="839" t="s">
        <v>1615</v>
      </c>
      <c r="D750" s="839" t="s">
        <v>2567</v>
      </c>
      <c r="E750" s="839" t="s">
        <v>2568</v>
      </c>
      <c r="F750" s="841">
        <v>45633</v>
      </c>
      <c r="G750" s="840" t="s">
        <v>1618</v>
      </c>
      <c r="H750" s="842" t="s">
        <v>134</v>
      </c>
      <c r="I750" s="842"/>
      <c r="J750" s="841"/>
      <c r="K750" s="841"/>
      <c r="L750" s="843" t="s">
        <v>106</v>
      </c>
      <c r="M750" s="844" t="s">
        <v>107</v>
      </c>
      <c r="N750" s="841" t="s">
        <v>2569</v>
      </c>
      <c r="O750" s="841" t="s">
        <v>108</v>
      </c>
      <c r="P750" s="841" t="s">
        <v>1136</v>
      </c>
      <c r="Q750" s="843"/>
      <c r="R750" s="845" t="s">
        <v>2593</v>
      </c>
      <c r="S750" s="1127" t="s">
        <v>2594</v>
      </c>
      <c r="T750" s="843" t="s">
        <v>2595</v>
      </c>
      <c r="U750" s="842">
        <v>3</v>
      </c>
      <c r="V750" s="842" t="s">
        <v>3</v>
      </c>
      <c r="W750" s="846"/>
      <c r="X750" s="847">
        <f t="shared" si="138"/>
        <v>0</v>
      </c>
      <c r="Y750" s="848"/>
      <c r="Z750" s="849">
        <v>637.36</v>
      </c>
      <c r="AA750" s="849"/>
      <c r="AB750" s="849">
        <f t="shared" si="139"/>
        <v>1912.08</v>
      </c>
      <c r="AC750" s="850">
        <f t="shared" si="140"/>
        <v>1912.08</v>
      </c>
      <c r="AD750" s="851"/>
      <c r="AE750" s="852">
        <v>26253.919999999998</v>
      </c>
      <c r="AF750" s="853">
        <v>0</v>
      </c>
      <c r="AG750" s="854">
        <f t="shared" si="141"/>
        <v>0</v>
      </c>
      <c r="AH750" s="853"/>
      <c r="AI750" s="855">
        <f t="shared" si="142"/>
        <v>0</v>
      </c>
      <c r="AJ750" s="845" t="s">
        <v>2573</v>
      </c>
      <c r="AK750" s="857">
        <v>45392</v>
      </c>
      <c r="AL750" s="840" t="s">
        <v>2574</v>
      </c>
      <c r="AM750" s="840"/>
      <c r="AN750" s="858"/>
      <c r="AO750" s="844" t="s">
        <v>1741</v>
      </c>
      <c r="AP750" s="859">
        <v>45423</v>
      </c>
      <c r="AQ750" s="859">
        <v>45423</v>
      </c>
      <c r="AR750" s="859" t="s">
        <v>2575</v>
      </c>
      <c r="AS750" s="840" t="s">
        <v>2576</v>
      </c>
      <c r="AT750" s="840" t="s">
        <v>1743</v>
      </c>
      <c r="AU750" s="860" t="s">
        <v>1311</v>
      </c>
      <c r="AV750" s="839" t="s">
        <v>2577</v>
      </c>
      <c r="AW750" s="861">
        <v>45642</v>
      </c>
      <c r="AX750" s="862" t="s">
        <v>2578</v>
      </c>
      <c r="AY750" s="843" t="s">
        <v>2596</v>
      </c>
      <c r="AZ750" s="842">
        <v>94052990</v>
      </c>
      <c r="BA750" s="842" t="s">
        <v>120</v>
      </c>
      <c r="BB750" s="863" t="s">
        <v>121</v>
      </c>
      <c r="BC750" s="864">
        <v>45645</v>
      </c>
      <c r="BD750" s="860" t="s">
        <v>2580</v>
      </c>
      <c r="BE750" s="865" cm="1">
        <f t="array" ref="BE750">IF(BD750="","",AC750/SUMPRODUCT(--(BD750=$BD$4:$BD$12824),$AC$4:$AC$12824))</f>
        <v>8.7038220561646146E-2</v>
      </c>
      <c r="BF750" s="458"/>
      <c r="BG750" s="458"/>
      <c r="BH750" s="458"/>
      <c r="BI750" s="458"/>
      <c r="BJ750" s="458"/>
      <c r="BK750" s="458"/>
      <c r="BL750" s="458"/>
      <c r="BM750" s="458"/>
      <c r="BN750" s="458"/>
      <c r="BO750" s="866">
        <f>VLOOKUP(BD750,$BD$4:$BN$12824,3,0)*BE750</f>
        <v>1173043.0822367521</v>
      </c>
      <c r="BP750" s="866"/>
      <c r="BQ750" s="866"/>
      <c r="BR750" s="866">
        <f>VLOOKUP(BD750,$BD$4:$BN$12824,6,0)*BE750</f>
        <v>866584.37990047457</v>
      </c>
      <c r="BS750" s="866">
        <f>VLOOKUP(BD750,$BD$4:$BN$12824,7,0)*BE750</f>
        <v>50473.899294801406</v>
      </c>
      <c r="BT750" s="866"/>
      <c r="BU750" s="866">
        <f>VLOOKUP(BD750,$BD$4:$BN$12824,9,0)*BE750</f>
        <v>0</v>
      </c>
      <c r="BV750" s="867"/>
      <c r="BW750" s="867">
        <f>VLOOKUP(BD750,$BD$4:$BN$12824,11,0)*BE750</f>
        <v>52222.932336987687</v>
      </c>
      <c r="BX750" s="1146">
        <f t="shared" si="148"/>
        <v>2142324.2937690155</v>
      </c>
      <c r="BY750" s="867">
        <f t="shared" si="146"/>
        <v>17447306.549123004</v>
      </c>
      <c r="BZ750" s="867">
        <f t="shared" si="144"/>
        <v>52341919.647369012</v>
      </c>
      <c r="CA750" s="867">
        <f>_xlfn.MAXIFS($BY$4:$BY$12824,$S$4:$S$12824,$S750)</f>
        <v>17447306.549123004</v>
      </c>
      <c r="CB750" s="1032"/>
      <c r="CF750" s="946">
        <f t="shared" si="145"/>
        <v>50199595.353599995</v>
      </c>
    </row>
    <row r="751" spans="1:84">
      <c r="A751" s="1032"/>
      <c r="B751" s="839" t="s">
        <v>98</v>
      </c>
      <c r="C751" s="839" t="s">
        <v>1615</v>
      </c>
      <c r="D751" s="839" t="s">
        <v>2567</v>
      </c>
      <c r="E751" s="839" t="s">
        <v>2568</v>
      </c>
      <c r="F751" s="841">
        <v>45633</v>
      </c>
      <c r="G751" s="840" t="s">
        <v>1618</v>
      </c>
      <c r="H751" s="842" t="s">
        <v>134</v>
      </c>
      <c r="I751" s="842"/>
      <c r="J751" s="841"/>
      <c r="K751" s="841"/>
      <c r="L751" s="843" t="s">
        <v>106</v>
      </c>
      <c r="M751" s="844" t="s">
        <v>107</v>
      </c>
      <c r="N751" s="841" t="s">
        <v>2569</v>
      </c>
      <c r="O751" s="841" t="s">
        <v>108</v>
      </c>
      <c r="P751" s="841" t="s">
        <v>1136</v>
      </c>
      <c r="Q751" s="843"/>
      <c r="R751" s="845" t="s">
        <v>2597</v>
      </c>
      <c r="S751" s="1127" t="s">
        <v>2598</v>
      </c>
      <c r="T751" s="843" t="s">
        <v>2599</v>
      </c>
      <c r="U751" s="842">
        <v>3</v>
      </c>
      <c r="V751" s="842" t="s">
        <v>3</v>
      </c>
      <c r="W751" s="846"/>
      <c r="X751" s="847">
        <f t="shared" si="138"/>
        <v>0</v>
      </c>
      <c r="Y751" s="848"/>
      <c r="Z751" s="849">
        <v>553.84</v>
      </c>
      <c r="AA751" s="849"/>
      <c r="AB751" s="849">
        <f t="shared" si="139"/>
        <v>1661.52</v>
      </c>
      <c r="AC751" s="850">
        <f t="shared" si="140"/>
        <v>1661.52</v>
      </c>
      <c r="AD751" s="851"/>
      <c r="AE751" s="852">
        <v>26253.919999999998</v>
      </c>
      <c r="AF751" s="853">
        <v>0</v>
      </c>
      <c r="AG751" s="854">
        <f t="shared" si="141"/>
        <v>0</v>
      </c>
      <c r="AH751" s="853"/>
      <c r="AI751" s="855">
        <f t="shared" si="142"/>
        <v>0</v>
      </c>
      <c r="AJ751" s="845" t="s">
        <v>2573</v>
      </c>
      <c r="AK751" s="857">
        <v>45392</v>
      </c>
      <c r="AL751" s="840" t="s">
        <v>2574</v>
      </c>
      <c r="AM751" s="840"/>
      <c r="AN751" s="858"/>
      <c r="AO751" s="844" t="s">
        <v>1741</v>
      </c>
      <c r="AP751" s="859">
        <v>45423</v>
      </c>
      <c r="AQ751" s="859">
        <v>45423</v>
      </c>
      <c r="AR751" s="859" t="s">
        <v>2575</v>
      </c>
      <c r="AS751" s="840" t="s">
        <v>2576</v>
      </c>
      <c r="AT751" s="840" t="s">
        <v>1743</v>
      </c>
      <c r="AU751" s="860" t="s">
        <v>1311</v>
      </c>
      <c r="AV751" s="839" t="s">
        <v>2577</v>
      </c>
      <c r="AW751" s="861">
        <v>45642</v>
      </c>
      <c r="AX751" s="862" t="s">
        <v>2578</v>
      </c>
      <c r="AY751" s="843" t="s">
        <v>2600</v>
      </c>
      <c r="AZ751" s="842">
        <v>94052990</v>
      </c>
      <c r="BA751" s="842" t="s">
        <v>120</v>
      </c>
      <c r="BB751" s="863" t="s">
        <v>121</v>
      </c>
      <c r="BC751" s="864">
        <v>45645</v>
      </c>
      <c r="BD751" s="860" t="s">
        <v>2580</v>
      </c>
      <c r="BE751" s="865" cm="1">
        <f t="array" ref="BE751">IF(BD751="","",AC751/SUMPRODUCT(--(BD751=$BD$4:$BD$12824),$AC$4:$AC$12824))</f>
        <v>7.5632684943928233E-2</v>
      </c>
      <c r="BF751" s="458"/>
      <c r="BG751" s="458"/>
      <c r="BH751" s="458"/>
      <c r="BI751" s="458"/>
      <c r="BJ751" s="458"/>
      <c r="BK751" s="458"/>
      <c r="BL751" s="458"/>
      <c r="BM751" s="458"/>
      <c r="BN751" s="458"/>
      <c r="BO751" s="866">
        <f>VLOOKUP(BD751,$BD$4:$BN$12824,3,0)*BE751</f>
        <v>1019326.8806734071</v>
      </c>
      <c r="BP751" s="866"/>
      <c r="BQ751" s="866"/>
      <c r="BR751" s="866">
        <f>VLOOKUP(BD751,$BD$4:$BN$12824,6,0)*BE751</f>
        <v>753026.69286443898</v>
      </c>
      <c r="BS751" s="866">
        <f>VLOOKUP(BD751,$BD$4:$BN$12824,7,0)*BE751</f>
        <v>43859.772162408699</v>
      </c>
      <c r="BT751" s="866"/>
      <c r="BU751" s="866">
        <f>VLOOKUP(BD751,$BD$4:$BN$12824,9,0)*BE751</f>
        <v>0</v>
      </c>
      <c r="BV751" s="867"/>
      <c r="BW751" s="867">
        <f>VLOOKUP(BD751,$BD$4:$BN$12824,11,0)*BE751</f>
        <v>45379.610966356937</v>
      </c>
      <c r="BX751" s="1146">
        <f t="shared" si="148"/>
        <v>1861592.9566666118</v>
      </c>
      <c r="BY751" s="867">
        <f t="shared" si="146"/>
        <v>15161002.038355537</v>
      </c>
      <c r="BZ751" s="867">
        <f t="shared" si="144"/>
        <v>45483006.11506661</v>
      </c>
      <c r="CA751" s="867">
        <f>_xlfn.MAXIFS($BY$4:$BY$12824,$S$4:$S$12824,$S751)</f>
        <v>15161002.038355537</v>
      </c>
      <c r="CB751" s="1032"/>
      <c r="CF751" s="946">
        <f t="shared" si="145"/>
        <v>43621413.158399999</v>
      </c>
    </row>
    <row r="752" spans="1:84">
      <c r="A752" s="1032"/>
      <c r="B752" s="839" t="s">
        <v>98</v>
      </c>
      <c r="C752" s="839" t="s">
        <v>1615</v>
      </c>
      <c r="D752" s="839" t="s">
        <v>2567</v>
      </c>
      <c r="E752" s="839" t="s">
        <v>2568</v>
      </c>
      <c r="F752" s="841">
        <v>45633</v>
      </c>
      <c r="G752" s="840" t="s">
        <v>1618</v>
      </c>
      <c r="H752" s="842" t="s">
        <v>134</v>
      </c>
      <c r="I752" s="842"/>
      <c r="J752" s="841"/>
      <c r="K752" s="841"/>
      <c r="L752" s="843" t="s">
        <v>106</v>
      </c>
      <c r="M752" s="844" t="s">
        <v>107</v>
      </c>
      <c r="N752" s="841" t="s">
        <v>2569</v>
      </c>
      <c r="O752" s="841" t="s">
        <v>108</v>
      </c>
      <c r="P752" s="841" t="s">
        <v>1136</v>
      </c>
      <c r="Q752" s="843"/>
      <c r="R752" s="845" t="s">
        <v>2601</v>
      </c>
      <c r="S752" s="1127" t="s">
        <v>2602</v>
      </c>
      <c r="T752" s="843" t="s">
        <v>2603</v>
      </c>
      <c r="U752" s="842">
        <v>3</v>
      </c>
      <c r="V752" s="842" t="s">
        <v>3</v>
      </c>
      <c r="W752" s="846"/>
      <c r="X752" s="847">
        <f t="shared" si="138"/>
        <v>0</v>
      </c>
      <c r="Y752" s="848"/>
      <c r="Z752" s="849">
        <v>575.82000000000005</v>
      </c>
      <c r="AA752" s="849"/>
      <c r="AB752" s="849">
        <f t="shared" si="139"/>
        <v>1727.46</v>
      </c>
      <c r="AC752" s="850">
        <f t="shared" si="140"/>
        <v>1727.46</v>
      </c>
      <c r="AD752" s="851"/>
      <c r="AE752" s="852">
        <v>26253.919999999998</v>
      </c>
      <c r="AF752" s="853">
        <v>0</v>
      </c>
      <c r="AG752" s="854">
        <f t="shared" si="141"/>
        <v>0</v>
      </c>
      <c r="AH752" s="853"/>
      <c r="AI752" s="855">
        <f t="shared" si="142"/>
        <v>0</v>
      </c>
      <c r="AJ752" s="845" t="s">
        <v>2573</v>
      </c>
      <c r="AK752" s="857">
        <v>45392</v>
      </c>
      <c r="AL752" s="840" t="s">
        <v>2574</v>
      </c>
      <c r="AM752" s="840"/>
      <c r="AN752" s="858"/>
      <c r="AO752" s="844" t="s">
        <v>1741</v>
      </c>
      <c r="AP752" s="859">
        <v>45423</v>
      </c>
      <c r="AQ752" s="859">
        <v>45423</v>
      </c>
      <c r="AR752" s="859" t="s">
        <v>2575</v>
      </c>
      <c r="AS752" s="840" t="s">
        <v>2576</v>
      </c>
      <c r="AT752" s="840" t="s">
        <v>1743</v>
      </c>
      <c r="AU752" s="860" t="s">
        <v>1311</v>
      </c>
      <c r="AV752" s="839" t="s">
        <v>2577</v>
      </c>
      <c r="AW752" s="861">
        <v>45642</v>
      </c>
      <c r="AX752" s="862" t="s">
        <v>2578</v>
      </c>
      <c r="AY752" s="843" t="s">
        <v>2604</v>
      </c>
      <c r="AZ752" s="842">
        <v>94052990</v>
      </c>
      <c r="BA752" s="842" t="s">
        <v>120</v>
      </c>
      <c r="BB752" s="863" t="s">
        <v>121</v>
      </c>
      <c r="BC752" s="864">
        <v>45645</v>
      </c>
      <c r="BD752" s="860" t="s">
        <v>2580</v>
      </c>
      <c r="BE752" s="865" cm="1">
        <f t="array" ref="BE752">IF(BD752="","",AC752/SUMPRODUCT(--(BD752=$BD$4:$BD$12824),$AC$4:$AC$12824))</f>
        <v>7.8634285433361178E-2</v>
      </c>
      <c r="BF752" s="458"/>
      <c r="BG752" s="458"/>
      <c r="BH752" s="458"/>
      <c r="BI752" s="458"/>
      <c r="BJ752" s="458"/>
      <c r="BK752" s="458"/>
      <c r="BL752" s="458"/>
      <c r="BM752" s="458"/>
      <c r="BN752" s="458"/>
      <c r="BO752" s="866">
        <f>VLOOKUP(BD752,$BD$4:$BN$12824,3,0)*BE752</f>
        <v>1059780.4500024579</v>
      </c>
      <c r="BP752" s="866"/>
      <c r="BQ752" s="866"/>
      <c r="BR752" s="866">
        <f>VLOOKUP(BD752,$BD$4:$BN$12824,6,0)*BE752</f>
        <v>782911.72592301248</v>
      </c>
      <c r="BS752" s="866">
        <f>VLOOKUP(BD752,$BD$4:$BN$12824,7,0)*BE752</f>
        <v>45600.415294233317</v>
      </c>
      <c r="BT752" s="866"/>
      <c r="BU752" s="866">
        <f>VLOOKUP(BD752,$BD$4:$BN$12824,9,0)*BE752</f>
        <v>0</v>
      </c>
      <c r="BV752" s="867"/>
      <c r="BW752" s="867">
        <f>VLOOKUP(BD752,$BD$4:$BN$12824,11,0)*BE752</f>
        <v>47180.57126001671</v>
      </c>
      <c r="BX752" s="1146">
        <f t="shared" si="148"/>
        <v>1935473.1624797203</v>
      </c>
      <c r="BY752" s="867">
        <f t="shared" si="146"/>
        <v>15762689.935226573</v>
      </c>
      <c r="BZ752" s="867">
        <f t="shared" si="144"/>
        <v>47288069.805679716</v>
      </c>
      <c r="CA752" s="867">
        <f>_xlfn.MAXIFS($BY$4:$BY$12824,$S$4:$S$12824,$S752)</f>
        <v>15762689.935226573</v>
      </c>
      <c r="CB752" s="1032"/>
      <c r="CF752" s="946">
        <f t="shared" si="145"/>
        <v>45352596.643199995</v>
      </c>
    </row>
    <row r="753" spans="1:84">
      <c r="A753" s="1032"/>
      <c r="B753" s="839" t="s">
        <v>98</v>
      </c>
      <c r="C753" s="839" t="s">
        <v>1615</v>
      </c>
      <c r="D753" s="839" t="s">
        <v>2567</v>
      </c>
      <c r="E753" s="839" t="s">
        <v>2568</v>
      </c>
      <c r="F753" s="841">
        <v>45633</v>
      </c>
      <c r="G753" s="840" t="s">
        <v>1618</v>
      </c>
      <c r="H753" s="842" t="s">
        <v>134</v>
      </c>
      <c r="I753" s="842"/>
      <c r="J753" s="841"/>
      <c r="K753" s="841"/>
      <c r="L753" s="843" t="s">
        <v>106</v>
      </c>
      <c r="M753" s="844" t="s">
        <v>107</v>
      </c>
      <c r="N753" s="841" t="s">
        <v>2569</v>
      </c>
      <c r="O753" s="841" t="s">
        <v>108</v>
      </c>
      <c r="P753" s="841" t="s">
        <v>1136</v>
      </c>
      <c r="Q753" s="843"/>
      <c r="R753" s="845" t="s">
        <v>2605</v>
      </c>
      <c r="S753" s="1127" t="s">
        <v>2606</v>
      </c>
      <c r="T753" s="843" t="s">
        <v>2607</v>
      </c>
      <c r="U753" s="842">
        <v>2</v>
      </c>
      <c r="V753" s="842" t="s">
        <v>3</v>
      </c>
      <c r="W753" s="846"/>
      <c r="X753" s="847">
        <f t="shared" si="138"/>
        <v>0</v>
      </c>
      <c r="Y753" s="848"/>
      <c r="Z753" s="849">
        <v>391.21</v>
      </c>
      <c r="AA753" s="849"/>
      <c r="AB753" s="849">
        <f t="shared" si="139"/>
        <v>782.42</v>
      </c>
      <c r="AC753" s="850">
        <f t="shared" si="140"/>
        <v>782.42</v>
      </c>
      <c r="AD753" s="851"/>
      <c r="AE753" s="852">
        <v>26253.919999999998</v>
      </c>
      <c r="AF753" s="853">
        <v>0</v>
      </c>
      <c r="AG753" s="854">
        <f t="shared" si="141"/>
        <v>0</v>
      </c>
      <c r="AH753" s="853"/>
      <c r="AI753" s="855">
        <f t="shared" si="142"/>
        <v>0</v>
      </c>
      <c r="AJ753" s="845" t="s">
        <v>2573</v>
      </c>
      <c r="AK753" s="857">
        <v>45392</v>
      </c>
      <c r="AL753" s="840" t="s">
        <v>2574</v>
      </c>
      <c r="AM753" s="840"/>
      <c r="AN753" s="858"/>
      <c r="AO753" s="844" t="s">
        <v>1741</v>
      </c>
      <c r="AP753" s="859">
        <v>45423</v>
      </c>
      <c r="AQ753" s="859">
        <v>45423</v>
      </c>
      <c r="AR753" s="859" t="s">
        <v>2575</v>
      </c>
      <c r="AS753" s="840" t="s">
        <v>2576</v>
      </c>
      <c r="AT753" s="840" t="s">
        <v>1743</v>
      </c>
      <c r="AU753" s="860" t="s">
        <v>1311</v>
      </c>
      <c r="AV753" s="839" t="s">
        <v>2577</v>
      </c>
      <c r="AW753" s="861">
        <v>45642</v>
      </c>
      <c r="AX753" s="862" t="s">
        <v>2578</v>
      </c>
      <c r="AY753" s="843" t="s">
        <v>2608</v>
      </c>
      <c r="AZ753" s="842">
        <v>94052990</v>
      </c>
      <c r="BA753" s="842" t="s">
        <v>120</v>
      </c>
      <c r="BB753" s="863" t="s">
        <v>121</v>
      </c>
      <c r="BC753" s="864">
        <v>45645</v>
      </c>
      <c r="BD753" s="860" t="s">
        <v>2580</v>
      </c>
      <c r="BE753" s="865" cm="1">
        <f t="array" ref="BE753">IF(BD753="","",AC753/SUMPRODUCT(--(BD753=$BD$4:$BD$12824),$AC$4:$AC$12824))</f>
        <v>3.5615897102549671E-2</v>
      </c>
      <c r="BF753" s="458"/>
      <c r="BG753" s="458"/>
      <c r="BH753" s="458"/>
      <c r="BI753" s="458"/>
      <c r="BJ753" s="458"/>
      <c r="BK753" s="458"/>
      <c r="BL753" s="458"/>
      <c r="BM753" s="458"/>
      <c r="BN753" s="458"/>
      <c r="BO753" s="866">
        <f>VLOOKUP(BD753,$BD$4:$BN$12824,3,0)*BE753</f>
        <v>480007.30534479709</v>
      </c>
      <c r="BP753" s="866"/>
      <c r="BQ753" s="866"/>
      <c r="BR753" s="866">
        <f>VLOOKUP(BD753,$BD$4:$BN$12824,6,0)*BE753</f>
        <v>354604.90697132406</v>
      </c>
      <c r="BS753" s="866">
        <f>VLOOKUP(BD753,$BD$4:$BN$12824,7,0)*BE753</f>
        <v>20653.836809254066</v>
      </c>
      <c r="BT753" s="866"/>
      <c r="BU753" s="866">
        <f>VLOOKUP(BD753,$BD$4:$BN$12824,9,0)*BE753</f>
        <v>0</v>
      </c>
      <c r="BV753" s="867"/>
      <c r="BW753" s="867">
        <f>VLOOKUP(BD753,$BD$4:$BN$12824,11,0)*BE753</f>
        <v>21369.538261529804</v>
      </c>
      <c r="BX753" s="1146">
        <f t="shared" si="148"/>
        <v>876635.58738690498</v>
      </c>
      <c r="BY753" s="867">
        <f t="shared" si="146"/>
        <v>10709113.836893452</v>
      </c>
      <c r="BZ753" s="867">
        <f t="shared" si="144"/>
        <v>21418227.673786905</v>
      </c>
      <c r="CA753" s="867">
        <f>_xlfn.MAXIFS($BY$4:$BY$12824,$S$4:$S$12824,$S753)</f>
        <v>10709113.836893452</v>
      </c>
      <c r="CB753" s="1032"/>
      <c r="CF753" s="946">
        <f t="shared" si="145"/>
        <v>20541592.086399999</v>
      </c>
    </row>
    <row r="754" spans="1:84">
      <c r="A754" s="1032"/>
      <c r="B754" s="839" t="s">
        <v>98</v>
      </c>
      <c r="C754" s="839" t="s">
        <v>1615</v>
      </c>
      <c r="D754" s="839" t="s">
        <v>2567</v>
      </c>
      <c r="E754" s="839" t="s">
        <v>2568</v>
      </c>
      <c r="F754" s="841">
        <v>45633</v>
      </c>
      <c r="G754" s="840" t="s">
        <v>1618</v>
      </c>
      <c r="H754" s="842" t="s">
        <v>134</v>
      </c>
      <c r="I754" s="842"/>
      <c r="J754" s="841"/>
      <c r="K754" s="841"/>
      <c r="L754" s="843" t="s">
        <v>106</v>
      </c>
      <c r="M754" s="844" t="s">
        <v>107</v>
      </c>
      <c r="N754" s="841" t="s">
        <v>2569</v>
      </c>
      <c r="O754" s="841" t="s">
        <v>108</v>
      </c>
      <c r="P754" s="841" t="s">
        <v>1136</v>
      </c>
      <c r="Q754" s="843"/>
      <c r="R754" s="845" t="s">
        <v>2609</v>
      </c>
      <c r="S754" s="1127" t="s">
        <v>2610</v>
      </c>
      <c r="T754" s="843" t="s">
        <v>2611</v>
      </c>
      <c r="U754" s="842">
        <v>3</v>
      </c>
      <c r="V754" s="842" t="s">
        <v>3</v>
      </c>
      <c r="W754" s="846"/>
      <c r="X754" s="847">
        <f t="shared" si="138"/>
        <v>0</v>
      </c>
      <c r="Y754" s="848"/>
      <c r="Z754" s="849">
        <v>316.48</v>
      </c>
      <c r="AA754" s="849"/>
      <c r="AB754" s="849">
        <f t="shared" si="139"/>
        <v>949.44</v>
      </c>
      <c r="AC754" s="850">
        <f t="shared" si="140"/>
        <v>949.44</v>
      </c>
      <c r="AD754" s="851"/>
      <c r="AE754" s="852">
        <v>26253.919999999998</v>
      </c>
      <c r="AF754" s="853">
        <v>0</v>
      </c>
      <c r="AG754" s="854">
        <f t="shared" si="141"/>
        <v>0</v>
      </c>
      <c r="AH754" s="853"/>
      <c r="AI754" s="855">
        <f t="shared" si="142"/>
        <v>0</v>
      </c>
      <c r="AJ754" s="845" t="s">
        <v>2573</v>
      </c>
      <c r="AK754" s="857">
        <v>45392</v>
      </c>
      <c r="AL754" s="840" t="s">
        <v>2574</v>
      </c>
      <c r="AM754" s="840"/>
      <c r="AN754" s="858"/>
      <c r="AO754" s="844" t="s">
        <v>1741</v>
      </c>
      <c r="AP754" s="859">
        <v>45423</v>
      </c>
      <c r="AQ754" s="859">
        <v>45423</v>
      </c>
      <c r="AR754" s="859" t="s">
        <v>2575</v>
      </c>
      <c r="AS754" s="840" t="s">
        <v>2576</v>
      </c>
      <c r="AT754" s="840" t="s">
        <v>1743</v>
      </c>
      <c r="AU754" s="860" t="s">
        <v>1311</v>
      </c>
      <c r="AV754" s="839" t="s">
        <v>2577</v>
      </c>
      <c r="AW754" s="861">
        <v>45642</v>
      </c>
      <c r="AX754" s="862" t="s">
        <v>2578</v>
      </c>
      <c r="AY754" s="843" t="s">
        <v>2612</v>
      </c>
      <c r="AZ754" s="842">
        <v>94052990</v>
      </c>
      <c r="BA754" s="842" t="s">
        <v>120</v>
      </c>
      <c r="BB754" s="863" t="s">
        <v>121</v>
      </c>
      <c r="BC754" s="864">
        <v>45645</v>
      </c>
      <c r="BD754" s="860" t="s">
        <v>2580</v>
      </c>
      <c r="BE754" s="865" cm="1">
        <f t="array" ref="BE754">IF(BD754="","",AC754/SUMPRODUCT(--(BD754=$BD$4:$BD$12824),$AC$4:$AC$12824))</f>
        <v>4.3218677110816138E-2</v>
      </c>
      <c r="BF754" s="458"/>
      <c r="BG754" s="458"/>
      <c r="BH754" s="458"/>
      <c r="BI754" s="458"/>
      <c r="BJ754" s="458"/>
      <c r="BK754" s="458"/>
      <c r="BL754" s="458"/>
      <c r="BM754" s="458"/>
      <c r="BN754" s="458"/>
      <c r="BO754" s="866">
        <f>VLOOKUP(BD754,$BD$4:$BN$12824,3,0)*BE754</f>
        <v>582472.50324194704</v>
      </c>
      <c r="BP754" s="866"/>
      <c r="BQ754" s="866"/>
      <c r="BR754" s="866">
        <f>VLOOKUP(BD754,$BD$4:$BN$12824,6,0)*BE754</f>
        <v>430300.96735110803</v>
      </c>
      <c r="BS754" s="866">
        <f>VLOOKUP(BD754,$BD$4:$BN$12824,7,0)*BE754</f>
        <v>25062.726949947832</v>
      </c>
      <c r="BT754" s="866"/>
      <c r="BU754" s="866">
        <f>VLOOKUP(BD754,$BD$4:$BN$12824,9,0)*BE754</f>
        <v>0</v>
      </c>
      <c r="BV754" s="867"/>
      <c r="BW754" s="867">
        <f>VLOOKUP(BD754,$BD$4:$BN$12824,11,0)*BE754</f>
        <v>25931.206266489684</v>
      </c>
      <c r="BX754" s="1146">
        <f t="shared" si="148"/>
        <v>1063767.4038094925</v>
      </c>
      <c r="BY754" s="867">
        <f t="shared" si="146"/>
        <v>8663429.7362031639</v>
      </c>
      <c r="BZ754" s="867">
        <f t="shared" si="144"/>
        <v>25990289.208609492</v>
      </c>
      <c r="CA754" s="867">
        <f>_xlfn.MAXIFS($BY$4:$BY$12824,$S$4:$S$12824,$S754)</f>
        <v>8663429.7362031639</v>
      </c>
      <c r="CB754" s="1032"/>
      <c r="CF754" s="946">
        <f t="shared" si="145"/>
        <v>24926521.8048</v>
      </c>
    </row>
    <row r="755" spans="1:84">
      <c r="A755" s="1032"/>
      <c r="B755" s="839" t="s">
        <v>98</v>
      </c>
      <c r="C755" s="839" t="s">
        <v>1615</v>
      </c>
      <c r="D755" s="839" t="s">
        <v>2567</v>
      </c>
      <c r="E755" s="839" t="s">
        <v>2568</v>
      </c>
      <c r="F755" s="841">
        <v>45633</v>
      </c>
      <c r="G755" s="840" t="s">
        <v>1618</v>
      </c>
      <c r="H755" s="842" t="s">
        <v>134</v>
      </c>
      <c r="I755" s="842"/>
      <c r="J755" s="841"/>
      <c r="K755" s="841"/>
      <c r="L755" s="843" t="s">
        <v>106</v>
      </c>
      <c r="M755" s="844" t="s">
        <v>107</v>
      </c>
      <c r="N755" s="841" t="s">
        <v>2569</v>
      </c>
      <c r="O755" s="841" t="s">
        <v>108</v>
      </c>
      <c r="P755" s="841" t="s">
        <v>1136</v>
      </c>
      <c r="Q755" s="843"/>
      <c r="R755" s="845" t="s">
        <v>2613</v>
      </c>
      <c r="S755" s="1127" t="s">
        <v>2614</v>
      </c>
      <c r="T755" s="843" t="s">
        <v>2615</v>
      </c>
      <c r="U755" s="842">
        <v>3</v>
      </c>
      <c r="V755" s="842" t="s">
        <v>3</v>
      </c>
      <c r="W755" s="846"/>
      <c r="X755" s="847">
        <f t="shared" si="138"/>
        <v>0</v>
      </c>
      <c r="Y755" s="848"/>
      <c r="Z755" s="849">
        <v>329.67</v>
      </c>
      <c r="AA755" s="849"/>
      <c r="AB755" s="849">
        <f t="shared" si="139"/>
        <v>989.01</v>
      </c>
      <c r="AC755" s="850">
        <f t="shared" si="140"/>
        <v>989.01</v>
      </c>
      <c r="AD755" s="851"/>
      <c r="AE755" s="852">
        <v>26253.919999999998</v>
      </c>
      <c r="AF755" s="853">
        <v>0</v>
      </c>
      <c r="AG755" s="854">
        <f t="shared" si="141"/>
        <v>0</v>
      </c>
      <c r="AH755" s="853"/>
      <c r="AI755" s="855">
        <f t="shared" si="142"/>
        <v>0</v>
      </c>
      <c r="AJ755" s="845" t="s">
        <v>2573</v>
      </c>
      <c r="AK755" s="857">
        <v>45392</v>
      </c>
      <c r="AL755" s="840" t="s">
        <v>2574</v>
      </c>
      <c r="AM755" s="840"/>
      <c r="AN755" s="858"/>
      <c r="AO755" s="844" t="s">
        <v>1741</v>
      </c>
      <c r="AP755" s="859">
        <v>45423</v>
      </c>
      <c r="AQ755" s="859">
        <v>45423</v>
      </c>
      <c r="AR755" s="859" t="s">
        <v>2575</v>
      </c>
      <c r="AS755" s="840" t="s">
        <v>2576</v>
      </c>
      <c r="AT755" s="840" t="s">
        <v>1743</v>
      </c>
      <c r="AU755" s="860" t="s">
        <v>1311</v>
      </c>
      <c r="AV755" s="839" t="s">
        <v>2577</v>
      </c>
      <c r="AW755" s="861">
        <v>45642</v>
      </c>
      <c r="AX755" s="862" t="s">
        <v>2578</v>
      </c>
      <c r="AY755" s="843" t="s">
        <v>2616</v>
      </c>
      <c r="AZ755" s="842">
        <v>94052990</v>
      </c>
      <c r="BA755" s="842" t="s">
        <v>120</v>
      </c>
      <c r="BB755" s="863" t="s">
        <v>121</v>
      </c>
      <c r="BC755" s="864">
        <v>45645</v>
      </c>
      <c r="BD755" s="860" t="s">
        <v>2580</v>
      </c>
      <c r="BE755" s="865" cm="1">
        <f t="array" ref="BE755">IF(BD755="","",AC755/SUMPRODUCT(--(BD755=$BD$4:$BD$12824),$AC$4:$AC$12824))</f>
        <v>4.5019910525539546E-2</v>
      </c>
      <c r="BF755" s="458"/>
      <c r="BG755" s="458"/>
      <c r="BH755" s="458"/>
      <c r="BI755" s="458"/>
      <c r="BJ755" s="458"/>
      <c r="BK755" s="458"/>
      <c r="BL755" s="458"/>
      <c r="BM755" s="458"/>
      <c r="BN755" s="458"/>
      <c r="BO755" s="866">
        <f>VLOOKUP(BD755,$BD$4:$BN$12824,3,0)*BE755</f>
        <v>606748.32578290149</v>
      </c>
      <c r="BP755" s="866"/>
      <c r="BQ755" s="866"/>
      <c r="BR755" s="866">
        <f>VLOOKUP(BD755,$BD$4:$BN$12824,6,0)*BE755</f>
        <v>448234.70647952409</v>
      </c>
      <c r="BS755" s="866">
        <f>VLOOKUP(BD755,$BD$4:$BN$12824,7,0)*BE755</f>
        <v>26107.271213313012</v>
      </c>
      <c r="BT755" s="866"/>
      <c r="BU755" s="866">
        <f>VLOOKUP(BD755,$BD$4:$BN$12824,9,0)*BE755</f>
        <v>0</v>
      </c>
      <c r="BV755" s="867"/>
      <c r="BW755" s="867">
        <f>VLOOKUP(BD755,$BD$4:$BN$12824,11,0)*BE755</f>
        <v>27011.946315323727</v>
      </c>
      <c r="BX755" s="1146">
        <f t="shared" si="148"/>
        <v>1108102.2497910624</v>
      </c>
      <c r="BY755" s="867">
        <f t="shared" si="146"/>
        <v>9024497.2229970209</v>
      </c>
      <c r="BZ755" s="867">
        <f t="shared" si="144"/>
        <v>27073491.668991063</v>
      </c>
      <c r="CA755" s="867">
        <f>_xlfn.MAXIFS($BY$4:$BY$12824,$S$4:$S$12824,$S755)</f>
        <v>9024497.2229970209</v>
      </c>
      <c r="CB755" s="1032"/>
      <c r="CF755" s="946">
        <f t="shared" si="145"/>
        <v>25965389.419199999</v>
      </c>
    </row>
    <row r="756" spans="1:84">
      <c r="A756" s="1032"/>
      <c r="B756" s="839" t="s">
        <v>98</v>
      </c>
      <c r="C756" s="839" t="s">
        <v>1615</v>
      </c>
      <c r="D756" s="839" t="s">
        <v>2567</v>
      </c>
      <c r="E756" s="839" t="s">
        <v>2568</v>
      </c>
      <c r="F756" s="841">
        <v>45633</v>
      </c>
      <c r="G756" s="840" t="s">
        <v>1618</v>
      </c>
      <c r="H756" s="842" t="s">
        <v>134</v>
      </c>
      <c r="I756" s="842"/>
      <c r="J756" s="841"/>
      <c r="K756" s="841"/>
      <c r="L756" s="843" t="s">
        <v>106</v>
      </c>
      <c r="M756" s="844" t="s">
        <v>107</v>
      </c>
      <c r="N756" s="841" t="s">
        <v>2569</v>
      </c>
      <c r="O756" s="841" t="s">
        <v>108</v>
      </c>
      <c r="P756" s="841" t="s">
        <v>1136</v>
      </c>
      <c r="Q756" s="843"/>
      <c r="R756" s="845" t="s">
        <v>2617</v>
      </c>
      <c r="S756" s="1127" t="s">
        <v>2618</v>
      </c>
      <c r="T756" s="843" t="s">
        <v>2619</v>
      </c>
      <c r="U756" s="842">
        <v>1</v>
      </c>
      <c r="V756" s="842" t="s">
        <v>3</v>
      </c>
      <c r="W756" s="846"/>
      <c r="X756" s="847">
        <f t="shared" si="138"/>
        <v>0</v>
      </c>
      <c r="Y756" s="848"/>
      <c r="Z756" s="849">
        <v>125.66</v>
      </c>
      <c r="AA756" s="849"/>
      <c r="AB756" s="849">
        <f t="shared" si="139"/>
        <v>125.66</v>
      </c>
      <c r="AC756" s="850">
        <f t="shared" si="140"/>
        <v>125.66</v>
      </c>
      <c r="AD756" s="851"/>
      <c r="AE756" s="852">
        <v>26253.919999999998</v>
      </c>
      <c r="AF756" s="853">
        <v>0</v>
      </c>
      <c r="AG756" s="854">
        <f t="shared" si="141"/>
        <v>0</v>
      </c>
      <c r="AH756" s="853"/>
      <c r="AI756" s="855">
        <f t="shared" si="142"/>
        <v>0</v>
      </c>
      <c r="AJ756" s="845" t="s">
        <v>2573</v>
      </c>
      <c r="AK756" s="857">
        <v>45392</v>
      </c>
      <c r="AL756" s="840" t="s">
        <v>2574</v>
      </c>
      <c r="AM756" s="840"/>
      <c r="AN756" s="858"/>
      <c r="AO756" s="844" t="s">
        <v>1741</v>
      </c>
      <c r="AP756" s="859">
        <v>45423</v>
      </c>
      <c r="AQ756" s="859">
        <v>45423</v>
      </c>
      <c r="AR756" s="859" t="s">
        <v>2575</v>
      </c>
      <c r="AS756" s="840" t="s">
        <v>2576</v>
      </c>
      <c r="AT756" s="840" t="s">
        <v>1743</v>
      </c>
      <c r="AU756" s="860" t="s">
        <v>1311</v>
      </c>
      <c r="AV756" s="839" t="s">
        <v>2577</v>
      </c>
      <c r="AW756" s="861">
        <v>45642</v>
      </c>
      <c r="AX756" s="862" t="s">
        <v>2578</v>
      </c>
      <c r="AY756" s="843" t="s">
        <v>2620</v>
      </c>
      <c r="AZ756" s="842">
        <v>94052990</v>
      </c>
      <c r="BA756" s="842" t="s">
        <v>120</v>
      </c>
      <c r="BB756" s="863" t="s">
        <v>121</v>
      </c>
      <c r="BC756" s="864">
        <v>45645</v>
      </c>
      <c r="BD756" s="860" t="s">
        <v>2580</v>
      </c>
      <c r="BE756" s="865" cm="1">
        <f t="array" ref="BE756">IF(BD756="","",AC756/SUMPRODUCT(--(BD756=$BD$4:$BD$12824),$AC$4:$AC$12824))</f>
        <v>5.7200654762229897E-3</v>
      </c>
      <c r="BF756" s="458"/>
      <c r="BG756" s="458"/>
      <c r="BH756" s="458"/>
      <c r="BI756" s="458"/>
      <c r="BJ756" s="458"/>
      <c r="BK756" s="458"/>
      <c r="BL756" s="458"/>
      <c r="BM756" s="458"/>
      <c r="BN756" s="458"/>
      <c r="BO756" s="866">
        <f>VLOOKUP(BD756,$BD$4:$BN$12824,3,0)*BE756</f>
        <v>77091.227204860814</v>
      </c>
      <c r="BP756" s="866"/>
      <c r="BQ756" s="866"/>
      <c r="BR756" s="866">
        <f>VLOOKUP(BD756,$BD$4:$BN$12824,6,0)*BE756</f>
        <v>56951.065425240384</v>
      </c>
      <c r="BS756" s="866">
        <f>VLOOKUP(BD756,$BD$4:$BN$12824,7,0)*BE756</f>
        <v>3317.0945699890931</v>
      </c>
      <c r="BT756" s="866"/>
      <c r="BU756" s="866">
        <f>VLOOKUP(BD756,$BD$4:$BN$12824,9,0)*BE756</f>
        <v>0</v>
      </c>
      <c r="BV756" s="867"/>
      <c r="BW756" s="867">
        <f>VLOOKUP(BD756,$BD$4:$BN$12824,11,0)*BE756</f>
        <v>3432.0392857337938</v>
      </c>
      <c r="BX756" s="1146">
        <f t="shared" si="148"/>
        <v>140791.42648582411</v>
      </c>
      <c r="BY756" s="867">
        <f t="shared" si="146"/>
        <v>3439859.0136858234</v>
      </c>
      <c r="BZ756" s="867">
        <f t="shared" si="144"/>
        <v>3439859.0136858234</v>
      </c>
      <c r="CA756" s="867">
        <f>_xlfn.MAXIFS($BY$4:$BY$12824,$S$4:$S$12824,$S756)</f>
        <v>3439859.0136858234</v>
      </c>
      <c r="CB756" s="1032"/>
      <c r="CF756" s="946">
        <f t="shared" si="145"/>
        <v>3299067.5871999995</v>
      </c>
    </row>
    <row r="757" spans="1:84">
      <c r="A757" s="1032"/>
      <c r="B757" s="839" t="s">
        <v>98</v>
      </c>
      <c r="C757" s="839" t="s">
        <v>1615</v>
      </c>
      <c r="D757" s="839" t="s">
        <v>2567</v>
      </c>
      <c r="E757" s="839" t="s">
        <v>2568</v>
      </c>
      <c r="F757" s="841">
        <v>45633</v>
      </c>
      <c r="G757" s="840" t="s">
        <v>1618</v>
      </c>
      <c r="H757" s="842" t="s">
        <v>134</v>
      </c>
      <c r="I757" s="842"/>
      <c r="J757" s="841"/>
      <c r="K757" s="841"/>
      <c r="L757" s="843" t="s">
        <v>106</v>
      </c>
      <c r="M757" s="844" t="s">
        <v>107</v>
      </c>
      <c r="N757" s="841" t="s">
        <v>2569</v>
      </c>
      <c r="O757" s="841" t="s">
        <v>108</v>
      </c>
      <c r="P757" s="841" t="s">
        <v>1136</v>
      </c>
      <c r="Q757" s="843"/>
      <c r="R757" s="845" t="s">
        <v>2621</v>
      </c>
      <c r="S757" s="1127" t="s">
        <v>2622</v>
      </c>
      <c r="T757" s="843" t="s">
        <v>2623</v>
      </c>
      <c r="U757" s="842">
        <v>1</v>
      </c>
      <c r="V757" s="842" t="s">
        <v>3</v>
      </c>
      <c r="W757" s="846"/>
      <c r="X757" s="847">
        <f t="shared" si="138"/>
        <v>0</v>
      </c>
      <c r="Y757" s="848"/>
      <c r="Z757" s="849">
        <v>125.66</v>
      </c>
      <c r="AA757" s="849"/>
      <c r="AB757" s="849">
        <f t="shared" si="139"/>
        <v>125.66</v>
      </c>
      <c r="AC757" s="850">
        <f t="shared" si="140"/>
        <v>125.66</v>
      </c>
      <c r="AD757" s="851"/>
      <c r="AE757" s="852">
        <v>26253.919999999998</v>
      </c>
      <c r="AF757" s="853">
        <v>0</v>
      </c>
      <c r="AG757" s="854">
        <f t="shared" si="141"/>
        <v>0</v>
      </c>
      <c r="AH757" s="853"/>
      <c r="AI757" s="855">
        <f t="shared" si="142"/>
        <v>0</v>
      </c>
      <c r="AJ757" s="845" t="s">
        <v>2573</v>
      </c>
      <c r="AK757" s="857">
        <v>45392</v>
      </c>
      <c r="AL757" s="840" t="s">
        <v>2574</v>
      </c>
      <c r="AM757" s="840"/>
      <c r="AN757" s="858"/>
      <c r="AO757" s="844" t="s">
        <v>1741</v>
      </c>
      <c r="AP757" s="859">
        <v>45423</v>
      </c>
      <c r="AQ757" s="859">
        <v>45423</v>
      </c>
      <c r="AR757" s="859" t="s">
        <v>2575</v>
      </c>
      <c r="AS757" s="840" t="s">
        <v>2576</v>
      </c>
      <c r="AT757" s="840" t="s">
        <v>1743</v>
      </c>
      <c r="AU757" s="860" t="s">
        <v>1311</v>
      </c>
      <c r="AV757" s="839" t="s">
        <v>2577</v>
      </c>
      <c r="AW757" s="861">
        <v>45642</v>
      </c>
      <c r="AX757" s="862" t="s">
        <v>2578</v>
      </c>
      <c r="AY757" s="843" t="s">
        <v>2624</v>
      </c>
      <c r="AZ757" s="842">
        <v>94052990</v>
      </c>
      <c r="BA757" s="842" t="s">
        <v>120</v>
      </c>
      <c r="BB757" s="863" t="s">
        <v>121</v>
      </c>
      <c r="BC757" s="864">
        <v>45645</v>
      </c>
      <c r="BD757" s="860" t="s">
        <v>2580</v>
      </c>
      <c r="BE757" s="865" cm="1">
        <f t="array" ref="BE757">IF(BD757="","",AC757/SUMPRODUCT(--(BD757=$BD$4:$BD$12824),$AC$4:$AC$12824))</f>
        <v>5.7200654762229897E-3</v>
      </c>
      <c r="BF757" s="458"/>
      <c r="BG757" s="458"/>
      <c r="BH757" s="458"/>
      <c r="BI757" s="458"/>
      <c r="BJ757" s="458"/>
      <c r="BK757" s="458"/>
      <c r="BL757" s="458"/>
      <c r="BM757" s="458"/>
      <c r="BN757" s="458"/>
      <c r="BO757" s="866">
        <f>VLOOKUP(BD757,$BD$4:$BN$12824,3,0)*BE757</f>
        <v>77091.227204860814</v>
      </c>
      <c r="BP757" s="866"/>
      <c r="BQ757" s="866"/>
      <c r="BR757" s="866">
        <f>VLOOKUP(BD757,$BD$4:$BN$12824,6,0)*BE757</f>
        <v>56951.065425240384</v>
      </c>
      <c r="BS757" s="866">
        <f>VLOOKUP(BD757,$BD$4:$BN$12824,7,0)*BE757</f>
        <v>3317.0945699890931</v>
      </c>
      <c r="BT757" s="866"/>
      <c r="BU757" s="866">
        <f>VLOOKUP(BD757,$BD$4:$BN$12824,9,0)*BE757</f>
        <v>0</v>
      </c>
      <c r="BV757" s="867"/>
      <c r="BW757" s="867">
        <f>VLOOKUP(BD757,$BD$4:$BN$12824,11,0)*BE757</f>
        <v>3432.0392857337938</v>
      </c>
      <c r="BX757" s="1146">
        <f t="shared" si="148"/>
        <v>140791.42648582411</v>
      </c>
      <c r="BY757" s="867">
        <f t="shared" si="146"/>
        <v>3439859.0136858234</v>
      </c>
      <c r="BZ757" s="867">
        <f t="shared" si="144"/>
        <v>3439859.0136858234</v>
      </c>
      <c r="CA757" s="867">
        <f>_xlfn.MAXIFS($BY$4:$BY$12824,$S$4:$S$12824,$S757)</f>
        <v>3439859.0136858234</v>
      </c>
      <c r="CB757" s="1032"/>
      <c r="CF757" s="946">
        <f t="shared" si="145"/>
        <v>3299067.5871999995</v>
      </c>
    </row>
    <row r="758" spans="1:84">
      <c r="A758" s="1032"/>
      <c r="B758" s="839" t="s">
        <v>98</v>
      </c>
      <c r="C758" s="839" t="s">
        <v>1615</v>
      </c>
      <c r="D758" s="839" t="s">
        <v>2567</v>
      </c>
      <c r="E758" s="839" t="s">
        <v>2568</v>
      </c>
      <c r="F758" s="841">
        <v>45633</v>
      </c>
      <c r="G758" s="840" t="s">
        <v>1618</v>
      </c>
      <c r="H758" s="842" t="s">
        <v>134</v>
      </c>
      <c r="I758" s="842"/>
      <c r="J758" s="841"/>
      <c r="K758" s="841"/>
      <c r="L758" s="843" t="s">
        <v>106</v>
      </c>
      <c r="M758" s="844" t="s">
        <v>107</v>
      </c>
      <c r="N758" s="841" t="s">
        <v>2569</v>
      </c>
      <c r="O758" s="841" t="s">
        <v>108</v>
      </c>
      <c r="P758" s="841" t="s">
        <v>1136</v>
      </c>
      <c r="Q758" s="843"/>
      <c r="R758" s="845" t="s">
        <v>2625</v>
      </c>
      <c r="S758" s="1127" t="s">
        <v>2626</v>
      </c>
      <c r="T758" s="843" t="s">
        <v>2627</v>
      </c>
      <c r="U758" s="842">
        <v>1</v>
      </c>
      <c r="V758" s="842" t="s">
        <v>3</v>
      </c>
      <c r="W758" s="846"/>
      <c r="X758" s="847">
        <f t="shared" si="138"/>
        <v>0</v>
      </c>
      <c r="Y758" s="848"/>
      <c r="Z758" s="849">
        <v>125.66</v>
      </c>
      <c r="AA758" s="849"/>
      <c r="AB758" s="849">
        <f t="shared" si="139"/>
        <v>125.66</v>
      </c>
      <c r="AC758" s="850">
        <f t="shared" si="140"/>
        <v>125.66</v>
      </c>
      <c r="AD758" s="851"/>
      <c r="AE758" s="852">
        <v>26253.919999999998</v>
      </c>
      <c r="AF758" s="853">
        <v>0</v>
      </c>
      <c r="AG758" s="854">
        <f t="shared" si="141"/>
        <v>0</v>
      </c>
      <c r="AH758" s="853"/>
      <c r="AI758" s="855">
        <f t="shared" si="142"/>
        <v>0</v>
      </c>
      <c r="AJ758" s="845" t="s">
        <v>2573</v>
      </c>
      <c r="AK758" s="857">
        <v>45392</v>
      </c>
      <c r="AL758" s="840" t="s">
        <v>2574</v>
      </c>
      <c r="AM758" s="840"/>
      <c r="AN758" s="858"/>
      <c r="AO758" s="844" t="s">
        <v>1741</v>
      </c>
      <c r="AP758" s="859">
        <v>45423</v>
      </c>
      <c r="AQ758" s="859">
        <v>45423</v>
      </c>
      <c r="AR758" s="859" t="s">
        <v>2575</v>
      </c>
      <c r="AS758" s="840" t="s">
        <v>2576</v>
      </c>
      <c r="AT758" s="840" t="s">
        <v>1743</v>
      </c>
      <c r="AU758" s="860" t="s">
        <v>1311</v>
      </c>
      <c r="AV758" s="839" t="s">
        <v>2577</v>
      </c>
      <c r="AW758" s="861">
        <v>45642</v>
      </c>
      <c r="AX758" s="862" t="s">
        <v>2578</v>
      </c>
      <c r="AY758" s="843" t="s">
        <v>2628</v>
      </c>
      <c r="AZ758" s="842">
        <v>94052990</v>
      </c>
      <c r="BA758" s="842" t="s">
        <v>120</v>
      </c>
      <c r="BB758" s="863" t="s">
        <v>121</v>
      </c>
      <c r="BC758" s="864">
        <v>45645</v>
      </c>
      <c r="BD758" s="860" t="s">
        <v>2580</v>
      </c>
      <c r="BE758" s="865" cm="1">
        <f t="array" ref="BE758">IF(BD758="","",AC758/SUMPRODUCT(--(BD758=$BD$4:$BD$12824),$AC$4:$AC$12824))</f>
        <v>5.7200654762229897E-3</v>
      </c>
      <c r="BF758" s="458"/>
      <c r="BG758" s="458"/>
      <c r="BH758" s="458"/>
      <c r="BI758" s="458"/>
      <c r="BJ758" s="458"/>
      <c r="BK758" s="458"/>
      <c r="BL758" s="458"/>
      <c r="BM758" s="458"/>
      <c r="BN758" s="458"/>
      <c r="BO758" s="866">
        <f>VLOOKUP(BD758,$BD$4:$BN$12824,3,0)*BE758</f>
        <v>77091.227204860814</v>
      </c>
      <c r="BP758" s="866"/>
      <c r="BQ758" s="866"/>
      <c r="BR758" s="866">
        <f>VLOOKUP(BD758,$BD$4:$BN$12824,6,0)*BE758</f>
        <v>56951.065425240384</v>
      </c>
      <c r="BS758" s="866">
        <f>VLOOKUP(BD758,$BD$4:$BN$12824,7,0)*BE758</f>
        <v>3317.0945699890931</v>
      </c>
      <c r="BT758" s="866"/>
      <c r="BU758" s="866">
        <f>VLOOKUP(BD758,$BD$4:$BN$12824,9,0)*BE758</f>
        <v>0</v>
      </c>
      <c r="BV758" s="867"/>
      <c r="BW758" s="867">
        <f>VLOOKUP(BD758,$BD$4:$BN$12824,11,0)*BE758</f>
        <v>3432.0392857337938</v>
      </c>
      <c r="BX758" s="1146">
        <f t="shared" si="148"/>
        <v>140791.42648582411</v>
      </c>
      <c r="BY758" s="867">
        <f t="shared" si="146"/>
        <v>3439859.0136858234</v>
      </c>
      <c r="BZ758" s="867">
        <f t="shared" si="144"/>
        <v>3439859.0136858234</v>
      </c>
      <c r="CA758" s="867">
        <f>_xlfn.MAXIFS($BY$4:$BY$12824,$S$4:$S$12824,$S758)</f>
        <v>3439859.0136858234</v>
      </c>
      <c r="CB758" s="1032"/>
      <c r="CF758" s="946">
        <f t="shared" si="145"/>
        <v>3299067.5871999995</v>
      </c>
    </row>
    <row r="759" spans="1:84">
      <c r="A759" s="1032"/>
      <c r="B759" s="839" t="s">
        <v>98</v>
      </c>
      <c r="C759" s="839" t="s">
        <v>1615</v>
      </c>
      <c r="D759" s="839" t="s">
        <v>2567</v>
      </c>
      <c r="E759" s="839" t="s">
        <v>2568</v>
      </c>
      <c r="F759" s="841">
        <v>45633</v>
      </c>
      <c r="G759" s="840" t="s">
        <v>1618</v>
      </c>
      <c r="H759" s="842" t="s">
        <v>134</v>
      </c>
      <c r="I759" s="842"/>
      <c r="J759" s="841"/>
      <c r="K759" s="841"/>
      <c r="L759" s="843" t="s">
        <v>106</v>
      </c>
      <c r="M759" s="844" t="s">
        <v>107</v>
      </c>
      <c r="N759" s="841" t="s">
        <v>2569</v>
      </c>
      <c r="O759" s="841" t="s">
        <v>108</v>
      </c>
      <c r="P759" s="841" t="s">
        <v>1136</v>
      </c>
      <c r="Q759" s="843"/>
      <c r="R759" s="845" t="s">
        <v>2629</v>
      </c>
      <c r="S759" s="1127" t="s">
        <v>2630</v>
      </c>
      <c r="T759" s="843" t="s">
        <v>2631</v>
      </c>
      <c r="U759" s="842">
        <v>1</v>
      </c>
      <c r="V759" s="842" t="s">
        <v>3</v>
      </c>
      <c r="W759" s="846"/>
      <c r="X759" s="847">
        <f t="shared" si="138"/>
        <v>0</v>
      </c>
      <c r="Y759" s="848"/>
      <c r="Z759" s="849">
        <v>121.01</v>
      </c>
      <c r="AA759" s="849"/>
      <c r="AB759" s="849">
        <f t="shared" si="139"/>
        <v>121.01</v>
      </c>
      <c r="AC759" s="850">
        <f t="shared" si="140"/>
        <v>121.01</v>
      </c>
      <c r="AD759" s="851"/>
      <c r="AE759" s="852">
        <v>26253.919999999998</v>
      </c>
      <c r="AF759" s="853">
        <v>0</v>
      </c>
      <c r="AG759" s="854">
        <f t="shared" si="141"/>
        <v>0</v>
      </c>
      <c r="AH759" s="853"/>
      <c r="AI759" s="855">
        <f t="shared" si="142"/>
        <v>0</v>
      </c>
      <c r="AJ759" s="845" t="s">
        <v>2573</v>
      </c>
      <c r="AK759" s="857">
        <v>45392</v>
      </c>
      <c r="AL759" s="840" t="s">
        <v>2574</v>
      </c>
      <c r="AM759" s="840"/>
      <c r="AN759" s="858"/>
      <c r="AO759" s="844" t="s">
        <v>1741</v>
      </c>
      <c r="AP759" s="859">
        <v>45423</v>
      </c>
      <c r="AQ759" s="859">
        <v>45423</v>
      </c>
      <c r="AR759" s="859" t="s">
        <v>2575</v>
      </c>
      <c r="AS759" s="840" t="s">
        <v>2576</v>
      </c>
      <c r="AT759" s="840" t="s">
        <v>1743</v>
      </c>
      <c r="AU759" s="860" t="s">
        <v>1311</v>
      </c>
      <c r="AV759" s="839" t="s">
        <v>2577</v>
      </c>
      <c r="AW759" s="861">
        <v>45642</v>
      </c>
      <c r="AX759" s="862" t="s">
        <v>2578</v>
      </c>
      <c r="AY759" s="843" t="s">
        <v>2632</v>
      </c>
      <c r="AZ759" s="842">
        <v>94052990</v>
      </c>
      <c r="BA759" s="842" t="s">
        <v>120</v>
      </c>
      <c r="BB759" s="863" t="s">
        <v>121</v>
      </c>
      <c r="BC759" s="864">
        <v>45645</v>
      </c>
      <c r="BD759" s="860" t="s">
        <v>2580</v>
      </c>
      <c r="BE759" s="865" cm="1">
        <f t="array" ref="BE759">IF(BD759="","",AC759/SUMPRODUCT(--(BD759=$BD$4:$BD$12824),$AC$4:$AC$12824))</f>
        <v>5.5083966518999208E-3</v>
      </c>
      <c r="BF759" s="458"/>
      <c r="BG759" s="458"/>
      <c r="BH759" s="458"/>
      <c r="BI759" s="458"/>
      <c r="BJ759" s="458"/>
      <c r="BK759" s="458"/>
      <c r="BL759" s="458"/>
      <c r="BM759" s="458"/>
      <c r="BN759" s="458"/>
      <c r="BO759" s="866">
        <f>VLOOKUP(BD759,$BD$4:$BN$12824,3,0)*BE759</f>
        <v>74238.495973740311</v>
      </c>
      <c r="BP759" s="866"/>
      <c r="BQ759" s="866"/>
      <c r="BR759" s="866">
        <f>VLOOKUP(BD759,$BD$4:$BN$12824,6,0)*BE759</f>
        <v>54843.613139490204</v>
      </c>
      <c r="BS759" s="866">
        <f>VLOOKUP(BD759,$BD$4:$BN$12824,7,0)*BE759</f>
        <v>3194.3467604200237</v>
      </c>
      <c r="BT759" s="866"/>
      <c r="BU759" s="866">
        <f>VLOOKUP(BD759,$BD$4:$BN$12824,9,0)*BE759</f>
        <v>0</v>
      </c>
      <c r="BV759" s="867"/>
      <c r="BW759" s="867">
        <f>VLOOKUP(BD759,$BD$4:$BN$12824,11,0)*BE759</f>
        <v>3305.0379911399523</v>
      </c>
      <c r="BX759" s="1146">
        <f t="shared" si="148"/>
        <v>135581.49386479048</v>
      </c>
      <c r="BY759" s="867">
        <f t="shared" si="146"/>
        <v>3312568.3530647904</v>
      </c>
      <c r="BZ759" s="867">
        <f t="shared" si="144"/>
        <v>3312568.3530647904</v>
      </c>
      <c r="CA759" s="867">
        <f>_xlfn.MAXIFS($BY$4:$BY$12824,$S$4:$S$12824,$S759)</f>
        <v>5326613.6379754059</v>
      </c>
      <c r="CB759" s="1032"/>
      <c r="CF759" s="946">
        <f t="shared" si="145"/>
        <v>3176986.8591999998</v>
      </c>
    </row>
    <row r="760" spans="1:84">
      <c r="A760" s="1032"/>
      <c r="B760" s="839" t="s">
        <v>98</v>
      </c>
      <c r="C760" s="839" t="s">
        <v>1615</v>
      </c>
      <c r="D760" s="839" t="s">
        <v>2567</v>
      </c>
      <c r="E760" s="839" t="s">
        <v>2568</v>
      </c>
      <c r="F760" s="841">
        <v>45633</v>
      </c>
      <c r="G760" s="840" t="s">
        <v>1618</v>
      </c>
      <c r="H760" s="842" t="s">
        <v>134</v>
      </c>
      <c r="I760" s="842"/>
      <c r="J760" s="841"/>
      <c r="K760" s="841"/>
      <c r="L760" s="843" t="s">
        <v>106</v>
      </c>
      <c r="M760" s="844" t="s">
        <v>107</v>
      </c>
      <c r="N760" s="841" t="s">
        <v>2569</v>
      </c>
      <c r="O760" s="841" t="s">
        <v>108</v>
      </c>
      <c r="P760" s="841" t="s">
        <v>1136</v>
      </c>
      <c r="Q760" s="843"/>
      <c r="R760" s="845" t="s">
        <v>2633</v>
      </c>
      <c r="S760" s="1127" t="s">
        <v>2634</v>
      </c>
      <c r="T760" s="843" t="s">
        <v>2635</v>
      </c>
      <c r="U760" s="842">
        <v>1</v>
      </c>
      <c r="V760" s="842" t="s">
        <v>3</v>
      </c>
      <c r="W760" s="846"/>
      <c r="X760" s="847">
        <f t="shared" si="138"/>
        <v>0</v>
      </c>
      <c r="Y760" s="848"/>
      <c r="Z760" s="849">
        <v>176.86</v>
      </c>
      <c r="AA760" s="849"/>
      <c r="AB760" s="849">
        <f t="shared" si="139"/>
        <v>176.86</v>
      </c>
      <c r="AC760" s="850">
        <f t="shared" si="140"/>
        <v>176.86</v>
      </c>
      <c r="AD760" s="851"/>
      <c r="AE760" s="852">
        <v>26253.919999999998</v>
      </c>
      <c r="AF760" s="853">
        <v>0</v>
      </c>
      <c r="AG760" s="854">
        <f t="shared" si="141"/>
        <v>0</v>
      </c>
      <c r="AH760" s="853"/>
      <c r="AI760" s="855">
        <f t="shared" si="142"/>
        <v>0</v>
      </c>
      <c r="AJ760" s="845" t="s">
        <v>2573</v>
      </c>
      <c r="AK760" s="857">
        <v>45392</v>
      </c>
      <c r="AL760" s="840" t="s">
        <v>2574</v>
      </c>
      <c r="AM760" s="840"/>
      <c r="AN760" s="858"/>
      <c r="AO760" s="844" t="s">
        <v>1741</v>
      </c>
      <c r="AP760" s="859">
        <v>45423</v>
      </c>
      <c r="AQ760" s="859">
        <v>45423</v>
      </c>
      <c r="AR760" s="859" t="s">
        <v>2575</v>
      </c>
      <c r="AS760" s="840" t="s">
        <v>2576</v>
      </c>
      <c r="AT760" s="840" t="s">
        <v>1743</v>
      </c>
      <c r="AU760" s="860" t="s">
        <v>1311</v>
      </c>
      <c r="AV760" s="839" t="s">
        <v>2577</v>
      </c>
      <c r="AW760" s="861">
        <v>45642</v>
      </c>
      <c r="AX760" s="862" t="s">
        <v>2578</v>
      </c>
      <c r="AY760" s="843" t="s">
        <v>2636</v>
      </c>
      <c r="AZ760" s="842">
        <v>94052990</v>
      </c>
      <c r="BA760" s="842" t="s">
        <v>120</v>
      </c>
      <c r="BB760" s="863" t="s">
        <v>121</v>
      </c>
      <c r="BC760" s="864">
        <v>45645</v>
      </c>
      <c r="BD760" s="860" t="s">
        <v>2580</v>
      </c>
      <c r="BE760" s="865" cm="1">
        <f t="array" ref="BE760">IF(BD760="","",AC760/SUMPRODUCT(--(BD760=$BD$4:$BD$12824),$AC$4:$AC$12824))</f>
        <v>8.0506985526404423E-3</v>
      </c>
      <c r="BF760" s="458"/>
      <c r="BG760" s="458"/>
      <c r="BH760" s="458"/>
      <c r="BI760" s="458"/>
      <c r="BJ760" s="458"/>
      <c r="BK760" s="458"/>
      <c r="BL760" s="458"/>
      <c r="BM760" s="458"/>
      <c r="BN760" s="458"/>
      <c r="BO760" s="866">
        <f>VLOOKUP(BD760,$BD$4:$BN$12824,3,0)*BE760</f>
        <v>108501.94527655328</v>
      </c>
      <c r="BP760" s="866"/>
      <c r="BQ760" s="866"/>
      <c r="BR760" s="866">
        <f>VLOOKUP(BD760,$BD$4:$BN$12824,6,0)*BE760</f>
        <v>80155.701345758513</v>
      </c>
      <c r="BS760" s="866">
        <f>VLOOKUP(BD760,$BD$4:$BN$12824,7,0)*BE760</f>
        <v>4668.6403441689554</v>
      </c>
      <c r="BT760" s="866"/>
      <c r="BU760" s="866">
        <f>VLOOKUP(BD760,$BD$4:$BN$12824,9,0)*BE760</f>
        <v>0</v>
      </c>
      <c r="BV760" s="867"/>
      <c r="BW760" s="867">
        <f>VLOOKUP(BD760,$BD$4:$BN$12824,11,0)*BE760</f>
        <v>4830.4191315842654</v>
      </c>
      <c r="BX760" s="1146">
        <f t="shared" si="148"/>
        <v>198156.70609806501</v>
      </c>
      <c r="BY760" s="867">
        <f t="shared" si="146"/>
        <v>4841424.9972980646</v>
      </c>
      <c r="BZ760" s="867">
        <f t="shared" si="144"/>
        <v>4841424.9972980646</v>
      </c>
      <c r="CA760" s="867">
        <f>_xlfn.MAXIFS($BY$4:$BY$12824,$S$4:$S$12824,$S760)</f>
        <v>4841424.9972980646</v>
      </c>
      <c r="CB760" s="1032"/>
      <c r="CF760" s="946">
        <f t="shared" si="145"/>
        <v>4643268.2911999999</v>
      </c>
    </row>
    <row r="761" spans="1:84">
      <c r="A761" s="1032"/>
      <c r="B761" s="839" t="s">
        <v>98</v>
      </c>
      <c r="C761" s="839" t="s">
        <v>1615</v>
      </c>
      <c r="D761" s="839" t="s">
        <v>2567</v>
      </c>
      <c r="E761" s="839" t="s">
        <v>2568</v>
      </c>
      <c r="F761" s="841">
        <v>45633</v>
      </c>
      <c r="G761" s="840" t="s">
        <v>1618</v>
      </c>
      <c r="H761" s="842" t="s">
        <v>134</v>
      </c>
      <c r="I761" s="842"/>
      <c r="J761" s="841"/>
      <c r="K761" s="841"/>
      <c r="L761" s="843" t="s">
        <v>106</v>
      </c>
      <c r="M761" s="844" t="s">
        <v>107</v>
      </c>
      <c r="N761" s="841" t="s">
        <v>2569</v>
      </c>
      <c r="O761" s="841" t="s">
        <v>108</v>
      </c>
      <c r="P761" s="841" t="s">
        <v>1136</v>
      </c>
      <c r="Q761" s="843"/>
      <c r="R761" s="845" t="s">
        <v>2637</v>
      </c>
      <c r="S761" s="1127" t="s">
        <v>2638</v>
      </c>
      <c r="T761" s="843" t="s">
        <v>2639</v>
      </c>
      <c r="U761" s="842">
        <v>1</v>
      </c>
      <c r="V761" s="842" t="s">
        <v>3</v>
      </c>
      <c r="W761" s="846"/>
      <c r="X761" s="847">
        <f t="shared" si="138"/>
        <v>0</v>
      </c>
      <c r="Y761" s="848"/>
      <c r="Z761" s="849">
        <v>176.86</v>
      </c>
      <c r="AA761" s="849"/>
      <c r="AB761" s="849">
        <f t="shared" si="139"/>
        <v>176.86</v>
      </c>
      <c r="AC761" s="850">
        <f t="shared" si="140"/>
        <v>176.86</v>
      </c>
      <c r="AD761" s="851"/>
      <c r="AE761" s="852">
        <v>26253.919999999998</v>
      </c>
      <c r="AF761" s="853">
        <v>0</v>
      </c>
      <c r="AG761" s="854">
        <f t="shared" si="141"/>
        <v>0</v>
      </c>
      <c r="AH761" s="853"/>
      <c r="AI761" s="855">
        <f t="shared" si="142"/>
        <v>0</v>
      </c>
      <c r="AJ761" s="845" t="s">
        <v>2573</v>
      </c>
      <c r="AK761" s="857">
        <v>45392</v>
      </c>
      <c r="AL761" s="840" t="s">
        <v>2574</v>
      </c>
      <c r="AM761" s="840"/>
      <c r="AN761" s="858"/>
      <c r="AO761" s="844" t="s">
        <v>1741</v>
      </c>
      <c r="AP761" s="859">
        <v>45423</v>
      </c>
      <c r="AQ761" s="859">
        <v>45423</v>
      </c>
      <c r="AR761" s="859" t="s">
        <v>2575</v>
      </c>
      <c r="AS761" s="840" t="s">
        <v>2576</v>
      </c>
      <c r="AT761" s="840" t="s">
        <v>1743</v>
      </c>
      <c r="AU761" s="860" t="s">
        <v>1311</v>
      </c>
      <c r="AV761" s="870" t="s">
        <v>2577</v>
      </c>
      <c r="AW761" s="861">
        <v>45642</v>
      </c>
      <c r="AX761" s="862" t="s">
        <v>2578</v>
      </c>
      <c r="AY761" s="843" t="s">
        <v>2640</v>
      </c>
      <c r="AZ761" s="842">
        <v>94052990</v>
      </c>
      <c r="BA761" s="842" t="s">
        <v>120</v>
      </c>
      <c r="BB761" s="863" t="s">
        <v>121</v>
      </c>
      <c r="BC761" s="864">
        <v>45645</v>
      </c>
      <c r="BD761" s="860" t="s">
        <v>2580</v>
      </c>
      <c r="BE761" s="865" cm="1">
        <f t="array" ref="BE761">IF(BD761="","",AC761/SUMPRODUCT(--(BD761=$BD$4:$BD$12824),$AC$4:$AC$12824))</f>
        <v>8.0506985526404423E-3</v>
      </c>
      <c r="BF761" s="458"/>
      <c r="BG761" s="458"/>
      <c r="BH761" s="458"/>
      <c r="BI761" s="458"/>
      <c r="BJ761" s="458"/>
      <c r="BK761" s="458"/>
      <c r="BL761" s="458"/>
      <c r="BM761" s="458"/>
      <c r="BN761" s="458"/>
      <c r="BO761" s="866">
        <f>VLOOKUP(BD761,$BD$4:$BN$12824,3,0)*BE761</f>
        <v>108501.94527655328</v>
      </c>
      <c r="BP761" s="866"/>
      <c r="BQ761" s="866"/>
      <c r="BR761" s="866">
        <f>VLOOKUP(BD761,$BD$4:$BN$12824,6,0)*BE761</f>
        <v>80155.701345758513</v>
      </c>
      <c r="BS761" s="866">
        <f>VLOOKUP(BD761,$BD$4:$BN$12824,7,0)*BE761</f>
        <v>4668.6403441689554</v>
      </c>
      <c r="BT761" s="866"/>
      <c r="BU761" s="866">
        <f>VLOOKUP(BD761,$BD$4:$BN$12824,9,0)*BE761</f>
        <v>0</v>
      </c>
      <c r="BV761" s="867"/>
      <c r="BW761" s="867">
        <f>VLOOKUP(BD761,$BD$4:$BN$12824,11,0)*BE761</f>
        <v>4830.4191315842654</v>
      </c>
      <c r="BX761" s="1146">
        <f t="shared" si="148"/>
        <v>198156.70609806501</v>
      </c>
      <c r="BY761" s="867">
        <f t="shared" si="146"/>
        <v>4841424.9972980646</v>
      </c>
      <c r="BZ761" s="867">
        <f t="shared" si="144"/>
        <v>4841424.9972980646</v>
      </c>
      <c r="CA761" s="867">
        <f>_xlfn.MAXIFS($BY$4:$BY$12824,$S$4:$S$12824,$S761)</f>
        <v>4841424.9972980646</v>
      </c>
      <c r="CB761" s="1032"/>
      <c r="CF761" s="946">
        <f t="shared" si="145"/>
        <v>4643268.2911999999</v>
      </c>
    </row>
    <row r="762" spans="1:84">
      <c r="A762" s="1032"/>
      <c r="B762" s="839" t="s">
        <v>98</v>
      </c>
      <c r="C762" s="839" t="s">
        <v>1615</v>
      </c>
      <c r="D762" s="839" t="s">
        <v>2567</v>
      </c>
      <c r="E762" s="839" t="s">
        <v>2568</v>
      </c>
      <c r="F762" s="841">
        <v>45633</v>
      </c>
      <c r="G762" s="840" t="s">
        <v>1618</v>
      </c>
      <c r="H762" s="842" t="s">
        <v>134</v>
      </c>
      <c r="I762" s="842"/>
      <c r="J762" s="841"/>
      <c r="K762" s="841"/>
      <c r="L762" s="843" t="s">
        <v>106</v>
      </c>
      <c r="M762" s="844" t="s">
        <v>107</v>
      </c>
      <c r="N762" s="841" t="s">
        <v>2569</v>
      </c>
      <c r="O762" s="841" t="s">
        <v>108</v>
      </c>
      <c r="P762" s="841" t="s">
        <v>1136</v>
      </c>
      <c r="Q762" s="843"/>
      <c r="R762" s="845" t="s">
        <v>2641</v>
      </c>
      <c r="S762" s="1127" t="s">
        <v>2642</v>
      </c>
      <c r="T762" s="843" t="s">
        <v>2643</v>
      </c>
      <c r="U762" s="842">
        <v>1</v>
      </c>
      <c r="V762" s="842" t="s">
        <v>3</v>
      </c>
      <c r="W762" s="846"/>
      <c r="X762" s="847">
        <f t="shared" si="138"/>
        <v>0</v>
      </c>
      <c r="Y762" s="848"/>
      <c r="Z762" s="849">
        <v>176.86</v>
      </c>
      <c r="AA762" s="849"/>
      <c r="AB762" s="849">
        <f t="shared" si="139"/>
        <v>176.86</v>
      </c>
      <c r="AC762" s="850">
        <f t="shared" si="140"/>
        <v>176.86</v>
      </c>
      <c r="AD762" s="851"/>
      <c r="AE762" s="852">
        <v>26253.919999999998</v>
      </c>
      <c r="AF762" s="853">
        <v>0</v>
      </c>
      <c r="AG762" s="854">
        <f t="shared" si="141"/>
        <v>0</v>
      </c>
      <c r="AH762" s="853"/>
      <c r="AI762" s="855">
        <f t="shared" si="142"/>
        <v>0</v>
      </c>
      <c r="AJ762" s="845" t="s">
        <v>2573</v>
      </c>
      <c r="AK762" s="857">
        <v>45392</v>
      </c>
      <c r="AL762" s="840" t="s">
        <v>2574</v>
      </c>
      <c r="AM762" s="840"/>
      <c r="AN762" s="858"/>
      <c r="AO762" s="844" t="s">
        <v>1741</v>
      </c>
      <c r="AP762" s="859">
        <v>45423</v>
      </c>
      <c r="AQ762" s="859">
        <v>45423</v>
      </c>
      <c r="AR762" s="859" t="s">
        <v>2575</v>
      </c>
      <c r="AS762" s="840" t="s">
        <v>2576</v>
      </c>
      <c r="AT762" s="840" t="s">
        <v>1743</v>
      </c>
      <c r="AU762" s="860" t="s">
        <v>1311</v>
      </c>
      <c r="AV762" s="839" t="s">
        <v>2577</v>
      </c>
      <c r="AW762" s="861">
        <v>45642</v>
      </c>
      <c r="AX762" s="862" t="s">
        <v>2578</v>
      </c>
      <c r="AY762" s="843" t="s">
        <v>2644</v>
      </c>
      <c r="AZ762" s="842">
        <v>94052990</v>
      </c>
      <c r="BA762" s="842" t="s">
        <v>120</v>
      </c>
      <c r="BB762" s="863" t="s">
        <v>121</v>
      </c>
      <c r="BC762" s="864">
        <v>45645</v>
      </c>
      <c r="BD762" s="860" t="s">
        <v>2580</v>
      </c>
      <c r="BE762" s="865" cm="1">
        <f t="array" ref="BE762">IF(BD762="","",AC762/SUMPRODUCT(--(BD762=$BD$4:$BD$12824),$AC$4:$AC$12824))</f>
        <v>8.0506985526404423E-3</v>
      </c>
      <c r="BF762" s="458"/>
      <c r="BG762" s="458"/>
      <c r="BH762" s="458"/>
      <c r="BI762" s="458"/>
      <c r="BJ762" s="458"/>
      <c r="BK762" s="458"/>
      <c r="BL762" s="458"/>
      <c r="BM762" s="458"/>
      <c r="BN762" s="458"/>
      <c r="BO762" s="866">
        <f>VLOOKUP(BD762,$BD$4:$BN$12824,3,0)*BE762</f>
        <v>108501.94527655328</v>
      </c>
      <c r="BP762" s="866"/>
      <c r="BQ762" s="866"/>
      <c r="BR762" s="866">
        <f>VLOOKUP(BD762,$BD$4:$BN$12824,6,0)*BE762</f>
        <v>80155.701345758513</v>
      </c>
      <c r="BS762" s="866">
        <f>VLOOKUP(BD762,$BD$4:$BN$12824,7,0)*BE762</f>
        <v>4668.6403441689554</v>
      </c>
      <c r="BT762" s="866"/>
      <c r="BU762" s="866">
        <f>VLOOKUP(BD762,$BD$4:$BN$12824,9,0)*BE762</f>
        <v>0</v>
      </c>
      <c r="BV762" s="867"/>
      <c r="BW762" s="867">
        <f>VLOOKUP(BD762,$BD$4:$BN$12824,11,0)*BE762</f>
        <v>4830.4191315842654</v>
      </c>
      <c r="BX762" s="1146">
        <f t="shared" si="148"/>
        <v>198156.70609806501</v>
      </c>
      <c r="BY762" s="867">
        <f t="shared" si="146"/>
        <v>4841424.9972980646</v>
      </c>
      <c r="BZ762" s="867">
        <f t="shared" si="144"/>
        <v>4841424.9972980646</v>
      </c>
      <c r="CA762" s="867">
        <f>_xlfn.MAXIFS($BY$4:$BY$12824,$S$4:$S$12824,$S762)</f>
        <v>4841424.9972980646</v>
      </c>
      <c r="CB762" s="1032"/>
      <c r="CF762" s="946">
        <f t="shared" si="145"/>
        <v>4643268.2911999999</v>
      </c>
    </row>
    <row r="763" spans="1:84">
      <c r="A763" s="1032"/>
      <c r="B763" s="839" t="s">
        <v>98</v>
      </c>
      <c r="C763" s="839" t="s">
        <v>1615</v>
      </c>
      <c r="D763" s="839" t="s">
        <v>2567</v>
      </c>
      <c r="E763" s="839" t="s">
        <v>2568</v>
      </c>
      <c r="F763" s="841">
        <v>45633</v>
      </c>
      <c r="G763" s="840" t="s">
        <v>1618</v>
      </c>
      <c r="H763" s="842" t="s">
        <v>134</v>
      </c>
      <c r="I763" s="842"/>
      <c r="J763" s="841"/>
      <c r="K763" s="841"/>
      <c r="L763" s="843" t="s">
        <v>106</v>
      </c>
      <c r="M763" s="844" t="s">
        <v>107</v>
      </c>
      <c r="N763" s="841" t="s">
        <v>2569</v>
      </c>
      <c r="O763" s="841" t="s">
        <v>108</v>
      </c>
      <c r="P763" s="841" t="s">
        <v>1136</v>
      </c>
      <c r="Q763" s="843"/>
      <c r="R763" s="845" t="s">
        <v>2645</v>
      </c>
      <c r="S763" s="1127" t="s">
        <v>2646</v>
      </c>
      <c r="T763" s="843" t="s">
        <v>2647</v>
      </c>
      <c r="U763" s="842">
        <v>1</v>
      </c>
      <c r="V763" s="842" t="s">
        <v>3</v>
      </c>
      <c r="W763" s="846"/>
      <c r="X763" s="847">
        <f t="shared" si="138"/>
        <v>0</v>
      </c>
      <c r="Y763" s="848"/>
      <c r="Z763" s="849">
        <v>176.86</v>
      </c>
      <c r="AA763" s="849"/>
      <c r="AB763" s="849">
        <f t="shared" si="139"/>
        <v>176.86</v>
      </c>
      <c r="AC763" s="850">
        <f t="shared" si="140"/>
        <v>176.86</v>
      </c>
      <c r="AD763" s="851"/>
      <c r="AE763" s="852">
        <v>26253.919999999998</v>
      </c>
      <c r="AF763" s="853">
        <v>0</v>
      </c>
      <c r="AG763" s="854">
        <f t="shared" si="141"/>
        <v>0</v>
      </c>
      <c r="AH763" s="853"/>
      <c r="AI763" s="855">
        <f t="shared" si="142"/>
        <v>0</v>
      </c>
      <c r="AJ763" s="845" t="s">
        <v>2573</v>
      </c>
      <c r="AK763" s="857">
        <v>45392</v>
      </c>
      <c r="AL763" s="840" t="s">
        <v>2574</v>
      </c>
      <c r="AM763" s="840"/>
      <c r="AN763" s="858"/>
      <c r="AO763" s="844" t="s">
        <v>1741</v>
      </c>
      <c r="AP763" s="859">
        <v>45423</v>
      </c>
      <c r="AQ763" s="859">
        <v>45423</v>
      </c>
      <c r="AR763" s="859" t="s">
        <v>2575</v>
      </c>
      <c r="AS763" s="840" t="s">
        <v>2576</v>
      </c>
      <c r="AT763" s="840" t="s">
        <v>1743</v>
      </c>
      <c r="AU763" s="860" t="s">
        <v>1311</v>
      </c>
      <c r="AV763" s="839" t="s">
        <v>2577</v>
      </c>
      <c r="AW763" s="861">
        <v>45642</v>
      </c>
      <c r="AX763" s="862" t="s">
        <v>2578</v>
      </c>
      <c r="AY763" s="843" t="s">
        <v>2648</v>
      </c>
      <c r="AZ763" s="842">
        <v>94052990</v>
      </c>
      <c r="BA763" s="842" t="s">
        <v>120</v>
      </c>
      <c r="BB763" s="863" t="s">
        <v>121</v>
      </c>
      <c r="BC763" s="864">
        <v>45645</v>
      </c>
      <c r="BD763" s="860" t="s">
        <v>2580</v>
      </c>
      <c r="BE763" s="865" cm="1">
        <f t="array" ref="BE763">IF(BD763="","",AC763/SUMPRODUCT(--(BD763=$BD$4:$BD$12824),$AC$4:$AC$12824))</f>
        <v>8.0506985526404423E-3</v>
      </c>
      <c r="BF763" s="458"/>
      <c r="BG763" s="458"/>
      <c r="BH763" s="458"/>
      <c r="BI763" s="458"/>
      <c r="BJ763" s="458"/>
      <c r="BK763" s="458"/>
      <c r="BL763" s="458"/>
      <c r="BM763" s="458"/>
      <c r="BN763" s="458"/>
      <c r="BO763" s="866">
        <f>VLOOKUP(BD763,$BD$4:$BN$12824,3,0)*BE763</f>
        <v>108501.94527655328</v>
      </c>
      <c r="BP763" s="866"/>
      <c r="BQ763" s="866"/>
      <c r="BR763" s="866">
        <f>VLOOKUP(BD763,$BD$4:$BN$12824,6,0)*BE763</f>
        <v>80155.701345758513</v>
      </c>
      <c r="BS763" s="866">
        <f>VLOOKUP(BD763,$BD$4:$BN$12824,7,0)*BE763</f>
        <v>4668.6403441689554</v>
      </c>
      <c r="BT763" s="866"/>
      <c r="BU763" s="866">
        <f>VLOOKUP(BD763,$BD$4:$BN$12824,9,0)*BE763</f>
        <v>0</v>
      </c>
      <c r="BV763" s="867"/>
      <c r="BW763" s="867">
        <f>VLOOKUP(BD763,$BD$4:$BN$12824,11,0)*BE763</f>
        <v>4830.4191315842654</v>
      </c>
      <c r="BX763" s="1146">
        <f t="shared" si="148"/>
        <v>198156.70609806501</v>
      </c>
      <c r="BY763" s="867">
        <f t="shared" si="146"/>
        <v>4841424.9972980646</v>
      </c>
      <c r="BZ763" s="867">
        <f t="shared" si="144"/>
        <v>4841424.9972980646</v>
      </c>
      <c r="CA763" s="867">
        <f>_xlfn.MAXIFS($BY$4:$BY$12824,$S$4:$S$12824,$S763)</f>
        <v>4841424.9972980646</v>
      </c>
      <c r="CB763" s="1032"/>
      <c r="CF763" s="946">
        <f t="shared" si="145"/>
        <v>4643268.2911999999</v>
      </c>
    </row>
    <row r="764" spans="1:84">
      <c r="A764" s="1032"/>
      <c r="B764" s="839" t="s">
        <v>98</v>
      </c>
      <c r="C764" s="839" t="s">
        <v>1615</v>
      </c>
      <c r="D764" s="839" t="s">
        <v>2567</v>
      </c>
      <c r="E764" s="839" t="s">
        <v>2568</v>
      </c>
      <c r="F764" s="841">
        <v>45633</v>
      </c>
      <c r="G764" s="840" t="s">
        <v>1618</v>
      </c>
      <c r="H764" s="842" t="s">
        <v>134</v>
      </c>
      <c r="I764" s="842"/>
      <c r="J764" s="841"/>
      <c r="K764" s="841"/>
      <c r="L764" s="843" t="s">
        <v>106</v>
      </c>
      <c r="M764" s="844" t="s">
        <v>107</v>
      </c>
      <c r="N764" s="841" t="s">
        <v>2569</v>
      </c>
      <c r="O764" s="841" t="s">
        <v>108</v>
      </c>
      <c r="P764" s="841" t="s">
        <v>1136</v>
      </c>
      <c r="Q764" s="843"/>
      <c r="R764" s="845" t="s">
        <v>2649</v>
      </c>
      <c r="S764" s="1127" t="s">
        <v>2650</v>
      </c>
      <c r="T764" s="843" t="s">
        <v>2651</v>
      </c>
      <c r="U764" s="842">
        <v>2</v>
      </c>
      <c r="V764" s="842" t="s">
        <v>3</v>
      </c>
      <c r="W764" s="846"/>
      <c r="X764" s="847">
        <f t="shared" si="138"/>
        <v>0</v>
      </c>
      <c r="Y764" s="848"/>
      <c r="Z764" s="849">
        <v>395.6</v>
      </c>
      <c r="AA764" s="849"/>
      <c r="AB764" s="849">
        <f t="shared" si="139"/>
        <v>791.2</v>
      </c>
      <c r="AC764" s="850">
        <f t="shared" si="140"/>
        <v>791.2</v>
      </c>
      <c r="AD764" s="851"/>
      <c r="AE764" s="852">
        <v>26253.919999999998</v>
      </c>
      <c r="AF764" s="853">
        <v>0</v>
      </c>
      <c r="AG764" s="854">
        <f t="shared" si="141"/>
        <v>0</v>
      </c>
      <c r="AH764" s="853"/>
      <c r="AI764" s="855">
        <f t="shared" si="142"/>
        <v>0</v>
      </c>
      <c r="AJ764" s="845" t="s">
        <v>2573</v>
      </c>
      <c r="AK764" s="857">
        <v>45392</v>
      </c>
      <c r="AL764" s="840" t="s">
        <v>2574</v>
      </c>
      <c r="AM764" s="840"/>
      <c r="AN764" s="858"/>
      <c r="AO764" s="844" t="s">
        <v>1741</v>
      </c>
      <c r="AP764" s="859">
        <v>45423</v>
      </c>
      <c r="AQ764" s="859">
        <v>45423</v>
      </c>
      <c r="AR764" s="859" t="s">
        <v>2575</v>
      </c>
      <c r="AS764" s="840" t="s">
        <v>2576</v>
      </c>
      <c r="AT764" s="840" t="s">
        <v>1743</v>
      </c>
      <c r="AU764" s="860" t="s">
        <v>1311</v>
      </c>
      <c r="AV764" s="839" t="s">
        <v>2577</v>
      </c>
      <c r="AW764" s="861">
        <v>45642</v>
      </c>
      <c r="AX764" s="862" t="s">
        <v>2578</v>
      </c>
      <c r="AY764" s="843" t="s">
        <v>2652</v>
      </c>
      <c r="AZ764" s="842">
        <v>94052990</v>
      </c>
      <c r="BA764" s="842" t="s">
        <v>120</v>
      </c>
      <c r="BB764" s="863" t="s">
        <v>121</v>
      </c>
      <c r="BC764" s="864">
        <v>45645</v>
      </c>
      <c r="BD764" s="860" t="s">
        <v>2580</v>
      </c>
      <c r="BE764" s="865" cm="1">
        <f t="array" ref="BE764">IF(BD764="","",AC764/SUMPRODUCT(--(BD764=$BD$4:$BD$12824),$AC$4:$AC$12824))</f>
        <v>3.6015564259013449E-2</v>
      </c>
      <c r="BF764" s="458"/>
      <c r="BG764" s="458"/>
      <c r="BH764" s="458"/>
      <c r="BI764" s="458"/>
      <c r="BJ764" s="458"/>
      <c r="BK764" s="458"/>
      <c r="BL764" s="458"/>
      <c r="BM764" s="458"/>
      <c r="BN764" s="458"/>
      <c r="BO764" s="866">
        <f>VLOOKUP(BD764,$BD$4:$BN$12824,3,0)*BE764</f>
        <v>485393.75270162249</v>
      </c>
      <c r="BP764" s="866"/>
      <c r="BQ764" s="866"/>
      <c r="BR764" s="866">
        <f>VLOOKUP(BD764,$BD$4:$BN$12824,6,0)*BE764</f>
        <v>358584.13945925672</v>
      </c>
      <c r="BS764" s="866">
        <f>VLOOKUP(BD764,$BD$4:$BN$12824,7,0)*BE764</f>
        <v>20885.605791623195</v>
      </c>
      <c r="BT764" s="866"/>
      <c r="BU764" s="866">
        <f>VLOOKUP(BD764,$BD$4:$BN$12824,9,0)*BE764</f>
        <v>0</v>
      </c>
      <c r="BV764" s="867"/>
      <c r="BW764" s="867">
        <f>VLOOKUP(BD764,$BD$4:$BN$12824,11,0)*BE764</f>
        <v>21609.338555408071</v>
      </c>
      <c r="BX764" s="1146">
        <f t="shared" si="148"/>
        <v>886472.83650791051</v>
      </c>
      <c r="BY764" s="867">
        <f t="shared" si="146"/>
        <v>10829287.170253955</v>
      </c>
      <c r="BZ764" s="867">
        <f t="shared" si="144"/>
        <v>21658574.34050791</v>
      </c>
      <c r="CA764" s="867">
        <f>_xlfn.MAXIFS($BY$4:$BY$12824,$S$4:$S$12824,$S764)</f>
        <v>10829287.170253955</v>
      </c>
      <c r="CB764" s="1032"/>
      <c r="CF764" s="946">
        <f t="shared" si="145"/>
        <v>20772101.504000001</v>
      </c>
    </row>
    <row r="765" spans="1:84">
      <c r="A765" s="1032"/>
      <c r="B765" s="839" t="s">
        <v>98</v>
      </c>
      <c r="C765" s="839" t="s">
        <v>1615</v>
      </c>
      <c r="D765" s="839" t="s">
        <v>2567</v>
      </c>
      <c r="E765" s="839" t="s">
        <v>2568</v>
      </c>
      <c r="F765" s="841">
        <v>45633</v>
      </c>
      <c r="G765" s="840" t="s">
        <v>1618</v>
      </c>
      <c r="H765" s="842" t="s">
        <v>134</v>
      </c>
      <c r="I765" s="842"/>
      <c r="J765" s="841"/>
      <c r="K765" s="841"/>
      <c r="L765" s="843" t="s">
        <v>106</v>
      </c>
      <c r="M765" s="844" t="s">
        <v>107</v>
      </c>
      <c r="N765" s="841" t="s">
        <v>2569</v>
      </c>
      <c r="O765" s="841" t="s">
        <v>108</v>
      </c>
      <c r="P765" s="841" t="s">
        <v>1136</v>
      </c>
      <c r="Q765" s="843"/>
      <c r="R765" s="845" t="s">
        <v>2653</v>
      </c>
      <c r="S765" s="1127" t="s">
        <v>2654</v>
      </c>
      <c r="T765" s="843" t="s">
        <v>2655</v>
      </c>
      <c r="U765" s="842">
        <v>1</v>
      </c>
      <c r="V765" s="842" t="s">
        <v>3</v>
      </c>
      <c r="W765" s="846"/>
      <c r="X765" s="847">
        <f t="shared" si="138"/>
        <v>0</v>
      </c>
      <c r="Y765" s="848"/>
      <c r="Z765" s="849">
        <v>395.6</v>
      </c>
      <c r="AA765" s="849"/>
      <c r="AB765" s="849">
        <f t="shared" si="139"/>
        <v>395.6</v>
      </c>
      <c r="AC765" s="850">
        <f t="shared" si="140"/>
        <v>395.6</v>
      </c>
      <c r="AD765" s="851"/>
      <c r="AE765" s="852">
        <v>26253.919999999998</v>
      </c>
      <c r="AF765" s="853">
        <v>0</v>
      </c>
      <c r="AG765" s="854">
        <f t="shared" si="141"/>
        <v>0</v>
      </c>
      <c r="AH765" s="853"/>
      <c r="AI765" s="855">
        <f t="shared" si="142"/>
        <v>0</v>
      </c>
      <c r="AJ765" s="845" t="s">
        <v>2573</v>
      </c>
      <c r="AK765" s="857">
        <v>45392</v>
      </c>
      <c r="AL765" s="840" t="s">
        <v>2574</v>
      </c>
      <c r="AM765" s="840"/>
      <c r="AN765" s="858"/>
      <c r="AO765" s="844" t="s">
        <v>1741</v>
      </c>
      <c r="AP765" s="859">
        <v>45423</v>
      </c>
      <c r="AQ765" s="859">
        <v>45423</v>
      </c>
      <c r="AR765" s="859" t="s">
        <v>2575</v>
      </c>
      <c r="AS765" s="840" t="s">
        <v>2576</v>
      </c>
      <c r="AT765" s="840" t="s">
        <v>1743</v>
      </c>
      <c r="AU765" s="860" t="s">
        <v>1311</v>
      </c>
      <c r="AV765" s="839" t="s">
        <v>2577</v>
      </c>
      <c r="AW765" s="861">
        <v>45642</v>
      </c>
      <c r="AX765" s="862" t="s">
        <v>2578</v>
      </c>
      <c r="AY765" s="843" t="s">
        <v>2656</v>
      </c>
      <c r="AZ765" s="842">
        <v>94052990</v>
      </c>
      <c r="BA765" s="842" t="s">
        <v>120</v>
      </c>
      <c r="BB765" s="863" t="s">
        <v>121</v>
      </c>
      <c r="BC765" s="864">
        <v>45645</v>
      </c>
      <c r="BD765" s="860" t="s">
        <v>2580</v>
      </c>
      <c r="BE765" s="865" cm="1">
        <f t="array" ref="BE765">IF(BD765="","",AC765/SUMPRODUCT(--(BD765=$BD$4:$BD$12824),$AC$4:$AC$12824))</f>
        <v>1.8007782129506725E-2</v>
      </c>
      <c r="BF765" s="458"/>
      <c r="BG765" s="458"/>
      <c r="BH765" s="458"/>
      <c r="BI765" s="458"/>
      <c r="BJ765" s="458"/>
      <c r="BK765" s="458"/>
      <c r="BL765" s="458"/>
      <c r="BM765" s="458"/>
      <c r="BN765" s="458"/>
      <c r="BO765" s="866">
        <f>VLOOKUP(BD765,$BD$4:$BN$12824,3,0)*BE765</f>
        <v>242696.87635081125</v>
      </c>
      <c r="BP765" s="866"/>
      <c r="BQ765" s="866"/>
      <c r="BR765" s="866">
        <f>VLOOKUP(BD765,$BD$4:$BN$12824,6,0)*BE765</f>
        <v>179292.06972962836</v>
      </c>
      <c r="BS765" s="866">
        <f>VLOOKUP(BD765,$BD$4:$BN$12824,7,0)*BE765</f>
        <v>10442.802895811597</v>
      </c>
      <c r="BT765" s="866"/>
      <c r="BU765" s="866">
        <f>VLOOKUP(BD765,$BD$4:$BN$12824,9,0)*BE765</f>
        <v>0</v>
      </c>
      <c r="BV765" s="867"/>
      <c r="BW765" s="867">
        <f>VLOOKUP(BD765,$BD$4:$BN$12824,11,0)*BE765</f>
        <v>10804.669277704035</v>
      </c>
      <c r="BX765" s="1146">
        <f t="shared" si="148"/>
        <v>443236.41825395526</v>
      </c>
      <c r="BY765" s="867">
        <f t="shared" si="146"/>
        <v>10829287.170253955</v>
      </c>
      <c r="BZ765" s="867">
        <f t="shared" si="144"/>
        <v>10829287.170253955</v>
      </c>
      <c r="CA765" s="867">
        <f>_xlfn.MAXIFS($BY$4:$BY$12824,$S$4:$S$12824,$S765)</f>
        <v>10829287.170253955</v>
      </c>
      <c r="CB765" s="1032"/>
      <c r="CF765" s="946">
        <f t="shared" si="145"/>
        <v>10386050.752</v>
      </c>
    </row>
    <row r="766" spans="1:84">
      <c r="A766" s="1032"/>
      <c r="B766" s="839" t="s">
        <v>98</v>
      </c>
      <c r="C766" s="839" t="s">
        <v>1615</v>
      </c>
      <c r="D766" s="839" t="s">
        <v>2567</v>
      </c>
      <c r="E766" s="839" t="s">
        <v>2568</v>
      </c>
      <c r="F766" s="841">
        <v>45633</v>
      </c>
      <c r="G766" s="840" t="s">
        <v>1618</v>
      </c>
      <c r="H766" s="842" t="s">
        <v>134</v>
      </c>
      <c r="I766" s="842"/>
      <c r="J766" s="841"/>
      <c r="K766" s="841"/>
      <c r="L766" s="843" t="s">
        <v>106</v>
      </c>
      <c r="M766" s="844" t="s">
        <v>107</v>
      </c>
      <c r="N766" s="841" t="s">
        <v>2569</v>
      </c>
      <c r="O766" s="841" t="s">
        <v>108</v>
      </c>
      <c r="P766" s="841" t="s">
        <v>1136</v>
      </c>
      <c r="Q766" s="843"/>
      <c r="R766" s="845" t="s">
        <v>2657</v>
      </c>
      <c r="S766" s="1127" t="s">
        <v>2658</v>
      </c>
      <c r="T766" s="843" t="s">
        <v>2659</v>
      </c>
      <c r="U766" s="842">
        <v>1</v>
      </c>
      <c r="V766" s="842" t="s">
        <v>3</v>
      </c>
      <c r="W766" s="846"/>
      <c r="X766" s="847">
        <f t="shared" si="138"/>
        <v>0</v>
      </c>
      <c r="Y766" s="848"/>
      <c r="Z766" s="849">
        <v>395.6</v>
      </c>
      <c r="AA766" s="849"/>
      <c r="AB766" s="849">
        <f t="shared" si="139"/>
        <v>395.6</v>
      </c>
      <c r="AC766" s="850">
        <f t="shared" si="140"/>
        <v>395.6</v>
      </c>
      <c r="AD766" s="851"/>
      <c r="AE766" s="852">
        <v>26253.919999999998</v>
      </c>
      <c r="AF766" s="853">
        <v>0</v>
      </c>
      <c r="AG766" s="854">
        <f t="shared" si="141"/>
        <v>0</v>
      </c>
      <c r="AH766" s="853"/>
      <c r="AI766" s="855">
        <f t="shared" si="142"/>
        <v>0</v>
      </c>
      <c r="AJ766" s="845" t="s">
        <v>2573</v>
      </c>
      <c r="AK766" s="857">
        <v>45392</v>
      </c>
      <c r="AL766" s="840" t="s">
        <v>2574</v>
      </c>
      <c r="AM766" s="840"/>
      <c r="AN766" s="858"/>
      <c r="AO766" s="844" t="s">
        <v>1741</v>
      </c>
      <c r="AP766" s="859">
        <v>45423</v>
      </c>
      <c r="AQ766" s="859">
        <v>45423</v>
      </c>
      <c r="AR766" s="859" t="s">
        <v>2575</v>
      </c>
      <c r="AS766" s="840" t="s">
        <v>2576</v>
      </c>
      <c r="AT766" s="840" t="s">
        <v>1743</v>
      </c>
      <c r="AU766" s="860" t="s">
        <v>1311</v>
      </c>
      <c r="AV766" s="839" t="s">
        <v>2577</v>
      </c>
      <c r="AW766" s="861">
        <v>45642</v>
      </c>
      <c r="AX766" s="862" t="s">
        <v>2578</v>
      </c>
      <c r="AY766" s="843" t="s">
        <v>2660</v>
      </c>
      <c r="AZ766" s="842">
        <v>94052990</v>
      </c>
      <c r="BA766" s="842" t="s">
        <v>120</v>
      </c>
      <c r="BB766" s="863" t="s">
        <v>121</v>
      </c>
      <c r="BC766" s="864">
        <v>45645</v>
      </c>
      <c r="BD766" s="860" t="s">
        <v>2580</v>
      </c>
      <c r="BE766" s="865" cm="1">
        <f t="array" ref="BE766">IF(BD766="","",AC766/SUMPRODUCT(--(BD766=$BD$4:$BD$12824),$AC$4:$AC$12824))</f>
        <v>1.8007782129506725E-2</v>
      </c>
      <c r="BF766" s="458"/>
      <c r="BG766" s="458"/>
      <c r="BH766" s="458"/>
      <c r="BI766" s="458"/>
      <c r="BJ766" s="458"/>
      <c r="BK766" s="458"/>
      <c r="BL766" s="458"/>
      <c r="BM766" s="458"/>
      <c r="BN766" s="458"/>
      <c r="BO766" s="866">
        <f>VLOOKUP(BD766,$BD$4:$BN$12824,3,0)*BE766</f>
        <v>242696.87635081125</v>
      </c>
      <c r="BP766" s="866"/>
      <c r="BQ766" s="866"/>
      <c r="BR766" s="866">
        <f>VLOOKUP(BD766,$BD$4:$BN$12824,6,0)*BE766</f>
        <v>179292.06972962836</v>
      </c>
      <c r="BS766" s="866">
        <f>VLOOKUP(BD766,$BD$4:$BN$12824,7,0)*BE766</f>
        <v>10442.802895811597</v>
      </c>
      <c r="BT766" s="866"/>
      <c r="BU766" s="866">
        <f>VLOOKUP(BD766,$BD$4:$BN$12824,9,0)*BE766</f>
        <v>0</v>
      </c>
      <c r="BV766" s="867"/>
      <c r="BW766" s="867">
        <f>VLOOKUP(BD766,$BD$4:$BN$12824,11,0)*BE766</f>
        <v>10804.669277704035</v>
      </c>
      <c r="BX766" s="1146">
        <f t="shared" si="148"/>
        <v>443236.41825395526</v>
      </c>
      <c r="BY766" s="867">
        <f t="shared" si="146"/>
        <v>10829287.170253955</v>
      </c>
      <c r="BZ766" s="867">
        <f t="shared" si="144"/>
        <v>10829287.170253955</v>
      </c>
      <c r="CA766" s="867">
        <f>_xlfn.MAXIFS($BY$4:$BY$12824,$S$4:$S$12824,$S766)</f>
        <v>10829287.170253955</v>
      </c>
      <c r="CB766" s="1032"/>
      <c r="CF766" s="946">
        <f t="shared" si="145"/>
        <v>10386050.752</v>
      </c>
    </row>
    <row r="767" spans="1:84">
      <c r="A767" s="1032"/>
      <c r="B767" s="839" t="s">
        <v>98</v>
      </c>
      <c r="C767" s="839" t="s">
        <v>1615</v>
      </c>
      <c r="D767" s="839" t="s">
        <v>2567</v>
      </c>
      <c r="E767" s="839" t="s">
        <v>2568</v>
      </c>
      <c r="F767" s="841">
        <v>45633</v>
      </c>
      <c r="G767" s="840" t="s">
        <v>1618</v>
      </c>
      <c r="H767" s="842" t="s">
        <v>134</v>
      </c>
      <c r="I767" s="842"/>
      <c r="J767" s="841"/>
      <c r="K767" s="841"/>
      <c r="L767" s="843" t="s">
        <v>106</v>
      </c>
      <c r="M767" s="844" t="s">
        <v>107</v>
      </c>
      <c r="N767" s="841" t="s">
        <v>2569</v>
      </c>
      <c r="O767" s="841" t="s">
        <v>108</v>
      </c>
      <c r="P767" s="841" t="s">
        <v>1136</v>
      </c>
      <c r="Q767" s="843"/>
      <c r="R767" s="845" t="s">
        <v>2661</v>
      </c>
      <c r="S767" s="1127" t="s">
        <v>2662</v>
      </c>
      <c r="T767" s="843" t="s">
        <v>2663</v>
      </c>
      <c r="U767" s="842">
        <v>5</v>
      </c>
      <c r="V767" s="842" t="s">
        <v>3</v>
      </c>
      <c r="W767" s="846"/>
      <c r="X767" s="847">
        <f t="shared" si="138"/>
        <v>0</v>
      </c>
      <c r="Y767" s="848"/>
      <c r="Z767" s="849">
        <v>190.82</v>
      </c>
      <c r="AA767" s="849"/>
      <c r="AB767" s="849">
        <f t="shared" si="139"/>
        <v>954.09999999999991</v>
      </c>
      <c r="AC767" s="850">
        <f t="shared" si="140"/>
        <v>954.09999999999991</v>
      </c>
      <c r="AD767" s="851"/>
      <c r="AE767" s="852">
        <v>26253.919999999998</v>
      </c>
      <c r="AF767" s="853">
        <v>0</v>
      </c>
      <c r="AG767" s="854">
        <f t="shared" si="141"/>
        <v>0</v>
      </c>
      <c r="AH767" s="853"/>
      <c r="AI767" s="855">
        <f t="shared" si="142"/>
        <v>0</v>
      </c>
      <c r="AJ767" s="845" t="s">
        <v>2573</v>
      </c>
      <c r="AK767" s="857">
        <v>45392</v>
      </c>
      <c r="AL767" s="840" t="s">
        <v>2574</v>
      </c>
      <c r="AM767" s="840"/>
      <c r="AN767" s="858"/>
      <c r="AO767" s="844" t="s">
        <v>1741</v>
      </c>
      <c r="AP767" s="859">
        <v>45423</v>
      </c>
      <c r="AQ767" s="859">
        <v>45423</v>
      </c>
      <c r="AR767" s="859" t="s">
        <v>2575</v>
      </c>
      <c r="AS767" s="840" t="s">
        <v>2576</v>
      </c>
      <c r="AT767" s="840" t="s">
        <v>1743</v>
      </c>
      <c r="AU767" s="860" t="s">
        <v>1311</v>
      </c>
      <c r="AV767" s="839" t="s">
        <v>2577</v>
      </c>
      <c r="AW767" s="861">
        <v>45642</v>
      </c>
      <c r="AX767" s="862" t="s">
        <v>2578</v>
      </c>
      <c r="AY767" s="843" t="s">
        <v>2664</v>
      </c>
      <c r="AZ767" s="842">
        <v>94051999</v>
      </c>
      <c r="BA767" s="842" t="s">
        <v>120</v>
      </c>
      <c r="BB767" s="863" t="s">
        <v>121</v>
      </c>
      <c r="BC767" s="864">
        <v>45645</v>
      </c>
      <c r="BD767" s="860" t="s">
        <v>2580</v>
      </c>
      <c r="BE767" s="865" cm="1">
        <f t="array" ref="BE767">IF(BD767="","",AC767/SUMPRODUCT(--(BD767=$BD$4:$BD$12824),$AC$4:$AC$12824))</f>
        <v>4.3430801136911938E-2</v>
      </c>
      <c r="BF767" s="458"/>
      <c r="BG767" s="458"/>
      <c r="BH767" s="458"/>
      <c r="BI767" s="458"/>
      <c r="BJ767" s="458"/>
      <c r="BK767" s="458"/>
      <c r="BL767" s="458"/>
      <c r="BM767" s="458"/>
      <c r="BN767" s="458"/>
      <c r="BO767" s="866">
        <f>VLOOKUP(BD767,$BD$4:$BN$12824,3,0)*BE767</f>
        <v>585331.36937894078</v>
      </c>
      <c r="BP767" s="866"/>
      <c r="BQ767" s="866"/>
      <c r="BR767" s="866">
        <f>VLOOKUP(BD767,$BD$4:$BN$12824,6,0)*BE767</f>
        <v>432412.95179231139</v>
      </c>
      <c r="BS767" s="866">
        <f>VLOOKUP(BD767,$BD$4:$BN$12824,7,0)*BE767</f>
        <v>25185.738733300917</v>
      </c>
      <c r="BT767" s="866"/>
      <c r="BU767" s="866">
        <f>VLOOKUP(BD767,$BD$4:$BN$12824,9,0)*BE767</f>
        <v>0</v>
      </c>
      <c r="BV767" s="867"/>
      <c r="BW767" s="867">
        <f>VLOOKUP(BD767,$BD$4:$BN$12824,11,0)*BE767</f>
        <v>26058.480682147161</v>
      </c>
      <c r="BX767" s="1146">
        <f t="shared" si="148"/>
        <v>1068988.5405867002</v>
      </c>
      <c r="BY767" s="867">
        <f t="shared" si="146"/>
        <v>5223570.7225173395</v>
      </c>
      <c r="BZ767" s="867">
        <f t="shared" si="144"/>
        <v>26117853.612586699</v>
      </c>
      <c r="CA767" s="867">
        <f>_xlfn.MAXIFS($BY$4:$BY$12824,$S$4:$S$12824,$S767)</f>
        <v>5223570.7225173395</v>
      </c>
      <c r="CB767" s="1032"/>
      <c r="CF767" s="946">
        <f t="shared" si="145"/>
        <v>25048865.071999997</v>
      </c>
    </row>
    <row r="768" spans="1:84">
      <c r="A768" s="1032"/>
      <c r="B768" s="839" t="s">
        <v>98</v>
      </c>
      <c r="C768" s="839" t="s">
        <v>1615</v>
      </c>
      <c r="D768" s="839" t="s">
        <v>2567</v>
      </c>
      <c r="E768" s="839" t="s">
        <v>2568</v>
      </c>
      <c r="F768" s="841">
        <v>45633</v>
      </c>
      <c r="G768" s="840" t="s">
        <v>1618</v>
      </c>
      <c r="H768" s="842" t="s">
        <v>134</v>
      </c>
      <c r="I768" s="842"/>
      <c r="J768" s="841"/>
      <c r="K768" s="841"/>
      <c r="L768" s="843" t="s">
        <v>106</v>
      </c>
      <c r="M768" s="844" t="s">
        <v>107</v>
      </c>
      <c r="N768" s="841" t="s">
        <v>2569</v>
      </c>
      <c r="O768" s="841" t="s">
        <v>108</v>
      </c>
      <c r="P768" s="841" t="s">
        <v>1136</v>
      </c>
      <c r="Q768" s="843"/>
      <c r="R768" s="845" t="s">
        <v>2665</v>
      </c>
      <c r="S768" s="1127" t="s">
        <v>2666</v>
      </c>
      <c r="T768" s="843" t="s">
        <v>2667</v>
      </c>
      <c r="U768" s="842">
        <v>5</v>
      </c>
      <c r="V768" s="842" t="s">
        <v>3</v>
      </c>
      <c r="W768" s="846"/>
      <c r="X768" s="847">
        <f t="shared" si="138"/>
        <v>0</v>
      </c>
      <c r="Y768" s="848"/>
      <c r="Z768" s="849">
        <v>150.79</v>
      </c>
      <c r="AA768" s="849"/>
      <c r="AB768" s="849">
        <f t="shared" si="139"/>
        <v>753.94999999999993</v>
      </c>
      <c r="AC768" s="850">
        <f t="shared" si="140"/>
        <v>753.94999999999993</v>
      </c>
      <c r="AD768" s="851"/>
      <c r="AE768" s="852">
        <v>26253.919999999998</v>
      </c>
      <c r="AF768" s="853">
        <v>0</v>
      </c>
      <c r="AG768" s="854">
        <f t="shared" si="141"/>
        <v>0</v>
      </c>
      <c r="AH768" s="853"/>
      <c r="AI768" s="855">
        <f t="shared" si="142"/>
        <v>0</v>
      </c>
      <c r="AJ768" s="845" t="s">
        <v>2573</v>
      </c>
      <c r="AK768" s="857">
        <v>45392</v>
      </c>
      <c r="AL768" s="840" t="s">
        <v>2574</v>
      </c>
      <c r="AM768" s="840"/>
      <c r="AN768" s="858"/>
      <c r="AO768" s="844" t="s">
        <v>1741</v>
      </c>
      <c r="AP768" s="859">
        <v>45423</v>
      </c>
      <c r="AQ768" s="859">
        <v>45423</v>
      </c>
      <c r="AR768" s="859" t="s">
        <v>2575</v>
      </c>
      <c r="AS768" s="840" t="s">
        <v>2576</v>
      </c>
      <c r="AT768" s="840" t="s">
        <v>1743</v>
      </c>
      <c r="AU768" s="860" t="s">
        <v>1311</v>
      </c>
      <c r="AV768" s="839" t="s">
        <v>2577</v>
      </c>
      <c r="AW768" s="861">
        <v>45642</v>
      </c>
      <c r="AX768" s="862" t="s">
        <v>2578</v>
      </c>
      <c r="AY768" s="843" t="s">
        <v>2668</v>
      </c>
      <c r="AZ768" s="842">
        <v>94051999</v>
      </c>
      <c r="BA768" s="842" t="s">
        <v>120</v>
      </c>
      <c r="BB768" s="863" t="s">
        <v>121</v>
      </c>
      <c r="BC768" s="864">
        <v>45645</v>
      </c>
      <c r="BD768" s="860" t="s">
        <v>2580</v>
      </c>
      <c r="BE768" s="865" cm="1">
        <f t="array" ref="BE768">IF(BD768="","",AC768/SUMPRODUCT(--(BD768=$BD$4:$BD$12824),$AC$4:$AC$12824))</f>
        <v>3.4319937655565201E-2</v>
      </c>
      <c r="BF768" s="458"/>
      <c r="BG768" s="458"/>
      <c r="BH768" s="458"/>
      <c r="BI768" s="458"/>
      <c r="BJ768" s="458"/>
      <c r="BK768" s="458"/>
      <c r="BL768" s="458"/>
      <c r="BM768" s="458"/>
      <c r="BN768" s="458"/>
      <c r="BO768" s="866">
        <f>VLOOKUP(BD768,$BD$4:$BN$12824,3,0)*BE768</f>
        <v>462541.22832329152</v>
      </c>
      <c r="BP768" s="866"/>
      <c r="BQ768" s="866"/>
      <c r="BR768" s="866">
        <f>VLOOKUP(BD768,$BD$4:$BN$12824,6,0)*BE768</f>
        <v>341701.86039598909</v>
      </c>
      <c r="BS768" s="866">
        <f>VLOOKUP(BD768,$BD$4:$BN$12824,7,0)*BE768</f>
        <v>19902.303446150538</v>
      </c>
      <c r="BT768" s="866"/>
      <c r="BU768" s="866">
        <f>VLOOKUP(BD768,$BD$4:$BN$12824,9,0)*BE768</f>
        <v>0</v>
      </c>
      <c r="BV768" s="867"/>
      <c r="BW768" s="867">
        <f>VLOOKUP(BD768,$BD$4:$BN$12824,11,0)*BE768</f>
        <v>20591.962593339122</v>
      </c>
      <c r="BX768" s="1146">
        <f t="shared" si="148"/>
        <v>844737.35475877032</v>
      </c>
      <c r="BY768" s="867">
        <f t="shared" si="146"/>
        <v>4127776.0677517531</v>
      </c>
      <c r="BZ768" s="867">
        <f t="shared" si="144"/>
        <v>20638880.338758767</v>
      </c>
      <c r="CA768" s="867">
        <f>_xlfn.MAXIFS($BY$4:$BY$12824,$S$4:$S$12824,$S768)</f>
        <v>4127776.0677517531</v>
      </c>
      <c r="CB768" s="1032"/>
      <c r="CF768" s="946">
        <f t="shared" si="145"/>
        <v>19794142.983999997</v>
      </c>
    </row>
    <row r="769" spans="1:84">
      <c r="A769" s="1032"/>
      <c r="B769" s="839" t="s">
        <v>98</v>
      </c>
      <c r="C769" s="839" t="s">
        <v>1615</v>
      </c>
      <c r="D769" s="839" t="s">
        <v>2567</v>
      </c>
      <c r="E769" s="839" t="s">
        <v>2568</v>
      </c>
      <c r="F769" s="841">
        <v>45633</v>
      </c>
      <c r="G769" s="840" t="s">
        <v>1618</v>
      </c>
      <c r="H769" s="842" t="s">
        <v>134</v>
      </c>
      <c r="I769" s="842"/>
      <c r="J769" s="841"/>
      <c r="K769" s="841"/>
      <c r="L769" s="843" t="s">
        <v>106</v>
      </c>
      <c r="M769" s="844" t="s">
        <v>107</v>
      </c>
      <c r="N769" s="841" t="s">
        <v>2569</v>
      </c>
      <c r="O769" s="841" t="s">
        <v>108</v>
      </c>
      <c r="P769" s="841" t="s">
        <v>1136</v>
      </c>
      <c r="Q769" s="843"/>
      <c r="R769" s="845" t="s">
        <v>2669</v>
      </c>
      <c r="S769" s="1127" t="s">
        <v>2670</v>
      </c>
      <c r="T769" s="843" t="s">
        <v>2671</v>
      </c>
      <c r="U769" s="842">
        <v>1</v>
      </c>
      <c r="V769" s="842" t="s">
        <v>3</v>
      </c>
      <c r="W769" s="846"/>
      <c r="X769" s="847">
        <f t="shared" si="138"/>
        <v>0</v>
      </c>
      <c r="Y769" s="848"/>
      <c r="Z769" s="849">
        <v>586.41999999999996</v>
      </c>
      <c r="AA769" s="849"/>
      <c r="AB769" s="849">
        <f t="shared" si="139"/>
        <v>586.41999999999996</v>
      </c>
      <c r="AC769" s="850">
        <f t="shared" si="140"/>
        <v>586.41999999999996</v>
      </c>
      <c r="AD769" s="851"/>
      <c r="AE769" s="852">
        <v>26253.919999999998</v>
      </c>
      <c r="AF769" s="853">
        <v>0</v>
      </c>
      <c r="AG769" s="854">
        <f t="shared" si="141"/>
        <v>0</v>
      </c>
      <c r="AH769" s="853"/>
      <c r="AI769" s="855">
        <f t="shared" si="142"/>
        <v>0</v>
      </c>
      <c r="AJ769" s="845" t="s">
        <v>2573</v>
      </c>
      <c r="AK769" s="857">
        <v>45392</v>
      </c>
      <c r="AL769" s="840" t="s">
        <v>2574</v>
      </c>
      <c r="AM769" s="840"/>
      <c r="AN769" s="858"/>
      <c r="AO769" s="844" t="s">
        <v>1741</v>
      </c>
      <c r="AP769" s="859">
        <v>45423</v>
      </c>
      <c r="AQ769" s="859">
        <v>45423</v>
      </c>
      <c r="AR769" s="859" t="s">
        <v>2575</v>
      </c>
      <c r="AS769" s="840" t="s">
        <v>2576</v>
      </c>
      <c r="AT769" s="840" t="s">
        <v>1743</v>
      </c>
      <c r="AU769" s="860" t="s">
        <v>1311</v>
      </c>
      <c r="AV769" s="839" t="s">
        <v>2577</v>
      </c>
      <c r="AW769" s="861">
        <v>45642</v>
      </c>
      <c r="AX769" s="862" t="s">
        <v>2578</v>
      </c>
      <c r="AY769" s="843" t="s">
        <v>2672</v>
      </c>
      <c r="AZ769" s="842">
        <v>94052990</v>
      </c>
      <c r="BA769" s="842" t="s">
        <v>120</v>
      </c>
      <c r="BB769" s="863" t="s">
        <v>121</v>
      </c>
      <c r="BC769" s="864">
        <v>45645</v>
      </c>
      <c r="BD769" s="860" t="s">
        <v>2580</v>
      </c>
      <c r="BE769" s="865" cm="1">
        <f t="array" ref="BE769">IF(BD769="","",AC769/SUMPRODUCT(--(BD769=$BD$4:$BD$12824),$AC$4:$AC$12824))</f>
        <v>2.669394235688911E-2</v>
      </c>
      <c r="BF769" s="458"/>
      <c r="BG769" s="458"/>
      <c r="BH769" s="458"/>
      <c r="BI769" s="458"/>
      <c r="BJ769" s="458"/>
      <c r="BK769" s="458"/>
      <c r="BL769" s="458"/>
      <c r="BM769" s="458"/>
      <c r="BN769" s="458"/>
      <c r="BO769" s="866">
        <f>VLOOKUP(BD769,$BD$4:$BN$12824,3,0)*BE769</f>
        <v>359763.15022659936</v>
      </c>
      <c r="BP769" s="866"/>
      <c r="BQ769" s="866"/>
      <c r="BR769" s="866">
        <f>VLOOKUP(BD769,$BD$4:$BN$12824,6,0)*BE769</f>
        <v>265774.66008809058</v>
      </c>
      <c r="BS769" s="866">
        <f>VLOOKUP(BD769,$BD$4:$BN$12824,7,0)*BE769</f>
        <v>15479.95064247178</v>
      </c>
      <c r="BT769" s="866"/>
      <c r="BU769" s="866">
        <f>VLOOKUP(BD769,$BD$4:$BN$12824,9,0)*BE769</f>
        <v>0</v>
      </c>
      <c r="BV769" s="867"/>
      <c r="BW769" s="867">
        <f>VLOOKUP(BD769,$BD$4:$BN$12824,11,0)*BE769</f>
        <v>16016.365414133466</v>
      </c>
      <c r="BX769" s="1146">
        <f t="shared" si="148"/>
        <v>657034.12637129519</v>
      </c>
      <c r="BY769" s="867">
        <f t="shared" si="146"/>
        <v>16052857.892771292</v>
      </c>
      <c r="BZ769" s="867">
        <f t="shared" si="144"/>
        <v>16052857.892771292</v>
      </c>
      <c r="CA769" s="867">
        <f>_xlfn.MAXIFS($BY$4:$BY$12824,$S$4:$S$12824,$S769)</f>
        <v>16052857.892771292</v>
      </c>
      <c r="CB769" s="1032"/>
      <c r="CF769" s="946">
        <f t="shared" si="145"/>
        <v>15395823.766399998</v>
      </c>
    </row>
    <row r="770" spans="1:84">
      <c r="A770" s="1032"/>
      <c r="B770" s="839" t="s">
        <v>98</v>
      </c>
      <c r="C770" s="839" t="s">
        <v>1615</v>
      </c>
      <c r="D770" s="839" t="s">
        <v>2567</v>
      </c>
      <c r="E770" s="839" t="s">
        <v>2568</v>
      </c>
      <c r="F770" s="841">
        <v>45633</v>
      </c>
      <c r="G770" s="840" t="s">
        <v>1618</v>
      </c>
      <c r="H770" s="842" t="s">
        <v>134</v>
      </c>
      <c r="I770" s="842"/>
      <c r="J770" s="841"/>
      <c r="K770" s="841"/>
      <c r="L770" s="843" t="s">
        <v>106</v>
      </c>
      <c r="M770" s="844" t="s">
        <v>107</v>
      </c>
      <c r="N770" s="841" t="s">
        <v>2569</v>
      </c>
      <c r="O770" s="841" t="s">
        <v>108</v>
      </c>
      <c r="P770" s="841" t="s">
        <v>1136</v>
      </c>
      <c r="Q770" s="843"/>
      <c r="R770" s="845" t="s">
        <v>2673</v>
      </c>
      <c r="S770" s="1127" t="s">
        <v>2674</v>
      </c>
      <c r="T770" s="843" t="s">
        <v>2675</v>
      </c>
      <c r="U770" s="842">
        <v>1</v>
      </c>
      <c r="V770" s="842" t="s">
        <v>3</v>
      </c>
      <c r="W770" s="846"/>
      <c r="X770" s="847">
        <f t="shared" ref="X770:X833" si="149">W770*U770</f>
        <v>0</v>
      </c>
      <c r="Y770" s="848"/>
      <c r="Z770" s="849">
        <v>202.45</v>
      </c>
      <c r="AA770" s="849"/>
      <c r="AB770" s="849">
        <f t="shared" ref="AB770:AB833" si="150">IF(AA770="F.O.C", 0, Z770*U770)</f>
        <v>202.45</v>
      </c>
      <c r="AC770" s="850">
        <f t="shared" ref="AC770:AC833" si="151">Z770*U770</f>
        <v>202.45</v>
      </c>
      <c r="AD770" s="851"/>
      <c r="AE770" s="852">
        <v>26253.919999999998</v>
      </c>
      <c r="AF770" s="853">
        <v>0</v>
      </c>
      <c r="AG770" s="854">
        <f t="shared" ref="AG770:AG833" si="152">(AC770*AE770+BO770+BP770+BQ770+BS770)*AF770</f>
        <v>0</v>
      </c>
      <c r="AH770" s="853"/>
      <c r="AI770" s="855">
        <f t="shared" ref="AI770:AI833" si="153">(AC770*AE770+AG770+BF770+BG770+BH770+BJ770)*AH770</f>
        <v>0</v>
      </c>
      <c r="AJ770" s="845" t="s">
        <v>2573</v>
      </c>
      <c r="AK770" s="857">
        <v>45392</v>
      </c>
      <c r="AL770" s="840" t="s">
        <v>2574</v>
      </c>
      <c r="AM770" s="840"/>
      <c r="AN770" s="858"/>
      <c r="AO770" s="844" t="s">
        <v>1741</v>
      </c>
      <c r="AP770" s="859">
        <v>45423</v>
      </c>
      <c r="AQ770" s="859">
        <v>45423</v>
      </c>
      <c r="AR770" s="859" t="s">
        <v>2575</v>
      </c>
      <c r="AS770" s="840" t="s">
        <v>2576</v>
      </c>
      <c r="AT770" s="840" t="s">
        <v>1743</v>
      </c>
      <c r="AU770" s="860" t="s">
        <v>1311</v>
      </c>
      <c r="AV770" s="839" t="s">
        <v>2577</v>
      </c>
      <c r="AW770" s="861">
        <v>45642</v>
      </c>
      <c r="AX770" s="862" t="s">
        <v>2578</v>
      </c>
      <c r="AY770" s="843" t="s">
        <v>2676</v>
      </c>
      <c r="AZ770" s="842">
        <v>94052990</v>
      </c>
      <c r="BA770" s="842" t="s">
        <v>120</v>
      </c>
      <c r="BB770" s="863" t="s">
        <v>121</v>
      </c>
      <c r="BC770" s="864">
        <v>45645</v>
      </c>
      <c r="BD770" s="860" t="s">
        <v>2580</v>
      </c>
      <c r="BE770" s="865" cm="1">
        <f t="array" ref="BE770">IF(BD770="","",AC770/SUMPRODUCT(--(BD770=$BD$4:$BD$12824),$AC$4:$AC$12824))</f>
        <v>9.2155598890764304E-3</v>
      </c>
      <c r="BF770" s="458"/>
      <c r="BG770" s="458"/>
      <c r="BH770" s="458"/>
      <c r="BI770" s="458"/>
      <c r="BJ770" s="458"/>
      <c r="BK770" s="458"/>
      <c r="BL770" s="458"/>
      <c r="BM770" s="458"/>
      <c r="BN770" s="458"/>
      <c r="BO770" s="866">
        <f>VLOOKUP(BD770,$BD$4:$BN$12824,3,0)*BE770</f>
        <v>124201.16940652611</v>
      </c>
      <c r="BP770" s="866"/>
      <c r="BQ770" s="866"/>
      <c r="BR770" s="866">
        <f>VLOOKUP(BD770,$BD$4:$BN$12824,6,0)*BE770</f>
        <v>91753.487150564339</v>
      </c>
      <c r="BS770" s="866">
        <f>VLOOKUP(BD770,$BD$4:$BN$12824,7,0)*BE770</f>
        <v>5344.1492574748672</v>
      </c>
      <c r="BT770" s="866"/>
      <c r="BU770" s="866">
        <f>VLOOKUP(BD770,$BD$4:$BN$12824,9,0)*BE770</f>
        <v>0</v>
      </c>
      <c r="BV770" s="867"/>
      <c r="BW770" s="867">
        <f>VLOOKUP(BD770,$BD$4:$BN$12824,11,0)*BE770</f>
        <v>5529.3359334458582</v>
      </c>
      <c r="BX770" s="1146">
        <f t="shared" si="148"/>
        <v>226828.1417480112</v>
      </c>
      <c r="BY770" s="867">
        <f t="shared" si="146"/>
        <v>5541934.2457480105</v>
      </c>
      <c r="BZ770" s="867">
        <f t="shared" ref="BZ770:BZ833" si="154">BY770*U770</f>
        <v>5541934.2457480105</v>
      </c>
      <c r="CA770" s="867">
        <f>_xlfn.MAXIFS($BY$4:$BY$12824,$S$4:$S$12824,$S770)</f>
        <v>5541934.2457480105</v>
      </c>
      <c r="CB770" s="1032"/>
      <c r="CF770" s="946">
        <f t="shared" si="145"/>
        <v>5315106.1039999994</v>
      </c>
    </row>
    <row r="771" spans="1:84">
      <c r="A771" s="1032"/>
      <c r="B771" s="839" t="s">
        <v>98</v>
      </c>
      <c r="C771" s="839" t="s">
        <v>1615</v>
      </c>
      <c r="D771" s="839" t="s">
        <v>2567</v>
      </c>
      <c r="E771" s="839" t="s">
        <v>2568</v>
      </c>
      <c r="F771" s="841">
        <v>45633</v>
      </c>
      <c r="G771" s="840" t="s">
        <v>1618</v>
      </c>
      <c r="H771" s="842" t="s">
        <v>134</v>
      </c>
      <c r="I771" s="842"/>
      <c r="J771" s="841"/>
      <c r="K771" s="841"/>
      <c r="L771" s="843" t="s">
        <v>106</v>
      </c>
      <c r="M771" s="844" t="s">
        <v>107</v>
      </c>
      <c r="N771" s="841" t="s">
        <v>2569</v>
      </c>
      <c r="O771" s="841" t="s">
        <v>108</v>
      </c>
      <c r="P771" s="841" t="s">
        <v>1136</v>
      </c>
      <c r="Q771" s="843"/>
      <c r="R771" s="845" t="s">
        <v>2677</v>
      </c>
      <c r="S771" s="1127" t="s">
        <v>2678</v>
      </c>
      <c r="T771" s="843" t="s">
        <v>2679</v>
      </c>
      <c r="U771" s="842">
        <v>1</v>
      </c>
      <c r="V771" s="842" t="s">
        <v>3</v>
      </c>
      <c r="W771" s="846"/>
      <c r="X771" s="847">
        <f t="shared" si="149"/>
        <v>0</v>
      </c>
      <c r="Y771" s="848"/>
      <c r="Z771" s="849">
        <v>202.45</v>
      </c>
      <c r="AA771" s="849"/>
      <c r="AB771" s="849">
        <f t="shared" si="150"/>
        <v>202.45</v>
      </c>
      <c r="AC771" s="850">
        <f t="shared" si="151"/>
        <v>202.45</v>
      </c>
      <c r="AD771" s="851"/>
      <c r="AE771" s="852">
        <v>26253.919999999998</v>
      </c>
      <c r="AF771" s="853">
        <v>0</v>
      </c>
      <c r="AG771" s="854">
        <f t="shared" si="152"/>
        <v>0</v>
      </c>
      <c r="AH771" s="853"/>
      <c r="AI771" s="855">
        <f t="shared" si="153"/>
        <v>0</v>
      </c>
      <c r="AJ771" s="845" t="s">
        <v>2573</v>
      </c>
      <c r="AK771" s="857">
        <v>45392</v>
      </c>
      <c r="AL771" s="840" t="s">
        <v>2574</v>
      </c>
      <c r="AM771" s="840"/>
      <c r="AN771" s="858"/>
      <c r="AO771" s="844" t="s">
        <v>1741</v>
      </c>
      <c r="AP771" s="859">
        <v>45423</v>
      </c>
      <c r="AQ771" s="859">
        <v>45423</v>
      </c>
      <c r="AR771" s="859" t="s">
        <v>2575</v>
      </c>
      <c r="AS771" s="840" t="s">
        <v>2576</v>
      </c>
      <c r="AT771" s="840" t="s">
        <v>1743</v>
      </c>
      <c r="AU771" s="860" t="s">
        <v>1311</v>
      </c>
      <c r="AV771" s="839" t="s">
        <v>2577</v>
      </c>
      <c r="AW771" s="861">
        <v>45642</v>
      </c>
      <c r="AX771" s="862" t="s">
        <v>2578</v>
      </c>
      <c r="AY771" s="843" t="s">
        <v>2680</v>
      </c>
      <c r="AZ771" s="842">
        <v>94052990</v>
      </c>
      <c r="BA771" s="842" t="s">
        <v>120</v>
      </c>
      <c r="BB771" s="863" t="s">
        <v>121</v>
      </c>
      <c r="BC771" s="864">
        <v>45645</v>
      </c>
      <c r="BD771" s="860" t="s">
        <v>2580</v>
      </c>
      <c r="BE771" s="865" cm="1">
        <f t="array" ref="BE771">IF(BD771="","",AC771/SUMPRODUCT(--(BD771=$BD$4:$BD$12824),$AC$4:$AC$12824))</f>
        <v>9.2155598890764304E-3</v>
      </c>
      <c r="BF771" s="458"/>
      <c r="BG771" s="458"/>
      <c r="BH771" s="458"/>
      <c r="BI771" s="458"/>
      <c r="BJ771" s="458"/>
      <c r="BK771" s="458"/>
      <c r="BL771" s="458"/>
      <c r="BM771" s="458"/>
      <c r="BN771" s="458"/>
      <c r="BO771" s="866">
        <f>VLOOKUP(BD771,$BD$4:$BN$12824,3,0)*BE771</f>
        <v>124201.16940652611</v>
      </c>
      <c r="BP771" s="866"/>
      <c r="BQ771" s="866"/>
      <c r="BR771" s="866">
        <f>VLOOKUP(BD771,$BD$4:$BN$12824,6,0)*BE771</f>
        <v>91753.487150564339</v>
      </c>
      <c r="BS771" s="866">
        <f>VLOOKUP(BD771,$BD$4:$BN$12824,7,0)*BE771</f>
        <v>5344.1492574748672</v>
      </c>
      <c r="BT771" s="866"/>
      <c r="BU771" s="866">
        <f>VLOOKUP(BD771,$BD$4:$BN$12824,9,0)*BE771</f>
        <v>0</v>
      </c>
      <c r="BV771" s="867"/>
      <c r="BW771" s="867">
        <f>VLOOKUP(BD771,$BD$4:$BN$12824,11,0)*BE771</f>
        <v>5529.3359334458582</v>
      </c>
      <c r="BX771" s="1146">
        <f t="shared" si="148"/>
        <v>226828.1417480112</v>
      </c>
      <c r="BY771" s="867">
        <f t="shared" si="146"/>
        <v>5541934.2457480105</v>
      </c>
      <c r="BZ771" s="867">
        <f t="shared" si="154"/>
        <v>5541934.2457480105</v>
      </c>
      <c r="CA771" s="867">
        <f>_xlfn.MAXIFS($BY$4:$BY$12824,$S$4:$S$12824,$S771)</f>
        <v>5541934.2457480105</v>
      </c>
      <c r="CB771" s="1032"/>
      <c r="CF771" s="946">
        <f t="shared" si="145"/>
        <v>5315106.1039999994</v>
      </c>
    </row>
    <row r="772" spans="1:84">
      <c r="A772" s="1032"/>
      <c r="B772" s="839" t="s">
        <v>98</v>
      </c>
      <c r="C772" s="839" t="s">
        <v>1615</v>
      </c>
      <c r="D772" s="839" t="s">
        <v>2567</v>
      </c>
      <c r="E772" s="839" t="s">
        <v>2568</v>
      </c>
      <c r="F772" s="841">
        <v>45633</v>
      </c>
      <c r="G772" s="840" t="s">
        <v>1618</v>
      </c>
      <c r="H772" s="842" t="s">
        <v>134</v>
      </c>
      <c r="I772" s="842"/>
      <c r="J772" s="841"/>
      <c r="K772" s="841"/>
      <c r="L772" s="843" t="s">
        <v>106</v>
      </c>
      <c r="M772" s="844" t="s">
        <v>107</v>
      </c>
      <c r="N772" s="841" t="s">
        <v>2569</v>
      </c>
      <c r="O772" s="841" t="s">
        <v>108</v>
      </c>
      <c r="P772" s="841" t="s">
        <v>1136</v>
      </c>
      <c r="Q772" s="843"/>
      <c r="R772" s="845" t="s">
        <v>2681</v>
      </c>
      <c r="S772" s="1127" t="s">
        <v>2682</v>
      </c>
      <c r="T772" s="843" t="s">
        <v>2683</v>
      </c>
      <c r="U772" s="842">
        <v>1</v>
      </c>
      <c r="V772" s="842" t="s">
        <v>3</v>
      </c>
      <c r="W772" s="846"/>
      <c r="X772" s="847">
        <f t="shared" si="149"/>
        <v>0</v>
      </c>
      <c r="Y772" s="848"/>
      <c r="Z772" s="849">
        <v>265.29000000000002</v>
      </c>
      <c r="AA772" s="849"/>
      <c r="AB772" s="849">
        <f t="shared" si="150"/>
        <v>265.29000000000002</v>
      </c>
      <c r="AC772" s="850">
        <f t="shared" si="151"/>
        <v>265.29000000000002</v>
      </c>
      <c r="AD772" s="851"/>
      <c r="AE772" s="852">
        <v>26253.919999999998</v>
      </c>
      <c r="AF772" s="853">
        <v>0</v>
      </c>
      <c r="AG772" s="854">
        <f t="shared" si="152"/>
        <v>0</v>
      </c>
      <c r="AH772" s="853"/>
      <c r="AI772" s="855">
        <f t="shared" si="153"/>
        <v>0</v>
      </c>
      <c r="AJ772" s="845" t="s">
        <v>2573</v>
      </c>
      <c r="AK772" s="857">
        <v>45392</v>
      </c>
      <c r="AL772" s="840" t="s">
        <v>2574</v>
      </c>
      <c r="AM772" s="840"/>
      <c r="AN772" s="858"/>
      <c r="AO772" s="844" t="s">
        <v>1741</v>
      </c>
      <c r="AP772" s="859">
        <v>45423</v>
      </c>
      <c r="AQ772" s="859">
        <v>45423</v>
      </c>
      <c r="AR772" s="859" t="s">
        <v>2575</v>
      </c>
      <c r="AS772" s="840" t="s">
        <v>2576</v>
      </c>
      <c r="AT772" s="840" t="s">
        <v>1743</v>
      </c>
      <c r="AU772" s="860" t="s">
        <v>1311</v>
      </c>
      <c r="AV772" s="839" t="s">
        <v>2577</v>
      </c>
      <c r="AW772" s="861">
        <v>45642</v>
      </c>
      <c r="AX772" s="862" t="s">
        <v>2578</v>
      </c>
      <c r="AY772" s="843" t="s">
        <v>2684</v>
      </c>
      <c r="AZ772" s="842">
        <v>94052990</v>
      </c>
      <c r="BA772" s="842" t="s">
        <v>120</v>
      </c>
      <c r="BB772" s="863" t="s">
        <v>121</v>
      </c>
      <c r="BC772" s="864">
        <v>45645</v>
      </c>
      <c r="BD772" s="860" t="s">
        <v>2580</v>
      </c>
      <c r="BE772" s="865" cm="1">
        <f t="array" ref="BE772">IF(BD772="","",AC772/SUMPRODUCT(--(BD772=$BD$4:$BD$12824),$AC$4:$AC$12824))</f>
        <v>1.2076047828960665E-2</v>
      </c>
      <c r="BF772" s="458"/>
      <c r="BG772" s="458"/>
      <c r="BH772" s="458"/>
      <c r="BI772" s="458"/>
      <c r="BJ772" s="458"/>
      <c r="BK772" s="458"/>
      <c r="BL772" s="458"/>
      <c r="BM772" s="458"/>
      <c r="BN772" s="458"/>
      <c r="BO772" s="866">
        <f>VLOOKUP(BD772,$BD$4:$BN$12824,3,0)*BE772</f>
        <v>162752.91791482992</v>
      </c>
      <c r="BP772" s="866"/>
      <c r="BQ772" s="866"/>
      <c r="BR772" s="866">
        <f>VLOOKUP(BD772,$BD$4:$BN$12824,6,0)*BE772</f>
        <v>120233.55201863778</v>
      </c>
      <c r="BS772" s="866">
        <f>VLOOKUP(BD772,$BD$4:$BN$12824,7,0)*BE772</f>
        <v>7002.9605162534344</v>
      </c>
      <c r="BT772" s="866"/>
      <c r="BU772" s="866">
        <f>VLOOKUP(BD772,$BD$4:$BN$12824,9,0)*BE772</f>
        <v>0</v>
      </c>
      <c r="BV772" s="867"/>
      <c r="BW772" s="867">
        <f>VLOOKUP(BD772,$BD$4:$BN$12824,11,0)*BE772</f>
        <v>7245.628697376399</v>
      </c>
      <c r="BX772" s="1146">
        <f t="shared" si="148"/>
        <v>297235.05914709752</v>
      </c>
      <c r="BY772" s="867">
        <f t="shared" si="146"/>
        <v>7262137.4959470974</v>
      </c>
      <c r="BZ772" s="867">
        <f t="shared" si="154"/>
        <v>7262137.4959470974</v>
      </c>
      <c r="CA772" s="867">
        <f>_xlfn.MAXIFS($BY$4:$BY$12824,$S$4:$S$12824,$S772)</f>
        <v>7262137.4959470974</v>
      </c>
      <c r="CB772" s="1032"/>
      <c r="CF772" s="946">
        <f t="shared" ref="CF772:CF835" si="155">AC772*AE772</f>
        <v>6964902.4368000003</v>
      </c>
    </row>
    <row r="773" spans="1:84">
      <c r="A773" s="1032"/>
      <c r="B773" s="839" t="s">
        <v>98</v>
      </c>
      <c r="C773" s="839" t="s">
        <v>1615</v>
      </c>
      <c r="D773" s="839" t="s">
        <v>2567</v>
      </c>
      <c r="E773" s="839" t="s">
        <v>2568</v>
      </c>
      <c r="F773" s="841">
        <v>45633</v>
      </c>
      <c r="G773" s="840" t="s">
        <v>1618</v>
      </c>
      <c r="H773" s="842" t="s">
        <v>134</v>
      </c>
      <c r="I773" s="842"/>
      <c r="J773" s="841"/>
      <c r="K773" s="841"/>
      <c r="L773" s="843" t="s">
        <v>106</v>
      </c>
      <c r="M773" s="844" t="s">
        <v>107</v>
      </c>
      <c r="N773" s="841" t="s">
        <v>2569</v>
      </c>
      <c r="O773" s="841" t="s">
        <v>108</v>
      </c>
      <c r="P773" s="841" t="s">
        <v>1136</v>
      </c>
      <c r="Q773" s="843"/>
      <c r="R773" s="845" t="s">
        <v>2685</v>
      </c>
      <c r="S773" s="1127" t="s">
        <v>2686</v>
      </c>
      <c r="T773" s="843" t="s">
        <v>2687</v>
      </c>
      <c r="U773" s="842">
        <v>1</v>
      </c>
      <c r="V773" s="842" t="s">
        <v>3</v>
      </c>
      <c r="W773" s="846"/>
      <c r="X773" s="847">
        <f t="shared" si="149"/>
        <v>0</v>
      </c>
      <c r="Y773" s="848"/>
      <c r="Z773" s="849">
        <v>265.29000000000002</v>
      </c>
      <c r="AA773" s="849"/>
      <c r="AB773" s="849">
        <f t="shared" si="150"/>
        <v>265.29000000000002</v>
      </c>
      <c r="AC773" s="850">
        <f t="shared" si="151"/>
        <v>265.29000000000002</v>
      </c>
      <c r="AD773" s="851"/>
      <c r="AE773" s="852">
        <v>26253.919999999998</v>
      </c>
      <c r="AF773" s="853">
        <v>0</v>
      </c>
      <c r="AG773" s="854">
        <f t="shared" si="152"/>
        <v>0</v>
      </c>
      <c r="AH773" s="853"/>
      <c r="AI773" s="855">
        <f t="shared" si="153"/>
        <v>0</v>
      </c>
      <c r="AJ773" s="845" t="s">
        <v>2573</v>
      </c>
      <c r="AK773" s="857">
        <v>45392</v>
      </c>
      <c r="AL773" s="840" t="s">
        <v>2574</v>
      </c>
      <c r="AM773" s="840"/>
      <c r="AN773" s="858"/>
      <c r="AO773" s="844" t="s">
        <v>1741</v>
      </c>
      <c r="AP773" s="859">
        <v>45423</v>
      </c>
      <c r="AQ773" s="859">
        <v>45423</v>
      </c>
      <c r="AR773" s="859" t="s">
        <v>2575</v>
      </c>
      <c r="AS773" s="840" t="s">
        <v>2576</v>
      </c>
      <c r="AT773" s="840" t="s">
        <v>1743</v>
      </c>
      <c r="AU773" s="860" t="s">
        <v>1311</v>
      </c>
      <c r="AV773" s="839" t="s">
        <v>2577</v>
      </c>
      <c r="AW773" s="861">
        <v>45642</v>
      </c>
      <c r="AX773" s="862" t="s">
        <v>2578</v>
      </c>
      <c r="AY773" s="843" t="s">
        <v>2688</v>
      </c>
      <c r="AZ773" s="842">
        <v>94052990</v>
      </c>
      <c r="BA773" s="842" t="s">
        <v>120</v>
      </c>
      <c r="BB773" s="863" t="s">
        <v>121</v>
      </c>
      <c r="BC773" s="864">
        <v>45645</v>
      </c>
      <c r="BD773" s="860" t="s">
        <v>2580</v>
      </c>
      <c r="BE773" s="865" cm="1">
        <f t="array" ref="BE773">IF(BD773="","",AC773/SUMPRODUCT(--(BD773=$BD$4:$BD$12824),$AC$4:$AC$12824))</f>
        <v>1.2076047828960665E-2</v>
      </c>
      <c r="BF773" s="458"/>
      <c r="BG773" s="458"/>
      <c r="BH773" s="458"/>
      <c r="BI773" s="458"/>
      <c r="BJ773" s="458"/>
      <c r="BK773" s="458"/>
      <c r="BL773" s="458"/>
      <c r="BM773" s="458"/>
      <c r="BN773" s="458"/>
      <c r="BO773" s="866">
        <f>VLOOKUP(BD773,$BD$4:$BN$12824,3,0)*BE773</f>
        <v>162752.91791482992</v>
      </c>
      <c r="BP773" s="866"/>
      <c r="BQ773" s="866"/>
      <c r="BR773" s="866">
        <f>VLOOKUP(BD773,$BD$4:$BN$12824,6,0)*BE773</f>
        <v>120233.55201863778</v>
      </c>
      <c r="BS773" s="866">
        <f>VLOOKUP(BD773,$BD$4:$BN$12824,7,0)*BE773</f>
        <v>7002.9605162534344</v>
      </c>
      <c r="BT773" s="866"/>
      <c r="BU773" s="866">
        <f>VLOOKUP(BD773,$BD$4:$BN$12824,9,0)*BE773</f>
        <v>0</v>
      </c>
      <c r="BV773" s="867"/>
      <c r="BW773" s="867">
        <f>VLOOKUP(BD773,$BD$4:$BN$12824,11,0)*BE773</f>
        <v>7245.628697376399</v>
      </c>
      <c r="BX773" s="1146">
        <f t="shared" si="148"/>
        <v>297235.05914709752</v>
      </c>
      <c r="BY773" s="867">
        <f t="shared" si="146"/>
        <v>7262137.4959470974</v>
      </c>
      <c r="BZ773" s="867">
        <f t="shared" si="154"/>
        <v>7262137.4959470974</v>
      </c>
      <c r="CA773" s="867">
        <f>_xlfn.MAXIFS($BY$4:$BY$12824,$S$4:$S$12824,$S773)</f>
        <v>7262137.4959470974</v>
      </c>
      <c r="CB773" s="1032"/>
      <c r="CF773" s="946">
        <f t="shared" si="155"/>
        <v>6964902.4368000003</v>
      </c>
    </row>
    <row r="774" spans="1:84">
      <c r="A774" s="1032"/>
      <c r="B774" s="839" t="s">
        <v>98</v>
      </c>
      <c r="C774" s="839" t="s">
        <v>2689</v>
      </c>
      <c r="D774" s="839" t="s">
        <v>2690</v>
      </c>
      <c r="E774" s="839" t="s">
        <v>2691</v>
      </c>
      <c r="F774" s="841">
        <v>45451</v>
      </c>
      <c r="G774" s="840" t="s">
        <v>2689</v>
      </c>
      <c r="H774" s="842" t="s">
        <v>134</v>
      </c>
      <c r="I774" s="842"/>
      <c r="J774" s="841"/>
      <c r="K774" s="841"/>
      <c r="L774" s="843" t="s">
        <v>106</v>
      </c>
      <c r="M774" s="844" t="s">
        <v>107</v>
      </c>
      <c r="N774" s="841" t="s">
        <v>2692</v>
      </c>
      <c r="O774" s="841" t="s">
        <v>150</v>
      </c>
      <c r="P774" s="841" t="s">
        <v>151</v>
      </c>
      <c r="Q774" s="843"/>
      <c r="R774" s="845">
        <v>21019604</v>
      </c>
      <c r="S774" s="1127" t="s">
        <v>2693</v>
      </c>
      <c r="T774" s="843" t="s">
        <v>2694</v>
      </c>
      <c r="U774" s="842">
        <v>5</v>
      </c>
      <c r="V774" s="842" t="s">
        <v>3</v>
      </c>
      <c r="W774" s="846">
        <v>167.99999999999997</v>
      </c>
      <c r="X774" s="847">
        <f t="shared" si="149"/>
        <v>839.99999999999989</v>
      </c>
      <c r="Y774" s="848">
        <v>0.55000000000000004</v>
      </c>
      <c r="Z774" s="849">
        <v>75.599999999999994</v>
      </c>
      <c r="AA774" s="849"/>
      <c r="AB774" s="849">
        <f t="shared" si="150"/>
        <v>378</v>
      </c>
      <c r="AC774" s="850">
        <f t="shared" si="151"/>
        <v>378</v>
      </c>
      <c r="AD774" s="851"/>
      <c r="AE774" s="852">
        <v>26253.919999999998</v>
      </c>
      <c r="AF774" s="853">
        <v>0</v>
      </c>
      <c r="AG774" s="854">
        <f t="shared" si="152"/>
        <v>0</v>
      </c>
      <c r="AH774" s="853"/>
      <c r="AI774" s="855">
        <f t="shared" si="153"/>
        <v>0</v>
      </c>
      <c r="AJ774" s="845" t="s">
        <v>2695</v>
      </c>
      <c r="AK774" s="857">
        <v>45332</v>
      </c>
      <c r="AL774" s="840" t="s">
        <v>2696</v>
      </c>
      <c r="AM774" s="840"/>
      <c r="AN774" s="858"/>
      <c r="AO774" s="844" t="s">
        <v>2697</v>
      </c>
      <c r="AP774" s="859" t="s">
        <v>2698</v>
      </c>
      <c r="AQ774" s="859" t="s">
        <v>2698</v>
      </c>
      <c r="AR774" s="859" t="s">
        <v>2699</v>
      </c>
      <c r="AS774" s="840" t="s">
        <v>2700</v>
      </c>
      <c r="AT774" s="840" t="s">
        <v>1743</v>
      </c>
      <c r="AU774" s="860" t="s">
        <v>1285</v>
      </c>
      <c r="AV774" s="839" t="s">
        <v>2701</v>
      </c>
      <c r="AW774" s="861">
        <v>45646</v>
      </c>
      <c r="AX774" s="862" t="s">
        <v>2702</v>
      </c>
      <c r="AY774" s="843" t="s">
        <v>2703</v>
      </c>
      <c r="AZ774" s="842" t="s">
        <v>2704</v>
      </c>
      <c r="BA774" s="842" t="s">
        <v>120</v>
      </c>
      <c r="BB774" s="863" t="s">
        <v>121</v>
      </c>
      <c r="BC774" s="864">
        <v>45650</v>
      </c>
      <c r="BD774" s="860" t="s">
        <v>2705</v>
      </c>
      <c r="BE774" s="865" cm="1">
        <f t="array" ref="BE774">IF(BD774="","",AC774/SUMPRODUCT(--(BD774=$BD$4:$BD$12824),$AC$4:$AC$12824))</f>
        <v>5.4508541329803635E-3</v>
      </c>
      <c r="BF774" s="458">
        <v>47158350</v>
      </c>
      <c r="BG774" s="458"/>
      <c r="BH774" s="458"/>
      <c r="BI774" s="458">
        <f>(12388626+2216800)/1.08</f>
        <v>13523542.592592591</v>
      </c>
      <c r="BJ774" s="458">
        <v>1747871</v>
      </c>
      <c r="BK774" s="458"/>
      <c r="BL774" s="458"/>
      <c r="BM774" s="458"/>
      <c r="BN774" s="458">
        <v>1944000</v>
      </c>
      <c r="BO774" s="866">
        <f>VLOOKUP(BD774,$BD$4:$BN$12824,3,0)*BE774</f>
        <v>257053.28700203451</v>
      </c>
      <c r="BP774" s="866"/>
      <c r="BQ774" s="866"/>
      <c r="BR774" s="866">
        <f>VLOOKUP(BD774,$BD$4:$BN$12824,6,0)*BE774</f>
        <v>73714.85803336931</v>
      </c>
      <c r="BS774" s="866">
        <f>VLOOKUP(BD774,$BD$4:$BN$12824,7,0)*BE774</f>
        <v>9527.3898642665208</v>
      </c>
      <c r="BT774" s="866"/>
      <c r="BU774" s="866">
        <f>VLOOKUP(BD774,$BD$4:$BN$12824,9,0)*BE774</f>
        <v>0</v>
      </c>
      <c r="BV774" s="867"/>
      <c r="BW774" s="867">
        <f>VLOOKUP(BD774,$BD$4:$BN$12824,11,0)*BE774</f>
        <v>10596.460434513827</v>
      </c>
      <c r="BX774" s="1146">
        <f t="shared" ref="BX774:BX837" si="156">SUM(BO774:BW774)</f>
        <v>350891.99533418415</v>
      </c>
      <c r="BY774" s="867">
        <f t="shared" ref="BY774:BY837" si="157">(AB774*AE774+AG774+BX774)/U774</f>
        <v>2054974.7510668368</v>
      </c>
      <c r="BZ774" s="867">
        <f t="shared" si="154"/>
        <v>10274873.755334184</v>
      </c>
      <c r="CA774" s="867">
        <f>_xlfn.MAXIFS($BY$4:$BY$12824,$S$4:$S$12824,$S774)</f>
        <v>2054974.7510668368</v>
      </c>
      <c r="CB774" s="1032"/>
      <c r="CF774" s="946">
        <f t="shared" si="155"/>
        <v>9923981.7599999998</v>
      </c>
    </row>
    <row r="775" spans="1:84">
      <c r="A775" s="1032"/>
      <c r="B775" s="839" t="s">
        <v>98</v>
      </c>
      <c r="C775" s="839" t="s">
        <v>2689</v>
      </c>
      <c r="D775" s="839" t="s">
        <v>2690</v>
      </c>
      <c r="E775" s="839" t="s">
        <v>2691</v>
      </c>
      <c r="F775" s="841">
        <v>45451</v>
      </c>
      <c r="G775" s="840" t="s">
        <v>2689</v>
      </c>
      <c r="H775" s="842" t="s">
        <v>134</v>
      </c>
      <c r="I775" s="842"/>
      <c r="J775" s="841"/>
      <c r="K775" s="841"/>
      <c r="L775" s="843" t="s">
        <v>106</v>
      </c>
      <c r="M775" s="844" t="s">
        <v>107</v>
      </c>
      <c r="N775" s="841" t="s">
        <v>2692</v>
      </c>
      <c r="O775" s="841" t="s">
        <v>150</v>
      </c>
      <c r="P775" s="841" t="s">
        <v>151</v>
      </c>
      <c r="Q775" s="843"/>
      <c r="R775" s="845">
        <v>21019606</v>
      </c>
      <c r="S775" s="1127" t="s">
        <v>2706</v>
      </c>
      <c r="T775" s="843" t="s">
        <v>2707</v>
      </c>
      <c r="U775" s="842">
        <v>5</v>
      </c>
      <c r="V775" s="842" t="s">
        <v>3</v>
      </c>
      <c r="W775" s="846">
        <v>167.99999999999997</v>
      </c>
      <c r="X775" s="847">
        <f t="shared" si="149"/>
        <v>839.99999999999989</v>
      </c>
      <c r="Y775" s="848">
        <v>0.55000000000000004</v>
      </c>
      <c r="Z775" s="849">
        <v>75.599999999999994</v>
      </c>
      <c r="AA775" s="849"/>
      <c r="AB775" s="849">
        <f t="shared" si="150"/>
        <v>378</v>
      </c>
      <c r="AC775" s="850">
        <f t="shared" si="151"/>
        <v>378</v>
      </c>
      <c r="AD775" s="851"/>
      <c r="AE775" s="852">
        <v>26253.919999999998</v>
      </c>
      <c r="AF775" s="853">
        <v>0</v>
      </c>
      <c r="AG775" s="854">
        <f t="shared" si="152"/>
        <v>0</v>
      </c>
      <c r="AH775" s="853"/>
      <c r="AI775" s="855">
        <f t="shared" si="153"/>
        <v>0</v>
      </c>
      <c r="AJ775" s="845" t="s">
        <v>2695</v>
      </c>
      <c r="AK775" s="857">
        <v>45332</v>
      </c>
      <c r="AL775" s="840" t="s">
        <v>2696</v>
      </c>
      <c r="AM775" s="840"/>
      <c r="AN775" s="858"/>
      <c r="AO775" s="844" t="s">
        <v>2697</v>
      </c>
      <c r="AP775" s="859" t="s">
        <v>2698</v>
      </c>
      <c r="AQ775" s="859" t="s">
        <v>2698</v>
      </c>
      <c r="AR775" s="859" t="s">
        <v>2699</v>
      </c>
      <c r="AS775" s="840" t="s">
        <v>2700</v>
      </c>
      <c r="AT775" s="840" t="s">
        <v>1743</v>
      </c>
      <c r="AU775" s="860" t="s">
        <v>1285</v>
      </c>
      <c r="AV775" s="839" t="s">
        <v>2701</v>
      </c>
      <c r="AW775" s="861">
        <v>45646</v>
      </c>
      <c r="AX775" s="862" t="s">
        <v>2702</v>
      </c>
      <c r="AY775" s="843" t="s">
        <v>2708</v>
      </c>
      <c r="AZ775" s="842" t="s">
        <v>2704</v>
      </c>
      <c r="BA775" s="842" t="s">
        <v>120</v>
      </c>
      <c r="BB775" s="863" t="s">
        <v>121</v>
      </c>
      <c r="BC775" s="864">
        <v>45650</v>
      </c>
      <c r="BD775" s="860" t="s">
        <v>2705</v>
      </c>
      <c r="BE775" s="865" cm="1">
        <f t="array" ref="BE775">IF(BD775="","",AC775/SUMPRODUCT(--(BD775=$BD$4:$BD$12824),$AC$4:$AC$12824))</f>
        <v>5.4508541329803635E-3</v>
      </c>
      <c r="BF775" s="458"/>
      <c r="BG775" s="458"/>
      <c r="BH775" s="458"/>
      <c r="BI775" s="458"/>
      <c r="BJ775" s="458"/>
      <c r="BK775" s="458"/>
      <c r="BL775" s="458"/>
      <c r="BM775" s="458"/>
      <c r="BN775" s="458"/>
      <c r="BO775" s="866">
        <f>VLOOKUP(BD775,$BD$4:$BN$12824,3,0)*BE775</f>
        <v>257053.28700203451</v>
      </c>
      <c r="BP775" s="866"/>
      <c r="BQ775" s="866"/>
      <c r="BR775" s="866">
        <f>VLOOKUP(BD775,$BD$4:$BN$12824,6,0)*BE775</f>
        <v>73714.85803336931</v>
      </c>
      <c r="BS775" s="866">
        <f>VLOOKUP(BD775,$BD$4:$BN$12824,7,0)*BE775</f>
        <v>9527.3898642665208</v>
      </c>
      <c r="BT775" s="866"/>
      <c r="BU775" s="866">
        <f>VLOOKUP(BD775,$BD$4:$BN$12824,9,0)*BE775</f>
        <v>0</v>
      </c>
      <c r="BV775" s="867"/>
      <c r="BW775" s="867">
        <f>VLOOKUP(BD775,$BD$4:$BN$12824,11,0)*BE775</f>
        <v>10596.460434513827</v>
      </c>
      <c r="BX775" s="1146">
        <f t="shared" si="156"/>
        <v>350891.99533418415</v>
      </c>
      <c r="BY775" s="867">
        <f t="shared" si="157"/>
        <v>2054974.7510668368</v>
      </c>
      <c r="BZ775" s="867">
        <f t="shared" si="154"/>
        <v>10274873.755334184</v>
      </c>
      <c r="CA775" s="867">
        <f>_xlfn.MAXIFS($BY$4:$BY$12824,$S$4:$S$12824,$S775)</f>
        <v>2054974.7510668368</v>
      </c>
      <c r="CB775" s="1032"/>
      <c r="CF775" s="946">
        <f t="shared" si="155"/>
        <v>9923981.7599999998</v>
      </c>
    </row>
    <row r="776" spans="1:84">
      <c r="A776" s="1032"/>
      <c r="B776" s="839" t="s">
        <v>98</v>
      </c>
      <c r="C776" s="839" t="s">
        <v>2689</v>
      </c>
      <c r="D776" s="839" t="s">
        <v>2690</v>
      </c>
      <c r="E776" s="839" t="s">
        <v>2691</v>
      </c>
      <c r="F776" s="841">
        <v>45451</v>
      </c>
      <c r="G776" s="840" t="s">
        <v>2689</v>
      </c>
      <c r="H776" s="842" t="s">
        <v>134</v>
      </c>
      <c r="I776" s="842"/>
      <c r="J776" s="841"/>
      <c r="K776" s="841"/>
      <c r="L776" s="843" t="s">
        <v>106</v>
      </c>
      <c r="M776" s="844" t="s">
        <v>107</v>
      </c>
      <c r="N776" s="841" t="s">
        <v>2692</v>
      </c>
      <c r="O776" s="841" t="s">
        <v>150</v>
      </c>
      <c r="P776" s="841" t="s">
        <v>151</v>
      </c>
      <c r="Q776" s="843"/>
      <c r="R776" s="845">
        <v>21019607</v>
      </c>
      <c r="S776" s="1127" t="s">
        <v>2709</v>
      </c>
      <c r="T776" s="843" t="s">
        <v>2710</v>
      </c>
      <c r="U776" s="842">
        <v>5</v>
      </c>
      <c r="V776" s="842" t="s">
        <v>3</v>
      </c>
      <c r="W776" s="846">
        <v>167.99999999999997</v>
      </c>
      <c r="X776" s="847">
        <f t="shared" si="149"/>
        <v>839.99999999999989</v>
      </c>
      <c r="Y776" s="848">
        <v>0.55000000000000004</v>
      </c>
      <c r="Z776" s="849">
        <v>75.599999999999994</v>
      </c>
      <c r="AA776" s="849"/>
      <c r="AB776" s="849">
        <f t="shared" si="150"/>
        <v>378</v>
      </c>
      <c r="AC776" s="850">
        <f t="shared" si="151"/>
        <v>378</v>
      </c>
      <c r="AD776" s="851"/>
      <c r="AE776" s="852">
        <v>26253.919999999998</v>
      </c>
      <c r="AF776" s="853">
        <v>0</v>
      </c>
      <c r="AG776" s="854">
        <f t="shared" si="152"/>
        <v>0</v>
      </c>
      <c r="AH776" s="853"/>
      <c r="AI776" s="855">
        <f t="shared" si="153"/>
        <v>0</v>
      </c>
      <c r="AJ776" s="845" t="s">
        <v>2695</v>
      </c>
      <c r="AK776" s="857">
        <v>45332</v>
      </c>
      <c r="AL776" s="840" t="s">
        <v>2696</v>
      </c>
      <c r="AM776" s="840"/>
      <c r="AN776" s="858"/>
      <c r="AO776" s="844" t="s">
        <v>2697</v>
      </c>
      <c r="AP776" s="859" t="s">
        <v>2698</v>
      </c>
      <c r="AQ776" s="859" t="s">
        <v>2698</v>
      </c>
      <c r="AR776" s="859" t="s">
        <v>2699</v>
      </c>
      <c r="AS776" s="840" t="s">
        <v>2700</v>
      </c>
      <c r="AT776" s="840" t="s">
        <v>1743</v>
      </c>
      <c r="AU776" s="860" t="s">
        <v>1285</v>
      </c>
      <c r="AV776" s="839" t="s">
        <v>2701</v>
      </c>
      <c r="AW776" s="861">
        <v>45646</v>
      </c>
      <c r="AX776" s="862" t="s">
        <v>2702</v>
      </c>
      <c r="AY776" s="843" t="s">
        <v>2711</v>
      </c>
      <c r="AZ776" s="842" t="s">
        <v>2704</v>
      </c>
      <c r="BA776" s="842" t="s">
        <v>120</v>
      </c>
      <c r="BB776" s="863" t="s">
        <v>121</v>
      </c>
      <c r="BC776" s="864">
        <v>45650</v>
      </c>
      <c r="BD776" s="860" t="s">
        <v>2705</v>
      </c>
      <c r="BE776" s="865" cm="1">
        <f t="array" ref="BE776">IF(BD776="","",AC776/SUMPRODUCT(--(BD776=$BD$4:$BD$12824),$AC$4:$AC$12824))</f>
        <v>5.4508541329803635E-3</v>
      </c>
      <c r="BF776" s="458"/>
      <c r="BG776" s="458"/>
      <c r="BH776" s="458"/>
      <c r="BI776" s="458"/>
      <c r="BJ776" s="458"/>
      <c r="BK776" s="458"/>
      <c r="BL776" s="458"/>
      <c r="BM776" s="458"/>
      <c r="BN776" s="458"/>
      <c r="BO776" s="866">
        <f>VLOOKUP(BD776,$BD$4:$BN$12824,3,0)*BE776</f>
        <v>257053.28700203451</v>
      </c>
      <c r="BP776" s="866"/>
      <c r="BQ776" s="866"/>
      <c r="BR776" s="866">
        <f>VLOOKUP(BD776,$BD$4:$BN$12824,6,0)*BE776</f>
        <v>73714.85803336931</v>
      </c>
      <c r="BS776" s="866">
        <f>VLOOKUP(BD776,$BD$4:$BN$12824,7,0)*BE776</f>
        <v>9527.3898642665208</v>
      </c>
      <c r="BT776" s="866"/>
      <c r="BU776" s="866">
        <f>VLOOKUP(BD776,$BD$4:$BN$12824,9,0)*BE776</f>
        <v>0</v>
      </c>
      <c r="BV776" s="867"/>
      <c r="BW776" s="867">
        <f>VLOOKUP(BD776,$BD$4:$BN$12824,11,0)*BE776</f>
        <v>10596.460434513827</v>
      </c>
      <c r="BX776" s="1146">
        <f t="shared" si="156"/>
        <v>350891.99533418415</v>
      </c>
      <c r="BY776" s="867">
        <f t="shared" si="157"/>
        <v>2054974.7510668368</v>
      </c>
      <c r="BZ776" s="867">
        <f t="shared" si="154"/>
        <v>10274873.755334184</v>
      </c>
      <c r="CA776" s="867">
        <f>_xlfn.MAXIFS($BY$4:$BY$12824,$S$4:$S$12824,$S776)</f>
        <v>2054974.7510668368</v>
      </c>
      <c r="CB776" s="1032"/>
      <c r="CF776" s="946">
        <f t="shared" si="155"/>
        <v>9923981.7599999998</v>
      </c>
    </row>
    <row r="777" spans="1:84">
      <c r="A777" s="1032"/>
      <c r="B777" s="839" t="s">
        <v>98</v>
      </c>
      <c r="C777" s="839" t="s">
        <v>2689</v>
      </c>
      <c r="D777" s="839" t="s">
        <v>2690</v>
      </c>
      <c r="E777" s="839" t="s">
        <v>2691</v>
      </c>
      <c r="F777" s="841">
        <v>45451</v>
      </c>
      <c r="G777" s="840" t="s">
        <v>2689</v>
      </c>
      <c r="H777" s="842" t="s">
        <v>134</v>
      </c>
      <c r="I777" s="842"/>
      <c r="J777" s="841"/>
      <c r="K777" s="841"/>
      <c r="L777" s="843" t="s">
        <v>106</v>
      </c>
      <c r="M777" s="844" t="s">
        <v>107</v>
      </c>
      <c r="N777" s="841" t="s">
        <v>2692</v>
      </c>
      <c r="O777" s="841" t="s">
        <v>150</v>
      </c>
      <c r="P777" s="841" t="s">
        <v>151</v>
      </c>
      <c r="Q777" s="843"/>
      <c r="R777" s="845">
        <v>21019608</v>
      </c>
      <c r="S777" s="1127" t="s">
        <v>2712</v>
      </c>
      <c r="T777" s="843" t="s">
        <v>2713</v>
      </c>
      <c r="U777" s="842">
        <v>5</v>
      </c>
      <c r="V777" s="842" t="s">
        <v>3</v>
      </c>
      <c r="W777" s="846">
        <v>167.99999999999997</v>
      </c>
      <c r="X777" s="847">
        <f t="shared" si="149"/>
        <v>839.99999999999989</v>
      </c>
      <c r="Y777" s="848">
        <v>0.55000000000000004</v>
      </c>
      <c r="Z777" s="849">
        <v>75.599999999999994</v>
      </c>
      <c r="AA777" s="849"/>
      <c r="AB777" s="849">
        <f t="shared" si="150"/>
        <v>378</v>
      </c>
      <c r="AC777" s="850">
        <f t="shared" si="151"/>
        <v>378</v>
      </c>
      <c r="AD777" s="851"/>
      <c r="AE777" s="852">
        <v>26253.919999999998</v>
      </c>
      <c r="AF777" s="853">
        <v>0</v>
      </c>
      <c r="AG777" s="854">
        <f t="shared" si="152"/>
        <v>0</v>
      </c>
      <c r="AH777" s="853"/>
      <c r="AI777" s="855">
        <f t="shared" si="153"/>
        <v>0</v>
      </c>
      <c r="AJ777" s="845" t="s">
        <v>2695</v>
      </c>
      <c r="AK777" s="857">
        <v>45332</v>
      </c>
      <c r="AL777" s="840" t="s">
        <v>2696</v>
      </c>
      <c r="AM777" s="840"/>
      <c r="AN777" s="858"/>
      <c r="AO777" s="844" t="s">
        <v>2697</v>
      </c>
      <c r="AP777" s="859" t="s">
        <v>2698</v>
      </c>
      <c r="AQ777" s="859" t="s">
        <v>2698</v>
      </c>
      <c r="AR777" s="859" t="s">
        <v>2699</v>
      </c>
      <c r="AS777" s="840" t="s">
        <v>2700</v>
      </c>
      <c r="AT777" s="840" t="s">
        <v>1743</v>
      </c>
      <c r="AU777" s="860" t="s">
        <v>1285</v>
      </c>
      <c r="AV777" s="839" t="s">
        <v>2701</v>
      </c>
      <c r="AW777" s="861">
        <v>45646</v>
      </c>
      <c r="AX777" s="862" t="s">
        <v>2702</v>
      </c>
      <c r="AY777" s="843" t="s">
        <v>2714</v>
      </c>
      <c r="AZ777" s="842" t="s">
        <v>2704</v>
      </c>
      <c r="BA777" s="842" t="s">
        <v>120</v>
      </c>
      <c r="BB777" s="863" t="s">
        <v>121</v>
      </c>
      <c r="BC777" s="864">
        <v>45650</v>
      </c>
      <c r="BD777" s="860" t="s">
        <v>2705</v>
      </c>
      <c r="BE777" s="865" cm="1">
        <f t="array" ref="BE777">IF(BD777="","",AC777/SUMPRODUCT(--(BD777=$BD$4:$BD$12824),$AC$4:$AC$12824))</f>
        <v>5.4508541329803635E-3</v>
      </c>
      <c r="BF777" s="458"/>
      <c r="BG777" s="458"/>
      <c r="BH777" s="458"/>
      <c r="BI777" s="458"/>
      <c r="BJ777" s="458"/>
      <c r="BK777" s="458"/>
      <c r="BL777" s="458"/>
      <c r="BM777" s="458"/>
      <c r="BN777" s="458"/>
      <c r="BO777" s="866">
        <f>VLOOKUP(BD777,$BD$4:$BN$12824,3,0)*BE777</f>
        <v>257053.28700203451</v>
      </c>
      <c r="BP777" s="866"/>
      <c r="BQ777" s="866"/>
      <c r="BR777" s="866">
        <f>VLOOKUP(BD777,$BD$4:$BN$12824,6,0)*BE777</f>
        <v>73714.85803336931</v>
      </c>
      <c r="BS777" s="866">
        <f>VLOOKUP(BD777,$BD$4:$BN$12824,7,0)*BE777</f>
        <v>9527.3898642665208</v>
      </c>
      <c r="BT777" s="866"/>
      <c r="BU777" s="866">
        <f>VLOOKUP(BD777,$BD$4:$BN$12824,9,0)*BE777</f>
        <v>0</v>
      </c>
      <c r="BV777" s="867"/>
      <c r="BW777" s="867">
        <f>VLOOKUP(BD777,$BD$4:$BN$12824,11,0)*BE777</f>
        <v>10596.460434513827</v>
      </c>
      <c r="BX777" s="1146">
        <f t="shared" si="156"/>
        <v>350891.99533418415</v>
      </c>
      <c r="BY777" s="867">
        <f t="shared" si="157"/>
        <v>2054974.7510668368</v>
      </c>
      <c r="BZ777" s="867">
        <f t="shared" si="154"/>
        <v>10274873.755334184</v>
      </c>
      <c r="CA777" s="867">
        <f>_xlfn.MAXIFS($BY$4:$BY$12824,$S$4:$S$12824,$S777)</f>
        <v>2054974.7510668368</v>
      </c>
      <c r="CB777" s="1032"/>
      <c r="CF777" s="946">
        <f t="shared" si="155"/>
        <v>9923981.7599999998</v>
      </c>
    </row>
    <row r="778" spans="1:84">
      <c r="A778" s="1032"/>
      <c r="B778" s="839" t="s">
        <v>98</v>
      </c>
      <c r="C778" s="839" t="s">
        <v>2689</v>
      </c>
      <c r="D778" s="839" t="s">
        <v>2690</v>
      </c>
      <c r="E778" s="839" t="s">
        <v>2691</v>
      </c>
      <c r="F778" s="841">
        <v>45451</v>
      </c>
      <c r="G778" s="840" t="s">
        <v>2689</v>
      </c>
      <c r="H778" s="842" t="s">
        <v>134</v>
      </c>
      <c r="I778" s="842"/>
      <c r="J778" s="841"/>
      <c r="K778" s="841"/>
      <c r="L778" s="843" t="s">
        <v>106</v>
      </c>
      <c r="M778" s="844" t="s">
        <v>107</v>
      </c>
      <c r="N778" s="841" t="s">
        <v>2692</v>
      </c>
      <c r="O778" s="841" t="s">
        <v>150</v>
      </c>
      <c r="P778" s="841" t="s">
        <v>151</v>
      </c>
      <c r="Q778" s="843"/>
      <c r="R778" s="845">
        <v>21019618</v>
      </c>
      <c r="S778" s="1127" t="s">
        <v>2715</v>
      </c>
      <c r="T778" s="843" t="s">
        <v>2716</v>
      </c>
      <c r="U778" s="842">
        <v>5</v>
      </c>
      <c r="V778" s="842" t="s">
        <v>3</v>
      </c>
      <c r="W778" s="846">
        <v>167.99999999999997</v>
      </c>
      <c r="X778" s="847">
        <f t="shared" si="149"/>
        <v>839.99999999999989</v>
      </c>
      <c r="Y778" s="848">
        <v>0.55000000000000004</v>
      </c>
      <c r="Z778" s="849">
        <v>75.599999999999994</v>
      </c>
      <c r="AA778" s="849"/>
      <c r="AB778" s="849">
        <f t="shared" si="150"/>
        <v>378</v>
      </c>
      <c r="AC778" s="850">
        <f t="shared" si="151"/>
        <v>378</v>
      </c>
      <c r="AD778" s="851"/>
      <c r="AE778" s="852">
        <v>26253.919999999998</v>
      </c>
      <c r="AF778" s="853">
        <v>0</v>
      </c>
      <c r="AG778" s="854">
        <f t="shared" si="152"/>
        <v>0</v>
      </c>
      <c r="AH778" s="853"/>
      <c r="AI778" s="855">
        <f t="shared" si="153"/>
        <v>0</v>
      </c>
      <c r="AJ778" s="845" t="s">
        <v>2695</v>
      </c>
      <c r="AK778" s="857">
        <v>45332</v>
      </c>
      <c r="AL778" s="840" t="s">
        <v>2696</v>
      </c>
      <c r="AM778" s="840"/>
      <c r="AN778" s="858"/>
      <c r="AO778" s="844" t="s">
        <v>2697</v>
      </c>
      <c r="AP778" s="859" t="s">
        <v>2698</v>
      </c>
      <c r="AQ778" s="859" t="s">
        <v>2698</v>
      </c>
      <c r="AR778" s="859" t="s">
        <v>2699</v>
      </c>
      <c r="AS778" s="840" t="s">
        <v>2700</v>
      </c>
      <c r="AT778" s="840" t="s">
        <v>1743</v>
      </c>
      <c r="AU778" s="860" t="s">
        <v>1285</v>
      </c>
      <c r="AV778" s="839" t="s">
        <v>2701</v>
      </c>
      <c r="AW778" s="861">
        <v>45646</v>
      </c>
      <c r="AX778" s="862" t="s">
        <v>2702</v>
      </c>
      <c r="AY778" s="843" t="s">
        <v>2717</v>
      </c>
      <c r="AZ778" s="842" t="s">
        <v>2704</v>
      </c>
      <c r="BA778" s="842" t="s">
        <v>120</v>
      </c>
      <c r="BB778" s="863" t="s">
        <v>121</v>
      </c>
      <c r="BC778" s="864">
        <v>45650</v>
      </c>
      <c r="BD778" s="860" t="s">
        <v>2705</v>
      </c>
      <c r="BE778" s="865" cm="1">
        <f t="array" ref="BE778">IF(BD778="","",AC778/SUMPRODUCT(--(BD778=$BD$4:$BD$12824),$AC$4:$AC$12824))</f>
        <v>5.4508541329803635E-3</v>
      </c>
      <c r="BF778" s="458"/>
      <c r="BG778" s="458"/>
      <c r="BH778" s="458"/>
      <c r="BI778" s="458"/>
      <c r="BJ778" s="458"/>
      <c r="BK778" s="458"/>
      <c r="BL778" s="458"/>
      <c r="BM778" s="458"/>
      <c r="BN778" s="458"/>
      <c r="BO778" s="866">
        <f>VLOOKUP(BD778,$BD$4:$BN$12824,3,0)*BE778</f>
        <v>257053.28700203451</v>
      </c>
      <c r="BP778" s="866"/>
      <c r="BQ778" s="866"/>
      <c r="BR778" s="866">
        <f>VLOOKUP(BD778,$BD$4:$BN$12824,6,0)*BE778</f>
        <v>73714.85803336931</v>
      </c>
      <c r="BS778" s="866">
        <f>VLOOKUP(BD778,$BD$4:$BN$12824,7,0)*BE778</f>
        <v>9527.3898642665208</v>
      </c>
      <c r="BT778" s="866"/>
      <c r="BU778" s="866">
        <f>VLOOKUP(BD778,$BD$4:$BN$12824,9,0)*BE778</f>
        <v>0</v>
      </c>
      <c r="BV778" s="867"/>
      <c r="BW778" s="867">
        <f>VLOOKUP(BD778,$BD$4:$BN$12824,11,0)*BE778</f>
        <v>10596.460434513827</v>
      </c>
      <c r="BX778" s="1146">
        <f t="shared" si="156"/>
        <v>350891.99533418415</v>
      </c>
      <c r="BY778" s="867">
        <f t="shared" si="157"/>
        <v>2054974.7510668368</v>
      </c>
      <c r="BZ778" s="867">
        <f t="shared" si="154"/>
        <v>10274873.755334184</v>
      </c>
      <c r="CA778" s="867">
        <f>_xlfn.MAXIFS($BY$4:$BY$12824,$S$4:$S$12824,$S778)</f>
        <v>2054974.7510668368</v>
      </c>
      <c r="CB778" s="1032"/>
      <c r="CF778" s="946">
        <f t="shared" si="155"/>
        <v>9923981.7599999998</v>
      </c>
    </row>
    <row r="779" spans="1:84">
      <c r="A779" s="1032"/>
      <c r="B779" s="839" t="s">
        <v>98</v>
      </c>
      <c r="C779" s="839" t="s">
        <v>2689</v>
      </c>
      <c r="D779" s="839" t="s">
        <v>2690</v>
      </c>
      <c r="E779" s="839" t="s">
        <v>2691</v>
      </c>
      <c r="F779" s="841">
        <v>45451</v>
      </c>
      <c r="G779" s="840" t="s">
        <v>2689</v>
      </c>
      <c r="H779" s="842" t="s">
        <v>134</v>
      </c>
      <c r="I779" s="842"/>
      <c r="J779" s="841"/>
      <c r="K779" s="841"/>
      <c r="L779" s="843" t="s">
        <v>106</v>
      </c>
      <c r="M779" s="844" t="s">
        <v>107</v>
      </c>
      <c r="N779" s="841" t="s">
        <v>2692</v>
      </c>
      <c r="O779" s="841" t="s">
        <v>150</v>
      </c>
      <c r="P779" s="841" t="s">
        <v>151</v>
      </c>
      <c r="Q779" s="843"/>
      <c r="R779" s="845">
        <v>21019605</v>
      </c>
      <c r="S779" s="1127" t="s">
        <v>2718</v>
      </c>
      <c r="T779" s="843" t="s">
        <v>2719</v>
      </c>
      <c r="U779" s="842">
        <v>5</v>
      </c>
      <c r="V779" s="842" t="s">
        <v>3</v>
      </c>
      <c r="W779" s="846">
        <v>167.99999999999997</v>
      </c>
      <c r="X779" s="847">
        <f t="shared" si="149"/>
        <v>839.99999999999989</v>
      </c>
      <c r="Y779" s="848">
        <v>0.55000000000000004</v>
      </c>
      <c r="Z779" s="849">
        <v>75.599999999999994</v>
      </c>
      <c r="AA779" s="849"/>
      <c r="AB779" s="849">
        <f t="shared" si="150"/>
        <v>378</v>
      </c>
      <c r="AC779" s="850">
        <f t="shared" si="151"/>
        <v>378</v>
      </c>
      <c r="AD779" s="851"/>
      <c r="AE779" s="852">
        <v>26253.919999999998</v>
      </c>
      <c r="AF779" s="853">
        <v>0</v>
      </c>
      <c r="AG779" s="854">
        <f t="shared" si="152"/>
        <v>0</v>
      </c>
      <c r="AH779" s="853"/>
      <c r="AI779" s="855">
        <f t="shared" si="153"/>
        <v>0</v>
      </c>
      <c r="AJ779" s="845" t="s">
        <v>2695</v>
      </c>
      <c r="AK779" s="857">
        <v>45332</v>
      </c>
      <c r="AL779" s="840" t="s">
        <v>2696</v>
      </c>
      <c r="AM779" s="840"/>
      <c r="AN779" s="858"/>
      <c r="AO779" s="844" t="s">
        <v>2697</v>
      </c>
      <c r="AP779" s="859" t="s">
        <v>2698</v>
      </c>
      <c r="AQ779" s="859" t="s">
        <v>2698</v>
      </c>
      <c r="AR779" s="859" t="s">
        <v>2699</v>
      </c>
      <c r="AS779" s="840" t="s">
        <v>2700</v>
      </c>
      <c r="AT779" s="840" t="s">
        <v>1743</v>
      </c>
      <c r="AU779" s="860" t="s">
        <v>1285</v>
      </c>
      <c r="AV779" s="839" t="s">
        <v>2701</v>
      </c>
      <c r="AW779" s="861">
        <v>45646</v>
      </c>
      <c r="AX779" s="862" t="s">
        <v>2702</v>
      </c>
      <c r="AY779" s="843" t="s">
        <v>2720</v>
      </c>
      <c r="AZ779" s="842" t="s">
        <v>2704</v>
      </c>
      <c r="BA779" s="842" t="s">
        <v>120</v>
      </c>
      <c r="BB779" s="863" t="s">
        <v>121</v>
      </c>
      <c r="BC779" s="864">
        <v>45650</v>
      </c>
      <c r="BD779" s="860" t="s">
        <v>2705</v>
      </c>
      <c r="BE779" s="865" cm="1">
        <f t="array" ref="BE779">IF(BD779="","",AC779/SUMPRODUCT(--(BD779=$BD$4:$BD$12824),$AC$4:$AC$12824))</f>
        <v>5.4508541329803635E-3</v>
      </c>
      <c r="BF779" s="458"/>
      <c r="BG779" s="458"/>
      <c r="BH779" s="458"/>
      <c r="BI779" s="458"/>
      <c r="BJ779" s="458"/>
      <c r="BK779" s="458"/>
      <c r="BL779" s="458"/>
      <c r="BM779" s="458"/>
      <c r="BN779" s="458"/>
      <c r="BO779" s="866">
        <f>VLOOKUP(BD779,$BD$4:$BN$12824,3,0)*BE779</f>
        <v>257053.28700203451</v>
      </c>
      <c r="BP779" s="866"/>
      <c r="BQ779" s="866"/>
      <c r="BR779" s="866">
        <f>VLOOKUP(BD779,$BD$4:$BN$12824,6,0)*BE779</f>
        <v>73714.85803336931</v>
      </c>
      <c r="BS779" s="866">
        <f>VLOOKUP(BD779,$BD$4:$BN$12824,7,0)*BE779</f>
        <v>9527.3898642665208</v>
      </c>
      <c r="BT779" s="866"/>
      <c r="BU779" s="866">
        <f>VLOOKUP(BD779,$BD$4:$BN$12824,9,0)*BE779</f>
        <v>0</v>
      </c>
      <c r="BV779" s="867"/>
      <c r="BW779" s="867">
        <f>VLOOKUP(BD779,$BD$4:$BN$12824,11,0)*BE779</f>
        <v>10596.460434513827</v>
      </c>
      <c r="BX779" s="1146">
        <f t="shared" si="156"/>
        <v>350891.99533418415</v>
      </c>
      <c r="BY779" s="867">
        <f t="shared" si="157"/>
        <v>2054974.7510668368</v>
      </c>
      <c r="BZ779" s="867">
        <f t="shared" si="154"/>
        <v>10274873.755334184</v>
      </c>
      <c r="CA779" s="867">
        <f>_xlfn.MAXIFS($BY$4:$BY$12824,$S$4:$S$12824,$S779)</f>
        <v>2054974.7510668368</v>
      </c>
      <c r="CB779" s="1032"/>
      <c r="CF779" s="946">
        <f t="shared" si="155"/>
        <v>9923981.7599999998</v>
      </c>
    </row>
    <row r="780" spans="1:84">
      <c r="A780" s="1032"/>
      <c r="B780" s="839" t="s">
        <v>98</v>
      </c>
      <c r="C780" s="839" t="s">
        <v>2689</v>
      </c>
      <c r="D780" s="839" t="s">
        <v>2690</v>
      </c>
      <c r="E780" s="839" t="s">
        <v>2691</v>
      </c>
      <c r="F780" s="841">
        <v>45451</v>
      </c>
      <c r="G780" s="840" t="s">
        <v>2689</v>
      </c>
      <c r="H780" s="842" t="s">
        <v>134</v>
      </c>
      <c r="I780" s="842"/>
      <c r="J780" s="841"/>
      <c r="K780" s="841"/>
      <c r="L780" s="843" t="s">
        <v>106</v>
      </c>
      <c r="M780" s="844" t="s">
        <v>107</v>
      </c>
      <c r="N780" s="841" t="s">
        <v>2692</v>
      </c>
      <c r="O780" s="841" t="s">
        <v>150</v>
      </c>
      <c r="P780" s="841" t="s">
        <v>151</v>
      </c>
      <c r="Q780" s="843"/>
      <c r="R780" s="845">
        <v>28000358</v>
      </c>
      <c r="S780" s="1127" t="s">
        <v>2721</v>
      </c>
      <c r="T780" s="843" t="s">
        <v>2722</v>
      </c>
      <c r="U780" s="842">
        <v>2</v>
      </c>
      <c r="V780" s="842" t="s">
        <v>3</v>
      </c>
      <c r="W780" s="846">
        <v>272</v>
      </c>
      <c r="X780" s="847">
        <f t="shared" si="149"/>
        <v>544</v>
      </c>
      <c r="Y780" s="848">
        <v>0.55000000000000004</v>
      </c>
      <c r="Z780" s="849">
        <v>122.4</v>
      </c>
      <c r="AA780" s="849"/>
      <c r="AB780" s="849">
        <f t="shared" si="150"/>
        <v>244.8</v>
      </c>
      <c r="AC780" s="850">
        <f t="shared" si="151"/>
        <v>244.8</v>
      </c>
      <c r="AD780" s="851"/>
      <c r="AE780" s="852">
        <v>26253.919999999998</v>
      </c>
      <c r="AF780" s="853">
        <v>0</v>
      </c>
      <c r="AG780" s="854">
        <f t="shared" si="152"/>
        <v>0</v>
      </c>
      <c r="AH780" s="853"/>
      <c r="AI780" s="855">
        <f t="shared" si="153"/>
        <v>0</v>
      </c>
      <c r="AJ780" s="845" t="s">
        <v>2695</v>
      </c>
      <c r="AK780" s="857">
        <v>45332</v>
      </c>
      <c r="AL780" s="840" t="s">
        <v>2696</v>
      </c>
      <c r="AM780" s="840"/>
      <c r="AN780" s="858"/>
      <c r="AO780" s="844" t="s">
        <v>2697</v>
      </c>
      <c r="AP780" s="859" t="s">
        <v>2698</v>
      </c>
      <c r="AQ780" s="859" t="s">
        <v>2698</v>
      </c>
      <c r="AR780" s="859" t="s">
        <v>2699</v>
      </c>
      <c r="AS780" s="840" t="s">
        <v>2700</v>
      </c>
      <c r="AT780" s="840" t="s">
        <v>1743</v>
      </c>
      <c r="AU780" s="860" t="s">
        <v>1285</v>
      </c>
      <c r="AV780" s="839" t="s">
        <v>2701</v>
      </c>
      <c r="AW780" s="861">
        <v>45646</v>
      </c>
      <c r="AX780" s="862" t="s">
        <v>2702</v>
      </c>
      <c r="AY780" s="843" t="s">
        <v>2723</v>
      </c>
      <c r="AZ780" s="842">
        <v>94016990</v>
      </c>
      <c r="BA780" s="842" t="s">
        <v>120</v>
      </c>
      <c r="BB780" s="863" t="s">
        <v>121</v>
      </c>
      <c r="BC780" s="864">
        <v>45650</v>
      </c>
      <c r="BD780" s="860" t="s">
        <v>2705</v>
      </c>
      <c r="BE780" s="865" cm="1">
        <f t="array" ref="BE780">IF(BD780="","",AC780/SUMPRODUCT(--(BD780=$BD$4:$BD$12824),$AC$4:$AC$12824))</f>
        <v>3.5300769623110928E-3</v>
      </c>
      <c r="BF780" s="458"/>
      <c r="BG780" s="458"/>
      <c r="BH780" s="458"/>
      <c r="BI780" s="458"/>
      <c r="BJ780" s="458"/>
      <c r="BK780" s="458"/>
      <c r="BL780" s="458"/>
      <c r="BM780" s="458"/>
      <c r="BN780" s="458"/>
      <c r="BO780" s="866">
        <f>VLOOKUP(BD780,$BD$4:$BN$12824,3,0)*BE780</f>
        <v>166472.60491560333</v>
      </c>
      <c r="BP780" s="866"/>
      <c r="BQ780" s="866"/>
      <c r="BR780" s="866">
        <f>VLOOKUP(BD780,$BD$4:$BN$12824,6,0)*BE780</f>
        <v>47739.146154943934</v>
      </c>
      <c r="BS780" s="866">
        <f>VLOOKUP(BD780,$BD$4:$BN$12824,7,0)*BE780</f>
        <v>6170.1191501916519</v>
      </c>
      <c r="BT780" s="866"/>
      <c r="BU780" s="866">
        <f>VLOOKUP(BD780,$BD$4:$BN$12824,9,0)*BE780</f>
        <v>0</v>
      </c>
      <c r="BV780" s="867"/>
      <c r="BW780" s="867">
        <f>VLOOKUP(BD780,$BD$4:$BN$12824,11,0)*BE780</f>
        <v>6862.4696147327641</v>
      </c>
      <c r="BX780" s="1146">
        <f t="shared" si="156"/>
        <v>227244.33983547171</v>
      </c>
      <c r="BY780" s="867">
        <f t="shared" si="157"/>
        <v>3327101.9779177355</v>
      </c>
      <c r="BZ780" s="867">
        <f t="shared" si="154"/>
        <v>6654203.9558354709</v>
      </c>
      <c r="CA780" s="867">
        <f>_xlfn.MAXIFS($BY$4:$BY$12824,$S$4:$S$12824,$S780)</f>
        <v>3327101.9779177355</v>
      </c>
      <c r="CB780" s="1032"/>
      <c r="CF780" s="946">
        <f t="shared" si="155"/>
        <v>6426959.6159999995</v>
      </c>
    </row>
    <row r="781" spans="1:84">
      <c r="A781" s="1032"/>
      <c r="B781" s="839" t="s">
        <v>98</v>
      </c>
      <c r="C781" s="839" t="s">
        <v>2689</v>
      </c>
      <c r="D781" s="839" t="s">
        <v>2690</v>
      </c>
      <c r="E781" s="839" t="s">
        <v>2691</v>
      </c>
      <c r="F781" s="841">
        <v>45451</v>
      </c>
      <c r="G781" s="840" t="s">
        <v>2689</v>
      </c>
      <c r="H781" s="842" t="s">
        <v>134</v>
      </c>
      <c r="I781" s="842"/>
      <c r="J781" s="841"/>
      <c r="K781" s="841"/>
      <c r="L781" s="843" t="s">
        <v>106</v>
      </c>
      <c r="M781" s="844" t="s">
        <v>107</v>
      </c>
      <c r="N781" s="841" t="s">
        <v>2692</v>
      </c>
      <c r="O781" s="841" t="s">
        <v>150</v>
      </c>
      <c r="P781" s="841" t="s">
        <v>151</v>
      </c>
      <c r="Q781" s="843"/>
      <c r="R781" s="845" t="s">
        <v>2724</v>
      </c>
      <c r="S781" s="1127" t="s">
        <v>2725</v>
      </c>
      <c r="T781" s="843" t="s">
        <v>2726</v>
      </c>
      <c r="U781" s="842">
        <v>2</v>
      </c>
      <c r="V781" s="842" t="s">
        <v>3</v>
      </c>
      <c r="W781" s="846">
        <v>272</v>
      </c>
      <c r="X781" s="847">
        <f t="shared" si="149"/>
        <v>544</v>
      </c>
      <c r="Y781" s="848">
        <v>0.55000000000000004</v>
      </c>
      <c r="Z781" s="849">
        <v>122.4</v>
      </c>
      <c r="AA781" s="849"/>
      <c r="AB781" s="849">
        <f t="shared" si="150"/>
        <v>244.8</v>
      </c>
      <c r="AC781" s="850">
        <f t="shared" si="151"/>
        <v>244.8</v>
      </c>
      <c r="AD781" s="851"/>
      <c r="AE781" s="852">
        <v>26253.919999999998</v>
      </c>
      <c r="AF781" s="853">
        <v>0</v>
      </c>
      <c r="AG781" s="854">
        <f t="shared" si="152"/>
        <v>0</v>
      </c>
      <c r="AH781" s="853"/>
      <c r="AI781" s="855">
        <f t="shared" si="153"/>
        <v>0</v>
      </c>
      <c r="AJ781" s="845" t="s">
        <v>2695</v>
      </c>
      <c r="AK781" s="857">
        <v>45332</v>
      </c>
      <c r="AL781" s="840" t="s">
        <v>2696</v>
      </c>
      <c r="AM781" s="840"/>
      <c r="AN781" s="858"/>
      <c r="AO781" s="844" t="s">
        <v>2697</v>
      </c>
      <c r="AP781" s="859" t="s">
        <v>2698</v>
      </c>
      <c r="AQ781" s="859" t="s">
        <v>2698</v>
      </c>
      <c r="AR781" s="859" t="s">
        <v>2699</v>
      </c>
      <c r="AS781" s="840" t="s">
        <v>2700</v>
      </c>
      <c r="AT781" s="840" t="s">
        <v>1743</v>
      </c>
      <c r="AU781" s="860" t="s">
        <v>1285</v>
      </c>
      <c r="AV781" s="839" t="s">
        <v>2701</v>
      </c>
      <c r="AW781" s="861">
        <v>45646</v>
      </c>
      <c r="AX781" s="862" t="s">
        <v>2702</v>
      </c>
      <c r="AY781" s="843" t="s">
        <v>2727</v>
      </c>
      <c r="AZ781" s="842">
        <v>94016990</v>
      </c>
      <c r="BA781" s="842" t="s">
        <v>120</v>
      </c>
      <c r="BB781" s="863" t="s">
        <v>121</v>
      </c>
      <c r="BC781" s="864">
        <v>45650</v>
      </c>
      <c r="BD781" s="860" t="s">
        <v>2705</v>
      </c>
      <c r="BE781" s="865" cm="1">
        <f t="array" ref="BE781">IF(BD781="","",AC781/SUMPRODUCT(--(BD781=$BD$4:$BD$12824),$AC$4:$AC$12824))</f>
        <v>3.5300769623110928E-3</v>
      </c>
      <c r="BF781" s="458"/>
      <c r="BG781" s="458"/>
      <c r="BH781" s="458"/>
      <c r="BI781" s="458"/>
      <c r="BJ781" s="458"/>
      <c r="BK781" s="458"/>
      <c r="BL781" s="458"/>
      <c r="BM781" s="458"/>
      <c r="BN781" s="458"/>
      <c r="BO781" s="866">
        <f>VLOOKUP(BD781,$BD$4:$BN$12824,3,0)*BE781</f>
        <v>166472.60491560333</v>
      </c>
      <c r="BP781" s="866"/>
      <c r="BQ781" s="866"/>
      <c r="BR781" s="866">
        <f>VLOOKUP(BD781,$BD$4:$BN$12824,6,0)*BE781</f>
        <v>47739.146154943934</v>
      </c>
      <c r="BS781" s="866">
        <f>VLOOKUP(BD781,$BD$4:$BN$12824,7,0)*BE781</f>
        <v>6170.1191501916519</v>
      </c>
      <c r="BT781" s="866"/>
      <c r="BU781" s="866">
        <f>VLOOKUP(BD781,$BD$4:$BN$12824,9,0)*BE781</f>
        <v>0</v>
      </c>
      <c r="BV781" s="867"/>
      <c r="BW781" s="867">
        <f>VLOOKUP(BD781,$BD$4:$BN$12824,11,0)*BE781</f>
        <v>6862.4696147327641</v>
      </c>
      <c r="BX781" s="1146">
        <f t="shared" si="156"/>
        <v>227244.33983547171</v>
      </c>
      <c r="BY781" s="867">
        <f t="shared" si="157"/>
        <v>3327101.9779177355</v>
      </c>
      <c r="BZ781" s="867">
        <f t="shared" si="154"/>
        <v>6654203.9558354709</v>
      </c>
      <c r="CA781" s="867">
        <f>_xlfn.MAXIFS($BY$4:$BY$12824,$S$4:$S$12824,$S781)</f>
        <v>3327101.9779177355</v>
      </c>
      <c r="CB781" s="1032"/>
      <c r="CF781" s="946">
        <f t="shared" si="155"/>
        <v>6426959.6159999995</v>
      </c>
    </row>
    <row r="782" spans="1:84">
      <c r="A782" s="1032"/>
      <c r="B782" s="839" t="s">
        <v>98</v>
      </c>
      <c r="C782" s="839" t="s">
        <v>2689</v>
      </c>
      <c r="D782" s="839" t="s">
        <v>2690</v>
      </c>
      <c r="E782" s="839" t="s">
        <v>2691</v>
      </c>
      <c r="F782" s="841">
        <v>45451</v>
      </c>
      <c r="G782" s="840" t="s">
        <v>2689</v>
      </c>
      <c r="H782" s="842" t="s">
        <v>134</v>
      </c>
      <c r="I782" s="842"/>
      <c r="J782" s="841"/>
      <c r="K782" s="841"/>
      <c r="L782" s="843" t="s">
        <v>106</v>
      </c>
      <c r="M782" s="844" t="s">
        <v>107</v>
      </c>
      <c r="N782" s="841" t="s">
        <v>2692</v>
      </c>
      <c r="O782" s="841" t="s">
        <v>150</v>
      </c>
      <c r="P782" s="841" t="s">
        <v>151</v>
      </c>
      <c r="Q782" s="843"/>
      <c r="R782" s="845" t="s">
        <v>2728</v>
      </c>
      <c r="S782" s="1127" t="s">
        <v>2729</v>
      </c>
      <c r="T782" s="843" t="s">
        <v>2730</v>
      </c>
      <c r="U782" s="842">
        <v>2</v>
      </c>
      <c r="V782" s="842" t="s">
        <v>3</v>
      </c>
      <c r="W782" s="846">
        <v>272</v>
      </c>
      <c r="X782" s="847">
        <f t="shared" si="149"/>
        <v>544</v>
      </c>
      <c r="Y782" s="848">
        <v>0.55000000000000004</v>
      </c>
      <c r="Z782" s="849">
        <v>122.4</v>
      </c>
      <c r="AA782" s="849"/>
      <c r="AB782" s="849">
        <f t="shared" si="150"/>
        <v>244.8</v>
      </c>
      <c r="AC782" s="850">
        <f t="shared" si="151"/>
        <v>244.8</v>
      </c>
      <c r="AD782" s="851"/>
      <c r="AE782" s="852">
        <v>26253.919999999998</v>
      </c>
      <c r="AF782" s="853">
        <v>0</v>
      </c>
      <c r="AG782" s="854">
        <f t="shared" si="152"/>
        <v>0</v>
      </c>
      <c r="AH782" s="853"/>
      <c r="AI782" s="855">
        <f t="shared" si="153"/>
        <v>0</v>
      </c>
      <c r="AJ782" s="845" t="s">
        <v>2695</v>
      </c>
      <c r="AK782" s="857">
        <v>45332</v>
      </c>
      <c r="AL782" s="840" t="s">
        <v>2696</v>
      </c>
      <c r="AM782" s="840"/>
      <c r="AN782" s="858"/>
      <c r="AO782" s="844" t="s">
        <v>2697</v>
      </c>
      <c r="AP782" s="859" t="s">
        <v>2698</v>
      </c>
      <c r="AQ782" s="859" t="s">
        <v>2698</v>
      </c>
      <c r="AR782" s="859" t="s">
        <v>2699</v>
      </c>
      <c r="AS782" s="840" t="s">
        <v>2700</v>
      </c>
      <c r="AT782" s="840" t="s">
        <v>1743</v>
      </c>
      <c r="AU782" s="860" t="s">
        <v>1285</v>
      </c>
      <c r="AV782" s="839" t="s">
        <v>2701</v>
      </c>
      <c r="AW782" s="861">
        <v>45646</v>
      </c>
      <c r="AX782" s="862" t="s">
        <v>2702</v>
      </c>
      <c r="AY782" s="843" t="s">
        <v>2731</v>
      </c>
      <c r="AZ782" s="842">
        <v>94016990</v>
      </c>
      <c r="BA782" s="842" t="s">
        <v>120</v>
      </c>
      <c r="BB782" s="863" t="s">
        <v>121</v>
      </c>
      <c r="BC782" s="864">
        <v>45650</v>
      </c>
      <c r="BD782" s="860" t="s">
        <v>2705</v>
      </c>
      <c r="BE782" s="865" cm="1">
        <f t="array" ref="BE782">IF(BD782="","",AC782/SUMPRODUCT(--(BD782=$BD$4:$BD$12824),$AC$4:$AC$12824))</f>
        <v>3.5300769623110928E-3</v>
      </c>
      <c r="BF782" s="458"/>
      <c r="BG782" s="458"/>
      <c r="BH782" s="458"/>
      <c r="BI782" s="458"/>
      <c r="BJ782" s="458"/>
      <c r="BK782" s="458"/>
      <c r="BL782" s="458"/>
      <c r="BM782" s="458"/>
      <c r="BN782" s="458"/>
      <c r="BO782" s="866">
        <f>VLOOKUP(BD782,$BD$4:$BN$12824,3,0)*BE782</f>
        <v>166472.60491560333</v>
      </c>
      <c r="BP782" s="866"/>
      <c r="BQ782" s="866"/>
      <c r="BR782" s="866">
        <f>VLOOKUP(BD782,$BD$4:$BN$12824,6,0)*BE782</f>
        <v>47739.146154943934</v>
      </c>
      <c r="BS782" s="866">
        <f>VLOOKUP(BD782,$BD$4:$BN$12824,7,0)*BE782</f>
        <v>6170.1191501916519</v>
      </c>
      <c r="BT782" s="866"/>
      <c r="BU782" s="866">
        <f>VLOOKUP(BD782,$BD$4:$BN$12824,9,0)*BE782</f>
        <v>0</v>
      </c>
      <c r="BV782" s="867"/>
      <c r="BW782" s="867">
        <f>VLOOKUP(BD782,$BD$4:$BN$12824,11,0)*BE782</f>
        <v>6862.4696147327641</v>
      </c>
      <c r="BX782" s="1146">
        <f t="shared" si="156"/>
        <v>227244.33983547171</v>
      </c>
      <c r="BY782" s="867">
        <f t="shared" si="157"/>
        <v>3327101.9779177355</v>
      </c>
      <c r="BZ782" s="867">
        <f t="shared" si="154"/>
        <v>6654203.9558354709</v>
      </c>
      <c r="CA782" s="867">
        <f>_xlfn.MAXIFS($BY$4:$BY$12824,$S$4:$S$12824,$S782)</f>
        <v>3327101.9779177355</v>
      </c>
      <c r="CB782" s="1032"/>
      <c r="CF782" s="946">
        <f t="shared" si="155"/>
        <v>6426959.6159999995</v>
      </c>
    </row>
    <row r="783" spans="1:84">
      <c r="A783" s="1032"/>
      <c r="B783" s="839" t="s">
        <v>98</v>
      </c>
      <c r="C783" s="839" t="s">
        <v>2689</v>
      </c>
      <c r="D783" s="839" t="s">
        <v>2690</v>
      </c>
      <c r="E783" s="839" t="s">
        <v>2691</v>
      </c>
      <c r="F783" s="841">
        <v>45451</v>
      </c>
      <c r="G783" s="840" t="s">
        <v>2689</v>
      </c>
      <c r="H783" s="842" t="s">
        <v>134</v>
      </c>
      <c r="I783" s="842"/>
      <c r="J783" s="841"/>
      <c r="K783" s="841"/>
      <c r="L783" s="843" t="s">
        <v>106</v>
      </c>
      <c r="M783" s="844" t="s">
        <v>107</v>
      </c>
      <c r="N783" s="841" t="s">
        <v>2692</v>
      </c>
      <c r="O783" s="841" t="s">
        <v>150</v>
      </c>
      <c r="P783" s="841" t="s">
        <v>151</v>
      </c>
      <c r="Q783" s="843"/>
      <c r="R783" s="845" t="s">
        <v>2732</v>
      </c>
      <c r="S783" s="1127" t="s">
        <v>2733</v>
      </c>
      <c r="T783" s="843" t="s">
        <v>2734</v>
      </c>
      <c r="U783" s="842">
        <v>2</v>
      </c>
      <c r="V783" s="842" t="s">
        <v>3</v>
      </c>
      <c r="W783" s="846">
        <v>272</v>
      </c>
      <c r="X783" s="847">
        <f t="shared" si="149"/>
        <v>544</v>
      </c>
      <c r="Y783" s="848">
        <v>0.55000000000000004</v>
      </c>
      <c r="Z783" s="849">
        <v>122.4</v>
      </c>
      <c r="AA783" s="849"/>
      <c r="AB783" s="849">
        <f t="shared" si="150"/>
        <v>244.8</v>
      </c>
      <c r="AC783" s="850">
        <f t="shared" si="151"/>
        <v>244.8</v>
      </c>
      <c r="AD783" s="851"/>
      <c r="AE783" s="852">
        <v>26253.919999999998</v>
      </c>
      <c r="AF783" s="853">
        <v>0</v>
      </c>
      <c r="AG783" s="854">
        <f t="shared" si="152"/>
        <v>0</v>
      </c>
      <c r="AH783" s="853"/>
      <c r="AI783" s="855">
        <f t="shared" si="153"/>
        <v>0</v>
      </c>
      <c r="AJ783" s="845" t="s">
        <v>2695</v>
      </c>
      <c r="AK783" s="857">
        <v>45332</v>
      </c>
      <c r="AL783" s="840" t="s">
        <v>2696</v>
      </c>
      <c r="AM783" s="840"/>
      <c r="AN783" s="858"/>
      <c r="AO783" s="844" t="s">
        <v>2697</v>
      </c>
      <c r="AP783" s="859" t="s">
        <v>2698</v>
      </c>
      <c r="AQ783" s="859" t="s">
        <v>2698</v>
      </c>
      <c r="AR783" s="859" t="s">
        <v>2699</v>
      </c>
      <c r="AS783" s="840" t="s">
        <v>2700</v>
      </c>
      <c r="AT783" s="840" t="s">
        <v>1743</v>
      </c>
      <c r="AU783" s="860" t="s">
        <v>1285</v>
      </c>
      <c r="AV783" s="839" t="s">
        <v>2701</v>
      </c>
      <c r="AW783" s="861">
        <v>45646</v>
      </c>
      <c r="AX783" s="862" t="s">
        <v>2702</v>
      </c>
      <c r="AY783" s="843" t="s">
        <v>2735</v>
      </c>
      <c r="AZ783" s="842">
        <v>94016990</v>
      </c>
      <c r="BA783" s="842" t="s">
        <v>120</v>
      </c>
      <c r="BB783" s="863" t="s">
        <v>121</v>
      </c>
      <c r="BC783" s="864">
        <v>45650</v>
      </c>
      <c r="BD783" s="860" t="s">
        <v>2705</v>
      </c>
      <c r="BE783" s="865" cm="1">
        <f t="array" ref="BE783">IF(BD783="","",AC783/SUMPRODUCT(--(BD783=$BD$4:$BD$12824),$AC$4:$AC$12824))</f>
        <v>3.5300769623110928E-3</v>
      </c>
      <c r="BF783" s="458"/>
      <c r="BG783" s="458"/>
      <c r="BH783" s="458"/>
      <c r="BI783" s="458"/>
      <c r="BJ783" s="458"/>
      <c r="BK783" s="458"/>
      <c r="BL783" s="458"/>
      <c r="BM783" s="458"/>
      <c r="BN783" s="458"/>
      <c r="BO783" s="866">
        <f>VLOOKUP(BD783,$BD$4:$BN$12824,3,0)*BE783</f>
        <v>166472.60491560333</v>
      </c>
      <c r="BP783" s="866"/>
      <c r="BQ783" s="866"/>
      <c r="BR783" s="866">
        <f>VLOOKUP(BD783,$BD$4:$BN$12824,6,0)*BE783</f>
        <v>47739.146154943934</v>
      </c>
      <c r="BS783" s="866">
        <f>VLOOKUP(BD783,$BD$4:$BN$12824,7,0)*BE783</f>
        <v>6170.1191501916519</v>
      </c>
      <c r="BT783" s="866"/>
      <c r="BU783" s="866">
        <f>VLOOKUP(BD783,$BD$4:$BN$12824,9,0)*BE783</f>
        <v>0</v>
      </c>
      <c r="BV783" s="867"/>
      <c r="BW783" s="867">
        <f>VLOOKUP(BD783,$BD$4:$BN$12824,11,0)*BE783</f>
        <v>6862.4696147327641</v>
      </c>
      <c r="BX783" s="1146">
        <f t="shared" si="156"/>
        <v>227244.33983547171</v>
      </c>
      <c r="BY783" s="867">
        <f t="shared" si="157"/>
        <v>3327101.9779177355</v>
      </c>
      <c r="BZ783" s="867">
        <f t="shared" si="154"/>
        <v>6654203.9558354709</v>
      </c>
      <c r="CA783" s="867">
        <f>_xlfn.MAXIFS($BY$4:$BY$12824,$S$4:$S$12824,$S783)</f>
        <v>3327101.9779177355</v>
      </c>
      <c r="CB783" s="1032"/>
      <c r="CF783" s="946">
        <f t="shared" si="155"/>
        <v>6426959.6159999995</v>
      </c>
    </row>
    <row r="784" spans="1:84">
      <c r="A784" s="1032"/>
      <c r="B784" s="839" t="s">
        <v>98</v>
      </c>
      <c r="C784" s="839" t="s">
        <v>2689</v>
      </c>
      <c r="D784" s="839" t="s">
        <v>2690</v>
      </c>
      <c r="E784" s="839" t="s">
        <v>2691</v>
      </c>
      <c r="F784" s="841">
        <v>45451</v>
      </c>
      <c r="G784" s="840" t="s">
        <v>2689</v>
      </c>
      <c r="H784" s="842" t="s">
        <v>134</v>
      </c>
      <c r="I784" s="842"/>
      <c r="J784" s="841"/>
      <c r="K784" s="841"/>
      <c r="L784" s="843" t="s">
        <v>106</v>
      </c>
      <c r="M784" s="844" t="s">
        <v>107</v>
      </c>
      <c r="N784" s="841" t="s">
        <v>2692</v>
      </c>
      <c r="O784" s="841" t="s">
        <v>150</v>
      </c>
      <c r="P784" s="841" t="s">
        <v>151</v>
      </c>
      <c r="Q784" s="843"/>
      <c r="R784" s="845" t="s">
        <v>2736</v>
      </c>
      <c r="S784" s="1127" t="s">
        <v>2737</v>
      </c>
      <c r="T784" s="843" t="s">
        <v>2738</v>
      </c>
      <c r="U784" s="842">
        <v>2</v>
      </c>
      <c r="V784" s="842" t="s">
        <v>3</v>
      </c>
      <c r="W784" s="846">
        <v>272</v>
      </c>
      <c r="X784" s="847">
        <f t="shared" si="149"/>
        <v>544</v>
      </c>
      <c r="Y784" s="848">
        <v>0.55000000000000004</v>
      </c>
      <c r="Z784" s="849">
        <v>122.4</v>
      </c>
      <c r="AA784" s="849"/>
      <c r="AB784" s="849">
        <f t="shared" si="150"/>
        <v>244.8</v>
      </c>
      <c r="AC784" s="850">
        <f t="shared" si="151"/>
        <v>244.8</v>
      </c>
      <c r="AD784" s="851"/>
      <c r="AE784" s="852">
        <v>26253.919999999998</v>
      </c>
      <c r="AF784" s="853">
        <v>0</v>
      </c>
      <c r="AG784" s="854">
        <f t="shared" si="152"/>
        <v>0</v>
      </c>
      <c r="AH784" s="853"/>
      <c r="AI784" s="855">
        <f t="shared" si="153"/>
        <v>0</v>
      </c>
      <c r="AJ784" s="845" t="s">
        <v>2695</v>
      </c>
      <c r="AK784" s="857">
        <v>45332</v>
      </c>
      <c r="AL784" s="840" t="s">
        <v>2696</v>
      </c>
      <c r="AM784" s="840"/>
      <c r="AN784" s="858"/>
      <c r="AO784" s="844" t="s">
        <v>2697</v>
      </c>
      <c r="AP784" s="859" t="s">
        <v>2698</v>
      </c>
      <c r="AQ784" s="859" t="s">
        <v>2698</v>
      </c>
      <c r="AR784" s="859" t="s">
        <v>2699</v>
      </c>
      <c r="AS784" s="840" t="s">
        <v>2700</v>
      </c>
      <c r="AT784" s="840" t="s">
        <v>1743</v>
      </c>
      <c r="AU784" s="860" t="s">
        <v>1285</v>
      </c>
      <c r="AV784" s="839" t="s">
        <v>2701</v>
      </c>
      <c r="AW784" s="861">
        <v>45646</v>
      </c>
      <c r="AX784" s="862" t="s">
        <v>2702</v>
      </c>
      <c r="AY784" s="843" t="s">
        <v>2739</v>
      </c>
      <c r="AZ784" s="842">
        <v>94016990</v>
      </c>
      <c r="BA784" s="842" t="s">
        <v>120</v>
      </c>
      <c r="BB784" s="863" t="s">
        <v>121</v>
      </c>
      <c r="BC784" s="864">
        <v>45650</v>
      </c>
      <c r="BD784" s="860" t="s">
        <v>2705</v>
      </c>
      <c r="BE784" s="865" cm="1">
        <f t="array" ref="BE784">IF(BD784="","",AC784/SUMPRODUCT(--(BD784=$BD$4:$BD$12824),$AC$4:$AC$12824))</f>
        <v>3.5300769623110928E-3</v>
      </c>
      <c r="BF784" s="458"/>
      <c r="BG784" s="458"/>
      <c r="BH784" s="458"/>
      <c r="BI784" s="458"/>
      <c r="BJ784" s="458"/>
      <c r="BK784" s="458"/>
      <c r="BL784" s="458"/>
      <c r="BM784" s="458"/>
      <c r="BN784" s="458"/>
      <c r="BO784" s="866">
        <f>VLOOKUP(BD784,$BD$4:$BN$12824,3,0)*BE784</f>
        <v>166472.60491560333</v>
      </c>
      <c r="BP784" s="866"/>
      <c r="BQ784" s="866"/>
      <c r="BR784" s="866">
        <f>VLOOKUP(BD784,$BD$4:$BN$12824,6,0)*BE784</f>
        <v>47739.146154943934</v>
      </c>
      <c r="BS784" s="866">
        <f>VLOOKUP(BD784,$BD$4:$BN$12824,7,0)*BE784</f>
        <v>6170.1191501916519</v>
      </c>
      <c r="BT784" s="866"/>
      <c r="BU784" s="866">
        <f>VLOOKUP(BD784,$BD$4:$BN$12824,9,0)*BE784</f>
        <v>0</v>
      </c>
      <c r="BV784" s="867"/>
      <c r="BW784" s="867">
        <f>VLOOKUP(BD784,$BD$4:$BN$12824,11,0)*BE784</f>
        <v>6862.4696147327641</v>
      </c>
      <c r="BX784" s="1146">
        <f t="shared" si="156"/>
        <v>227244.33983547171</v>
      </c>
      <c r="BY784" s="867">
        <f t="shared" si="157"/>
        <v>3327101.9779177355</v>
      </c>
      <c r="BZ784" s="867">
        <f t="shared" si="154"/>
        <v>6654203.9558354709</v>
      </c>
      <c r="CA784" s="867">
        <f>_xlfn.MAXIFS($BY$4:$BY$12824,$S$4:$S$12824,$S784)</f>
        <v>3327101.9779177355</v>
      </c>
      <c r="CB784" s="1032"/>
      <c r="CF784" s="946">
        <f t="shared" si="155"/>
        <v>6426959.6159999995</v>
      </c>
    </row>
    <row r="785" spans="1:84">
      <c r="A785" s="1032"/>
      <c r="B785" s="839" t="s">
        <v>98</v>
      </c>
      <c r="C785" s="839" t="s">
        <v>2689</v>
      </c>
      <c r="D785" s="839" t="s">
        <v>2690</v>
      </c>
      <c r="E785" s="839" t="s">
        <v>2691</v>
      </c>
      <c r="F785" s="841">
        <v>45451</v>
      </c>
      <c r="G785" s="840" t="s">
        <v>2689</v>
      </c>
      <c r="H785" s="842" t="s">
        <v>134</v>
      </c>
      <c r="I785" s="842"/>
      <c r="J785" s="841"/>
      <c r="K785" s="841"/>
      <c r="L785" s="843" t="s">
        <v>106</v>
      </c>
      <c r="M785" s="844" t="s">
        <v>107</v>
      </c>
      <c r="N785" s="841" t="s">
        <v>2692</v>
      </c>
      <c r="O785" s="841" t="s">
        <v>150</v>
      </c>
      <c r="P785" s="841" t="s">
        <v>151</v>
      </c>
      <c r="Q785" s="843"/>
      <c r="R785" s="845">
        <v>44039600</v>
      </c>
      <c r="S785" s="1127" t="s">
        <v>2740</v>
      </c>
      <c r="T785" s="843" t="s">
        <v>2741</v>
      </c>
      <c r="U785" s="842">
        <v>2</v>
      </c>
      <c r="V785" s="842" t="s">
        <v>3</v>
      </c>
      <c r="W785" s="846">
        <v>259</v>
      </c>
      <c r="X785" s="847">
        <f t="shared" si="149"/>
        <v>518</v>
      </c>
      <c r="Y785" s="848">
        <v>0.55000000000000004</v>
      </c>
      <c r="Z785" s="849">
        <v>116.55</v>
      </c>
      <c r="AA785" s="849"/>
      <c r="AB785" s="849">
        <f t="shared" si="150"/>
        <v>233.1</v>
      </c>
      <c r="AC785" s="850">
        <f t="shared" si="151"/>
        <v>233.1</v>
      </c>
      <c r="AD785" s="851"/>
      <c r="AE785" s="852">
        <v>26253.919999999998</v>
      </c>
      <c r="AF785" s="853">
        <v>0</v>
      </c>
      <c r="AG785" s="854">
        <f t="shared" si="152"/>
        <v>0</v>
      </c>
      <c r="AH785" s="853"/>
      <c r="AI785" s="855">
        <f t="shared" si="153"/>
        <v>0</v>
      </c>
      <c r="AJ785" s="845" t="s">
        <v>2695</v>
      </c>
      <c r="AK785" s="857">
        <v>45332</v>
      </c>
      <c r="AL785" s="840" t="s">
        <v>2696</v>
      </c>
      <c r="AM785" s="840"/>
      <c r="AN785" s="858"/>
      <c r="AO785" s="844" t="s">
        <v>2697</v>
      </c>
      <c r="AP785" s="859" t="s">
        <v>2698</v>
      </c>
      <c r="AQ785" s="859" t="s">
        <v>2698</v>
      </c>
      <c r="AR785" s="859" t="s">
        <v>2699</v>
      </c>
      <c r="AS785" s="840" t="s">
        <v>2700</v>
      </c>
      <c r="AT785" s="840" t="s">
        <v>1743</v>
      </c>
      <c r="AU785" s="860" t="s">
        <v>1285</v>
      </c>
      <c r="AV785" s="839" t="s">
        <v>2701</v>
      </c>
      <c r="AW785" s="861">
        <v>45646</v>
      </c>
      <c r="AX785" s="862" t="s">
        <v>2702</v>
      </c>
      <c r="AY785" s="843" t="s">
        <v>2742</v>
      </c>
      <c r="AZ785" s="842" t="s">
        <v>2704</v>
      </c>
      <c r="BA785" s="842" t="s">
        <v>120</v>
      </c>
      <c r="BB785" s="863" t="s">
        <v>121</v>
      </c>
      <c r="BC785" s="864">
        <v>45650</v>
      </c>
      <c r="BD785" s="860" t="s">
        <v>2705</v>
      </c>
      <c r="BE785" s="865" cm="1">
        <f t="array" ref="BE785">IF(BD785="","",AC785/SUMPRODUCT(--(BD785=$BD$4:$BD$12824),$AC$4:$AC$12824))</f>
        <v>3.361360048671224E-3</v>
      </c>
      <c r="BF785" s="458"/>
      <c r="BG785" s="458"/>
      <c r="BH785" s="458"/>
      <c r="BI785" s="458"/>
      <c r="BJ785" s="458"/>
      <c r="BK785" s="458"/>
      <c r="BL785" s="458"/>
      <c r="BM785" s="458"/>
      <c r="BN785" s="458"/>
      <c r="BO785" s="866">
        <f>VLOOKUP(BD785,$BD$4:$BN$12824,3,0)*BE785</f>
        <v>158516.19365125461</v>
      </c>
      <c r="BP785" s="866"/>
      <c r="BQ785" s="866"/>
      <c r="BR785" s="866">
        <f>VLOOKUP(BD785,$BD$4:$BN$12824,6,0)*BE785</f>
        <v>45457.495787244407</v>
      </c>
      <c r="BS785" s="866">
        <f>VLOOKUP(BD785,$BD$4:$BN$12824,7,0)*BE785</f>
        <v>5875.2237496310208</v>
      </c>
      <c r="BT785" s="866"/>
      <c r="BU785" s="866">
        <f>VLOOKUP(BD785,$BD$4:$BN$12824,9,0)*BE785</f>
        <v>0</v>
      </c>
      <c r="BV785" s="867"/>
      <c r="BW785" s="867">
        <f>VLOOKUP(BD785,$BD$4:$BN$12824,11,0)*BE785</f>
        <v>6534.4839346168592</v>
      </c>
      <c r="BX785" s="1146">
        <f t="shared" si="156"/>
        <v>216383.39712274692</v>
      </c>
      <c r="BY785" s="867">
        <f t="shared" si="157"/>
        <v>3168086.0745613733</v>
      </c>
      <c r="BZ785" s="867">
        <f t="shared" si="154"/>
        <v>6336172.1491227467</v>
      </c>
      <c r="CA785" s="867">
        <f>_xlfn.MAXIFS($BY$4:$BY$12824,$S$4:$S$12824,$S785)</f>
        <v>3168086.0745613733</v>
      </c>
      <c r="CB785" s="1032"/>
      <c r="CF785" s="946">
        <f t="shared" si="155"/>
        <v>6119788.7519999994</v>
      </c>
    </row>
    <row r="786" spans="1:84">
      <c r="A786" s="1032"/>
      <c r="B786" s="839" t="s">
        <v>98</v>
      </c>
      <c r="C786" s="839" t="s">
        <v>2689</v>
      </c>
      <c r="D786" s="839" t="s">
        <v>2690</v>
      </c>
      <c r="E786" s="839" t="s">
        <v>2691</v>
      </c>
      <c r="F786" s="841">
        <v>45451</v>
      </c>
      <c r="G786" s="840" t="s">
        <v>2689</v>
      </c>
      <c r="H786" s="842" t="s">
        <v>134</v>
      </c>
      <c r="I786" s="842"/>
      <c r="J786" s="841"/>
      <c r="K786" s="841"/>
      <c r="L786" s="843" t="s">
        <v>106</v>
      </c>
      <c r="M786" s="844" t="s">
        <v>107</v>
      </c>
      <c r="N786" s="841" t="s">
        <v>2692</v>
      </c>
      <c r="O786" s="841" t="s">
        <v>150</v>
      </c>
      <c r="P786" s="841" t="s">
        <v>151</v>
      </c>
      <c r="Q786" s="843"/>
      <c r="R786" s="845" t="s">
        <v>2743</v>
      </c>
      <c r="S786" s="1127" t="s">
        <v>2744</v>
      </c>
      <c r="T786" s="843" t="s">
        <v>2745</v>
      </c>
      <c r="U786" s="842">
        <v>2</v>
      </c>
      <c r="V786" s="842" t="s">
        <v>3</v>
      </c>
      <c r="W786" s="846">
        <v>259</v>
      </c>
      <c r="X786" s="847">
        <f t="shared" si="149"/>
        <v>518</v>
      </c>
      <c r="Y786" s="848">
        <v>0.55000000000000004</v>
      </c>
      <c r="Z786" s="849">
        <v>116.55</v>
      </c>
      <c r="AA786" s="849"/>
      <c r="AB786" s="849">
        <f t="shared" si="150"/>
        <v>233.1</v>
      </c>
      <c r="AC786" s="850">
        <f t="shared" si="151"/>
        <v>233.1</v>
      </c>
      <c r="AD786" s="851"/>
      <c r="AE786" s="852">
        <v>26253.919999999998</v>
      </c>
      <c r="AF786" s="853">
        <v>0</v>
      </c>
      <c r="AG786" s="854">
        <f t="shared" si="152"/>
        <v>0</v>
      </c>
      <c r="AH786" s="853"/>
      <c r="AI786" s="855">
        <f t="shared" si="153"/>
        <v>0</v>
      </c>
      <c r="AJ786" s="845" t="s">
        <v>2695</v>
      </c>
      <c r="AK786" s="857">
        <v>45332</v>
      </c>
      <c r="AL786" s="840" t="s">
        <v>2696</v>
      </c>
      <c r="AM786" s="840"/>
      <c r="AN786" s="858"/>
      <c r="AO786" s="844" t="s">
        <v>2697</v>
      </c>
      <c r="AP786" s="859" t="s">
        <v>2698</v>
      </c>
      <c r="AQ786" s="859" t="s">
        <v>2698</v>
      </c>
      <c r="AR786" s="859" t="s">
        <v>2699</v>
      </c>
      <c r="AS786" s="840" t="s">
        <v>2700</v>
      </c>
      <c r="AT786" s="840" t="s">
        <v>1743</v>
      </c>
      <c r="AU786" s="860" t="s">
        <v>1285</v>
      </c>
      <c r="AV786" s="839" t="s">
        <v>2701</v>
      </c>
      <c r="AW786" s="861">
        <v>45646</v>
      </c>
      <c r="AX786" s="862" t="s">
        <v>2702</v>
      </c>
      <c r="AY786" s="843" t="s">
        <v>2746</v>
      </c>
      <c r="AZ786" s="842" t="s">
        <v>2704</v>
      </c>
      <c r="BA786" s="842" t="s">
        <v>120</v>
      </c>
      <c r="BB786" s="863" t="s">
        <v>121</v>
      </c>
      <c r="BC786" s="864">
        <v>45650</v>
      </c>
      <c r="BD786" s="860" t="s">
        <v>2705</v>
      </c>
      <c r="BE786" s="865" cm="1">
        <f t="array" ref="BE786">IF(BD786="","",AC786/SUMPRODUCT(--(BD786=$BD$4:$BD$12824),$AC$4:$AC$12824))</f>
        <v>3.361360048671224E-3</v>
      </c>
      <c r="BF786" s="458"/>
      <c r="BG786" s="458"/>
      <c r="BH786" s="458"/>
      <c r="BI786" s="458"/>
      <c r="BJ786" s="458"/>
      <c r="BK786" s="458"/>
      <c r="BL786" s="458"/>
      <c r="BM786" s="458"/>
      <c r="BN786" s="458"/>
      <c r="BO786" s="866">
        <f>VLOOKUP(BD786,$BD$4:$BN$12824,3,0)*BE786</f>
        <v>158516.19365125461</v>
      </c>
      <c r="BP786" s="866"/>
      <c r="BQ786" s="866"/>
      <c r="BR786" s="866">
        <f>VLOOKUP(BD786,$BD$4:$BN$12824,6,0)*BE786</f>
        <v>45457.495787244407</v>
      </c>
      <c r="BS786" s="866">
        <f>VLOOKUP(BD786,$BD$4:$BN$12824,7,0)*BE786</f>
        <v>5875.2237496310208</v>
      </c>
      <c r="BT786" s="866"/>
      <c r="BU786" s="866">
        <f>VLOOKUP(BD786,$BD$4:$BN$12824,9,0)*BE786</f>
        <v>0</v>
      </c>
      <c r="BV786" s="867"/>
      <c r="BW786" s="867">
        <f>VLOOKUP(BD786,$BD$4:$BN$12824,11,0)*BE786</f>
        <v>6534.4839346168592</v>
      </c>
      <c r="BX786" s="1146">
        <f t="shared" si="156"/>
        <v>216383.39712274692</v>
      </c>
      <c r="BY786" s="867">
        <f t="shared" si="157"/>
        <v>3168086.0745613733</v>
      </c>
      <c r="BZ786" s="867">
        <f t="shared" si="154"/>
        <v>6336172.1491227467</v>
      </c>
      <c r="CA786" s="867">
        <f>_xlfn.MAXIFS($BY$4:$BY$12824,$S$4:$S$12824,$S786)</f>
        <v>3168086.0745613733</v>
      </c>
      <c r="CB786" s="1032"/>
      <c r="CF786" s="946">
        <f t="shared" si="155"/>
        <v>6119788.7519999994</v>
      </c>
    </row>
    <row r="787" spans="1:84">
      <c r="A787" s="1032"/>
      <c r="B787" s="839" t="s">
        <v>98</v>
      </c>
      <c r="C787" s="839" t="s">
        <v>2689</v>
      </c>
      <c r="D787" s="839" t="s">
        <v>2690</v>
      </c>
      <c r="E787" s="839" t="s">
        <v>2691</v>
      </c>
      <c r="F787" s="841">
        <v>45451</v>
      </c>
      <c r="G787" s="840" t="s">
        <v>2689</v>
      </c>
      <c r="H787" s="842" t="s">
        <v>134</v>
      </c>
      <c r="I787" s="842"/>
      <c r="J787" s="841"/>
      <c r="K787" s="841"/>
      <c r="L787" s="843" t="s">
        <v>106</v>
      </c>
      <c r="M787" s="844" t="s">
        <v>107</v>
      </c>
      <c r="N787" s="841" t="s">
        <v>2692</v>
      </c>
      <c r="O787" s="841" t="s">
        <v>150</v>
      </c>
      <c r="P787" s="841" t="s">
        <v>151</v>
      </c>
      <c r="Q787" s="843"/>
      <c r="R787" s="845" t="s">
        <v>2747</v>
      </c>
      <c r="S787" s="1127" t="s">
        <v>2748</v>
      </c>
      <c r="T787" s="843" t="s">
        <v>2749</v>
      </c>
      <c r="U787" s="842">
        <v>5</v>
      </c>
      <c r="V787" s="842" t="s">
        <v>3</v>
      </c>
      <c r="W787" s="846">
        <v>225</v>
      </c>
      <c r="X787" s="847">
        <f t="shared" si="149"/>
        <v>1125</v>
      </c>
      <c r="Y787" s="848">
        <v>0.55000000000000004</v>
      </c>
      <c r="Z787" s="849">
        <v>101.25</v>
      </c>
      <c r="AA787" s="849"/>
      <c r="AB787" s="849">
        <f t="shared" si="150"/>
        <v>506.25</v>
      </c>
      <c r="AC787" s="850">
        <f t="shared" si="151"/>
        <v>506.25</v>
      </c>
      <c r="AD787" s="851"/>
      <c r="AE787" s="852">
        <v>26253.919999999998</v>
      </c>
      <c r="AF787" s="853">
        <v>0</v>
      </c>
      <c r="AG787" s="854">
        <f t="shared" si="152"/>
        <v>0</v>
      </c>
      <c r="AH787" s="853"/>
      <c r="AI787" s="855">
        <f t="shared" si="153"/>
        <v>0</v>
      </c>
      <c r="AJ787" s="845" t="s">
        <v>2695</v>
      </c>
      <c r="AK787" s="857">
        <v>45332</v>
      </c>
      <c r="AL787" s="840" t="s">
        <v>2696</v>
      </c>
      <c r="AM787" s="840"/>
      <c r="AN787" s="858"/>
      <c r="AO787" s="844" t="s">
        <v>2697</v>
      </c>
      <c r="AP787" s="859" t="s">
        <v>2698</v>
      </c>
      <c r="AQ787" s="859" t="s">
        <v>2698</v>
      </c>
      <c r="AR787" s="859" t="s">
        <v>2699</v>
      </c>
      <c r="AS787" s="840" t="s">
        <v>2700</v>
      </c>
      <c r="AT787" s="840" t="s">
        <v>1743</v>
      </c>
      <c r="AU787" s="860" t="s">
        <v>1285</v>
      </c>
      <c r="AV787" s="839" t="s">
        <v>2701</v>
      </c>
      <c r="AW787" s="861">
        <v>45646</v>
      </c>
      <c r="AX787" s="862" t="s">
        <v>2702</v>
      </c>
      <c r="AY787" s="843" t="s">
        <v>2750</v>
      </c>
      <c r="AZ787" s="842" t="s">
        <v>2704</v>
      </c>
      <c r="BA787" s="842" t="s">
        <v>120</v>
      </c>
      <c r="BB787" s="863" t="s">
        <v>121</v>
      </c>
      <c r="BC787" s="864">
        <v>45650</v>
      </c>
      <c r="BD787" s="860" t="s">
        <v>2705</v>
      </c>
      <c r="BE787" s="865" cm="1">
        <f t="array" ref="BE787">IF(BD787="","",AC787/SUMPRODUCT(--(BD787=$BD$4:$BD$12824),$AC$4:$AC$12824))</f>
        <v>7.3002510709558443E-3</v>
      </c>
      <c r="BF787" s="458"/>
      <c r="BG787" s="458"/>
      <c r="BH787" s="458"/>
      <c r="BI787" s="458"/>
      <c r="BJ787" s="458"/>
      <c r="BK787" s="458"/>
      <c r="BL787" s="458"/>
      <c r="BM787" s="458"/>
      <c r="BN787" s="458"/>
      <c r="BO787" s="866">
        <f>VLOOKUP(BD787,$BD$4:$BN$12824,3,0)*BE787</f>
        <v>344267.79509201052</v>
      </c>
      <c r="BP787" s="866"/>
      <c r="BQ787" s="866"/>
      <c r="BR787" s="866">
        <f>VLOOKUP(BD787,$BD$4:$BN$12824,6,0)*BE787</f>
        <v>98725.256294691048</v>
      </c>
      <c r="BS787" s="866">
        <f>VLOOKUP(BD787,$BD$4:$BN$12824,7,0)*BE787</f>
        <v>12759.897139642662</v>
      </c>
      <c r="BT787" s="866"/>
      <c r="BU787" s="866">
        <f>VLOOKUP(BD787,$BD$4:$BN$12824,9,0)*BE787</f>
        <v>0</v>
      </c>
      <c r="BV787" s="867"/>
      <c r="BW787" s="867">
        <f>VLOOKUP(BD787,$BD$4:$BN$12824,11,0)*BE787</f>
        <v>14191.68808193816</v>
      </c>
      <c r="BX787" s="1146">
        <f t="shared" si="156"/>
        <v>469944.6366082824</v>
      </c>
      <c r="BY787" s="867">
        <f t="shared" si="157"/>
        <v>2752198.3273216565</v>
      </c>
      <c r="BZ787" s="867">
        <f t="shared" si="154"/>
        <v>13760991.636608282</v>
      </c>
      <c r="CA787" s="867">
        <f>_xlfn.MAXIFS($BY$4:$BY$12824,$S$4:$S$12824,$S787)</f>
        <v>2752198.3273216565</v>
      </c>
      <c r="CB787" s="1032"/>
      <c r="CF787" s="946">
        <f t="shared" si="155"/>
        <v>13291047</v>
      </c>
    </row>
    <row r="788" spans="1:84">
      <c r="A788" s="1032"/>
      <c r="B788" s="839" t="s">
        <v>98</v>
      </c>
      <c r="C788" s="839" t="s">
        <v>2689</v>
      </c>
      <c r="D788" s="839" t="s">
        <v>2690</v>
      </c>
      <c r="E788" s="839" t="s">
        <v>2691</v>
      </c>
      <c r="F788" s="841">
        <v>45451</v>
      </c>
      <c r="G788" s="840" t="s">
        <v>2689</v>
      </c>
      <c r="H788" s="842" t="s">
        <v>134</v>
      </c>
      <c r="I788" s="842"/>
      <c r="J788" s="841"/>
      <c r="K788" s="841"/>
      <c r="L788" s="843" t="s">
        <v>106</v>
      </c>
      <c r="M788" s="844" t="s">
        <v>107</v>
      </c>
      <c r="N788" s="841" t="s">
        <v>2692</v>
      </c>
      <c r="O788" s="841" t="s">
        <v>150</v>
      </c>
      <c r="P788" s="841" t="s">
        <v>151</v>
      </c>
      <c r="Q788" s="843"/>
      <c r="R788" s="845" t="s">
        <v>2751</v>
      </c>
      <c r="S788" s="1127" t="s">
        <v>2752</v>
      </c>
      <c r="T788" s="843" t="s">
        <v>2753</v>
      </c>
      <c r="U788" s="842">
        <v>5</v>
      </c>
      <c r="V788" s="842" t="s">
        <v>3</v>
      </c>
      <c r="W788" s="846">
        <v>225</v>
      </c>
      <c r="X788" s="847">
        <f t="shared" si="149"/>
        <v>1125</v>
      </c>
      <c r="Y788" s="848">
        <v>0.55000000000000004</v>
      </c>
      <c r="Z788" s="849">
        <v>101.25</v>
      </c>
      <c r="AA788" s="849"/>
      <c r="AB788" s="849">
        <f t="shared" si="150"/>
        <v>506.25</v>
      </c>
      <c r="AC788" s="850">
        <f t="shared" si="151"/>
        <v>506.25</v>
      </c>
      <c r="AD788" s="851"/>
      <c r="AE788" s="852">
        <v>26253.919999999998</v>
      </c>
      <c r="AF788" s="853">
        <v>0</v>
      </c>
      <c r="AG788" s="854">
        <f t="shared" si="152"/>
        <v>0</v>
      </c>
      <c r="AH788" s="853"/>
      <c r="AI788" s="855">
        <f t="shared" si="153"/>
        <v>0</v>
      </c>
      <c r="AJ788" s="845" t="s">
        <v>2695</v>
      </c>
      <c r="AK788" s="857">
        <v>45332</v>
      </c>
      <c r="AL788" s="840" t="s">
        <v>2696</v>
      </c>
      <c r="AM788" s="840"/>
      <c r="AN788" s="858"/>
      <c r="AO788" s="844" t="s">
        <v>2697</v>
      </c>
      <c r="AP788" s="859" t="s">
        <v>2698</v>
      </c>
      <c r="AQ788" s="859" t="s">
        <v>2698</v>
      </c>
      <c r="AR788" s="859" t="s">
        <v>2699</v>
      </c>
      <c r="AS788" s="840" t="s">
        <v>2700</v>
      </c>
      <c r="AT788" s="840" t="s">
        <v>1743</v>
      </c>
      <c r="AU788" s="860" t="s">
        <v>1285</v>
      </c>
      <c r="AV788" s="839" t="s">
        <v>2701</v>
      </c>
      <c r="AW788" s="861">
        <v>45646</v>
      </c>
      <c r="AX788" s="862" t="s">
        <v>2702</v>
      </c>
      <c r="AY788" s="843" t="s">
        <v>2754</v>
      </c>
      <c r="AZ788" s="842" t="s">
        <v>2704</v>
      </c>
      <c r="BA788" s="842" t="s">
        <v>120</v>
      </c>
      <c r="BB788" s="863" t="s">
        <v>121</v>
      </c>
      <c r="BC788" s="864">
        <v>45650</v>
      </c>
      <c r="BD788" s="860" t="s">
        <v>2705</v>
      </c>
      <c r="BE788" s="865" cm="1">
        <f t="array" ref="BE788">IF(BD788="","",AC788/SUMPRODUCT(--(BD788=$BD$4:$BD$12824),$AC$4:$AC$12824))</f>
        <v>7.3002510709558443E-3</v>
      </c>
      <c r="BF788" s="458"/>
      <c r="BG788" s="458"/>
      <c r="BH788" s="458"/>
      <c r="BI788" s="458"/>
      <c r="BJ788" s="458"/>
      <c r="BK788" s="458"/>
      <c r="BL788" s="458"/>
      <c r="BM788" s="458"/>
      <c r="BN788" s="458"/>
      <c r="BO788" s="866">
        <f>VLOOKUP(BD788,$BD$4:$BN$12824,3,0)*BE788</f>
        <v>344267.79509201052</v>
      </c>
      <c r="BP788" s="866"/>
      <c r="BQ788" s="866"/>
      <c r="BR788" s="866">
        <f>VLOOKUP(BD788,$BD$4:$BN$12824,6,0)*BE788</f>
        <v>98725.256294691048</v>
      </c>
      <c r="BS788" s="866">
        <f>VLOOKUP(BD788,$BD$4:$BN$12824,7,0)*BE788</f>
        <v>12759.897139642662</v>
      </c>
      <c r="BT788" s="866"/>
      <c r="BU788" s="866">
        <f>VLOOKUP(BD788,$BD$4:$BN$12824,9,0)*BE788</f>
        <v>0</v>
      </c>
      <c r="BV788" s="867"/>
      <c r="BW788" s="867">
        <f>VLOOKUP(BD788,$BD$4:$BN$12824,11,0)*BE788</f>
        <v>14191.68808193816</v>
      </c>
      <c r="BX788" s="1146">
        <f t="shared" si="156"/>
        <v>469944.6366082824</v>
      </c>
      <c r="BY788" s="867">
        <f t="shared" si="157"/>
        <v>2752198.3273216565</v>
      </c>
      <c r="BZ788" s="867">
        <f t="shared" si="154"/>
        <v>13760991.636608282</v>
      </c>
      <c r="CA788" s="867">
        <f>_xlfn.MAXIFS($BY$4:$BY$12824,$S$4:$S$12824,$S788)</f>
        <v>2752198.3273216565</v>
      </c>
      <c r="CB788" s="1032"/>
      <c r="CF788" s="946">
        <f t="shared" si="155"/>
        <v>13291047</v>
      </c>
    </row>
    <row r="789" spans="1:84">
      <c r="A789" s="1032"/>
      <c r="B789" s="839" t="s">
        <v>98</v>
      </c>
      <c r="C789" s="839" t="s">
        <v>2689</v>
      </c>
      <c r="D789" s="839" t="s">
        <v>2690</v>
      </c>
      <c r="E789" s="839" t="s">
        <v>2691</v>
      </c>
      <c r="F789" s="841">
        <v>45451</v>
      </c>
      <c r="G789" s="840" t="s">
        <v>2689</v>
      </c>
      <c r="H789" s="842" t="s">
        <v>134</v>
      </c>
      <c r="I789" s="842"/>
      <c r="J789" s="841"/>
      <c r="K789" s="841"/>
      <c r="L789" s="843" t="s">
        <v>106</v>
      </c>
      <c r="M789" s="844" t="s">
        <v>107</v>
      </c>
      <c r="N789" s="841" t="s">
        <v>2692</v>
      </c>
      <c r="O789" s="841" t="s">
        <v>150</v>
      </c>
      <c r="P789" s="841" t="s">
        <v>151</v>
      </c>
      <c r="Q789" s="843"/>
      <c r="R789" s="845" t="s">
        <v>2755</v>
      </c>
      <c r="S789" s="1127" t="s">
        <v>2756</v>
      </c>
      <c r="T789" s="843" t="s">
        <v>2757</v>
      </c>
      <c r="U789" s="842">
        <v>5</v>
      </c>
      <c r="V789" s="842" t="s">
        <v>3</v>
      </c>
      <c r="W789" s="846">
        <v>225</v>
      </c>
      <c r="X789" s="847">
        <f t="shared" si="149"/>
        <v>1125</v>
      </c>
      <c r="Y789" s="848">
        <v>0.55000000000000004</v>
      </c>
      <c r="Z789" s="849">
        <v>101.25</v>
      </c>
      <c r="AA789" s="849"/>
      <c r="AB789" s="849">
        <f t="shared" si="150"/>
        <v>506.25</v>
      </c>
      <c r="AC789" s="850">
        <f t="shared" si="151"/>
        <v>506.25</v>
      </c>
      <c r="AD789" s="851"/>
      <c r="AE789" s="852">
        <v>26253.919999999998</v>
      </c>
      <c r="AF789" s="853">
        <v>0</v>
      </c>
      <c r="AG789" s="854">
        <f t="shared" si="152"/>
        <v>0</v>
      </c>
      <c r="AH789" s="853"/>
      <c r="AI789" s="855">
        <f t="shared" si="153"/>
        <v>0</v>
      </c>
      <c r="AJ789" s="845" t="s">
        <v>2695</v>
      </c>
      <c r="AK789" s="857">
        <v>45332</v>
      </c>
      <c r="AL789" s="840" t="s">
        <v>2696</v>
      </c>
      <c r="AM789" s="840"/>
      <c r="AN789" s="858"/>
      <c r="AO789" s="844" t="s">
        <v>2697</v>
      </c>
      <c r="AP789" s="859" t="s">
        <v>2698</v>
      </c>
      <c r="AQ789" s="859" t="s">
        <v>2698</v>
      </c>
      <c r="AR789" s="859" t="s">
        <v>2699</v>
      </c>
      <c r="AS789" s="840" t="s">
        <v>2700</v>
      </c>
      <c r="AT789" s="840" t="s">
        <v>1743</v>
      </c>
      <c r="AU789" s="860" t="s">
        <v>1285</v>
      </c>
      <c r="AV789" s="839" t="s">
        <v>2701</v>
      </c>
      <c r="AW789" s="861">
        <v>45646</v>
      </c>
      <c r="AX789" s="862" t="s">
        <v>2702</v>
      </c>
      <c r="AY789" s="843" t="s">
        <v>2758</v>
      </c>
      <c r="AZ789" s="842" t="s">
        <v>2704</v>
      </c>
      <c r="BA789" s="842" t="s">
        <v>120</v>
      </c>
      <c r="BB789" s="863" t="s">
        <v>121</v>
      </c>
      <c r="BC789" s="864">
        <v>45650</v>
      </c>
      <c r="BD789" s="860" t="s">
        <v>2705</v>
      </c>
      <c r="BE789" s="865" cm="1">
        <f t="array" ref="BE789">IF(BD789="","",AC789/SUMPRODUCT(--(BD789=$BD$4:$BD$12824),$AC$4:$AC$12824))</f>
        <v>7.3002510709558443E-3</v>
      </c>
      <c r="BF789" s="458"/>
      <c r="BG789" s="458"/>
      <c r="BH789" s="458"/>
      <c r="BI789" s="458"/>
      <c r="BJ789" s="458"/>
      <c r="BK789" s="458"/>
      <c r="BL789" s="458"/>
      <c r="BM789" s="458"/>
      <c r="BN789" s="458"/>
      <c r="BO789" s="866">
        <f>VLOOKUP(BD789,$BD$4:$BN$12824,3,0)*BE789</f>
        <v>344267.79509201052</v>
      </c>
      <c r="BP789" s="866"/>
      <c r="BQ789" s="866"/>
      <c r="BR789" s="866">
        <f>VLOOKUP(BD789,$BD$4:$BN$12824,6,0)*BE789</f>
        <v>98725.256294691048</v>
      </c>
      <c r="BS789" s="866">
        <f>VLOOKUP(BD789,$BD$4:$BN$12824,7,0)*BE789</f>
        <v>12759.897139642662</v>
      </c>
      <c r="BT789" s="866"/>
      <c r="BU789" s="866">
        <f>VLOOKUP(BD789,$BD$4:$BN$12824,9,0)*BE789</f>
        <v>0</v>
      </c>
      <c r="BV789" s="867"/>
      <c r="BW789" s="867">
        <f>VLOOKUP(BD789,$BD$4:$BN$12824,11,0)*BE789</f>
        <v>14191.68808193816</v>
      </c>
      <c r="BX789" s="1146">
        <f t="shared" si="156"/>
        <v>469944.6366082824</v>
      </c>
      <c r="BY789" s="867">
        <f t="shared" si="157"/>
        <v>2752198.3273216565</v>
      </c>
      <c r="BZ789" s="867">
        <f t="shared" si="154"/>
        <v>13760991.636608282</v>
      </c>
      <c r="CA789" s="867">
        <f>_xlfn.MAXIFS($BY$4:$BY$12824,$S$4:$S$12824,$S789)</f>
        <v>2752198.3273216565</v>
      </c>
      <c r="CB789" s="1032"/>
      <c r="CF789" s="946">
        <f t="shared" si="155"/>
        <v>13291047</v>
      </c>
    </row>
    <row r="790" spans="1:84">
      <c r="A790" s="1032"/>
      <c r="B790" s="839" t="s">
        <v>98</v>
      </c>
      <c r="C790" s="839" t="s">
        <v>2689</v>
      </c>
      <c r="D790" s="839" t="s">
        <v>2690</v>
      </c>
      <c r="E790" s="839" t="s">
        <v>2691</v>
      </c>
      <c r="F790" s="841">
        <v>45451</v>
      </c>
      <c r="G790" s="840" t="s">
        <v>2689</v>
      </c>
      <c r="H790" s="842" t="s">
        <v>134</v>
      </c>
      <c r="I790" s="842"/>
      <c r="J790" s="841"/>
      <c r="K790" s="841"/>
      <c r="L790" s="843" t="s">
        <v>106</v>
      </c>
      <c r="M790" s="844" t="s">
        <v>107</v>
      </c>
      <c r="N790" s="841" t="s">
        <v>2692</v>
      </c>
      <c r="O790" s="841" t="s">
        <v>150</v>
      </c>
      <c r="P790" s="841" t="s">
        <v>151</v>
      </c>
      <c r="Q790" s="843"/>
      <c r="R790" s="845" t="s">
        <v>2759</v>
      </c>
      <c r="S790" s="1127" t="s">
        <v>2760</v>
      </c>
      <c r="T790" s="843" t="s">
        <v>2761</v>
      </c>
      <c r="U790" s="842">
        <v>5</v>
      </c>
      <c r="V790" s="842" t="s">
        <v>3</v>
      </c>
      <c r="W790" s="846">
        <v>225</v>
      </c>
      <c r="X790" s="847">
        <f t="shared" si="149"/>
        <v>1125</v>
      </c>
      <c r="Y790" s="848">
        <v>0.55000000000000004</v>
      </c>
      <c r="Z790" s="849">
        <v>101.25</v>
      </c>
      <c r="AA790" s="849"/>
      <c r="AB790" s="849">
        <f t="shared" si="150"/>
        <v>506.25</v>
      </c>
      <c r="AC790" s="850">
        <f t="shared" si="151"/>
        <v>506.25</v>
      </c>
      <c r="AD790" s="851"/>
      <c r="AE790" s="852">
        <v>26253.919999999998</v>
      </c>
      <c r="AF790" s="853">
        <v>0</v>
      </c>
      <c r="AG790" s="854">
        <f t="shared" si="152"/>
        <v>0</v>
      </c>
      <c r="AH790" s="853"/>
      <c r="AI790" s="855">
        <f t="shared" si="153"/>
        <v>0</v>
      </c>
      <c r="AJ790" s="845" t="s">
        <v>2695</v>
      </c>
      <c r="AK790" s="857">
        <v>45332</v>
      </c>
      <c r="AL790" s="840" t="s">
        <v>2696</v>
      </c>
      <c r="AM790" s="840"/>
      <c r="AN790" s="858"/>
      <c r="AO790" s="844" t="s">
        <v>2697</v>
      </c>
      <c r="AP790" s="859" t="s">
        <v>2698</v>
      </c>
      <c r="AQ790" s="859" t="s">
        <v>2698</v>
      </c>
      <c r="AR790" s="859" t="s">
        <v>2699</v>
      </c>
      <c r="AS790" s="840" t="s">
        <v>2700</v>
      </c>
      <c r="AT790" s="840" t="s">
        <v>1743</v>
      </c>
      <c r="AU790" s="860" t="s">
        <v>1285</v>
      </c>
      <c r="AV790" s="839" t="s">
        <v>2701</v>
      </c>
      <c r="AW790" s="861">
        <v>45646</v>
      </c>
      <c r="AX790" s="862" t="s">
        <v>2702</v>
      </c>
      <c r="AY790" s="843" t="s">
        <v>2762</v>
      </c>
      <c r="AZ790" s="842" t="s">
        <v>2704</v>
      </c>
      <c r="BA790" s="842" t="s">
        <v>120</v>
      </c>
      <c r="BB790" s="863" t="s">
        <v>121</v>
      </c>
      <c r="BC790" s="864">
        <v>45650</v>
      </c>
      <c r="BD790" s="860" t="s">
        <v>2705</v>
      </c>
      <c r="BE790" s="865" cm="1">
        <f t="array" ref="BE790">IF(BD790="","",AC790/SUMPRODUCT(--(BD790=$BD$4:$BD$12824),$AC$4:$AC$12824))</f>
        <v>7.3002510709558443E-3</v>
      </c>
      <c r="BF790" s="458"/>
      <c r="BG790" s="458"/>
      <c r="BH790" s="458"/>
      <c r="BI790" s="458"/>
      <c r="BJ790" s="458"/>
      <c r="BK790" s="458"/>
      <c r="BL790" s="458"/>
      <c r="BM790" s="458"/>
      <c r="BN790" s="458"/>
      <c r="BO790" s="866">
        <f>VLOOKUP(BD790,$BD$4:$BN$12824,3,0)*BE790</f>
        <v>344267.79509201052</v>
      </c>
      <c r="BP790" s="866"/>
      <c r="BQ790" s="866"/>
      <c r="BR790" s="866">
        <f>VLOOKUP(BD790,$BD$4:$BN$12824,6,0)*BE790</f>
        <v>98725.256294691048</v>
      </c>
      <c r="BS790" s="866">
        <f>VLOOKUP(BD790,$BD$4:$BN$12824,7,0)*BE790</f>
        <v>12759.897139642662</v>
      </c>
      <c r="BT790" s="866"/>
      <c r="BU790" s="866">
        <f>VLOOKUP(BD790,$BD$4:$BN$12824,9,0)*BE790</f>
        <v>0</v>
      </c>
      <c r="BV790" s="867"/>
      <c r="BW790" s="867">
        <f>VLOOKUP(BD790,$BD$4:$BN$12824,11,0)*BE790</f>
        <v>14191.68808193816</v>
      </c>
      <c r="BX790" s="1146">
        <f t="shared" si="156"/>
        <v>469944.6366082824</v>
      </c>
      <c r="BY790" s="867">
        <f t="shared" si="157"/>
        <v>2752198.3273216565</v>
      </c>
      <c r="BZ790" s="867">
        <f t="shared" si="154"/>
        <v>13760991.636608282</v>
      </c>
      <c r="CA790" s="867">
        <f>_xlfn.MAXIFS($BY$4:$BY$12824,$S$4:$S$12824,$S790)</f>
        <v>2752198.3273216565</v>
      </c>
      <c r="CB790" s="1032"/>
      <c r="CF790" s="946">
        <f t="shared" si="155"/>
        <v>13291047</v>
      </c>
    </row>
    <row r="791" spans="1:84">
      <c r="A791" s="1032"/>
      <c r="B791" s="839" t="s">
        <v>98</v>
      </c>
      <c r="C791" s="839" t="s">
        <v>2689</v>
      </c>
      <c r="D791" s="839" t="s">
        <v>2690</v>
      </c>
      <c r="E791" s="839" t="s">
        <v>2691</v>
      </c>
      <c r="F791" s="841">
        <v>45451</v>
      </c>
      <c r="G791" s="840" t="s">
        <v>2689</v>
      </c>
      <c r="H791" s="842" t="s">
        <v>134</v>
      </c>
      <c r="I791" s="842"/>
      <c r="J791" s="841"/>
      <c r="K791" s="841"/>
      <c r="L791" s="843" t="s">
        <v>106</v>
      </c>
      <c r="M791" s="844" t="s">
        <v>107</v>
      </c>
      <c r="N791" s="841" t="s">
        <v>2692</v>
      </c>
      <c r="O791" s="841" t="s">
        <v>150</v>
      </c>
      <c r="P791" s="841" t="s">
        <v>151</v>
      </c>
      <c r="Q791" s="843"/>
      <c r="R791" s="845" t="s">
        <v>2763</v>
      </c>
      <c r="S791" s="1127" t="s">
        <v>2764</v>
      </c>
      <c r="T791" s="843" t="s">
        <v>2765</v>
      </c>
      <c r="U791" s="842">
        <v>5</v>
      </c>
      <c r="V791" s="842" t="s">
        <v>3</v>
      </c>
      <c r="W791" s="846">
        <v>225</v>
      </c>
      <c r="X791" s="847">
        <f t="shared" si="149"/>
        <v>1125</v>
      </c>
      <c r="Y791" s="848">
        <v>0.55000000000000004</v>
      </c>
      <c r="Z791" s="849">
        <v>101.25</v>
      </c>
      <c r="AA791" s="849"/>
      <c r="AB791" s="849">
        <f t="shared" si="150"/>
        <v>506.25</v>
      </c>
      <c r="AC791" s="850">
        <f t="shared" si="151"/>
        <v>506.25</v>
      </c>
      <c r="AD791" s="851"/>
      <c r="AE791" s="852">
        <v>26253.919999999998</v>
      </c>
      <c r="AF791" s="853">
        <v>0</v>
      </c>
      <c r="AG791" s="854">
        <f t="shared" si="152"/>
        <v>0</v>
      </c>
      <c r="AH791" s="853"/>
      <c r="AI791" s="855">
        <f t="shared" si="153"/>
        <v>0</v>
      </c>
      <c r="AJ791" s="845" t="s">
        <v>2695</v>
      </c>
      <c r="AK791" s="857">
        <v>45332</v>
      </c>
      <c r="AL791" s="840" t="s">
        <v>2696</v>
      </c>
      <c r="AM791" s="840"/>
      <c r="AN791" s="858"/>
      <c r="AO791" s="844" t="s">
        <v>2697</v>
      </c>
      <c r="AP791" s="859" t="s">
        <v>2698</v>
      </c>
      <c r="AQ791" s="859" t="s">
        <v>2698</v>
      </c>
      <c r="AR791" s="859" t="s">
        <v>2699</v>
      </c>
      <c r="AS791" s="840" t="s">
        <v>2700</v>
      </c>
      <c r="AT791" s="840" t="s">
        <v>1743</v>
      </c>
      <c r="AU791" s="860" t="s">
        <v>1285</v>
      </c>
      <c r="AV791" s="839" t="s">
        <v>2701</v>
      </c>
      <c r="AW791" s="861">
        <v>45646</v>
      </c>
      <c r="AX791" s="862" t="s">
        <v>2702</v>
      </c>
      <c r="AY791" s="843" t="s">
        <v>2766</v>
      </c>
      <c r="AZ791" s="842" t="s">
        <v>2704</v>
      </c>
      <c r="BA791" s="842" t="s">
        <v>120</v>
      </c>
      <c r="BB791" s="863" t="s">
        <v>121</v>
      </c>
      <c r="BC791" s="864">
        <v>45650</v>
      </c>
      <c r="BD791" s="860" t="s">
        <v>2705</v>
      </c>
      <c r="BE791" s="865" cm="1">
        <f t="array" ref="BE791">IF(BD791="","",AC791/SUMPRODUCT(--(BD791=$BD$4:$BD$12824),$AC$4:$AC$12824))</f>
        <v>7.3002510709558443E-3</v>
      </c>
      <c r="BF791" s="458"/>
      <c r="BG791" s="458"/>
      <c r="BH791" s="458"/>
      <c r="BI791" s="458"/>
      <c r="BJ791" s="458"/>
      <c r="BK791" s="458"/>
      <c r="BL791" s="458"/>
      <c r="BM791" s="458"/>
      <c r="BN791" s="458"/>
      <c r="BO791" s="866">
        <f>VLOOKUP(BD791,$BD$4:$BN$12824,3,0)*BE791</f>
        <v>344267.79509201052</v>
      </c>
      <c r="BP791" s="866"/>
      <c r="BQ791" s="866"/>
      <c r="BR791" s="866">
        <f>VLOOKUP(BD791,$BD$4:$BN$12824,6,0)*BE791</f>
        <v>98725.256294691048</v>
      </c>
      <c r="BS791" s="866">
        <f>VLOOKUP(BD791,$BD$4:$BN$12824,7,0)*BE791</f>
        <v>12759.897139642662</v>
      </c>
      <c r="BT791" s="866"/>
      <c r="BU791" s="866">
        <f>VLOOKUP(BD791,$BD$4:$BN$12824,9,0)*BE791</f>
        <v>0</v>
      </c>
      <c r="BV791" s="867"/>
      <c r="BW791" s="867">
        <f>VLOOKUP(BD791,$BD$4:$BN$12824,11,0)*BE791</f>
        <v>14191.68808193816</v>
      </c>
      <c r="BX791" s="1146">
        <f t="shared" si="156"/>
        <v>469944.6366082824</v>
      </c>
      <c r="BY791" s="867">
        <f t="shared" si="157"/>
        <v>2752198.3273216565</v>
      </c>
      <c r="BZ791" s="867">
        <f t="shared" si="154"/>
        <v>13760991.636608282</v>
      </c>
      <c r="CA791" s="867">
        <f>_xlfn.MAXIFS($BY$4:$BY$12824,$S$4:$S$12824,$S791)</f>
        <v>2752198.3273216565</v>
      </c>
      <c r="CB791" s="1032"/>
      <c r="CF791" s="946">
        <f t="shared" si="155"/>
        <v>13291047</v>
      </c>
    </row>
    <row r="792" spans="1:84">
      <c r="A792" s="1032"/>
      <c r="B792" s="839" t="s">
        <v>98</v>
      </c>
      <c r="C792" s="839" t="s">
        <v>2689</v>
      </c>
      <c r="D792" s="839" t="s">
        <v>2690</v>
      </c>
      <c r="E792" s="839" t="s">
        <v>2691</v>
      </c>
      <c r="F792" s="841">
        <v>45451</v>
      </c>
      <c r="G792" s="840" t="s">
        <v>2689</v>
      </c>
      <c r="H792" s="842" t="s">
        <v>134</v>
      </c>
      <c r="I792" s="842"/>
      <c r="J792" s="841"/>
      <c r="K792" s="841"/>
      <c r="L792" s="843" t="s">
        <v>106</v>
      </c>
      <c r="M792" s="844" t="s">
        <v>107</v>
      </c>
      <c r="N792" s="841" t="s">
        <v>2692</v>
      </c>
      <c r="O792" s="841" t="s">
        <v>150</v>
      </c>
      <c r="P792" s="841" t="s">
        <v>151</v>
      </c>
      <c r="Q792" s="843"/>
      <c r="R792" s="845" t="s">
        <v>2767</v>
      </c>
      <c r="S792" s="1127" t="s">
        <v>2768</v>
      </c>
      <c r="T792" s="843" t="s">
        <v>2769</v>
      </c>
      <c r="U792" s="842">
        <v>5</v>
      </c>
      <c r="V792" s="842" t="s">
        <v>3</v>
      </c>
      <c r="W792" s="846">
        <v>225</v>
      </c>
      <c r="X792" s="847">
        <f t="shared" si="149"/>
        <v>1125</v>
      </c>
      <c r="Y792" s="848">
        <v>0.55000000000000004</v>
      </c>
      <c r="Z792" s="849">
        <v>101.25</v>
      </c>
      <c r="AA792" s="849"/>
      <c r="AB792" s="849">
        <f t="shared" si="150"/>
        <v>506.25</v>
      </c>
      <c r="AC792" s="850">
        <f t="shared" si="151"/>
        <v>506.25</v>
      </c>
      <c r="AD792" s="851"/>
      <c r="AE792" s="852">
        <v>26253.919999999998</v>
      </c>
      <c r="AF792" s="853">
        <v>0</v>
      </c>
      <c r="AG792" s="854">
        <f t="shared" si="152"/>
        <v>0</v>
      </c>
      <c r="AH792" s="853"/>
      <c r="AI792" s="855">
        <f t="shared" si="153"/>
        <v>0</v>
      </c>
      <c r="AJ792" s="845" t="s">
        <v>2695</v>
      </c>
      <c r="AK792" s="857">
        <v>45332</v>
      </c>
      <c r="AL792" s="840" t="s">
        <v>2696</v>
      </c>
      <c r="AM792" s="840"/>
      <c r="AN792" s="858"/>
      <c r="AO792" s="844" t="s">
        <v>2697</v>
      </c>
      <c r="AP792" s="859" t="s">
        <v>2698</v>
      </c>
      <c r="AQ792" s="859" t="s">
        <v>2698</v>
      </c>
      <c r="AR792" s="859" t="s">
        <v>2699</v>
      </c>
      <c r="AS792" s="840" t="s">
        <v>2700</v>
      </c>
      <c r="AT792" s="840" t="s">
        <v>1743</v>
      </c>
      <c r="AU792" s="860" t="s">
        <v>1285</v>
      </c>
      <c r="AV792" s="839" t="s">
        <v>2701</v>
      </c>
      <c r="AW792" s="861">
        <v>45646</v>
      </c>
      <c r="AX792" s="862" t="s">
        <v>2702</v>
      </c>
      <c r="AY792" s="843" t="s">
        <v>2770</v>
      </c>
      <c r="AZ792" s="842" t="s">
        <v>2704</v>
      </c>
      <c r="BA792" s="842" t="s">
        <v>120</v>
      </c>
      <c r="BB792" s="863" t="s">
        <v>121</v>
      </c>
      <c r="BC792" s="864">
        <v>45650</v>
      </c>
      <c r="BD792" s="860" t="s">
        <v>2705</v>
      </c>
      <c r="BE792" s="865" cm="1">
        <f t="array" ref="BE792">IF(BD792="","",AC792/SUMPRODUCT(--(BD792=$BD$4:$BD$12824),$AC$4:$AC$12824))</f>
        <v>7.3002510709558443E-3</v>
      </c>
      <c r="BF792" s="458"/>
      <c r="BG792" s="458"/>
      <c r="BH792" s="458"/>
      <c r="BI792" s="458"/>
      <c r="BJ792" s="458"/>
      <c r="BK792" s="458"/>
      <c r="BL792" s="458"/>
      <c r="BM792" s="458"/>
      <c r="BN792" s="458"/>
      <c r="BO792" s="866">
        <f>VLOOKUP(BD792,$BD$4:$BN$12824,3,0)*BE792</f>
        <v>344267.79509201052</v>
      </c>
      <c r="BP792" s="866"/>
      <c r="BQ792" s="866"/>
      <c r="BR792" s="866">
        <f>VLOOKUP(BD792,$BD$4:$BN$12824,6,0)*BE792</f>
        <v>98725.256294691048</v>
      </c>
      <c r="BS792" s="866">
        <f>VLOOKUP(BD792,$BD$4:$BN$12824,7,0)*BE792</f>
        <v>12759.897139642662</v>
      </c>
      <c r="BT792" s="866"/>
      <c r="BU792" s="866">
        <f>VLOOKUP(BD792,$BD$4:$BN$12824,9,0)*BE792</f>
        <v>0</v>
      </c>
      <c r="BV792" s="867"/>
      <c r="BW792" s="867">
        <f>VLOOKUP(BD792,$BD$4:$BN$12824,11,0)*BE792</f>
        <v>14191.68808193816</v>
      </c>
      <c r="BX792" s="1146">
        <f t="shared" si="156"/>
        <v>469944.6366082824</v>
      </c>
      <c r="BY792" s="867">
        <f t="shared" si="157"/>
        <v>2752198.3273216565</v>
      </c>
      <c r="BZ792" s="867">
        <f t="shared" si="154"/>
        <v>13760991.636608282</v>
      </c>
      <c r="CA792" s="867">
        <f>_xlfn.MAXIFS($BY$4:$BY$12824,$S$4:$S$12824,$S792)</f>
        <v>2752198.3273216565</v>
      </c>
      <c r="CB792" s="1032"/>
      <c r="CF792" s="946">
        <f t="shared" si="155"/>
        <v>13291047</v>
      </c>
    </row>
    <row r="793" spans="1:84">
      <c r="A793" s="1032"/>
      <c r="B793" s="839" t="s">
        <v>98</v>
      </c>
      <c r="C793" s="839" t="s">
        <v>2689</v>
      </c>
      <c r="D793" s="839" t="s">
        <v>2690</v>
      </c>
      <c r="E793" s="839" t="s">
        <v>2691</v>
      </c>
      <c r="F793" s="841">
        <v>45451</v>
      </c>
      <c r="G793" s="840" t="s">
        <v>2689</v>
      </c>
      <c r="H793" s="842" t="s">
        <v>134</v>
      </c>
      <c r="I793" s="842"/>
      <c r="J793" s="841"/>
      <c r="K793" s="841"/>
      <c r="L793" s="843" t="s">
        <v>106</v>
      </c>
      <c r="M793" s="844" t="s">
        <v>107</v>
      </c>
      <c r="N793" s="841" t="s">
        <v>2692</v>
      </c>
      <c r="O793" s="841" t="s">
        <v>150</v>
      </c>
      <c r="P793" s="841" t="s">
        <v>151</v>
      </c>
      <c r="Q793" s="843"/>
      <c r="R793" s="845" t="s">
        <v>2771</v>
      </c>
      <c r="S793" s="1127" t="s">
        <v>2772</v>
      </c>
      <c r="T793" s="843" t="s">
        <v>2773</v>
      </c>
      <c r="U793" s="842">
        <v>10</v>
      </c>
      <c r="V793" s="842" t="s">
        <v>3</v>
      </c>
      <c r="W793" s="846">
        <v>85</v>
      </c>
      <c r="X793" s="847">
        <f t="shared" si="149"/>
        <v>850</v>
      </c>
      <c r="Y793" s="848">
        <v>0.55000000000000004</v>
      </c>
      <c r="Z793" s="849">
        <v>38.25</v>
      </c>
      <c r="AA793" s="849"/>
      <c r="AB793" s="849">
        <f t="shared" si="150"/>
        <v>382.5</v>
      </c>
      <c r="AC793" s="850">
        <f t="shared" si="151"/>
        <v>382.5</v>
      </c>
      <c r="AD793" s="851"/>
      <c r="AE793" s="852">
        <v>26253.919999999998</v>
      </c>
      <c r="AF793" s="853">
        <v>0</v>
      </c>
      <c r="AG793" s="854">
        <f t="shared" si="152"/>
        <v>0</v>
      </c>
      <c r="AH793" s="853"/>
      <c r="AI793" s="855">
        <f t="shared" si="153"/>
        <v>0</v>
      </c>
      <c r="AJ793" s="845" t="s">
        <v>2695</v>
      </c>
      <c r="AK793" s="857">
        <v>45332</v>
      </c>
      <c r="AL793" s="840" t="s">
        <v>2696</v>
      </c>
      <c r="AM793" s="840"/>
      <c r="AN793" s="858"/>
      <c r="AO793" s="844" t="s">
        <v>2697</v>
      </c>
      <c r="AP793" s="859" t="s">
        <v>2698</v>
      </c>
      <c r="AQ793" s="859" t="s">
        <v>2698</v>
      </c>
      <c r="AR793" s="859" t="s">
        <v>2699</v>
      </c>
      <c r="AS793" s="840" t="s">
        <v>2700</v>
      </c>
      <c r="AT793" s="840" t="s">
        <v>1743</v>
      </c>
      <c r="AU793" s="860" t="s">
        <v>1285</v>
      </c>
      <c r="AV793" s="839" t="s">
        <v>2701</v>
      </c>
      <c r="AW793" s="861">
        <v>45646</v>
      </c>
      <c r="AX793" s="862" t="s">
        <v>2702</v>
      </c>
      <c r="AY793" s="843" t="s">
        <v>2774</v>
      </c>
      <c r="AZ793" s="842" t="s">
        <v>2704</v>
      </c>
      <c r="BA793" s="842" t="s">
        <v>120</v>
      </c>
      <c r="BB793" s="863" t="s">
        <v>121</v>
      </c>
      <c r="BC793" s="864">
        <v>45650</v>
      </c>
      <c r="BD793" s="860" t="s">
        <v>2705</v>
      </c>
      <c r="BE793" s="865" cm="1">
        <f t="array" ref="BE793">IF(BD793="","",AC793/SUMPRODUCT(--(BD793=$BD$4:$BD$12824),$AC$4:$AC$12824))</f>
        <v>5.5157452536110825E-3</v>
      </c>
      <c r="BF793" s="458"/>
      <c r="BG793" s="458"/>
      <c r="BH793" s="458"/>
      <c r="BI793" s="458"/>
      <c r="BJ793" s="458"/>
      <c r="BK793" s="458"/>
      <c r="BL793" s="458"/>
      <c r="BM793" s="458"/>
      <c r="BN793" s="458"/>
      <c r="BO793" s="866">
        <f>VLOOKUP(BD793,$BD$4:$BN$12824,3,0)*BE793</f>
        <v>260113.44518063019</v>
      </c>
      <c r="BP793" s="866"/>
      <c r="BQ793" s="866"/>
      <c r="BR793" s="866">
        <f>VLOOKUP(BD793,$BD$4:$BN$12824,6,0)*BE793</f>
        <v>74592.415867099902</v>
      </c>
      <c r="BS793" s="866">
        <f>VLOOKUP(BD793,$BD$4:$BN$12824,7,0)*BE793</f>
        <v>9640.8111721744572</v>
      </c>
      <c r="BT793" s="866"/>
      <c r="BU793" s="866">
        <f>VLOOKUP(BD793,$BD$4:$BN$12824,9,0)*BE793</f>
        <v>0</v>
      </c>
      <c r="BV793" s="867"/>
      <c r="BW793" s="867">
        <f>VLOOKUP(BD793,$BD$4:$BN$12824,11,0)*BE793</f>
        <v>10722.608773019945</v>
      </c>
      <c r="BX793" s="1146">
        <f t="shared" si="156"/>
        <v>355069.28099292447</v>
      </c>
      <c r="BY793" s="867">
        <f t="shared" si="157"/>
        <v>1039719.3680992924</v>
      </c>
      <c r="BZ793" s="867">
        <f t="shared" si="154"/>
        <v>10397193.680992924</v>
      </c>
      <c r="CA793" s="867">
        <f>_xlfn.MAXIFS($BY$4:$BY$12824,$S$4:$S$12824,$S793)</f>
        <v>1039719.3680992924</v>
      </c>
      <c r="CB793" s="1032"/>
      <c r="CF793" s="946">
        <f t="shared" si="155"/>
        <v>10042124.399999999</v>
      </c>
    </row>
    <row r="794" spans="1:84">
      <c r="A794" s="1032"/>
      <c r="B794" s="839" t="s">
        <v>98</v>
      </c>
      <c r="C794" s="839" t="s">
        <v>2689</v>
      </c>
      <c r="D794" s="839" t="s">
        <v>2690</v>
      </c>
      <c r="E794" s="839" t="s">
        <v>2691</v>
      </c>
      <c r="F794" s="841">
        <v>45451</v>
      </c>
      <c r="G794" s="840" t="s">
        <v>2689</v>
      </c>
      <c r="H794" s="842" t="s">
        <v>134</v>
      </c>
      <c r="I794" s="842"/>
      <c r="J794" s="841"/>
      <c r="K794" s="841"/>
      <c r="L794" s="843" t="s">
        <v>106</v>
      </c>
      <c r="M794" s="844" t="s">
        <v>107</v>
      </c>
      <c r="N794" s="841" t="s">
        <v>2692</v>
      </c>
      <c r="O794" s="841" t="s">
        <v>150</v>
      </c>
      <c r="P794" s="841" t="s">
        <v>151</v>
      </c>
      <c r="Q794" s="843"/>
      <c r="R794" s="845" t="s">
        <v>2775</v>
      </c>
      <c r="S794" s="1127" t="s">
        <v>2776</v>
      </c>
      <c r="T794" s="843" t="s">
        <v>2777</v>
      </c>
      <c r="U794" s="842">
        <v>10</v>
      </c>
      <c r="V794" s="842" t="s">
        <v>3</v>
      </c>
      <c r="W794" s="846">
        <v>85</v>
      </c>
      <c r="X794" s="847">
        <f t="shared" si="149"/>
        <v>850</v>
      </c>
      <c r="Y794" s="848">
        <v>0.55000000000000004</v>
      </c>
      <c r="Z794" s="849">
        <v>38.25</v>
      </c>
      <c r="AA794" s="849"/>
      <c r="AB794" s="849">
        <f t="shared" si="150"/>
        <v>382.5</v>
      </c>
      <c r="AC794" s="850">
        <f t="shared" si="151"/>
        <v>382.5</v>
      </c>
      <c r="AD794" s="851"/>
      <c r="AE794" s="852">
        <v>26253.919999999998</v>
      </c>
      <c r="AF794" s="853">
        <v>0</v>
      </c>
      <c r="AG794" s="854">
        <f t="shared" si="152"/>
        <v>0</v>
      </c>
      <c r="AH794" s="853"/>
      <c r="AI794" s="855">
        <f t="shared" si="153"/>
        <v>0</v>
      </c>
      <c r="AJ794" s="845" t="s">
        <v>2695</v>
      </c>
      <c r="AK794" s="857">
        <v>45332</v>
      </c>
      <c r="AL794" s="840" t="s">
        <v>2696</v>
      </c>
      <c r="AM794" s="840"/>
      <c r="AN794" s="858"/>
      <c r="AO794" s="844" t="s">
        <v>2697</v>
      </c>
      <c r="AP794" s="859" t="s">
        <v>2698</v>
      </c>
      <c r="AQ794" s="859" t="s">
        <v>2698</v>
      </c>
      <c r="AR794" s="859" t="s">
        <v>2699</v>
      </c>
      <c r="AS794" s="840" t="s">
        <v>2700</v>
      </c>
      <c r="AT794" s="840" t="s">
        <v>1743</v>
      </c>
      <c r="AU794" s="860" t="s">
        <v>1285</v>
      </c>
      <c r="AV794" s="839" t="s">
        <v>2701</v>
      </c>
      <c r="AW794" s="861">
        <v>45646</v>
      </c>
      <c r="AX794" s="862" t="s">
        <v>2702</v>
      </c>
      <c r="AY794" s="843" t="s">
        <v>2778</v>
      </c>
      <c r="AZ794" s="842" t="s">
        <v>2704</v>
      </c>
      <c r="BA794" s="842" t="s">
        <v>120</v>
      </c>
      <c r="BB794" s="863" t="s">
        <v>121</v>
      </c>
      <c r="BC794" s="864">
        <v>45650</v>
      </c>
      <c r="BD794" s="860" t="s">
        <v>2705</v>
      </c>
      <c r="BE794" s="865" cm="1">
        <f t="array" ref="BE794">IF(BD794="","",AC794/SUMPRODUCT(--(BD794=$BD$4:$BD$12824),$AC$4:$AC$12824))</f>
        <v>5.5157452536110825E-3</v>
      </c>
      <c r="BF794" s="458"/>
      <c r="BG794" s="458"/>
      <c r="BH794" s="458"/>
      <c r="BI794" s="458"/>
      <c r="BJ794" s="458"/>
      <c r="BK794" s="458"/>
      <c r="BL794" s="458"/>
      <c r="BM794" s="458"/>
      <c r="BN794" s="458"/>
      <c r="BO794" s="866">
        <f>VLOOKUP(BD794,$BD$4:$BN$12824,3,0)*BE794</f>
        <v>260113.44518063019</v>
      </c>
      <c r="BP794" s="866"/>
      <c r="BQ794" s="866"/>
      <c r="BR794" s="866">
        <f>VLOOKUP(BD794,$BD$4:$BN$12824,6,0)*BE794</f>
        <v>74592.415867099902</v>
      </c>
      <c r="BS794" s="866">
        <f>VLOOKUP(BD794,$BD$4:$BN$12824,7,0)*BE794</f>
        <v>9640.8111721744572</v>
      </c>
      <c r="BT794" s="866"/>
      <c r="BU794" s="866">
        <f>VLOOKUP(BD794,$BD$4:$BN$12824,9,0)*BE794</f>
        <v>0</v>
      </c>
      <c r="BV794" s="867"/>
      <c r="BW794" s="867">
        <f>VLOOKUP(BD794,$BD$4:$BN$12824,11,0)*BE794</f>
        <v>10722.608773019945</v>
      </c>
      <c r="BX794" s="1146">
        <f t="shared" si="156"/>
        <v>355069.28099292447</v>
      </c>
      <c r="BY794" s="867">
        <f t="shared" si="157"/>
        <v>1039719.3680992924</v>
      </c>
      <c r="BZ794" s="867">
        <f t="shared" si="154"/>
        <v>10397193.680992924</v>
      </c>
      <c r="CA794" s="867">
        <f>_xlfn.MAXIFS($BY$4:$BY$12824,$S$4:$S$12824,$S794)</f>
        <v>1039719.3680992924</v>
      </c>
      <c r="CB794" s="1032"/>
      <c r="CF794" s="946">
        <f t="shared" si="155"/>
        <v>10042124.399999999</v>
      </c>
    </row>
    <row r="795" spans="1:84">
      <c r="A795" s="1032"/>
      <c r="B795" s="839" t="s">
        <v>98</v>
      </c>
      <c r="C795" s="839" t="s">
        <v>2689</v>
      </c>
      <c r="D795" s="839" t="s">
        <v>2690</v>
      </c>
      <c r="E795" s="839" t="s">
        <v>2691</v>
      </c>
      <c r="F795" s="841">
        <v>45451</v>
      </c>
      <c r="G795" s="840" t="s">
        <v>2689</v>
      </c>
      <c r="H795" s="842" t="s">
        <v>134</v>
      </c>
      <c r="I795" s="842"/>
      <c r="J795" s="841"/>
      <c r="K795" s="841"/>
      <c r="L795" s="843" t="s">
        <v>106</v>
      </c>
      <c r="M795" s="844" t="s">
        <v>107</v>
      </c>
      <c r="N795" s="841" t="s">
        <v>2692</v>
      </c>
      <c r="O795" s="841" t="s">
        <v>150</v>
      </c>
      <c r="P795" s="841" t="s">
        <v>151</v>
      </c>
      <c r="Q795" s="843"/>
      <c r="R795" s="845" t="s">
        <v>2779</v>
      </c>
      <c r="S795" s="1127" t="s">
        <v>2780</v>
      </c>
      <c r="T795" s="843" t="s">
        <v>2781</v>
      </c>
      <c r="U795" s="842">
        <v>10</v>
      </c>
      <c r="V795" s="842" t="s">
        <v>3</v>
      </c>
      <c r="W795" s="846">
        <v>85</v>
      </c>
      <c r="X795" s="847">
        <f t="shared" si="149"/>
        <v>850</v>
      </c>
      <c r="Y795" s="848">
        <v>0.55000000000000004</v>
      </c>
      <c r="Z795" s="849">
        <v>38.25</v>
      </c>
      <c r="AA795" s="849"/>
      <c r="AB795" s="849">
        <f t="shared" si="150"/>
        <v>382.5</v>
      </c>
      <c r="AC795" s="850">
        <f t="shared" si="151"/>
        <v>382.5</v>
      </c>
      <c r="AD795" s="851"/>
      <c r="AE795" s="852">
        <v>26253.919999999998</v>
      </c>
      <c r="AF795" s="853">
        <v>0</v>
      </c>
      <c r="AG795" s="854">
        <f t="shared" si="152"/>
        <v>0</v>
      </c>
      <c r="AH795" s="853"/>
      <c r="AI795" s="855">
        <f t="shared" si="153"/>
        <v>0</v>
      </c>
      <c r="AJ795" s="845" t="s">
        <v>2695</v>
      </c>
      <c r="AK795" s="857">
        <v>45332</v>
      </c>
      <c r="AL795" s="840" t="s">
        <v>2696</v>
      </c>
      <c r="AM795" s="840"/>
      <c r="AN795" s="858"/>
      <c r="AO795" s="844" t="s">
        <v>2697</v>
      </c>
      <c r="AP795" s="859" t="s">
        <v>2698</v>
      </c>
      <c r="AQ795" s="859" t="s">
        <v>2698</v>
      </c>
      <c r="AR795" s="859" t="s">
        <v>2699</v>
      </c>
      <c r="AS795" s="840" t="s">
        <v>2700</v>
      </c>
      <c r="AT795" s="840" t="s">
        <v>1743</v>
      </c>
      <c r="AU795" s="860" t="s">
        <v>1285</v>
      </c>
      <c r="AV795" s="839" t="s">
        <v>2701</v>
      </c>
      <c r="AW795" s="861">
        <v>45646</v>
      </c>
      <c r="AX795" s="862" t="s">
        <v>2702</v>
      </c>
      <c r="AY795" s="843" t="s">
        <v>2782</v>
      </c>
      <c r="AZ795" s="842" t="s">
        <v>2704</v>
      </c>
      <c r="BA795" s="842" t="s">
        <v>120</v>
      </c>
      <c r="BB795" s="863" t="s">
        <v>121</v>
      </c>
      <c r="BC795" s="864">
        <v>45650</v>
      </c>
      <c r="BD795" s="860" t="s">
        <v>2705</v>
      </c>
      <c r="BE795" s="865" cm="1">
        <f t="array" ref="BE795">IF(BD795="","",AC795/SUMPRODUCT(--(BD795=$BD$4:$BD$12824),$AC$4:$AC$12824))</f>
        <v>5.5157452536110825E-3</v>
      </c>
      <c r="BF795" s="458"/>
      <c r="BG795" s="458"/>
      <c r="BH795" s="458"/>
      <c r="BI795" s="458"/>
      <c r="BJ795" s="458"/>
      <c r="BK795" s="458"/>
      <c r="BL795" s="458"/>
      <c r="BM795" s="458"/>
      <c r="BN795" s="458"/>
      <c r="BO795" s="866">
        <f>VLOOKUP(BD795,$BD$4:$BN$12824,3,0)*BE795</f>
        <v>260113.44518063019</v>
      </c>
      <c r="BP795" s="866"/>
      <c r="BQ795" s="866"/>
      <c r="BR795" s="866">
        <f>VLOOKUP(BD795,$BD$4:$BN$12824,6,0)*BE795</f>
        <v>74592.415867099902</v>
      </c>
      <c r="BS795" s="866">
        <f>VLOOKUP(BD795,$BD$4:$BN$12824,7,0)*BE795</f>
        <v>9640.8111721744572</v>
      </c>
      <c r="BT795" s="866"/>
      <c r="BU795" s="866">
        <f>VLOOKUP(BD795,$BD$4:$BN$12824,9,0)*BE795</f>
        <v>0</v>
      </c>
      <c r="BV795" s="867"/>
      <c r="BW795" s="867">
        <f>VLOOKUP(BD795,$BD$4:$BN$12824,11,0)*BE795</f>
        <v>10722.608773019945</v>
      </c>
      <c r="BX795" s="1146">
        <f t="shared" si="156"/>
        <v>355069.28099292447</v>
      </c>
      <c r="BY795" s="867">
        <f t="shared" si="157"/>
        <v>1039719.3680992924</v>
      </c>
      <c r="BZ795" s="867">
        <f t="shared" si="154"/>
        <v>10397193.680992924</v>
      </c>
      <c r="CA795" s="867">
        <f>_xlfn.MAXIFS($BY$4:$BY$12824,$S$4:$S$12824,$S795)</f>
        <v>1039719.3680992924</v>
      </c>
      <c r="CB795" s="1032"/>
      <c r="CF795" s="946">
        <f t="shared" si="155"/>
        <v>10042124.399999999</v>
      </c>
    </row>
    <row r="796" spans="1:84">
      <c r="A796" s="1032"/>
      <c r="B796" s="839" t="s">
        <v>98</v>
      </c>
      <c r="C796" s="839" t="s">
        <v>2689</v>
      </c>
      <c r="D796" s="839" t="s">
        <v>2690</v>
      </c>
      <c r="E796" s="839" t="s">
        <v>2691</v>
      </c>
      <c r="F796" s="841">
        <v>45451</v>
      </c>
      <c r="G796" s="840" t="s">
        <v>2689</v>
      </c>
      <c r="H796" s="842" t="s">
        <v>134</v>
      </c>
      <c r="I796" s="842"/>
      <c r="J796" s="841"/>
      <c r="K796" s="841"/>
      <c r="L796" s="843" t="s">
        <v>106</v>
      </c>
      <c r="M796" s="844" t="s">
        <v>107</v>
      </c>
      <c r="N796" s="841" t="s">
        <v>2692</v>
      </c>
      <c r="O796" s="841" t="s">
        <v>150</v>
      </c>
      <c r="P796" s="841" t="s">
        <v>151</v>
      </c>
      <c r="Q796" s="843"/>
      <c r="R796" s="845" t="s">
        <v>2783</v>
      </c>
      <c r="S796" s="1127" t="s">
        <v>2784</v>
      </c>
      <c r="T796" s="843" t="s">
        <v>2785</v>
      </c>
      <c r="U796" s="842">
        <v>10</v>
      </c>
      <c r="V796" s="842" t="s">
        <v>3</v>
      </c>
      <c r="W796" s="846">
        <v>85</v>
      </c>
      <c r="X796" s="847">
        <f t="shared" si="149"/>
        <v>850</v>
      </c>
      <c r="Y796" s="848">
        <v>0.55000000000000004</v>
      </c>
      <c r="Z796" s="849">
        <v>38.25</v>
      </c>
      <c r="AA796" s="849"/>
      <c r="AB796" s="849">
        <f t="shared" si="150"/>
        <v>382.5</v>
      </c>
      <c r="AC796" s="850">
        <f t="shared" si="151"/>
        <v>382.5</v>
      </c>
      <c r="AD796" s="851"/>
      <c r="AE796" s="852">
        <v>26253.919999999998</v>
      </c>
      <c r="AF796" s="853">
        <v>0</v>
      </c>
      <c r="AG796" s="854">
        <f t="shared" si="152"/>
        <v>0</v>
      </c>
      <c r="AH796" s="853"/>
      <c r="AI796" s="855">
        <f t="shared" si="153"/>
        <v>0</v>
      </c>
      <c r="AJ796" s="845" t="s">
        <v>2695</v>
      </c>
      <c r="AK796" s="857">
        <v>45332</v>
      </c>
      <c r="AL796" s="840" t="s">
        <v>2696</v>
      </c>
      <c r="AM796" s="840"/>
      <c r="AN796" s="858"/>
      <c r="AO796" s="844" t="s">
        <v>2697</v>
      </c>
      <c r="AP796" s="859" t="s">
        <v>2698</v>
      </c>
      <c r="AQ796" s="859" t="s">
        <v>2698</v>
      </c>
      <c r="AR796" s="859" t="s">
        <v>2699</v>
      </c>
      <c r="AS796" s="840" t="s">
        <v>2700</v>
      </c>
      <c r="AT796" s="840" t="s">
        <v>1743</v>
      </c>
      <c r="AU796" s="860" t="s">
        <v>1285</v>
      </c>
      <c r="AV796" s="839" t="s">
        <v>2701</v>
      </c>
      <c r="AW796" s="861">
        <v>45646</v>
      </c>
      <c r="AX796" s="862" t="s">
        <v>2702</v>
      </c>
      <c r="AY796" s="843" t="s">
        <v>2786</v>
      </c>
      <c r="AZ796" s="842" t="s">
        <v>2704</v>
      </c>
      <c r="BA796" s="842" t="s">
        <v>120</v>
      </c>
      <c r="BB796" s="863" t="s">
        <v>121</v>
      </c>
      <c r="BC796" s="864">
        <v>45650</v>
      </c>
      <c r="BD796" s="860" t="s">
        <v>2705</v>
      </c>
      <c r="BE796" s="865" cm="1">
        <f t="array" ref="BE796">IF(BD796="","",AC796/SUMPRODUCT(--(BD796=$BD$4:$BD$12824),$AC$4:$AC$12824))</f>
        <v>5.5157452536110825E-3</v>
      </c>
      <c r="BF796" s="458"/>
      <c r="BG796" s="458"/>
      <c r="BH796" s="458"/>
      <c r="BI796" s="458"/>
      <c r="BJ796" s="458"/>
      <c r="BK796" s="458"/>
      <c r="BL796" s="458"/>
      <c r="BM796" s="458"/>
      <c r="BN796" s="458"/>
      <c r="BO796" s="866">
        <f>VLOOKUP(BD796,$BD$4:$BN$12824,3,0)*BE796</f>
        <v>260113.44518063019</v>
      </c>
      <c r="BP796" s="866"/>
      <c r="BQ796" s="866"/>
      <c r="BR796" s="866">
        <f>VLOOKUP(BD796,$BD$4:$BN$12824,6,0)*BE796</f>
        <v>74592.415867099902</v>
      </c>
      <c r="BS796" s="866">
        <f>VLOOKUP(BD796,$BD$4:$BN$12824,7,0)*BE796</f>
        <v>9640.8111721744572</v>
      </c>
      <c r="BT796" s="866"/>
      <c r="BU796" s="866">
        <f>VLOOKUP(BD796,$BD$4:$BN$12824,9,0)*BE796</f>
        <v>0</v>
      </c>
      <c r="BV796" s="867"/>
      <c r="BW796" s="867">
        <f>VLOOKUP(BD796,$BD$4:$BN$12824,11,0)*BE796</f>
        <v>10722.608773019945</v>
      </c>
      <c r="BX796" s="1146">
        <f t="shared" si="156"/>
        <v>355069.28099292447</v>
      </c>
      <c r="BY796" s="867">
        <f t="shared" si="157"/>
        <v>1039719.3680992924</v>
      </c>
      <c r="BZ796" s="867">
        <f t="shared" si="154"/>
        <v>10397193.680992924</v>
      </c>
      <c r="CA796" s="867">
        <f>_xlfn.MAXIFS($BY$4:$BY$12824,$S$4:$S$12824,$S796)</f>
        <v>1039719.3680992924</v>
      </c>
      <c r="CB796" s="1032"/>
      <c r="CF796" s="946">
        <f t="shared" si="155"/>
        <v>10042124.399999999</v>
      </c>
    </row>
    <row r="797" spans="1:84">
      <c r="A797" s="1032"/>
      <c r="B797" s="839" t="s">
        <v>98</v>
      </c>
      <c r="C797" s="839" t="s">
        <v>2689</v>
      </c>
      <c r="D797" s="839" t="s">
        <v>2690</v>
      </c>
      <c r="E797" s="839" t="s">
        <v>2691</v>
      </c>
      <c r="F797" s="841">
        <v>45451</v>
      </c>
      <c r="G797" s="840" t="s">
        <v>2689</v>
      </c>
      <c r="H797" s="842" t="s">
        <v>134</v>
      </c>
      <c r="I797" s="842"/>
      <c r="J797" s="841"/>
      <c r="K797" s="841"/>
      <c r="L797" s="843" t="s">
        <v>106</v>
      </c>
      <c r="M797" s="844" t="s">
        <v>107</v>
      </c>
      <c r="N797" s="841" t="s">
        <v>2692</v>
      </c>
      <c r="O797" s="841" t="s">
        <v>150</v>
      </c>
      <c r="P797" s="841" t="s">
        <v>151</v>
      </c>
      <c r="Q797" s="843"/>
      <c r="R797" s="845" t="s">
        <v>2787</v>
      </c>
      <c r="S797" s="1127" t="s">
        <v>2788</v>
      </c>
      <c r="T797" s="843" t="s">
        <v>2789</v>
      </c>
      <c r="U797" s="842">
        <v>10</v>
      </c>
      <c r="V797" s="842" t="s">
        <v>3</v>
      </c>
      <c r="W797" s="846">
        <v>85</v>
      </c>
      <c r="X797" s="847">
        <f t="shared" si="149"/>
        <v>850</v>
      </c>
      <c r="Y797" s="848">
        <v>0.55000000000000004</v>
      </c>
      <c r="Z797" s="849">
        <v>38.25</v>
      </c>
      <c r="AA797" s="849"/>
      <c r="AB797" s="849">
        <f t="shared" si="150"/>
        <v>382.5</v>
      </c>
      <c r="AC797" s="850">
        <f t="shared" si="151"/>
        <v>382.5</v>
      </c>
      <c r="AD797" s="851"/>
      <c r="AE797" s="852">
        <v>26253.919999999998</v>
      </c>
      <c r="AF797" s="853">
        <v>0</v>
      </c>
      <c r="AG797" s="854">
        <f t="shared" si="152"/>
        <v>0</v>
      </c>
      <c r="AH797" s="853"/>
      <c r="AI797" s="855">
        <f t="shared" si="153"/>
        <v>0</v>
      </c>
      <c r="AJ797" s="845" t="s">
        <v>2695</v>
      </c>
      <c r="AK797" s="857">
        <v>45332</v>
      </c>
      <c r="AL797" s="840" t="s">
        <v>2696</v>
      </c>
      <c r="AM797" s="840"/>
      <c r="AN797" s="858"/>
      <c r="AO797" s="844" t="s">
        <v>2697</v>
      </c>
      <c r="AP797" s="859" t="s">
        <v>2698</v>
      </c>
      <c r="AQ797" s="859" t="s">
        <v>2698</v>
      </c>
      <c r="AR797" s="859" t="s">
        <v>2699</v>
      </c>
      <c r="AS797" s="840" t="s">
        <v>2700</v>
      </c>
      <c r="AT797" s="840" t="s">
        <v>1743</v>
      </c>
      <c r="AU797" s="860" t="s">
        <v>1285</v>
      </c>
      <c r="AV797" s="839" t="s">
        <v>2701</v>
      </c>
      <c r="AW797" s="861">
        <v>45646</v>
      </c>
      <c r="AX797" s="862" t="s">
        <v>2702</v>
      </c>
      <c r="AY797" s="843" t="s">
        <v>2790</v>
      </c>
      <c r="AZ797" s="842" t="s">
        <v>2704</v>
      </c>
      <c r="BA797" s="842" t="s">
        <v>120</v>
      </c>
      <c r="BB797" s="863" t="s">
        <v>121</v>
      </c>
      <c r="BC797" s="864">
        <v>45650</v>
      </c>
      <c r="BD797" s="860" t="s">
        <v>2705</v>
      </c>
      <c r="BE797" s="865" cm="1">
        <f t="array" ref="BE797">IF(BD797="","",AC797/SUMPRODUCT(--(BD797=$BD$4:$BD$12824),$AC$4:$AC$12824))</f>
        <v>5.5157452536110825E-3</v>
      </c>
      <c r="BF797" s="458"/>
      <c r="BG797" s="458"/>
      <c r="BH797" s="458"/>
      <c r="BI797" s="458"/>
      <c r="BJ797" s="458"/>
      <c r="BK797" s="458"/>
      <c r="BL797" s="458"/>
      <c r="BM797" s="458"/>
      <c r="BN797" s="458"/>
      <c r="BO797" s="866">
        <f>VLOOKUP(BD797,$BD$4:$BN$12824,3,0)*BE797</f>
        <v>260113.44518063019</v>
      </c>
      <c r="BP797" s="866"/>
      <c r="BQ797" s="866"/>
      <c r="BR797" s="866">
        <f>VLOOKUP(BD797,$BD$4:$BN$12824,6,0)*BE797</f>
        <v>74592.415867099902</v>
      </c>
      <c r="BS797" s="866">
        <f>VLOOKUP(BD797,$BD$4:$BN$12824,7,0)*BE797</f>
        <v>9640.8111721744572</v>
      </c>
      <c r="BT797" s="866"/>
      <c r="BU797" s="866">
        <f>VLOOKUP(BD797,$BD$4:$BN$12824,9,0)*BE797</f>
        <v>0</v>
      </c>
      <c r="BV797" s="867"/>
      <c r="BW797" s="867">
        <f>VLOOKUP(BD797,$BD$4:$BN$12824,11,0)*BE797</f>
        <v>10722.608773019945</v>
      </c>
      <c r="BX797" s="1146">
        <f t="shared" si="156"/>
        <v>355069.28099292447</v>
      </c>
      <c r="BY797" s="867">
        <f t="shared" si="157"/>
        <v>1039719.3680992924</v>
      </c>
      <c r="BZ797" s="867">
        <f t="shared" si="154"/>
        <v>10397193.680992924</v>
      </c>
      <c r="CA797" s="867">
        <f>_xlfn.MAXIFS($BY$4:$BY$12824,$S$4:$S$12824,$S797)</f>
        <v>1039719.3680992924</v>
      </c>
      <c r="CB797" s="1032"/>
      <c r="CF797" s="946">
        <f t="shared" si="155"/>
        <v>10042124.399999999</v>
      </c>
    </row>
    <row r="798" spans="1:84">
      <c r="A798" s="1032"/>
      <c r="B798" s="839" t="s">
        <v>98</v>
      </c>
      <c r="C798" s="839" t="s">
        <v>2689</v>
      </c>
      <c r="D798" s="839" t="s">
        <v>2690</v>
      </c>
      <c r="E798" s="839" t="s">
        <v>2691</v>
      </c>
      <c r="F798" s="841">
        <v>45451</v>
      </c>
      <c r="G798" s="840" t="s">
        <v>2689</v>
      </c>
      <c r="H798" s="842" t="s">
        <v>134</v>
      </c>
      <c r="I798" s="842"/>
      <c r="J798" s="841"/>
      <c r="K798" s="841"/>
      <c r="L798" s="843" t="s">
        <v>106</v>
      </c>
      <c r="M798" s="844" t="s">
        <v>107</v>
      </c>
      <c r="N798" s="841" t="s">
        <v>2692</v>
      </c>
      <c r="O798" s="841" t="s">
        <v>150</v>
      </c>
      <c r="P798" s="841" t="s">
        <v>151</v>
      </c>
      <c r="Q798" s="843"/>
      <c r="R798" s="845" t="s">
        <v>2791</v>
      </c>
      <c r="S798" s="1127" t="s">
        <v>2792</v>
      </c>
      <c r="T798" s="843" t="s">
        <v>2793</v>
      </c>
      <c r="U798" s="842">
        <v>10</v>
      </c>
      <c r="V798" s="842" t="s">
        <v>3</v>
      </c>
      <c r="W798" s="846">
        <v>85</v>
      </c>
      <c r="X798" s="847">
        <f t="shared" si="149"/>
        <v>850</v>
      </c>
      <c r="Y798" s="848">
        <v>0.55000000000000004</v>
      </c>
      <c r="Z798" s="849">
        <v>38.25</v>
      </c>
      <c r="AA798" s="849"/>
      <c r="AB798" s="849">
        <f t="shared" si="150"/>
        <v>382.5</v>
      </c>
      <c r="AC798" s="850">
        <f t="shared" si="151"/>
        <v>382.5</v>
      </c>
      <c r="AD798" s="851"/>
      <c r="AE798" s="852">
        <v>26253.919999999998</v>
      </c>
      <c r="AF798" s="853">
        <v>0</v>
      </c>
      <c r="AG798" s="854">
        <f t="shared" si="152"/>
        <v>0</v>
      </c>
      <c r="AH798" s="853"/>
      <c r="AI798" s="855">
        <f t="shared" si="153"/>
        <v>0</v>
      </c>
      <c r="AJ798" s="845" t="s">
        <v>2695</v>
      </c>
      <c r="AK798" s="857">
        <v>45332</v>
      </c>
      <c r="AL798" s="840" t="s">
        <v>2696</v>
      </c>
      <c r="AM798" s="840"/>
      <c r="AN798" s="858"/>
      <c r="AO798" s="844" t="s">
        <v>2697</v>
      </c>
      <c r="AP798" s="859" t="s">
        <v>2698</v>
      </c>
      <c r="AQ798" s="859" t="s">
        <v>2698</v>
      </c>
      <c r="AR798" s="859" t="s">
        <v>2699</v>
      </c>
      <c r="AS798" s="840" t="s">
        <v>2700</v>
      </c>
      <c r="AT798" s="840" t="s">
        <v>1743</v>
      </c>
      <c r="AU798" s="860" t="s">
        <v>1285</v>
      </c>
      <c r="AV798" s="839" t="s">
        <v>2701</v>
      </c>
      <c r="AW798" s="861">
        <v>45646</v>
      </c>
      <c r="AX798" s="862" t="s">
        <v>2702</v>
      </c>
      <c r="AY798" s="843" t="s">
        <v>2794</v>
      </c>
      <c r="AZ798" s="842" t="s">
        <v>2704</v>
      </c>
      <c r="BA798" s="842" t="s">
        <v>120</v>
      </c>
      <c r="BB798" s="863" t="s">
        <v>121</v>
      </c>
      <c r="BC798" s="864">
        <v>45650</v>
      </c>
      <c r="BD798" s="860" t="s">
        <v>2705</v>
      </c>
      <c r="BE798" s="865" cm="1">
        <f t="array" ref="BE798">IF(BD798="","",AC798/SUMPRODUCT(--(BD798=$BD$4:$BD$12824),$AC$4:$AC$12824))</f>
        <v>5.5157452536110825E-3</v>
      </c>
      <c r="BF798" s="458"/>
      <c r="BG798" s="458"/>
      <c r="BH798" s="458"/>
      <c r="BI798" s="458"/>
      <c r="BJ798" s="458"/>
      <c r="BK798" s="458"/>
      <c r="BL798" s="458"/>
      <c r="BM798" s="458"/>
      <c r="BN798" s="458"/>
      <c r="BO798" s="866">
        <f>VLOOKUP(BD798,$BD$4:$BN$12824,3,0)*BE798</f>
        <v>260113.44518063019</v>
      </c>
      <c r="BP798" s="866"/>
      <c r="BQ798" s="866"/>
      <c r="BR798" s="866">
        <f>VLOOKUP(BD798,$BD$4:$BN$12824,6,0)*BE798</f>
        <v>74592.415867099902</v>
      </c>
      <c r="BS798" s="866">
        <f>VLOOKUP(BD798,$BD$4:$BN$12824,7,0)*BE798</f>
        <v>9640.8111721744572</v>
      </c>
      <c r="BT798" s="866"/>
      <c r="BU798" s="866">
        <f>VLOOKUP(BD798,$BD$4:$BN$12824,9,0)*BE798</f>
        <v>0</v>
      </c>
      <c r="BV798" s="867"/>
      <c r="BW798" s="867">
        <f>VLOOKUP(BD798,$BD$4:$BN$12824,11,0)*BE798</f>
        <v>10722.608773019945</v>
      </c>
      <c r="BX798" s="1146">
        <f t="shared" si="156"/>
        <v>355069.28099292447</v>
      </c>
      <c r="BY798" s="867">
        <f t="shared" si="157"/>
        <v>1039719.3680992924</v>
      </c>
      <c r="BZ798" s="867">
        <f t="shared" si="154"/>
        <v>10397193.680992924</v>
      </c>
      <c r="CA798" s="867">
        <f>_xlfn.MAXIFS($BY$4:$BY$12824,$S$4:$S$12824,$S798)</f>
        <v>1039719.3680992924</v>
      </c>
      <c r="CB798" s="1032"/>
      <c r="CF798" s="946">
        <f t="shared" si="155"/>
        <v>10042124.399999999</v>
      </c>
    </row>
    <row r="799" spans="1:84">
      <c r="A799" s="1032"/>
      <c r="B799" s="839" t="s">
        <v>98</v>
      </c>
      <c r="C799" s="839" t="s">
        <v>2689</v>
      </c>
      <c r="D799" s="839" t="s">
        <v>2690</v>
      </c>
      <c r="E799" s="839" t="s">
        <v>2691</v>
      </c>
      <c r="F799" s="841">
        <v>45451</v>
      </c>
      <c r="G799" s="840" t="s">
        <v>2689</v>
      </c>
      <c r="H799" s="842" t="s">
        <v>134</v>
      </c>
      <c r="I799" s="842"/>
      <c r="J799" s="841"/>
      <c r="K799" s="841"/>
      <c r="L799" s="843" t="s">
        <v>106</v>
      </c>
      <c r="M799" s="844" t="s">
        <v>107</v>
      </c>
      <c r="N799" s="841" t="s">
        <v>2692</v>
      </c>
      <c r="O799" s="841" t="s">
        <v>150</v>
      </c>
      <c r="P799" s="841" t="s">
        <v>151</v>
      </c>
      <c r="Q799" s="843"/>
      <c r="R799" s="845" t="s">
        <v>2795</v>
      </c>
      <c r="S799" s="1127" t="s">
        <v>2796</v>
      </c>
      <c r="T799" s="843" t="s">
        <v>2797</v>
      </c>
      <c r="U799" s="842">
        <v>1</v>
      </c>
      <c r="V799" s="842" t="s">
        <v>3</v>
      </c>
      <c r="W799" s="846">
        <v>175</v>
      </c>
      <c r="X799" s="847">
        <f t="shared" si="149"/>
        <v>175</v>
      </c>
      <c r="Y799" s="848">
        <v>0.55000000000000004</v>
      </c>
      <c r="Z799" s="849">
        <v>78.75</v>
      </c>
      <c r="AA799" s="849"/>
      <c r="AB799" s="849">
        <f t="shared" si="150"/>
        <v>78.75</v>
      </c>
      <c r="AC799" s="850">
        <f t="shared" si="151"/>
        <v>78.75</v>
      </c>
      <c r="AD799" s="851"/>
      <c r="AE799" s="852">
        <v>26253.919999999998</v>
      </c>
      <c r="AF799" s="853">
        <v>7.4999999999999997E-2</v>
      </c>
      <c r="AG799" s="854">
        <f t="shared" si="152"/>
        <v>159227.53807603597</v>
      </c>
      <c r="AH799" s="853"/>
      <c r="AI799" s="855">
        <f t="shared" si="153"/>
        <v>0</v>
      </c>
      <c r="AJ799" s="845" t="s">
        <v>2695</v>
      </c>
      <c r="AK799" s="857">
        <v>45332</v>
      </c>
      <c r="AL799" s="840" t="s">
        <v>2696</v>
      </c>
      <c r="AM799" s="840"/>
      <c r="AN799" s="858"/>
      <c r="AO799" s="844" t="s">
        <v>2697</v>
      </c>
      <c r="AP799" s="859" t="s">
        <v>2698</v>
      </c>
      <c r="AQ799" s="859" t="s">
        <v>2698</v>
      </c>
      <c r="AR799" s="859" t="s">
        <v>2699</v>
      </c>
      <c r="AS799" s="840" t="s">
        <v>2700</v>
      </c>
      <c r="AT799" s="840" t="s">
        <v>1743</v>
      </c>
      <c r="AU799" s="860" t="s">
        <v>1285</v>
      </c>
      <c r="AV799" s="839" t="s">
        <v>2701</v>
      </c>
      <c r="AW799" s="861">
        <v>45646</v>
      </c>
      <c r="AX799" s="862" t="s">
        <v>2702</v>
      </c>
      <c r="AY799" s="843" t="s">
        <v>2798</v>
      </c>
      <c r="AZ799" s="842">
        <v>44201900</v>
      </c>
      <c r="BA799" s="842" t="s">
        <v>120</v>
      </c>
      <c r="BB799" s="863" t="s">
        <v>121</v>
      </c>
      <c r="BC799" s="864">
        <v>45650</v>
      </c>
      <c r="BD799" s="860" t="s">
        <v>2705</v>
      </c>
      <c r="BE799" s="865" cm="1">
        <f t="array" ref="BE799">IF(BD799="","",AC799/SUMPRODUCT(--(BD799=$BD$4:$BD$12824),$AC$4:$AC$12824))</f>
        <v>1.1355946110375758E-3</v>
      </c>
      <c r="BF799" s="458"/>
      <c r="BG799" s="458"/>
      <c r="BH799" s="458"/>
      <c r="BI799" s="458"/>
      <c r="BJ799" s="458"/>
      <c r="BK799" s="458"/>
      <c r="BL799" s="458"/>
      <c r="BM799" s="458"/>
      <c r="BN799" s="458"/>
      <c r="BO799" s="866">
        <f>VLOOKUP(BD799,$BD$4:$BN$12824,3,0)*BE799</f>
        <v>53552.768125423863</v>
      </c>
      <c r="BP799" s="866"/>
      <c r="BQ799" s="866"/>
      <c r="BR799" s="866">
        <f>VLOOKUP(BD799,$BD$4:$BN$12824,6,0)*BE799</f>
        <v>15357.262090285272</v>
      </c>
      <c r="BS799" s="866">
        <f>VLOOKUP(BD799,$BD$4:$BN$12824,7,0)*BE799</f>
        <v>1984.8728883888587</v>
      </c>
      <c r="BT799" s="866"/>
      <c r="BU799" s="866">
        <f>VLOOKUP(BD799,$BD$4:$BN$12824,9,0)*BE799</f>
        <v>0</v>
      </c>
      <c r="BV799" s="867"/>
      <c r="BW799" s="867">
        <f>VLOOKUP(BD799,$BD$4:$BN$12824,11,0)*BE799</f>
        <v>2207.5959238570472</v>
      </c>
      <c r="BX799" s="1146">
        <f t="shared" si="156"/>
        <v>73102.49902795504</v>
      </c>
      <c r="BY799" s="867">
        <f t="shared" si="157"/>
        <v>2299826.2371039907</v>
      </c>
      <c r="BZ799" s="867">
        <f t="shared" si="154"/>
        <v>2299826.2371039907</v>
      </c>
      <c r="CA799" s="867">
        <f>_xlfn.MAXIFS($BY$4:$BY$12824,$S$4:$S$12824,$S799)</f>
        <v>2299826.2371039907</v>
      </c>
      <c r="CB799" s="1032"/>
      <c r="CF799" s="946">
        <f t="shared" si="155"/>
        <v>2067496.2</v>
      </c>
    </row>
    <row r="800" spans="1:84">
      <c r="A800" s="1032"/>
      <c r="B800" s="839" t="s">
        <v>98</v>
      </c>
      <c r="C800" s="839" t="s">
        <v>2689</v>
      </c>
      <c r="D800" s="839" t="s">
        <v>2690</v>
      </c>
      <c r="E800" s="839" t="s">
        <v>2691</v>
      </c>
      <c r="F800" s="841">
        <v>45451</v>
      </c>
      <c r="G800" s="840" t="s">
        <v>2689</v>
      </c>
      <c r="H800" s="842" t="s">
        <v>134</v>
      </c>
      <c r="I800" s="842"/>
      <c r="J800" s="841"/>
      <c r="K800" s="841"/>
      <c r="L800" s="843" t="s">
        <v>106</v>
      </c>
      <c r="M800" s="844" t="s">
        <v>107</v>
      </c>
      <c r="N800" s="841" t="s">
        <v>2692</v>
      </c>
      <c r="O800" s="841" t="s">
        <v>150</v>
      </c>
      <c r="P800" s="841" t="s">
        <v>151</v>
      </c>
      <c r="Q800" s="843"/>
      <c r="R800" s="845" t="s">
        <v>2799</v>
      </c>
      <c r="S800" s="1127" t="s">
        <v>2800</v>
      </c>
      <c r="T800" s="843" t="s">
        <v>2801</v>
      </c>
      <c r="U800" s="842">
        <v>1</v>
      </c>
      <c r="V800" s="842" t="s">
        <v>3</v>
      </c>
      <c r="W800" s="846">
        <v>85</v>
      </c>
      <c r="X800" s="847">
        <f t="shared" si="149"/>
        <v>85</v>
      </c>
      <c r="Y800" s="848">
        <v>0.55000000000000004</v>
      </c>
      <c r="Z800" s="849">
        <v>38.25</v>
      </c>
      <c r="AA800" s="849"/>
      <c r="AB800" s="849">
        <f t="shared" si="150"/>
        <v>38.25</v>
      </c>
      <c r="AC800" s="850">
        <f t="shared" si="151"/>
        <v>38.25</v>
      </c>
      <c r="AD800" s="851"/>
      <c r="AE800" s="852">
        <v>26253.919999999998</v>
      </c>
      <c r="AF800" s="853">
        <v>0.112</v>
      </c>
      <c r="AG800" s="854">
        <f t="shared" si="152"/>
        <v>115493.0409511514</v>
      </c>
      <c r="AH800" s="853"/>
      <c r="AI800" s="855">
        <f t="shared" si="153"/>
        <v>0</v>
      </c>
      <c r="AJ800" s="845" t="s">
        <v>2695</v>
      </c>
      <c r="AK800" s="857">
        <v>45332</v>
      </c>
      <c r="AL800" s="840" t="s">
        <v>2696</v>
      </c>
      <c r="AM800" s="840"/>
      <c r="AN800" s="858"/>
      <c r="AO800" s="844" t="s">
        <v>2697</v>
      </c>
      <c r="AP800" s="859" t="s">
        <v>2698</v>
      </c>
      <c r="AQ800" s="859" t="s">
        <v>2698</v>
      </c>
      <c r="AR800" s="859" t="s">
        <v>2699</v>
      </c>
      <c r="AS800" s="840" t="s">
        <v>2700</v>
      </c>
      <c r="AT800" s="840" t="s">
        <v>1743</v>
      </c>
      <c r="AU800" s="860" t="s">
        <v>1285</v>
      </c>
      <c r="AV800" s="839" t="s">
        <v>2701</v>
      </c>
      <c r="AW800" s="861">
        <v>45646</v>
      </c>
      <c r="AX800" s="862" t="s">
        <v>2702</v>
      </c>
      <c r="AY800" s="843" t="s">
        <v>2802</v>
      </c>
      <c r="AZ800" s="842">
        <v>69139090</v>
      </c>
      <c r="BA800" s="842" t="s">
        <v>120</v>
      </c>
      <c r="BB800" s="863" t="s">
        <v>121</v>
      </c>
      <c r="BC800" s="864">
        <v>45650</v>
      </c>
      <c r="BD800" s="860" t="s">
        <v>2705</v>
      </c>
      <c r="BE800" s="865" cm="1">
        <f t="array" ref="BE800">IF(BD800="","",AC800/SUMPRODUCT(--(BD800=$BD$4:$BD$12824),$AC$4:$AC$12824))</f>
        <v>5.5157452536110823E-4</v>
      </c>
      <c r="BF800" s="458"/>
      <c r="BG800" s="458"/>
      <c r="BH800" s="458"/>
      <c r="BI800" s="458"/>
      <c r="BJ800" s="458"/>
      <c r="BK800" s="458"/>
      <c r="BL800" s="458"/>
      <c r="BM800" s="458"/>
      <c r="BN800" s="458"/>
      <c r="BO800" s="866">
        <f>VLOOKUP(BD800,$BD$4:$BN$12824,3,0)*BE800</f>
        <v>26011.344518063019</v>
      </c>
      <c r="BP800" s="866"/>
      <c r="BQ800" s="866"/>
      <c r="BR800" s="866">
        <f>VLOOKUP(BD800,$BD$4:$BN$12824,6,0)*BE800</f>
        <v>7459.2415867099899</v>
      </c>
      <c r="BS800" s="866">
        <f>VLOOKUP(BD800,$BD$4:$BN$12824,7,0)*BE800</f>
        <v>964.08111721744558</v>
      </c>
      <c r="BT800" s="866"/>
      <c r="BU800" s="866">
        <f>VLOOKUP(BD800,$BD$4:$BN$12824,9,0)*BE800</f>
        <v>0</v>
      </c>
      <c r="BV800" s="867"/>
      <c r="BW800" s="867">
        <f>VLOOKUP(BD800,$BD$4:$BN$12824,11,0)*BE800</f>
        <v>1072.2608773019945</v>
      </c>
      <c r="BX800" s="1146">
        <f t="shared" si="156"/>
        <v>35506.928099292447</v>
      </c>
      <c r="BY800" s="867">
        <f t="shared" si="157"/>
        <v>1155212.4090504437</v>
      </c>
      <c r="BZ800" s="867">
        <f t="shared" si="154"/>
        <v>1155212.4090504437</v>
      </c>
      <c r="CA800" s="867">
        <f>_xlfn.MAXIFS($BY$4:$BY$12824,$S$4:$S$12824,$S800)</f>
        <v>1155212.4090504437</v>
      </c>
      <c r="CB800" s="1032"/>
      <c r="CF800" s="946">
        <f t="shared" si="155"/>
        <v>1004212.44</v>
      </c>
    </row>
    <row r="801" spans="1:84">
      <c r="A801" s="1032"/>
      <c r="B801" s="839" t="s">
        <v>98</v>
      </c>
      <c r="C801" s="839" t="s">
        <v>2689</v>
      </c>
      <c r="D801" s="839" t="s">
        <v>2690</v>
      </c>
      <c r="E801" s="839" t="s">
        <v>2691</v>
      </c>
      <c r="F801" s="841">
        <v>45451</v>
      </c>
      <c r="G801" s="840" t="s">
        <v>2689</v>
      </c>
      <c r="H801" s="842" t="s">
        <v>134</v>
      </c>
      <c r="I801" s="842"/>
      <c r="J801" s="841"/>
      <c r="K801" s="841"/>
      <c r="L801" s="843" t="s">
        <v>106</v>
      </c>
      <c r="M801" s="844" t="s">
        <v>107</v>
      </c>
      <c r="N801" s="841" t="s">
        <v>2692</v>
      </c>
      <c r="O801" s="841" t="s">
        <v>150</v>
      </c>
      <c r="P801" s="841" t="s">
        <v>151</v>
      </c>
      <c r="Q801" s="843"/>
      <c r="R801" s="845" t="s">
        <v>2803</v>
      </c>
      <c r="S801" s="1127" t="s">
        <v>2804</v>
      </c>
      <c r="T801" s="843" t="s">
        <v>2805</v>
      </c>
      <c r="U801" s="842">
        <v>1</v>
      </c>
      <c r="V801" s="842" t="s">
        <v>3</v>
      </c>
      <c r="W801" s="846">
        <v>85</v>
      </c>
      <c r="X801" s="847">
        <f t="shared" si="149"/>
        <v>85</v>
      </c>
      <c r="Y801" s="848">
        <v>0.55000000000000004</v>
      </c>
      <c r="Z801" s="849">
        <v>38.25</v>
      </c>
      <c r="AA801" s="849"/>
      <c r="AB801" s="849">
        <f t="shared" si="150"/>
        <v>38.25</v>
      </c>
      <c r="AC801" s="850">
        <f t="shared" si="151"/>
        <v>38.25</v>
      </c>
      <c r="AD801" s="851"/>
      <c r="AE801" s="852">
        <v>26253.919999999998</v>
      </c>
      <c r="AF801" s="853">
        <v>0.112</v>
      </c>
      <c r="AG801" s="854">
        <f t="shared" si="152"/>
        <v>115493.0409511514</v>
      </c>
      <c r="AH801" s="853"/>
      <c r="AI801" s="855">
        <f t="shared" si="153"/>
        <v>0</v>
      </c>
      <c r="AJ801" s="845" t="s">
        <v>2695</v>
      </c>
      <c r="AK801" s="857">
        <v>45332</v>
      </c>
      <c r="AL801" s="840" t="s">
        <v>2696</v>
      </c>
      <c r="AM801" s="840"/>
      <c r="AN801" s="858"/>
      <c r="AO801" s="844" t="s">
        <v>2697</v>
      </c>
      <c r="AP801" s="859" t="s">
        <v>2698</v>
      </c>
      <c r="AQ801" s="859" t="s">
        <v>2698</v>
      </c>
      <c r="AR801" s="859" t="s">
        <v>2699</v>
      </c>
      <c r="AS801" s="840" t="s">
        <v>2700</v>
      </c>
      <c r="AT801" s="840" t="s">
        <v>1743</v>
      </c>
      <c r="AU801" s="860" t="s">
        <v>1285</v>
      </c>
      <c r="AV801" s="839" t="s">
        <v>2701</v>
      </c>
      <c r="AW801" s="861">
        <v>45646</v>
      </c>
      <c r="AX801" s="862" t="s">
        <v>2702</v>
      </c>
      <c r="AY801" s="843" t="s">
        <v>2806</v>
      </c>
      <c r="AZ801" s="842">
        <v>69139090</v>
      </c>
      <c r="BA801" s="842" t="s">
        <v>120</v>
      </c>
      <c r="BB801" s="863" t="s">
        <v>121</v>
      </c>
      <c r="BC801" s="864">
        <v>45650</v>
      </c>
      <c r="BD801" s="860" t="s">
        <v>2705</v>
      </c>
      <c r="BE801" s="865" cm="1">
        <f t="array" ref="BE801">IF(BD801="","",AC801/SUMPRODUCT(--(BD801=$BD$4:$BD$12824),$AC$4:$AC$12824))</f>
        <v>5.5157452536110823E-4</v>
      </c>
      <c r="BF801" s="458"/>
      <c r="BG801" s="458"/>
      <c r="BH801" s="458"/>
      <c r="BI801" s="458"/>
      <c r="BJ801" s="458"/>
      <c r="BK801" s="458"/>
      <c r="BL801" s="458"/>
      <c r="BM801" s="458"/>
      <c r="BN801" s="458"/>
      <c r="BO801" s="866">
        <f>VLOOKUP(BD801,$BD$4:$BN$12824,3,0)*BE801</f>
        <v>26011.344518063019</v>
      </c>
      <c r="BP801" s="866"/>
      <c r="BQ801" s="866"/>
      <c r="BR801" s="866">
        <f>VLOOKUP(BD801,$BD$4:$BN$12824,6,0)*BE801</f>
        <v>7459.2415867099899</v>
      </c>
      <c r="BS801" s="866">
        <f>VLOOKUP(BD801,$BD$4:$BN$12824,7,0)*BE801</f>
        <v>964.08111721744558</v>
      </c>
      <c r="BT801" s="866"/>
      <c r="BU801" s="866">
        <f>VLOOKUP(BD801,$BD$4:$BN$12824,9,0)*BE801</f>
        <v>0</v>
      </c>
      <c r="BV801" s="867"/>
      <c r="BW801" s="867">
        <f>VLOOKUP(BD801,$BD$4:$BN$12824,11,0)*BE801</f>
        <v>1072.2608773019945</v>
      </c>
      <c r="BX801" s="1146">
        <f t="shared" si="156"/>
        <v>35506.928099292447</v>
      </c>
      <c r="BY801" s="867">
        <f t="shared" si="157"/>
        <v>1155212.4090504437</v>
      </c>
      <c r="BZ801" s="867">
        <f t="shared" si="154"/>
        <v>1155212.4090504437</v>
      </c>
      <c r="CA801" s="867">
        <f>_xlfn.MAXIFS($BY$4:$BY$12824,$S$4:$S$12824,$S801)</f>
        <v>1155212.4090504437</v>
      </c>
      <c r="CB801" s="1032"/>
      <c r="CF801" s="946">
        <f t="shared" si="155"/>
        <v>1004212.44</v>
      </c>
    </row>
    <row r="802" spans="1:84">
      <c r="A802" s="1032"/>
      <c r="B802" s="839" t="s">
        <v>98</v>
      </c>
      <c r="C802" s="839" t="s">
        <v>2689</v>
      </c>
      <c r="D802" s="839" t="s">
        <v>2690</v>
      </c>
      <c r="E802" s="839" t="s">
        <v>2691</v>
      </c>
      <c r="F802" s="841">
        <v>45451</v>
      </c>
      <c r="G802" s="840" t="s">
        <v>2689</v>
      </c>
      <c r="H802" s="842" t="s">
        <v>134</v>
      </c>
      <c r="I802" s="842"/>
      <c r="J802" s="841"/>
      <c r="K802" s="841"/>
      <c r="L802" s="843" t="s">
        <v>106</v>
      </c>
      <c r="M802" s="844" t="s">
        <v>107</v>
      </c>
      <c r="N802" s="841" t="s">
        <v>2692</v>
      </c>
      <c r="O802" s="841" t="s">
        <v>150</v>
      </c>
      <c r="P802" s="841" t="s">
        <v>151</v>
      </c>
      <c r="Q802" s="843"/>
      <c r="R802" s="845" t="s">
        <v>2807</v>
      </c>
      <c r="S802" s="1127" t="s">
        <v>2808</v>
      </c>
      <c r="T802" s="843" t="s">
        <v>2809</v>
      </c>
      <c r="U802" s="842">
        <v>5</v>
      </c>
      <c r="V802" s="842" t="s">
        <v>3</v>
      </c>
      <c r="W802" s="846">
        <v>49</v>
      </c>
      <c r="X802" s="847">
        <f t="shared" si="149"/>
        <v>245</v>
      </c>
      <c r="Y802" s="848">
        <v>0.55000000000000004</v>
      </c>
      <c r="Z802" s="849">
        <v>22.05</v>
      </c>
      <c r="AA802" s="849"/>
      <c r="AB802" s="849">
        <f t="shared" si="150"/>
        <v>110.25</v>
      </c>
      <c r="AC802" s="850">
        <f t="shared" si="151"/>
        <v>110.25</v>
      </c>
      <c r="AD802" s="851"/>
      <c r="AE802" s="852">
        <v>26253.919999999998</v>
      </c>
      <c r="AF802" s="853">
        <v>4.4999999999999998E-2</v>
      </c>
      <c r="AG802" s="854">
        <f t="shared" si="152"/>
        <v>133751.13198387017</v>
      </c>
      <c r="AH802" s="853"/>
      <c r="AI802" s="855">
        <f t="shared" si="153"/>
        <v>0</v>
      </c>
      <c r="AJ802" s="845" t="s">
        <v>2695</v>
      </c>
      <c r="AK802" s="857">
        <v>45332</v>
      </c>
      <c r="AL802" s="840" t="s">
        <v>2696</v>
      </c>
      <c r="AM802" s="840"/>
      <c r="AN802" s="858"/>
      <c r="AO802" s="844" t="s">
        <v>2697</v>
      </c>
      <c r="AP802" s="859" t="s">
        <v>2698</v>
      </c>
      <c r="AQ802" s="859" t="s">
        <v>2698</v>
      </c>
      <c r="AR802" s="859" t="s">
        <v>2699</v>
      </c>
      <c r="AS802" s="840" t="s">
        <v>2700</v>
      </c>
      <c r="AT802" s="840" t="s">
        <v>1743</v>
      </c>
      <c r="AU802" s="860" t="s">
        <v>1285</v>
      </c>
      <c r="AV802" s="839" t="s">
        <v>2701</v>
      </c>
      <c r="AW802" s="861">
        <v>45646</v>
      </c>
      <c r="AX802" s="862" t="s">
        <v>2702</v>
      </c>
      <c r="AY802" s="843" t="s">
        <v>2810</v>
      </c>
      <c r="AZ802" s="842">
        <v>39249090</v>
      </c>
      <c r="BA802" s="842" t="s">
        <v>120</v>
      </c>
      <c r="BB802" s="863" t="s">
        <v>121</v>
      </c>
      <c r="BC802" s="864">
        <v>45650</v>
      </c>
      <c r="BD802" s="860" t="s">
        <v>2705</v>
      </c>
      <c r="BE802" s="865" cm="1">
        <f t="array" ref="BE802">IF(BD802="","",AC802/SUMPRODUCT(--(BD802=$BD$4:$BD$12824),$AC$4:$AC$12824))</f>
        <v>1.589832455452606E-3</v>
      </c>
      <c r="BF802" s="458"/>
      <c r="BG802" s="458"/>
      <c r="BH802" s="458"/>
      <c r="BI802" s="458"/>
      <c r="BJ802" s="458"/>
      <c r="BK802" s="458"/>
      <c r="BL802" s="458"/>
      <c r="BM802" s="458"/>
      <c r="BN802" s="458"/>
      <c r="BO802" s="866">
        <f>VLOOKUP(BD802,$BD$4:$BN$12824,3,0)*BE802</f>
        <v>74973.875375593401</v>
      </c>
      <c r="BP802" s="866"/>
      <c r="BQ802" s="866"/>
      <c r="BR802" s="866">
        <f>VLOOKUP(BD802,$BD$4:$BN$12824,6,0)*BE802</f>
        <v>21500.166926399379</v>
      </c>
      <c r="BS802" s="866">
        <f>VLOOKUP(BD802,$BD$4:$BN$12824,7,0)*BE802</f>
        <v>2778.822043744402</v>
      </c>
      <c r="BT802" s="866"/>
      <c r="BU802" s="866">
        <f>VLOOKUP(BD802,$BD$4:$BN$12824,9,0)*BE802</f>
        <v>0</v>
      </c>
      <c r="BV802" s="867"/>
      <c r="BW802" s="867">
        <f>VLOOKUP(BD802,$BD$4:$BN$12824,11,0)*BE802</f>
        <v>3090.6342933998662</v>
      </c>
      <c r="BX802" s="1146">
        <f t="shared" si="156"/>
        <v>102343.49863913705</v>
      </c>
      <c r="BY802" s="867">
        <f t="shared" si="157"/>
        <v>626117.86212460138</v>
      </c>
      <c r="BZ802" s="867">
        <f t="shared" si="154"/>
        <v>3130589.3106230069</v>
      </c>
      <c r="CA802" s="867">
        <f>_xlfn.MAXIFS($BY$4:$BY$12824,$S$4:$S$12824,$S802)</f>
        <v>626117.86212460138</v>
      </c>
      <c r="CB802" s="1032"/>
      <c r="CF802" s="946">
        <f t="shared" si="155"/>
        <v>2894494.6799999997</v>
      </c>
    </row>
    <row r="803" spans="1:84">
      <c r="A803" s="1032"/>
      <c r="B803" s="839" t="s">
        <v>98</v>
      </c>
      <c r="C803" s="839" t="s">
        <v>2689</v>
      </c>
      <c r="D803" s="839" t="s">
        <v>2690</v>
      </c>
      <c r="E803" s="839" t="s">
        <v>2691</v>
      </c>
      <c r="F803" s="841">
        <v>45451</v>
      </c>
      <c r="G803" s="840" t="s">
        <v>2689</v>
      </c>
      <c r="H803" s="842" t="s">
        <v>134</v>
      </c>
      <c r="I803" s="842"/>
      <c r="J803" s="841"/>
      <c r="K803" s="841"/>
      <c r="L803" s="843" t="s">
        <v>106</v>
      </c>
      <c r="M803" s="844" t="s">
        <v>107</v>
      </c>
      <c r="N803" s="841" t="s">
        <v>2692</v>
      </c>
      <c r="O803" s="841" t="s">
        <v>150</v>
      </c>
      <c r="P803" s="841" t="s">
        <v>151</v>
      </c>
      <c r="Q803" s="843"/>
      <c r="R803" s="845" t="s">
        <v>2811</v>
      </c>
      <c r="S803" s="1127" t="s">
        <v>2812</v>
      </c>
      <c r="T803" s="843" t="s">
        <v>2813</v>
      </c>
      <c r="U803" s="842">
        <v>5</v>
      </c>
      <c r="V803" s="842" t="s">
        <v>3</v>
      </c>
      <c r="W803" s="846">
        <v>49</v>
      </c>
      <c r="X803" s="847">
        <f t="shared" si="149"/>
        <v>245</v>
      </c>
      <c r="Y803" s="848">
        <v>0.55000000000000004</v>
      </c>
      <c r="Z803" s="849">
        <v>22.05</v>
      </c>
      <c r="AA803" s="849"/>
      <c r="AB803" s="849">
        <f t="shared" si="150"/>
        <v>110.25</v>
      </c>
      <c r="AC803" s="850">
        <f t="shared" si="151"/>
        <v>110.25</v>
      </c>
      <c r="AD803" s="851"/>
      <c r="AE803" s="852">
        <v>26253.919999999998</v>
      </c>
      <c r="AF803" s="853">
        <v>4.4999999999999998E-2</v>
      </c>
      <c r="AG803" s="854">
        <f t="shared" si="152"/>
        <v>133751.13198387017</v>
      </c>
      <c r="AH803" s="853"/>
      <c r="AI803" s="855">
        <f t="shared" si="153"/>
        <v>0</v>
      </c>
      <c r="AJ803" s="845" t="s">
        <v>2695</v>
      </c>
      <c r="AK803" s="857">
        <v>45332</v>
      </c>
      <c r="AL803" s="840" t="s">
        <v>2696</v>
      </c>
      <c r="AM803" s="840"/>
      <c r="AN803" s="858"/>
      <c r="AO803" s="844" t="s">
        <v>2697</v>
      </c>
      <c r="AP803" s="859" t="s">
        <v>2698</v>
      </c>
      <c r="AQ803" s="859" t="s">
        <v>2698</v>
      </c>
      <c r="AR803" s="859" t="s">
        <v>2699</v>
      </c>
      <c r="AS803" s="840" t="s">
        <v>2700</v>
      </c>
      <c r="AT803" s="840" t="s">
        <v>1743</v>
      </c>
      <c r="AU803" s="860" t="s">
        <v>1285</v>
      </c>
      <c r="AV803" s="839" t="s">
        <v>2701</v>
      </c>
      <c r="AW803" s="861">
        <v>45646</v>
      </c>
      <c r="AX803" s="862" t="s">
        <v>2702</v>
      </c>
      <c r="AY803" s="843" t="s">
        <v>2814</v>
      </c>
      <c r="AZ803" s="842">
        <v>39249090</v>
      </c>
      <c r="BA803" s="842" t="s">
        <v>120</v>
      </c>
      <c r="BB803" s="863" t="s">
        <v>121</v>
      </c>
      <c r="BC803" s="864">
        <v>45650</v>
      </c>
      <c r="BD803" s="860" t="s">
        <v>2705</v>
      </c>
      <c r="BE803" s="865" cm="1">
        <f t="array" ref="BE803">IF(BD803="","",AC803/SUMPRODUCT(--(BD803=$BD$4:$BD$12824),$AC$4:$AC$12824))</f>
        <v>1.589832455452606E-3</v>
      </c>
      <c r="BF803" s="458"/>
      <c r="BG803" s="458"/>
      <c r="BH803" s="458"/>
      <c r="BI803" s="458"/>
      <c r="BJ803" s="458"/>
      <c r="BK803" s="458"/>
      <c r="BL803" s="458"/>
      <c r="BM803" s="458"/>
      <c r="BN803" s="458"/>
      <c r="BO803" s="866">
        <f>VLOOKUP(BD803,$BD$4:$BN$12824,3,0)*BE803</f>
        <v>74973.875375593401</v>
      </c>
      <c r="BP803" s="866"/>
      <c r="BQ803" s="866"/>
      <c r="BR803" s="866">
        <f>VLOOKUP(BD803,$BD$4:$BN$12824,6,0)*BE803</f>
        <v>21500.166926399379</v>
      </c>
      <c r="BS803" s="866">
        <f>VLOOKUP(BD803,$BD$4:$BN$12824,7,0)*BE803</f>
        <v>2778.822043744402</v>
      </c>
      <c r="BT803" s="866"/>
      <c r="BU803" s="866">
        <f>VLOOKUP(BD803,$BD$4:$BN$12824,9,0)*BE803</f>
        <v>0</v>
      </c>
      <c r="BV803" s="867"/>
      <c r="BW803" s="867">
        <f>VLOOKUP(BD803,$BD$4:$BN$12824,11,0)*BE803</f>
        <v>3090.6342933998662</v>
      </c>
      <c r="BX803" s="1146">
        <f t="shared" si="156"/>
        <v>102343.49863913705</v>
      </c>
      <c r="BY803" s="867">
        <f t="shared" si="157"/>
        <v>626117.86212460138</v>
      </c>
      <c r="BZ803" s="867">
        <f t="shared" si="154"/>
        <v>3130589.3106230069</v>
      </c>
      <c r="CA803" s="867">
        <f>_xlfn.MAXIFS($BY$4:$BY$12824,$S$4:$S$12824,$S803)</f>
        <v>626117.86212460138</v>
      </c>
      <c r="CB803" s="1032"/>
      <c r="CF803" s="946">
        <f t="shared" si="155"/>
        <v>2894494.6799999997</v>
      </c>
    </row>
    <row r="804" spans="1:84">
      <c r="A804" s="1032"/>
      <c r="B804" s="839" t="s">
        <v>98</v>
      </c>
      <c r="C804" s="839" t="s">
        <v>2689</v>
      </c>
      <c r="D804" s="839" t="s">
        <v>2690</v>
      </c>
      <c r="E804" s="839" t="s">
        <v>2691</v>
      </c>
      <c r="F804" s="841">
        <v>45451</v>
      </c>
      <c r="G804" s="840" t="s">
        <v>2689</v>
      </c>
      <c r="H804" s="842" t="s">
        <v>134</v>
      </c>
      <c r="I804" s="842"/>
      <c r="J804" s="841"/>
      <c r="K804" s="841"/>
      <c r="L804" s="843" t="s">
        <v>106</v>
      </c>
      <c r="M804" s="844" t="s">
        <v>107</v>
      </c>
      <c r="N804" s="841" t="s">
        <v>2692</v>
      </c>
      <c r="O804" s="841" t="s">
        <v>150</v>
      </c>
      <c r="P804" s="841" t="s">
        <v>151</v>
      </c>
      <c r="Q804" s="843"/>
      <c r="R804" s="845" t="s">
        <v>2815</v>
      </c>
      <c r="S804" s="1127" t="s">
        <v>2816</v>
      </c>
      <c r="T804" s="843" t="s">
        <v>2817</v>
      </c>
      <c r="U804" s="842">
        <v>5</v>
      </c>
      <c r="V804" s="842" t="s">
        <v>3</v>
      </c>
      <c r="W804" s="846">
        <v>49</v>
      </c>
      <c r="X804" s="847">
        <f t="shared" si="149"/>
        <v>245</v>
      </c>
      <c r="Y804" s="848">
        <v>0.55000000000000004</v>
      </c>
      <c r="Z804" s="849">
        <v>22.05</v>
      </c>
      <c r="AA804" s="849"/>
      <c r="AB804" s="849">
        <f t="shared" si="150"/>
        <v>110.25</v>
      </c>
      <c r="AC804" s="850">
        <f t="shared" si="151"/>
        <v>110.25</v>
      </c>
      <c r="AD804" s="851"/>
      <c r="AE804" s="852">
        <v>26253.919999999998</v>
      </c>
      <c r="AF804" s="853">
        <v>4.4999999999999998E-2</v>
      </c>
      <c r="AG804" s="854">
        <f t="shared" si="152"/>
        <v>133751.13198387017</v>
      </c>
      <c r="AH804" s="853"/>
      <c r="AI804" s="855">
        <f t="shared" si="153"/>
        <v>0</v>
      </c>
      <c r="AJ804" s="845" t="s">
        <v>2695</v>
      </c>
      <c r="AK804" s="857">
        <v>45332</v>
      </c>
      <c r="AL804" s="840" t="s">
        <v>2696</v>
      </c>
      <c r="AM804" s="840"/>
      <c r="AN804" s="858"/>
      <c r="AO804" s="844" t="s">
        <v>2697</v>
      </c>
      <c r="AP804" s="859" t="s">
        <v>2698</v>
      </c>
      <c r="AQ804" s="859" t="s">
        <v>2698</v>
      </c>
      <c r="AR804" s="859" t="s">
        <v>2699</v>
      </c>
      <c r="AS804" s="840" t="s">
        <v>2700</v>
      </c>
      <c r="AT804" s="840" t="s">
        <v>1743</v>
      </c>
      <c r="AU804" s="860" t="s">
        <v>1285</v>
      </c>
      <c r="AV804" s="839" t="s">
        <v>2701</v>
      </c>
      <c r="AW804" s="861">
        <v>45646</v>
      </c>
      <c r="AX804" s="862" t="s">
        <v>2702</v>
      </c>
      <c r="AY804" s="843" t="s">
        <v>2818</v>
      </c>
      <c r="AZ804" s="842">
        <v>39249090</v>
      </c>
      <c r="BA804" s="842" t="s">
        <v>120</v>
      </c>
      <c r="BB804" s="863" t="s">
        <v>121</v>
      </c>
      <c r="BC804" s="864">
        <v>45650</v>
      </c>
      <c r="BD804" s="860" t="s">
        <v>2705</v>
      </c>
      <c r="BE804" s="865" cm="1">
        <f t="array" ref="BE804">IF(BD804="","",AC804/SUMPRODUCT(--(BD804=$BD$4:$BD$12824),$AC$4:$AC$12824))</f>
        <v>1.589832455452606E-3</v>
      </c>
      <c r="BF804" s="458"/>
      <c r="BG804" s="458"/>
      <c r="BH804" s="458"/>
      <c r="BI804" s="458"/>
      <c r="BJ804" s="458"/>
      <c r="BK804" s="458"/>
      <c r="BL804" s="458"/>
      <c r="BM804" s="458"/>
      <c r="BN804" s="458"/>
      <c r="BO804" s="866">
        <f>VLOOKUP(BD804,$BD$4:$BN$12824,3,0)*BE804</f>
        <v>74973.875375593401</v>
      </c>
      <c r="BP804" s="866"/>
      <c r="BQ804" s="866"/>
      <c r="BR804" s="866">
        <f>VLOOKUP(BD804,$BD$4:$BN$12824,6,0)*BE804</f>
        <v>21500.166926399379</v>
      </c>
      <c r="BS804" s="866">
        <f>VLOOKUP(BD804,$BD$4:$BN$12824,7,0)*BE804</f>
        <v>2778.822043744402</v>
      </c>
      <c r="BT804" s="866"/>
      <c r="BU804" s="866">
        <f>VLOOKUP(BD804,$BD$4:$BN$12824,9,0)*BE804</f>
        <v>0</v>
      </c>
      <c r="BV804" s="867"/>
      <c r="BW804" s="867">
        <f>VLOOKUP(BD804,$BD$4:$BN$12824,11,0)*BE804</f>
        <v>3090.6342933998662</v>
      </c>
      <c r="BX804" s="1146">
        <f t="shared" si="156"/>
        <v>102343.49863913705</v>
      </c>
      <c r="BY804" s="867">
        <f t="shared" si="157"/>
        <v>626117.86212460138</v>
      </c>
      <c r="BZ804" s="867">
        <f t="shared" si="154"/>
        <v>3130589.3106230069</v>
      </c>
      <c r="CA804" s="867">
        <f>_xlfn.MAXIFS($BY$4:$BY$12824,$S$4:$S$12824,$S804)</f>
        <v>626117.86212460138</v>
      </c>
      <c r="CB804" s="1032"/>
      <c r="CF804" s="946">
        <f t="shared" si="155"/>
        <v>2894494.6799999997</v>
      </c>
    </row>
    <row r="805" spans="1:84">
      <c r="A805" s="1032"/>
      <c r="B805" s="839" t="s">
        <v>98</v>
      </c>
      <c r="C805" s="839" t="s">
        <v>2689</v>
      </c>
      <c r="D805" s="839" t="s">
        <v>2690</v>
      </c>
      <c r="E805" s="839" t="s">
        <v>2691</v>
      </c>
      <c r="F805" s="841">
        <v>45451</v>
      </c>
      <c r="G805" s="840" t="s">
        <v>2689</v>
      </c>
      <c r="H805" s="842" t="s">
        <v>134</v>
      </c>
      <c r="I805" s="842"/>
      <c r="J805" s="841"/>
      <c r="K805" s="841"/>
      <c r="L805" s="843" t="s">
        <v>106</v>
      </c>
      <c r="M805" s="844" t="s">
        <v>107</v>
      </c>
      <c r="N805" s="841" t="s">
        <v>2692</v>
      </c>
      <c r="O805" s="841" t="s">
        <v>150</v>
      </c>
      <c r="P805" s="841" t="s">
        <v>151</v>
      </c>
      <c r="Q805" s="843"/>
      <c r="R805" s="845" t="s">
        <v>2819</v>
      </c>
      <c r="S805" s="1127" t="s">
        <v>2820</v>
      </c>
      <c r="T805" s="843" t="s">
        <v>2821</v>
      </c>
      <c r="U805" s="842">
        <v>5</v>
      </c>
      <c r="V805" s="842" t="s">
        <v>3</v>
      </c>
      <c r="W805" s="846">
        <v>49</v>
      </c>
      <c r="X805" s="847">
        <f t="shared" si="149"/>
        <v>245</v>
      </c>
      <c r="Y805" s="848">
        <v>0.55000000000000004</v>
      </c>
      <c r="Z805" s="849">
        <v>22.05</v>
      </c>
      <c r="AA805" s="849"/>
      <c r="AB805" s="849">
        <f t="shared" si="150"/>
        <v>110.25</v>
      </c>
      <c r="AC805" s="850">
        <f t="shared" si="151"/>
        <v>110.25</v>
      </c>
      <c r="AD805" s="851"/>
      <c r="AE805" s="852">
        <v>26253.919999999998</v>
      </c>
      <c r="AF805" s="853">
        <v>4.4999999999999998E-2</v>
      </c>
      <c r="AG805" s="854">
        <f t="shared" si="152"/>
        <v>133751.13198387017</v>
      </c>
      <c r="AH805" s="853"/>
      <c r="AI805" s="855">
        <f t="shared" si="153"/>
        <v>0</v>
      </c>
      <c r="AJ805" s="845" t="s">
        <v>2695</v>
      </c>
      <c r="AK805" s="857">
        <v>45332</v>
      </c>
      <c r="AL805" s="840" t="s">
        <v>2696</v>
      </c>
      <c r="AM805" s="840"/>
      <c r="AN805" s="858"/>
      <c r="AO805" s="844" t="s">
        <v>2697</v>
      </c>
      <c r="AP805" s="859" t="s">
        <v>2698</v>
      </c>
      <c r="AQ805" s="859" t="s">
        <v>2698</v>
      </c>
      <c r="AR805" s="859" t="s">
        <v>2699</v>
      </c>
      <c r="AS805" s="840" t="s">
        <v>2700</v>
      </c>
      <c r="AT805" s="840" t="s">
        <v>1743</v>
      </c>
      <c r="AU805" s="860" t="s">
        <v>1285</v>
      </c>
      <c r="AV805" s="839" t="s">
        <v>2701</v>
      </c>
      <c r="AW805" s="861">
        <v>45646</v>
      </c>
      <c r="AX805" s="862" t="s">
        <v>2702</v>
      </c>
      <c r="AY805" s="843" t="s">
        <v>2822</v>
      </c>
      <c r="AZ805" s="842">
        <v>39249090</v>
      </c>
      <c r="BA805" s="842" t="s">
        <v>120</v>
      </c>
      <c r="BB805" s="863" t="s">
        <v>121</v>
      </c>
      <c r="BC805" s="864">
        <v>45650</v>
      </c>
      <c r="BD805" s="860" t="s">
        <v>2705</v>
      </c>
      <c r="BE805" s="865" cm="1">
        <f t="array" ref="BE805">IF(BD805="","",AC805/SUMPRODUCT(--(BD805=$BD$4:$BD$12824),$AC$4:$AC$12824))</f>
        <v>1.589832455452606E-3</v>
      </c>
      <c r="BF805" s="458"/>
      <c r="BG805" s="458"/>
      <c r="BH805" s="458"/>
      <c r="BI805" s="458"/>
      <c r="BJ805" s="458"/>
      <c r="BK805" s="458"/>
      <c r="BL805" s="458"/>
      <c r="BM805" s="458"/>
      <c r="BN805" s="458"/>
      <c r="BO805" s="866">
        <f>VLOOKUP(BD805,$BD$4:$BN$12824,3,0)*BE805</f>
        <v>74973.875375593401</v>
      </c>
      <c r="BP805" s="866"/>
      <c r="BQ805" s="866"/>
      <c r="BR805" s="866">
        <f>VLOOKUP(BD805,$BD$4:$BN$12824,6,0)*BE805</f>
        <v>21500.166926399379</v>
      </c>
      <c r="BS805" s="866">
        <f>VLOOKUP(BD805,$BD$4:$BN$12824,7,0)*BE805</f>
        <v>2778.822043744402</v>
      </c>
      <c r="BT805" s="866"/>
      <c r="BU805" s="866">
        <f>VLOOKUP(BD805,$BD$4:$BN$12824,9,0)*BE805</f>
        <v>0</v>
      </c>
      <c r="BV805" s="867"/>
      <c r="BW805" s="867">
        <f>VLOOKUP(BD805,$BD$4:$BN$12824,11,0)*BE805</f>
        <v>3090.6342933998662</v>
      </c>
      <c r="BX805" s="1146">
        <f t="shared" si="156"/>
        <v>102343.49863913705</v>
      </c>
      <c r="BY805" s="867">
        <f t="shared" si="157"/>
        <v>626117.86212460138</v>
      </c>
      <c r="BZ805" s="867">
        <f t="shared" si="154"/>
        <v>3130589.3106230069</v>
      </c>
      <c r="CA805" s="867">
        <f>_xlfn.MAXIFS($BY$4:$BY$12824,$S$4:$S$12824,$S805)</f>
        <v>626117.86212460138</v>
      </c>
      <c r="CB805" s="1032"/>
      <c r="CF805" s="946">
        <f t="shared" si="155"/>
        <v>2894494.6799999997</v>
      </c>
    </row>
    <row r="806" spans="1:84">
      <c r="A806" s="1032"/>
      <c r="B806" s="839" t="s">
        <v>98</v>
      </c>
      <c r="C806" s="839" t="s">
        <v>2689</v>
      </c>
      <c r="D806" s="839" t="s">
        <v>2690</v>
      </c>
      <c r="E806" s="839" t="s">
        <v>2691</v>
      </c>
      <c r="F806" s="841">
        <v>45451</v>
      </c>
      <c r="G806" s="840" t="s">
        <v>2689</v>
      </c>
      <c r="H806" s="842" t="s">
        <v>134</v>
      </c>
      <c r="I806" s="842"/>
      <c r="J806" s="841"/>
      <c r="K806" s="841"/>
      <c r="L806" s="843" t="s">
        <v>106</v>
      </c>
      <c r="M806" s="844" t="s">
        <v>107</v>
      </c>
      <c r="N806" s="841" t="s">
        <v>2692</v>
      </c>
      <c r="O806" s="841" t="s">
        <v>150</v>
      </c>
      <c r="P806" s="841" t="s">
        <v>151</v>
      </c>
      <c r="Q806" s="843"/>
      <c r="R806" s="845" t="s">
        <v>2823</v>
      </c>
      <c r="S806" s="1127" t="s">
        <v>2824</v>
      </c>
      <c r="T806" s="843" t="s">
        <v>2825</v>
      </c>
      <c r="U806" s="842">
        <v>5</v>
      </c>
      <c r="V806" s="842" t="s">
        <v>3</v>
      </c>
      <c r="W806" s="846">
        <v>49</v>
      </c>
      <c r="X806" s="847">
        <f t="shared" si="149"/>
        <v>245</v>
      </c>
      <c r="Y806" s="848">
        <v>0.55000000000000004</v>
      </c>
      <c r="Z806" s="849">
        <v>22.05</v>
      </c>
      <c r="AA806" s="849"/>
      <c r="AB806" s="849">
        <f t="shared" si="150"/>
        <v>110.25</v>
      </c>
      <c r="AC806" s="850">
        <f t="shared" si="151"/>
        <v>110.25</v>
      </c>
      <c r="AD806" s="851"/>
      <c r="AE806" s="852">
        <v>26253.919999999998</v>
      </c>
      <c r="AF806" s="853">
        <v>4.4999999999999998E-2</v>
      </c>
      <c r="AG806" s="854">
        <f t="shared" si="152"/>
        <v>133751.13198387017</v>
      </c>
      <c r="AH806" s="853"/>
      <c r="AI806" s="855">
        <f t="shared" si="153"/>
        <v>0</v>
      </c>
      <c r="AJ806" s="845" t="s">
        <v>2695</v>
      </c>
      <c r="AK806" s="857">
        <v>45332</v>
      </c>
      <c r="AL806" s="840" t="s">
        <v>2696</v>
      </c>
      <c r="AM806" s="840"/>
      <c r="AN806" s="858"/>
      <c r="AO806" s="844" t="s">
        <v>2697</v>
      </c>
      <c r="AP806" s="859" t="s">
        <v>2698</v>
      </c>
      <c r="AQ806" s="859" t="s">
        <v>2698</v>
      </c>
      <c r="AR806" s="859" t="s">
        <v>2699</v>
      </c>
      <c r="AS806" s="840" t="s">
        <v>2700</v>
      </c>
      <c r="AT806" s="840" t="s">
        <v>1743</v>
      </c>
      <c r="AU806" s="860" t="s">
        <v>1285</v>
      </c>
      <c r="AV806" s="839" t="s">
        <v>2701</v>
      </c>
      <c r="AW806" s="861">
        <v>45646</v>
      </c>
      <c r="AX806" s="862" t="s">
        <v>2702</v>
      </c>
      <c r="AY806" s="843" t="s">
        <v>2826</v>
      </c>
      <c r="AZ806" s="842">
        <v>39249090</v>
      </c>
      <c r="BA806" s="842" t="s">
        <v>120</v>
      </c>
      <c r="BB806" s="863" t="s">
        <v>121</v>
      </c>
      <c r="BC806" s="864">
        <v>45650</v>
      </c>
      <c r="BD806" s="860" t="s">
        <v>2705</v>
      </c>
      <c r="BE806" s="865" cm="1">
        <f t="array" ref="BE806">IF(BD806="","",AC806/SUMPRODUCT(--(BD806=$BD$4:$BD$12824),$AC$4:$AC$12824))</f>
        <v>1.589832455452606E-3</v>
      </c>
      <c r="BF806" s="458"/>
      <c r="BG806" s="458"/>
      <c r="BH806" s="458"/>
      <c r="BI806" s="458"/>
      <c r="BJ806" s="458"/>
      <c r="BK806" s="458"/>
      <c r="BL806" s="458"/>
      <c r="BM806" s="458"/>
      <c r="BN806" s="458"/>
      <c r="BO806" s="866">
        <f>VLOOKUP(BD806,$BD$4:$BN$12824,3,0)*BE806</f>
        <v>74973.875375593401</v>
      </c>
      <c r="BP806" s="866"/>
      <c r="BQ806" s="866"/>
      <c r="BR806" s="866">
        <f>VLOOKUP(BD806,$BD$4:$BN$12824,6,0)*BE806</f>
        <v>21500.166926399379</v>
      </c>
      <c r="BS806" s="866">
        <f>VLOOKUP(BD806,$BD$4:$BN$12824,7,0)*BE806</f>
        <v>2778.822043744402</v>
      </c>
      <c r="BT806" s="866"/>
      <c r="BU806" s="866">
        <f>VLOOKUP(BD806,$BD$4:$BN$12824,9,0)*BE806</f>
        <v>0</v>
      </c>
      <c r="BV806" s="867"/>
      <c r="BW806" s="867">
        <f>VLOOKUP(BD806,$BD$4:$BN$12824,11,0)*BE806</f>
        <v>3090.6342933998662</v>
      </c>
      <c r="BX806" s="1146">
        <f t="shared" si="156"/>
        <v>102343.49863913705</v>
      </c>
      <c r="BY806" s="867">
        <f t="shared" si="157"/>
        <v>626117.86212460138</v>
      </c>
      <c r="BZ806" s="867">
        <f t="shared" si="154"/>
        <v>3130589.3106230069</v>
      </c>
      <c r="CA806" s="867">
        <f>_xlfn.MAXIFS($BY$4:$BY$12824,$S$4:$S$12824,$S806)</f>
        <v>626117.86212460138</v>
      </c>
      <c r="CB806" s="1032"/>
      <c r="CF806" s="946">
        <f t="shared" si="155"/>
        <v>2894494.6799999997</v>
      </c>
    </row>
    <row r="807" spans="1:84">
      <c r="A807" s="1032"/>
      <c r="B807" s="839" t="s">
        <v>98</v>
      </c>
      <c r="C807" s="839" t="s">
        <v>2689</v>
      </c>
      <c r="D807" s="839" t="s">
        <v>2690</v>
      </c>
      <c r="E807" s="839" t="s">
        <v>2691</v>
      </c>
      <c r="F807" s="841">
        <v>45451</v>
      </c>
      <c r="G807" s="840" t="s">
        <v>2689</v>
      </c>
      <c r="H807" s="842" t="s">
        <v>134</v>
      </c>
      <c r="I807" s="842"/>
      <c r="J807" s="841"/>
      <c r="K807" s="841"/>
      <c r="L807" s="843" t="s">
        <v>106</v>
      </c>
      <c r="M807" s="844" t="s">
        <v>107</v>
      </c>
      <c r="N807" s="841" t="s">
        <v>2692</v>
      </c>
      <c r="O807" s="841" t="s">
        <v>150</v>
      </c>
      <c r="P807" s="841" t="s">
        <v>151</v>
      </c>
      <c r="Q807" s="843"/>
      <c r="R807" s="845" t="s">
        <v>2827</v>
      </c>
      <c r="S807" s="1127" t="s">
        <v>2828</v>
      </c>
      <c r="T807" s="843" t="s">
        <v>2829</v>
      </c>
      <c r="U807" s="842">
        <v>10</v>
      </c>
      <c r="V807" s="842" t="s">
        <v>3</v>
      </c>
      <c r="W807" s="846">
        <v>49</v>
      </c>
      <c r="X807" s="847">
        <f t="shared" si="149"/>
        <v>490</v>
      </c>
      <c r="Y807" s="848">
        <v>0.55000000000000004</v>
      </c>
      <c r="Z807" s="849">
        <v>22.05</v>
      </c>
      <c r="AA807" s="849"/>
      <c r="AB807" s="849">
        <f t="shared" si="150"/>
        <v>220.5</v>
      </c>
      <c r="AC807" s="850">
        <f t="shared" si="151"/>
        <v>220.5</v>
      </c>
      <c r="AD807" s="851"/>
      <c r="AE807" s="852">
        <v>26253.919999999998</v>
      </c>
      <c r="AF807" s="853">
        <v>4.4999999999999998E-2</v>
      </c>
      <c r="AG807" s="854">
        <f t="shared" si="152"/>
        <v>267502.26396774035</v>
      </c>
      <c r="AH807" s="853"/>
      <c r="AI807" s="855">
        <f t="shared" si="153"/>
        <v>0</v>
      </c>
      <c r="AJ807" s="845" t="s">
        <v>2695</v>
      </c>
      <c r="AK807" s="857">
        <v>45332</v>
      </c>
      <c r="AL807" s="840" t="s">
        <v>2696</v>
      </c>
      <c r="AM807" s="840"/>
      <c r="AN807" s="858"/>
      <c r="AO807" s="844" t="s">
        <v>2697</v>
      </c>
      <c r="AP807" s="859" t="s">
        <v>2698</v>
      </c>
      <c r="AQ807" s="859" t="s">
        <v>2698</v>
      </c>
      <c r="AR807" s="859" t="s">
        <v>2699</v>
      </c>
      <c r="AS807" s="840" t="s">
        <v>2700</v>
      </c>
      <c r="AT807" s="840" t="s">
        <v>1743</v>
      </c>
      <c r="AU807" s="860" t="s">
        <v>1285</v>
      </c>
      <c r="AV807" s="839" t="s">
        <v>2701</v>
      </c>
      <c r="AW807" s="861">
        <v>45646</v>
      </c>
      <c r="AX807" s="862" t="s">
        <v>2702</v>
      </c>
      <c r="AY807" s="843" t="s">
        <v>2830</v>
      </c>
      <c r="AZ807" s="842">
        <v>39249090</v>
      </c>
      <c r="BA807" s="842" t="s">
        <v>120</v>
      </c>
      <c r="BB807" s="863" t="s">
        <v>121</v>
      </c>
      <c r="BC807" s="864">
        <v>45650</v>
      </c>
      <c r="BD807" s="860" t="s">
        <v>2705</v>
      </c>
      <c r="BE807" s="865" cm="1">
        <f t="array" ref="BE807">IF(BD807="","",AC807/SUMPRODUCT(--(BD807=$BD$4:$BD$12824),$AC$4:$AC$12824))</f>
        <v>3.179664910905212E-3</v>
      </c>
      <c r="BF807" s="458"/>
      <c r="BG807" s="458"/>
      <c r="BH807" s="458"/>
      <c r="BI807" s="458"/>
      <c r="BJ807" s="458"/>
      <c r="BK807" s="458"/>
      <c r="BL807" s="458"/>
      <c r="BM807" s="458"/>
      <c r="BN807" s="458"/>
      <c r="BO807" s="866">
        <f>VLOOKUP(BD807,$BD$4:$BN$12824,3,0)*BE807</f>
        <v>149947.7507511868</v>
      </c>
      <c r="BP807" s="866"/>
      <c r="BQ807" s="866"/>
      <c r="BR807" s="866">
        <f>VLOOKUP(BD807,$BD$4:$BN$12824,6,0)*BE807</f>
        <v>43000.333852798758</v>
      </c>
      <c r="BS807" s="866">
        <f>VLOOKUP(BD807,$BD$4:$BN$12824,7,0)*BE807</f>
        <v>5557.644087488804</v>
      </c>
      <c r="BT807" s="866"/>
      <c r="BU807" s="866">
        <f>VLOOKUP(BD807,$BD$4:$BN$12824,9,0)*BE807</f>
        <v>0</v>
      </c>
      <c r="BV807" s="867"/>
      <c r="BW807" s="867">
        <f>VLOOKUP(BD807,$BD$4:$BN$12824,11,0)*BE807</f>
        <v>6181.2685867997325</v>
      </c>
      <c r="BX807" s="1146">
        <f t="shared" si="156"/>
        <v>204686.9972782741</v>
      </c>
      <c r="BY807" s="867">
        <f t="shared" si="157"/>
        <v>626117.86212460138</v>
      </c>
      <c r="BZ807" s="867">
        <f t="shared" si="154"/>
        <v>6261178.6212460138</v>
      </c>
      <c r="CA807" s="867">
        <f>_xlfn.MAXIFS($BY$4:$BY$12824,$S$4:$S$12824,$S807)</f>
        <v>626117.86212460138</v>
      </c>
      <c r="CB807" s="1032"/>
      <c r="CF807" s="946">
        <f t="shared" si="155"/>
        <v>5788989.3599999994</v>
      </c>
    </row>
    <row r="808" spans="1:84">
      <c r="A808" s="1032"/>
      <c r="B808" s="839" t="s">
        <v>98</v>
      </c>
      <c r="C808" s="839" t="s">
        <v>2689</v>
      </c>
      <c r="D808" s="839" t="s">
        <v>2690</v>
      </c>
      <c r="E808" s="839" t="s">
        <v>2691</v>
      </c>
      <c r="F808" s="841">
        <v>45451</v>
      </c>
      <c r="G808" s="840" t="s">
        <v>2689</v>
      </c>
      <c r="H808" s="842" t="s">
        <v>134</v>
      </c>
      <c r="I808" s="842"/>
      <c r="J808" s="841"/>
      <c r="K808" s="841"/>
      <c r="L808" s="843" t="s">
        <v>106</v>
      </c>
      <c r="M808" s="844" t="s">
        <v>107</v>
      </c>
      <c r="N808" s="841" t="s">
        <v>2692</v>
      </c>
      <c r="O808" s="841" t="s">
        <v>150</v>
      </c>
      <c r="P808" s="841" t="s">
        <v>151</v>
      </c>
      <c r="Q808" s="843"/>
      <c r="R808" s="845" t="s">
        <v>2831</v>
      </c>
      <c r="S808" s="1127" t="s">
        <v>2832</v>
      </c>
      <c r="T808" s="843" t="s">
        <v>2833</v>
      </c>
      <c r="U808" s="842">
        <v>10</v>
      </c>
      <c r="V808" s="842" t="s">
        <v>3</v>
      </c>
      <c r="W808" s="846">
        <v>49</v>
      </c>
      <c r="X808" s="847">
        <f t="shared" si="149"/>
        <v>490</v>
      </c>
      <c r="Y808" s="848">
        <v>0.55000000000000004</v>
      </c>
      <c r="Z808" s="849">
        <v>22.05</v>
      </c>
      <c r="AA808" s="849"/>
      <c r="AB808" s="849">
        <f t="shared" si="150"/>
        <v>220.5</v>
      </c>
      <c r="AC808" s="850">
        <f t="shared" si="151"/>
        <v>220.5</v>
      </c>
      <c r="AD808" s="851"/>
      <c r="AE808" s="852">
        <v>26253.919999999998</v>
      </c>
      <c r="AF808" s="853">
        <v>4.4999999999999998E-2</v>
      </c>
      <c r="AG808" s="854">
        <f t="shared" si="152"/>
        <v>267502.26396774035</v>
      </c>
      <c r="AH808" s="853"/>
      <c r="AI808" s="855">
        <f t="shared" si="153"/>
        <v>0</v>
      </c>
      <c r="AJ808" s="845" t="s">
        <v>2695</v>
      </c>
      <c r="AK808" s="857">
        <v>45332</v>
      </c>
      <c r="AL808" s="840" t="s">
        <v>2696</v>
      </c>
      <c r="AM808" s="840"/>
      <c r="AN808" s="858"/>
      <c r="AO808" s="844" t="s">
        <v>2697</v>
      </c>
      <c r="AP808" s="859" t="s">
        <v>2698</v>
      </c>
      <c r="AQ808" s="859" t="s">
        <v>2698</v>
      </c>
      <c r="AR808" s="859" t="s">
        <v>2699</v>
      </c>
      <c r="AS808" s="840" t="s">
        <v>2700</v>
      </c>
      <c r="AT808" s="840" t="s">
        <v>1743</v>
      </c>
      <c r="AU808" s="860" t="s">
        <v>1285</v>
      </c>
      <c r="AV808" s="839" t="s">
        <v>2701</v>
      </c>
      <c r="AW808" s="861">
        <v>45646</v>
      </c>
      <c r="AX808" s="862" t="s">
        <v>2702</v>
      </c>
      <c r="AY808" s="843" t="s">
        <v>2834</v>
      </c>
      <c r="AZ808" s="842">
        <v>39249090</v>
      </c>
      <c r="BA808" s="842" t="s">
        <v>120</v>
      </c>
      <c r="BB808" s="863" t="s">
        <v>121</v>
      </c>
      <c r="BC808" s="864">
        <v>45650</v>
      </c>
      <c r="BD808" s="860" t="s">
        <v>2705</v>
      </c>
      <c r="BE808" s="865" cm="1">
        <f t="array" ref="BE808">IF(BD808="","",AC808/SUMPRODUCT(--(BD808=$BD$4:$BD$12824),$AC$4:$AC$12824))</f>
        <v>3.179664910905212E-3</v>
      </c>
      <c r="BF808" s="458"/>
      <c r="BG808" s="458"/>
      <c r="BH808" s="458"/>
      <c r="BI808" s="458"/>
      <c r="BJ808" s="458"/>
      <c r="BK808" s="458"/>
      <c r="BL808" s="458"/>
      <c r="BM808" s="458"/>
      <c r="BN808" s="458"/>
      <c r="BO808" s="866">
        <f>VLOOKUP(BD808,$BD$4:$BN$12824,3,0)*BE808</f>
        <v>149947.7507511868</v>
      </c>
      <c r="BP808" s="866"/>
      <c r="BQ808" s="866"/>
      <c r="BR808" s="866">
        <f>VLOOKUP(BD808,$BD$4:$BN$12824,6,0)*BE808</f>
        <v>43000.333852798758</v>
      </c>
      <c r="BS808" s="866">
        <f>VLOOKUP(BD808,$BD$4:$BN$12824,7,0)*BE808</f>
        <v>5557.644087488804</v>
      </c>
      <c r="BT808" s="866"/>
      <c r="BU808" s="866">
        <f>VLOOKUP(BD808,$BD$4:$BN$12824,9,0)*BE808</f>
        <v>0</v>
      </c>
      <c r="BV808" s="867"/>
      <c r="BW808" s="867">
        <f>VLOOKUP(BD808,$BD$4:$BN$12824,11,0)*BE808</f>
        <v>6181.2685867997325</v>
      </c>
      <c r="BX808" s="1146">
        <f t="shared" si="156"/>
        <v>204686.9972782741</v>
      </c>
      <c r="BY808" s="867">
        <f t="shared" si="157"/>
        <v>626117.86212460138</v>
      </c>
      <c r="BZ808" s="867">
        <f t="shared" si="154"/>
        <v>6261178.6212460138</v>
      </c>
      <c r="CA808" s="867">
        <f>_xlfn.MAXIFS($BY$4:$BY$12824,$S$4:$S$12824,$S808)</f>
        <v>626117.86212460138</v>
      </c>
      <c r="CB808" s="1032"/>
      <c r="CF808" s="946">
        <f t="shared" si="155"/>
        <v>5788989.3599999994</v>
      </c>
    </row>
    <row r="809" spans="1:84">
      <c r="A809" s="1032"/>
      <c r="B809" s="839" t="s">
        <v>98</v>
      </c>
      <c r="C809" s="839" t="s">
        <v>2689</v>
      </c>
      <c r="D809" s="839" t="s">
        <v>2690</v>
      </c>
      <c r="E809" s="839" t="s">
        <v>2691</v>
      </c>
      <c r="F809" s="841">
        <v>45451</v>
      </c>
      <c r="G809" s="840" t="s">
        <v>2689</v>
      </c>
      <c r="H809" s="842" t="s">
        <v>134</v>
      </c>
      <c r="I809" s="842"/>
      <c r="J809" s="841"/>
      <c r="K809" s="841"/>
      <c r="L809" s="843" t="s">
        <v>106</v>
      </c>
      <c r="M809" s="844" t="s">
        <v>107</v>
      </c>
      <c r="N809" s="841" t="s">
        <v>2692</v>
      </c>
      <c r="O809" s="841" t="s">
        <v>150</v>
      </c>
      <c r="P809" s="841" t="s">
        <v>151</v>
      </c>
      <c r="Q809" s="843"/>
      <c r="R809" s="845" t="s">
        <v>2835</v>
      </c>
      <c r="S809" s="1127" t="s">
        <v>2836</v>
      </c>
      <c r="T809" s="843" t="s">
        <v>2837</v>
      </c>
      <c r="U809" s="842">
        <v>10</v>
      </c>
      <c r="V809" s="842" t="s">
        <v>3</v>
      </c>
      <c r="W809" s="846">
        <v>49</v>
      </c>
      <c r="X809" s="847">
        <f t="shared" si="149"/>
        <v>490</v>
      </c>
      <c r="Y809" s="848">
        <v>0.55000000000000004</v>
      </c>
      <c r="Z809" s="849">
        <v>22.05</v>
      </c>
      <c r="AA809" s="849"/>
      <c r="AB809" s="849">
        <f t="shared" si="150"/>
        <v>220.5</v>
      </c>
      <c r="AC809" s="850">
        <f t="shared" si="151"/>
        <v>220.5</v>
      </c>
      <c r="AD809" s="851"/>
      <c r="AE809" s="852">
        <v>26253.919999999998</v>
      </c>
      <c r="AF809" s="853">
        <v>4.4999999999999998E-2</v>
      </c>
      <c r="AG809" s="854">
        <f t="shared" si="152"/>
        <v>267502.26396774035</v>
      </c>
      <c r="AH809" s="853"/>
      <c r="AI809" s="855">
        <f t="shared" si="153"/>
        <v>0</v>
      </c>
      <c r="AJ809" s="845" t="s">
        <v>2695</v>
      </c>
      <c r="AK809" s="857">
        <v>45332</v>
      </c>
      <c r="AL809" s="840" t="s">
        <v>2696</v>
      </c>
      <c r="AM809" s="840"/>
      <c r="AN809" s="858"/>
      <c r="AO809" s="844" t="s">
        <v>2697</v>
      </c>
      <c r="AP809" s="859" t="s">
        <v>2698</v>
      </c>
      <c r="AQ809" s="859" t="s">
        <v>2698</v>
      </c>
      <c r="AR809" s="859" t="s">
        <v>2699</v>
      </c>
      <c r="AS809" s="840" t="s">
        <v>2700</v>
      </c>
      <c r="AT809" s="840" t="s">
        <v>1743</v>
      </c>
      <c r="AU809" s="860" t="s">
        <v>1285</v>
      </c>
      <c r="AV809" s="839" t="s">
        <v>2701</v>
      </c>
      <c r="AW809" s="861">
        <v>45646</v>
      </c>
      <c r="AX809" s="862" t="s">
        <v>2702</v>
      </c>
      <c r="AY809" s="843" t="s">
        <v>2838</v>
      </c>
      <c r="AZ809" s="842">
        <v>39249090</v>
      </c>
      <c r="BA809" s="842" t="s">
        <v>120</v>
      </c>
      <c r="BB809" s="863" t="s">
        <v>121</v>
      </c>
      <c r="BC809" s="864">
        <v>45650</v>
      </c>
      <c r="BD809" s="860" t="s">
        <v>2705</v>
      </c>
      <c r="BE809" s="865" cm="1">
        <f t="array" ref="BE809">IF(BD809="","",AC809/SUMPRODUCT(--(BD809=$BD$4:$BD$12824),$AC$4:$AC$12824))</f>
        <v>3.179664910905212E-3</v>
      </c>
      <c r="BF809" s="458"/>
      <c r="BG809" s="458"/>
      <c r="BH809" s="458"/>
      <c r="BI809" s="458"/>
      <c r="BJ809" s="458"/>
      <c r="BK809" s="458"/>
      <c r="BL809" s="458"/>
      <c r="BM809" s="458"/>
      <c r="BN809" s="458"/>
      <c r="BO809" s="866">
        <f>VLOOKUP(BD809,$BD$4:$BN$12824,3,0)*BE809</f>
        <v>149947.7507511868</v>
      </c>
      <c r="BP809" s="866"/>
      <c r="BQ809" s="866"/>
      <c r="BR809" s="866">
        <f>VLOOKUP(BD809,$BD$4:$BN$12824,6,0)*BE809</f>
        <v>43000.333852798758</v>
      </c>
      <c r="BS809" s="866">
        <f>VLOOKUP(BD809,$BD$4:$BN$12824,7,0)*BE809</f>
        <v>5557.644087488804</v>
      </c>
      <c r="BT809" s="866"/>
      <c r="BU809" s="866">
        <f>VLOOKUP(BD809,$BD$4:$BN$12824,9,0)*BE809</f>
        <v>0</v>
      </c>
      <c r="BV809" s="867"/>
      <c r="BW809" s="867">
        <f>VLOOKUP(BD809,$BD$4:$BN$12824,11,0)*BE809</f>
        <v>6181.2685867997325</v>
      </c>
      <c r="BX809" s="1146">
        <f t="shared" si="156"/>
        <v>204686.9972782741</v>
      </c>
      <c r="BY809" s="867">
        <f t="shared" si="157"/>
        <v>626117.86212460138</v>
      </c>
      <c r="BZ809" s="867">
        <f t="shared" si="154"/>
        <v>6261178.6212460138</v>
      </c>
      <c r="CA809" s="867">
        <f>_xlfn.MAXIFS($BY$4:$BY$12824,$S$4:$S$12824,$S809)</f>
        <v>626117.86212460138</v>
      </c>
      <c r="CB809" s="1032"/>
      <c r="CF809" s="946">
        <f t="shared" si="155"/>
        <v>5788989.3599999994</v>
      </c>
    </row>
    <row r="810" spans="1:84">
      <c r="A810" s="1032"/>
      <c r="B810" s="839" t="s">
        <v>98</v>
      </c>
      <c r="C810" s="839" t="s">
        <v>2689</v>
      </c>
      <c r="D810" s="839" t="s">
        <v>2690</v>
      </c>
      <c r="E810" s="839" t="s">
        <v>2691</v>
      </c>
      <c r="F810" s="841">
        <v>45451</v>
      </c>
      <c r="G810" s="840" t="s">
        <v>2689</v>
      </c>
      <c r="H810" s="842" t="s">
        <v>134</v>
      </c>
      <c r="I810" s="842"/>
      <c r="J810" s="841"/>
      <c r="K810" s="841"/>
      <c r="L810" s="843" t="s">
        <v>106</v>
      </c>
      <c r="M810" s="844" t="s">
        <v>107</v>
      </c>
      <c r="N810" s="841" t="s">
        <v>2692</v>
      </c>
      <c r="O810" s="841" t="s">
        <v>150</v>
      </c>
      <c r="P810" s="841" t="s">
        <v>151</v>
      </c>
      <c r="Q810" s="843"/>
      <c r="R810" s="845" t="s">
        <v>2839</v>
      </c>
      <c r="S810" s="1127" t="s">
        <v>2840</v>
      </c>
      <c r="T810" s="843" t="s">
        <v>2841</v>
      </c>
      <c r="U810" s="842">
        <v>10</v>
      </c>
      <c r="V810" s="842" t="s">
        <v>3</v>
      </c>
      <c r="W810" s="846">
        <v>49</v>
      </c>
      <c r="X810" s="847">
        <f t="shared" si="149"/>
        <v>490</v>
      </c>
      <c r="Y810" s="848">
        <v>0.55000000000000004</v>
      </c>
      <c r="Z810" s="849">
        <v>22.05</v>
      </c>
      <c r="AA810" s="849"/>
      <c r="AB810" s="849">
        <f t="shared" si="150"/>
        <v>220.5</v>
      </c>
      <c r="AC810" s="850">
        <f t="shared" si="151"/>
        <v>220.5</v>
      </c>
      <c r="AD810" s="851"/>
      <c r="AE810" s="852">
        <v>26253.919999999998</v>
      </c>
      <c r="AF810" s="853">
        <v>4.4999999999999998E-2</v>
      </c>
      <c r="AG810" s="854">
        <f t="shared" si="152"/>
        <v>267502.26396774035</v>
      </c>
      <c r="AH810" s="853"/>
      <c r="AI810" s="855">
        <f t="shared" si="153"/>
        <v>0</v>
      </c>
      <c r="AJ810" s="845" t="s">
        <v>2695</v>
      </c>
      <c r="AK810" s="857">
        <v>45332</v>
      </c>
      <c r="AL810" s="840" t="s">
        <v>2696</v>
      </c>
      <c r="AM810" s="840"/>
      <c r="AN810" s="858"/>
      <c r="AO810" s="844" t="s">
        <v>2697</v>
      </c>
      <c r="AP810" s="859" t="s">
        <v>2698</v>
      </c>
      <c r="AQ810" s="859" t="s">
        <v>2698</v>
      </c>
      <c r="AR810" s="859" t="s">
        <v>2699</v>
      </c>
      <c r="AS810" s="840" t="s">
        <v>2700</v>
      </c>
      <c r="AT810" s="840" t="s">
        <v>1743</v>
      </c>
      <c r="AU810" s="860" t="s">
        <v>1285</v>
      </c>
      <c r="AV810" s="839" t="s">
        <v>2701</v>
      </c>
      <c r="AW810" s="861">
        <v>45646</v>
      </c>
      <c r="AX810" s="862" t="s">
        <v>2702</v>
      </c>
      <c r="AY810" s="843" t="s">
        <v>2842</v>
      </c>
      <c r="AZ810" s="842">
        <v>39249090</v>
      </c>
      <c r="BA810" s="842" t="s">
        <v>120</v>
      </c>
      <c r="BB810" s="863" t="s">
        <v>121</v>
      </c>
      <c r="BC810" s="864">
        <v>45650</v>
      </c>
      <c r="BD810" s="860" t="s">
        <v>2705</v>
      </c>
      <c r="BE810" s="865" cm="1">
        <f t="array" ref="BE810">IF(BD810="","",AC810/SUMPRODUCT(--(BD810=$BD$4:$BD$12824),$AC$4:$AC$12824))</f>
        <v>3.179664910905212E-3</v>
      </c>
      <c r="BF810" s="458"/>
      <c r="BG810" s="458"/>
      <c r="BH810" s="458"/>
      <c r="BI810" s="458"/>
      <c r="BJ810" s="458"/>
      <c r="BK810" s="458"/>
      <c r="BL810" s="458"/>
      <c r="BM810" s="458"/>
      <c r="BN810" s="458"/>
      <c r="BO810" s="866">
        <f>VLOOKUP(BD810,$BD$4:$BN$12824,3,0)*BE810</f>
        <v>149947.7507511868</v>
      </c>
      <c r="BP810" s="866"/>
      <c r="BQ810" s="866"/>
      <c r="BR810" s="866">
        <f>VLOOKUP(BD810,$BD$4:$BN$12824,6,0)*BE810</f>
        <v>43000.333852798758</v>
      </c>
      <c r="BS810" s="866">
        <f>VLOOKUP(BD810,$BD$4:$BN$12824,7,0)*BE810</f>
        <v>5557.644087488804</v>
      </c>
      <c r="BT810" s="866"/>
      <c r="BU810" s="866">
        <f>VLOOKUP(BD810,$BD$4:$BN$12824,9,0)*BE810</f>
        <v>0</v>
      </c>
      <c r="BV810" s="867"/>
      <c r="BW810" s="867">
        <f>VLOOKUP(BD810,$BD$4:$BN$12824,11,0)*BE810</f>
        <v>6181.2685867997325</v>
      </c>
      <c r="BX810" s="1146">
        <f t="shared" si="156"/>
        <v>204686.9972782741</v>
      </c>
      <c r="BY810" s="867">
        <f t="shared" si="157"/>
        <v>626117.86212460138</v>
      </c>
      <c r="BZ810" s="867">
        <f t="shared" si="154"/>
        <v>6261178.6212460138</v>
      </c>
      <c r="CA810" s="867">
        <f>_xlfn.MAXIFS($BY$4:$BY$12824,$S$4:$S$12824,$S810)</f>
        <v>626117.86212460138</v>
      </c>
      <c r="CB810" s="1032"/>
      <c r="CF810" s="946">
        <f t="shared" si="155"/>
        <v>5788989.3599999994</v>
      </c>
    </row>
    <row r="811" spans="1:84">
      <c r="A811" s="1032"/>
      <c r="B811" s="839" t="s">
        <v>98</v>
      </c>
      <c r="C811" s="839" t="s">
        <v>2689</v>
      </c>
      <c r="D811" s="839" t="s">
        <v>2690</v>
      </c>
      <c r="E811" s="839" t="s">
        <v>2691</v>
      </c>
      <c r="F811" s="841">
        <v>45451</v>
      </c>
      <c r="G811" s="840" t="s">
        <v>2689</v>
      </c>
      <c r="H811" s="842" t="s">
        <v>134</v>
      </c>
      <c r="I811" s="842"/>
      <c r="J811" s="841"/>
      <c r="K811" s="841"/>
      <c r="L811" s="843" t="s">
        <v>106</v>
      </c>
      <c r="M811" s="844" t="s">
        <v>107</v>
      </c>
      <c r="N811" s="841" t="s">
        <v>2692</v>
      </c>
      <c r="O811" s="841" t="s">
        <v>150</v>
      </c>
      <c r="P811" s="841" t="s">
        <v>151</v>
      </c>
      <c r="Q811" s="843"/>
      <c r="R811" s="845" t="s">
        <v>2843</v>
      </c>
      <c r="S811" s="1127" t="s">
        <v>2844</v>
      </c>
      <c r="T811" s="843" t="s">
        <v>2845</v>
      </c>
      <c r="U811" s="842">
        <v>10</v>
      </c>
      <c r="V811" s="842" t="s">
        <v>3</v>
      </c>
      <c r="W811" s="846">
        <v>49</v>
      </c>
      <c r="X811" s="847">
        <f t="shared" si="149"/>
        <v>490</v>
      </c>
      <c r="Y811" s="848">
        <v>0.55000000000000004</v>
      </c>
      <c r="Z811" s="849">
        <v>22.05</v>
      </c>
      <c r="AA811" s="849"/>
      <c r="AB811" s="849">
        <f t="shared" si="150"/>
        <v>220.5</v>
      </c>
      <c r="AC811" s="850">
        <f t="shared" si="151"/>
        <v>220.5</v>
      </c>
      <c r="AD811" s="851"/>
      <c r="AE811" s="852">
        <v>26253.919999999998</v>
      </c>
      <c r="AF811" s="853">
        <v>4.4999999999999998E-2</v>
      </c>
      <c r="AG811" s="854">
        <f t="shared" si="152"/>
        <v>267502.26396774035</v>
      </c>
      <c r="AH811" s="853"/>
      <c r="AI811" s="855">
        <f t="shared" si="153"/>
        <v>0</v>
      </c>
      <c r="AJ811" s="845" t="s">
        <v>2695</v>
      </c>
      <c r="AK811" s="857">
        <v>45332</v>
      </c>
      <c r="AL811" s="840" t="s">
        <v>2696</v>
      </c>
      <c r="AM811" s="840"/>
      <c r="AN811" s="858"/>
      <c r="AO811" s="844" t="s">
        <v>2697</v>
      </c>
      <c r="AP811" s="859" t="s">
        <v>2698</v>
      </c>
      <c r="AQ811" s="859" t="s">
        <v>2698</v>
      </c>
      <c r="AR811" s="859" t="s">
        <v>2699</v>
      </c>
      <c r="AS811" s="840" t="s">
        <v>2700</v>
      </c>
      <c r="AT811" s="840" t="s">
        <v>1743</v>
      </c>
      <c r="AU811" s="860" t="s">
        <v>1285</v>
      </c>
      <c r="AV811" s="839" t="s">
        <v>2701</v>
      </c>
      <c r="AW811" s="861">
        <v>45646</v>
      </c>
      <c r="AX811" s="862" t="s">
        <v>2702</v>
      </c>
      <c r="AY811" s="843" t="s">
        <v>2846</v>
      </c>
      <c r="AZ811" s="842">
        <v>39249090</v>
      </c>
      <c r="BA811" s="842" t="s">
        <v>120</v>
      </c>
      <c r="BB811" s="863" t="s">
        <v>121</v>
      </c>
      <c r="BC811" s="864">
        <v>45650</v>
      </c>
      <c r="BD811" s="860" t="s">
        <v>2705</v>
      </c>
      <c r="BE811" s="865" cm="1">
        <f t="array" ref="BE811">IF(BD811="","",AC811/SUMPRODUCT(--(BD811=$BD$4:$BD$12824),$AC$4:$AC$12824))</f>
        <v>3.179664910905212E-3</v>
      </c>
      <c r="BF811" s="458"/>
      <c r="BG811" s="458"/>
      <c r="BH811" s="458"/>
      <c r="BI811" s="458"/>
      <c r="BJ811" s="458"/>
      <c r="BK811" s="458"/>
      <c r="BL811" s="458"/>
      <c r="BM811" s="458"/>
      <c r="BN811" s="458"/>
      <c r="BO811" s="866">
        <f>VLOOKUP(BD811,$BD$4:$BN$12824,3,0)*BE811</f>
        <v>149947.7507511868</v>
      </c>
      <c r="BP811" s="866"/>
      <c r="BQ811" s="866"/>
      <c r="BR811" s="866">
        <f>VLOOKUP(BD811,$BD$4:$BN$12824,6,0)*BE811</f>
        <v>43000.333852798758</v>
      </c>
      <c r="BS811" s="866">
        <f>VLOOKUP(BD811,$BD$4:$BN$12824,7,0)*BE811</f>
        <v>5557.644087488804</v>
      </c>
      <c r="BT811" s="866"/>
      <c r="BU811" s="866">
        <f>VLOOKUP(BD811,$BD$4:$BN$12824,9,0)*BE811</f>
        <v>0</v>
      </c>
      <c r="BV811" s="867"/>
      <c r="BW811" s="867">
        <f>VLOOKUP(BD811,$BD$4:$BN$12824,11,0)*BE811</f>
        <v>6181.2685867997325</v>
      </c>
      <c r="BX811" s="1146">
        <f t="shared" si="156"/>
        <v>204686.9972782741</v>
      </c>
      <c r="BY811" s="867">
        <f t="shared" si="157"/>
        <v>626117.86212460138</v>
      </c>
      <c r="BZ811" s="867">
        <f t="shared" si="154"/>
        <v>6261178.6212460138</v>
      </c>
      <c r="CA811" s="867">
        <f>_xlfn.MAXIFS($BY$4:$BY$12824,$S$4:$S$12824,$S811)</f>
        <v>626117.86212460138</v>
      </c>
      <c r="CB811" s="1032"/>
      <c r="CF811" s="946">
        <f t="shared" si="155"/>
        <v>5788989.3599999994</v>
      </c>
    </row>
    <row r="812" spans="1:84">
      <c r="A812" s="1032"/>
      <c r="B812" s="839" t="s">
        <v>98</v>
      </c>
      <c r="C812" s="839" t="s">
        <v>2689</v>
      </c>
      <c r="D812" s="839" t="s">
        <v>2690</v>
      </c>
      <c r="E812" s="839" t="s">
        <v>2691</v>
      </c>
      <c r="F812" s="841">
        <v>45451</v>
      </c>
      <c r="G812" s="840" t="s">
        <v>2689</v>
      </c>
      <c r="H812" s="842" t="s">
        <v>134</v>
      </c>
      <c r="I812" s="842"/>
      <c r="J812" s="841"/>
      <c r="K812" s="841"/>
      <c r="L812" s="843" t="s">
        <v>106</v>
      </c>
      <c r="M812" s="844" t="s">
        <v>107</v>
      </c>
      <c r="N812" s="841" t="s">
        <v>2692</v>
      </c>
      <c r="O812" s="841" t="s">
        <v>150</v>
      </c>
      <c r="P812" s="841" t="s">
        <v>151</v>
      </c>
      <c r="Q812" s="843"/>
      <c r="R812" s="845" t="s">
        <v>2847</v>
      </c>
      <c r="S812" s="1127" t="s">
        <v>2848</v>
      </c>
      <c r="T812" s="843" t="s">
        <v>2849</v>
      </c>
      <c r="U812" s="842">
        <v>10</v>
      </c>
      <c r="V812" s="842" t="s">
        <v>3</v>
      </c>
      <c r="W812" s="846">
        <v>49</v>
      </c>
      <c r="X812" s="847">
        <f t="shared" si="149"/>
        <v>490</v>
      </c>
      <c r="Y812" s="848">
        <v>0.55000000000000004</v>
      </c>
      <c r="Z812" s="849">
        <v>22.05</v>
      </c>
      <c r="AA812" s="849"/>
      <c r="AB812" s="849">
        <f t="shared" si="150"/>
        <v>220.5</v>
      </c>
      <c r="AC812" s="850">
        <f t="shared" si="151"/>
        <v>220.5</v>
      </c>
      <c r="AD812" s="851"/>
      <c r="AE812" s="852">
        <v>26253.919999999998</v>
      </c>
      <c r="AF812" s="853">
        <v>4.4999999999999998E-2</v>
      </c>
      <c r="AG812" s="854">
        <f t="shared" si="152"/>
        <v>267502.26396774035</v>
      </c>
      <c r="AH812" s="853"/>
      <c r="AI812" s="855">
        <f t="shared" si="153"/>
        <v>0</v>
      </c>
      <c r="AJ812" s="845" t="s">
        <v>2695</v>
      </c>
      <c r="AK812" s="857">
        <v>45332</v>
      </c>
      <c r="AL812" s="840" t="s">
        <v>2696</v>
      </c>
      <c r="AM812" s="840"/>
      <c r="AN812" s="858"/>
      <c r="AO812" s="844" t="s">
        <v>2697</v>
      </c>
      <c r="AP812" s="859" t="s">
        <v>2698</v>
      </c>
      <c r="AQ812" s="859" t="s">
        <v>2698</v>
      </c>
      <c r="AR812" s="859" t="s">
        <v>2699</v>
      </c>
      <c r="AS812" s="840" t="s">
        <v>2700</v>
      </c>
      <c r="AT812" s="840" t="s">
        <v>1743</v>
      </c>
      <c r="AU812" s="860" t="s">
        <v>1285</v>
      </c>
      <c r="AV812" s="839" t="s">
        <v>2701</v>
      </c>
      <c r="AW812" s="861">
        <v>45646</v>
      </c>
      <c r="AX812" s="862" t="s">
        <v>2702</v>
      </c>
      <c r="AY812" s="843" t="s">
        <v>2850</v>
      </c>
      <c r="AZ812" s="842">
        <v>39249090</v>
      </c>
      <c r="BA812" s="842" t="s">
        <v>120</v>
      </c>
      <c r="BB812" s="863" t="s">
        <v>121</v>
      </c>
      <c r="BC812" s="864">
        <v>45650</v>
      </c>
      <c r="BD812" s="860" t="s">
        <v>2705</v>
      </c>
      <c r="BE812" s="865" cm="1">
        <f t="array" ref="BE812">IF(BD812="","",AC812/SUMPRODUCT(--(BD812=$BD$4:$BD$12824),$AC$4:$AC$12824))</f>
        <v>3.179664910905212E-3</v>
      </c>
      <c r="BF812" s="458"/>
      <c r="BG812" s="458"/>
      <c r="BH812" s="458"/>
      <c r="BI812" s="458"/>
      <c r="BJ812" s="458"/>
      <c r="BK812" s="458"/>
      <c r="BL812" s="458"/>
      <c r="BM812" s="458"/>
      <c r="BN812" s="458"/>
      <c r="BO812" s="866">
        <f>VLOOKUP(BD812,$BD$4:$BN$12824,3,0)*BE812</f>
        <v>149947.7507511868</v>
      </c>
      <c r="BP812" s="866"/>
      <c r="BQ812" s="866"/>
      <c r="BR812" s="866">
        <f>VLOOKUP(BD812,$BD$4:$BN$12824,6,0)*BE812</f>
        <v>43000.333852798758</v>
      </c>
      <c r="BS812" s="866">
        <f>VLOOKUP(BD812,$BD$4:$BN$12824,7,0)*BE812</f>
        <v>5557.644087488804</v>
      </c>
      <c r="BT812" s="866"/>
      <c r="BU812" s="866">
        <f>VLOOKUP(BD812,$BD$4:$BN$12824,9,0)*BE812</f>
        <v>0</v>
      </c>
      <c r="BV812" s="867"/>
      <c r="BW812" s="867">
        <f>VLOOKUP(BD812,$BD$4:$BN$12824,11,0)*BE812</f>
        <v>6181.2685867997325</v>
      </c>
      <c r="BX812" s="1146">
        <f t="shared" si="156"/>
        <v>204686.9972782741</v>
      </c>
      <c r="BY812" s="867">
        <f t="shared" si="157"/>
        <v>626117.86212460138</v>
      </c>
      <c r="BZ812" s="867">
        <f t="shared" si="154"/>
        <v>6261178.6212460138</v>
      </c>
      <c r="CA812" s="867">
        <f>_xlfn.MAXIFS($BY$4:$BY$12824,$S$4:$S$12824,$S812)</f>
        <v>626117.86212460138</v>
      </c>
      <c r="CB812" s="1032"/>
      <c r="CF812" s="946">
        <f t="shared" si="155"/>
        <v>5788989.3599999994</v>
      </c>
    </row>
    <row r="813" spans="1:84">
      <c r="A813" s="1032"/>
      <c r="B813" s="839" t="s">
        <v>98</v>
      </c>
      <c r="C813" s="839" t="s">
        <v>2689</v>
      </c>
      <c r="D813" s="839" t="s">
        <v>2690</v>
      </c>
      <c r="E813" s="839" t="s">
        <v>2691</v>
      </c>
      <c r="F813" s="841">
        <v>45451</v>
      </c>
      <c r="G813" s="840" t="s">
        <v>2689</v>
      </c>
      <c r="H813" s="842" t="s">
        <v>134</v>
      </c>
      <c r="I813" s="842"/>
      <c r="J813" s="841"/>
      <c r="K813" s="841"/>
      <c r="L813" s="843" t="s">
        <v>106</v>
      </c>
      <c r="M813" s="844" t="s">
        <v>107</v>
      </c>
      <c r="N813" s="841" t="s">
        <v>2692</v>
      </c>
      <c r="O813" s="841" t="s">
        <v>150</v>
      </c>
      <c r="P813" s="841" t="s">
        <v>151</v>
      </c>
      <c r="Q813" s="843"/>
      <c r="R813" s="845" t="s">
        <v>2851</v>
      </c>
      <c r="S813" s="1127" t="s">
        <v>2852</v>
      </c>
      <c r="T813" s="843" t="s">
        <v>2853</v>
      </c>
      <c r="U813" s="842">
        <v>10</v>
      </c>
      <c r="V813" s="842" t="s">
        <v>3</v>
      </c>
      <c r="W813" s="846">
        <v>49</v>
      </c>
      <c r="X813" s="847">
        <f t="shared" si="149"/>
        <v>490</v>
      </c>
      <c r="Y813" s="848">
        <v>0.55000000000000004</v>
      </c>
      <c r="Z813" s="849">
        <v>22.05</v>
      </c>
      <c r="AA813" s="849"/>
      <c r="AB813" s="849">
        <f t="shared" si="150"/>
        <v>220.5</v>
      </c>
      <c r="AC813" s="850">
        <f t="shared" si="151"/>
        <v>220.5</v>
      </c>
      <c r="AD813" s="851"/>
      <c r="AE813" s="852">
        <v>26253.919999999998</v>
      </c>
      <c r="AF813" s="853">
        <v>4.4999999999999998E-2</v>
      </c>
      <c r="AG813" s="854">
        <f t="shared" si="152"/>
        <v>267502.26396774035</v>
      </c>
      <c r="AH813" s="853"/>
      <c r="AI813" s="855">
        <f t="shared" si="153"/>
        <v>0</v>
      </c>
      <c r="AJ813" s="845" t="s">
        <v>2695</v>
      </c>
      <c r="AK813" s="857">
        <v>45332</v>
      </c>
      <c r="AL813" s="840" t="s">
        <v>2696</v>
      </c>
      <c r="AM813" s="840"/>
      <c r="AN813" s="858"/>
      <c r="AO813" s="844" t="s">
        <v>2697</v>
      </c>
      <c r="AP813" s="859" t="s">
        <v>2698</v>
      </c>
      <c r="AQ813" s="859" t="s">
        <v>2698</v>
      </c>
      <c r="AR813" s="859" t="s">
        <v>2699</v>
      </c>
      <c r="AS813" s="840" t="s">
        <v>2700</v>
      </c>
      <c r="AT813" s="840" t="s">
        <v>1743</v>
      </c>
      <c r="AU813" s="860" t="s">
        <v>1285</v>
      </c>
      <c r="AV813" s="839" t="s">
        <v>2701</v>
      </c>
      <c r="AW813" s="861">
        <v>45646</v>
      </c>
      <c r="AX813" s="862" t="s">
        <v>2702</v>
      </c>
      <c r="AY813" s="843" t="s">
        <v>2854</v>
      </c>
      <c r="AZ813" s="842">
        <v>39249090</v>
      </c>
      <c r="BA813" s="842" t="s">
        <v>120</v>
      </c>
      <c r="BB813" s="863" t="s">
        <v>121</v>
      </c>
      <c r="BC813" s="864">
        <v>45650</v>
      </c>
      <c r="BD813" s="860" t="s">
        <v>2705</v>
      </c>
      <c r="BE813" s="865" cm="1">
        <f t="array" ref="BE813">IF(BD813="","",AC813/SUMPRODUCT(--(BD813=$BD$4:$BD$12824),$AC$4:$AC$12824))</f>
        <v>3.179664910905212E-3</v>
      </c>
      <c r="BF813" s="458"/>
      <c r="BG813" s="458"/>
      <c r="BH813" s="458"/>
      <c r="BI813" s="458"/>
      <c r="BJ813" s="458"/>
      <c r="BK813" s="458"/>
      <c r="BL813" s="458"/>
      <c r="BM813" s="458"/>
      <c r="BN813" s="458"/>
      <c r="BO813" s="866">
        <f>VLOOKUP(BD813,$BD$4:$BN$12824,3,0)*BE813</f>
        <v>149947.7507511868</v>
      </c>
      <c r="BP813" s="866"/>
      <c r="BQ813" s="866"/>
      <c r="BR813" s="866">
        <f>VLOOKUP(BD813,$BD$4:$BN$12824,6,0)*BE813</f>
        <v>43000.333852798758</v>
      </c>
      <c r="BS813" s="866">
        <f>VLOOKUP(BD813,$BD$4:$BN$12824,7,0)*BE813</f>
        <v>5557.644087488804</v>
      </c>
      <c r="BT813" s="866"/>
      <c r="BU813" s="866">
        <f>VLOOKUP(BD813,$BD$4:$BN$12824,9,0)*BE813</f>
        <v>0</v>
      </c>
      <c r="BV813" s="867"/>
      <c r="BW813" s="867">
        <f>VLOOKUP(BD813,$BD$4:$BN$12824,11,0)*BE813</f>
        <v>6181.2685867997325</v>
      </c>
      <c r="BX813" s="1146">
        <f t="shared" si="156"/>
        <v>204686.9972782741</v>
      </c>
      <c r="BY813" s="867">
        <f t="shared" si="157"/>
        <v>626117.86212460138</v>
      </c>
      <c r="BZ813" s="867">
        <f t="shared" si="154"/>
        <v>6261178.6212460138</v>
      </c>
      <c r="CA813" s="867">
        <f>_xlfn.MAXIFS($BY$4:$BY$12824,$S$4:$S$12824,$S813)</f>
        <v>626117.86212460138</v>
      </c>
      <c r="CB813" s="1032"/>
      <c r="CF813" s="946">
        <f t="shared" si="155"/>
        <v>5788989.3599999994</v>
      </c>
    </row>
    <row r="814" spans="1:84">
      <c r="A814" s="1032"/>
      <c r="B814" s="839" t="s">
        <v>98</v>
      </c>
      <c r="C814" s="839" t="s">
        <v>2689</v>
      </c>
      <c r="D814" s="839" t="s">
        <v>2690</v>
      </c>
      <c r="E814" s="839" t="s">
        <v>2691</v>
      </c>
      <c r="F814" s="841">
        <v>45451</v>
      </c>
      <c r="G814" s="840" t="s">
        <v>2689</v>
      </c>
      <c r="H814" s="842" t="s">
        <v>134</v>
      </c>
      <c r="I814" s="842"/>
      <c r="J814" s="841"/>
      <c r="K814" s="841"/>
      <c r="L814" s="843" t="s">
        <v>106</v>
      </c>
      <c r="M814" s="844" t="s">
        <v>107</v>
      </c>
      <c r="N814" s="841" t="s">
        <v>2692</v>
      </c>
      <c r="O814" s="841" t="s">
        <v>150</v>
      </c>
      <c r="P814" s="841" t="s">
        <v>151</v>
      </c>
      <c r="Q814" s="843"/>
      <c r="R814" s="845" t="s">
        <v>2855</v>
      </c>
      <c r="S814" s="1127" t="s">
        <v>2856</v>
      </c>
      <c r="T814" s="843" t="s">
        <v>2857</v>
      </c>
      <c r="U814" s="842">
        <v>10</v>
      </c>
      <c r="V814" s="842" t="s">
        <v>3</v>
      </c>
      <c r="W814" s="846">
        <v>95</v>
      </c>
      <c r="X814" s="847">
        <f t="shared" si="149"/>
        <v>950</v>
      </c>
      <c r="Y814" s="848">
        <v>0.55000000000000004</v>
      </c>
      <c r="Z814" s="849">
        <v>42.75</v>
      </c>
      <c r="AA814" s="849"/>
      <c r="AB814" s="849">
        <f t="shared" si="150"/>
        <v>427.5</v>
      </c>
      <c r="AC814" s="850">
        <f t="shared" si="151"/>
        <v>427.5</v>
      </c>
      <c r="AD814" s="851"/>
      <c r="AE814" s="852">
        <v>26253.919999999998</v>
      </c>
      <c r="AF814" s="853">
        <v>4.4999999999999998E-2</v>
      </c>
      <c r="AG814" s="854">
        <f t="shared" si="152"/>
        <v>518626.83830480278</v>
      </c>
      <c r="AH814" s="853"/>
      <c r="AI814" s="855">
        <f t="shared" si="153"/>
        <v>0</v>
      </c>
      <c r="AJ814" s="845" t="s">
        <v>2695</v>
      </c>
      <c r="AK814" s="857">
        <v>45332</v>
      </c>
      <c r="AL814" s="840" t="s">
        <v>2696</v>
      </c>
      <c r="AM814" s="840"/>
      <c r="AN814" s="858"/>
      <c r="AO814" s="844" t="s">
        <v>2697</v>
      </c>
      <c r="AP814" s="859" t="s">
        <v>2698</v>
      </c>
      <c r="AQ814" s="859" t="s">
        <v>2698</v>
      </c>
      <c r="AR814" s="859" t="s">
        <v>2699</v>
      </c>
      <c r="AS814" s="840" t="s">
        <v>2700</v>
      </c>
      <c r="AT814" s="840" t="s">
        <v>1743</v>
      </c>
      <c r="AU814" s="860" t="s">
        <v>1285</v>
      </c>
      <c r="AV814" s="839" t="s">
        <v>2701</v>
      </c>
      <c r="AW814" s="861">
        <v>45646</v>
      </c>
      <c r="AX814" s="862" t="s">
        <v>2702</v>
      </c>
      <c r="AY814" s="843" t="s">
        <v>2858</v>
      </c>
      <c r="AZ814" s="842">
        <v>39249090</v>
      </c>
      <c r="BA814" s="842" t="s">
        <v>120</v>
      </c>
      <c r="BB814" s="863" t="s">
        <v>121</v>
      </c>
      <c r="BC814" s="864">
        <v>45650</v>
      </c>
      <c r="BD814" s="860" t="s">
        <v>2705</v>
      </c>
      <c r="BE814" s="865" cm="1">
        <f t="array" ref="BE814">IF(BD814="","",AC814/SUMPRODUCT(--(BD814=$BD$4:$BD$12824),$AC$4:$AC$12824))</f>
        <v>6.1646564599182685E-3</v>
      </c>
      <c r="BF814" s="458"/>
      <c r="BG814" s="458"/>
      <c r="BH814" s="458"/>
      <c r="BI814" s="458"/>
      <c r="BJ814" s="458"/>
      <c r="BK814" s="458"/>
      <c r="BL814" s="458"/>
      <c r="BM814" s="458"/>
      <c r="BN814" s="458"/>
      <c r="BO814" s="866">
        <f>VLOOKUP(BD814,$BD$4:$BN$12824,3,0)*BE814</f>
        <v>290715.02696658665</v>
      </c>
      <c r="BP814" s="866"/>
      <c r="BQ814" s="866"/>
      <c r="BR814" s="866">
        <f>VLOOKUP(BD814,$BD$4:$BN$12824,6,0)*BE814</f>
        <v>83367.994204405768</v>
      </c>
      <c r="BS814" s="866">
        <f>VLOOKUP(BD814,$BD$4:$BN$12824,7,0)*BE814</f>
        <v>10775.024251253804</v>
      </c>
      <c r="BT814" s="866"/>
      <c r="BU814" s="866">
        <f>VLOOKUP(BD814,$BD$4:$BN$12824,9,0)*BE814</f>
        <v>0</v>
      </c>
      <c r="BV814" s="867"/>
      <c r="BW814" s="867">
        <f>VLOOKUP(BD814,$BD$4:$BN$12824,11,0)*BE814</f>
        <v>11984.092158081114</v>
      </c>
      <c r="BX814" s="1146">
        <f t="shared" si="156"/>
        <v>396842.13758032734</v>
      </c>
      <c r="BY814" s="867">
        <f t="shared" si="157"/>
        <v>1213901.9775885129</v>
      </c>
      <c r="BZ814" s="867">
        <f t="shared" si="154"/>
        <v>12139019.775885129</v>
      </c>
      <c r="CA814" s="867">
        <f>_xlfn.MAXIFS($BY$4:$BY$12824,$S$4:$S$12824,$S814)</f>
        <v>1213901.9775885129</v>
      </c>
      <c r="CB814" s="1032"/>
      <c r="CF814" s="946">
        <f t="shared" si="155"/>
        <v>11223550.799999999</v>
      </c>
    </row>
    <row r="815" spans="1:84">
      <c r="A815" s="1032"/>
      <c r="B815" s="839" t="s">
        <v>98</v>
      </c>
      <c r="C815" s="839" t="s">
        <v>2689</v>
      </c>
      <c r="D815" s="839" t="s">
        <v>2690</v>
      </c>
      <c r="E815" s="839" t="s">
        <v>2691</v>
      </c>
      <c r="F815" s="841">
        <v>45451</v>
      </c>
      <c r="G815" s="840" t="s">
        <v>2689</v>
      </c>
      <c r="H815" s="842" t="s">
        <v>134</v>
      </c>
      <c r="I815" s="842"/>
      <c r="J815" s="841"/>
      <c r="K815" s="841"/>
      <c r="L815" s="843" t="s">
        <v>106</v>
      </c>
      <c r="M815" s="844" t="s">
        <v>107</v>
      </c>
      <c r="N815" s="841" t="s">
        <v>2692</v>
      </c>
      <c r="O815" s="841" t="s">
        <v>150</v>
      </c>
      <c r="P815" s="841" t="s">
        <v>151</v>
      </c>
      <c r="Q815" s="843"/>
      <c r="R815" s="845" t="s">
        <v>2859</v>
      </c>
      <c r="S815" s="1127" t="s">
        <v>2860</v>
      </c>
      <c r="T815" s="843" t="s">
        <v>2861</v>
      </c>
      <c r="U815" s="842">
        <v>10</v>
      </c>
      <c r="V815" s="842" t="s">
        <v>3</v>
      </c>
      <c r="W815" s="846">
        <v>95</v>
      </c>
      <c r="X815" s="847">
        <f t="shared" si="149"/>
        <v>950</v>
      </c>
      <c r="Y815" s="848">
        <v>0.55000000000000004</v>
      </c>
      <c r="Z815" s="849">
        <v>42.75</v>
      </c>
      <c r="AA815" s="849"/>
      <c r="AB815" s="849">
        <f t="shared" si="150"/>
        <v>427.5</v>
      </c>
      <c r="AC815" s="850">
        <f t="shared" si="151"/>
        <v>427.5</v>
      </c>
      <c r="AD815" s="851"/>
      <c r="AE815" s="852">
        <v>26253.919999999998</v>
      </c>
      <c r="AF815" s="853">
        <v>4.4999999999999998E-2</v>
      </c>
      <c r="AG815" s="854">
        <f t="shared" si="152"/>
        <v>518626.83830480278</v>
      </c>
      <c r="AH815" s="853"/>
      <c r="AI815" s="855">
        <f t="shared" si="153"/>
        <v>0</v>
      </c>
      <c r="AJ815" s="845" t="s">
        <v>2695</v>
      </c>
      <c r="AK815" s="857">
        <v>45332</v>
      </c>
      <c r="AL815" s="840" t="s">
        <v>2696</v>
      </c>
      <c r="AM815" s="840"/>
      <c r="AN815" s="858"/>
      <c r="AO815" s="844" t="s">
        <v>2697</v>
      </c>
      <c r="AP815" s="859" t="s">
        <v>2698</v>
      </c>
      <c r="AQ815" s="859" t="s">
        <v>2698</v>
      </c>
      <c r="AR815" s="859" t="s">
        <v>2699</v>
      </c>
      <c r="AS815" s="840" t="s">
        <v>2700</v>
      </c>
      <c r="AT815" s="840" t="s">
        <v>1743</v>
      </c>
      <c r="AU815" s="860" t="s">
        <v>1285</v>
      </c>
      <c r="AV815" s="839" t="s">
        <v>2701</v>
      </c>
      <c r="AW815" s="861">
        <v>45646</v>
      </c>
      <c r="AX815" s="862" t="s">
        <v>2702</v>
      </c>
      <c r="AY815" s="843" t="s">
        <v>2862</v>
      </c>
      <c r="AZ815" s="842">
        <v>39249090</v>
      </c>
      <c r="BA815" s="842" t="s">
        <v>120</v>
      </c>
      <c r="BB815" s="863" t="s">
        <v>121</v>
      </c>
      <c r="BC815" s="864">
        <v>45650</v>
      </c>
      <c r="BD815" s="860" t="s">
        <v>2705</v>
      </c>
      <c r="BE815" s="865" cm="1">
        <f t="array" ref="BE815">IF(BD815="","",AC815/SUMPRODUCT(--(BD815=$BD$4:$BD$12824),$AC$4:$AC$12824))</f>
        <v>6.1646564599182685E-3</v>
      </c>
      <c r="BF815" s="458"/>
      <c r="BG815" s="458"/>
      <c r="BH815" s="458"/>
      <c r="BI815" s="458"/>
      <c r="BJ815" s="458"/>
      <c r="BK815" s="458"/>
      <c r="BL815" s="458"/>
      <c r="BM815" s="458"/>
      <c r="BN815" s="458"/>
      <c r="BO815" s="866">
        <f>VLOOKUP(BD815,$BD$4:$BN$12824,3,0)*BE815</f>
        <v>290715.02696658665</v>
      </c>
      <c r="BP815" s="866"/>
      <c r="BQ815" s="866"/>
      <c r="BR815" s="866">
        <f>VLOOKUP(BD815,$BD$4:$BN$12824,6,0)*BE815</f>
        <v>83367.994204405768</v>
      </c>
      <c r="BS815" s="866">
        <f>VLOOKUP(BD815,$BD$4:$BN$12824,7,0)*BE815</f>
        <v>10775.024251253804</v>
      </c>
      <c r="BT815" s="866"/>
      <c r="BU815" s="866">
        <f>VLOOKUP(BD815,$BD$4:$BN$12824,9,0)*BE815</f>
        <v>0</v>
      </c>
      <c r="BV815" s="867"/>
      <c r="BW815" s="867">
        <f>VLOOKUP(BD815,$BD$4:$BN$12824,11,0)*BE815</f>
        <v>11984.092158081114</v>
      </c>
      <c r="BX815" s="1146">
        <f t="shared" si="156"/>
        <v>396842.13758032734</v>
      </c>
      <c r="BY815" s="867">
        <f t="shared" si="157"/>
        <v>1213901.9775885129</v>
      </c>
      <c r="BZ815" s="867">
        <f t="shared" si="154"/>
        <v>12139019.775885129</v>
      </c>
      <c r="CA815" s="867">
        <f>_xlfn.MAXIFS($BY$4:$BY$12824,$S$4:$S$12824,$S815)</f>
        <v>1213901.9775885129</v>
      </c>
      <c r="CB815" s="1032"/>
      <c r="CF815" s="946">
        <f t="shared" si="155"/>
        <v>11223550.799999999</v>
      </c>
    </row>
    <row r="816" spans="1:84">
      <c r="A816" s="1032"/>
      <c r="B816" s="839" t="s">
        <v>98</v>
      </c>
      <c r="C816" s="839" t="s">
        <v>2689</v>
      </c>
      <c r="D816" s="839" t="s">
        <v>2690</v>
      </c>
      <c r="E816" s="839" t="s">
        <v>2691</v>
      </c>
      <c r="F816" s="841">
        <v>45451</v>
      </c>
      <c r="G816" s="840" t="s">
        <v>2689</v>
      </c>
      <c r="H816" s="842" t="s">
        <v>134</v>
      </c>
      <c r="I816" s="842"/>
      <c r="J816" s="841"/>
      <c r="K816" s="841"/>
      <c r="L816" s="843" t="s">
        <v>106</v>
      </c>
      <c r="M816" s="844" t="s">
        <v>107</v>
      </c>
      <c r="N816" s="841" t="s">
        <v>2692</v>
      </c>
      <c r="O816" s="841" t="s">
        <v>150</v>
      </c>
      <c r="P816" s="841" t="s">
        <v>151</v>
      </c>
      <c r="Q816" s="843"/>
      <c r="R816" s="845" t="s">
        <v>2863</v>
      </c>
      <c r="S816" s="1127" t="s">
        <v>2864</v>
      </c>
      <c r="T816" s="843" t="s">
        <v>2865</v>
      </c>
      <c r="U816" s="842">
        <v>5</v>
      </c>
      <c r="V816" s="842" t="s">
        <v>3</v>
      </c>
      <c r="W816" s="846">
        <v>29</v>
      </c>
      <c r="X816" s="847">
        <f t="shared" si="149"/>
        <v>145</v>
      </c>
      <c r="Y816" s="848">
        <v>0.55000000000000004</v>
      </c>
      <c r="Z816" s="849">
        <v>13.05</v>
      </c>
      <c r="AA816" s="849"/>
      <c r="AB816" s="849">
        <f t="shared" si="150"/>
        <v>65.25</v>
      </c>
      <c r="AC816" s="850">
        <f t="shared" si="151"/>
        <v>65.25</v>
      </c>
      <c r="AD816" s="851"/>
      <c r="AE816" s="852">
        <v>26253.919999999998</v>
      </c>
      <c r="AF816" s="853">
        <v>4.4999999999999998E-2</v>
      </c>
      <c r="AG816" s="854">
        <f t="shared" si="152"/>
        <v>79158.833214943574</v>
      </c>
      <c r="AH816" s="853"/>
      <c r="AI816" s="855">
        <f t="shared" si="153"/>
        <v>0</v>
      </c>
      <c r="AJ816" s="845" t="s">
        <v>2695</v>
      </c>
      <c r="AK816" s="857">
        <v>45332</v>
      </c>
      <c r="AL816" s="840" t="s">
        <v>2696</v>
      </c>
      <c r="AM816" s="840"/>
      <c r="AN816" s="858"/>
      <c r="AO816" s="844" t="s">
        <v>2697</v>
      </c>
      <c r="AP816" s="859" t="s">
        <v>2698</v>
      </c>
      <c r="AQ816" s="859" t="s">
        <v>2698</v>
      </c>
      <c r="AR816" s="859" t="s">
        <v>2699</v>
      </c>
      <c r="AS816" s="840" t="s">
        <v>2700</v>
      </c>
      <c r="AT816" s="840" t="s">
        <v>1743</v>
      </c>
      <c r="AU816" s="860" t="s">
        <v>1285</v>
      </c>
      <c r="AV816" s="839" t="s">
        <v>2701</v>
      </c>
      <c r="AW816" s="861">
        <v>45646</v>
      </c>
      <c r="AX816" s="862" t="s">
        <v>2702</v>
      </c>
      <c r="AY816" s="843" t="s">
        <v>2866</v>
      </c>
      <c r="AZ816" s="842">
        <v>39249090</v>
      </c>
      <c r="BA816" s="842" t="s">
        <v>120</v>
      </c>
      <c r="BB816" s="863" t="s">
        <v>121</v>
      </c>
      <c r="BC816" s="864">
        <v>45650</v>
      </c>
      <c r="BD816" s="860" t="s">
        <v>2705</v>
      </c>
      <c r="BE816" s="865" cm="1">
        <f t="array" ref="BE816">IF(BD816="","",AC816/SUMPRODUCT(--(BD816=$BD$4:$BD$12824),$AC$4:$AC$12824))</f>
        <v>9.4092124914541984E-4</v>
      </c>
      <c r="BF816" s="458"/>
      <c r="BG816" s="458"/>
      <c r="BH816" s="458"/>
      <c r="BI816" s="458"/>
      <c r="BJ816" s="458"/>
      <c r="BK816" s="458"/>
      <c r="BL816" s="458"/>
      <c r="BM816" s="458"/>
      <c r="BN816" s="458"/>
      <c r="BO816" s="866">
        <f>VLOOKUP(BD816,$BD$4:$BN$12824,3,0)*BE816</f>
        <v>44372.293589636909</v>
      </c>
      <c r="BP816" s="866"/>
      <c r="BQ816" s="866"/>
      <c r="BR816" s="866">
        <f>VLOOKUP(BD816,$BD$4:$BN$12824,6,0)*BE816</f>
        <v>12724.588589093511</v>
      </c>
      <c r="BS816" s="866">
        <f>VLOOKUP(BD816,$BD$4:$BN$12824,7,0)*BE816</f>
        <v>1644.6089646650541</v>
      </c>
      <c r="BT816" s="866"/>
      <c r="BU816" s="866">
        <f>VLOOKUP(BD816,$BD$4:$BN$12824,9,0)*BE816</f>
        <v>0</v>
      </c>
      <c r="BV816" s="867"/>
      <c r="BW816" s="867">
        <f>VLOOKUP(BD816,$BD$4:$BN$12824,11,0)*BE816</f>
        <v>1829.1509083386961</v>
      </c>
      <c r="BX816" s="1146">
        <f t="shared" si="156"/>
        <v>60570.642051734168</v>
      </c>
      <c r="BY816" s="867">
        <f t="shared" si="157"/>
        <v>370559.55105333554</v>
      </c>
      <c r="BZ816" s="867">
        <f t="shared" si="154"/>
        <v>1852797.7552666776</v>
      </c>
      <c r="CA816" s="867">
        <f>_xlfn.MAXIFS($BY$4:$BY$12824,$S$4:$S$12824,$S816)</f>
        <v>370559.55105333554</v>
      </c>
      <c r="CB816" s="1032"/>
      <c r="CF816" s="946">
        <f t="shared" si="155"/>
        <v>1713068.2799999998</v>
      </c>
    </row>
    <row r="817" spans="1:84">
      <c r="A817" s="1032"/>
      <c r="B817" s="839" t="s">
        <v>98</v>
      </c>
      <c r="C817" s="839" t="s">
        <v>2689</v>
      </c>
      <c r="D817" s="839" t="s">
        <v>2690</v>
      </c>
      <c r="E817" s="839" t="s">
        <v>2691</v>
      </c>
      <c r="F817" s="841">
        <v>45451</v>
      </c>
      <c r="G817" s="840" t="s">
        <v>2689</v>
      </c>
      <c r="H817" s="842" t="s">
        <v>134</v>
      </c>
      <c r="I817" s="842"/>
      <c r="J817" s="841"/>
      <c r="K817" s="841"/>
      <c r="L817" s="843" t="s">
        <v>106</v>
      </c>
      <c r="M817" s="844" t="s">
        <v>107</v>
      </c>
      <c r="N817" s="841" t="s">
        <v>2692</v>
      </c>
      <c r="O817" s="841" t="s">
        <v>150</v>
      </c>
      <c r="P817" s="841" t="s">
        <v>151</v>
      </c>
      <c r="Q817" s="843"/>
      <c r="R817" s="845" t="s">
        <v>2867</v>
      </c>
      <c r="S817" s="1127" t="s">
        <v>2868</v>
      </c>
      <c r="T817" s="843" t="s">
        <v>2869</v>
      </c>
      <c r="U817" s="842">
        <v>5</v>
      </c>
      <c r="V817" s="842" t="s">
        <v>3</v>
      </c>
      <c r="W817" s="846">
        <v>29</v>
      </c>
      <c r="X817" s="847">
        <f t="shared" si="149"/>
        <v>145</v>
      </c>
      <c r="Y817" s="848">
        <v>0.55000000000000004</v>
      </c>
      <c r="Z817" s="849">
        <v>13.05</v>
      </c>
      <c r="AA817" s="849"/>
      <c r="AB817" s="849">
        <f t="shared" si="150"/>
        <v>65.25</v>
      </c>
      <c r="AC817" s="850">
        <f t="shared" si="151"/>
        <v>65.25</v>
      </c>
      <c r="AD817" s="851"/>
      <c r="AE817" s="852">
        <v>26253.919999999998</v>
      </c>
      <c r="AF817" s="853">
        <v>4.4999999999999998E-2</v>
      </c>
      <c r="AG817" s="854">
        <f t="shared" si="152"/>
        <v>79158.833214943574</v>
      </c>
      <c r="AH817" s="853"/>
      <c r="AI817" s="855">
        <f t="shared" si="153"/>
        <v>0</v>
      </c>
      <c r="AJ817" s="845" t="s">
        <v>2695</v>
      </c>
      <c r="AK817" s="857">
        <v>45332</v>
      </c>
      <c r="AL817" s="840" t="s">
        <v>2696</v>
      </c>
      <c r="AM817" s="840"/>
      <c r="AN817" s="858"/>
      <c r="AO817" s="844" t="s">
        <v>2697</v>
      </c>
      <c r="AP817" s="859" t="s">
        <v>2698</v>
      </c>
      <c r="AQ817" s="859" t="s">
        <v>2698</v>
      </c>
      <c r="AR817" s="859" t="s">
        <v>2699</v>
      </c>
      <c r="AS817" s="840" t="s">
        <v>2700</v>
      </c>
      <c r="AT817" s="840" t="s">
        <v>1743</v>
      </c>
      <c r="AU817" s="860" t="s">
        <v>1285</v>
      </c>
      <c r="AV817" s="839" t="s">
        <v>2701</v>
      </c>
      <c r="AW817" s="861">
        <v>45646</v>
      </c>
      <c r="AX817" s="862" t="s">
        <v>2702</v>
      </c>
      <c r="AY817" s="843" t="s">
        <v>2870</v>
      </c>
      <c r="AZ817" s="842">
        <v>39249090</v>
      </c>
      <c r="BA817" s="842" t="s">
        <v>120</v>
      </c>
      <c r="BB817" s="863" t="s">
        <v>121</v>
      </c>
      <c r="BC817" s="864">
        <v>45650</v>
      </c>
      <c r="BD817" s="860" t="s">
        <v>2705</v>
      </c>
      <c r="BE817" s="865" cm="1">
        <f t="array" ref="BE817">IF(BD817="","",AC817/SUMPRODUCT(--(BD817=$BD$4:$BD$12824),$AC$4:$AC$12824))</f>
        <v>9.4092124914541984E-4</v>
      </c>
      <c r="BF817" s="458"/>
      <c r="BG817" s="458"/>
      <c r="BH817" s="458"/>
      <c r="BI817" s="458"/>
      <c r="BJ817" s="458"/>
      <c r="BK817" s="458"/>
      <c r="BL817" s="458"/>
      <c r="BM817" s="458"/>
      <c r="BN817" s="458"/>
      <c r="BO817" s="866">
        <f>VLOOKUP(BD817,$BD$4:$BN$12824,3,0)*BE817</f>
        <v>44372.293589636909</v>
      </c>
      <c r="BP817" s="866"/>
      <c r="BQ817" s="866"/>
      <c r="BR817" s="866">
        <f>VLOOKUP(BD817,$BD$4:$BN$12824,6,0)*BE817</f>
        <v>12724.588589093511</v>
      </c>
      <c r="BS817" s="866">
        <f>VLOOKUP(BD817,$BD$4:$BN$12824,7,0)*BE817</f>
        <v>1644.6089646650541</v>
      </c>
      <c r="BT817" s="866"/>
      <c r="BU817" s="866">
        <f>VLOOKUP(BD817,$BD$4:$BN$12824,9,0)*BE817</f>
        <v>0</v>
      </c>
      <c r="BV817" s="867"/>
      <c r="BW817" s="867">
        <f>VLOOKUP(BD817,$BD$4:$BN$12824,11,0)*BE817</f>
        <v>1829.1509083386961</v>
      </c>
      <c r="BX817" s="1146">
        <f t="shared" si="156"/>
        <v>60570.642051734168</v>
      </c>
      <c r="BY817" s="867">
        <f t="shared" si="157"/>
        <v>370559.55105333554</v>
      </c>
      <c r="BZ817" s="867">
        <f t="shared" si="154"/>
        <v>1852797.7552666776</v>
      </c>
      <c r="CA817" s="867">
        <f>_xlfn.MAXIFS($BY$4:$BY$12824,$S$4:$S$12824,$S817)</f>
        <v>370559.55105333554</v>
      </c>
      <c r="CB817" s="1032"/>
      <c r="CF817" s="946">
        <f t="shared" si="155"/>
        <v>1713068.2799999998</v>
      </c>
    </row>
    <row r="818" spans="1:84">
      <c r="A818" s="1032"/>
      <c r="B818" s="839" t="s">
        <v>98</v>
      </c>
      <c r="C818" s="839" t="s">
        <v>2689</v>
      </c>
      <c r="D818" s="839" t="s">
        <v>2690</v>
      </c>
      <c r="E818" s="839" t="s">
        <v>2691</v>
      </c>
      <c r="F818" s="841">
        <v>45451</v>
      </c>
      <c r="G818" s="840" t="s">
        <v>2689</v>
      </c>
      <c r="H818" s="842" t="s">
        <v>134</v>
      </c>
      <c r="I818" s="842"/>
      <c r="J818" s="841"/>
      <c r="K818" s="841"/>
      <c r="L818" s="843" t="s">
        <v>106</v>
      </c>
      <c r="M818" s="844" t="s">
        <v>107</v>
      </c>
      <c r="N818" s="841" t="s">
        <v>2692</v>
      </c>
      <c r="O818" s="841" t="s">
        <v>150</v>
      </c>
      <c r="P818" s="841" t="s">
        <v>151</v>
      </c>
      <c r="Q818" s="843"/>
      <c r="R818" s="845" t="s">
        <v>2871</v>
      </c>
      <c r="S818" s="1127" t="s">
        <v>2872</v>
      </c>
      <c r="T818" s="843" t="s">
        <v>2873</v>
      </c>
      <c r="U818" s="842">
        <v>5</v>
      </c>
      <c r="V818" s="842" t="s">
        <v>3</v>
      </c>
      <c r="W818" s="846">
        <v>29</v>
      </c>
      <c r="X818" s="847">
        <f t="shared" si="149"/>
        <v>145</v>
      </c>
      <c r="Y818" s="848">
        <v>0.55000000000000004</v>
      </c>
      <c r="Z818" s="849">
        <v>13.05</v>
      </c>
      <c r="AA818" s="849"/>
      <c r="AB818" s="849">
        <f t="shared" si="150"/>
        <v>65.25</v>
      </c>
      <c r="AC818" s="850">
        <f t="shared" si="151"/>
        <v>65.25</v>
      </c>
      <c r="AD818" s="851"/>
      <c r="AE818" s="852">
        <v>26253.919999999998</v>
      </c>
      <c r="AF818" s="853">
        <v>4.4999999999999998E-2</v>
      </c>
      <c r="AG818" s="854">
        <f t="shared" si="152"/>
        <v>79158.833214943574</v>
      </c>
      <c r="AH818" s="853"/>
      <c r="AI818" s="855">
        <f t="shared" si="153"/>
        <v>0</v>
      </c>
      <c r="AJ818" s="845" t="s">
        <v>2695</v>
      </c>
      <c r="AK818" s="857">
        <v>45332</v>
      </c>
      <c r="AL818" s="840" t="s">
        <v>2696</v>
      </c>
      <c r="AM818" s="840"/>
      <c r="AN818" s="858"/>
      <c r="AO818" s="844" t="s">
        <v>2697</v>
      </c>
      <c r="AP818" s="859" t="s">
        <v>2698</v>
      </c>
      <c r="AQ818" s="859" t="s">
        <v>2698</v>
      </c>
      <c r="AR818" s="859" t="s">
        <v>2699</v>
      </c>
      <c r="AS818" s="840" t="s">
        <v>2700</v>
      </c>
      <c r="AT818" s="840" t="s">
        <v>1743</v>
      </c>
      <c r="AU818" s="860" t="s">
        <v>1285</v>
      </c>
      <c r="AV818" s="839" t="s">
        <v>2701</v>
      </c>
      <c r="AW818" s="861">
        <v>45646</v>
      </c>
      <c r="AX818" s="862" t="s">
        <v>2702</v>
      </c>
      <c r="AY818" s="843" t="s">
        <v>2874</v>
      </c>
      <c r="AZ818" s="842">
        <v>39249090</v>
      </c>
      <c r="BA818" s="842" t="s">
        <v>120</v>
      </c>
      <c r="BB818" s="863" t="s">
        <v>121</v>
      </c>
      <c r="BC818" s="864">
        <v>45650</v>
      </c>
      <c r="BD818" s="860" t="s">
        <v>2705</v>
      </c>
      <c r="BE818" s="865" cm="1">
        <f t="array" ref="BE818">IF(BD818="","",AC818/SUMPRODUCT(--(BD818=$BD$4:$BD$12824),$AC$4:$AC$12824))</f>
        <v>9.4092124914541984E-4</v>
      </c>
      <c r="BF818" s="458"/>
      <c r="BG818" s="458"/>
      <c r="BH818" s="458"/>
      <c r="BI818" s="458"/>
      <c r="BJ818" s="458"/>
      <c r="BK818" s="458"/>
      <c r="BL818" s="458"/>
      <c r="BM818" s="458"/>
      <c r="BN818" s="458"/>
      <c r="BO818" s="866">
        <f>VLOOKUP(BD818,$BD$4:$BN$12824,3,0)*BE818</f>
        <v>44372.293589636909</v>
      </c>
      <c r="BP818" s="866"/>
      <c r="BQ818" s="866"/>
      <c r="BR818" s="866">
        <f>VLOOKUP(BD818,$BD$4:$BN$12824,6,0)*BE818</f>
        <v>12724.588589093511</v>
      </c>
      <c r="BS818" s="866">
        <f>VLOOKUP(BD818,$BD$4:$BN$12824,7,0)*BE818</f>
        <v>1644.6089646650541</v>
      </c>
      <c r="BT818" s="866"/>
      <c r="BU818" s="866">
        <f>VLOOKUP(BD818,$BD$4:$BN$12824,9,0)*BE818</f>
        <v>0</v>
      </c>
      <c r="BV818" s="867"/>
      <c r="BW818" s="867">
        <f>VLOOKUP(BD818,$BD$4:$BN$12824,11,0)*BE818</f>
        <v>1829.1509083386961</v>
      </c>
      <c r="BX818" s="1146">
        <f t="shared" si="156"/>
        <v>60570.642051734168</v>
      </c>
      <c r="BY818" s="867">
        <f t="shared" si="157"/>
        <v>370559.55105333554</v>
      </c>
      <c r="BZ818" s="867">
        <f t="shared" si="154"/>
        <v>1852797.7552666776</v>
      </c>
      <c r="CA818" s="867">
        <f>_xlfn.MAXIFS($BY$4:$BY$12824,$S$4:$S$12824,$S818)</f>
        <v>370559.55105333554</v>
      </c>
      <c r="CB818" s="1032"/>
      <c r="CF818" s="946">
        <f t="shared" si="155"/>
        <v>1713068.2799999998</v>
      </c>
    </row>
    <row r="819" spans="1:84">
      <c r="A819" s="1032"/>
      <c r="B819" s="839" t="s">
        <v>98</v>
      </c>
      <c r="C819" s="839" t="s">
        <v>2689</v>
      </c>
      <c r="D819" s="839" t="s">
        <v>2690</v>
      </c>
      <c r="E819" s="839" t="s">
        <v>2691</v>
      </c>
      <c r="F819" s="841">
        <v>45451</v>
      </c>
      <c r="G819" s="840" t="s">
        <v>2689</v>
      </c>
      <c r="H819" s="842" t="s">
        <v>134</v>
      </c>
      <c r="I819" s="842"/>
      <c r="J819" s="841"/>
      <c r="K819" s="841"/>
      <c r="L819" s="843" t="s">
        <v>106</v>
      </c>
      <c r="M819" s="844" t="s">
        <v>107</v>
      </c>
      <c r="N819" s="841" t="s">
        <v>2692</v>
      </c>
      <c r="O819" s="841" t="s">
        <v>150</v>
      </c>
      <c r="P819" s="841" t="s">
        <v>151</v>
      </c>
      <c r="Q819" s="843"/>
      <c r="R819" s="845" t="s">
        <v>2875</v>
      </c>
      <c r="S819" s="1127" t="s">
        <v>2876</v>
      </c>
      <c r="T819" s="843" t="s">
        <v>2877</v>
      </c>
      <c r="U819" s="842">
        <v>5</v>
      </c>
      <c r="V819" s="842" t="s">
        <v>3</v>
      </c>
      <c r="W819" s="846">
        <v>29</v>
      </c>
      <c r="X819" s="847">
        <f t="shared" si="149"/>
        <v>145</v>
      </c>
      <c r="Y819" s="848">
        <v>0.55000000000000004</v>
      </c>
      <c r="Z819" s="849">
        <v>13.05</v>
      </c>
      <c r="AA819" s="849"/>
      <c r="AB819" s="849">
        <f t="shared" si="150"/>
        <v>65.25</v>
      </c>
      <c r="AC819" s="850">
        <f t="shared" si="151"/>
        <v>65.25</v>
      </c>
      <c r="AD819" s="851"/>
      <c r="AE819" s="852">
        <v>26253.919999999998</v>
      </c>
      <c r="AF819" s="853">
        <v>4.4999999999999998E-2</v>
      </c>
      <c r="AG819" s="854">
        <f t="shared" si="152"/>
        <v>79158.833214943574</v>
      </c>
      <c r="AH819" s="853"/>
      <c r="AI819" s="855">
        <f t="shared" si="153"/>
        <v>0</v>
      </c>
      <c r="AJ819" s="845" t="s">
        <v>2695</v>
      </c>
      <c r="AK819" s="857">
        <v>45332</v>
      </c>
      <c r="AL819" s="840" t="s">
        <v>2696</v>
      </c>
      <c r="AM819" s="840"/>
      <c r="AN819" s="858"/>
      <c r="AO819" s="844" t="s">
        <v>2697</v>
      </c>
      <c r="AP819" s="859" t="s">
        <v>2698</v>
      </c>
      <c r="AQ819" s="859" t="s">
        <v>2698</v>
      </c>
      <c r="AR819" s="859" t="s">
        <v>2699</v>
      </c>
      <c r="AS819" s="840" t="s">
        <v>2700</v>
      </c>
      <c r="AT819" s="840" t="s">
        <v>1743</v>
      </c>
      <c r="AU819" s="860" t="s">
        <v>1285</v>
      </c>
      <c r="AV819" s="839" t="s">
        <v>2701</v>
      </c>
      <c r="AW819" s="861">
        <v>45646</v>
      </c>
      <c r="AX819" s="862" t="s">
        <v>2702</v>
      </c>
      <c r="AY819" s="843" t="s">
        <v>2878</v>
      </c>
      <c r="AZ819" s="842">
        <v>39249090</v>
      </c>
      <c r="BA819" s="842" t="s">
        <v>120</v>
      </c>
      <c r="BB819" s="863" t="s">
        <v>121</v>
      </c>
      <c r="BC819" s="864">
        <v>45650</v>
      </c>
      <c r="BD819" s="860" t="s">
        <v>2705</v>
      </c>
      <c r="BE819" s="865" cm="1">
        <f t="array" ref="BE819">IF(BD819="","",AC819/SUMPRODUCT(--(BD819=$BD$4:$BD$12824),$AC$4:$AC$12824))</f>
        <v>9.4092124914541984E-4</v>
      </c>
      <c r="BF819" s="458"/>
      <c r="BG819" s="458"/>
      <c r="BH819" s="458"/>
      <c r="BI819" s="458"/>
      <c r="BJ819" s="458"/>
      <c r="BK819" s="458"/>
      <c r="BL819" s="458"/>
      <c r="BM819" s="458"/>
      <c r="BN819" s="458"/>
      <c r="BO819" s="866">
        <f>VLOOKUP(BD819,$BD$4:$BN$12824,3,0)*BE819</f>
        <v>44372.293589636909</v>
      </c>
      <c r="BP819" s="866"/>
      <c r="BQ819" s="866"/>
      <c r="BR819" s="866">
        <f>VLOOKUP(BD819,$BD$4:$BN$12824,6,0)*BE819</f>
        <v>12724.588589093511</v>
      </c>
      <c r="BS819" s="866">
        <f>VLOOKUP(BD819,$BD$4:$BN$12824,7,0)*BE819</f>
        <v>1644.6089646650541</v>
      </c>
      <c r="BT819" s="866"/>
      <c r="BU819" s="866">
        <f>VLOOKUP(BD819,$BD$4:$BN$12824,9,0)*BE819</f>
        <v>0</v>
      </c>
      <c r="BV819" s="867"/>
      <c r="BW819" s="867">
        <f>VLOOKUP(BD819,$BD$4:$BN$12824,11,0)*BE819</f>
        <v>1829.1509083386961</v>
      </c>
      <c r="BX819" s="1146">
        <f t="shared" si="156"/>
        <v>60570.642051734168</v>
      </c>
      <c r="BY819" s="867">
        <f t="shared" si="157"/>
        <v>370559.55105333554</v>
      </c>
      <c r="BZ819" s="867">
        <f t="shared" si="154"/>
        <v>1852797.7552666776</v>
      </c>
      <c r="CA819" s="867">
        <f>_xlfn.MAXIFS($BY$4:$BY$12824,$S$4:$S$12824,$S819)</f>
        <v>370559.55105333554</v>
      </c>
      <c r="CB819" s="1032"/>
      <c r="CF819" s="946">
        <f t="shared" si="155"/>
        <v>1713068.2799999998</v>
      </c>
    </row>
    <row r="820" spans="1:84">
      <c r="A820" s="1032"/>
      <c r="B820" s="839" t="s">
        <v>98</v>
      </c>
      <c r="C820" s="839" t="s">
        <v>2689</v>
      </c>
      <c r="D820" s="839" t="s">
        <v>2690</v>
      </c>
      <c r="E820" s="839" t="s">
        <v>2691</v>
      </c>
      <c r="F820" s="841">
        <v>45451</v>
      </c>
      <c r="G820" s="840" t="s">
        <v>2689</v>
      </c>
      <c r="H820" s="842" t="s">
        <v>134</v>
      </c>
      <c r="I820" s="842"/>
      <c r="J820" s="841"/>
      <c r="K820" s="841"/>
      <c r="L820" s="843" t="s">
        <v>106</v>
      </c>
      <c r="M820" s="844" t="s">
        <v>107</v>
      </c>
      <c r="N820" s="841" t="s">
        <v>2692</v>
      </c>
      <c r="O820" s="841" t="s">
        <v>150</v>
      </c>
      <c r="P820" s="841" t="s">
        <v>151</v>
      </c>
      <c r="Q820" s="843"/>
      <c r="R820" s="845" t="s">
        <v>2879</v>
      </c>
      <c r="S820" s="1127" t="s">
        <v>2880</v>
      </c>
      <c r="T820" s="843" t="s">
        <v>2881</v>
      </c>
      <c r="U820" s="842">
        <v>5</v>
      </c>
      <c r="V820" s="842" t="s">
        <v>3</v>
      </c>
      <c r="W820" s="846">
        <v>29</v>
      </c>
      <c r="X820" s="847">
        <f t="shared" si="149"/>
        <v>145</v>
      </c>
      <c r="Y820" s="848">
        <v>0.55000000000000004</v>
      </c>
      <c r="Z820" s="849">
        <v>13.05</v>
      </c>
      <c r="AA820" s="849"/>
      <c r="AB820" s="849">
        <f t="shared" si="150"/>
        <v>65.25</v>
      </c>
      <c r="AC820" s="850">
        <f t="shared" si="151"/>
        <v>65.25</v>
      </c>
      <c r="AD820" s="851"/>
      <c r="AE820" s="852">
        <v>26253.919999999998</v>
      </c>
      <c r="AF820" s="853">
        <v>4.4999999999999998E-2</v>
      </c>
      <c r="AG820" s="854">
        <f t="shared" si="152"/>
        <v>79158.833214943574</v>
      </c>
      <c r="AH820" s="853"/>
      <c r="AI820" s="855">
        <f t="shared" si="153"/>
        <v>0</v>
      </c>
      <c r="AJ820" s="845" t="s">
        <v>2695</v>
      </c>
      <c r="AK820" s="857">
        <v>45332</v>
      </c>
      <c r="AL820" s="840" t="s">
        <v>2696</v>
      </c>
      <c r="AM820" s="840"/>
      <c r="AN820" s="858"/>
      <c r="AO820" s="844" t="s">
        <v>2697</v>
      </c>
      <c r="AP820" s="859" t="s">
        <v>2698</v>
      </c>
      <c r="AQ820" s="859" t="s">
        <v>2698</v>
      </c>
      <c r="AR820" s="859" t="s">
        <v>2699</v>
      </c>
      <c r="AS820" s="840" t="s">
        <v>2700</v>
      </c>
      <c r="AT820" s="840" t="s">
        <v>1743</v>
      </c>
      <c r="AU820" s="860" t="s">
        <v>1285</v>
      </c>
      <c r="AV820" s="839" t="s">
        <v>2701</v>
      </c>
      <c r="AW820" s="861">
        <v>45646</v>
      </c>
      <c r="AX820" s="862" t="s">
        <v>2702</v>
      </c>
      <c r="AY820" s="843" t="s">
        <v>2882</v>
      </c>
      <c r="AZ820" s="842">
        <v>39249090</v>
      </c>
      <c r="BA820" s="842" t="s">
        <v>120</v>
      </c>
      <c r="BB820" s="863" t="s">
        <v>121</v>
      </c>
      <c r="BC820" s="864">
        <v>45650</v>
      </c>
      <c r="BD820" s="860" t="s">
        <v>2705</v>
      </c>
      <c r="BE820" s="865" cm="1">
        <f t="array" ref="BE820">IF(BD820="","",AC820/SUMPRODUCT(--(BD820=$BD$4:$BD$12824),$AC$4:$AC$12824))</f>
        <v>9.4092124914541984E-4</v>
      </c>
      <c r="BF820" s="458"/>
      <c r="BG820" s="458"/>
      <c r="BH820" s="458"/>
      <c r="BI820" s="458"/>
      <c r="BJ820" s="458"/>
      <c r="BK820" s="458"/>
      <c r="BL820" s="458"/>
      <c r="BM820" s="458"/>
      <c r="BN820" s="458"/>
      <c r="BO820" s="866">
        <f>VLOOKUP(BD820,$BD$4:$BN$12824,3,0)*BE820</f>
        <v>44372.293589636909</v>
      </c>
      <c r="BP820" s="866"/>
      <c r="BQ820" s="866"/>
      <c r="BR820" s="866">
        <f>VLOOKUP(BD820,$BD$4:$BN$12824,6,0)*BE820</f>
        <v>12724.588589093511</v>
      </c>
      <c r="BS820" s="866">
        <f>VLOOKUP(BD820,$BD$4:$BN$12824,7,0)*BE820</f>
        <v>1644.6089646650541</v>
      </c>
      <c r="BT820" s="866"/>
      <c r="BU820" s="866">
        <f>VLOOKUP(BD820,$BD$4:$BN$12824,9,0)*BE820</f>
        <v>0</v>
      </c>
      <c r="BV820" s="867"/>
      <c r="BW820" s="867">
        <f>VLOOKUP(BD820,$BD$4:$BN$12824,11,0)*BE820</f>
        <v>1829.1509083386961</v>
      </c>
      <c r="BX820" s="1146">
        <f t="shared" si="156"/>
        <v>60570.642051734168</v>
      </c>
      <c r="BY820" s="867">
        <f t="shared" si="157"/>
        <v>370559.55105333554</v>
      </c>
      <c r="BZ820" s="867">
        <f t="shared" si="154"/>
        <v>1852797.7552666776</v>
      </c>
      <c r="CA820" s="867">
        <f>_xlfn.MAXIFS($BY$4:$BY$12824,$S$4:$S$12824,$S820)</f>
        <v>370559.55105333554</v>
      </c>
      <c r="CB820" s="1032"/>
      <c r="CF820" s="946">
        <f t="shared" si="155"/>
        <v>1713068.2799999998</v>
      </c>
    </row>
    <row r="821" spans="1:84">
      <c r="A821" s="1032"/>
      <c r="B821" s="839" t="s">
        <v>98</v>
      </c>
      <c r="C821" s="839" t="s">
        <v>2689</v>
      </c>
      <c r="D821" s="839" t="s">
        <v>2690</v>
      </c>
      <c r="E821" s="839" t="s">
        <v>2691</v>
      </c>
      <c r="F821" s="841">
        <v>45451</v>
      </c>
      <c r="G821" s="840" t="s">
        <v>2689</v>
      </c>
      <c r="H821" s="842" t="s">
        <v>134</v>
      </c>
      <c r="I821" s="842"/>
      <c r="J821" s="841"/>
      <c r="K821" s="841"/>
      <c r="L821" s="843" t="s">
        <v>106</v>
      </c>
      <c r="M821" s="844" t="s">
        <v>107</v>
      </c>
      <c r="N821" s="841" t="s">
        <v>2692</v>
      </c>
      <c r="O821" s="841" t="s">
        <v>150</v>
      </c>
      <c r="P821" s="841" t="s">
        <v>151</v>
      </c>
      <c r="Q821" s="843"/>
      <c r="R821" s="845" t="s">
        <v>2883</v>
      </c>
      <c r="S821" s="1127" t="s">
        <v>2884</v>
      </c>
      <c r="T821" s="843" t="s">
        <v>2885</v>
      </c>
      <c r="U821" s="842">
        <v>5</v>
      </c>
      <c r="V821" s="842" t="s">
        <v>3</v>
      </c>
      <c r="W821" s="846">
        <v>29</v>
      </c>
      <c r="X821" s="847">
        <f t="shared" si="149"/>
        <v>145</v>
      </c>
      <c r="Y821" s="848">
        <v>0.55000000000000004</v>
      </c>
      <c r="Z821" s="849">
        <v>13.05</v>
      </c>
      <c r="AA821" s="849"/>
      <c r="AB821" s="849">
        <f t="shared" si="150"/>
        <v>65.25</v>
      </c>
      <c r="AC821" s="850">
        <f t="shared" si="151"/>
        <v>65.25</v>
      </c>
      <c r="AD821" s="851"/>
      <c r="AE821" s="852">
        <v>26253.919999999998</v>
      </c>
      <c r="AF821" s="853">
        <v>4.4999999999999998E-2</v>
      </c>
      <c r="AG821" s="854">
        <f t="shared" si="152"/>
        <v>79158.833214943574</v>
      </c>
      <c r="AH821" s="853"/>
      <c r="AI821" s="855">
        <f t="shared" si="153"/>
        <v>0</v>
      </c>
      <c r="AJ821" s="845" t="s">
        <v>2695</v>
      </c>
      <c r="AK821" s="857">
        <v>45332</v>
      </c>
      <c r="AL821" s="840" t="s">
        <v>2696</v>
      </c>
      <c r="AM821" s="840"/>
      <c r="AN821" s="858"/>
      <c r="AO821" s="844" t="s">
        <v>2697</v>
      </c>
      <c r="AP821" s="859" t="s">
        <v>2698</v>
      </c>
      <c r="AQ821" s="859" t="s">
        <v>2698</v>
      </c>
      <c r="AR821" s="859" t="s">
        <v>2699</v>
      </c>
      <c r="AS821" s="840" t="s">
        <v>2700</v>
      </c>
      <c r="AT821" s="840" t="s">
        <v>1743</v>
      </c>
      <c r="AU821" s="860" t="s">
        <v>1285</v>
      </c>
      <c r="AV821" s="839" t="s">
        <v>2701</v>
      </c>
      <c r="AW821" s="861">
        <v>45646</v>
      </c>
      <c r="AX821" s="862" t="s">
        <v>2702</v>
      </c>
      <c r="AY821" s="843" t="s">
        <v>2886</v>
      </c>
      <c r="AZ821" s="842">
        <v>39249090</v>
      </c>
      <c r="BA821" s="842" t="s">
        <v>120</v>
      </c>
      <c r="BB821" s="863" t="s">
        <v>121</v>
      </c>
      <c r="BC821" s="864">
        <v>45650</v>
      </c>
      <c r="BD821" s="860" t="s">
        <v>2705</v>
      </c>
      <c r="BE821" s="865" cm="1">
        <f t="array" ref="BE821">IF(BD821="","",AC821/SUMPRODUCT(--(BD821=$BD$4:$BD$12824),$AC$4:$AC$12824))</f>
        <v>9.4092124914541984E-4</v>
      </c>
      <c r="BF821" s="458"/>
      <c r="BG821" s="458"/>
      <c r="BH821" s="458"/>
      <c r="BI821" s="458"/>
      <c r="BJ821" s="458"/>
      <c r="BK821" s="458"/>
      <c r="BL821" s="458"/>
      <c r="BM821" s="458"/>
      <c r="BN821" s="458"/>
      <c r="BO821" s="866">
        <f>VLOOKUP(BD821,$BD$4:$BN$12824,3,0)*BE821</f>
        <v>44372.293589636909</v>
      </c>
      <c r="BP821" s="866"/>
      <c r="BQ821" s="866"/>
      <c r="BR821" s="866">
        <f>VLOOKUP(BD821,$BD$4:$BN$12824,6,0)*BE821</f>
        <v>12724.588589093511</v>
      </c>
      <c r="BS821" s="866">
        <f>VLOOKUP(BD821,$BD$4:$BN$12824,7,0)*BE821</f>
        <v>1644.6089646650541</v>
      </c>
      <c r="BT821" s="866"/>
      <c r="BU821" s="866">
        <f>VLOOKUP(BD821,$BD$4:$BN$12824,9,0)*BE821</f>
        <v>0</v>
      </c>
      <c r="BV821" s="867"/>
      <c r="BW821" s="867">
        <f>VLOOKUP(BD821,$BD$4:$BN$12824,11,0)*BE821</f>
        <v>1829.1509083386961</v>
      </c>
      <c r="BX821" s="1146">
        <f t="shared" si="156"/>
        <v>60570.642051734168</v>
      </c>
      <c r="BY821" s="867">
        <f t="shared" si="157"/>
        <v>370559.55105333554</v>
      </c>
      <c r="BZ821" s="867">
        <f t="shared" si="154"/>
        <v>1852797.7552666776</v>
      </c>
      <c r="CA821" s="867">
        <f>_xlfn.MAXIFS($BY$4:$BY$12824,$S$4:$S$12824,$S821)</f>
        <v>370559.55105333554</v>
      </c>
      <c r="CB821" s="1032"/>
      <c r="CF821" s="946">
        <f t="shared" si="155"/>
        <v>1713068.2799999998</v>
      </c>
    </row>
    <row r="822" spans="1:84">
      <c r="A822" s="1032"/>
      <c r="B822" s="839" t="s">
        <v>98</v>
      </c>
      <c r="C822" s="839" t="s">
        <v>2689</v>
      </c>
      <c r="D822" s="839" t="s">
        <v>2690</v>
      </c>
      <c r="E822" s="839" t="s">
        <v>2691</v>
      </c>
      <c r="F822" s="841">
        <v>45451</v>
      </c>
      <c r="G822" s="840" t="s">
        <v>2689</v>
      </c>
      <c r="H822" s="842" t="s">
        <v>134</v>
      </c>
      <c r="I822" s="842"/>
      <c r="J822" s="841"/>
      <c r="K822" s="841"/>
      <c r="L822" s="843" t="s">
        <v>106</v>
      </c>
      <c r="M822" s="844" t="s">
        <v>107</v>
      </c>
      <c r="N822" s="841" t="s">
        <v>2692</v>
      </c>
      <c r="O822" s="841" t="s">
        <v>150</v>
      </c>
      <c r="P822" s="841" t="s">
        <v>151</v>
      </c>
      <c r="Q822" s="843"/>
      <c r="R822" s="845" t="s">
        <v>2887</v>
      </c>
      <c r="S822" s="1127" t="s">
        <v>2888</v>
      </c>
      <c r="T822" s="843" t="s">
        <v>2889</v>
      </c>
      <c r="U822" s="842">
        <v>10</v>
      </c>
      <c r="V822" s="842" t="s">
        <v>3</v>
      </c>
      <c r="W822" s="846">
        <v>29</v>
      </c>
      <c r="X822" s="847">
        <f t="shared" si="149"/>
        <v>290</v>
      </c>
      <c r="Y822" s="848">
        <v>0.55000000000000004</v>
      </c>
      <c r="Z822" s="849">
        <v>13.05</v>
      </c>
      <c r="AA822" s="849"/>
      <c r="AB822" s="849">
        <f t="shared" si="150"/>
        <v>130.5</v>
      </c>
      <c r="AC822" s="850">
        <f t="shared" si="151"/>
        <v>130.5</v>
      </c>
      <c r="AD822" s="851"/>
      <c r="AE822" s="852">
        <v>26253.919999999998</v>
      </c>
      <c r="AF822" s="853">
        <v>4.4999999999999998E-2</v>
      </c>
      <c r="AG822" s="854">
        <f t="shared" si="152"/>
        <v>158317.66642988715</v>
      </c>
      <c r="AH822" s="853"/>
      <c r="AI822" s="855">
        <f t="shared" si="153"/>
        <v>0</v>
      </c>
      <c r="AJ822" s="845" t="s">
        <v>2695</v>
      </c>
      <c r="AK822" s="857">
        <v>45332</v>
      </c>
      <c r="AL822" s="840" t="s">
        <v>2696</v>
      </c>
      <c r="AM822" s="840"/>
      <c r="AN822" s="858"/>
      <c r="AO822" s="844" t="s">
        <v>2697</v>
      </c>
      <c r="AP822" s="859" t="s">
        <v>2698</v>
      </c>
      <c r="AQ822" s="859" t="s">
        <v>2698</v>
      </c>
      <c r="AR822" s="859" t="s">
        <v>2699</v>
      </c>
      <c r="AS822" s="840" t="s">
        <v>2700</v>
      </c>
      <c r="AT822" s="840" t="s">
        <v>1743</v>
      </c>
      <c r="AU822" s="860" t="s">
        <v>1285</v>
      </c>
      <c r="AV822" s="839" t="s">
        <v>2701</v>
      </c>
      <c r="AW822" s="861">
        <v>45646</v>
      </c>
      <c r="AX822" s="862" t="s">
        <v>2702</v>
      </c>
      <c r="AY822" s="843" t="s">
        <v>2890</v>
      </c>
      <c r="AZ822" s="842">
        <v>39249090</v>
      </c>
      <c r="BA822" s="842" t="s">
        <v>120</v>
      </c>
      <c r="BB822" s="863" t="s">
        <v>121</v>
      </c>
      <c r="BC822" s="864">
        <v>45650</v>
      </c>
      <c r="BD822" s="860" t="s">
        <v>2705</v>
      </c>
      <c r="BE822" s="865" cm="1">
        <f t="array" ref="BE822">IF(BD822="","",AC822/SUMPRODUCT(--(BD822=$BD$4:$BD$12824),$AC$4:$AC$12824))</f>
        <v>1.8818424982908397E-3</v>
      </c>
      <c r="BF822" s="458"/>
      <c r="BG822" s="458"/>
      <c r="BH822" s="458"/>
      <c r="BI822" s="458"/>
      <c r="BJ822" s="458"/>
      <c r="BK822" s="458"/>
      <c r="BL822" s="458"/>
      <c r="BM822" s="458"/>
      <c r="BN822" s="458"/>
      <c r="BO822" s="866">
        <f>VLOOKUP(BD822,$BD$4:$BN$12824,3,0)*BE822</f>
        <v>88744.587179273818</v>
      </c>
      <c r="BP822" s="866"/>
      <c r="BQ822" s="866"/>
      <c r="BR822" s="866">
        <f>VLOOKUP(BD822,$BD$4:$BN$12824,6,0)*BE822</f>
        <v>25449.177178187023</v>
      </c>
      <c r="BS822" s="866">
        <f>VLOOKUP(BD822,$BD$4:$BN$12824,7,0)*BE822</f>
        <v>3289.2179293301083</v>
      </c>
      <c r="BT822" s="866"/>
      <c r="BU822" s="866">
        <f>VLOOKUP(BD822,$BD$4:$BN$12824,9,0)*BE822</f>
        <v>0</v>
      </c>
      <c r="BV822" s="867"/>
      <c r="BW822" s="867">
        <f>VLOOKUP(BD822,$BD$4:$BN$12824,11,0)*BE822</f>
        <v>3658.3018166773923</v>
      </c>
      <c r="BX822" s="1146">
        <f t="shared" si="156"/>
        <v>121141.28410346834</v>
      </c>
      <c r="BY822" s="867">
        <f t="shared" si="157"/>
        <v>370559.55105333554</v>
      </c>
      <c r="BZ822" s="867">
        <f t="shared" si="154"/>
        <v>3705595.5105333552</v>
      </c>
      <c r="CA822" s="867">
        <f>_xlfn.MAXIFS($BY$4:$BY$12824,$S$4:$S$12824,$S822)</f>
        <v>370559.55105333554</v>
      </c>
      <c r="CB822" s="1032"/>
      <c r="CF822" s="946">
        <f t="shared" si="155"/>
        <v>3426136.5599999996</v>
      </c>
    </row>
    <row r="823" spans="1:84">
      <c r="A823" s="1032"/>
      <c r="B823" s="839" t="s">
        <v>98</v>
      </c>
      <c r="C823" s="839" t="s">
        <v>2689</v>
      </c>
      <c r="D823" s="839" t="s">
        <v>2690</v>
      </c>
      <c r="E823" s="839" t="s">
        <v>2691</v>
      </c>
      <c r="F823" s="841">
        <v>45451</v>
      </c>
      <c r="G823" s="840" t="s">
        <v>2689</v>
      </c>
      <c r="H823" s="842" t="s">
        <v>134</v>
      </c>
      <c r="I823" s="842"/>
      <c r="J823" s="841"/>
      <c r="K823" s="841"/>
      <c r="L823" s="843" t="s">
        <v>106</v>
      </c>
      <c r="M823" s="844" t="s">
        <v>107</v>
      </c>
      <c r="N823" s="841" t="s">
        <v>2692</v>
      </c>
      <c r="O823" s="841" t="s">
        <v>150</v>
      </c>
      <c r="P823" s="841" t="s">
        <v>151</v>
      </c>
      <c r="Q823" s="843"/>
      <c r="R823" s="845" t="s">
        <v>2891</v>
      </c>
      <c r="S823" s="1127" t="s">
        <v>2892</v>
      </c>
      <c r="T823" s="843" t="s">
        <v>2893</v>
      </c>
      <c r="U823" s="842">
        <v>10</v>
      </c>
      <c r="V823" s="842" t="s">
        <v>3</v>
      </c>
      <c r="W823" s="846">
        <v>29</v>
      </c>
      <c r="X823" s="847">
        <f t="shared" si="149"/>
        <v>290</v>
      </c>
      <c r="Y823" s="848">
        <v>0.55000000000000004</v>
      </c>
      <c r="Z823" s="849">
        <v>13.05</v>
      </c>
      <c r="AA823" s="849"/>
      <c r="AB823" s="849">
        <f t="shared" si="150"/>
        <v>130.5</v>
      </c>
      <c r="AC823" s="850">
        <f t="shared" si="151"/>
        <v>130.5</v>
      </c>
      <c r="AD823" s="851"/>
      <c r="AE823" s="852">
        <v>26253.919999999998</v>
      </c>
      <c r="AF823" s="853">
        <v>4.4999999999999998E-2</v>
      </c>
      <c r="AG823" s="854">
        <f t="shared" si="152"/>
        <v>158317.66642988715</v>
      </c>
      <c r="AH823" s="853"/>
      <c r="AI823" s="855">
        <f t="shared" si="153"/>
        <v>0</v>
      </c>
      <c r="AJ823" s="845" t="s">
        <v>2695</v>
      </c>
      <c r="AK823" s="857">
        <v>45332</v>
      </c>
      <c r="AL823" s="840" t="s">
        <v>2696</v>
      </c>
      <c r="AM823" s="840"/>
      <c r="AN823" s="858"/>
      <c r="AO823" s="844" t="s">
        <v>2697</v>
      </c>
      <c r="AP823" s="859" t="s">
        <v>2698</v>
      </c>
      <c r="AQ823" s="859" t="s">
        <v>2698</v>
      </c>
      <c r="AR823" s="859" t="s">
        <v>2699</v>
      </c>
      <c r="AS823" s="840" t="s">
        <v>2700</v>
      </c>
      <c r="AT823" s="840" t="s">
        <v>1743</v>
      </c>
      <c r="AU823" s="860" t="s">
        <v>1285</v>
      </c>
      <c r="AV823" s="839" t="s">
        <v>2701</v>
      </c>
      <c r="AW823" s="861">
        <v>45646</v>
      </c>
      <c r="AX823" s="862" t="s">
        <v>2702</v>
      </c>
      <c r="AY823" s="843" t="s">
        <v>2894</v>
      </c>
      <c r="AZ823" s="842">
        <v>39249090</v>
      </c>
      <c r="BA823" s="842" t="s">
        <v>120</v>
      </c>
      <c r="BB823" s="863" t="s">
        <v>121</v>
      </c>
      <c r="BC823" s="864">
        <v>45650</v>
      </c>
      <c r="BD823" s="860" t="s">
        <v>2705</v>
      </c>
      <c r="BE823" s="865" cm="1">
        <f t="array" ref="BE823">IF(BD823="","",AC823/SUMPRODUCT(--(BD823=$BD$4:$BD$12824),$AC$4:$AC$12824))</f>
        <v>1.8818424982908397E-3</v>
      </c>
      <c r="BF823" s="458"/>
      <c r="BG823" s="458"/>
      <c r="BH823" s="458"/>
      <c r="BI823" s="458"/>
      <c r="BJ823" s="458"/>
      <c r="BK823" s="458"/>
      <c r="BL823" s="458"/>
      <c r="BM823" s="458"/>
      <c r="BN823" s="458"/>
      <c r="BO823" s="866">
        <f>VLOOKUP(BD823,$BD$4:$BN$12824,3,0)*BE823</f>
        <v>88744.587179273818</v>
      </c>
      <c r="BP823" s="866"/>
      <c r="BQ823" s="866"/>
      <c r="BR823" s="866">
        <f>VLOOKUP(BD823,$BD$4:$BN$12824,6,0)*BE823</f>
        <v>25449.177178187023</v>
      </c>
      <c r="BS823" s="866">
        <f>VLOOKUP(BD823,$BD$4:$BN$12824,7,0)*BE823</f>
        <v>3289.2179293301083</v>
      </c>
      <c r="BT823" s="866"/>
      <c r="BU823" s="866">
        <f>VLOOKUP(BD823,$BD$4:$BN$12824,9,0)*BE823</f>
        <v>0</v>
      </c>
      <c r="BV823" s="867"/>
      <c r="BW823" s="867">
        <f>VLOOKUP(BD823,$BD$4:$BN$12824,11,0)*BE823</f>
        <v>3658.3018166773923</v>
      </c>
      <c r="BX823" s="1146">
        <f t="shared" si="156"/>
        <v>121141.28410346834</v>
      </c>
      <c r="BY823" s="867">
        <f t="shared" si="157"/>
        <v>370559.55105333554</v>
      </c>
      <c r="BZ823" s="867">
        <f t="shared" si="154"/>
        <v>3705595.5105333552</v>
      </c>
      <c r="CA823" s="867">
        <f>_xlfn.MAXIFS($BY$4:$BY$12824,$S$4:$S$12824,$S823)</f>
        <v>370559.55105333554</v>
      </c>
      <c r="CB823" s="1032"/>
      <c r="CF823" s="946">
        <f t="shared" si="155"/>
        <v>3426136.5599999996</v>
      </c>
    </row>
    <row r="824" spans="1:84">
      <c r="A824" s="1032"/>
      <c r="B824" s="839" t="s">
        <v>98</v>
      </c>
      <c r="C824" s="839" t="s">
        <v>2689</v>
      </c>
      <c r="D824" s="839" t="s">
        <v>2690</v>
      </c>
      <c r="E824" s="839" t="s">
        <v>2691</v>
      </c>
      <c r="F824" s="841">
        <v>45451</v>
      </c>
      <c r="G824" s="840" t="s">
        <v>2689</v>
      </c>
      <c r="H824" s="842" t="s">
        <v>134</v>
      </c>
      <c r="I824" s="842"/>
      <c r="J824" s="841"/>
      <c r="K824" s="841"/>
      <c r="L824" s="843" t="s">
        <v>106</v>
      </c>
      <c r="M824" s="844" t="s">
        <v>107</v>
      </c>
      <c r="N824" s="841" t="s">
        <v>2692</v>
      </c>
      <c r="O824" s="841" t="s">
        <v>150</v>
      </c>
      <c r="P824" s="841" t="s">
        <v>151</v>
      </c>
      <c r="Q824" s="843"/>
      <c r="R824" s="845" t="s">
        <v>2895</v>
      </c>
      <c r="S824" s="1127" t="s">
        <v>2896</v>
      </c>
      <c r="T824" s="843" t="s">
        <v>2897</v>
      </c>
      <c r="U824" s="842">
        <v>10</v>
      </c>
      <c r="V824" s="842" t="s">
        <v>3</v>
      </c>
      <c r="W824" s="846">
        <v>29</v>
      </c>
      <c r="X824" s="847">
        <f t="shared" si="149"/>
        <v>290</v>
      </c>
      <c r="Y824" s="848">
        <v>0.55000000000000004</v>
      </c>
      <c r="Z824" s="849">
        <v>13.05</v>
      </c>
      <c r="AA824" s="849"/>
      <c r="AB824" s="849">
        <f t="shared" si="150"/>
        <v>130.5</v>
      </c>
      <c r="AC824" s="850">
        <f t="shared" si="151"/>
        <v>130.5</v>
      </c>
      <c r="AD824" s="851"/>
      <c r="AE824" s="852">
        <v>26253.919999999998</v>
      </c>
      <c r="AF824" s="853">
        <v>4.4999999999999998E-2</v>
      </c>
      <c r="AG824" s="854">
        <f t="shared" si="152"/>
        <v>158317.66642988715</v>
      </c>
      <c r="AH824" s="853"/>
      <c r="AI824" s="855">
        <f t="shared" si="153"/>
        <v>0</v>
      </c>
      <c r="AJ824" s="845" t="s">
        <v>2695</v>
      </c>
      <c r="AK824" s="857">
        <v>45332</v>
      </c>
      <c r="AL824" s="840" t="s">
        <v>2696</v>
      </c>
      <c r="AM824" s="840"/>
      <c r="AN824" s="858"/>
      <c r="AO824" s="844" t="s">
        <v>2697</v>
      </c>
      <c r="AP824" s="859" t="s">
        <v>2698</v>
      </c>
      <c r="AQ824" s="859" t="s">
        <v>2698</v>
      </c>
      <c r="AR824" s="859" t="s">
        <v>2699</v>
      </c>
      <c r="AS824" s="840" t="s">
        <v>2700</v>
      </c>
      <c r="AT824" s="840" t="s">
        <v>1743</v>
      </c>
      <c r="AU824" s="860" t="s">
        <v>1285</v>
      </c>
      <c r="AV824" s="839" t="s">
        <v>2701</v>
      </c>
      <c r="AW824" s="861">
        <v>45646</v>
      </c>
      <c r="AX824" s="862" t="s">
        <v>2702</v>
      </c>
      <c r="AY824" s="843" t="s">
        <v>2898</v>
      </c>
      <c r="AZ824" s="842">
        <v>39249090</v>
      </c>
      <c r="BA824" s="842" t="s">
        <v>120</v>
      </c>
      <c r="BB824" s="863" t="s">
        <v>121</v>
      </c>
      <c r="BC824" s="864">
        <v>45650</v>
      </c>
      <c r="BD824" s="860" t="s">
        <v>2705</v>
      </c>
      <c r="BE824" s="865" cm="1">
        <f t="array" ref="BE824">IF(BD824="","",AC824/SUMPRODUCT(--(BD824=$BD$4:$BD$12824),$AC$4:$AC$12824))</f>
        <v>1.8818424982908397E-3</v>
      </c>
      <c r="BF824" s="458"/>
      <c r="BG824" s="458"/>
      <c r="BH824" s="458"/>
      <c r="BI824" s="458"/>
      <c r="BJ824" s="458"/>
      <c r="BK824" s="458"/>
      <c r="BL824" s="458"/>
      <c r="BM824" s="458"/>
      <c r="BN824" s="458"/>
      <c r="BO824" s="866">
        <f>VLOOKUP(BD824,$BD$4:$BN$12824,3,0)*BE824</f>
        <v>88744.587179273818</v>
      </c>
      <c r="BP824" s="866"/>
      <c r="BQ824" s="866"/>
      <c r="BR824" s="866">
        <f>VLOOKUP(BD824,$BD$4:$BN$12824,6,0)*BE824</f>
        <v>25449.177178187023</v>
      </c>
      <c r="BS824" s="866">
        <f>VLOOKUP(BD824,$BD$4:$BN$12824,7,0)*BE824</f>
        <v>3289.2179293301083</v>
      </c>
      <c r="BT824" s="866"/>
      <c r="BU824" s="866">
        <f>VLOOKUP(BD824,$BD$4:$BN$12824,9,0)*BE824</f>
        <v>0</v>
      </c>
      <c r="BV824" s="867"/>
      <c r="BW824" s="867">
        <f>VLOOKUP(BD824,$BD$4:$BN$12824,11,0)*BE824</f>
        <v>3658.3018166773923</v>
      </c>
      <c r="BX824" s="1146">
        <f t="shared" si="156"/>
        <v>121141.28410346834</v>
      </c>
      <c r="BY824" s="867">
        <f t="shared" si="157"/>
        <v>370559.55105333554</v>
      </c>
      <c r="BZ824" s="867">
        <f t="shared" si="154"/>
        <v>3705595.5105333552</v>
      </c>
      <c r="CA824" s="867">
        <f>_xlfn.MAXIFS($BY$4:$BY$12824,$S$4:$S$12824,$S824)</f>
        <v>370559.55105333554</v>
      </c>
      <c r="CB824" s="1032"/>
      <c r="CF824" s="946">
        <f t="shared" si="155"/>
        <v>3426136.5599999996</v>
      </c>
    </row>
    <row r="825" spans="1:84">
      <c r="A825" s="1032"/>
      <c r="B825" s="839" t="s">
        <v>98</v>
      </c>
      <c r="C825" s="839" t="s">
        <v>2689</v>
      </c>
      <c r="D825" s="839" t="s">
        <v>2690</v>
      </c>
      <c r="E825" s="839" t="s">
        <v>2691</v>
      </c>
      <c r="F825" s="841">
        <v>45451</v>
      </c>
      <c r="G825" s="840" t="s">
        <v>2689</v>
      </c>
      <c r="H825" s="842" t="s">
        <v>134</v>
      </c>
      <c r="I825" s="842"/>
      <c r="J825" s="841"/>
      <c r="K825" s="841"/>
      <c r="L825" s="843" t="s">
        <v>106</v>
      </c>
      <c r="M825" s="844" t="s">
        <v>107</v>
      </c>
      <c r="N825" s="841" t="s">
        <v>2692</v>
      </c>
      <c r="O825" s="841" t="s">
        <v>150</v>
      </c>
      <c r="P825" s="841" t="s">
        <v>151</v>
      </c>
      <c r="Q825" s="843"/>
      <c r="R825" s="845" t="s">
        <v>2899</v>
      </c>
      <c r="S825" s="1127" t="s">
        <v>2900</v>
      </c>
      <c r="T825" s="843" t="s">
        <v>2901</v>
      </c>
      <c r="U825" s="842">
        <v>10</v>
      </c>
      <c r="V825" s="842" t="s">
        <v>3</v>
      </c>
      <c r="W825" s="846">
        <v>29</v>
      </c>
      <c r="X825" s="847">
        <f t="shared" si="149"/>
        <v>290</v>
      </c>
      <c r="Y825" s="848">
        <v>0.55000000000000004</v>
      </c>
      <c r="Z825" s="849">
        <v>13.05</v>
      </c>
      <c r="AA825" s="849"/>
      <c r="AB825" s="849">
        <f t="shared" si="150"/>
        <v>130.5</v>
      </c>
      <c r="AC825" s="850">
        <f t="shared" si="151"/>
        <v>130.5</v>
      </c>
      <c r="AD825" s="851"/>
      <c r="AE825" s="852">
        <v>26253.919999999998</v>
      </c>
      <c r="AF825" s="853">
        <v>4.4999999999999998E-2</v>
      </c>
      <c r="AG825" s="854">
        <f t="shared" si="152"/>
        <v>158317.66642988715</v>
      </c>
      <c r="AH825" s="853"/>
      <c r="AI825" s="855">
        <f t="shared" si="153"/>
        <v>0</v>
      </c>
      <c r="AJ825" s="845" t="s">
        <v>2695</v>
      </c>
      <c r="AK825" s="857">
        <v>45332</v>
      </c>
      <c r="AL825" s="840" t="s">
        <v>2696</v>
      </c>
      <c r="AM825" s="840"/>
      <c r="AN825" s="858"/>
      <c r="AO825" s="844" t="s">
        <v>2697</v>
      </c>
      <c r="AP825" s="859" t="s">
        <v>2698</v>
      </c>
      <c r="AQ825" s="859" t="s">
        <v>2698</v>
      </c>
      <c r="AR825" s="859" t="s">
        <v>2699</v>
      </c>
      <c r="AS825" s="840" t="s">
        <v>2700</v>
      </c>
      <c r="AT825" s="840" t="s">
        <v>1743</v>
      </c>
      <c r="AU825" s="860" t="s">
        <v>1285</v>
      </c>
      <c r="AV825" s="839" t="s">
        <v>2701</v>
      </c>
      <c r="AW825" s="861">
        <v>45646</v>
      </c>
      <c r="AX825" s="862" t="s">
        <v>2702</v>
      </c>
      <c r="AY825" s="843" t="s">
        <v>2902</v>
      </c>
      <c r="AZ825" s="842">
        <v>39249090</v>
      </c>
      <c r="BA825" s="842" t="s">
        <v>120</v>
      </c>
      <c r="BB825" s="863" t="s">
        <v>121</v>
      </c>
      <c r="BC825" s="864">
        <v>45650</v>
      </c>
      <c r="BD825" s="860" t="s">
        <v>2705</v>
      </c>
      <c r="BE825" s="865" cm="1">
        <f t="array" ref="BE825">IF(BD825="","",AC825/SUMPRODUCT(--(BD825=$BD$4:$BD$12824),$AC$4:$AC$12824))</f>
        <v>1.8818424982908397E-3</v>
      </c>
      <c r="BF825" s="458"/>
      <c r="BG825" s="458"/>
      <c r="BH825" s="458"/>
      <c r="BI825" s="458"/>
      <c r="BJ825" s="458"/>
      <c r="BK825" s="458"/>
      <c r="BL825" s="458"/>
      <c r="BM825" s="458"/>
      <c r="BN825" s="458"/>
      <c r="BO825" s="866">
        <f>VLOOKUP(BD825,$BD$4:$BN$12824,3,0)*BE825</f>
        <v>88744.587179273818</v>
      </c>
      <c r="BP825" s="866"/>
      <c r="BQ825" s="866"/>
      <c r="BR825" s="866">
        <f>VLOOKUP(BD825,$BD$4:$BN$12824,6,0)*BE825</f>
        <v>25449.177178187023</v>
      </c>
      <c r="BS825" s="866">
        <f>VLOOKUP(BD825,$BD$4:$BN$12824,7,0)*BE825</f>
        <v>3289.2179293301083</v>
      </c>
      <c r="BT825" s="866"/>
      <c r="BU825" s="866">
        <f>VLOOKUP(BD825,$BD$4:$BN$12824,9,0)*BE825</f>
        <v>0</v>
      </c>
      <c r="BV825" s="867"/>
      <c r="BW825" s="867">
        <f>VLOOKUP(BD825,$BD$4:$BN$12824,11,0)*BE825</f>
        <v>3658.3018166773923</v>
      </c>
      <c r="BX825" s="1146">
        <f t="shared" si="156"/>
        <v>121141.28410346834</v>
      </c>
      <c r="BY825" s="867">
        <f t="shared" si="157"/>
        <v>370559.55105333554</v>
      </c>
      <c r="BZ825" s="867">
        <f t="shared" si="154"/>
        <v>3705595.5105333552</v>
      </c>
      <c r="CA825" s="867">
        <f>_xlfn.MAXIFS($BY$4:$BY$12824,$S$4:$S$12824,$S825)</f>
        <v>370559.55105333554</v>
      </c>
      <c r="CB825" s="1032"/>
      <c r="CF825" s="946">
        <f t="shared" si="155"/>
        <v>3426136.5599999996</v>
      </c>
    </row>
    <row r="826" spans="1:84">
      <c r="A826" s="1032"/>
      <c r="B826" s="839" t="s">
        <v>98</v>
      </c>
      <c r="C826" s="839" t="s">
        <v>2689</v>
      </c>
      <c r="D826" s="839" t="s">
        <v>2690</v>
      </c>
      <c r="E826" s="839" t="s">
        <v>2691</v>
      </c>
      <c r="F826" s="841">
        <v>45451</v>
      </c>
      <c r="G826" s="840" t="s">
        <v>2689</v>
      </c>
      <c r="H826" s="842" t="s">
        <v>134</v>
      </c>
      <c r="I826" s="842"/>
      <c r="J826" s="841"/>
      <c r="K826" s="841"/>
      <c r="L826" s="843" t="s">
        <v>106</v>
      </c>
      <c r="M826" s="844" t="s">
        <v>107</v>
      </c>
      <c r="N826" s="841" t="s">
        <v>2692</v>
      </c>
      <c r="O826" s="841" t="s">
        <v>150</v>
      </c>
      <c r="P826" s="841" t="s">
        <v>151</v>
      </c>
      <c r="Q826" s="843"/>
      <c r="R826" s="845" t="s">
        <v>2903</v>
      </c>
      <c r="S826" s="1127" t="s">
        <v>2904</v>
      </c>
      <c r="T826" s="843" t="s">
        <v>2905</v>
      </c>
      <c r="U826" s="842">
        <v>10</v>
      </c>
      <c r="V826" s="842" t="s">
        <v>3</v>
      </c>
      <c r="W826" s="846">
        <v>29</v>
      </c>
      <c r="X826" s="847">
        <f t="shared" si="149"/>
        <v>290</v>
      </c>
      <c r="Y826" s="848">
        <v>0.55000000000000004</v>
      </c>
      <c r="Z826" s="849">
        <v>13.05</v>
      </c>
      <c r="AA826" s="849"/>
      <c r="AB826" s="849">
        <f t="shared" si="150"/>
        <v>130.5</v>
      </c>
      <c r="AC826" s="850">
        <f t="shared" si="151"/>
        <v>130.5</v>
      </c>
      <c r="AD826" s="851"/>
      <c r="AE826" s="852">
        <v>26253.919999999998</v>
      </c>
      <c r="AF826" s="853">
        <v>4.4999999999999998E-2</v>
      </c>
      <c r="AG826" s="854">
        <f t="shared" si="152"/>
        <v>158317.66642988715</v>
      </c>
      <c r="AH826" s="853"/>
      <c r="AI826" s="855">
        <f t="shared" si="153"/>
        <v>0</v>
      </c>
      <c r="AJ826" s="845" t="s">
        <v>2695</v>
      </c>
      <c r="AK826" s="857">
        <v>45332</v>
      </c>
      <c r="AL826" s="840" t="s">
        <v>2696</v>
      </c>
      <c r="AM826" s="840"/>
      <c r="AN826" s="858"/>
      <c r="AO826" s="844" t="s">
        <v>2697</v>
      </c>
      <c r="AP826" s="859" t="s">
        <v>2698</v>
      </c>
      <c r="AQ826" s="859" t="s">
        <v>2698</v>
      </c>
      <c r="AR826" s="859" t="s">
        <v>2699</v>
      </c>
      <c r="AS826" s="840" t="s">
        <v>2700</v>
      </c>
      <c r="AT826" s="840" t="s">
        <v>1743</v>
      </c>
      <c r="AU826" s="860" t="s">
        <v>1285</v>
      </c>
      <c r="AV826" s="839" t="s">
        <v>2701</v>
      </c>
      <c r="AW826" s="861">
        <v>45646</v>
      </c>
      <c r="AX826" s="862" t="s">
        <v>2702</v>
      </c>
      <c r="AY826" s="843" t="s">
        <v>2906</v>
      </c>
      <c r="AZ826" s="842">
        <v>39249090</v>
      </c>
      <c r="BA826" s="842" t="s">
        <v>120</v>
      </c>
      <c r="BB826" s="863" t="s">
        <v>121</v>
      </c>
      <c r="BC826" s="864">
        <v>45650</v>
      </c>
      <c r="BD826" s="860" t="s">
        <v>2705</v>
      </c>
      <c r="BE826" s="865" cm="1">
        <f t="array" ref="BE826">IF(BD826="","",AC826/SUMPRODUCT(--(BD826=$BD$4:$BD$12824),$AC$4:$AC$12824))</f>
        <v>1.8818424982908397E-3</v>
      </c>
      <c r="BF826" s="458"/>
      <c r="BG826" s="458"/>
      <c r="BH826" s="458"/>
      <c r="BI826" s="458"/>
      <c r="BJ826" s="458"/>
      <c r="BK826" s="458"/>
      <c r="BL826" s="458"/>
      <c r="BM826" s="458"/>
      <c r="BN826" s="458"/>
      <c r="BO826" s="866">
        <f>VLOOKUP(BD826,$BD$4:$BN$12824,3,0)*BE826</f>
        <v>88744.587179273818</v>
      </c>
      <c r="BP826" s="866"/>
      <c r="BQ826" s="866"/>
      <c r="BR826" s="866">
        <f>VLOOKUP(BD826,$BD$4:$BN$12824,6,0)*BE826</f>
        <v>25449.177178187023</v>
      </c>
      <c r="BS826" s="866">
        <f>VLOOKUP(BD826,$BD$4:$BN$12824,7,0)*BE826</f>
        <v>3289.2179293301083</v>
      </c>
      <c r="BT826" s="866"/>
      <c r="BU826" s="866">
        <f>VLOOKUP(BD826,$BD$4:$BN$12824,9,0)*BE826</f>
        <v>0</v>
      </c>
      <c r="BV826" s="867"/>
      <c r="BW826" s="867">
        <f>VLOOKUP(BD826,$BD$4:$BN$12824,11,0)*BE826</f>
        <v>3658.3018166773923</v>
      </c>
      <c r="BX826" s="1146">
        <f t="shared" si="156"/>
        <v>121141.28410346834</v>
      </c>
      <c r="BY826" s="867">
        <f t="shared" si="157"/>
        <v>370559.55105333554</v>
      </c>
      <c r="BZ826" s="867">
        <f t="shared" si="154"/>
        <v>3705595.5105333552</v>
      </c>
      <c r="CA826" s="867">
        <f>_xlfn.MAXIFS($BY$4:$BY$12824,$S$4:$S$12824,$S826)</f>
        <v>370559.55105333554</v>
      </c>
      <c r="CB826" s="1032"/>
      <c r="CF826" s="946">
        <f t="shared" si="155"/>
        <v>3426136.5599999996</v>
      </c>
    </row>
    <row r="827" spans="1:84">
      <c r="A827" s="1032"/>
      <c r="B827" s="839" t="s">
        <v>98</v>
      </c>
      <c r="C827" s="839" t="s">
        <v>2689</v>
      </c>
      <c r="D827" s="839" t="s">
        <v>2690</v>
      </c>
      <c r="E827" s="839" t="s">
        <v>2691</v>
      </c>
      <c r="F827" s="841">
        <v>45451</v>
      </c>
      <c r="G827" s="840" t="s">
        <v>2689</v>
      </c>
      <c r="H827" s="842" t="s">
        <v>134</v>
      </c>
      <c r="I827" s="842"/>
      <c r="J827" s="841"/>
      <c r="K827" s="841"/>
      <c r="L827" s="843" t="s">
        <v>106</v>
      </c>
      <c r="M827" s="844" t="s">
        <v>107</v>
      </c>
      <c r="N827" s="841" t="s">
        <v>2692</v>
      </c>
      <c r="O827" s="841" t="s">
        <v>150</v>
      </c>
      <c r="P827" s="841" t="s">
        <v>151</v>
      </c>
      <c r="Q827" s="843"/>
      <c r="R827" s="845" t="s">
        <v>2907</v>
      </c>
      <c r="S827" s="1127" t="s">
        <v>2908</v>
      </c>
      <c r="T827" s="843" t="s">
        <v>2909</v>
      </c>
      <c r="U827" s="842">
        <v>10</v>
      </c>
      <c r="V827" s="842" t="s">
        <v>3</v>
      </c>
      <c r="W827" s="846">
        <v>29</v>
      </c>
      <c r="X827" s="847">
        <f t="shared" si="149"/>
        <v>290</v>
      </c>
      <c r="Y827" s="848">
        <v>0.55000000000000004</v>
      </c>
      <c r="Z827" s="849">
        <v>13.05</v>
      </c>
      <c r="AA827" s="849"/>
      <c r="AB827" s="849">
        <f t="shared" si="150"/>
        <v>130.5</v>
      </c>
      <c r="AC827" s="850">
        <f t="shared" si="151"/>
        <v>130.5</v>
      </c>
      <c r="AD827" s="851"/>
      <c r="AE827" s="852">
        <v>26253.919999999998</v>
      </c>
      <c r="AF827" s="853">
        <v>4.4999999999999998E-2</v>
      </c>
      <c r="AG827" s="854">
        <f t="shared" si="152"/>
        <v>158317.66642988715</v>
      </c>
      <c r="AH827" s="853"/>
      <c r="AI827" s="855">
        <f t="shared" si="153"/>
        <v>0</v>
      </c>
      <c r="AJ827" s="845" t="s">
        <v>2695</v>
      </c>
      <c r="AK827" s="857">
        <v>45332</v>
      </c>
      <c r="AL827" s="840" t="s">
        <v>2696</v>
      </c>
      <c r="AM827" s="840"/>
      <c r="AN827" s="858"/>
      <c r="AO827" s="844" t="s">
        <v>2697</v>
      </c>
      <c r="AP827" s="859" t="s">
        <v>2698</v>
      </c>
      <c r="AQ827" s="859" t="s">
        <v>2698</v>
      </c>
      <c r="AR827" s="859" t="s">
        <v>2699</v>
      </c>
      <c r="AS827" s="840" t="s">
        <v>2700</v>
      </c>
      <c r="AT827" s="840" t="s">
        <v>1743</v>
      </c>
      <c r="AU827" s="860" t="s">
        <v>1285</v>
      </c>
      <c r="AV827" s="839" t="s">
        <v>2701</v>
      </c>
      <c r="AW827" s="861">
        <v>45646</v>
      </c>
      <c r="AX827" s="862" t="s">
        <v>2702</v>
      </c>
      <c r="AY827" s="843" t="s">
        <v>2910</v>
      </c>
      <c r="AZ827" s="842">
        <v>39249090</v>
      </c>
      <c r="BA827" s="842" t="s">
        <v>120</v>
      </c>
      <c r="BB827" s="863" t="s">
        <v>121</v>
      </c>
      <c r="BC827" s="864">
        <v>45650</v>
      </c>
      <c r="BD827" s="860" t="s">
        <v>2705</v>
      </c>
      <c r="BE827" s="865" cm="1">
        <f t="array" ref="BE827">IF(BD827="","",AC827/SUMPRODUCT(--(BD827=$BD$4:$BD$12824),$AC$4:$AC$12824))</f>
        <v>1.8818424982908397E-3</v>
      </c>
      <c r="BF827" s="458"/>
      <c r="BG827" s="458"/>
      <c r="BH827" s="458"/>
      <c r="BI827" s="458"/>
      <c r="BJ827" s="458"/>
      <c r="BK827" s="458"/>
      <c r="BL827" s="458"/>
      <c r="BM827" s="458"/>
      <c r="BN827" s="458"/>
      <c r="BO827" s="866">
        <f>VLOOKUP(BD827,$BD$4:$BN$12824,3,0)*BE827</f>
        <v>88744.587179273818</v>
      </c>
      <c r="BP827" s="866"/>
      <c r="BQ827" s="866"/>
      <c r="BR827" s="866">
        <f>VLOOKUP(BD827,$BD$4:$BN$12824,6,0)*BE827</f>
        <v>25449.177178187023</v>
      </c>
      <c r="BS827" s="866">
        <f>VLOOKUP(BD827,$BD$4:$BN$12824,7,0)*BE827</f>
        <v>3289.2179293301083</v>
      </c>
      <c r="BT827" s="866"/>
      <c r="BU827" s="866">
        <f>VLOOKUP(BD827,$BD$4:$BN$12824,9,0)*BE827</f>
        <v>0</v>
      </c>
      <c r="BV827" s="867"/>
      <c r="BW827" s="867">
        <f>VLOOKUP(BD827,$BD$4:$BN$12824,11,0)*BE827</f>
        <v>3658.3018166773923</v>
      </c>
      <c r="BX827" s="1146">
        <f t="shared" si="156"/>
        <v>121141.28410346834</v>
      </c>
      <c r="BY827" s="867">
        <f t="shared" si="157"/>
        <v>370559.55105333554</v>
      </c>
      <c r="BZ827" s="867">
        <f t="shared" si="154"/>
        <v>3705595.5105333552</v>
      </c>
      <c r="CA827" s="867">
        <f>_xlfn.MAXIFS($BY$4:$BY$12824,$S$4:$S$12824,$S827)</f>
        <v>370559.55105333554</v>
      </c>
      <c r="CB827" s="1032"/>
      <c r="CF827" s="946">
        <f t="shared" si="155"/>
        <v>3426136.5599999996</v>
      </c>
    </row>
    <row r="828" spans="1:84">
      <c r="A828" s="1032"/>
      <c r="B828" s="839" t="s">
        <v>98</v>
      </c>
      <c r="C828" s="839" t="s">
        <v>2689</v>
      </c>
      <c r="D828" s="839" t="s">
        <v>2690</v>
      </c>
      <c r="E828" s="839" t="s">
        <v>2691</v>
      </c>
      <c r="F828" s="841">
        <v>45451</v>
      </c>
      <c r="G828" s="840" t="s">
        <v>2689</v>
      </c>
      <c r="H828" s="842" t="s">
        <v>134</v>
      </c>
      <c r="I828" s="842"/>
      <c r="J828" s="841"/>
      <c r="K828" s="841"/>
      <c r="L828" s="843" t="s">
        <v>106</v>
      </c>
      <c r="M828" s="844" t="s">
        <v>107</v>
      </c>
      <c r="N828" s="841" t="s">
        <v>2692</v>
      </c>
      <c r="O828" s="841" t="s">
        <v>150</v>
      </c>
      <c r="P828" s="841" t="s">
        <v>151</v>
      </c>
      <c r="Q828" s="843"/>
      <c r="R828" s="845" t="s">
        <v>2911</v>
      </c>
      <c r="S828" s="1127" t="s">
        <v>2912</v>
      </c>
      <c r="T828" s="843" t="s">
        <v>2913</v>
      </c>
      <c r="U828" s="842">
        <v>5</v>
      </c>
      <c r="V828" s="842" t="s">
        <v>3</v>
      </c>
      <c r="W828" s="846">
        <v>319</v>
      </c>
      <c r="X828" s="847">
        <f t="shared" si="149"/>
        <v>1595</v>
      </c>
      <c r="Y828" s="848">
        <v>0.55000000000000004</v>
      </c>
      <c r="Z828" s="849">
        <v>143.55000000000001</v>
      </c>
      <c r="AA828" s="849"/>
      <c r="AB828" s="849">
        <f t="shared" si="150"/>
        <v>717.75</v>
      </c>
      <c r="AC828" s="850">
        <f t="shared" si="151"/>
        <v>717.75</v>
      </c>
      <c r="AD828" s="851"/>
      <c r="AE828" s="852">
        <v>26253.919999999998</v>
      </c>
      <c r="AF828" s="853">
        <v>4.4999999999999998E-2</v>
      </c>
      <c r="AG828" s="854">
        <f t="shared" si="152"/>
        <v>870747.16536437941</v>
      </c>
      <c r="AH828" s="853"/>
      <c r="AI828" s="855">
        <f t="shared" si="153"/>
        <v>0</v>
      </c>
      <c r="AJ828" s="845" t="s">
        <v>2695</v>
      </c>
      <c r="AK828" s="857">
        <v>45332</v>
      </c>
      <c r="AL828" s="840" t="s">
        <v>2696</v>
      </c>
      <c r="AM828" s="840"/>
      <c r="AN828" s="858"/>
      <c r="AO828" s="844" t="s">
        <v>2697</v>
      </c>
      <c r="AP828" s="859" t="s">
        <v>2698</v>
      </c>
      <c r="AQ828" s="859" t="s">
        <v>2698</v>
      </c>
      <c r="AR828" s="859" t="s">
        <v>2699</v>
      </c>
      <c r="AS828" s="840" t="s">
        <v>2700</v>
      </c>
      <c r="AT828" s="840" t="s">
        <v>1743</v>
      </c>
      <c r="AU828" s="860" t="s">
        <v>1285</v>
      </c>
      <c r="AV828" s="839" t="s">
        <v>2701</v>
      </c>
      <c r="AW828" s="861">
        <v>45646</v>
      </c>
      <c r="AX828" s="862" t="s">
        <v>2702</v>
      </c>
      <c r="AY828" s="843" t="s">
        <v>2914</v>
      </c>
      <c r="AZ828" s="842">
        <v>39249090</v>
      </c>
      <c r="BA828" s="842" t="s">
        <v>120</v>
      </c>
      <c r="BB828" s="863" t="s">
        <v>121</v>
      </c>
      <c r="BC828" s="864">
        <v>45650</v>
      </c>
      <c r="BD828" s="860" t="s">
        <v>2705</v>
      </c>
      <c r="BE828" s="865" cm="1">
        <f t="array" ref="BE828">IF(BD828="","",AC828/SUMPRODUCT(--(BD828=$BD$4:$BD$12824),$AC$4:$AC$12824))</f>
        <v>1.0350133740599619E-2</v>
      </c>
      <c r="BF828" s="458"/>
      <c r="BG828" s="458"/>
      <c r="BH828" s="458"/>
      <c r="BI828" s="458"/>
      <c r="BJ828" s="458"/>
      <c r="BK828" s="458"/>
      <c r="BL828" s="458"/>
      <c r="BM828" s="458"/>
      <c r="BN828" s="458"/>
      <c r="BO828" s="866">
        <f>VLOOKUP(BD828,$BD$4:$BN$12824,3,0)*BE828</f>
        <v>488095.22948600602</v>
      </c>
      <c r="BP828" s="866"/>
      <c r="BQ828" s="866"/>
      <c r="BR828" s="866">
        <f>VLOOKUP(BD828,$BD$4:$BN$12824,6,0)*BE828</f>
        <v>139970.47448002864</v>
      </c>
      <c r="BS828" s="866">
        <f>VLOOKUP(BD828,$BD$4:$BN$12824,7,0)*BE828</f>
        <v>18090.698611315598</v>
      </c>
      <c r="BT828" s="866"/>
      <c r="BU828" s="866">
        <f>VLOOKUP(BD828,$BD$4:$BN$12824,9,0)*BE828</f>
        <v>0</v>
      </c>
      <c r="BV828" s="867"/>
      <c r="BW828" s="867">
        <f>VLOOKUP(BD828,$BD$4:$BN$12824,11,0)*BE828</f>
        <v>20120.659991725661</v>
      </c>
      <c r="BX828" s="1146">
        <f t="shared" si="156"/>
        <v>666277.06256907596</v>
      </c>
      <c r="BY828" s="867">
        <f t="shared" si="157"/>
        <v>4076155.0615866906</v>
      </c>
      <c r="BZ828" s="867">
        <f t="shared" si="154"/>
        <v>20380775.307933453</v>
      </c>
      <c r="CA828" s="867">
        <f>_xlfn.MAXIFS($BY$4:$BY$12824,$S$4:$S$12824,$S828)</f>
        <v>4076155.0615866906</v>
      </c>
      <c r="CB828" s="1032"/>
      <c r="CF828" s="946">
        <f t="shared" si="155"/>
        <v>18843751.079999998</v>
      </c>
    </row>
    <row r="829" spans="1:84">
      <c r="A829" s="1032"/>
      <c r="B829" s="839" t="s">
        <v>98</v>
      </c>
      <c r="C829" s="839" t="s">
        <v>2689</v>
      </c>
      <c r="D829" s="839" t="s">
        <v>2690</v>
      </c>
      <c r="E829" s="839" t="s">
        <v>2691</v>
      </c>
      <c r="F829" s="841">
        <v>45451</v>
      </c>
      <c r="G829" s="840" t="s">
        <v>2689</v>
      </c>
      <c r="H829" s="842" t="s">
        <v>134</v>
      </c>
      <c r="I829" s="842"/>
      <c r="J829" s="841"/>
      <c r="K829" s="841"/>
      <c r="L829" s="843" t="s">
        <v>106</v>
      </c>
      <c r="M829" s="844" t="s">
        <v>107</v>
      </c>
      <c r="N829" s="841" t="s">
        <v>2692</v>
      </c>
      <c r="O829" s="841" t="s">
        <v>150</v>
      </c>
      <c r="P829" s="841" t="s">
        <v>151</v>
      </c>
      <c r="Q829" s="843"/>
      <c r="R829" s="845" t="s">
        <v>2915</v>
      </c>
      <c r="S829" s="1127" t="s">
        <v>2916</v>
      </c>
      <c r="T829" s="843" t="s">
        <v>2917</v>
      </c>
      <c r="U829" s="842">
        <v>5</v>
      </c>
      <c r="V829" s="842" t="s">
        <v>3</v>
      </c>
      <c r="W829" s="846">
        <v>319</v>
      </c>
      <c r="X829" s="847">
        <f t="shared" si="149"/>
        <v>1595</v>
      </c>
      <c r="Y829" s="848">
        <v>0.55000000000000004</v>
      </c>
      <c r="Z829" s="849">
        <v>143.55000000000001</v>
      </c>
      <c r="AA829" s="849"/>
      <c r="AB829" s="849">
        <f t="shared" si="150"/>
        <v>717.75</v>
      </c>
      <c r="AC829" s="850">
        <f t="shared" si="151"/>
        <v>717.75</v>
      </c>
      <c r="AD829" s="851"/>
      <c r="AE829" s="852">
        <v>26253.919999999998</v>
      </c>
      <c r="AF829" s="853">
        <v>4.4999999999999998E-2</v>
      </c>
      <c r="AG829" s="854">
        <f t="shared" si="152"/>
        <v>870747.16536437941</v>
      </c>
      <c r="AH829" s="853"/>
      <c r="AI829" s="855">
        <f t="shared" si="153"/>
        <v>0</v>
      </c>
      <c r="AJ829" s="845" t="s">
        <v>2695</v>
      </c>
      <c r="AK829" s="857">
        <v>45332</v>
      </c>
      <c r="AL829" s="840" t="s">
        <v>2696</v>
      </c>
      <c r="AM829" s="840"/>
      <c r="AN829" s="858"/>
      <c r="AO829" s="844" t="s">
        <v>2697</v>
      </c>
      <c r="AP829" s="859" t="s">
        <v>2698</v>
      </c>
      <c r="AQ829" s="859" t="s">
        <v>2698</v>
      </c>
      <c r="AR829" s="859" t="s">
        <v>2699</v>
      </c>
      <c r="AS829" s="840" t="s">
        <v>2700</v>
      </c>
      <c r="AT829" s="840" t="s">
        <v>1743</v>
      </c>
      <c r="AU829" s="860" t="s">
        <v>1285</v>
      </c>
      <c r="AV829" s="839" t="s">
        <v>2701</v>
      </c>
      <c r="AW829" s="861">
        <v>45646</v>
      </c>
      <c r="AX829" s="862" t="s">
        <v>2702</v>
      </c>
      <c r="AY829" s="843" t="s">
        <v>2918</v>
      </c>
      <c r="AZ829" s="842">
        <v>39249090</v>
      </c>
      <c r="BA829" s="842" t="s">
        <v>120</v>
      </c>
      <c r="BB829" s="863" t="s">
        <v>121</v>
      </c>
      <c r="BC829" s="864">
        <v>45650</v>
      </c>
      <c r="BD829" s="860" t="s">
        <v>2705</v>
      </c>
      <c r="BE829" s="865" cm="1">
        <f t="array" ref="BE829">IF(BD829="","",AC829/SUMPRODUCT(--(BD829=$BD$4:$BD$12824),$AC$4:$AC$12824))</f>
        <v>1.0350133740599619E-2</v>
      </c>
      <c r="BF829" s="458"/>
      <c r="BG829" s="458"/>
      <c r="BH829" s="458"/>
      <c r="BI829" s="458"/>
      <c r="BJ829" s="458"/>
      <c r="BK829" s="458"/>
      <c r="BL829" s="458"/>
      <c r="BM829" s="458"/>
      <c r="BN829" s="458"/>
      <c r="BO829" s="866">
        <f>VLOOKUP(BD829,$BD$4:$BN$12824,3,0)*BE829</f>
        <v>488095.22948600602</v>
      </c>
      <c r="BP829" s="866"/>
      <c r="BQ829" s="866"/>
      <c r="BR829" s="866">
        <f>VLOOKUP(BD829,$BD$4:$BN$12824,6,0)*BE829</f>
        <v>139970.47448002864</v>
      </c>
      <c r="BS829" s="866">
        <f>VLOOKUP(BD829,$BD$4:$BN$12824,7,0)*BE829</f>
        <v>18090.698611315598</v>
      </c>
      <c r="BT829" s="866"/>
      <c r="BU829" s="866">
        <f>VLOOKUP(BD829,$BD$4:$BN$12824,9,0)*BE829</f>
        <v>0</v>
      </c>
      <c r="BV829" s="867"/>
      <c r="BW829" s="867">
        <f>VLOOKUP(BD829,$BD$4:$BN$12824,11,0)*BE829</f>
        <v>20120.659991725661</v>
      </c>
      <c r="BX829" s="1146">
        <f t="shared" si="156"/>
        <v>666277.06256907596</v>
      </c>
      <c r="BY829" s="867">
        <f t="shared" si="157"/>
        <v>4076155.0615866906</v>
      </c>
      <c r="BZ829" s="867">
        <f t="shared" si="154"/>
        <v>20380775.307933453</v>
      </c>
      <c r="CA829" s="867">
        <f>_xlfn.MAXIFS($BY$4:$BY$12824,$S$4:$S$12824,$S829)</f>
        <v>4076155.0615866906</v>
      </c>
      <c r="CB829" s="1032"/>
      <c r="CF829" s="946">
        <f t="shared" si="155"/>
        <v>18843751.079999998</v>
      </c>
    </row>
    <row r="830" spans="1:84">
      <c r="A830" s="1032"/>
      <c r="B830" s="839" t="s">
        <v>98</v>
      </c>
      <c r="C830" s="839" t="s">
        <v>2689</v>
      </c>
      <c r="D830" s="839" t="s">
        <v>2690</v>
      </c>
      <c r="E830" s="839" t="s">
        <v>2691</v>
      </c>
      <c r="F830" s="841">
        <v>45451</v>
      </c>
      <c r="G830" s="840" t="s">
        <v>2689</v>
      </c>
      <c r="H830" s="842" t="s">
        <v>134</v>
      </c>
      <c r="I830" s="842"/>
      <c r="J830" s="841"/>
      <c r="K830" s="841"/>
      <c r="L830" s="843" t="s">
        <v>106</v>
      </c>
      <c r="M830" s="844" t="s">
        <v>107</v>
      </c>
      <c r="N830" s="841" t="s">
        <v>2692</v>
      </c>
      <c r="O830" s="841" t="s">
        <v>150</v>
      </c>
      <c r="P830" s="841" t="s">
        <v>151</v>
      </c>
      <c r="Q830" s="843"/>
      <c r="R830" s="845" t="s">
        <v>2919</v>
      </c>
      <c r="S830" s="1127" t="s">
        <v>2920</v>
      </c>
      <c r="T830" s="843" t="s">
        <v>2921</v>
      </c>
      <c r="U830" s="842">
        <v>5</v>
      </c>
      <c r="V830" s="842" t="s">
        <v>3</v>
      </c>
      <c r="W830" s="846">
        <v>319</v>
      </c>
      <c r="X830" s="847">
        <f t="shared" si="149"/>
        <v>1595</v>
      </c>
      <c r="Y830" s="848">
        <v>0.55000000000000004</v>
      </c>
      <c r="Z830" s="849">
        <v>143.55000000000001</v>
      </c>
      <c r="AA830" s="849"/>
      <c r="AB830" s="849">
        <f t="shared" si="150"/>
        <v>717.75</v>
      </c>
      <c r="AC830" s="850">
        <f t="shared" si="151"/>
        <v>717.75</v>
      </c>
      <c r="AD830" s="851"/>
      <c r="AE830" s="852">
        <v>26253.919999999998</v>
      </c>
      <c r="AF830" s="853">
        <v>4.4999999999999998E-2</v>
      </c>
      <c r="AG830" s="854">
        <f t="shared" si="152"/>
        <v>870747.16536437941</v>
      </c>
      <c r="AH830" s="853"/>
      <c r="AI830" s="855">
        <f t="shared" si="153"/>
        <v>0</v>
      </c>
      <c r="AJ830" s="845" t="s">
        <v>2695</v>
      </c>
      <c r="AK830" s="857">
        <v>45332</v>
      </c>
      <c r="AL830" s="840" t="s">
        <v>2696</v>
      </c>
      <c r="AM830" s="840"/>
      <c r="AN830" s="858"/>
      <c r="AO830" s="844" t="s">
        <v>2697</v>
      </c>
      <c r="AP830" s="859" t="s">
        <v>2698</v>
      </c>
      <c r="AQ830" s="859" t="s">
        <v>2698</v>
      </c>
      <c r="AR830" s="859" t="s">
        <v>2699</v>
      </c>
      <c r="AS830" s="840" t="s">
        <v>2700</v>
      </c>
      <c r="AT830" s="840" t="s">
        <v>1743</v>
      </c>
      <c r="AU830" s="860" t="s">
        <v>1285</v>
      </c>
      <c r="AV830" s="839" t="s">
        <v>2701</v>
      </c>
      <c r="AW830" s="861">
        <v>45646</v>
      </c>
      <c r="AX830" s="862" t="s">
        <v>2702</v>
      </c>
      <c r="AY830" s="843" t="s">
        <v>2922</v>
      </c>
      <c r="AZ830" s="842">
        <v>39249090</v>
      </c>
      <c r="BA830" s="842" t="s">
        <v>120</v>
      </c>
      <c r="BB830" s="863" t="s">
        <v>121</v>
      </c>
      <c r="BC830" s="864">
        <v>45650</v>
      </c>
      <c r="BD830" s="860" t="s">
        <v>2705</v>
      </c>
      <c r="BE830" s="865" cm="1">
        <f t="array" ref="BE830">IF(BD830="","",AC830/SUMPRODUCT(--(BD830=$BD$4:$BD$12824),$AC$4:$AC$12824))</f>
        <v>1.0350133740599619E-2</v>
      </c>
      <c r="BF830" s="458"/>
      <c r="BG830" s="458"/>
      <c r="BH830" s="458"/>
      <c r="BI830" s="458"/>
      <c r="BJ830" s="458"/>
      <c r="BK830" s="458"/>
      <c r="BL830" s="458"/>
      <c r="BM830" s="458"/>
      <c r="BN830" s="458"/>
      <c r="BO830" s="866">
        <f>VLOOKUP(BD830,$BD$4:$BN$12824,3,0)*BE830</f>
        <v>488095.22948600602</v>
      </c>
      <c r="BP830" s="866"/>
      <c r="BQ830" s="866"/>
      <c r="BR830" s="866">
        <f>VLOOKUP(BD830,$BD$4:$BN$12824,6,0)*BE830</f>
        <v>139970.47448002864</v>
      </c>
      <c r="BS830" s="866">
        <f>VLOOKUP(BD830,$BD$4:$BN$12824,7,0)*BE830</f>
        <v>18090.698611315598</v>
      </c>
      <c r="BT830" s="866"/>
      <c r="BU830" s="866">
        <f>VLOOKUP(BD830,$BD$4:$BN$12824,9,0)*BE830</f>
        <v>0</v>
      </c>
      <c r="BV830" s="867"/>
      <c r="BW830" s="867">
        <f>VLOOKUP(BD830,$BD$4:$BN$12824,11,0)*BE830</f>
        <v>20120.659991725661</v>
      </c>
      <c r="BX830" s="1146">
        <f t="shared" si="156"/>
        <v>666277.06256907596</v>
      </c>
      <c r="BY830" s="867">
        <f t="shared" si="157"/>
        <v>4076155.0615866906</v>
      </c>
      <c r="BZ830" s="867">
        <f t="shared" si="154"/>
        <v>20380775.307933453</v>
      </c>
      <c r="CA830" s="867">
        <f>_xlfn.MAXIFS($BY$4:$BY$12824,$S$4:$S$12824,$S830)</f>
        <v>4076155.0615866906</v>
      </c>
      <c r="CB830" s="1032"/>
      <c r="CF830" s="946">
        <f t="shared" si="155"/>
        <v>18843751.079999998</v>
      </c>
    </row>
    <row r="831" spans="1:84">
      <c r="A831" s="1032"/>
      <c r="B831" s="839" t="s">
        <v>98</v>
      </c>
      <c r="C831" s="839" t="s">
        <v>2689</v>
      </c>
      <c r="D831" s="839" t="s">
        <v>2690</v>
      </c>
      <c r="E831" s="839" t="s">
        <v>2691</v>
      </c>
      <c r="F831" s="841">
        <v>45451</v>
      </c>
      <c r="G831" s="840" t="s">
        <v>2689</v>
      </c>
      <c r="H831" s="842" t="s">
        <v>134</v>
      </c>
      <c r="I831" s="842"/>
      <c r="J831" s="841"/>
      <c r="K831" s="841"/>
      <c r="L831" s="843" t="s">
        <v>106</v>
      </c>
      <c r="M831" s="844" t="s">
        <v>107</v>
      </c>
      <c r="N831" s="841" t="s">
        <v>2692</v>
      </c>
      <c r="O831" s="841" t="s">
        <v>150</v>
      </c>
      <c r="P831" s="841" t="s">
        <v>151</v>
      </c>
      <c r="Q831" s="843"/>
      <c r="R831" s="845" t="s">
        <v>2923</v>
      </c>
      <c r="S831" s="1127" t="s">
        <v>2924</v>
      </c>
      <c r="T831" s="843" t="s">
        <v>2925</v>
      </c>
      <c r="U831" s="842">
        <v>10</v>
      </c>
      <c r="V831" s="842" t="s">
        <v>3</v>
      </c>
      <c r="W831" s="846">
        <v>255</v>
      </c>
      <c r="X831" s="847">
        <f t="shared" si="149"/>
        <v>2550</v>
      </c>
      <c r="Y831" s="848">
        <v>0.55000000000000004</v>
      </c>
      <c r="Z831" s="849">
        <v>114.75</v>
      </c>
      <c r="AA831" s="849"/>
      <c r="AB831" s="849">
        <f t="shared" si="150"/>
        <v>1147.5</v>
      </c>
      <c r="AC831" s="850">
        <f t="shared" si="151"/>
        <v>1147.5</v>
      </c>
      <c r="AD831" s="851"/>
      <c r="AE831" s="852">
        <v>26253.919999999998</v>
      </c>
      <c r="AF831" s="853">
        <v>4.4999999999999998E-2</v>
      </c>
      <c r="AG831" s="854">
        <f t="shared" si="152"/>
        <v>1392103.6186076286</v>
      </c>
      <c r="AH831" s="853"/>
      <c r="AI831" s="855">
        <f t="shared" si="153"/>
        <v>0</v>
      </c>
      <c r="AJ831" s="845" t="s">
        <v>2695</v>
      </c>
      <c r="AK831" s="857">
        <v>45332</v>
      </c>
      <c r="AL831" s="840" t="s">
        <v>2696</v>
      </c>
      <c r="AM831" s="840"/>
      <c r="AN831" s="858"/>
      <c r="AO831" s="844" t="s">
        <v>2697</v>
      </c>
      <c r="AP831" s="859" t="s">
        <v>2698</v>
      </c>
      <c r="AQ831" s="859" t="s">
        <v>2698</v>
      </c>
      <c r="AR831" s="859" t="s">
        <v>2699</v>
      </c>
      <c r="AS831" s="840" t="s">
        <v>2700</v>
      </c>
      <c r="AT831" s="840" t="s">
        <v>1743</v>
      </c>
      <c r="AU831" s="860" t="s">
        <v>1285</v>
      </c>
      <c r="AV831" s="839" t="s">
        <v>2701</v>
      </c>
      <c r="AW831" s="861">
        <v>45646</v>
      </c>
      <c r="AX831" s="862" t="s">
        <v>2702</v>
      </c>
      <c r="AY831" s="843" t="s">
        <v>2926</v>
      </c>
      <c r="AZ831" s="842">
        <v>39249090</v>
      </c>
      <c r="BA831" s="842" t="s">
        <v>120</v>
      </c>
      <c r="BB831" s="863" t="s">
        <v>121</v>
      </c>
      <c r="BC831" s="864">
        <v>45650</v>
      </c>
      <c r="BD831" s="860" t="s">
        <v>2705</v>
      </c>
      <c r="BE831" s="865" cm="1">
        <f t="array" ref="BE831">IF(BD831="","",AC831/SUMPRODUCT(--(BD831=$BD$4:$BD$12824),$AC$4:$AC$12824))</f>
        <v>1.6547235760833248E-2</v>
      </c>
      <c r="BF831" s="458"/>
      <c r="BG831" s="458"/>
      <c r="BH831" s="458"/>
      <c r="BI831" s="458"/>
      <c r="BJ831" s="458"/>
      <c r="BK831" s="458"/>
      <c r="BL831" s="458"/>
      <c r="BM831" s="458"/>
      <c r="BN831" s="458"/>
      <c r="BO831" s="866">
        <f>VLOOKUP(BD831,$BD$4:$BN$12824,3,0)*BE831</f>
        <v>780340.33554189058</v>
      </c>
      <c r="BP831" s="866"/>
      <c r="BQ831" s="866"/>
      <c r="BR831" s="866">
        <f>VLOOKUP(BD831,$BD$4:$BN$12824,6,0)*BE831</f>
        <v>223777.24760129969</v>
      </c>
      <c r="BS831" s="866">
        <f>VLOOKUP(BD831,$BD$4:$BN$12824,7,0)*BE831</f>
        <v>28922.433516523368</v>
      </c>
      <c r="BT831" s="866"/>
      <c r="BU831" s="866">
        <f>VLOOKUP(BD831,$BD$4:$BN$12824,9,0)*BE831</f>
        <v>0</v>
      </c>
      <c r="BV831" s="867"/>
      <c r="BW831" s="867">
        <f>VLOOKUP(BD831,$BD$4:$BN$12824,11,0)*BE831</f>
        <v>32167.826319059834</v>
      </c>
      <c r="BX831" s="1146">
        <f t="shared" si="156"/>
        <v>1065207.8429787734</v>
      </c>
      <c r="BY831" s="867">
        <f t="shared" si="157"/>
        <v>3258368.4661586401</v>
      </c>
      <c r="BZ831" s="867">
        <f t="shared" si="154"/>
        <v>32583684.6615864</v>
      </c>
      <c r="CA831" s="867">
        <f>_xlfn.MAXIFS($BY$4:$BY$12824,$S$4:$S$12824,$S831)</f>
        <v>3258368.4661586401</v>
      </c>
      <c r="CB831" s="1032"/>
      <c r="CF831" s="946">
        <f t="shared" si="155"/>
        <v>30126373.199999999</v>
      </c>
    </row>
    <row r="832" spans="1:84">
      <c r="A832" s="1032"/>
      <c r="B832" s="839" t="s">
        <v>98</v>
      </c>
      <c r="C832" s="839" t="s">
        <v>2689</v>
      </c>
      <c r="D832" s="839" t="s">
        <v>2690</v>
      </c>
      <c r="E832" s="839" t="s">
        <v>2691</v>
      </c>
      <c r="F832" s="841">
        <v>45451</v>
      </c>
      <c r="G832" s="840" t="s">
        <v>2689</v>
      </c>
      <c r="H832" s="842" t="s">
        <v>134</v>
      </c>
      <c r="I832" s="842"/>
      <c r="J832" s="841"/>
      <c r="K832" s="841"/>
      <c r="L832" s="843" t="s">
        <v>106</v>
      </c>
      <c r="M832" s="844" t="s">
        <v>107</v>
      </c>
      <c r="N832" s="841" t="s">
        <v>2692</v>
      </c>
      <c r="O832" s="841" t="s">
        <v>150</v>
      </c>
      <c r="P832" s="841" t="s">
        <v>151</v>
      </c>
      <c r="Q832" s="843"/>
      <c r="R832" s="845" t="s">
        <v>2927</v>
      </c>
      <c r="S832" s="1127" t="s">
        <v>2928</v>
      </c>
      <c r="T832" s="843" t="s">
        <v>2929</v>
      </c>
      <c r="U832" s="842">
        <v>5</v>
      </c>
      <c r="V832" s="842" t="s">
        <v>3</v>
      </c>
      <c r="W832" s="846">
        <v>255</v>
      </c>
      <c r="X832" s="847">
        <f t="shared" si="149"/>
        <v>1275</v>
      </c>
      <c r="Y832" s="848">
        <v>0.55000000000000004</v>
      </c>
      <c r="Z832" s="849">
        <v>114.75</v>
      </c>
      <c r="AA832" s="849"/>
      <c r="AB832" s="849">
        <f t="shared" si="150"/>
        <v>573.75</v>
      </c>
      <c r="AC832" s="850">
        <f t="shared" si="151"/>
        <v>573.75</v>
      </c>
      <c r="AD832" s="851"/>
      <c r="AE832" s="852">
        <v>26253.919999999998</v>
      </c>
      <c r="AF832" s="853">
        <v>4.4999999999999998E-2</v>
      </c>
      <c r="AG832" s="854">
        <f t="shared" si="152"/>
        <v>696051.80930381431</v>
      </c>
      <c r="AH832" s="853"/>
      <c r="AI832" s="855">
        <f t="shared" si="153"/>
        <v>0</v>
      </c>
      <c r="AJ832" s="845" t="s">
        <v>2695</v>
      </c>
      <c r="AK832" s="857">
        <v>45332</v>
      </c>
      <c r="AL832" s="840" t="s">
        <v>2696</v>
      </c>
      <c r="AM832" s="840"/>
      <c r="AN832" s="858"/>
      <c r="AO832" s="844" t="s">
        <v>2697</v>
      </c>
      <c r="AP832" s="859" t="s">
        <v>2698</v>
      </c>
      <c r="AQ832" s="859" t="s">
        <v>2698</v>
      </c>
      <c r="AR832" s="859" t="s">
        <v>2699</v>
      </c>
      <c r="AS832" s="840" t="s">
        <v>2700</v>
      </c>
      <c r="AT832" s="840" t="s">
        <v>1743</v>
      </c>
      <c r="AU832" s="860" t="s">
        <v>1285</v>
      </c>
      <c r="AV832" s="839" t="s">
        <v>2701</v>
      </c>
      <c r="AW832" s="861">
        <v>45646</v>
      </c>
      <c r="AX832" s="862" t="s">
        <v>2702</v>
      </c>
      <c r="AY832" s="843" t="s">
        <v>2930</v>
      </c>
      <c r="AZ832" s="842">
        <v>39249090</v>
      </c>
      <c r="BA832" s="842" t="s">
        <v>120</v>
      </c>
      <c r="BB832" s="863" t="s">
        <v>121</v>
      </c>
      <c r="BC832" s="864">
        <v>45650</v>
      </c>
      <c r="BD832" s="860" t="s">
        <v>2705</v>
      </c>
      <c r="BE832" s="865" cm="1">
        <f t="array" ref="BE832">IF(BD832="","",AC832/SUMPRODUCT(--(BD832=$BD$4:$BD$12824),$AC$4:$AC$12824))</f>
        <v>8.2736178804166238E-3</v>
      </c>
      <c r="BF832" s="458"/>
      <c r="BG832" s="458"/>
      <c r="BH832" s="458"/>
      <c r="BI832" s="458"/>
      <c r="BJ832" s="458"/>
      <c r="BK832" s="458"/>
      <c r="BL832" s="458"/>
      <c r="BM832" s="458"/>
      <c r="BN832" s="458"/>
      <c r="BO832" s="866">
        <f>VLOOKUP(BD832,$BD$4:$BN$12824,3,0)*BE832</f>
        <v>390170.16777094529</v>
      </c>
      <c r="BP832" s="866"/>
      <c r="BQ832" s="866"/>
      <c r="BR832" s="866">
        <f>VLOOKUP(BD832,$BD$4:$BN$12824,6,0)*BE832</f>
        <v>111888.62380064985</v>
      </c>
      <c r="BS832" s="866">
        <f>VLOOKUP(BD832,$BD$4:$BN$12824,7,0)*BE832</f>
        <v>14461.216758261684</v>
      </c>
      <c r="BT832" s="866"/>
      <c r="BU832" s="866">
        <f>VLOOKUP(BD832,$BD$4:$BN$12824,9,0)*BE832</f>
        <v>0</v>
      </c>
      <c r="BV832" s="867"/>
      <c r="BW832" s="867">
        <f>VLOOKUP(BD832,$BD$4:$BN$12824,11,0)*BE832</f>
        <v>16083.913159529917</v>
      </c>
      <c r="BX832" s="1146">
        <f t="shared" si="156"/>
        <v>532603.9214893867</v>
      </c>
      <c r="BY832" s="867">
        <f t="shared" si="157"/>
        <v>3258368.4661586401</v>
      </c>
      <c r="BZ832" s="867">
        <f t="shared" si="154"/>
        <v>16291842.3307932</v>
      </c>
      <c r="CA832" s="867">
        <f>_xlfn.MAXIFS($BY$4:$BY$12824,$S$4:$S$12824,$S832)</f>
        <v>3258368.4661586401</v>
      </c>
      <c r="CB832" s="1032"/>
      <c r="CF832" s="946">
        <f t="shared" si="155"/>
        <v>15063186.6</v>
      </c>
    </row>
    <row r="833" spans="1:84">
      <c r="A833" s="1032"/>
      <c r="B833" s="839" t="s">
        <v>98</v>
      </c>
      <c r="C833" s="839" t="s">
        <v>2689</v>
      </c>
      <c r="D833" s="839" t="s">
        <v>2690</v>
      </c>
      <c r="E833" s="839" t="s">
        <v>2691</v>
      </c>
      <c r="F833" s="841">
        <v>45451</v>
      </c>
      <c r="G833" s="840" t="s">
        <v>2689</v>
      </c>
      <c r="H833" s="842" t="s">
        <v>134</v>
      </c>
      <c r="I833" s="842"/>
      <c r="J833" s="841"/>
      <c r="K833" s="841"/>
      <c r="L833" s="843" t="s">
        <v>106</v>
      </c>
      <c r="M833" s="844" t="s">
        <v>107</v>
      </c>
      <c r="N833" s="841" t="s">
        <v>2692</v>
      </c>
      <c r="O833" s="841" t="s">
        <v>150</v>
      </c>
      <c r="P833" s="841" t="s">
        <v>151</v>
      </c>
      <c r="Q833" s="843"/>
      <c r="R833" s="845" t="s">
        <v>2931</v>
      </c>
      <c r="S833" s="1127" t="s">
        <v>2932</v>
      </c>
      <c r="T833" s="843" t="s">
        <v>2933</v>
      </c>
      <c r="U833" s="842">
        <v>5</v>
      </c>
      <c r="V833" s="842" t="s">
        <v>3</v>
      </c>
      <c r="W833" s="846">
        <v>255</v>
      </c>
      <c r="X833" s="847">
        <f t="shared" si="149"/>
        <v>1275</v>
      </c>
      <c r="Y833" s="848">
        <v>0.55000000000000004</v>
      </c>
      <c r="Z833" s="849">
        <v>114.75</v>
      </c>
      <c r="AA833" s="849"/>
      <c r="AB833" s="849">
        <f t="shared" si="150"/>
        <v>573.75</v>
      </c>
      <c r="AC833" s="850">
        <f t="shared" si="151"/>
        <v>573.75</v>
      </c>
      <c r="AD833" s="851"/>
      <c r="AE833" s="852">
        <v>26253.919999999998</v>
      </c>
      <c r="AF833" s="853">
        <v>4.4999999999999998E-2</v>
      </c>
      <c r="AG833" s="854">
        <f t="shared" si="152"/>
        <v>696051.80930381431</v>
      </c>
      <c r="AH833" s="853"/>
      <c r="AI833" s="855">
        <f t="shared" si="153"/>
        <v>0</v>
      </c>
      <c r="AJ833" s="845" t="s">
        <v>2695</v>
      </c>
      <c r="AK833" s="857">
        <v>45332</v>
      </c>
      <c r="AL833" s="840" t="s">
        <v>2696</v>
      </c>
      <c r="AM833" s="840"/>
      <c r="AN833" s="858"/>
      <c r="AO833" s="844" t="s">
        <v>2697</v>
      </c>
      <c r="AP833" s="859" t="s">
        <v>2698</v>
      </c>
      <c r="AQ833" s="859" t="s">
        <v>2698</v>
      </c>
      <c r="AR833" s="859" t="s">
        <v>2699</v>
      </c>
      <c r="AS833" s="840" t="s">
        <v>2700</v>
      </c>
      <c r="AT833" s="840" t="s">
        <v>1743</v>
      </c>
      <c r="AU833" s="860" t="s">
        <v>1285</v>
      </c>
      <c r="AV833" s="839" t="s">
        <v>2701</v>
      </c>
      <c r="AW833" s="861">
        <v>45646</v>
      </c>
      <c r="AX833" s="862" t="s">
        <v>2702</v>
      </c>
      <c r="AY833" s="843" t="s">
        <v>2934</v>
      </c>
      <c r="AZ833" s="842">
        <v>39249090</v>
      </c>
      <c r="BA833" s="842" t="s">
        <v>120</v>
      </c>
      <c r="BB833" s="863" t="s">
        <v>121</v>
      </c>
      <c r="BC833" s="864">
        <v>45650</v>
      </c>
      <c r="BD833" s="860" t="s">
        <v>2705</v>
      </c>
      <c r="BE833" s="865" cm="1">
        <f t="array" ref="BE833">IF(BD833="","",AC833/SUMPRODUCT(--(BD833=$BD$4:$BD$12824),$AC$4:$AC$12824))</f>
        <v>8.2736178804166238E-3</v>
      </c>
      <c r="BF833" s="458"/>
      <c r="BG833" s="458"/>
      <c r="BH833" s="458"/>
      <c r="BI833" s="458"/>
      <c r="BJ833" s="458"/>
      <c r="BK833" s="458"/>
      <c r="BL833" s="458"/>
      <c r="BM833" s="458"/>
      <c r="BN833" s="458"/>
      <c r="BO833" s="866">
        <f>VLOOKUP(BD833,$BD$4:$BN$12824,3,0)*BE833</f>
        <v>390170.16777094529</v>
      </c>
      <c r="BP833" s="866"/>
      <c r="BQ833" s="866"/>
      <c r="BR833" s="866">
        <f>VLOOKUP(BD833,$BD$4:$BN$12824,6,0)*BE833</f>
        <v>111888.62380064985</v>
      </c>
      <c r="BS833" s="866">
        <f>VLOOKUP(BD833,$BD$4:$BN$12824,7,0)*BE833</f>
        <v>14461.216758261684</v>
      </c>
      <c r="BT833" s="866"/>
      <c r="BU833" s="866">
        <f>VLOOKUP(BD833,$BD$4:$BN$12824,9,0)*BE833</f>
        <v>0</v>
      </c>
      <c r="BV833" s="867"/>
      <c r="BW833" s="867">
        <f>VLOOKUP(BD833,$BD$4:$BN$12824,11,0)*BE833</f>
        <v>16083.913159529917</v>
      </c>
      <c r="BX833" s="1146">
        <f t="shared" si="156"/>
        <v>532603.9214893867</v>
      </c>
      <c r="BY833" s="867">
        <f t="shared" si="157"/>
        <v>3258368.4661586401</v>
      </c>
      <c r="BZ833" s="867">
        <f t="shared" si="154"/>
        <v>16291842.3307932</v>
      </c>
      <c r="CA833" s="867">
        <f>_xlfn.MAXIFS($BY$4:$BY$12824,$S$4:$S$12824,$S833)</f>
        <v>3258368.4661586401</v>
      </c>
      <c r="CB833" s="1032"/>
      <c r="CF833" s="946">
        <f t="shared" si="155"/>
        <v>15063186.6</v>
      </c>
    </row>
    <row r="834" spans="1:84">
      <c r="A834" s="1032"/>
      <c r="B834" s="839" t="s">
        <v>98</v>
      </c>
      <c r="C834" s="839" t="s">
        <v>2689</v>
      </c>
      <c r="D834" s="839" t="s">
        <v>2690</v>
      </c>
      <c r="E834" s="839" t="s">
        <v>2691</v>
      </c>
      <c r="F834" s="841">
        <v>45451</v>
      </c>
      <c r="G834" s="840" t="s">
        <v>2689</v>
      </c>
      <c r="H834" s="842" t="s">
        <v>134</v>
      </c>
      <c r="I834" s="842"/>
      <c r="J834" s="841"/>
      <c r="K834" s="841"/>
      <c r="L834" s="843" t="s">
        <v>106</v>
      </c>
      <c r="M834" s="844" t="s">
        <v>107</v>
      </c>
      <c r="N834" s="841" t="s">
        <v>2692</v>
      </c>
      <c r="O834" s="841" t="s">
        <v>150</v>
      </c>
      <c r="P834" s="841" t="s">
        <v>151</v>
      </c>
      <c r="Q834" s="843"/>
      <c r="R834" s="845" t="s">
        <v>2935</v>
      </c>
      <c r="S834" s="1127" t="s">
        <v>2936</v>
      </c>
      <c r="T834" s="843" t="s">
        <v>2937</v>
      </c>
      <c r="U834" s="842">
        <v>5</v>
      </c>
      <c r="V834" s="842" t="s">
        <v>3</v>
      </c>
      <c r="W834" s="846">
        <v>65</v>
      </c>
      <c r="X834" s="847">
        <f t="shared" ref="X834:X897" si="158">W834*U834</f>
        <v>325</v>
      </c>
      <c r="Y834" s="848">
        <v>0.55000000000000004</v>
      </c>
      <c r="Z834" s="849">
        <v>29.25</v>
      </c>
      <c r="AA834" s="849"/>
      <c r="AB834" s="849">
        <f t="shared" ref="AB834:AB897" si="159">IF(AA834="F.O.C", 0, Z834*U834)</f>
        <v>146.25</v>
      </c>
      <c r="AC834" s="850">
        <f t="shared" ref="AC834:AC897" si="160">Z834*U834</f>
        <v>146.25</v>
      </c>
      <c r="AD834" s="851"/>
      <c r="AE834" s="852">
        <v>26253.919999999998</v>
      </c>
      <c r="AF834" s="853">
        <v>0</v>
      </c>
      <c r="AG834" s="854">
        <f t="shared" ref="AG834:AG897" si="161">(AC834*AE834+BO834+BP834+BQ834+BS834)*AF834</f>
        <v>0</v>
      </c>
      <c r="AH834" s="853"/>
      <c r="AI834" s="855">
        <f t="shared" ref="AI834:AI897" si="162">(AC834*AE834+AG834+BF834+BG834+BH834+BJ834)*AH834</f>
        <v>0</v>
      </c>
      <c r="AJ834" s="845" t="s">
        <v>2695</v>
      </c>
      <c r="AK834" s="857">
        <v>45332</v>
      </c>
      <c r="AL834" s="840" t="s">
        <v>2696</v>
      </c>
      <c r="AM834" s="840"/>
      <c r="AN834" s="858"/>
      <c r="AO834" s="844" t="s">
        <v>2697</v>
      </c>
      <c r="AP834" s="859" t="s">
        <v>2698</v>
      </c>
      <c r="AQ834" s="859" t="s">
        <v>2698</v>
      </c>
      <c r="AR834" s="859" t="s">
        <v>2699</v>
      </c>
      <c r="AS834" s="840" t="s">
        <v>2700</v>
      </c>
      <c r="AT834" s="840" t="s">
        <v>1743</v>
      </c>
      <c r="AU834" s="860" t="s">
        <v>1285</v>
      </c>
      <c r="AV834" s="839" t="s">
        <v>2701</v>
      </c>
      <c r="AW834" s="861">
        <v>45646</v>
      </c>
      <c r="AX834" s="862" t="s">
        <v>2702</v>
      </c>
      <c r="AY834" s="843" t="s">
        <v>2938</v>
      </c>
      <c r="AZ834" s="842" t="s">
        <v>2939</v>
      </c>
      <c r="BA834" s="842" t="s">
        <v>120</v>
      </c>
      <c r="BB834" s="863" t="s">
        <v>121</v>
      </c>
      <c r="BC834" s="864">
        <v>45650</v>
      </c>
      <c r="BD834" s="860" t="s">
        <v>2705</v>
      </c>
      <c r="BE834" s="865" cm="1">
        <f t="array" ref="BE834">IF(BD834="","",AC834/SUMPRODUCT(--(BD834=$BD$4:$BD$12824),$AC$4:$AC$12824))</f>
        <v>2.1089614204983548E-3</v>
      </c>
      <c r="BF834" s="458"/>
      <c r="BG834" s="458"/>
      <c r="BH834" s="458"/>
      <c r="BI834" s="458"/>
      <c r="BJ834" s="458"/>
      <c r="BK834" s="458"/>
      <c r="BL834" s="458"/>
      <c r="BM834" s="458"/>
      <c r="BN834" s="458"/>
      <c r="BO834" s="866">
        <f>VLOOKUP(BD834,$BD$4:$BN$12824,3,0)*BE834</f>
        <v>99455.140804358583</v>
      </c>
      <c r="BP834" s="866"/>
      <c r="BQ834" s="866"/>
      <c r="BR834" s="866">
        <f>VLOOKUP(BD834,$BD$4:$BN$12824,6,0)*BE834</f>
        <v>28520.629596244074</v>
      </c>
      <c r="BS834" s="866">
        <f>VLOOKUP(BD834,$BD$4:$BN$12824,7,0)*BE834</f>
        <v>3686.1925070078801</v>
      </c>
      <c r="BT834" s="866"/>
      <c r="BU834" s="866">
        <f>VLOOKUP(BD834,$BD$4:$BN$12824,9,0)*BE834</f>
        <v>0</v>
      </c>
      <c r="BV834" s="867"/>
      <c r="BW834" s="867">
        <f>VLOOKUP(BD834,$BD$4:$BN$12824,11,0)*BE834</f>
        <v>4099.8210014488013</v>
      </c>
      <c r="BX834" s="1146">
        <f t="shared" si="156"/>
        <v>135761.78390905936</v>
      </c>
      <c r="BY834" s="867">
        <f t="shared" si="157"/>
        <v>795079.51678181184</v>
      </c>
      <c r="BZ834" s="867">
        <f t="shared" ref="BZ834:BZ897" si="163">BY834*U834</f>
        <v>3975397.5839090589</v>
      </c>
      <c r="CA834" s="867">
        <f>_xlfn.MAXIFS($BY$4:$BY$12824,$S$4:$S$12824,$S834)</f>
        <v>795079.51678181184</v>
      </c>
      <c r="CB834" s="1032"/>
      <c r="CF834" s="946">
        <f t="shared" si="155"/>
        <v>3839635.8</v>
      </c>
    </row>
    <row r="835" spans="1:84">
      <c r="A835" s="1032"/>
      <c r="B835" s="839" t="s">
        <v>98</v>
      </c>
      <c r="C835" s="839" t="s">
        <v>2689</v>
      </c>
      <c r="D835" s="839" t="s">
        <v>2690</v>
      </c>
      <c r="E835" s="839" t="s">
        <v>2691</v>
      </c>
      <c r="F835" s="841">
        <v>45451</v>
      </c>
      <c r="G835" s="840" t="s">
        <v>2689</v>
      </c>
      <c r="H835" s="842" t="s">
        <v>134</v>
      </c>
      <c r="I835" s="842"/>
      <c r="J835" s="841"/>
      <c r="K835" s="841"/>
      <c r="L835" s="843" t="s">
        <v>106</v>
      </c>
      <c r="M835" s="844" t="s">
        <v>107</v>
      </c>
      <c r="N835" s="841" t="s">
        <v>2692</v>
      </c>
      <c r="O835" s="841" t="s">
        <v>150</v>
      </c>
      <c r="P835" s="841" t="s">
        <v>151</v>
      </c>
      <c r="Q835" s="843"/>
      <c r="R835" s="845" t="s">
        <v>2940</v>
      </c>
      <c r="S835" s="1127" t="s">
        <v>2941</v>
      </c>
      <c r="T835" s="843" t="s">
        <v>2942</v>
      </c>
      <c r="U835" s="842">
        <v>5</v>
      </c>
      <c r="V835" s="842" t="s">
        <v>3</v>
      </c>
      <c r="W835" s="846">
        <v>65</v>
      </c>
      <c r="X835" s="847">
        <f t="shared" si="158"/>
        <v>325</v>
      </c>
      <c r="Y835" s="848">
        <v>0.55000000000000004</v>
      </c>
      <c r="Z835" s="849">
        <v>29.25</v>
      </c>
      <c r="AA835" s="849"/>
      <c r="AB835" s="849">
        <f t="shared" si="159"/>
        <v>146.25</v>
      </c>
      <c r="AC835" s="850">
        <f t="shared" si="160"/>
        <v>146.25</v>
      </c>
      <c r="AD835" s="851"/>
      <c r="AE835" s="852">
        <v>26253.919999999998</v>
      </c>
      <c r="AF835" s="853">
        <v>0</v>
      </c>
      <c r="AG835" s="854">
        <f t="shared" si="161"/>
        <v>0</v>
      </c>
      <c r="AH835" s="853"/>
      <c r="AI835" s="855">
        <f t="shared" si="162"/>
        <v>0</v>
      </c>
      <c r="AJ835" s="845" t="s">
        <v>2695</v>
      </c>
      <c r="AK835" s="857">
        <v>45332</v>
      </c>
      <c r="AL835" s="840" t="s">
        <v>2696</v>
      </c>
      <c r="AM835" s="840"/>
      <c r="AN835" s="858"/>
      <c r="AO835" s="844" t="s">
        <v>2697</v>
      </c>
      <c r="AP835" s="859" t="s">
        <v>2698</v>
      </c>
      <c r="AQ835" s="859" t="s">
        <v>2698</v>
      </c>
      <c r="AR835" s="859" t="s">
        <v>2699</v>
      </c>
      <c r="AS835" s="840" t="s">
        <v>2700</v>
      </c>
      <c r="AT835" s="840" t="s">
        <v>1743</v>
      </c>
      <c r="AU835" s="860" t="s">
        <v>1285</v>
      </c>
      <c r="AV835" s="839" t="s">
        <v>2701</v>
      </c>
      <c r="AW835" s="861">
        <v>45646</v>
      </c>
      <c r="AX835" s="862" t="s">
        <v>2702</v>
      </c>
      <c r="AY835" s="843" t="s">
        <v>2943</v>
      </c>
      <c r="AZ835" s="842" t="s">
        <v>2939</v>
      </c>
      <c r="BA835" s="842" t="s">
        <v>120</v>
      </c>
      <c r="BB835" s="863" t="s">
        <v>121</v>
      </c>
      <c r="BC835" s="864">
        <v>45650</v>
      </c>
      <c r="BD835" s="860" t="s">
        <v>2705</v>
      </c>
      <c r="BE835" s="865" cm="1">
        <f t="array" ref="BE835">IF(BD835="","",AC835/SUMPRODUCT(--(BD835=$BD$4:$BD$12824),$AC$4:$AC$12824))</f>
        <v>2.1089614204983548E-3</v>
      </c>
      <c r="BF835" s="458"/>
      <c r="BG835" s="458"/>
      <c r="BH835" s="458"/>
      <c r="BI835" s="458"/>
      <c r="BJ835" s="458"/>
      <c r="BK835" s="458"/>
      <c r="BL835" s="458"/>
      <c r="BM835" s="458"/>
      <c r="BN835" s="458"/>
      <c r="BO835" s="866">
        <f>VLOOKUP(BD835,$BD$4:$BN$12824,3,0)*BE835</f>
        <v>99455.140804358583</v>
      </c>
      <c r="BP835" s="866"/>
      <c r="BQ835" s="866"/>
      <c r="BR835" s="866">
        <f>VLOOKUP(BD835,$BD$4:$BN$12824,6,0)*BE835</f>
        <v>28520.629596244074</v>
      </c>
      <c r="BS835" s="866">
        <f>VLOOKUP(BD835,$BD$4:$BN$12824,7,0)*BE835</f>
        <v>3686.1925070078801</v>
      </c>
      <c r="BT835" s="866"/>
      <c r="BU835" s="866">
        <f>VLOOKUP(BD835,$BD$4:$BN$12824,9,0)*BE835</f>
        <v>0</v>
      </c>
      <c r="BV835" s="867"/>
      <c r="BW835" s="867">
        <f>VLOOKUP(BD835,$BD$4:$BN$12824,11,0)*BE835</f>
        <v>4099.8210014488013</v>
      </c>
      <c r="BX835" s="1146">
        <f t="shared" si="156"/>
        <v>135761.78390905936</v>
      </c>
      <c r="BY835" s="867">
        <f t="shared" si="157"/>
        <v>795079.51678181184</v>
      </c>
      <c r="BZ835" s="867">
        <f t="shared" si="163"/>
        <v>3975397.5839090589</v>
      </c>
      <c r="CA835" s="867">
        <f>_xlfn.MAXIFS($BY$4:$BY$12824,$S$4:$S$12824,$S835)</f>
        <v>795079.51678181184</v>
      </c>
      <c r="CB835" s="1032"/>
      <c r="CF835" s="946">
        <f t="shared" si="155"/>
        <v>3839635.8</v>
      </c>
    </row>
    <row r="836" spans="1:84">
      <c r="A836" s="1032"/>
      <c r="B836" s="839" t="s">
        <v>98</v>
      </c>
      <c r="C836" s="839" t="s">
        <v>2689</v>
      </c>
      <c r="D836" s="839" t="s">
        <v>2690</v>
      </c>
      <c r="E836" s="839" t="s">
        <v>2691</v>
      </c>
      <c r="F836" s="841">
        <v>45451</v>
      </c>
      <c r="G836" s="840" t="s">
        <v>2689</v>
      </c>
      <c r="H836" s="842" t="s">
        <v>134</v>
      </c>
      <c r="I836" s="842"/>
      <c r="J836" s="841"/>
      <c r="K836" s="841"/>
      <c r="L836" s="843" t="s">
        <v>106</v>
      </c>
      <c r="M836" s="844" t="s">
        <v>107</v>
      </c>
      <c r="N836" s="841" t="s">
        <v>2692</v>
      </c>
      <c r="O836" s="841" t="s">
        <v>150</v>
      </c>
      <c r="P836" s="841" t="s">
        <v>151</v>
      </c>
      <c r="Q836" s="843"/>
      <c r="R836" s="845" t="s">
        <v>2944</v>
      </c>
      <c r="S836" s="1127" t="s">
        <v>2945</v>
      </c>
      <c r="T836" s="843" t="s">
        <v>2946</v>
      </c>
      <c r="U836" s="842">
        <v>5</v>
      </c>
      <c r="V836" s="842" t="s">
        <v>3</v>
      </c>
      <c r="W836" s="846">
        <v>65</v>
      </c>
      <c r="X836" s="847">
        <f t="shared" si="158"/>
        <v>325</v>
      </c>
      <c r="Y836" s="848">
        <v>0.55000000000000004</v>
      </c>
      <c r="Z836" s="849">
        <v>29.25</v>
      </c>
      <c r="AA836" s="849"/>
      <c r="AB836" s="849">
        <f t="shared" si="159"/>
        <v>146.25</v>
      </c>
      <c r="AC836" s="850">
        <f t="shared" si="160"/>
        <v>146.25</v>
      </c>
      <c r="AD836" s="851"/>
      <c r="AE836" s="852">
        <v>26253.919999999998</v>
      </c>
      <c r="AF836" s="853">
        <v>0</v>
      </c>
      <c r="AG836" s="854">
        <f t="shared" si="161"/>
        <v>0</v>
      </c>
      <c r="AH836" s="853"/>
      <c r="AI836" s="855">
        <f t="shared" si="162"/>
        <v>0</v>
      </c>
      <c r="AJ836" s="845" t="s">
        <v>2695</v>
      </c>
      <c r="AK836" s="857">
        <v>45332</v>
      </c>
      <c r="AL836" s="840" t="s">
        <v>2696</v>
      </c>
      <c r="AM836" s="840"/>
      <c r="AN836" s="858"/>
      <c r="AO836" s="844" t="s">
        <v>2697</v>
      </c>
      <c r="AP836" s="859" t="s">
        <v>2698</v>
      </c>
      <c r="AQ836" s="859" t="s">
        <v>2698</v>
      </c>
      <c r="AR836" s="859" t="s">
        <v>2699</v>
      </c>
      <c r="AS836" s="840" t="s">
        <v>2700</v>
      </c>
      <c r="AT836" s="840" t="s">
        <v>1743</v>
      </c>
      <c r="AU836" s="860" t="s">
        <v>1285</v>
      </c>
      <c r="AV836" s="839" t="s">
        <v>2701</v>
      </c>
      <c r="AW836" s="861">
        <v>45646</v>
      </c>
      <c r="AX836" s="862" t="s">
        <v>2702</v>
      </c>
      <c r="AY836" s="843" t="s">
        <v>2947</v>
      </c>
      <c r="AZ836" s="842" t="s">
        <v>2939</v>
      </c>
      <c r="BA836" s="842" t="s">
        <v>120</v>
      </c>
      <c r="BB836" s="863" t="s">
        <v>121</v>
      </c>
      <c r="BC836" s="864">
        <v>45650</v>
      </c>
      <c r="BD836" s="860" t="s">
        <v>2705</v>
      </c>
      <c r="BE836" s="865" cm="1">
        <f t="array" ref="BE836">IF(BD836="","",AC836/SUMPRODUCT(--(BD836=$BD$4:$BD$12824),$AC$4:$AC$12824))</f>
        <v>2.1089614204983548E-3</v>
      </c>
      <c r="BF836" s="458"/>
      <c r="BG836" s="458"/>
      <c r="BH836" s="458"/>
      <c r="BI836" s="458"/>
      <c r="BJ836" s="458"/>
      <c r="BK836" s="458"/>
      <c r="BL836" s="458"/>
      <c r="BM836" s="458"/>
      <c r="BN836" s="458"/>
      <c r="BO836" s="866">
        <f>VLOOKUP(BD836,$BD$4:$BN$12824,3,0)*BE836</f>
        <v>99455.140804358583</v>
      </c>
      <c r="BP836" s="866"/>
      <c r="BQ836" s="866"/>
      <c r="BR836" s="866">
        <f>VLOOKUP(BD836,$BD$4:$BN$12824,6,0)*BE836</f>
        <v>28520.629596244074</v>
      </c>
      <c r="BS836" s="866">
        <f>VLOOKUP(BD836,$BD$4:$BN$12824,7,0)*BE836</f>
        <v>3686.1925070078801</v>
      </c>
      <c r="BT836" s="866"/>
      <c r="BU836" s="866">
        <f>VLOOKUP(BD836,$BD$4:$BN$12824,9,0)*BE836</f>
        <v>0</v>
      </c>
      <c r="BV836" s="867"/>
      <c r="BW836" s="867">
        <f>VLOOKUP(BD836,$BD$4:$BN$12824,11,0)*BE836</f>
        <v>4099.8210014488013</v>
      </c>
      <c r="BX836" s="1146">
        <f t="shared" si="156"/>
        <v>135761.78390905936</v>
      </c>
      <c r="BY836" s="867">
        <f t="shared" si="157"/>
        <v>795079.51678181184</v>
      </c>
      <c r="BZ836" s="867">
        <f t="shared" si="163"/>
        <v>3975397.5839090589</v>
      </c>
      <c r="CA836" s="867">
        <f>_xlfn.MAXIFS($BY$4:$BY$12824,$S$4:$S$12824,$S836)</f>
        <v>795079.51678181184</v>
      </c>
      <c r="CB836" s="1032"/>
      <c r="CF836" s="946">
        <f t="shared" ref="CF836:CF899" si="164">AC836*AE836</f>
        <v>3839635.8</v>
      </c>
    </row>
    <row r="837" spans="1:84">
      <c r="A837" s="1032"/>
      <c r="B837" s="839" t="s">
        <v>98</v>
      </c>
      <c r="C837" s="839" t="s">
        <v>2689</v>
      </c>
      <c r="D837" s="839" t="s">
        <v>2690</v>
      </c>
      <c r="E837" s="839" t="s">
        <v>2691</v>
      </c>
      <c r="F837" s="841">
        <v>45451</v>
      </c>
      <c r="G837" s="840" t="s">
        <v>2689</v>
      </c>
      <c r="H837" s="842" t="s">
        <v>134</v>
      </c>
      <c r="I837" s="842"/>
      <c r="J837" s="841"/>
      <c r="K837" s="841"/>
      <c r="L837" s="843" t="s">
        <v>106</v>
      </c>
      <c r="M837" s="844" t="s">
        <v>107</v>
      </c>
      <c r="N837" s="841" t="s">
        <v>2692</v>
      </c>
      <c r="O837" s="841" t="s">
        <v>150</v>
      </c>
      <c r="P837" s="841" t="s">
        <v>151</v>
      </c>
      <c r="Q837" s="843"/>
      <c r="R837" s="845" t="s">
        <v>2948</v>
      </c>
      <c r="S837" s="1127" t="s">
        <v>2949</v>
      </c>
      <c r="T837" s="843" t="s">
        <v>2950</v>
      </c>
      <c r="U837" s="842">
        <v>5</v>
      </c>
      <c r="V837" s="842" t="s">
        <v>3</v>
      </c>
      <c r="W837" s="846">
        <v>65</v>
      </c>
      <c r="X837" s="847">
        <f t="shared" si="158"/>
        <v>325</v>
      </c>
      <c r="Y837" s="848">
        <v>0.55000000000000004</v>
      </c>
      <c r="Z837" s="849">
        <v>29.25</v>
      </c>
      <c r="AA837" s="849"/>
      <c r="AB837" s="849">
        <f t="shared" si="159"/>
        <v>146.25</v>
      </c>
      <c r="AC837" s="850">
        <f t="shared" si="160"/>
        <v>146.25</v>
      </c>
      <c r="AD837" s="851"/>
      <c r="AE837" s="852">
        <v>26253.919999999998</v>
      </c>
      <c r="AF837" s="853">
        <v>0</v>
      </c>
      <c r="AG837" s="854">
        <f t="shared" si="161"/>
        <v>0</v>
      </c>
      <c r="AH837" s="853"/>
      <c r="AI837" s="855">
        <f t="shared" si="162"/>
        <v>0</v>
      </c>
      <c r="AJ837" s="845" t="s">
        <v>2695</v>
      </c>
      <c r="AK837" s="857">
        <v>45332</v>
      </c>
      <c r="AL837" s="840" t="s">
        <v>2696</v>
      </c>
      <c r="AM837" s="840"/>
      <c r="AN837" s="858"/>
      <c r="AO837" s="844" t="s">
        <v>2697</v>
      </c>
      <c r="AP837" s="859" t="s">
        <v>2698</v>
      </c>
      <c r="AQ837" s="859" t="s">
        <v>2698</v>
      </c>
      <c r="AR837" s="859" t="s">
        <v>2699</v>
      </c>
      <c r="AS837" s="840" t="s">
        <v>2700</v>
      </c>
      <c r="AT837" s="840" t="s">
        <v>1743</v>
      </c>
      <c r="AU837" s="860" t="s">
        <v>1285</v>
      </c>
      <c r="AV837" s="839" t="s">
        <v>2701</v>
      </c>
      <c r="AW837" s="861">
        <v>45646</v>
      </c>
      <c r="AX837" s="862" t="s">
        <v>2702</v>
      </c>
      <c r="AY837" s="843" t="s">
        <v>2951</v>
      </c>
      <c r="AZ837" s="842" t="s">
        <v>2939</v>
      </c>
      <c r="BA837" s="842" t="s">
        <v>120</v>
      </c>
      <c r="BB837" s="863" t="s">
        <v>121</v>
      </c>
      <c r="BC837" s="864">
        <v>45650</v>
      </c>
      <c r="BD837" s="860" t="s">
        <v>2705</v>
      </c>
      <c r="BE837" s="865" cm="1">
        <f t="array" ref="BE837">IF(BD837="","",AC837/SUMPRODUCT(--(BD837=$BD$4:$BD$12824),$AC$4:$AC$12824))</f>
        <v>2.1089614204983548E-3</v>
      </c>
      <c r="BF837" s="458"/>
      <c r="BG837" s="458"/>
      <c r="BH837" s="458"/>
      <c r="BI837" s="458"/>
      <c r="BJ837" s="458"/>
      <c r="BK837" s="458"/>
      <c r="BL837" s="458"/>
      <c r="BM837" s="458"/>
      <c r="BN837" s="458"/>
      <c r="BO837" s="866">
        <f>VLOOKUP(BD837,$BD$4:$BN$12824,3,0)*BE837</f>
        <v>99455.140804358583</v>
      </c>
      <c r="BP837" s="866"/>
      <c r="BQ837" s="866"/>
      <c r="BR837" s="866">
        <f>VLOOKUP(BD837,$BD$4:$BN$12824,6,0)*BE837</f>
        <v>28520.629596244074</v>
      </c>
      <c r="BS837" s="866">
        <f>VLOOKUP(BD837,$BD$4:$BN$12824,7,0)*BE837</f>
        <v>3686.1925070078801</v>
      </c>
      <c r="BT837" s="866"/>
      <c r="BU837" s="866">
        <f>VLOOKUP(BD837,$BD$4:$BN$12824,9,0)*BE837</f>
        <v>0</v>
      </c>
      <c r="BV837" s="867"/>
      <c r="BW837" s="867">
        <f>VLOOKUP(BD837,$BD$4:$BN$12824,11,0)*BE837</f>
        <v>4099.8210014488013</v>
      </c>
      <c r="BX837" s="1146">
        <f t="shared" si="156"/>
        <v>135761.78390905936</v>
      </c>
      <c r="BY837" s="867">
        <f t="shared" si="157"/>
        <v>795079.51678181184</v>
      </c>
      <c r="BZ837" s="867">
        <f t="shared" si="163"/>
        <v>3975397.5839090589</v>
      </c>
      <c r="CA837" s="867">
        <f>_xlfn.MAXIFS($BY$4:$BY$12824,$S$4:$S$12824,$S837)</f>
        <v>795079.51678181184</v>
      </c>
      <c r="CB837" s="1032"/>
      <c r="CF837" s="946">
        <f t="shared" si="164"/>
        <v>3839635.8</v>
      </c>
    </row>
    <row r="838" spans="1:84">
      <c r="A838" s="1032"/>
      <c r="B838" s="839" t="s">
        <v>98</v>
      </c>
      <c r="C838" s="839" t="s">
        <v>2689</v>
      </c>
      <c r="D838" s="839" t="s">
        <v>2690</v>
      </c>
      <c r="E838" s="839" t="s">
        <v>2691</v>
      </c>
      <c r="F838" s="841">
        <v>45451</v>
      </c>
      <c r="G838" s="840" t="s">
        <v>2689</v>
      </c>
      <c r="H838" s="842" t="s">
        <v>134</v>
      </c>
      <c r="I838" s="842"/>
      <c r="J838" s="841"/>
      <c r="K838" s="841"/>
      <c r="L838" s="843" t="s">
        <v>106</v>
      </c>
      <c r="M838" s="844" t="s">
        <v>107</v>
      </c>
      <c r="N838" s="841" t="s">
        <v>2692</v>
      </c>
      <c r="O838" s="841" t="s">
        <v>150</v>
      </c>
      <c r="P838" s="841" t="s">
        <v>151</v>
      </c>
      <c r="Q838" s="843"/>
      <c r="R838" s="845" t="s">
        <v>2952</v>
      </c>
      <c r="S838" s="1127" t="s">
        <v>2953</v>
      </c>
      <c r="T838" s="843" t="s">
        <v>2954</v>
      </c>
      <c r="U838" s="842">
        <v>5</v>
      </c>
      <c r="V838" s="842" t="s">
        <v>3</v>
      </c>
      <c r="W838" s="846">
        <v>65</v>
      </c>
      <c r="X838" s="847">
        <f t="shared" si="158"/>
        <v>325</v>
      </c>
      <c r="Y838" s="848">
        <v>0.55000000000000004</v>
      </c>
      <c r="Z838" s="849">
        <v>29.25</v>
      </c>
      <c r="AA838" s="849"/>
      <c r="AB838" s="849">
        <f t="shared" si="159"/>
        <v>146.25</v>
      </c>
      <c r="AC838" s="850">
        <f t="shared" si="160"/>
        <v>146.25</v>
      </c>
      <c r="AD838" s="851"/>
      <c r="AE838" s="852">
        <v>26253.919999999998</v>
      </c>
      <c r="AF838" s="853">
        <v>0</v>
      </c>
      <c r="AG838" s="854">
        <f t="shared" si="161"/>
        <v>0</v>
      </c>
      <c r="AH838" s="853"/>
      <c r="AI838" s="855">
        <f t="shared" si="162"/>
        <v>0</v>
      </c>
      <c r="AJ838" s="845" t="s">
        <v>2695</v>
      </c>
      <c r="AK838" s="857">
        <v>45332</v>
      </c>
      <c r="AL838" s="840" t="s">
        <v>2696</v>
      </c>
      <c r="AM838" s="840"/>
      <c r="AN838" s="858"/>
      <c r="AO838" s="844" t="s">
        <v>2697</v>
      </c>
      <c r="AP838" s="859" t="s">
        <v>2698</v>
      </c>
      <c r="AQ838" s="859" t="s">
        <v>2698</v>
      </c>
      <c r="AR838" s="859" t="s">
        <v>2699</v>
      </c>
      <c r="AS838" s="840" t="s">
        <v>2700</v>
      </c>
      <c r="AT838" s="840" t="s">
        <v>1743</v>
      </c>
      <c r="AU838" s="860" t="s">
        <v>1285</v>
      </c>
      <c r="AV838" s="839" t="s">
        <v>2701</v>
      </c>
      <c r="AW838" s="861">
        <v>45646</v>
      </c>
      <c r="AX838" s="862" t="s">
        <v>2702</v>
      </c>
      <c r="AY838" s="843" t="s">
        <v>2955</v>
      </c>
      <c r="AZ838" s="842" t="s">
        <v>2939</v>
      </c>
      <c r="BA838" s="842" t="s">
        <v>120</v>
      </c>
      <c r="BB838" s="863" t="s">
        <v>121</v>
      </c>
      <c r="BC838" s="864">
        <v>45650</v>
      </c>
      <c r="BD838" s="860" t="s">
        <v>2705</v>
      </c>
      <c r="BE838" s="865" cm="1">
        <f t="array" ref="BE838">IF(BD838="","",AC838/SUMPRODUCT(--(BD838=$BD$4:$BD$12824),$AC$4:$AC$12824))</f>
        <v>2.1089614204983548E-3</v>
      </c>
      <c r="BF838" s="458"/>
      <c r="BG838" s="458"/>
      <c r="BH838" s="458"/>
      <c r="BI838" s="458"/>
      <c r="BJ838" s="458"/>
      <c r="BK838" s="458"/>
      <c r="BL838" s="458"/>
      <c r="BM838" s="458"/>
      <c r="BN838" s="458"/>
      <c r="BO838" s="866">
        <f>VLOOKUP(BD838,$BD$4:$BN$12824,3,0)*BE838</f>
        <v>99455.140804358583</v>
      </c>
      <c r="BP838" s="866"/>
      <c r="BQ838" s="866"/>
      <c r="BR838" s="866">
        <f>VLOOKUP(BD838,$BD$4:$BN$12824,6,0)*BE838</f>
        <v>28520.629596244074</v>
      </c>
      <c r="BS838" s="866">
        <f>VLOOKUP(BD838,$BD$4:$BN$12824,7,0)*BE838</f>
        <v>3686.1925070078801</v>
      </c>
      <c r="BT838" s="866"/>
      <c r="BU838" s="866">
        <f>VLOOKUP(BD838,$BD$4:$BN$12824,9,0)*BE838</f>
        <v>0</v>
      </c>
      <c r="BV838" s="867"/>
      <c r="BW838" s="867">
        <f>VLOOKUP(BD838,$BD$4:$BN$12824,11,0)*BE838</f>
        <v>4099.8210014488013</v>
      </c>
      <c r="BX838" s="1146">
        <f t="shared" ref="BX838:BX901" si="165">SUM(BO838:BW838)</f>
        <v>135761.78390905936</v>
      </c>
      <c r="BY838" s="867">
        <f t="shared" ref="BY838:BY901" si="166">(AB838*AE838+AG838+BX838)/U838</f>
        <v>795079.51678181184</v>
      </c>
      <c r="BZ838" s="867">
        <f t="shared" si="163"/>
        <v>3975397.5839090589</v>
      </c>
      <c r="CA838" s="867">
        <f>_xlfn.MAXIFS($BY$4:$BY$12824,$S$4:$S$12824,$S838)</f>
        <v>795079.51678181184</v>
      </c>
      <c r="CB838" s="1032"/>
      <c r="CF838" s="946">
        <f t="shared" si="164"/>
        <v>3839635.8</v>
      </c>
    </row>
    <row r="839" spans="1:84">
      <c r="A839" s="1032"/>
      <c r="B839" s="839" t="s">
        <v>98</v>
      </c>
      <c r="C839" s="839" t="s">
        <v>2689</v>
      </c>
      <c r="D839" s="839" t="s">
        <v>2690</v>
      </c>
      <c r="E839" s="839" t="s">
        <v>2691</v>
      </c>
      <c r="F839" s="841">
        <v>45451</v>
      </c>
      <c r="G839" s="840" t="s">
        <v>2689</v>
      </c>
      <c r="H839" s="842" t="s">
        <v>134</v>
      </c>
      <c r="I839" s="842"/>
      <c r="J839" s="841"/>
      <c r="K839" s="841"/>
      <c r="L839" s="843" t="s">
        <v>106</v>
      </c>
      <c r="M839" s="844" t="s">
        <v>107</v>
      </c>
      <c r="N839" s="841" t="s">
        <v>2692</v>
      </c>
      <c r="O839" s="841" t="s">
        <v>150</v>
      </c>
      <c r="P839" s="841" t="s">
        <v>151</v>
      </c>
      <c r="Q839" s="843"/>
      <c r="R839" s="845" t="s">
        <v>2956</v>
      </c>
      <c r="S839" s="1127" t="s">
        <v>2957</v>
      </c>
      <c r="T839" s="843" t="s">
        <v>2958</v>
      </c>
      <c r="U839" s="842">
        <v>5</v>
      </c>
      <c r="V839" s="842" t="s">
        <v>3</v>
      </c>
      <c r="W839" s="846">
        <v>85</v>
      </c>
      <c r="X839" s="847">
        <f t="shared" si="158"/>
        <v>425</v>
      </c>
      <c r="Y839" s="848">
        <v>0.55000000000000004</v>
      </c>
      <c r="Z839" s="849">
        <v>38.25</v>
      </c>
      <c r="AA839" s="849"/>
      <c r="AB839" s="849">
        <f t="shared" si="159"/>
        <v>191.25</v>
      </c>
      <c r="AC839" s="850">
        <f t="shared" si="160"/>
        <v>191.25</v>
      </c>
      <c r="AD839" s="851"/>
      <c r="AE839" s="852">
        <v>26253.919999999998</v>
      </c>
      <c r="AF839" s="853">
        <v>0</v>
      </c>
      <c r="AG839" s="854">
        <f t="shared" si="161"/>
        <v>0</v>
      </c>
      <c r="AH839" s="853"/>
      <c r="AI839" s="855">
        <f t="shared" si="162"/>
        <v>0</v>
      </c>
      <c r="AJ839" s="845" t="s">
        <v>2695</v>
      </c>
      <c r="AK839" s="857">
        <v>45332</v>
      </c>
      <c r="AL839" s="840" t="s">
        <v>2696</v>
      </c>
      <c r="AM839" s="840"/>
      <c r="AN839" s="858"/>
      <c r="AO839" s="844" t="s">
        <v>2697</v>
      </c>
      <c r="AP839" s="859" t="s">
        <v>2698</v>
      </c>
      <c r="AQ839" s="859" t="s">
        <v>2698</v>
      </c>
      <c r="AR839" s="859" t="s">
        <v>2699</v>
      </c>
      <c r="AS839" s="840" t="s">
        <v>2700</v>
      </c>
      <c r="AT839" s="840" t="s">
        <v>1743</v>
      </c>
      <c r="AU839" s="860" t="s">
        <v>1285</v>
      </c>
      <c r="AV839" s="839" t="s">
        <v>2701</v>
      </c>
      <c r="AW839" s="861">
        <v>45646</v>
      </c>
      <c r="AX839" s="862" t="s">
        <v>2702</v>
      </c>
      <c r="AY839" s="843" t="s">
        <v>2959</v>
      </c>
      <c r="AZ839" s="842" t="s">
        <v>2939</v>
      </c>
      <c r="BA839" s="842" t="s">
        <v>120</v>
      </c>
      <c r="BB839" s="863" t="s">
        <v>121</v>
      </c>
      <c r="BC839" s="864">
        <v>45650</v>
      </c>
      <c r="BD839" s="860" t="s">
        <v>2705</v>
      </c>
      <c r="BE839" s="865" cm="1">
        <f t="array" ref="BE839">IF(BD839="","",AC839/SUMPRODUCT(--(BD839=$BD$4:$BD$12824),$AC$4:$AC$12824))</f>
        <v>2.7578726268055413E-3</v>
      </c>
      <c r="BF839" s="458"/>
      <c r="BG839" s="458"/>
      <c r="BH839" s="458"/>
      <c r="BI839" s="458"/>
      <c r="BJ839" s="458"/>
      <c r="BK839" s="458"/>
      <c r="BL839" s="458"/>
      <c r="BM839" s="458"/>
      <c r="BN839" s="458"/>
      <c r="BO839" s="866">
        <f>VLOOKUP(BD839,$BD$4:$BN$12824,3,0)*BE839</f>
        <v>130056.7225903151</v>
      </c>
      <c r="BP839" s="866"/>
      <c r="BQ839" s="866"/>
      <c r="BR839" s="866">
        <f>VLOOKUP(BD839,$BD$4:$BN$12824,6,0)*BE839</f>
        <v>37296.207933549951</v>
      </c>
      <c r="BS839" s="866">
        <f>VLOOKUP(BD839,$BD$4:$BN$12824,7,0)*BE839</f>
        <v>4820.4055860872286</v>
      </c>
      <c r="BT839" s="866"/>
      <c r="BU839" s="866">
        <f>VLOOKUP(BD839,$BD$4:$BN$12824,9,0)*BE839</f>
        <v>0</v>
      </c>
      <c r="BV839" s="867"/>
      <c r="BW839" s="867">
        <f>VLOOKUP(BD839,$BD$4:$BN$12824,11,0)*BE839</f>
        <v>5361.3043865099726</v>
      </c>
      <c r="BX839" s="1146">
        <f t="shared" si="165"/>
        <v>177534.64049646223</v>
      </c>
      <c r="BY839" s="867">
        <f t="shared" si="166"/>
        <v>1039719.3680992924</v>
      </c>
      <c r="BZ839" s="867">
        <f t="shared" si="163"/>
        <v>5198596.8404964618</v>
      </c>
      <c r="CA839" s="867">
        <f>_xlfn.MAXIFS($BY$4:$BY$12824,$S$4:$S$12824,$S839)</f>
        <v>1039719.3680992924</v>
      </c>
      <c r="CB839" s="1032"/>
      <c r="CF839" s="946">
        <f t="shared" si="164"/>
        <v>5021062.1999999993</v>
      </c>
    </row>
    <row r="840" spans="1:84">
      <c r="A840" s="1032"/>
      <c r="B840" s="839" t="s">
        <v>98</v>
      </c>
      <c r="C840" s="839" t="s">
        <v>2689</v>
      </c>
      <c r="D840" s="839" t="s">
        <v>2690</v>
      </c>
      <c r="E840" s="839" t="s">
        <v>2691</v>
      </c>
      <c r="F840" s="841">
        <v>45451</v>
      </c>
      <c r="G840" s="840" t="s">
        <v>2689</v>
      </c>
      <c r="H840" s="842" t="s">
        <v>134</v>
      </c>
      <c r="I840" s="842"/>
      <c r="J840" s="841"/>
      <c r="K840" s="841"/>
      <c r="L840" s="843" t="s">
        <v>106</v>
      </c>
      <c r="M840" s="844" t="s">
        <v>107</v>
      </c>
      <c r="N840" s="841" t="s">
        <v>2692</v>
      </c>
      <c r="O840" s="841" t="s">
        <v>150</v>
      </c>
      <c r="P840" s="841" t="s">
        <v>151</v>
      </c>
      <c r="Q840" s="843"/>
      <c r="R840" s="845" t="s">
        <v>2960</v>
      </c>
      <c r="S840" s="1127" t="s">
        <v>2961</v>
      </c>
      <c r="T840" s="843" t="s">
        <v>2962</v>
      </c>
      <c r="U840" s="842">
        <v>5</v>
      </c>
      <c r="V840" s="842" t="s">
        <v>3</v>
      </c>
      <c r="W840" s="846">
        <v>85</v>
      </c>
      <c r="X840" s="847">
        <f t="shared" si="158"/>
        <v>425</v>
      </c>
      <c r="Y840" s="848">
        <v>0.55000000000000004</v>
      </c>
      <c r="Z840" s="849">
        <v>38.25</v>
      </c>
      <c r="AA840" s="849"/>
      <c r="AB840" s="849">
        <f t="shared" si="159"/>
        <v>191.25</v>
      </c>
      <c r="AC840" s="850">
        <f t="shared" si="160"/>
        <v>191.25</v>
      </c>
      <c r="AD840" s="851"/>
      <c r="AE840" s="852">
        <v>26253.919999999998</v>
      </c>
      <c r="AF840" s="853">
        <v>0</v>
      </c>
      <c r="AG840" s="854">
        <f t="shared" si="161"/>
        <v>0</v>
      </c>
      <c r="AH840" s="853"/>
      <c r="AI840" s="855">
        <f t="shared" si="162"/>
        <v>0</v>
      </c>
      <c r="AJ840" s="845" t="s">
        <v>2695</v>
      </c>
      <c r="AK840" s="857">
        <v>45332</v>
      </c>
      <c r="AL840" s="840" t="s">
        <v>2696</v>
      </c>
      <c r="AM840" s="840"/>
      <c r="AN840" s="858"/>
      <c r="AO840" s="844" t="s">
        <v>2697</v>
      </c>
      <c r="AP840" s="859" t="s">
        <v>2698</v>
      </c>
      <c r="AQ840" s="859" t="s">
        <v>2698</v>
      </c>
      <c r="AR840" s="859" t="s">
        <v>2699</v>
      </c>
      <c r="AS840" s="840" t="s">
        <v>2700</v>
      </c>
      <c r="AT840" s="840" t="s">
        <v>1743</v>
      </c>
      <c r="AU840" s="860" t="s">
        <v>1285</v>
      </c>
      <c r="AV840" s="839" t="s">
        <v>2701</v>
      </c>
      <c r="AW840" s="861">
        <v>45646</v>
      </c>
      <c r="AX840" s="862" t="s">
        <v>2702</v>
      </c>
      <c r="AY840" s="843" t="s">
        <v>2963</v>
      </c>
      <c r="AZ840" s="842" t="s">
        <v>2939</v>
      </c>
      <c r="BA840" s="842" t="s">
        <v>120</v>
      </c>
      <c r="BB840" s="863" t="s">
        <v>121</v>
      </c>
      <c r="BC840" s="864">
        <v>45650</v>
      </c>
      <c r="BD840" s="860" t="s">
        <v>2705</v>
      </c>
      <c r="BE840" s="865" cm="1">
        <f t="array" ref="BE840">IF(BD840="","",AC840/SUMPRODUCT(--(BD840=$BD$4:$BD$12824),$AC$4:$AC$12824))</f>
        <v>2.7578726268055413E-3</v>
      </c>
      <c r="BF840" s="458"/>
      <c r="BG840" s="458"/>
      <c r="BH840" s="458"/>
      <c r="BI840" s="458"/>
      <c r="BJ840" s="458"/>
      <c r="BK840" s="458"/>
      <c r="BL840" s="458"/>
      <c r="BM840" s="458"/>
      <c r="BN840" s="458"/>
      <c r="BO840" s="866">
        <f>VLOOKUP(BD840,$BD$4:$BN$12824,3,0)*BE840</f>
        <v>130056.7225903151</v>
      </c>
      <c r="BP840" s="866"/>
      <c r="BQ840" s="866"/>
      <c r="BR840" s="866">
        <f>VLOOKUP(BD840,$BD$4:$BN$12824,6,0)*BE840</f>
        <v>37296.207933549951</v>
      </c>
      <c r="BS840" s="866">
        <f>VLOOKUP(BD840,$BD$4:$BN$12824,7,0)*BE840</f>
        <v>4820.4055860872286</v>
      </c>
      <c r="BT840" s="866"/>
      <c r="BU840" s="866">
        <f>VLOOKUP(BD840,$BD$4:$BN$12824,9,0)*BE840</f>
        <v>0</v>
      </c>
      <c r="BV840" s="867"/>
      <c r="BW840" s="867">
        <f>VLOOKUP(BD840,$BD$4:$BN$12824,11,0)*BE840</f>
        <v>5361.3043865099726</v>
      </c>
      <c r="BX840" s="1146">
        <f t="shared" si="165"/>
        <v>177534.64049646223</v>
      </c>
      <c r="BY840" s="867">
        <f t="shared" si="166"/>
        <v>1039719.3680992924</v>
      </c>
      <c r="BZ840" s="867">
        <f t="shared" si="163"/>
        <v>5198596.8404964618</v>
      </c>
      <c r="CA840" s="867">
        <f>_xlfn.MAXIFS($BY$4:$BY$12824,$S$4:$S$12824,$S840)</f>
        <v>1039719.3680992924</v>
      </c>
      <c r="CB840" s="1032"/>
      <c r="CF840" s="946">
        <f t="shared" si="164"/>
        <v>5021062.1999999993</v>
      </c>
    </row>
    <row r="841" spans="1:84">
      <c r="A841" s="1032"/>
      <c r="B841" s="839" t="s">
        <v>98</v>
      </c>
      <c r="C841" s="839" t="s">
        <v>2689</v>
      </c>
      <c r="D841" s="839" t="s">
        <v>2690</v>
      </c>
      <c r="E841" s="839" t="s">
        <v>2691</v>
      </c>
      <c r="F841" s="841">
        <v>45451</v>
      </c>
      <c r="G841" s="840" t="s">
        <v>2689</v>
      </c>
      <c r="H841" s="842" t="s">
        <v>134</v>
      </c>
      <c r="I841" s="842"/>
      <c r="J841" s="841"/>
      <c r="K841" s="841"/>
      <c r="L841" s="843" t="s">
        <v>106</v>
      </c>
      <c r="M841" s="844" t="s">
        <v>107</v>
      </c>
      <c r="N841" s="841" t="s">
        <v>2692</v>
      </c>
      <c r="O841" s="841" t="s">
        <v>150</v>
      </c>
      <c r="P841" s="841" t="s">
        <v>151</v>
      </c>
      <c r="Q841" s="843"/>
      <c r="R841" s="845" t="s">
        <v>2964</v>
      </c>
      <c r="S841" s="1127" t="s">
        <v>2965</v>
      </c>
      <c r="T841" s="843" t="s">
        <v>2966</v>
      </c>
      <c r="U841" s="842">
        <v>5</v>
      </c>
      <c r="V841" s="842" t="s">
        <v>3</v>
      </c>
      <c r="W841" s="846">
        <v>85</v>
      </c>
      <c r="X841" s="847">
        <f t="shared" si="158"/>
        <v>425</v>
      </c>
      <c r="Y841" s="848">
        <v>0.55000000000000004</v>
      </c>
      <c r="Z841" s="849">
        <v>38.25</v>
      </c>
      <c r="AA841" s="849"/>
      <c r="AB841" s="849">
        <f t="shared" si="159"/>
        <v>191.25</v>
      </c>
      <c r="AC841" s="850">
        <f t="shared" si="160"/>
        <v>191.25</v>
      </c>
      <c r="AD841" s="851"/>
      <c r="AE841" s="852">
        <v>26253.919999999998</v>
      </c>
      <c r="AF841" s="853">
        <v>0</v>
      </c>
      <c r="AG841" s="854">
        <f t="shared" si="161"/>
        <v>0</v>
      </c>
      <c r="AH841" s="853"/>
      <c r="AI841" s="855">
        <f t="shared" si="162"/>
        <v>0</v>
      </c>
      <c r="AJ841" s="845" t="s">
        <v>2695</v>
      </c>
      <c r="AK841" s="857">
        <v>45332</v>
      </c>
      <c r="AL841" s="840" t="s">
        <v>2696</v>
      </c>
      <c r="AM841" s="840"/>
      <c r="AN841" s="858"/>
      <c r="AO841" s="844" t="s">
        <v>2697</v>
      </c>
      <c r="AP841" s="859" t="s">
        <v>2698</v>
      </c>
      <c r="AQ841" s="859" t="s">
        <v>2698</v>
      </c>
      <c r="AR841" s="859" t="s">
        <v>2699</v>
      </c>
      <c r="AS841" s="840" t="s">
        <v>2700</v>
      </c>
      <c r="AT841" s="840" t="s">
        <v>1743</v>
      </c>
      <c r="AU841" s="860" t="s">
        <v>1285</v>
      </c>
      <c r="AV841" s="839" t="s">
        <v>2701</v>
      </c>
      <c r="AW841" s="861">
        <v>45646</v>
      </c>
      <c r="AX841" s="862" t="s">
        <v>2702</v>
      </c>
      <c r="AY841" s="843" t="s">
        <v>2967</v>
      </c>
      <c r="AZ841" s="842" t="s">
        <v>2939</v>
      </c>
      <c r="BA841" s="842" t="s">
        <v>120</v>
      </c>
      <c r="BB841" s="863" t="s">
        <v>121</v>
      </c>
      <c r="BC841" s="864">
        <v>45650</v>
      </c>
      <c r="BD841" s="860" t="s">
        <v>2705</v>
      </c>
      <c r="BE841" s="865" cm="1">
        <f t="array" ref="BE841">IF(BD841="","",AC841/SUMPRODUCT(--(BD841=$BD$4:$BD$12824),$AC$4:$AC$12824))</f>
        <v>2.7578726268055413E-3</v>
      </c>
      <c r="BF841" s="458"/>
      <c r="BG841" s="458"/>
      <c r="BH841" s="458"/>
      <c r="BI841" s="458"/>
      <c r="BJ841" s="458"/>
      <c r="BK841" s="458"/>
      <c r="BL841" s="458"/>
      <c r="BM841" s="458"/>
      <c r="BN841" s="458"/>
      <c r="BO841" s="866">
        <f>VLOOKUP(BD841,$BD$4:$BN$12824,3,0)*BE841</f>
        <v>130056.7225903151</v>
      </c>
      <c r="BP841" s="866"/>
      <c r="BQ841" s="866"/>
      <c r="BR841" s="866">
        <f>VLOOKUP(BD841,$BD$4:$BN$12824,6,0)*BE841</f>
        <v>37296.207933549951</v>
      </c>
      <c r="BS841" s="866">
        <f>VLOOKUP(BD841,$BD$4:$BN$12824,7,0)*BE841</f>
        <v>4820.4055860872286</v>
      </c>
      <c r="BT841" s="866"/>
      <c r="BU841" s="866">
        <f>VLOOKUP(BD841,$BD$4:$BN$12824,9,0)*BE841</f>
        <v>0</v>
      </c>
      <c r="BV841" s="867"/>
      <c r="BW841" s="867">
        <f>VLOOKUP(BD841,$BD$4:$BN$12824,11,0)*BE841</f>
        <v>5361.3043865099726</v>
      </c>
      <c r="BX841" s="1146">
        <f t="shared" si="165"/>
        <v>177534.64049646223</v>
      </c>
      <c r="BY841" s="867">
        <f t="shared" si="166"/>
        <v>1039719.3680992924</v>
      </c>
      <c r="BZ841" s="867">
        <f t="shared" si="163"/>
        <v>5198596.8404964618</v>
      </c>
      <c r="CA841" s="867">
        <f>_xlfn.MAXIFS($BY$4:$BY$12824,$S$4:$S$12824,$S841)</f>
        <v>1039719.3680992924</v>
      </c>
      <c r="CB841" s="1032"/>
      <c r="CF841" s="946">
        <f t="shared" si="164"/>
        <v>5021062.1999999993</v>
      </c>
    </row>
    <row r="842" spans="1:84">
      <c r="A842" s="1032"/>
      <c r="B842" s="839" t="s">
        <v>98</v>
      </c>
      <c r="C842" s="839" t="s">
        <v>2689</v>
      </c>
      <c r="D842" s="839" t="s">
        <v>2690</v>
      </c>
      <c r="E842" s="839" t="s">
        <v>2691</v>
      </c>
      <c r="F842" s="841">
        <v>45451</v>
      </c>
      <c r="G842" s="840" t="s">
        <v>2689</v>
      </c>
      <c r="H842" s="842" t="s">
        <v>134</v>
      </c>
      <c r="I842" s="842"/>
      <c r="J842" s="841"/>
      <c r="K842" s="841"/>
      <c r="L842" s="843" t="s">
        <v>106</v>
      </c>
      <c r="M842" s="844" t="s">
        <v>107</v>
      </c>
      <c r="N842" s="841" t="s">
        <v>2692</v>
      </c>
      <c r="O842" s="841" t="s">
        <v>150</v>
      </c>
      <c r="P842" s="841" t="s">
        <v>151</v>
      </c>
      <c r="Q842" s="843"/>
      <c r="R842" s="845" t="s">
        <v>2968</v>
      </c>
      <c r="S842" s="1127" t="s">
        <v>2969</v>
      </c>
      <c r="T842" s="843" t="s">
        <v>2970</v>
      </c>
      <c r="U842" s="842">
        <v>5</v>
      </c>
      <c r="V842" s="842" t="s">
        <v>3</v>
      </c>
      <c r="W842" s="846">
        <v>85</v>
      </c>
      <c r="X842" s="847">
        <f t="shared" si="158"/>
        <v>425</v>
      </c>
      <c r="Y842" s="848">
        <v>0.55000000000000004</v>
      </c>
      <c r="Z842" s="849">
        <v>38.25</v>
      </c>
      <c r="AA842" s="849"/>
      <c r="AB842" s="849">
        <f t="shared" si="159"/>
        <v>191.25</v>
      </c>
      <c r="AC842" s="850">
        <f t="shared" si="160"/>
        <v>191.25</v>
      </c>
      <c r="AD842" s="851"/>
      <c r="AE842" s="852">
        <v>26253.919999999998</v>
      </c>
      <c r="AF842" s="853">
        <v>0</v>
      </c>
      <c r="AG842" s="854">
        <f t="shared" si="161"/>
        <v>0</v>
      </c>
      <c r="AH842" s="853"/>
      <c r="AI842" s="855">
        <f t="shared" si="162"/>
        <v>0</v>
      </c>
      <c r="AJ842" s="845" t="s">
        <v>2695</v>
      </c>
      <c r="AK842" s="857">
        <v>45332</v>
      </c>
      <c r="AL842" s="840" t="s">
        <v>2696</v>
      </c>
      <c r="AM842" s="840"/>
      <c r="AN842" s="858"/>
      <c r="AO842" s="844" t="s">
        <v>2697</v>
      </c>
      <c r="AP842" s="859" t="s">
        <v>2698</v>
      </c>
      <c r="AQ842" s="859" t="s">
        <v>2698</v>
      </c>
      <c r="AR842" s="859" t="s">
        <v>2699</v>
      </c>
      <c r="AS842" s="840" t="s">
        <v>2700</v>
      </c>
      <c r="AT842" s="840" t="s">
        <v>1743</v>
      </c>
      <c r="AU842" s="860" t="s">
        <v>1285</v>
      </c>
      <c r="AV842" s="839" t="s">
        <v>2701</v>
      </c>
      <c r="AW842" s="861">
        <v>45646</v>
      </c>
      <c r="AX842" s="862" t="s">
        <v>2702</v>
      </c>
      <c r="AY842" s="843" t="s">
        <v>2971</v>
      </c>
      <c r="AZ842" s="842" t="s">
        <v>2939</v>
      </c>
      <c r="BA842" s="842" t="s">
        <v>120</v>
      </c>
      <c r="BB842" s="863" t="s">
        <v>121</v>
      </c>
      <c r="BC842" s="864">
        <v>45650</v>
      </c>
      <c r="BD842" s="860" t="s">
        <v>2705</v>
      </c>
      <c r="BE842" s="865" cm="1">
        <f t="array" ref="BE842">IF(BD842="","",AC842/SUMPRODUCT(--(BD842=$BD$4:$BD$12824),$AC$4:$AC$12824))</f>
        <v>2.7578726268055413E-3</v>
      </c>
      <c r="BF842" s="458"/>
      <c r="BG842" s="458"/>
      <c r="BH842" s="458"/>
      <c r="BI842" s="458"/>
      <c r="BJ842" s="458"/>
      <c r="BK842" s="458"/>
      <c r="BL842" s="458"/>
      <c r="BM842" s="458"/>
      <c r="BN842" s="458"/>
      <c r="BO842" s="866">
        <f>VLOOKUP(BD842,$BD$4:$BN$12824,3,0)*BE842</f>
        <v>130056.7225903151</v>
      </c>
      <c r="BP842" s="866"/>
      <c r="BQ842" s="866"/>
      <c r="BR842" s="866">
        <f>VLOOKUP(BD842,$BD$4:$BN$12824,6,0)*BE842</f>
        <v>37296.207933549951</v>
      </c>
      <c r="BS842" s="866">
        <f>VLOOKUP(BD842,$BD$4:$BN$12824,7,0)*BE842</f>
        <v>4820.4055860872286</v>
      </c>
      <c r="BT842" s="866"/>
      <c r="BU842" s="866">
        <f>VLOOKUP(BD842,$BD$4:$BN$12824,9,0)*BE842</f>
        <v>0</v>
      </c>
      <c r="BV842" s="867"/>
      <c r="BW842" s="867">
        <f>VLOOKUP(BD842,$BD$4:$BN$12824,11,0)*BE842</f>
        <v>5361.3043865099726</v>
      </c>
      <c r="BX842" s="1146">
        <f t="shared" si="165"/>
        <v>177534.64049646223</v>
      </c>
      <c r="BY842" s="867">
        <f t="shared" si="166"/>
        <v>1039719.3680992924</v>
      </c>
      <c r="BZ842" s="867">
        <f t="shared" si="163"/>
        <v>5198596.8404964618</v>
      </c>
      <c r="CA842" s="867">
        <f>_xlfn.MAXIFS($BY$4:$BY$12824,$S$4:$S$12824,$S842)</f>
        <v>1039719.3680992924</v>
      </c>
      <c r="CB842" s="1032"/>
      <c r="CF842" s="946">
        <f t="shared" si="164"/>
        <v>5021062.1999999993</v>
      </c>
    </row>
    <row r="843" spans="1:84">
      <c r="A843" s="1032"/>
      <c r="B843" s="839" t="s">
        <v>98</v>
      </c>
      <c r="C843" s="839" t="s">
        <v>2689</v>
      </c>
      <c r="D843" s="839" t="s">
        <v>2690</v>
      </c>
      <c r="E843" s="839" t="s">
        <v>2691</v>
      </c>
      <c r="F843" s="841">
        <v>45451</v>
      </c>
      <c r="G843" s="840" t="s">
        <v>2689</v>
      </c>
      <c r="H843" s="842" t="s">
        <v>134</v>
      </c>
      <c r="I843" s="842"/>
      <c r="J843" s="841"/>
      <c r="K843" s="841"/>
      <c r="L843" s="843" t="s">
        <v>106</v>
      </c>
      <c r="M843" s="844" t="s">
        <v>107</v>
      </c>
      <c r="N843" s="841" t="s">
        <v>2692</v>
      </c>
      <c r="O843" s="841" t="s">
        <v>150</v>
      </c>
      <c r="P843" s="841" t="s">
        <v>151</v>
      </c>
      <c r="Q843" s="843"/>
      <c r="R843" s="845" t="s">
        <v>2972</v>
      </c>
      <c r="S843" s="1127" t="s">
        <v>2973</v>
      </c>
      <c r="T843" s="843" t="s">
        <v>2974</v>
      </c>
      <c r="U843" s="842">
        <v>5</v>
      </c>
      <c r="V843" s="842" t="s">
        <v>3</v>
      </c>
      <c r="W843" s="846">
        <v>85</v>
      </c>
      <c r="X843" s="847">
        <f t="shared" si="158"/>
        <v>425</v>
      </c>
      <c r="Y843" s="848">
        <v>0.55000000000000004</v>
      </c>
      <c r="Z843" s="849">
        <v>38.25</v>
      </c>
      <c r="AA843" s="849"/>
      <c r="AB843" s="849">
        <f t="shared" si="159"/>
        <v>191.25</v>
      </c>
      <c r="AC843" s="850">
        <f t="shared" si="160"/>
        <v>191.25</v>
      </c>
      <c r="AD843" s="851"/>
      <c r="AE843" s="852">
        <v>26253.919999999998</v>
      </c>
      <c r="AF843" s="853">
        <v>0</v>
      </c>
      <c r="AG843" s="854">
        <f t="shared" si="161"/>
        <v>0</v>
      </c>
      <c r="AH843" s="853"/>
      <c r="AI843" s="855">
        <f t="shared" si="162"/>
        <v>0</v>
      </c>
      <c r="AJ843" s="845" t="s">
        <v>2695</v>
      </c>
      <c r="AK843" s="857">
        <v>45332</v>
      </c>
      <c r="AL843" s="840" t="s">
        <v>2696</v>
      </c>
      <c r="AM843" s="840"/>
      <c r="AN843" s="858"/>
      <c r="AO843" s="844" t="s">
        <v>2697</v>
      </c>
      <c r="AP843" s="859" t="s">
        <v>2698</v>
      </c>
      <c r="AQ843" s="859" t="s">
        <v>2698</v>
      </c>
      <c r="AR843" s="859" t="s">
        <v>2699</v>
      </c>
      <c r="AS843" s="840" t="s">
        <v>2700</v>
      </c>
      <c r="AT843" s="840" t="s">
        <v>1743</v>
      </c>
      <c r="AU843" s="860" t="s">
        <v>1285</v>
      </c>
      <c r="AV843" s="839" t="s">
        <v>2701</v>
      </c>
      <c r="AW843" s="861">
        <v>45646</v>
      </c>
      <c r="AX843" s="862" t="s">
        <v>2702</v>
      </c>
      <c r="AY843" s="843" t="s">
        <v>2975</v>
      </c>
      <c r="AZ843" s="842" t="s">
        <v>2939</v>
      </c>
      <c r="BA843" s="842" t="s">
        <v>120</v>
      </c>
      <c r="BB843" s="863" t="s">
        <v>121</v>
      </c>
      <c r="BC843" s="864">
        <v>45650</v>
      </c>
      <c r="BD843" s="860" t="s">
        <v>2705</v>
      </c>
      <c r="BE843" s="865" cm="1">
        <f t="array" ref="BE843">IF(BD843="","",AC843/SUMPRODUCT(--(BD843=$BD$4:$BD$12824),$AC$4:$AC$12824))</f>
        <v>2.7578726268055413E-3</v>
      </c>
      <c r="BF843" s="458"/>
      <c r="BG843" s="458"/>
      <c r="BH843" s="458"/>
      <c r="BI843" s="458"/>
      <c r="BJ843" s="458"/>
      <c r="BK843" s="458"/>
      <c r="BL843" s="458"/>
      <c r="BM843" s="458"/>
      <c r="BN843" s="458"/>
      <c r="BO843" s="866">
        <f>VLOOKUP(BD843,$BD$4:$BN$12824,3,0)*BE843</f>
        <v>130056.7225903151</v>
      </c>
      <c r="BP843" s="866"/>
      <c r="BQ843" s="866"/>
      <c r="BR843" s="866">
        <f>VLOOKUP(BD843,$BD$4:$BN$12824,6,0)*BE843</f>
        <v>37296.207933549951</v>
      </c>
      <c r="BS843" s="866">
        <f>VLOOKUP(BD843,$BD$4:$BN$12824,7,0)*BE843</f>
        <v>4820.4055860872286</v>
      </c>
      <c r="BT843" s="866"/>
      <c r="BU843" s="866">
        <f>VLOOKUP(BD843,$BD$4:$BN$12824,9,0)*BE843</f>
        <v>0</v>
      </c>
      <c r="BV843" s="867"/>
      <c r="BW843" s="867">
        <f>VLOOKUP(BD843,$BD$4:$BN$12824,11,0)*BE843</f>
        <v>5361.3043865099726</v>
      </c>
      <c r="BX843" s="1146">
        <f t="shared" si="165"/>
        <v>177534.64049646223</v>
      </c>
      <c r="BY843" s="867">
        <f t="shared" si="166"/>
        <v>1039719.3680992924</v>
      </c>
      <c r="BZ843" s="867">
        <f t="shared" si="163"/>
        <v>5198596.8404964618</v>
      </c>
      <c r="CA843" s="867">
        <f>_xlfn.MAXIFS($BY$4:$BY$12824,$S$4:$S$12824,$S843)</f>
        <v>1039719.3680992924</v>
      </c>
      <c r="CB843" s="1032"/>
      <c r="CF843" s="946">
        <f t="shared" si="164"/>
        <v>5021062.1999999993</v>
      </c>
    </row>
    <row r="844" spans="1:84">
      <c r="A844" s="1032"/>
      <c r="B844" s="839" t="s">
        <v>98</v>
      </c>
      <c r="C844" s="839" t="s">
        <v>2689</v>
      </c>
      <c r="D844" s="839" t="s">
        <v>2690</v>
      </c>
      <c r="E844" s="839" t="s">
        <v>2691</v>
      </c>
      <c r="F844" s="841">
        <v>45451</v>
      </c>
      <c r="G844" s="840" t="s">
        <v>2689</v>
      </c>
      <c r="H844" s="842" t="s">
        <v>134</v>
      </c>
      <c r="I844" s="842"/>
      <c r="J844" s="841"/>
      <c r="K844" s="841"/>
      <c r="L844" s="843" t="s">
        <v>106</v>
      </c>
      <c r="M844" s="844" t="s">
        <v>107</v>
      </c>
      <c r="N844" s="841" t="s">
        <v>2692</v>
      </c>
      <c r="O844" s="841" t="s">
        <v>150</v>
      </c>
      <c r="P844" s="841" t="s">
        <v>151</v>
      </c>
      <c r="Q844" s="843"/>
      <c r="R844" s="845" t="s">
        <v>2976</v>
      </c>
      <c r="S844" s="1127" t="s">
        <v>2977</v>
      </c>
      <c r="T844" s="843" t="s">
        <v>2978</v>
      </c>
      <c r="U844" s="842">
        <v>5</v>
      </c>
      <c r="V844" s="842" t="s">
        <v>3</v>
      </c>
      <c r="W844" s="846">
        <v>88.999999999999986</v>
      </c>
      <c r="X844" s="847">
        <f t="shared" si="158"/>
        <v>444.99999999999994</v>
      </c>
      <c r="Y844" s="848">
        <v>0.55000000000000004</v>
      </c>
      <c r="Z844" s="849">
        <v>40.049999999999997</v>
      </c>
      <c r="AA844" s="849"/>
      <c r="AB844" s="849">
        <f t="shared" si="159"/>
        <v>200.25</v>
      </c>
      <c r="AC844" s="850">
        <f t="shared" si="160"/>
        <v>200.25</v>
      </c>
      <c r="AD844" s="851"/>
      <c r="AE844" s="852">
        <v>26253.919999999998</v>
      </c>
      <c r="AF844" s="853">
        <v>0</v>
      </c>
      <c r="AG844" s="854">
        <f t="shared" si="161"/>
        <v>0</v>
      </c>
      <c r="AH844" s="853"/>
      <c r="AI844" s="855">
        <f t="shared" si="162"/>
        <v>0</v>
      </c>
      <c r="AJ844" s="845" t="s">
        <v>2695</v>
      </c>
      <c r="AK844" s="857">
        <v>45332</v>
      </c>
      <c r="AL844" s="840" t="s">
        <v>2696</v>
      </c>
      <c r="AM844" s="840"/>
      <c r="AN844" s="858"/>
      <c r="AO844" s="844" t="s">
        <v>2697</v>
      </c>
      <c r="AP844" s="859" t="s">
        <v>2698</v>
      </c>
      <c r="AQ844" s="859" t="s">
        <v>2698</v>
      </c>
      <c r="AR844" s="859" t="s">
        <v>2699</v>
      </c>
      <c r="AS844" s="840" t="s">
        <v>2700</v>
      </c>
      <c r="AT844" s="840" t="s">
        <v>1743</v>
      </c>
      <c r="AU844" s="860" t="s">
        <v>1285</v>
      </c>
      <c r="AV844" s="839" t="s">
        <v>2701</v>
      </c>
      <c r="AW844" s="861">
        <v>45646</v>
      </c>
      <c r="AX844" s="862" t="s">
        <v>2702</v>
      </c>
      <c r="AY844" s="843" t="s">
        <v>2979</v>
      </c>
      <c r="AZ844" s="842" t="s">
        <v>2939</v>
      </c>
      <c r="BA844" s="842" t="s">
        <v>120</v>
      </c>
      <c r="BB844" s="863" t="s">
        <v>121</v>
      </c>
      <c r="BC844" s="864">
        <v>45650</v>
      </c>
      <c r="BD844" s="860" t="s">
        <v>2705</v>
      </c>
      <c r="BE844" s="865" cm="1">
        <f t="array" ref="BE844">IF(BD844="","",AC844/SUMPRODUCT(--(BD844=$BD$4:$BD$12824),$AC$4:$AC$12824))</f>
        <v>2.8876548680669785E-3</v>
      </c>
      <c r="BF844" s="458"/>
      <c r="BG844" s="458"/>
      <c r="BH844" s="458"/>
      <c r="BI844" s="458"/>
      <c r="BJ844" s="458"/>
      <c r="BK844" s="458"/>
      <c r="BL844" s="458"/>
      <c r="BM844" s="458"/>
      <c r="BN844" s="458"/>
      <c r="BO844" s="866">
        <f>VLOOKUP(BD844,$BD$4:$BN$12824,3,0)*BE844</f>
        <v>136177.0389475064</v>
      </c>
      <c r="BP844" s="866"/>
      <c r="BQ844" s="866"/>
      <c r="BR844" s="866">
        <f>VLOOKUP(BD844,$BD$4:$BN$12824,6,0)*BE844</f>
        <v>39051.323601011121</v>
      </c>
      <c r="BS844" s="866">
        <f>VLOOKUP(BD844,$BD$4:$BN$12824,7,0)*BE844</f>
        <v>5047.2482019030977</v>
      </c>
      <c r="BT844" s="866"/>
      <c r="BU844" s="866">
        <f>VLOOKUP(BD844,$BD$4:$BN$12824,9,0)*BE844</f>
        <v>0</v>
      </c>
      <c r="BV844" s="867"/>
      <c r="BW844" s="867">
        <f>VLOOKUP(BD844,$BD$4:$BN$12824,11,0)*BE844</f>
        <v>5613.6010635222065</v>
      </c>
      <c r="BX844" s="1146">
        <f t="shared" si="165"/>
        <v>185889.21181394285</v>
      </c>
      <c r="BY844" s="867">
        <f t="shared" si="166"/>
        <v>1088647.3383627883</v>
      </c>
      <c r="BZ844" s="867">
        <f t="shared" si="163"/>
        <v>5443236.691813942</v>
      </c>
      <c r="CA844" s="867">
        <f>_xlfn.MAXIFS($BY$4:$BY$12824,$S$4:$S$12824,$S844)</f>
        <v>1088647.3383627883</v>
      </c>
      <c r="CB844" s="1032"/>
      <c r="CF844" s="946">
        <f t="shared" si="164"/>
        <v>5257347.4799999995</v>
      </c>
    </row>
    <row r="845" spans="1:84">
      <c r="A845" s="1032"/>
      <c r="B845" s="839" t="s">
        <v>98</v>
      </c>
      <c r="C845" s="839" t="s">
        <v>2689</v>
      </c>
      <c r="D845" s="839" t="s">
        <v>2690</v>
      </c>
      <c r="E845" s="839" t="s">
        <v>2691</v>
      </c>
      <c r="F845" s="841">
        <v>45451</v>
      </c>
      <c r="G845" s="840" t="s">
        <v>2689</v>
      </c>
      <c r="H845" s="842" t="s">
        <v>134</v>
      </c>
      <c r="I845" s="842"/>
      <c r="J845" s="841"/>
      <c r="K845" s="841"/>
      <c r="L845" s="843" t="s">
        <v>106</v>
      </c>
      <c r="M845" s="844" t="s">
        <v>107</v>
      </c>
      <c r="N845" s="841" t="s">
        <v>2692</v>
      </c>
      <c r="O845" s="841" t="s">
        <v>150</v>
      </c>
      <c r="P845" s="841" t="s">
        <v>151</v>
      </c>
      <c r="Q845" s="843"/>
      <c r="R845" s="845" t="s">
        <v>2980</v>
      </c>
      <c r="S845" s="1127" t="s">
        <v>2981</v>
      </c>
      <c r="T845" s="843" t="s">
        <v>2982</v>
      </c>
      <c r="U845" s="842">
        <v>5</v>
      </c>
      <c r="V845" s="842" t="s">
        <v>3</v>
      </c>
      <c r="W845" s="846">
        <v>88.999999999999986</v>
      </c>
      <c r="X845" s="847">
        <f t="shared" si="158"/>
        <v>444.99999999999994</v>
      </c>
      <c r="Y845" s="848">
        <v>0.55000000000000004</v>
      </c>
      <c r="Z845" s="849">
        <v>40.049999999999997</v>
      </c>
      <c r="AA845" s="849"/>
      <c r="AB845" s="849">
        <f t="shared" si="159"/>
        <v>200.25</v>
      </c>
      <c r="AC845" s="850">
        <f t="shared" si="160"/>
        <v>200.25</v>
      </c>
      <c r="AD845" s="851"/>
      <c r="AE845" s="852">
        <v>26253.919999999998</v>
      </c>
      <c r="AF845" s="853">
        <v>0</v>
      </c>
      <c r="AG845" s="854">
        <f t="shared" si="161"/>
        <v>0</v>
      </c>
      <c r="AH845" s="853"/>
      <c r="AI845" s="855">
        <f t="shared" si="162"/>
        <v>0</v>
      </c>
      <c r="AJ845" s="845" t="s">
        <v>2695</v>
      </c>
      <c r="AK845" s="857">
        <v>45332</v>
      </c>
      <c r="AL845" s="840" t="s">
        <v>2696</v>
      </c>
      <c r="AM845" s="840"/>
      <c r="AN845" s="858"/>
      <c r="AO845" s="844" t="s">
        <v>2697</v>
      </c>
      <c r="AP845" s="859" t="s">
        <v>2698</v>
      </c>
      <c r="AQ845" s="859" t="s">
        <v>2698</v>
      </c>
      <c r="AR845" s="859" t="s">
        <v>2699</v>
      </c>
      <c r="AS845" s="840" t="s">
        <v>2700</v>
      </c>
      <c r="AT845" s="840" t="s">
        <v>1743</v>
      </c>
      <c r="AU845" s="860" t="s">
        <v>1285</v>
      </c>
      <c r="AV845" s="839" t="s">
        <v>2701</v>
      </c>
      <c r="AW845" s="861">
        <v>45646</v>
      </c>
      <c r="AX845" s="862" t="s">
        <v>2702</v>
      </c>
      <c r="AY845" s="843" t="s">
        <v>2983</v>
      </c>
      <c r="AZ845" s="842" t="s">
        <v>2939</v>
      </c>
      <c r="BA845" s="842" t="s">
        <v>120</v>
      </c>
      <c r="BB845" s="863" t="s">
        <v>121</v>
      </c>
      <c r="BC845" s="864">
        <v>45650</v>
      </c>
      <c r="BD845" s="860" t="s">
        <v>2705</v>
      </c>
      <c r="BE845" s="865" cm="1">
        <f t="array" ref="BE845">IF(BD845="","",AC845/SUMPRODUCT(--(BD845=$BD$4:$BD$12824),$AC$4:$AC$12824))</f>
        <v>2.8876548680669785E-3</v>
      </c>
      <c r="BF845" s="458"/>
      <c r="BG845" s="458"/>
      <c r="BH845" s="458"/>
      <c r="BI845" s="458"/>
      <c r="BJ845" s="458"/>
      <c r="BK845" s="458"/>
      <c r="BL845" s="458"/>
      <c r="BM845" s="458"/>
      <c r="BN845" s="458"/>
      <c r="BO845" s="866">
        <f>VLOOKUP(BD845,$BD$4:$BN$12824,3,0)*BE845</f>
        <v>136177.0389475064</v>
      </c>
      <c r="BP845" s="866"/>
      <c r="BQ845" s="866"/>
      <c r="BR845" s="866">
        <f>VLOOKUP(BD845,$BD$4:$BN$12824,6,0)*BE845</f>
        <v>39051.323601011121</v>
      </c>
      <c r="BS845" s="866">
        <f>VLOOKUP(BD845,$BD$4:$BN$12824,7,0)*BE845</f>
        <v>5047.2482019030977</v>
      </c>
      <c r="BT845" s="866"/>
      <c r="BU845" s="866">
        <f>VLOOKUP(BD845,$BD$4:$BN$12824,9,0)*BE845</f>
        <v>0</v>
      </c>
      <c r="BV845" s="867"/>
      <c r="BW845" s="867">
        <f>VLOOKUP(BD845,$BD$4:$BN$12824,11,0)*BE845</f>
        <v>5613.6010635222065</v>
      </c>
      <c r="BX845" s="1146">
        <f t="shared" si="165"/>
        <v>185889.21181394285</v>
      </c>
      <c r="BY845" s="867">
        <f t="shared" si="166"/>
        <v>1088647.3383627883</v>
      </c>
      <c r="BZ845" s="867">
        <f t="shared" si="163"/>
        <v>5443236.691813942</v>
      </c>
      <c r="CA845" s="867">
        <f>_xlfn.MAXIFS($BY$4:$BY$12824,$S$4:$S$12824,$S845)</f>
        <v>1088647.3383627883</v>
      </c>
      <c r="CB845" s="1032"/>
      <c r="CF845" s="946">
        <f t="shared" si="164"/>
        <v>5257347.4799999995</v>
      </c>
    </row>
    <row r="846" spans="1:84">
      <c r="A846" s="1032"/>
      <c r="B846" s="839" t="s">
        <v>98</v>
      </c>
      <c r="C846" s="839" t="s">
        <v>2689</v>
      </c>
      <c r="D846" s="839" t="s">
        <v>2690</v>
      </c>
      <c r="E846" s="839" t="s">
        <v>2691</v>
      </c>
      <c r="F846" s="841">
        <v>45451</v>
      </c>
      <c r="G846" s="840" t="s">
        <v>2689</v>
      </c>
      <c r="H846" s="842" t="s">
        <v>134</v>
      </c>
      <c r="I846" s="842"/>
      <c r="J846" s="841"/>
      <c r="K846" s="841"/>
      <c r="L846" s="843" t="s">
        <v>106</v>
      </c>
      <c r="M846" s="844" t="s">
        <v>107</v>
      </c>
      <c r="N846" s="841" t="s">
        <v>2692</v>
      </c>
      <c r="O846" s="841" t="s">
        <v>150</v>
      </c>
      <c r="P846" s="841" t="s">
        <v>151</v>
      </c>
      <c r="Q846" s="843"/>
      <c r="R846" s="845" t="s">
        <v>2984</v>
      </c>
      <c r="S846" s="1127" t="s">
        <v>2985</v>
      </c>
      <c r="T846" s="843" t="s">
        <v>2986</v>
      </c>
      <c r="U846" s="842">
        <v>5</v>
      </c>
      <c r="V846" s="842" t="s">
        <v>3</v>
      </c>
      <c r="W846" s="846">
        <v>88.999999999999986</v>
      </c>
      <c r="X846" s="847">
        <f t="shared" si="158"/>
        <v>444.99999999999994</v>
      </c>
      <c r="Y846" s="848">
        <v>0.55000000000000004</v>
      </c>
      <c r="Z846" s="849">
        <v>40.049999999999997</v>
      </c>
      <c r="AA846" s="849"/>
      <c r="AB846" s="849">
        <f t="shared" si="159"/>
        <v>200.25</v>
      </c>
      <c r="AC846" s="850">
        <f t="shared" si="160"/>
        <v>200.25</v>
      </c>
      <c r="AD846" s="851"/>
      <c r="AE846" s="852">
        <v>26253.919999999998</v>
      </c>
      <c r="AF846" s="853">
        <v>0</v>
      </c>
      <c r="AG846" s="854">
        <f t="shared" si="161"/>
        <v>0</v>
      </c>
      <c r="AH846" s="853"/>
      <c r="AI846" s="855">
        <f t="shared" si="162"/>
        <v>0</v>
      </c>
      <c r="AJ846" s="845" t="s">
        <v>2695</v>
      </c>
      <c r="AK846" s="857">
        <v>45332</v>
      </c>
      <c r="AL846" s="840" t="s">
        <v>2696</v>
      </c>
      <c r="AM846" s="840"/>
      <c r="AN846" s="858"/>
      <c r="AO846" s="844" t="s">
        <v>2697</v>
      </c>
      <c r="AP846" s="859" t="s">
        <v>2698</v>
      </c>
      <c r="AQ846" s="859" t="s">
        <v>2698</v>
      </c>
      <c r="AR846" s="859" t="s">
        <v>2699</v>
      </c>
      <c r="AS846" s="840" t="s">
        <v>2700</v>
      </c>
      <c r="AT846" s="840" t="s">
        <v>1743</v>
      </c>
      <c r="AU846" s="860" t="s">
        <v>1285</v>
      </c>
      <c r="AV846" s="839" t="s">
        <v>2701</v>
      </c>
      <c r="AW846" s="861">
        <v>45646</v>
      </c>
      <c r="AX846" s="862" t="s">
        <v>2702</v>
      </c>
      <c r="AY846" s="843" t="s">
        <v>2987</v>
      </c>
      <c r="AZ846" s="842" t="s">
        <v>2939</v>
      </c>
      <c r="BA846" s="842" t="s">
        <v>120</v>
      </c>
      <c r="BB846" s="863" t="s">
        <v>121</v>
      </c>
      <c r="BC846" s="864">
        <v>45650</v>
      </c>
      <c r="BD846" s="860" t="s">
        <v>2705</v>
      </c>
      <c r="BE846" s="865" cm="1">
        <f t="array" ref="BE846">IF(BD846="","",AC846/SUMPRODUCT(--(BD846=$BD$4:$BD$12824),$AC$4:$AC$12824))</f>
        <v>2.8876548680669785E-3</v>
      </c>
      <c r="BF846" s="458"/>
      <c r="BG846" s="458"/>
      <c r="BH846" s="458"/>
      <c r="BI846" s="458"/>
      <c r="BJ846" s="458"/>
      <c r="BK846" s="458"/>
      <c r="BL846" s="458"/>
      <c r="BM846" s="458"/>
      <c r="BN846" s="458"/>
      <c r="BO846" s="866">
        <f>VLOOKUP(BD846,$BD$4:$BN$12824,3,0)*BE846</f>
        <v>136177.0389475064</v>
      </c>
      <c r="BP846" s="866"/>
      <c r="BQ846" s="866"/>
      <c r="BR846" s="866">
        <f>VLOOKUP(BD846,$BD$4:$BN$12824,6,0)*BE846</f>
        <v>39051.323601011121</v>
      </c>
      <c r="BS846" s="866">
        <f>VLOOKUP(BD846,$BD$4:$BN$12824,7,0)*BE846</f>
        <v>5047.2482019030977</v>
      </c>
      <c r="BT846" s="866"/>
      <c r="BU846" s="866">
        <f>VLOOKUP(BD846,$BD$4:$BN$12824,9,0)*BE846</f>
        <v>0</v>
      </c>
      <c r="BV846" s="867"/>
      <c r="BW846" s="867">
        <f>VLOOKUP(BD846,$BD$4:$BN$12824,11,0)*BE846</f>
        <v>5613.6010635222065</v>
      </c>
      <c r="BX846" s="1146">
        <f t="shared" si="165"/>
        <v>185889.21181394285</v>
      </c>
      <c r="BY846" s="867">
        <f t="shared" si="166"/>
        <v>1088647.3383627883</v>
      </c>
      <c r="BZ846" s="867">
        <f t="shared" si="163"/>
        <v>5443236.691813942</v>
      </c>
      <c r="CA846" s="867">
        <f>_xlfn.MAXIFS($BY$4:$BY$12824,$S$4:$S$12824,$S846)</f>
        <v>1088647.3383627883</v>
      </c>
      <c r="CB846" s="1032"/>
      <c r="CF846" s="946">
        <f t="shared" si="164"/>
        <v>5257347.4799999995</v>
      </c>
    </row>
    <row r="847" spans="1:84">
      <c r="A847" s="1032"/>
      <c r="B847" s="839" t="s">
        <v>98</v>
      </c>
      <c r="C847" s="839" t="s">
        <v>2689</v>
      </c>
      <c r="D847" s="839" t="s">
        <v>2690</v>
      </c>
      <c r="E847" s="839" t="s">
        <v>2691</v>
      </c>
      <c r="F847" s="841">
        <v>45451</v>
      </c>
      <c r="G847" s="840" t="s">
        <v>2689</v>
      </c>
      <c r="H847" s="842" t="s">
        <v>134</v>
      </c>
      <c r="I847" s="842"/>
      <c r="J847" s="841"/>
      <c r="K847" s="841"/>
      <c r="L847" s="843" t="s">
        <v>106</v>
      </c>
      <c r="M847" s="844" t="s">
        <v>107</v>
      </c>
      <c r="N847" s="841" t="s">
        <v>2692</v>
      </c>
      <c r="O847" s="841" t="s">
        <v>150</v>
      </c>
      <c r="P847" s="841" t="s">
        <v>151</v>
      </c>
      <c r="Q847" s="843"/>
      <c r="R847" s="845" t="s">
        <v>2988</v>
      </c>
      <c r="S847" s="1127" t="s">
        <v>2989</v>
      </c>
      <c r="T847" s="843" t="s">
        <v>2990</v>
      </c>
      <c r="U847" s="842">
        <v>5</v>
      </c>
      <c r="V847" s="842" t="s">
        <v>3</v>
      </c>
      <c r="W847" s="846">
        <v>88.999999999999986</v>
      </c>
      <c r="X847" s="847">
        <f t="shared" si="158"/>
        <v>444.99999999999994</v>
      </c>
      <c r="Y847" s="848">
        <v>0.55000000000000004</v>
      </c>
      <c r="Z847" s="849">
        <v>40.049999999999997</v>
      </c>
      <c r="AA847" s="849"/>
      <c r="AB847" s="849">
        <f t="shared" si="159"/>
        <v>200.25</v>
      </c>
      <c r="AC847" s="850">
        <f t="shared" si="160"/>
        <v>200.25</v>
      </c>
      <c r="AD847" s="851"/>
      <c r="AE847" s="852">
        <v>26253.919999999998</v>
      </c>
      <c r="AF847" s="853">
        <v>0</v>
      </c>
      <c r="AG847" s="854">
        <f t="shared" si="161"/>
        <v>0</v>
      </c>
      <c r="AH847" s="853"/>
      <c r="AI847" s="855">
        <f t="shared" si="162"/>
        <v>0</v>
      </c>
      <c r="AJ847" s="845" t="s">
        <v>2695</v>
      </c>
      <c r="AK847" s="857">
        <v>45332</v>
      </c>
      <c r="AL847" s="840" t="s">
        <v>2696</v>
      </c>
      <c r="AM847" s="840"/>
      <c r="AN847" s="858"/>
      <c r="AO847" s="844" t="s">
        <v>2697</v>
      </c>
      <c r="AP847" s="859" t="s">
        <v>2698</v>
      </c>
      <c r="AQ847" s="859" t="s">
        <v>2698</v>
      </c>
      <c r="AR847" s="859" t="s">
        <v>2699</v>
      </c>
      <c r="AS847" s="840" t="s">
        <v>2700</v>
      </c>
      <c r="AT847" s="840" t="s">
        <v>1743</v>
      </c>
      <c r="AU847" s="860" t="s">
        <v>1285</v>
      </c>
      <c r="AV847" s="839" t="s">
        <v>2701</v>
      </c>
      <c r="AW847" s="861">
        <v>45646</v>
      </c>
      <c r="AX847" s="862" t="s">
        <v>2702</v>
      </c>
      <c r="AY847" s="843" t="s">
        <v>2991</v>
      </c>
      <c r="AZ847" s="842" t="s">
        <v>2939</v>
      </c>
      <c r="BA847" s="842" t="s">
        <v>120</v>
      </c>
      <c r="BB847" s="863" t="s">
        <v>121</v>
      </c>
      <c r="BC847" s="864">
        <v>45650</v>
      </c>
      <c r="BD847" s="860" t="s">
        <v>2705</v>
      </c>
      <c r="BE847" s="865" cm="1">
        <f t="array" ref="BE847">IF(BD847="","",AC847/SUMPRODUCT(--(BD847=$BD$4:$BD$12824),$AC$4:$AC$12824))</f>
        <v>2.8876548680669785E-3</v>
      </c>
      <c r="BF847" s="458"/>
      <c r="BG847" s="458"/>
      <c r="BH847" s="458"/>
      <c r="BI847" s="458"/>
      <c r="BJ847" s="458"/>
      <c r="BK847" s="458"/>
      <c r="BL847" s="458"/>
      <c r="BM847" s="458"/>
      <c r="BN847" s="458"/>
      <c r="BO847" s="866">
        <f>VLOOKUP(BD847,$BD$4:$BN$12824,3,0)*BE847</f>
        <v>136177.0389475064</v>
      </c>
      <c r="BP847" s="866"/>
      <c r="BQ847" s="866"/>
      <c r="BR847" s="866">
        <f>VLOOKUP(BD847,$BD$4:$BN$12824,6,0)*BE847</f>
        <v>39051.323601011121</v>
      </c>
      <c r="BS847" s="866">
        <f>VLOOKUP(BD847,$BD$4:$BN$12824,7,0)*BE847</f>
        <v>5047.2482019030977</v>
      </c>
      <c r="BT847" s="866"/>
      <c r="BU847" s="866">
        <f>VLOOKUP(BD847,$BD$4:$BN$12824,9,0)*BE847</f>
        <v>0</v>
      </c>
      <c r="BV847" s="867"/>
      <c r="BW847" s="867">
        <f>VLOOKUP(BD847,$BD$4:$BN$12824,11,0)*BE847</f>
        <v>5613.6010635222065</v>
      </c>
      <c r="BX847" s="1146">
        <f t="shared" si="165"/>
        <v>185889.21181394285</v>
      </c>
      <c r="BY847" s="867">
        <f t="shared" si="166"/>
        <v>1088647.3383627883</v>
      </c>
      <c r="BZ847" s="867">
        <f t="shared" si="163"/>
        <v>5443236.691813942</v>
      </c>
      <c r="CA847" s="867">
        <f>_xlfn.MAXIFS($BY$4:$BY$12824,$S$4:$S$12824,$S847)</f>
        <v>1088647.3383627883</v>
      </c>
      <c r="CB847" s="1032"/>
      <c r="CF847" s="946">
        <f t="shared" si="164"/>
        <v>5257347.4799999995</v>
      </c>
    </row>
    <row r="848" spans="1:84">
      <c r="A848" s="1032"/>
      <c r="B848" s="839" t="s">
        <v>98</v>
      </c>
      <c r="C848" s="839" t="s">
        <v>2689</v>
      </c>
      <c r="D848" s="839" t="s">
        <v>2690</v>
      </c>
      <c r="E848" s="839" t="s">
        <v>2691</v>
      </c>
      <c r="F848" s="841">
        <v>45451</v>
      </c>
      <c r="G848" s="840" t="s">
        <v>2689</v>
      </c>
      <c r="H848" s="842" t="s">
        <v>134</v>
      </c>
      <c r="I848" s="842"/>
      <c r="J848" s="841"/>
      <c r="K848" s="841"/>
      <c r="L848" s="843" t="s">
        <v>106</v>
      </c>
      <c r="M848" s="844" t="s">
        <v>107</v>
      </c>
      <c r="N848" s="841" t="s">
        <v>2692</v>
      </c>
      <c r="O848" s="841" t="s">
        <v>150</v>
      </c>
      <c r="P848" s="841" t="s">
        <v>151</v>
      </c>
      <c r="Q848" s="843"/>
      <c r="R848" s="845" t="s">
        <v>2992</v>
      </c>
      <c r="S848" s="1127" t="s">
        <v>2993</v>
      </c>
      <c r="T848" s="843" t="s">
        <v>2994</v>
      </c>
      <c r="U848" s="842">
        <v>5</v>
      </c>
      <c r="V848" s="842" t="s">
        <v>3</v>
      </c>
      <c r="W848" s="846">
        <v>88.999999999999986</v>
      </c>
      <c r="X848" s="847">
        <f t="shared" si="158"/>
        <v>444.99999999999994</v>
      </c>
      <c r="Y848" s="848">
        <v>0.55000000000000004</v>
      </c>
      <c r="Z848" s="849">
        <v>40.049999999999997</v>
      </c>
      <c r="AA848" s="849"/>
      <c r="AB848" s="849">
        <f t="shared" si="159"/>
        <v>200.25</v>
      </c>
      <c r="AC848" s="850">
        <f t="shared" si="160"/>
        <v>200.25</v>
      </c>
      <c r="AD848" s="851"/>
      <c r="AE848" s="852">
        <v>26253.919999999998</v>
      </c>
      <c r="AF848" s="853">
        <v>0</v>
      </c>
      <c r="AG848" s="854">
        <f t="shared" si="161"/>
        <v>0</v>
      </c>
      <c r="AH848" s="853"/>
      <c r="AI848" s="855">
        <f t="shared" si="162"/>
        <v>0</v>
      </c>
      <c r="AJ848" s="845" t="s">
        <v>2695</v>
      </c>
      <c r="AK848" s="857">
        <v>45332</v>
      </c>
      <c r="AL848" s="840" t="s">
        <v>2696</v>
      </c>
      <c r="AM848" s="840"/>
      <c r="AN848" s="858"/>
      <c r="AO848" s="844" t="s">
        <v>2697</v>
      </c>
      <c r="AP848" s="859" t="s">
        <v>2698</v>
      </c>
      <c r="AQ848" s="859" t="s">
        <v>2698</v>
      </c>
      <c r="AR848" s="859" t="s">
        <v>2699</v>
      </c>
      <c r="AS848" s="840" t="s">
        <v>2700</v>
      </c>
      <c r="AT848" s="840" t="s">
        <v>1743</v>
      </c>
      <c r="AU848" s="860" t="s">
        <v>1285</v>
      </c>
      <c r="AV848" s="839" t="s">
        <v>2701</v>
      </c>
      <c r="AW848" s="861">
        <v>45646</v>
      </c>
      <c r="AX848" s="862" t="s">
        <v>2702</v>
      </c>
      <c r="AY848" s="843" t="s">
        <v>2995</v>
      </c>
      <c r="AZ848" s="842" t="s">
        <v>2939</v>
      </c>
      <c r="BA848" s="842" t="s">
        <v>120</v>
      </c>
      <c r="BB848" s="863" t="s">
        <v>121</v>
      </c>
      <c r="BC848" s="864">
        <v>45650</v>
      </c>
      <c r="BD848" s="860" t="s">
        <v>2705</v>
      </c>
      <c r="BE848" s="865" cm="1">
        <f t="array" ref="BE848">IF(BD848="","",AC848/SUMPRODUCT(--(BD848=$BD$4:$BD$12824),$AC$4:$AC$12824))</f>
        <v>2.8876548680669785E-3</v>
      </c>
      <c r="BF848" s="458"/>
      <c r="BG848" s="458"/>
      <c r="BH848" s="458"/>
      <c r="BI848" s="458"/>
      <c r="BJ848" s="458"/>
      <c r="BK848" s="458"/>
      <c r="BL848" s="458"/>
      <c r="BM848" s="458"/>
      <c r="BN848" s="458"/>
      <c r="BO848" s="866">
        <f>VLOOKUP(BD848,$BD$4:$BN$12824,3,0)*BE848</f>
        <v>136177.0389475064</v>
      </c>
      <c r="BP848" s="866"/>
      <c r="BQ848" s="866"/>
      <c r="BR848" s="866">
        <f>VLOOKUP(BD848,$BD$4:$BN$12824,6,0)*BE848</f>
        <v>39051.323601011121</v>
      </c>
      <c r="BS848" s="866">
        <f>VLOOKUP(BD848,$BD$4:$BN$12824,7,0)*BE848</f>
        <v>5047.2482019030977</v>
      </c>
      <c r="BT848" s="866"/>
      <c r="BU848" s="866">
        <f>VLOOKUP(BD848,$BD$4:$BN$12824,9,0)*BE848</f>
        <v>0</v>
      </c>
      <c r="BV848" s="867"/>
      <c r="BW848" s="867">
        <f>VLOOKUP(BD848,$BD$4:$BN$12824,11,0)*BE848</f>
        <v>5613.6010635222065</v>
      </c>
      <c r="BX848" s="1146">
        <f t="shared" si="165"/>
        <v>185889.21181394285</v>
      </c>
      <c r="BY848" s="867">
        <f t="shared" si="166"/>
        <v>1088647.3383627883</v>
      </c>
      <c r="BZ848" s="867">
        <f t="shared" si="163"/>
        <v>5443236.691813942</v>
      </c>
      <c r="CA848" s="867">
        <f>_xlfn.MAXIFS($BY$4:$BY$12824,$S$4:$S$12824,$S848)</f>
        <v>1088647.3383627883</v>
      </c>
      <c r="CB848" s="1032"/>
      <c r="CF848" s="946">
        <f t="shared" si="164"/>
        <v>5257347.4799999995</v>
      </c>
    </row>
    <row r="849" spans="1:84">
      <c r="A849" s="1032"/>
      <c r="B849" s="839" t="s">
        <v>98</v>
      </c>
      <c r="C849" s="839" t="s">
        <v>2689</v>
      </c>
      <c r="D849" s="839" t="s">
        <v>2690</v>
      </c>
      <c r="E849" s="839" t="s">
        <v>2691</v>
      </c>
      <c r="F849" s="841">
        <v>45451</v>
      </c>
      <c r="G849" s="840" t="s">
        <v>2689</v>
      </c>
      <c r="H849" s="842" t="s">
        <v>134</v>
      </c>
      <c r="I849" s="842"/>
      <c r="J849" s="841"/>
      <c r="K849" s="841"/>
      <c r="L849" s="843" t="s">
        <v>106</v>
      </c>
      <c r="M849" s="844" t="s">
        <v>107</v>
      </c>
      <c r="N849" s="841" t="s">
        <v>2692</v>
      </c>
      <c r="O849" s="841" t="s">
        <v>150</v>
      </c>
      <c r="P849" s="841" t="s">
        <v>151</v>
      </c>
      <c r="Q849" s="843"/>
      <c r="R849" s="845" t="s">
        <v>2996</v>
      </c>
      <c r="S849" s="1127" t="s">
        <v>2997</v>
      </c>
      <c r="T849" s="843" t="s">
        <v>2998</v>
      </c>
      <c r="U849" s="842">
        <v>20</v>
      </c>
      <c r="V849" s="842" t="s">
        <v>3</v>
      </c>
      <c r="W849" s="846">
        <v>75</v>
      </c>
      <c r="X849" s="847">
        <f t="shared" si="158"/>
        <v>1500</v>
      </c>
      <c r="Y849" s="848">
        <v>0.55000000000000004</v>
      </c>
      <c r="Z849" s="849">
        <v>33.75</v>
      </c>
      <c r="AA849" s="849"/>
      <c r="AB849" s="849">
        <f t="shared" si="159"/>
        <v>675</v>
      </c>
      <c r="AC849" s="850">
        <f t="shared" si="160"/>
        <v>675</v>
      </c>
      <c r="AD849" s="851"/>
      <c r="AE849" s="852">
        <v>26253.919999999998</v>
      </c>
      <c r="AF849" s="853">
        <v>4.1000000000000002E-2</v>
      </c>
      <c r="AG849" s="854">
        <f t="shared" si="161"/>
        <v>746094.74984199705</v>
      </c>
      <c r="AH849" s="853"/>
      <c r="AI849" s="855">
        <f t="shared" si="162"/>
        <v>0</v>
      </c>
      <c r="AJ849" s="845" t="s">
        <v>2695</v>
      </c>
      <c r="AK849" s="857">
        <v>45332</v>
      </c>
      <c r="AL849" s="840" t="s">
        <v>2696</v>
      </c>
      <c r="AM849" s="840"/>
      <c r="AN849" s="858"/>
      <c r="AO849" s="844" t="s">
        <v>2697</v>
      </c>
      <c r="AP849" s="859" t="s">
        <v>2698</v>
      </c>
      <c r="AQ849" s="859" t="s">
        <v>2698</v>
      </c>
      <c r="AR849" s="859" t="s">
        <v>2699</v>
      </c>
      <c r="AS849" s="840" t="s">
        <v>2700</v>
      </c>
      <c r="AT849" s="840" t="s">
        <v>1743</v>
      </c>
      <c r="AU849" s="860" t="s">
        <v>1285</v>
      </c>
      <c r="AV849" s="839" t="s">
        <v>2701</v>
      </c>
      <c r="AW849" s="861">
        <v>45646</v>
      </c>
      <c r="AX849" s="862" t="s">
        <v>2702</v>
      </c>
      <c r="AY849" s="843" t="s">
        <v>2999</v>
      </c>
      <c r="AZ849" s="842" t="s">
        <v>3000</v>
      </c>
      <c r="BA849" s="842" t="s">
        <v>120</v>
      </c>
      <c r="BB849" s="863" t="s">
        <v>121</v>
      </c>
      <c r="BC849" s="864">
        <v>45650</v>
      </c>
      <c r="BD849" s="860" t="s">
        <v>2705</v>
      </c>
      <c r="BE849" s="865" cm="1">
        <f t="array" ref="BE849">IF(BD849="","",AC849/SUMPRODUCT(--(BD849=$BD$4:$BD$12824),$AC$4:$AC$12824))</f>
        <v>9.7336680946077912E-3</v>
      </c>
      <c r="BF849" s="458"/>
      <c r="BG849" s="458"/>
      <c r="BH849" s="458"/>
      <c r="BI849" s="458"/>
      <c r="BJ849" s="458"/>
      <c r="BK849" s="458"/>
      <c r="BL849" s="458"/>
      <c r="BM849" s="458"/>
      <c r="BN849" s="458"/>
      <c r="BO849" s="866">
        <f>VLOOKUP(BD849,$BD$4:$BN$12824,3,0)*BE849</f>
        <v>459023.7267893473</v>
      </c>
      <c r="BP849" s="866"/>
      <c r="BQ849" s="866"/>
      <c r="BR849" s="866">
        <f>VLOOKUP(BD849,$BD$4:$BN$12824,6,0)*BE849</f>
        <v>131633.67505958804</v>
      </c>
      <c r="BS849" s="866">
        <f>VLOOKUP(BD849,$BD$4:$BN$12824,7,0)*BE849</f>
        <v>17013.196186190216</v>
      </c>
      <c r="BT849" s="866"/>
      <c r="BU849" s="866">
        <f>VLOOKUP(BD849,$BD$4:$BN$12824,9,0)*BE849</f>
        <v>0</v>
      </c>
      <c r="BV849" s="867"/>
      <c r="BW849" s="867">
        <f>VLOOKUP(BD849,$BD$4:$BN$12824,11,0)*BE849</f>
        <v>18922.250775917546</v>
      </c>
      <c r="BX849" s="1146">
        <f t="shared" si="165"/>
        <v>626592.84881104308</v>
      </c>
      <c r="BY849" s="867">
        <f t="shared" si="166"/>
        <v>954704.17993265181</v>
      </c>
      <c r="BZ849" s="867">
        <f t="shared" si="163"/>
        <v>19094083.598653037</v>
      </c>
      <c r="CA849" s="867">
        <f>_xlfn.MAXIFS($BY$4:$BY$12824,$S$4:$S$12824,$S849)</f>
        <v>954704.17993265181</v>
      </c>
      <c r="CB849" s="1032"/>
      <c r="CF849" s="946">
        <f t="shared" si="164"/>
        <v>17721396</v>
      </c>
    </row>
    <row r="850" spans="1:84">
      <c r="A850" s="1032"/>
      <c r="B850" s="839" t="s">
        <v>98</v>
      </c>
      <c r="C850" s="839" t="s">
        <v>2689</v>
      </c>
      <c r="D850" s="839" t="s">
        <v>2690</v>
      </c>
      <c r="E850" s="839" t="s">
        <v>2691</v>
      </c>
      <c r="F850" s="841">
        <v>45451</v>
      </c>
      <c r="G850" s="840" t="s">
        <v>2689</v>
      </c>
      <c r="H850" s="842" t="s">
        <v>134</v>
      </c>
      <c r="I850" s="842"/>
      <c r="J850" s="841"/>
      <c r="K850" s="841"/>
      <c r="L850" s="843" t="s">
        <v>106</v>
      </c>
      <c r="M850" s="844" t="s">
        <v>107</v>
      </c>
      <c r="N850" s="841" t="s">
        <v>2692</v>
      </c>
      <c r="O850" s="841" t="s">
        <v>150</v>
      </c>
      <c r="P850" s="841" t="s">
        <v>151</v>
      </c>
      <c r="Q850" s="843"/>
      <c r="R850" s="845" t="s">
        <v>3001</v>
      </c>
      <c r="S850" s="1127" t="s">
        <v>3002</v>
      </c>
      <c r="T850" s="843" t="s">
        <v>3003</v>
      </c>
      <c r="U850" s="842">
        <v>10</v>
      </c>
      <c r="V850" s="842" t="s">
        <v>3</v>
      </c>
      <c r="W850" s="846">
        <v>75</v>
      </c>
      <c r="X850" s="847">
        <f t="shared" si="158"/>
        <v>750</v>
      </c>
      <c r="Y850" s="848">
        <v>0.55000000000000004</v>
      </c>
      <c r="Z850" s="849">
        <v>33.75</v>
      </c>
      <c r="AA850" s="849"/>
      <c r="AB850" s="849">
        <f t="shared" si="159"/>
        <v>337.5</v>
      </c>
      <c r="AC850" s="850">
        <f t="shared" si="160"/>
        <v>337.5</v>
      </c>
      <c r="AD850" s="851"/>
      <c r="AE850" s="852">
        <v>26253.919999999998</v>
      </c>
      <c r="AF850" s="853">
        <v>4.1000000000000002E-2</v>
      </c>
      <c r="AG850" s="854">
        <f t="shared" si="161"/>
        <v>373047.37492099853</v>
      </c>
      <c r="AH850" s="853"/>
      <c r="AI850" s="855">
        <f t="shared" si="162"/>
        <v>0</v>
      </c>
      <c r="AJ850" s="845" t="s">
        <v>2695</v>
      </c>
      <c r="AK850" s="857">
        <v>45332</v>
      </c>
      <c r="AL850" s="840" t="s">
        <v>2696</v>
      </c>
      <c r="AM850" s="840"/>
      <c r="AN850" s="858"/>
      <c r="AO850" s="844" t="s">
        <v>2697</v>
      </c>
      <c r="AP850" s="859" t="s">
        <v>2698</v>
      </c>
      <c r="AQ850" s="859" t="s">
        <v>2698</v>
      </c>
      <c r="AR850" s="859" t="s">
        <v>2699</v>
      </c>
      <c r="AS850" s="840" t="s">
        <v>2700</v>
      </c>
      <c r="AT850" s="840" t="s">
        <v>1743</v>
      </c>
      <c r="AU850" s="860" t="s">
        <v>1285</v>
      </c>
      <c r="AV850" s="839" t="s">
        <v>2701</v>
      </c>
      <c r="AW850" s="861">
        <v>45646</v>
      </c>
      <c r="AX850" s="862" t="s">
        <v>2702</v>
      </c>
      <c r="AY850" s="843" t="s">
        <v>3004</v>
      </c>
      <c r="AZ850" s="842" t="s">
        <v>3000</v>
      </c>
      <c r="BA850" s="842" t="s">
        <v>120</v>
      </c>
      <c r="BB850" s="863" t="s">
        <v>121</v>
      </c>
      <c r="BC850" s="864">
        <v>45650</v>
      </c>
      <c r="BD850" s="860" t="s">
        <v>2705</v>
      </c>
      <c r="BE850" s="865" cm="1">
        <f t="array" ref="BE850">IF(BD850="","",AC850/SUMPRODUCT(--(BD850=$BD$4:$BD$12824),$AC$4:$AC$12824))</f>
        <v>4.8668340473038956E-3</v>
      </c>
      <c r="BF850" s="458"/>
      <c r="BG850" s="458"/>
      <c r="BH850" s="458"/>
      <c r="BI850" s="458"/>
      <c r="BJ850" s="458"/>
      <c r="BK850" s="458"/>
      <c r="BL850" s="458"/>
      <c r="BM850" s="458"/>
      <c r="BN850" s="458"/>
      <c r="BO850" s="866">
        <f>VLOOKUP(BD850,$BD$4:$BN$12824,3,0)*BE850</f>
        <v>229511.86339467365</v>
      </c>
      <c r="BP850" s="866"/>
      <c r="BQ850" s="866"/>
      <c r="BR850" s="866">
        <f>VLOOKUP(BD850,$BD$4:$BN$12824,6,0)*BE850</f>
        <v>65816.837529794022</v>
      </c>
      <c r="BS850" s="866">
        <f>VLOOKUP(BD850,$BD$4:$BN$12824,7,0)*BE850</f>
        <v>8506.5980930951082</v>
      </c>
      <c r="BT850" s="866"/>
      <c r="BU850" s="866">
        <f>VLOOKUP(BD850,$BD$4:$BN$12824,9,0)*BE850</f>
        <v>0</v>
      </c>
      <c r="BV850" s="867"/>
      <c r="BW850" s="867">
        <f>VLOOKUP(BD850,$BD$4:$BN$12824,11,0)*BE850</f>
        <v>9461.125387958773</v>
      </c>
      <c r="BX850" s="1146">
        <f t="shared" si="165"/>
        <v>313296.42440552154</v>
      </c>
      <c r="BY850" s="867">
        <f t="shared" si="166"/>
        <v>954704.17993265181</v>
      </c>
      <c r="BZ850" s="867">
        <f t="shared" si="163"/>
        <v>9547041.7993265186</v>
      </c>
      <c r="CA850" s="867">
        <f>_xlfn.MAXIFS($BY$4:$BY$12824,$S$4:$S$12824,$S850)</f>
        <v>954704.17993265181</v>
      </c>
      <c r="CB850" s="1032"/>
      <c r="CF850" s="946">
        <f t="shared" si="164"/>
        <v>8860698</v>
      </c>
    </row>
    <row r="851" spans="1:84">
      <c r="A851" s="1032"/>
      <c r="B851" s="839" t="s">
        <v>98</v>
      </c>
      <c r="C851" s="839" t="s">
        <v>2689</v>
      </c>
      <c r="D851" s="839" t="s">
        <v>2690</v>
      </c>
      <c r="E851" s="839" t="s">
        <v>2691</v>
      </c>
      <c r="F851" s="841">
        <v>45451</v>
      </c>
      <c r="G851" s="840" t="s">
        <v>2689</v>
      </c>
      <c r="H851" s="842" t="s">
        <v>134</v>
      </c>
      <c r="I851" s="842"/>
      <c r="J851" s="841"/>
      <c r="K851" s="841"/>
      <c r="L851" s="843" t="s">
        <v>106</v>
      </c>
      <c r="M851" s="844" t="s">
        <v>107</v>
      </c>
      <c r="N851" s="841" t="s">
        <v>2692</v>
      </c>
      <c r="O851" s="841" t="s">
        <v>150</v>
      </c>
      <c r="P851" s="841" t="s">
        <v>151</v>
      </c>
      <c r="Q851" s="843"/>
      <c r="R851" s="845" t="s">
        <v>3005</v>
      </c>
      <c r="S851" s="1127" t="s">
        <v>3006</v>
      </c>
      <c r="T851" s="843" t="s">
        <v>3007</v>
      </c>
      <c r="U851" s="842">
        <v>10</v>
      </c>
      <c r="V851" s="842" t="s">
        <v>3</v>
      </c>
      <c r="W851" s="846">
        <v>29</v>
      </c>
      <c r="X851" s="847">
        <f t="shared" si="158"/>
        <v>290</v>
      </c>
      <c r="Y851" s="848">
        <v>0.55000000000000004</v>
      </c>
      <c r="Z851" s="849">
        <v>13.05</v>
      </c>
      <c r="AA851" s="849"/>
      <c r="AB851" s="849">
        <f t="shared" si="159"/>
        <v>130.5</v>
      </c>
      <c r="AC851" s="850">
        <f t="shared" si="160"/>
        <v>130.5</v>
      </c>
      <c r="AD851" s="851"/>
      <c r="AE851" s="852">
        <v>26253.919999999998</v>
      </c>
      <c r="AF851" s="853">
        <v>0</v>
      </c>
      <c r="AG851" s="854">
        <f t="shared" si="161"/>
        <v>0</v>
      </c>
      <c r="AH851" s="853"/>
      <c r="AI851" s="855">
        <f t="shared" si="162"/>
        <v>0</v>
      </c>
      <c r="AJ851" s="845" t="s">
        <v>2695</v>
      </c>
      <c r="AK851" s="857">
        <v>45332</v>
      </c>
      <c r="AL851" s="840" t="s">
        <v>2696</v>
      </c>
      <c r="AM851" s="840"/>
      <c r="AN851" s="858"/>
      <c r="AO851" s="844" t="s">
        <v>2697</v>
      </c>
      <c r="AP851" s="859" t="s">
        <v>2698</v>
      </c>
      <c r="AQ851" s="859" t="s">
        <v>2698</v>
      </c>
      <c r="AR851" s="859" t="s">
        <v>2699</v>
      </c>
      <c r="AS851" s="840" t="s">
        <v>2700</v>
      </c>
      <c r="AT851" s="840" t="s">
        <v>1743</v>
      </c>
      <c r="AU851" s="860" t="s">
        <v>1285</v>
      </c>
      <c r="AV851" s="839" t="s">
        <v>2701</v>
      </c>
      <c r="AW851" s="861">
        <v>45646</v>
      </c>
      <c r="AX851" s="862" t="s">
        <v>2702</v>
      </c>
      <c r="AY851" s="843" t="s">
        <v>3008</v>
      </c>
      <c r="AZ851" s="842">
        <v>39231090</v>
      </c>
      <c r="BA851" s="842" t="s">
        <v>120</v>
      </c>
      <c r="BB851" s="863" t="s">
        <v>121</v>
      </c>
      <c r="BC851" s="864">
        <v>45650</v>
      </c>
      <c r="BD851" s="860" t="s">
        <v>2705</v>
      </c>
      <c r="BE851" s="865" cm="1">
        <f t="array" ref="BE851">IF(BD851="","",AC851/SUMPRODUCT(--(BD851=$BD$4:$BD$12824),$AC$4:$AC$12824))</f>
        <v>1.8818424982908397E-3</v>
      </c>
      <c r="BF851" s="458"/>
      <c r="BG851" s="458"/>
      <c r="BH851" s="458"/>
      <c r="BI851" s="458"/>
      <c r="BJ851" s="458"/>
      <c r="BK851" s="458"/>
      <c r="BL851" s="458"/>
      <c r="BM851" s="458"/>
      <c r="BN851" s="458"/>
      <c r="BO851" s="866">
        <f>VLOOKUP(BD851,$BD$4:$BN$12824,3,0)*BE851</f>
        <v>88744.587179273818</v>
      </c>
      <c r="BP851" s="866"/>
      <c r="BQ851" s="866"/>
      <c r="BR851" s="866">
        <f>VLOOKUP(BD851,$BD$4:$BN$12824,6,0)*BE851</f>
        <v>25449.177178187023</v>
      </c>
      <c r="BS851" s="866">
        <f>VLOOKUP(BD851,$BD$4:$BN$12824,7,0)*BE851</f>
        <v>3289.2179293301083</v>
      </c>
      <c r="BT851" s="866"/>
      <c r="BU851" s="866">
        <f>VLOOKUP(BD851,$BD$4:$BN$12824,9,0)*BE851</f>
        <v>0</v>
      </c>
      <c r="BV851" s="867"/>
      <c r="BW851" s="867">
        <f>VLOOKUP(BD851,$BD$4:$BN$12824,11,0)*BE851</f>
        <v>3658.3018166773923</v>
      </c>
      <c r="BX851" s="1146">
        <f t="shared" si="165"/>
        <v>121141.28410346834</v>
      </c>
      <c r="BY851" s="867">
        <f t="shared" si="166"/>
        <v>354727.78441034682</v>
      </c>
      <c r="BZ851" s="867">
        <f t="shared" si="163"/>
        <v>3547277.8441034681</v>
      </c>
      <c r="CA851" s="867">
        <f>_xlfn.MAXIFS($BY$4:$BY$12824,$S$4:$S$12824,$S851)</f>
        <v>354727.78441034682</v>
      </c>
      <c r="CB851" s="1032"/>
      <c r="CF851" s="946">
        <f t="shared" si="164"/>
        <v>3426136.5599999996</v>
      </c>
    </row>
    <row r="852" spans="1:84">
      <c r="A852" s="1032"/>
      <c r="B852" s="839" t="s">
        <v>98</v>
      </c>
      <c r="C852" s="839" t="s">
        <v>2689</v>
      </c>
      <c r="D852" s="839" t="s">
        <v>2690</v>
      </c>
      <c r="E852" s="839" t="s">
        <v>2691</v>
      </c>
      <c r="F852" s="841">
        <v>45451</v>
      </c>
      <c r="G852" s="840" t="s">
        <v>2689</v>
      </c>
      <c r="H852" s="842" t="s">
        <v>134</v>
      </c>
      <c r="I852" s="842"/>
      <c r="J852" s="841"/>
      <c r="K852" s="841"/>
      <c r="L852" s="843" t="s">
        <v>106</v>
      </c>
      <c r="M852" s="844" t="s">
        <v>107</v>
      </c>
      <c r="N852" s="841" t="s">
        <v>2692</v>
      </c>
      <c r="O852" s="841" t="s">
        <v>150</v>
      </c>
      <c r="P852" s="841" t="s">
        <v>151</v>
      </c>
      <c r="Q852" s="843"/>
      <c r="R852" s="845" t="s">
        <v>3009</v>
      </c>
      <c r="S852" s="1127" t="s">
        <v>3010</v>
      </c>
      <c r="T852" s="843" t="s">
        <v>3011</v>
      </c>
      <c r="U852" s="842">
        <v>10</v>
      </c>
      <c r="V852" s="842" t="s">
        <v>3</v>
      </c>
      <c r="W852" s="846">
        <v>29</v>
      </c>
      <c r="X852" s="847">
        <f t="shared" si="158"/>
        <v>290</v>
      </c>
      <c r="Y852" s="848">
        <v>0.55000000000000004</v>
      </c>
      <c r="Z852" s="849">
        <v>13.05</v>
      </c>
      <c r="AA852" s="849"/>
      <c r="AB852" s="849">
        <f t="shared" si="159"/>
        <v>130.5</v>
      </c>
      <c r="AC852" s="850">
        <f t="shared" si="160"/>
        <v>130.5</v>
      </c>
      <c r="AD852" s="851"/>
      <c r="AE852" s="852">
        <v>26253.919999999998</v>
      </c>
      <c r="AF852" s="853">
        <v>0</v>
      </c>
      <c r="AG852" s="854">
        <f t="shared" si="161"/>
        <v>0</v>
      </c>
      <c r="AH852" s="853"/>
      <c r="AI852" s="855">
        <f t="shared" si="162"/>
        <v>0</v>
      </c>
      <c r="AJ852" s="845" t="s">
        <v>2695</v>
      </c>
      <c r="AK852" s="857">
        <v>45332</v>
      </c>
      <c r="AL852" s="840" t="s">
        <v>2696</v>
      </c>
      <c r="AM852" s="840"/>
      <c r="AN852" s="858"/>
      <c r="AO852" s="844" t="s">
        <v>2697</v>
      </c>
      <c r="AP852" s="859" t="s">
        <v>2698</v>
      </c>
      <c r="AQ852" s="859" t="s">
        <v>2698</v>
      </c>
      <c r="AR852" s="859" t="s">
        <v>2699</v>
      </c>
      <c r="AS852" s="840" t="s">
        <v>2700</v>
      </c>
      <c r="AT852" s="840" t="s">
        <v>1743</v>
      </c>
      <c r="AU852" s="860" t="s">
        <v>1285</v>
      </c>
      <c r="AV852" s="839" t="s">
        <v>2701</v>
      </c>
      <c r="AW852" s="861">
        <v>45646</v>
      </c>
      <c r="AX852" s="862" t="s">
        <v>2702</v>
      </c>
      <c r="AY852" s="843" t="s">
        <v>3012</v>
      </c>
      <c r="AZ852" s="842">
        <v>39231090</v>
      </c>
      <c r="BA852" s="842" t="s">
        <v>120</v>
      </c>
      <c r="BB852" s="863" t="s">
        <v>121</v>
      </c>
      <c r="BC852" s="864">
        <v>45650</v>
      </c>
      <c r="BD852" s="860" t="s">
        <v>2705</v>
      </c>
      <c r="BE852" s="865" cm="1">
        <f t="array" ref="BE852">IF(BD852="","",AC852/SUMPRODUCT(--(BD852=$BD$4:$BD$12824),$AC$4:$AC$12824))</f>
        <v>1.8818424982908397E-3</v>
      </c>
      <c r="BF852" s="458"/>
      <c r="BG852" s="458"/>
      <c r="BH852" s="458"/>
      <c r="BI852" s="458"/>
      <c r="BJ852" s="458"/>
      <c r="BK852" s="458"/>
      <c r="BL852" s="458"/>
      <c r="BM852" s="458"/>
      <c r="BN852" s="458"/>
      <c r="BO852" s="866">
        <f>VLOOKUP(BD852,$BD$4:$BN$12824,3,0)*BE852</f>
        <v>88744.587179273818</v>
      </c>
      <c r="BP852" s="866"/>
      <c r="BQ852" s="866"/>
      <c r="BR852" s="866">
        <f>VLOOKUP(BD852,$BD$4:$BN$12824,6,0)*BE852</f>
        <v>25449.177178187023</v>
      </c>
      <c r="BS852" s="866">
        <f>VLOOKUP(BD852,$BD$4:$BN$12824,7,0)*BE852</f>
        <v>3289.2179293301083</v>
      </c>
      <c r="BT852" s="866"/>
      <c r="BU852" s="866">
        <f>VLOOKUP(BD852,$BD$4:$BN$12824,9,0)*BE852</f>
        <v>0</v>
      </c>
      <c r="BV852" s="867"/>
      <c r="BW852" s="867">
        <f>VLOOKUP(BD852,$BD$4:$BN$12824,11,0)*BE852</f>
        <v>3658.3018166773923</v>
      </c>
      <c r="BX852" s="1146">
        <f t="shared" si="165"/>
        <v>121141.28410346834</v>
      </c>
      <c r="BY852" s="867">
        <f t="shared" si="166"/>
        <v>354727.78441034682</v>
      </c>
      <c r="BZ852" s="867">
        <f t="shared" si="163"/>
        <v>3547277.8441034681</v>
      </c>
      <c r="CA852" s="867">
        <f>_xlfn.MAXIFS($BY$4:$BY$12824,$S$4:$S$12824,$S852)</f>
        <v>354727.78441034682</v>
      </c>
      <c r="CB852" s="1032"/>
      <c r="CF852" s="946">
        <f t="shared" si="164"/>
        <v>3426136.5599999996</v>
      </c>
    </row>
    <row r="853" spans="1:84">
      <c r="A853" s="1032"/>
      <c r="B853" s="839" t="s">
        <v>98</v>
      </c>
      <c r="C853" s="839" t="s">
        <v>2689</v>
      </c>
      <c r="D853" s="839" t="s">
        <v>2690</v>
      </c>
      <c r="E853" s="839" t="s">
        <v>2691</v>
      </c>
      <c r="F853" s="841">
        <v>45451</v>
      </c>
      <c r="G853" s="840" t="s">
        <v>2689</v>
      </c>
      <c r="H853" s="842" t="s">
        <v>134</v>
      </c>
      <c r="I853" s="842"/>
      <c r="J853" s="841"/>
      <c r="K853" s="841"/>
      <c r="L853" s="843" t="s">
        <v>106</v>
      </c>
      <c r="M853" s="844" t="s">
        <v>107</v>
      </c>
      <c r="N853" s="841" t="s">
        <v>2692</v>
      </c>
      <c r="O853" s="841" t="s">
        <v>150</v>
      </c>
      <c r="P853" s="841" t="s">
        <v>151</v>
      </c>
      <c r="Q853" s="843"/>
      <c r="R853" s="845" t="s">
        <v>3013</v>
      </c>
      <c r="S853" s="1127" t="s">
        <v>3014</v>
      </c>
      <c r="T853" s="843" t="s">
        <v>3015</v>
      </c>
      <c r="U853" s="842">
        <v>10</v>
      </c>
      <c r="V853" s="842" t="s">
        <v>3</v>
      </c>
      <c r="W853" s="846">
        <v>29</v>
      </c>
      <c r="X853" s="847">
        <f t="shared" si="158"/>
        <v>290</v>
      </c>
      <c r="Y853" s="848">
        <v>0.55000000000000004</v>
      </c>
      <c r="Z853" s="849">
        <v>13.05</v>
      </c>
      <c r="AA853" s="849"/>
      <c r="AB853" s="849">
        <f t="shared" si="159"/>
        <v>130.5</v>
      </c>
      <c r="AC853" s="850">
        <f t="shared" si="160"/>
        <v>130.5</v>
      </c>
      <c r="AD853" s="851"/>
      <c r="AE853" s="852">
        <v>26253.919999999998</v>
      </c>
      <c r="AF853" s="853">
        <v>0</v>
      </c>
      <c r="AG853" s="854">
        <f t="shared" si="161"/>
        <v>0</v>
      </c>
      <c r="AH853" s="853"/>
      <c r="AI853" s="855">
        <f t="shared" si="162"/>
        <v>0</v>
      </c>
      <c r="AJ853" s="845" t="s">
        <v>2695</v>
      </c>
      <c r="AK853" s="857">
        <v>45332</v>
      </c>
      <c r="AL853" s="840" t="s">
        <v>2696</v>
      </c>
      <c r="AM853" s="840"/>
      <c r="AN853" s="858"/>
      <c r="AO853" s="844" t="s">
        <v>2697</v>
      </c>
      <c r="AP853" s="859" t="s">
        <v>2698</v>
      </c>
      <c r="AQ853" s="859" t="s">
        <v>2698</v>
      </c>
      <c r="AR853" s="859" t="s">
        <v>2699</v>
      </c>
      <c r="AS853" s="840" t="s">
        <v>2700</v>
      </c>
      <c r="AT853" s="840" t="s">
        <v>1743</v>
      </c>
      <c r="AU853" s="860" t="s">
        <v>1285</v>
      </c>
      <c r="AV853" s="839" t="s">
        <v>2701</v>
      </c>
      <c r="AW853" s="861">
        <v>45646</v>
      </c>
      <c r="AX853" s="862" t="s">
        <v>2702</v>
      </c>
      <c r="AY853" s="843" t="s">
        <v>3016</v>
      </c>
      <c r="AZ853" s="842">
        <v>39231090</v>
      </c>
      <c r="BA853" s="842" t="s">
        <v>120</v>
      </c>
      <c r="BB853" s="863" t="s">
        <v>121</v>
      </c>
      <c r="BC853" s="864">
        <v>45650</v>
      </c>
      <c r="BD853" s="860" t="s">
        <v>2705</v>
      </c>
      <c r="BE853" s="865" cm="1">
        <f t="array" ref="BE853">IF(BD853="","",AC853/SUMPRODUCT(--(BD853=$BD$4:$BD$12824),$AC$4:$AC$12824))</f>
        <v>1.8818424982908397E-3</v>
      </c>
      <c r="BF853" s="458"/>
      <c r="BG853" s="458"/>
      <c r="BH853" s="458"/>
      <c r="BI853" s="458"/>
      <c r="BJ853" s="458"/>
      <c r="BK853" s="458"/>
      <c r="BL853" s="458"/>
      <c r="BM853" s="458"/>
      <c r="BN853" s="458"/>
      <c r="BO853" s="866">
        <f>VLOOKUP(BD853,$BD$4:$BN$12824,3,0)*BE853</f>
        <v>88744.587179273818</v>
      </c>
      <c r="BP853" s="866"/>
      <c r="BQ853" s="866"/>
      <c r="BR853" s="866">
        <f>VLOOKUP(BD853,$BD$4:$BN$12824,6,0)*BE853</f>
        <v>25449.177178187023</v>
      </c>
      <c r="BS853" s="866">
        <f>VLOOKUP(BD853,$BD$4:$BN$12824,7,0)*BE853</f>
        <v>3289.2179293301083</v>
      </c>
      <c r="BT853" s="866"/>
      <c r="BU853" s="866">
        <f>VLOOKUP(BD853,$BD$4:$BN$12824,9,0)*BE853</f>
        <v>0</v>
      </c>
      <c r="BV853" s="867"/>
      <c r="BW853" s="867">
        <f>VLOOKUP(BD853,$BD$4:$BN$12824,11,0)*BE853</f>
        <v>3658.3018166773923</v>
      </c>
      <c r="BX853" s="1146">
        <f t="shared" si="165"/>
        <v>121141.28410346834</v>
      </c>
      <c r="BY853" s="867">
        <f t="shared" si="166"/>
        <v>354727.78441034682</v>
      </c>
      <c r="BZ853" s="867">
        <f t="shared" si="163"/>
        <v>3547277.8441034681</v>
      </c>
      <c r="CA853" s="867">
        <f>_xlfn.MAXIFS($BY$4:$BY$12824,$S$4:$S$12824,$S853)</f>
        <v>354727.78441034682</v>
      </c>
      <c r="CB853" s="1032"/>
      <c r="CF853" s="946">
        <f t="shared" si="164"/>
        <v>3426136.5599999996</v>
      </c>
    </row>
    <row r="854" spans="1:84">
      <c r="A854" s="1032"/>
      <c r="B854" s="839" t="s">
        <v>98</v>
      </c>
      <c r="C854" s="839" t="s">
        <v>2689</v>
      </c>
      <c r="D854" s="839" t="s">
        <v>2690</v>
      </c>
      <c r="E854" s="839" t="s">
        <v>2691</v>
      </c>
      <c r="F854" s="841">
        <v>45451</v>
      </c>
      <c r="G854" s="840" t="s">
        <v>2689</v>
      </c>
      <c r="H854" s="842" t="s">
        <v>134</v>
      </c>
      <c r="I854" s="842"/>
      <c r="J854" s="841"/>
      <c r="K854" s="841"/>
      <c r="L854" s="843" t="s">
        <v>106</v>
      </c>
      <c r="M854" s="844" t="s">
        <v>107</v>
      </c>
      <c r="N854" s="841" t="s">
        <v>2692</v>
      </c>
      <c r="O854" s="841" t="s">
        <v>150</v>
      </c>
      <c r="P854" s="841" t="s">
        <v>151</v>
      </c>
      <c r="Q854" s="843"/>
      <c r="R854" s="845" t="s">
        <v>3017</v>
      </c>
      <c r="S854" s="1127" t="s">
        <v>3018</v>
      </c>
      <c r="T854" s="843" t="s">
        <v>3019</v>
      </c>
      <c r="U854" s="842">
        <v>10</v>
      </c>
      <c r="V854" s="842" t="s">
        <v>3</v>
      </c>
      <c r="W854" s="846">
        <v>29</v>
      </c>
      <c r="X854" s="847">
        <f t="shared" si="158"/>
        <v>290</v>
      </c>
      <c r="Y854" s="848">
        <v>0.55000000000000004</v>
      </c>
      <c r="Z854" s="849">
        <v>13.05</v>
      </c>
      <c r="AA854" s="849"/>
      <c r="AB854" s="849">
        <f t="shared" si="159"/>
        <v>130.5</v>
      </c>
      <c r="AC854" s="850">
        <f t="shared" si="160"/>
        <v>130.5</v>
      </c>
      <c r="AD854" s="851"/>
      <c r="AE854" s="852">
        <v>26253.919999999998</v>
      </c>
      <c r="AF854" s="853">
        <v>0</v>
      </c>
      <c r="AG854" s="854">
        <f t="shared" si="161"/>
        <v>0</v>
      </c>
      <c r="AH854" s="853"/>
      <c r="AI854" s="855">
        <f t="shared" si="162"/>
        <v>0</v>
      </c>
      <c r="AJ854" s="845" t="s">
        <v>2695</v>
      </c>
      <c r="AK854" s="857">
        <v>45332</v>
      </c>
      <c r="AL854" s="840" t="s">
        <v>2696</v>
      </c>
      <c r="AM854" s="840"/>
      <c r="AN854" s="858"/>
      <c r="AO854" s="844" t="s">
        <v>2697</v>
      </c>
      <c r="AP854" s="859" t="s">
        <v>2698</v>
      </c>
      <c r="AQ854" s="859" t="s">
        <v>2698</v>
      </c>
      <c r="AR854" s="859" t="s">
        <v>2699</v>
      </c>
      <c r="AS854" s="840" t="s">
        <v>2700</v>
      </c>
      <c r="AT854" s="840" t="s">
        <v>1743</v>
      </c>
      <c r="AU854" s="860" t="s">
        <v>1285</v>
      </c>
      <c r="AV854" s="839" t="s">
        <v>2701</v>
      </c>
      <c r="AW854" s="861">
        <v>45646</v>
      </c>
      <c r="AX854" s="862" t="s">
        <v>2702</v>
      </c>
      <c r="AY854" s="843" t="s">
        <v>3020</v>
      </c>
      <c r="AZ854" s="842">
        <v>39231090</v>
      </c>
      <c r="BA854" s="842" t="s">
        <v>120</v>
      </c>
      <c r="BB854" s="863" t="s">
        <v>121</v>
      </c>
      <c r="BC854" s="864">
        <v>45650</v>
      </c>
      <c r="BD854" s="860" t="s">
        <v>2705</v>
      </c>
      <c r="BE854" s="865" cm="1">
        <f t="array" ref="BE854">IF(BD854="","",AC854/SUMPRODUCT(--(BD854=$BD$4:$BD$12824),$AC$4:$AC$12824))</f>
        <v>1.8818424982908397E-3</v>
      </c>
      <c r="BF854" s="458"/>
      <c r="BG854" s="458"/>
      <c r="BH854" s="458"/>
      <c r="BI854" s="458"/>
      <c r="BJ854" s="458"/>
      <c r="BK854" s="458"/>
      <c r="BL854" s="458"/>
      <c r="BM854" s="458"/>
      <c r="BN854" s="458"/>
      <c r="BO854" s="866">
        <f>VLOOKUP(BD854,$BD$4:$BN$12824,3,0)*BE854</f>
        <v>88744.587179273818</v>
      </c>
      <c r="BP854" s="866"/>
      <c r="BQ854" s="866"/>
      <c r="BR854" s="866">
        <f>VLOOKUP(BD854,$BD$4:$BN$12824,6,0)*BE854</f>
        <v>25449.177178187023</v>
      </c>
      <c r="BS854" s="866">
        <f>VLOOKUP(BD854,$BD$4:$BN$12824,7,0)*BE854</f>
        <v>3289.2179293301083</v>
      </c>
      <c r="BT854" s="866"/>
      <c r="BU854" s="866">
        <f>VLOOKUP(BD854,$BD$4:$BN$12824,9,0)*BE854</f>
        <v>0</v>
      </c>
      <c r="BV854" s="867"/>
      <c r="BW854" s="867">
        <f>VLOOKUP(BD854,$BD$4:$BN$12824,11,0)*BE854</f>
        <v>3658.3018166773923</v>
      </c>
      <c r="BX854" s="1146">
        <f t="shared" si="165"/>
        <v>121141.28410346834</v>
      </c>
      <c r="BY854" s="867">
        <f t="shared" si="166"/>
        <v>354727.78441034682</v>
      </c>
      <c r="BZ854" s="867">
        <f t="shared" si="163"/>
        <v>3547277.8441034681</v>
      </c>
      <c r="CA854" s="867">
        <f>_xlfn.MAXIFS($BY$4:$BY$12824,$S$4:$S$12824,$S854)</f>
        <v>354727.78441034682</v>
      </c>
      <c r="CB854" s="1032"/>
      <c r="CF854" s="946">
        <f t="shared" si="164"/>
        <v>3426136.5599999996</v>
      </c>
    </row>
    <row r="855" spans="1:84">
      <c r="A855" s="1032"/>
      <c r="B855" s="839" t="s">
        <v>98</v>
      </c>
      <c r="C855" s="839" t="s">
        <v>2689</v>
      </c>
      <c r="D855" s="839" t="s">
        <v>2690</v>
      </c>
      <c r="E855" s="839" t="s">
        <v>2691</v>
      </c>
      <c r="F855" s="841">
        <v>45451</v>
      </c>
      <c r="G855" s="840" t="s">
        <v>2689</v>
      </c>
      <c r="H855" s="842" t="s">
        <v>134</v>
      </c>
      <c r="I855" s="842"/>
      <c r="J855" s="841"/>
      <c r="K855" s="841"/>
      <c r="L855" s="843" t="s">
        <v>106</v>
      </c>
      <c r="M855" s="844" t="s">
        <v>107</v>
      </c>
      <c r="N855" s="841" t="s">
        <v>2692</v>
      </c>
      <c r="O855" s="841" t="s">
        <v>150</v>
      </c>
      <c r="P855" s="841" t="s">
        <v>151</v>
      </c>
      <c r="Q855" s="843"/>
      <c r="R855" s="845" t="s">
        <v>3021</v>
      </c>
      <c r="S855" s="1127" t="s">
        <v>3022</v>
      </c>
      <c r="T855" s="843" t="s">
        <v>3023</v>
      </c>
      <c r="U855" s="842">
        <v>10</v>
      </c>
      <c r="V855" s="842" t="s">
        <v>3</v>
      </c>
      <c r="W855" s="846">
        <v>29</v>
      </c>
      <c r="X855" s="847">
        <f t="shared" si="158"/>
        <v>290</v>
      </c>
      <c r="Y855" s="848">
        <v>0.55000000000000004</v>
      </c>
      <c r="Z855" s="849">
        <v>13.05</v>
      </c>
      <c r="AA855" s="849"/>
      <c r="AB855" s="849">
        <f t="shared" si="159"/>
        <v>130.5</v>
      </c>
      <c r="AC855" s="850">
        <f t="shared" si="160"/>
        <v>130.5</v>
      </c>
      <c r="AD855" s="851"/>
      <c r="AE855" s="852">
        <v>26253.919999999998</v>
      </c>
      <c r="AF855" s="853">
        <v>0</v>
      </c>
      <c r="AG855" s="854">
        <f t="shared" si="161"/>
        <v>0</v>
      </c>
      <c r="AH855" s="853"/>
      <c r="AI855" s="855">
        <f t="shared" si="162"/>
        <v>0</v>
      </c>
      <c r="AJ855" s="845" t="s">
        <v>2695</v>
      </c>
      <c r="AK855" s="857">
        <v>45332</v>
      </c>
      <c r="AL855" s="840" t="s">
        <v>2696</v>
      </c>
      <c r="AM855" s="840"/>
      <c r="AN855" s="858"/>
      <c r="AO855" s="844" t="s">
        <v>2697</v>
      </c>
      <c r="AP855" s="859" t="s">
        <v>2698</v>
      </c>
      <c r="AQ855" s="859" t="s">
        <v>2698</v>
      </c>
      <c r="AR855" s="859" t="s">
        <v>2699</v>
      </c>
      <c r="AS855" s="840" t="s">
        <v>2700</v>
      </c>
      <c r="AT855" s="840" t="s">
        <v>1743</v>
      </c>
      <c r="AU855" s="860" t="s">
        <v>1285</v>
      </c>
      <c r="AV855" s="839" t="s">
        <v>2701</v>
      </c>
      <c r="AW855" s="861">
        <v>45646</v>
      </c>
      <c r="AX855" s="862" t="s">
        <v>2702</v>
      </c>
      <c r="AY855" s="843" t="s">
        <v>3024</v>
      </c>
      <c r="AZ855" s="842">
        <v>39231090</v>
      </c>
      <c r="BA855" s="842" t="s">
        <v>120</v>
      </c>
      <c r="BB855" s="863" t="s">
        <v>121</v>
      </c>
      <c r="BC855" s="864">
        <v>45650</v>
      </c>
      <c r="BD855" s="860" t="s">
        <v>2705</v>
      </c>
      <c r="BE855" s="865" cm="1">
        <f t="array" ref="BE855">IF(BD855="","",AC855/SUMPRODUCT(--(BD855=$BD$4:$BD$12824),$AC$4:$AC$12824))</f>
        <v>1.8818424982908397E-3</v>
      </c>
      <c r="BF855" s="458"/>
      <c r="BG855" s="458"/>
      <c r="BH855" s="458"/>
      <c r="BI855" s="458"/>
      <c r="BJ855" s="458"/>
      <c r="BK855" s="458"/>
      <c r="BL855" s="458"/>
      <c r="BM855" s="458"/>
      <c r="BN855" s="458"/>
      <c r="BO855" s="866">
        <f>VLOOKUP(BD855,$BD$4:$BN$12824,3,0)*BE855</f>
        <v>88744.587179273818</v>
      </c>
      <c r="BP855" s="866"/>
      <c r="BQ855" s="866"/>
      <c r="BR855" s="866">
        <f>VLOOKUP(BD855,$BD$4:$BN$12824,6,0)*BE855</f>
        <v>25449.177178187023</v>
      </c>
      <c r="BS855" s="866">
        <f>VLOOKUP(BD855,$BD$4:$BN$12824,7,0)*BE855</f>
        <v>3289.2179293301083</v>
      </c>
      <c r="BT855" s="866"/>
      <c r="BU855" s="866">
        <f>VLOOKUP(BD855,$BD$4:$BN$12824,9,0)*BE855</f>
        <v>0</v>
      </c>
      <c r="BV855" s="867"/>
      <c r="BW855" s="867">
        <f>VLOOKUP(BD855,$BD$4:$BN$12824,11,0)*BE855</f>
        <v>3658.3018166773923</v>
      </c>
      <c r="BX855" s="1146">
        <f t="shared" si="165"/>
        <v>121141.28410346834</v>
      </c>
      <c r="BY855" s="867">
        <f t="shared" si="166"/>
        <v>354727.78441034682</v>
      </c>
      <c r="BZ855" s="867">
        <f t="shared" si="163"/>
        <v>3547277.8441034681</v>
      </c>
      <c r="CA855" s="867">
        <f>_xlfn.MAXIFS($BY$4:$BY$12824,$S$4:$S$12824,$S855)</f>
        <v>354727.78441034682</v>
      </c>
      <c r="CB855" s="1032"/>
      <c r="CF855" s="946">
        <f t="shared" si="164"/>
        <v>3426136.5599999996</v>
      </c>
    </row>
    <row r="856" spans="1:84">
      <c r="A856" s="1032"/>
      <c r="B856" s="839" t="s">
        <v>98</v>
      </c>
      <c r="C856" s="839" t="s">
        <v>2689</v>
      </c>
      <c r="D856" s="839" t="s">
        <v>2690</v>
      </c>
      <c r="E856" s="839" t="s">
        <v>2691</v>
      </c>
      <c r="F856" s="841">
        <v>45451</v>
      </c>
      <c r="G856" s="840" t="s">
        <v>2689</v>
      </c>
      <c r="H856" s="842" t="s">
        <v>134</v>
      </c>
      <c r="I856" s="842"/>
      <c r="J856" s="841"/>
      <c r="K856" s="841"/>
      <c r="L856" s="843" t="s">
        <v>106</v>
      </c>
      <c r="M856" s="844" t="s">
        <v>107</v>
      </c>
      <c r="N856" s="841" t="s">
        <v>2692</v>
      </c>
      <c r="O856" s="841" t="s">
        <v>150</v>
      </c>
      <c r="P856" s="841" t="s">
        <v>151</v>
      </c>
      <c r="Q856" s="843"/>
      <c r="R856" s="845" t="s">
        <v>3025</v>
      </c>
      <c r="S856" s="1127" t="s">
        <v>3026</v>
      </c>
      <c r="T856" s="843" t="s">
        <v>3027</v>
      </c>
      <c r="U856" s="842">
        <v>10</v>
      </c>
      <c r="V856" s="842" t="s">
        <v>3</v>
      </c>
      <c r="W856" s="846">
        <v>29</v>
      </c>
      <c r="X856" s="847">
        <f t="shared" si="158"/>
        <v>290</v>
      </c>
      <c r="Y856" s="848">
        <v>0.55000000000000004</v>
      </c>
      <c r="Z856" s="849">
        <v>13.05</v>
      </c>
      <c r="AA856" s="849"/>
      <c r="AB856" s="849">
        <f t="shared" si="159"/>
        <v>130.5</v>
      </c>
      <c r="AC856" s="850">
        <f t="shared" si="160"/>
        <v>130.5</v>
      </c>
      <c r="AD856" s="851"/>
      <c r="AE856" s="852">
        <v>26253.919999999998</v>
      </c>
      <c r="AF856" s="853">
        <v>0</v>
      </c>
      <c r="AG856" s="854">
        <f t="shared" si="161"/>
        <v>0</v>
      </c>
      <c r="AH856" s="853"/>
      <c r="AI856" s="855">
        <f t="shared" si="162"/>
        <v>0</v>
      </c>
      <c r="AJ856" s="845" t="s">
        <v>2695</v>
      </c>
      <c r="AK856" s="857">
        <v>45332</v>
      </c>
      <c r="AL856" s="840" t="s">
        <v>2696</v>
      </c>
      <c r="AM856" s="840"/>
      <c r="AN856" s="858"/>
      <c r="AO856" s="844" t="s">
        <v>2697</v>
      </c>
      <c r="AP856" s="859" t="s">
        <v>2698</v>
      </c>
      <c r="AQ856" s="859" t="s">
        <v>2698</v>
      </c>
      <c r="AR856" s="859" t="s">
        <v>2699</v>
      </c>
      <c r="AS856" s="840" t="s">
        <v>2700</v>
      </c>
      <c r="AT856" s="840" t="s">
        <v>1743</v>
      </c>
      <c r="AU856" s="860" t="s">
        <v>1285</v>
      </c>
      <c r="AV856" s="839" t="s">
        <v>2701</v>
      </c>
      <c r="AW856" s="861">
        <v>45646</v>
      </c>
      <c r="AX856" s="862" t="s">
        <v>2702</v>
      </c>
      <c r="AY856" s="843" t="s">
        <v>3028</v>
      </c>
      <c r="AZ856" s="842">
        <v>39231090</v>
      </c>
      <c r="BA856" s="842" t="s">
        <v>120</v>
      </c>
      <c r="BB856" s="863" t="s">
        <v>121</v>
      </c>
      <c r="BC856" s="864">
        <v>45650</v>
      </c>
      <c r="BD856" s="860" t="s">
        <v>2705</v>
      </c>
      <c r="BE856" s="865" cm="1">
        <f t="array" ref="BE856">IF(BD856="","",AC856/SUMPRODUCT(--(BD856=$BD$4:$BD$12824),$AC$4:$AC$12824))</f>
        <v>1.8818424982908397E-3</v>
      </c>
      <c r="BF856" s="458"/>
      <c r="BG856" s="458"/>
      <c r="BH856" s="458"/>
      <c r="BI856" s="458"/>
      <c r="BJ856" s="458"/>
      <c r="BK856" s="458"/>
      <c r="BL856" s="458"/>
      <c r="BM856" s="458"/>
      <c r="BN856" s="458"/>
      <c r="BO856" s="866">
        <f>VLOOKUP(BD856,$BD$4:$BN$12824,3,0)*BE856</f>
        <v>88744.587179273818</v>
      </c>
      <c r="BP856" s="866"/>
      <c r="BQ856" s="866"/>
      <c r="BR856" s="866">
        <f>VLOOKUP(BD856,$BD$4:$BN$12824,6,0)*BE856</f>
        <v>25449.177178187023</v>
      </c>
      <c r="BS856" s="866">
        <f>VLOOKUP(BD856,$BD$4:$BN$12824,7,0)*BE856</f>
        <v>3289.2179293301083</v>
      </c>
      <c r="BT856" s="866"/>
      <c r="BU856" s="866">
        <f>VLOOKUP(BD856,$BD$4:$BN$12824,9,0)*BE856</f>
        <v>0</v>
      </c>
      <c r="BV856" s="867"/>
      <c r="BW856" s="867">
        <f>VLOOKUP(BD856,$BD$4:$BN$12824,11,0)*BE856</f>
        <v>3658.3018166773923</v>
      </c>
      <c r="BX856" s="1146">
        <f t="shared" si="165"/>
        <v>121141.28410346834</v>
      </c>
      <c r="BY856" s="867">
        <f t="shared" si="166"/>
        <v>354727.78441034682</v>
      </c>
      <c r="BZ856" s="867">
        <f t="shared" si="163"/>
        <v>3547277.8441034681</v>
      </c>
      <c r="CA856" s="867">
        <f>_xlfn.MAXIFS($BY$4:$BY$12824,$S$4:$S$12824,$S856)</f>
        <v>354727.78441034682</v>
      </c>
      <c r="CB856" s="1032"/>
      <c r="CF856" s="946">
        <f t="shared" si="164"/>
        <v>3426136.5599999996</v>
      </c>
    </row>
    <row r="857" spans="1:84">
      <c r="A857" s="1032"/>
      <c r="B857" s="839" t="s">
        <v>98</v>
      </c>
      <c r="C857" s="839" t="s">
        <v>2689</v>
      </c>
      <c r="D857" s="839" t="s">
        <v>2690</v>
      </c>
      <c r="E857" s="839" t="s">
        <v>2691</v>
      </c>
      <c r="F857" s="841">
        <v>45451</v>
      </c>
      <c r="G857" s="840" t="s">
        <v>2689</v>
      </c>
      <c r="H857" s="842" t="s">
        <v>134</v>
      </c>
      <c r="I857" s="842"/>
      <c r="J857" s="841"/>
      <c r="K857" s="841"/>
      <c r="L857" s="843" t="s">
        <v>106</v>
      </c>
      <c r="M857" s="844" t="s">
        <v>107</v>
      </c>
      <c r="N857" s="841" t="s">
        <v>2692</v>
      </c>
      <c r="O857" s="841" t="s">
        <v>150</v>
      </c>
      <c r="P857" s="841" t="s">
        <v>151</v>
      </c>
      <c r="Q857" s="843"/>
      <c r="R857" s="845" t="s">
        <v>3029</v>
      </c>
      <c r="S857" s="1127" t="s">
        <v>3030</v>
      </c>
      <c r="T857" s="843" t="s">
        <v>3031</v>
      </c>
      <c r="U857" s="842">
        <v>2</v>
      </c>
      <c r="V857" s="842" t="s">
        <v>3</v>
      </c>
      <c r="W857" s="846">
        <v>155</v>
      </c>
      <c r="X857" s="847">
        <f t="shared" si="158"/>
        <v>310</v>
      </c>
      <c r="Y857" s="848">
        <v>0.55000000000000004</v>
      </c>
      <c r="Z857" s="849">
        <v>69.75</v>
      </c>
      <c r="AA857" s="849"/>
      <c r="AB857" s="849">
        <f t="shared" si="159"/>
        <v>139.5</v>
      </c>
      <c r="AC857" s="850">
        <f t="shared" si="160"/>
        <v>139.5</v>
      </c>
      <c r="AD857" s="851"/>
      <c r="AE857" s="852">
        <v>26253.919999999998</v>
      </c>
      <c r="AF857" s="853">
        <v>0.112</v>
      </c>
      <c r="AG857" s="854">
        <f t="shared" si="161"/>
        <v>421209.91405714041</v>
      </c>
      <c r="AH857" s="853"/>
      <c r="AI857" s="855">
        <f t="shared" si="162"/>
        <v>0</v>
      </c>
      <c r="AJ857" s="845" t="s">
        <v>2695</v>
      </c>
      <c r="AK857" s="857">
        <v>45332</v>
      </c>
      <c r="AL857" s="840" t="s">
        <v>2696</v>
      </c>
      <c r="AM857" s="840"/>
      <c r="AN857" s="858"/>
      <c r="AO857" s="844" t="s">
        <v>2697</v>
      </c>
      <c r="AP857" s="859" t="s">
        <v>2698</v>
      </c>
      <c r="AQ857" s="859" t="s">
        <v>2698</v>
      </c>
      <c r="AR857" s="859" t="s">
        <v>2699</v>
      </c>
      <c r="AS857" s="840" t="s">
        <v>2700</v>
      </c>
      <c r="AT857" s="840" t="s">
        <v>1743</v>
      </c>
      <c r="AU857" s="860" t="s">
        <v>1285</v>
      </c>
      <c r="AV857" s="839" t="s">
        <v>2701</v>
      </c>
      <c r="AW857" s="861">
        <v>45646</v>
      </c>
      <c r="AX857" s="862" t="s">
        <v>2702</v>
      </c>
      <c r="AY857" s="843" t="s">
        <v>3032</v>
      </c>
      <c r="AZ857" s="842" t="s">
        <v>3033</v>
      </c>
      <c r="BA857" s="842" t="s">
        <v>120</v>
      </c>
      <c r="BB857" s="863" t="s">
        <v>121</v>
      </c>
      <c r="BC857" s="864">
        <v>45650</v>
      </c>
      <c r="BD857" s="860" t="s">
        <v>2705</v>
      </c>
      <c r="BE857" s="865" cm="1">
        <f t="array" ref="BE857">IF(BD857="","",AC857/SUMPRODUCT(--(BD857=$BD$4:$BD$12824),$AC$4:$AC$12824))</f>
        <v>2.0116247395522771E-3</v>
      </c>
      <c r="BF857" s="458"/>
      <c r="BG857" s="458"/>
      <c r="BH857" s="458"/>
      <c r="BI857" s="458"/>
      <c r="BJ857" s="458"/>
      <c r="BK857" s="458"/>
      <c r="BL857" s="458"/>
      <c r="BM857" s="458"/>
      <c r="BN857" s="458"/>
      <c r="BO857" s="866">
        <f>VLOOKUP(BD857,$BD$4:$BN$12824,3,0)*BE857</f>
        <v>94864.903536465121</v>
      </c>
      <c r="BP857" s="866"/>
      <c r="BQ857" s="866"/>
      <c r="BR857" s="866">
        <f>VLOOKUP(BD857,$BD$4:$BN$12824,6,0)*BE857</f>
        <v>27204.292845648197</v>
      </c>
      <c r="BS857" s="866">
        <f>VLOOKUP(BD857,$BD$4:$BN$12824,7,0)*BE857</f>
        <v>3516.0605451459783</v>
      </c>
      <c r="BT857" s="866"/>
      <c r="BU857" s="866">
        <f>VLOOKUP(BD857,$BD$4:$BN$12824,9,0)*BE857</f>
        <v>0</v>
      </c>
      <c r="BV857" s="867"/>
      <c r="BW857" s="867">
        <f>VLOOKUP(BD857,$BD$4:$BN$12824,11,0)*BE857</f>
        <v>3910.5984936896266</v>
      </c>
      <c r="BX857" s="1146">
        <f t="shared" si="165"/>
        <v>129495.85542094894</v>
      </c>
      <c r="BY857" s="867">
        <f t="shared" si="166"/>
        <v>2106563.8047390445</v>
      </c>
      <c r="BZ857" s="867">
        <f t="shared" si="163"/>
        <v>4213127.609478089</v>
      </c>
      <c r="CA857" s="867">
        <f>_xlfn.MAXIFS($BY$4:$BY$12824,$S$4:$S$12824,$S857)</f>
        <v>2106563.8047390445</v>
      </c>
      <c r="CB857" s="1032"/>
      <c r="CF857" s="946">
        <f t="shared" si="164"/>
        <v>3662421.84</v>
      </c>
    </row>
    <row r="858" spans="1:84">
      <c r="A858" s="1032"/>
      <c r="B858" s="839" t="s">
        <v>98</v>
      </c>
      <c r="C858" s="839" t="s">
        <v>2689</v>
      </c>
      <c r="D858" s="839" t="s">
        <v>2690</v>
      </c>
      <c r="E858" s="839" t="s">
        <v>2691</v>
      </c>
      <c r="F858" s="841">
        <v>45451</v>
      </c>
      <c r="G858" s="840" t="s">
        <v>2689</v>
      </c>
      <c r="H858" s="842" t="s">
        <v>134</v>
      </c>
      <c r="I858" s="842"/>
      <c r="J858" s="841"/>
      <c r="K858" s="841"/>
      <c r="L858" s="843" t="s">
        <v>106</v>
      </c>
      <c r="M858" s="844" t="s">
        <v>107</v>
      </c>
      <c r="N858" s="841" t="s">
        <v>2692</v>
      </c>
      <c r="O858" s="841" t="s">
        <v>150</v>
      </c>
      <c r="P858" s="841" t="s">
        <v>151</v>
      </c>
      <c r="Q858" s="843"/>
      <c r="R858" s="845" t="s">
        <v>3034</v>
      </c>
      <c r="S858" s="1127" t="s">
        <v>3035</v>
      </c>
      <c r="T858" s="843" t="s">
        <v>3036</v>
      </c>
      <c r="U858" s="842">
        <v>2</v>
      </c>
      <c r="V858" s="842" t="s">
        <v>3</v>
      </c>
      <c r="W858" s="846">
        <v>125</v>
      </c>
      <c r="X858" s="847">
        <f t="shared" si="158"/>
        <v>250</v>
      </c>
      <c r="Y858" s="848">
        <v>0.55000000000000004</v>
      </c>
      <c r="Z858" s="849">
        <v>56.25</v>
      </c>
      <c r="AA858" s="849"/>
      <c r="AB858" s="849">
        <f t="shared" si="159"/>
        <v>112.5</v>
      </c>
      <c r="AC858" s="850">
        <f t="shared" si="160"/>
        <v>112.5</v>
      </c>
      <c r="AD858" s="851"/>
      <c r="AE858" s="852">
        <v>26253.919999999998</v>
      </c>
      <c r="AF858" s="853">
        <v>0.112</v>
      </c>
      <c r="AG858" s="854">
        <f t="shared" si="161"/>
        <v>339685.41456221003</v>
      </c>
      <c r="AH858" s="853"/>
      <c r="AI858" s="855">
        <f t="shared" si="162"/>
        <v>0</v>
      </c>
      <c r="AJ858" s="845" t="s">
        <v>2695</v>
      </c>
      <c r="AK858" s="857">
        <v>45332</v>
      </c>
      <c r="AL858" s="840" t="s">
        <v>2696</v>
      </c>
      <c r="AM858" s="840"/>
      <c r="AN858" s="858"/>
      <c r="AO858" s="844" t="s">
        <v>2697</v>
      </c>
      <c r="AP858" s="859" t="s">
        <v>2698</v>
      </c>
      <c r="AQ858" s="859" t="s">
        <v>2698</v>
      </c>
      <c r="AR858" s="859" t="s">
        <v>2699</v>
      </c>
      <c r="AS858" s="840" t="s">
        <v>2700</v>
      </c>
      <c r="AT858" s="840" t="s">
        <v>1743</v>
      </c>
      <c r="AU858" s="860" t="s">
        <v>1285</v>
      </c>
      <c r="AV858" s="839" t="s">
        <v>2701</v>
      </c>
      <c r="AW858" s="861">
        <v>45646</v>
      </c>
      <c r="AX858" s="862" t="s">
        <v>2702</v>
      </c>
      <c r="AY858" s="843" t="s">
        <v>3037</v>
      </c>
      <c r="AZ858" s="842" t="s">
        <v>3033</v>
      </c>
      <c r="BA858" s="842" t="s">
        <v>120</v>
      </c>
      <c r="BB858" s="863" t="s">
        <v>121</v>
      </c>
      <c r="BC858" s="864">
        <v>45650</v>
      </c>
      <c r="BD858" s="860" t="s">
        <v>2705</v>
      </c>
      <c r="BE858" s="865" cm="1">
        <f t="array" ref="BE858">IF(BD858="","",AC858/SUMPRODUCT(--(BD858=$BD$4:$BD$12824),$AC$4:$AC$12824))</f>
        <v>1.6222780157679653E-3</v>
      </c>
      <c r="BF858" s="458"/>
      <c r="BG858" s="458"/>
      <c r="BH858" s="458"/>
      <c r="BI858" s="458"/>
      <c r="BJ858" s="458"/>
      <c r="BK858" s="458"/>
      <c r="BL858" s="458"/>
      <c r="BM858" s="458"/>
      <c r="BN858" s="458"/>
      <c r="BO858" s="866">
        <f>VLOOKUP(BD858,$BD$4:$BN$12824,3,0)*BE858</f>
        <v>76503.954464891227</v>
      </c>
      <c r="BP858" s="866"/>
      <c r="BQ858" s="866"/>
      <c r="BR858" s="866">
        <f>VLOOKUP(BD858,$BD$4:$BN$12824,6,0)*BE858</f>
        <v>21938.945843264675</v>
      </c>
      <c r="BS858" s="866">
        <f>VLOOKUP(BD858,$BD$4:$BN$12824,7,0)*BE858</f>
        <v>2835.5326976983692</v>
      </c>
      <c r="BT858" s="866"/>
      <c r="BU858" s="866">
        <f>VLOOKUP(BD858,$BD$4:$BN$12824,9,0)*BE858</f>
        <v>0</v>
      </c>
      <c r="BV858" s="867"/>
      <c r="BW858" s="867">
        <f>VLOOKUP(BD858,$BD$4:$BN$12824,11,0)*BE858</f>
        <v>3153.7084626529245</v>
      </c>
      <c r="BX858" s="1146">
        <f t="shared" si="165"/>
        <v>104432.14146850719</v>
      </c>
      <c r="BY858" s="867">
        <f t="shared" si="166"/>
        <v>1698841.7780153586</v>
      </c>
      <c r="BZ858" s="867">
        <f t="shared" si="163"/>
        <v>3397683.5560307172</v>
      </c>
      <c r="CA858" s="867">
        <f>_xlfn.MAXIFS($BY$4:$BY$12824,$S$4:$S$12824,$S858)</f>
        <v>1698841.7780153586</v>
      </c>
      <c r="CB858" s="1032"/>
      <c r="CF858" s="946">
        <f t="shared" si="164"/>
        <v>2953566</v>
      </c>
    </row>
    <row r="859" spans="1:84">
      <c r="A859" s="1032"/>
      <c r="B859" s="839" t="s">
        <v>98</v>
      </c>
      <c r="C859" s="839" t="s">
        <v>2689</v>
      </c>
      <c r="D859" s="839" t="s">
        <v>2690</v>
      </c>
      <c r="E859" s="839" t="s">
        <v>2691</v>
      </c>
      <c r="F859" s="841">
        <v>45451</v>
      </c>
      <c r="G859" s="840" t="s">
        <v>2689</v>
      </c>
      <c r="H859" s="842" t="s">
        <v>134</v>
      </c>
      <c r="I859" s="842"/>
      <c r="J859" s="841"/>
      <c r="K859" s="841"/>
      <c r="L859" s="843" t="s">
        <v>106</v>
      </c>
      <c r="M859" s="844" t="s">
        <v>107</v>
      </c>
      <c r="N859" s="841" t="s">
        <v>2692</v>
      </c>
      <c r="O859" s="841" t="s">
        <v>150</v>
      </c>
      <c r="P859" s="841" t="s">
        <v>151</v>
      </c>
      <c r="Q859" s="843"/>
      <c r="R859" s="845" t="s">
        <v>3038</v>
      </c>
      <c r="S859" s="1127" t="s">
        <v>3039</v>
      </c>
      <c r="T859" s="843" t="s">
        <v>3040</v>
      </c>
      <c r="U859" s="842">
        <v>2</v>
      </c>
      <c r="V859" s="842" t="s">
        <v>3</v>
      </c>
      <c r="W859" s="846">
        <v>85</v>
      </c>
      <c r="X859" s="847">
        <f t="shared" si="158"/>
        <v>170</v>
      </c>
      <c r="Y859" s="848">
        <v>0.55000000000000004</v>
      </c>
      <c r="Z859" s="849">
        <v>38.25</v>
      </c>
      <c r="AA859" s="849"/>
      <c r="AB859" s="849">
        <f t="shared" si="159"/>
        <v>76.5</v>
      </c>
      <c r="AC859" s="850">
        <f t="shared" si="160"/>
        <v>76.5</v>
      </c>
      <c r="AD859" s="851"/>
      <c r="AE859" s="852">
        <v>26253.919999999998</v>
      </c>
      <c r="AF859" s="853">
        <v>0.112</v>
      </c>
      <c r="AG859" s="854">
        <f t="shared" si="161"/>
        <v>230986.0819023028</v>
      </c>
      <c r="AH859" s="853"/>
      <c r="AI859" s="855">
        <f t="shared" si="162"/>
        <v>0</v>
      </c>
      <c r="AJ859" s="845" t="s">
        <v>2695</v>
      </c>
      <c r="AK859" s="857">
        <v>45332</v>
      </c>
      <c r="AL859" s="840" t="s">
        <v>2696</v>
      </c>
      <c r="AM859" s="840"/>
      <c r="AN859" s="858"/>
      <c r="AO859" s="844" t="s">
        <v>2697</v>
      </c>
      <c r="AP859" s="859" t="s">
        <v>2698</v>
      </c>
      <c r="AQ859" s="859" t="s">
        <v>2698</v>
      </c>
      <c r="AR859" s="859" t="s">
        <v>2699</v>
      </c>
      <c r="AS859" s="840" t="s">
        <v>2700</v>
      </c>
      <c r="AT859" s="840" t="s">
        <v>1743</v>
      </c>
      <c r="AU859" s="860" t="s">
        <v>1285</v>
      </c>
      <c r="AV859" s="839" t="s">
        <v>2701</v>
      </c>
      <c r="AW859" s="861">
        <v>45646</v>
      </c>
      <c r="AX859" s="862" t="s">
        <v>2702</v>
      </c>
      <c r="AY859" s="843" t="s">
        <v>3041</v>
      </c>
      <c r="AZ859" s="842" t="s">
        <v>3033</v>
      </c>
      <c r="BA859" s="842" t="s">
        <v>120</v>
      </c>
      <c r="BB859" s="863" t="s">
        <v>121</v>
      </c>
      <c r="BC859" s="864">
        <v>45650</v>
      </c>
      <c r="BD859" s="860" t="s">
        <v>2705</v>
      </c>
      <c r="BE859" s="865" cm="1">
        <f t="array" ref="BE859">IF(BD859="","",AC859/SUMPRODUCT(--(BD859=$BD$4:$BD$12824),$AC$4:$AC$12824))</f>
        <v>1.1031490507222165E-3</v>
      </c>
      <c r="BF859" s="458"/>
      <c r="BG859" s="458"/>
      <c r="BH859" s="458"/>
      <c r="BI859" s="458"/>
      <c r="BJ859" s="458"/>
      <c r="BK859" s="458"/>
      <c r="BL859" s="458"/>
      <c r="BM859" s="458"/>
      <c r="BN859" s="458"/>
      <c r="BO859" s="866">
        <f>VLOOKUP(BD859,$BD$4:$BN$12824,3,0)*BE859</f>
        <v>52022.689036126038</v>
      </c>
      <c r="BP859" s="866"/>
      <c r="BQ859" s="866"/>
      <c r="BR859" s="866">
        <f>VLOOKUP(BD859,$BD$4:$BN$12824,6,0)*BE859</f>
        <v>14918.48317341998</v>
      </c>
      <c r="BS859" s="866">
        <f>VLOOKUP(BD859,$BD$4:$BN$12824,7,0)*BE859</f>
        <v>1928.1622344348912</v>
      </c>
      <c r="BT859" s="866"/>
      <c r="BU859" s="866">
        <f>VLOOKUP(BD859,$BD$4:$BN$12824,9,0)*BE859</f>
        <v>0</v>
      </c>
      <c r="BV859" s="867"/>
      <c r="BW859" s="867">
        <f>VLOOKUP(BD859,$BD$4:$BN$12824,11,0)*BE859</f>
        <v>2144.5217546039889</v>
      </c>
      <c r="BX859" s="1146">
        <f t="shared" si="165"/>
        <v>71013.856198584894</v>
      </c>
      <c r="BY859" s="867">
        <f t="shared" si="166"/>
        <v>1155212.4090504437</v>
      </c>
      <c r="BZ859" s="867">
        <f t="shared" si="163"/>
        <v>2310424.8181008874</v>
      </c>
      <c r="CA859" s="867">
        <f>_xlfn.MAXIFS($BY$4:$BY$12824,$S$4:$S$12824,$S859)</f>
        <v>1155212.4090504437</v>
      </c>
      <c r="CB859" s="1032"/>
      <c r="CF859" s="946">
        <f t="shared" si="164"/>
        <v>2008424.88</v>
      </c>
    </row>
    <row r="860" spans="1:84">
      <c r="A860" s="1032"/>
      <c r="B860" s="839" t="s">
        <v>98</v>
      </c>
      <c r="C860" s="839" t="s">
        <v>2689</v>
      </c>
      <c r="D860" s="839" t="s">
        <v>2690</v>
      </c>
      <c r="E860" s="839" t="s">
        <v>2691</v>
      </c>
      <c r="F860" s="841">
        <v>45451</v>
      </c>
      <c r="G860" s="840" t="s">
        <v>2689</v>
      </c>
      <c r="H860" s="842" t="s">
        <v>134</v>
      </c>
      <c r="I860" s="842"/>
      <c r="J860" s="841"/>
      <c r="K860" s="841"/>
      <c r="L860" s="843" t="s">
        <v>106</v>
      </c>
      <c r="M860" s="844" t="s">
        <v>107</v>
      </c>
      <c r="N860" s="841" t="s">
        <v>2692</v>
      </c>
      <c r="O860" s="841" t="s">
        <v>150</v>
      </c>
      <c r="P860" s="841" t="s">
        <v>151</v>
      </c>
      <c r="Q860" s="843"/>
      <c r="R860" s="845" t="s">
        <v>3042</v>
      </c>
      <c r="S860" s="1127" t="s">
        <v>3043</v>
      </c>
      <c r="T860" s="843" t="s">
        <v>3044</v>
      </c>
      <c r="U860" s="842">
        <v>2</v>
      </c>
      <c r="V860" s="842" t="s">
        <v>3</v>
      </c>
      <c r="W860" s="846">
        <v>225</v>
      </c>
      <c r="X860" s="847">
        <f t="shared" si="158"/>
        <v>450</v>
      </c>
      <c r="Y860" s="848">
        <v>0.55000000000000004</v>
      </c>
      <c r="Z860" s="849">
        <v>101.25</v>
      </c>
      <c r="AA860" s="849"/>
      <c r="AB860" s="849">
        <f t="shared" si="159"/>
        <v>202.5</v>
      </c>
      <c r="AC860" s="850">
        <f t="shared" si="160"/>
        <v>202.5</v>
      </c>
      <c r="AD860" s="851"/>
      <c r="AE860" s="852">
        <v>26253.919999999998</v>
      </c>
      <c r="AF860" s="853">
        <v>0.112</v>
      </c>
      <c r="AG860" s="854">
        <f t="shared" si="161"/>
        <v>611433.74621197802</v>
      </c>
      <c r="AH860" s="853"/>
      <c r="AI860" s="855">
        <f t="shared" si="162"/>
        <v>0</v>
      </c>
      <c r="AJ860" s="845" t="s">
        <v>2695</v>
      </c>
      <c r="AK860" s="857">
        <v>45332</v>
      </c>
      <c r="AL860" s="840" t="s">
        <v>2696</v>
      </c>
      <c r="AM860" s="840"/>
      <c r="AN860" s="858"/>
      <c r="AO860" s="844" t="s">
        <v>2697</v>
      </c>
      <c r="AP860" s="859" t="s">
        <v>2698</v>
      </c>
      <c r="AQ860" s="859" t="s">
        <v>2698</v>
      </c>
      <c r="AR860" s="859" t="s">
        <v>2699</v>
      </c>
      <c r="AS860" s="840" t="s">
        <v>2700</v>
      </c>
      <c r="AT860" s="840" t="s">
        <v>1743</v>
      </c>
      <c r="AU860" s="860" t="s">
        <v>1285</v>
      </c>
      <c r="AV860" s="839" t="s">
        <v>2701</v>
      </c>
      <c r="AW860" s="861">
        <v>45646</v>
      </c>
      <c r="AX860" s="862" t="s">
        <v>2702</v>
      </c>
      <c r="AY860" s="843" t="s">
        <v>3045</v>
      </c>
      <c r="AZ860" s="842" t="s">
        <v>3033</v>
      </c>
      <c r="BA860" s="842" t="s">
        <v>120</v>
      </c>
      <c r="BB860" s="863" t="s">
        <v>121</v>
      </c>
      <c r="BC860" s="864">
        <v>45650</v>
      </c>
      <c r="BD860" s="860" t="s">
        <v>2705</v>
      </c>
      <c r="BE860" s="865" cm="1">
        <f t="array" ref="BE860">IF(BD860="","",AC860/SUMPRODUCT(--(BD860=$BD$4:$BD$12824),$AC$4:$AC$12824))</f>
        <v>2.9201004283823375E-3</v>
      </c>
      <c r="BF860" s="458"/>
      <c r="BG860" s="458"/>
      <c r="BH860" s="458"/>
      <c r="BI860" s="458"/>
      <c r="BJ860" s="458"/>
      <c r="BK860" s="458"/>
      <c r="BL860" s="458"/>
      <c r="BM860" s="458"/>
      <c r="BN860" s="458"/>
      <c r="BO860" s="866">
        <f>VLOOKUP(BD860,$BD$4:$BN$12824,3,0)*BE860</f>
        <v>137707.1180368042</v>
      </c>
      <c r="BP860" s="866"/>
      <c r="BQ860" s="866"/>
      <c r="BR860" s="866">
        <f>VLOOKUP(BD860,$BD$4:$BN$12824,6,0)*BE860</f>
        <v>39490.10251787641</v>
      </c>
      <c r="BS860" s="866">
        <f>VLOOKUP(BD860,$BD$4:$BN$12824,7,0)*BE860</f>
        <v>5103.9588558570649</v>
      </c>
      <c r="BT860" s="866"/>
      <c r="BU860" s="866">
        <f>VLOOKUP(BD860,$BD$4:$BN$12824,9,0)*BE860</f>
        <v>0</v>
      </c>
      <c r="BV860" s="867"/>
      <c r="BW860" s="867">
        <f>VLOOKUP(BD860,$BD$4:$BN$12824,11,0)*BE860</f>
        <v>5676.6752327752638</v>
      </c>
      <c r="BX860" s="1146">
        <f t="shared" si="165"/>
        <v>187977.85464331295</v>
      </c>
      <c r="BY860" s="867">
        <f t="shared" si="166"/>
        <v>3057915.2004276454</v>
      </c>
      <c r="BZ860" s="867">
        <f t="shared" si="163"/>
        <v>6115830.4008552907</v>
      </c>
      <c r="CA860" s="867">
        <f>_xlfn.MAXIFS($BY$4:$BY$12824,$S$4:$S$12824,$S860)</f>
        <v>3057915.2004276454</v>
      </c>
      <c r="CB860" s="1032"/>
      <c r="CF860" s="946">
        <f t="shared" si="164"/>
        <v>5316418.8</v>
      </c>
    </row>
    <row r="861" spans="1:84">
      <c r="A861" s="1032"/>
      <c r="B861" s="839" t="s">
        <v>98</v>
      </c>
      <c r="C861" s="839" t="s">
        <v>2689</v>
      </c>
      <c r="D861" s="839" t="s">
        <v>2690</v>
      </c>
      <c r="E861" s="839" t="s">
        <v>2691</v>
      </c>
      <c r="F861" s="841">
        <v>45451</v>
      </c>
      <c r="G861" s="840" t="s">
        <v>2689</v>
      </c>
      <c r="H861" s="842" t="s">
        <v>134</v>
      </c>
      <c r="I861" s="842"/>
      <c r="J861" s="841"/>
      <c r="K861" s="841"/>
      <c r="L861" s="843" t="s">
        <v>106</v>
      </c>
      <c r="M861" s="844" t="s">
        <v>107</v>
      </c>
      <c r="N861" s="841" t="s">
        <v>2692</v>
      </c>
      <c r="O861" s="841" t="s">
        <v>150</v>
      </c>
      <c r="P861" s="841" t="s">
        <v>151</v>
      </c>
      <c r="Q861" s="843"/>
      <c r="R861" s="845" t="s">
        <v>3046</v>
      </c>
      <c r="S861" s="1127" t="s">
        <v>3047</v>
      </c>
      <c r="T861" s="843" t="s">
        <v>3048</v>
      </c>
      <c r="U861" s="842">
        <v>2</v>
      </c>
      <c r="V861" s="842" t="s">
        <v>3</v>
      </c>
      <c r="W861" s="846">
        <v>225</v>
      </c>
      <c r="X861" s="847">
        <f t="shared" si="158"/>
        <v>450</v>
      </c>
      <c r="Y861" s="848">
        <v>0.55000000000000004</v>
      </c>
      <c r="Z861" s="849">
        <v>101.25</v>
      </c>
      <c r="AA861" s="849"/>
      <c r="AB861" s="849">
        <f t="shared" si="159"/>
        <v>202.5</v>
      </c>
      <c r="AC861" s="850">
        <f t="shared" si="160"/>
        <v>202.5</v>
      </c>
      <c r="AD861" s="851"/>
      <c r="AE861" s="852">
        <v>26253.919999999998</v>
      </c>
      <c r="AF861" s="853">
        <v>0.112</v>
      </c>
      <c r="AG861" s="854">
        <f t="shared" si="161"/>
        <v>611433.74621197802</v>
      </c>
      <c r="AH861" s="853"/>
      <c r="AI861" s="855">
        <f t="shared" si="162"/>
        <v>0</v>
      </c>
      <c r="AJ861" s="845" t="s">
        <v>2695</v>
      </c>
      <c r="AK861" s="857">
        <v>45332</v>
      </c>
      <c r="AL861" s="840" t="s">
        <v>2696</v>
      </c>
      <c r="AM861" s="840"/>
      <c r="AN861" s="858"/>
      <c r="AO861" s="844" t="s">
        <v>2697</v>
      </c>
      <c r="AP861" s="859" t="s">
        <v>2698</v>
      </c>
      <c r="AQ861" s="859" t="s">
        <v>2698</v>
      </c>
      <c r="AR861" s="859" t="s">
        <v>2699</v>
      </c>
      <c r="AS861" s="840" t="s">
        <v>2700</v>
      </c>
      <c r="AT861" s="840" t="s">
        <v>1743</v>
      </c>
      <c r="AU861" s="860" t="s">
        <v>1285</v>
      </c>
      <c r="AV861" s="839" t="s">
        <v>2701</v>
      </c>
      <c r="AW861" s="861">
        <v>45646</v>
      </c>
      <c r="AX861" s="862" t="s">
        <v>2702</v>
      </c>
      <c r="AY861" s="843" t="s">
        <v>3049</v>
      </c>
      <c r="AZ861" s="842" t="s">
        <v>3033</v>
      </c>
      <c r="BA861" s="842" t="s">
        <v>120</v>
      </c>
      <c r="BB861" s="863" t="s">
        <v>121</v>
      </c>
      <c r="BC861" s="864">
        <v>45650</v>
      </c>
      <c r="BD861" s="860" t="s">
        <v>2705</v>
      </c>
      <c r="BE861" s="865" cm="1">
        <f t="array" ref="BE861">IF(BD861="","",AC861/SUMPRODUCT(--(BD861=$BD$4:$BD$12824),$AC$4:$AC$12824))</f>
        <v>2.9201004283823375E-3</v>
      </c>
      <c r="BF861" s="458"/>
      <c r="BG861" s="458"/>
      <c r="BH861" s="458"/>
      <c r="BI861" s="458"/>
      <c r="BJ861" s="458"/>
      <c r="BK861" s="458"/>
      <c r="BL861" s="458"/>
      <c r="BM861" s="458"/>
      <c r="BN861" s="458"/>
      <c r="BO861" s="866">
        <f>VLOOKUP(BD861,$BD$4:$BN$12824,3,0)*BE861</f>
        <v>137707.1180368042</v>
      </c>
      <c r="BP861" s="866"/>
      <c r="BQ861" s="866"/>
      <c r="BR861" s="866">
        <f>VLOOKUP(BD861,$BD$4:$BN$12824,6,0)*BE861</f>
        <v>39490.10251787641</v>
      </c>
      <c r="BS861" s="866">
        <f>VLOOKUP(BD861,$BD$4:$BN$12824,7,0)*BE861</f>
        <v>5103.9588558570649</v>
      </c>
      <c r="BT861" s="866"/>
      <c r="BU861" s="866">
        <f>VLOOKUP(BD861,$BD$4:$BN$12824,9,0)*BE861</f>
        <v>0</v>
      </c>
      <c r="BV861" s="867"/>
      <c r="BW861" s="867">
        <f>VLOOKUP(BD861,$BD$4:$BN$12824,11,0)*BE861</f>
        <v>5676.6752327752638</v>
      </c>
      <c r="BX861" s="1146">
        <f t="shared" si="165"/>
        <v>187977.85464331295</v>
      </c>
      <c r="BY861" s="867">
        <f t="shared" si="166"/>
        <v>3057915.2004276454</v>
      </c>
      <c r="BZ861" s="867">
        <f t="shared" si="163"/>
        <v>6115830.4008552907</v>
      </c>
      <c r="CA861" s="867">
        <f>_xlfn.MAXIFS($BY$4:$BY$12824,$S$4:$S$12824,$S861)</f>
        <v>3057915.2004276454</v>
      </c>
      <c r="CB861" s="1032"/>
      <c r="CF861" s="946">
        <f t="shared" si="164"/>
        <v>5316418.8</v>
      </c>
    </row>
    <row r="862" spans="1:84">
      <c r="A862" s="1032"/>
      <c r="B862" s="839" t="s">
        <v>98</v>
      </c>
      <c r="C862" s="839" t="s">
        <v>2689</v>
      </c>
      <c r="D862" s="839" t="s">
        <v>2690</v>
      </c>
      <c r="E862" s="839" t="s">
        <v>2691</v>
      </c>
      <c r="F862" s="841">
        <v>45451</v>
      </c>
      <c r="G862" s="840" t="s">
        <v>2689</v>
      </c>
      <c r="H862" s="842" t="s">
        <v>134</v>
      </c>
      <c r="I862" s="842"/>
      <c r="J862" s="841"/>
      <c r="K862" s="841"/>
      <c r="L862" s="843" t="s">
        <v>106</v>
      </c>
      <c r="M862" s="844" t="s">
        <v>107</v>
      </c>
      <c r="N862" s="841" t="s">
        <v>2692</v>
      </c>
      <c r="O862" s="841" t="s">
        <v>150</v>
      </c>
      <c r="P862" s="841" t="s">
        <v>151</v>
      </c>
      <c r="Q862" s="843"/>
      <c r="R862" s="845" t="s">
        <v>3050</v>
      </c>
      <c r="S862" s="1127" t="s">
        <v>3051</v>
      </c>
      <c r="T862" s="843" t="s">
        <v>3044</v>
      </c>
      <c r="U862" s="842">
        <v>2</v>
      </c>
      <c r="V862" s="842" t="s">
        <v>3</v>
      </c>
      <c r="W862" s="846">
        <v>225</v>
      </c>
      <c r="X862" s="847">
        <f t="shared" si="158"/>
        <v>450</v>
      </c>
      <c r="Y862" s="848">
        <v>0.55000000000000004</v>
      </c>
      <c r="Z862" s="849">
        <v>101.25</v>
      </c>
      <c r="AA862" s="849"/>
      <c r="AB862" s="849">
        <f t="shared" si="159"/>
        <v>202.5</v>
      </c>
      <c r="AC862" s="850">
        <f t="shared" si="160"/>
        <v>202.5</v>
      </c>
      <c r="AD862" s="851"/>
      <c r="AE862" s="852">
        <v>26253.919999999998</v>
      </c>
      <c r="AF862" s="853">
        <v>0.112</v>
      </c>
      <c r="AG862" s="854">
        <f t="shared" si="161"/>
        <v>611433.74621197802</v>
      </c>
      <c r="AH862" s="853"/>
      <c r="AI862" s="855">
        <f t="shared" si="162"/>
        <v>0</v>
      </c>
      <c r="AJ862" s="845" t="s">
        <v>2695</v>
      </c>
      <c r="AK862" s="857">
        <v>45332</v>
      </c>
      <c r="AL862" s="840" t="s">
        <v>2696</v>
      </c>
      <c r="AM862" s="840"/>
      <c r="AN862" s="858"/>
      <c r="AO862" s="844" t="s">
        <v>2697</v>
      </c>
      <c r="AP862" s="859" t="s">
        <v>2698</v>
      </c>
      <c r="AQ862" s="859" t="s">
        <v>2698</v>
      </c>
      <c r="AR862" s="859" t="s">
        <v>2699</v>
      </c>
      <c r="AS862" s="840" t="s">
        <v>2700</v>
      </c>
      <c r="AT862" s="840" t="s">
        <v>1743</v>
      </c>
      <c r="AU862" s="860" t="s">
        <v>1285</v>
      </c>
      <c r="AV862" s="839" t="s">
        <v>2701</v>
      </c>
      <c r="AW862" s="861">
        <v>45646</v>
      </c>
      <c r="AX862" s="862" t="s">
        <v>2702</v>
      </c>
      <c r="AY862" s="843" t="s">
        <v>3052</v>
      </c>
      <c r="AZ862" s="842" t="s">
        <v>3033</v>
      </c>
      <c r="BA862" s="842" t="s">
        <v>120</v>
      </c>
      <c r="BB862" s="863" t="s">
        <v>121</v>
      </c>
      <c r="BC862" s="864">
        <v>45650</v>
      </c>
      <c r="BD862" s="860" t="s">
        <v>2705</v>
      </c>
      <c r="BE862" s="865" cm="1">
        <f t="array" ref="BE862">IF(BD862="","",AC862/SUMPRODUCT(--(BD862=$BD$4:$BD$12824),$AC$4:$AC$12824))</f>
        <v>2.9201004283823375E-3</v>
      </c>
      <c r="BF862" s="458"/>
      <c r="BG862" s="458"/>
      <c r="BH862" s="458"/>
      <c r="BI862" s="458"/>
      <c r="BJ862" s="458"/>
      <c r="BK862" s="458"/>
      <c r="BL862" s="458"/>
      <c r="BM862" s="458"/>
      <c r="BN862" s="458"/>
      <c r="BO862" s="866">
        <f>VLOOKUP(BD862,$BD$4:$BN$12824,3,0)*BE862</f>
        <v>137707.1180368042</v>
      </c>
      <c r="BP862" s="866"/>
      <c r="BQ862" s="866"/>
      <c r="BR862" s="866">
        <f>VLOOKUP(BD862,$BD$4:$BN$12824,6,0)*BE862</f>
        <v>39490.10251787641</v>
      </c>
      <c r="BS862" s="866">
        <f>VLOOKUP(BD862,$BD$4:$BN$12824,7,0)*BE862</f>
        <v>5103.9588558570649</v>
      </c>
      <c r="BT862" s="866"/>
      <c r="BU862" s="866">
        <f>VLOOKUP(BD862,$BD$4:$BN$12824,9,0)*BE862</f>
        <v>0</v>
      </c>
      <c r="BV862" s="867"/>
      <c r="BW862" s="867">
        <f>VLOOKUP(BD862,$BD$4:$BN$12824,11,0)*BE862</f>
        <v>5676.6752327752638</v>
      </c>
      <c r="BX862" s="1146">
        <f t="shared" si="165"/>
        <v>187977.85464331295</v>
      </c>
      <c r="BY862" s="867">
        <f t="shared" si="166"/>
        <v>3057915.2004276454</v>
      </c>
      <c r="BZ862" s="867">
        <f t="shared" si="163"/>
        <v>6115830.4008552907</v>
      </c>
      <c r="CA862" s="867">
        <f>_xlfn.MAXIFS($BY$4:$BY$12824,$S$4:$S$12824,$S862)</f>
        <v>3057915.2004276454</v>
      </c>
      <c r="CB862" s="1032"/>
      <c r="CF862" s="946">
        <f t="shared" si="164"/>
        <v>5316418.8</v>
      </c>
    </row>
    <row r="863" spans="1:84">
      <c r="A863" s="1032"/>
      <c r="B863" s="839" t="s">
        <v>98</v>
      </c>
      <c r="C863" s="839" t="s">
        <v>2689</v>
      </c>
      <c r="D863" s="839" t="s">
        <v>2690</v>
      </c>
      <c r="E863" s="839" t="s">
        <v>2691</v>
      </c>
      <c r="F863" s="841">
        <v>45451</v>
      </c>
      <c r="G863" s="840" t="s">
        <v>2689</v>
      </c>
      <c r="H863" s="842" t="s">
        <v>134</v>
      </c>
      <c r="I863" s="842"/>
      <c r="J863" s="841"/>
      <c r="K863" s="841"/>
      <c r="L863" s="843" t="s">
        <v>106</v>
      </c>
      <c r="M863" s="844" t="s">
        <v>107</v>
      </c>
      <c r="N863" s="841" t="s">
        <v>2692</v>
      </c>
      <c r="O863" s="841" t="s">
        <v>150</v>
      </c>
      <c r="P863" s="841" t="s">
        <v>151</v>
      </c>
      <c r="Q863" s="843"/>
      <c r="R863" s="845" t="s">
        <v>3053</v>
      </c>
      <c r="S863" s="1127" t="s">
        <v>3054</v>
      </c>
      <c r="T863" s="843" t="s">
        <v>3055</v>
      </c>
      <c r="U863" s="842">
        <v>5</v>
      </c>
      <c r="V863" s="842" t="s">
        <v>3</v>
      </c>
      <c r="W863" s="846">
        <v>185</v>
      </c>
      <c r="X863" s="847">
        <f t="shared" si="158"/>
        <v>925</v>
      </c>
      <c r="Y863" s="848">
        <v>0.55000000000000004</v>
      </c>
      <c r="Z863" s="849">
        <v>83.25</v>
      </c>
      <c r="AA863" s="849"/>
      <c r="AB863" s="849">
        <f t="shared" si="159"/>
        <v>416.25</v>
      </c>
      <c r="AC863" s="850">
        <f t="shared" si="160"/>
        <v>416.25</v>
      </c>
      <c r="AD863" s="851"/>
      <c r="AE863" s="852">
        <v>26253.919999999998</v>
      </c>
      <c r="AF863" s="853">
        <v>0.112</v>
      </c>
      <c r="AG863" s="854">
        <f t="shared" si="161"/>
        <v>1256836.0338801772</v>
      </c>
      <c r="AH863" s="853"/>
      <c r="AI863" s="855">
        <f t="shared" si="162"/>
        <v>0</v>
      </c>
      <c r="AJ863" s="845" t="s">
        <v>2695</v>
      </c>
      <c r="AK863" s="857">
        <v>45332</v>
      </c>
      <c r="AL863" s="840" t="s">
        <v>2696</v>
      </c>
      <c r="AM863" s="840"/>
      <c r="AN863" s="858"/>
      <c r="AO863" s="844" t="s">
        <v>2697</v>
      </c>
      <c r="AP863" s="859" t="s">
        <v>2698</v>
      </c>
      <c r="AQ863" s="859" t="s">
        <v>2698</v>
      </c>
      <c r="AR863" s="859" t="s">
        <v>2699</v>
      </c>
      <c r="AS863" s="840" t="s">
        <v>2700</v>
      </c>
      <c r="AT863" s="840" t="s">
        <v>1743</v>
      </c>
      <c r="AU863" s="860" t="s">
        <v>1285</v>
      </c>
      <c r="AV863" s="839" t="s">
        <v>2701</v>
      </c>
      <c r="AW863" s="861">
        <v>45646</v>
      </c>
      <c r="AX863" s="862" t="s">
        <v>2702</v>
      </c>
      <c r="AY863" s="843" t="s">
        <v>3056</v>
      </c>
      <c r="AZ863" s="842" t="s">
        <v>3033</v>
      </c>
      <c r="BA863" s="842" t="s">
        <v>120</v>
      </c>
      <c r="BB863" s="863" t="s">
        <v>121</v>
      </c>
      <c r="BC863" s="864">
        <v>45650</v>
      </c>
      <c r="BD863" s="860" t="s">
        <v>2705</v>
      </c>
      <c r="BE863" s="865" cm="1">
        <f t="array" ref="BE863">IF(BD863="","",AC863/SUMPRODUCT(--(BD863=$BD$4:$BD$12824),$AC$4:$AC$12824))</f>
        <v>6.0024286583414714E-3</v>
      </c>
      <c r="BF863" s="458"/>
      <c r="BG863" s="458"/>
      <c r="BH863" s="458"/>
      <c r="BI863" s="458"/>
      <c r="BJ863" s="458"/>
      <c r="BK863" s="458"/>
      <c r="BL863" s="458"/>
      <c r="BM863" s="458"/>
      <c r="BN863" s="458"/>
      <c r="BO863" s="866">
        <f>VLOOKUP(BD863,$BD$4:$BN$12824,3,0)*BE863</f>
        <v>283064.63152009755</v>
      </c>
      <c r="BP863" s="866"/>
      <c r="BQ863" s="866"/>
      <c r="BR863" s="866">
        <f>VLOOKUP(BD863,$BD$4:$BN$12824,6,0)*BE863</f>
        <v>81174.099620079287</v>
      </c>
      <c r="BS863" s="866">
        <f>VLOOKUP(BD863,$BD$4:$BN$12824,7,0)*BE863</f>
        <v>10491.470981483966</v>
      </c>
      <c r="BT863" s="866"/>
      <c r="BU863" s="866">
        <f>VLOOKUP(BD863,$BD$4:$BN$12824,9,0)*BE863</f>
        <v>0</v>
      </c>
      <c r="BV863" s="867"/>
      <c r="BW863" s="867">
        <f>VLOOKUP(BD863,$BD$4:$BN$12824,11,0)*BE863</f>
        <v>11668.72131181582</v>
      </c>
      <c r="BX863" s="1146">
        <f t="shared" si="165"/>
        <v>386398.92343347665</v>
      </c>
      <c r="BY863" s="867">
        <f t="shared" si="166"/>
        <v>2514285.8314627307</v>
      </c>
      <c r="BZ863" s="867">
        <f t="shared" si="163"/>
        <v>12571429.157313652</v>
      </c>
      <c r="CA863" s="867">
        <f>_xlfn.MAXIFS($BY$4:$BY$12824,$S$4:$S$12824,$S863)</f>
        <v>2514285.8314627307</v>
      </c>
      <c r="CB863" s="1032"/>
      <c r="CF863" s="946">
        <f t="shared" si="164"/>
        <v>10928194.199999999</v>
      </c>
    </row>
    <row r="864" spans="1:84">
      <c r="A864" s="1032"/>
      <c r="B864" s="839" t="s">
        <v>98</v>
      </c>
      <c r="C864" s="839" t="s">
        <v>2689</v>
      </c>
      <c r="D864" s="839" t="s">
        <v>2690</v>
      </c>
      <c r="E864" s="839" t="s">
        <v>2691</v>
      </c>
      <c r="F864" s="841">
        <v>45451</v>
      </c>
      <c r="G864" s="840" t="s">
        <v>2689</v>
      </c>
      <c r="H864" s="842" t="s">
        <v>134</v>
      </c>
      <c r="I864" s="842"/>
      <c r="J864" s="841"/>
      <c r="K864" s="841"/>
      <c r="L864" s="843" t="s">
        <v>106</v>
      </c>
      <c r="M864" s="844" t="s">
        <v>107</v>
      </c>
      <c r="N864" s="841" t="s">
        <v>2692</v>
      </c>
      <c r="O864" s="841" t="s">
        <v>150</v>
      </c>
      <c r="P864" s="841" t="s">
        <v>151</v>
      </c>
      <c r="Q864" s="843"/>
      <c r="R864" s="845" t="s">
        <v>3057</v>
      </c>
      <c r="S864" s="1127" t="s">
        <v>3058</v>
      </c>
      <c r="T864" s="843" t="s">
        <v>3059</v>
      </c>
      <c r="U864" s="842">
        <v>5</v>
      </c>
      <c r="V864" s="842" t="s">
        <v>3</v>
      </c>
      <c r="W864" s="846">
        <v>185</v>
      </c>
      <c r="X864" s="847">
        <f t="shared" si="158"/>
        <v>925</v>
      </c>
      <c r="Y864" s="848">
        <v>0.55000000000000004</v>
      </c>
      <c r="Z864" s="849">
        <v>83.25</v>
      </c>
      <c r="AA864" s="849"/>
      <c r="AB864" s="849">
        <f t="shared" si="159"/>
        <v>416.25</v>
      </c>
      <c r="AC864" s="850">
        <f t="shared" si="160"/>
        <v>416.25</v>
      </c>
      <c r="AD864" s="851"/>
      <c r="AE864" s="852">
        <v>26253.919999999998</v>
      </c>
      <c r="AF864" s="853">
        <v>0.112</v>
      </c>
      <c r="AG864" s="854">
        <f t="shared" si="161"/>
        <v>1256836.0338801772</v>
      </c>
      <c r="AH864" s="853"/>
      <c r="AI864" s="855">
        <f t="shared" si="162"/>
        <v>0</v>
      </c>
      <c r="AJ864" s="845" t="s">
        <v>2695</v>
      </c>
      <c r="AK864" s="857">
        <v>45332</v>
      </c>
      <c r="AL864" s="840" t="s">
        <v>2696</v>
      </c>
      <c r="AM864" s="840"/>
      <c r="AN864" s="858"/>
      <c r="AO864" s="844" t="s">
        <v>2697</v>
      </c>
      <c r="AP864" s="859" t="s">
        <v>2698</v>
      </c>
      <c r="AQ864" s="859" t="s">
        <v>2698</v>
      </c>
      <c r="AR864" s="859" t="s">
        <v>2699</v>
      </c>
      <c r="AS864" s="840" t="s">
        <v>2700</v>
      </c>
      <c r="AT864" s="840" t="s">
        <v>1743</v>
      </c>
      <c r="AU864" s="860" t="s">
        <v>1285</v>
      </c>
      <c r="AV864" s="839" t="s">
        <v>2701</v>
      </c>
      <c r="AW864" s="861">
        <v>45646</v>
      </c>
      <c r="AX864" s="862" t="s">
        <v>2702</v>
      </c>
      <c r="AY864" s="843" t="s">
        <v>3060</v>
      </c>
      <c r="AZ864" s="842" t="s">
        <v>3033</v>
      </c>
      <c r="BA864" s="842" t="s">
        <v>120</v>
      </c>
      <c r="BB864" s="863" t="s">
        <v>121</v>
      </c>
      <c r="BC864" s="864">
        <v>45650</v>
      </c>
      <c r="BD864" s="860" t="s">
        <v>2705</v>
      </c>
      <c r="BE864" s="865" cm="1">
        <f t="array" ref="BE864">IF(BD864="","",AC864/SUMPRODUCT(--(BD864=$BD$4:$BD$12824),$AC$4:$AC$12824))</f>
        <v>6.0024286583414714E-3</v>
      </c>
      <c r="BF864" s="458"/>
      <c r="BG864" s="458"/>
      <c r="BH864" s="458"/>
      <c r="BI864" s="458"/>
      <c r="BJ864" s="458"/>
      <c r="BK864" s="458"/>
      <c r="BL864" s="458"/>
      <c r="BM864" s="458"/>
      <c r="BN864" s="458"/>
      <c r="BO864" s="866">
        <f>VLOOKUP(BD864,$BD$4:$BN$12824,3,0)*BE864</f>
        <v>283064.63152009755</v>
      </c>
      <c r="BP864" s="866"/>
      <c r="BQ864" s="866"/>
      <c r="BR864" s="866">
        <f>VLOOKUP(BD864,$BD$4:$BN$12824,6,0)*BE864</f>
        <v>81174.099620079287</v>
      </c>
      <c r="BS864" s="866">
        <f>VLOOKUP(BD864,$BD$4:$BN$12824,7,0)*BE864</f>
        <v>10491.470981483966</v>
      </c>
      <c r="BT864" s="866"/>
      <c r="BU864" s="866">
        <f>VLOOKUP(BD864,$BD$4:$BN$12824,9,0)*BE864</f>
        <v>0</v>
      </c>
      <c r="BV864" s="867"/>
      <c r="BW864" s="867">
        <f>VLOOKUP(BD864,$BD$4:$BN$12824,11,0)*BE864</f>
        <v>11668.72131181582</v>
      </c>
      <c r="BX864" s="1146">
        <f t="shared" si="165"/>
        <v>386398.92343347665</v>
      </c>
      <c r="BY864" s="867">
        <f t="shared" si="166"/>
        <v>2514285.8314627307</v>
      </c>
      <c r="BZ864" s="867">
        <f t="shared" si="163"/>
        <v>12571429.157313652</v>
      </c>
      <c r="CA864" s="867">
        <f>_xlfn.MAXIFS($BY$4:$BY$12824,$S$4:$S$12824,$S864)</f>
        <v>2514285.8314627307</v>
      </c>
      <c r="CB864" s="1032"/>
      <c r="CF864" s="946">
        <f t="shared" si="164"/>
        <v>10928194.199999999</v>
      </c>
    </row>
    <row r="865" spans="1:84">
      <c r="A865" s="1032"/>
      <c r="B865" s="839" t="s">
        <v>98</v>
      </c>
      <c r="C865" s="839" t="s">
        <v>2689</v>
      </c>
      <c r="D865" s="839" t="s">
        <v>2690</v>
      </c>
      <c r="E865" s="839" t="s">
        <v>2691</v>
      </c>
      <c r="F865" s="841">
        <v>45451</v>
      </c>
      <c r="G865" s="840" t="s">
        <v>2689</v>
      </c>
      <c r="H865" s="842" t="s">
        <v>134</v>
      </c>
      <c r="I865" s="842"/>
      <c r="J865" s="841"/>
      <c r="K865" s="841"/>
      <c r="L865" s="843" t="s">
        <v>106</v>
      </c>
      <c r="M865" s="844" t="s">
        <v>107</v>
      </c>
      <c r="N865" s="841" t="s">
        <v>2692</v>
      </c>
      <c r="O865" s="841" t="s">
        <v>150</v>
      </c>
      <c r="P865" s="841" t="s">
        <v>151</v>
      </c>
      <c r="Q865" s="843"/>
      <c r="R865" s="845" t="s">
        <v>3061</v>
      </c>
      <c r="S865" s="1127" t="s">
        <v>3062</v>
      </c>
      <c r="T865" s="843" t="s">
        <v>3063</v>
      </c>
      <c r="U865" s="842">
        <v>5</v>
      </c>
      <c r="V865" s="842" t="s">
        <v>3</v>
      </c>
      <c r="W865" s="846">
        <v>185</v>
      </c>
      <c r="X865" s="847">
        <f t="shared" si="158"/>
        <v>925</v>
      </c>
      <c r="Y865" s="848">
        <v>0.55000000000000004</v>
      </c>
      <c r="Z865" s="849">
        <v>83.25</v>
      </c>
      <c r="AA865" s="849"/>
      <c r="AB865" s="849">
        <f t="shared" si="159"/>
        <v>416.25</v>
      </c>
      <c r="AC865" s="850">
        <f t="shared" si="160"/>
        <v>416.25</v>
      </c>
      <c r="AD865" s="851"/>
      <c r="AE865" s="852">
        <v>26253.919999999998</v>
      </c>
      <c r="AF865" s="853">
        <v>0.112</v>
      </c>
      <c r="AG865" s="854">
        <f t="shared" si="161"/>
        <v>1256836.0338801772</v>
      </c>
      <c r="AH865" s="853"/>
      <c r="AI865" s="855">
        <f t="shared" si="162"/>
        <v>0</v>
      </c>
      <c r="AJ865" s="845" t="s">
        <v>2695</v>
      </c>
      <c r="AK865" s="857">
        <v>45332</v>
      </c>
      <c r="AL865" s="840" t="s">
        <v>2696</v>
      </c>
      <c r="AM865" s="840"/>
      <c r="AN865" s="858"/>
      <c r="AO865" s="844" t="s">
        <v>2697</v>
      </c>
      <c r="AP865" s="859" t="s">
        <v>2698</v>
      </c>
      <c r="AQ865" s="859" t="s">
        <v>2698</v>
      </c>
      <c r="AR865" s="859" t="s">
        <v>2699</v>
      </c>
      <c r="AS865" s="840" t="s">
        <v>2700</v>
      </c>
      <c r="AT865" s="840" t="s">
        <v>1743</v>
      </c>
      <c r="AU865" s="860" t="s">
        <v>1285</v>
      </c>
      <c r="AV865" s="839" t="s">
        <v>2701</v>
      </c>
      <c r="AW865" s="861">
        <v>45646</v>
      </c>
      <c r="AX865" s="862" t="s">
        <v>2702</v>
      </c>
      <c r="AY865" s="843" t="s">
        <v>3064</v>
      </c>
      <c r="AZ865" s="842" t="s">
        <v>3033</v>
      </c>
      <c r="BA865" s="842" t="s">
        <v>120</v>
      </c>
      <c r="BB865" s="863" t="s">
        <v>121</v>
      </c>
      <c r="BC865" s="864">
        <v>45650</v>
      </c>
      <c r="BD865" s="860" t="s">
        <v>2705</v>
      </c>
      <c r="BE865" s="865" cm="1">
        <f t="array" ref="BE865">IF(BD865="","",AC865/SUMPRODUCT(--(BD865=$BD$4:$BD$12824),$AC$4:$AC$12824))</f>
        <v>6.0024286583414714E-3</v>
      </c>
      <c r="BF865" s="458"/>
      <c r="BG865" s="458"/>
      <c r="BH865" s="458"/>
      <c r="BI865" s="458"/>
      <c r="BJ865" s="458"/>
      <c r="BK865" s="458"/>
      <c r="BL865" s="458"/>
      <c r="BM865" s="458"/>
      <c r="BN865" s="458"/>
      <c r="BO865" s="866">
        <f>VLOOKUP(BD865,$BD$4:$BN$12824,3,0)*BE865</f>
        <v>283064.63152009755</v>
      </c>
      <c r="BP865" s="866"/>
      <c r="BQ865" s="866"/>
      <c r="BR865" s="866">
        <f>VLOOKUP(BD865,$BD$4:$BN$12824,6,0)*BE865</f>
        <v>81174.099620079287</v>
      </c>
      <c r="BS865" s="866">
        <f>VLOOKUP(BD865,$BD$4:$BN$12824,7,0)*BE865</f>
        <v>10491.470981483966</v>
      </c>
      <c r="BT865" s="866"/>
      <c r="BU865" s="866">
        <f>VLOOKUP(BD865,$BD$4:$BN$12824,9,0)*BE865</f>
        <v>0</v>
      </c>
      <c r="BV865" s="867"/>
      <c r="BW865" s="867">
        <f>VLOOKUP(BD865,$BD$4:$BN$12824,11,0)*BE865</f>
        <v>11668.72131181582</v>
      </c>
      <c r="BX865" s="1146">
        <f t="shared" si="165"/>
        <v>386398.92343347665</v>
      </c>
      <c r="BY865" s="867">
        <f t="shared" si="166"/>
        <v>2514285.8314627307</v>
      </c>
      <c r="BZ865" s="867">
        <f t="shared" si="163"/>
        <v>12571429.157313652</v>
      </c>
      <c r="CA865" s="867">
        <f>_xlfn.MAXIFS($BY$4:$BY$12824,$S$4:$S$12824,$S865)</f>
        <v>2514285.8314627307</v>
      </c>
      <c r="CB865" s="1032"/>
      <c r="CF865" s="946">
        <f t="shared" si="164"/>
        <v>10928194.199999999</v>
      </c>
    </row>
    <row r="866" spans="1:84">
      <c r="A866" s="1032"/>
      <c r="B866" s="839" t="s">
        <v>98</v>
      </c>
      <c r="C866" s="839" t="s">
        <v>2689</v>
      </c>
      <c r="D866" s="839" t="s">
        <v>2690</v>
      </c>
      <c r="E866" s="839" t="s">
        <v>2691</v>
      </c>
      <c r="F866" s="841">
        <v>45451</v>
      </c>
      <c r="G866" s="840" t="s">
        <v>2689</v>
      </c>
      <c r="H866" s="842" t="s">
        <v>134</v>
      </c>
      <c r="I866" s="842"/>
      <c r="J866" s="841"/>
      <c r="K866" s="841"/>
      <c r="L866" s="843" t="s">
        <v>106</v>
      </c>
      <c r="M866" s="844" t="s">
        <v>107</v>
      </c>
      <c r="N866" s="841" t="s">
        <v>2692</v>
      </c>
      <c r="O866" s="841" t="s">
        <v>150</v>
      </c>
      <c r="P866" s="841" t="s">
        <v>151</v>
      </c>
      <c r="Q866" s="843"/>
      <c r="R866" s="845" t="s">
        <v>3065</v>
      </c>
      <c r="S866" s="1127" t="s">
        <v>3066</v>
      </c>
      <c r="T866" s="843" t="s">
        <v>3067</v>
      </c>
      <c r="U866" s="842">
        <v>5</v>
      </c>
      <c r="V866" s="842" t="s">
        <v>3</v>
      </c>
      <c r="W866" s="846">
        <v>135</v>
      </c>
      <c r="X866" s="847">
        <f t="shared" si="158"/>
        <v>675</v>
      </c>
      <c r="Y866" s="848">
        <v>0.55000000000000004</v>
      </c>
      <c r="Z866" s="849">
        <v>60.75</v>
      </c>
      <c r="AA866" s="849"/>
      <c r="AB866" s="849">
        <f t="shared" si="159"/>
        <v>303.75</v>
      </c>
      <c r="AC866" s="850">
        <f t="shared" si="160"/>
        <v>303.75</v>
      </c>
      <c r="AD866" s="851"/>
      <c r="AE866" s="852">
        <v>26253.919999999998</v>
      </c>
      <c r="AF866" s="853">
        <v>0.112</v>
      </c>
      <c r="AG866" s="854">
        <f t="shared" si="161"/>
        <v>917150.61931796698</v>
      </c>
      <c r="AH866" s="853"/>
      <c r="AI866" s="855">
        <f t="shared" si="162"/>
        <v>0</v>
      </c>
      <c r="AJ866" s="845" t="s">
        <v>2695</v>
      </c>
      <c r="AK866" s="857">
        <v>45332</v>
      </c>
      <c r="AL866" s="840" t="s">
        <v>2696</v>
      </c>
      <c r="AM866" s="840"/>
      <c r="AN866" s="858"/>
      <c r="AO866" s="844" t="s">
        <v>2697</v>
      </c>
      <c r="AP866" s="859" t="s">
        <v>2698</v>
      </c>
      <c r="AQ866" s="859" t="s">
        <v>2698</v>
      </c>
      <c r="AR866" s="859" t="s">
        <v>2699</v>
      </c>
      <c r="AS866" s="840" t="s">
        <v>2700</v>
      </c>
      <c r="AT866" s="840" t="s">
        <v>1743</v>
      </c>
      <c r="AU866" s="860" t="s">
        <v>1285</v>
      </c>
      <c r="AV866" s="839" t="s">
        <v>2701</v>
      </c>
      <c r="AW866" s="861">
        <v>45646</v>
      </c>
      <c r="AX866" s="862" t="s">
        <v>2702</v>
      </c>
      <c r="AY866" s="843" t="s">
        <v>3068</v>
      </c>
      <c r="AZ866" s="842" t="s">
        <v>3033</v>
      </c>
      <c r="BA866" s="842" t="s">
        <v>120</v>
      </c>
      <c r="BB866" s="863" t="s">
        <v>121</v>
      </c>
      <c r="BC866" s="864">
        <v>45650</v>
      </c>
      <c r="BD866" s="860" t="s">
        <v>2705</v>
      </c>
      <c r="BE866" s="865" cm="1">
        <f t="array" ref="BE866">IF(BD866="","",AC866/SUMPRODUCT(--(BD866=$BD$4:$BD$12824),$AC$4:$AC$12824))</f>
        <v>4.3801506425735067E-3</v>
      </c>
      <c r="BF866" s="458"/>
      <c r="BG866" s="458"/>
      <c r="BH866" s="458"/>
      <c r="BI866" s="458"/>
      <c r="BJ866" s="458"/>
      <c r="BK866" s="458"/>
      <c r="BL866" s="458"/>
      <c r="BM866" s="458"/>
      <c r="BN866" s="458"/>
      <c r="BO866" s="866">
        <f>VLOOKUP(BD866,$BD$4:$BN$12824,3,0)*BE866</f>
        <v>206560.67705520632</v>
      </c>
      <c r="BP866" s="866"/>
      <c r="BQ866" s="866"/>
      <c r="BR866" s="866">
        <f>VLOOKUP(BD866,$BD$4:$BN$12824,6,0)*BE866</f>
        <v>59235.15377681463</v>
      </c>
      <c r="BS866" s="866">
        <f>VLOOKUP(BD866,$BD$4:$BN$12824,7,0)*BE866</f>
        <v>7655.9382837855974</v>
      </c>
      <c r="BT866" s="866"/>
      <c r="BU866" s="866">
        <f>VLOOKUP(BD866,$BD$4:$BN$12824,9,0)*BE866</f>
        <v>0</v>
      </c>
      <c r="BV866" s="867"/>
      <c r="BW866" s="867">
        <f>VLOOKUP(BD866,$BD$4:$BN$12824,11,0)*BE866</f>
        <v>8515.0128491628966</v>
      </c>
      <c r="BX866" s="1146">
        <f t="shared" si="165"/>
        <v>281966.78196496947</v>
      </c>
      <c r="BY866" s="867">
        <f t="shared" si="166"/>
        <v>1834749.1202565872</v>
      </c>
      <c r="BZ866" s="867">
        <f t="shared" si="163"/>
        <v>9173745.6012829356</v>
      </c>
      <c r="CA866" s="867">
        <f>_xlfn.MAXIFS($BY$4:$BY$12824,$S$4:$S$12824,$S866)</f>
        <v>1834749.1202565872</v>
      </c>
      <c r="CB866" s="1032"/>
      <c r="CF866" s="946">
        <f t="shared" si="164"/>
        <v>7974628.1999999993</v>
      </c>
    </row>
    <row r="867" spans="1:84">
      <c r="A867" s="1032"/>
      <c r="B867" s="839" t="s">
        <v>98</v>
      </c>
      <c r="C867" s="839" t="s">
        <v>2689</v>
      </c>
      <c r="D867" s="839" t="s">
        <v>2690</v>
      </c>
      <c r="E867" s="839" t="s">
        <v>2691</v>
      </c>
      <c r="F867" s="841">
        <v>45451</v>
      </c>
      <c r="G867" s="840" t="s">
        <v>2689</v>
      </c>
      <c r="H867" s="842" t="s">
        <v>134</v>
      </c>
      <c r="I867" s="842"/>
      <c r="J867" s="841"/>
      <c r="K867" s="841"/>
      <c r="L867" s="843" t="s">
        <v>106</v>
      </c>
      <c r="M867" s="844" t="s">
        <v>107</v>
      </c>
      <c r="N867" s="841" t="s">
        <v>2692</v>
      </c>
      <c r="O867" s="841" t="s">
        <v>150</v>
      </c>
      <c r="P867" s="841" t="s">
        <v>151</v>
      </c>
      <c r="Q867" s="843"/>
      <c r="R867" s="845" t="s">
        <v>3069</v>
      </c>
      <c r="S867" s="1127" t="s">
        <v>3070</v>
      </c>
      <c r="T867" s="843" t="s">
        <v>3071</v>
      </c>
      <c r="U867" s="842">
        <v>5</v>
      </c>
      <c r="V867" s="842" t="s">
        <v>3</v>
      </c>
      <c r="W867" s="846">
        <v>135</v>
      </c>
      <c r="X867" s="847">
        <f t="shared" si="158"/>
        <v>675</v>
      </c>
      <c r="Y867" s="848">
        <v>0.55000000000000004</v>
      </c>
      <c r="Z867" s="849">
        <v>60.75</v>
      </c>
      <c r="AA867" s="849"/>
      <c r="AB867" s="849">
        <f t="shared" si="159"/>
        <v>303.75</v>
      </c>
      <c r="AC867" s="850">
        <f t="shared" si="160"/>
        <v>303.75</v>
      </c>
      <c r="AD867" s="851"/>
      <c r="AE867" s="852">
        <v>26253.919999999998</v>
      </c>
      <c r="AF867" s="853">
        <v>0.112</v>
      </c>
      <c r="AG867" s="854">
        <f t="shared" si="161"/>
        <v>917150.61931796698</v>
      </c>
      <c r="AH867" s="853"/>
      <c r="AI867" s="855">
        <f t="shared" si="162"/>
        <v>0</v>
      </c>
      <c r="AJ867" s="845" t="s">
        <v>2695</v>
      </c>
      <c r="AK867" s="857">
        <v>45332</v>
      </c>
      <c r="AL867" s="840" t="s">
        <v>2696</v>
      </c>
      <c r="AM867" s="840"/>
      <c r="AN867" s="858"/>
      <c r="AO867" s="844" t="s">
        <v>2697</v>
      </c>
      <c r="AP867" s="859" t="s">
        <v>2698</v>
      </c>
      <c r="AQ867" s="859" t="s">
        <v>2698</v>
      </c>
      <c r="AR867" s="859" t="s">
        <v>2699</v>
      </c>
      <c r="AS867" s="840" t="s">
        <v>2700</v>
      </c>
      <c r="AT867" s="840" t="s">
        <v>1743</v>
      </c>
      <c r="AU867" s="860" t="s">
        <v>1285</v>
      </c>
      <c r="AV867" s="839" t="s">
        <v>2701</v>
      </c>
      <c r="AW867" s="861">
        <v>45646</v>
      </c>
      <c r="AX867" s="862" t="s">
        <v>2702</v>
      </c>
      <c r="AY867" s="843" t="s">
        <v>3072</v>
      </c>
      <c r="AZ867" s="842" t="s">
        <v>3033</v>
      </c>
      <c r="BA867" s="842" t="s">
        <v>120</v>
      </c>
      <c r="BB867" s="863" t="s">
        <v>121</v>
      </c>
      <c r="BC867" s="864">
        <v>45650</v>
      </c>
      <c r="BD867" s="860" t="s">
        <v>2705</v>
      </c>
      <c r="BE867" s="865" cm="1">
        <f t="array" ref="BE867">IF(BD867="","",AC867/SUMPRODUCT(--(BD867=$BD$4:$BD$12824),$AC$4:$AC$12824))</f>
        <v>4.3801506425735067E-3</v>
      </c>
      <c r="BF867" s="458"/>
      <c r="BG867" s="458"/>
      <c r="BH867" s="458"/>
      <c r="BI867" s="458"/>
      <c r="BJ867" s="458"/>
      <c r="BK867" s="458"/>
      <c r="BL867" s="458"/>
      <c r="BM867" s="458"/>
      <c r="BN867" s="458"/>
      <c r="BO867" s="866">
        <f>VLOOKUP(BD867,$BD$4:$BN$12824,3,0)*BE867</f>
        <v>206560.67705520632</v>
      </c>
      <c r="BP867" s="866"/>
      <c r="BQ867" s="866"/>
      <c r="BR867" s="866">
        <f>VLOOKUP(BD867,$BD$4:$BN$12824,6,0)*BE867</f>
        <v>59235.15377681463</v>
      </c>
      <c r="BS867" s="866">
        <f>VLOOKUP(BD867,$BD$4:$BN$12824,7,0)*BE867</f>
        <v>7655.9382837855974</v>
      </c>
      <c r="BT867" s="866"/>
      <c r="BU867" s="866">
        <f>VLOOKUP(BD867,$BD$4:$BN$12824,9,0)*BE867</f>
        <v>0</v>
      </c>
      <c r="BV867" s="867"/>
      <c r="BW867" s="867">
        <f>VLOOKUP(BD867,$BD$4:$BN$12824,11,0)*BE867</f>
        <v>8515.0128491628966</v>
      </c>
      <c r="BX867" s="1146">
        <f t="shared" si="165"/>
        <v>281966.78196496947</v>
      </c>
      <c r="BY867" s="867">
        <f t="shared" si="166"/>
        <v>1834749.1202565872</v>
      </c>
      <c r="BZ867" s="867">
        <f t="shared" si="163"/>
        <v>9173745.6012829356</v>
      </c>
      <c r="CA867" s="867">
        <f>_xlfn.MAXIFS($BY$4:$BY$12824,$S$4:$S$12824,$S867)</f>
        <v>1834749.1202565872</v>
      </c>
      <c r="CB867" s="1032"/>
      <c r="CF867" s="946">
        <f t="shared" si="164"/>
        <v>7974628.1999999993</v>
      </c>
    </row>
    <row r="868" spans="1:84">
      <c r="A868" s="1032"/>
      <c r="B868" s="839" t="s">
        <v>98</v>
      </c>
      <c r="C868" s="839" t="s">
        <v>2689</v>
      </c>
      <c r="D868" s="839" t="s">
        <v>2690</v>
      </c>
      <c r="E868" s="839" t="s">
        <v>2691</v>
      </c>
      <c r="F868" s="841">
        <v>45451</v>
      </c>
      <c r="G868" s="840" t="s">
        <v>2689</v>
      </c>
      <c r="H868" s="842" t="s">
        <v>134</v>
      </c>
      <c r="I868" s="842"/>
      <c r="J868" s="841"/>
      <c r="K868" s="841"/>
      <c r="L868" s="843" t="s">
        <v>106</v>
      </c>
      <c r="M868" s="844" t="s">
        <v>107</v>
      </c>
      <c r="N868" s="841" t="s">
        <v>2692</v>
      </c>
      <c r="O868" s="841" t="s">
        <v>150</v>
      </c>
      <c r="P868" s="841" t="s">
        <v>151</v>
      </c>
      <c r="Q868" s="843"/>
      <c r="R868" s="845" t="s">
        <v>3073</v>
      </c>
      <c r="S868" s="1127" t="s">
        <v>3074</v>
      </c>
      <c r="T868" s="843" t="s">
        <v>3075</v>
      </c>
      <c r="U868" s="842">
        <v>5</v>
      </c>
      <c r="V868" s="842" t="s">
        <v>3</v>
      </c>
      <c r="W868" s="846">
        <v>135</v>
      </c>
      <c r="X868" s="847">
        <f t="shared" si="158"/>
        <v>675</v>
      </c>
      <c r="Y868" s="848">
        <v>0.55000000000000004</v>
      </c>
      <c r="Z868" s="849">
        <v>60.75</v>
      </c>
      <c r="AA868" s="849"/>
      <c r="AB868" s="849">
        <f t="shared" si="159"/>
        <v>303.75</v>
      </c>
      <c r="AC868" s="850">
        <f t="shared" si="160"/>
        <v>303.75</v>
      </c>
      <c r="AD868" s="851"/>
      <c r="AE868" s="852">
        <v>26253.919999999998</v>
      </c>
      <c r="AF868" s="853">
        <v>0.112</v>
      </c>
      <c r="AG868" s="854">
        <f t="shared" si="161"/>
        <v>917150.61931796698</v>
      </c>
      <c r="AH868" s="853"/>
      <c r="AI868" s="855">
        <f t="shared" si="162"/>
        <v>0</v>
      </c>
      <c r="AJ868" s="845" t="s">
        <v>2695</v>
      </c>
      <c r="AK868" s="857">
        <v>45332</v>
      </c>
      <c r="AL868" s="840" t="s">
        <v>2696</v>
      </c>
      <c r="AM868" s="840"/>
      <c r="AN868" s="858"/>
      <c r="AO868" s="844" t="s">
        <v>2697</v>
      </c>
      <c r="AP868" s="859" t="s">
        <v>2698</v>
      </c>
      <c r="AQ868" s="859" t="s">
        <v>2698</v>
      </c>
      <c r="AR868" s="859" t="s">
        <v>2699</v>
      </c>
      <c r="AS868" s="840" t="s">
        <v>2700</v>
      </c>
      <c r="AT868" s="840" t="s">
        <v>1743</v>
      </c>
      <c r="AU868" s="860" t="s">
        <v>1285</v>
      </c>
      <c r="AV868" s="839" t="s">
        <v>2701</v>
      </c>
      <c r="AW868" s="861">
        <v>45646</v>
      </c>
      <c r="AX868" s="862" t="s">
        <v>2702</v>
      </c>
      <c r="AY868" s="843" t="s">
        <v>3076</v>
      </c>
      <c r="AZ868" s="842" t="s">
        <v>3033</v>
      </c>
      <c r="BA868" s="842" t="s">
        <v>120</v>
      </c>
      <c r="BB868" s="863" t="s">
        <v>121</v>
      </c>
      <c r="BC868" s="864">
        <v>45650</v>
      </c>
      <c r="BD868" s="860" t="s">
        <v>2705</v>
      </c>
      <c r="BE868" s="865" cm="1">
        <f t="array" ref="BE868">IF(BD868="","",AC868/SUMPRODUCT(--(BD868=$BD$4:$BD$12824),$AC$4:$AC$12824))</f>
        <v>4.3801506425735067E-3</v>
      </c>
      <c r="BF868" s="458"/>
      <c r="BG868" s="458"/>
      <c r="BH868" s="458"/>
      <c r="BI868" s="458"/>
      <c r="BJ868" s="458"/>
      <c r="BK868" s="458"/>
      <c r="BL868" s="458"/>
      <c r="BM868" s="458"/>
      <c r="BN868" s="458"/>
      <c r="BO868" s="866">
        <f>VLOOKUP(BD868,$BD$4:$BN$12824,3,0)*BE868</f>
        <v>206560.67705520632</v>
      </c>
      <c r="BP868" s="866"/>
      <c r="BQ868" s="866"/>
      <c r="BR868" s="866">
        <f>VLOOKUP(BD868,$BD$4:$BN$12824,6,0)*BE868</f>
        <v>59235.15377681463</v>
      </c>
      <c r="BS868" s="866">
        <f>VLOOKUP(BD868,$BD$4:$BN$12824,7,0)*BE868</f>
        <v>7655.9382837855974</v>
      </c>
      <c r="BT868" s="866"/>
      <c r="BU868" s="866">
        <f>VLOOKUP(BD868,$BD$4:$BN$12824,9,0)*BE868</f>
        <v>0</v>
      </c>
      <c r="BV868" s="867"/>
      <c r="BW868" s="867">
        <f>VLOOKUP(BD868,$BD$4:$BN$12824,11,0)*BE868</f>
        <v>8515.0128491628966</v>
      </c>
      <c r="BX868" s="1146">
        <f t="shared" si="165"/>
        <v>281966.78196496947</v>
      </c>
      <c r="BY868" s="867">
        <f t="shared" si="166"/>
        <v>1834749.1202565872</v>
      </c>
      <c r="BZ868" s="867">
        <f t="shared" si="163"/>
        <v>9173745.6012829356</v>
      </c>
      <c r="CA868" s="867">
        <f>_xlfn.MAXIFS($BY$4:$BY$12824,$S$4:$S$12824,$S868)</f>
        <v>1834749.1202565872</v>
      </c>
      <c r="CB868" s="1032"/>
      <c r="CF868" s="946">
        <f t="shared" si="164"/>
        <v>7974628.1999999993</v>
      </c>
    </row>
    <row r="869" spans="1:84">
      <c r="A869" s="1032"/>
      <c r="B869" s="839" t="s">
        <v>98</v>
      </c>
      <c r="C869" s="839" t="s">
        <v>2689</v>
      </c>
      <c r="D869" s="839" t="s">
        <v>2690</v>
      </c>
      <c r="E869" s="839" t="s">
        <v>2691</v>
      </c>
      <c r="F869" s="841">
        <v>45451</v>
      </c>
      <c r="G869" s="840" t="s">
        <v>2689</v>
      </c>
      <c r="H869" s="842" t="s">
        <v>134</v>
      </c>
      <c r="I869" s="842"/>
      <c r="J869" s="841"/>
      <c r="K869" s="841"/>
      <c r="L869" s="843" t="s">
        <v>106</v>
      </c>
      <c r="M869" s="844" t="s">
        <v>107</v>
      </c>
      <c r="N869" s="841" t="s">
        <v>2692</v>
      </c>
      <c r="O869" s="841" t="s">
        <v>150</v>
      </c>
      <c r="P869" s="841" t="s">
        <v>151</v>
      </c>
      <c r="Q869" s="843"/>
      <c r="R869" s="845">
        <v>20125001</v>
      </c>
      <c r="S869" s="1127" t="s">
        <v>3077</v>
      </c>
      <c r="T869" s="843" t="s">
        <v>3078</v>
      </c>
      <c r="U869" s="842">
        <v>5</v>
      </c>
      <c r="V869" s="842" t="s">
        <v>3</v>
      </c>
      <c r="W869" s="846">
        <v>259</v>
      </c>
      <c r="X869" s="847">
        <f t="shared" si="158"/>
        <v>1295</v>
      </c>
      <c r="Y869" s="848">
        <v>0.55000000000000004</v>
      </c>
      <c r="Z869" s="849">
        <v>116.55</v>
      </c>
      <c r="AA869" s="849"/>
      <c r="AB869" s="849">
        <f t="shared" si="159"/>
        <v>582.75</v>
      </c>
      <c r="AC869" s="850">
        <f t="shared" si="160"/>
        <v>582.75</v>
      </c>
      <c r="AD869" s="851"/>
      <c r="AE869" s="852">
        <v>26253.919999999998</v>
      </c>
      <c r="AF869" s="853">
        <v>4.1000000000000002E-2</v>
      </c>
      <c r="AG869" s="854">
        <f t="shared" si="161"/>
        <v>644128.46736359072</v>
      </c>
      <c r="AH869" s="853"/>
      <c r="AI869" s="855">
        <f t="shared" si="162"/>
        <v>0</v>
      </c>
      <c r="AJ869" s="845" t="s">
        <v>2695</v>
      </c>
      <c r="AK869" s="857">
        <v>45332</v>
      </c>
      <c r="AL869" s="840" t="s">
        <v>2696</v>
      </c>
      <c r="AM869" s="840"/>
      <c r="AN869" s="858"/>
      <c r="AO869" s="844" t="s">
        <v>2697</v>
      </c>
      <c r="AP869" s="859" t="s">
        <v>2698</v>
      </c>
      <c r="AQ869" s="859" t="s">
        <v>2698</v>
      </c>
      <c r="AR869" s="859" t="s">
        <v>2699</v>
      </c>
      <c r="AS869" s="840" t="s">
        <v>2700</v>
      </c>
      <c r="AT869" s="840" t="s">
        <v>1743</v>
      </c>
      <c r="AU869" s="860" t="s">
        <v>1285</v>
      </c>
      <c r="AV869" s="839" t="s">
        <v>2701</v>
      </c>
      <c r="AW869" s="861">
        <v>45646</v>
      </c>
      <c r="AX869" s="862" t="s">
        <v>2702</v>
      </c>
      <c r="AY869" s="843" t="s">
        <v>3079</v>
      </c>
      <c r="AZ869" s="842" t="s">
        <v>3080</v>
      </c>
      <c r="BA869" s="842" t="s">
        <v>120</v>
      </c>
      <c r="BB869" s="863" t="s">
        <v>121</v>
      </c>
      <c r="BC869" s="864">
        <v>45650</v>
      </c>
      <c r="BD869" s="860" t="s">
        <v>2705</v>
      </c>
      <c r="BE869" s="865" cm="1">
        <f t="array" ref="BE869">IF(BD869="","",AC869/SUMPRODUCT(--(BD869=$BD$4:$BD$12824),$AC$4:$AC$12824))</f>
        <v>8.4034001216780601E-3</v>
      </c>
      <c r="BF869" s="458"/>
      <c r="BG869" s="458"/>
      <c r="BH869" s="458"/>
      <c r="BI869" s="458"/>
      <c r="BJ869" s="458"/>
      <c r="BK869" s="458"/>
      <c r="BL869" s="458"/>
      <c r="BM869" s="458"/>
      <c r="BN869" s="458"/>
      <c r="BO869" s="866">
        <f>VLOOKUP(BD869,$BD$4:$BN$12824,3,0)*BE869</f>
        <v>396290.48412813654</v>
      </c>
      <c r="BP869" s="866"/>
      <c r="BQ869" s="866"/>
      <c r="BR869" s="866">
        <f>VLOOKUP(BD869,$BD$4:$BN$12824,6,0)*BE869</f>
        <v>113643.73946811102</v>
      </c>
      <c r="BS869" s="866">
        <f>VLOOKUP(BD869,$BD$4:$BN$12824,7,0)*BE869</f>
        <v>14688.059374077553</v>
      </c>
      <c r="BT869" s="866"/>
      <c r="BU869" s="866">
        <f>VLOOKUP(BD869,$BD$4:$BN$12824,9,0)*BE869</f>
        <v>0</v>
      </c>
      <c r="BV869" s="867"/>
      <c r="BW869" s="867">
        <f>VLOOKUP(BD869,$BD$4:$BN$12824,11,0)*BE869</f>
        <v>16336.209836542148</v>
      </c>
      <c r="BX869" s="1146">
        <f t="shared" si="165"/>
        <v>540958.49280686723</v>
      </c>
      <c r="BY869" s="867">
        <f t="shared" si="166"/>
        <v>3296911.7680340912</v>
      </c>
      <c r="BZ869" s="867">
        <f t="shared" si="163"/>
        <v>16484558.840170456</v>
      </c>
      <c r="CA869" s="867">
        <f>_xlfn.MAXIFS($BY$4:$BY$12824,$S$4:$S$12824,$S869)</f>
        <v>3296911.7680340912</v>
      </c>
      <c r="CB869" s="1032"/>
      <c r="CF869" s="946">
        <f t="shared" si="164"/>
        <v>15299471.879999999</v>
      </c>
    </row>
    <row r="870" spans="1:84">
      <c r="A870" s="1032"/>
      <c r="B870" s="839" t="s">
        <v>98</v>
      </c>
      <c r="C870" s="839" t="s">
        <v>2689</v>
      </c>
      <c r="D870" s="839" t="s">
        <v>2690</v>
      </c>
      <c r="E870" s="839" t="s">
        <v>2691</v>
      </c>
      <c r="F870" s="841">
        <v>45451</v>
      </c>
      <c r="G870" s="840" t="s">
        <v>2689</v>
      </c>
      <c r="H870" s="842" t="s">
        <v>134</v>
      </c>
      <c r="I870" s="842"/>
      <c r="J870" s="841"/>
      <c r="K870" s="841"/>
      <c r="L870" s="843" t="s">
        <v>106</v>
      </c>
      <c r="M870" s="844" t="s">
        <v>107</v>
      </c>
      <c r="N870" s="841" t="s">
        <v>2692</v>
      </c>
      <c r="O870" s="841" t="s">
        <v>150</v>
      </c>
      <c r="P870" s="841" t="s">
        <v>151</v>
      </c>
      <c r="Q870" s="843"/>
      <c r="R870" s="845" t="s">
        <v>3081</v>
      </c>
      <c r="S870" s="1127" t="s">
        <v>3082</v>
      </c>
      <c r="T870" s="843" t="s">
        <v>3083</v>
      </c>
      <c r="U870" s="842">
        <v>5</v>
      </c>
      <c r="V870" s="842" t="s">
        <v>3</v>
      </c>
      <c r="W870" s="846">
        <v>259</v>
      </c>
      <c r="X870" s="847">
        <f t="shared" si="158"/>
        <v>1295</v>
      </c>
      <c r="Y870" s="848">
        <v>0.55000000000000004</v>
      </c>
      <c r="Z870" s="849">
        <v>116.55</v>
      </c>
      <c r="AA870" s="849"/>
      <c r="AB870" s="849">
        <f t="shared" si="159"/>
        <v>582.75</v>
      </c>
      <c r="AC870" s="850">
        <f t="shared" si="160"/>
        <v>582.75</v>
      </c>
      <c r="AD870" s="851"/>
      <c r="AE870" s="852">
        <v>26253.919999999998</v>
      </c>
      <c r="AF870" s="853">
        <v>4.1000000000000002E-2</v>
      </c>
      <c r="AG870" s="854">
        <f t="shared" si="161"/>
        <v>644128.46736359072</v>
      </c>
      <c r="AH870" s="853"/>
      <c r="AI870" s="855">
        <f t="shared" si="162"/>
        <v>0</v>
      </c>
      <c r="AJ870" s="845" t="s">
        <v>2695</v>
      </c>
      <c r="AK870" s="857">
        <v>45332</v>
      </c>
      <c r="AL870" s="840" t="s">
        <v>2696</v>
      </c>
      <c r="AM870" s="840"/>
      <c r="AN870" s="858"/>
      <c r="AO870" s="844" t="s">
        <v>2697</v>
      </c>
      <c r="AP870" s="859" t="s">
        <v>2698</v>
      </c>
      <c r="AQ870" s="859" t="s">
        <v>2698</v>
      </c>
      <c r="AR870" s="859" t="s">
        <v>2699</v>
      </c>
      <c r="AS870" s="840" t="s">
        <v>2700</v>
      </c>
      <c r="AT870" s="840" t="s">
        <v>1743</v>
      </c>
      <c r="AU870" s="860" t="s">
        <v>1285</v>
      </c>
      <c r="AV870" s="839" t="s">
        <v>2701</v>
      </c>
      <c r="AW870" s="861">
        <v>45646</v>
      </c>
      <c r="AX870" s="862" t="s">
        <v>2702</v>
      </c>
      <c r="AY870" s="843" t="s">
        <v>3084</v>
      </c>
      <c r="AZ870" s="842" t="s">
        <v>3080</v>
      </c>
      <c r="BA870" s="842" t="s">
        <v>120</v>
      </c>
      <c r="BB870" s="863" t="s">
        <v>121</v>
      </c>
      <c r="BC870" s="864">
        <v>45650</v>
      </c>
      <c r="BD870" s="860" t="s">
        <v>2705</v>
      </c>
      <c r="BE870" s="865" cm="1">
        <f t="array" ref="BE870">IF(BD870="","",AC870/SUMPRODUCT(--(BD870=$BD$4:$BD$12824),$AC$4:$AC$12824))</f>
        <v>8.4034001216780601E-3</v>
      </c>
      <c r="BF870" s="458"/>
      <c r="BG870" s="458"/>
      <c r="BH870" s="458"/>
      <c r="BI870" s="458"/>
      <c r="BJ870" s="458"/>
      <c r="BK870" s="458"/>
      <c r="BL870" s="458"/>
      <c r="BM870" s="458"/>
      <c r="BN870" s="458"/>
      <c r="BO870" s="866">
        <f>VLOOKUP(BD870,$BD$4:$BN$12824,3,0)*BE870</f>
        <v>396290.48412813654</v>
      </c>
      <c r="BP870" s="866"/>
      <c r="BQ870" s="866"/>
      <c r="BR870" s="866">
        <f>VLOOKUP(BD870,$BD$4:$BN$12824,6,0)*BE870</f>
        <v>113643.73946811102</v>
      </c>
      <c r="BS870" s="866">
        <f>VLOOKUP(BD870,$BD$4:$BN$12824,7,0)*BE870</f>
        <v>14688.059374077553</v>
      </c>
      <c r="BT870" s="866"/>
      <c r="BU870" s="866">
        <f>VLOOKUP(BD870,$BD$4:$BN$12824,9,0)*BE870</f>
        <v>0</v>
      </c>
      <c r="BV870" s="867"/>
      <c r="BW870" s="867">
        <f>VLOOKUP(BD870,$BD$4:$BN$12824,11,0)*BE870</f>
        <v>16336.209836542148</v>
      </c>
      <c r="BX870" s="1146">
        <f t="shared" si="165"/>
        <v>540958.49280686723</v>
      </c>
      <c r="BY870" s="867">
        <f t="shared" si="166"/>
        <v>3296911.7680340912</v>
      </c>
      <c r="BZ870" s="867">
        <f t="shared" si="163"/>
        <v>16484558.840170456</v>
      </c>
      <c r="CA870" s="867">
        <f>_xlfn.MAXIFS($BY$4:$BY$12824,$S$4:$S$12824,$S870)</f>
        <v>3296911.7680340912</v>
      </c>
      <c r="CB870" s="1032"/>
      <c r="CF870" s="946">
        <f t="shared" si="164"/>
        <v>15299471.879999999</v>
      </c>
    </row>
    <row r="871" spans="1:84">
      <c r="A871" s="1032"/>
      <c r="B871" s="839" t="s">
        <v>98</v>
      </c>
      <c r="C871" s="839" t="s">
        <v>2689</v>
      </c>
      <c r="D871" s="839" t="s">
        <v>2690</v>
      </c>
      <c r="E871" s="839" t="s">
        <v>2691</v>
      </c>
      <c r="F871" s="841">
        <v>45451</v>
      </c>
      <c r="G871" s="840" t="s">
        <v>2689</v>
      </c>
      <c r="H871" s="842" t="s">
        <v>134</v>
      </c>
      <c r="I871" s="842"/>
      <c r="J871" s="841"/>
      <c r="K871" s="841"/>
      <c r="L871" s="843" t="s">
        <v>106</v>
      </c>
      <c r="M871" s="844" t="s">
        <v>107</v>
      </c>
      <c r="N871" s="841" t="s">
        <v>2692</v>
      </c>
      <c r="O871" s="841" t="s">
        <v>135</v>
      </c>
      <c r="P871" s="841" t="s">
        <v>3085</v>
      </c>
      <c r="Q871" s="843"/>
      <c r="R871" s="845" t="s">
        <v>3086</v>
      </c>
      <c r="S871" s="1127" t="s">
        <v>3087</v>
      </c>
      <c r="T871" s="843" t="s">
        <v>3088</v>
      </c>
      <c r="U871" s="842">
        <v>10</v>
      </c>
      <c r="V871" s="842" t="s">
        <v>3</v>
      </c>
      <c r="W871" s="846">
        <v>46</v>
      </c>
      <c r="X871" s="847">
        <f t="shared" si="158"/>
        <v>460</v>
      </c>
      <c r="Y871" s="848">
        <v>0.55000000000000004</v>
      </c>
      <c r="Z871" s="849">
        <v>20.7</v>
      </c>
      <c r="AA871" s="849"/>
      <c r="AB871" s="849">
        <f t="shared" si="159"/>
        <v>207</v>
      </c>
      <c r="AC871" s="850">
        <f t="shared" si="160"/>
        <v>207</v>
      </c>
      <c r="AD871" s="851"/>
      <c r="AE871" s="852">
        <v>26253.919999999998</v>
      </c>
      <c r="AF871" s="853">
        <v>0</v>
      </c>
      <c r="AG871" s="854">
        <f t="shared" si="161"/>
        <v>0</v>
      </c>
      <c r="AH871" s="853"/>
      <c r="AI871" s="855">
        <f t="shared" si="162"/>
        <v>0</v>
      </c>
      <c r="AJ871" s="845" t="s">
        <v>2695</v>
      </c>
      <c r="AK871" s="857">
        <v>45332</v>
      </c>
      <c r="AL871" s="840" t="s">
        <v>2696</v>
      </c>
      <c r="AM871" s="840"/>
      <c r="AN871" s="858"/>
      <c r="AO871" s="844" t="s">
        <v>2697</v>
      </c>
      <c r="AP871" s="859" t="s">
        <v>2698</v>
      </c>
      <c r="AQ871" s="859" t="s">
        <v>2698</v>
      </c>
      <c r="AR871" s="859" t="s">
        <v>2699</v>
      </c>
      <c r="AS871" s="840" t="s">
        <v>2700</v>
      </c>
      <c r="AT871" s="840" t="s">
        <v>1743</v>
      </c>
      <c r="AU871" s="860" t="s">
        <v>1285</v>
      </c>
      <c r="AV871" s="839" t="s">
        <v>2701</v>
      </c>
      <c r="AW871" s="861">
        <v>45646</v>
      </c>
      <c r="AX871" s="862" t="s">
        <v>2702</v>
      </c>
      <c r="AY871" s="843" t="s">
        <v>3089</v>
      </c>
      <c r="AZ871" s="842"/>
      <c r="BA871" s="842" t="s">
        <v>120</v>
      </c>
      <c r="BB871" s="863" t="s">
        <v>121</v>
      </c>
      <c r="BC871" s="864">
        <v>45650</v>
      </c>
      <c r="BD871" s="860" t="s">
        <v>2705</v>
      </c>
      <c r="BE871" s="865" cm="1">
        <f t="array" ref="BE871">IF(BD871="","",AC871/SUMPRODUCT(--(BD871=$BD$4:$BD$12824),$AC$4:$AC$12824))</f>
        <v>2.9849915490130561E-3</v>
      </c>
      <c r="BF871" s="458"/>
      <c r="BG871" s="458"/>
      <c r="BH871" s="458"/>
      <c r="BI871" s="458"/>
      <c r="BJ871" s="458"/>
      <c r="BK871" s="458"/>
      <c r="BL871" s="458"/>
      <c r="BM871" s="458"/>
      <c r="BN871" s="458"/>
      <c r="BO871" s="866">
        <f>VLOOKUP(BD871,$BD$4:$BN$12824,3,0)*BE871</f>
        <v>140767.27621539985</v>
      </c>
      <c r="BP871" s="866"/>
      <c r="BQ871" s="866"/>
      <c r="BR871" s="866">
        <f>VLOOKUP(BD871,$BD$4:$BN$12824,6,0)*BE871</f>
        <v>40367.660351607003</v>
      </c>
      <c r="BS871" s="866">
        <f>VLOOKUP(BD871,$BD$4:$BN$12824,7,0)*BE871</f>
        <v>5217.3801637649995</v>
      </c>
      <c r="BT871" s="866"/>
      <c r="BU871" s="866">
        <f>VLOOKUP(BD871,$BD$4:$BN$12824,9,0)*BE871</f>
        <v>0</v>
      </c>
      <c r="BV871" s="867"/>
      <c r="BW871" s="867">
        <f>VLOOKUP(BD871,$BD$4:$BN$12824,11,0)*BE871</f>
        <v>5802.8235712813812</v>
      </c>
      <c r="BX871" s="1146">
        <f t="shared" si="165"/>
        <v>192155.14030205325</v>
      </c>
      <c r="BY871" s="867">
        <f t="shared" si="166"/>
        <v>562671.65803020529</v>
      </c>
      <c r="BZ871" s="867">
        <f t="shared" si="163"/>
        <v>5626716.5803020531</v>
      </c>
      <c r="CA871" s="867">
        <f>_xlfn.MAXIFS($BY$4:$BY$12824,$S$4:$S$12824,$S871)</f>
        <v>562671.65803020529</v>
      </c>
      <c r="CB871" s="1032"/>
      <c r="CF871" s="946">
        <f t="shared" si="164"/>
        <v>5434561.4399999995</v>
      </c>
    </row>
    <row r="872" spans="1:84">
      <c r="A872" s="1032"/>
      <c r="B872" s="839" t="s">
        <v>98</v>
      </c>
      <c r="C872" s="839" t="s">
        <v>2689</v>
      </c>
      <c r="D872" s="839" t="s">
        <v>2690</v>
      </c>
      <c r="E872" s="839" t="s">
        <v>2691</v>
      </c>
      <c r="F872" s="841">
        <v>45451</v>
      </c>
      <c r="G872" s="840" t="s">
        <v>2689</v>
      </c>
      <c r="H872" s="842" t="s">
        <v>134</v>
      </c>
      <c r="I872" s="842"/>
      <c r="J872" s="841"/>
      <c r="K872" s="841"/>
      <c r="L872" s="843" t="s">
        <v>106</v>
      </c>
      <c r="M872" s="844" t="s">
        <v>107</v>
      </c>
      <c r="N872" s="841" t="s">
        <v>2692</v>
      </c>
      <c r="O872" s="841" t="s">
        <v>135</v>
      </c>
      <c r="P872" s="841" t="s">
        <v>3085</v>
      </c>
      <c r="Q872" s="843"/>
      <c r="R872" s="845" t="s">
        <v>3090</v>
      </c>
      <c r="S872" s="1127" t="s">
        <v>3091</v>
      </c>
      <c r="T872" s="843" t="s">
        <v>3092</v>
      </c>
      <c r="U872" s="842">
        <v>10</v>
      </c>
      <c r="V872" s="842" t="s">
        <v>3</v>
      </c>
      <c r="W872" s="846">
        <v>46</v>
      </c>
      <c r="X872" s="847">
        <f t="shared" si="158"/>
        <v>460</v>
      </c>
      <c r="Y872" s="848">
        <v>0.55000000000000004</v>
      </c>
      <c r="Z872" s="849">
        <v>20.7</v>
      </c>
      <c r="AA872" s="849"/>
      <c r="AB872" s="849">
        <f t="shared" si="159"/>
        <v>207</v>
      </c>
      <c r="AC872" s="850">
        <f t="shared" si="160"/>
        <v>207</v>
      </c>
      <c r="AD872" s="851"/>
      <c r="AE872" s="852">
        <v>26253.919999999998</v>
      </c>
      <c r="AF872" s="853">
        <v>0</v>
      </c>
      <c r="AG872" s="854">
        <f t="shared" si="161"/>
        <v>0</v>
      </c>
      <c r="AH872" s="853"/>
      <c r="AI872" s="855">
        <f t="shared" si="162"/>
        <v>0</v>
      </c>
      <c r="AJ872" s="845" t="s">
        <v>2695</v>
      </c>
      <c r="AK872" s="857">
        <v>45332</v>
      </c>
      <c r="AL872" s="840" t="s">
        <v>2696</v>
      </c>
      <c r="AM872" s="840"/>
      <c r="AN872" s="858"/>
      <c r="AO872" s="844" t="s">
        <v>2697</v>
      </c>
      <c r="AP872" s="859" t="s">
        <v>2698</v>
      </c>
      <c r="AQ872" s="859" t="s">
        <v>2698</v>
      </c>
      <c r="AR872" s="859" t="s">
        <v>2699</v>
      </c>
      <c r="AS872" s="840" t="s">
        <v>2700</v>
      </c>
      <c r="AT872" s="840" t="s">
        <v>1743</v>
      </c>
      <c r="AU872" s="860" t="s">
        <v>1285</v>
      </c>
      <c r="AV872" s="839" t="s">
        <v>2701</v>
      </c>
      <c r="AW872" s="861">
        <v>45646</v>
      </c>
      <c r="AX872" s="862" t="s">
        <v>2702</v>
      </c>
      <c r="AY872" s="843" t="s">
        <v>3093</v>
      </c>
      <c r="AZ872" s="842"/>
      <c r="BA872" s="842" t="s">
        <v>120</v>
      </c>
      <c r="BB872" s="863" t="s">
        <v>121</v>
      </c>
      <c r="BC872" s="864">
        <v>45650</v>
      </c>
      <c r="BD872" s="860" t="s">
        <v>2705</v>
      </c>
      <c r="BE872" s="865" cm="1">
        <f t="array" ref="BE872">IF(BD872="","",AC872/SUMPRODUCT(--(BD872=$BD$4:$BD$12824),$AC$4:$AC$12824))</f>
        <v>2.9849915490130561E-3</v>
      </c>
      <c r="BF872" s="458"/>
      <c r="BG872" s="458"/>
      <c r="BH872" s="458"/>
      <c r="BI872" s="458"/>
      <c r="BJ872" s="458"/>
      <c r="BK872" s="458"/>
      <c r="BL872" s="458"/>
      <c r="BM872" s="458"/>
      <c r="BN872" s="458"/>
      <c r="BO872" s="866">
        <f>VLOOKUP(BD872,$BD$4:$BN$12824,3,0)*BE872</f>
        <v>140767.27621539985</v>
      </c>
      <c r="BP872" s="866"/>
      <c r="BQ872" s="866"/>
      <c r="BR872" s="866">
        <f>VLOOKUP(BD872,$BD$4:$BN$12824,6,0)*BE872</f>
        <v>40367.660351607003</v>
      </c>
      <c r="BS872" s="866">
        <f>VLOOKUP(BD872,$BD$4:$BN$12824,7,0)*BE872</f>
        <v>5217.3801637649995</v>
      </c>
      <c r="BT872" s="866"/>
      <c r="BU872" s="866">
        <f>VLOOKUP(BD872,$BD$4:$BN$12824,9,0)*BE872</f>
        <v>0</v>
      </c>
      <c r="BV872" s="867"/>
      <c r="BW872" s="867">
        <f>VLOOKUP(BD872,$BD$4:$BN$12824,11,0)*BE872</f>
        <v>5802.8235712813812</v>
      </c>
      <c r="BX872" s="1146">
        <f t="shared" si="165"/>
        <v>192155.14030205325</v>
      </c>
      <c r="BY872" s="867">
        <f t="shared" si="166"/>
        <v>562671.65803020529</v>
      </c>
      <c r="BZ872" s="867">
        <f t="shared" si="163"/>
        <v>5626716.5803020531</v>
      </c>
      <c r="CA872" s="867">
        <f>_xlfn.MAXIFS($BY$4:$BY$12824,$S$4:$S$12824,$S872)</f>
        <v>562671.65803020529</v>
      </c>
      <c r="CB872" s="1032"/>
      <c r="CF872" s="946">
        <f t="shared" si="164"/>
        <v>5434561.4399999995</v>
      </c>
    </row>
    <row r="873" spans="1:84">
      <c r="A873" s="1032"/>
      <c r="B873" s="839" t="s">
        <v>98</v>
      </c>
      <c r="C873" s="839" t="s">
        <v>2689</v>
      </c>
      <c r="D873" s="839" t="s">
        <v>2690</v>
      </c>
      <c r="E873" s="839" t="s">
        <v>2691</v>
      </c>
      <c r="F873" s="841">
        <v>45451</v>
      </c>
      <c r="G873" s="840" t="s">
        <v>2689</v>
      </c>
      <c r="H873" s="842" t="s">
        <v>134</v>
      </c>
      <c r="I873" s="842"/>
      <c r="J873" s="841"/>
      <c r="K873" s="841"/>
      <c r="L873" s="843" t="s">
        <v>106</v>
      </c>
      <c r="M873" s="844" t="s">
        <v>107</v>
      </c>
      <c r="N873" s="841" t="s">
        <v>2692</v>
      </c>
      <c r="O873" s="841" t="s">
        <v>135</v>
      </c>
      <c r="P873" s="841" t="s">
        <v>3085</v>
      </c>
      <c r="Q873" s="843"/>
      <c r="R873" s="845" t="s">
        <v>3094</v>
      </c>
      <c r="S873" s="1127" t="s">
        <v>3095</v>
      </c>
      <c r="T873" s="843" t="s">
        <v>3096</v>
      </c>
      <c r="U873" s="842">
        <v>10</v>
      </c>
      <c r="V873" s="842" t="s">
        <v>3</v>
      </c>
      <c r="W873" s="846">
        <v>46</v>
      </c>
      <c r="X873" s="847">
        <f t="shared" si="158"/>
        <v>460</v>
      </c>
      <c r="Y873" s="848">
        <v>0.55000000000000004</v>
      </c>
      <c r="Z873" s="849">
        <v>20.7</v>
      </c>
      <c r="AA873" s="849"/>
      <c r="AB873" s="849">
        <f t="shared" si="159"/>
        <v>207</v>
      </c>
      <c r="AC873" s="850">
        <f t="shared" si="160"/>
        <v>207</v>
      </c>
      <c r="AD873" s="851"/>
      <c r="AE873" s="852">
        <v>26253.919999999998</v>
      </c>
      <c r="AF873" s="853">
        <v>0</v>
      </c>
      <c r="AG873" s="854">
        <f t="shared" si="161"/>
        <v>0</v>
      </c>
      <c r="AH873" s="853"/>
      <c r="AI873" s="855">
        <f t="shared" si="162"/>
        <v>0</v>
      </c>
      <c r="AJ873" s="845" t="s">
        <v>2695</v>
      </c>
      <c r="AK873" s="857">
        <v>45332</v>
      </c>
      <c r="AL873" s="840" t="s">
        <v>2696</v>
      </c>
      <c r="AM873" s="840"/>
      <c r="AN873" s="858"/>
      <c r="AO873" s="844" t="s">
        <v>2697</v>
      </c>
      <c r="AP873" s="859" t="s">
        <v>2698</v>
      </c>
      <c r="AQ873" s="859" t="s">
        <v>2698</v>
      </c>
      <c r="AR873" s="859" t="s">
        <v>2699</v>
      </c>
      <c r="AS873" s="840" t="s">
        <v>2700</v>
      </c>
      <c r="AT873" s="840" t="s">
        <v>1743</v>
      </c>
      <c r="AU873" s="860" t="s">
        <v>1285</v>
      </c>
      <c r="AV873" s="839" t="s">
        <v>2701</v>
      </c>
      <c r="AW873" s="861">
        <v>45646</v>
      </c>
      <c r="AX873" s="862" t="s">
        <v>2702</v>
      </c>
      <c r="AY873" s="843" t="s">
        <v>3097</v>
      </c>
      <c r="AZ873" s="842"/>
      <c r="BA873" s="842" t="s">
        <v>120</v>
      </c>
      <c r="BB873" s="863" t="s">
        <v>121</v>
      </c>
      <c r="BC873" s="864">
        <v>45650</v>
      </c>
      <c r="BD873" s="860" t="s">
        <v>2705</v>
      </c>
      <c r="BE873" s="865" cm="1">
        <f t="array" ref="BE873">IF(BD873="","",AC873/SUMPRODUCT(--(BD873=$BD$4:$BD$12824),$AC$4:$AC$12824))</f>
        <v>2.9849915490130561E-3</v>
      </c>
      <c r="BF873" s="458"/>
      <c r="BG873" s="458"/>
      <c r="BH873" s="458"/>
      <c r="BI873" s="458"/>
      <c r="BJ873" s="458"/>
      <c r="BK873" s="458"/>
      <c r="BL873" s="458"/>
      <c r="BM873" s="458"/>
      <c r="BN873" s="458"/>
      <c r="BO873" s="866">
        <f>VLOOKUP(BD873,$BD$4:$BN$12824,3,0)*BE873</f>
        <v>140767.27621539985</v>
      </c>
      <c r="BP873" s="866"/>
      <c r="BQ873" s="866"/>
      <c r="BR873" s="866">
        <f>VLOOKUP(BD873,$BD$4:$BN$12824,6,0)*BE873</f>
        <v>40367.660351607003</v>
      </c>
      <c r="BS873" s="866">
        <f>VLOOKUP(BD873,$BD$4:$BN$12824,7,0)*BE873</f>
        <v>5217.3801637649995</v>
      </c>
      <c r="BT873" s="866"/>
      <c r="BU873" s="866">
        <f>VLOOKUP(BD873,$BD$4:$BN$12824,9,0)*BE873</f>
        <v>0</v>
      </c>
      <c r="BV873" s="867"/>
      <c r="BW873" s="867">
        <f>VLOOKUP(BD873,$BD$4:$BN$12824,11,0)*BE873</f>
        <v>5802.8235712813812</v>
      </c>
      <c r="BX873" s="1146">
        <f t="shared" si="165"/>
        <v>192155.14030205325</v>
      </c>
      <c r="BY873" s="867">
        <f t="shared" si="166"/>
        <v>562671.65803020529</v>
      </c>
      <c r="BZ873" s="867">
        <f t="shared" si="163"/>
        <v>5626716.5803020531</v>
      </c>
      <c r="CA873" s="867">
        <f>_xlfn.MAXIFS($BY$4:$BY$12824,$S$4:$S$12824,$S873)</f>
        <v>562671.65803020529</v>
      </c>
      <c r="CB873" s="1032"/>
      <c r="CF873" s="946">
        <f t="shared" si="164"/>
        <v>5434561.4399999995</v>
      </c>
    </row>
    <row r="874" spans="1:84">
      <c r="A874" s="1032"/>
      <c r="B874" s="839" t="s">
        <v>98</v>
      </c>
      <c r="C874" s="839" t="s">
        <v>2689</v>
      </c>
      <c r="D874" s="839" t="s">
        <v>2690</v>
      </c>
      <c r="E874" s="839" t="s">
        <v>2691</v>
      </c>
      <c r="F874" s="841">
        <v>45451</v>
      </c>
      <c r="G874" s="840" t="s">
        <v>2689</v>
      </c>
      <c r="H874" s="842" t="s">
        <v>134</v>
      </c>
      <c r="I874" s="842"/>
      <c r="J874" s="841"/>
      <c r="K874" s="841"/>
      <c r="L874" s="843" t="s">
        <v>106</v>
      </c>
      <c r="M874" s="844" t="s">
        <v>107</v>
      </c>
      <c r="N874" s="841" t="s">
        <v>2692</v>
      </c>
      <c r="O874" s="841" t="s">
        <v>135</v>
      </c>
      <c r="P874" s="841" t="s">
        <v>3085</v>
      </c>
      <c r="Q874" s="843"/>
      <c r="R874" s="845" t="s">
        <v>3098</v>
      </c>
      <c r="S874" s="1127" t="s">
        <v>3099</v>
      </c>
      <c r="T874" s="843" t="s">
        <v>3100</v>
      </c>
      <c r="U874" s="842">
        <v>10</v>
      </c>
      <c r="V874" s="842" t="s">
        <v>3</v>
      </c>
      <c r="W874" s="846">
        <v>46</v>
      </c>
      <c r="X874" s="847">
        <f t="shared" si="158"/>
        <v>460</v>
      </c>
      <c r="Y874" s="848">
        <v>0.55000000000000004</v>
      </c>
      <c r="Z874" s="849">
        <v>20.7</v>
      </c>
      <c r="AA874" s="849"/>
      <c r="AB874" s="849">
        <f t="shared" si="159"/>
        <v>207</v>
      </c>
      <c r="AC874" s="850">
        <f t="shared" si="160"/>
        <v>207</v>
      </c>
      <c r="AD874" s="851"/>
      <c r="AE874" s="852">
        <v>26253.919999999998</v>
      </c>
      <c r="AF874" s="853">
        <v>0</v>
      </c>
      <c r="AG874" s="854">
        <f t="shared" si="161"/>
        <v>0</v>
      </c>
      <c r="AH874" s="853"/>
      <c r="AI874" s="855">
        <f t="shared" si="162"/>
        <v>0</v>
      </c>
      <c r="AJ874" s="845" t="s">
        <v>2695</v>
      </c>
      <c r="AK874" s="857">
        <v>45332</v>
      </c>
      <c r="AL874" s="840" t="s">
        <v>2696</v>
      </c>
      <c r="AM874" s="840"/>
      <c r="AN874" s="858"/>
      <c r="AO874" s="844" t="s">
        <v>2697</v>
      </c>
      <c r="AP874" s="859" t="s">
        <v>2698</v>
      </c>
      <c r="AQ874" s="859" t="s">
        <v>2698</v>
      </c>
      <c r="AR874" s="859" t="s">
        <v>2699</v>
      </c>
      <c r="AS874" s="840" t="s">
        <v>2700</v>
      </c>
      <c r="AT874" s="840" t="s">
        <v>1743</v>
      </c>
      <c r="AU874" s="860" t="s">
        <v>1285</v>
      </c>
      <c r="AV874" s="839" t="s">
        <v>2701</v>
      </c>
      <c r="AW874" s="861">
        <v>45646</v>
      </c>
      <c r="AX874" s="862" t="s">
        <v>2702</v>
      </c>
      <c r="AY874" s="843" t="s">
        <v>3101</v>
      </c>
      <c r="AZ874" s="842"/>
      <c r="BA874" s="842" t="s">
        <v>120</v>
      </c>
      <c r="BB874" s="863" t="s">
        <v>121</v>
      </c>
      <c r="BC874" s="864">
        <v>45650</v>
      </c>
      <c r="BD874" s="860" t="s">
        <v>2705</v>
      </c>
      <c r="BE874" s="865" cm="1">
        <f t="array" ref="BE874">IF(BD874="","",AC874/SUMPRODUCT(--(BD874=$BD$4:$BD$12824),$AC$4:$AC$12824))</f>
        <v>2.9849915490130561E-3</v>
      </c>
      <c r="BF874" s="458"/>
      <c r="BG874" s="458"/>
      <c r="BH874" s="458"/>
      <c r="BI874" s="458"/>
      <c r="BJ874" s="458"/>
      <c r="BK874" s="458"/>
      <c r="BL874" s="458"/>
      <c r="BM874" s="458"/>
      <c r="BN874" s="458"/>
      <c r="BO874" s="866">
        <f>VLOOKUP(BD874,$BD$4:$BN$12824,3,0)*BE874</f>
        <v>140767.27621539985</v>
      </c>
      <c r="BP874" s="866"/>
      <c r="BQ874" s="866"/>
      <c r="BR874" s="866">
        <f>VLOOKUP(BD874,$BD$4:$BN$12824,6,0)*BE874</f>
        <v>40367.660351607003</v>
      </c>
      <c r="BS874" s="866">
        <f>VLOOKUP(BD874,$BD$4:$BN$12824,7,0)*BE874</f>
        <v>5217.3801637649995</v>
      </c>
      <c r="BT874" s="866"/>
      <c r="BU874" s="866">
        <f>VLOOKUP(BD874,$BD$4:$BN$12824,9,0)*BE874</f>
        <v>0</v>
      </c>
      <c r="BV874" s="867"/>
      <c r="BW874" s="867">
        <f>VLOOKUP(BD874,$BD$4:$BN$12824,11,0)*BE874</f>
        <v>5802.8235712813812</v>
      </c>
      <c r="BX874" s="1146">
        <f t="shared" si="165"/>
        <v>192155.14030205325</v>
      </c>
      <c r="BY874" s="867">
        <f t="shared" si="166"/>
        <v>562671.65803020529</v>
      </c>
      <c r="BZ874" s="867">
        <f t="shared" si="163"/>
        <v>5626716.5803020531</v>
      </c>
      <c r="CA874" s="867">
        <f>_xlfn.MAXIFS($BY$4:$BY$12824,$S$4:$S$12824,$S874)</f>
        <v>562671.65803020529</v>
      </c>
      <c r="CB874" s="1032"/>
      <c r="CF874" s="946">
        <f t="shared" si="164"/>
        <v>5434561.4399999995</v>
      </c>
    </row>
    <row r="875" spans="1:84">
      <c r="A875" s="1032"/>
      <c r="B875" s="839" t="s">
        <v>98</v>
      </c>
      <c r="C875" s="839" t="s">
        <v>2689</v>
      </c>
      <c r="D875" s="839" t="s">
        <v>2690</v>
      </c>
      <c r="E875" s="839" t="s">
        <v>2691</v>
      </c>
      <c r="F875" s="841">
        <v>45451</v>
      </c>
      <c r="G875" s="840" t="s">
        <v>2689</v>
      </c>
      <c r="H875" s="842" t="s">
        <v>134</v>
      </c>
      <c r="I875" s="842"/>
      <c r="J875" s="841"/>
      <c r="K875" s="841"/>
      <c r="L875" s="843" t="s">
        <v>106</v>
      </c>
      <c r="M875" s="844" t="s">
        <v>107</v>
      </c>
      <c r="N875" s="841" t="s">
        <v>2692</v>
      </c>
      <c r="O875" s="841" t="s">
        <v>135</v>
      </c>
      <c r="P875" s="841" t="s">
        <v>3085</v>
      </c>
      <c r="Q875" s="843"/>
      <c r="R875" s="845" t="s">
        <v>3102</v>
      </c>
      <c r="S875" s="1127" t="s">
        <v>3103</v>
      </c>
      <c r="T875" s="843" t="s">
        <v>3104</v>
      </c>
      <c r="U875" s="842">
        <v>10</v>
      </c>
      <c r="V875" s="842" t="s">
        <v>3</v>
      </c>
      <c r="W875" s="846">
        <v>25</v>
      </c>
      <c r="X875" s="847">
        <f t="shared" si="158"/>
        <v>250</v>
      </c>
      <c r="Y875" s="848">
        <v>0.55000000000000004</v>
      </c>
      <c r="Z875" s="849">
        <v>11.25</v>
      </c>
      <c r="AA875" s="849"/>
      <c r="AB875" s="849">
        <f t="shared" si="159"/>
        <v>112.5</v>
      </c>
      <c r="AC875" s="850">
        <f t="shared" si="160"/>
        <v>112.5</v>
      </c>
      <c r="AD875" s="851"/>
      <c r="AE875" s="852">
        <v>26253.919999999998</v>
      </c>
      <c r="AF875" s="853">
        <v>0</v>
      </c>
      <c r="AG875" s="854">
        <f t="shared" si="161"/>
        <v>0</v>
      </c>
      <c r="AH875" s="853"/>
      <c r="AI875" s="855">
        <f t="shared" si="162"/>
        <v>0</v>
      </c>
      <c r="AJ875" s="845" t="s">
        <v>2695</v>
      </c>
      <c r="AK875" s="857">
        <v>45332</v>
      </c>
      <c r="AL875" s="840" t="s">
        <v>2696</v>
      </c>
      <c r="AM875" s="840"/>
      <c r="AN875" s="858"/>
      <c r="AO875" s="844" t="s">
        <v>2697</v>
      </c>
      <c r="AP875" s="859" t="s">
        <v>2698</v>
      </c>
      <c r="AQ875" s="859" t="s">
        <v>2698</v>
      </c>
      <c r="AR875" s="859" t="s">
        <v>2699</v>
      </c>
      <c r="AS875" s="840" t="s">
        <v>2700</v>
      </c>
      <c r="AT875" s="840" t="s">
        <v>1743</v>
      </c>
      <c r="AU875" s="860" t="s">
        <v>1285</v>
      </c>
      <c r="AV875" s="839" t="s">
        <v>2701</v>
      </c>
      <c r="AW875" s="861">
        <v>45646</v>
      </c>
      <c r="AX875" s="862" t="s">
        <v>2702</v>
      </c>
      <c r="AY875" s="843" t="s">
        <v>3105</v>
      </c>
      <c r="AZ875" s="842"/>
      <c r="BA875" s="842" t="s">
        <v>120</v>
      </c>
      <c r="BB875" s="863" t="s">
        <v>121</v>
      </c>
      <c r="BC875" s="864">
        <v>45650</v>
      </c>
      <c r="BD875" s="860" t="s">
        <v>2705</v>
      </c>
      <c r="BE875" s="865" cm="1">
        <f t="array" ref="BE875">IF(BD875="","",AC875/SUMPRODUCT(--(BD875=$BD$4:$BD$12824),$AC$4:$AC$12824))</f>
        <v>1.6222780157679653E-3</v>
      </c>
      <c r="BF875" s="458"/>
      <c r="BG875" s="458"/>
      <c r="BH875" s="458"/>
      <c r="BI875" s="458"/>
      <c r="BJ875" s="458"/>
      <c r="BK875" s="458"/>
      <c r="BL875" s="458"/>
      <c r="BM875" s="458"/>
      <c r="BN875" s="458"/>
      <c r="BO875" s="866">
        <f>VLOOKUP(BD875,$BD$4:$BN$12824,3,0)*BE875</f>
        <v>76503.954464891227</v>
      </c>
      <c r="BP875" s="866"/>
      <c r="BQ875" s="866"/>
      <c r="BR875" s="866">
        <f>VLOOKUP(BD875,$BD$4:$BN$12824,6,0)*BE875</f>
        <v>21938.945843264675</v>
      </c>
      <c r="BS875" s="866">
        <f>VLOOKUP(BD875,$BD$4:$BN$12824,7,0)*BE875</f>
        <v>2835.5326976983692</v>
      </c>
      <c r="BT875" s="866"/>
      <c r="BU875" s="866">
        <f>VLOOKUP(BD875,$BD$4:$BN$12824,9,0)*BE875</f>
        <v>0</v>
      </c>
      <c r="BV875" s="867"/>
      <c r="BW875" s="867">
        <f>VLOOKUP(BD875,$BD$4:$BN$12824,11,0)*BE875</f>
        <v>3153.7084626529245</v>
      </c>
      <c r="BX875" s="1146">
        <f t="shared" si="165"/>
        <v>104432.14146850719</v>
      </c>
      <c r="BY875" s="867">
        <f t="shared" si="166"/>
        <v>305799.81414685072</v>
      </c>
      <c r="BZ875" s="867">
        <f t="shared" si="163"/>
        <v>3057998.1414685072</v>
      </c>
      <c r="CA875" s="867">
        <f>_xlfn.MAXIFS($BY$4:$BY$12824,$S$4:$S$12824,$S875)</f>
        <v>305799.81414685072</v>
      </c>
      <c r="CB875" s="1032"/>
      <c r="CF875" s="946">
        <f t="shared" si="164"/>
        <v>2953566</v>
      </c>
    </row>
    <row r="876" spans="1:84">
      <c r="A876" s="1032"/>
      <c r="B876" s="839" t="s">
        <v>98</v>
      </c>
      <c r="C876" s="839" t="s">
        <v>2689</v>
      </c>
      <c r="D876" s="839" t="s">
        <v>2690</v>
      </c>
      <c r="E876" s="839" t="s">
        <v>2691</v>
      </c>
      <c r="F876" s="841">
        <v>45451</v>
      </c>
      <c r="G876" s="840" t="s">
        <v>2689</v>
      </c>
      <c r="H876" s="842" t="s">
        <v>134</v>
      </c>
      <c r="I876" s="842"/>
      <c r="J876" s="841"/>
      <c r="K876" s="841"/>
      <c r="L876" s="843" t="s">
        <v>106</v>
      </c>
      <c r="M876" s="844" t="s">
        <v>107</v>
      </c>
      <c r="N876" s="841" t="s">
        <v>2692</v>
      </c>
      <c r="O876" s="841" t="s">
        <v>150</v>
      </c>
      <c r="P876" s="841" t="s">
        <v>151</v>
      </c>
      <c r="Q876" s="843"/>
      <c r="R876" s="845" t="s">
        <v>3106</v>
      </c>
      <c r="S876" s="1127" t="s">
        <v>3107</v>
      </c>
      <c r="T876" s="843" t="s">
        <v>3108</v>
      </c>
      <c r="U876" s="842">
        <v>4</v>
      </c>
      <c r="V876" s="842" t="s">
        <v>3</v>
      </c>
      <c r="W876" s="846">
        <v>285.66666666666669</v>
      </c>
      <c r="X876" s="847">
        <f t="shared" si="158"/>
        <v>1142.6666666666667</v>
      </c>
      <c r="Y876" s="848">
        <v>0.55000000000000004</v>
      </c>
      <c r="Z876" s="849">
        <v>128.55000000000001</v>
      </c>
      <c r="AA876" s="849"/>
      <c r="AB876" s="849">
        <f t="shared" si="159"/>
        <v>514.20000000000005</v>
      </c>
      <c r="AC876" s="850">
        <f t="shared" si="160"/>
        <v>514.20000000000005</v>
      </c>
      <c r="AD876" s="851"/>
      <c r="AE876" s="852">
        <v>26253.919999999998</v>
      </c>
      <c r="AF876" s="853">
        <v>0</v>
      </c>
      <c r="AG876" s="854">
        <f t="shared" si="161"/>
        <v>0</v>
      </c>
      <c r="AH876" s="853">
        <v>0.08</v>
      </c>
      <c r="AI876" s="855">
        <f t="shared" si="162"/>
        <v>1079981.25312</v>
      </c>
      <c r="AJ876" s="845" t="s">
        <v>2695</v>
      </c>
      <c r="AK876" s="857">
        <v>45332</v>
      </c>
      <c r="AL876" s="840" t="s">
        <v>2696</v>
      </c>
      <c r="AM876" s="840"/>
      <c r="AN876" s="858"/>
      <c r="AO876" s="844" t="s">
        <v>2697</v>
      </c>
      <c r="AP876" s="859" t="s">
        <v>2698</v>
      </c>
      <c r="AQ876" s="859" t="s">
        <v>2698</v>
      </c>
      <c r="AR876" s="859" t="s">
        <v>2699</v>
      </c>
      <c r="AS876" s="840" t="s">
        <v>2700</v>
      </c>
      <c r="AT876" s="840" t="s">
        <v>1743</v>
      </c>
      <c r="AU876" s="860" t="s">
        <v>1285</v>
      </c>
      <c r="AV876" s="839" t="s">
        <v>2701</v>
      </c>
      <c r="AW876" s="861">
        <v>45646</v>
      </c>
      <c r="AX876" s="862" t="s">
        <v>2702</v>
      </c>
      <c r="AY876" s="843" t="s">
        <v>3109</v>
      </c>
      <c r="AZ876" s="842">
        <v>94018000</v>
      </c>
      <c r="BA876" s="842" t="s">
        <v>120</v>
      </c>
      <c r="BB876" s="863" t="s">
        <v>121</v>
      </c>
      <c r="BC876" s="864">
        <v>45650</v>
      </c>
      <c r="BD876" s="860" t="s">
        <v>2705</v>
      </c>
      <c r="BE876" s="865" cm="1">
        <f t="array" ref="BE876">IF(BD876="","",AC876/SUMPRODUCT(--(BD876=$BD$4:$BD$12824),$AC$4:$AC$12824))</f>
        <v>7.4148920507367804E-3</v>
      </c>
      <c r="BF876" s="458"/>
      <c r="BG876" s="458"/>
      <c r="BH876" s="458"/>
      <c r="BI876" s="458"/>
      <c r="BJ876" s="458"/>
      <c r="BK876" s="458"/>
      <c r="BL876" s="458"/>
      <c r="BM876" s="458"/>
      <c r="BN876" s="458"/>
      <c r="BO876" s="866">
        <f>VLOOKUP(BD876,$BD$4:$BN$12824,3,0)*BE876</f>
        <v>349674.07454086287</v>
      </c>
      <c r="BP876" s="866"/>
      <c r="BQ876" s="866"/>
      <c r="BR876" s="866">
        <f>VLOOKUP(BD876,$BD$4:$BN$12824,6,0)*BE876</f>
        <v>100275.60846761508</v>
      </c>
      <c r="BS876" s="866">
        <f>VLOOKUP(BD876,$BD$4:$BN$12824,7,0)*BE876</f>
        <v>12960.274783613348</v>
      </c>
      <c r="BT876" s="866"/>
      <c r="BU876" s="866">
        <f>VLOOKUP(BD876,$BD$4:$BN$12824,9,0)*BE876</f>
        <v>0</v>
      </c>
      <c r="BV876" s="867"/>
      <c r="BW876" s="867">
        <f>VLOOKUP(BD876,$BD$4:$BN$12824,11,0)*BE876</f>
        <v>14414.5501466323</v>
      </c>
      <c r="BX876" s="1146">
        <f t="shared" si="165"/>
        <v>477324.5079387236</v>
      </c>
      <c r="BY876" s="867">
        <f t="shared" si="166"/>
        <v>3494272.5429846812</v>
      </c>
      <c r="BZ876" s="867">
        <f t="shared" si="163"/>
        <v>13977090.171938725</v>
      </c>
      <c r="CA876" s="867">
        <f>_xlfn.MAXIFS($BY$4:$BY$12824,$S$4:$S$12824,$S876)</f>
        <v>4531321.9782453589</v>
      </c>
      <c r="CB876" s="1032"/>
      <c r="CF876" s="946">
        <f t="shared" si="164"/>
        <v>13499765.664000001</v>
      </c>
    </row>
    <row r="877" spans="1:84">
      <c r="A877" s="1032"/>
      <c r="B877" s="839" t="s">
        <v>98</v>
      </c>
      <c r="C877" s="839" t="s">
        <v>2689</v>
      </c>
      <c r="D877" s="839" t="s">
        <v>2690</v>
      </c>
      <c r="E877" s="839" t="s">
        <v>2691</v>
      </c>
      <c r="F877" s="841">
        <v>45451</v>
      </c>
      <c r="G877" s="840" t="s">
        <v>2689</v>
      </c>
      <c r="H877" s="842" t="s">
        <v>134</v>
      </c>
      <c r="I877" s="842"/>
      <c r="J877" s="841"/>
      <c r="K877" s="841"/>
      <c r="L877" s="843" t="s">
        <v>106</v>
      </c>
      <c r="M877" s="844" t="s">
        <v>107</v>
      </c>
      <c r="N877" s="841" t="s">
        <v>2692</v>
      </c>
      <c r="O877" s="841" t="s">
        <v>150</v>
      </c>
      <c r="P877" s="841" t="s">
        <v>151</v>
      </c>
      <c r="Q877" s="843"/>
      <c r="R877" s="845" t="s">
        <v>3106</v>
      </c>
      <c r="S877" s="1127" t="s">
        <v>3110</v>
      </c>
      <c r="T877" s="843" t="s">
        <v>3111</v>
      </c>
      <c r="U877" s="842">
        <v>4</v>
      </c>
      <c r="V877" s="842" t="s">
        <v>3</v>
      </c>
      <c r="W877" s="846">
        <v>285.66666666666669</v>
      </c>
      <c r="X877" s="847">
        <f t="shared" si="158"/>
        <v>1142.6666666666667</v>
      </c>
      <c r="Y877" s="848">
        <v>0.55000000000000004</v>
      </c>
      <c r="Z877" s="849">
        <v>128.55000000000001</v>
      </c>
      <c r="AA877" s="849"/>
      <c r="AB877" s="849">
        <f t="shared" si="159"/>
        <v>514.20000000000005</v>
      </c>
      <c r="AC877" s="850">
        <f t="shared" si="160"/>
        <v>514.20000000000005</v>
      </c>
      <c r="AD877" s="851"/>
      <c r="AE877" s="852">
        <v>26253.919999999998</v>
      </c>
      <c r="AF877" s="853">
        <v>0</v>
      </c>
      <c r="AG877" s="854">
        <f t="shared" si="161"/>
        <v>0</v>
      </c>
      <c r="AH877" s="853">
        <v>0.08</v>
      </c>
      <c r="AI877" s="855">
        <f t="shared" si="162"/>
        <v>1079981.25312</v>
      </c>
      <c r="AJ877" s="845" t="s">
        <v>2695</v>
      </c>
      <c r="AK877" s="857">
        <v>45332</v>
      </c>
      <c r="AL877" s="840" t="s">
        <v>2696</v>
      </c>
      <c r="AM877" s="840"/>
      <c r="AN877" s="858"/>
      <c r="AO877" s="844" t="s">
        <v>2697</v>
      </c>
      <c r="AP877" s="859" t="s">
        <v>2698</v>
      </c>
      <c r="AQ877" s="859" t="s">
        <v>2698</v>
      </c>
      <c r="AR877" s="859" t="s">
        <v>2699</v>
      </c>
      <c r="AS877" s="840" t="s">
        <v>2700</v>
      </c>
      <c r="AT877" s="840" t="s">
        <v>1743</v>
      </c>
      <c r="AU877" s="860" t="s">
        <v>1285</v>
      </c>
      <c r="AV877" s="839" t="s">
        <v>2701</v>
      </c>
      <c r="AW877" s="861">
        <v>45646</v>
      </c>
      <c r="AX877" s="862" t="s">
        <v>2702</v>
      </c>
      <c r="AY877" s="843" t="s">
        <v>3112</v>
      </c>
      <c r="AZ877" s="842">
        <v>94018000</v>
      </c>
      <c r="BA877" s="842" t="s">
        <v>120</v>
      </c>
      <c r="BB877" s="863" t="s">
        <v>121</v>
      </c>
      <c r="BC877" s="864">
        <v>45650</v>
      </c>
      <c r="BD877" s="860" t="s">
        <v>2705</v>
      </c>
      <c r="BE877" s="865" cm="1">
        <f t="array" ref="BE877">IF(BD877="","",AC877/SUMPRODUCT(--(BD877=$BD$4:$BD$12824),$AC$4:$AC$12824))</f>
        <v>7.4148920507367804E-3</v>
      </c>
      <c r="BF877" s="458"/>
      <c r="BG877" s="458"/>
      <c r="BH877" s="458"/>
      <c r="BI877" s="458"/>
      <c r="BJ877" s="458"/>
      <c r="BK877" s="458"/>
      <c r="BL877" s="458"/>
      <c r="BM877" s="458"/>
      <c r="BN877" s="458"/>
      <c r="BO877" s="866">
        <f>VLOOKUP(BD877,$BD$4:$BN$12824,3,0)*BE877</f>
        <v>349674.07454086287</v>
      </c>
      <c r="BP877" s="866"/>
      <c r="BQ877" s="866"/>
      <c r="BR877" s="866">
        <f>VLOOKUP(BD877,$BD$4:$BN$12824,6,0)*BE877</f>
        <v>100275.60846761508</v>
      </c>
      <c r="BS877" s="866">
        <f>VLOOKUP(BD877,$BD$4:$BN$12824,7,0)*BE877</f>
        <v>12960.274783613348</v>
      </c>
      <c r="BT877" s="866"/>
      <c r="BU877" s="866">
        <f>VLOOKUP(BD877,$BD$4:$BN$12824,9,0)*BE877</f>
        <v>0</v>
      </c>
      <c r="BV877" s="867"/>
      <c r="BW877" s="867">
        <f>VLOOKUP(BD877,$BD$4:$BN$12824,11,0)*BE877</f>
        <v>14414.5501466323</v>
      </c>
      <c r="BX877" s="1146">
        <f t="shared" si="165"/>
        <v>477324.5079387236</v>
      </c>
      <c r="BY877" s="867">
        <f t="shared" si="166"/>
        <v>3494272.5429846812</v>
      </c>
      <c r="BZ877" s="867">
        <f t="shared" si="163"/>
        <v>13977090.171938725</v>
      </c>
      <c r="CA877" s="867">
        <f>_xlfn.MAXIFS($BY$4:$BY$12824,$S$4:$S$12824,$S877)</f>
        <v>4531321.9782453589</v>
      </c>
      <c r="CB877" s="1032"/>
      <c r="CF877" s="946">
        <f t="shared" si="164"/>
        <v>13499765.664000001</v>
      </c>
    </row>
    <row r="878" spans="1:84">
      <c r="A878" s="1032"/>
      <c r="B878" s="839" t="s">
        <v>98</v>
      </c>
      <c r="C878" s="839" t="s">
        <v>2689</v>
      </c>
      <c r="D878" s="839" t="s">
        <v>2690</v>
      </c>
      <c r="E878" s="839" t="s">
        <v>2691</v>
      </c>
      <c r="F878" s="841">
        <v>45451</v>
      </c>
      <c r="G878" s="840" t="s">
        <v>2689</v>
      </c>
      <c r="H878" s="842" t="s">
        <v>134</v>
      </c>
      <c r="I878" s="842"/>
      <c r="J878" s="841"/>
      <c r="K878" s="841"/>
      <c r="L878" s="843" t="s">
        <v>106</v>
      </c>
      <c r="M878" s="844" t="s">
        <v>107</v>
      </c>
      <c r="N878" s="841" t="s">
        <v>2692</v>
      </c>
      <c r="O878" s="841" t="s">
        <v>150</v>
      </c>
      <c r="P878" s="841" t="s">
        <v>151</v>
      </c>
      <c r="Q878" s="843"/>
      <c r="R878" s="845" t="s">
        <v>3106</v>
      </c>
      <c r="S878" s="1127" t="s">
        <v>3113</v>
      </c>
      <c r="T878" s="843" t="s">
        <v>3114</v>
      </c>
      <c r="U878" s="842">
        <v>4</v>
      </c>
      <c r="V878" s="842" t="s">
        <v>3</v>
      </c>
      <c r="W878" s="846">
        <v>285.66666666666669</v>
      </c>
      <c r="X878" s="847">
        <f t="shared" si="158"/>
        <v>1142.6666666666667</v>
      </c>
      <c r="Y878" s="848">
        <v>0.55000000000000004</v>
      </c>
      <c r="Z878" s="849">
        <v>128.55000000000001</v>
      </c>
      <c r="AA878" s="849"/>
      <c r="AB878" s="849">
        <f t="shared" si="159"/>
        <v>514.20000000000005</v>
      </c>
      <c r="AC878" s="850">
        <f t="shared" si="160"/>
        <v>514.20000000000005</v>
      </c>
      <c r="AD878" s="851"/>
      <c r="AE878" s="852">
        <v>26253.919999999998</v>
      </c>
      <c r="AF878" s="853">
        <v>0</v>
      </c>
      <c r="AG878" s="854">
        <f t="shared" si="161"/>
        <v>0</v>
      </c>
      <c r="AH878" s="853">
        <v>0.08</v>
      </c>
      <c r="AI878" s="855">
        <f t="shared" si="162"/>
        <v>1079981.25312</v>
      </c>
      <c r="AJ878" s="845" t="s">
        <v>2695</v>
      </c>
      <c r="AK878" s="857">
        <v>45332</v>
      </c>
      <c r="AL878" s="840" t="s">
        <v>2696</v>
      </c>
      <c r="AM878" s="840"/>
      <c r="AN878" s="858"/>
      <c r="AO878" s="844" t="s">
        <v>2697</v>
      </c>
      <c r="AP878" s="859" t="s">
        <v>2698</v>
      </c>
      <c r="AQ878" s="859" t="s">
        <v>2698</v>
      </c>
      <c r="AR878" s="859" t="s">
        <v>2699</v>
      </c>
      <c r="AS878" s="840" t="s">
        <v>2700</v>
      </c>
      <c r="AT878" s="840" t="s">
        <v>1743</v>
      </c>
      <c r="AU878" s="860" t="s">
        <v>1285</v>
      </c>
      <c r="AV878" s="839" t="s">
        <v>2701</v>
      </c>
      <c r="AW878" s="861">
        <v>45646</v>
      </c>
      <c r="AX878" s="862" t="s">
        <v>2702</v>
      </c>
      <c r="AY878" s="843" t="s">
        <v>3115</v>
      </c>
      <c r="AZ878" s="842">
        <v>94018000</v>
      </c>
      <c r="BA878" s="842" t="s">
        <v>120</v>
      </c>
      <c r="BB878" s="863" t="s">
        <v>121</v>
      </c>
      <c r="BC878" s="864">
        <v>45650</v>
      </c>
      <c r="BD878" s="860" t="s">
        <v>2705</v>
      </c>
      <c r="BE878" s="865" cm="1">
        <f t="array" ref="BE878">IF(BD878="","",AC878/SUMPRODUCT(--(BD878=$BD$4:$BD$12824),$AC$4:$AC$12824))</f>
        <v>7.4148920507367804E-3</v>
      </c>
      <c r="BF878" s="458"/>
      <c r="BG878" s="458"/>
      <c r="BH878" s="458"/>
      <c r="BI878" s="458"/>
      <c r="BJ878" s="458"/>
      <c r="BK878" s="458"/>
      <c r="BL878" s="458"/>
      <c r="BM878" s="458"/>
      <c r="BN878" s="458"/>
      <c r="BO878" s="866">
        <f>VLOOKUP(BD878,$BD$4:$BN$12824,3,0)*BE878</f>
        <v>349674.07454086287</v>
      </c>
      <c r="BP878" s="866"/>
      <c r="BQ878" s="866"/>
      <c r="BR878" s="866">
        <f>VLOOKUP(BD878,$BD$4:$BN$12824,6,0)*BE878</f>
        <v>100275.60846761508</v>
      </c>
      <c r="BS878" s="866">
        <f>VLOOKUP(BD878,$BD$4:$BN$12824,7,0)*BE878</f>
        <v>12960.274783613348</v>
      </c>
      <c r="BT878" s="866"/>
      <c r="BU878" s="866">
        <f>VLOOKUP(BD878,$BD$4:$BN$12824,9,0)*BE878</f>
        <v>0</v>
      </c>
      <c r="BV878" s="867"/>
      <c r="BW878" s="867">
        <f>VLOOKUP(BD878,$BD$4:$BN$12824,11,0)*BE878</f>
        <v>14414.5501466323</v>
      </c>
      <c r="BX878" s="1146">
        <f t="shared" si="165"/>
        <v>477324.5079387236</v>
      </c>
      <c r="BY878" s="867">
        <f t="shared" si="166"/>
        <v>3494272.5429846812</v>
      </c>
      <c r="BZ878" s="867">
        <f t="shared" si="163"/>
        <v>13977090.171938725</v>
      </c>
      <c r="CA878" s="867">
        <f>_xlfn.MAXIFS($BY$4:$BY$12824,$S$4:$S$12824,$S878)</f>
        <v>4531321.9782453589</v>
      </c>
      <c r="CB878" s="1032"/>
      <c r="CF878" s="946">
        <f t="shared" si="164"/>
        <v>13499765.664000001</v>
      </c>
    </row>
    <row r="879" spans="1:84">
      <c r="A879" s="1032"/>
      <c r="B879" s="839" t="s">
        <v>98</v>
      </c>
      <c r="C879" s="839" t="s">
        <v>2689</v>
      </c>
      <c r="D879" s="839" t="s">
        <v>2690</v>
      </c>
      <c r="E879" s="839" t="s">
        <v>2691</v>
      </c>
      <c r="F879" s="841">
        <v>45451</v>
      </c>
      <c r="G879" s="840" t="s">
        <v>2689</v>
      </c>
      <c r="H879" s="842" t="s">
        <v>134</v>
      </c>
      <c r="I879" s="842"/>
      <c r="J879" s="841"/>
      <c r="K879" s="841"/>
      <c r="L879" s="843" t="s">
        <v>106</v>
      </c>
      <c r="M879" s="844" t="s">
        <v>107</v>
      </c>
      <c r="N879" s="841" t="s">
        <v>2692</v>
      </c>
      <c r="O879" s="841" t="s">
        <v>150</v>
      </c>
      <c r="P879" s="841" t="s">
        <v>151</v>
      </c>
      <c r="Q879" s="843"/>
      <c r="R879" s="845" t="s">
        <v>3106</v>
      </c>
      <c r="S879" s="1127" t="s">
        <v>3116</v>
      </c>
      <c r="T879" s="843" t="s">
        <v>3117</v>
      </c>
      <c r="U879" s="842">
        <v>4</v>
      </c>
      <c r="V879" s="842" t="s">
        <v>3</v>
      </c>
      <c r="W879" s="846">
        <v>285.66666666666669</v>
      </c>
      <c r="X879" s="847">
        <f t="shared" si="158"/>
        <v>1142.6666666666667</v>
      </c>
      <c r="Y879" s="848">
        <v>0.55000000000000004</v>
      </c>
      <c r="Z879" s="849">
        <v>128.55000000000001</v>
      </c>
      <c r="AA879" s="849"/>
      <c r="AB879" s="849">
        <f t="shared" si="159"/>
        <v>514.20000000000005</v>
      </c>
      <c r="AC879" s="850">
        <f t="shared" si="160"/>
        <v>514.20000000000005</v>
      </c>
      <c r="AD879" s="851"/>
      <c r="AE879" s="852">
        <v>26253.919999999998</v>
      </c>
      <c r="AF879" s="853">
        <v>0</v>
      </c>
      <c r="AG879" s="854">
        <f t="shared" si="161"/>
        <v>0</v>
      </c>
      <c r="AH879" s="853">
        <v>0.08</v>
      </c>
      <c r="AI879" s="855">
        <f t="shared" si="162"/>
        <v>1079981.25312</v>
      </c>
      <c r="AJ879" s="845" t="s">
        <v>2695</v>
      </c>
      <c r="AK879" s="857">
        <v>45332</v>
      </c>
      <c r="AL879" s="840" t="s">
        <v>2696</v>
      </c>
      <c r="AM879" s="840"/>
      <c r="AN879" s="858"/>
      <c r="AO879" s="844" t="s">
        <v>2697</v>
      </c>
      <c r="AP879" s="859" t="s">
        <v>2698</v>
      </c>
      <c r="AQ879" s="859" t="s">
        <v>2698</v>
      </c>
      <c r="AR879" s="859" t="s">
        <v>2699</v>
      </c>
      <c r="AS879" s="840" t="s">
        <v>2700</v>
      </c>
      <c r="AT879" s="840" t="s">
        <v>1743</v>
      </c>
      <c r="AU879" s="860" t="s">
        <v>1285</v>
      </c>
      <c r="AV879" s="839" t="s">
        <v>2701</v>
      </c>
      <c r="AW879" s="861">
        <v>45646</v>
      </c>
      <c r="AX879" s="862" t="s">
        <v>2702</v>
      </c>
      <c r="AY879" s="843" t="s">
        <v>3118</v>
      </c>
      <c r="AZ879" s="842">
        <v>94018000</v>
      </c>
      <c r="BA879" s="842" t="s">
        <v>120</v>
      </c>
      <c r="BB879" s="863" t="s">
        <v>121</v>
      </c>
      <c r="BC879" s="864">
        <v>45650</v>
      </c>
      <c r="BD879" s="860" t="s">
        <v>2705</v>
      </c>
      <c r="BE879" s="865" cm="1">
        <f t="array" ref="BE879">IF(BD879="","",AC879/SUMPRODUCT(--(BD879=$BD$4:$BD$12824),$AC$4:$AC$12824))</f>
        <v>7.4148920507367804E-3</v>
      </c>
      <c r="BF879" s="458"/>
      <c r="BG879" s="458"/>
      <c r="BH879" s="458"/>
      <c r="BI879" s="458"/>
      <c r="BJ879" s="458"/>
      <c r="BK879" s="458"/>
      <c r="BL879" s="458"/>
      <c r="BM879" s="458"/>
      <c r="BN879" s="458"/>
      <c r="BO879" s="866">
        <f>VLOOKUP(BD879,$BD$4:$BN$12824,3,0)*BE879</f>
        <v>349674.07454086287</v>
      </c>
      <c r="BP879" s="866"/>
      <c r="BQ879" s="866"/>
      <c r="BR879" s="866">
        <f>VLOOKUP(BD879,$BD$4:$BN$12824,6,0)*BE879</f>
        <v>100275.60846761508</v>
      </c>
      <c r="BS879" s="866">
        <f>VLOOKUP(BD879,$BD$4:$BN$12824,7,0)*BE879</f>
        <v>12960.274783613348</v>
      </c>
      <c r="BT879" s="866"/>
      <c r="BU879" s="866">
        <f>VLOOKUP(BD879,$BD$4:$BN$12824,9,0)*BE879</f>
        <v>0</v>
      </c>
      <c r="BV879" s="867"/>
      <c r="BW879" s="867">
        <f>VLOOKUP(BD879,$BD$4:$BN$12824,11,0)*BE879</f>
        <v>14414.5501466323</v>
      </c>
      <c r="BX879" s="1146">
        <f t="shared" si="165"/>
        <v>477324.5079387236</v>
      </c>
      <c r="BY879" s="867">
        <f t="shared" si="166"/>
        <v>3494272.5429846812</v>
      </c>
      <c r="BZ879" s="867">
        <f t="shared" si="163"/>
        <v>13977090.171938725</v>
      </c>
      <c r="CA879" s="867">
        <f>_xlfn.MAXIFS($BY$4:$BY$12824,$S$4:$S$12824,$S879)</f>
        <v>4531321.9782453589</v>
      </c>
      <c r="CB879" s="1032"/>
      <c r="CF879" s="946">
        <f t="shared" si="164"/>
        <v>13499765.664000001</v>
      </c>
    </row>
    <row r="880" spans="1:84">
      <c r="A880" s="1032"/>
      <c r="B880" s="839" t="s">
        <v>98</v>
      </c>
      <c r="C880" s="839" t="s">
        <v>2689</v>
      </c>
      <c r="D880" s="839" t="s">
        <v>2690</v>
      </c>
      <c r="E880" s="839" t="s">
        <v>2691</v>
      </c>
      <c r="F880" s="841">
        <v>45451</v>
      </c>
      <c r="G880" s="840" t="s">
        <v>2689</v>
      </c>
      <c r="H880" s="842" t="s">
        <v>134</v>
      </c>
      <c r="I880" s="842"/>
      <c r="J880" s="841"/>
      <c r="K880" s="841"/>
      <c r="L880" s="843" t="s">
        <v>106</v>
      </c>
      <c r="M880" s="844" t="s">
        <v>107</v>
      </c>
      <c r="N880" s="841" t="s">
        <v>2692</v>
      </c>
      <c r="O880" s="841" t="s">
        <v>150</v>
      </c>
      <c r="P880" s="841" t="s">
        <v>151</v>
      </c>
      <c r="Q880" s="843"/>
      <c r="R880" s="845" t="s">
        <v>3106</v>
      </c>
      <c r="S880" s="1127" t="s">
        <v>3119</v>
      </c>
      <c r="T880" s="843" t="s">
        <v>3120</v>
      </c>
      <c r="U880" s="842">
        <v>4</v>
      </c>
      <c r="V880" s="842" t="s">
        <v>3</v>
      </c>
      <c r="W880" s="846">
        <v>285.66666666666669</v>
      </c>
      <c r="X880" s="847">
        <f t="shared" si="158"/>
        <v>1142.6666666666667</v>
      </c>
      <c r="Y880" s="848">
        <v>0.55000000000000004</v>
      </c>
      <c r="Z880" s="849">
        <v>128.55000000000001</v>
      </c>
      <c r="AA880" s="849"/>
      <c r="AB880" s="849">
        <f t="shared" si="159"/>
        <v>514.20000000000005</v>
      </c>
      <c r="AC880" s="850">
        <f t="shared" si="160"/>
        <v>514.20000000000005</v>
      </c>
      <c r="AD880" s="851"/>
      <c r="AE880" s="852">
        <v>26253.919999999998</v>
      </c>
      <c r="AF880" s="853">
        <v>0</v>
      </c>
      <c r="AG880" s="854">
        <f t="shared" si="161"/>
        <v>0</v>
      </c>
      <c r="AH880" s="853">
        <v>0.08</v>
      </c>
      <c r="AI880" s="855">
        <f t="shared" si="162"/>
        <v>1079981.25312</v>
      </c>
      <c r="AJ880" s="845" t="s">
        <v>2695</v>
      </c>
      <c r="AK880" s="857">
        <v>45332</v>
      </c>
      <c r="AL880" s="840" t="s">
        <v>2696</v>
      </c>
      <c r="AM880" s="840"/>
      <c r="AN880" s="858"/>
      <c r="AO880" s="844" t="s">
        <v>2697</v>
      </c>
      <c r="AP880" s="859" t="s">
        <v>2698</v>
      </c>
      <c r="AQ880" s="859" t="s">
        <v>2698</v>
      </c>
      <c r="AR880" s="859" t="s">
        <v>2699</v>
      </c>
      <c r="AS880" s="840" t="s">
        <v>2700</v>
      </c>
      <c r="AT880" s="840" t="s">
        <v>1743</v>
      </c>
      <c r="AU880" s="860" t="s">
        <v>1285</v>
      </c>
      <c r="AV880" s="839" t="s">
        <v>2701</v>
      </c>
      <c r="AW880" s="861">
        <v>45646</v>
      </c>
      <c r="AX880" s="862" t="s">
        <v>2702</v>
      </c>
      <c r="AY880" s="843" t="s">
        <v>3121</v>
      </c>
      <c r="AZ880" s="842">
        <v>94018000</v>
      </c>
      <c r="BA880" s="842" t="s">
        <v>120</v>
      </c>
      <c r="BB880" s="863" t="s">
        <v>121</v>
      </c>
      <c r="BC880" s="864">
        <v>45650</v>
      </c>
      <c r="BD880" s="860" t="s">
        <v>2705</v>
      </c>
      <c r="BE880" s="865" cm="1">
        <f t="array" ref="BE880">IF(BD880="","",AC880/SUMPRODUCT(--(BD880=$BD$4:$BD$12824),$AC$4:$AC$12824))</f>
        <v>7.4148920507367804E-3</v>
      </c>
      <c r="BF880" s="458"/>
      <c r="BG880" s="458"/>
      <c r="BH880" s="458"/>
      <c r="BI880" s="458"/>
      <c r="BJ880" s="458"/>
      <c r="BK880" s="458"/>
      <c r="BL880" s="458"/>
      <c r="BM880" s="458"/>
      <c r="BN880" s="458"/>
      <c r="BO880" s="866">
        <f>VLOOKUP(BD880,$BD$4:$BN$12824,3,0)*BE880</f>
        <v>349674.07454086287</v>
      </c>
      <c r="BP880" s="866"/>
      <c r="BQ880" s="866"/>
      <c r="BR880" s="866">
        <f>VLOOKUP(BD880,$BD$4:$BN$12824,6,0)*BE880</f>
        <v>100275.60846761508</v>
      </c>
      <c r="BS880" s="866">
        <f>VLOOKUP(BD880,$BD$4:$BN$12824,7,0)*BE880</f>
        <v>12960.274783613348</v>
      </c>
      <c r="BT880" s="866"/>
      <c r="BU880" s="866">
        <f>VLOOKUP(BD880,$BD$4:$BN$12824,9,0)*BE880</f>
        <v>0</v>
      </c>
      <c r="BV880" s="867"/>
      <c r="BW880" s="867">
        <f>VLOOKUP(BD880,$BD$4:$BN$12824,11,0)*BE880</f>
        <v>14414.5501466323</v>
      </c>
      <c r="BX880" s="1146">
        <f t="shared" si="165"/>
        <v>477324.5079387236</v>
      </c>
      <c r="BY880" s="867">
        <f t="shared" si="166"/>
        <v>3494272.5429846812</v>
      </c>
      <c r="BZ880" s="867">
        <f t="shared" si="163"/>
        <v>13977090.171938725</v>
      </c>
      <c r="CA880" s="867">
        <f>_xlfn.MAXIFS($BY$4:$BY$12824,$S$4:$S$12824,$S880)</f>
        <v>4531321.9782453589</v>
      </c>
      <c r="CB880" s="1032"/>
      <c r="CF880" s="946">
        <f t="shared" si="164"/>
        <v>13499765.664000001</v>
      </c>
    </row>
    <row r="881" spans="1:84">
      <c r="A881" s="1032"/>
      <c r="B881" s="839" t="s">
        <v>98</v>
      </c>
      <c r="C881" s="839" t="s">
        <v>2689</v>
      </c>
      <c r="D881" s="839" t="s">
        <v>2690</v>
      </c>
      <c r="E881" s="839" t="s">
        <v>2691</v>
      </c>
      <c r="F881" s="841">
        <v>45451</v>
      </c>
      <c r="G881" s="840" t="s">
        <v>2689</v>
      </c>
      <c r="H881" s="842" t="s">
        <v>134</v>
      </c>
      <c r="I881" s="842"/>
      <c r="J881" s="841"/>
      <c r="K881" s="841"/>
      <c r="L881" s="843" t="s">
        <v>106</v>
      </c>
      <c r="M881" s="844" t="s">
        <v>107</v>
      </c>
      <c r="N881" s="841" t="s">
        <v>2692</v>
      </c>
      <c r="O881" s="841" t="s">
        <v>150</v>
      </c>
      <c r="P881" s="841" t="s">
        <v>151</v>
      </c>
      <c r="Q881" s="843"/>
      <c r="R881" s="845" t="s">
        <v>3106</v>
      </c>
      <c r="S881" s="1127" t="s">
        <v>3122</v>
      </c>
      <c r="T881" s="843" t="s">
        <v>3123</v>
      </c>
      <c r="U881" s="842">
        <v>4</v>
      </c>
      <c r="V881" s="842" t="s">
        <v>3</v>
      </c>
      <c r="W881" s="846">
        <v>285.66666666666669</v>
      </c>
      <c r="X881" s="847">
        <f t="shared" si="158"/>
        <v>1142.6666666666667</v>
      </c>
      <c r="Y881" s="848">
        <v>0.55000000000000004</v>
      </c>
      <c r="Z881" s="849">
        <v>128.55000000000001</v>
      </c>
      <c r="AA881" s="849"/>
      <c r="AB881" s="849">
        <f t="shared" si="159"/>
        <v>514.20000000000005</v>
      </c>
      <c r="AC881" s="850">
        <f t="shared" si="160"/>
        <v>514.20000000000005</v>
      </c>
      <c r="AD881" s="851"/>
      <c r="AE881" s="852">
        <v>26253.919999999998</v>
      </c>
      <c r="AF881" s="853">
        <v>0</v>
      </c>
      <c r="AG881" s="854">
        <f t="shared" si="161"/>
        <v>0</v>
      </c>
      <c r="AH881" s="853">
        <v>0.08</v>
      </c>
      <c r="AI881" s="855">
        <f t="shared" si="162"/>
        <v>1079981.25312</v>
      </c>
      <c r="AJ881" s="845" t="s">
        <v>2695</v>
      </c>
      <c r="AK881" s="857">
        <v>45332</v>
      </c>
      <c r="AL881" s="840" t="s">
        <v>2696</v>
      </c>
      <c r="AM881" s="840"/>
      <c r="AN881" s="858"/>
      <c r="AO881" s="844" t="s">
        <v>2697</v>
      </c>
      <c r="AP881" s="859" t="s">
        <v>2698</v>
      </c>
      <c r="AQ881" s="859" t="s">
        <v>2698</v>
      </c>
      <c r="AR881" s="859" t="s">
        <v>2699</v>
      </c>
      <c r="AS881" s="840" t="s">
        <v>2700</v>
      </c>
      <c r="AT881" s="840" t="s">
        <v>1743</v>
      </c>
      <c r="AU881" s="860" t="s">
        <v>1285</v>
      </c>
      <c r="AV881" s="839" t="s">
        <v>2701</v>
      </c>
      <c r="AW881" s="861">
        <v>45646</v>
      </c>
      <c r="AX881" s="862" t="s">
        <v>2702</v>
      </c>
      <c r="AY881" s="843" t="s">
        <v>3124</v>
      </c>
      <c r="AZ881" s="842">
        <v>94018000</v>
      </c>
      <c r="BA881" s="842" t="s">
        <v>120</v>
      </c>
      <c r="BB881" s="863" t="s">
        <v>121</v>
      </c>
      <c r="BC881" s="864">
        <v>45650</v>
      </c>
      <c r="BD881" s="860" t="s">
        <v>2705</v>
      </c>
      <c r="BE881" s="865" cm="1">
        <f t="array" ref="BE881">IF(BD881="","",AC881/SUMPRODUCT(--(BD881=$BD$4:$BD$12824),$AC$4:$AC$12824))</f>
        <v>7.4148920507367804E-3</v>
      </c>
      <c r="BF881" s="458"/>
      <c r="BG881" s="458"/>
      <c r="BH881" s="458"/>
      <c r="BI881" s="458"/>
      <c r="BJ881" s="458"/>
      <c r="BK881" s="458"/>
      <c r="BL881" s="458"/>
      <c r="BM881" s="458"/>
      <c r="BN881" s="458"/>
      <c r="BO881" s="866">
        <f>VLOOKUP(BD881,$BD$4:$BN$12824,3,0)*BE881</f>
        <v>349674.07454086287</v>
      </c>
      <c r="BP881" s="866"/>
      <c r="BQ881" s="866"/>
      <c r="BR881" s="866">
        <f>VLOOKUP(BD881,$BD$4:$BN$12824,6,0)*BE881</f>
        <v>100275.60846761508</v>
      </c>
      <c r="BS881" s="866">
        <f>VLOOKUP(BD881,$BD$4:$BN$12824,7,0)*BE881</f>
        <v>12960.274783613348</v>
      </c>
      <c r="BT881" s="866"/>
      <c r="BU881" s="866">
        <f>VLOOKUP(BD881,$BD$4:$BN$12824,9,0)*BE881</f>
        <v>0</v>
      </c>
      <c r="BV881" s="867"/>
      <c r="BW881" s="867">
        <f>VLOOKUP(BD881,$BD$4:$BN$12824,11,0)*BE881</f>
        <v>14414.5501466323</v>
      </c>
      <c r="BX881" s="1146">
        <f t="shared" si="165"/>
        <v>477324.5079387236</v>
      </c>
      <c r="BY881" s="867">
        <f t="shared" si="166"/>
        <v>3494272.5429846812</v>
      </c>
      <c r="BZ881" s="867">
        <f t="shared" si="163"/>
        <v>13977090.171938725</v>
      </c>
      <c r="CA881" s="867">
        <f>_xlfn.MAXIFS($BY$4:$BY$12824,$S$4:$S$12824,$S881)</f>
        <v>4531321.9782453589</v>
      </c>
      <c r="CB881" s="1032"/>
      <c r="CF881" s="946">
        <f t="shared" si="164"/>
        <v>13499765.664000001</v>
      </c>
    </row>
    <row r="882" spans="1:84">
      <c r="A882" s="1032"/>
      <c r="B882" s="839" t="s">
        <v>98</v>
      </c>
      <c r="C882" s="839" t="s">
        <v>2689</v>
      </c>
      <c r="D882" s="839" t="s">
        <v>2690</v>
      </c>
      <c r="E882" s="839" t="s">
        <v>2691</v>
      </c>
      <c r="F882" s="841">
        <v>45451</v>
      </c>
      <c r="G882" s="840" t="s">
        <v>2689</v>
      </c>
      <c r="H882" s="842" t="s">
        <v>134</v>
      </c>
      <c r="I882" s="842"/>
      <c r="J882" s="841"/>
      <c r="K882" s="841"/>
      <c r="L882" s="843" t="s">
        <v>106</v>
      </c>
      <c r="M882" s="844" t="s">
        <v>107</v>
      </c>
      <c r="N882" s="841" t="s">
        <v>2692</v>
      </c>
      <c r="O882" s="841" t="s">
        <v>150</v>
      </c>
      <c r="P882" s="841" t="s">
        <v>151</v>
      </c>
      <c r="Q882" s="843"/>
      <c r="R882" s="845">
        <v>44003500</v>
      </c>
      <c r="S882" s="1127" t="s">
        <v>3125</v>
      </c>
      <c r="T882" s="843" t="s">
        <v>3126</v>
      </c>
      <c r="U882" s="842">
        <v>4</v>
      </c>
      <c r="V882" s="842" t="s">
        <v>3</v>
      </c>
      <c r="W882" s="846">
        <v>285.66666666666669</v>
      </c>
      <c r="X882" s="847">
        <f t="shared" si="158"/>
        <v>1142.6666666666667</v>
      </c>
      <c r="Y882" s="848">
        <v>0.55000000000000004</v>
      </c>
      <c r="Z882" s="849">
        <v>128.55000000000001</v>
      </c>
      <c r="AA882" s="849"/>
      <c r="AB882" s="849">
        <f t="shared" si="159"/>
        <v>514.20000000000005</v>
      </c>
      <c r="AC882" s="850">
        <f t="shared" si="160"/>
        <v>514.20000000000005</v>
      </c>
      <c r="AD882" s="851"/>
      <c r="AE882" s="852">
        <v>26253.919999999998</v>
      </c>
      <c r="AF882" s="853">
        <v>0</v>
      </c>
      <c r="AG882" s="854">
        <f t="shared" si="161"/>
        <v>0</v>
      </c>
      <c r="AH882" s="853">
        <v>0.08</v>
      </c>
      <c r="AI882" s="855">
        <f t="shared" si="162"/>
        <v>1079981.25312</v>
      </c>
      <c r="AJ882" s="845" t="s">
        <v>2695</v>
      </c>
      <c r="AK882" s="857">
        <v>45332</v>
      </c>
      <c r="AL882" s="840" t="s">
        <v>2696</v>
      </c>
      <c r="AM882" s="840"/>
      <c r="AN882" s="858"/>
      <c r="AO882" s="844" t="s">
        <v>2697</v>
      </c>
      <c r="AP882" s="859" t="s">
        <v>2698</v>
      </c>
      <c r="AQ882" s="859" t="s">
        <v>2698</v>
      </c>
      <c r="AR882" s="859" t="s">
        <v>2699</v>
      </c>
      <c r="AS882" s="840" t="s">
        <v>2700</v>
      </c>
      <c r="AT882" s="840" t="s">
        <v>1743</v>
      </c>
      <c r="AU882" s="860" t="s">
        <v>1285</v>
      </c>
      <c r="AV882" s="839" t="s">
        <v>2701</v>
      </c>
      <c r="AW882" s="861">
        <v>45646</v>
      </c>
      <c r="AX882" s="862" t="s">
        <v>2702</v>
      </c>
      <c r="AY882" s="843" t="s">
        <v>3127</v>
      </c>
      <c r="AZ882" s="842" t="s">
        <v>3128</v>
      </c>
      <c r="BA882" s="842" t="s">
        <v>120</v>
      </c>
      <c r="BB882" s="863" t="s">
        <v>121</v>
      </c>
      <c r="BC882" s="864">
        <v>45650</v>
      </c>
      <c r="BD882" s="860" t="s">
        <v>2705</v>
      </c>
      <c r="BE882" s="865" cm="1">
        <f t="array" ref="BE882">IF(BD882="","",AC882/SUMPRODUCT(--(BD882=$BD$4:$BD$12824),$AC$4:$AC$12824))</f>
        <v>7.4148920507367804E-3</v>
      </c>
      <c r="BF882" s="458"/>
      <c r="BG882" s="458"/>
      <c r="BH882" s="458"/>
      <c r="BI882" s="458"/>
      <c r="BJ882" s="458"/>
      <c r="BK882" s="458"/>
      <c r="BL882" s="458"/>
      <c r="BM882" s="458"/>
      <c r="BN882" s="458"/>
      <c r="BO882" s="866">
        <f>VLOOKUP(BD882,$BD$4:$BN$12824,3,0)*BE882</f>
        <v>349674.07454086287</v>
      </c>
      <c r="BP882" s="866"/>
      <c r="BQ882" s="866"/>
      <c r="BR882" s="866">
        <f>VLOOKUP(BD882,$BD$4:$BN$12824,6,0)*BE882</f>
        <v>100275.60846761508</v>
      </c>
      <c r="BS882" s="866">
        <f>VLOOKUP(BD882,$BD$4:$BN$12824,7,0)*BE882</f>
        <v>12960.274783613348</v>
      </c>
      <c r="BT882" s="866"/>
      <c r="BU882" s="866">
        <f>VLOOKUP(BD882,$BD$4:$BN$12824,9,0)*BE882</f>
        <v>0</v>
      </c>
      <c r="BV882" s="867"/>
      <c r="BW882" s="867">
        <f>VLOOKUP(BD882,$BD$4:$BN$12824,11,0)*BE882</f>
        <v>14414.5501466323</v>
      </c>
      <c r="BX882" s="1146">
        <f t="shared" si="165"/>
        <v>477324.5079387236</v>
      </c>
      <c r="BY882" s="867">
        <f t="shared" si="166"/>
        <v>3494272.5429846812</v>
      </c>
      <c r="BZ882" s="867">
        <f t="shared" si="163"/>
        <v>13977090.171938725</v>
      </c>
      <c r="CA882" s="867">
        <f>_xlfn.MAXIFS($BY$4:$BY$12824,$S$4:$S$12824,$S882)</f>
        <v>4531321.9782453589</v>
      </c>
      <c r="CB882" s="1032"/>
      <c r="CF882" s="946">
        <f t="shared" si="164"/>
        <v>13499765.664000001</v>
      </c>
    </row>
    <row r="883" spans="1:84">
      <c r="A883" s="1032"/>
      <c r="B883" s="839" t="s">
        <v>98</v>
      </c>
      <c r="C883" s="839" t="s">
        <v>2689</v>
      </c>
      <c r="D883" s="839" t="s">
        <v>2690</v>
      </c>
      <c r="E883" s="839" t="s">
        <v>2691</v>
      </c>
      <c r="F883" s="841">
        <v>45451</v>
      </c>
      <c r="G883" s="840" t="s">
        <v>2689</v>
      </c>
      <c r="H883" s="842" t="s">
        <v>134</v>
      </c>
      <c r="I883" s="842"/>
      <c r="J883" s="841"/>
      <c r="K883" s="841"/>
      <c r="L883" s="843" t="s">
        <v>106</v>
      </c>
      <c r="M883" s="844" t="s">
        <v>107</v>
      </c>
      <c r="N883" s="841" t="s">
        <v>2692</v>
      </c>
      <c r="O883" s="841" t="s">
        <v>150</v>
      </c>
      <c r="P883" s="841" t="s">
        <v>151</v>
      </c>
      <c r="Q883" s="843"/>
      <c r="R883" s="845" t="s">
        <v>3129</v>
      </c>
      <c r="S883" s="1127" t="s">
        <v>3130</v>
      </c>
      <c r="T883" s="843" t="s">
        <v>3131</v>
      </c>
      <c r="U883" s="842">
        <v>2</v>
      </c>
      <c r="V883" s="842" t="s">
        <v>3</v>
      </c>
      <c r="W883" s="846">
        <v>695</v>
      </c>
      <c r="X883" s="847">
        <f t="shared" si="158"/>
        <v>1390</v>
      </c>
      <c r="Y883" s="848">
        <v>0.55000000000000004</v>
      </c>
      <c r="Z883" s="849">
        <v>312.75</v>
      </c>
      <c r="AA883" s="849"/>
      <c r="AB883" s="849">
        <f t="shared" si="159"/>
        <v>625.5</v>
      </c>
      <c r="AC883" s="850">
        <f t="shared" si="160"/>
        <v>625.5</v>
      </c>
      <c r="AD883" s="851"/>
      <c r="AE883" s="852">
        <v>26253.919999999998</v>
      </c>
      <c r="AF883" s="853">
        <v>0</v>
      </c>
      <c r="AG883" s="854">
        <f t="shared" si="161"/>
        <v>0</v>
      </c>
      <c r="AH883" s="853"/>
      <c r="AI883" s="855">
        <f t="shared" si="162"/>
        <v>0</v>
      </c>
      <c r="AJ883" s="845" t="s">
        <v>2695</v>
      </c>
      <c r="AK883" s="857">
        <v>45332</v>
      </c>
      <c r="AL883" s="840" t="s">
        <v>2696</v>
      </c>
      <c r="AM883" s="840"/>
      <c r="AN883" s="858"/>
      <c r="AO883" s="844" t="s">
        <v>2697</v>
      </c>
      <c r="AP883" s="859" t="s">
        <v>2698</v>
      </c>
      <c r="AQ883" s="859" t="s">
        <v>2698</v>
      </c>
      <c r="AR883" s="859" t="s">
        <v>2699</v>
      </c>
      <c r="AS883" s="840" t="s">
        <v>2700</v>
      </c>
      <c r="AT883" s="840" t="s">
        <v>1743</v>
      </c>
      <c r="AU883" s="860" t="s">
        <v>1285</v>
      </c>
      <c r="AV883" s="839" t="s">
        <v>2701</v>
      </c>
      <c r="AW883" s="861">
        <v>45646</v>
      </c>
      <c r="AX883" s="862" t="s">
        <v>2702</v>
      </c>
      <c r="AY883" s="843" t="s">
        <v>3132</v>
      </c>
      <c r="AZ883" s="842">
        <v>94017910</v>
      </c>
      <c r="BA883" s="842" t="s">
        <v>120</v>
      </c>
      <c r="BB883" s="863" t="s">
        <v>121</v>
      </c>
      <c r="BC883" s="864">
        <v>45650</v>
      </c>
      <c r="BD883" s="860" t="s">
        <v>2705</v>
      </c>
      <c r="BE883" s="865" cm="1">
        <f t="array" ref="BE883">IF(BD883="","",AC883/SUMPRODUCT(--(BD883=$BD$4:$BD$12824),$AC$4:$AC$12824))</f>
        <v>9.0198657676698879E-3</v>
      </c>
      <c r="BF883" s="458"/>
      <c r="BG883" s="458"/>
      <c r="BH883" s="458"/>
      <c r="BI883" s="458"/>
      <c r="BJ883" s="458"/>
      <c r="BK883" s="458"/>
      <c r="BL883" s="458"/>
      <c r="BM883" s="458"/>
      <c r="BN883" s="458"/>
      <c r="BO883" s="866">
        <f>VLOOKUP(BD883,$BD$4:$BN$12824,3,0)*BE883</f>
        <v>425361.98682479525</v>
      </c>
      <c r="BP883" s="866"/>
      <c r="BQ883" s="866"/>
      <c r="BR883" s="866">
        <f>VLOOKUP(BD883,$BD$4:$BN$12824,6,0)*BE883</f>
        <v>121980.5388885516</v>
      </c>
      <c r="BS883" s="866">
        <f>VLOOKUP(BD883,$BD$4:$BN$12824,7,0)*BE883</f>
        <v>15765.561799202935</v>
      </c>
      <c r="BT883" s="866"/>
      <c r="BU883" s="866">
        <f>VLOOKUP(BD883,$BD$4:$BN$12824,9,0)*BE883</f>
        <v>0</v>
      </c>
      <c r="BV883" s="867"/>
      <c r="BW883" s="867">
        <f>VLOOKUP(BD883,$BD$4:$BN$12824,11,0)*BE883</f>
        <v>17534.619052350263</v>
      </c>
      <c r="BX883" s="1146">
        <f t="shared" si="165"/>
        <v>580642.70656490012</v>
      </c>
      <c r="BY883" s="867">
        <f t="shared" si="166"/>
        <v>8501234.8332824502</v>
      </c>
      <c r="BZ883" s="867">
        <f t="shared" si="163"/>
        <v>17002469.6665649</v>
      </c>
      <c r="CA883" s="867">
        <f>_xlfn.MAXIFS($BY$4:$BY$12824,$S$4:$S$12824,$S883)</f>
        <v>8501234.8332824502</v>
      </c>
      <c r="CB883" s="1032"/>
      <c r="CF883" s="946">
        <f t="shared" si="164"/>
        <v>16421826.959999999</v>
      </c>
    </row>
    <row r="884" spans="1:84">
      <c r="A884" s="1032"/>
      <c r="B884" s="839" t="s">
        <v>98</v>
      </c>
      <c r="C884" s="839" t="s">
        <v>2689</v>
      </c>
      <c r="D884" s="839" t="s">
        <v>2690</v>
      </c>
      <c r="E884" s="839" t="s">
        <v>2691</v>
      </c>
      <c r="F884" s="841">
        <v>45451</v>
      </c>
      <c r="G884" s="840" t="s">
        <v>2689</v>
      </c>
      <c r="H884" s="842" t="s">
        <v>134</v>
      </c>
      <c r="I884" s="842"/>
      <c r="J884" s="841"/>
      <c r="K884" s="841"/>
      <c r="L884" s="843" t="s">
        <v>106</v>
      </c>
      <c r="M884" s="844" t="s">
        <v>107</v>
      </c>
      <c r="N884" s="841" t="s">
        <v>2692</v>
      </c>
      <c r="O884" s="841" t="s">
        <v>150</v>
      </c>
      <c r="P884" s="841" t="s">
        <v>151</v>
      </c>
      <c r="Q884" s="843"/>
      <c r="R884" s="845" t="s">
        <v>3129</v>
      </c>
      <c r="S884" s="1127" t="s">
        <v>3133</v>
      </c>
      <c r="T884" s="843" t="s">
        <v>3134</v>
      </c>
      <c r="U884" s="842">
        <v>2</v>
      </c>
      <c r="V884" s="842" t="s">
        <v>3</v>
      </c>
      <c r="W884" s="846">
        <v>695</v>
      </c>
      <c r="X884" s="847">
        <f t="shared" si="158"/>
        <v>1390</v>
      </c>
      <c r="Y884" s="848">
        <v>0.55000000000000004</v>
      </c>
      <c r="Z884" s="849">
        <v>312.75</v>
      </c>
      <c r="AA884" s="849"/>
      <c r="AB884" s="849">
        <f t="shared" si="159"/>
        <v>625.5</v>
      </c>
      <c r="AC884" s="850">
        <f t="shared" si="160"/>
        <v>625.5</v>
      </c>
      <c r="AD884" s="851"/>
      <c r="AE884" s="852">
        <v>26253.919999999998</v>
      </c>
      <c r="AF884" s="853">
        <v>0</v>
      </c>
      <c r="AG884" s="854">
        <f t="shared" si="161"/>
        <v>0</v>
      </c>
      <c r="AH884" s="853"/>
      <c r="AI884" s="855">
        <f t="shared" si="162"/>
        <v>0</v>
      </c>
      <c r="AJ884" s="845" t="s">
        <v>2695</v>
      </c>
      <c r="AK884" s="857">
        <v>45332</v>
      </c>
      <c r="AL884" s="840" t="s">
        <v>2696</v>
      </c>
      <c r="AM884" s="840"/>
      <c r="AN884" s="858"/>
      <c r="AO884" s="844" t="s">
        <v>2697</v>
      </c>
      <c r="AP884" s="859" t="s">
        <v>2698</v>
      </c>
      <c r="AQ884" s="859" t="s">
        <v>2698</v>
      </c>
      <c r="AR884" s="859" t="s">
        <v>2699</v>
      </c>
      <c r="AS884" s="840" t="s">
        <v>2700</v>
      </c>
      <c r="AT884" s="840" t="s">
        <v>1743</v>
      </c>
      <c r="AU884" s="860" t="s">
        <v>1285</v>
      </c>
      <c r="AV884" s="839" t="s">
        <v>2701</v>
      </c>
      <c r="AW884" s="861">
        <v>45646</v>
      </c>
      <c r="AX884" s="862" t="s">
        <v>2702</v>
      </c>
      <c r="AY884" s="843" t="s">
        <v>3135</v>
      </c>
      <c r="AZ884" s="842">
        <v>94017910</v>
      </c>
      <c r="BA884" s="842" t="s">
        <v>120</v>
      </c>
      <c r="BB884" s="863" t="s">
        <v>121</v>
      </c>
      <c r="BC884" s="864">
        <v>45650</v>
      </c>
      <c r="BD884" s="860" t="s">
        <v>2705</v>
      </c>
      <c r="BE884" s="865" cm="1">
        <f t="array" ref="BE884">IF(BD884="","",AC884/SUMPRODUCT(--(BD884=$BD$4:$BD$12824),$AC$4:$AC$12824))</f>
        <v>9.0198657676698879E-3</v>
      </c>
      <c r="BF884" s="458"/>
      <c r="BG884" s="458"/>
      <c r="BH884" s="458"/>
      <c r="BI884" s="458"/>
      <c r="BJ884" s="458"/>
      <c r="BK884" s="458"/>
      <c r="BL884" s="458"/>
      <c r="BM884" s="458"/>
      <c r="BN884" s="458"/>
      <c r="BO884" s="866">
        <f>VLOOKUP(BD884,$BD$4:$BN$12824,3,0)*BE884</f>
        <v>425361.98682479525</v>
      </c>
      <c r="BP884" s="866"/>
      <c r="BQ884" s="866"/>
      <c r="BR884" s="866">
        <f>VLOOKUP(BD884,$BD$4:$BN$12824,6,0)*BE884</f>
        <v>121980.5388885516</v>
      </c>
      <c r="BS884" s="866">
        <f>VLOOKUP(BD884,$BD$4:$BN$12824,7,0)*BE884</f>
        <v>15765.561799202935</v>
      </c>
      <c r="BT884" s="866"/>
      <c r="BU884" s="866">
        <f>VLOOKUP(BD884,$BD$4:$BN$12824,9,0)*BE884</f>
        <v>0</v>
      </c>
      <c r="BV884" s="867"/>
      <c r="BW884" s="867">
        <f>VLOOKUP(BD884,$BD$4:$BN$12824,11,0)*BE884</f>
        <v>17534.619052350263</v>
      </c>
      <c r="BX884" s="1146">
        <f t="shared" si="165"/>
        <v>580642.70656490012</v>
      </c>
      <c r="BY884" s="867">
        <f t="shared" si="166"/>
        <v>8501234.8332824502</v>
      </c>
      <c r="BZ884" s="867">
        <f t="shared" si="163"/>
        <v>17002469.6665649</v>
      </c>
      <c r="CA884" s="867">
        <f>_xlfn.MAXIFS($BY$4:$BY$12824,$S$4:$S$12824,$S884)</f>
        <v>8501234.8332824502</v>
      </c>
      <c r="CB884" s="1032"/>
      <c r="CF884" s="946">
        <f t="shared" si="164"/>
        <v>16421826.959999999</v>
      </c>
    </row>
    <row r="885" spans="1:84">
      <c r="A885" s="1032"/>
      <c r="B885" s="839" t="s">
        <v>98</v>
      </c>
      <c r="C885" s="839" t="s">
        <v>2689</v>
      </c>
      <c r="D885" s="839" t="s">
        <v>2690</v>
      </c>
      <c r="E885" s="839" t="s">
        <v>2691</v>
      </c>
      <c r="F885" s="841">
        <v>45451</v>
      </c>
      <c r="G885" s="840" t="s">
        <v>2689</v>
      </c>
      <c r="H885" s="842" t="s">
        <v>134</v>
      </c>
      <c r="I885" s="842"/>
      <c r="J885" s="841"/>
      <c r="K885" s="841"/>
      <c r="L885" s="843" t="s">
        <v>106</v>
      </c>
      <c r="M885" s="844" t="s">
        <v>107</v>
      </c>
      <c r="N885" s="841" t="s">
        <v>2692</v>
      </c>
      <c r="O885" s="841" t="s">
        <v>150</v>
      </c>
      <c r="P885" s="841" t="s">
        <v>151</v>
      </c>
      <c r="Q885" s="843"/>
      <c r="R885" s="845" t="s">
        <v>3129</v>
      </c>
      <c r="S885" s="1127" t="s">
        <v>3136</v>
      </c>
      <c r="T885" s="843" t="s">
        <v>3137</v>
      </c>
      <c r="U885" s="842">
        <v>2</v>
      </c>
      <c r="V885" s="842" t="s">
        <v>3</v>
      </c>
      <c r="W885" s="846">
        <v>695</v>
      </c>
      <c r="X885" s="847">
        <f t="shared" si="158"/>
        <v>1390</v>
      </c>
      <c r="Y885" s="848">
        <v>0.55000000000000004</v>
      </c>
      <c r="Z885" s="849">
        <v>312.75</v>
      </c>
      <c r="AA885" s="849"/>
      <c r="AB885" s="849">
        <f t="shared" si="159"/>
        <v>625.5</v>
      </c>
      <c r="AC885" s="850">
        <f t="shared" si="160"/>
        <v>625.5</v>
      </c>
      <c r="AD885" s="851"/>
      <c r="AE885" s="852">
        <v>26253.919999999998</v>
      </c>
      <c r="AF885" s="853">
        <v>0</v>
      </c>
      <c r="AG885" s="854">
        <f t="shared" si="161"/>
        <v>0</v>
      </c>
      <c r="AH885" s="853"/>
      <c r="AI885" s="855">
        <f t="shared" si="162"/>
        <v>0</v>
      </c>
      <c r="AJ885" s="845" t="s">
        <v>2695</v>
      </c>
      <c r="AK885" s="857">
        <v>45332</v>
      </c>
      <c r="AL885" s="840" t="s">
        <v>2696</v>
      </c>
      <c r="AM885" s="840"/>
      <c r="AN885" s="858"/>
      <c r="AO885" s="844" t="s">
        <v>2697</v>
      </c>
      <c r="AP885" s="859" t="s">
        <v>2698</v>
      </c>
      <c r="AQ885" s="859" t="s">
        <v>2698</v>
      </c>
      <c r="AR885" s="859" t="s">
        <v>2699</v>
      </c>
      <c r="AS885" s="840" t="s">
        <v>2700</v>
      </c>
      <c r="AT885" s="840" t="s">
        <v>1743</v>
      </c>
      <c r="AU885" s="860" t="s">
        <v>1285</v>
      </c>
      <c r="AV885" s="839" t="s">
        <v>2701</v>
      </c>
      <c r="AW885" s="861">
        <v>45646</v>
      </c>
      <c r="AX885" s="862" t="s">
        <v>2702</v>
      </c>
      <c r="AY885" s="843" t="s">
        <v>3138</v>
      </c>
      <c r="AZ885" s="842">
        <v>94017910</v>
      </c>
      <c r="BA885" s="842" t="s">
        <v>120</v>
      </c>
      <c r="BB885" s="863" t="s">
        <v>121</v>
      </c>
      <c r="BC885" s="864">
        <v>45650</v>
      </c>
      <c r="BD885" s="860" t="s">
        <v>2705</v>
      </c>
      <c r="BE885" s="865" cm="1">
        <f t="array" ref="BE885">IF(BD885="","",AC885/SUMPRODUCT(--(BD885=$BD$4:$BD$12824),$AC$4:$AC$12824))</f>
        <v>9.0198657676698879E-3</v>
      </c>
      <c r="BF885" s="458"/>
      <c r="BG885" s="458"/>
      <c r="BH885" s="458"/>
      <c r="BI885" s="458"/>
      <c r="BJ885" s="458"/>
      <c r="BK885" s="458"/>
      <c r="BL885" s="458"/>
      <c r="BM885" s="458"/>
      <c r="BN885" s="458"/>
      <c r="BO885" s="866">
        <f>VLOOKUP(BD885,$BD$4:$BN$12824,3,0)*BE885</f>
        <v>425361.98682479525</v>
      </c>
      <c r="BP885" s="866"/>
      <c r="BQ885" s="866"/>
      <c r="BR885" s="866">
        <f>VLOOKUP(BD885,$BD$4:$BN$12824,6,0)*BE885</f>
        <v>121980.5388885516</v>
      </c>
      <c r="BS885" s="866">
        <f>VLOOKUP(BD885,$BD$4:$BN$12824,7,0)*BE885</f>
        <v>15765.561799202935</v>
      </c>
      <c r="BT885" s="866"/>
      <c r="BU885" s="866">
        <f>VLOOKUP(BD885,$BD$4:$BN$12824,9,0)*BE885</f>
        <v>0</v>
      </c>
      <c r="BV885" s="867"/>
      <c r="BW885" s="867">
        <f>VLOOKUP(BD885,$BD$4:$BN$12824,11,0)*BE885</f>
        <v>17534.619052350263</v>
      </c>
      <c r="BX885" s="1146">
        <f t="shared" si="165"/>
        <v>580642.70656490012</v>
      </c>
      <c r="BY885" s="867">
        <f t="shared" si="166"/>
        <v>8501234.8332824502</v>
      </c>
      <c r="BZ885" s="867">
        <f t="shared" si="163"/>
        <v>17002469.6665649</v>
      </c>
      <c r="CA885" s="867">
        <f>_xlfn.MAXIFS($BY$4:$BY$12824,$S$4:$S$12824,$S885)</f>
        <v>8501234.8332824502</v>
      </c>
      <c r="CB885" s="1032"/>
      <c r="CF885" s="946">
        <f t="shared" si="164"/>
        <v>16421826.959999999</v>
      </c>
    </row>
    <row r="886" spans="1:84">
      <c r="A886" s="1032"/>
      <c r="B886" s="839" t="s">
        <v>98</v>
      </c>
      <c r="C886" s="839" t="s">
        <v>2689</v>
      </c>
      <c r="D886" s="839" t="s">
        <v>2690</v>
      </c>
      <c r="E886" s="839" t="s">
        <v>2691</v>
      </c>
      <c r="F886" s="841">
        <v>45451</v>
      </c>
      <c r="G886" s="840" t="s">
        <v>2689</v>
      </c>
      <c r="H886" s="842" t="s">
        <v>134</v>
      </c>
      <c r="I886" s="842"/>
      <c r="J886" s="841"/>
      <c r="K886" s="841"/>
      <c r="L886" s="843" t="s">
        <v>106</v>
      </c>
      <c r="M886" s="844" t="s">
        <v>107</v>
      </c>
      <c r="N886" s="841" t="s">
        <v>2692</v>
      </c>
      <c r="O886" s="841" t="s">
        <v>150</v>
      </c>
      <c r="P886" s="841" t="s">
        <v>151</v>
      </c>
      <c r="Q886" s="843"/>
      <c r="R886" s="845" t="s">
        <v>3129</v>
      </c>
      <c r="S886" s="1127" t="s">
        <v>3139</v>
      </c>
      <c r="T886" s="843" t="s">
        <v>3140</v>
      </c>
      <c r="U886" s="842">
        <v>2</v>
      </c>
      <c r="V886" s="842" t="s">
        <v>3</v>
      </c>
      <c r="W886" s="846">
        <v>695</v>
      </c>
      <c r="X886" s="847">
        <f t="shared" si="158"/>
        <v>1390</v>
      </c>
      <c r="Y886" s="848">
        <v>0.55000000000000004</v>
      </c>
      <c r="Z886" s="849">
        <v>312.75</v>
      </c>
      <c r="AA886" s="849"/>
      <c r="AB886" s="849">
        <f t="shared" si="159"/>
        <v>625.5</v>
      </c>
      <c r="AC886" s="850">
        <f t="shared" si="160"/>
        <v>625.5</v>
      </c>
      <c r="AD886" s="851"/>
      <c r="AE886" s="852">
        <v>26253.919999999998</v>
      </c>
      <c r="AF886" s="853">
        <v>0</v>
      </c>
      <c r="AG886" s="854">
        <f t="shared" si="161"/>
        <v>0</v>
      </c>
      <c r="AH886" s="853"/>
      <c r="AI886" s="855">
        <f t="shared" si="162"/>
        <v>0</v>
      </c>
      <c r="AJ886" s="845" t="s">
        <v>2695</v>
      </c>
      <c r="AK886" s="857">
        <v>45332</v>
      </c>
      <c r="AL886" s="840" t="s">
        <v>2696</v>
      </c>
      <c r="AM886" s="840"/>
      <c r="AN886" s="858"/>
      <c r="AO886" s="844" t="s">
        <v>2697</v>
      </c>
      <c r="AP886" s="859" t="s">
        <v>2698</v>
      </c>
      <c r="AQ886" s="859" t="s">
        <v>2698</v>
      </c>
      <c r="AR886" s="859" t="s">
        <v>2699</v>
      </c>
      <c r="AS886" s="840" t="s">
        <v>2700</v>
      </c>
      <c r="AT886" s="840" t="s">
        <v>1743</v>
      </c>
      <c r="AU886" s="860" t="s">
        <v>1285</v>
      </c>
      <c r="AV886" s="839" t="s">
        <v>2701</v>
      </c>
      <c r="AW886" s="861">
        <v>45646</v>
      </c>
      <c r="AX886" s="862" t="s">
        <v>2702</v>
      </c>
      <c r="AY886" s="843" t="s">
        <v>3141</v>
      </c>
      <c r="AZ886" s="842">
        <v>94017910</v>
      </c>
      <c r="BA886" s="842" t="s">
        <v>120</v>
      </c>
      <c r="BB886" s="863" t="s">
        <v>121</v>
      </c>
      <c r="BC886" s="864">
        <v>45650</v>
      </c>
      <c r="BD886" s="860" t="s">
        <v>2705</v>
      </c>
      <c r="BE886" s="865" cm="1">
        <f t="array" ref="BE886">IF(BD886="","",AC886/SUMPRODUCT(--(BD886=$BD$4:$BD$12824),$AC$4:$AC$12824))</f>
        <v>9.0198657676698879E-3</v>
      </c>
      <c r="BF886" s="458"/>
      <c r="BG886" s="458"/>
      <c r="BH886" s="458"/>
      <c r="BI886" s="458"/>
      <c r="BJ886" s="458"/>
      <c r="BK886" s="458"/>
      <c r="BL886" s="458"/>
      <c r="BM886" s="458"/>
      <c r="BN886" s="458"/>
      <c r="BO886" s="866">
        <f>VLOOKUP(BD886,$BD$4:$BN$12824,3,0)*BE886</f>
        <v>425361.98682479525</v>
      </c>
      <c r="BP886" s="866"/>
      <c r="BQ886" s="866"/>
      <c r="BR886" s="866">
        <f>VLOOKUP(BD886,$BD$4:$BN$12824,6,0)*BE886</f>
        <v>121980.5388885516</v>
      </c>
      <c r="BS886" s="866">
        <f>VLOOKUP(BD886,$BD$4:$BN$12824,7,0)*BE886</f>
        <v>15765.561799202935</v>
      </c>
      <c r="BT886" s="866"/>
      <c r="BU886" s="866">
        <f>VLOOKUP(BD886,$BD$4:$BN$12824,9,0)*BE886</f>
        <v>0</v>
      </c>
      <c r="BV886" s="867"/>
      <c r="BW886" s="867">
        <f>VLOOKUP(BD886,$BD$4:$BN$12824,11,0)*BE886</f>
        <v>17534.619052350263</v>
      </c>
      <c r="BX886" s="1146">
        <f t="shared" si="165"/>
        <v>580642.70656490012</v>
      </c>
      <c r="BY886" s="867">
        <f t="shared" si="166"/>
        <v>8501234.8332824502</v>
      </c>
      <c r="BZ886" s="867">
        <f t="shared" si="163"/>
        <v>17002469.6665649</v>
      </c>
      <c r="CA886" s="867">
        <f>_xlfn.MAXIFS($BY$4:$BY$12824,$S$4:$S$12824,$S886)</f>
        <v>8501234.8332824502</v>
      </c>
      <c r="CB886" s="1032"/>
      <c r="CF886" s="946">
        <f t="shared" si="164"/>
        <v>16421826.959999999</v>
      </c>
    </row>
    <row r="887" spans="1:84">
      <c r="A887" s="1032"/>
      <c r="B887" s="839" t="s">
        <v>98</v>
      </c>
      <c r="C887" s="839" t="s">
        <v>2689</v>
      </c>
      <c r="D887" s="839" t="s">
        <v>2690</v>
      </c>
      <c r="E887" s="839" t="s">
        <v>2691</v>
      </c>
      <c r="F887" s="841">
        <v>45451</v>
      </c>
      <c r="G887" s="840" t="s">
        <v>2689</v>
      </c>
      <c r="H887" s="842" t="s">
        <v>134</v>
      </c>
      <c r="I887" s="842"/>
      <c r="J887" s="841"/>
      <c r="K887" s="841"/>
      <c r="L887" s="843" t="s">
        <v>106</v>
      </c>
      <c r="M887" s="844" t="s">
        <v>107</v>
      </c>
      <c r="N887" s="841" t="s">
        <v>2692</v>
      </c>
      <c r="O887" s="841" t="s">
        <v>150</v>
      </c>
      <c r="P887" s="841" t="s">
        <v>151</v>
      </c>
      <c r="Q887" s="843"/>
      <c r="R887" s="845" t="s">
        <v>3142</v>
      </c>
      <c r="S887" s="1127" t="s">
        <v>3143</v>
      </c>
      <c r="T887" s="843" t="s">
        <v>3144</v>
      </c>
      <c r="U887" s="842">
        <v>2</v>
      </c>
      <c r="V887" s="842" t="s">
        <v>3</v>
      </c>
      <c r="W887" s="846">
        <v>470</v>
      </c>
      <c r="X887" s="847">
        <f t="shared" si="158"/>
        <v>940</v>
      </c>
      <c r="Y887" s="848">
        <v>0.55000000000000004</v>
      </c>
      <c r="Z887" s="849">
        <v>211.5</v>
      </c>
      <c r="AA887" s="849"/>
      <c r="AB887" s="849">
        <f t="shared" si="159"/>
        <v>423</v>
      </c>
      <c r="AC887" s="850">
        <f t="shared" si="160"/>
        <v>423</v>
      </c>
      <c r="AD887" s="851"/>
      <c r="AE887" s="852">
        <v>26253.919999999998</v>
      </c>
      <c r="AF887" s="853">
        <v>0</v>
      </c>
      <c r="AG887" s="854">
        <f t="shared" si="161"/>
        <v>0</v>
      </c>
      <c r="AH887" s="853"/>
      <c r="AI887" s="855">
        <f t="shared" si="162"/>
        <v>0</v>
      </c>
      <c r="AJ887" s="845" t="s">
        <v>2695</v>
      </c>
      <c r="AK887" s="857">
        <v>45332</v>
      </c>
      <c r="AL887" s="840" t="s">
        <v>2696</v>
      </c>
      <c r="AM887" s="840"/>
      <c r="AN887" s="858"/>
      <c r="AO887" s="844" t="s">
        <v>2697</v>
      </c>
      <c r="AP887" s="859" t="s">
        <v>2698</v>
      </c>
      <c r="AQ887" s="859" t="s">
        <v>2698</v>
      </c>
      <c r="AR887" s="859" t="s">
        <v>2699</v>
      </c>
      <c r="AS887" s="840" t="s">
        <v>2700</v>
      </c>
      <c r="AT887" s="840" t="s">
        <v>1743</v>
      </c>
      <c r="AU887" s="860" t="s">
        <v>1285</v>
      </c>
      <c r="AV887" s="839" t="s">
        <v>2701</v>
      </c>
      <c r="AW887" s="861">
        <v>45646</v>
      </c>
      <c r="AX887" s="862" t="s">
        <v>2702</v>
      </c>
      <c r="AY887" s="843" t="s">
        <v>3145</v>
      </c>
      <c r="AZ887" s="842">
        <v>94017910</v>
      </c>
      <c r="BA887" s="842" t="s">
        <v>120</v>
      </c>
      <c r="BB887" s="863" t="s">
        <v>121</v>
      </c>
      <c r="BC887" s="864">
        <v>45650</v>
      </c>
      <c r="BD887" s="860" t="s">
        <v>2705</v>
      </c>
      <c r="BE887" s="865" cm="1">
        <f t="array" ref="BE887">IF(BD887="","",AC887/SUMPRODUCT(--(BD887=$BD$4:$BD$12824),$AC$4:$AC$12824))</f>
        <v>6.0997653392875495E-3</v>
      </c>
      <c r="BF887" s="458"/>
      <c r="BG887" s="458"/>
      <c r="BH887" s="458"/>
      <c r="BI887" s="458"/>
      <c r="BJ887" s="458"/>
      <c r="BK887" s="458"/>
      <c r="BL887" s="458"/>
      <c r="BM887" s="458"/>
      <c r="BN887" s="458"/>
      <c r="BO887" s="866">
        <f>VLOOKUP(BD887,$BD$4:$BN$12824,3,0)*BE887</f>
        <v>287654.868787991</v>
      </c>
      <c r="BP887" s="866"/>
      <c r="BQ887" s="866"/>
      <c r="BR887" s="866">
        <f>VLOOKUP(BD887,$BD$4:$BN$12824,6,0)*BE887</f>
        <v>82490.436370675176</v>
      </c>
      <c r="BS887" s="866">
        <f>VLOOKUP(BD887,$BD$4:$BN$12824,7,0)*BE887</f>
        <v>10661.602943345868</v>
      </c>
      <c r="BT887" s="866"/>
      <c r="BU887" s="866">
        <f>VLOOKUP(BD887,$BD$4:$BN$12824,9,0)*BE887</f>
        <v>0</v>
      </c>
      <c r="BV887" s="867"/>
      <c r="BW887" s="867">
        <f>VLOOKUP(BD887,$BD$4:$BN$12824,11,0)*BE887</f>
        <v>11857.943819574995</v>
      </c>
      <c r="BX887" s="1146">
        <f t="shared" si="165"/>
        <v>392664.85192158702</v>
      </c>
      <c r="BY887" s="867">
        <f t="shared" si="166"/>
        <v>5749036.5059607932</v>
      </c>
      <c r="BZ887" s="867">
        <f t="shared" si="163"/>
        <v>11498073.011921586</v>
      </c>
      <c r="CA887" s="867">
        <f>_xlfn.MAXIFS($BY$4:$BY$12824,$S$4:$S$12824,$S887)</f>
        <v>5749036.5059607932</v>
      </c>
      <c r="CB887" s="1032"/>
      <c r="CF887" s="946">
        <f t="shared" si="164"/>
        <v>11105408.16</v>
      </c>
    </row>
    <row r="888" spans="1:84">
      <c r="A888" s="1032"/>
      <c r="B888" s="839" t="s">
        <v>98</v>
      </c>
      <c r="C888" s="839" t="s">
        <v>2689</v>
      </c>
      <c r="D888" s="839" t="s">
        <v>2690</v>
      </c>
      <c r="E888" s="839" t="s">
        <v>2691</v>
      </c>
      <c r="F888" s="841">
        <v>45451</v>
      </c>
      <c r="G888" s="840" t="s">
        <v>2689</v>
      </c>
      <c r="H888" s="842" t="s">
        <v>134</v>
      </c>
      <c r="I888" s="842"/>
      <c r="J888" s="841"/>
      <c r="K888" s="841"/>
      <c r="L888" s="843" t="s">
        <v>106</v>
      </c>
      <c r="M888" s="844" t="s">
        <v>107</v>
      </c>
      <c r="N888" s="841" t="s">
        <v>2692</v>
      </c>
      <c r="O888" s="841" t="s">
        <v>150</v>
      </c>
      <c r="P888" s="841" t="s">
        <v>151</v>
      </c>
      <c r="Q888" s="843"/>
      <c r="R888" s="845" t="s">
        <v>3142</v>
      </c>
      <c r="S888" s="1127" t="s">
        <v>3146</v>
      </c>
      <c r="T888" s="843" t="s">
        <v>3147</v>
      </c>
      <c r="U888" s="842">
        <v>2</v>
      </c>
      <c r="V888" s="842" t="s">
        <v>3</v>
      </c>
      <c r="W888" s="846">
        <v>470</v>
      </c>
      <c r="X888" s="847">
        <f t="shared" si="158"/>
        <v>940</v>
      </c>
      <c r="Y888" s="848">
        <v>0.55000000000000004</v>
      </c>
      <c r="Z888" s="849">
        <v>211.5</v>
      </c>
      <c r="AA888" s="849"/>
      <c r="AB888" s="849">
        <f t="shared" si="159"/>
        <v>423</v>
      </c>
      <c r="AC888" s="850">
        <f t="shared" si="160"/>
        <v>423</v>
      </c>
      <c r="AD888" s="851"/>
      <c r="AE888" s="852">
        <v>26253.919999999998</v>
      </c>
      <c r="AF888" s="853">
        <v>0</v>
      </c>
      <c r="AG888" s="854">
        <f t="shared" si="161"/>
        <v>0</v>
      </c>
      <c r="AH888" s="853"/>
      <c r="AI888" s="855">
        <f t="shared" si="162"/>
        <v>0</v>
      </c>
      <c r="AJ888" s="845" t="s">
        <v>2695</v>
      </c>
      <c r="AK888" s="857">
        <v>45332</v>
      </c>
      <c r="AL888" s="840" t="s">
        <v>2696</v>
      </c>
      <c r="AM888" s="840"/>
      <c r="AN888" s="858"/>
      <c r="AO888" s="844" t="s">
        <v>2697</v>
      </c>
      <c r="AP888" s="859" t="s">
        <v>2698</v>
      </c>
      <c r="AQ888" s="859" t="s">
        <v>2698</v>
      </c>
      <c r="AR888" s="859" t="s">
        <v>2699</v>
      </c>
      <c r="AS888" s="840" t="s">
        <v>2700</v>
      </c>
      <c r="AT888" s="840" t="s">
        <v>1743</v>
      </c>
      <c r="AU888" s="860" t="s">
        <v>1285</v>
      </c>
      <c r="AV888" s="839" t="s">
        <v>2701</v>
      </c>
      <c r="AW888" s="861">
        <v>45646</v>
      </c>
      <c r="AX888" s="862" t="s">
        <v>2702</v>
      </c>
      <c r="AY888" s="843" t="s">
        <v>3148</v>
      </c>
      <c r="AZ888" s="842">
        <v>94017910</v>
      </c>
      <c r="BA888" s="842" t="s">
        <v>120</v>
      </c>
      <c r="BB888" s="863" t="s">
        <v>121</v>
      </c>
      <c r="BC888" s="864">
        <v>45650</v>
      </c>
      <c r="BD888" s="860" t="s">
        <v>2705</v>
      </c>
      <c r="BE888" s="865" cm="1">
        <f t="array" ref="BE888">IF(BD888="","",AC888/SUMPRODUCT(--(BD888=$BD$4:$BD$12824),$AC$4:$AC$12824))</f>
        <v>6.0997653392875495E-3</v>
      </c>
      <c r="BF888" s="458"/>
      <c r="BG888" s="458"/>
      <c r="BH888" s="458"/>
      <c r="BI888" s="458"/>
      <c r="BJ888" s="458"/>
      <c r="BK888" s="458"/>
      <c r="BL888" s="458"/>
      <c r="BM888" s="458"/>
      <c r="BN888" s="458"/>
      <c r="BO888" s="866">
        <f>VLOOKUP(BD888,$BD$4:$BN$12824,3,0)*BE888</f>
        <v>287654.868787991</v>
      </c>
      <c r="BP888" s="866"/>
      <c r="BQ888" s="866"/>
      <c r="BR888" s="866">
        <f>VLOOKUP(BD888,$BD$4:$BN$12824,6,0)*BE888</f>
        <v>82490.436370675176</v>
      </c>
      <c r="BS888" s="866">
        <f>VLOOKUP(BD888,$BD$4:$BN$12824,7,0)*BE888</f>
        <v>10661.602943345868</v>
      </c>
      <c r="BT888" s="866"/>
      <c r="BU888" s="866">
        <f>VLOOKUP(BD888,$BD$4:$BN$12824,9,0)*BE888</f>
        <v>0</v>
      </c>
      <c r="BV888" s="867"/>
      <c r="BW888" s="867">
        <f>VLOOKUP(BD888,$BD$4:$BN$12824,11,0)*BE888</f>
        <v>11857.943819574995</v>
      </c>
      <c r="BX888" s="1146">
        <f t="shared" si="165"/>
        <v>392664.85192158702</v>
      </c>
      <c r="BY888" s="867">
        <f t="shared" si="166"/>
        <v>5749036.5059607932</v>
      </c>
      <c r="BZ888" s="867">
        <f t="shared" si="163"/>
        <v>11498073.011921586</v>
      </c>
      <c r="CA888" s="867">
        <f>_xlfn.MAXIFS($BY$4:$BY$12824,$S$4:$S$12824,$S888)</f>
        <v>5749036.5059607932</v>
      </c>
      <c r="CB888" s="1032"/>
      <c r="CF888" s="946">
        <f t="shared" si="164"/>
        <v>11105408.16</v>
      </c>
    </row>
    <row r="889" spans="1:84">
      <c r="A889" s="1032"/>
      <c r="B889" s="839" t="s">
        <v>98</v>
      </c>
      <c r="C889" s="839" t="s">
        <v>2689</v>
      </c>
      <c r="D889" s="839" t="s">
        <v>2690</v>
      </c>
      <c r="E889" s="839" t="s">
        <v>2691</v>
      </c>
      <c r="F889" s="841">
        <v>45451</v>
      </c>
      <c r="G889" s="840" t="s">
        <v>2689</v>
      </c>
      <c r="H889" s="842" t="s">
        <v>134</v>
      </c>
      <c r="I889" s="842"/>
      <c r="J889" s="841"/>
      <c r="K889" s="841"/>
      <c r="L889" s="843" t="s">
        <v>106</v>
      </c>
      <c r="M889" s="844" t="s">
        <v>107</v>
      </c>
      <c r="N889" s="841" t="s">
        <v>2692</v>
      </c>
      <c r="O889" s="841" t="s">
        <v>150</v>
      </c>
      <c r="P889" s="841" t="s">
        <v>151</v>
      </c>
      <c r="Q889" s="843"/>
      <c r="R889" s="845" t="s">
        <v>3142</v>
      </c>
      <c r="S889" s="1127" t="s">
        <v>3149</v>
      </c>
      <c r="T889" s="843" t="s">
        <v>3150</v>
      </c>
      <c r="U889" s="842">
        <v>2</v>
      </c>
      <c r="V889" s="842" t="s">
        <v>3</v>
      </c>
      <c r="W889" s="846">
        <v>470</v>
      </c>
      <c r="X889" s="847">
        <f t="shared" si="158"/>
        <v>940</v>
      </c>
      <c r="Y889" s="848">
        <v>0.55000000000000004</v>
      </c>
      <c r="Z889" s="849">
        <v>211.5</v>
      </c>
      <c r="AA889" s="849"/>
      <c r="AB889" s="849">
        <f t="shared" si="159"/>
        <v>423</v>
      </c>
      <c r="AC889" s="850">
        <f t="shared" si="160"/>
        <v>423</v>
      </c>
      <c r="AD889" s="851"/>
      <c r="AE889" s="852">
        <v>26253.919999999998</v>
      </c>
      <c r="AF889" s="853">
        <v>0</v>
      </c>
      <c r="AG889" s="854">
        <f t="shared" si="161"/>
        <v>0</v>
      </c>
      <c r="AH889" s="853"/>
      <c r="AI889" s="855">
        <f t="shared" si="162"/>
        <v>0</v>
      </c>
      <c r="AJ889" s="845" t="s">
        <v>2695</v>
      </c>
      <c r="AK889" s="857">
        <v>45332</v>
      </c>
      <c r="AL889" s="840" t="s">
        <v>2696</v>
      </c>
      <c r="AM889" s="840"/>
      <c r="AN889" s="858"/>
      <c r="AO889" s="844" t="s">
        <v>2697</v>
      </c>
      <c r="AP889" s="859" t="s">
        <v>2698</v>
      </c>
      <c r="AQ889" s="859" t="s">
        <v>2698</v>
      </c>
      <c r="AR889" s="859" t="s">
        <v>2699</v>
      </c>
      <c r="AS889" s="840" t="s">
        <v>2700</v>
      </c>
      <c r="AT889" s="840" t="s">
        <v>1743</v>
      </c>
      <c r="AU889" s="860" t="s">
        <v>1285</v>
      </c>
      <c r="AV889" s="839" t="s">
        <v>2701</v>
      </c>
      <c r="AW889" s="861">
        <v>45646</v>
      </c>
      <c r="AX889" s="862" t="s">
        <v>2702</v>
      </c>
      <c r="AY889" s="843" t="s">
        <v>3151</v>
      </c>
      <c r="AZ889" s="842">
        <v>94017910</v>
      </c>
      <c r="BA889" s="842" t="s">
        <v>120</v>
      </c>
      <c r="BB889" s="863" t="s">
        <v>121</v>
      </c>
      <c r="BC889" s="864">
        <v>45650</v>
      </c>
      <c r="BD889" s="860" t="s">
        <v>2705</v>
      </c>
      <c r="BE889" s="865" cm="1">
        <f t="array" ref="BE889">IF(BD889="","",AC889/SUMPRODUCT(--(BD889=$BD$4:$BD$12824),$AC$4:$AC$12824))</f>
        <v>6.0997653392875495E-3</v>
      </c>
      <c r="BF889" s="458"/>
      <c r="BG889" s="458"/>
      <c r="BH889" s="458"/>
      <c r="BI889" s="458"/>
      <c r="BJ889" s="458"/>
      <c r="BK889" s="458"/>
      <c r="BL889" s="458"/>
      <c r="BM889" s="458"/>
      <c r="BN889" s="458"/>
      <c r="BO889" s="866">
        <f>VLOOKUP(BD889,$BD$4:$BN$12824,3,0)*BE889</f>
        <v>287654.868787991</v>
      </c>
      <c r="BP889" s="866"/>
      <c r="BQ889" s="866"/>
      <c r="BR889" s="866">
        <f>VLOOKUP(BD889,$BD$4:$BN$12824,6,0)*BE889</f>
        <v>82490.436370675176</v>
      </c>
      <c r="BS889" s="866">
        <f>VLOOKUP(BD889,$BD$4:$BN$12824,7,0)*BE889</f>
        <v>10661.602943345868</v>
      </c>
      <c r="BT889" s="866"/>
      <c r="BU889" s="866">
        <f>VLOOKUP(BD889,$BD$4:$BN$12824,9,0)*BE889</f>
        <v>0</v>
      </c>
      <c r="BV889" s="867"/>
      <c r="BW889" s="867">
        <f>VLOOKUP(BD889,$BD$4:$BN$12824,11,0)*BE889</f>
        <v>11857.943819574995</v>
      </c>
      <c r="BX889" s="1146">
        <f t="shared" si="165"/>
        <v>392664.85192158702</v>
      </c>
      <c r="BY889" s="867">
        <f t="shared" si="166"/>
        <v>5749036.5059607932</v>
      </c>
      <c r="BZ889" s="867">
        <f t="shared" si="163"/>
        <v>11498073.011921586</v>
      </c>
      <c r="CA889" s="867">
        <f>_xlfn.MAXIFS($BY$4:$BY$12824,$S$4:$S$12824,$S889)</f>
        <v>5749036.5059607932</v>
      </c>
      <c r="CB889" s="1032"/>
      <c r="CF889" s="946">
        <f t="shared" si="164"/>
        <v>11105408.16</v>
      </c>
    </row>
    <row r="890" spans="1:84">
      <c r="A890" s="1032"/>
      <c r="B890" s="839" t="s">
        <v>98</v>
      </c>
      <c r="C890" s="839" t="s">
        <v>2689</v>
      </c>
      <c r="D890" s="839" t="s">
        <v>2690</v>
      </c>
      <c r="E890" s="839" t="s">
        <v>2691</v>
      </c>
      <c r="F890" s="841">
        <v>45451</v>
      </c>
      <c r="G890" s="840" t="s">
        <v>2689</v>
      </c>
      <c r="H890" s="842" t="s">
        <v>134</v>
      </c>
      <c r="I890" s="842"/>
      <c r="J890" s="841"/>
      <c r="K890" s="841"/>
      <c r="L890" s="843" t="s">
        <v>106</v>
      </c>
      <c r="M890" s="844" t="s">
        <v>107</v>
      </c>
      <c r="N890" s="841" t="s">
        <v>2692</v>
      </c>
      <c r="O890" s="841" t="s">
        <v>150</v>
      </c>
      <c r="P890" s="841" t="s">
        <v>151</v>
      </c>
      <c r="Q890" s="843"/>
      <c r="R890" s="845" t="s">
        <v>3142</v>
      </c>
      <c r="S890" s="1127" t="s">
        <v>3152</v>
      </c>
      <c r="T890" s="843" t="s">
        <v>3153</v>
      </c>
      <c r="U890" s="842">
        <v>2</v>
      </c>
      <c r="V890" s="842" t="s">
        <v>3</v>
      </c>
      <c r="W890" s="846">
        <v>470</v>
      </c>
      <c r="X890" s="847">
        <f t="shared" si="158"/>
        <v>940</v>
      </c>
      <c r="Y890" s="848">
        <v>0.55000000000000004</v>
      </c>
      <c r="Z890" s="849">
        <v>211.5</v>
      </c>
      <c r="AA890" s="849"/>
      <c r="AB890" s="849">
        <f t="shared" si="159"/>
        <v>423</v>
      </c>
      <c r="AC890" s="850">
        <f t="shared" si="160"/>
        <v>423</v>
      </c>
      <c r="AD890" s="851"/>
      <c r="AE890" s="852">
        <v>26253.919999999998</v>
      </c>
      <c r="AF890" s="853">
        <v>0</v>
      </c>
      <c r="AG890" s="854">
        <f t="shared" si="161"/>
        <v>0</v>
      </c>
      <c r="AH890" s="853"/>
      <c r="AI890" s="855">
        <f t="shared" si="162"/>
        <v>0</v>
      </c>
      <c r="AJ890" s="845" t="s">
        <v>2695</v>
      </c>
      <c r="AK890" s="857">
        <v>45332</v>
      </c>
      <c r="AL890" s="840" t="s">
        <v>2696</v>
      </c>
      <c r="AM890" s="840"/>
      <c r="AN890" s="858"/>
      <c r="AO890" s="844" t="s">
        <v>2697</v>
      </c>
      <c r="AP890" s="859" t="s">
        <v>2698</v>
      </c>
      <c r="AQ890" s="859" t="s">
        <v>2698</v>
      </c>
      <c r="AR890" s="859" t="s">
        <v>2699</v>
      </c>
      <c r="AS890" s="840" t="s">
        <v>2700</v>
      </c>
      <c r="AT890" s="840" t="s">
        <v>1743</v>
      </c>
      <c r="AU890" s="860" t="s">
        <v>1285</v>
      </c>
      <c r="AV890" s="839" t="s">
        <v>2701</v>
      </c>
      <c r="AW890" s="861">
        <v>45646</v>
      </c>
      <c r="AX890" s="862" t="s">
        <v>2702</v>
      </c>
      <c r="AY890" s="843" t="s">
        <v>3154</v>
      </c>
      <c r="AZ890" s="842">
        <v>94017910</v>
      </c>
      <c r="BA890" s="842" t="s">
        <v>120</v>
      </c>
      <c r="BB890" s="863" t="s">
        <v>121</v>
      </c>
      <c r="BC890" s="864">
        <v>45650</v>
      </c>
      <c r="BD890" s="860" t="s">
        <v>2705</v>
      </c>
      <c r="BE890" s="865" cm="1">
        <f t="array" ref="BE890">IF(BD890="","",AC890/SUMPRODUCT(--(BD890=$BD$4:$BD$12824),$AC$4:$AC$12824))</f>
        <v>6.0997653392875495E-3</v>
      </c>
      <c r="BF890" s="458"/>
      <c r="BG890" s="458"/>
      <c r="BH890" s="458"/>
      <c r="BI890" s="458"/>
      <c r="BJ890" s="458"/>
      <c r="BK890" s="458"/>
      <c r="BL890" s="458"/>
      <c r="BM890" s="458"/>
      <c r="BN890" s="458"/>
      <c r="BO890" s="866">
        <f>VLOOKUP(BD890,$BD$4:$BN$12824,3,0)*BE890</f>
        <v>287654.868787991</v>
      </c>
      <c r="BP890" s="866"/>
      <c r="BQ890" s="866"/>
      <c r="BR890" s="866">
        <f>VLOOKUP(BD890,$BD$4:$BN$12824,6,0)*BE890</f>
        <v>82490.436370675176</v>
      </c>
      <c r="BS890" s="866">
        <f>VLOOKUP(BD890,$BD$4:$BN$12824,7,0)*BE890</f>
        <v>10661.602943345868</v>
      </c>
      <c r="BT890" s="866"/>
      <c r="BU890" s="866">
        <f>VLOOKUP(BD890,$BD$4:$BN$12824,9,0)*BE890</f>
        <v>0</v>
      </c>
      <c r="BV890" s="867"/>
      <c r="BW890" s="867">
        <f>VLOOKUP(BD890,$BD$4:$BN$12824,11,0)*BE890</f>
        <v>11857.943819574995</v>
      </c>
      <c r="BX890" s="1146">
        <f t="shared" si="165"/>
        <v>392664.85192158702</v>
      </c>
      <c r="BY890" s="867">
        <f t="shared" si="166"/>
        <v>5749036.5059607932</v>
      </c>
      <c r="BZ890" s="867">
        <f t="shared" si="163"/>
        <v>11498073.011921586</v>
      </c>
      <c r="CA890" s="867">
        <f>_xlfn.MAXIFS($BY$4:$BY$12824,$S$4:$S$12824,$S890)</f>
        <v>5749036.5059607932</v>
      </c>
      <c r="CB890" s="1032"/>
      <c r="CF890" s="946">
        <f t="shared" si="164"/>
        <v>11105408.16</v>
      </c>
    </row>
    <row r="891" spans="1:84">
      <c r="A891" s="1032"/>
      <c r="B891" s="839" t="s">
        <v>98</v>
      </c>
      <c r="C891" s="839" t="s">
        <v>2689</v>
      </c>
      <c r="D891" s="839" t="s">
        <v>2690</v>
      </c>
      <c r="E891" s="839" t="s">
        <v>2691</v>
      </c>
      <c r="F891" s="841">
        <v>45451</v>
      </c>
      <c r="G891" s="840" t="s">
        <v>2689</v>
      </c>
      <c r="H891" s="842" t="s">
        <v>134</v>
      </c>
      <c r="I891" s="842"/>
      <c r="J891" s="841"/>
      <c r="K891" s="841"/>
      <c r="L891" s="843" t="s">
        <v>106</v>
      </c>
      <c r="M891" s="844" t="s">
        <v>107</v>
      </c>
      <c r="N891" s="841" t="s">
        <v>2692</v>
      </c>
      <c r="O891" s="841" t="s">
        <v>150</v>
      </c>
      <c r="P891" s="841" t="s">
        <v>151</v>
      </c>
      <c r="Q891" s="843"/>
      <c r="R891" s="845" t="s">
        <v>3155</v>
      </c>
      <c r="S891" s="1127" t="s">
        <v>3156</v>
      </c>
      <c r="T891" s="843" t="s">
        <v>3157</v>
      </c>
      <c r="U891" s="842">
        <v>2</v>
      </c>
      <c r="V891" s="842" t="s">
        <v>3</v>
      </c>
      <c r="W891" s="846">
        <v>275.66666666666663</v>
      </c>
      <c r="X891" s="847">
        <f t="shared" si="158"/>
        <v>551.33333333333326</v>
      </c>
      <c r="Y891" s="848">
        <v>0.55000000000000004</v>
      </c>
      <c r="Z891" s="849">
        <v>124.05</v>
      </c>
      <c r="AA891" s="849"/>
      <c r="AB891" s="849">
        <f t="shared" si="159"/>
        <v>248.1</v>
      </c>
      <c r="AC891" s="850">
        <f t="shared" si="160"/>
        <v>248.1</v>
      </c>
      <c r="AD891" s="851"/>
      <c r="AE891" s="852">
        <v>26253.919999999998</v>
      </c>
      <c r="AF891" s="853">
        <v>0</v>
      </c>
      <c r="AG891" s="854">
        <f t="shared" si="161"/>
        <v>0</v>
      </c>
      <c r="AH891" s="853"/>
      <c r="AI891" s="855">
        <f t="shared" si="162"/>
        <v>0</v>
      </c>
      <c r="AJ891" s="845" t="s">
        <v>2695</v>
      </c>
      <c r="AK891" s="857">
        <v>45332</v>
      </c>
      <c r="AL891" s="840" t="s">
        <v>2696</v>
      </c>
      <c r="AM891" s="840"/>
      <c r="AN891" s="858"/>
      <c r="AO891" s="844" t="s">
        <v>2697</v>
      </c>
      <c r="AP891" s="859" t="s">
        <v>2698</v>
      </c>
      <c r="AQ891" s="859" t="s">
        <v>2698</v>
      </c>
      <c r="AR891" s="859" t="s">
        <v>2699</v>
      </c>
      <c r="AS891" s="840" t="s">
        <v>2700</v>
      </c>
      <c r="AT891" s="840" t="s">
        <v>1743</v>
      </c>
      <c r="AU891" s="860" t="s">
        <v>1285</v>
      </c>
      <c r="AV891" s="839" t="s">
        <v>2701</v>
      </c>
      <c r="AW891" s="861">
        <v>45646</v>
      </c>
      <c r="AX891" s="862" t="s">
        <v>2702</v>
      </c>
      <c r="AY891" s="843" t="s">
        <v>3158</v>
      </c>
      <c r="AZ891" s="842">
        <v>94018000</v>
      </c>
      <c r="BA891" s="842" t="s">
        <v>120</v>
      </c>
      <c r="BB891" s="863" t="s">
        <v>121</v>
      </c>
      <c r="BC891" s="864">
        <v>45650</v>
      </c>
      <c r="BD891" s="860" t="s">
        <v>2705</v>
      </c>
      <c r="BE891" s="865" cm="1">
        <f t="array" ref="BE891">IF(BD891="","",AC891/SUMPRODUCT(--(BD891=$BD$4:$BD$12824),$AC$4:$AC$12824))</f>
        <v>3.5776637841069526E-3</v>
      </c>
      <c r="BF891" s="458"/>
      <c r="BG891" s="458"/>
      <c r="BH891" s="458"/>
      <c r="BI891" s="458"/>
      <c r="BJ891" s="458"/>
      <c r="BK891" s="458"/>
      <c r="BL891" s="458"/>
      <c r="BM891" s="458"/>
      <c r="BN891" s="458"/>
      <c r="BO891" s="866">
        <f>VLOOKUP(BD891,$BD$4:$BN$12824,3,0)*BE891</f>
        <v>168716.7209132401</v>
      </c>
      <c r="BP891" s="866"/>
      <c r="BQ891" s="866"/>
      <c r="BR891" s="866">
        <f>VLOOKUP(BD891,$BD$4:$BN$12824,6,0)*BE891</f>
        <v>48382.688566346362</v>
      </c>
      <c r="BS891" s="866">
        <f>VLOOKUP(BD891,$BD$4:$BN$12824,7,0)*BE891</f>
        <v>6253.2947759908029</v>
      </c>
      <c r="BT891" s="866"/>
      <c r="BU891" s="866">
        <f>VLOOKUP(BD891,$BD$4:$BN$12824,9,0)*BE891</f>
        <v>0</v>
      </c>
      <c r="BV891" s="867"/>
      <c r="BW891" s="867">
        <f>VLOOKUP(BD891,$BD$4:$BN$12824,11,0)*BE891</f>
        <v>6954.9783963039154</v>
      </c>
      <c r="BX891" s="1146">
        <f t="shared" si="165"/>
        <v>230307.68265188119</v>
      </c>
      <c r="BY891" s="867">
        <f t="shared" si="166"/>
        <v>3371952.6173259402</v>
      </c>
      <c r="BZ891" s="867">
        <f t="shared" si="163"/>
        <v>6743905.2346518803</v>
      </c>
      <c r="CA891" s="867">
        <f>_xlfn.MAXIFS($BY$4:$BY$12824,$S$4:$S$12824,$S891)</f>
        <v>3371952.6173259402</v>
      </c>
      <c r="CB891" s="1032"/>
      <c r="CF891" s="946">
        <f t="shared" si="164"/>
        <v>6513597.5519999992</v>
      </c>
    </row>
    <row r="892" spans="1:84">
      <c r="A892" s="1032"/>
      <c r="B892" s="839" t="s">
        <v>98</v>
      </c>
      <c r="C892" s="839" t="s">
        <v>2689</v>
      </c>
      <c r="D892" s="839" t="s">
        <v>2690</v>
      </c>
      <c r="E892" s="839" t="s">
        <v>2691</v>
      </c>
      <c r="F892" s="841">
        <v>45451</v>
      </c>
      <c r="G892" s="840" t="s">
        <v>2689</v>
      </c>
      <c r="H892" s="842" t="s">
        <v>134</v>
      </c>
      <c r="I892" s="842"/>
      <c r="J892" s="841"/>
      <c r="K892" s="841"/>
      <c r="L892" s="843" t="s">
        <v>106</v>
      </c>
      <c r="M892" s="844" t="s">
        <v>107</v>
      </c>
      <c r="N892" s="841" t="s">
        <v>2692</v>
      </c>
      <c r="O892" s="841" t="s">
        <v>150</v>
      </c>
      <c r="P892" s="841" t="s">
        <v>151</v>
      </c>
      <c r="Q892" s="843"/>
      <c r="R892" s="845" t="s">
        <v>3159</v>
      </c>
      <c r="S892" s="1127" t="s">
        <v>3160</v>
      </c>
      <c r="T892" s="843" t="s">
        <v>3161</v>
      </c>
      <c r="U892" s="842">
        <v>6</v>
      </c>
      <c r="V892" s="842" t="s">
        <v>3</v>
      </c>
      <c r="W892" s="846">
        <v>389</v>
      </c>
      <c r="X892" s="847">
        <f t="shared" si="158"/>
        <v>2334</v>
      </c>
      <c r="Y892" s="848">
        <v>0.55000000000000004</v>
      </c>
      <c r="Z892" s="849">
        <v>175.05</v>
      </c>
      <c r="AA892" s="849"/>
      <c r="AB892" s="849">
        <f t="shared" si="159"/>
        <v>1050.3000000000002</v>
      </c>
      <c r="AC892" s="850">
        <f t="shared" si="160"/>
        <v>1050.3000000000002</v>
      </c>
      <c r="AD892" s="851"/>
      <c r="AE892" s="852">
        <v>26253.919999999998</v>
      </c>
      <c r="AF892" s="853">
        <v>0</v>
      </c>
      <c r="AG892" s="854">
        <f t="shared" si="161"/>
        <v>0</v>
      </c>
      <c r="AH892" s="853"/>
      <c r="AI892" s="855">
        <f t="shared" si="162"/>
        <v>0</v>
      </c>
      <c r="AJ892" s="845" t="s">
        <v>2695</v>
      </c>
      <c r="AK892" s="857">
        <v>45332</v>
      </c>
      <c r="AL892" s="840" t="s">
        <v>2696</v>
      </c>
      <c r="AM892" s="840"/>
      <c r="AN892" s="858"/>
      <c r="AO892" s="844" t="s">
        <v>2697</v>
      </c>
      <c r="AP892" s="859" t="s">
        <v>2698</v>
      </c>
      <c r="AQ892" s="859" t="s">
        <v>2698</v>
      </c>
      <c r="AR892" s="859" t="s">
        <v>2699</v>
      </c>
      <c r="AS892" s="840" t="s">
        <v>2700</v>
      </c>
      <c r="AT892" s="840" t="s">
        <v>1743</v>
      </c>
      <c r="AU892" s="860" t="s">
        <v>1285</v>
      </c>
      <c r="AV892" s="839" t="s">
        <v>2701</v>
      </c>
      <c r="AW892" s="861">
        <v>45646</v>
      </c>
      <c r="AX892" s="862" t="s">
        <v>2702</v>
      </c>
      <c r="AY892" s="843" t="s">
        <v>3162</v>
      </c>
      <c r="AZ892" s="842">
        <v>94017910</v>
      </c>
      <c r="BA892" s="842" t="s">
        <v>120</v>
      </c>
      <c r="BB892" s="863" t="s">
        <v>121</v>
      </c>
      <c r="BC892" s="864">
        <v>45650</v>
      </c>
      <c r="BD892" s="860" t="s">
        <v>2705</v>
      </c>
      <c r="BE892" s="865" cm="1">
        <f t="array" ref="BE892">IF(BD892="","",AC892/SUMPRODUCT(--(BD892=$BD$4:$BD$12824),$AC$4:$AC$12824))</f>
        <v>1.5145587555209727E-2</v>
      </c>
      <c r="BF892" s="458"/>
      <c r="BG892" s="458"/>
      <c r="BH892" s="458"/>
      <c r="BI892" s="458"/>
      <c r="BJ892" s="458"/>
      <c r="BK892" s="458"/>
      <c r="BL892" s="458"/>
      <c r="BM892" s="458"/>
      <c r="BN892" s="458"/>
      <c r="BO892" s="866">
        <f>VLOOKUP(BD892,$BD$4:$BN$12824,3,0)*BE892</f>
        <v>714240.91888422461</v>
      </c>
      <c r="BP892" s="866"/>
      <c r="BQ892" s="866"/>
      <c r="BR892" s="866">
        <f>VLOOKUP(BD892,$BD$4:$BN$12824,6,0)*BE892</f>
        <v>204821.99839271905</v>
      </c>
      <c r="BS892" s="866">
        <f>VLOOKUP(BD892,$BD$4:$BN$12824,7,0)*BE892</f>
        <v>26472.53326571198</v>
      </c>
      <c r="BT892" s="866"/>
      <c r="BU892" s="866">
        <f>VLOOKUP(BD892,$BD$4:$BN$12824,9,0)*BE892</f>
        <v>0</v>
      </c>
      <c r="BV892" s="867"/>
      <c r="BW892" s="867">
        <f>VLOOKUP(BD892,$BD$4:$BN$12824,11,0)*BE892</f>
        <v>29443.022207327711</v>
      </c>
      <c r="BX892" s="1146">
        <f t="shared" si="165"/>
        <v>974978.47274998343</v>
      </c>
      <c r="BY892" s="867">
        <f t="shared" si="166"/>
        <v>4758245.1081249975</v>
      </c>
      <c r="BZ892" s="867">
        <f t="shared" si="163"/>
        <v>28549470.648749985</v>
      </c>
      <c r="CA892" s="867">
        <f>_xlfn.MAXIFS($BY$4:$BY$12824,$S$4:$S$12824,$S892)</f>
        <v>4758245.1081249975</v>
      </c>
      <c r="CB892" s="1032"/>
      <c r="CF892" s="946">
        <f t="shared" si="164"/>
        <v>27574492.176000003</v>
      </c>
    </row>
    <row r="893" spans="1:84">
      <c r="A893" s="1032"/>
      <c r="B893" s="839" t="s">
        <v>98</v>
      </c>
      <c r="C893" s="839" t="s">
        <v>2689</v>
      </c>
      <c r="D893" s="839" t="s">
        <v>2690</v>
      </c>
      <c r="E893" s="839" t="s">
        <v>2691</v>
      </c>
      <c r="F893" s="841">
        <v>45451</v>
      </c>
      <c r="G893" s="840" t="s">
        <v>2689</v>
      </c>
      <c r="H893" s="842" t="s">
        <v>134</v>
      </c>
      <c r="I893" s="842"/>
      <c r="J893" s="841"/>
      <c r="K893" s="841"/>
      <c r="L893" s="843" t="s">
        <v>106</v>
      </c>
      <c r="M893" s="844" t="s">
        <v>107</v>
      </c>
      <c r="N893" s="841" t="s">
        <v>2692</v>
      </c>
      <c r="O893" s="841" t="s">
        <v>150</v>
      </c>
      <c r="P893" s="841" t="s">
        <v>151</v>
      </c>
      <c r="Q893" s="843"/>
      <c r="R893" s="845" t="s">
        <v>3163</v>
      </c>
      <c r="S893" s="1127" t="s">
        <v>3164</v>
      </c>
      <c r="T893" s="843" t="s">
        <v>3165</v>
      </c>
      <c r="U893" s="842">
        <v>2</v>
      </c>
      <c r="V893" s="842" t="s">
        <v>3</v>
      </c>
      <c r="W893" s="846">
        <v>311.66666666666669</v>
      </c>
      <c r="X893" s="847">
        <f t="shared" si="158"/>
        <v>623.33333333333337</v>
      </c>
      <c r="Y893" s="848">
        <v>0.55000000000000004</v>
      </c>
      <c r="Z893" s="849">
        <v>140.25</v>
      </c>
      <c r="AA893" s="849"/>
      <c r="AB893" s="849">
        <f t="shared" si="159"/>
        <v>280.5</v>
      </c>
      <c r="AC893" s="850">
        <f t="shared" si="160"/>
        <v>280.5</v>
      </c>
      <c r="AD893" s="851"/>
      <c r="AE893" s="852">
        <v>26253.919999999998</v>
      </c>
      <c r="AF893" s="853">
        <v>0</v>
      </c>
      <c r="AG893" s="854">
        <f t="shared" si="161"/>
        <v>0</v>
      </c>
      <c r="AH893" s="853"/>
      <c r="AI893" s="855">
        <f t="shared" si="162"/>
        <v>0</v>
      </c>
      <c r="AJ893" s="845" t="s">
        <v>2695</v>
      </c>
      <c r="AK893" s="857">
        <v>45332</v>
      </c>
      <c r="AL893" s="840" t="s">
        <v>2696</v>
      </c>
      <c r="AM893" s="840"/>
      <c r="AN893" s="858"/>
      <c r="AO893" s="844" t="s">
        <v>2697</v>
      </c>
      <c r="AP893" s="859" t="s">
        <v>2698</v>
      </c>
      <c r="AQ893" s="859" t="s">
        <v>2698</v>
      </c>
      <c r="AR893" s="859" t="s">
        <v>2699</v>
      </c>
      <c r="AS893" s="840" t="s">
        <v>2700</v>
      </c>
      <c r="AT893" s="840" t="s">
        <v>1743</v>
      </c>
      <c r="AU893" s="860" t="s">
        <v>1285</v>
      </c>
      <c r="AV893" s="839" t="s">
        <v>2701</v>
      </c>
      <c r="AW893" s="861">
        <v>45646</v>
      </c>
      <c r="AX893" s="862" t="s">
        <v>2702</v>
      </c>
      <c r="AY893" s="843" t="s">
        <v>3166</v>
      </c>
      <c r="AZ893" s="842">
        <v>94018000</v>
      </c>
      <c r="BA893" s="842" t="s">
        <v>120</v>
      </c>
      <c r="BB893" s="863" t="s">
        <v>121</v>
      </c>
      <c r="BC893" s="864">
        <v>45650</v>
      </c>
      <c r="BD893" s="860" t="s">
        <v>2705</v>
      </c>
      <c r="BE893" s="865" cm="1">
        <f t="array" ref="BE893">IF(BD893="","",AC893/SUMPRODUCT(--(BD893=$BD$4:$BD$12824),$AC$4:$AC$12824))</f>
        <v>4.0448798526481269E-3</v>
      </c>
      <c r="BF893" s="458"/>
      <c r="BG893" s="458"/>
      <c r="BH893" s="458"/>
      <c r="BI893" s="458"/>
      <c r="BJ893" s="458"/>
      <c r="BK893" s="458"/>
      <c r="BL893" s="458"/>
      <c r="BM893" s="458"/>
      <c r="BN893" s="458"/>
      <c r="BO893" s="866">
        <f>VLOOKUP(BD893,$BD$4:$BN$12824,3,0)*BE893</f>
        <v>190749.85979912878</v>
      </c>
      <c r="BP893" s="866"/>
      <c r="BQ893" s="866"/>
      <c r="BR893" s="866">
        <f>VLOOKUP(BD893,$BD$4:$BN$12824,6,0)*BE893</f>
        <v>54701.104969206586</v>
      </c>
      <c r="BS893" s="866">
        <f>VLOOKUP(BD893,$BD$4:$BN$12824,7,0)*BE893</f>
        <v>7069.9281929279341</v>
      </c>
      <c r="BT893" s="866"/>
      <c r="BU893" s="866">
        <f>VLOOKUP(BD893,$BD$4:$BN$12824,9,0)*BE893</f>
        <v>0</v>
      </c>
      <c r="BV893" s="867"/>
      <c r="BW893" s="867">
        <f>VLOOKUP(BD893,$BD$4:$BN$12824,11,0)*BE893</f>
        <v>7863.246433547959</v>
      </c>
      <c r="BX893" s="1146">
        <f t="shared" si="165"/>
        <v>260384.13939481127</v>
      </c>
      <c r="BY893" s="867">
        <f t="shared" si="166"/>
        <v>3812304.3496974055</v>
      </c>
      <c r="BZ893" s="867">
        <f t="shared" si="163"/>
        <v>7624608.6993948109</v>
      </c>
      <c r="CA893" s="867">
        <f>_xlfn.MAXIFS($BY$4:$BY$12824,$S$4:$S$12824,$S893)</f>
        <v>3812304.3496974055</v>
      </c>
      <c r="CB893" s="1032"/>
      <c r="CF893" s="946">
        <f t="shared" si="164"/>
        <v>7364224.5599999996</v>
      </c>
    </row>
    <row r="894" spans="1:84">
      <c r="A894" s="1032"/>
      <c r="B894" s="839" t="s">
        <v>98</v>
      </c>
      <c r="C894" s="839" t="s">
        <v>2689</v>
      </c>
      <c r="D894" s="839" t="s">
        <v>2690</v>
      </c>
      <c r="E894" s="839" t="s">
        <v>2691</v>
      </c>
      <c r="F894" s="841">
        <v>45451</v>
      </c>
      <c r="G894" s="840" t="s">
        <v>2689</v>
      </c>
      <c r="H894" s="842" t="s">
        <v>134</v>
      </c>
      <c r="I894" s="842"/>
      <c r="J894" s="841"/>
      <c r="K894" s="841"/>
      <c r="L894" s="843" t="s">
        <v>106</v>
      </c>
      <c r="M894" s="844" t="s">
        <v>107</v>
      </c>
      <c r="N894" s="841" t="s">
        <v>2692</v>
      </c>
      <c r="O894" s="841" t="s">
        <v>150</v>
      </c>
      <c r="P894" s="841" t="s">
        <v>151</v>
      </c>
      <c r="Q894" s="843"/>
      <c r="R894" s="845" t="s">
        <v>3167</v>
      </c>
      <c r="S894" s="1127" t="s">
        <v>3168</v>
      </c>
      <c r="T894" s="843" t="s">
        <v>3169</v>
      </c>
      <c r="U894" s="842">
        <v>2</v>
      </c>
      <c r="V894" s="842" t="s">
        <v>3</v>
      </c>
      <c r="W894" s="846">
        <v>2790</v>
      </c>
      <c r="X894" s="847">
        <f t="shared" si="158"/>
        <v>5580</v>
      </c>
      <c r="Y894" s="848">
        <v>0.55000000000000004</v>
      </c>
      <c r="Z894" s="849">
        <v>1255.5</v>
      </c>
      <c r="AA894" s="849"/>
      <c r="AB894" s="849">
        <f t="shared" si="159"/>
        <v>2511</v>
      </c>
      <c r="AC894" s="850">
        <f t="shared" si="160"/>
        <v>2511</v>
      </c>
      <c r="AD894" s="851"/>
      <c r="AE894" s="852">
        <v>26253.919999999998</v>
      </c>
      <c r="AF894" s="853">
        <v>0</v>
      </c>
      <c r="AG894" s="854">
        <f t="shared" si="161"/>
        <v>0</v>
      </c>
      <c r="AH894" s="853"/>
      <c r="AI894" s="855">
        <f t="shared" si="162"/>
        <v>0</v>
      </c>
      <c r="AJ894" s="845" t="s">
        <v>2695</v>
      </c>
      <c r="AK894" s="857">
        <v>45332</v>
      </c>
      <c r="AL894" s="840" t="s">
        <v>2696</v>
      </c>
      <c r="AM894" s="840"/>
      <c r="AN894" s="858"/>
      <c r="AO894" s="844" t="s">
        <v>2697</v>
      </c>
      <c r="AP894" s="859" t="s">
        <v>2698</v>
      </c>
      <c r="AQ894" s="859" t="s">
        <v>2698</v>
      </c>
      <c r="AR894" s="859" t="s">
        <v>2699</v>
      </c>
      <c r="AS894" s="840" t="s">
        <v>2700</v>
      </c>
      <c r="AT894" s="840" t="s">
        <v>1743</v>
      </c>
      <c r="AU894" s="860" t="s">
        <v>1285</v>
      </c>
      <c r="AV894" s="839" t="s">
        <v>2701</v>
      </c>
      <c r="AW894" s="861">
        <v>45646</v>
      </c>
      <c r="AX894" s="862" t="s">
        <v>2702</v>
      </c>
      <c r="AY894" s="843" t="s">
        <v>3170</v>
      </c>
      <c r="AZ894" s="842">
        <v>94017100</v>
      </c>
      <c r="BA894" s="842" t="s">
        <v>120</v>
      </c>
      <c r="BB894" s="863" t="s">
        <v>121</v>
      </c>
      <c r="BC894" s="864">
        <v>45650</v>
      </c>
      <c r="BD894" s="860" t="s">
        <v>2705</v>
      </c>
      <c r="BE894" s="865" cm="1">
        <f t="array" ref="BE894">IF(BD894="","",AC894/SUMPRODUCT(--(BD894=$BD$4:$BD$12824),$AC$4:$AC$12824))</f>
        <v>3.6209245311940988E-2</v>
      </c>
      <c r="BF894" s="458"/>
      <c r="BG894" s="458"/>
      <c r="BH894" s="458"/>
      <c r="BI894" s="458"/>
      <c r="BJ894" s="458"/>
      <c r="BK894" s="458"/>
      <c r="BL894" s="458"/>
      <c r="BM894" s="458"/>
      <c r="BN894" s="458"/>
      <c r="BO894" s="866">
        <f>VLOOKUP(BD894,$BD$4:$BN$12824,3,0)*BE894</f>
        <v>1707568.2636563722</v>
      </c>
      <c r="BP894" s="866"/>
      <c r="BQ894" s="866"/>
      <c r="BR894" s="866">
        <f>VLOOKUP(BD894,$BD$4:$BN$12824,6,0)*BE894</f>
        <v>489677.27122166759</v>
      </c>
      <c r="BS894" s="866">
        <f>VLOOKUP(BD894,$BD$4:$BN$12824,7,0)*BE894</f>
        <v>63289.089812627608</v>
      </c>
      <c r="BT894" s="866"/>
      <c r="BU894" s="866">
        <f>VLOOKUP(BD894,$BD$4:$BN$12824,9,0)*BE894</f>
        <v>0</v>
      </c>
      <c r="BV894" s="867"/>
      <c r="BW894" s="867">
        <f>VLOOKUP(BD894,$BD$4:$BN$12824,11,0)*BE894</f>
        <v>70390.772886413281</v>
      </c>
      <c r="BX894" s="1146">
        <f t="shared" si="165"/>
        <v>2330925.3975770804</v>
      </c>
      <c r="BY894" s="867">
        <f t="shared" si="166"/>
        <v>34127259.258788541</v>
      </c>
      <c r="BZ894" s="867">
        <f t="shared" si="163"/>
        <v>68254518.517577082</v>
      </c>
      <c r="CA894" s="867">
        <f>_xlfn.MAXIFS($BY$4:$BY$12824,$S$4:$S$12824,$S894)</f>
        <v>34127259.258788541</v>
      </c>
      <c r="CB894" s="1032"/>
      <c r="CF894" s="946">
        <f t="shared" si="164"/>
        <v>65923593.119999997</v>
      </c>
    </row>
    <row r="895" spans="1:84">
      <c r="A895" s="1032"/>
      <c r="B895" s="839" t="s">
        <v>98</v>
      </c>
      <c r="C895" s="839" t="s">
        <v>2689</v>
      </c>
      <c r="D895" s="839" t="s">
        <v>2690</v>
      </c>
      <c r="E895" s="839" t="s">
        <v>2691</v>
      </c>
      <c r="F895" s="841">
        <v>45451</v>
      </c>
      <c r="G895" s="840" t="s">
        <v>2689</v>
      </c>
      <c r="H895" s="842" t="s">
        <v>134</v>
      </c>
      <c r="I895" s="842"/>
      <c r="J895" s="841"/>
      <c r="K895" s="841"/>
      <c r="L895" s="843" t="s">
        <v>106</v>
      </c>
      <c r="M895" s="844" t="s">
        <v>107</v>
      </c>
      <c r="N895" s="841" t="s">
        <v>2692</v>
      </c>
      <c r="O895" s="841" t="s">
        <v>150</v>
      </c>
      <c r="P895" s="841" t="s">
        <v>151</v>
      </c>
      <c r="Q895" s="843"/>
      <c r="R895" s="845" t="s">
        <v>3171</v>
      </c>
      <c r="S895" s="1127" t="s">
        <v>3172</v>
      </c>
      <c r="T895" s="843" t="s">
        <v>3173</v>
      </c>
      <c r="U895" s="842">
        <v>1</v>
      </c>
      <c r="V895" s="842" t="s">
        <v>3</v>
      </c>
      <c r="W895" s="846">
        <v>8030</v>
      </c>
      <c r="X895" s="847">
        <f t="shared" si="158"/>
        <v>8030</v>
      </c>
      <c r="Y895" s="848">
        <v>0.55000000000000004</v>
      </c>
      <c r="Z895" s="849">
        <v>3613.5</v>
      </c>
      <c r="AA895" s="849"/>
      <c r="AB895" s="849">
        <f t="shared" si="159"/>
        <v>3613.5</v>
      </c>
      <c r="AC895" s="850">
        <f t="shared" si="160"/>
        <v>3613.5</v>
      </c>
      <c r="AD895" s="851"/>
      <c r="AE895" s="852">
        <v>26253.919999999998</v>
      </c>
      <c r="AF895" s="853">
        <v>0</v>
      </c>
      <c r="AG895" s="854">
        <f t="shared" si="161"/>
        <v>0</v>
      </c>
      <c r="AH895" s="853"/>
      <c r="AI895" s="855">
        <f t="shared" si="162"/>
        <v>0</v>
      </c>
      <c r="AJ895" s="845" t="s">
        <v>2695</v>
      </c>
      <c r="AK895" s="857">
        <v>45332</v>
      </c>
      <c r="AL895" s="840" t="s">
        <v>2696</v>
      </c>
      <c r="AM895" s="840"/>
      <c r="AN895" s="858"/>
      <c r="AO895" s="844" t="s">
        <v>2697</v>
      </c>
      <c r="AP895" s="859" t="s">
        <v>2698</v>
      </c>
      <c r="AQ895" s="859" t="s">
        <v>2698</v>
      </c>
      <c r="AR895" s="859" t="s">
        <v>2699</v>
      </c>
      <c r="AS895" s="840" t="s">
        <v>2700</v>
      </c>
      <c r="AT895" s="840" t="s">
        <v>1743</v>
      </c>
      <c r="AU895" s="860" t="s">
        <v>1285</v>
      </c>
      <c r="AV895" s="839" t="s">
        <v>2701</v>
      </c>
      <c r="AW895" s="861">
        <v>45646</v>
      </c>
      <c r="AX895" s="862" t="s">
        <v>2702</v>
      </c>
      <c r="AY895" s="843" t="s">
        <v>3174</v>
      </c>
      <c r="AZ895" s="842" t="s">
        <v>2704</v>
      </c>
      <c r="BA895" s="842" t="s">
        <v>120</v>
      </c>
      <c r="BB895" s="863" t="s">
        <v>121</v>
      </c>
      <c r="BC895" s="864">
        <v>45650</v>
      </c>
      <c r="BD895" s="860" t="s">
        <v>2705</v>
      </c>
      <c r="BE895" s="865" cm="1">
        <f t="array" ref="BE895">IF(BD895="","",AC895/SUMPRODUCT(--(BD895=$BD$4:$BD$12824),$AC$4:$AC$12824))</f>
        <v>5.2107569866467043E-2</v>
      </c>
      <c r="BF895" s="458"/>
      <c r="BG895" s="458"/>
      <c r="BH895" s="458"/>
      <c r="BI895" s="458"/>
      <c r="BJ895" s="458"/>
      <c r="BK895" s="458"/>
      <c r="BL895" s="458"/>
      <c r="BM895" s="458"/>
      <c r="BN895" s="458"/>
      <c r="BO895" s="866">
        <f>VLOOKUP(BD895,$BD$4:$BN$12824,3,0)*BE895</f>
        <v>2457307.0174123063</v>
      </c>
      <c r="BP895" s="866"/>
      <c r="BQ895" s="866"/>
      <c r="BR895" s="866">
        <f>VLOOKUP(BD895,$BD$4:$BN$12824,6,0)*BE895</f>
        <v>704678.94048566127</v>
      </c>
      <c r="BS895" s="866">
        <f>VLOOKUP(BD895,$BD$4:$BN$12824,7,0)*BE895</f>
        <v>91077.31025007162</v>
      </c>
      <c r="BT895" s="866"/>
      <c r="BU895" s="866">
        <f>VLOOKUP(BD895,$BD$4:$BN$12824,9,0)*BE895</f>
        <v>0</v>
      </c>
      <c r="BV895" s="867"/>
      <c r="BW895" s="867">
        <f>VLOOKUP(BD895,$BD$4:$BN$12824,11,0)*BE895</f>
        <v>101297.11582041193</v>
      </c>
      <c r="BX895" s="1146">
        <f t="shared" si="165"/>
        <v>3354360.3839684515</v>
      </c>
      <c r="BY895" s="867">
        <f t="shared" si="166"/>
        <v>98222900.303968444</v>
      </c>
      <c r="BZ895" s="867">
        <f t="shared" si="163"/>
        <v>98222900.303968444</v>
      </c>
      <c r="CA895" s="867">
        <f>_xlfn.MAXIFS($BY$4:$BY$12824,$S$4:$S$12824,$S895)</f>
        <v>98222900.303968444</v>
      </c>
      <c r="CB895" s="1032"/>
      <c r="CF895" s="946">
        <f t="shared" si="164"/>
        <v>94868539.919999987</v>
      </c>
    </row>
    <row r="896" spans="1:84">
      <c r="A896" s="1032"/>
      <c r="B896" s="839" t="s">
        <v>98</v>
      </c>
      <c r="C896" s="839" t="s">
        <v>2689</v>
      </c>
      <c r="D896" s="839" t="s">
        <v>2690</v>
      </c>
      <c r="E896" s="839" t="s">
        <v>2691</v>
      </c>
      <c r="F896" s="841">
        <v>45451</v>
      </c>
      <c r="G896" s="840" t="s">
        <v>2689</v>
      </c>
      <c r="H896" s="842" t="s">
        <v>134</v>
      </c>
      <c r="I896" s="842"/>
      <c r="J896" s="841"/>
      <c r="K896" s="841"/>
      <c r="L896" s="843" t="s">
        <v>106</v>
      </c>
      <c r="M896" s="844" t="s">
        <v>107</v>
      </c>
      <c r="N896" s="841" t="s">
        <v>2692</v>
      </c>
      <c r="O896" s="841" t="s">
        <v>150</v>
      </c>
      <c r="P896" s="841" t="s">
        <v>151</v>
      </c>
      <c r="Q896" s="843"/>
      <c r="R896" s="845" t="s">
        <v>3175</v>
      </c>
      <c r="S896" s="1127" t="s">
        <v>3176</v>
      </c>
      <c r="T896" s="843" t="s">
        <v>3177</v>
      </c>
      <c r="U896" s="842">
        <v>1</v>
      </c>
      <c r="V896" s="842" t="s">
        <v>3</v>
      </c>
      <c r="W896" s="846">
        <v>2820</v>
      </c>
      <c r="X896" s="847">
        <f t="shared" si="158"/>
        <v>2820</v>
      </c>
      <c r="Y896" s="848">
        <v>0.55000000000000004</v>
      </c>
      <c r="Z896" s="849">
        <v>1269</v>
      </c>
      <c r="AA896" s="849"/>
      <c r="AB896" s="849">
        <f t="shared" si="159"/>
        <v>1269</v>
      </c>
      <c r="AC896" s="850">
        <f t="shared" si="160"/>
        <v>1269</v>
      </c>
      <c r="AD896" s="851"/>
      <c r="AE896" s="852">
        <v>26253.919999999998</v>
      </c>
      <c r="AF896" s="853">
        <v>0</v>
      </c>
      <c r="AG896" s="854">
        <f t="shared" si="161"/>
        <v>0</v>
      </c>
      <c r="AH896" s="853"/>
      <c r="AI896" s="855">
        <f t="shared" si="162"/>
        <v>0</v>
      </c>
      <c r="AJ896" s="845" t="s">
        <v>2695</v>
      </c>
      <c r="AK896" s="857">
        <v>45332</v>
      </c>
      <c r="AL896" s="840" t="s">
        <v>2696</v>
      </c>
      <c r="AM896" s="840"/>
      <c r="AN896" s="858"/>
      <c r="AO896" s="844" t="s">
        <v>2697</v>
      </c>
      <c r="AP896" s="859" t="s">
        <v>2698</v>
      </c>
      <c r="AQ896" s="859" t="s">
        <v>2698</v>
      </c>
      <c r="AR896" s="859" t="s">
        <v>2699</v>
      </c>
      <c r="AS896" s="840" t="s">
        <v>2700</v>
      </c>
      <c r="AT896" s="840" t="s">
        <v>1743</v>
      </c>
      <c r="AU896" s="860" t="s">
        <v>1285</v>
      </c>
      <c r="AV896" s="839" t="s">
        <v>2701</v>
      </c>
      <c r="AW896" s="861">
        <v>45646</v>
      </c>
      <c r="AX896" s="862" t="s">
        <v>2702</v>
      </c>
      <c r="AY896" s="843" t="s">
        <v>3178</v>
      </c>
      <c r="AZ896" s="842">
        <v>94017100</v>
      </c>
      <c r="BA896" s="842" t="s">
        <v>120</v>
      </c>
      <c r="BB896" s="863" t="s">
        <v>121</v>
      </c>
      <c r="BC896" s="864">
        <v>45650</v>
      </c>
      <c r="BD896" s="860" t="s">
        <v>2705</v>
      </c>
      <c r="BE896" s="865" cm="1">
        <f t="array" ref="BE896">IF(BD896="","",AC896/SUMPRODUCT(--(BD896=$BD$4:$BD$12824),$AC$4:$AC$12824))</f>
        <v>1.8299296017862648E-2</v>
      </c>
      <c r="BF896" s="458"/>
      <c r="BG896" s="458"/>
      <c r="BH896" s="458"/>
      <c r="BI896" s="458"/>
      <c r="BJ896" s="458"/>
      <c r="BK896" s="458"/>
      <c r="BL896" s="458"/>
      <c r="BM896" s="458"/>
      <c r="BN896" s="458"/>
      <c r="BO896" s="866">
        <f>VLOOKUP(BD896,$BD$4:$BN$12824,3,0)*BE896</f>
        <v>862964.606363973</v>
      </c>
      <c r="BP896" s="866"/>
      <c r="BQ896" s="866"/>
      <c r="BR896" s="866">
        <f>VLOOKUP(BD896,$BD$4:$BN$12824,6,0)*BE896</f>
        <v>247471.30911202551</v>
      </c>
      <c r="BS896" s="866">
        <f>VLOOKUP(BD896,$BD$4:$BN$12824,7,0)*BE896</f>
        <v>31984.808830037604</v>
      </c>
      <c r="BT896" s="866"/>
      <c r="BU896" s="866">
        <f>VLOOKUP(BD896,$BD$4:$BN$12824,9,0)*BE896</f>
        <v>0</v>
      </c>
      <c r="BV896" s="867"/>
      <c r="BW896" s="867">
        <f>VLOOKUP(BD896,$BD$4:$BN$12824,11,0)*BE896</f>
        <v>35573.831458724992</v>
      </c>
      <c r="BX896" s="1146">
        <f t="shared" si="165"/>
        <v>1177994.5557647613</v>
      </c>
      <c r="BY896" s="867">
        <f t="shared" si="166"/>
        <v>34494219.035764761</v>
      </c>
      <c r="BZ896" s="867">
        <f t="shared" si="163"/>
        <v>34494219.035764761</v>
      </c>
      <c r="CA896" s="867">
        <f>_xlfn.MAXIFS($BY$4:$BY$12824,$S$4:$S$12824,$S896)</f>
        <v>44363941.719486915</v>
      </c>
      <c r="CB896" s="1032"/>
      <c r="CF896" s="946">
        <f t="shared" si="164"/>
        <v>33316224.479999997</v>
      </c>
    </row>
    <row r="897" spans="1:84">
      <c r="A897" s="1032"/>
      <c r="B897" s="839" t="s">
        <v>98</v>
      </c>
      <c r="C897" s="839" t="s">
        <v>2689</v>
      </c>
      <c r="D897" s="839" t="s">
        <v>2690</v>
      </c>
      <c r="E897" s="839" t="s">
        <v>2691</v>
      </c>
      <c r="F897" s="841">
        <v>45451</v>
      </c>
      <c r="G897" s="840" t="s">
        <v>2689</v>
      </c>
      <c r="H897" s="842" t="s">
        <v>134</v>
      </c>
      <c r="I897" s="842"/>
      <c r="J897" s="841"/>
      <c r="K897" s="841"/>
      <c r="L897" s="843" t="s">
        <v>106</v>
      </c>
      <c r="M897" s="844" t="s">
        <v>107</v>
      </c>
      <c r="N897" s="841" t="s">
        <v>2692</v>
      </c>
      <c r="O897" s="841" t="s">
        <v>150</v>
      </c>
      <c r="P897" s="841" t="s">
        <v>151</v>
      </c>
      <c r="Q897" s="843"/>
      <c r="R897" s="845" t="s">
        <v>3179</v>
      </c>
      <c r="S897" s="1127" t="s">
        <v>3180</v>
      </c>
      <c r="T897" s="843" t="s">
        <v>3181</v>
      </c>
      <c r="U897" s="842">
        <v>1</v>
      </c>
      <c r="V897" s="842" t="s">
        <v>3</v>
      </c>
      <c r="W897" s="846">
        <v>8280</v>
      </c>
      <c r="X897" s="847">
        <f t="shared" si="158"/>
        <v>8280</v>
      </c>
      <c r="Y897" s="848">
        <v>0.55000000000000004</v>
      </c>
      <c r="Z897" s="849">
        <v>3726</v>
      </c>
      <c r="AA897" s="849"/>
      <c r="AB897" s="849">
        <f t="shared" si="159"/>
        <v>3726</v>
      </c>
      <c r="AC897" s="850">
        <f t="shared" si="160"/>
        <v>3726</v>
      </c>
      <c r="AD897" s="851"/>
      <c r="AE897" s="852">
        <v>26253.919999999998</v>
      </c>
      <c r="AF897" s="853">
        <v>0</v>
      </c>
      <c r="AG897" s="854">
        <f t="shared" si="161"/>
        <v>0</v>
      </c>
      <c r="AH897" s="853"/>
      <c r="AI897" s="855">
        <f t="shared" si="162"/>
        <v>0</v>
      </c>
      <c r="AJ897" s="845" t="s">
        <v>2695</v>
      </c>
      <c r="AK897" s="857">
        <v>45332</v>
      </c>
      <c r="AL897" s="840" t="s">
        <v>2696</v>
      </c>
      <c r="AM897" s="840"/>
      <c r="AN897" s="858"/>
      <c r="AO897" s="844" t="s">
        <v>2697</v>
      </c>
      <c r="AP897" s="859" t="s">
        <v>2698</v>
      </c>
      <c r="AQ897" s="859" t="s">
        <v>2698</v>
      </c>
      <c r="AR897" s="859" t="s">
        <v>2699</v>
      </c>
      <c r="AS897" s="840" t="s">
        <v>2700</v>
      </c>
      <c r="AT897" s="840" t="s">
        <v>1743</v>
      </c>
      <c r="AU897" s="860" t="s">
        <v>1285</v>
      </c>
      <c r="AV897" s="839" t="s">
        <v>2701</v>
      </c>
      <c r="AW897" s="861">
        <v>45646</v>
      </c>
      <c r="AX897" s="862" t="s">
        <v>2702</v>
      </c>
      <c r="AY897" s="843" t="s">
        <v>3182</v>
      </c>
      <c r="AZ897" s="842" t="s">
        <v>3183</v>
      </c>
      <c r="BA897" s="842" t="s">
        <v>120</v>
      </c>
      <c r="BB897" s="863" t="s">
        <v>121</v>
      </c>
      <c r="BC897" s="864">
        <v>45650</v>
      </c>
      <c r="BD897" s="860" t="s">
        <v>2705</v>
      </c>
      <c r="BE897" s="865" cm="1">
        <f t="array" ref="BE897">IF(BD897="","",AC897/SUMPRODUCT(--(BD897=$BD$4:$BD$12824),$AC$4:$AC$12824))</f>
        <v>5.3729847882235011E-2</v>
      </c>
      <c r="BF897" s="458"/>
      <c r="BG897" s="458"/>
      <c r="BH897" s="458"/>
      <c r="BI897" s="458"/>
      <c r="BJ897" s="458"/>
      <c r="BK897" s="458"/>
      <c r="BL897" s="458"/>
      <c r="BM897" s="458"/>
      <c r="BN897" s="458"/>
      <c r="BO897" s="866">
        <f>VLOOKUP(BD897,$BD$4:$BN$12824,3,0)*BE897</f>
        <v>2533810.9718771973</v>
      </c>
      <c r="BP897" s="866"/>
      <c r="BQ897" s="866"/>
      <c r="BR897" s="866">
        <f>VLOOKUP(BD897,$BD$4:$BN$12824,6,0)*BE897</f>
        <v>726617.88632892608</v>
      </c>
      <c r="BS897" s="866">
        <f>VLOOKUP(BD897,$BD$4:$BN$12824,7,0)*BE897</f>
        <v>93912.842947769997</v>
      </c>
      <c r="BT897" s="866"/>
      <c r="BU897" s="866">
        <f>VLOOKUP(BD897,$BD$4:$BN$12824,9,0)*BE897</f>
        <v>0</v>
      </c>
      <c r="BV897" s="867"/>
      <c r="BW897" s="867">
        <f>VLOOKUP(BD897,$BD$4:$BN$12824,11,0)*BE897</f>
        <v>104450.82428306487</v>
      </c>
      <c r="BX897" s="1146">
        <f t="shared" si="165"/>
        <v>3458792.5254369578</v>
      </c>
      <c r="BY897" s="867">
        <f t="shared" si="166"/>
        <v>101280898.44543694</v>
      </c>
      <c r="BZ897" s="867">
        <f t="shared" si="163"/>
        <v>101280898.44543694</v>
      </c>
      <c r="CA897" s="867">
        <f>_xlfn.MAXIFS($BY$4:$BY$12824,$S$4:$S$12824,$S897)</f>
        <v>101280898.44543694</v>
      </c>
      <c r="CB897" s="1032"/>
      <c r="CF897" s="946">
        <f t="shared" si="164"/>
        <v>97822105.919999987</v>
      </c>
    </row>
    <row r="898" spans="1:84">
      <c r="A898" s="1032"/>
      <c r="B898" s="839" t="s">
        <v>98</v>
      </c>
      <c r="C898" s="839" t="s">
        <v>2689</v>
      </c>
      <c r="D898" s="839" t="s">
        <v>2690</v>
      </c>
      <c r="E898" s="839" t="s">
        <v>2691</v>
      </c>
      <c r="F898" s="841">
        <v>45451</v>
      </c>
      <c r="G898" s="840" t="s">
        <v>2689</v>
      </c>
      <c r="H898" s="842" t="s">
        <v>134</v>
      </c>
      <c r="I898" s="842"/>
      <c r="J898" s="841"/>
      <c r="K898" s="841"/>
      <c r="L898" s="843" t="s">
        <v>106</v>
      </c>
      <c r="M898" s="844" t="s">
        <v>107</v>
      </c>
      <c r="N898" s="841" t="s">
        <v>2692</v>
      </c>
      <c r="O898" s="841" t="s">
        <v>150</v>
      </c>
      <c r="P898" s="841" t="s">
        <v>151</v>
      </c>
      <c r="Q898" s="843"/>
      <c r="R898" s="845" t="s">
        <v>3184</v>
      </c>
      <c r="S898" s="1127" t="s">
        <v>3185</v>
      </c>
      <c r="T898" s="843" t="s">
        <v>3186</v>
      </c>
      <c r="U898" s="842">
        <v>1</v>
      </c>
      <c r="V898" s="842" t="s">
        <v>3</v>
      </c>
      <c r="W898" s="846">
        <v>849</v>
      </c>
      <c r="X898" s="847">
        <f t="shared" ref="X898:X961" si="167">W898*U898</f>
        <v>849</v>
      </c>
      <c r="Y898" s="848">
        <v>0.55000000000000004</v>
      </c>
      <c r="Z898" s="849">
        <v>382.05</v>
      </c>
      <c r="AA898" s="849"/>
      <c r="AB898" s="849">
        <f t="shared" ref="AB898:AB961" si="168">IF(AA898="F.O.C", 0, Z898*U898)</f>
        <v>382.05</v>
      </c>
      <c r="AC898" s="850">
        <f t="shared" ref="AC898:AC961" si="169">Z898*U898</f>
        <v>382.05</v>
      </c>
      <c r="AD898" s="851"/>
      <c r="AE898" s="852">
        <v>26253.919999999998</v>
      </c>
      <c r="AF898" s="853">
        <v>0</v>
      </c>
      <c r="AG898" s="854">
        <f t="shared" ref="AG898:AG961" si="170">(AC898*AE898+BO898+BP898+BQ898+BS898)*AF898</f>
        <v>0</v>
      </c>
      <c r="AH898" s="853"/>
      <c r="AI898" s="855">
        <f t="shared" ref="AI898:AI961" si="171">(AC898*AE898+AG898+BF898+BG898+BH898+BJ898)*AH898</f>
        <v>0</v>
      </c>
      <c r="AJ898" s="845" t="s">
        <v>2695</v>
      </c>
      <c r="AK898" s="857">
        <v>45332</v>
      </c>
      <c r="AL898" s="840" t="s">
        <v>2696</v>
      </c>
      <c r="AM898" s="840"/>
      <c r="AN898" s="858"/>
      <c r="AO898" s="844" t="s">
        <v>2697</v>
      </c>
      <c r="AP898" s="859" t="s">
        <v>2698</v>
      </c>
      <c r="AQ898" s="859" t="s">
        <v>2698</v>
      </c>
      <c r="AR898" s="859" t="s">
        <v>2699</v>
      </c>
      <c r="AS898" s="840" t="s">
        <v>2700</v>
      </c>
      <c r="AT898" s="840" t="s">
        <v>1743</v>
      </c>
      <c r="AU898" s="860" t="s">
        <v>1285</v>
      </c>
      <c r="AV898" s="839" t="s">
        <v>2701</v>
      </c>
      <c r="AW898" s="861">
        <v>45646</v>
      </c>
      <c r="AX898" s="862" t="s">
        <v>2702</v>
      </c>
      <c r="AY898" s="843" t="s">
        <v>3187</v>
      </c>
      <c r="AZ898" s="842">
        <v>94018000</v>
      </c>
      <c r="BA898" s="842" t="s">
        <v>120</v>
      </c>
      <c r="BB898" s="863" t="s">
        <v>121</v>
      </c>
      <c r="BC898" s="864">
        <v>45650</v>
      </c>
      <c r="BD898" s="860" t="s">
        <v>2705</v>
      </c>
      <c r="BE898" s="865" cm="1">
        <f t="array" ref="BE898">IF(BD898="","",AC898/SUMPRODUCT(--(BD898=$BD$4:$BD$12824),$AC$4:$AC$12824))</f>
        <v>5.50925614154801E-3</v>
      </c>
      <c r="BF898" s="458"/>
      <c r="BG898" s="458"/>
      <c r="BH898" s="458"/>
      <c r="BI898" s="458"/>
      <c r="BJ898" s="458"/>
      <c r="BK898" s="458"/>
      <c r="BL898" s="458"/>
      <c r="BM898" s="458"/>
      <c r="BN898" s="458"/>
      <c r="BO898" s="866">
        <f>VLOOKUP(BD898,$BD$4:$BN$12824,3,0)*BE898</f>
        <v>259807.42936277061</v>
      </c>
      <c r="BP898" s="866"/>
      <c r="BQ898" s="866"/>
      <c r="BR898" s="866">
        <f>VLOOKUP(BD898,$BD$4:$BN$12824,6,0)*BE898</f>
        <v>74504.660083726834</v>
      </c>
      <c r="BS898" s="866">
        <f>VLOOKUP(BD898,$BD$4:$BN$12824,7,0)*BE898</f>
        <v>9629.4690413836615</v>
      </c>
      <c r="BT898" s="866"/>
      <c r="BU898" s="866">
        <f>VLOOKUP(BD898,$BD$4:$BN$12824,9,0)*BE898</f>
        <v>0</v>
      </c>
      <c r="BV898" s="867"/>
      <c r="BW898" s="867">
        <f>VLOOKUP(BD898,$BD$4:$BN$12824,11,0)*BE898</f>
        <v>10709.993939169331</v>
      </c>
      <c r="BX898" s="1146">
        <f t="shared" si="165"/>
        <v>354651.55242705042</v>
      </c>
      <c r="BY898" s="867">
        <f t="shared" si="166"/>
        <v>10384961.68842705</v>
      </c>
      <c r="BZ898" s="867">
        <f t="shared" ref="BZ898:BZ961" si="172">BY898*U898</f>
        <v>10384961.68842705</v>
      </c>
      <c r="CA898" s="867">
        <f>_xlfn.MAXIFS($BY$4:$BY$12824,$S$4:$S$12824,$S898)</f>
        <v>13371612.514581719</v>
      </c>
      <c r="CB898" s="1032"/>
      <c r="CF898" s="946">
        <f t="shared" si="164"/>
        <v>10030310.136</v>
      </c>
    </row>
    <row r="899" spans="1:84">
      <c r="A899" s="1032"/>
      <c r="B899" s="839" t="s">
        <v>98</v>
      </c>
      <c r="C899" s="839" t="s">
        <v>2689</v>
      </c>
      <c r="D899" s="839" t="s">
        <v>2690</v>
      </c>
      <c r="E899" s="839" t="s">
        <v>2691</v>
      </c>
      <c r="F899" s="841">
        <v>45451</v>
      </c>
      <c r="G899" s="840" t="s">
        <v>2689</v>
      </c>
      <c r="H899" s="842" t="s">
        <v>134</v>
      </c>
      <c r="I899" s="842"/>
      <c r="J899" s="841"/>
      <c r="K899" s="841"/>
      <c r="L899" s="843" t="s">
        <v>106</v>
      </c>
      <c r="M899" s="844" t="s">
        <v>107</v>
      </c>
      <c r="N899" s="841" t="s">
        <v>2692</v>
      </c>
      <c r="O899" s="841" t="s">
        <v>150</v>
      </c>
      <c r="P899" s="841" t="s">
        <v>151</v>
      </c>
      <c r="Q899" s="843"/>
      <c r="R899" s="845" t="s">
        <v>3188</v>
      </c>
      <c r="S899" s="1127" t="s">
        <v>3189</v>
      </c>
      <c r="T899" s="843" t="s">
        <v>3190</v>
      </c>
      <c r="U899" s="842">
        <v>1</v>
      </c>
      <c r="V899" s="842" t="s">
        <v>3</v>
      </c>
      <c r="W899" s="846">
        <v>885</v>
      </c>
      <c r="X899" s="847">
        <f t="shared" si="167"/>
        <v>885</v>
      </c>
      <c r="Y899" s="848">
        <v>0.55000000000000004</v>
      </c>
      <c r="Z899" s="849">
        <v>398.25</v>
      </c>
      <c r="AA899" s="849"/>
      <c r="AB899" s="849">
        <f t="shared" si="168"/>
        <v>398.25</v>
      </c>
      <c r="AC899" s="850">
        <f t="shared" si="169"/>
        <v>398.25</v>
      </c>
      <c r="AD899" s="851"/>
      <c r="AE899" s="852">
        <v>26253.919999999998</v>
      </c>
      <c r="AF899" s="853">
        <v>0</v>
      </c>
      <c r="AG899" s="854">
        <f t="shared" si="170"/>
        <v>0</v>
      </c>
      <c r="AH899" s="853">
        <v>0.08</v>
      </c>
      <c r="AI899" s="855">
        <f t="shared" si="171"/>
        <v>836449.89119999995</v>
      </c>
      <c r="AJ899" s="845" t="s">
        <v>2695</v>
      </c>
      <c r="AK899" s="857">
        <v>45332</v>
      </c>
      <c r="AL899" s="840" t="s">
        <v>2696</v>
      </c>
      <c r="AM899" s="840"/>
      <c r="AN899" s="858"/>
      <c r="AO899" s="844" t="s">
        <v>2697</v>
      </c>
      <c r="AP899" s="859" t="s">
        <v>2698</v>
      </c>
      <c r="AQ899" s="859" t="s">
        <v>2698</v>
      </c>
      <c r="AR899" s="859" t="s">
        <v>2699</v>
      </c>
      <c r="AS899" s="840" t="s">
        <v>2700</v>
      </c>
      <c r="AT899" s="840" t="s">
        <v>1743</v>
      </c>
      <c r="AU899" s="860" t="s">
        <v>1285</v>
      </c>
      <c r="AV899" s="839" t="s">
        <v>2701</v>
      </c>
      <c r="AW899" s="861">
        <v>45646</v>
      </c>
      <c r="AX899" s="862" t="s">
        <v>2702</v>
      </c>
      <c r="AY899" s="843" t="s">
        <v>3191</v>
      </c>
      <c r="AZ899" s="842" t="s">
        <v>2704</v>
      </c>
      <c r="BA899" s="842" t="s">
        <v>120</v>
      </c>
      <c r="BB899" s="863" t="s">
        <v>121</v>
      </c>
      <c r="BC899" s="864">
        <v>45650</v>
      </c>
      <c r="BD899" s="860" t="s">
        <v>2705</v>
      </c>
      <c r="BE899" s="865" cm="1">
        <f t="array" ref="BE899">IF(BD899="","",AC899/SUMPRODUCT(--(BD899=$BD$4:$BD$12824),$AC$4:$AC$12824))</f>
        <v>5.742864175818597E-3</v>
      </c>
      <c r="BF899" s="458"/>
      <c r="BG899" s="458"/>
      <c r="BH899" s="458"/>
      <c r="BI899" s="458"/>
      <c r="BJ899" s="458"/>
      <c r="BK899" s="458"/>
      <c r="BL899" s="458"/>
      <c r="BM899" s="458"/>
      <c r="BN899" s="458"/>
      <c r="BO899" s="866">
        <f>VLOOKUP(BD899,$BD$4:$BN$12824,3,0)*BE899</f>
        <v>270823.99880571495</v>
      </c>
      <c r="BP899" s="866"/>
      <c r="BQ899" s="866"/>
      <c r="BR899" s="866">
        <f>VLOOKUP(BD899,$BD$4:$BN$12824,6,0)*BE899</f>
        <v>77663.868285156947</v>
      </c>
      <c r="BS899" s="866">
        <f>VLOOKUP(BD899,$BD$4:$BN$12824,7,0)*BE899</f>
        <v>10037.785749852226</v>
      </c>
      <c r="BT899" s="866"/>
      <c r="BU899" s="866">
        <f>VLOOKUP(BD899,$BD$4:$BN$12824,9,0)*BE899</f>
        <v>0</v>
      </c>
      <c r="BV899" s="867"/>
      <c r="BW899" s="867">
        <f>VLOOKUP(BD899,$BD$4:$BN$12824,11,0)*BE899</f>
        <v>11164.127957791352</v>
      </c>
      <c r="BX899" s="1146">
        <f t="shared" si="165"/>
        <v>369689.78079851554</v>
      </c>
      <c r="BY899" s="867">
        <f t="shared" si="166"/>
        <v>10825313.420798514</v>
      </c>
      <c r="BZ899" s="867">
        <f t="shared" si="172"/>
        <v>10825313.420798514</v>
      </c>
      <c r="CA899" s="867">
        <f>_xlfn.MAXIFS($BY$4:$BY$12824,$S$4:$S$12824,$S899)</f>
        <v>13931930.463660151</v>
      </c>
      <c r="CB899" s="1032"/>
      <c r="CF899" s="946">
        <f t="shared" si="164"/>
        <v>10455623.639999999</v>
      </c>
    </row>
    <row r="900" spans="1:84">
      <c r="A900" s="1032"/>
      <c r="B900" s="839" t="s">
        <v>98</v>
      </c>
      <c r="C900" s="839" t="s">
        <v>2689</v>
      </c>
      <c r="D900" s="839" t="s">
        <v>2690</v>
      </c>
      <c r="E900" s="839" t="s">
        <v>2691</v>
      </c>
      <c r="F900" s="841">
        <v>45451</v>
      </c>
      <c r="G900" s="840" t="s">
        <v>2689</v>
      </c>
      <c r="H900" s="842" t="s">
        <v>134</v>
      </c>
      <c r="I900" s="842"/>
      <c r="J900" s="841"/>
      <c r="K900" s="841"/>
      <c r="L900" s="843" t="s">
        <v>106</v>
      </c>
      <c r="M900" s="844" t="s">
        <v>107</v>
      </c>
      <c r="N900" s="841" t="s">
        <v>2692</v>
      </c>
      <c r="O900" s="841" t="s">
        <v>150</v>
      </c>
      <c r="P900" s="841" t="s">
        <v>151</v>
      </c>
      <c r="Q900" s="843"/>
      <c r="R900" s="845" t="s">
        <v>3192</v>
      </c>
      <c r="S900" s="1127" t="s">
        <v>3193</v>
      </c>
      <c r="T900" s="843" t="s">
        <v>3194</v>
      </c>
      <c r="U900" s="842">
        <v>1</v>
      </c>
      <c r="V900" s="842" t="s">
        <v>3</v>
      </c>
      <c r="W900" s="846">
        <v>2340</v>
      </c>
      <c r="X900" s="847">
        <f t="shared" si="167"/>
        <v>2340</v>
      </c>
      <c r="Y900" s="848">
        <v>0.55000000000000004</v>
      </c>
      <c r="Z900" s="849">
        <v>1053</v>
      </c>
      <c r="AA900" s="849"/>
      <c r="AB900" s="849">
        <f t="shared" si="168"/>
        <v>1053</v>
      </c>
      <c r="AC900" s="850">
        <f t="shared" si="169"/>
        <v>1053</v>
      </c>
      <c r="AD900" s="851"/>
      <c r="AE900" s="852">
        <v>26253.919999999998</v>
      </c>
      <c r="AF900" s="853">
        <v>0</v>
      </c>
      <c r="AG900" s="854">
        <f t="shared" si="170"/>
        <v>0</v>
      </c>
      <c r="AH900" s="853"/>
      <c r="AI900" s="855">
        <f t="shared" si="171"/>
        <v>0</v>
      </c>
      <c r="AJ900" s="845" t="s">
        <v>2695</v>
      </c>
      <c r="AK900" s="857">
        <v>45332</v>
      </c>
      <c r="AL900" s="840" t="s">
        <v>2696</v>
      </c>
      <c r="AM900" s="840"/>
      <c r="AN900" s="858"/>
      <c r="AO900" s="844" t="s">
        <v>2697</v>
      </c>
      <c r="AP900" s="859" t="s">
        <v>2698</v>
      </c>
      <c r="AQ900" s="859" t="s">
        <v>2698</v>
      </c>
      <c r="AR900" s="859" t="s">
        <v>2699</v>
      </c>
      <c r="AS900" s="840" t="s">
        <v>2700</v>
      </c>
      <c r="AT900" s="840" t="s">
        <v>1743</v>
      </c>
      <c r="AU900" s="860" t="s">
        <v>1285</v>
      </c>
      <c r="AV900" s="839" t="s">
        <v>2701</v>
      </c>
      <c r="AW900" s="861">
        <v>45646</v>
      </c>
      <c r="AX900" s="862" t="s">
        <v>2702</v>
      </c>
      <c r="AY900" s="843" t="s">
        <v>3195</v>
      </c>
      <c r="AZ900" s="842">
        <v>94017100</v>
      </c>
      <c r="BA900" s="842" t="s">
        <v>120</v>
      </c>
      <c r="BB900" s="863" t="s">
        <v>121</v>
      </c>
      <c r="BC900" s="864">
        <v>45650</v>
      </c>
      <c r="BD900" s="860" t="s">
        <v>2705</v>
      </c>
      <c r="BE900" s="865" cm="1">
        <f t="array" ref="BE900">IF(BD900="","",AC900/SUMPRODUCT(--(BD900=$BD$4:$BD$12824),$AC$4:$AC$12824))</f>
        <v>1.5184522227588156E-2</v>
      </c>
      <c r="BF900" s="458"/>
      <c r="BG900" s="458"/>
      <c r="BH900" s="458"/>
      <c r="BI900" s="458"/>
      <c r="BJ900" s="458"/>
      <c r="BK900" s="458"/>
      <c r="BL900" s="458"/>
      <c r="BM900" s="458"/>
      <c r="BN900" s="458"/>
      <c r="BO900" s="866">
        <f>VLOOKUP(BD900,$BD$4:$BN$12824,3,0)*BE900</f>
        <v>716077.01379138185</v>
      </c>
      <c r="BP900" s="866"/>
      <c r="BQ900" s="866"/>
      <c r="BR900" s="866">
        <f>VLOOKUP(BD900,$BD$4:$BN$12824,6,0)*BE900</f>
        <v>205348.53309295737</v>
      </c>
      <c r="BS900" s="866">
        <f>VLOOKUP(BD900,$BD$4:$BN$12824,7,0)*BE900</f>
        <v>26540.586050456735</v>
      </c>
      <c r="BT900" s="866"/>
      <c r="BU900" s="866">
        <f>VLOOKUP(BD900,$BD$4:$BN$12824,9,0)*BE900</f>
        <v>0</v>
      </c>
      <c r="BV900" s="867"/>
      <c r="BW900" s="867">
        <f>VLOOKUP(BD900,$BD$4:$BN$12824,11,0)*BE900</f>
        <v>29518.711210431375</v>
      </c>
      <c r="BX900" s="1146">
        <f t="shared" si="165"/>
        <v>977484.84414522734</v>
      </c>
      <c r="BY900" s="867">
        <f t="shared" si="166"/>
        <v>28622862.604145225</v>
      </c>
      <c r="BZ900" s="867">
        <f t="shared" si="172"/>
        <v>28622862.604145225</v>
      </c>
      <c r="CA900" s="867">
        <f>_xlfn.MAXIFS($BY$4:$BY$12824,$S$4:$S$12824,$S900)</f>
        <v>28622862.604145225</v>
      </c>
      <c r="CB900" s="1032"/>
      <c r="CF900" s="946">
        <f t="shared" ref="CF900:CF963" si="173">AC900*AE900</f>
        <v>27645377.759999998</v>
      </c>
    </row>
    <row r="901" spans="1:84">
      <c r="A901" s="1032"/>
      <c r="B901" s="839" t="s">
        <v>98</v>
      </c>
      <c r="C901" s="839" t="s">
        <v>2689</v>
      </c>
      <c r="D901" s="839" t="s">
        <v>2690</v>
      </c>
      <c r="E901" s="839" t="s">
        <v>2691</v>
      </c>
      <c r="F901" s="841">
        <v>45451</v>
      </c>
      <c r="G901" s="840" t="s">
        <v>2689</v>
      </c>
      <c r="H901" s="842" t="s">
        <v>134</v>
      </c>
      <c r="I901" s="842"/>
      <c r="J901" s="841"/>
      <c r="K901" s="841"/>
      <c r="L901" s="843" t="s">
        <v>106</v>
      </c>
      <c r="M901" s="844" t="s">
        <v>107</v>
      </c>
      <c r="N901" s="841" t="s">
        <v>2692</v>
      </c>
      <c r="O901" s="841" t="s">
        <v>150</v>
      </c>
      <c r="P901" s="841" t="s">
        <v>151</v>
      </c>
      <c r="Q901" s="843"/>
      <c r="R901" s="845" t="s">
        <v>3196</v>
      </c>
      <c r="S901" s="1127" t="s">
        <v>3197</v>
      </c>
      <c r="T901" s="843" t="s">
        <v>3198</v>
      </c>
      <c r="U901" s="842">
        <v>1</v>
      </c>
      <c r="V901" s="842" t="s">
        <v>3</v>
      </c>
      <c r="W901" s="846">
        <v>918.33333333333326</v>
      </c>
      <c r="X901" s="847">
        <f t="shared" si="167"/>
        <v>918.33333333333326</v>
      </c>
      <c r="Y901" s="848">
        <v>0.55000000000000004</v>
      </c>
      <c r="Z901" s="849">
        <v>413.25</v>
      </c>
      <c r="AA901" s="849"/>
      <c r="AB901" s="849">
        <f t="shared" si="168"/>
        <v>413.25</v>
      </c>
      <c r="AC901" s="850">
        <f t="shared" si="169"/>
        <v>413.25</v>
      </c>
      <c r="AD901" s="851"/>
      <c r="AE901" s="852">
        <v>26253.919999999998</v>
      </c>
      <c r="AF901" s="853">
        <v>0</v>
      </c>
      <c r="AG901" s="854">
        <f t="shared" si="170"/>
        <v>0</v>
      </c>
      <c r="AH901" s="853"/>
      <c r="AI901" s="855">
        <f t="shared" si="171"/>
        <v>0</v>
      </c>
      <c r="AJ901" s="845" t="s">
        <v>2695</v>
      </c>
      <c r="AK901" s="857">
        <v>45332</v>
      </c>
      <c r="AL901" s="840" t="s">
        <v>2696</v>
      </c>
      <c r="AM901" s="840"/>
      <c r="AN901" s="858"/>
      <c r="AO901" s="844" t="s">
        <v>2697</v>
      </c>
      <c r="AP901" s="859" t="s">
        <v>2698</v>
      </c>
      <c r="AQ901" s="859" t="s">
        <v>2698</v>
      </c>
      <c r="AR901" s="859" t="s">
        <v>2699</v>
      </c>
      <c r="AS901" s="840" t="s">
        <v>2700</v>
      </c>
      <c r="AT901" s="840" t="s">
        <v>1743</v>
      </c>
      <c r="AU901" s="860" t="s">
        <v>1285</v>
      </c>
      <c r="AV901" s="839" t="s">
        <v>2701</v>
      </c>
      <c r="AW901" s="861">
        <v>45646</v>
      </c>
      <c r="AX901" s="862" t="s">
        <v>2702</v>
      </c>
      <c r="AY901" s="843" t="s">
        <v>3199</v>
      </c>
      <c r="AZ901" s="842" t="s">
        <v>3200</v>
      </c>
      <c r="BA901" s="842" t="s">
        <v>120</v>
      </c>
      <c r="BB901" s="863" t="s">
        <v>121</v>
      </c>
      <c r="BC901" s="864">
        <v>45650</v>
      </c>
      <c r="BD901" s="860" t="s">
        <v>2705</v>
      </c>
      <c r="BE901" s="865" cm="1">
        <f t="array" ref="BE901">IF(BD901="","",AC901/SUMPRODUCT(--(BD901=$BD$4:$BD$12824),$AC$4:$AC$12824))</f>
        <v>5.9591679112543259E-3</v>
      </c>
      <c r="BF901" s="458"/>
      <c r="BG901" s="458"/>
      <c r="BH901" s="458"/>
      <c r="BI901" s="458"/>
      <c r="BJ901" s="458"/>
      <c r="BK901" s="458"/>
      <c r="BL901" s="458"/>
      <c r="BM901" s="458"/>
      <c r="BN901" s="458"/>
      <c r="BO901" s="866">
        <f>VLOOKUP(BD901,$BD$4:$BN$12824,3,0)*BE901</f>
        <v>281024.52606770047</v>
      </c>
      <c r="BP901" s="866"/>
      <c r="BQ901" s="866"/>
      <c r="BR901" s="866">
        <f>VLOOKUP(BD901,$BD$4:$BN$12824,6,0)*BE901</f>
        <v>80589.061064258902</v>
      </c>
      <c r="BS901" s="866">
        <f>VLOOKUP(BD901,$BD$4:$BN$12824,7,0)*BE901</f>
        <v>10415.856776212009</v>
      </c>
      <c r="BT901" s="866"/>
      <c r="BU901" s="866">
        <f>VLOOKUP(BD901,$BD$4:$BN$12824,9,0)*BE901</f>
        <v>0</v>
      </c>
      <c r="BV901" s="867"/>
      <c r="BW901" s="867">
        <f>VLOOKUP(BD901,$BD$4:$BN$12824,11,0)*BE901</f>
        <v>11584.62241947841</v>
      </c>
      <c r="BX901" s="1146">
        <f t="shared" si="165"/>
        <v>383614.06632764981</v>
      </c>
      <c r="BY901" s="867">
        <f t="shared" si="166"/>
        <v>11233046.50632765</v>
      </c>
      <c r="BZ901" s="867">
        <f t="shared" si="172"/>
        <v>11233046.50632765</v>
      </c>
      <c r="CA901" s="867">
        <f>_xlfn.MAXIFS($BY$4:$BY$12824,$S$4:$S$12824,$S901)</f>
        <v>14402293.46783283</v>
      </c>
      <c r="CB901" s="1032"/>
      <c r="CF901" s="946">
        <f t="shared" si="173"/>
        <v>10849432.439999999</v>
      </c>
    </row>
    <row r="902" spans="1:84">
      <c r="A902" s="1032"/>
      <c r="B902" s="839" t="s">
        <v>98</v>
      </c>
      <c r="C902" s="839" t="s">
        <v>2689</v>
      </c>
      <c r="D902" s="839" t="s">
        <v>2690</v>
      </c>
      <c r="E902" s="839" t="s">
        <v>2691</v>
      </c>
      <c r="F902" s="841">
        <v>45451</v>
      </c>
      <c r="G902" s="840" t="s">
        <v>2689</v>
      </c>
      <c r="H902" s="842" t="s">
        <v>134</v>
      </c>
      <c r="I902" s="842"/>
      <c r="J902" s="841"/>
      <c r="K902" s="841"/>
      <c r="L902" s="843" t="s">
        <v>106</v>
      </c>
      <c r="M902" s="844" t="s">
        <v>107</v>
      </c>
      <c r="N902" s="841" t="s">
        <v>2692</v>
      </c>
      <c r="O902" s="841" t="s">
        <v>150</v>
      </c>
      <c r="P902" s="841" t="s">
        <v>151</v>
      </c>
      <c r="Q902" s="843"/>
      <c r="R902" s="845" t="s">
        <v>3196</v>
      </c>
      <c r="S902" s="1127" t="s">
        <v>3201</v>
      </c>
      <c r="T902" s="843" t="s">
        <v>3202</v>
      </c>
      <c r="U902" s="842">
        <v>1</v>
      </c>
      <c r="V902" s="842" t="s">
        <v>3</v>
      </c>
      <c r="W902" s="846">
        <v>918.33333333333326</v>
      </c>
      <c r="X902" s="847">
        <f t="shared" si="167"/>
        <v>918.33333333333326</v>
      </c>
      <c r="Y902" s="848">
        <v>0.55000000000000004</v>
      </c>
      <c r="Z902" s="849">
        <v>413.25</v>
      </c>
      <c r="AA902" s="849"/>
      <c r="AB902" s="849">
        <f t="shared" si="168"/>
        <v>413.25</v>
      </c>
      <c r="AC902" s="850">
        <f t="shared" si="169"/>
        <v>413.25</v>
      </c>
      <c r="AD902" s="851"/>
      <c r="AE902" s="852">
        <v>26253.919999999998</v>
      </c>
      <c r="AF902" s="853">
        <v>0</v>
      </c>
      <c r="AG902" s="854">
        <f t="shared" si="170"/>
        <v>0</v>
      </c>
      <c r="AH902" s="853"/>
      <c r="AI902" s="855">
        <f t="shared" si="171"/>
        <v>0</v>
      </c>
      <c r="AJ902" s="845" t="s">
        <v>2695</v>
      </c>
      <c r="AK902" s="857">
        <v>45332</v>
      </c>
      <c r="AL902" s="840" t="s">
        <v>2696</v>
      </c>
      <c r="AM902" s="840"/>
      <c r="AN902" s="858"/>
      <c r="AO902" s="844" t="s">
        <v>2697</v>
      </c>
      <c r="AP902" s="859" t="s">
        <v>2698</v>
      </c>
      <c r="AQ902" s="859" t="s">
        <v>2698</v>
      </c>
      <c r="AR902" s="859" t="s">
        <v>2699</v>
      </c>
      <c r="AS902" s="840" t="s">
        <v>2700</v>
      </c>
      <c r="AT902" s="840" t="s">
        <v>1743</v>
      </c>
      <c r="AU902" s="860" t="s">
        <v>1285</v>
      </c>
      <c r="AV902" s="839" t="s">
        <v>2701</v>
      </c>
      <c r="AW902" s="861">
        <v>45646</v>
      </c>
      <c r="AX902" s="862" t="s">
        <v>2702</v>
      </c>
      <c r="AY902" s="843" t="s">
        <v>3203</v>
      </c>
      <c r="AZ902" s="842" t="s">
        <v>3200</v>
      </c>
      <c r="BA902" s="842" t="s">
        <v>120</v>
      </c>
      <c r="BB902" s="863" t="s">
        <v>121</v>
      </c>
      <c r="BC902" s="864">
        <v>45650</v>
      </c>
      <c r="BD902" s="860" t="s">
        <v>2705</v>
      </c>
      <c r="BE902" s="865" cm="1">
        <f t="array" ref="BE902">IF(BD902="","",AC902/SUMPRODUCT(--(BD902=$BD$4:$BD$12824),$AC$4:$AC$12824))</f>
        <v>5.9591679112543259E-3</v>
      </c>
      <c r="BF902" s="458"/>
      <c r="BG902" s="458"/>
      <c r="BH902" s="458"/>
      <c r="BI902" s="458"/>
      <c r="BJ902" s="458"/>
      <c r="BK902" s="458"/>
      <c r="BL902" s="458"/>
      <c r="BM902" s="458"/>
      <c r="BN902" s="458"/>
      <c r="BO902" s="866">
        <f>VLOOKUP(BD902,$BD$4:$BN$12824,3,0)*BE902</f>
        <v>281024.52606770047</v>
      </c>
      <c r="BP902" s="866"/>
      <c r="BQ902" s="866"/>
      <c r="BR902" s="866">
        <f>VLOOKUP(BD902,$BD$4:$BN$12824,6,0)*BE902</f>
        <v>80589.061064258902</v>
      </c>
      <c r="BS902" s="866">
        <f>VLOOKUP(BD902,$BD$4:$BN$12824,7,0)*BE902</f>
        <v>10415.856776212009</v>
      </c>
      <c r="BT902" s="866"/>
      <c r="BU902" s="866">
        <f>VLOOKUP(BD902,$BD$4:$BN$12824,9,0)*BE902</f>
        <v>0</v>
      </c>
      <c r="BV902" s="867"/>
      <c r="BW902" s="867">
        <f>VLOOKUP(BD902,$BD$4:$BN$12824,11,0)*BE902</f>
        <v>11584.62241947841</v>
      </c>
      <c r="BX902" s="1146">
        <f t="shared" ref="BX902:BX931" si="174">SUM(BO902:BW902)</f>
        <v>383614.06632764981</v>
      </c>
      <c r="BY902" s="867">
        <f t="shared" ref="BY902:BY965" si="175">(AB902*AE902+AG902+BX902)/U902</f>
        <v>11233046.50632765</v>
      </c>
      <c r="BZ902" s="867">
        <f t="shared" si="172"/>
        <v>11233046.50632765</v>
      </c>
      <c r="CA902" s="867">
        <f>_xlfn.MAXIFS($BY$4:$BY$12824,$S$4:$S$12824,$S902)</f>
        <v>11233046.50632765</v>
      </c>
      <c r="CB902" s="1032"/>
      <c r="CF902" s="946">
        <f t="shared" si="173"/>
        <v>10849432.439999999</v>
      </c>
    </row>
    <row r="903" spans="1:84">
      <c r="A903" s="1032"/>
      <c r="B903" s="839" t="s">
        <v>98</v>
      </c>
      <c r="C903" s="839" t="s">
        <v>2689</v>
      </c>
      <c r="D903" s="839" t="s">
        <v>2690</v>
      </c>
      <c r="E903" s="839" t="s">
        <v>2691</v>
      </c>
      <c r="F903" s="841">
        <v>45451</v>
      </c>
      <c r="G903" s="840" t="s">
        <v>2689</v>
      </c>
      <c r="H903" s="842" t="s">
        <v>134</v>
      </c>
      <c r="I903" s="842"/>
      <c r="J903" s="841"/>
      <c r="K903" s="841"/>
      <c r="L903" s="843" t="s">
        <v>106</v>
      </c>
      <c r="M903" s="844" t="s">
        <v>107</v>
      </c>
      <c r="N903" s="841" t="s">
        <v>2692</v>
      </c>
      <c r="O903" s="841" t="s">
        <v>150</v>
      </c>
      <c r="P903" s="841" t="s">
        <v>151</v>
      </c>
      <c r="Q903" s="843"/>
      <c r="R903" s="845" t="s">
        <v>3204</v>
      </c>
      <c r="S903" s="1127" t="s">
        <v>3205</v>
      </c>
      <c r="T903" s="843" t="s">
        <v>3206</v>
      </c>
      <c r="U903" s="842">
        <v>2</v>
      </c>
      <c r="V903" s="842" t="s">
        <v>3</v>
      </c>
      <c r="W903" s="846">
        <v>78.999999999999986</v>
      </c>
      <c r="X903" s="847">
        <f t="shared" si="167"/>
        <v>157.99999999999997</v>
      </c>
      <c r="Y903" s="848">
        <v>0.55000000000000004</v>
      </c>
      <c r="Z903" s="849">
        <v>35.549999999999997</v>
      </c>
      <c r="AA903" s="849"/>
      <c r="AB903" s="849">
        <f t="shared" si="168"/>
        <v>71.099999999999994</v>
      </c>
      <c r="AC903" s="850">
        <f t="shared" si="169"/>
        <v>71.099999999999994</v>
      </c>
      <c r="AD903" s="851"/>
      <c r="AE903" s="852">
        <v>26253.919999999998</v>
      </c>
      <c r="AF903" s="853">
        <v>0</v>
      </c>
      <c r="AG903" s="854">
        <f t="shared" si="170"/>
        <v>0</v>
      </c>
      <c r="AH903" s="853"/>
      <c r="AI903" s="855">
        <f t="shared" si="171"/>
        <v>0</v>
      </c>
      <c r="AJ903" s="845" t="s">
        <v>2695</v>
      </c>
      <c r="AK903" s="857">
        <v>45332</v>
      </c>
      <c r="AL903" s="840" t="s">
        <v>2696</v>
      </c>
      <c r="AM903" s="840"/>
      <c r="AN903" s="858"/>
      <c r="AO903" s="844" t="s">
        <v>2697</v>
      </c>
      <c r="AP903" s="859" t="s">
        <v>2698</v>
      </c>
      <c r="AQ903" s="859" t="s">
        <v>2698</v>
      </c>
      <c r="AR903" s="859" t="s">
        <v>2699</v>
      </c>
      <c r="AS903" s="840" t="s">
        <v>2700</v>
      </c>
      <c r="AT903" s="840" t="s">
        <v>1743</v>
      </c>
      <c r="AU903" s="860" t="s">
        <v>1285</v>
      </c>
      <c r="AV903" s="839" t="s">
        <v>2701</v>
      </c>
      <c r="AW903" s="861">
        <v>45646</v>
      </c>
      <c r="AX903" s="862" t="s">
        <v>2702</v>
      </c>
      <c r="AY903" s="843" t="s">
        <v>3207</v>
      </c>
      <c r="AZ903" s="842">
        <v>94049000</v>
      </c>
      <c r="BA903" s="842" t="s">
        <v>120</v>
      </c>
      <c r="BB903" s="863" t="s">
        <v>121</v>
      </c>
      <c r="BC903" s="864">
        <v>45650</v>
      </c>
      <c r="BD903" s="860" t="s">
        <v>2705</v>
      </c>
      <c r="BE903" s="865" cm="1">
        <f t="array" ref="BE903">IF(BD903="","",AC903/SUMPRODUCT(--(BD903=$BD$4:$BD$12824),$AC$4:$AC$12824))</f>
        <v>1.0252797059653539E-3</v>
      </c>
      <c r="BF903" s="458"/>
      <c r="BG903" s="458"/>
      <c r="BH903" s="458"/>
      <c r="BI903" s="458"/>
      <c r="BJ903" s="458"/>
      <c r="BK903" s="458"/>
      <c r="BL903" s="458"/>
      <c r="BM903" s="458"/>
      <c r="BN903" s="458"/>
      <c r="BO903" s="866">
        <f>VLOOKUP(BD903,$BD$4:$BN$12824,3,0)*BE903</f>
        <v>48350.499221811246</v>
      </c>
      <c r="BP903" s="866"/>
      <c r="BQ903" s="866"/>
      <c r="BR903" s="866">
        <f>VLOOKUP(BD903,$BD$4:$BN$12824,6,0)*BE903</f>
        <v>13865.413772943271</v>
      </c>
      <c r="BS903" s="866">
        <f>VLOOKUP(BD903,$BD$4:$BN$12824,7,0)*BE903</f>
        <v>1792.0566649453692</v>
      </c>
      <c r="BT903" s="866"/>
      <c r="BU903" s="866">
        <f>VLOOKUP(BD903,$BD$4:$BN$12824,9,0)*BE903</f>
        <v>0</v>
      </c>
      <c r="BV903" s="867"/>
      <c r="BW903" s="867">
        <f>VLOOKUP(BD903,$BD$4:$BN$12824,11,0)*BE903</f>
        <v>1993.1437483966481</v>
      </c>
      <c r="BX903" s="1146">
        <f t="shared" si="174"/>
        <v>66001.113408096528</v>
      </c>
      <c r="BY903" s="867">
        <f t="shared" si="175"/>
        <v>966327.41270404821</v>
      </c>
      <c r="BZ903" s="867">
        <f t="shared" si="172"/>
        <v>1932654.8254080964</v>
      </c>
      <c r="CA903" s="867">
        <f>_xlfn.MAXIFS($BY$4:$BY$12824,$S$4:$S$12824,$S903)</f>
        <v>966327.41270404821</v>
      </c>
      <c r="CB903" s="1032"/>
      <c r="CF903" s="946">
        <f t="shared" si="173"/>
        <v>1866653.7119999998</v>
      </c>
    </row>
    <row r="904" spans="1:84">
      <c r="A904" s="1032"/>
      <c r="B904" s="839" t="s">
        <v>98</v>
      </c>
      <c r="C904" s="839" t="s">
        <v>2689</v>
      </c>
      <c r="D904" s="839" t="s">
        <v>2690</v>
      </c>
      <c r="E904" s="839" t="s">
        <v>2691</v>
      </c>
      <c r="F904" s="841">
        <v>45451</v>
      </c>
      <c r="G904" s="840" t="s">
        <v>2689</v>
      </c>
      <c r="H904" s="842" t="s">
        <v>134</v>
      </c>
      <c r="I904" s="842"/>
      <c r="J904" s="841"/>
      <c r="K904" s="841"/>
      <c r="L904" s="843" t="s">
        <v>106</v>
      </c>
      <c r="M904" s="844" t="s">
        <v>107</v>
      </c>
      <c r="N904" s="841" t="s">
        <v>2692</v>
      </c>
      <c r="O904" s="841" t="s">
        <v>150</v>
      </c>
      <c r="P904" s="841" t="s">
        <v>151</v>
      </c>
      <c r="Q904" s="843"/>
      <c r="R904" s="845" t="s">
        <v>3208</v>
      </c>
      <c r="S904" s="1127" t="s">
        <v>3209</v>
      </c>
      <c r="T904" s="843" t="s">
        <v>3210</v>
      </c>
      <c r="U904" s="842">
        <v>2</v>
      </c>
      <c r="V904" s="842" t="s">
        <v>3</v>
      </c>
      <c r="W904" s="846">
        <v>78.999999999999986</v>
      </c>
      <c r="X904" s="847">
        <f t="shared" si="167"/>
        <v>157.99999999999997</v>
      </c>
      <c r="Y904" s="848">
        <v>0.55000000000000004</v>
      </c>
      <c r="Z904" s="849">
        <v>35.549999999999997</v>
      </c>
      <c r="AA904" s="849"/>
      <c r="AB904" s="849">
        <f t="shared" si="168"/>
        <v>71.099999999999994</v>
      </c>
      <c r="AC904" s="850">
        <f t="shared" si="169"/>
        <v>71.099999999999994</v>
      </c>
      <c r="AD904" s="851"/>
      <c r="AE904" s="852">
        <v>26253.919999999998</v>
      </c>
      <c r="AF904" s="853">
        <v>0</v>
      </c>
      <c r="AG904" s="854">
        <f t="shared" si="170"/>
        <v>0</v>
      </c>
      <c r="AH904" s="853"/>
      <c r="AI904" s="855">
        <f t="shared" si="171"/>
        <v>0</v>
      </c>
      <c r="AJ904" s="845" t="s">
        <v>2695</v>
      </c>
      <c r="AK904" s="857">
        <v>45332</v>
      </c>
      <c r="AL904" s="840" t="s">
        <v>2696</v>
      </c>
      <c r="AM904" s="840"/>
      <c r="AN904" s="858"/>
      <c r="AO904" s="844" t="s">
        <v>2697</v>
      </c>
      <c r="AP904" s="859" t="s">
        <v>2698</v>
      </c>
      <c r="AQ904" s="859" t="s">
        <v>2698</v>
      </c>
      <c r="AR904" s="859" t="s">
        <v>2699</v>
      </c>
      <c r="AS904" s="840" t="s">
        <v>2700</v>
      </c>
      <c r="AT904" s="840" t="s">
        <v>1743</v>
      </c>
      <c r="AU904" s="860" t="s">
        <v>1285</v>
      </c>
      <c r="AV904" s="839" t="s">
        <v>2701</v>
      </c>
      <c r="AW904" s="861">
        <v>45646</v>
      </c>
      <c r="AX904" s="862" t="s">
        <v>2702</v>
      </c>
      <c r="AY904" s="843" t="s">
        <v>3211</v>
      </c>
      <c r="AZ904" s="842">
        <v>94049000</v>
      </c>
      <c r="BA904" s="842" t="s">
        <v>120</v>
      </c>
      <c r="BB904" s="863" t="s">
        <v>121</v>
      </c>
      <c r="BC904" s="864">
        <v>45650</v>
      </c>
      <c r="BD904" s="860" t="s">
        <v>2705</v>
      </c>
      <c r="BE904" s="865" cm="1">
        <f t="array" ref="BE904">IF(BD904="","",AC904/SUMPRODUCT(--(BD904=$BD$4:$BD$12824),$AC$4:$AC$12824))</f>
        <v>1.0252797059653539E-3</v>
      </c>
      <c r="BF904" s="458"/>
      <c r="BG904" s="458"/>
      <c r="BH904" s="458"/>
      <c r="BI904" s="458"/>
      <c r="BJ904" s="458"/>
      <c r="BK904" s="458"/>
      <c r="BL904" s="458"/>
      <c r="BM904" s="458"/>
      <c r="BN904" s="458"/>
      <c r="BO904" s="866">
        <f>VLOOKUP(BD904,$BD$4:$BN$12824,3,0)*BE904</f>
        <v>48350.499221811246</v>
      </c>
      <c r="BP904" s="866"/>
      <c r="BQ904" s="866"/>
      <c r="BR904" s="866">
        <f>VLOOKUP(BD904,$BD$4:$BN$12824,6,0)*BE904</f>
        <v>13865.413772943271</v>
      </c>
      <c r="BS904" s="866">
        <f>VLOOKUP(BD904,$BD$4:$BN$12824,7,0)*BE904</f>
        <v>1792.0566649453692</v>
      </c>
      <c r="BT904" s="866"/>
      <c r="BU904" s="866">
        <f>VLOOKUP(BD904,$BD$4:$BN$12824,9,0)*BE904</f>
        <v>0</v>
      </c>
      <c r="BV904" s="867"/>
      <c r="BW904" s="867">
        <f>VLOOKUP(BD904,$BD$4:$BN$12824,11,0)*BE904</f>
        <v>1993.1437483966481</v>
      </c>
      <c r="BX904" s="1146">
        <f t="shared" si="174"/>
        <v>66001.113408096528</v>
      </c>
      <c r="BY904" s="867">
        <f t="shared" si="175"/>
        <v>966327.41270404821</v>
      </c>
      <c r="BZ904" s="867">
        <f t="shared" si="172"/>
        <v>1932654.8254080964</v>
      </c>
      <c r="CA904" s="867">
        <f>_xlfn.MAXIFS($BY$4:$BY$12824,$S$4:$S$12824,$S904)</f>
        <v>966327.41270404821</v>
      </c>
      <c r="CB904" s="1032"/>
      <c r="CF904" s="946">
        <f t="shared" si="173"/>
        <v>1866653.7119999998</v>
      </c>
    </row>
    <row r="905" spans="1:84">
      <c r="A905" s="1032"/>
      <c r="B905" s="839" t="s">
        <v>98</v>
      </c>
      <c r="C905" s="839" t="s">
        <v>2689</v>
      </c>
      <c r="D905" s="839" t="s">
        <v>2690</v>
      </c>
      <c r="E905" s="839" t="s">
        <v>2691</v>
      </c>
      <c r="F905" s="841">
        <v>45451</v>
      </c>
      <c r="G905" s="840" t="s">
        <v>2689</v>
      </c>
      <c r="H905" s="842" t="s">
        <v>134</v>
      </c>
      <c r="I905" s="842"/>
      <c r="J905" s="841"/>
      <c r="K905" s="841"/>
      <c r="L905" s="843" t="s">
        <v>106</v>
      </c>
      <c r="M905" s="844" t="s">
        <v>107</v>
      </c>
      <c r="N905" s="841" t="s">
        <v>2692</v>
      </c>
      <c r="O905" s="841" t="s">
        <v>150</v>
      </c>
      <c r="P905" s="841" t="s">
        <v>151</v>
      </c>
      <c r="Q905" s="843"/>
      <c r="R905" s="845" t="s">
        <v>3212</v>
      </c>
      <c r="S905" s="1127" t="s">
        <v>3213</v>
      </c>
      <c r="T905" s="843" t="s">
        <v>3214</v>
      </c>
      <c r="U905" s="842">
        <v>2</v>
      </c>
      <c r="V905" s="842" t="s">
        <v>3</v>
      </c>
      <c r="W905" s="846">
        <v>65</v>
      </c>
      <c r="X905" s="847">
        <f t="shared" si="167"/>
        <v>130</v>
      </c>
      <c r="Y905" s="848">
        <v>0.55000000000000004</v>
      </c>
      <c r="Z905" s="849">
        <v>29.25</v>
      </c>
      <c r="AA905" s="849"/>
      <c r="AB905" s="849">
        <f t="shared" si="168"/>
        <v>58.5</v>
      </c>
      <c r="AC905" s="850">
        <f t="shared" si="169"/>
        <v>58.5</v>
      </c>
      <c r="AD905" s="851"/>
      <c r="AE905" s="852">
        <v>26253.919999999998</v>
      </c>
      <c r="AF905" s="853">
        <v>0</v>
      </c>
      <c r="AG905" s="854">
        <f t="shared" si="170"/>
        <v>0</v>
      </c>
      <c r="AH905" s="853"/>
      <c r="AI905" s="855">
        <f t="shared" si="171"/>
        <v>0</v>
      </c>
      <c r="AJ905" s="845" t="s">
        <v>2695</v>
      </c>
      <c r="AK905" s="857">
        <v>45332</v>
      </c>
      <c r="AL905" s="840" t="s">
        <v>2696</v>
      </c>
      <c r="AM905" s="840"/>
      <c r="AN905" s="858"/>
      <c r="AO905" s="844" t="s">
        <v>2697</v>
      </c>
      <c r="AP905" s="859" t="s">
        <v>2698</v>
      </c>
      <c r="AQ905" s="859" t="s">
        <v>2698</v>
      </c>
      <c r="AR905" s="859" t="s">
        <v>2699</v>
      </c>
      <c r="AS905" s="840" t="s">
        <v>2700</v>
      </c>
      <c r="AT905" s="840" t="s">
        <v>1743</v>
      </c>
      <c r="AU905" s="860" t="s">
        <v>1285</v>
      </c>
      <c r="AV905" s="839" t="s">
        <v>2701</v>
      </c>
      <c r="AW905" s="861">
        <v>45646</v>
      </c>
      <c r="AX905" s="862" t="s">
        <v>2702</v>
      </c>
      <c r="AY905" s="843" t="s">
        <v>3215</v>
      </c>
      <c r="AZ905" s="842">
        <v>94049000</v>
      </c>
      <c r="BA905" s="842" t="s">
        <v>120</v>
      </c>
      <c r="BB905" s="863" t="s">
        <v>121</v>
      </c>
      <c r="BC905" s="864">
        <v>45650</v>
      </c>
      <c r="BD905" s="860" t="s">
        <v>2705</v>
      </c>
      <c r="BE905" s="865" cm="1">
        <f t="array" ref="BE905">IF(BD905="","",AC905/SUMPRODUCT(--(BD905=$BD$4:$BD$12824),$AC$4:$AC$12824))</f>
        <v>8.4358456819934194E-4</v>
      </c>
      <c r="BF905" s="458"/>
      <c r="BG905" s="458"/>
      <c r="BH905" s="458"/>
      <c r="BI905" s="458"/>
      <c r="BJ905" s="458"/>
      <c r="BK905" s="458"/>
      <c r="BL905" s="458"/>
      <c r="BM905" s="458"/>
      <c r="BN905" s="458"/>
      <c r="BO905" s="866">
        <f>VLOOKUP(BD905,$BD$4:$BN$12824,3,0)*BE905</f>
        <v>39782.056321743439</v>
      </c>
      <c r="BP905" s="866"/>
      <c r="BQ905" s="866"/>
      <c r="BR905" s="866">
        <f>VLOOKUP(BD905,$BD$4:$BN$12824,6,0)*BE905</f>
        <v>11408.25183849763</v>
      </c>
      <c r="BS905" s="866">
        <f>VLOOKUP(BD905,$BD$4:$BN$12824,7,0)*BE905</f>
        <v>1474.4770028031519</v>
      </c>
      <c r="BT905" s="866"/>
      <c r="BU905" s="866">
        <f>VLOOKUP(BD905,$BD$4:$BN$12824,9,0)*BE905</f>
        <v>0</v>
      </c>
      <c r="BV905" s="867"/>
      <c r="BW905" s="867">
        <f>VLOOKUP(BD905,$BD$4:$BN$12824,11,0)*BE905</f>
        <v>1639.9284005795207</v>
      </c>
      <c r="BX905" s="1146">
        <f t="shared" si="174"/>
        <v>54304.713563623736</v>
      </c>
      <c r="BY905" s="867">
        <f t="shared" si="175"/>
        <v>795079.51678181184</v>
      </c>
      <c r="BZ905" s="867">
        <f t="shared" si="172"/>
        <v>1590159.0335636237</v>
      </c>
      <c r="CA905" s="867">
        <f>_xlfn.MAXIFS($BY$4:$BY$12824,$S$4:$S$12824,$S905)</f>
        <v>795079.51678181184</v>
      </c>
      <c r="CB905" s="1032"/>
      <c r="CF905" s="946">
        <f t="shared" si="173"/>
        <v>1535854.3199999998</v>
      </c>
    </row>
    <row r="906" spans="1:84">
      <c r="A906" s="1032"/>
      <c r="B906" s="839" t="s">
        <v>98</v>
      </c>
      <c r="C906" s="839" t="s">
        <v>2689</v>
      </c>
      <c r="D906" s="839" t="s">
        <v>2690</v>
      </c>
      <c r="E906" s="839" t="s">
        <v>2691</v>
      </c>
      <c r="F906" s="841">
        <v>45451</v>
      </c>
      <c r="G906" s="840" t="s">
        <v>2689</v>
      </c>
      <c r="H906" s="842" t="s">
        <v>134</v>
      </c>
      <c r="I906" s="842"/>
      <c r="J906" s="841"/>
      <c r="K906" s="841"/>
      <c r="L906" s="843" t="s">
        <v>106</v>
      </c>
      <c r="M906" s="844" t="s">
        <v>107</v>
      </c>
      <c r="N906" s="841" t="s">
        <v>2692</v>
      </c>
      <c r="O906" s="841" t="s">
        <v>150</v>
      </c>
      <c r="P906" s="842" t="s">
        <v>3216</v>
      </c>
      <c r="Q906" s="843"/>
      <c r="R906" s="845" t="s">
        <v>3217</v>
      </c>
      <c r="S906" s="1127" t="s">
        <v>3218</v>
      </c>
      <c r="T906" s="843" t="s">
        <v>3219</v>
      </c>
      <c r="U906" s="842">
        <v>1</v>
      </c>
      <c r="V906" s="842" t="s">
        <v>3</v>
      </c>
      <c r="W906" s="846">
        <v>2070</v>
      </c>
      <c r="X906" s="847">
        <f t="shared" si="167"/>
        <v>2070</v>
      </c>
      <c r="Y906" s="848">
        <v>0.55000000000000004</v>
      </c>
      <c r="Z906" s="849">
        <v>931.5</v>
      </c>
      <c r="AA906" s="849"/>
      <c r="AB906" s="849">
        <f t="shared" si="168"/>
        <v>931.5</v>
      </c>
      <c r="AC906" s="850">
        <f t="shared" si="169"/>
        <v>931.5</v>
      </c>
      <c r="AD906" s="851"/>
      <c r="AE906" s="852">
        <v>26253.919999999998</v>
      </c>
      <c r="AF906" s="853">
        <v>0</v>
      </c>
      <c r="AG906" s="854">
        <f t="shared" si="170"/>
        <v>0</v>
      </c>
      <c r="AH906" s="853">
        <v>0.08</v>
      </c>
      <c r="AI906" s="855">
        <f t="shared" si="171"/>
        <v>1956442.1183999998</v>
      </c>
      <c r="AJ906" s="845" t="s">
        <v>2695</v>
      </c>
      <c r="AK906" s="857">
        <v>45332</v>
      </c>
      <c r="AL906" s="840" t="s">
        <v>2696</v>
      </c>
      <c r="AM906" s="840"/>
      <c r="AN906" s="858"/>
      <c r="AO906" s="844" t="s">
        <v>2697</v>
      </c>
      <c r="AP906" s="859" t="s">
        <v>2698</v>
      </c>
      <c r="AQ906" s="859" t="s">
        <v>2698</v>
      </c>
      <c r="AR906" s="859" t="s">
        <v>2699</v>
      </c>
      <c r="AS906" s="840" t="s">
        <v>2700</v>
      </c>
      <c r="AT906" s="840" t="s">
        <v>1743</v>
      </c>
      <c r="AU906" s="860" t="s">
        <v>1285</v>
      </c>
      <c r="AV906" s="839" t="s">
        <v>2701</v>
      </c>
      <c r="AW906" s="861">
        <v>45646</v>
      </c>
      <c r="AX906" s="862" t="s">
        <v>2702</v>
      </c>
      <c r="AY906" s="843" t="s">
        <v>3220</v>
      </c>
      <c r="AZ906" s="842">
        <v>94038990</v>
      </c>
      <c r="BA906" s="842" t="s">
        <v>120</v>
      </c>
      <c r="BB906" s="863" t="s">
        <v>121</v>
      </c>
      <c r="BC906" s="864">
        <v>45650</v>
      </c>
      <c r="BD906" s="860" t="s">
        <v>2705</v>
      </c>
      <c r="BE906" s="865" cm="1">
        <f t="array" ref="BE906">IF(BD906="","",AC906/SUMPRODUCT(--(BD906=$BD$4:$BD$12824),$AC$4:$AC$12824))</f>
        <v>1.3432461970558753E-2</v>
      </c>
      <c r="BF906" s="458"/>
      <c r="BG906" s="458"/>
      <c r="BH906" s="458"/>
      <c r="BI906" s="458"/>
      <c r="BJ906" s="458"/>
      <c r="BK906" s="458"/>
      <c r="BL906" s="458"/>
      <c r="BM906" s="458"/>
      <c r="BN906" s="458"/>
      <c r="BO906" s="866">
        <f>VLOOKUP(BD906,$BD$4:$BN$12824,3,0)*BE906</f>
        <v>633452.74296929932</v>
      </c>
      <c r="BP906" s="866"/>
      <c r="BQ906" s="866"/>
      <c r="BR906" s="866">
        <f>VLOOKUP(BD906,$BD$4:$BN$12824,6,0)*BE906</f>
        <v>181654.47158223152</v>
      </c>
      <c r="BS906" s="866">
        <f>VLOOKUP(BD906,$BD$4:$BN$12824,7,0)*BE906</f>
        <v>23478.210736942499</v>
      </c>
      <c r="BT906" s="866"/>
      <c r="BU906" s="866">
        <f>VLOOKUP(BD906,$BD$4:$BN$12824,9,0)*BE906</f>
        <v>0</v>
      </c>
      <c r="BV906" s="867"/>
      <c r="BW906" s="867">
        <f>VLOOKUP(BD906,$BD$4:$BN$12824,11,0)*BE906</f>
        <v>26112.706070766217</v>
      </c>
      <c r="BX906" s="1146">
        <f t="shared" si="174"/>
        <v>864698.13135923946</v>
      </c>
      <c r="BY906" s="867">
        <f t="shared" si="175"/>
        <v>25320224.611359235</v>
      </c>
      <c r="BZ906" s="867">
        <f t="shared" si="172"/>
        <v>25320224.611359235</v>
      </c>
      <c r="CA906" s="867">
        <f>_xlfn.MAXIFS($BY$4:$BY$12824,$S$4:$S$12824,$S906)</f>
        <v>32844957.630094416</v>
      </c>
      <c r="CB906" s="1032"/>
      <c r="CF906" s="946">
        <f t="shared" si="173"/>
        <v>24455526.479999997</v>
      </c>
    </row>
    <row r="907" spans="1:84">
      <c r="A907" s="1032"/>
      <c r="B907" s="839" t="s">
        <v>98</v>
      </c>
      <c r="C907" s="839" t="s">
        <v>2689</v>
      </c>
      <c r="D907" s="839" t="s">
        <v>2690</v>
      </c>
      <c r="E907" s="839" t="s">
        <v>2691</v>
      </c>
      <c r="F907" s="841">
        <v>45451</v>
      </c>
      <c r="G907" s="840" t="s">
        <v>2689</v>
      </c>
      <c r="H907" s="842" t="s">
        <v>134</v>
      </c>
      <c r="I907" s="842"/>
      <c r="J907" s="841"/>
      <c r="K907" s="841"/>
      <c r="L907" s="843" t="s">
        <v>106</v>
      </c>
      <c r="M907" s="844" t="s">
        <v>107</v>
      </c>
      <c r="N907" s="841" t="s">
        <v>2692</v>
      </c>
      <c r="O907" s="841" t="s">
        <v>150</v>
      </c>
      <c r="P907" s="841" t="s">
        <v>151</v>
      </c>
      <c r="Q907" s="843"/>
      <c r="R907" s="845" t="s">
        <v>3221</v>
      </c>
      <c r="S907" s="1127" t="s">
        <v>3222</v>
      </c>
      <c r="T907" s="843" t="s">
        <v>3223</v>
      </c>
      <c r="U907" s="842">
        <v>1</v>
      </c>
      <c r="V907" s="842" t="s">
        <v>3</v>
      </c>
      <c r="W907" s="846">
        <v>2070</v>
      </c>
      <c r="X907" s="847">
        <f t="shared" si="167"/>
        <v>2070</v>
      </c>
      <c r="Y907" s="848">
        <v>0.55000000000000004</v>
      </c>
      <c r="Z907" s="849">
        <v>931.5</v>
      </c>
      <c r="AA907" s="849"/>
      <c r="AB907" s="849">
        <f t="shared" si="168"/>
        <v>931.5</v>
      </c>
      <c r="AC907" s="850">
        <f t="shared" si="169"/>
        <v>931.5</v>
      </c>
      <c r="AD907" s="851"/>
      <c r="AE907" s="852">
        <v>26253.919999999998</v>
      </c>
      <c r="AF907" s="853">
        <v>0</v>
      </c>
      <c r="AG907" s="854">
        <f t="shared" si="170"/>
        <v>0</v>
      </c>
      <c r="AH907" s="853">
        <v>0.08</v>
      </c>
      <c r="AI907" s="855">
        <f t="shared" si="171"/>
        <v>1956442.1183999998</v>
      </c>
      <c r="AJ907" s="845" t="s">
        <v>2695</v>
      </c>
      <c r="AK907" s="857">
        <v>45332</v>
      </c>
      <c r="AL907" s="840" t="s">
        <v>2696</v>
      </c>
      <c r="AM907" s="840"/>
      <c r="AN907" s="858"/>
      <c r="AO907" s="844" t="s">
        <v>2697</v>
      </c>
      <c r="AP907" s="859" t="s">
        <v>2698</v>
      </c>
      <c r="AQ907" s="859" t="s">
        <v>2698</v>
      </c>
      <c r="AR907" s="859" t="s">
        <v>2699</v>
      </c>
      <c r="AS907" s="840" t="s">
        <v>2700</v>
      </c>
      <c r="AT907" s="840" t="s">
        <v>1743</v>
      </c>
      <c r="AU907" s="860" t="s">
        <v>1285</v>
      </c>
      <c r="AV907" s="839" t="s">
        <v>2701</v>
      </c>
      <c r="AW907" s="861">
        <v>45646</v>
      </c>
      <c r="AX907" s="862" t="s">
        <v>2702</v>
      </c>
      <c r="AY907" s="843" t="s">
        <v>3224</v>
      </c>
      <c r="AZ907" s="842">
        <v>94038990</v>
      </c>
      <c r="BA907" s="842" t="s">
        <v>120</v>
      </c>
      <c r="BB907" s="863" t="s">
        <v>121</v>
      </c>
      <c r="BC907" s="864">
        <v>45650</v>
      </c>
      <c r="BD907" s="860" t="s">
        <v>2705</v>
      </c>
      <c r="BE907" s="865" cm="1">
        <f t="array" ref="BE907">IF(BD907="","",AC907/SUMPRODUCT(--(BD907=$BD$4:$BD$12824),$AC$4:$AC$12824))</f>
        <v>1.3432461970558753E-2</v>
      </c>
      <c r="BF907" s="458"/>
      <c r="BG907" s="458"/>
      <c r="BH907" s="458"/>
      <c r="BI907" s="458"/>
      <c r="BJ907" s="458"/>
      <c r="BK907" s="458"/>
      <c r="BL907" s="458"/>
      <c r="BM907" s="458"/>
      <c r="BN907" s="458"/>
      <c r="BO907" s="866">
        <f>VLOOKUP(BD907,$BD$4:$BN$12824,3,0)*BE907</f>
        <v>633452.74296929932</v>
      </c>
      <c r="BP907" s="866"/>
      <c r="BQ907" s="866"/>
      <c r="BR907" s="866">
        <f>VLOOKUP(BD907,$BD$4:$BN$12824,6,0)*BE907</f>
        <v>181654.47158223152</v>
      </c>
      <c r="BS907" s="866">
        <f>VLOOKUP(BD907,$BD$4:$BN$12824,7,0)*BE907</f>
        <v>23478.210736942499</v>
      </c>
      <c r="BT907" s="866"/>
      <c r="BU907" s="866">
        <f>VLOOKUP(BD907,$BD$4:$BN$12824,9,0)*BE907</f>
        <v>0</v>
      </c>
      <c r="BV907" s="867"/>
      <c r="BW907" s="867">
        <f>VLOOKUP(BD907,$BD$4:$BN$12824,11,0)*BE907</f>
        <v>26112.706070766217</v>
      </c>
      <c r="BX907" s="1146">
        <f t="shared" si="174"/>
        <v>864698.13135923946</v>
      </c>
      <c r="BY907" s="867">
        <f t="shared" si="175"/>
        <v>25320224.611359235</v>
      </c>
      <c r="BZ907" s="867">
        <f t="shared" si="172"/>
        <v>25320224.611359235</v>
      </c>
      <c r="CA907" s="867">
        <f>_xlfn.MAXIFS($BY$4:$BY$12824,$S$4:$S$12824,$S907)</f>
        <v>32844957.630094416</v>
      </c>
      <c r="CB907" s="1032"/>
      <c r="CF907" s="946">
        <f t="shared" si="173"/>
        <v>24455526.479999997</v>
      </c>
    </row>
    <row r="908" spans="1:84">
      <c r="A908" s="1032"/>
      <c r="B908" s="839" t="s">
        <v>98</v>
      </c>
      <c r="C908" s="839" t="s">
        <v>2689</v>
      </c>
      <c r="D908" s="839" t="s">
        <v>2690</v>
      </c>
      <c r="E908" s="839" t="s">
        <v>2691</v>
      </c>
      <c r="F908" s="841">
        <v>45451</v>
      </c>
      <c r="G908" s="840" t="s">
        <v>2689</v>
      </c>
      <c r="H908" s="842" t="s">
        <v>134</v>
      </c>
      <c r="I908" s="842"/>
      <c r="J908" s="841"/>
      <c r="K908" s="841"/>
      <c r="L908" s="843" t="s">
        <v>106</v>
      </c>
      <c r="M908" s="844" t="s">
        <v>107</v>
      </c>
      <c r="N908" s="841" t="s">
        <v>2692</v>
      </c>
      <c r="O908" s="841" t="s">
        <v>150</v>
      </c>
      <c r="P908" s="841" t="s">
        <v>151</v>
      </c>
      <c r="Q908" s="843"/>
      <c r="R908" s="845">
        <v>21203600</v>
      </c>
      <c r="S908" s="1127" t="s">
        <v>3225</v>
      </c>
      <c r="T908" s="843" t="s">
        <v>3226</v>
      </c>
      <c r="U908" s="842">
        <v>2</v>
      </c>
      <c r="V908" s="842" t="s">
        <v>3</v>
      </c>
      <c r="W908" s="846">
        <v>3940</v>
      </c>
      <c r="X908" s="847">
        <f t="shared" si="167"/>
        <v>7880</v>
      </c>
      <c r="Y908" s="848">
        <v>0.55000000000000004</v>
      </c>
      <c r="Z908" s="849">
        <v>1773</v>
      </c>
      <c r="AA908" s="849"/>
      <c r="AB908" s="849">
        <f t="shared" si="168"/>
        <v>3546</v>
      </c>
      <c r="AC908" s="850">
        <f t="shared" si="169"/>
        <v>3546</v>
      </c>
      <c r="AD908" s="851"/>
      <c r="AE908" s="852">
        <v>26253.919999999998</v>
      </c>
      <c r="AF908" s="853">
        <v>0</v>
      </c>
      <c r="AG908" s="854">
        <f t="shared" si="170"/>
        <v>0</v>
      </c>
      <c r="AH908" s="853"/>
      <c r="AI908" s="855">
        <f t="shared" si="171"/>
        <v>0</v>
      </c>
      <c r="AJ908" s="845" t="s">
        <v>2695</v>
      </c>
      <c r="AK908" s="857">
        <v>45332</v>
      </c>
      <c r="AL908" s="840" t="s">
        <v>2696</v>
      </c>
      <c r="AM908" s="840"/>
      <c r="AN908" s="858"/>
      <c r="AO908" s="844" t="s">
        <v>2697</v>
      </c>
      <c r="AP908" s="859" t="s">
        <v>2698</v>
      </c>
      <c r="AQ908" s="859" t="s">
        <v>2698</v>
      </c>
      <c r="AR908" s="859" t="s">
        <v>2699</v>
      </c>
      <c r="AS908" s="840" t="s">
        <v>2700</v>
      </c>
      <c r="AT908" s="840" t="s">
        <v>1743</v>
      </c>
      <c r="AU908" s="860" t="s">
        <v>1285</v>
      </c>
      <c r="AV908" s="839" t="s">
        <v>2701</v>
      </c>
      <c r="AW908" s="861">
        <v>45646</v>
      </c>
      <c r="AX908" s="862" t="s">
        <v>2702</v>
      </c>
      <c r="AY908" s="843" t="s">
        <v>3227</v>
      </c>
      <c r="AZ908" s="842">
        <v>94038990</v>
      </c>
      <c r="BA908" s="842" t="s">
        <v>120</v>
      </c>
      <c r="BB908" s="863" t="s">
        <v>121</v>
      </c>
      <c r="BC908" s="864">
        <v>45650</v>
      </c>
      <c r="BD908" s="860" t="s">
        <v>2705</v>
      </c>
      <c r="BE908" s="865" cm="1">
        <f t="array" ref="BE908">IF(BD908="","",AC908/SUMPRODUCT(--(BD908=$BD$4:$BD$12824),$AC$4:$AC$12824))</f>
        <v>5.1134203057006264E-2</v>
      </c>
      <c r="BF908" s="458"/>
      <c r="BG908" s="458"/>
      <c r="BH908" s="458"/>
      <c r="BI908" s="458"/>
      <c r="BJ908" s="458"/>
      <c r="BK908" s="458"/>
      <c r="BL908" s="458"/>
      <c r="BM908" s="458"/>
      <c r="BN908" s="458"/>
      <c r="BO908" s="866">
        <f>VLOOKUP(BD908,$BD$4:$BN$12824,3,0)*BE908</f>
        <v>2411404.6447333712</v>
      </c>
      <c r="BP908" s="866"/>
      <c r="BQ908" s="866"/>
      <c r="BR908" s="866">
        <f>VLOOKUP(BD908,$BD$4:$BN$12824,6,0)*BE908</f>
        <v>691515.5729797025</v>
      </c>
      <c r="BS908" s="866">
        <f>VLOOKUP(BD908,$BD$4:$BN$12824,7,0)*BE908</f>
        <v>89375.990631452602</v>
      </c>
      <c r="BT908" s="866"/>
      <c r="BU908" s="866">
        <f>VLOOKUP(BD908,$BD$4:$BN$12824,9,0)*BE908</f>
        <v>0</v>
      </c>
      <c r="BV908" s="867"/>
      <c r="BW908" s="867">
        <f>VLOOKUP(BD908,$BD$4:$BN$12824,11,0)*BE908</f>
        <v>99404.890742820178</v>
      </c>
      <c r="BX908" s="1146">
        <f t="shared" si="174"/>
        <v>3291701.0990873468</v>
      </c>
      <c r="BY908" s="867">
        <f t="shared" si="175"/>
        <v>48194050.709543668</v>
      </c>
      <c r="BZ908" s="867">
        <f t="shared" si="172"/>
        <v>96388101.419087335</v>
      </c>
      <c r="CA908" s="867">
        <f>_xlfn.MAXIFS($BY$4:$BY$12824,$S$4:$S$12824,$S908)</f>
        <v>48194050.709543668</v>
      </c>
      <c r="CB908" s="1032"/>
      <c r="CF908" s="946">
        <f t="shared" si="173"/>
        <v>93096400.319999993</v>
      </c>
    </row>
    <row r="909" spans="1:84">
      <c r="A909" s="1032"/>
      <c r="B909" s="839" t="s">
        <v>98</v>
      </c>
      <c r="C909" s="839" t="s">
        <v>2689</v>
      </c>
      <c r="D909" s="839" t="s">
        <v>2690</v>
      </c>
      <c r="E909" s="839" t="s">
        <v>2691</v>
      </c>
      <c r="F909" s="841">
        <v>45451</v>
      </c>
      <c r="G909" s="840" t="s">
        <v>2689</v>
      </c>
      <c r="H909" s="842" t="s">
        <v>134</v>
      </c>
      <c r="I909" s="842"/>
      <c r="J909" s="841"/>
      <c r="K909" s="841"/>
      <c r="L909" s="843" t="s">
        <v>106</v>
      </c>
      <c r="M909" s="844" t="s">
        <v>107</v>
      </c>
      <c r="N909" s="841" t="s">
        <v>2692</v>
      </c>
      <c r="O909" s="841" t="s">
        <v>150</v>
      </c>
      <c r="P909" s="841" t="s">
        <v>151</v>
      </c>
      <c r="Q909" s="843"/>
      <c r="R909" s="845" t="s">
        <v>3228</v>
      </c>
      <c r="S909" s="1127" t="s">
        <v>3229</v>
      </c>
      <c r="T909" s="843" t="s">
        <v>3230</v>
      </c>
      <c r="U909" s="842">
        <v>1</v>
      </c>
      <c r="V909" s="842" t="s">
        <v>3</v>
      </c>
      <c r="W909" s="846">
        <v>2070</v>
      </c>
      <c r="X909" s="847">
        <f t="shared" si="167"/>
        <v>2070</v>
      </c>
      <c r="Y909" s="848">
        <v>0.55000000000000004</v>
      </c>
      <c r="Z909" s="849">
        <v>931.5</v>
      </c>
      <c r="AA909" s="849"/>
      <c r="AB909" s="849">
        <f t="shared" si="168"/>
        <v>931.5</v>
      </c>
      <c r="AC909" s="850">
        <f t="shared" si="169"/>
        <v>931.5</v>
      </c>
      <c r="AD909" s="851"/>
      <c r="AE909" s="852">
        <v>26253.919999999998</v>
      </c>
      <c r="AF909" s="853">
        <v>0</v>
      </c>
      <c r="AG909" s="854">
        <f t="shared" si="170"/>
        <v>0</v>
      </c>
      <c r="AH909" s="853"/>
      <c r="AI909" s="855">
        <f t="shared" si="171"/>
        <v>0</v>
      </c>
      <c r="AJ909" s="845" t="s">
        <v>2695</v>
      </c>
      <c r="AK909" s="857">
        <v>45332</v>
      </c>
      <c r="AL909" s="840" t="s">
        <v>2696</v>
      </c>
      <c r="AM909" s="840"/>
      <c r="AN909" s="858"/>
      <c r="AO909" s="844" t="s">
        <v>2697</v>
      </c>
      <c r="AP909" s="859" t="s">
        <v>2698</v>
      </c>
      <c r="AQ909" s="859" t="s">
        <v>2698</v>
      </c>
      <c r="AR909" s="859" t="s">
        <v>2699</v>
      </c>
      <c r="AS909" s="840" t="s">
        <v>2700</v>
      </c>
      <c r="AT909" s="840" t="s">
        <v>1743</v>
      </c>
      <c r="AU909" s="860" t="s">
        <v>1285</v>
      </c>
      <c r="AV909" s="839" t="s">
        <v>2701</v>
      </c>
      <c r="AW909" s="861">
        <v>45646</v>
      </c>
      <c r="AX909" s="862" t="s">
        <v>2702</v>
      </c>
      <c r="AY909" s="843" t="s">
        <v>3231</v>
      </c>
      <c r="AZ909" s="842">
        <v>94036090</v>
      </c>
      <c r="BA909" s="842" t="s">
        <v>120</v>
      </c>
      <c r="BB909" s="863" t="s">
        <v>121</v>
      </c>
      <c r="BC909" s="864">
        <v>45650</v>
      </c>
      <c r="BD909" s="860" t="s">
        <v>2705</v>
      </c>
      <c r="BE909" s="865" cm="1">
        <f t="array" ref="BE909">IF(BD909="","",AC909/SUMPRODUCT(--(BD909=$BD$4:$BD$12824),$AC$4:$AC$12824))</f>
        <v>1.3432461970558753E-2</v>
      </c>
      <c r="BF909" s="458"/>
      <c r="BG909" s="458"/>
      <c r="BH909" s="458"/>
      <c r="BI909" s="458"/>
      <c r="BJ909" s="458"/>
      <c r="BK909" s="458"/>
      <c r="BL909" s="458"/>
      <c r="BM909" s="458"/>
      <c r="BN909" s="458"/>
      <c r="BO909" s="866">
        <f>VLOOKUP(BD909,$BD$4:$BN$12824,3,0)*BE909</f>
        <v>633452.74296929932</v>
      </c>
      <c r="BP909" s="866"/>
      <c r="BQ909" s="866"/>
      <c r="BR909" s="866">
        <f>VLOOKUP(BD909,$BD$4:$BN$12824,6,0)*BE909</f>
        <v>181654.47158223152</v>
      </c>
      <c r="BS909" s="866">
        <f>VLOOKUP(BD909,$BD$4:$BN$12824,7,0)*BE909</f>
        <v>23478.210736942499</v>
      </c>
      <c r="BT909" s="866"/>
      <c r="BU909" s="866">
        <f>VLOOKUP(BD909,$BD$4:$BN$12824,9,0)*BE909</f>
        <v>0</v>
      </c>
      <c r="BV909" s="867"/>
      <c r="BW909" s="867">
        <f>VLOOKUP(BD909,$BD$4:$BN$12824,11,0)*BE909</f>
        <v>26112.706070766217</v>
      </c>
      <c r="BX909" s="1146">
        <f t="shared" si="174"/>
        <v>864698.13135923946</v>
      </c>
      <c r="BY909" s="867">
        <f t="shared" si="175"/>
        <v>25320224.611359235</v>
      </c>
      <c r="BZ909" s="867">
        <f t="shared" si="172"/>
        <v>25320224.611359235</v>
      </c>
      <c r="CA909" s="867">
        <f>_xlfn.MAXIFS($BY$4:$BY$12824,$S$4:$S$12824,$S909)</f>
        <v>41997471.299999997</v>
      </c>
      <c r="CB909" s="1032"/>
      <c r="CF909" s="946">
        <f t="shared" si="173"/>
        <v>24455526.479999997</v>
      </c>
    </row>
    <row r="910" spans="1:84">
      <c r="A910" s="1032"/>
      <c r="B910" s="839" t="s">
        <v>98</v>
      </c>
      <c r="C910" s="839" t="s">
        <v>2689</v>
      </c>
      <c r="D910" s="839" t="s">
        <v>2690</v>
      </c>
      <c r="E910" s="839" t="s">
        <v>2691</v>
      </c>
      <c r="F910" s="841">
        <v>45451</v>
      </c>
      <c r="G910" s="840" t="s">
        <v>2689</v>
      </c>
      <c r="H910" s="842" t="s">
        <v>134</v>
      </c>
      <c r="I910" s="842"/>
      <c r="J910" s="841"/>
      <c r="K910" s="841"/>
      <c r="L910" s="843" t="s">
        <v>106</v>
      </c>
      <c r="M910" s="844" t="s">
        <v>107</v>
      </c>
      <c r="N910" s="841" t="s">
        <v>2692</v>
      </c>
      <c r="O910" s="841" t="s">
        <v>150</v>
      </c>
      <c r="P910" s="841" t="s">
        <v>151</v>
      </c>
      <c r="Q910" s="843"/>
      <c r="R910" s="845" t="s">
        <v>3232</v>
      </c>
      <c r="S910" s="1127" t="s">
        <v>3233</v>
      </c>
      <c r="T910" s="843" t="s">
        <v>3234</v>
      </c>
      <c r="U910" s="842">
        <v>1</v>
      </c>
      <c r="V910" s="842" t="s">
        <v>3</v>
      </c>
      <c r="W910" s="846">
        <v>1650</v>
      </c>
      <c r="X910" s="847">
        <f t="shared" si="167"/>
        <v>1650</v>
      </c>
      <c r="Y910" s="848">
        <v>0.55000000000000004</v>
      </c>
      <c r="Z910" s="849">
        <v>742.5</v>
      </c>
      <c r="AA910" s="849"/>
      <c r="AB910" s="849">
        <f t="shared" si="168"/>
        <v>742.5</v>
      </c>
      <c r="AC910" s="850">
        <f t="shared" si="169"/>
        <v>742.5</v>
      </c>
      <c r="AD910" s="851"/>
      <c r="AE910" s="852">
        <v>26253.919999999998</v>
      </c>
      <c r="AF910" s="853">
        <v>0</v>
      </c>
      <c r="AG910" s="854">
        <f t="shared" si="170"/>
        <v>0</v>
      </c>
      <c r="AH910" s="853"/>
      <c r="AI910" s="855">
        <f t="shared" si="171"/>
        <v>0</v>
      </c>
      <c r="AJ910" s="845" t="s">
        <v>2695</v>
      </c>
      <c r="AK910" s="857">
        <v>45332</v>
      </c>
      <c r="AL910" s="840" t="s">
        <v>2696</v>
      </c>
      <c r="AM910" s="840"/>
      <c r="AN910" s="858"/>
      <c r="AO910" s="844" t="s">
        <v>2697</v>
      </c>
      <c r="AP910" s="859" t="s">
        <v>2698</v>
      </c>
      <c r="AQ910" s="859" t="s">
        <v>2698</v>
      </c>
      <c r="AR910" s="859" t="s">
        <v>2699</v>
      </c>
      <c r="AS910" s="840" t="s">
        <v>2700</v>
      </c>
      <c r="AT910" s="840" t="s">
        <v>1743</v>
      </c>
      <c r="AU910" s="860" t="s">
        <v>1285</v>
      </c>
      <c r="AV910" s="839" t="s">
        <v>2701</v>
      </c>
      <c r="AW910" s="861">
        <v>45646</v>
      </c>
      <c r="AX910" s="862" t="s">
        <v>2702</v>
      </c>
      <c r="AY910" s="843" t="s">
        <v>3235</v>
      </c>
      <c r="AZ910" s="842">
        <v>94038990</v>
      </c>
      <c r="BA910" s="842" t="s">
        <v>120</v>
      </c>
      <c r="BB910" s="863" t="s">
        <v>121</v>
      </c>
      <c r="BC910" s="864">
        <v>45650</v>
      </c>
      <c r="BD910" s="860" t="s">
        <v>2705</v>
      </c>
      <c r="BE910" s="865" cm="1">
        <f t="array" ref="BE910">IF(BD910="","",AC910/SUMPRODUCT(--(BD910=$BD$4:$BD$12824),$AC$4:$AC$12824))</f>
        <v>1.0707034904068571E-2</v>
      </c>
      <c r="BF910" s="458"/>
      <c r="BG910" s="458"/>
      <c r="BH910" s="458"/>
      <c r="BI910" s="458"/>
      <c r="BJ910" s="458"/>
      <c r="BK910" s="458"/>
      <c r="BL910" s="458"/>
      <c r="BM910" s="458"/>
      <c r="BN910" s="458"/>
      <c r="BO910" s="866">
        <f>VLOOKUP(BD910,$BD$4:$BN$12824,3,0)*BE910</f>
        <v>504926.09946828207</v>
      </c>
      <c r="BP910" s="866"/>
      <c r="BQ910" s="866"/>
      <c r="BR910" s="866">
        <f>VLOOKUP(BD910,$BD$4:$BN$12824,6,0)*BE910</f>
        <v>144797.04256554684</v>
      </c>
      <c r="BS910" s="866">
        <f>VLOOKUP(BD910,$BD$4:$BN$12824,7,0)*BE910</f>
        <v>18714.515804809238</v>
      </c>
      <c r="BT910" s="866"/>
      <c r="BU910" s="866">
        <f>VLOOKUP(BD910,$BD$4:$BN$12824,9,0)*BE910</f>
        <v>0</v>
      </c>
      <c r="BV910" s="867"/>
      <c r="BW910" s="867">
        <f>VLOOKUP(BD910,$BD$4:$BN$12824,11,0)*BE910</f>
        <v>20814.475853509302</v>
      </c>
      <c r="BX910" s="1146">
        <f t="shared" si="174"/>
        <v>689252.13369214744</v>
      </c>
      <c r="BY910" s="867">
        <f t="shared" si="175"/>
        <v>20182787.733692147</v>
      </c>
      <c r="BZ910" s="867">
        <f t="shared" si="172"/>
        <v>20182787.733692147</v>
      </c>
      <c r="CA910" s="867">
        <f>_xlfn.MAXIFS($BY$4:$BY$12824,$S$4:$S$12824,$S910)</f>
        <v>20182787.733692147</v>
      </c>
      <c r="CB910" s="1032"/>
      <c r="CF910" s="946">
        <f t="shared" si="173"/>
        <v>19493535.599999998</v>
      </c>
    </row>
    <row r="911" spans="1:84">
      <c r="A911" s="1032"/>
      <c r="B911" s="839" t="s">
        <v>98</v>
      </c>
      <c r="C911" s="839" t="s">
        <v>2689</v>
      </c>
      <c r="D911" s="839" t="s">
        <v>2690</v>
      </c>
      <c r="E911" s="839" t="s">
        <v>2691</v>
      </c>
      <c r="F911" s="841">
        <v>45451</v>
      </c>
      <c r="G911" s="840" t="s">
        <v>2689</v>
      </c>
      <c r="H911" s="842" t="s">
        <v>134</v>
      </c>
      <c r="I911" s="842"/>
      <c r="J911" s="841"/>
      <c r="K911" s="841"/>
      <c r="L911" s="843" t="s">
        <v>106</v>
      </c>
      <c r="M911" s="844" t="s">
        <v>107</v>
      </c>
      <c r="N911" s="841" t="s">
        <v>2692</v>
      </c>
      <c r="O911" s="841" t="s">
        <v>150</v>
      </c>
      <c r="P911" s="841" t="s">
        <v>151</v>
      </c>
      <c r="Q911" s="843"/>
      <c r="R911" s="845" t="s">
        <v>3236</v>
      </c>
      <c r="S911" s="1127" t="s">
        <v>3237</v>
      </c>
      <c r="T911" s="843" t="s">
        <v>3238</v>
      </c>
      <c r="U911" s="842">
        <v>1</v>
      </c>
      <c r="V911" s="842" t="s">
        <v>3</v>
      </c>
      <c r="W911" s="846">
        <v>1310</v>
      </c>
      <c r="X911" s="847">
        <f t="shared" si="167"/>
        <v>1310</v>
      </c>
      <c r="Y911" s="848">
        <v>0.55000000000000004</v>
      </c>
      <c r="Z911" s="849">
        <v>589.5</v>
      </c>
      <c r="AA911" s="849"/>
      <c r="AB911" s="849">
        <f t="shared" si="168"/>
        <v>589.5</v>
      </c>
      <c r="AC911" s="850">
        <f t="shared" si="169"/>
        <v>589.5</v>
      </c>
      <c r="AD911" s="851"/>
      <c r="AE911" s="852">
        <v>26253.919999999998</v>
      </c>
      <c r="AF911" s="853">
        <v>0</v>
      </c>
      <c r="AG911" s="854">
        <f t="shared" si="170"/>
        <v>0</v>
      </c>
      <c r="AH911" s="853"/>
      <c r="AI911" s="855">
        <f t="shared" si="171"/>
        <v>0</v>
      </c>
      <c r="AJ911" s="845" t="s">
        <v>2695</v>
      </c>
      <c r="AK911" s="857">
        <v>45332</v>
      </c>
      <c r="AL911" s="840" t="s">
        <v>2696</v>
      </c>
      <c r="AM911" s="840"/>
      <c r="AN911" s="858"/>
      <c r="AO911" s="844" t="s">
        <v>2697</v>
      </c>
      <c r="AP911" s="859" t="s">
        <v>2698</v>
      </c>
      <c r="AQ911" s="859" t="s">
        <v>2698</v>
      </c>
      <c r="AR911" s="859" t="s">
        <v>2699</v>
      </c>
      <c r="AS911" s="840" t="s">
        <v>2700</v>
      </c>
      <c r="AT911" s="840" t="s">
        <v>1743</v>
      </c>
      <c r="AU911" s="860" t="s">
        <v>1285</v>
      </c>
      <c r="AV911" s="839" t="s">
        <v>2701</v>
      </c>
      <c r="AW911" s="861">
        <v>45646</v>
      </c>
      <c r="AX911" s="862" t="s">
        <v>2702</v>
      </c>
      <c r="AY911" s="843" t="s">
        <v>3239</v>
      </c>
      <c r="AZ911" s="842">
        <v>94038990</v>
      </c>
      <c r="BA911" s="842" t="s">
        <v>120</v>
      </c>
      <c r="BB911" s="863" t="s">
        <v>121</v>
      </c>
      <c r="BC911" s="864">
        <v>45650</v>
      </c>
      <c r="BD911" s="860" t="s">
        <v>2705</v>
      </c>
      <c r="BE911" s="865" cm="1">
        <f t="array" ref="BE911">IF(BD911="","",AC911/SUMPRODUCT(--(BD911=$BD$4:$BD$12824),$AC$4:$AC$12824))</f>
        <v>8.5007368026241391E-3</v>
      </c>
      <c r="BF911" s="458"/>
      <c r="BG911" s="458"/>
      <c r="BH911" s="458"/>
      <c r="BI911" s="458"/>
      <c r="BJ911" s="458"/>
      <c r="BK911" s="458"/>
      <c r="BL911" s="458"/>
      <c r="BM911" s="458"/>
      <c r="BN911" s="458"/>
      <c r="BO911" s="866">
        <f>VLOOKUP(BD911,$BD$4:$BN$12824,3,0)*BE911</f>
        <v>400880.72139603004</v>
      </c>
      <c r="BP911" s="866"/>
      <c r="BQ911" s="866"/>
      <c r="BR911" s="866">
        <f>VLOOKUP(BD911,$BD$4:$BN$12824,6,0)*BE911</f>
        <v>114960.0762187069</v>
      </c>
      <c r="BS911" s="866">
        <f>VLOOKUP(BD911,$BD$4:$BN$12824,7,0)*BE911</f>
        <v>14858.191335939457</v>
      </c>
      <c r="BT911" s="866"/>
      <c r="BU911" s="866">
        <f>VLOOKUP(BD911,$BD$4:$BN$12824,9,0)*BE911</f>
        <v>0</v>
      </c>
      <c r="BV911" s="867"/>
      <c r="BW911" s="867">
        <f>VLOOKUP(BD911,$BD$4:$BN$12824,11,0)*BE911</f>
        <v>16525.432344301327</v>
      </c>
      <c r="BX911" s="1146">
        <f t="shared" si="174"/>
        <v>547224.42129497777</v>
      </c>
      <c r="BY911" s="867">
        <f t="shared" si="175"/>
        <v>16023910.261294978</v>
      </c>
      <c r="BZ911" s="867">
        <f t="shared" si="172"/>
        <v>16023910.261294978</v>
      </c>
      <c r="CA911" s="867">
        <f>_xlfn.MAXIFS($BY$4:$BY$12824,$S$4:$S$12824,$S911)</f>
        <v>16023910.261294978</v>
      </c>
      <c r="CB911" s="1032"/>
      <c r="CF911" s="946">
        <f t="shared" si="173"/>
        <v>15476685.84</v>
      </c>
    </row>
    <row r="912" spans="1:84">
      <c r="A912" s="1032"/>
      <c r="B912" s="839" t="s">
        <v>98</v>
      </c>
      <c r="C912" s="839" t="s">
        <v>2689</v>
      </c>
      <c r="D912" s="839" t="s">
        <v>2690</v>
      </c>
      <c r="E912" s="839" t="s">
        <v>2691</v>
      </c>
      <c r="F912" s="841">
        <v>45451</v>
      </c>
      <c r="G912" s="840" t="s">
        <v>2689</v>
      </c>
      <c r="H912" s="842" t="s">
        <v>134</v>
      </c>
      <c r="I912" s="842"/>
      <c r="J912" s="841"/>
      <c r="K912" s="841"/>
      <c r="L912" s="843" t="s">
        <v>106</v>
      </c>
      <c r="M912" s="844" t="s">
        <v>107</v>
      </c>
      <c r="N912" s="841" t="s">
        <v>2692</v>
      </c>
      <c r="O912" s="841" t="s">
        <v>150</v>
      </c>
      <c r="P912" s="841" t="s">
        <v>151</v>
      </c>
      <c r="Q912" s="843"/>
      <c r="R912" s="845" t="s">
        <v>3240</v>
      </c>
      <c r="S912" s="1127" t="s">
        <v>3241</v>
      </c>
      <c r="T912" s="843" t="s">
        <v>3242</v>
      </c>
      <c r="U912" s="842">
        <v>1</v>
      </c>
      <c r="V912" s="842" t="s">
        <v>3</v>
      </c>
      <c r="W912" s="846">
        <v>3680</v>
      </c>
      <c r="X912" s="847">
        <f t="shared" si="167"/>
        <v>3680</v>
      </c>
      <c r="Y912" s="848">
        <v>0.55000000000000004</v>
      </c>
      <c r="Z912" s="849">
        <v>1656</v>
      </c>
      <c r="AA912" s="849"/>
      <c r="AB912" s="849">
        <f t="shared" si="168"/>
        <v>1656</v>
      </c>
      <c r="AC912" s="850">
        <f t="shared" si="169"/>
        <v>1656</v>
      </c>
      <c r="AD912" s="851"/>
      <c r="AE912" s="852">
        <v>26253.919999999998</v>
      </c>
      <c r="AF912" s="853">
        <v>0</v>
      </c>
      <c r="AG912" s="854">
        <f t="shared" si="170"/>
        <v>0</v>
      </c>
      <c r="AH912" s="853"/>
      <c r="AI912" s="855">
        <f t="shared" si="171"/>
        <v>0</v>
      </c>
      <c r="AJ912" s="845" t="s">
        <v>2695</v>
      </c>
      <c r="AK912" s="857">
        <v>45332</v>
      </c>
      <c r="AL912" s="840" t="s">
        <v>2696</v>
      </c>
      <c r="AM912" s="840"/>
      <c r="AN912" s="858"/>
      <c r="AO912" s="844" t="s">
        <v>2697</v>
      </c>
      <c r="AP912" s="859" t="s">
        <v>2698</v>
      </c>
      <c r="AQ912" s="859" t="s">
        <v>2698</v>
      </c>
      <c r="AR912" s="859" t="s">
        <v>2699</v>
      </c>
      <c r="AS912" s="840" t="s">
        <v>2700</v>
      </c>
      <c r="AT912" s="840" t="s">
        <v>1743</v>
      </c>
      <c r="AU912" s="860" t="s">
        <v>1285</v>
      </c>
      <c r="AV912" s="839" t="s">
        <v>2701</v>
      </c>
      <c r="AW912" s="861">
        <v>45646</v>
      </c>
      <c r="AX912" s="862" t="s">
        <v>2702</v>
      </c>
      <c r="AY912" s="843" t="s">
        <v>3243</v>
      </c>
      <c r="AZ912" s="842">
        <v>94038990</v>
      </c>
      <c r="BA912" s="842" t="s">
        <v>120</v>
      </c>
      <c r="BB912" s="863" t="s">
        <v>121</v>
      </c>
      <c r="BC912" s="864">
        <v>45650</v>
      </c>
      <c r="BD912" s="860" t="s">
        <v>2705</v>
      </c>
      <c r="BE912" s="865" cm="1">
        <f t="array" ref="BE912">IF(BD912="","",AC912/SUMPRODUCT(--(BD912=$BD$4:$BD$12824),$AC$4:$AC$12824))</f>
        <v>2.3879932392104449E-2</v>
      </c>
      <c r="BF912" s="458"/>
      <c r="BG912" s="458"/>
      <c r="BH912" s="458"/>
      <c r="BI912" s="458"/>
      <c r="BJ912" s="458"/>
      <c r="BK912" s="458"/>
      <c r="BL912" s="458"/>
      <c r="BM912" s="458"/>
      <c r="BN912" s="458"/>
      <c r="BO912" s="866">
        <f>VLOOKUP(BD912,$BD$4:$BN$12824,3,0)*BE912</f>
        <v>1126138.2097231988</v>
      </c>
      <c r="BP912" s="866"/>
      <c r="BQ912" s="866"/>
      <c r="BR912" s="866">
        <f>VLOOKUP(BD912,$BD$4:$BN$12824,6,0)*BE912</f>
        <v>322941.28281285602</v>
      </c>
      <c r="BS912" s="866">
        <f>VLOOKUP(BD912,$BD$4:$BN$12824,7,0)*BE912</f>
        <v>41739.041310119996</v>
      </c>
      <c r="BT912" s="866"/>
      <c r="BU912" s="866">
        <f>VLOOKUP(BD912,$BD$4:$BN$12824,9,0)*BE912</f>
        <v>0</v>
      </c>
      <c r="BV912" s="867"/>
      <c r="BW912" s="867">
        <f>VLOOKUP(BD912,$BD$4:$BN$12824,11,0)*BE912</f>
        <v>46422.58857025105</v>
      </c>
      <c r="BX912" s="1146">
        <f t="shared" si="174"/>
        <v>1537241.122416426</v>
      </c>
      <c r="BY912" s="867">
        <f t="shared" si="175"/>
        <v>45013732.642416425</v>
      </c>
      <c r="BZ912" s="867">
        <f t="shared" si="172"/>
        <v>45013732.642416425</v>
      </c>
      <c r="CA912" s="867">
        <f>_xlfn.MAXIFS($BY$4:$BY$12824,$S$4:$S$12824,$S912)</f>
        <v>45013732.642416425</v>
      </c>
      <c r="CB912" s="1032"/>
      <c r="CF912" s="946">
        <f t="shared" si="173"/>
        <v>43476491.519999996</v>
      </c>
    </row>
    <row r="913" spans="1:84">
      <c r="A913" s="1032"/>
      <c r="B913" s="839" t="s">
        <v>98</v>
      </c>
      <c r="C913" s="839" t="s">
        <v>2689</v>
      </c>
      <c r="D913" s="839" t="s">
        <v>2690</v>
      </c>
      <c r="E913" s="839" t="s">
        <v>2691</v>
      </c>
      <c r="F913" s="841">
        <v>45451</v>
      </c>
      <c r="G913" s="840" t="s">
        <v>2689</v>
      </c>
      <c r="H913" s="842" t="s">
        <v>134</v>
      </c>
      <c r="I913" s="842"/>
      <c r="J913" s="841"/>
      <c r="K913" s="841"/>
      <c r="L913" s="843" t="s">
        <v>106</v>
      </c>
      <c r="M913" s="844" t="s">
        <v>107</v>
      </c>
      <c r="N913" s="841" t="s">
        <v>2692</v>
      </c>
      <c r="O913" s="841" t="s">
        <v>150</v>
      </c>
      <c r="P913" s="841" t="s">
        <v>151</v>
      </c>
      <c r="Q913" s="843"/>
      <c r="R913" s="845">
        <v>85800101</v>
      </c>
      <c r="S913" s="1127" t="s">
        <v>3244</v>
      </c>
      <c r="T913" s="843" t="s">
        <v>3245</v>
      </c>
      <c r="U913" s="842">
        <v>1</v>
      </c>
      <c r="V913" s="842" t="s">
        <v>3</v>
      </c>
      <c r="W913" s="846">
        <v>1517</v>
      </c>
      <c r="X913" s="847">
        <f t="shared" si="167"/>
        <v>1517</v>
      </c>
      <c r="Y913" s="848">
        <v>0.55000000000000004</v>
      </c>
      <c r="Z913" s="849">
        <v>682.65</v>
      </c>
      <c r="AA913" s="849"/>
      <c r="AB913" s="849">
        <f t="shared" si="168"/>
        <v>682.65</v>
      </c>
      <c r="AC913" s="850">
        <f t="shared" si="169"/>
        <v>682.65</v>
      </c>
      <c r="AD913" s="851"/>
      <c r="AE913" s="852">
        <v>26253.919999999998</v>
      </c>
      <c r="AF913" s="853">
        <v>0</v>
      </c>
      <c r="AG913" s="854">
        <f t="shared" si="170"/>
        <v>0</v>
      </c>
      <c r="AH913" s="853"/>
      <c r="AI913" s="855">
        <f t="shared" si="171"/>
        <v>0</v>
      </c>
      <c r="AJ913" s="845" t="s">
        <v>2695</v>
      </c>
      <c r="AK913" s="857">
        <v>45332</v>
      </c>
      <c r="AL913" s="840" t="s">
        <v>2696</v>
      </c>
      <c r="AM913" s="840"/>
      <c r="AN913" s="858"/>
      <c r="AO913" s="844" t="s">
        <v>2697</v>
      </c>
      <c r="AP913" s="859" t="s">
        <v>2698</v>
      </c>
      <c r="AQ913" s="859" t="s">
        <v>2698</v>
      </c>
      <c r="AR913" s="859" t="s">
        <v>2699</v>
      </c>
      <c r="AS913" s="840" t="s">
        <v>2700</v>
      </c>
      <c r="AT913" s="840" t="s">
        <v>1743</v>
      </c>
      <c r="AU913" s="860" t="s">
        <v>1285</v>
      </c>
      <c r="AV913" s="839" t="s">
        <v>2701</v>
      </c>
      <c r="AW913" s="861">
        <v>45646</v>
      </c>
      <c r="AX913" s="862" t="s">
        <v>2702</v>
      </c>
      <c r="AY913" s="843" t="s">
        <v>3246</v>
      </c>
      <c r="AZ913" s="842" t="s">
        <v>3247</v>
      </c>
      <c r="BA913" s="842" t="s">
        <v>120</v>
      </c>
      <c r="BB913" s="863" t="s">
        <v>121</v>
      </c>
      <c r="BC913" s="864">
        <v>45650</v>
      </c>
      <c r="BD913" s="860" t="s">
        <v>2705</v>
      </c>
      <c r="BE913" s="865" cm="1">
        <f t="array" ref="BE913">IF(BD913="","",AC913/SUMPRODUCT(--(BD913=$BD$4:$BD$12824),$AC$4:$AC$12824))</f>
        <v>9.8439829996800135E-3</v>
      </c>
      <c r="BF913" s="458"/>
      <c r="BG913" s="458"/>
      <c r="BH913" s="458"/>
      <c r="BI913" s="458"/>
      <c r="BJ913" s="458"/>
      <c r="BK913" s="458"/>
      <c r="BL913" s="458"/>
      <c r="BM913" s="458"/>
      <c r="BN913" s="458"/>
      <c r="BO913" s="866">
        <f>VLOOKUP(BD913,$BD$4:$BN$12824,3,0)*BE913</f>
        <v>464225.99569295999</v>
      </c>
      <c r="BP913" s="866"/>
      <c r="BQ913" s="866"/>
      <c r="BR913" s="866">
        <f>VLOOKUP(BD913,$BD$4:$BN$12824,6,0)*BE913</f>
        <v>133125.52337693004</v>
      </c>
      <c r="BS913" s="866">
        <f>VLOOKUP(BD913,$BD$4:$BN$12824,7,0)*BE913</f>
        <v>17206.012409633706</v>
      </c>
      <c r="BT913" s="866"/>
      <c r="BU913" s="866">
        <f>VLOOKUP(BD913,$BD$4:$BN$12824,9,0)*BE913</f>
        <v>0</v>
      </c>
      <c r="BV913" s="867"/>
      <c r="BW913" s="867">
        <f>VLOOKUP(BD913,$BD$4:$BN$12824,11,0)*BE913</f>
        <v>19136.702951377945</v>
      </c>
      <c r="BX913" s="1146">
        <f t="shared" si="174"/>
        <v>633694.23443090171</v>
      </c>
      <c r="BY913" s="867">
        <f t="shared" si="175"/>
        <v>18555932.7224309</v>
      </c>
      <c r="BZ913" s="867">
        <f t="shared" si="172"/>
        <v>18555932.7224309</v>
      </c>
      <c r="CA913" s="867">
        <f>_xlfn.MAXIFS($BY$4:$BY$12824,$S$4:$S$12824,$S913)</f>
        <v>18555932.7224309</v>
      </c>
      <c r="CB913" s="1032"/>
      <c r="CF913" s="946">
        <f t="shared" si="173"/>
        <v>17922238.487999998</v>
      </c>
    </row>
    <row r="914" spans="1:84">
      <c r="A914" s="1032"/>
      <c r="B914" s="839" t="s">
        <v>98</v>
      </c>
      <c r="C914" s="839" t="s">
        <v>2689</v>
      </c>
      <c r="D914" s="839" t="s">
        <v>2690</v>
      </c>
      <c r="E914" s="839" t="s">
        <v>2691</v>
      </c>
      <c r="F914" s="841">
        <v>45451</v>
      </c>
      <c r="G914" s="840" t="s">
        <v>2689</v>
      </c>
      <c r="H914" s="842" t="s">
        <v>134</v>
      </c>
      <c r="I914" s="842"/>
      <c r="J914" s="841"/>
      <c r="K914" s="841"/>
      <c r="L914" s="843" t="s">
        <v>106</v>
      </c>
      <c r="M914" s="844" t="s">
        <v>107</v>
      </c>
      <c r="N914" s="841" t="s">
        <v>2692</v>
      </c>
      <c r="O914" s="841" t="s">
        <v>150</v>
      </c>
      <c r="P914" s="841" t="s">
        <v>151</v>
      </c>
      <c r="Q914" s="843"/>
      <c r="R914" s="845" t="s">
        <v>3248</v>
      </c>
      <c r="S914" s="1127" t="s">
        <v>3249</v>
      </c>
      <c r="T914" s="843" t="s">
        <v>3250</v>
      </c>
      <c r="U914" s="842">
        <v>1</v>
      </c>
      <c r="V914" s="842" t="s">
        <v>3</v>
      </c>
      <c r="W914" s="846">
        <v>165</v>
      </c>
      <c r="X914" s="847">
        <f t="shared" si="167"/>
        <v>165</v>
      </c>
      <c r="Y914" s="848">
        <v>0.55000000000000004</v>
      </c>
      <c r="Z914" s="849">
        <v>74.25</v>
      </c>
      <c r="AA914" s="849"/>
      <c r="AB914" s="849">
        <f t="shared" si="168"/>
        <v>74.25</v>
      </c>
      <c r="AC914" s="850">
        <f t="shared" si="169"/>
        <v>74.25</v>
      </c>
      <c r="AD914" s="851"/>
      <c r="AE914" s="852">
        <v>26253.919999999998</v>
      </c>
      <c r="AF914" s="853">
        <v>0</v>
      </c>
      <c r="AG914" s="854">
        <f t="shared" si="170"/>
        <v>0</v>
      </c>
      <c r="AH914" s="853"/>
      <c r="AI914" s="855">
        <f t="shared" si="171"/>
        <v>0</v>
      </c>
      <c r="AJ914" s="845" t="s">
        <v>2695</v>
      </c>
      <c r="AK914" s="857">
        <v>45332</v>
      </c>
      <c r="AL914" s="840" t="s">
        <v>2696</v>
      </c>
      <c r="AM914" s="840"/>
      <c r="AN914" s="858"/>
      <c r="AO914" s="844" t="s">
        <v>2697</v>
      </c>
      <c r="AP914" s="859" t="s">
        <v>2698</v>
      </c>
      <c r="AQ914" s="859" t="s">
        <v>2698</v>
      </c>
      <c r="AR914" s="859" t="s">
        <v>2699</v>
      </c>
      <c r="AS914" s="840" t="s">
        <v>2700</v>
      </c>
      <c r="AT914" s="840" t="s">
        <v>1743</v>
      </c>
      <c r="AU914" s="860" t="s">
        <v>1285</v>
      </c>
      <c r="AV914" s="839" t="s">
        <v>2701</v>
      </c>
      <c r="AW914" s="861">
        <v>45646</v>
      </c>
      <c r="AX914" s="862" t="s">
        <v>2702</v>
      </c>
      <c r="AY914" s="843" t="s">
        <v>3251</v>
      </c>
      <c r="AZ914" s="842">
        <v>85444299</v>
      </c>
      <c r="BA914" s="842" t="s">
        <v>120</v>
      </c>
      <c r="BB914" s="863" t="s">
        <v>121</v>
      </c>
      <c r="BC914" s="864">
        <v>45650</v>
      </c>
      <c r="BD914" s="860" t="s">
        <v>2705</v>
      </c>
      <c r="BE914" s="865" cm="1">
        <f t="array" ref="BE914">IF(BD914="","",AC914/SUMPRODUCT(--(BD914=$BD$4:$BD$12824),$AC$4:$AC$12824))</f>
        <v>1.0707034904068572E-3</v>
      </c>
      <c r="BF914" s="458"/>
      <c r="BG914" s="458"/>
      <c r="BH914" s="458"/>
      <c r="BI914" s="458"/>
      <c r="BJ914" s="458"/>
      <c r="BK914" s="458"/>
      <c r="BL914" s="458"/>
      <c r="BM914" s="458"/>
      <c r="BN914" s="458"/>
      <c r="BO914" s="866">
        <f>VLOOKUP(BD914,$BD$4:$BN$12824,3,0)*BE914</f>
        <v>50492.609946828212</v>
      </c>
      <c r="BP914" s="866"/>
      <c r="BQ914" s="866"/>
      <c r="BR914" s="866">
        <f>VLOOKUP(BD914,$BD$4:$BN$12824,6,0)*BE914</f>
        <v>14479.704256554685</v>
      </c>
      <c r="BS914" s="866">
        <f>VLOOKUP(BD914,$BD$4:$BN$12824,7,0)*BE914</f>
        <v>1871.4515804809239</v>
      </c>
      <c r="BT914" s="866"/>
      <c r="BU914" s="866">
        <f>VLOOKUP(BD914,$BD$4:$BN$12824,9,0)*BE914</f>
        <v>0</v>
      </c>
      <c r="BV914" s="867"/>
      <c r="BW914" s="867">
        <f>VLOOKUP(BD914,$BD$4:$BN$12824,11,0)*BE914</f>
        <v>2081.4475853509302</v>
      </c>
      <c r="BX914" s="1146">
        <f t="shared" si="174"/>
        <v>68925.213369214762</v>
      </c>
      <c r="BY914" s="867">
        <f t="shared" si="175"/>
        <v>2018278.7733692145</v>
      </c>
      <c r="BZ914" s="867">
        <f t="shared" si="172"/>
        <v>2018278.7733692145</v>
      </c>
      <c r="CA914" s="867">
        <f>_xlfn.MAXIFS($BY$4:$BY$12824,$S$4:$S$12824,$S914)</f>
        <v>2018278.7733692145</v>
      </c>
      <c r="CB914" s="1032"/>
      <c r="CF914" s="946">
        <f t="shared" si="173"/>
        <v>1949353.5599999998</v>
      </c>
    </row>
    <row r="915" spans="1:84">
      <c r="A915" s="1032"/>
      <c r="B915" s="839" t="s">
        <v>98</v>
      </c>
      <c r="C915" s="839" t="s">
        <v>2689</v>
      </c>
      <c r="D915" s="839" t="s">
        <v>2690</v>
      </c>
      <c r="E915" s="839" t="s">
        <v>2691</v>
      </c>
      <c r="F915" s="841">
        <v>45451</v>
      </c>
      <c r="G915" s="840" t="s">
        <v>2689</v>
      </c>
      <c r="H915" s="842" t="s">
        <v>134</v>
      </c>
      <c r="I915" s="842"/>
      <c r="J915" s="841"/>
      <c r="K915" s="841"/>
      <c r="L915" s="843" t="s">
        <v>106</v>
      </c>
      <c r="M915" s="844" t="s">
        <v>107</v>
      </c>
      <c r="N915" s="841" t="s">
        <v>2692</v>
      </c>
      <c r="O915" s="841" t="s">
        <v>150</v>
      </c>
      <c r="P915" s="841" t="s">
        <v>151</v>
      </c>
      <c r="Q915" s="843"/>
      <c r="R915" s="845">
        <v>85800201</v>
      </c>
      <c r="S915" s="1127" t="s">
        <v>3252</v>
      </c>
      <c r="T915" s="843" t="s">
        <v>3253</v>
      </c>
      <c r="U915" s="842">
        <v>1</v>
      </c>
      <c r="V915" s="842" t="s">
        <v>3</v>
      </c>
      <c r="W915" s="846">
        <v>1625</v>
      </c>
      <c r="X915" s="847">
        <f t="shared" si="167"/>
        <v>1625</v>
      </c>
      <c r="Y915" s="848">
        <v>0.55000000000000004</v>
      </c>
      <c r="Z915" s="849">
        <v>731.25</v>
      </c>
      <c r="AA915" s="849"/>
      <c r="AB915" s="849">
        <f t="shared" si="168"/>
        <v>731.25</v>
      </c>
      <c r="AC915" s="850">
        <f t="shared" si="169"/>
        <v>731.25</v>
      </c>
      <c r="AD915" s="851"/>
      <c r="AE915" s="852">
        <v>26253.919999999998</v>
      </c>
      <c r="AF915" s="853">
        <v>0</v>
      </c>
      <c r="AG915" s="854">
        <f t="shared" si="170"/>
        <v>0</v>
      </c>
      <c r="AH915" s="853"/>
      <c r="AI915" s="855">
        <f t="shared" si="171"/>
        <v>0</v>
      </c>
      <c r="AJ915" s="845" t="s">
        <v>2695</v>
      </c>
      <c r="AK915" s="857">
        <v>45332</v>
      </c>
      <c r="AL915" s="840" t="s">
        <v>2696</v>
      </c>
      <c r="AM915" s="840"/>
      <c r="AN915" s="858"/>
      <c r="AO915" s="844" t="s">
        <v>2697</v>
      </c>
      <c r="AP915" s="859" t="s">
        <v>2698</v>
      </c>
      <c r="AQ915" s="859" t="s">
        <v>2698</v>
      </c>
      <c r="AR915" s="859" t="s">
        <v>2699</v>
      </c>
      <c r="AS915" s="840" t="s">
        <v>2700</v>
      </c>
      <c r="AT915" s="840" t="s">
        <v>1743</v>
      </c>
      <c r="AU915" s="860" t="s">
        <v>1285</v>
      </c>
      <c r="AV915" s="839" t="s">
        <v>2701</v>
      </c>
      <c r="AW915" s="861">
        <v>45646</v>
      </c>
      <c r="AX915" s="862" t="s">
        <v>2702</v>
      </c>
      <c r="AY915" s="843" t="s">
        <v>3254</v>
      </c>
      <c r="AZ915" s="842">
        <v>94033000</v>
      </c>
      <c r="BA915" s="842" t="s">
        <v>120</v>
      </c>
      <c r="BB915" s="863" t="s">
        <v>121</v>
      </c>
      <c r="BC915" s="864">
        <v>45650</v>
      </c>
      <c r="BD915" s="860" t="s">
        <v>2705</v>
      </c>
      <c r="BE915" s="865" cm="1">
        <f t="array" ref="BE915">IF(BD915="","",AC915/SUMPRODUCT(--(BD915=$BD$4:$BD$12824),$AC$4:$AC$12824))</f>
        <v>1.0544807102491775E-2</v>
      </c>
      <c r="BF915" s="458"/>
      <c r="BG915" s="458"/>
      <c r="BH915" s="458"/>
      <c r="BI915" s="458"/>
      <c r="BJ915" s="458"/>
      <c r="BK915" s="458"/>
      <c r="BL915" s="458"/>
      <c r="BM915" s="458"/>
      <c r="BN915" s="458"/>
      <c r="BO915" s="866">
        <f>VLOOKUP(BD915,$BD$4:$BN$12824,3,0)*BE915</f>
        <v>497275.70402179303</v>
      </c>
      <c r="BP915" s="866"/>
      <c r="BQ915" s="866"/>
      <c r="BR915" s="866">
        <f>VLOOKUP(BD915,$BD$4:$BN$12824,6,0)*BE915</f>
        <v>142603.14798122039</v>
      </c>
      <c r="BS915" s="866">
        <f>VLOOKUP(BD915,$BD$4:$BN$12824,7,0)*BE915</f>
        <v>18430.962535039402</v>
      </c>
      <c r="BT915" s="866"/>
      <c r="BU915" s="866">
        <f>VLOOKUP(BD915,$BD$4:$BN$12824,9,0)*BE915</f>
        <v>0</v>
      </c>
      <c r="BV915" s="867"/>
      <c r="BW915" s="867">
        <f>VLOOKUP(BD915,$BD$4:$BN$12824,11,0)*BE915</f>
        <v>20499.105007244012</v>
      </c>
      <c r="BX915" s="1146">
        <f t="shared" si="174"/>
        <v>678808.91954529693</v>
      </c>
      <c r="BY915" s="867">
        <f t="shared" si="175"/>
        <v>19876987.919545297</v>
      </c>
      <c r="BZ915" s="867">
        <f t="shared" si="172"/>
        <v>19876987.919545297</v>
      </c>
      <c r="CA915" s="867">
        <f>_xlfn.MAXIFS($BY$4:$BY$12824,$S$4:$S$12824,$S915)</f>
        <v>19876987.919545297</v>
      </c>
      <c r="CB915" s="1032"/>
      <c r="CF915" s="946">
        <f t="shared" si="173"/>
        <v>19198179</v>
      </c>
    </row>
    <row r="916" spans="1:84">
      <c r="A916" s="1032"/>
      <c r="B916" s="839" t="s">
        <v>98</v>
      </c>
      <c r="C916" s="839" t="s">
        <v>2689</v>
      </c>
      <c r="D916" s="839" t="s">
        <v>2690</v>
      </c>
      <c r="E916" s="839" t="s">
        <v>2691</v>
      </c>
      <c r="F916" s="841">
        <v>45451</v>
      </c>
      <c r="G916" s="840" t="s">
        <v>2689</v>
      </c>
      <c r="H916" s="842" t="s">
        <v>134</v>
      </c>
      <c r="I916" s="842"/>
      <c r="J916" s="841"/>
      <c r="K916" s="841"/>
      <c r="L916" s="843" t="s">
        <v>106</v>
      </c>
      <c r="M916" s="844" t="s">
        <v>107</v>
      </c>
      <c r="N916" s="841" t="s">
        <v>2692</v>
      </c>
      <c r="O916" s="841" t="s">
        <v>150</v>
      </c>
      <c r="P916" s="841" t="s">
        <v>151</v>
      </c>
      <c r="Q916" s="843"/>
      <c r="R916" s="845">
        <v>21202600</v>
      </c>
      <c r="S916" s="1127" t="s">
        <v>3255</v>
      </c>
      <c r="T916" s="843" t="s">
        <v>3256</v>
      </c>
      <c r="U916" s="842">
        <v>1</v>
      </c>
      <c r="V916" s="842" t="s">
        <v>3</v>
      </c>
      <c r="W916" s="846">
        <v>615</v>
      </c>
      <c r="X916" s="847">
        <f t="shared" si="167"/>
        <v>615</v>
      </c>
      <c r="Y916" s="848">
        <v>0.55000000000000004</v>
      </c>
      <c r="Z916" s="849">
        <v>276.75</v>
      </c>
      <c r="AA916" s="849"/>
      <c r="AB916" s="849">
        <f t="shared" si="168"/>
        <v>276.75</v>
      </c>
      <c r="AC916" s="850">
        <f t="shared" si="169"/>
        <v>276.75</v>
      </c>
      <c r="AD916" s="851"/>
      <c r="AE916" s="852">
        <v>26253.919999999998</v>
      </c>
      <c r="AF916" s="853">
        <v>0</v>
      </c>
      <c r="AG916" s="854">
        <f t="shared" si="170"/>
        <v>0</v>
      </c>
      <c r="AH916" s="853"/>
      <c r="AI916" s="855">
        <f t="shared" si="171"/>
        <v>0</v>
      </c>
      <c r="AJ916" s="845" t="s">
        <v>2695</v>
      </c>
      <c r="AK916" s="857">
        <v>45332</v>
      </c>
      <c r="AL916" s="840" t="s">
        <v>2696</v>
      </c>
      <c r="AM916" s="840"/>
      <c r="AN916" s="858"/>
      <c r="AO916" s="844" t="s">
        <v>2697</v>
      </c>
      <c r="AP916" s="859" t="s">
        <v>2698</v>
      </c>
      <c r="AQ916" s="859" t="s">
        <v>2698</v>
      </c>
      <c r="AR916" s="859" t="s">
        <v>2699</v>
      </c>
      <c r="AS916" s="840" t="s">
        <v>2700</v>
      </c>
      <c r="AT916" s="840" t="s">
        <v>1743</v>
      </c>
      <c r="AU916" s="860" t="s">
        <v>1285</v>
      </c>
      <c r="AV916" s="839" t="s">
        <v>2701</v>
      </c>
      <c r="AW916" s="861">
        <v>45646</v>
      </c>
      <c r="AX916" s="862" t="s">
        <v>2702</v>
      </c>
      <c r="AY916" s="843" t="s">
        <v>3257</v>
      </c>
      <c r="AZ916" s="842">
        <v>94036090</v>
      </c>
      <c r="BA916" s="842" t="s">
        <v>120</v>
      </c>
      <c r="BB916" s="863" t="s">
        <v>121</v>
      </c>
      <c r="BC916" s="864">
        <v>45650</v>
      </c>
      <c r="BD916" s="860" t="s">
        <v>2705</v>
      </c>
      <c r="BE916" s="865" cm="1">
        <f t="array" ref="BE916">IF(BD916="","",AC916/SUMPRODUCT(--(BD916=$BD$4:$BD$12824),$AC$4:$AC$12824))</f>
        <v>3.9908039187891951E-3</v>
      </c>
      <c r="BF916" s="458"/>
      <c r="BG916" s="458"/>
      <c r="BH916" s="458"/>
      <c r="BI916" s="458"/>
      <c r="BJ916" s="458"/>
      <c r="BK916" s="458"/>
      <c r="BL916" s="458"/>
      <c r="BM916" s="458"/>
      <c r="BN916" s="458"/>
      <c r="BO916" s="866">
        <f>VLOOKUP(BD916,$BD$4:$BN$12824,3,0)*BE916</f>
        <v>188199.72798363245</v>
      </c>
      <c r="BP916" s="866"/>
      <c r="BQ916" s="866"/>
      <c r="BR916" s="866">
        <f>VLOOKUP(BD916,$BD$4:$BN$12824,6,0)*BE916</f>
        <v>53969.806774431105</v>
      </c>
      <c r="BS916" s="866">
        <f>VLOOKUP(BD916,$BD$4:$BN$12824,7,0)*BE916</f>
        <v>6975.4104363379893</v>
      </c>
      <c r="BT916" s="866"/>
      <c r="BU916" s="866">
        <f>VLOOKUP(BD916,$BD$4:$BN$12824,9,0)*BE916</f>
        <v>0</v>
      </c>
      <c r="BV916" s="867"/>
      <c r="BW916" s="867">
        <f>VLOOKUP(BD916,$BD$4:$BN$12824,11,0)*BE916</f>
        <v>7758.1228181261949</v>
      </c>
      <c r="BX916" s="1146">
        <f t="shared" si="174"/>
        <v>256903.06801252774</v>
      </c>
      <c r="BY916" s="867">
        <f t="shared" si="175"/>
        <v>7522675.4280125275</v>
      </c>
      <c r="BZ916" s="867">
        <f t="shared" si="172"/>
        <v>7522675.4280125275</v>
      </c>
      <c r="CA916" s="867">
        <f>_xlfn.MAXIFS($BY$4:$BY$12824,$S$4:$S$12824,$S916)</f>
        <v>7522675.4280125275</v>
      </c>
      <c r="CB916" s="1032"/>
      <c r="CF916" s="946">
        <f t="shared" si="173"/>
        <v>7265772.3599999994</v>
      </c>
    </row>
    <row r="917" spans="1:84">
      <c r="A917" s="1032"/>
      <c r="B917" s="839" t="s">
        <v>98</v>
      </c>
      <c r="C917" s="839" t="s">
        <v>2689</v>
      </c>
      <c r="D917" s="839" t="s">
        <v>2690</v>
      </c>
      <c r="E917" s="839" t="s">
        <v>2691</v>
      </c>
      <c r="F917" s="841">
        <v>45451</v>
      </c>
      <c r="G917" s="840" t="s">
        <v>2689</v>
      </c>
      <c r="H917" s="842" t="s">
        <v>134</v>
      </c>
      <c r="I917" s="842"/>
      <c r="J917" s="841"/>
      <c r="K917" s="841"/>
      <c r="L917" s="843" t="s">
        <v>106</v>
      </c>
      <c r="M917" s="844" t="s">
        <v>107</v>
      </c>
      <c r="N917" s="841" t="s">
        <v>2692</v>
      </c>
      <c r="O917" s="841" t="s">
        <v>150</v>
      </c>
      <c r="P917" s="841" t="s">
        <v>151</v>
      </c>
      <c r="Q917" s="843"/>
      <c r="R917" s="845" t="s">
        <v>3258</v>
      </c>
      <c r="S917" s="1127" t="s">
        <v>3259</v>
      </c>
      <c r="T917" s="843" t="s">
        <v>3260</v>
      </c>
      <c r="U917" s="842">
        <v>1</v>
      </c>
      <c r="V917" s="842" t="s">
        <v>3</v>
      </c>
      <c r="W917" s="846">
        <v>615</v>
      </c>
      <c r="X917" s="847">
        <f t="shared" si="167"/>
        <v>615</v>
      </c>
      <c r="Y917" s="848">
        <v>0.55000000000000004</v>
      </c>
      <c r="Z917" s="849">
        <v>276.75</v>
      </c>
      <c r="AA917" s="849"/>
      <c r="AB917" s="849">
        <f t="shared" si="168"/>
        <v>276.75</v>
      </c>
      <c r="AC917" s="850">
        <f t="shared" si="169"/>
        <v>276.75</v>
      </c>
      <c r="AD917" s="851"/>
      <c r="AE917" s="852">
        <v>26253.919999999998</v>
      </c>
      <c r="AF917" s="853">
        <v>0</v>
      </c>
      <c r="AG917" s="854">
        <f t="shared" si="170"/>
        <v>0</v>
      </c>
      <c r="AH917" s="853"/>
      <c r="AI917" s="855">
        <f t="shared" si="171"/>
        <v>0</v>
      </c>
      <c r="AJ917" s="845" t="s">
        <v>2695</v>
      </c>
      <c r="AK917" s="857">
        <v>45332</v>
      </c>
      <c r="AL917" s="840" t="s">
        <v>2696</v>
      </c>
      <c r="AM917" s="840"/>
      <c r="AN917" s="858"/>
      <c r="AO917" s="844" t="s">
        <v>2697</v>
      </c>
      <c r="AP917" s="859" t="s">
        <v>2698</v>
      </c>
      <c r="AQ917" s="859" t="s">
        <v>2698</v>
      </c>
      <c r="AR917" s="859" t="s">
        <v>2699</v>
      </c>
      <c r="AS917" s="840" t="s">
        <v>2700</v>
      </c>
      <c r="AT917" s="840" t="s">
        <v>1743</v>
      </c>
      <c r="AU917" s="860" t="s">
        <v>1285</v>
      </c>
      <c r="AV917" s="839" t="s">
        <v>2701</v>
      </c>
      <c r="AW917" s="861">
        <v>45646</v>
      </c>
      <c r="AX917" s="862" t="s">
        <v>2702</v>
      </c>
      <c r="AY917" s="843" t="s">
        <v>3261</v>
      </c>
      <c r="AZ917" s="842">
        <v>94036090</v>
      </c>
      <c r="BA917" s="842" t="s">
        <v>120</v>
      </c>
      <c r="BB917" s="863" t="s">
        <v>121</v>
      </c>
      <c r="BC917" s="864">
        <v>45650</v>
      </c>
      <c r="BD917" s="860" t="s">
        <v>2705</v>
      </c>
      <c r="BE917" s="865" cm="1">
        <f t="array" ref="BE917">IF(BD917="","",AC917/SUMPRODUCT(--(BD917=$BD$4:$BD$12824),$AC$4:$AC$12824))</f>
        <v>3.9908039187891951E-3</v>
      </c>
      <c r="BF917" s="458"/>
      <c r="BG917" s="458"/>
      <c r="BH917" s="458"/>
      <c r="BI917" s="458"/>
      <c r="BJ917" s="458"/>
      <c r="BK917" s="458"/>
      <c r="BL917" s="458"/>
      <c r="BM917" s="458"/>
      <c r="BN917" s="458"/>
      <c r="BO917" s="866">
        <f>VLOOKUP(BD917,$BD$4:$BN$12824,3,0)*BE917</f>
        <v>188199.72798363245</v>
      </c>
      <c r="BP917" s="866"/>
      <c r="BQ917" s="866"/>
      <c r="BR917" s="866">
        <f>VLOOKUP(BD917,$BD$4:$BN$12824,6,0)*BE917</f>
        <v>53969.806774431105</v>
      </c>
      <c r="BS917" s="866">
        <f>VLOOKUP(BD917,$BD$4:$BN$12824,7,0)*BE917</f>
        <v>6975.4104363379893</v>
      </c>
      <c r="BT917" s="866"/>
      <c r="BU917" s="866">
        <f>VLOOKUP(BD917,$BD$4:$BN$12824,9,0)*BE917</f>
        <v>0</v>
      </c>
      <c r="BV917" s="867"/>
      <c r="BW917" s="867">
        <f>VLOOKUP(BD917,$BD$4:$BN$12824,11,0)*BE917</f>
        <v>7758.1228181261949</v>
      </c>
      <c r="BX917" s="1146">
        <f t="shared" si="174"/>
        <v>256903.06801252774</v>
      </c>
      <c r="BY917" s="867">
        <f t="shared" si="175"/>
        <v>7522675.4280125275</v>
      </c>
      <c r="BZ917" s="867">
        <f t="shared" si="172"/>
        <v>7522675.4280125275</v>
      </c>
      <c r="CA917" s="867">
        <f>_xlfn.MAXIFS($BY$4:$BY$12824,$S$4:$S$12824,$S917)</f>
        <v>7522675.4280125275</v>
      </c>
      <c r="CB917" s="1032"/>
      <c r="CF917" s="946">
        <f t="shared" si="173"/>
        <v>7265772.3599999994</v>
      </c>
    </row>
    <row r="918" spans="1:84">
      <c r="A918" s="1032"/>
      <c r="B918" s="839" t="s">
        <v>98</v>
      </c>
      <c r="C918" s="839" t="s">
        <v>2689</v>
      </c>
      <c r="D918" s="839" t="s">
        <v>2690</v>
      </c>
      <c r="E918" s="839" t="s">
        <v>2691</v>
      </c>
      <c r="F918" s="841">
        <v>45451</v>
      </c>
      <c r="G918" s="840" t="s">
        <v>2689</v>
      </c>
      <c r="H918" s="842" t="s">
        <v>134</v>
      </c>
      <c r="I918" s="842"/>
      <c r="J918" s="841"/>
      <c r="K918" s="841"/>
      <c r="L918" s="843" t="s">
        <v>106</v>
      </c>
      <c r="M918" s="844" t="s">
        <v>107</v>
      </c>
      <c r="N918" s="841" t="s">
        <v>2692</v>
      </c>
      <c r="O918" s="841" t="s">
        <v>150</v>
      </c>
      <c r="P918" s="841" t="s">
        <v>151</v>
      </c>
      <c r="Q918" s="843"/>
      <c r="R918" s="845" t="s">
        <v>3262</v>
      </c>
      <c r="S918" s="1127" t="s">
        <v>3263</v>
      </c>
      <c r="T918" s="843" t="s">
        <v>3264</v>
      </c>
      <c r="U918" s="842">
        <v>1</v>
      </c>
      <c r="V918" s="842" t="s">
        <v>3</v>
      </c>
      <c r="W918" s="846">
        <v>579</v>
      </c>
      <c r="X918" s="847">
        <f t="shared" si="167"/>
        <v>579</v>
      </c>
      <c r="Y918" s="848">
        <v>0.55000000000000004</v>
      </c>
      <c r="Z918" s="849">
        <v>260.55</v>
      </c>
      <c r="AA918" s="849"/>
      <c r="AB918" s="849">
        <f t="shared" si="168"/>
        <v>260.55</v>
      </c>
      <c r="AC918" s="850">
        <f t="shared" si="169"/>
        <v>260.55</v>
      </c>
      <c r="AD918" s="851"/>
      <c r="AE918" s="852">
        <v>26253.919999999998</v>
      </c>
      <c r="AF918" s="853">
        <v>0</v>
      </c>
      <c r="AG918" s="854">
        <f t="shared" si="170"/>
        <v>0</v>
      </c>
      <c r="AH918" s="853"/>
      <c r="AI918" s="855">
        <f t="shared" si="171"/>
        <v>0</v>
      </c>
      <c r="AJ918" s="845" t="s">
        <v>2695</v>
      </c>
      <c r="AK918" s="857">
        <v>45332</v>
      </c>
      <c r="AL918" s="840" t="s">
        <v>2696</v>
      </c>
      <c r="AM918" s="840"/>
      <c r="AN918" s="858"/>
      <c r="AO918" s="844" t="s">
        <v>2697</v>
      </c>
      <c r="AP918" s="859" t="s">
        <v>2698</v>
      </c>
      <c r="AQ918" s="859" t="s">
        <v>2698</v>
      </c>
      <c r="AR918" s="859" t="s">
        <v>2699</v>
      </c>
      <c r="AS918" s="840" t="s">
        <v>2700</v>
      </c>
      <c r="AT918" s="840" t="s">
        <v>1743</v>
      </c>
      <c r="AU918" s="860" t="s">
        <v>1285</v>
      </c>
      <c r="AV918" s="839" t="s">
        <v>2701</v>
      </c>
      <c r="AW918" s="861">
        <v>45646</v>
      </c>
      <c r="AX918" s="862" t="s">
        <v>2702</v>
      </c>
      <c r="AY918" s="843" t="s">
        <v>3265</v>
      </c>
      <c r="AZ918" s="842">
        <v>94017990</v>
      </c>
      <c r="BA918" s="842" t="s">
        <v>120</v>
      </c>
      <c r="BB918" s="863" t="s">
        <v>121</v>
      </c>
      <c r="BC918" s="864">
        <v>45650</v>
      </c>
      <c r="BD918" s="860" t="s">
        <v>2705</v>
      </c>
      <c r="BE918" s="865" cm="1">
        <f t="array" ref="BE918">IF(BD918="","",AC918/SUMPRODUCT(--(BD918=$BD$4:$BD$12824),$AC$4:$AC$12824))</f>
        <v>3.7571958845186077E-3</v>
      </c>
      <c r="BF918" s="458"/>
      <c r="BG918" s="458"/>
      <c r="BH918" s="458"/>
      <c r="BI918" s="458"/>
      <c r="BJ918" s="458"/>
      <c r="BK918" s="458"/>
      <c r="BL918" s="458"/>
      <c r="BM918" s="458"/>
      <c r="BN918" s="458"/>
      <c r="BO918" s="866">
        <f>VLOOKUP(BD918,$BD$4:$BN$12824,3,0)*BE918</f>
        <v>177183.15854068808</v>
      </c>
      <c r="BP918" s="866"/>
      <c r="BQ918" s="866"/>
      <c r="BR918" s="866">
        <f>VLOOKUP(BD918,$BD$4:$BN$12824,6,0)*BE918</f>
        <v>50810.598573000985</v>
      </c>
      <c r="BS918" s="866">
        <f>VLOOKUP(BD918,$BD$4:$BN$12824,7,0)*BE918</f>
        <v>6567.0937278694237</v>
      </c>
      <c r="BT918" s="866"/>
      <c r="BU918" s="866">
        <f>VLOOKUP(BD918,$BD$4:$BN$12824,9,0)*BE918</f>
        <v>0</v>
      </c>
      <c r="BV918" s="867"/>
      <c r="BW918" s="867">
        <f>VLOOKUP(BD918,$BD$4:$BN$12824,11,0)*BE918</f>
        <v>7303.9887995041736</v>
      </c>
      <c r="BX918" s="1146">
        <f t="shared" si="174"/>
        <v>241864.83964106266</v>
      </c>
      <c r="BY918" s="867">
        <f t="shared" si="175"/>
        <v>7082323.6956410622</v>
      </c>
      <c r="BZ918" s="867">
        <f t="shared" si="172"/>
        <v>7082323.6956410622</v>
      </c>
      <c r="CA918" s="867">
        <f>_xlfn.MAXIFS($BY$4:$BY$12824,$S$4:$S$12824,$S918)</f>
        <v>7082323.6956410622</v>
      </c>
      <c r="CB918" s="1032"/>
      <c r="CF918" s="946">
        <f t="shared" si="173"/>
        <v>6840458.8559999997</v>
      </c>
    </row>
    <row r="919" spans="1:84">
      <c r="A919" s="1032"/>
      <c r="B919" s="839" t="s">
        <v>98</v>
      </c>
      <c r="C919" s="839" t="s">
        <v>2689</v>
      </c>
      <c r="D919" s="839" t="s">
        <v>2690</v>
      </c>
      <c r="E919" s="839" t="s">
        <v>2691</v>
      </c>
      <c r="F919" s="841">
        <v>45451</v>
      </c>
      <c r="G919" s="840" t="s">
        <v>2689</v>
      </c>
      <c r="H919" s="842" t="s">
        <v>134</v>
      </c>
      <c r="I919" s="842"/>
      <c r="J919" s="841"/>
      <c r="K919" s="841"/>
      <c r="L919" s="843" t="s">
        <v>106</v>
      </c>
      <c r="M919" s="844" t="s">
        <v>107</v>
      </c>
      <c r="N919" s="841" t="s">
        <v>2692</v>
      </c>
      <c r="O919" s="841" t="s">
        <v>150</v>
      </c>
      <c r="P919" s="841" t="s">
        <v>151</v>
      </c>
      <c r="Q919" s="843"/>
      <c r="R919" s="845" t="s">
        <v>3266</v>
      </c>
      <c r="S919" s="1127" t="s">
        <v>3267</v>
      </c>
      <c r="T919" s="843" t="s">
        <v>3268</v>
      </c>
      <c r="U919" s="842">
        <v>1</v>
      </c>
      <c r="V919" s="842" t="s">
        <v>3</v>
      </c>
      <c r="W919" s="846">
        <v>2160</v>
      </c>
      <c r="X919" s="847">
        <f t="shared" si="167"/>
        <v>2160</v>
      </c>
      <c r="Y919" s="848">
        <v>0.55000000000000004</v>
      </c>
      <c r="Z919" s="849">
        <v>972</v>
      </c>
      <c r="AA919" s="849"/>
      <c r="AB919" s="849">
        <f t="shared" si="168"/>
        <v>972</v>
      </c>
      <c r="AC919" s="850">
        <f t="shared" si="169"/>
        <v>972</v>
      </c>
      <c r="AD919" s="851"/>
      <c r="AE919" s="852">
        <v>26253.919999999998</v>
      </c>
      <c r="AF919" s="853">
        <v>0</v>
      </c>
      <c r="AG919" s="854">
        <f t="shared" si="170"/>
        <v>0</v>
      </c>
      <c r="AH919" s="853"/>
      <c r="AI919" s="855">
        <f t="shared" si="171"/>
        <v>0</v>
      </c>
      <c r="AJ919" s="845" t="s">
        <v>2695</v>
      </c>
      <c r="AK919" s="857">
        <v>45332</v>
      </c>
      <c r="AL919" s="840" t="s">
        <v>2696</v>
      </c>
      <c r="AM919" s="840"/>
      <c r="AN919" s="858"/>
      <c r="AO919" s="844" t="s">
        <v>2697</v>
      </c>
      <c r="AP919" s="859" t="s">
        <v>2698</v>
      </c>
      <c r="AQ919" s="859" t="s">
        <v>2698</v>
      </c>
      <c r="AR919" s="859" t="s">
        <v>2699</v>
      </c>
      <c r="AS919" s="840" t="s">
        <v>2700</v>
      </c>
      <c r="AT919" s="840" t="s">
        <v>1743</v>
      </c>
      <c r="AU919" s="860" t="s">
        <v>1285</v>
      </c>
      <c r="AV919" s="839" t="s">
        <v>2701</v>
      </c>
      <c r="AW919" s="861">
        <v>45646</v>
      </c>
      <c r="AX919" s="862" t="s">
        <v>2702</v>
      </c>
      <c r="AY919" s="843" t="s">
        <v>3269</v>
      </c>
      <c r="AZ919" s="842">
        <v>94036090</v>
      </c>
      <c r="BA919" s="842" t="s">
        <v>120</v>
      </c>
      <c r="BB919" s="863" t="s">
        <v>121</v>
      </c>
      <c r="BC919" s="864">
        <v>45650</v>
      </c>
      <c r="BD919" s="860" t="s">
        <v>2705</v>
      </c>
      <c r="BE919" s="865" cm="1">
        <f t="array" ref="BE919">IF(BD919="","",AC919/SUMPRODUCT(--(BD919=$BD$4:$BD$12824),$AC$4:$AC$12824))</f>
        <v>1.401648205623522E-2</v>
      </c>
      <c r="BF919" s="458"/>
      <c r="BG919" s="458"/>
      <c r="BH919" s="458"/>
      <c r="BI919" s="458"/>
      <c r="BJ919" s="458"/>
      <c r="BK919" s="458"/>
      <c r="BL919" s="458"/>
      <c r="BM919" s="458"/>
      <c r="BN919" s="458"/>
      <c r="BO919" s="866">
        <f>VLOOKUP(BD919,$BD$4:$BN$12824,3,0)*BE919</f>
        <v>660994.16657666024</v>
      </c>
      <c r="BP919" s="866"/>
      <c r="BQ919" s="866"/>
      <c r="BR919" s="866">
        <f>VLOOKUP(BD919,$BD$4:$BN$12824,6,0)*BE919</f>
        <v>189552.49208580679</v>
      </c>
      <c r="BS919" s="866">
        <f>VLOOKUP(BD919,$BD$4:$BN$12824,7,0)*BE919</f>
        <v>24499.00250811391</v>
      </c>
      <c r="BT919" s="866"/>
      <c r="BU919" s="866">
        <f>VLOOKUP(BD919,$BD$4:$BN$12824,9,0)*BE919</f>
        <v>0</v>
      </c>
      <c r="BV919" s="867"/>
      <c r="BW919" s="867">
        <f>VLOOKUP(BD919,$BD$4:$BN$12824,11,0)*BE919</f>
        <v>27248.041117321267</v>
      </c>
      <c r="BX919" s="1146">
        <f t="shared" si="174"/>
        <v>902293.70228790212</v>
      </c>
      <c r="BY919" s="867">
        <f t="shared" si="175"/>
        <v>26421103.9422879</v>
      </c>
      <c r="BZ919" s="867">
        <f t="shared" si="172"/>
        <v>26421103.9422879</v>
      </c>
      <c r="CA919" s="867">
        <f>_xlfn.MAXIFS($BY$4:$BY$12824,$S$4:$S$12824,$S919)</f>
        <v>26421103.9422879</v>
      </c>
      <c r="CB919" s="1032"/>
      <c r="CF919" s="946">
        <f t="shared" si="173"/>
        <v>25518810.239999998</v>
      </c>
    </row>
    <row r="920" spans="1:84">
      <c r="A920" s="1032"/>
      <c r="B920" s="839" t="s">
        <v>98</v>
      </c>
      <c r="C920" s="839" t="s">
        <v>2689</v>
      </c>
      <c r="D920" s="839" t="s">
        <v>2690</v>
      </c>
      <c r="E920" s="839" t="s">
        <v>2691</v>
      </c>
      <c r="F920" s="841">
        <v>45451</v>
      </c>
      <c r="G920" s="840" t="s">
        <v>2689</v>
      </c>
      <c r="H920" s="842" t="s">
        <v>134</v>
      </c>
      <c r="I920" s="842"/>
      <c r="J920" s="841"/>
      <c r="K920" s="841"/>
      <c r="L920" s="843" t="s">
        <v>106</v>
      </c>
      <c r="M920" s="844" t="s">
        <v>107</v>
      </c>
      <c r="N920" s="841" t="s">
        <v>2692</v>
      </c>
      <c r="O920" s="841" t="s">
        <v>150</v>
      </c>
      <c r="P920" s="841" t="s">
        <v>151</v>
      </c>
      <c r="Q920" s="843"/>
      <c r="R920" s="845" t="s">
        <v>3270</v>
      </c>
      <c r="S920" s="1127" t="s">
        <v>3271</v>
      </c>
      <c r="T920" s="843" t="s">
        <v>3272</v>
      </c>
      <c r="U920" s="842">
        <v>1</v>
      </c>
      <c r="V920" s="842" t="s">
        <v>3</v>
      </c>
      <c r="W920" s="846">
        <v>1145</v>
      </c>
      <c r="X920" s="847">
        <f t="shared" si="167"/>
        <v>1145</v>
      </c>
      <c r="Y920" s="848">
        <v>0.55000000000000004</v>
      </c>
      <c r="Z920" s="849">
        <v>515.25</v>
      </c>
      <c r="AA920" s="849"/>
      <c r="AB920" s="849">
        <f t="shared" si="168"/>
        <v>515.25</v>
      </c>
      <c r="AC920" s="850">
        <f t="shared" si="169"/>
        <v>515.25</v>
      </c>
      <c r="AD920" s="851"/>
      <c r="AE920" s="852">
        <v>26253.919999999998</v>
      </c>
      <c r="AF920" s="853">
        <v>0</v>
      </c>
      <c r="AG920" s="854">
        <f t="shared" si="170"/>
        <v>0</v>
      </c>
      <c r="AH920" s="853"/>
      <c r="AI920" s="855">
        <f t="shared" si="171"/>
        <v>0</v>
      </c>
      <c r="AJ920" s="845" t="s">
        <v>2695</v>
      </c>
      <c r="AK920" s="857">
        <v>45332</v>
      </c>
      <c r="AL920" s="840" t="s">
        <v>2696</v>
      </c>
      <c r="AM920" s="840"/>
      <c r="AN920" s="858"/>
      <c r="AO920" s="844" t="s">
        <v>2697</v>
      </c>
      <c r="AP920" s="859" t="s">
        <v>2698</v>
      </c>
      <c r="AQ920" s="859" t="s">
        <v>2698</v>
      </c>
      <c r="AR920" s="859" t="s">
        <v>2699</v>
      </c>
      <c r="AS920" s="840" t="s">
        <v>2700</v>
      </c>
      <c r="AT920" s="840" t="s">
        <v>1743</v>
      </c>
      <c r="AU920" s="860" t="s">
        <v>1285</v>
      </c>
      <c r="AV920" s="839" t="s">
        <v>2701</v>
      </c>
      <c r="AW920" s="861">
        <v>45646</v>
      </c>
      <c r="AX920" s="862" t="s">
        <v>2702</v>
      </c>
      <c r="AY920" s="843" t="s">
        <v>3273</v>
      </c>
      <c r="AZ920" s="842">
        <v>94051999</v>
      </c>
      <c r="BA920" s="842" t="s">
        <v>120</v>
      </c>
      <c r="BB920" s="863" t="s">
        <v>121</v>
      </c>
      <c r="BC920" s="864">
        <v>45650</v>
      </c>
      <c r="BD920" s="860" t="s">
        <v>2705</v>
      </c>
      <c r="BE920" s="865" cm="1">
        <f t="array" ref="BE920">IF(BD920="","",AC920/SUMPRODUCT(--(BD920=$BD$4:$BD$12824),$AC$4:$AC$12824))</f>
        <v>7.4300333122172815E-3</v>
      </c>
      <c r="BF920" s="458"/>
      <c r="BG920" s="458"/>
      <c r="BH920" s="458"/>
      <c r="BI920" s="458"/>
      <c r="BJ920" s="458"/>
      <c r="BK920" s="458"/>
      <c r="BL920" s="458"/>
      <c r="BM920" s="458"/>
      <c r="BN920" s="458"/>
      <c r="BO920" s="866">
        <f>VLOOKUP(BD920,$BD$4:$BN$12824,3,0)*BE920</f>
        <v>350388.11144920182</v>
      </c>
      <c r="BP920" s="866"/>
      <c r="BQ920" s="866"/>
      <c r="BR920" s="866">
        <f>VLOOKUP(BD920,$BD$4:$BN$12824,6,0)*BE920</f>
        <v>100480.37196215222</v>
      </c>
      <c r="BS920" s="866">
        <f>VLOOKUP(BD920,$BD$4:$BN$12824,7,0)*BE920</f>
        <v>12986.739755458531</v>
      </c>
      <c r="BT920" s="866"/>
      <c r="BU920" s="866">
        <f>VLOOKUP(BD920,$BD$4:$BN$12824,9,0)*BE920</f>
        <v>0</v>
      </c>
      <c r="BV920" s="867"/>
      <c r="BW920" s="867">
        <f>VLOOKUP(BD920,$BD$4:$BN$12824,11,0)*BE920</f>
        <v>14443.984758950395</v>
      </c>
      <c r="BX920" s="1146">
        <f t="shared" si="174"/>
        <v>478299.20792576298</v>
      </c>
      <c r="BY920" s="867">
        <f t="shared" si="175"/>
        <v>14005631.487925762</v>
      </c>
      <c r="BZ920" s="867">
        <f t="shared" si="172"/>
        <v>14005631.487925762</v>
      </c>
      <c r="CA920" s="867">
        <f>_xlfn.MAXIFS($BY$4:$BY$12824,$S$4:$S$12824,$S920)</f>
        <v>14005631.487925762</v>
      </c>
      <c r="CB920" s="1032"/>
      <c r="CF920" s="946">
        <f t="shared" si="173"/>
        <v>13527332.279999999</v>
      </c>
    </row>
    <row r="921" spans="1:84">
      <c r="A921" s="1032"/>
      <c r="B921" s="839" t="s">
        <v>98</v>
      </c>
      <c r="C921" s="839" t="s">
        <v>2689</v>
      </c>
      <c r="D921" s="839" t="s">
        <v>2690</v>
      </c>
      <c r="E921" s="839" t="s">
        <v>2691</v>
      </c>
      <c r="F921" s="841">
        <v>45451</v>
      </c>
      <c r="G921" s="840" t="s">
        <v>2689</v>
      </c>
      <c r="H921" s="842" t="s">
        <v>134</v>
      </c>
      <c r="I921" s="842"/>
      <c r="J921" s="841"/>
      <c r="K921" s="841"/>
      <c r="L921" s="843" t="s">
        <v>106</v>
      </c>
      <c r="M921" s="844" t="s">
        <v>107</v>
      </c>
      <c r="N921" s="841" t="s">
        <v>2692</v>
      </c>
      <c r="O921" s="841" t="s">
        <v>150</v>
      </c>
      <c r="P921" s="841" t="s">
        <v>151</v>
      </c>
      <c r="Q921" s="843"/>
      <c r="R921" s="845" t="s">
        <v>3274</v>
      </c>
      <c r="S921" s="1127" t="s">
        <v>3275</v>
      </c>
      <c r="T921" s="843" t="s">
        <v>3276</v>
      </c>
      <c r="U921" s="842">
        <v>1</v>
      </c>
      <c r="V921" s="842" t="s">
        <v>3</v>
      </c>
      <c r="W921" s="846">
        <v>779</v>
      </c>
      <c r="X921" s="847">
        <f t="shared" si="167"/>
        <v>779</v>
      </c>
      <c r="Y921" s="848">
        <v>0.55000000000000004</v>
      </c>
      <c r="Z921" s="849">
        <v>350.55</v>
      </c>
      <c r="AA921" s="849"/>
      <c r="AB921" s="849">
        <f t="shared" si="168"/>
        <v>350.55</v>
      </c>
      <c r="AC921" s="850">
        <f t="shared" si="169"/>
        <v>350.55</v>
      </c>
      <c r="AD921" s="851"/>
      <c r="AE921" s="852">
        <v>26253.919999999998</v>
      </c>
      <c r="AF921" s="853">
        <v>0</v>
      </c>
      <c r="AG921" s="854">
        <f t="shared" si="170"/>
        <v>0</v>
      </c>
      <c r="AH921" s="853"/>
      <c r="AI921" s="855">
        <f t="shared" si="171"/>
        <v>0</v>
      </c>
      <c r="AJ921" s="845" t="s">
        <v>2695</v>
      </c>
      <c r="AK921" s="857">
        <v>45332</v>
      </c>
      <c r="AL921" s="840" t="s">
        <v>2696</v>
      </c>
      <c r="AM921" s="840"/>
      <c r="AN921" s="858"/>
      <c r="AO921" s="844" t="s">
        <v>2697</v>
      </c>
      <c r="AP921" s="859" t="s">
        <v>2698</v>
      </c>
      <c r="AQ921" s="859" t="s">
        <v>2698</v>
      </c>
      <c r="AR921" s="859" t="s">
        <v>2699</v>
      </c>
      <c r="AS921" s="840" t="s">
        <v>2700</v>
      </c>
      <c r="AT921" s="840" t="s">
        <v>1743</v>
      </c>
      <c r="AU921" s="860" t="s">
        <v>1285</v>
      </c>
      <c r="AV921" s="839" t="s">
        <v>2701</v>
      </c>
      <c r="AW921" s="861">
        <v>45646</v>
      </c>
      <c r="AX921" s="862" t="s">
        <v>2702</v>
      </c>
      <c r="AY921" s="843" t="s">
        <v>3277</v>
      </c>
      <c r="AZ921" s="842" t="s">
        <v>1631</v>
      </c>
      <c r="BA921" s="842" t="s">
        <v>120</v>
      </c>
      <c r="BB921" s="863" t="s">
        <v>121</v>
      </c>
      <c r="BC921" s="864">
        <v>45650</v>
      </c>
      <c r="BD921" s="860" t="s">
        <v>2705</v>
      </c>
      <c r="BE921" s="865" cm="1">
        <f t="array" ref="BE921">IF(BD921="","",AC921/SUMPRODUCT(--(BD921=$BD$4:$BD$12824),$AC$4:$AC$12824))</f>
        <v>5.0550182971329802E-3</v>
      </c>
      <c r="BF921" s="458"/>
      <c r="BG921" s="458"/>
      <c r="BH921" s="458"/>
      <c r="BI921" s="458"/>
      <c r="BJ921" s="458"/>
      <c r="BK921" s="458"/>
      <c r="BL921" s="458"/>
      <c r="BM921" s="458"/>
      <c r="BN921" s="458"/>
      <c r="BO921" s="866">
        <f>VLOOKUP(BD921,$BD$4:$BN$12824,3,0)*BE921</f>
        <v>238386.32211260108</v>
      </c>
      <c r="BP921" s="866"/>
      <c r="BQ921" s="866"/>
      <c r="BR921" s="866">
        <f>VLOOKUP(BD921,$BD$4:$BN$12824,6,0)*BE921</f>
        <v>68361.755247612731</v>
      </c>
      <c r="BS921" s="866">
        <f>VLOOKUP(BD921,$BD$4:$BN$12824,7,0)*BE921</f>
        <v>8835.5198860281198</v>
      </c>
      <c r="BT921" s="866"/>
      <c r="BU921" s="866">
        <f>VLOOKUP(BD921,$BD$4:$BN$12824,9,0)*BE921</f>
        <v>0</v>
      </c>
      <c r="BV921" s="867"/>
      <c r="BW921" s="867">
        <f>VLOOKUP(BD921,$BD$4:$BN$12824,11,0)*BE921</f>
        <v>9826.9555696265143</v>
      </c>
      <c r="BX921" s="1146">
        <f t="shared" si="174"/>
        <v>325410.55281586846</v>
      </c>
      <c r="BY921" s="867">
        <f t="shared" si="175"/>
        <v>9528722.2088158671</v>
      </c>
      <c r="BZ921" s="867">
        <f t="shared" si="172"/>
        <v>9528722.2088158671</v>
      </c>
      <c r="CA921" s="867">
        <f>_xlfn.MAXIFS($BY$4:$BY$12824,$S$4:$S$12824,$S921)</f>
        <v>9528722.2088158671</v>
      </c>
      <c r="CB921" s="1032"/>
      <c r="CF921" s="946">
        <f t="shared" si="173"/>
        <v>9203311.6559999995</v>
      </c>
    </row>
    <row r="922" spans="1:84">
      <c r="A922" s="1032"/>
      <c r="B922" s="839" t="s">
        <v>98</v>
      </c>
      <c r="C922" s="839" t="s">
        <v>2689</v>
      </c>
      <c r="D922" s="839" t="s">
        <v>2690</v>
      </c>
      <c r="E922" s="839" t="s">
        <v>2691</v>
      </c>
      <c r="F922" s="841">
        <v>45451</v>
      </c>
      <c r="G922" s="840" t="s">
        <v>2689</v>
      </c>
      <c r="H922" s="842" t="s">
        <v>134</v>
      </c>
      <c r="I922" s="842"/>
      <c r="J922" s="841"/>
      <c r="K922" s="841"/>
      <c r="L922" s="843" t="s">
        <v>106</v>
      </c>
      <c r="M922" s="844" t="s">
        <v>107</v>
      </c>
      <c r="N922" s="841" t="s">
        <v>2692</v>
      </c>
      <c r="O922" s="841" t="s">
        <v>135</v>
      </c>
      <c r="P922" s="841" t="s">
        <v>220</v>
      </c>
      <c r="Q922" s="843"/>
      <c r="R922" s="845" t="s">
        <v>3278</v>
      </c>
      <c r="S922" s="1127" t="s">
        <v>3279</v>
      </c>
      <c r="T922" s="843" t="s">
        <v>3280</v>
      </c>
      <c r="U922" s="842">
        <v>2</v>
      </c>
      <c r="V922" s="842" t="s">
        <v>3</v>
      </c>
      <c r="W922" s="846">
        <v>147</v>
      </c>
      <c r="X922" s="847">
        <f t="shared" si="167"/>
        <v>294</v>
      </c>
      <c r="Y922" s="848">
        <f t="shared" ref="Y922:Y962" si="176">(W922-Z922)/W922</f>
        <v>0.55000000000000004</v>
      </c>
      <c r="Z922" s="849">
        <v>66.149999999999991</v>
      </c>
      <c r="AA922" s="849"/>
      <c r="AB922" s="849">
        <f t="shared" si="168"/>
        <v>132.29999999999998</v>
      </c>
      <c r="AC922" s="850">
        <f t="shared" si="169"/>
        <v>132.29999999999998</v>
      </c>
      <c r="AD922" s="851"/>
      <c r="AE922" s="852">
        <v>26253.919999999998</v>
      </c>
      <c r="AF922" s="853">
        <v>0</v>
      </c>
      <c r="AG922" s="854">
        <f t="shared" si="170"/>
        <v>0</v>
      </c>
      <c r="AH922" s="853"/>
      <c r="AI922" s="855">
        <f t="shared" si="171"/>
        <v>0</v>
      </c>
      <c r="AJ922" s="845" t="s">
        <v>2695</v>
      </c>
      <c r="AK922" s="857">
        <v>45332</v>
      </c>
      <c r="AL922" s="840" t="s">
        <v>2696</v>
      </c>
      <c r="AM922" s="840"/>
      <c r="AN922" s="858"/>
      <c r="AO922" s="844" t="s">
        <v>2697</v>
      </c>
      <c r="AP922" s="859" t="s">
        <v>2698</v>
      </c>
      <c r="AQ922" s="859" t="s">
        <v>2698</v>
      </c>
      <c r="AR922" s="859" t="s">
        <v>2699</v>
      </c>
      <c r="AS922" s="840" t="s">
        <v>2700</v>
      </c>
      <c r="AT922" s="840" t="s">
        <v>1743</v>
      </c>
      <c r="AU922" s="860" t="s">
        <v>1285</v>
      </c>
      <c r="AV922" s="839" t="s">
        <v>2701</v>
      </c>
      <c r="AW922" s="861">
        <v>45646</v>
      </c>
      <c r="AX922" s="862" t="s">
        <v>2702</v>
      </c>
      <c r="AY922" s="843" t="s">
        <v>3281</v>
      </c>
      <c r="AZ922" s="842"/>
      <c r="BA922" s="842" t="s">
        <v>120</v>
      </c>
      <c r="BB922" s="863" t="s">
        <v>121</v>
      </c>
      <c r="BC922" s="864">
        <v>45650</v>
      </c>
      <c r="BD922" s="860" t="s">
        <v>2705</v>
      </c>
      <c r="BE922" s="865" cm="1">
        <f t="array" ref="BE922">IF(BD922="","",AC922/SUMPRODUCT(--(BD922=$BD$4:$BD$12824),$AC$4:$AC$12824))</f>
        <v>1.9077989465431269E-3</v>
      </c>
      <c r="BF922" s="458"/>
      <c r="BG922" s="458"/>
      <c r="BH922" s="458"/>
      <c r="BI922" s="458"/>
      <c r="BJ922" s="458"/>
      <c r="BK922" s="458"/>
      <c r="BL922" s="458"/>
      <c r="BM922" s="458"/>
      <c r="BN922" s="458"/>
      <c r="BO922" s="866">
        <f>VLOOKUP(BD922,$BD$4:$BN$12824,3,0)*BE922</f>
        <v>89968.65045071207</v>
      </c>
      <c r="BP922" s="866"/>
      <c r="BQ922" s="866"/>
      <c r="BR922" s="866">
        <f>VLOOKUP(BD922,$BD$4:$BN$12824,6,0)*BE922</f>
        <v>25800.200311679255</v>
      </c>
      <c r="BS922" s="866">
        <f>VLOOKUP(BD922,$BD$4:$BN$12824,7,0)*BE922</f>
        <v>3334.5864524932817</v>
      </c>
      <c r="BT922" s="866"/>
      <c r="BU922" s="866">
        <f>VLOOKUP(BD922,$BD$4:$BN$12824,9,0)*BE922</f>
        <v>0</v>
      </c>
      <c r="BV922" s="867"/>
      <c r="BW922" s="867">
        <f>VLOOKUP(BD922,$BD$4:$BN$12824,11,0)*BE922</f>
        <v>3708.7611520798387</v>
      </c>
      <c r="BX922" s="1146">
        <f t="shared" si="174"/>
        <v>122812.19836696444</v>
      </c>
      <c r="BY922" s="867">
        <f t="shared" si="175"/>
        <v>1798102.9071834818</v>
      </c>
      <c r="BZ922" s="867">
        <f t="shared" si="172"/>
        <v>3596205.8143669637</v>
      </c>
      <c r="CA922" s="867">
        <f>_xlfn.MAXIFS($BY$4:$BY$12824,$S$4:$S$12824,$S922)</f>
        <v>2288149.7253491171</v>
      </c>
      <c r="CB922" s="1032"/>
      <c r="CF922" s="946">
        <f t="shared" si="173"/>
        <v>3473393.6159999995</v>
      </c>
    </row>
    <row r="923" spans="1:84">
      <c r="A923" s="1032"/>
      <c r="B923" s="839" t="s">
        <v>98</v>
      </c>
      <c r="C923" s="839" t="s">
        <v>2689</v>
      </c>
      <c r="D923" s="839" t="s">
        <v>2690</v>
      </c>
      <c r="E923" s="839" t="s">
        <v>2691</v>
      </c>
      <c r="F923" s="841">
        <v>45451</v>
      </c>
      <c r="G923" s="840" t="s">
        <v>2689</v>
      </c>
      <c r="H923" s="842" t="s">
        <v>134</v>
      </c>
      <c r="I923" s="842"/>
      <c r="J923" s="841"/>
      <c r="K923" s="841"/>
      <c r="L923" s="843" t="s">
        <v>106</v>
      </c>
      <c r="M923" s="844" t="s">
        <v>107</v>
      </c>
      <c r="N923" s="841" t="s">
        <v>2692</v>
      </c>
      <c r="O923" s="841" t="s">
        <v>135</v>
      </c>
      <c r="P923" s="841" t="s">
        <v>220</v>
      </c>
      <c r="Q923" s="843"/>
      <c r="R923" s="845" t="s">
        <v>3282</v>
      </c>
      <c r="S923" s="1127" t="s">
        <v>3283</v>
      </c>
      <c r="T923" s="843" t="s">
        <v>3284</v>
      </c>
      <c r="U923" s="842">
        <v>2</v>
      </c>
      <c r="V923" s="842" t="s">
        <v>3</v>
      </c>
      <c r="W923" s="846">
        <v>27</v>
      </c>
      <c r="X923" s="847">
        <f t="shared" si="167"/>
        <v>54</v>
      </c>
      <c r="Y923" s="848">
        <f t="shared" si="176"/>
        <v>0.55000000000000004</v>
      </c>
      <c r="Z923" s="849">
        <v>12.149999999999999</v>
      </c>
      <c r="AA923" s="849"/>
      <c r="AB923" s="849">
        <f t="shared" si="168"/>
        <v>24.299999999999997</v>
      </c>
      <c r="AC923" s="850">
        <f t="shared" si="169"/>
        <v>24.299999999999997</v>
      </c>
      <c r="AD923" s="851"/>
      <c r="AE923" s="852">
        <v>26253.919999999998</v>
      </c>
      <c r="AF923" s="853">
        <v>0</v>
      </c>
      <c r="AG923" s="854">
        <f t="shared" si="170"/>
        <v>0</v>
      </c>
      <c r="AH923" s="853"/>
      <c r="AI923" s="855">
        <f t="shared" si="171"/>
        <v>0</v>
      </c>
      <c r="AJ923" s="845" t="s">
        <v>2695</v>
      </c>
      <c r="AK923" s="857">
        <v>45332</v>
      </c>
      <c r="AL923" s="840" t="s">
        <v>2696</v>
      </c>
      <c r="AM923" s="840"/>
      <c r="AN923" s="858"/>
      <c r="AO923" s="844" t="s">
        <v>2697</v>
      </c>
      <c r="AP923" s="859" t="s">
        <v>2698</v>
      </c>
      <c r="AQ923" s="859" t="s">
        <v>2698</v>
      </c>
      <c r="AR923" s="859" t="s">
        <v>2699</v>
      </c>
      <c r="AS923" s="840" t="s">
        <v>2700</v>
      </c>
      <c r="AT923" s="840" t="s">
        <v>1743</v>
      </c>
      <c r="AU923" s="860" t="s">
        <v>1285</v>
      </c>
      <c r="AV923" s="839" t="s">
        <v>2701</v>
      </c>
      <c r="AW923" s="861">
        <v>45646</v>
      </c>
      <c r="AX923" s="862" t="s">
        <v>2702</v>
      </c>
      <c r="AY923" s="843" t="s">
        <v>3285</v>
      </c>
      <c r="AZ923" s="842"/>
      <c r="BA923" s="842" t="s">
        <v>120</v>
      </c>
      <c r="BB923" s="863" t="s">
        <v>121</v>
      </c>
      <c r="BC923" s="864">
        <v>45650</v>
      </c>
      <c r="BD923" s="860" t="s">
        <v>2705</v>
      </c>
      <c r="BE923" s="865" cm="1">
        <f t="array" ref="BE923">IF(BD923="","",AC923/SUMPRODUCT(--(BD923=$BD$4:$BD$12824),$AC$4:$AC$12824))</f>
        <v>3.5041205140588045E-4</v>
      </c>
      <c r="BF923" s="458"/>
      <c r="BG923" s="458"/>
      <c r="BH923" s="458"/>
      <c r="BI923" s="458"/>
      <c r="BJ923" s="458"/>
      <c r="BK923" s="458"/>
      <c r="BL923" s="458"/>
      <c r="BM923" s="458"/>
      <c r="BN923" s="458"/>
      <c r="BO923" s="866">
        <f>VLOOKUP(BD923,$BD$4:$BN$12824,3,0)*BE923</f>
        <v>16524.854164416502</v>
      </c>
      <c r="BP923" s="866"/>
      <c r="BQ923" s="866"/>
      <c r="BR923" s="866">
        <f>VLOOKUP(BD923,$BD$4:$BN$12824,6,0)*BE923</f>
        <v>4738.8123021451693</v>
      </c>
      <c r="BS923" s="866">
        <f>VLOOKUP(BD923,$BD$4:$BN$12824,7,0)*BE923</f>
        <v>612.47506270284771</v>
      </c>
      <c r="BT923" s="866"/>
      <c r="BU923" s="866">
        <f>VLOOKUP(BD923,$BD$4:$BN$12824,9,0)*BE923</f>
        <v>0</v>
      </c>
      <c r="BV923" s="867"/>
      <c r="BW923" s="867">
        <f>VLOOKUP(BD923,$BD$4:$BN$12824,11,0)*BE923</f>
        <v>681.20102793303158</v>
      </c>
      <c r="BX923" s="1146">
        <f t="shared" si="174"/>
        <v>22557.342557197549</v>
      </c>
      <c r="BY923" s="867">
        <f t="shared" si="175"/>
        <v>330263.79927859874</v>
      </c>
      <c r="BZ923" s="867">
        <f t="shared" si="172"/>
        <v>660527.59855719749</v>
      </c>
      <c r="CA923" s="867">
        <f>_xlfn.MAXIFS($BY$4:$BY$12824,$S$4:$S$12824,$S923)</f>
        <v>330263.79927859874</v>
      </c>
      <c r="CB923" s="1032"/>
      <c r="CF923" s="946">
        <f t="shared" si="173"/>
        <v>637970.25599999994</v>
      </c>
    </row>
    <row r="924" spans="1:84">
      <c r="A924" s="1032"/>
      <c r="B924" s="839" t="s">
        <v>98</v>
      </c>
      <c r="C924" s="839" t="s">
        <v>2689</v>
      </c>
      <c r="D924" s="839" t="s">
        <v>2690</v>
      </c>
      <c r="E924" s="839" t="s">
        <v>2691</v>
      </c>
      <c r="F924" s="841">
        <v>45451</v>
      </c>
      <c r="G924" s="840" t="s">
        <v>2689</v>
      </c>
      <c r="H924" s="842" t="s">
        <v>134</v>
      </c>
      <c r="I924" s="842"/>
      <c r="J924" s="841"/>
      <c r="K924" s="841"/>
      <c r="L924" s="843" t="s">
        <v>106</v>
      </c>
      <c r="M924" s="844" t="s">
        <v>107</v>
      </c>
      <c r="N924" s="841" t="s">
        <v>2692</v>
      </c>
      <c r="O924" s="841" t="s">
        <v>135</v>
      </c>
      <c r="P924" s="841" t="s">
        <v>220</v>
      </c>
      <c r="Q924" s="843"/>
      <c r="R924" s="845" t="s">
        <v>3286</v>
      </c>
      <c r="S924" s="1127" t="s">
        <v>3287</v>
      </c>
      <c r="T924" s="843" t="s">
        <v>3288</v>
      </c>
      <c r="U924" s="842">
        <v>2</v>
      </c>
      <c r="V924" s="842" t="s">
        <v>3</v>
      </c>
      <c r="W924" s="846">
        <v>32</v>
      </c>
      <c r="X924" s="847">
        <f t="shared" si="167"/>
        <v>64</v>
      </c>
      <c r="Y924" s="848">
        <f t="shared" si="176"/>
        <v>0.55000000000000004</v>
      </c>
      <c r="Z924" s="849">
        <v>14.399999999999999</v>
      </c>
      <c r="AA924" s="849"/>
      <c r="AB924" s="849">
        <f t="shared" si="168"/>
        <v>28.799999999999997</v>
      </c>
      <c r="AC924" s="850">
        <f t="shared" si="169"/>
        <v>28.799999999999997</v>
      </c>
      <c r="AD924" s="851"/>
      <c r="AE924" s="852">
        <v>26253.919999999998</v>
      </c>
      <c r="AF924" s="853">
        <v>0</v>
      </c>
      <c r="AG924" s="854">
        <f t="shared" si="170"/>
        <v>0</v>
      </c>
      <c r="AH924" s="853"/>
      <c r="AI924" s="855">
        <f t="shared" si="171"/>
        <v>0</v>
      </c>
      <c r="AJ924" s="845" t="s">
        <v>2695</v>
      </c>
      <c r="AK924" s="857">
        <v>45332</v>
      </c>
      <c r="AL924" s="840" t="s">
        <v>2696</v>
      </c>
      <c r="AM924" s="840"/>
      <c r="AN924" s="858"/>
      <c r="AO924" s="844" t="s">
        <v>2697</v>
      </c>
      <c r="AP924" s="859" t="s">
        <v>2698</v>
      </c>
      <c r="AQ924" s="859" t="s">
        <v>2698</v>
      </c>
      <c r="AR924" s="859" t="s">
        <v>2699</v>
      </c>
      <c r="AS924" s="840" t="s">
        <v>2700</v>
      </c>
      <c r="AT924" s="840" t="s">
        <v>1743</v>
      </c>
      <c r="AU924" s="860" t="s">
        <v>1285</v>
      </c>
      <c r="AV924" s="839" t="s">
        <v>2701</v>
      </c>
      <c r="AW924" s="861">
        <v>45646</v>
      </c>
      <c r="AX924" s="862" t="s">
        <v>2702</v>
      </c>
      <c r="AY924" s="843" t="s">
        <v>3289</v>
      </c>
      <c r="AZ924" s="842"/>
      <c r="BA924" s="842" t="s">
        <v>120</v>
      </c>
      <c r="BB924" s="863" t="s">
        <v>121</v>
      </c>
      <c r="BC924" s="864">
        <v>45650</v>
      </c>
      <c r="BD924" s="860" t="s">
        <v>2705</v>
      </c>
      <c r="BE924" s="865" cm="1">
        <f t="array" ref="BE924">IF(BD924="","",AC924/SUMPRODUCT(--(BD924=$BD$4:$BD$12824),$AC$4:$AC$12824))</f>
        <v>4.1530317203659911E-4</v>
      </c>
      <c r="BF924" s="458"/>
      <c r="BG924" s="458"/>
      <c r="BH924" s="458"/>
      <c r="BI924" s="458"/>
      <c r="BJ924" s="458"/>
      <c r="BK924" s="458"/>
      <c r="BL924" s="458"/>
      <c r="BM924" s="458"/>
      <c r="BN924" s="458"/>
      <c r="BO924" s="866">
        <f>VLOOKUP(BD924,$BD$4:$BN$12824,3,0)*BE924</f>
        <v>19585.012343012153</v>
      </c>
      <c r="BP924" s="866"/>
      <c r="BQ924" s="866"/>
      <c r="BR924" s="866">
        <f>VLOOKUP(BD924,$BD$4:$BN$12824,6,0)*BE924</f>
        <v>5616.3701358757562</v>
      </c>
      <c r="BS924" s="866">
        <f>VLOOKUP(BD924,$BD$4:$BN$12824,7,0)*BE924</f>
        <v>725.89637061078247</v>
      </c>
      <c r="BT924" s="866"/>
      <c r="BU924" s="866">
        <f>VLOOKUP(BD924,$BD$4:$BN$12824,9,0)*BE924</f>
        <v>0</v>
      </c>
      <c r="BV924" s="867"/>
      <c r="BW924" s="867">
        <f>VLOOKUP(BD924,$BD$4:$BN$12824,11,0)*BE924</f>
        <v>807.34936643914864</v>
      </c>
      <c r="BX924" s="1146">
        <f t="shared" si="174"/>
        <v>26734.628215937842</v>
      </c>
      <c r="BY924" s="867">
        <f t="shared" si="175"/>
        <v>391423.76210796885</v>
      </c>
      <c r="BZ924" s="867">
        <f t="shared" si="172"/>
        <v>782847.52421593771</v>
      </c>
      <c r="CA924" s="867">
        <f>_xlfn.MAXIFS($BY$4:$BY$12824,$S$4:$S$12824,$S924)</f>
        <v>498236.36738291278</v>
      </c>
      <c r="CB924" s="1032"/>
      <c r="CF924" s="946">
        <f t="shared" si="173"/>
        <v>756112.89599999983</v>
      </c>
    </row>
    <row r="925" spans="1:84">
      <c r="A925" s="1032"/>
      <c r="B925" s="839" t="s">
        <v>98</v>
      </c>
      <c r="C925" s="839" t="s">
        <v>2689</v>
      </c>
      <c r="D925" s="839" t="s">
        <v>2690</v>
      </c>
      <c r="E925" s="839" t="s">
        <v>2691</v>
      </c>
      <c r="F925" s="841">
        <v>45451</v>
      </c>
      <c r="G925" s="840" t="s">
        <v>2689</v>
      </c>
      <c r="H925" s="842" t="s">
        <v>134</v>
      </c>
      <c r="I925" s="842"/>
      <c r="J925" s="841"/>
      <c r="K925" s="841"/>
      <c r="L925" s="843" t="s">
        <v>106</v>
      </c>
      <c r="M925" s="844" t="s">
        <v>107</v>
      </c>
      <c r="N925" s="841" t="s">
        <v>2692</v>
      </c>
      <c r="O925" s="841" t="s">
        <v>135</v>
      </c>
      <c r="P925" s="841" t="s">
        <v>220</v>
      </c>
      <c r="Q925" s="843"/>
      <c r="R925" s="845" t="s">
        <v>3290</v>
      </c>
      <c r="S925" s="1127" t="s">
        <v>3291</v>
      </c>
      <c r="T925" s="843" t="s">
        <v>3292</v>
      </c>
      <c r="U925" s="842">
        <v>2</v>
      </c>
      <c r="V925" s="842" t="s">
        <v>3</v>
      </c>
      <c r="W925" s="846">
        <v>23.2</v>
      </c>
      <c r="X925" s="847">
        <f t="shared" si="167"/>
        <v>46.4</v>
      </c>
      <c r="Y925" s="848">
        <f t="shared" si="176"/>
        <v>0.55000000000000004</v>
      </c>
      <c r="Z925" s="849">
        <v>10.44</v>
      </c>
      <c r="AA925" s="849"/>
      <c r="AB925" s="849">
        <f t="shared" si="168"/>
        <v>20.88</v>
      </c>
      <c r="AC925" s="850">
        <f t="shared" si="169"/>
        <v>20.88</v>
      </c>
      <c r="AD925" s="851"/>
      <c r="AE925" s="852">
        <v>26253.919999999998</v>
      </c>
      <c r="AF925" s="853">
        <v>0</v>
      </c>
      <c r="AG925" s="854">
        <f t="shared" si="170"/>
        <v>0</v>
      </c>
      <c r="AH925" s="853"/>
      <c r="AI925" s="855">
        <f t="shared" si="171"/>
        <v>0</v>
      </c>
      <c r="AJ925" s="845" t="s">
        <v>2695</v>
      </c>
      <c r="AK925" s="857">
        <v>45332</v>
      </c>
      <c r="AL925" s="840" t="s">
        <v>2696</v>
      </c>
      <c r="AM925" s="840"/>
      <c r="AN925" s="858"/>
      <c r="AO925" s="844" t="s">
        <v>2697</v>
      </c>
      <c r="AP925" s="859" t="s">
        <v>2698</v>
      </c>
      <c r="AQ925" s="859" t="s">
        <v>2698</v>
      </c>
      <c r="AR925" s="859" t="s">
        <v>2699</v>
      </c>
      <c r="AS925" s="840" t="s">
        <v>2700</v>
      </c>
      <c r="AT925" s="840" t="s">
        <v>1743</v>
      </c>
      <c r="AU925" s="860" t="s">
        <v>1285</v>
      </c>
      <c r="AV925" s="839" t="s">
        <v>2701</v>
      </c>
      <c r="AW925" s="861">
        <v>45646</v>
      </c>
      <c r="AX925" s="862" t="s">
        <v>2702</v>
      </c>
      <c r="AY925" s="843" t="s">
        <v>3293</v>
      </c>
      <c r="AZ925" s="842"/>
      <c r="BA925" s="842" t="s">
        <v>120</v>
      </c>
      <c r="BB925" s="863" t="s">
        <v>121</v>
      </c>
      <c r="BC925" s="864">
        <v>45650</v>
      </c>
      <c r="BD925" s="860" t="s">
        <v>2705</v>
      </c>
      <c r="BE925" s="865" cm="1">
        <f t="array" ref="BE925">IF(BD925="","",AC925/SUMPRODUCT(--(BD925=$BD$4:$BD$12824),$AC$4:$AC$12824))</f>
        <v>3.0109479972653436E-4</v>
      </c>
      <c r="BF925" s="458"/>
      <c r="BG925" s="458"/>
      <c r="BH925" s="458"/>
      <c r="BI925" s="458"/>
      <c r="BJ925" s="458"/>
      <c r="BK925" s="458"/>
      <c r="BL925" s="458"/>
      <c r="BM925" s="458"/>
      <c r="BN925" s="458"/>
      <c r="BO925" s="866">
        <f>VLOOKUP(BD925,$BD$4:$BN$12824,3,0)*BE925</f>
        <v>14199.133948683811</v>
      </c>
      <c r="BP925" s="866"/>
      <c r="BQ925" s="866"/>
      <c r="BR925" s="866">
        <f>VLOOKUP(BD925,$BD$4:$BN$12824,6,0)*BE925</f>
        <v>4071.8683485099236</v>
      </c>
      <c r="BS925" s="866">
        <f>VLOOKUP(BD925,$BD$4:$BN$12824,7,0)*BE925</f>
        <v>526.27486869281734</v>
      </c>
      <c r="BT925" s="866"/>
      <c r="BU925" s="866">
        <f>VLOOKUP(BD925,$BD$4:$BN$12824,9,0)*BE925</f>
        <v>0</v>
      </c>
      <c r="BV925" s="867"/>
      <c r="BW925" s="867">
        <f>VLOOKUP(BD925,$BD$4:$BN$12824,11,0)*BE925</f>
        <v>585.32829066838281</v>
      </c>
      <c r="BX925" s="1146">
        <f t="shared" si="174"/>
        <v>19382.605456554935</v>
      </c>
      <c r="BY925" s="867">
        <f t="shared" si="175"/>
        <v>283782.22752827744</v>
      </c>
      <c r="BZ925" s="867">
        <f t="shared" si="172"/>
        <v>567564.45505655487</v>
      </c>
      <c r="CA925" s="867">
        <f>_xlfn.MAXIFS($BY$4:$BY$12824,$S$4:$S$12824,$S925)</f>
        <v>283782.22752827744</v>
      </c>
      <c r="CB925" s="1032"/>
      <c r="CF925" s="946">
        <f t="shared" si="173"/>
        <v>548181.84959999996</v>
      </c>
    </row>
    <row r="926" spans="1:84">
      <c r="A926" s="1032"/>
      <c r="B926" s="839" t="s">
        <v>98</v>
      </c>
      <c r="C926" s="839" t="s">
        <v>2689</v>
      </c>
      <c r="D926" s="839" t="s">
        <v>2690</v>
      </c>
      <c r="E926" s="839" t="s">
        <v>2691</v>
      </c>
      <c r="F926" s="841">
        <v>45451</v>
      </c>
      <c r="G926" s="840" t="s">
        <v>2689</v>
      </c>
      <c r="H926" s="842" t="s">
        <v>134</v>
      </c>
      <c r="I926" s="842"/>
      <c r="J926" s="841"/>
      <c r="K926" s="841"/>
      <c r="L926" s="843" t="s">
        <v>106</v>
      </c>
      <c r="M926" s="844" t="s">
        <v>107</v>
      </c>
      <c r="N926" s="841" t="s">
        <v>2692</v>
      </c>
      <c r="O926" s="841" t="s">
        <v>135</v>
      </c>
      <c r="P926" s="841" t="s">
        <v>220</v>
      </c>
      <c r="Q926" s="843"/>
      <c r="R926" s="845" t="s">
        <v>3294</v>
      </c>
      <c r="S926" s="1127" t="s">
        <v>3295</v>
      </c>
      <c r="T926" s="843" t="s">
        <v>3296</v>
      </c>
      <c r="U926" s="842">
        <v>2</v>
      </c>
      <c r="V926" s="842" t="s">
        <v>3</v>
      </c>
      <c r="W926" s="846">
        <v>64</v>
      </c>
      <c r="X926" s="847">
        <f t="shared" si="167"/>
        <v>128</v>
      </c>
      <c r="Y926" s="848">
        <f t="shared" si="176"/>
        <v>0.55000000000000004</v>
      </c>
      <c r="Z926" s="849">
        <v>28.799999999999997</v>
      </c>
      <c r="AA926" s="849"/>
      <c r="AB926" s="849">
        <f t="shared" si="168"/>
        <v>57.599999999999994</v>
      </c>
      <c r="AC926" s="850">
        <f t="shared" si="169"/>
        <v>57.599999999999994</v>
      </c>
      <c r="AD926" s="851"/>
      <c r="AE926" s="852">
        <v>26253.919999999998</v>
      </c>
      <c r="AF926" s="853">
        <v>0</v>
      </c>
      <c r="AG926" s="854">
        <f t="shared" si="170"/>
        <v>0</v>
      </c>
      <c r="AH926" s="853"/>
      <c r="AI926" s="855">
        <f t="shared" si="171"/>
        <v>0</v>
      </c>
      <c r="AJ926" s="845" t="s">
        <v>2695</v>
      </c>
      <c r="AK926" s="857">
        <v>45332</v>
      </c>
      <c r="AL926" s="840" t="s">
        <v>2696</v>
      </c>
      <c r="AM926" s="840"/>
      <c r="AN926" s="858"/>
      <c r="AO926" s="844" t="s">
        <v>2697</v>
      </c>
      <c r="AP926" s="859" t="s">
        <v>2698</v>
      </c>
      <c r="AQ926" s="859" t="s">
        <v>2698</v>
      </c>
      <c r="AR926" s="859" t="s">
        <v>2699</v>
      </c>
      <c r="AS926" s="840" t="s">
        <v>2700</v>
      </c>
      <c r="AT926" s="840" t="s">
        <v>1743</v>
      </c>
      <c r="AU926" s="860" t="s">
        <v>1285</v>
      </c>
      <c r="AV926" s="839" t="s">
        <v>2701</v>
      </c>
      <c r="AW926" s="861">
        <v>45646</v>
      </c>
      <c r="AX926" s="862" t="s">
        <v>2702</v>
      </c>
      <c r="AY926" s="843" t="s">
        <v>3297</v>
      </c>
      <c r="AZ926" s="842"/>
      <c r="BA926" s="842" t="s">
        <v>120</v>
      </c>
      <c r="BB926" s="863" t="s">
        <v>121</v>
      </c>
      <c r="BC926" s="864">
        <v>45650</v>
      </c>
      <c r="BD926" s="860" t="s">
        <v>2705</v>
      </c>
      <c r="BE926" s="865" cm="1">
        <f t="array" ref="BE926">IF(BD926="","",AC926/SUMPRODUCT(--(BD926=$BD$4:$BD$12824),$AC$4:$AC$12824))</f>
        <v>8.3060634407319822E-4</v>
      </c>
      <c r="BF926" s="458"/>
      <c r="BG926" s="458"/>
      <c r="BH926" s="458"/>
      <c r="BI926" s="458"/>
      <c r="BJ926" s="458"/>
      <c r="BK926" s="458"/>
      <c r="BL926" s="458"/>
      <c r="BM926" s="458"/>
      <c r="BN926" s="458"/>
      <c r="BO926" s="866">
        <f>VLOOKUP(BD926,$BD$4:$BN$12824,3,0)*BE926</f>
        <v>39170.024686024306</v>
      </c>
      <c r="BP926" s="866"/>
      <c r="BQ926" s="866"/>
      <c r="BR926" s="866">
        <f>VLOOKUP(BD926,$BD$4:$BN$12824,6,0)*BE926</f>
        <v>11232.740271751512</v>
      </c>
      <c r="BS926" s="866">
        <f>VLOOKUP(BD926,$BD$4:$BN$12824,7,0)*BE926</f>
        <v>1451.7927412215649</v>
      </c>
      <c r="BT926" s="866"/>
      <c r="BU926" s="866">
        <f>VLOOKUP(BD926,$BD$4:$BN$12824,9,0)*BE926</f>
        <v>0</v>
      </c>
      <c r="BV926" s="867"/>
      <c r="BW926" s="867">
        <f>VLOOKUP(BD926,$BD$4:$BN$12824,11,0)*BE926</f>
        <v>1614.6987328782973</v>
      </c>
      <c r="BX926" s="1146">
        <f t="shared" si="174"/>
        <v>53469.256431875685</v>
      </c>
      <c r="BY926" s="867">
        <f t="shared" si="175"/>
        <v>782847.52421593771</v>
      </c>
      <c r="BZ926" s="867">
        <f t="shared" si="172"/>
        <v>1565695.0484318754</v>
      </c>
      <c r="CA926" s="867">
        <f>_xlfn.MAXIFS($BY$4:$BY$12824,$S$4:$S$12824,$S926)</f>
        <v>782847.52421593771</v>
      </c>
      <c r="CB926" s="1032"/>
      <c r="CF926" s="946">
        <f t="shared" si="173"/>
        <v>1512225.7919999997</v>
      </c>
    </row>
    <row r="927" spans="1:84">
      <c r="A927" s="1032"/>
      <c r="B927" s="839" t="s">
        <v>98</v>
      </c>
      <c r="C927" s="839" t="s">
        <v>2689</v>
      </c>
      <c r="D927" s="839" t="s">
        <v>2690</v>
      </c>
      <c r="E927" s="839" t="s">
        <v>2691</v>
      </c>
      <c r="F927" s="841">
        <v>45451</v>
      </c>
      <c r="G927" s="840" t="s">
        <v>2689</v>
      </c>
      <c r="H927" s="842" t="s">
        <v>134</v>
      </c>
      <c r="I927" s="842"/>
      <c r="J927" s="841"/>
      <c r="K927" s="841"/>
      <c r="L927" s="843" t="s">
        <v>106</v>
      </c>
      <c r="M927" s="844" t="s">
        <v>107</v>
      </c>
      <c r="N927" s="841" t="s">
        <v>2692</v>
      </c>
      <c r="O927" s="841" t="s">
        <v>135</v>
      </c>
      <c r="P927" s="841" t="s">
        <v>220</v>
      </c>
      <c r="Q927" s="843"/>
      <c r="R927" s="845" t="s">
        <v>3298</v>
      </c>
      <c r="S927" s="1127" t="s">
        <v>3299</v>
      </c>
      <c r="T927" s="843" t="s">
        <v>3300</v>
      </c>
      <c r="U927" s="842">
        <v>2</v>
      </c>
      <c r="V927" s="842" t="s">
        <v>3</v>
      </c>
      <c r="W927" s="846">
        <v>37</v>
      </c>
      <c r="X927" s="847">
        <f t="shared" si="167"/>
        <v>74</v>
      </c>
      <c r="Y927" s="848">
        <f t="shared" si="176"/>
        <v>0.55000000000000004</v>
      </c>
      <c r="Z927" s="849">
        <v>16.649999999999999</v>
      </c>
      <c r="AA927" s="849"/>
      <c r="AB927" s="849">
        <f t="shared" si="168"/>
        <v>33.299999999999997</v>
      </c>
      <c r="AC927" s="850">
        <f t="shared" si="169"/>
        <v>33.299999999999997</v>
      </c>
      <c r="AD927" s="851"/>
      <c r="AE927" s="852">
        <v>26253.919999999998</v>
      </c>
      <c r="AF927" s="853">
        <v>0</v>
      </c>
      <c r="AG927" s="854">
        <f t="shared" si="170"/>
        <v>0</v>
      </c>
      <c r="AH927" s="853"/>
      <c r="AI927" s="855">
        <f t="shared" si="171"/>
        <v>0</v>
      </c>
      <c r="AJ927" s="845" t="s">
        <v>2695</v>
      </c>
      <c r="AK927" s="857">
        <v>45332</v>
      </c>
      <c r="AL927" s="840" t="s">
        <v>2696</v>
      </c>
      <c r="AM927" s="840"/>
      <c r="AN927" s="858"/>
      <c r="AO927" s="844" t="s">
        <v>2697</v>
      </c>
      <c r="AP927" s="859" t="s">
        <v>2698</v>
      </c>
      <c r="AQ927" s="859" t="s">
        <v>2698</v>
      </c>
      <c r="AR927" s="859" t="s">
        <v>2699</v>
      </c>
      <c r="AS927" s="840" t="s">
        <v>2700</v>
      </c>
      <c r="AT927" s="840" t="s">
        <v>1743</v>
      </c>
      <c r="AU927" s="860" t="s">
        <v>1285</v>
      </c>
      <c r="AV927" s="839" t="s">
        <v>2701</v>
      </c>
      <c r="AW927" s="861">
        <v>45646</v>
      </c>
      <c r="AX927" s="862" t="s">
        <v>2702</v>
      </c>
      <c r="AY927" s="843" t="s">
        <v>3301</v>
      </c>
      <c r="AZ927" s="842"/>
      <c r="BA927" s="842" t="s">
        <v>120</v>
      </c>
      <c r="BB927" s="863" t="s">
        <v>121</v>
      </c>
      <c r="BC927" s="864">
        <v>45650</v>
      </c>
      <c r="BD927" s="860" t="s">
        <v>2705</v>
      </c>
      <c r="BE927" s="865" cm="1">
        <f t="array" ref="BE927">IF(BD927="","",AC927/SUMPRODUCT(--(BD927=$BD$4:$BD$12824),$AC$4:$AC$12824))</f>
        <v>4.8019429266731771E-4</v>
      </c>
      <c r="BF927" s="458"/>
      <c r="BG927" s="458"/>
      <c r="BH927" s="458"/>
      <c r="BI927" s="458"/>
      <c r="BJ927" s="458"/>
      <c r="BK927" s="458"/>
      <c r="BL927" s="458"/>
      <c r="BM927" s="458"/>
      <c r="BN927" s="458"/>
      <c r="BO927" s="866">
        <f>VLOOKUP(BD927,$BD$4:$BN$12824,3,0)*BE927</f>
        <v>22645.170521607801</v>
      </c>
      <c r="BP927" s="866"/>
      <c r="BQ927" s="866"/>
      <c r="BR927" s="866">
        <f>VLOOKUP(BD927,$BD$4:$BN$12824,6,0)*BE927</f>
        <v>6493.9279696063431</v>
      </c>
      <c r="BS927" s="866">
        <f>VLOOKUP(BD927,$BD$4:$BN$12824,7,0)*BE927</f>
        <v>839.31767851871723</v>
      </c>
      <c r="BT927" s="866"/>
      <c r="BU927" s="866">
        <f>VLOOKUP(BD927,$BD$4:$BN$12824,9,0)*BE927</f>
        <v>0</v>
      </c>
      <c r="BV927" s="867"/>
      <c r="BW927" s="867">
        <f>VLOOKUP(BD927,$BD$4:$BN$12824,11,0)*BE927</f>
        <v>933.49770494526558</v>
      </c>
      <c r="BX927" s="1146">
        <f t="shared" si="174"/>
        <v>30911.913874678125</v>
      </c>
      <c r="BY927" s="867">
        <f t="shared" si="175"/>
        <v>452583.72493733896</v>
      </c>
      <c r="BZ927" s="867">
        <f t="shared" si="172"/>
        <v>905167.44987467793</v>
      </c>
      <c r="CA927" s="867">
        <f>_xlfn.MAXIFS($BY$4:$BY$12824,$S$4:$S$12824,$S927)</f>
        <v>575838.34450231108</v>
      </c>
      <c r="CB927" s="1032"/>
      <c r="CF927" s="946">
        <f t="shared" si="173"/>
        <v>874255.53599999985</v>
      </c>
    </row>
    <row r="928" spans="1:84">
      <c r="A928" s="1032"/>
      <c r="B928" s="839" t="s">
        <v>98</v>
      </c>
      <c r="C928" s="839" t="s">
        <v>2689</v>
      </c>
      <c r="D928" s="839" t="s">
        <v>2690</v>
      </c>
      <c r="E928" s="839" t="s">
        <v>2691</v>
      </c>
      <c r="F928" s="841">
        <v>45451</v>
      </c>
      <c r="G928" s="840" t="s">
        <v>2689</v>
      </c>
      <c r="H928" s="842" t="s">
        <v>134</v>
      </c>
      <c r="I928" s="842"/>
      <c r="J928" s="841"/>
      <c r="K928" s="841"/>
      <c r="L928" s="843" t="s">
        <v>106</v>
      </c>
      <c r="M928" s="844" t="s">
        <v>107</v>
      </c>
      <c r="N928" s="841" t="s">
        <v>2692</v>
      </c>
      <c r="O928" s="841" t="s">
        <v>135</v>
      </c>
      <c r="P928" s="841" t="s">
        <v>220</v>
      </c>
      <c r="Q928" s="843"/>
      <c r="R928" s="845" t="s">
        <v>3302</v>
      </c>
      <c r="S928" s="1127" t="s">
        <v>3303</v>
      </c>
      <c r="T928" s="843" t="s">
        <v>3304</v>
      </c>
      <c r="U928" s="842">
        <v>2</v>
      </c>
      <c r="V928" s="842" t="s">
        <v>3</v>
      </c>
      <c r="W928" s="846">
        <v>46</v>
      </c>
      <c r="X928" s="847">
        <f t="shared" si="167"/>
        <v>92</v>
      </c>
      <c r="Y928" s="848">
        <f t="shared" si="176"/>
        <v>0.55000000000000004</v>
      </c>
      <c r="Z928" s="849">
        <v>20.7</v>
      </c>
      <c r="AA928" s="849"/>
      <c r="AB928" s="849">
        <f t="shared" si="168"/>
        <v>41.4</v>
      </c>
      <c r="AC928" s="850">
        <f t="shared" si="169"/>
        <v>41.4</v>
      </c>
      <c r="AD928" s="851"/>
      <c r="AE928" s="852">
        <v>26253.919999999998</v>
      </c>
      <c r="AF928" s="853">
        <v>0</v>
      </c>
      <c r="AG928" s="854">
        <f t="shared" si="170"/>
        <v>0</v>
      </c>
      <c r="AH928" s="853"/>
      <c r="AI928" s="855">
        <f t="shared" si="171"/>
        <v>0</v>
      </c>
      <c r="AJ928" s="845" t="s">
        <v>2695</v>
      </c>
      <c r="AK928" s="857">
        <v>45332</v>
      </c>
      <c r="AL928" s="840" t="s">
        <v>2696</v>
      </c>
      <c r="AM928" s="840"/>
      <c r="AN928" s="858"/>
      <c r="AO928" s="844" t="s">
        <v>2697</v>
      </c>
      <c r="AP928" s="859" t="s">
        <v>2698</v>
      </c>
      <c r="AQ928" s="859" t="s">
        <v>2698</v>
      </c>
      <c r="AR928" s="859" t="s">
        <v>2699</v>
      </c>
      <c r="AS928" s="840" t="s">
        <v>2700</v>
      </c>
      <c r="AT928" s="840" t="s">
        <v>1743</v>
      </c>
      <c r="AU928" s="860" t="s">
        <v>1285</v>
      </c>
      <c r="AV928" s="839" t="s">
        <v>2701</v>
      </c>
      <c r="AW928" s="861">
        <v>45646</v>
      </c>
      <c r="AX928" s="862" t="s">
        <v>2702</v>
      </c>
      <c r="AY928" s="843" t="s">
        <v>3305</v>
      </c>
      <c r="AZ928" s="842"/>
      <c r="BA928" s="842" t="s">
        <v>120</v>
      </c>
      <c r="BB928" s="863" t="s">
        <v>121</v>
      </c>
      <c r="BC928" s="864">
        <v>45650</v>
      </c>
      <c r="BD928" s="860" t="s">
        <v>2705</v>
      </c>
      <c r="BE928" s="865" cm="1">
        <f t="array" ref="BE928">IF(BD928="","",AC928/SUMPRODUCT(--(BD928=$BD$4:$BD$12824),$AC$4:$AC$12824))</f>
        <v>5.9699830980261125E-4</v>
      </c>
      <c r="BF928" s="458"/>
      <c r="BG928" s="458"/>
      <c r="BH928" s="458"/>
      <c r="BI928" s="458"/>
      <c r="BJ928" s="458"/>
      <c r="BK928" s="458"/>
      <c r="BL928" s="458"/>
      <c r="BM928" s="458"/>
      <c r="BN928" s="458"/>
      <c r="BO928" s="866">
        <f>VLOOKUP(BD928,$BD$4:$BN$12824,3,0)*BE928</f>
        <v>28153.455243079974</v>
      </c>
      <c r="BP928" s="866"/>
      <c r="BQ928" s="866"/>
      <c r="BR928" s="866">
        <f>VLOOKUP(BD928,$BD$4:$BN$12824,6,0)*BE928</f>
        <v>8073.5320703214002</v>
      </c>
      <c r="BS928" s="866">
        <f>VLOOKUP(BD928,$BD$4:$BN$12824,7,0)*BE928</f>
        <v>1043.476032753</v>
      </c>
      <c r="BT928" s="866"/>
      <c r="BU928" s="866">
        <f>VLOOKUP(BD928,$BD$4:$BN$12824,9,0)*BE928</f>
        <v>0</v>
      </c>
      <c r="BV928" s="867"/>
      <c r="BW928" s="867">
        <f>VLOOKUP(BD928,$BD$4:$BN$12824,11,0)*BE928</f>
        <v>1160.5647142562764</v>
      </c>
      <c r="BX928" s="1146">
        <f t="shared" si="174"/>
        <v>38431.028060410652</v>
      </c>
      <c r="BY928" s="867">
        <f t="shared" si="175"/>
        <v>562671.65803020529</v>
      </c>
      <c r="BZ928" s="867">
        <f t="shared" si="172"/>
        <v>1125343.3160604106</v>
      </c>
      <c r="CA928" s="867">
        <f>_xlfn.MAXIFS($BY$4:$BY$12824,$S$4:$S$12824,$S928)</f>
        <v>716155.38884473336</v>
      </c>
      <c r="CB928" s="1032"/>
      <c r="CF928" s="946">
        <f t="shared" si="173"/>
        <v>1086912.2879999999</v>
      </c>
    </row>
    <row r="929" spans="1:84">
      <c r="A929" s="1032"/>
      <c r="B929" s="839" t="s">
        <v>98</v>
      </c>
      <c r="C929" s="839" t="s">
        <v>2689</v>
      </c>
      <c r="D929" s="839" t="s">
        <v>2690</v>
      </c>
      <c r="E929" s="839" t="s">
        <v>2691</v>
      </c>
      <c r="F929" s="841">
        <v>45451</v>
      </c>
      <c r="G929" s="840" t="s">
        <v>2689</v>
      </c>
      <c r="H929" s="842" t="s">
        <v>134</v>
      </c>
      <c r="I929" s="842"/>
      <c r="J929" s="841"/>
      <c r="K929" s="841"/>
      <c r="L929" s="843" t="s">
        <v>106</v>
      </c>
      <c r="M929" s="844" t="s">
        <v>107</v>
      </c>
      <c r="N929" s="841" t="s">
        <v>2692</v>
      </c>
      <c r="O929" s="841" t="s">
        <v>135</v>
      </c>
      <c r="P929" s="841" t="s">
        <v>220</v>
      </c>
      <c r="Q929" s="843"/>
      <c r="R929" s="845" t="s">
        <v>3306</v>
      </c>
      <c r="S929" s="1127" t="s">
        <v>3307</v>
      </c>
      <c r="T929" s="843" t="s">
        <v>3308</v>
      </c>
      <c r="U929" s="842">
        <v>2</v>
      </c>
      <c r="V929" s="842" t="s">
        <v>3</v>
      </c>
      <c r="W929" s="846">
        <v>14</v>
      </c>
      <c r="X929" s="847">
        <f t="shared" si="167"/>
        <v>28</v>
      </c>
      <c r="Y929" s="848">
        <f t="shared" si="176"/>
        <v>0.55000000000000004</v>
      </c>
      <c r="Z929" s="849">
        <v>6.2999999999999989</v>
      </c>
      <c r="AA929" s="849"/>
      <c r="AB929" s="849">
        <f t="shared" si="168"/>
        <v>12.599999999999998</v>
      </c>
      <c r="AC929" s="850">
        <f t="shared" si="169"/>
        <v>12.599999999999998</v>
      </c>
      <c r="AD929" s="851"/>
      <c r="AE929" s="852">
        <v>26253.919999999998</v>
      </c>
      <c r="AF929" s="853">
        <v>0</v>
      </c>
      <c r="AG929" s="854">
        <f t="shared" si="170"/>
        <v>0</v>
      </c>
      <c r="AH929" s="853"/>
      <c r="AI929" s="855">
        <f t="shared" si="171"/>
        <v>0</v>
      </c>
      <c r="AJ929" s="845" t="s">
        <v>2695</v>
      </c>
      <c r="AK929" s="857">
        <v>45332</v>
      </c>
      <c r="AL929" s="840" t="s">
        <v>2696</v>
      </c>
      <c r="AM929" s="840"/>
      <c r="AN929" s="858"/>
      <c r="AO929" s="844" t="s">
        <v>2697</v>
      </c>
      <c r="AP929" s="859" t="s">
        <v>2698</v>
      </c>
      <c r="AQ929" s="859" t="s">
        <v>2698</v>
      </c>
      <c r="AR929" s="859" t="s">
        <v>2699</v>
      </c>
      <c r="AS929" s="840" t="s">
        <v>2700</v>
      </c>
      <c r="AT929" s="840" t="s">
        <v>1743</v>
      </c>
      <c r="AU929" s="860" t="s">
        <v>1285</v>
      </c>
      <c r="AV929" s="839" t="s">
        <v>2701</v>
      </c>
      <c r="AW929" s="861">
        <v>45646</v>
      </c>
      <c r="AX929" s="862" t="s">
        <v>2702</v>
      </c>
      <c r="AY929" s="843" t="s">
        <v>3309</v>
      </c>
      <c r="AZ929" s="842"/>
      <c r="BA929" s="842" t="s">
        <v>120</v>
      </c>
      <c r="BB929" s="863" t="s">
        <v>121</v>
      </c>
      <c r="BC929" s="864">
        <v>45650</v>
      </c>
      <c r="BD929" s="860" t="s">
        <v>2705</v>
      </c>
      <c r="BE929" s="865" cm="1">
        <f t="array" ref="BE929">IF(BD929="","",AC929/SUMPRODUCT(--(BD929=$BD$4:$BD$12824),$AC$4:$AC$12824))</f>
        <v>1.8169513776601209E-4</v>
      </c>
      <c r="BF929" s="458"/>
      <c r="BG929" s="458"/>
      <c r="BH929" s="458"/>
      <c r="BI929" s="458"/>
      <c r="BJ929" s="458"/>
      <c r="BK929" s="458"/>
      <c r="BL929" s="458"/>
      <c r="BM929" s="458"/>
      <c r="BN929" s="458"/>
      <c r="BO929" s="866">
        <f>VLOOKUP(BD929,$BD$4:$BN$12824,3,0)*BE929</f>
        <v>8568.4429000678156</v>
      </c>
      <c r="BP929" s="866"/>
      <c r="BQ929" s="866"/>
      <c r="BR929" s="866">
        <f>VLOOKUP(BD929,$BD$4:$BN$12824,6,0)*BE929</f>
        <v>2457.1619344456431</v>
      </c>
      <c r="BS929" s="866">
        <f>VLOOKUP(BD929,$BD$4:$BN$12824,7,0)*BE929</f>
        <v>317.57966214221733</v>
      </c>
      <c r="BT929" s="866"/>
      <c r="BU929" s="866">
        <f>VLOOKUP(BD929,$BD$4:$BN$12824,9,0)*BE929</f>
        <v>0</v>
      </c>
      <c r="BV929" s="867"/>
      <c r="BW929" s="867">
        <f>VLOOKUP(BD929,$BD$4:$BN$12824,11,0)*BE929</f>
        <v>353.21534781712751</v>
      </c>
      <c r="BX929" s="1146">
        <f t="shared" si="174"/>
        <v>11696.399844472804</v>
      </c>
      <c r="BY929" s="867">
        <f t="shared" si="175"/>
        <v>171247.89592223638</v>
      </c>
      <c r="BZ929" s="867">
        <f t="shared" si="172"/>
        <v>342495.79184447275</v>
      </c>
      <c r="CA929" s="867">
        <f>_xlfn.MAXIFS($BY$4:$BY$12824,$S$4:$S$12824,$S929)</f>
        <v>171247.89592223638</v>
      </c>
      <c r="CB929" s="1032"/>
      <c r="CF929" s="946">
        <f t="shared" si="173"/>
        <v>330799.39199999993</v>
      </c>
    </row>
    <row r="930" spans="1:84">
      <c r="A930" s="1032"/>
      <c r="B930" s="839" t="s">
        <v>98</v>
      </c>
      <c r="C930" s="839" t="s">
        <v>2689</v>
      </c>
      <c r="D930" s="839" t="s">
        <v>2690</v>
      </c>
      <c r="E930" s="839" t="s">
        <v>2691</v>
      </c>
      <c r="F930" s="841">
        <v>45451</v>
      </c>
      <c r="G930" s="840" t="s">
        <v>2689</v>
      </c>
      <c r="H930" s="842" t="s">
        <v>134</v>
      </c>
      <c r="I930" s="842"/>
      <c r="J930" s="841"/>
      <c r="K930" s="841"/>
      <c r="L930" s="843" t="s">
        <v>106</v>
      </c>
      <c r="M930" s="844" t="s">
        <v>107</v>
      </c>
      <c r="N930" s="841" t="s">
        <v>2692</v>
      </c>
      <c r="O930" s="841" t="s">
        <v>135</v>
      </c>
      <c r="P930" s="841" t="s">
        <v>1251</v>
      </c>
      <c r="Q930" s="843"/>
      <c r="R930" s="845" t="s">
        <v>3310</v>
      </c>
      <c r="S930" s="1127" t="s">
        <v>3311</v>
      </c>
      <c r="T930" s="843" t="s">
        <v>3312</v>
      </c>
      <c r="U930" s="842">
        <v>10</v>
      </c>
      <c r="V930" s="842" t="s">
        <v>3</v>
      </c>
      <c r="W930" s="846">
        <v>185</v>
      </c>
      <c r="X930" s="847">
        <f t="shared" si="167"/>
        <v>1850</v>
      </c>
      <c r="Y930" s="848">
        <f t="shared" si="176"/>
        <v>0.55000000000000004</v>
      </c>
      <c r="Z930" s="849">
        <v>83.25</v>
      </c>
      <c r="AA930" s="849"/>
      <c r="AB930" s="849">
        <f t="shared" si="168"/>
        <v>832.5</v>
      </c>
      <c r="AC930" s="850">
        <f t="shared" si="169"/>
        <v>832.5</v>
      </c>
      <c r="AD930" s="851"/>
      <c r="AE930" s="852">
        <v>26253.919999999998</v>
      </c>
      <c r="AF930" s="853">
        <v>3.3000000000000002E-2</v>
      </c>
      <c r="AG930" s="854">
        <f t="shared" si="170"/>
        <v>740635.51996510441</v>
      </c>
      <c r="AH930" s="853"/>
      <c r="AI930" s="855">
        <f t="shared" si="171"/>
        <v>0</v>
      </c>
      <c r="AJ930" s="845" t="s">
        <v>2695</v>
      </c>
      <c r="AK930" s="857">
        <v>45332</v>
      </c>
      <c r="AL930" s="840" t="s">
        <v>2696</v>
      </c>
      <c r="AM930" s="840"/>
      <c r="AN930" s="858"/>
      <c r="AO930" s="844" t="s">
        <v>2697</v>
      </c>
      <c r="AP930" s="859" t="s">
        <v>2698</v>
      </c>
      <c r="AQ930" s="859" t="s">
        <v>2698</v>
      </c>
      <c r="AR930" s="859" t="s">
        <v>2699</v>
      </c>
      <c r="AS930" s="840" t="s">
        <v>2700</v>
      </c>
      <c r="AT930" s="840" t="s">
        <v>1743</v>
      </c>
      <c r="AU930" s="860" t="s">
        <v>1285</v>
      </c>
      <c r="AV930" s="839" t="s">
        <v>2701</v>
      </c>
      <c r="AW930" s="861">
        <v>45646</v>
      </c>
      <c r="AX930" s="862" t="s">
        <v>2702</v>
      </c>
      <c r="AY930" s="843" t="s">
        <v>3313</v>
      </c>
      <c r="AZ930" s="842" t="s">
        <v>3314</v>
      </c>
      <c r="BA930" s="842" t="s">
        <v>120</v>
      </c>
      <c r="BB930" s="863" t="s">
        <v>121</v>
      </c>
      <c r="BC930" s="864">
        <v>45650</v>
      </c>
      <c r="BD930" s="860" t="s">
        <v>2705</v>
      </c>
      <c r="BE930" s="865" cm="1">
        <f t="array" ref="BE930">IF(BD930="","",AC930/SUMPRODUCT(--(BD930=$BD$4:$BD$12824),$AC$4:$AC$12824))</f>
        <v>1.2004857316682943E-2</v>
      </c>
      <c r="BF930" s="458"/>
      <c r="BG930" s="458"/>
      <c r="BH930" s="458"/>
      <c r="BI930" s="458"/>
      <c r="BJ930" s="458"/>
      <c r="BK930" s="458"/>
      <c r="BL930" s="458"/>
      <c r="BM930" s="458"/>
      <c r="BN930" s="458"/>
      <c r="BO930" s="866">
        <f>VLOOKUP(BD930,$BD$4:$BN$12824,3,0)*BE930</f>
        <v>566129.2630401951</v>
      </c>
      <c r="BP930" s="866"/>
      <c r="BQ930" s="866"/>
      <c r="BR930" s="866">
        <f>VLOOKUP(BD930,$BD$4:$BN$12824,6,0)*BE930</f>
        <v>162348.19924015857</v>
      </c>
      <c r="BS930" s="866">
        <f>VLOOKUP(BD930,$BD$4:$BN$12824,7,0)*BE930</f>
        <v>20982.941962967932</v>
      </c>
      <c r="BT930" s="866"/>
      <c r="BU930" s="866">
        <f>VLOOKUP(BD930,$BD$4:$BN$12824,9,0)*BE930</f>
        <v>0</v>
      </c>
      <c r="BV930" s="867"/>
      <c r="BW930" s="867">
        <f>VLOOKUP(BD930,$BD$4:$BN$12824,11,0)*BE930</f>
        <v>23337.442623631639</v>
      </c>
      <c r="BX930" s="1146">
        <f t="shared" si="174"/>
        <v>772797.8468669533</v>
      </c>
      <c r="BY930" s="867">
        <f t="shared" si="175"/>
        <v>2336982.1766832056</v>
      </c>
      <c r="BZ930" s="867">
        <f t="shared" si="172"/>
        <v>23369821.766832057</v>
      </c>
      <c r="CA930" s="867">
        <f>_xlfn.MAXIFS($BY$4:$BY$12824,$S$4:$S$12824,$S930)</f>
        <v>2336982.1766832056</v>
      </c>
      <c r="CB930" s="1032"/>
      <c r="CF930" s="946">
        <f t="shared" si="173"/>
        <v>21856388.399999999</v>
      </c>
    </row>
    <row r="931" spans="1:84">
      <c r="A931" s="1032"/>
      <c r="B931" s="839" t="s">
        <v>98</v>
      </c>
      <c r="C931" s="839" t="s">
        <v>2689</v>
      </c>
      <c r="D931" s="839" t="s">
        <v>2690</v>
      </c>
      <c r="E931" s="839" t="s">
        <v>2691</v>
      </c>
      <c r="F931" s="841">
        <v>45451</v>
      </c>
      <c r="G931" s="840" t="s">
        <v>2689</v>
      </c>
      <c r="H931" s="842" t="s">
        <v>134</v>
      </c>
      <c r="I931" s="842"/>
      <c r="J931" s="841"/>
      <c r="K931" s="841"/>
      <c r="L931" s="843" t="s">
        <v>106</v>
      </c>
      <c r="M931" s="844" t="s">
        <v>107</v>
      </c>
      <c r="N931" s="841" t="s">
        <v>2692</v>
      </c>
      <c r="O931" s="841" t="s">
        <v>135</v>
      </c>
      <c r="P931" s="841" t="s">
        <v>1251</v>
      </c>
      <c r="Q931" s="843"/>
      <c r="R931" s="845" t="s">
        <v>3310</v>
      </c>
      <c r="S931" s="1127" t="s">
        <v>3311</v>
      </c>
      <c r="T931" s="843" t="s">
        <v>3312</v>
      </c>
      <c r="U931" s="842">
        <v>20</v>
      </c>
      <c r="V931" s="842" t="s">
        <v>3</v>
      </c>
      <c r="W931" s="846">
        <v>185</v>
      </c>
      <c r="X931" s="847">
        <f t="shared" si="167"/>
        <v>3700</v>
      </c>
      <c r="Y931" s="848">
        <f t="shared" si="176"/>
        <v>0.55000000000000004</v>
      </c>
      <c r="Z931" s="849">
        <v>83.25</v>
      </c>
      <c r="AA931" s="849" t="s">
        <v>40</v>
      </c>
      <c r="AB931" s="849">
        <f t="shared" si="168"/>
        <v>0</v>
      </c>
      <c r="AC931" s="850">
        <f t="shared" si="169"/>
        <v>1665</v>
      </c>
      <c r="AD931" s="851"/>
      <c r="AE931" s="852">
        <v>26253.919999999998</v>
      </c>
      <c r="AF931" s="853">
        <v>3.3000000000000002E-2</v>
      </c>
      <c r="AG931" s="854">
        <f t="shared" si="170"/>
        <v>1481271.0399302088</v>
      </c>
      <c r="AH931" s="853"/>
      <c r="AI931" s="855">
        <f t="shared" si="171"/>
        <v>0</v>
      </c>
      <c r="AJ931" s="845" t="s">
        <v>2695</v>
      </c>
      <c r="AK931" s="857">
        <v>45332</v>
      </c>
      <c r="AL931" s="840" t="s">
        <v>2696</v>
      </c>
      <c r="AM931" s="840"/>
      <c r="AN931" s="858"/>
      <c r="AO931" s="844" t="s">
        <v>2697</v>
      </c>
      <c r="AP931" s="859" t="s">
        <v>2698</v>
      </c>
      <c r="AQ931" s="859" t="s">
        <v>2698</v>
      </c>
      <c r="AR931" s="859" t="s">
        <v>2699</v>
      </c>
      <c r="AS931" s="840" t="s">
        <v>2700</v>
      </c>
      <c r="AT931" s="840" t="s">
        <v>1743</v>
      </c>
      <c r="AU931" s="860" t="s">
        <v>1285</v>
      </c>
      <c r="AV931" s="839" t="s">
        <v>2701</v>
      </c>
      <c r="AW931" s="861">
        <v>45646</v>
      </c>
      <c r="AX931" s="862" t="s">
        <v>2702</v>
      </c>
      <c r="AY931" s="843" t="s">
        <v>3313</v>
      </c>
      <c r="AZ931" s="842" t="s">
        <v>3314</v>
      </c>
      <c r="BA931" s="842" t="s">
        <v>120</v>
      </c>
      <c r="BB931" s="863" t="s">
        <v>121</v>
      </c>
      <c r="BC931" s="864">
        <v>45650</v>
      </c>
      <c r="BD931" s="860" t="s">
        <v>2705</v>
      </c>
      <c r="BE931" s="865" cm="1">
        <f t="array" ref="BE931">IF(BD931="","",AC931/SUMPRODUCT(--(BD931=$BD$4:$BD$12824),$AC$4:$AC$12824))</f>
        <v>2.4009714633365885E-2</v>
      </c>
      <c r="BF931" s="458"/>
      <c r="BG931" s="458"/>
      <c r="BH931" s="458"/>
      <c r="BI931" s="458"/>
      <c r="BJ931" s="458"/>
      <c r="BK931" s="458"/>
      <c r="BL931" s="458"/>
      <c r="BM931" s="458"/>
      <c r="BN931" s="458"/>
      <c r="BO931" s="866">
        <f>VLOOKUP(BD931,$BD$4:$BN$12824,3,0)*BE931</f>
        <v>1132258.5260803902</v>
      </c>
      <c r="BP931" s="866"/>
      <c r="BQ931" s="866"/>
      <c r="BR931" s="866">
        <f>VLOOKUP(BD931,$BD$4:$BN$12824,6,0)*BE931</f>
        <v>324696.39848031715</v>
      </c>
      <c r="BS931" s="866">
        <f>VLOOKUP(BD931,$BD$4:$BN$12824,7,0)*BE931</f>
        <v>41965.883925935865</v>
      </c>
      <c r="BT931" s="866"/>
      <c r="BU931" s="866">
        <f>VLOOKUP(BD931,$BD$4:$BN$12824,9,0)*BE931</f>
        <v>0</v>
      </c>
      <c r="BV931" s="867"/>
      <c r="BW931" s="867">
        <f>VLOOKUP(BD931,$BD$4:$BN$12824,11,0)*BE931</f>
        <v>46674.885247263279</v>
      </c>
      <c r="BX931" s="1146">
        <f t="shared" si="174"/>
        <v>1545595.6937339066</v>
      </c>
      <c r="BY931" s="867">
        <f t="shared" si="175"/>
        <v>151343.33668320577</v>
      </c>
      <c r="BZ931" s="867">
        <f t="shared" si="172"/>
        <v>3026866.7336641154</v>
      </c>
      <c r="CA931" s="867">
        <f>_xlfn.MAXIFS($BY$4:$BY$12824,$S$4:$S$12824,$S931)</f>
        <v>2336982.1766832056</v>
      </c>
      <c r="CB931" s="1032"/>
      <c r="CF931" s="946">
        <f t="shared" si="173"/>
        <v>43712776.799999997</v>
      </c>
    </row>
    <row r="932" spans="1:84">
      <c r="A932" s="1032"/>
      <c r="B932" s="839" t="s">
        <v>98</v>
      </c>
      <c r="C932" s="839" t="s">
        <v>2689</v>
      </c>
      <c r="D932" s="839" t="s">
        <v>2690</v>
      </c>
      <c r="E932" s="839" t="s">
        <v>2691</v>
      </c>
      <c r="F932" s="841">
        <v>45451</v>
      </c>
      <c r="G932" s="840" t="s">
        <v>2689</v>
      </c>
      <c r="H932" s="842" t="s">
        <v>134</v>
      </c>
      <c r="I932" s="842"/>
      <c r="J932" s="841"/>
      <c r="K932" s="841"/>
      <c r="L932" s="843" t="s">
        <v>106</v>
      </c>
      <c r="M932" s="844" t="s">
        <v>107</v>
      </c>
      <c r="N932" s="841" t="s">
        <v>2692</v>
      </c>
      <c r="O932" s="841" t="s">
        <v>150</v>
      </c>
      <c r="P932" s="841" t="s">
        <v>151</v>
      </c>
      <c r="Q932" s="843"/>
      <c r="R932" s="845" t="s">
        <v>3315</v>
      </c>
      <c r="S932" s="1127" t="s">
        <v>3316</v>
      </c>
      <c r="T932" s="843" t="s">
        <v>3317</v>
      </c>
      <c r="U932" s="842">
        <v>1</v>
      </c>
      <c r="V932" s="842" t="s">
        <v>3</v>
      </c>
      <c r="W932" s="846">
        <v>337.8</v>
      </c>
      <c r="X932" s="847">
        <f t="shared" si="167"/>
        <v>337.8</v>
      </c>
      <c r="Y932" s="848">
        <f t="shared" si="176"/>
        <v>0.5</v>
      </c>
      <c r="Z932" s="849">
        <v>168.9</v>
      </c>
      <c r="AA932" s="849"/>
      <c r="AB932" s="849">
        <f t="shared" si="168"/>
        <v>168.9</v>
      </c>
      <c r="AC932" s="850">
        <f t="shared" si="169"/>
        <v>168.9</v>
      </c>
      <c r="AD932" s="851"/>
      <c r="AE932" s="852">
        <v>26253.919999999998</v>
      </c>
      <c r="AF932" s="853">
        <v>0</v>
      </c>
      <c r="AG932" s="854">
        <f t="shared" si="170"/>
        <v>0</v>
      </c>
      <c r="AH932" s="853"/>
      <c r="AI932" s="855">
        <f t="shared" si="171"/>
        <v>0</v>
      </c>
      <c r="AJ932" s="845" t="s">
        <v>3318</v>
      </c>
      <c r="AK932" s="857" t="s">
        <v>3319</v>
      </c>
      <c r="AL932" s="840"/>
      <c r="AM932" s="840"/>
      <c r="AN932" s="858"/>
      <c r="AO932" s="844" t="s">
        <v>2697</v>
      </c>
      <c r="AP932" s="859" t="s">
        <v>2698</v>
      </c>
      <c r="AQ932" s="859" t="s">
        <v>2698</v>
      </c>
      <c r="AR932" s="859" t="s">
        <v>2699</v>
      </c>
      <c r="AS932" s="840" t="s">
        <v>2700</v>
      </c>
      <c r="AT932" s="840" t="s">
        <v>1743</v>
      </c>
      <c r="AU932" s="860" t="s">
        <v>1285</v>
      </c>
      <c r="AV932" s="839" t="s">
        <v>3320</v>
      </c>
      <c r="AW932" s="861"/>
      <c r="AX932" s="862"/>
      <c r="AY932" s="843"/>
      <c r="AZ932" s="842"/>
      <c r="BA932" s="842" t="s">
        <v>120</v>
      </c>
      <c r="BB932" s="863" t="s">
        <v>121</v>
      </c>
      <c r="BC932" s="864">
        <v>45650</v>
      </c>
      <c r="BD932" s="860" t="s">
        <v>2705</v>
      </c>
      <c r="BE932" s="865" cm="1">
        <f t="array" ref="BE932">IF(BD932="","",AC932/SUMPRODUCT(--(BD932=$BD$4:$BD$12824),$AC$4:$AC$12824))</f>
        <v>2.4355800610063052E-3</v>
      </c>
      <c r="BF932" s="458"/>
      <c r="BG932" s="458"/>
      <c r="BH932" s="458"/>
      <c r="BI932" s="458"/>
      <c r="BJ932" s="458"/>
      <c r="BK932" s="458"/>
      <c r="BL932" s="458"/>
      <c r="BM932" s="458"/>
      <c r="BN932" s="458"/>
      <c r="BO932" s="866">
        <f>VLOOKUP(BD932,$BD$4:$BN$12824,3,0)*BE932</f>
        <v>114857.93696995669</v>
      </c>
      <c r="BP932" s="866"/>
      <c r="BQ932" s="866"/>
      <c r="BR932" s="866">
        <f>VLOOKUP(BD932,$BD$4:$BN$12824,6,0)*BE932</f>
        <v>32937.670692688029</v>
      </c>
      <c r="BS932" s="866">
        <f>VLOOKUP(BD932,$BD$4:$BN$12824,7,0)*BE932</f>
        <v>4257.079756811152</v>
      </c>
      <c r="BT932" s="866"/>
      <c r="BU932" s="866">
        <f>VLOOKUP(BD932,$BD$4:$BN$12824,9,0)*BE932</f>
        <v>0</v>
      </c>
      <c r="BV932" s="867"/>
      <c r="BW932" s="867">
        <f>VLOOKUP(BD932,$BD$4:$BN$12824,11,0)*BE932</f>
        <v>4734.7676385962568</v>
      </c>
      <c r="BX932" s="1146">
        <f t="shared" ref="BX932:BX961" si="177">SUM(BO932:BW932)</f>
        <v>156787.45505805212</v>
      </c>
      <c r="BY932" s="867">
        <f t="shared" si="175"/>
        <v>4591074.5430580517</v>
      </c>
      <c r="BZ932" s="867">
        <f t="shared" si="172"/>
        <v>4591074.5430580517</v>
      </c>
      <c r="CA932" s="867">
        <f>_xlfn.MAXIFS($BY$4:$BY$12824,$S$4:$S$12824,$S932)</f>
        <v>4591074.5430580517</v>
      </c>
      <c r="CB932" s="1032"/>
      <c r="CF932" s="946">
        <f t="shared" si="173"/>
        <v>4434287.0879999995</v>
      </c>
    </row>
    <row r="933" spans="1:84">
      <c r="A933" s="1032"/>
      <c r="B933" s="839" t="s">
        <v>98</v>
      </c>
      <c r="C933" s="839" t="s">
        <v>2689</v>
      </c>
      <c r="D933" s="839" t="s">
        <v>2690</v>
      </c>
      <c r="E933" s="839" t="s">
        <v>2691</v>
      </c>
      <c r="F933" s="841">
        <v>45451</v>
      </c>
      <c r="G933" s="840" t="s">
        <v>2689</v>
      </c>
      <c r="H933" s="842" t="s">
        <v>134</v>
      </c>
      <c r="I933" s="842"/>
      <c r="J933" s="841"/>
      <c r="K933" s="841"/>
      <c r="L933" s="843" t="s">
        <v>106</v>
      </c>
      <c r="M933" s="844" t="s">
        <v>107</v>
      </c>
      <c r="N933" s="841" t="s">
        <v>2692</v>
      </c>
      <c r="O933" s="841" t="s">
        <v>150</v>
      </c>
      <c r="P933" s="841" t="s">
        <v>151</v>
      </c>
      <c r="Q933" s="843"/>
      <c r="R933" s="845">
        <v>9490700</v>
      </c>
      <c r="S933" s="1127" t="s">
        <v>3321</v>
      </c>
      <c r="T933" s="843" t="s">
        <v>3322</v>
      </c>
      <c r="U933" s="842">
        <v>10</v>
      </c>
      <c r="V933" s="842" t="s">
        <v>3</v>
      </c>
      <c r="W933" s="846">
        <v>3</v>
      </c>
      <c r="X933" s="847">
        <f t="shared" si="167"/>
        <v>30</v>
      </c>
      <c r="Y933" s="848">
        <f t="shared" si="176"/>
        <v>0.5</v>
      </c>
      <c r="Z933" s="849">
        <v>1.5</v>
      </c>
      <c r="AA933" s="849"/>
      <c r="AB933" s="849">
        <f t="shared" si="168"/>
        <v>15</v>
      </c>
      <c r="AC933" s="850">
        <f t="shared" si="169"/>
        <v>15</v>
      </c>
      <c r="AD933" s="851"/>
      <c r="AE933" s="852">
        <v>26253.919999999998</v>
      </c>
      <c r="AF933" s="853">
        <v>0</v>
      </c>
      <c r="AG933" s="854">
        <f t="shared" si="170"/>
        <v>0</v>
      </c>
      <c r="AH933" s="853"/>
      <c r="AI933" s="855">
        <f t="shared" si="171"/>
        <v>0</v>
      </c>
      <c r="AJ933" s="845" t="s">
        <v>3318</v>
      </c>
      <c r="AK933" s="857" t="s">
        <v>3319</v>
      </c>
      <c r="AL933" s="840"/>
      <c r="AM933" s="840"/>
      <c r="AN933" s="858"/>
      <c r="AO933" s="844" t="s">
        <v>2697</v>
      </c>
      <c r="AP933" s="859" t="s">
        <v>2698</v>
      </c>
      <c r="AQ933" s="859" t="s">
        <v>2698</v>
      </c>
      <c r="AR933" s="859" t="s">
        <v>2699</v>
      </c>
      <c r="AS933" s="840" t="s">
        <v>2700</v>
      </c>
      <c r="AT933" s="840" t="s">
        <v>1743</v>
      </c>
      <c r="AU933" s="860" t="s">
        <v>1285</v>
      </c>
      <c r="AV933" s="839" t="s">
        <v>3320</v>
      </c>
      <c r="AW933" s="861"/>
      <c r="AX933" s="862"/>
      <c r="AY933" s="843" t="s">
        <v>3323</v>
      </c>
      <c r="AZ933" s="842">
        <v>39269099</v>
      </c>
      <c r="BA933" s="842" t="s">
        <v>120</v>
      </c>
      <c r="BB933" s="863" t="s">
        <v>121</v>
      </c>
      <c r="BC933" s="864">
        <v>45650</v>
      </c>
      <c r="BD933" s="860" t="s">
        <v>2705</v>
      </c>
      <c r="BE933" s="865" cm="1">
        <f t="array" ref="BE933">IF(BD933="","",AC933/SUMPRODUCT(--(BD933=$BD$4:$BD$12824),$AC$4:$AC$12824))</f>
        <v>2.1630373543572872E-4</v>
      </c>
      <c r="BF933" s="458"/>
      <c r="BG933" s="458"/>
      <c r="BH933" s="458"/>
      <c r="BI933" s="458"/>
      <c r="BJ933" s="458"/>
      <c r="BK933" s="458"/>
      <c r="BL933" s="458"/>
      <c r="BM933" s="458"/>
      <c r="BN933" s="458"/>
      <c r="BO933" s="866">
        <f>VLOOKUP(BD933,$BD$4:$BN$12824,3,0)*BE933</f>
        <v>10200.527261985497</v>
      </c>
      <c r="BP933" s="866"/>
      <c r="BQ933" s="866"/>
      <c r="BR933" s="866">
        <f>VLOOKUP(BD933,$BD$4:$BN$12824,6,0)*BE933</f>
        <v>2925.1927791019566</v>
      </c>
      <c r="BS933" s="866">
        <f>VLOOKUP(BD933,$BD$4:$BN$12824,7,0)*BE933</f>
        <v>378.07102635978259</v>
      </c>
      <c r="BT933" s="866"/>
      <c r="BU933" s="866">
        <f>VLOOKUP(BD933,$BD$4:$BN$12824,9,0)*BE933</f>
        <v>0</v>
      </c>
      <c r="BV933" s="867"/>
      <c r="BW933" s="867">
        <f>VLOOKUP(BD933,$BD$4:$BN$12824,11,0)*BE933</f>
        <v>420.49446168705663</v>
      </c>
      <c r="BX933" s="1146">
        <f t="shared" si="177"/>
        <v>13924.285529134293</v>
      </c>
      <c r="BY933" s="867">
        <f t="shared" si="175"/>
        <v>40773.308552913426</v>
      </c>
      <c r="BZ933" s="867">
        <f t="shared" si="172"/>
        <v>407733.08552913426</v>
      </c>
      <c r="CA933" s="867">
        <f>_xlfn.MAXIFS($BY$4:$BY$12824,$S$4:$S$12824,$S933)</f>
        <v>40773.308552913426</v>
      </c>
      <c r="CB933" s="1032"/>
      <c r="CF933" s="946">
        <f t="shared" si="173"/>
        <v>393808.8</v>
      </c>
    </row>
    <row r="934" spans="1:84">
      <c r="A934" s="1032"/>
      <c r="B934" s="839" t="s">
        <v>98</v>
      </c>
      <c r="C934" s="839" t="s">
        <v>2689</v>
      </c>
      <c r="D934" s="839" t="s">
        <v>2690</v>
      </c>
      <c r="E934" s="839" t="s">
        <v>2691</v>
      </c>
      <c r="F934" s="841">
        <v>45451</v>
      </c>
      <c r="G934" s="840" t="s">
        <v>2689</v>
      </c>
      <c r="H934" s="842" t="s">
        <v>134</v>
      </c>
      <c r="I934" s="842"/>
      <c r="J934" s="841"/>
      <c r="K934" s="841"/>
      <c r="L934" s="843" t="s">
        <v>106</v>
      </c>
      <c r="M934" s="844" t="s">
        <v>107</v>
      </c>
      <c r="N934" s="841" t="s">
        <v>2692</v>
      </c>
      <c r="O934" s="841" t="s">
        <v>150</v>
      </c>
      <c r="P934" s="841" t="s">
        <v>151</v>
      </c>
      <c r="Q934" s="843"/>
      <c r="R934" s="845" t="s">
        <v>3324</v>
      </c>
      <c r="S934" s="1127" t="s">
        <v>3325</v>
      </c>
      <c r="T934" s="843" t="s">
        <v>3326</v>
      </c>
      <c r="U934" s="842">
        <v>1</v>
      </c>
      <c r="V934" s="842" t="s">
        <v>3</v>
      </c>
      <c r="W934" s="846">
        <v>488.9</v>
      </c>
      <c r="X934" s="847">
        <f t="shared" si="167"/>
        <v>488.9</v>
      </c>
      <c r="Y934" s="848">
        <f t="shared" si="176"/>
        <v>0.5</v>
      </c>
      <c r="Z934" s="849">
        <v>244.45</v>
      </c>
      <c r="AA934" s="849"/>
      <c r="AB934" s="849">
        <f t="shared" si="168"/>
        <v>244.45</v>
      </c>
      <c r="AC934" s="850">
        <f t="shared" si="169"/>
        <v>244.45</v>
      </c>
      <c r="AD934" s="851"/>
      <c r="AE934" s="852">
        <v>26253.919999999998</v>
      </c>
      <c r="AF934" s="853">
        <v>0</v>
      </c>
      <c r="AG934" s="854">
        <f t="shared" si="170"/>
        <v>0</v>
      </c>
      <c r="AH934" s="853"/>
      <c r="AI934" s="855">
        <f t="shared" si="171"/>
        <v>0</v>
      </c>
      <c r="AJ934" s="845" t="s">
        <v>3318</v>
      </c>
      <c r="AK934" s="857" t="s">
        <v>3319</v>
      </c>
      <c r="AL934" s="840"/>
      <c r="AM934" s="840"/>
      <c r="AN934" s="858"/>
      <c r="AO934" s="844" t="s">
        <v>2697</v>
      </c>
      <c r="AP934" s="859" t="s">
        <v>2698</v>
      </c>
      <c r="AQ934" s="859" t="s">
        <v>2698</v>
      </c>
      <c r="AR934" s="859" t="s">
        <v>2699</v>
      </c>
      <c r="AS934" s="840" t="s">
        <v>2700</v>
      </c>
      <c r="AT934" s="840" t="s">
        <v>1743</v>
      </c>
      <c r="AU934" s="860" t="s">
        <v>1285</v>
      </c>
      <c r="AV934" s="839" t="s">
        <v>3320</v>
      </c>
      <c r="AW934" s="861"/>
      <c r="AX934" s="862"/>
      <c r="AY934" s="843"/>
      <c r="AZ934" s="842"/>
      <c r="BA934" s="842" t="s">
        <v>120</v>
      </c>
      <c r="BB934" s="863" t="s">
        <v>121</v>
      </c>
      <c r="BC934" s="864">
        <v>45650</v>
      </c>
      <c r="BD934" s="860" t="s">
        <v>2705</v>
      </c>
      <c r="BE934" s="865" cm="1">
        <f t="array" ref="BE934">IF(BD934="","",AC934/SUMPRODUCT(--(BD934=$BD$4:$BD$12824),$AC$4:$AC$12824))</f>
        <v>3.5250298751509255E-3</v>
      </c>
      <c r="BF934" s="458"/>
      <c r="BG934" s="458"/>
      <c r="BH934" s="458"/>
      <c r="BI934" s="458"/>
      <c r="BJ934" s="458"/>
      <c r="BK934" s="458"/>
      <c r="BL934" s="458"/>
      <c r="BM934" s="458"/>
      <c r="BN934" s="458"/>
      <c r="BO934" s="866">
        <f>VLOOKUP(BD934,$BD$4:$BN$12824,3,0)*BE934</f>
        <v>166234.59261282365</v>
      </c>
      <c r="BP934" s="866"/>
      <c r="BQ934" s="866"/>
      <c r="BR934" s="866">
        <f>VLOOKUP(BD934,$BD$4:$BN$12824,6,0)*BE934</f>
        <v>47670.891656764885</v>
      </c>
      <c r="BS934" s="866">
        <f>VLOOKUP(BD934,$BD$4:$BN$12824,7,0)*BE934</f>
        <v>6161.2974929099237</v>
      </c>
      <c r="BT934" s="866"/>
      <c r="BU934" s="866">
        <f>VLOOKUP(BD934,$BD$4:$BN$12824,9,0)*BE934</f>
        <v>0</v>
      </c>
      <c r="BV934" s="867"/>
      <c r="BW934" s="867">
        <f>VLOOKUP(BD934,$BD$4:$BN$12824,11,0)*BE934</f>
        <v>6852.6580772933994</v>
      </c>
      <c r="BX934" s="1146">
        <f t="shared" si="177"/>
        <v>226919.43983979186</v>
      </c>
      <c r="BY934" s="867">
        <f t="shared" si="175"/>
        <v>6644690.1838397905</v>
      </c>
      <c r="BZ934" s="867">
        <f t="shared" si="172"/>
        <v>6644690.1838397905</v>
      </c>
      <c r="CA934" s="867">
        <f>_xlfn.MAXIFS($BY$4:$BY$12824,$S$4:$S$12824,$S934)</f>
        <v>6644690.1838397905</v>
      </c>
      <c r="CB934" s="1032"/>
      <c r="CF934" s="946">
        <f t="shared" si="173"/>
        <v>6417770.743999999</v>
      </c>
    </row>
    <row r="935" spans="1:84">
      <c r="A935" s="1032"/>
      <c r="B935" s="839" t="s">
        <v>98</v>
      </c>
      <c r="C935" s="839" t="s">
        <v>2689</v>
      </c>
      <c r="D935" s="839" t="s">
        <v>2690</v>
      </c>
      <c r="E935" s="839" t="s">
        <v>2691</v>
      </c>
      <c r="F935" s="841">
        <v>45451</v>
      </c>
      <c r="G935" s="840" t="s">
        <v>2689</v>
      </c>
      <c r="H935" s="842" t="s">
        <v>134</v>
      </c>
      <c r="I935" s="842"/>
      <c r="J935" s="841"/>
      <c r="K935" s="841"/>
      <c r="L935" s="843" t="s">
        <v>106</v>
      </c>
      <c r="M935" s="844" t="s">
        <v>107</v>
      </c>
      <c r="N935" s="841" t="s">
        <v>2692</v>
      </c>
      <c r="O935" s="841" t="s">
        <v>150</v>
      </c>
      <c r="P935" s="841" t="s">
        <v>151</v>
      </c>
      <c r="Q935" s="843"/>
      <c r="R935" s="845" t="s">
        <v>3327</v>
      </c>
      <c r="S935" s="1127" t="s">
        <v>3328</v>
      </c>
      <c r="T935" s="843" t="s">
        <v>3329</v>
      </c>
      <c r="U935" s="842">
        <v>1</v>
      </c>
      <c r="V935" s="842" t="s">
        <v>3</v>
      </c>
      <c r="W935" s="846">
        <v>3088.8</v>
      </c>
      <c r="X935" s="847">
        <f t="shared" si="167"/>
        <v>3088.8</v>
      </c>
      <c r="Y935" s="848">
        <f t="shared" si="176"/>
        <v>0.5</v>
      </c>
      <c r="Z935" s="849">
        <v>1544.4</v>
      </c>
      <c r="AA935" s="849"/>
      <c r="AB935" s="849">
        <f t="shared" si="168"/>
        <v>1544.4</v>
      </c>
      <c r="AC935" s="850">
        <f t="shared" si="169"/>
        <v>1544.4</v>
      </c>
      <c r="AD935" s="851"/>
      <c r="AE935" s="852">
        <v>26253.919999999998</v>
      </c>
      <c r="AF935" s="853">
        <v>0</v>
      </c>
      <c r="AG935" s="854">
        <f t="shared" si="170"/>
        <v>0</v>
      </c>
      <c r="AH935" s="853"/>
      <c r="AI935" s="855">
        <f t="shared" si="171"/>
        <v>0</v>
      </c>
      <c r="AJ935" s="845" t="s">
        <v>3318</v>
      </c>
      <c r="AK935" s="857" t="s">
        <v>3319</v>
      </c>
      <c r="AL935" s="840"/>
      <c r="AM935" s="840"/>
      <c r="AN935" s="858"/>
      <c r="AO935" s="844" t="s">
        <v>2697</v>
      </c>
      <c r="AP935" s="859" t="s">
        <v>2698</v>
      </c>
      <c r="AQ935" s="859" t="s">
        <v>2698</v>
      </c>
      <c r="AR935" s="859" t="s">
        <v>2699</v>
      </c>
      <c r="AS935" s="840" t="s">
        <v>2700</v>
      </c>
      <c r="AT935" s="840" t="s">
        <v>1743</v>
      </c>
      <c r="AU935" s="860" t="s">
        <v>1285</v>
      </c>
      <c r="AV935" s="839" t="s">
        <v>3320</v>
      </c>
      <c r="AW935" s="861"/>
      <c r="AX935" s="862"/>
      <c r="AY935" s="843"/>
      <c r="AZ935" s="842"/>
      <c r="BA935" s="842" t="s">
        <v>120</v>
      </c>
      <c r="BB935" s="863" t="s">
        <v>121</v>
      </c>
      <c r="BC935" s="864">
        <v>45650</v>
      </c>
      <c r="BD935" s="860" t="s">
        <v>2705</v>
      </c>
      <c r="BE935" s="865" cm="1">
        <f t="array" ref="BE935">IF(BD935="","",AC935/SUMPRODUCT(--(BD935=$BD$4:$BD$12824),$AC$4:$AC$12824))</f>
        <v>2.227063260046263E-2</v>
      </c>
      <c r="BF935" s="458"/>
      <c r="BG935" s="458"/>
      <c r="BH935" s="458"/>
      <c r="BI935" s="458"/>
      <c r="BJ935" s="458"/>
      <c r="BK935" s="458"/>
      <c r="BL935" s="458"/>
      <c r="BM935" s="458"/>
      <c r="BN935" s="458"/>
      <c r="BO935" s="866">
        <f>VLOOKUP(BD935,$BD$4:$BN$12824,3,0)*BE935</f>
        <v>1050246.2868940269</v>
      </c>
      <c r="BP935" s="866"/>
      <c r="BQ935" s="866"/>
      <c r="BR935" s="866">
        <f>VLOOKUP(BD935,$BD$4:$BN$12824,6,0)*BE935</f>
        <v>301177.84853633749</v>
      </c>
      <c r="BS935" s="866">
        <f>VLOOKUP(BD935,$BD$4:$BN$12824,7,0)*BE935</f>
        <v>38926.192874003216</v>
      </c>
      <c r="BT935" s="866"/>
      <c r="BU935" s="866">
        <f>VLOOKUP(BD935,$BD$4:$BN$12824,9,0)*BE935</f>
        <v>0</v>
      </c>
      <c r="BV935" s="867"/>
      <c r="BW935" s="867">
        <f>VLOOKUP(BD935,$BD$4:$BN$12824,11,0)*BE935</f>
        <v>43294.109775299352</v>
      </c>
      <c r="BX935" s="1146">
        <f t="shared" si="177"/>
        <v>1433644.438079667</v>
      </c>
      <c r="BY935" s="867">
        <f t="shared" si="175"/>
        <v>41980198.48607967</v>
      </c>
      <c r="BZ935" s="867">
        <f t="shared" si="172"/>
        <v>41980198.48607967</v>
      </c>
      <c r="CA935" s="867">
        <f>_xlfn.MAXIFS($BY$4:$BY$12824,$S$4:$S$12824,$S935)</f>
        <v>41980198.48607967</v>
      </c>
      <c r="CB935" s="1032"/>
      <c r="CF935" s="946">
        <f t="shared" si="173"/>
        <v>40546554.048</v>
      </c>
    </row>
    <row r="936" spans="1:84">
      <c r="A936" s="1032"/>
      <c r="B936" s="839" t="s">
        <v>98</v>
      </c>
      <c r="C936" s="839" t="s">
        <v>254</v>
      </c>
      <c r="D936" s="839" t="s">
        <v>3330</v>
      </c>
      <c r="E936" s="839" t="s">
        <v>2491</v>
      </c>
      <c r="F936" s="841">
        <v>45497</v>
      </c>
      <c r="G936" s="840" t="s">
        <v>254</v>
      </c>
      <c r="H936" s="842" t="s">
        <v>134</v>
      </c>
      <c r="I936" s="842" t="s">
        <v>2518</v>
      </c>
      <c r="J936" s="841"/>
      <c r="K936" s="841"/>
      <c r="L936" s="843" t="s">
        <v>106</v>
      </c>
      <c r="M936" s="844" t="s">
        <v>107</v>
      </c>
      <c r="N936" s="841"/>
      <c r="O936" s="841" t="s">
        <v>108</v>
      </c>
      <c r="P936" s="841" t="s">
        <v>1136</v>
      </c>
      <c r="Q936" s="843"/>
      <c r="R936" s="845" t="s">
        <v>3331</v>
      </c>
      <c r="S936" s="1127" t="s">
        <v>3332</v>
      </c>
      <c r="T936" s="843" t="s">
        <v>3333</v>
      </c>
      <c r="U936" s="842">
        <v>1</v>
      </c>
      <c r="V936" s="842" t="s">
        <v>3</v>
      </c>
      <c r="W936" s="846">
        <v>951</v>
      </c>
      <c r="X936" s="847">
        <f t="shared" si="167"/>
        <v>951</v>
      </c>
      <c r="Y936" s="848">
        <f t="shared" si="176"/>
        <v>0.48130389064143009</v>
      </c>
      <c r="Z936" s="849">
        <v>493.28</v>
      </c>
      <c r="AA936" s="849"/>
      <c r="AB936" s="849">
        <f t="shared" si="168"/>
        <v>493.28</v>
      </c>
      <c r="AC936" s="850">
        <f t="shared" si="169"/>
        <v>493.28</v>
      </c>
      <c r="AD936" s="851"/>
      <c r="AE936" s="852">
        <v>26253.919999999998</v>
      </c>
      <c r="AF936" s="853"/>
      <c r="AG936" s="854">
        <f t="shared" si="170"/>
        <v>0</v>
      </c>
      <c r="AH936" s="853"/>
      <c r="AI936" s="855">
        <f t="shared" si="171"/>
        <v>0</v>
      </c>
      <c r="AJ936" s="856" t="s">
        <v>3334</v>
      </c>
      <c r="AK936" s="857" t="s">
        <v>3335</v>
      </c>
      <c r="AL936" s="840"/>
      <c r="AM936" s="840"/>
      <c r="AN936" s="858"/>
      <c r="AO936" s="844"/>
      <c r="AP936" s="859"/>
      <c r="AQ936" s="859"/>
      <c r="AR936" s="859" t="s">
        <v>2575</v>
      </c>
      <c r="AS936" s="840"/>
      <c r="AT936" s="840"/>
      <c r="AU936" s="860" t="s">
        <v>1612</v>
      </c>
      <c r="AV936" s="839" t="s">
        <v>3336</v>
      </c>
      <c r="AW936" s="861">
        <v>45642</v>
      </c>
      <c r="AX936" s="862" t="s">
        <v>3337</v>
      </c>
      <c r="AY936" s="843"/>
      <c r="AZ936" s="842"/>
      <c r="BA936" s="842" t="s">
        <v>120</v>
      </c>
      <c r="BB936" s="863" t="s">
        <v>121</v>
      </c>
      <c r="BC936" s="864">
        <v>45789</v>
      </c>
      <c r="BD936" s="860" t="s">
        <v>3338</v>
      </c>
      <c r="BE936" s="865" cm="1">
        <f t="array" ref="BE936">IF(BD936="","",AC936/SUMPRODUCT(--(BD936=$BD$4:$BD$12824),$AC$4:$AC$12824))</f>
        <v>0.5</v>
      </c>
      <c r="BF936" s="458"/>
      <c r="BG936" s="458"/>
      <c r="BH936" s="458"/>
      <c r="BI936" s="458"/>
      <c r="BJ936" s="458"/>
      <c r="BK936" s="458"/>
      <c r="BL936" s="458"/>
      <c r="BM936" s="458"/>
      <c r="BN936" s="458">
        <v>600000</v>
      </c>
      <c r="BO936" s="866">
        <f>VLOOKUP(BD936,$BD$4:$BN$12824,3,0)*BE936</f>
        <v>0</v>
      </c>
      <c r="BP936" s="866"/>
      <c r="BQ936" s="866"/>
      <c r="BR936" s="866">
        <f>VLOOKUP(BD936,$BD$4:$BN$12824,6,0)*BE936</f>
        <v>0</v>
      </c>
      <c r="BS936" s="866">
        <f>VLOOKUP(BD936,$BD$4:$BN$12824,7,0)*BE936</f>
        <v>0</v>
      </c>
      <c r="BT936" s="866"/>
      <c r="BU936" s="866">
        <f>VLOOKUP(BD936,$BD$4:$BN$12824,9,0)*BE936</f>
        <v>0</v>
      </c>
      <c r="BV936" s="867"/>
      <c r="BW936" s="867">
        <f>VLOOKUP(BD936,$BD$4:$BN$12824,11,0)*BE936</f>
        <v>300000</v>
      </c>
      <c r="BX936" s="1146">
        <f t="shared" si="177"/>
        <v>300000</v>
      </c>
      <c r="BY936" s="867">
        <f t="shared" si="175"/>
        <v>13250533.657599999</v>
      </c>
      <c r="BZ936" s="867">
        <f t="shared" si="172"/>
        <v>13250533.657599999</v>
      </c>
      <c r="CA936" s="867">
        <f>_xlfn.MAXIFS($BY$4:$BY$12824,$S$4:$S$12824,$S936)</f>
        <v>13250533.657599999</v>
      </c>
      <c r="CB936" s="1032"/>
      <c r="CF936" s="946">
        <f t="shared" si="173"/>
        <v>12950533.657599999</v>
      </c>
    </row>
    <row r="937" spans="1:84">
      <c r="A937" s="1032"/>
      <c r="B937" s="839" t="s">
        <v>98</v>
      </c>
      <c r="C937" s="839" t="s">
        <v>254</v>
      </c>
      <c r="D937" s="839" t="s">
        <v>3330</v>
      </c>
      <c r="E937" s="839" t="s">
        <v>2491</v>
      </c>
      <c r="F937" s="841">
        <v>45497</v>
      </c>
      <c r="G937" s="840" t="s">
        <v>254</v>
      </c>
      <c r="H937" s="842" t="s">
        <v>134</v>
      </c>
      <c r="I937" s="842" t="s">
        <v>2518</v>
      </c>
      <c r="J937" s="841"/>
      <c r="K937" s="841"/>
      <c r="L937" s="843" t="s">
        <v>106</v>
      </c>
      <c r="M937" s="844" t="s">
        <v>107</v>
      </c>
      <c r="N937" s="841"/>
      <c r="O937" s="841" t="s">
        <v>108</v>
      </c>
      <c r="P937" s="841" t="s">
        <v>1136</v>
      </c>
      <c r="Q937" s="843"/>
      <c r="R937" s="845" t="s">
        <v>3339</v>
      </c>
      <c r="S937" s="1127" t="s">
        <v>3340</v>
      </c>
      <c r="T937" s="843" t="s">
        <v>3341</v>
      </c>
      <c r="U937" s="842">
        <v>1</v>
      </c>
      <c r="V937" s="842" t="s">
        <v>3</v>
      </c>
      <c r="W937" s="846">
        <v>951</v>
      </c>
      <c r="X937" s="847">
        <f t="shared" si="167"/>
        <v>951</v>
      </c>
      <c r="Y937" s="848">
        <f t="shared" si="176"/>
        <v>0.48130389064143009</v>
      </c>
      <c r="Z937" s="849">
        <v>493.28</v>
      </c>
      <c r="AA937" s="849"/>
      <c r="AB937" s="849">
        <f t="shared" si="168"/>
        <v>493.28</v>
      </c>
      <c r="AC937" s="850">
        <f t="shared" si="169"/>
        <v>493.28</v>
      </c>
      <c r="AD937" s="851"/>
      <c r="AE937" s="852">
        <v>26253.919999999998</v>
      </c>
      <c r="AF937" s="853"/>
      <c r="AG937" s="854">
        <f t="shared" si="170"/>
        <v>0</v>
      </c>
      <c r="AH937" s="853"/>
      <c r="AI937" s="855">
        <f t="shared" si="171"/>
        <v>0</v>
      </c>
      <c r="AJ937" s="856" t="s">
        <v>3334</v>
      </c>
      <c r="AK937" s="857" t="s">
        <v>3335</v>
      </c>
      <c r="AL937" s="840"/>
      <c r="AM937" s="840"/>
      <c r="AN937" s="858"/>
      <c r="AO937" s="844"/>
      <c r="AP937" s="859"/>
      <c r="AQ937" s="859"/>
      <c r="AR937" s="859" t="s">
        <v>2575</v>
      </c>
      <c r="AS937" s="840"/>
      <c r="AT937" s="840"/>
      <c r="AU937" s="860" t="s">
        <v>1612</v>
      </c>
      <c r="AV937" s="839" t="s">
        <v>3336</v>
      </c>
      <c r="AW937" s="861">
        <v>45642</v>
      </c>
      <c r="AX937" s="862" t="s">
        <v>3337</v>
      </c>
      <c r="AY937" s="843"/>
      <c r="AZ937" s="842"/>
      <c r="BA937" s="842" t="s">
        <v>120</v>
      </c>
      <c r="BB937" s="863" t="s">
        <v>121</v>
      </c>
      <c r="BC937" s="864">
        <v>45789</v>
      </c>
      <c r="BD937" s="860" t="s">
        <v>3338</v>
      </c>
      <c r="BE937" s="865" cm="1">
        <f t="array" ref="BE937">IF(BD937="","",AC937/SUMPRODUCT(--(BD937=$BD$4:$BD$12824),$AC$4:$AC$12824))</f>
        <v>0.5</v>
      </c>
      <c r="BF937" s="458"/>
      <c r="BG937" s="458"/>
      <c r="BH937" s="458"/>
      <c r="BI937" s="458"/>
      <c r="BJ937" s="458"/>
      <c r="BK937" s="458"/>
      <c r="BL937" s="458"/>
      <c r="BM937" s="458"/>
      <c r="BN937" s="458"/>
      <c r="BO937" s="866">
        <f>VLOOKUP(BD937,$BD$4:$BN$12824,3,0)*BE937</f>
        <v>0</v>
      </c>
      <c r="BP937" s="866"/>
      <c r="BQ937" s="866"/>
      <c r="BR937" s="866">
        <f>VLOOKUP(BD937,$BD$4:$BN$12824,6,0)*BE937</f>
        <v>0</v>
      </c>
      <c r="BS937" s="866">
        <f>VLOOKUP(BD937,$BD$4:$BN$12824,7,0)*BE937</f>
        <v>0</v>
      </c>
      <c r="BT937" s="866"/>
      <c r="BU937" s="866">
        <f>VLOOKUP(BD937,$BD$4:$BN$12824,9,0)*BE937</f>
        <v>0</v>
      </c>
      <c r="BV937" s="867"/>
      <c r="BW937" s="867">
        <f>VLOOKUP(BD937,$BD$4:$BN$12824,11,0)*BE937</f>
        <v>300000</v>
      </c>
      <c r="BX937" s="1146">
        <f t="shared" si="177"/>
        <v>300000</v>
      </c>
      <c r="BY937" s="867">
        <f t="shared" si="175"/>
        <v>13250533.657599999</v>
      </c>
      <c r="BZ937" s="867">
        <f t="shared" si="172"/>
        <v>13250533.657599999</v>
      </c>
      <c r="CA937" s="867">
        <f>_xlfn.MAXIFS($BY$4:$BY$12824,$S$4:$S$12824,$S937)</f>
        <v>13250533.657599999</v>
      </c>
      <c r="CB937" s="944">
        <v>41290000</v>
      </c>
      <c r="CC937" s="946">
        <f>CB937*(1-20%)</f>
        <v>33032000</v>
      </c>
      <c r="CD937" s="997">
        <f>((CC937/1.08-CA937-CC937/1.08*15%)*80%)/(CC937/1.08)</f>
        <v>0.33341302130762912</v>
      </c>
      <c r="CE937" s="997">
        <f>(CC937/1.08-CA937)/(CC937/1.08)</f>
        <v>0.56676627663453627</v>
      </c>
      <c r="CF937" s="946">
        <f t="shared" si="173"/>
        <v>12950533.657599999</v>
      </c>
    </row>
    <row r="938" spans="1:84">
      <c r="A938" s="1032"/>
      <c r="B938" s="839" t="s">
        <v>98</v>
      </c>
      <c r="C938" s="839" t="s">
        <v>381</v>
      </c>
      <c r="D938" s="839" t="s">
        <v>3342</v>
      </c>
      <c r="E938" s="839" t="s">
        <v>3343</v>
      </c>
      <c r="F938" s="841">
        <v>45394</v>
      </c>
      <c r="G938" s="840" t="s">
        <v>383</v>
      </c>
      <c r="H938" s="842" t="s">
        <v>102</v>
      </c>
      <c r="I938" s="842" t="s">
        <v>3344</v>
      </c>
      <c r="J938" s="841" t="s">
        <v>3345</v>
      </c>
      <c r="K938" s="841" t="s">
        <v>3346</v>
      </c>
      <c r="L938" s="843" t="s">
        <v>106</v>
      </c>
      <c r="M938" s="844" t="s">
        <v>107</v>
      </c>
      <c r="N938" s="841"/>
      <c r="O938" s="841" t="s">
        <v>135</v>
      </c>
      <c r="P938" s="841" t="s">
        <v>220</v>
      </c>
      <c r="Q938" s="843"/>
      <c r="R938" s="845">
        <v>181015</v>
      </c>
      <c r="S938" s="1127" t="s">
        <v>1605</v>
      </c>
      <c r="T938" s="843" t="s">
        <v>3347</v>
      </c>
      <c r="U938" s="842">
        <v>1</v>
      </c>
      <c r="V938" s="842" t="s">
        <v>3</v>
      </c>
      <c r="W938" s="846">
        <v>15</v>
      </c>
      <c r="X938" s="847">
        <f t="shared" si="167"/>
        <v>15</v>
      </c>
      <c r="Y938" s="848">
        <f t="shared" si="176"/>
        <v>0.45</v>
      </c>
      <c r="Z938" s="849">
        <v>8.25</v>
      </c>
      <c r="AA938" s="849"/>
      <c r="AB938" s="849">
        <f t="shared" si="168"/>
        <v>8.25</v>
      </c>
      <c r="AC938" s="850">
        <f t="shared" si="169"/>
        <v>8.25</v>
      </c>
      <c r="AD938" s="851"/>
      <c r="AE938" s="852">
        <v>26900</v>
      </c>
      <c r="AF938" s="853"/>
      <c r="AG938" s="854">
        <f t="shared" si="170"/>
        <v>0</v>
      </c>
      <c r="AH938" s="853"/>
      <c r="AI938" s="855">
        <f t="shared" si="171"/>
        <v>0</v>
      </c>
      <c r="AJ938" s="845" t="s">
        <v>3348</v>
      </c>
      <c r="AK938" s="857"/>
      <c r="AL938" s="840"/>
      <c r="AM938" s="840"/>
      <c r="AN938" s="858"/>
      <c r="AO938" s="844"/>
      <c r="AP938" s="859"/>
      <c r="AQ938" s="859"/>
      <c r="AR938" s="859"/>
      <c r="AS938" s="840"/>
      <c r="AT938" s="840"/>
      <c r="AU938" s="860" t="s">
        <v>3349</v>
      </c>
      <c r="AV938" s="839"/>
      <c r="AW938" s="861">
        <v>45465</v>
      </c>
      <c r="AX938" s="862"/>
      <c r="AY938" s="843"/>
      <c r="AZ938" s="842"/>
      <c r="BA938" s="842" t="s">
        <v>120</v>
      </c>
      <c r="BB938" s="863" t="s">
        <v>121</v>
      </c>
      <c r="BC938" s="864">
        <v>45455</v>
      </c>
      <c r="BD938" s="860" t="s">
        <v>3350</v>
      </c>
      <c r="BE938" s="865" cm="1">
        <f t="array" ref="BE938">IF(BD938="","",AC938/SUMPRODUCT(--(BD938=$BD$4:$BD$12824),$AC$4:$AC$12824))</f>
        <v>1</v>
      </c>
      <c r="BF938" s="458"/>
      <c r="BG938" s="458"/>
      <c r="BH938" s="458"/>
      <c r="BI938" s="458"/>
      <c r="BJ938" s="458"/>
      <c r="BK938" s="458"/>
      <c r="BL938" s="458"/>
      <c r="BM938" s="458"/>
      <c r="BN938" s="458"/>
      <c r="BO938" s="866">
        <f>VLOOKUP(BD938,$BD$4:$BN$12824,3,0)*BE938</f>
        <v>0</v>
      </c>
      <c r="BP938" s="866"/>
      <c r="BQ938" s="866"/>
      <c r="BR938" s="866">
        <f>VLOOKUP(BD938,$BD$4:$BN$12824,6,0)*BE938</f>
        <v>0</v>
      </c>
      <c r="BS938" s="866">
        <f>VLOOKUP(BD938,$BD$4:$BN$12824,7,0)*BE938</f>
        <v>0</v>
      </c>
      <c r="BT938" s="866"/>
      <c r="BU938" s="866">
        <f>VLOOKUP(BD938,$BD$4:$BN$12824,9,0)*BE938</f>
        <v>0</v>
      </c>
      <c r="BV938" s="867"/>
      <c r="BW938" s="867">
        <f>VLOOKUP(BD938,$BD$4:$BN$12824,11,0)*BE938</f>
        <v>0</v>
      </c>
      <c r="BX938" s="1146">
        <f t="shared" ref="BX938" si="178">SUM(BO938:BW938)</f>
        <v>0</v>
      </c>
      <c r="BY938" s="867">
        <f t="shared" si="175"/>
        <v>221925</v>
      </c>
      <c r="BZ938" s="867">
        <f t="shared" si="172"/>
        <v>221925</v>
      </c>
      <c r="CA938" s="867">
        <f>_xlfn.MAXIFS($BY$4:$BY$12824,$S$4:$S$12824,$S938)</f>
        <v>232677.69202663202</v>
      </c>
      <c r="CB938" s="1032"/>
      <c r="CF938" s="946">
        <f t="shared" si="173"/>
        <v>221925</v>
      </c>
    </row>
    <row r="939" spans="1:84">
      <c r="A939" s="1032"/>
      <c r="B939" s="839" t="s">
        <v>98</v>
      </c>
      <c r="C939" s="839" t="s">
        <v>131</v>
      </c>
      <c r="D939" s="839" t="s">
        <v>3351</v>
      </c>
      <c r="E939" s="839" t="s">
        <v>3352</v>
      </c>
      <c r="F939" s="841">
        <v>45394</v>
      </c>
      <c r="G939" s="840" t="s">
        <v>155</v>
      </c>
      <c r="H939" s="842" t="s">
        <v>102</v>
      </c>
      <c r="I939" s="842" t="s">
        <v>3344</v>
      </c>
      <c r="J939" s="841" t="s">
        <v>3345</v>
      </c>
      <c r="K939" s="841" t="s">
        <v>3346</v>
      </c>
      <c r="L939" s="843" t="s">
        <v>106</v>
      </c>
      <c r="M939" s="844" t="s">
        <v>107</v>
      </c>
      <c r="N939" s="841"/>
      <c r="O939" s="841" t="s">
        <v>135</v>
      </c>
      <c r="P939" s="841" t="s">
        <v>1812</v>
      </c>
      <c r="Q939" s="843"/>
      <c r="R939" s="845" t="s">
        <v>3353</v>
      </c>
      <c r="S939" s="1127" t="s">
        <v>3354</v>
      </c>
      <c r="T939" s="843" t="s">
        <v>3355</v>
      </c>
      <c r="U939" s="842">
        <v>1</v>
      </c>
      <c r="V939" s="842" t="s">
        <v>8</v>
      </c>
      <c r="W939" s="846">
        <v>793</v>
      </c>
      <c r="X939" s="847">
        <f t="shared" si="167"/>
        <v>793</v>
      </c>
      <c r="Y939" s="848">
        <f t="shared" si="176"/>
        <v>0.45</v>
      </c>
      <c r="Z939" s="849">
        <v>436.15</v>
      </c>
      <c r="AA939" s="849"/>
      <c r="AB939" s="849">
        <f t="shared" si="168"/>
        <v>436.15</v>
      </c>
      <c r="AC939" s="850">
        <f t="shared" si="169"/>
        <v>436.15</v>
      </c>
      <c r="AD939" s="851"/>
      <c r="AE939" s="852">
        <v>25219</v>
      </c>
      <c r="AF939" s="853"/>
      <c r="AG939" s="854">
        <f t="shared" si="170"/>
        <v>0</v>
      </c>
      <c r="AH939" s="853"/>
      <c r="AI939" s="855">
        <f t="shared" si="171"/>
        <v>0</v>
      </c>
      <c r="AJ939" s="845" t="s">
        <v>3356</v>
      </c>
      <c r="AK939" s="857" t="s">
        <v>3357</v>
      </c>
      <c r="AL939" s="840" t="s">
        <v>3358</v>
      </c>
      <c r="AM939" s="840"/>
      <c r="AN939" s="858"/>
      <c r="AO939" s="844" t="s">
        <v>116</v>
      </c>
      <c r="AP939" s="859" t="s">
        <v>3359</v>
      </c>
      <c r="AQ939" s="859" t="s">
        <v>3359</v>
      </c>
      <c r="AR939" s="859" t="s">
        <v>3360</v>
      </c>
      <c r="AS939" s="840" t="s">
        <v>3361</v>
      </c>
      <c r="AT939" s="840" t="s">
        <v>3362</v>
      </c>
      <c r="AU939" s="860" t="s">
        <v>3363</v>
      </c>
      <c r="AV939" s="839" t="s">
        <v>3364</v>
      </c>
      <c r="AW939" s="861">
        <v>45652</v>
      </c>
      <c r="AX939" s="862" t="s">
        <v>3365</v>
      </c>
      <c r="AY939" s="843" t="s">
        <v>3366</v>
      </c>
      <c r="AZ939" s="842">
        <v>94031000</v>
      </c>
      <c r="BA939" s="842" t="s">
        <v>120</v>
      </c>
      <c r="BB939" s="863" t="s">
        <v>121</v>
      </c>
      <c r="BC939" s="864">
        <v>45653</v>
      </c>
      <c r="BD939" s="860" t="s">
        <v>3367</v>
      </c>
      <c r="BE939" s="865" cm="1">
        <f t="array" ref="BE939">IF(BD939="","",AC939/SUMPRODUCT(--(BD939=$BD$4:$BD$12824),$AC$4:$AC$12824))</f>
        <v>1</v>
      </c>
      <c r="BF939" s="1146">
        <v>12586290</v>
      </c>
      <c r="BG939" s="458"/>
      <c r="BH939" s="458"/>
      <c r="BI939" s="458">
        <v>1565034</v>
      </c>
      <c r="BJ939" s="458">
        <v>250000</v>
      </c>
      <c r="BK939" s="458"/>
      <c r="BL939" s="458"/>
      <c r="BM939" s="458"/>
      <c r="BN939" s="458">
        <v>600000</v>
      </c>
      <c r="BO939" s="866">
        <f>VLOOKUP(BD939,$BD$4:$BN$12824,3,0)*BE939</f>
        <v>12586290</v>
      </c>
      <c r="BP939" s="866"/>
      <c r="BQ939" s="866"/>
      <c r="BR939" s="866">
        <f>VLOOKUP(BD939,$BD$4:$BN$12824,6,0)*BE939</f>
        <v>1565034</v>
      </c>
      <c r="BS939" s="866">
        <f>VLOOKUP(BD939,$BD$4:$BN$12824,7,0)*BE939</f>
        <v>250000</v>
      </c>
      <c r="BT939" s="866"/>
      <c r="BU939" s="866">
        <f>VLOOKUP(BD939,$BD$4:$BN$12824,9,0)*BE939</f>
        <v>0</v>
      </c>
      <c r="BV939" s="867"/>
      <c r="BW939" s="867">
        <f>VLOOKUP(BD939,$BD$4:$BN$12824,11,0)*BE939</f>
        <v>600000</v>
      </c>
      <c r="BX939" s="1146">
        <f t="shared" si="177"/>
        <v>15001324</v>
      </c>
      <c r="BY939" s="867">
        <f t="shared" si="175"/>
        <v>26000590.850000001</v>
      </c>
      <c r="BZ939" s="867">
        <f t="shared" si="172"/>
        <v>26000590.850000001</v>
      </c>
      <c r="CA939" s="867">
        <f>_xlfn.MAXIFS($BY$4:$BY$12824,$S$4:$S$12824,$S939)</f>
        <v>26000590.850000001</v>
      </c>
      <c r="CB939" s="1032"/>
      <c r="CF939" s="946">
        <f t="shared" si="173"/>
        <v>10999266.85</v>
      </c>
    </row>
    <row r="940" spans="1:84">
      <c r="A940" s="1032"/>
      <c r="B940" s="839" t="s">
        <v>98</v>
      </c>
      <c r="C940" s="839" t="s">
        <v>3368</v>
      </c>
      <c r="D940" s="839" t="s">
        <v>3369</v>
      </c>
      <c r="E940" s="839" t="str">
        <f>D940</f>
        <v>NNH-AT-2024-001-DKO</v>
      </c>
      <c r="F940" s="841">
        <v>45394</v>
      </c>
      <c r="G940" s="840" t="s">
        <v>2689</v>
      </c>
      <c r="H940" s="842" t="s">
        <v>102</v>
      </c>
      <c r="I940" s="842" t="s">
        <v>3344</v>
      </c>
      <c r="J940" s="841" t="s">
        <v>3345</v>
      </c>
      <c r="K940" s="841" t="s">
        <v>3346</v>
      </c>
      <c r="L940" s="843" t="s">
        <v>106</v>
      </c>
      <c r="M940" s="844" t="s">
        <v>107</v>
      </c>
      <c r="N940" s="841"/>
      <c r="O940" s="841" t="s">
        <v>135</v>
      </c>
      <c r="P940" s="841" t="s">
        <v>1476</v>
      </c>
      <c r="Q940" s="843"/>
      <c r="R940" s="845">
        <v>21502001</v>
      </c>
      <c r="S940" s="1127" t="s">
        <v>3370</v>
      </c>
      <c r="T940" s="843" t="s">
        <v>3371</v>
      </c>
      <c r="U940" s="842">
        <v>1</v>
      </c>
      <c r="V940" s="842" t="s">
        <v>3372</v>
      </c>
      <c r="W940" s="846">
        <v>855</v>
      </c>
      <c r="X940" s="847">
        <f t="shared" si="167"/>
        <v>855</v>
      </c>
      <c r="Y940" s="848">
        <f t="shared" si="176"/>
        <v>0.4</v>
      </c>
      <c r="Z940" s="849">
        <v>513</v>
      </c>
      <c r="AA940" s="849"/>
      <c r="AB940" s="849">
        <f t="shared" si="168"/>
        <v>513</v>
      </c>
      <c r="AC940" s="850">
        <f t="shared" si="169"/>
        <v>513</v>
      </c>
      <c r="AD940" s="851"/>
      <c r="AE940" s="852">
        <v>18614.14</v>
      </c>
      <c r="AF940" s="853">
        <v>0.25</v>
      </c>
      <c r="AG940" s="854">
        <f t="shared" si="170"/>
        <v>2513838.3712303666</v>
      </c>
      <c r="AH940" s="853"/>
      <c r="AI940" s="855">
        <f t="shared" si="171"/>
        <v>0</v>
      </c>
      <c r="AJ940" s="845" t="s">
        <v>3373</v>
      </c>
      <c r="AK940" s="857" t="s">
        <v>3374</v>
      </c>
      <c r="AL940" s="840" t="s">
        <v>3375</v>
      </c>
      <c r="AM940" s="840"/>
      <c r="AN940" s="858"/>
      <c r="AO940" s="844"/>
      <c r="AP940" s="859"/>
      <c r="AQ940" s="859"/>
      <c r="AR940" s="859" t="s">
        <v>2578</v>
      </c>
      <c r="AS940" s="840"/>
      <c r="AT940" s="840"/>
      <c r="AU940" s="860" t="s">
        <v>2388</v>
      </c>
      <c r="AV940" s="839" t="s">
        <v>3376</v>
      </c>
      <c r="AW940" s="861">
        <v>45645</v>
      </c>
      <c r="AX940" s="862" t="s">
        <v>3377</v>
      </c>
      <c r="AY940" s="843"/>
      <c r="AZ940" s="842"/>
      <c r="BA940" s="842" t="s">
        <v>120</v>
      </c>
      <c r="BB940" s="863" t="s">
        <v>121</v>
      </c>
      <c r="BC940" s="864">
        <v>45645</v>
      </c>
      <c r="BD940" s="860" t="s">
        <v>3378</v>
      </c>
      <c r="BE940" s="865" cm="1">
        <f t="array" ref="BE940">IF(BD940="","",AC940/SUMPRODUCT(--(BD940=$BD$4:$BD$12824),$AC$4:$AC$12824))</f>
        <v>0.44764397905759162</v>
      </c>
      <c r="BF940" s="458">
        <v>1131032</v>
      </c>
      <c r="BG940" s="458"/>
      <c r="BH940" s="458"/>
      <c r="BI940" s="458"/>
      <c r="BJ940" s="458"/>
      <c r="BK940" s="458"/>
      <c r="BL940" s="458"/>
      <c r="BM940" s="458"/>
      <c r="BN940" s="458"/>
      <c r="BO940" s="866">
        <f>VLOOKUP(BD940,$BD$4:$BN$12824,3,0)*BE940</f>
        <v>506299.66492146597</v>
      </c>
      <c r="BP940" s="866"/>
      <c r="BQ940" s="866"/>
      <c r="BR940" s="866">
        <f>VLOOKUP(BD940,$BD$4:$BN$12824,6,0)*BE940</f>
        <v>0</v>
      </c>
      <c r="BS940" s="866">
        <f>VLOOKUP(BD940,$BD$4:$BN$12824,7,0)*BE940</f>
        <v>0</v>
      </c>
      <c r="BT940" s="866"/>
      <c r="BU940" s="866">
        <f>VLOOKUP(BD940,$BD$4:$BN$12824,9,0)*BE940</f>
        <v>0</v>
      </c>
      <c r="BV940" s="867"/>
      <c r="BW940" s="867">
        <f>VLOOKUP(BD940,$BD$4:$BN$12824,11,0)*BE940</f>
        <v>0</v>
      </c>
      <c r="BX940" s="1146">
        <f t="shared" si="177"/>
        <v>506299.66492146597</v>
      </c>
      <c r="BY940" s="867">
        <f t="shared" si="175"/>
        <v>12569191.856151834</v>
      </c>
      <c r="BZ940" s="867">
        <f t="shared" si="172"/>
        <v>12569191.856151834</v>
      </c>
      <c r="CA940" s="867">
        <f>_xlfn.MAXIFS($BY$4:$BY$12824,$S$4:$S$12824,$S940)</f>
        <v>12569191.856151834</v>
      </c>
      <c r="CB940" s="1032"/>
      <c r="CF940" s="946">
        <f t="shared" si="173"/>
        <v>9549053.8200000003</v>
      </c>
    </row>
    <row r="941" spans="1:84">
      <c r="A941" s="1032"/>
      <c r="B941" s="839" t="s">
        <v>98</v>
      </c>
      <c r="C941" s="839" t="s">
        <v>3368</v>
      </c>
      <c r="D941" s="839" t="s">
        <v>3369</v>
      </c>
      <c r="E941" s="839" t="str">
        <f>D941</f>
        <v>NNH-AT-2024-001-DKO</v>
      </c>
      <c r="F941" s="841">
        <v>45394</v>
      </c>
      <c r="G941" s="840" t="s">
        <v>2689</v>
      </c>
      <c r="H941" s="842" t="s">
        <v>102</v>
      </c>
      <c r="I941" s="842" t="s">
        <v>3344</v>
      </c>
      <c r="J941" s="841" t="s">
        <v>3345</v>
      </c>
      <c r="K941" s="841" t="s">
        <v>3346</v>
      </c>
      <c r="L941" s="843" t="s">
        <v>106</v>
      </c>
      <c r="M941" s="844" t="s">
        <v>107</v>
      </c>
      <c r="N941" s="841"/>
      <c r="O941" s="841" t="s">
        <v>135</v>
      </c>
      <c r="P941" s="841" t="s">
        <v>1476</v>
      </c>
      <c r="Q941" s="843"/>
      <c r="R941" s="845">
        <v>21503201</v>
      </c>
      <c r="S941" s="1127" t="s">
        <v>3379</v>
      </c>
      <c r="T941" s="843" t="s">
        <v>3380</v>
      </c>
      <c r="U941" s="842">
        <v>1</v>
      </c>
      <c r="V941" s="842" t="s">
        <v>3372</v>
      </c>
      <c r="W941" s="846">
        <v>1055</v>
      </c>
      <c r="X941" s="847">
        <f t="shared" si="167"/>
        <v>1055</v>
      </c>
      <c r="Y941" s="848">
        <f t="shared" si="176"/>
        <v>0.4</v>
      </c>
      <c r="Z941" s="849">
        <v>633</v>
      </c>
      <c r="AA941" s="849"/>
      <c r="AB941" s="849">
        <f t="shared" si="168"/>
        <v>633</v>
      </c>
      <c r="AC941" s="850">
        <f t="shared" si="169"/>
        <v>633</v>
      </c>
      <c r="AD941" s="851"/>
      <c r="AE941" s="852">
        <v>18614.14</v>
      </c>
      <c r="AF941" s="853">
        <v>0.25</v>
      </c>
      <c r="AG941" s="854">
        <f t="shared" si="170"/>
        <v>3101870.7387696332</v>
      </c>
      <c r="AH941" s="853"/>
      <c r="AI941" s="855">
        <f t="shared" si="171"/>
        <v>0</v>
      </c>
      <c r="AJ941" s="845" t="s">
        <v>3373</v>
      </c>
      <c r="AK941" s="857" t="s">
        <v>3374</v>
      </c>
      <c r="AL941" s="840" t="s">
        <v>3375</v>
      </c>
      <c r="AM941" s="840"/>
      <c r="AN941" s="858"/>
      <c r="AO941" s="844"/>
      <c r="AP941" s="859"/>
      <c r="AQ941" s="859"/>
      <c r="AR941" s="859" t="s">
        <v>2578</v>
      </c>
      <c r="AS941" s="840"/>
      <c r="AT941" s="840"/>
      <c r="AU941" s="860" t="s">
        <v>2388</v>
      </c>
      <c r="AV941" s="839" t="s">
        <v>3376</v>
      </c>
      <c r="AW941" s="861">
        <v>45645</v>
      </c>
      <c r="AX941" s="862" t="s">
        <v>3377</v>
      </c>
      <c r="AY941" s="843"/>
      <c r="AZ941" s="842"/>
      <c r="BA941" s="842" t="s">
        <v>120</v>
      </c>
      <c r="BB941" s="863" t="s">
        <v>121</v>
      </c>
      <c r="BC941" s="864">
        <v>45645</v>
      </c>
      <c r="BD941" s="860" t="s">
        <v>3378</v>
      </c>
      <c r="BE941" s="865" cm="1">
        <f t="array" ref="BE941">IF(BD941="","",AC941/SUMPRODUCT(--(BD941=$BD$4:$BD$12824),$AC$4:$AC$12824))</f>
        <v>0.55235602094240843</v>
      </c>
      <c r="BF941" s="458"/>
      <c r="BG941" s="458"/>
      <c r="BH941" s="458"/>
      <c r="BI941" s="458"/>
      <c r="BJ941" s="458"/>
      <c r="BK941" s="458"/>
      <c r="BL941" s="458"/>
      <c r="BM941" s="458"/>
      <c r="BN941" s="458"/>
      <c r="BO941" s="866">
        <f>VLOOKUP(BD941,$BD$4:$BN$12824,3,0)*BE941</f>
        <v>624732.33507853409</v>
      </c>
      <c r="BP941" s="866"/>
      <c r="BQ941" s="866"/>
      <c r="BR941" s="866">
        <f>VLOOKUP(BD941,$BD$4:$BN$12824,6,0)*BE941</f>
        <v>0</v>
      </c>
      <c r="BS941" s="866">
        <f>VLOOKUP(BD941,$BD$4:$BN$12824,7,0)*BE941</f>
        <v>0</v>
      </c>
      <c r="BT941" s="866"/>
      <c r="BU941" s="866">
        <f>VLOOKUP(BD941,$BD$4:$BN$12824,9,0)*BE941</f>
        <v>0</v>
      </c>
      <c r="BV941" s="867"/>
      <c r="BW941" s="867">
        <f>VLOOKUP(BD941,$BD$4:$BN$12824,11,0)*BE941</f>
        <v>0</v>
      </c>
      <c r="BX941" s="1146">
        <f t="shared" si="177"/>
        <v>624732.33507853409</v>
      </c>
      <c r="BY941" s="867">
        <f t="shared" si="175"/>
        <v>15509353.693848167</v>
      </c>
      <c r="BZ941" s="867">
        <f t="shared" si="172"/>
        <v>15509353.693848167</v>
      </c>
      <c r="CA941" s="867">
        <f>_xlfn.MAXIFS($BY$4:$BY$12824,$S$4:$S$12824,$S941)</f>
        <v>15509353.693848167</v>
      </c>
      <c r="CB941" s="1032"/>
      <c r="CF941" s="946">
        <f t="shared" si="173"/>
        <v>11782750.619999999</v>
      </c>
    </row>
    <row r="942" spans="1:84">
      <c r="A942" s="1032"/>
      <c r="B942" s="839" t="s">
        <v>98</v>
      </c>
      <c r="C942" s="839" t="s">
        <v>273</v>
      </c>
      <c r="D942" s="839" t="s">
        <v>3381</v>
      </c>
      <c r="E942" s="839" t="s">
        <v>3382</v>
      </c>
      <c r="F942" s="841">
        <v>45622</v>
      </c>
      <c r="G942" s="840" t="s">
        <v>273</v>
      </c>
      <c r="H942" s="842" t="s">
        <v>102</v>
      </c>
      <c r="I942" s="842" t="s">
        <v>3383</v>
      </c>
      <c r="J942" s="841" t="s">
        <v>3384</v>
      </c>
      <c r="K942" s="841">
        <v>45931</v>
      </c>
      <c r="L942" s="843" t="s">
        <v>106</v>
      </c>
      <c r="M942" s="844" t="s">
        <v>275</v>
      </c>
      <c r="N942" s="841"/>
      <c r="O942" s="841" t="s">
        <v>150</v>
      </c>
      <c r="P942" s="841" t="s">
        <v>276</v>
      </c>
      <c r="Q942" s="843"/>
      <c r="R942" s="845" t="s">
        <v>3385</v>
      </c>
      <c r="S942" s="1127" t="s">
        <v>3385</v>
      </c>
      <c r="T942" s="843" t="s">
        <v>3386</v>
      </c>
      <c r="U942" s="842">
        <v>12</v>
      </c>
      <c r="V942" s="842" t="s">
        <v>3</v>
      </c>
      <c r="W942" s="846">
        <v>32.93</v>
      </c>
      <c r="X942" s="847">
        <f t="shared" si="167"/>
        <v>395.15999999999997</v>
      </c>
      <c r="Y942" s="848">
        <f t="shared" si="176"/>
        <v>0.50015183723048884</v>
      </c>
      <c r="Z942" s="849">
        <v>16.46</v>
      </c>
      <c r="AA942" s="849"/>
      <c r="AB942" s="849">
        <f t="shared" si="168"/>
        <v>197.52</v>
      </c>
      <c r="AC942" s="850">
        <f t="shared" si="169"/>
        <v>197.52</v>
      </c>
      <c r="AD942" s="851"/>
      <c r="AE942" s="852">
        <v>26007.25</v>
      </c>
      <c r="AF942" s="853">
        <v>0.1</v>
      </c>
      <c r="AG942" s="854">
        <f t="shared" si="170"/>
        <v>1001229.951963763</v>
      </c>
      <c r="AH942" s="853"/>
      <c r="AI942" s="855">
        <f t="shared" si="171"/>
        <v>0</v>
      </c>
      <c r="AJ942" s="856" t="s">
        <v>3387</v>
      </c>
      <c r="AK942" s="857" t="s">
        <v>3377</v>
      </c>
      <c r="AL942" s="840" t="s">
        <v>3388</v>
      </c>
      <c r="AM942" s="840"/>
      <c r="AN942" s="858"/>
      <c r="AO942" s="844" t="s">
        <v>116</v>
      </c>
      <c r="AP942" s="859"/>
      <c r="AQ942" s="859" t="s">
        <v>3389</v>
      </c>
      <c r="AR942" s="859" t="s">
        <v>3365</v>
      </c>
      <c r="AS942" s="840"/>
      <c r="AT942" s="840"/>
      <c r="AU942" s="860" t="s">
        <v>1849</v>
      </c>
      <c r="AV942" s="839" t="s">
        <v>3390</v>
      </c>
      <c r="AW942" s="861">
        <v>45656</v>
      </c>
      <c r="AX942" s="862" t="s">
        <v>3391</v>
      </c>
      <c r="AY942" s="843"/>
      <c r="AZ942" s="842"/>
      <c r="BA942" s="842" t="s">
        <v>120</v>
      </c>
      <c r="BB942" s="863" t="s">
        <v>121</v>
      </c>
      <c r="BC942" s="864">
        <v>45689</v>
      </c>
      <c r="BD942" s="860" t="s">
        <v>3392</v>
      </c>
      <c r="BE942" s="865" cm="1">
        <f t="array" ref="BE942">IF(BD942="","",AC942/SUMPRODUCT(--(BD942=$BD$4:$BD$12824),$AC$4:$AC$12824))</f>
        <v>0.47717060443542547</v>
      </c>
      <c r="BF942" s="458">
        <v>10217200</v>
      </c>
      <c r="BG942" s="458"/>
      <c r="BH942" s="458"/>
      <c r="BI942" s="458">
        <f>965525/1.08</f>
        <v>894004.62962962955</v>
      </c>
      <c r="BJ942" s="458"/>
      <c r="BK942" s="458"/>
      <c r="BL942" s="458"/>
      <c r="BM942" s="458"/>
      <c r="BN942" s="458">
        <v>600000</v>
      </c>
      <c r="BO942" s="866">
        <f>VLOOKUP(BD942,$BD$4:$BN$12824,3,0)*BE942</f>
        <v>4875347.4996376289</v>
      </c>
      <c r="BP942" s="866"/>
      <c r="BQ942" s="866"/>
      <c r="BR942" s="866">
        <f>VLOOKUP(BD942,$BD$4:$BN$12824,6,0)*BE942</f>
        <v>426592.72948843904</v>
      </c>
      <c r="BS942" s="866">
        <f>VLOOKUP(BD942,$BD$4:$BN$12824,7,0)*BE942</f>
        <v>0</v>
      </c>
      <c r="BT942" s="866"/>
      <c r="BU942" s="866">
        <f>VLOOKUP(BD942,$BD$4:$BN$12824,9,0)*BE942</f>
        <v>0</v>
      </c>
      <c r="BV942" s="867"/>
      <c r="BW942" s="867">
        <f>VLOOKUP(BD942,$BD$4:$BN$12824,11,0)*BE942</f>
        <v>286302.36266125529</v>
      </c>
      <c r="BX942" s="1146">
        <f t="shared" si="177"/>
        <v>5588242.5917873234</v>
      </c>
      <c r="BY942" s="867">
        <f t="shared" si="175"/>
        <v>977202.04697925725</v>
      </c>
      <c r="BZ942" s="867">
        <f t="shared" si="172"/>
        <v>11726424.563751087</v>
      </c>
      <c r="CA942" s="867">
        <f>_xlfn.MAXIFS($BY$4:$BY$12824,$S$4:$S$12824,$S942)</f>
        <v>977202.04697925725</v>
      </c>
      <c r="CB942" s="1032"/>
      <c r="CF942" s="946">
        <f t="shared" si="173"/>
        <v>5136952.0200000005</v>
      </c>
    </row>
    <row r="943" spans="1:84">
      <c r="A943" s="1032"/>
      <c r="B943" s="839" t="s">
        <v>98</v>
      </c>
      <c r="C943" s="839" t="s">
        <v>273</v>
      </c>
      <c r="D943" s="839" t="s">
        <v>3381</v>
      </c>
      <c r="E943" s="839" t="s">
        <v>3382</v>
      </c>
      <c r="F943" s="841">
        <v>45622</v>
      </c>
      <c r="G943" s="840" t="s">
        <v>273</v>
      </c>
      <c r="H943" s="842" t="s">
        <v>102</v>
      </c>
      <c r="I943" s="842" t="s">
        <v>3383</v>
      </c>
      <c r="J943" s="841" t="s">
        <v>3384</v>
      </c>
      <c r="K943" s="841">
        <v>45931</v>
      </c>
      <c r="L943" s="843" t="s">
        <v>106</v>
      </c>
      <c r="M943" s="844" t="s">
        <v>275</v>
      </c>
      <c r="N943" s="841"/>
      <c r="O943" s="841" t="s">
        <v>150</v>
      </c>
      <c r="P943" s="841" t="s">
        <v>276</v>
      </c>
      <c r="Q943" s="843"/>
      <c r="R943" s="845" t="s">
        <v>3393</v>
      </c>
      <c r="S943" s="1127" t="s">
        <v>3393</v>
      </c>
      <c r="T943" s="843" t="s">
        <v>3394</v>
      </c>
      <c r="U943" s="842">
        <v>3</v>
      </c>
      <c r="V943" s="842" t="s">
        <v>3</v>
      </c>
      <c r="W943" s="846">
        <v>32.93</v>
      </c>
      <c r="X943" s="847">
        <f t="shared" si="167"/>
        <v>98.789999999999992</v>
      </c>
      <c r="Y943" s="848">
        <f t="shared" si="176"/>
        <v>0.50015183723048884</v>
      </c>
      <c r="Z943" s="849">
        <v>16.46</v>
      </c>
      <c r="AA943" s="849"/>
      <c r="AB943" s="849">
        <f t="shared" si="168"/>
        <v>49.38</v>
      </c>
      <c r="AC943" s="850">
        <f t="shared" si="169"/>
        <v>49.38</v>
      </c>
      <c r="AD943" s="851"/>
      <c r="AE943" s="852">
        <v>26007.25</v>
      </c>
      <c r="AF943" s="853">
        <v>0.1</v>
      </c>
      <c r="AG943" s="854">
        <f t="shared" si="170"/>
        <v>250307.48799094075</v>
      </c>
      <c r="AH943" s="853"/>
      <c r="AI943" s="855">
        <f t="shared" si="171"/>
        <v>0</v>
      </c>
      <c r="AJ943" s="845" t="s">
        <v>3387</v>
      </c>
      <c r="AK943" s="857" t="s">
        <v>3377</v>
      </c>
      <c r="AL943" s="840" t="s">
        <v>3388</v>
      </c>
      <c r="AM943" s="840"/>
      <c r="AN943" s="858"/>
      <c r="AO943" s="844" t="s">
        <v>116</v>
      </c>
      <c r="AP943" s="859"/>
      <c r="AQ943" s="859" t="s">
        <v>3389</v>
      </c>
      <c r="AR943" s="859" t="s">
        <v>3365</v>
      </c>
      <c r="AS943" s="840"/>
      <c r="AT943" s="840"/>
      <c r="AU943" s="860" t="s">
        <v>1849</v>
      </c>
      <c r="AV943" s="839" t="s">
        <v>3390</v>
      </c>
      <c r="AW943" s="861">
        <v>45656</v>
      </c>
      <c r="AX943" s="862" t="s">
        <v>3391</v>
      </c>
      <c r="AY943" s="843"/>
      <c r="AZ943" s="842"/>
      <c r="BA943" s="842" t="s">
        <v>120</v>
      </c>
      <c r="BB943" s="863" t="s">
        <v>121</v>
      </c>
      <c r="BC943" s="864">
        <v>45689</v>
      </c>
      <c r="BD943" s="860" t="s">
        <v>3392</v>
      </c>
      <c r="BE943" s="865" cm="1">
        <f t="array" ref="BE943">IF(BD943="","",AC943/SUMPRODUCT(--(BD943=$BD$4:$BD$12824),$AC$4:$AC$12824))</f>
        <v>0.11929265110885637</v>
      </c>
      <c r="BF943" s="458"/>
      <c r="BG943" s="458"/>
      <c r="BH943" s="458"/>
      <c r="BI943" s="458"/>
      <c r="BJ943" s="458"/>
      <c r="BK943" s="458"/>
      <c r="BL943" s="458"/>
      <c r="BM943" s="458"/>
      <c r="BN943" s="458"/>
      <c r="BO943" s="866">
        <f>VLOOKUP(BD943,$BD$4:$BN$12824,3,0)*BE943</f>
        <v>1218836.8749094072</v>
      </c>
      <c r="BP943" s="866"/>
      <c r="BQ943" s="866"/>
      <c r="BR943" s="866">
        <f>VLOOKUP(BD943,$BD$4:$BN$12824,6,0)*BE943</f>
        <v>106648.18237210976</v>
      </c>
      <c r="BS943" s="866">
        <f>VLOOKUP(BD943,$BD$4:$BN$12824,7,0)*BE943</f>
        <v>0</v>
      </c>
      <c r="BT943" s="866"/>
      <c r="BU943" s="866">
        <f>VLOOKUP(BD943,$BD$4:$BN$12824,9,0)*BE943</f>
        <v>0</v>
      </c>
      <c r="BV943" s="867"/>
      <c r="BW943" s="867">
        <f>VLOOKUP(BD943,$BD$4:$BN$12824,11,0)*BE943</f>
        <v>71575.590665313823</v>
      </c>
      <c r="BX943" s="1146">
        <f t="shared" si="177"/>
        <v>1397060.6479468308</v>
      </c>
      <c r="BY943" s="867">
        <f t="shared" si="175"/>
        <v>977202.04697925725</v>
      </c>
      <c r="BZ943" s="867">
        <f t="shared" si="172"/>
        <v>2931606.1409377716</v>
      </c>
      <c r="CA943" s="867">
        <f>_xlfn.MAXIFS($BY$4:$BY$12824,$S$4:$S$12824,$S943)</f>
        <v>977202.04697925725</v>
      </c>
      <c r="CB943" s="1032"/>
      <c r="CF943" s="946">
        <f t="shared" si="173"/>
        <v>1284238.0050000001</v>
      </c>
    </row>
    <row r="944" spans="1:84">
      <c r="A944" s="1032"/>
      <c r="B944" s="839" t="s">
        <v>98</v>
      </c>
      <c r="C944" s="839" t="s">
        <v>273</v>
      </c>
      <c r="D944" s="839" t="s">
        <v>3381</v>
      </c>
      <c r="E944" s="839" t="s">
        <v>3382</v>
      </c>
      <c r="F944" s="841">
        <v>45622</v>
      </c>
      <c r="G944" s="840" t="s">
        <v>273</v>
      </c>
      <c r="H944" s="842" t="s">
        <v>102</v>
      </c>
      <c r="I944" s="842" t="s">
        <v>3383</v>
      </c>
      <c r="J944" s="841" t="s">
        <v>3384</v>
      </c>
      <c r="K944" s="841">
        <v>45931</v>
      </c>
      <c r="L944" s="843" t="s">
        <v>106</v>
      </c>
      <c r="M944" s="844" t="s">
        <v>275</v>
      </c>
      <c r="N944" s="841"/>
      <c r="O944" s="841" t="s">
        <v>150</v>
      </c>
      <c r="P944" s="841" t="s">
        <v>276</v>
      </c>
      <c r="Q944" s="843"/>
      <c r="R944" s="845" t="s">
        <v>3395</v>
      </c>
      <c r="S944" s="1127" t="s">
        <v>3395</v>
      </c>
      <c r="T944" s="843" t="s">
        <v>3396</v>
      </c>
      <c r="U944" s="842">
        <v>8</v>
      </c>
      <c r="V944" s="842" t="s">
        <v>3</v>
      </c>
      <c r="W944" s="846">
        <v>41.77</v>
      </c>
      <c r="X944" s="847">
        <f t="shared" si="167"/>
        <v>334.16</v>
      </c>
      <c r="Y944" s="848">
        <f t="shared" si="176"/>
        <v>0.50011970313622223</v>
      </c>
      <c r="Z944" s="849">
        <v>20.88</v>
      </c>
      <c r="AA944" s="849"/>
      <c r="AB944" s="849">
        <f t="shared" si="168"/>
        <v>167.04</v>
      </c>
      <c r="AC944" s="850">
        <f t="shared" si="169"/>
        <v>167.04</v>
      </c>
      <c r="AD944" s="851"/>
      <c r="AE944" s="852">
        <v>26007.25</v>
      </c>
      <c r="AF944" s="853">
        <v>0.1</v>
      </c>
      <c r="AG944" s="854">
        <f t="shared" si="170"/>
        <v>846726.66654529655</v>
      </c>
      <c r="AH944" s="853"/>
      <c r="AI944" s="855">
        <f t="shared" si="171"/>
        <v>0</v>
      </c>
      <c r="AJ944" s="845" t="s">
        <v>3387</v>
      </c>
      <c r="AK944" s="857" t="s">
        <v>3377</v>
      </c>
      <c r="AL944" s="840" t="s">
        <v>3388</v>
      </c>
      <c r="AM944" s="840"/>
      <c r="AN944" s="858"/>
      <c r="AO944" s="844" t="s">
        <v>116</v>
      </c>
      <c r="AP944" s="859"/>
      <c r="AQ944" s="859" t="s">
        <v>3389</v>
      </c>
      <c r="AR944" s="859" t="s">
        <v>3365</v>
      </c>
      <c r="AS944" s="840"/>
      <c r="AT944" s="840"/>
      <c r="AU944" s="860" t="s">
        <v>1849</v>
      </c>
      <c r="AV944" s="839" t="s">
        <v>3390</v>
      </c>
      <c r="AW944" s="861">
        <v>45656</v>
      </c>
      <c r="AX944" s="862" t="s">
        <v>3391</v>
      </c>
      <c r="AY944" s="843"/>
      <c r="AZ944" s="842"/>
      <c r="BA944" s="842" t="s">
        <v>120</v>
      </c>
      <c r="BB944" s="863" t="s">
        <v>121</v>
      </c>
      <c r="BC944" s="864">
        <v>45689</v>
      </c>
      <c r="BD944" s="860" t="s">
        <v>3392</v>
      </c>
      <c r="BE944" s="865" cm="1">
        <f t="array" ref="BE944">IF(BD944="","",AC944/SUMPRODUCT(--(BD944=$BD$4:$BD$12824),$AC$4:$AC$12824))</f>
        <v>0.40353674445571819</v>
      </c>
      <c r="BF944" s="458"/>
      <c r="BG944" s="458"/>
      <c r="BH944" s="458"/>
      <c r="BI944" s="458"/>
      <c r="BJ944" s="458"/>
      <c r="BK944" s="458"/>
      <c r="BL944" s="458"/>
      <c r="BM944" s="458"/>
      <c r="BN944" s="458"/>
      <c r="BO944" s="866">
        <f>VLOOKUP(BD944,$BD$4:$BN$12824,3,0)*BE944</f>
        <v>4123015.6254529641</v>
      </c>
      <c r="BP944" s="866"/>
      <c r="BQ944" s="866"/>
      <c r="BR944" s="866">
        <f>VLOOKUP(BD944,$BD$4:$BN$12824,6,0)*BE944</f>
        <v>360763.71776908083</v>
      </c>
      <c r="BS944" s="866">
        <f>VLOOKUP(BD944,$BD$4:$BN$12824,7,0)*BE944</f>
        <v>0</v>
      </c>
      <c r="BT944" s="866"/>
      <c r="BU944" s="866">
        <f>VLOOKUP(BD944,$BD$4:$BN$12824,9,0)*BE944</f>
        <v>0</v>
      </c>
      <c r="BV944" s="867"/>
      <c r="BW944" s="867">
        <f>VLOOKUP(BD944,$BD$4:$BN$12824,11,0)*BE944</f>
        <v>242122.04667343092</v>
      </c>
      <c r="BX944" s="1146">
        <f t="shared" si="177"/>
        <v>4725901.3898954764</v>
      </c>
      <c r="BY944" s="867">
        <f t="shared" si="175"/>
        <v>1239609.8870550967</v>
      </c>
      <c r="BZ944" s="867">
        <f t="shared" si="172"/>
        <v>9916879.0964407735</v>
      </c>
      <c r="CA944" s="867">
        <f>_xlfn.MAXIFS($BY$4:$BY$12824,$S$4:$S$12824,$S944)</f>
        <v>1239609.8870550967</v>
      </c>
      <c r="CB944" s="1032"/>
      <c r="CF944" s="946">
        <f t="shared" si="173"/>
        <v>4344251.04</v>
      </c>
    </row>
    <row r="945" spans="1:84">
      <c r="A945" s="1032"/>
      <c r="B945" s="839" t="s">
        <v>98</v>
      </c>
      <c r="C945" s="839" t="s">
        <v>381</v>
      </c>
      <c r="D945" s="839" t="s">
        <v>3342</v>
      </c>
      <c r="E945" s="839" t="s">
        <v>3343</v>
      </c>
      <c r="F945" s="841">
        <v>45394</v>
      </c>
      <c r="G945" s="840" t="s">
        <v>383</v>
      </c>
      <c r="H945" s="842" t="s">
        <v>102</v>
      </c>
      <c r="I945" s="842" t="s">
        <v>3344</v>
      </c>
      <c r="J945" s="841" t="s">
        <v>3345</v>
      </c>
      <c r="K945" s="841" t="s">
        <v>3346</v>
      </c>
      <c r="L945" s="843" t="s">
        <v>106</v>
      </c>
      <c r="M945" s="844" t="s">
        <v>417</v>
      </c>
      <c r="N945" s="841"/>
      <c r="O945" s="841" t="s">
        <v>135</v>
      </c>
      <c r="P945" s="841" t="s">
        <v>3397</v>
      </c>
      <c r="Q945" s="843"/>
      <c r="R945" s="845">
        <v>1600315</v>
      </c>
      <c r="S945" s="1127" t="s">
        <v>3398</v>
      </c>
      <c r="T945" s="843" t="s">
        <v>3399</v>
      </c>
      <c r="U945" s="842">
        <v>1</v>
      </c>
      <c r="V945" s="842" t="s">
        <v>3</v>
      </c>
      <c r="W945" s="846">
        <v>133</v>
      </c>
      <c r="X945" s="847">
        <f t="shared" si="167"/>
        <v>133</v>
      </c>
      <c r="Y945" s="848">
        <f t="shared" si="176"/>
        <v>0.44999999999999996</v>
      </c>
      <c r="Z945" s="849">
        <v>73.150000000000006</v>
      </c>
      <c r="AA945" s="849"/>
      <c r="AB945" s="849">
        <f t="shared" si="168"/>
        <v>73.150000000000006</v>
      </c>
      <c r="AC945" s="850">
        <f t="shared" si="169"/>
        <v>73.150000000000006</v>
      </c>
      <c r="AD945" s="851"/>
      <c r="AE945" s="852">
        <v>25985.37</v>
      </c>
      <c r="AF945" s="853"/>
      <c r="AG945" s="854">
        <f t="shared" si="170"/>
        <v>0</v>
      </c>
      <c r="AH945" s="853"/>
      <c r="AI945" s="855">
        <f t="shared" si="171"/>
        <v>0</v>
      </c>
      <c r="AJ945" s="845" t="s">
        <v>3400</v>
      </c>
      <c r="AK945" s="857" t="s">
        <v>3401</v>
      </c>
      <c r="AL945" s="839" t="s">
        <v>3402</v>
      </c>
      <c r="AM945" s="840"/>
      <c r="AN945" s="858"/>
      <c r="AO945" s="844" t="s">
        <v>116</v>
      </c>
      <c r="AP945" s="859"/>
      <c r="AQ945" s="859"/>
      <c r="AR945" s="859" t="s">
        <v>3389</v>
      </c>
      <c r="AS945" s="840"/>
      <c r="AT945" s="840"/>
      <c r="AU945" s="860" t="s">
        <v>2388</v>
      </c>
      <c r="AV945" s="839" t="s">
        <v>3403</v>
      </c>
      <c r="AW945" s="861">
        <v>45654</v>
      </c>
      <c r="AX945" s="862" t="s">
        <v>3404</v>
      </c>
      <c r="AY945" s="843"/>
      <c r="AZ945" s="842"/>
      <c r="BA945" s="842" t="s">
        <v>120</v>
      </c>
      <c r="BB945" s="863" t="s">
        <v>121</v>
      </c>
      <c r="BC945" s="864">
        <v>45654</v>
      </c>
      <c r="BD945" s="860" t="s">
        <v>3405</v>
      </c>
      <c r="BE945" s="865" cm="1">
        <f t="array" ref="BE945">IF(BD945="","",AC945/SUMPRODUCT(--(BD945=$BD$4:$BD$12824),$AC$4:$AC$12824))</f>
        <v>0.39939939939939939</v>
      </c>
      <c r="BF945" s="458">
        <f>60*30000</f>
        <v>1800000</v>
      </c>
      <c r="BG945" s="458"/>
      <c r="BH945" s="458"/>
      <c r="BI945" s="1150">
        <v>111780</v>
      </c>
      <c r="BJ945" s="458"/>
      <c r="BK945" s="458"/>
      <c r="BL945" s="458"/>
      <c r="BM945" s="458"/>
      <c r="BN945" s="458">
        <v>2600000</v>
      </c>
      <c r="BO945" s="866">
        <f>VLOOKUP(BD945,$BD$4:$BN$12824,3,0)*BE945</f>
        <v>718918.91891891893</v>
      </c>
      <c r="BP945" s="866"/>
      <c r="BQ945" s="866"/>
      <c r="BR945" s="866">
        <f>VLOOKUP(BD945,$BD$4:$BN$12824,6,0)*BE945</f>
        <v>44644.864864864867</v>
      </c>
      <c r="BS945" s="866">
        <f>VLOOKUP(BD945,$BD$4:$BN$12824,7,0)*BE945</f>
        <v>0</v>
      </c>
      <c r="BT945" s="866"/>
      <c r="BU945" s="866">
        <f>VLOOKUP(BD945,$BD$4:$BN$12824,9,0)*BE945</f>
        <v>0</v>
      </c>
      <c r="BV945" s="867"/>
      <c r="BW945" s="867">
        <f>VLOOKUP(BD945,$BD$4:$BN$12824,11,0)*BE945</f>
        <v>1038438.4384384385</v>
      </c>
      <c r="BX945" s="1146">
        <f t="shared" ref="BX945:BX946" si="179">SUM(BO945:BW945)</f>
        <v>1802002.2222222222</v>
      </c>
      <c r="BY945" s="867">
        <f t="shared" si="175"/>
        <v>3702832.0377222225</v>
      </c>
      <c r="BZ945" s="867">
        <f t="shared" si="172"/>
        <v>3702832.0377222225</v>
      </c>
      <c r="CA945" s="867">
        <f>_xlfn.MAXIFS($BY$4:$BY$12824,$S$4:$S$12824,$S945)</f>
        <v>3702832.0377222225</v>
      </c>
      <c r="CB945" s="1032"/>
      <c r="CF945" s="946">
        <f t="shared" si="173"/>
        <v>1900829.8155</v>
      </c>
    </row>
    <row r="946" spans="1:84">
      <c r="A946" s="1032"/>
      <c r="B946" s="839" t="s">
        <v>98</v>
      </c>
      <c r="C946" s="839" t="s">
        <v>381</v>
      </c>
      <c r="D946" s="839" t="s">
        <v>3342</v>
      </c>
      <c r="E946" s="839" t="s">
        <v>3343</v>
      </c>
      <c r="F946" s="841">
        <v>45394</v>
      </c>
      <c r="G946" s="840" t="s">
        <v>383</v>
      </c>
      <c r="H946" s="842" t="s">
        <v>102</v>
      </c>
      <c r="I946" s="842" t="s">
        <v>3344</v>
      </c>
      <c r="J946" s="841" t="s">
        <v>3345</v>
      </c>
      <c r="K946" s="841" t="s">
        <v>3346</v>
      </c>
      <c r="L946" s="843" t="s">
        <v>106</v>
      </c>
      <c r="M946" s="844" t="s">
        <v>417</v>
      </c>
      <c r="N946" s="841"/>
      <c r="O946" s="841" t="s">
        <v>135</v>
      </c>
      <c r="P946" s="841" t="s">
        <v>3397</v>
      </c>
      <c r="Q946" s="843"/>
      <c r="R946" s="845">
        <v>1600316</v>
      </c>
      <c r="S946" s="1127" t="s">
        <v>3406</v>
      </c>
      <c r="T946" s="843" t="s">
        <v>3407</v>
      </c>
      <c r="U946" s="842">
        <v>1</v>
      </c>
      <c r="V946" s="842" t="s">
        <v>3</v>
      </c>
      <c r="W946" s="846">
        <v>200</v>
      </c>
      <c r="X946" s="847">
        <f t="shared" si="167"/>
        <v>200</v>
      </c>
      <c r="Y946" s="848">
        <f t="shared" si="176"/>
        <v>0.45</v>
      </c>
      <c r="Z946" s="849">
        <v>110</v>
      </c>
      <c r="AA946" s="849"/>
      <c r="AB946" s="849">
        <f t="shared" si="168"/>
        <v>110</v>
      </c>
      <c r="AC946" s="850">
        <f t="shared" si="169"/>
        <v>110</v>
      </c>
      <c r="AD946" s="851"/>
      <c r="AE946" s="852">
        <v>25985.37</v>
      </c>
      <c r="AF946" s="853"/>
      <c r="AG946" s="854">
        <f t="shared" si="170"/>
        <v>0</v>
      </c>
      <c r="AH946" s="853"/>
      <c r="AI946" s="855">
        <f t="shared" si="171"/>
        <v>0</v>
      </c>
      <c r="AJ946" s="845" t="s">
        <v>3400</v>
      </c>
      <c r="AK946" s="857" t="s">
        <v>3401</v>
      </c>
      <c r="AL946" s="839" t="s">
        <v>3402</v>
      </c>
      <c r="AM946" s="840"/>
      <c r="AN946" s="858"/>
      <c r="AO946" s="844" t="s">
        <v>116</v>
      </c>
      <c r="AP946" s="859"/>
      <c r="AQ946" s="859"/>
      <c r="AR946" s="859" t="s">
        <v>3389</v>
      </c>
      <c r="AS946" s="840"/>
      <c r="AT946" s="840"/>
      <c r="AU946" s="860" t="s">
        <v>2388</v>
      </c>
      <c r="AV946" s="839" t="s">
        <v>3403</v>
      </c>
      <c r="AW946" s="861">
        <v>45654</v>
      </c>
      <c r="AX946" s="862" t="s">
        <v>3404</v>
      </c>
      <c r="AY946" s="843"/>
      <c r="AZ946" s="842"/>
      <c r="BA946" s="842" t="s">
        <v>120</v>
      </c>
      <c r="BB946" s="863" t="s">
        <v>121</v>
      </c>
      <c r="BC946" s="864">
        <v>45654</v>
      </c>
      <c r="BD946" s="860" t="s">
        <v>3405</v>
      </c>
      <c r="BE946" s="865" cm="1">
        <f t="array" ref="BE946">IF(BD946="","",AC946/SUMPRODUCT(--(BD946=$BD$4:$BD$12824),$AC$4:$AC$12824))</f>
        <v>0.60060060060060061</v>
      </c>
      <c r="BF946" s="458"/>
      <c r="BG946" s="458"/>
      <c r="BH946" s="458"/>
      <c r="BI946" s="458"/>
      <c r="BJ946" s="458"/>
      <c r="BK946" s="458"/>
      <c r="BL946" s="458"/>
      <c r="BM946" s="458"/>
      <c r="BN946" s="458"/>
      <c r="BO946" s="866">
        <f>VLOOKUP(BD946,$BD$4:$BN$12824,3,0)*BE946</f>
        <v>1081081.0810810812</v>
      </c>
      <c r="BP946" s="866"/>
      <c r="BQ946" s="866"/>
      <c r="BR946" s="866">
        <f>VLOOKUP(BD946,$BD$4:$BN$12824,6,0)*BE946</f>
        <v>67135.135135135133</v>
      </c>
      <c r="BS946" s="866">
        <f>VLOOKUP(BD946,$BD$4:$BN$12824,7,0)*BE946</f>
        <v>0</v>
      </c>
      <c r="BT946" s="866"/>
      <c r="BU946" s="866">
        <f>VLOOKUP(BD946,$BD$4:$BN$12824,9,0)*BE946</f>
        <v>0</v>
      </c>
      <c r="BV946" s="867"/>
      <c r="BW946" s="867">
        <f>VLOOKUP(BD946,$BD$4:$BN$12824,11,0)*BE946</f>
        <v>1561561.5615615617</v>
      </c>
      <c r="BX946" s="1146">
        <f t="shared" si="179"/>
        <v>2709777.777777778</v>
      </c>
      <c r="BY946" s="867">
        <f t="shared" si="175"/>
        <v>5568168.4777777772</v>
      </c>
      <c r="BZ946" s="867">
        <f t="shared" si="172"/>
        <v>5568168.4777777772</v>
      </c>
      <c r="CA946" s="867">
        <f>_xlfn.MAXIFS($BY$4:$BY$12824,$S$4:$S$12824,$S946)</f>
        <v>5568168.4777777772</v>
      </c>
      <c r="CB946" s="1032"/>
      <c r="CF946" s="946">
        <f t="shared" si="173"/>
        <v>2858390.6999999997</v>
      </c>
    </row>
    <row r="947" spans="1:84">
      <c r="A947" s="1032"/>
      <c r="B947" s="839" t="s">
        <v>98</v>
      </c>
      <c r="C947" s="839" t="s">
        <v>381</v>
      </c>
      <c r="D947" s="839" t="s">
        <v>3342</v>
      </c>
      <c r="E947" s="839" t="s">
        <v>3343</v>
      </c>
      <c r="F947" s="841">
        <v>45394</v>
      </c>
      <c r="G947" s="840" t="s">
        <v>383</v>
      </c>
      <c r="H947" s="842" t="s">
        <v>102</v>
      </c>
      <c r="I947" s="842" t="s">
        <v>3344</v>
      </c>
      <c r="J947" s="841" t="s">
        <v>3345</v>
      </c>
      <c r="K947" s="841" t="s">
        <v>3346</v>
      </c>
      <c r="L947" s="843" t="s">
        <v>106</v>
      </c>
      <c r="M947" s="844" t="s">
        <v>107</v>
      </c>
      <c r="N947" s="841"/>
      <c r="O947" s="841" t="s">
        <v>135</v>
      </c>
      <c r="P947" s="841" t="s">
        <v>182</v>
      </c>
      <c r="Q947" s="843"/>
      <c r="R947" s="845">
        <v>840144</v>
      </c>
      <c r="S947" s="1127" t="s">
        <v>3408</v>
      </c>
      <c r="T947" s="843" t="s">
        <v>3409</v>
      </c>
      <c r="U947" s="842">
        <v>4</v>
      </c>
      <c r="V947" s="842" t="s">
        <v>3</v>
      </c>
      <c r="W947" s="846">
        <v>116</v>
      </c>
      <c r="X947" s="847">
        <f t="shared" si="167"/>
        <v>464</v>
      </c>
      <c r="Y947" s="848">
        <f t="shared" si="176"/>
        <v>0.45</v>
      </c>
      <c r="Z947" s="849">
        <v>63.8</v>
      </c>
      <c r="AA947" s="849"/>
      <c r="AB947" s="849">
        <f t="shared" si="168"/>
        <v>255.2</v>
      </c>
      <c r="AC947" s="850">
        <f t="shared" si="169"/>
        <v>255.2</v>
      </c>
      <c r="AD947" s="851"/>
      <c r="AE947" s="852">
        <v>25950.82</v>
      </c>
      <c r="AF947" s="853"/>
      <c r="AG947" s="854">
        <f t="shared" si="170"/>
        <v>0</v>
      </c>
      <c r="AH947" s="853"/>
      <c r="AI947" s="855">
        <f t="shared" si="171"/>
        <v>0</v>
      </c>
      <c r="AJ947" s="845" t="s">
        <v>3410</v>
      </c>
      <c r="AK947" s="857" t="s">
        <v>3374</v>
      </c>
      <c r="AL947" s="839" t="s">
        <v>3411</v>
      </c>
      <c r="AM947" s="840"/>
      <c r="AN947" s="858"/>
      <c r="AO947" s="844" t="s">
        <v>2388</v>
      </c>
      <c r="AP947" s="859"/>
      <c r="AQ947" s="859">
        <v>45839</v>
      </c>
      <c r="AR947" s="859">
        <v>45901</v>
      </c>
      <c r="AS947" s="840"/>
      <c r="AT947" s="840"/>
      <c r="AU947" s="860" t="s">
        <v>2388</v>
      </c>
      <c r="AV947" s="839" t="s">
        <v>3412</v>
      </c>
      <c r="AW947" s="861">
        <v>45931</v>
      </c>
      <c r="AX947" s="862">
        <v>45931</v>
      </c>
      <c r="AY947" s="843"/>
      <c r="AZ947" s="842"/>
      <c r="BA947" s="842"/>
      <c r="BB947" s="863" t="s">
        <v>121</v>
      </c>
      <c r="BC947" s="864">
        <v>45667</v>
      </c>
      <c r="BD947" s="860" t="s">
        <v>3413</v>
      </c>
      <c r="BE947" s="865" cm="1">
        <f t="array" ref="BE947">IF(BD947="","",AC947/SUMPRODUCT(--(BD947=$BD$4:$BD$12824),$AC$4:$AC$12824))</f>
        <v>0.29858429858429858</v>
      </c>
      <c r="BF947" s="458">
        <v>9966677</v>
      </c>
      <c r="BG947" s="458"/>
      <c r="BH947" s="458"/>
      <c r="BI947" s="458"/>
      <c r="BJ947" s="458"/>
      <c r="BK947" s="458"/>
      <c r="BL947" s="458"/>
      <c r="BM947" s="458"/>
      <c r="BN947" s="458">
        <v>800000</v>
      </c>
      <c r="BO947" s="866">
        <f>VLOOKUP(BD947,$BD$4:$BN$12824,3,0)*BE947</f>
        <v>2975893.2612612611</v>
      </c>
      <c r="BP947" s="866"/>
      <c r="BQ947" s="866"/>
      <c r="BR947" s="866">
        <f>VLOOKUP(BD947,$BD$4:$BN$12824,6,0)*BE947</f>
        <v>0</v>
      </c>
      <c r="BS947" s="866">
        <f>VLOOKUP(BD947,$BD$4:$BN$12824,7,0)*BE947</f>
        <v>0</v>
      </c>
      <c r="BT947" s="866"/>
      <c r="BU947" s="866">
        <f>VLOOKUP(BD947,$BD$4:$BN$12824,9,0)*BE947</f>
        <v>0</v>
      </c>
      <c r="BV947" s="867"/>
      <c r="BW947" s="867">
        <f>VLOOKUP(BD947,$BD$4:$BN$12824,11,0)*BE947</f>
        <v>238867.43886743888</v>
      </c>
      <c r="BX947" s="1146">
        <f t="shared" si="177"/>
        <v>3214760.7001287001</v>
      </c>
      <c r="BY947" s="867">
        <f t="shared" si="175"/>
        <v>2459352.4910321748</v>
      </c>
      <c r="BZ947" s="867">
        <f t="shared" si="172"/>
        <v>9837409.9641286992</v>
      </c>
      <c r="CA947" s="867">
        <f>_xlfn.MAXIFS($BY$4:$BY$12824,$S$4:$S$12824,$S947)</f>
        <v>2459352.4910321748</v>
      </c>
      <c r="CB947" s="1032"/>
      <c r="CF947" s="946">
        <f t="shared" si="173"/>
        <v>6622649.2639999995</v>
      </c>
    </row>
    <row r="948" spans="1:84">
      <c r="A948" s="1032"/>
      <c r="B948" s="839" t="s">
        <v>98</v>
      </c>
      <c r="C948" s="839" t="s">
        <v>381</v>
      </c>
      <c r="D948" s="839" t="s">
        <v>3342</v>
      </c>
      <c r="E948" s="839" t="s">
        <v>3343</v>
      </c>
      <c r="F948" s="841">
        <v>45394</v>
      </c>
      <c r="G948" s="840" t="s">
        <v>383</v>
      </c>
      <c r="H948" s="842" t="s">
        <v>102</v>
      </c>
      <c r="I948" s="842" t="s">
        <v>3344</v>
      </c>
      <c r="J948" s="841" t="s">
        <v>3345</v>
      </c>
      <c r="K948" s="841" t="s">
        <v>3346</v>
      </c>
      <c r="L948" s="843" t="s">
        <v>106</v>
      </c>
      <c r="M948" s="844" t="s">
        <v>107</v>
      </c>
      <c r="N948" s="841"/>
      <c r="O948" s="841" t="s">
        <v>135</v>
      </c>
      <c r="P948" s="841" t="s">
        <v>136</v>
      </c>
      <c r="Q948" s="843"/>
      <c r="R948" s="845">
        <v>840170</v>
      </c>
      <c r="S948" s="1127" t="s">
        <v>3414</v>
      </c>
      <c r="T948" s="843" t="s">
        <v>3415</v>
      </c>
      <c r="U948" s="842">
        <v>1</v>
      </c>
      <c r="V948" s="842" t="s">
        <v>3</v>
      </c>
      <c r="W948" s="846">
        <v>419</v>
      </c>
      <c r="X948" s="847">
        <f t="shared" si="167"/>
        <v>419</v>
      </c>
      <c r="Y948" s="848">
        <f t="shared" si="176"/>
        <v>0.45</v>
      </c>
      <c r="Z948" s="849">
        <v>230.45</v>
      </c>
      <c r="AA948" s="849"/>
      <c r="AB948" s="849">
        <f t="shared" si="168"/>
        <v>230.45</v>
      </c>
      <c r="AC948" s="850">
        <f t="shared" si="169"/>
        <v>230.45</v>
      </c>
      <c r="AD948" s="851"/>
      <c r="AE948" s="852">
        <v>25950.82</v>
      </c>
      <c r="AF948" s="853"/>
      <c r="AG948" s="854">
        <f t="shared" si="170"/>
        <v>0</v>
      </c>
      <c r="AH948" s="853"/>
      <c r="AI948" s="855">
        <f t="shared" si="171"/>
        <v>0</v>
      </c>
      <c r="AJ948" s="845" t="s">
        <v>3410</v>
      </c>
      <c r="AK948" s="857" t="s">
        <v>3374</v>
      </c>
      <c r="AL948" s="839" t="s">
        <v>3411</v>
      </c>
      <c r="AM948" s="840"/>
      <c r="AN948" s="858"/>
      <c r="AO948" s="844" t="s">
        <v>2388</v>
      </c>
      <c r="AP948" s="859"/>
      <c r="AQ948" s="859">
        <v>45839</v>
      </c>
      <c r="AR948" s="859">
        <v>45901</v>
      </c>
      <c r="AS948" s="840"/>
      <c r="AT948" s="840"/>
      <c r="AU948" s="860" t="s">
        <v>2388</v>
      </c>
      <c r="AV948" s="839" t="s">
        <v>3412</v>
      </c>
      <c r="AW948" s="861">
        <v>45931</v>
      </c>
      <c r="AX948" s="862">
        <v>45931</v>
      </c>
      <c r="AY948" s="843"/>
      <c r="AZ948" s="842"/>
      <c r="BA948" s="842"/>
      <c r="BB948" s="863" t="s">
        <v>121</v>
      </c>
      <c r="BC948" s="864">
        <v>45667</v>
      </c>
      <c r="BD948" s="860" t="s">
        <v>3413</v>
      </c>
      <c r="BE948" s="865" cm="1">
        <f t="array" ref="BE948">IF(BD948="","",AC948/SUMPRODUCT(--(BD948=$BD$4:$BD$12824),$AC$4:$AC$12824))</f>
        <v>0.26962676962676962</v>
      </c>
      <c r="BF948" s="458"/>
      <c r="BG948" s="458"/>
      <c r="BH948" s="458"/>
      <c r="BI948" s="458"/>
      <c r="BJ948" s="458"/>
      <c r="BK948" s="458"/>
      <c r="BL948" s="458"/>
      <c r="BM948" s="458"/>
      <c r="BN948" s="458"/>
      <c r="BO948" s="866">
        <f>VLOOKUP(BD948,$BD$4:$BN$12824,3,0)*BE948</f>
        <v>2687282.9234234234</v>
      </c>
      <c r="BP948" s="866"/>
      <c r="BQ948" s="866"/>
      <c r="BR948" s="866">
        <f>VLOOKUP(BD948,$BD$4:$BN$12824,6,0)*BE948</f>
        <v>0</v>
      </c>
      <c r="BS948" s="866">
        <f>VLOOKUP(BD948,$BD$4:$BN$12824,7,0)*BE948</f>
        <v>0</v>
      </c>
      <c r="BT948" s="866"/>
      <c r="BU948" s="866">
        <f>VLOOKUP(BD948,$BD$4:$BN$12824,9,0)*BE948</f>
        <v>0</v>
      </c>
      <c r="BV948" s="867"/>
      <c r="BW948" s="867">
        <f>VLOOKUP(BD948,$BD$4:$BN$12824,11,0)*BE948</f>
        <v>215701.41570141571</v>
      </c>
      <c r="BX948" s="1146">
        <f t="shared" si="177"/>
        <v>2902984.3391248393</v>
      </c>
      <c r="BY948" s="867">
        <f t="shared" si="175"/>
        <v>8883350.8081248384</v>
      </c>
      <c r="BZ948" s="867">
        <f t="shared" si="172"/>
        <v>8883350.8081248384</v>
      </c>
      <c r="CA948" s="867">
        <f>_xlfn.MAXIFS($BY$4:$BY$12824,$S$4:$S$12824,$S948)</f>
        <v>8883350.8081248384</v>
      </c>
      <c r="CB948" s="1032"/>
      <c r="CF948" s="946">
        <f t="shared" si="173"/>
        <v>5980366.4689999996</v>
      </c>
    </row>
    <row r="949" spans="1:84">
      <c r="A949" s="1032"/>
      <c r="B949" s="839" t="s">
        <v>98</v>
      </c>
      <c r="C949" s="839" t="s">
        <v>381</v>
      </c>
      <c r="D949" s="839" t="s">
        <v>3342</v>
      </c>
      <c r="E949" s="839" t="s">
        <v>3343</v>
      </c>
      <c r="F949" s="841">
        <v>45394</v>
      </c>
      <c r="G949" s="840" t="s">
        <v>383</v>
      </c>
      <c r="H949" s="842" t="s">
        <v>102</v>
      </c>
      <c r="I949" s="842" t="s">
        <v>3344</v>
      </c>
      <c r="J949" s="841" t="s">
        <v>3345</v>
      </c>
      <c r="K949" s="841" t="s">
        <v>3346</v>
      </c>
      <c r="L949" s="843" t="s">
        <v>106</v>
      </c>
      <c r="M949" s="844" t="s">
        <v>107</v>
      </c>
      <c r="N949" s="841"/>
      <c r="O949" s="841" t="s">
        <v>135</v>
      </c>
      <c r="P949" s="841" t="s">
        <v>1812</v>
      </c>
      <c r="Q949" s="843"/>
      <c r="R949" s="845">
        <v>840410</v>
      </c>
      <c r="S949" s="1127" t="s">
        <v>3416</v>
      </c>
      <c r="T949" s="843" t="s">
        <v>3417</v>
      </c>
      <c r="U949" s="842">
        <v>1</v>
      </c>
      <c r="V949" s="842" t="s">
        <v>3</v>
      </c>
      <c r="W949" s="846">
        <v>671</v>
      </c>
      <c r="X949" s="847">
        <f t="shared" si="167"/>
        <v>671</v>
      </c>
      <c r="Y949" s="848">
        <f t="shared" si="176"/>
        <v>0.44999999999999996</v>
      </c>
      <c r="Z949" s="849">
        <v>369.05</v>
      </c>
      <c r="AA949" s="849"/>
      <c r="AB949" s="849">
        <f t="shared" si="168"/>
        <v>369.05</v>
      </c>
      <c r="AC949" s="850">
        <f t="shared" si="169"/>
        <v>369.05</v>
      </c>
      <c r="AD949" s="851"/>
      <c r="AE949" s="852">
        <v>25950.82</v>
      </c>
      <c r="AF949" s="853"/>
      <c r="AG949" s="854">
        <f t="shared" si="170"/>
        <v>0</v>
      </c>
      <c r="AH949" s="853"/>
      <c r="AI949" s="855">
        <f t="shared" si="171"/>
        <v>0</v>
      </c>
      <c r="AJ949" s="845" t="s">
        <v>3410</v>
      </c>
      <c r="AK949" s="857" t="s">
        <v>3374</v>
      </c>
      <c r="AL949" s="839" t="s">
        <v>3411</v>
      </c>
      <c r="AM949" s="840"/>
      <c r="AN949" s="858"/>
      <c r="AO949" s="844" t="s">
        <v>2388</v>
      </c>
      <c r="AP949" s="859"/>
      <c r="AQ949" s="859">
        <v>45839</v>
      </c>
      <c r="AR949" s="859">
        <v>45901</v>
      </c>
      <c r="AS949" s="840"/>
      <c r="AT949" s="840"/>
      <c r="AU949" s="860" t="s">
        <v>2388</v>
      </c>
      <c r="AV949" s="839" t="s">
        <v>3412</v>
      </c>
      <c r="AW949" s="861">
        <v>45931</v>
      </c>
      <c r="AX949" s="862">
        <v>45931</v>
      </c>
      <c r="AY949" s="843"/>
      <c r="AZ949" s="842"/>
      <c r="BA949" s="842"/>
      <c r="BB949" s="863" t="s">
        <v>121</v>
      </c>
      <c r="BC949" s="864">
        <v>45667</v>
      </c>
      <c r="BD949" s="860" t="s">
        <v>3413</v>
      </c>
      <c r="BE949" s="865" cm="1">
        <f t="array" ref="BE949">IF(BD949="","",AC949/SUMPRODUCT(--(BD949=$BD$4:$BD$12824),$AC$4:$AC$12824))</f>
        <v>0.4317889317889318</v>
      </c>
      <c r="BF949" s="458"/>
      <c r="BG949" s="458"/>
      <c r="BH949" s="458"/>
      <c r="BI949" s="458"/>
      <c r="BJ949" s="458"/>
      <c r="BK949" s="458"/>
      <c r="BL949" s="458"/>
      <c r="BM949" s="458"/>
      <c r="BN949" s="458"/>
      <c r="BO949" s="866">
        <f>VLOOKUP(BD949,$BD$4:$BN$12824,3,0)*BE949</f>
        <v>4303500.8153153155</v>
      </c>
      <c r="BP949" s="866"/>
      <c r="BQ949" s="866"/>
      <c r="BR949" s="866">
        <f>VLOOKUP(BD949,$BD$4:$BN$12824,6,0)*BE949</f>
        <v>0</v>
      </c>
      <c r="BS949" s="866">
        <f>VLOOKUP(BD949,$BD$4:$BN$12824,7,0)*BE949</f>
        <v>0</v>
      </c>
      <c r="BT949" s="866"/>
      <c r="BU949" s="866">
        <f>VLOOKUP(BD949,$BD$4:$BN$12824,9,0)*BE949</f>
        <v>0</v>
      </c>
      <c r="BV949" s="867"/>
      <c r="BW949" s="867">
        <f>VLOOKUP(BD949,$BD$4:$BN$12824,11,0)*BE949</f>
        <v>345431.14543114544</v>
      </c>
      <c r="BX949" s="1146">
        <f t="shared" si="177"/>
        <v>4648931.9607464606</v>
      </c>
      <c r="BY949" s="867">
        <f t="shared" si="175"/>
        <v>14226082.081746459</v>
      </c>
      <c r="BZ949" s="867">
        <f t="shared" si="172"/>
        <v>14226082.081746459</v>
      </c>
      <c r="CA949" s="867">
        <f>_xlfn.MAXIFS($BY$4:$BY$12824,$S$4:$S$12824,$S949)</f>
        <v>14226082.081746459</v>
      </c>
      <c r="CB949" s="1032"/>
      <c r="CF949" s="946">
        <f t="shared" si="173"/>
        <v>9577150.1209999993</v>
      </c>
    </row>
    <row r="950" spans="1:84">
      <c r="A950" s="1032"/>
      <c r="B950" s="839" t="s">
        <v>98</v>
      </c>
      <c r="C950" s="839" t="s">
        <v>254</v>
      </c>
      <c r="D950" s="839" t="s">
        <v>3418</v>
      </c>
      <c r="E950" s="839" t="s">
        <v>3419</v>
      </c>
      <c r="F950" s="841">
        <v>45394</v>
      </c>
      <c r="G950" s="840" t="s">
        <v>254</v>
      </c>
      <c r="H950" s="842" t="s">
        <v>102</v>
      </c>
      <c r="I950" s="842" t="s">
        <v>3344</v>
      </c>
      <c r="J950" s="841" t="s">
        <v>3345</v>
      </c>
      <c r="K950" s="841" t="s">
        <v>3346</v>
      </c>
      <c r="L950" s="843" t="s">
        <v>106</v>
      </c>
      <c r="M950" s="844" t="s">
        <v>107</v>
      </c>
      <c r="N950" s="841"/>
      <c r="O950" s="841" t="s">
        <v>108</v>
      </c>
      <c r="P950" s="841" t="s">
        <v>269</v>
      </c>
      <c r="Q950" s="843"/>
      <c r="R950" s="845" t="s">
        <v>2521</v>
      </c>
      <c r="S950" s="1127" t="s">
        <v>2522</v>
      </c>
      <c r="T950" s="843" t="s">
        <v>3420</v>
      </c>
      <c r="U950" s="842">
        <v>1</v>
      </c>
      <c r="V950" s="842" t="s">
        <v>3</v>
      </c>
      <c r="W950" s="846">
        <v>1279</v>
      </c>
      <c r="X950" s="847">
        <f t="shared" si="167"/>
        <v>1279</v>
      </c>
      <c r="Y950" s="848">
        <f t="shared" si="176"/>
        <v>0.48129788897576237</v>
      </c>
      <c r="Z950" s="849">
        <v>663.42</v>
      </c>
      <c r="AA950" s="849"/>
      <c r="AB950" s="849">
        <f t="shared" si="168"/>
        <v>663.42</v>
      </c>
      <c r="AC950" s="850">
        <f t="shared" si="169"/>
        <v>663.42</v>
      </c>
      <c r="AD950" s="851"/>
      <c r="AE950" s="852">
        <v>25950.82</v>
      </c>
      <c r="AF950" s="853"/>
      <c r="AG950" s="854">
        <f t="shared" si="170"/>
        <v>0</v>
      </c>
      <c r="AH950" s="853"/>
      <c r="AI950" s="855">
        <f t="shared" si="171"/>
        <v>0</v>
      </c>
      <c r="AJ950" s="845" t="s">
        <v>3421</v>
      </c>
      <c r="AK950" s="857" t="s">
        <v>3374</v>
      </c>
      <c r="AL950" s="840">
        <v>510021</v>
      </c>
      <c r="AM950" s="840"/>
      <c r="AN950" s="858"/>
      <c r="AO950" s="844"/>
      <c r="AP950" s="859">
        <v>45717</v>
      </c>
      <c r="AQ950" s="859"/>
      <c r="AR950" s="859">
        <v>45839</v>
      </c>
      <c r="AS950" s="840"/>
      <c r="AT950" s="840"/>
      <c r="AU950" s="860" t="s">
        <v>3422</v>
      </c>
      <c r="AV950" s="839" t="s">
        <v>3423</v>
      </c>
      <c r="AW950" s="861">
        <v>45901</v>
      </c>
      <c r="AX950" s="862">
        <v>45931</v>
      </c>
      <c r="AY950" s="843" t="s">
        <v>3424</v>
      </c>
      <c r="AZ950" s="842"/>
      <c r="BA950" s="842" t="s">
        <v>120</v>
      </c>
      <c r="BB950" s="863" t="s">
        <v>121</v>
      </c>
      <c r="BC950" s="864">
        <v>45667</v>
      </c>
      <c r="BD950" s="860" t="s">
        <v>3425</v>
      </c>
      <c r="BE950" s="865" cm="1">
        <f t="array" ref="BE950">IF(BD950="","",AC950/SUMPRODUCT(--(BD950=$BD$4:$BD$12824),$AC$4:$AC$12824))</f>
        <v>0.29730311096770723</v>
      </c>
      <c r="BF950" s="458">
        <v>12202035</v>
      </c>
      <c r="BG950" s="458"/>
      <c r="BH950" s="458"/>
      <c r="BI950" s="458">
        <v>1906491</v>
      </c>
      <c r="BJ950" s="458">
        <v>250000</v>
      </c>
      <c r="BK950" s="458"/>
      <c r="BL950" s="458"/>
      <c r="BM950" s="458"/>
      <c r="BN950" s="458">
        <f>800000</f>
        <v>800000</v>
      </c>
      <c r="BO950" s="866">
        <f>VLOOKUP(BD950,$BD$4:$BN$12824,3,0)*BE950</f>
        <v>3627702.9656368475</v>
      </c>
      <c r="BP950" s="866"/>
      <c r="BQ950" s="866"/>
      <c r="BR950" s="866">
        <f>VLOOKUP(BD950,$BD$4:$BN$12824,6,0)*BE950</f>
        <v>566805.70533193508</v>
      </c>
      <c r="BS950" s="866">
        <f>VLOOKUP(BD950,$BD$4:$BN$12824,7,0)*BE950</f>
        <v>74325.77774192681</v>
      </c>
      <c r="BT950" s="866"/>
      <c r="BU950" s="866">
        <f>VLOOKUP(BD950,$BD$4:$BN$12824,9,0)*BE950</f>
        <v>0</v>
      </c>
      <c r="BV950" s="867"/>
      <c r="BW950" s="867">
        <f>VLOOKUP(BD950,$BD$4:$BN$12824,11,0)*BE950</f>
        <v>237842.48877416577</v>
      </c>
      <c r="BX950" s="1146">
        <f t="shared" si="177"/>
        <v>4506676.9374848744</v>
      </c>
      <c r="BY950" s="867">
        <f t="shared" si="175"/>
        <v>21722969.941884875</v>
      </c>
      <c r="BZ950" s="867">
        <f t="shared" si="172"/>
        <v>21722969.941884875</v>
      </c>
      <c r="CA950" s="867">
        <f>_xlfn.MAXIFS($BY$4:$BY$12824,$S$4:$S$12824,$S950)</f>
        <v>21722969.941884875</v>
      </c>
      <c r="CB950" s="1032"/>
      <c r="CF950" s="946">
        <f t="shared" si="173"/>
        <v>17216293.0044</v>
      </c>
    </row>
    <row r="951" spans="1:84">
      <c r="A951" s="1032"/>
      <c r="B951" s="839" t="s">
        <v>98</v>
      </c>
      <c r="C951" s="839" t="s">
        <v>254</v>
      </c>
      <c r="D951" s="839" t="s">
        <v>3418</v>
      </c>
      <c r="E951" s="839" t="s">
        <v>3419</v>
      </c>
      <c r="F951" s="841">
        <v>45394</v>
      </c>
      <c r="G951" s="840" t="s">
        <v>254</v>
      </c>
      <c r="H951" s="842" t="s">
        <v>102</v>
      </c>
      <c r="I951" s="842" t="s">
        <v>3344</v>
      </c>
      <c r="J951" s="841" t="s">
        <v>3345</v>
      </c>
      <c r="K951" s="841" t="s">
        <v>3346</v>
      </c>
      <c r="L951" s="843" t="s">
        <v>106</v>
      </c>
      <c r="M951" s="844" t="s">
        <v>107</v>
      </c>
      <c r="N951" s="841"/>
      <c r="O951" s="841" t="s">
        <v>108</v>
      </c>
      <c r="P951" s="841" t="s">
        <v>269</v>
      </c>
      <c r="Q951" s="843"/>
      <c r="R951" s="845" t="s">
        <v>3426</v>
      </c>
      <c r="S951" s="1127" t="s">
        <v>3427</v>
      </c>
      <c r="T951" s="843" t="s">
        <v>3428</v>
      </c>
      <c r="U951" s="842">
        <v>1</v>
      </c>
      <c r="V951" s="842" t="s">
        <v>3</v>
      </c>
      <c r="W951" s="846">
        <v>615</v>
      </c>
      <c r="X951" s="847">
        <f t="shared" si="167"/>
        <v>615</v>
      </c>
      <c r="Y951" s="848">
        <f t="shared" si="176"/>
        <v>0.4813008130081301</v>
      </c>
      <c r="Z951" s="849">
        <v>319</v>
      </c>
      <c r="AA951" s="849"/>
      <c r="AB951" s="849">
        <f t="shared" si="168"/>
        <v>319</v>
      </c>
      <c r="AC951" s="850">
        <f t="shared" si="169"/>
        <v>319</v>
      </c>
      <c r="AD951" s="851"/>
      <c r="AE951" s="852">
        <v>25950.82</v>
      </c>
      <c r="AF951" s="853"/>
      <c r="AG951" s="854">
        <f t="shared" si="170"/>
        <v>0</v>
      </c>
      <c r="AH951" s="853"/>
      <c r="AI951" s="855">
        <f t="shared" si="171"/>
        <v>0</v>
      </c>
      <c r="AJ951" s="845" t="s">
        <v>3421</v>
      </c>
      <c r="AK951" s="857" t="s">
        <v>3374</v>
      </c>
      <c r="AL951" s="840">
        <v>510021</v>
      </c>
      <c r="AM951" s="840"/>
      <c r="AN951" s="858"/>
      <c r="AO951" s="844"/>
      <c r="AP951" s="859">
        <v>45717</v>
      </c>
      <c r="AQ951" s="859"/>
      <c r="AR951" s="859">
        <v>45839</v>
      </c>
      <c r="AS951" s="840"/>
      <c r="AT951" s="840"/>
      <c r="AU951" s="860" t="s">
        <v>3422</v>
      </c>
      <c r="AV951" s="839" t="s">
        <v>3423</v>
      </c>
      <c r="AW951" s="861">
        <v>45901</v>
      </c>
      <c r="AX951" s="862">
        <v>45931</v>
      </c>
      <c r="AY951" s="843"/>
      <c r="AZ951" s="842"/>
      <c r="BA951" s="842" t="s">
        <v>120</v>
      </c>
      <c r="BB951" s="863" t="s">
        <v>121</v>
      </c>
      <c r="BC951" s="864">
        <v>45667</v>
      </c>
      <c r="BD951" s="860" t="s">
        <v>3425</v>
      </c>
      <c r="BE951" s="865" cm="1">
        <f t="array" ref="BE951">IF(BD951="","",AC951/SUMPRODUCT(--(BD951=$BD$4:$BD$12824),$AC$4:$AC$12824))</f>
        <v>0.14295573301784481</v>
      </c>
      <c r="BF951" s="458"/>
      <c r="BG951" s="458"/>
      <c r="BH951" s="458"/>
      <c r="BI951" s="458"/>
      <c r="BJ951" s="458"/>
      <c r="BK951" s="458"/>
      <c r="BL951" s="458"/>
      <c r="BM951" s="458"/>
      <c r="BN951" s="458"/>
      <c r="BO951" s="866">
        <f>VLOOKUP(BD951,$BD$4:$BN$12824,3,0)*BE951</f>
        <v>1744350.857734398</v>
      </c>
      <c r="BP951" s="866"/>
      <c r="BQ951" s="866"/>
      <c r="BR951" s="866">
        <f>VLOOKUP(BD951,$BD$4:$BN$12824,6,0)*BE951</f>
        <v>272543.81839692395</v>
      </c>
      <c r="BS951" s="866">
        <f>VLOOKUP(BD951,$BD$4:$BN$12824,7,0)*BE951</f>
        <v>35738.933254461204</v>
      </c>
      <c r="BT951" s="866"/>
      <c r="BU951" s="866">
        <f>VLOOKUP(BD951,$BD$4:$BN$12824,9,0)*BE951</f>
        <v>0</v>
      </c>
      <c r="BV951" s="867"/>
      <c r="BW951" s="867">
        <f>VLOOKUP(BD951,$BD$4:$BN$12824,11,0)*BE951</f>
        <v>114364.58641427585</v>
      </c>
      <c r="BX951" s="1146">
        <f t="shared" si="177"/>
        <v>2166998.195800059</v>
      </c>
      <c r="BY951" s="867">
        <f t="shared" si="175"/>
        <v>10445309.775800059</v>
      </c>
      <c r="BZ951" s="867">
        <f t="shared" si="172"/>
        <v>10445309.775800059</v>
      </c>
      <c r="CA951" s="867">
        <f>_xlfn.MAXIFS($BY$4:$BY$12824,$S$4:$S$12824,$S951)</f>
        <v>10445309.775800059</v>
      </c>
      <c r="CB951" s="1032"/>
      <c r="CF951" s="946">
        <f t="shared" si="173"/>
        <v>8278311.5800000001</v>
      </c>
    </row>
    <row r="952" spans="1:84">
      <c r="A952" s="1032"/>
      <c r="B952" s="839" t="s">
        <v>98</v>
      </c>
      <c r="C952" s="839" t="s">
        <v>254</v>
      </c>
      <c r="D952" s="839" t="s">
        <v>3418</v>
      </c>
      <c r="E952" s="839" t="s">
        <v>3419</v>
      </c>
      <c r="F952" s="841">
        <v>45394</v>
      </c>
      <c r="G952" s="840" t="s">
        <v>254</v>
      </c>
      <c r="H952" s="842" t="s">
        <v>102</v>
      </c>
      <c r="I952" s="842" t="s">
        <v>3344</v>
      </c>
      <c r="J952" s="841" t="s">
        <v>3345</v>
      </c>
      <c r="K952" s="841" t="s">
        <v>3346</v>
      </c>
      <c r="L952" s="843" t="s">
        <v>106</v>
      </c>
      <c r="M952" s="844" t="s">
        <v>107</v>
      </c>
      <c r="N952" s="841"/>
      <c r="O952" s="841" t="s">
        <v>108</v>
      </c>
      <c r="P952" s="841" t="s">
        <v>2088</v>
      </c>
      <c r="Q952" s="843"/>
      <c r="R952" s="845" t="s">
        <v>3429</v>
      </c>
      <c r="S952" s="1127" t="s">
        <v>3430</v>
      </c>
      <c r="T952" s="843" t="s">
        <v>3431</v>
      </c>
      <c r="U952" s="842">
        <v>4</v>
      </c>
      <c r="V952" s="842" t="s">
        <v>3</v>
      </c>
      <c r="W952" s="846">
        <v>393</v>
      </c>
      <c r="X952" s="847">
        <f t="shared" si="167"/>
        <v>1572</v>
      </c>
      <c r="Y952" s="848">
        <f t="shared" si="176"/>
        <v>0.48129770992366416</v>
      </c>
      <c r="Z952" s="849">
        <v>203.85</v>
      </c>
      <c r="AA952" s="849"/>
      <c r="AB952" s="849">
        <f t="shared" si="168"/>
        <v>815.4</v>
      </c>
      <c r="AC952" s="850">
        <f t="shared" si="169"/>
        <v>815.4</v>
      </c>
      <c r="AD952" s="851"/>
      <c r="AE952" s="852">
        <v>25950.82</v>
      </c>
      <c r="AF952" s="853"/>
      <c r="AG952" s="854">
        <f t="shared" si="170"/>
        <v>0</v>
      </c>
      <c r="AH952" s="853"/>
      <c r="AI952" s="855">
        <f t="shared" si="171"/>
        <v>0</v>
      </c>
      <c r="AJ952" s="845" t="s">
        <v>3421</v>
      </c>
      <c r="AK952" s="857" t="s">
        <v>3374</v>
      </c>
      <c r="AL952" s="840">
        <v>510021</v>
      </c>
      <c r="AM952" s="840"/>
      <c r="AN952" s="858"/>
      <c r="AO952" s="844"/>
      <c r="AP952" s="859">
        <v>45717</v>
      </c>
      <c r="AQ952" s="859"/>
      <c r="AR952" s="859">
        <v>45839</v>
      </c>
      <c r="AS952" s="840"/>
      <c r="AT952" s="840"/>
      <c r="AU952" s="860" t="s">
        <v>3422</v>
      </c>
      <c r="AV952" s="839" t="s">
        <v>3423</v>
      </c>
      <c r="AW952" s="861">
        <v>45901</v>
      </c>
      <c r="AX952" s="862">
        <v>45931</v>
      </c>
      <c r="AY952" s="843"/>
      <c r="AZ952" s="842"/>
      <c r="BA952" s="842" t="s">
        <v>120</v>
      </c>
      <c r="BB952" s="863" t="s">
        <v>121</v>
      </c>
      <c r="BC952" s="864">
        <v>45667</v>
      </c>
      <c r="BD952" s="860" t="s">
        <v>3425</v>
      </c>
      <c r="BE952" s="865" cm="1">
        <f t="array" ref="BE952">IF(BD952="","",AC952/SUMPRODUCT(--(BD952=$BD$4:$BD$12824),$AC$4:$AC$12824))</f>
        <v>0.36541098652899895</v>
      </c>
      <c r="BF952" s="458"/>
      <c r="BG952" s="458"/>
      <c r="BH952" s="458"/>
      <c r="BI952" s="458"/>
      <c r="BJ952" s="458"/>
      <c r="BK952" s="458"/>
      <c r="BL952" s="458"/>
      <c r="BM952" s="458"/>
      <c r="BN952" s="458"/>
      <c r="BO952" s="866">
        <f>VLOOKUP(BD952,$BD$4:$BN$12824,3,0)*BE952</f>
        <v>4458757.6470113741</v>
      </c>
      <c r="BP952" s="866"/>
      <c r="BQ952" s="866"/>
      <c r="BR952" s="866">
        <f>VLOOKUP(BD952,$BD$4:$BN$12824,6,0)*BE952</f>
        <v>696652.7571186577</v>
      </c>
      <c r="BS952" s="866">
        <f>VLOOKUP(BD952,$BD$4:$BN$12824,7,0)*BE952</f>
        <v>91352.746632249735</v>
      </c>
      <c r="BT952" s="866"/>
      <c r="BU952" s="866">
        <f>VLOOKUP(BD952,$BD$4:$BN$12824,9,0)*BE952</f>
        <v>0</v>
      </c>
      <c r="BV952" s="867"/>
      <c r="BW952" s="867">
        <f>VLOOKUP(BD952,$BD$4:$BN$12824,11,0)*BE952</f>
        <v>292328.78922319919</v>
      </c>
      <c r="BX952" s="1146">
        <f t="shared" si="177"/>
        <v>5539091.9399854811</v>
      </c>
      <c r="BY952" s="867">
        <f t="shared" si="175"/>
        <v>6674847.6419963697</v>
      </c>
      <c r="BZ952" s="867">
        <f t="shared" si="172"/>
        <v>26699390.567985479</v>
      </c>
      <c r="CA952" s="867">
        <f>_xlfn.MAXIFS($BY$4:$BY$12824,$S$4:$S$12824,$S952)</f>
        <v>6674847.6419963697</v>
      </c>
      <c r="CB952" s="1032"/>
      <c r="CF952" s="946">
        <f t="shared" si="173"/>
        <v>21160298.627999999</v>
      </c>
    </row>
    <row r="953" spans="1:84">
      <c r="A953" s="1032"/>
      <c r="B953" s="839" t="s">
        <v>98</v>
      </c>
      <c r="C953" s="839" t="s">
        <v>254</v>
      </c>
      <c r="D953" s="839" t="s">
        <v>3418</v>
      </c>
      <c r="E953" s="839" t="s">
        <v>3419</v>
      </c>
      <c r="F953" s="841">
        <v>45394</v>
      </c>
      <c r="G953" s="840" t="s">
        <v>254</v>
      </c>
      <c r="H953" s="842" t="s">
        <v>102</v>
      </c>
      <c r="I953" s="842" t="s">
        <v>3344</v>
      </c>
      <c r="J953" s="841" t="s">
        <v>3345</v>
      </c>
      <c r="K953" s="841" t="s">
        <v>3346</v>
      </c>
      <c r="L953" s="843" t="s">
        <v>106</v>
      </c>
      <c r="M953" s="844" t="s">
        <v>107</v>
      </c>
      <c r="N953" s="841"/>
      <c r="O953" s="841" t="s">
        <v>108</v>
      </c>
      <c r="P953" s="841" t="s">
        <v>160</v>
      </c>
      <c r="Q953" s="843"/>
      <c r="R953" s="845" t="s">
        <v>3432</v>
      </c>
      <c r="S953" s="1127" t="s">
        <v>3433</v>
      </c>
      <c r="T953" s="843" t="s">
        <v>3434</v>
      </c>
      <c r="U953" s="842">
        <v>4</v>
      </c>
      <c r="V953" s="842" t="s">
        <v>3</v>
      </c>
      <c r="W953" s="846">
        <v>209</v>
      </c>
      <c r="X953" s="847">
        <f t="shared" si="167"/>
        <v>836</v>
      </c>
      <c r="Y953" s="848">
        <f t="shared" si="176"/>
        <v>0.48129186602870816</v>
      </c>
      <c r="Z953" s="849">
        <v>108.41</v>
      </c>
      <c r="AA953" s="849"/>
      <c r="AB953" s="849">
        <f t="shared" si="168"/>
        <v>433.64</v>
      </c>
      <c r="AC953" s="850">
        <f t="shared" si="169"/>
        <v>433.64</v>
      </c>
      <c r="AD953" s="851"/>
      <c r="AE953" s="852">
        <v>25950.82</v>
      </c>
      <c r="AF953" s="853"/>
      <c r="AG953" s="854">
        <f t="shared" si="170"/>
        <v>0</v>
      </c>
      <c r="AH953" s="853"/>
      <c r="AI953" s="855">
        <f t="shared" si="171"/>
        <v>0</v>
      </c>
      <c r="AJ953" s="845" t="s">
        <v>3421</v>
      </c>
      <c r="AK953" s="857" t="s">
        <v>3374</v>
      </c>
      <c r="AL953" s="840">
        <v>510021</v>
      </c>
      <c r="AM953" s="840"/>
      <c r="AN953" s="858"/>
      <c r="AO953" s="844"/>
      <c r="AP953" s="859">
        <v>45717</v>
      </c>
      <c r="AQ953" s="859"/>
      <c r="AR953" s="859">
        <v>45839</v>
      </c>
      <c r="AS953" s="840"/>
      <c r="AT953" s="840"/>
      <c r="AU953" s="860" t="s">
        <v>3422</v>
      </c>
      <c r="AV953" s="839" t="s">
        <v>3423</v>
      </c>
      <c r="AW953" s="861">
        <v>45901</v>
      </c>
      <c r="AX953" s="862">
        <v>45931</v>
      </c>
      <c r="AY953" s="843"/>
      <c r="AZ953" s="842"/>
      <c r="BA953" s="842" t="s">
        <v>120</v>
      </c>
      <c r="BB953" s="863" t="s">
        <v>121</v>
      </c>
      <c r="BC953" s="864">
        <v>45667</v>
      </c>
      <c r="BD953" s="860" t="s">
        <v>3425</v>
      </c>
      <c r="BE953" s="865" cm="1">
        <f t="array" ref="BE953">IF(BD953="","",AC953/SUMPRODUCT(--(BD953=$BD$4:$BD$12824),$AC$4:$AC$12824))</f>
        <v>0.19433016948544898</v>
      </c>
      <c r="BF953" s="458"/>
      <c r="BG953" s="458"/>
      <c r="BH953" s="458"/>
      <c r="BI953" s="458"/>
      <c r="BJ953" s="458"/>
      <c r="BK953" s="458"/>
      <c r="BL953" s="458"/>
      <c r="BM953" s="458"/>
      <c r="BN953" s="458"/>
      <c r="BO953" s="866">
        <f>VLOOKUP(BD953,$BD$4:$BN$12824,3,0)*BE953</f>
        <v>2371223.5296173804</v>
      </c>
      <c r="BP953" s="866"/>
      <c r="BQ953" s="866"/>
      <c r="BR953" s="866">
        <f>VLOOKUP(BD953,$BD$4:$BN$12824,6,0)*BE953</f>
        <v>370488.7191524831</v>
      </c>
      <c r="BS953" s="866">
        <f>VLOOKUP(BD953,$BD$4:$BN$12824,7,0)*BE953</f>
        <v>48582.542371362244</v>
      </c>
      <c r="BT953" s="866"/>
      <c r="BU953" s="866">
        <f>VLOOKUP(BD953,$BD$4:$BN$12824,9,0)*BE953</f>
        <v>0</v>
      </c>
      <c r="BV953" s="867"/>
      <c r="BW953" s="867">
        <f>VLOOKUP(BD953,$BD$4:$BN$12824,11,0)*BE953</f>
        <v>155464.13558835918</v>
      </c>
      <c r="BX953" s="1146">
        <f t="shared" si="177"/>
        <v>2945758.926729585</v>
      </c>
      <c r="BY953" s="867">
        <f t="shared" si="175"/>
        <v>3549768.1278823959</v>
      </c>
      <c r="BZ953" s="867">
        <f t="shared" si="172"/>
        <v>14199072.511529583</v>
      </c>
      <c r="CA953" s="867">
        <f>_xlfn.MAXIFS($BY$4:$BY$12824,$S$4:$S$12824,$S953)</f>
        <v>3549768.1278823959</v>
      </c>
      <c r="CB953" s="1032"/>
      <c r="CF953" s="946">
        <f t="shared" si="173"/>
        <v>11253313.584799999</v>
      </c>
    </row>
    <row r="954" spans="1:84">
      <c r="A954" s="1032"/>
      <c r="B954" s="839" t="s">
        <v>98</v>
      </c>
      <c r="C954" s="839" t="s">
        <v>951</v>
      </c>
      <c r="D954" s="839" t="s">
        <v>3435</v>
      </c>
      <c r="E954" s="839" t="s">
        <v>3436</v>
      </c>
      <c r="F954" s="841">
        <v>45394</v>
      </c>
      <c r="G954" s="840" t="s">
        <v>951</v>
      </c>
      <c r="H954" s="842" t="s">
        <v>102</v>
      </c>
      <c r="I954" s="842" t="s">
        <v>3344</v>
      </c>
      <c r="J954" s="841" t="s">
        <v>3345</v>
      </c>
      <c r="K954" s="841" t="s">
        <v>3346</v>
      </c>
      <c r="L954" s="843" t="s">
        <v>106</v>
      </c>
      <c r="M954" s="844" t="s">
        <v>107</v>
      </c>
      <c r="N954" s="841"/>
      <c r="O954" s="841" t="s">
        <v>135</v>
      </c>
      <c r="P954" s="841" t="s">
        <v>3437</v>
      </c>
      <c r="Q954" s="843"/>
      <c r="R954" s="845">
        <v>9034</v>
      </c>
      <c r="S954" s="1127" t="s">
        <v>961</v>
      </c>
      <c r="T954" s="843" t="s">
        <v>3438</v>
      </c>
      <c r="U954" s="842">
        <v>20</v>
      </c>
      <c r="V954" s="842" t="s">
        <v>3</v>
      </c>
      <c r="W954" s="846">
        <v>55.83</v>
      </c>
      <c r="X954" s="847">
        <f t="shared" si="167"/>
        <v>1116.5999999999999</v>
      </c>
      <c r="Y954" s="848">
        <f t="shared" si="176"/>
        <v>4.9973132724341736E-2</v>
      </c>
      <c r="Z954" s="849">
        <v>53.04</v>
      </c>
      <c r="AA954" s="849"/>
      <c r="AB954" s="849">
        <f t="shared" si="168"/>
        <v>1060.8</v>
      </c>
      <c r="AC954" s="850">
        <f t="shared" si="169"/>
        <v>1060.8</v>
      </c>
      <c r="AD954" s="851"/>
      <c r="AE954" s="852">
        <v>25758.959999999999</v>
      </c>
      <c r="AF954" s="853"/>
      <c r="AG954" s="854">
        <f t="shared" si="170"/>
        <v>0</v>
      </c>
      <c r="AH954" s="853"/>
      <c r="AI954" s="855">
        <f t="shared" si="171"/>
        <v>0</v>
      </c>
      <c r="AJ954" s="845" t="s">
        <v>3439</v>
      </c>
      <c r="AK954" s="857">
        <v>45547</v>
      </c>
      <c r="AL954" s="840" t="s">
        <v>3440</v>
      </c>
      <c r="AM954" s="840"/>
      <c r="AN954" s="858"/>
      <c r="AO954" s="844"/>
      <c r="AP954" s="859">
        <v>45931</v>
      </c>
      <c r="AQ954" s="859"/>
      <c r="AR954" s="859">
        <v>45992</v>
      </c>
      <c r="AS954" s="840"/>
      <c r="AT954" s="840"/>
      <c r="AU954" s="860" t="s">
        <v>1285</v>
      </c>
      <c r="AV954" s="839" t="s">
        <v>3441</v>
      </c>
      <c r="AW954" s="861">
        <v>45671</v>
      </c>
      <c r="AX954" s="862" t="s">
        <v>2556</v>
      </c>
      <c r="AY954" s="843"/>
      <c r="AZ954" s="842"/>
      <c r="BA954" s="842" t="s">
        <v>120</v>
      </c>
      <c r="BB954" s="863" t="s">
        <v>121</v>
      </c>
      <c r="BC954" s="864">
        <v>45672</v>
      </c>
      <c r="BD954" s="860" t="s">
        <v>3442</v>
      </c>
      <c r="BE954" s="865" cm="1">
        <f t="array" ref="BE954">IF(BD954="","",AC954/SUMPRODUCT(--(BD954=$BD$4:$BD$12824),$AC$4:$AC$12824))</f>
        <v>0.44571428571428562</v>
      </c>
      <c r="BF954" s="458">
        <v>3757320</v>
      </c>
      <c r="BG954" s="458"/>
      <c r="BH954" s="458"/>
      <c r="BI954" s="458">
        <f>11317968/1.08</f>
        <v>10479600</v>
      </c>
      <c r="BJ954" s="458"/>
      <c r="BK954" s="458"/>
      <c r="BL954" s="458"/>
      <c r="BM954" s="458"/>
      <c r="BN954" s="458"/>
      <c r="BO954" s="866">
        <f>VLOOKUP(BD954,$BD$4:$BN$12824,3,0)*BE954</f>
        <v>1674691.1999999997</v>
      </c>
      <c r="BP954" s="866"/>
      <c r="BQ954" s="866"/>
      <c r="BR954" s="866">
        <f>VLOOKUP(BD954,$BD$4:$BN$12824,6,0)*BE954</f>
        <v>4670907.4285714272</v>
      </c>
      <c r="BS954" s="866">
        <f>VLOOKUP(BD954,$BD$4:$BN$12824,7,0)*BE954</f>
        <v>0</v>
      </c>
      <c r="BT954" s="866"/>
      <c r="BU954" s="866">
        <f>VLOOKUP(BD954,$BD$4:$BN$12824,9,0)*BE954</f>
        <v>0</v>
      </c>
      <c r="BV954" s="867"/>
      <c r="BW954" s="867">
        <f>VLOOKUP(BD954,$BD$4:$BN$12824,11,0)*BE954</f>
        <v>0</v>
      </c>
      <c r="BX954" s="1146">
        <f t="shared" si="177"/>
        <v>6345598.6285714265</v>
      </c>
      <c r="BY954" s="867">
        <f t="shared" si="175"/>
        <v>1683535.1698285714</v>
      </c>
      <c r="BZ954" s="867">
        <f t="shared" si="172"/>
        <v>33670703.396571428</v>
      </c>
      <c r="CA954" s="867">
        <f>_xlfn.MAXIFS($BY$4:$BY$12824,$S$4:$S$12824,$S954)</f>
        <v>2500544.9935086346</v>
      </c>
      <c r="CB954" s="1032"/>
      <c r="CF954" s="946">
        <f t="shared" si="173"/>
        <v>27325104.767999999</v>
      </c>
    </row>
    <row r="955" spans="1:84">
      <c r="A955" s="1032"/>
      <c r="B955" s="839" t="s">
        <v>98</v>
      </c>
      <c r="C955" s="839" t="s">
        <v>951</v>
      </c>
      <c r="D955" s="839" t="s">
        <v>3435</v>
      </c>
      <c r="E955" s="839" t="s">
        <v>3436</v>
      </c>
      <c r="F955" s="841">
        <v>45394</v>
      </c>
      <c r="G955" s="840" t="s">
        <v>951</v>
      </c>
      <c r="H955" s="842" t="s">
        <v>102</v>
      </c>
      <c r="I955" s="842" t="s">
        <v>3344</v>
      </c>
      <c r="J955" s="841" t="s">
        <v>3345</v>
      </c>
      <c r="K955" s="841" t="s">
        <v>3346</v>
      </c>
      <c r="L955" s="843" t="s">
        <v>106</v>
      </c>
      <c r="M955" s="844" t="s">
        <v>107</v>
      </c>
      <c r="N955" s="841"/>
      <c r="O955" s="841" t="s">
        <v>135</v>
      </c>
      <c r="P955" s="841" t="s">
        <v>3437</v>
      </c>
      <c r="Q955" s="843"/>
      <c r="R955" s="845">
        <v>9004</v>
      </c>
      <c r="S955" s="1127" t="s">
        <v>953</v>
      </c>
      <c r="T955" s="843" t="s">
        <v>3443</v>
      </c>
      <c r="U955" s="842">
        <v>12</v>
      </c>
      <c r="V955" s="842" t="s">
        <v>3</v>
      </c>
      <c r="W955" s="846">
        <v>19.579999999999998</v>
      </c>
      <c r="X955" s="847">
        <f t="shared" si="167"/>
        <v>234.95999999999998</v>
      </c>
      <c r="Y955" s="848">
        <f t="shared" si="176"/>
        <v>5.0051072522982479E-2</v>
      </c>
      <c r="Z955" s="849">
        <v>18.600000000000001</v>
      </c>
      <c r="AA955" s="849"/>
      <c r="AB955" s="849">
        <f t="shared" si="168"/>
        <v>223.20000000000002</v>
      </c>
      <c r="AC955" s="850">
        <f t="shared" si="169"/>
        <v>223.20000000000002</v>
      </c>
      <c r="AD955" s="851"/>
      <c r="AE955" s="852">
        <v>25758.959999999999</v>
      </c>
      <c r="AF955" s="853"/>
      <c r="AG955" s="854">
        <f t="shared" si="170"/>
        <v>0</v>
      </c>
      <c r="AH955" s="853"/>
      <c r="AI955" s="855">
        <f t="shared" si="171"/>
        <v>0</v>
      </c>
      <c r="AJ955" s="845" t="s">
        <v>3439</v>
      </c>
      <c r="AK955" s="857">
        <v>45547</v>
      </c>
      <c r="AL955" s="840" t="s">
        <v>3440</v>
      </c>
      <c r="AM955" s="840"/>
      <c r="AN955" s="858"/>
      <c r="AO955" s="844"/>
      <c r="AP955" s="859">
        <v>45931</v>
      </c>
      <c r="AQ955" s="859"/>
      <c r="AR955" s="859">
        <v>45992</v>
      </c>
      <c r="AS955" s="840"/>
      <c r="AT955" s="840"/>
      <c r="AU955" s="860" t="s">
        <v>1285</v>
      </c>
      <c r="AV955" s="839" t="s">
        <v>3441</v>
      </c>
      <c r="AW955" s="861">
        <v>45671</v>
      </c>
      <c r="AX955" s="862" t="s">
        <v>2556</v>
      </c>
      <c r="AY955" s="843"/>
      <c r="AZ955" s="842"/>
      <c r="BA955" s="842" t="s">
        <v>120</v>
      </c>
      <c r="BB955" s="863" t="s">
        <v>121</v>
      </c>
      <c r="BC955" s="864">
        <v>45672</v>
      </c>
      <c r="BD955" s="860" t="s">
        <v>3442</v>
      </c>
      <c r="BE955" s="865" cm="1">
        <f t="array" ref="BE955">IF(BD955="","",AC955/SUMPRODUCT(--(BD955=$BD$4:$BD$12824),$AC$4:$AC$12824))</f>
        <v>9.3781512605042E-2</v>
      </c>
      <c r="BF955" s="458"/>
      <c r="BG955" s="458"/>
      <c r="BH955" s="458"/>
      <c r="BI955" s="458"/>
      <c r="BJ955" s="458"/>
      <c r="BK955" s="458"/>
      <c r="BL955" s="458"/>
      <c r="BM955" s="458"/>
      <c r="BN955" s="458"/>
      <c r="BO955" s="866">
        <f>VLOOKUP(BD955,$BD$4:$BN$12824,3,0)*BE955</f>
        <v>352367.15294117643</v>
      </c>
      <c r="BP955" s="866"/>
      <c r="BQ955" s="866"/>
      <c r="BR955" s="866">
        <f>VLOOKUP(BD955,$BD$4:$BN$12824,6,0)*BE955</f>
        <v>982792.73949579813</v>
      </c>
      <c r="BS955" s="866">
        <f>VLOOKUP(BD955,$BD$4:$BN$12824,7,0)*BE955</f>
        <v>0</v>
      </c>
      <c r="BT955" s="866"/>
      <c r="BU955" s="866">
        <f>VLOOKUP(BD955,$BD$4:$BN$12824,9,0)*BE955</f>
        <v>0</v>
      </c>
      <c r="BV955" s="867"/>
      <c r="BW955" s="867">
        <f>VLOOKUP(BD955,$BD$4:$BN$12824,11,0)*BE955</f>
        <v>0</v>
      </c>
      <c r="BX955" s="1146">
        <f t="shared" si="177"/>
        <v>1335159.8924369747</v>
      </c>
      <c r="BY955" s="867">
        <f t="shared" si="175"/>
        <v>590379.98036974797</v>
      </c>
      <c r="BZ955" s="867">
        <f t="shared" si="172"/>
        <v>7084559.7644369751</v>
      </c>
      <c r="CA955" s="867">
        <f>_xlfn.MAXIFS($BY$4:$BY$12824,$S$4:$S$12824,$S955)</f>
        <v>876359.22669695131</v>
      </c>
      <c r="CB955" s="1032"/>
      <c r="CF955" s="946">
        <f t="shared" si="173"/>
        <v>5749399.8720000004</v>
      </c>
    </row>
    <row r="956" spans="1:84">
      <c r="A956" s="1032"/>
      <c r="B956" s="839" t="s">
        <v>98</v>
      </c>
      <c r="C956" s="839" t="s">
        <v>951</v>
      </c>
      <c r="D956" s="839" t="s">
        <v>3435</v>
      </c>
      <c r="E956" s="839" t="s">
        <v>3436</v>
      </c>
      <c r="F956" s="841">
        <v>45394</v>
      </c>
      <c r="G956" s="840" t="s">
        <v>951</v>
      </c>
      <c r="H956" s="842" t="s">
        <v>102</v>
      </c>
      <c r="I956" s="842" t="s">
        <v>3344</v>
      </c>
      <c r="J956" s="841" t="s">
        <v>3345</v>
      </c>
      <c r="K956" s="841" t="s">
        <v>3346</v>
      </c>
      <c r="L956" s="843" t="s">
        <v>106</v>
      </c>
      <c r="M956" s="844" t="s">
        <v>107</v>
      </c>
      <c r="N956" s="841"/>
      <c r="O956" s="841" t="s">
        <v>135</v>
      </c>
      <c r="P956" s="841" t="s">
        <v>3437</v>
      </c>
      <c r="Q956" s="843"/>
      <c r="R956" s="845">
        <v>9024</v>
      </c>
      <c r="S956" s="1127" t="s">
        <v>965</v>
      </c>
      <c r="T956" s="843" t="s">
        <v>3444</v>
      </c>
      <c r="U956" s="842">
        <v>8</v>
      </c>
      <c r="V956" s="842" t="s">
        <v>3</v>
      </c>
      <c r="W956" s="846">
        <v>41.67</v>
      </c>
      <c r="X956" s="847">
        <f t="shared" si="167"/>
        <v>333.36</v>
      </c>
      <c r="Y956" s="848">
        <f t="shared" si="176"/>
        <v>4.9916006719462398E-2</v>
      </c>
      <c r="Z956" s="849">
        <v>39.590000000000003</v>
      </c>
      <c r="AA956" s="849"/>
      <c r="AB956" s="849">
        <f t="shared" si="168"/>
        <v>316.72000000000003</v>
      </c>
      <c r="AC956" s="850">
        <f t="shared" si="169"/>
        <v>316.72000000000003</v>
      </c>
      <c r="AD956" s="851"/>
      <c r="AE956" s="852">
        <v>25758.959999999999</v>
      </c>
      <c r="AF956" s="853"/>
      <c r="AG956" s="854">
        <f t="shared" si="170"/>
        <v>0</v>
      </c>
      <c r="AH956" s="853"/>
      <c r="AI956" s="855">
        <f t="shared" si="171"/>
        <v>0</v>
      </c>
      <c r="AJ956" s="845" t="s">
        <v>3439</v>
      </c>
      <c r="AK956" s="857">
        <v>45547</v>
      </c>
      <c r="AL956" s="840" t="s">
        <v>3440</v>
      </c>
      <c r="AM956" s="840"/>
      <c r="AN956" s="858"/>
      <c r="AO956" s="844"/>
      <c r="AP956" s="859">
        <v>45931</v>
      </c>
      <c r="AQ956" s="859"/>
      <c r="AR956" s="859">
        <v>45992</v>
      </c>
      <c r="AS956" s="840"/>
      <c r="AT956" s="840"/>
      <c r="AU956" s="860" t="s">
        <v>1285</v>
      </c>
      <c r="AV956" s="839" t="s">
        <v>3441</v>
      </c>
      <c r="AW956" s="861">
        <v>45671</v>
      </c>
      <c r="AX956" s="862" t="s">
        <v>2556</v>
      </c>
      <c r="AY956" s="843"/>
      <c r="AZ956" s="842"/>
      <c r="BA956" s="842" t="s">
        <v>120</v>
      </c>
      <c r="BB956" s="863" t="s">
        <v>121</v>
      </c>
      <c r="BC956" s="864">
        <v>45672</v>
      </c>
      <c r="BD956" s="860" t="s">
        <v>3442</v>
      </c>
      <c r="BE956" s="865" cm="1">
        <f t="array" ref="BE956">IF(BD956="","",AC956/SUMPRODUCT(--(BD956=$BD$4:$BD$12824),$AC$4:$AC$12824))</f>
        <v>0.13307563025210081</v>
      </c>
      <c r="BF956" s="458"/>
      <c r="BG956" s="458"/>
      <c r="BH956" s="458"/>
      <c r="BI956" s="458"/>
      <c r="BJ956" s="458"/>
      <c r="BK956" s="458"/>
      <c r="BL956" s="458"/>
      <c r="BM956" s="458"/>
      <c r="BN956" s="458"/>
      <c r="BO956" s="866">
        <f>VLOOKUP(BD956,$BD$4:$BN$12824,3,0)*BE956</f>
        <v>500007.72705882345</v>
      </c>
      <c r="BP956" s="866"/>
      <c r="BQ956" s="866"/>
      <c r="BR956" s="866">
        <f>VLOOKUP(BD956,$BD$4:$BN$12824,6,0)*BE956</f>
        <v>1394579.3747899157</v>
      </c>
      <c r="BS956" s="866">
        <f>VLOOKUP(BD956,$BD$4:$BN$12824,7,0)*BE956</f>
        <v>0</v>
      </c>
      <c r="BT956" s="866"/>
      <c r="BU956" s="866">
        <f>VLOOKUP(BD956,$BD$4:$BN$12824,9,0)*BE956</f>
        <v>0</v>
      </c>
      <c r="BV956" s="867"/>
      <c r="BW956" s="867">
        <f>VLOOKUP(BD956,$BD$4:$BN$12824,11,0)*BE956</f>
        <v>0</v>
      </c>
      <c r="BX956" s="1146">
        <f t="shared" si="177"/>
        <v>1894587.1018487392</v>
      </c>
      <c r="BY956" s="867">
        <f t="shared" si="175"/>
        <v>1256620.6141310926</v>
      </c>
      <c r="BZ956" s="867">
        <f t="shared" si="172"/>
        <v>10052964.91304874</v>
      </c>
      <c r="CA956" s="867">
        <f>_xlfn.MAXIFS($BY$4:$BY$12824,$S$4:$S$12824,$S956)</f>
        <v>1301349.8403092097</v>
      </c>
      <c r="CB956" s="1032"/>
      <c r="CF956" s="946">
        <f t="shared" si="173"/>
        <v>8158377.8112000003</v>
      </c>
    </row>
    <row r="957" spans="1:84">
      <c r="A957" s="1032"/>
      <c r="B957" s="839" t="s">
        <v>98</v>
      </c>
      <c r="C957" s="839" t="s">
        <v>951</v>
      </c>
      <c r="D957" s="839" t="s">
        <v>3435</v>
      </c>
      <c r="E957" s="839" t="s">
        <v>3436</v>
      </c>
      <c r="F957" s="841">
        <v>45394</v>
      </c>
      <c r="G957" s="840" t="s">
        <v>951</v>
      </c>
      <c r="H957" s="842" t="s">
        <v>102</v>
      </c>
      <c r="I957" s="842" t="s">
        <v>3344</v>
      </c>
      <c r="J957" s="841" t="s">
        <v>3345</v>
      </c>
      <c r="K957" s="841" t="s">
        <v>3346</v>
      </c>
      <c r="L957" s="843" t="s">
        <v>106</v>
      </c>
      <c r="M957" s="844" t="s">
        <v>107</v>
      </c>
      <c r="N957" s="841"/>
      <c r="O957" s="841" t="s">
        <v>135</v>
      </c>
      <c r="P957" s="841" t="s">
        <v>3437</v>
      </c>
      <c r="Q957" s="843"/>
      <c r="R957" s="845">
        <v>9054</v>
      </c>
      <c r="S957" s="1127" t="s">
        <v>967</v>
      </c>
      <c r="T957" s="843" t="s">
        <v>3445</v>
      </c>
      <c r="U957" s="842">
        <v>4</v>
      </c>
      <c r="V957" s="842" t="s">
        <v>3</v>
      </c>
      <c r="W957" s="846">
        <v>11.25</v>
      </c>
      <c r="X957" s="847">
        <f t="shared" si="167"/>
        <v>45</v>
      </c>
      <c r="Y957" s="848">
        <f t="shared" si="176"/>
        <v>4.9777777777777824E-2</v>
      </c>
      <c r="Z957" s="849">
        <v>10.69</v>
      </c>
      <c r="AA957" s="849"/>
      <c r="AB957" s="849">
        <f t="shared" si="168"/>
        <v>42.76</v>
      </c>
      <c r="AC957" s="850">
        <f t="shared" si="169"/>
        <v>42.76</v>
      </c>
      <c r="AD957" s="851"/>
      <c r="AE957" s="852">
        <v>25758.959999999999</v>
      </c>
      <c r="AF957" s="853"/>
      <c r="AG957" s="854">
        <f t="shared" si="170"/>
        <v>0</v>
      </c>
      <c r="AH957" s="853"/>
      <c r="AI957" s="855">
        <f t="shared" si="171"/>
        <v>0</v>
      </c>
      <c r="AJ957" s="845" t="s">
        <v>3439</v>
      </c>
      <c r="AK957" s="857">
        <v>45547</v>
      </c>
      <c r="AL957" s="840" t="s">
        <v>3440</v>
      </c>
      <c r="AM957" s="840"/>
      <c r="AN957" s="858"/>
      <c r="AO957" s="844"/>
      <c r="AP957" s="859">
        <v>45931</v>
      </c>
      <c r="AQ957" s="859"/>
      <c r="AR957" s="859">
        <v>45992</v>
      </c>
      <c r="AS957" s="840"/>
      <c r="AT957" s="840"/>
      <c r="AU957" s="860" t="s">
        <v>1285</v>
      </c>
      <c r="AV957" s="839" t="s">
        <v>3441</v>
      </c>
      <c r="AW957" s="861">
        <v>45671</v>
      </c>
      <c r="AX957" s="862" t="s">
        <v>2556</v>
      </c>
      <c r="AY957" s="843"/>
      <c r="AZ957" s="842"/>
      <c r="BA957" s="842" t="s">
        <v>120</v>
      </c>
      <c r="BB957" s="863" t="s">
        <v>121</v>
      </c>
      <c r="BC957" s="864">
        <v>45672</v>
      </c>
      <c r="BD957" s="860" t="s">
        <v>3442</v>
      </c>
      <c r="BE957" s="865" cm="1">
        <f t="array" ref="BE957">IF(BD957="","",AC957/SUMPRODUCT(--(BD957=$BD$4:$BD$12824),$AC$4:$AC$12824))</f>
        <v>1.7966386554621846E-2</v>
      </c>
      <c r="BF957" s="458"/>
      <c r="BG957" s="458"/>
      <c r="BH957" s="458"/>
      <c r="BI957" s="458"/>
      <c r="BJ957" s="458"/>
      <c r="BK957" s="458"/>
      <c r="BL957" s="458"/>
      <c r="BM957" s="458"/>
      <c r="BN957" s="458"/>
      <c r="BO957" s="866">
        <f>VLOOKUP(BD957,$BD$4:$BN$12824,3,0)*BE957</f>
        <v>67505.463529411747</v>
      </c>
      <c r="BP957" s="866"/>
      <c r="BQ957" s="866"/>
      <c r="BR957" s="866">
        <f>VLOOKUP(BD957,$BD$4:$BN$12824,6,0)*BE957</f>
        <v>188280.54453781509</v>
      </c>
      <c r="BS957" s="866">
        <f>VLOOKUP(BD957,$BD$4:$BN$12824,7,0)*BE957</f>
        <v>0</v>
      </c>
      <c r="BT957" s="866"/>
      <c r="BU957" s="866">
        <f>VLOOKUP(BD957,$BD$4:$BN$12824,9,0)*BE957</f>
        <v>0</v>
      </c>
      <c r="BV957" s="867"/>
      <c r="BW957" s="867">
        <f>VLOOKUP(BD957,$BD$4:$BN$12824,11,0)*BE957</f>
        <v>0</v>
      </c>
      <c r="BX957" s="1146">
        <f t="shared" si="177"/>
        <v>255786.00806722685</v>
      </c>
      <c r="BY957" s="867">
        <f t="shared" si="175"/>
        <v>339309.78441680665</v>
      </c>
      <c r="BZ957" s="867">
        <f t="shared" si="172"/>
        <v>1357239.1376672266</v>
      </c>
      <c r="CA957" s="867">
        <f>_xlfn.MAXIFS($BY$4:$BY$12824,$S$4:$S$12824,$S957)</f>
        <v>486866.23705386184</v>
      </c>
      <c r="CB957" s="1032"/>
      <c r="CF957" s="946">
        <f t="shared" si="173"/>
        <v>1101453.1295999999</v>
      </c>
    </row>
    <row r="958" spans="1:84">
      <c r="A958" s="1032"/>
      <c r="B958" s="839" t="s">
        <v>98</v>
      </c>
      <c r="C958" s="839" t="s">
        <v>951</v>
      </c>
      <c r="D958" s="839" t="s">
        <v>3435</v>
      </c>
      <c r="E958" s="839" t="s">
        <v>3436</v>
      </c>
      <c r="F958" s="841">
        <v>45394</v>
      </c>
      <c r="G958" s="840" t="s">
        <v>951</v>
      </c>
      <c r="H958" s="842" t="s">
        <v>134</v>
      </c>
      <c r="I958" s="842"/>
      <c r="J958" s="841"/>
      <c r="K958" s="841"/>
      <c r="L958" s="843" t="s">
        <v>106</v>
      </c>
      <c r="M958" s="844" t="s">
        <v>107</v>
      </c>
      <c r="N958" s="841"/>
      <c r="O958" s="841" t="s">
        <v>135</v>
      </c>
      <c r="P958" s="841" t="s">
        <v>3437</v>
      </c>
      <c r="Q958" s="843"/>
      <c r="R958" s="845">
        <v>36011</v>
      </c>
      <c r="S958" s="1127" t="s">
        <v>975</v>
      </c>
      <c r="T958" s="843" t="s">
        <v>3446</v>
      </c>
      <c r="U958" s="842">
        <v>24</v>
      </c>
      <c r="V958" s="842" t="s">
        <v>3</v>
      </c>
      <c r="W958" s="846">
        <v>6.52</v>
      </c>
      <c r="X958" s="847">
        <f t="shared" si="167"/>
        <v>156.47999999999999</v>
      </c>
      <c r="Y958" s="848">
        <f t="shared" si="176"/>
        <v>5.0613496932515219E-2</v>
      </c>
      <c r="Z958" s="849">
        <v>6.19</v>
      </c>
      <c r="AA958" s="849"/>
      <c r="AB958" s="849">
        <f t="shared" si="168"/>
        <v>148.56</v>
      </c>
      <c r="AC958" s="850">
        <f t="shared" si="169"/>
        <v>148.56</v>
      </c>
      <c r="AD958" s="851"/>
      <c r="AE958" s="852">
        <v>25758.959999999999</v>
      </c>
      <c r="AF958" s="853"/>
      <c r="AG958" s="854">
        <f t="shared" si="170"/>
        <v>0</v>
      </c>
      <c r="AH958" s="853"/>
      <c r="AI958" s="855">
        <f t="shared" si="171"/>
        <v>0</v>
      </c>
      <c r="AJ958" s="845" t="s">
        <v>3439</v>
      </c>
      <c r="AK958" s="857">
        <v>45547</v>
      </c>
      <c r="AL958" s="840" t="s">
        <v>3440</v>
      </c>
      <c r="AM958" s="840"/>
      <c r="AN958" s="858"/>
      <c r="AO958" s="844"/>
      <c r="AP958" s="859">
        <v>45931</v>
      </c>
      <c r="AQ958" s="859"/>
      <c r="AR958" s="859">
        <v>45992</v>
      </c>
      <c r="AS958" s="840"/>
      <c r="AT958" s="840"/>
      <c r="AU958" s="860" t="s">
        <v>1285</v>
      </c>
      <c r="AV958" s="839" t="s">
        <v>3441</v>
      </c>
      <c r="AW958" s="861">
        <v>45671</v>
      </c>
      <c r="AX958" s="862" t="s">
        <v>2556</v>
      </c>
      <c r="AY958" s="843"/>
      <c r="AZ958" s="842"/>
      <c r="BA958" s="842" t="s">
        <v>120</v>
      </c>
      <c r="BB958" s="863" t="s">
        <v>121</v>
      </c>
      <c r="BC958" s="864">
        <v>45672</v>
      </c>
      <c r="BD958" s="860" t="s">
        <v>3442</v>
      </c>
      <c r="BE958" s="865" cm="1">
        <f t="array" ref="BE958">IF(BD958="","",AC958/SUMPRODUCT(--(BD958=$BD$4:$BD$12824),$AC$4:$AC$12824))</f>
        <v>6.2420168067226882E-2</v>
      </c>
      <c r="BF958" s="458"/>
      <c r="BG958" s="458"/>
      <c r="BH958" s="458"/>
      <c r="BI958" s="458"/>
      <c r="BJ958" s="458"/>
      <c r="BK958" s="458"/>
      <c r="BL958" s="458"/>
      <c r="BM958" s="458"/>
      <c r="BN958" s="458"/>
      <c r="BO958" s="866">
        <f>VLOOKUP(BD958,$BD$4:$BN$12824,3,0)*BE958</f>
        <v>234532.54588235292</v>
      </c>
      <c r="BP958" s="866"/>
      <c r="BQ958" s="866"/>
      <c r="BR958" s="866">
        <f>VLOOKUP(BD958,$BD$4:$BN$12824,6,0)*BE958</f>
        <v>654138.39327731088</v>
      </c>
      <c r="BS958" s="866">
        <f>VLOOKUP(BD958,$BD$4:$BN$12824,7,0)*BE958</f>
        <v>0</v>
      </c>
      <c r="BT958" s="866"/>
      <c r="BU958" s="866">
        <f>VLOOKUP(BD958,$BD$4:$BN$12824,9,0)*BE958</f>
        <v>0</v>
      </c>
      <c r="BV958" s="867"/>
      <c r="BW958" s="867">
        <f>VLOOKUP(BD958,$BD$4:$BN$12824,11,0)*BE958</f>
        <v>0</v>
      </c>
      <c r="BX958" s="1146">
        <f t="shared" si="177"/>
        <v>888670.93915966386</v>
      </c>
      <c r="BY958" s="867">
        <f t="shared" si="175"/>
        <v>196475.9181983193</v>
      </c>
      <c r="BZ958" s="867">
        <f t="shared" si="172"/>
        <v>4715422.0367596634</v>
      </c>
      <c r="CA958" s="867">
        <f>_xlfn.MAXIFS($BY$4:$BY$12824,$S$4:$S$12824,$S958)</f>
        <v>261753.5801103675</v>
      </c>
      <c r="CB958" s="1032"/>
      <c r="CF958" s="946">
        <f t="shared" si="173"/>
        <v>3826751.0976</v>
      </c>
    </row>
    <row r="959" spans="1:84">
      <c r="A959" s="1032"/>
      <c r="B959" s="839" t="s">
        <v>98</v>
      </c>
      <c r="C959" s="839" t="s">
        <v>951</v>
      </c>
      <c r="D959" s="839" t="s">
        <v>3435</v>
      </c>
      <c r="E959" s="839" t="s">
        <v>3436</v>
      </c>
      <c r="F959" s="841">
        <v>45394</v>
      </c>
      <c r="G959" s="840" t="s">
        <v>951</v>
      </c>
      <c r="H959" s="842" t="s">
        <v>134</v>
      </c>
      <c r="I959" s="842"/>
      <c r="J959" s="841"/>
      <c r="K959" s="841"/>
      <c r="L959" s="843" t="s">
        <v>106</v>
      </c>
      <c r="M959" s="844" t="s">
        <v>107</v>
      </c>
      <c r="N959" s="841"/>
      <c r="O959" s="841" t="s">
        <v>135</v>
      </c>
      <c r="P959" s="841" t="s">
        <v>3437</v>
      </c>
      <c r="Q959" s="843"/>
      <c r="R959" s="845">
        <v>9044</v>
      </c>
      <c r="S959" s="1127" t="s">
        <v>969</v>
      </c>
      <c r="T959" s="843" t="s">
        <v>3447</v>
      </c>
      <c r="U959" s="842">
        <v>6</v>
      </c>
      <c r="V959" s="842" t="s">
        <v>3</v>
      </c>
      <c r="W959" s="846">
        <v>60.42</v>
      </c>
      <c r="X959" s="847">
        <f t="shared" si="167"/>
        <v>362.52</v>
      </c>
      <c r="Y959" s="848">
        <f t="shared" si="176"/>
        <v>4.9983449189010314E-2</v>
      </c>
      <c r="Z959" s="849">
        <v>57.4</v>
      </c>
      <c r="AA959" s="849"/>
      <c r="AB959" s="849">
        <f t="shared" si="168"/>
        <v>344.4</v>
      </c>
      <c r="AC959" s="850">
        <f t="shared" si="169"/>
        <v>344.4</v>
      </c>
      <c r="AD959" s="851"/>
      <c r="AE959" s="852">
        <v>25758.959999999999</v>
      </c>
      <c r="AF959" s="853"/>
      <c r="AG959" s="854">
        <f t="shared" si="170"/>
        <v>0</v>
      </c>
      <c r="AH959" s="853"/>
      <c r="AI959" s="855">
        <f t="shared" si="171"/>
        <v>0</v>
      </c>
      <c r="AJ959" s="845" t="s">
        <v>3439</v>
      </c>
      <c r="AK959" s="857">
        <v>45547</v>
      </c>
      <c r="AL959" s="840" t="s">
        <v>3440</v>
      </c>
      <c r="AM959" s="840"/>
      <c r="AN959" s="858"/>
      <c r="AO959" s="844"/>
      <c r="AP959" s="859">
        <v>45931</v>
      </c>
      <c r="AQ959" s="859"/>
      <c r="AR959" s="859">
        <v>45992</v>
      </c>
      <c r="AS959" s="840"/>
      <c r="AT959" s="840"/>
      <c r="AU959" s="860" t="s">
        <v>1285</v>
      </c>
      <c r="AV959" s="839" t="s">
        <v>3441</v>
      </c>
      <c r="AW959" s="861">
        <v>45671</v>
      </c>
      <c r="AX959" s="862" t="s">
        <v>2556</v>
      </c>
      <c r="AY959" s="843"/>
      <c r="AZ959" s="842"/>
      <c r="BA959" s="842" t="s">
        <v>120</v>
      </c>
      <c r="BB959" s="863" t="s">
        <v>121</v>
      </c>
      <c r="BC959" s="864">
        <v>45672</v>
      </c>
      <c r="BD959" s="860" t="s">
        <v>3442</v>
      </c>
      <c r="BE959" s="865" cm="1">
        <f t="array" ref="BE959">IF(BD959="","",AC959/SUMPRODUCT(--(BD959=$BD$4:$BD$12824),$AC$4:$AC$12824))</f>
        <v>0.14470588235294113</v>
      </c>
      <c r="BF959" s="458"/>
      <c r="BG959" s="458"/>
      <c r="BH959" s="458"/>
      <c r="BI959" s="458"/>
      <c r="BJ959" s="458"/>
      <c r="BK959" s="458"/>
      <c r="BL959" s="458"/>
      <c r="BM959" s="458"/>
      <c r="BN959" s="458"/>
      <c r="BO959" s="866">
        <f>VLOOKUP(BD959,$BD$4:$BN$12824,3,0)*BE959</f>
        <v>543706.30588235275</v>
      </c>
      <c r="BP959" s="866"/>
      <c r="BQ959" s="866"/>
      <c r="BR959" s="866">
        <f>VLOOKUP(BD959,$BD$4:$BN$12824,6,0)*BE959</f>
        <v>1516459.7647058819</v>
      </c>
      <c r="BS959" s="866">
        <f>VLOOKUP(BD959,$BD$4:$BN$12824,7,0)*BE959</f>
        <v>0</v>
      </c>
      <c r="BT959" s="866"/>
      <c r="BU959" s="866">
        <f>VLOOKUP(BD959,$BD$4:$BN$12824,9,0)*BE959</f>
        <v>0</v>
      </c>
      <c r="BV959" s="867"/>
      <c r="BW959" s="867">
        <f>VLOOKUP(BD959,$BD$4:$BN$12824,11,0)*BE959</f>
        <v>0</v>
      </c>
      <c r="BX959" s="1146">
        <f t="shared" si="177"/>
        <v>2060166.0705882348</v>
      </c>
      <c r="BY959" s="867">
        <f t="shared" si="175"/>
        <v>1821925.3157647057</v>
      </c>
      <c r="BZ959" s="867">
        <f t="shared" si="172"/>
        <v>10931551.894588234</v>
      </c>
      <c r="CA959" s="867">
        <f>_xlfn.MAXIFS($BY$4:$BY$12824,$S$4:$S$12824,$S959)</f>
        <v>2500544.9935086346</v>
      </c>
      <c r="CB959" s="1032"/>
      <c r="CF959" s="946">
        <f t="shared" si="173"/>
        <v>8871385.8239999991</v>
      </c>
    </row>
    <row r="960" spans="1:84">
      <c r="A960" s="1032"/>
      <c r="B960" s="839" t="s">
        <v>98</v>
      </c>
      <c r="C960" s="839" t="s">
        <v>951</v>
      </c>
      <c r="D960" s="839" t="s">
        <v>3435</v>
      </c>
      <c r="E960" s="839" t="s">
        <v>3436</v>
      </c>
      <c r="F960" s="841">
        <v>45394</v>
      </c>
      <c r="G960" s="840" t="s">
        <v>951</v>
      </c>
      <c r="H960" s="842" t="s">
        <v>134</v>
      </c>
      <c r="I960" s="842"/>
      <c r="J960" s="841"/>
      <c r="K960" s="841"/>
      <c r="L960" s="843" t="s">
        <v>106</v>
      </c>
      <c r="M960" s="844" t="s">
        <v>107</v>
      </c>
      <c r="N960" s="841"/>
      <c r="O960" s="841" t="s">
        <v>135</v>
      </c>
      <c r="P960" s="841" t="s">
        <v>3437</v>
      </c>
      <c r="Q960" s="843"/>
      <c r="R960" s="845">
        <v>36005</v>
      </c>
      <c r="S960" s="1127" t="s">
        <v>3448</v>
      </c>
      <c r="T960" s="843" t="s">
        <v>3449</v>
      </c>
      <c r="U960" s="842">
        <v>12</v>
      </c>
      <c r="V960" s="842" t="s">
        <v>3</v>
      </c>
      <c r="W960" s="846">
        <v>6.52</v>
      </c>
      <c r="X960" s="847">
        <f t="shared" si="167"/>
        <v>78.239999999999995</v>
      </c>
      <c r="Y960" s="848">
        <f t="shared" si="176"/>
        <v>5.0613496932515219E-2</v>
      </c>
      <c r="Z960" s="849">
        <v>6.19</v>
      </c>
      <c r="AA960" s="849"/>
      <c r="AB960" s="849">
        <f t="shared" si="168"/>
        <v>74.28</v>
      </c>
      <c r="AC960" s="850">
        <f t="shared" si="169"/>
        <v>74.28</v>
      </c>
      <c r="AD960" s="851"/>
      <c r="AE960" s="852">
        <v>25758.959999999999</v>
      </c>
      <c r="AF960" s="853"/>
      <c r="AG960" s="854">
        <f t="shared" si="170"/>
        <v>0</v>
      </c>
      <c r="AH960" s="853"/>
      <c r="AI960" s="855">
        <f t="shared" si="171"/>
        <v>0</v>
      </c>
      <c r="AJ960" s="845" t="s">
        <v>3439</v>
      </c>
      <c r="AK960" s="857">
        <v>45547</v>
      </c>
      <c r="AL960" s="840" t="s">
        <v>3440</v>
      </c>
      <c r="AM960" s="840"/>
      <c r="AN960" s="858"/>
      <c r="AO960" s="844"/>
      <c r="AP960" s="859">
        <v>45931</v>
      </c>
      <c r="AQ960" s="859"/>
      <c r="AR960" s="859">
        <v>45992</v>
      </c>
      <c r="AS960" s="840"/>
      <c r="AT960" s="840"/>
      <c r="AU960" s="860" t="s">
        <v>1285</v>
      </c>
      <c r="AV960" s="839" t="s">
        <v>3441</v>
      </c>
      <c r="AW960" s="861">
        <v>45671</v>
      </c>
      <c r="AX960" s="862" t="s">
        <v>2556</v>
      </c>
      <c r="AY960" s="843"/>
      <c r="AZ960" s="842"/>
      <c r="BA960" s="842" t="s">
        <v>120</v>
      </c>
      <c r="BB960" s="863" t="s">
        <v>121</v>
      </c>
      <c r="BC960" s="864">
        <v>45672</v>
      </c>
      <c r="BD960" s="860" t="s">
        <v>3442</v>
      </c>
      <c r="BE960" s="865" cm="1">
        <f t="array" ref="BE960">IF(BD960="","",AC960/SUMPRODUCT(--(BD960=$BD$4:$BD$12824),$AC$4:$AC$12824))</f>
        <v>3.1210084033613441E-2</v>
      </c>
      <c r="BF960" s="458"/>
      <c r="BG960" s="458"/>
      <c r="BH960" s="458"/>
      <c r="BI960" s="458"/>
      <c r="BJ960" s="458"/>
      <c r="BK960" s="458"/>
      <c r="BL960" s="458"/>
      <c r="BM960" s="458"/>
      <c r="BN960" s="458"/>
      <c r="BO960" s="866">
        <f>VLOOKUP(BD960,$BD$4:$BN$12824,3,0)*BE960</f>
        <v>117266.27294117646</v>
      </c>
      <c r="BP960" s="866"/>
      <c r="BQ960" s="866"/>
      <c r="BR960" s="866">
        <f>VLOOKUP(BD960,$BD$4:$BN$12824,6,0)*BE960</f>
        <v>327069.19663865544</v>
      </c>
      <c r="BS960" s="866">
        <f>VLOOKUP(BD960,$BD$4:$BN$12824,7,0)*BE960</f>
        <v>0</v>
      </c>
      <c r="BT960" s="866"/>
      <c r="BU960" s="866">
        <f>VLOOKUP(BD960,$BD$4:$BN$12824,9,0)*BE960</f>
        <v>0</v>
      </c>
      <c r="BV960" s="867"/>
      <c r="BW960" s="867">
        <f>VLOOKUP(BD960,$BD$4:$BN$12824,11,0)*BE960</f>
        <v>0</v>
      </c>
      <c r="BX960" s="1146">
        <f t="shared" si="177"/>
        <v>444335.46957983193</v>
      </c>
      <c r="BY960" s="867">
        <f t="shared" si="175"/>
        <v>196475.9181983193</v>
      </c>
      <c r="BZ960" s="867">
        <f t="shared" si="172"/>
        <v>2357711.0183798317</v>
      </c>
      <c r="CA960" s="867">
        <f>_xlfn.MAXIFS($BY$4:$BY$12824,$S$4:$S$12824,$S960)</f>
        <v>261753.5801103675</v>
      </c>
      <c r="CB960" s="1032"/>
      <c r="CF960" s="946">
        <f t="shared" si="173"/>
        <v>1913375.5488</v>
      </c>
    </row>
    <row r="961" spans="1:84">
      <c r="A961" s="1032"/>
      <c r="B961" s="839" t="s">
        <v>98</v>
      </c>
      <c r="C961" s="839" t="s">
        <v>951</v>
      </c>
      <c r="D961" s="839" t="s">
        <v>3435</v>
      </c>
      <c r="E961" s="839" t="s">
        <v>3436</v>
      </c>
      <c r="F961" s="841">
        <v>45394</v>
      </c>
      <c r="G961" s="840" t="s">
        <v>951</v>
      </c>
      <c r="H961" s="842" t="s">
        <v>134</v>
      </c>
      <c r="I961" s="842"/>
      <c r="J961" s="841"/>
      <c r="K961" s="841"/>
      <c r="L961" s="843" t="s">
        <v>106</v>
      </c>
      <c r="M961" s="844" t="s">
        <v>107</v>
      </c>
      <c r="N961" s="841"/>
      <c r="O961" s="841" t="s">
        <v>135</v>
      </c>
      <c r="P961" s="841" t="s">
        <v>3437</v>
      </c>
      <c r="Q961" s="843"/>
      <c r="R961" s="845">
        <v>36010</v>
      </c>
      <c r="S961" s="1127" t="s">
        <v>3450</v>
      </c>
      <c r="T961" s="843" t="s">
        <v>3451</v>
      </c>
      <c r="U961" s="842">
        <v>12</v>
      </c>
      <c r="V961" s="842" t="s">
        <v>3</v>
      </c>
      <c r="W961" s="846">
        <v>6.52</v>
      </c>
      <c r="X961" s="847">
        <f t="shared" si="167"/>
        <v>78.239999999999995</v>
      </c>
      <c r="Y961" s="848">
        <f t="shared" si="176"/>
        <v>5.0613496932515219E-2</v>
      </c>
      <c r="Z961" s="849">
        <v>6.19</v>
      </c>
      <c r="AA961" s="849"/>
      <c r="AB961" s="849">
        <f t="shared" si="168"/>
        <v>74.28</v>
      </c>
      <c r="AC961" s="850">
        <f t="shared" si="169"/>
        <v>74.28</v>
      </c>
      <c r="AD961" s="851"/>
      <c r="AE961" s="852">
        <v>25758.959999999999</v>
      </c>
      <c r="AF961" s="853"/>
      <c r="AG961" s="854">
        <f t="shared" si="170"/>
        <v>0</v>
      </c>
      <c r="AH961" s="853"/>
      <c r="AI961" s="855">
        <f t="shared" si="171"/>
        <v>0</v>
      </c>
      <c r="AJ961" s="845" t="s">
        <v>3439</v>
      </c>
      <c r="AK961" s="857">
        <v>45547</v>
      </c>
      <c r="AL961" s="840" t="s">
        <v>3440</v>
      </c>
      <c r="AM961" s="840"/>
      <c r="AN961" s="858"/>
      <c r="AO961" s="844"/>
      <c r="AP961" s="859">
        <v>45931</v>
      </c>
      <c r="AQ961" s="859"/>
      <c r="AR961" s="859">
        <v>45992</v>
      </c>
      <c r="AS961" s="840"/>
      <c r="AT961" s="840"/>
      <c r="AU961" s="860" t="s">
        <v>1285</v>
      </c>
      <c r="AV961" s="839" t="s">
        <v>3441</v>
      </c>
      <c r="AW961" s="861">
        <v>45671</v>
      </c>
      <c r="AX961" s="862" t="s">
        <v>2556</v>
      </c>
      <c r="AY961" s="843"/>
      <c r="AZ961" s="842"/>
      <c r="BA961" s="842" t="s">
        <v>120</v>
      </c>
      <c r="BB961" s="863" t="s">
        <v>121</v>
      </c>
      <c r="BC961" s="864">
        <v>45672</v>
      </c>
      <c r="BD961" s="860" t="s">
        <v>3442</v>
      </c>
      <c r="BE961" s="865" cm="1">
        <f t="array" ref="BE961">IF(BD961="","",AC961/SUMPRODUCT(--(BD961=$BD$4:$BD$12824),$AC$4:$AC$12824))</f>
        <v>3.1210084033613441E-2</v>
      </c>
      <c r="BF961" s="458"/>
      <c r="BG961" s="458"/>
      <c r="BH961" s="458"/>
      <c r="BI961" s="458"/>
      <c r="BJ961" s="458"/>
      <c r="BK961" s="458"/>
      <c r="BL961" s="458"/>
      <c r="BM961" s="458"/>
      <c r="BN961" s="458"/>
      <c r="BO961" s="866">
        <f>VLOOKUP(BD961,$BD$4:$BN$12824,3,0)*BE961</f>
        <v>117266.27294117646</v>
      </c>
      <c r="BP961" s="866"/>
      <c r="BQ961" s="866"/>
      <c r="BR961" s="866">
        <f>VLOOKUP(BD961,$BD$4:$BN$12824,6,0)*BE961</f>
        <v>327069.19663865544</v>
      </c>
      <c r="BS961" s="866">
        <f>VLOOKUP(BD961,$BD$4:$BN$12824,7,0)*BE961</f>
        <v>0</v>
      </c>
      <c r="BT961" s="866"/>
      <c r="BU961" s="866">
        <f>VLOOKUP(BD961,$BD$4:$BN$12824,9,0)*BE961</f>
        <v>0</v>
      </c>
      <c r="BV961" s="867"/>
      <c r="BW961" s="867">
        <f>VLOOKUP(BD961,$BD$4:$BN$12824,11,0)*BE961</f>
        <v>0</v>
      </c>
      <c r="BX961" s="1146">
        <f t="shared" si="177"/>
        <v>444335.46957983193</v>
      </c>
      <c r="BY961" s="867">
        <f t="shared" si="175"/>
        <v>196475.9181983193</v>
      </c>
      <c r="BZ961" s="867">
        <f t="shared" si="172"/>
        <v>2357711.0183798317</v>
      </c>
      <c r="CA961" s="867">
        <f>_xlfn.MAXIFS($BY$4:$BY$12824,$S$4:$S$12824,$S961)</f>
        <v>196475.9181983193</v>
      </c>
      <c r="CB961" s="1032"/>
      <c r="CF961" s="946">
        <f t="shared" si="173"/>
        <v>1913375.5488</v>
      </c>
    </row>
    <row r="962" spans="1:84">
      <c r="A962" s="1032"/>
      <c r="B962" s="839" t="s">
        <v>98</v>
      </c>
      <c r="C962" s="839" t="s">
        <v>951</v>
      </c>
      <c r="D962" s="839" t="s">
        <v>3435</v>
      </c>
      <c r="E962" s="839" t="s">
        <v>3436</v>
      </c>
      <c r="F962" s="841">
        <v>45394</v>
      </c>
      <c r="G962" s="840" t="s">
        <v>951</v>
      </c>
      <c r="H962" s="842" t="s">
        <v>134</v>
      </c>
      <c r="I962" s="842"/>
      <c r="J962" s="841"/>
      <c r="K962" s="841"/>
      <c r="L962" s="843" t="s">
        <v>106</v>
      </c>
      <c r="M962" s="844" t="s">
        <v>107</v>
      </c>
      <c r="N962" s="841"/>
      <c r="O962" s="841" t="s">
        <v>135</v>
      </c>
      <c r="P962" s="841" t="s">
        <v>3437</v>
      </c>
      <c r="Q962" s="843"/>
      <c r="R962" s="845">
        <v>9064</v>
      </c>
      <c r="S962" s="1127" t="s">
        <v>3452</v>
      </c>
      <c r="T962" s="843" t="s">
        <v>3453</v>
      </c>
      <c r="U962" s="842">
        <v>4</v>
      </c>
      <c r="V962" s="842" t="s">
        <v>3</v>
      </c>
      <c r="W962" s="846">
        <v>25</v>
      </c>
      <c r="X962" s="847">
        <f t="shared" ref="X962:X1025" si="180">W962*U962</f>
        <v>100</v>
      </c>
      <c r="Y962" s="848">
        <f t="shared" si="176"/>
        <v>0.05</v>
      </c>
      <c r="Z962" s="849">
        <v>23.75</v>
      </c>
      <c r="AA962" s="849"/>
      <c r="AB962" s="849">
        <f t="shared" ref="AB962:AB1025" si="181">IF(AA962="F.O.C", 0, Z962*U962)</f>
        <v>95</v>
      </c>
      <c r="AC962" s="850">
        <f t="shared" ref="AC962:AC1025" si="182">Z962*U962</f>
        <v>95</v>
      </c>
      <c r="AD962" s="851"/>
      <c r="AE962" s="852">
        <v>25758.959999999999</v>
      </c>
      <c r="AF962" s="853"/>
      <c r="AG962" s="854">
        <f t="shared" ref="AG962:AG1025" si="183">(AC962*AE962+BO962+BP962+BQ962+BS962)*AF962</f>
        <v>0</v>
      </c>
      <c r="AH962" s="853"/>
      <c r="AI962" s="855">
        <f t="shared" ref="AI962:AI1025" si="184">(AC962*AE962+AG962+BF962+BG962+BH962+BJ962)*AH962</f>
        <v>0</v>
      </c>
      <c r="AJ962" s="845" t="s">
        <v>3439</v>
      </c>
      <c r="AK962" s="857">
        <v>45547</v>
      </c>
      <c r="AL962" s="840" t="s">
        <v>3440</v>
      </c>
      <c r="AM962" s="840"/>
      <c r="AN962" s="858"/>
      <c r="AO962" s="844"/>
      <c r="AP962" s="859">
        <v>45931</v>
      </c>
      <c r="AQ962" s="859"/>
      <c r="AR962" s="859">
        <v>45992</v>
      </c>
      <c r="AS962" s="840"/>
      <c r="AT962" s="840"/>
      <c r="AU962" s="860" t="s">
        <v>1285</v>
      </c>
      <c r="AV962" s="839" t="s">
        <v>3441</v>
      </c>
      <c r="AW962" s="861">
        <v>45671</v>
      </c>
      <c r="AX962" s="862" t="s">
        <v>2556</v>
      </c>
      <c r="AY962" s="843"/>
      <c r="AZ962" s="842"/>
      <c r="BA962" s="842" t="s">
        <v>120</v>
      </c>
      <c r="BB962" s="863" t="s">
        <v>121</v>
      </c>
      <c r="BC962" s="864">
        <v>45672</v>
      </c>
      <c r="BD962" s="860" t="s">
        <v>3442</v>
      </c>
      <c r="BE962" s="865" cm="1">
        <f t="array" ref="BE962">IF(BD962="","",AC962/SUMPRODUCT(--(BD962=$BD$4:$BD$12824),$AC$4:$AC$12824))</f>
        <v>3.9915966386554612E-2</v>
      </c>
      <c r="BF962" s="458"/>
      <c r="BG962" s="458"/>
      <c r="BH962" s="458"/>
      <c r="BI962" s="458"/>
      <c r="BJ962" s="458"/>
      <c r="BK962" s="458"/>
      <c r="BL962" s="458"/>
      <c r="BM962" s="458"/>
      <c r="BN962" s="458"/>
      <c r="BO962" s="866">
        <f>VLOOKUP(BD962,$BD$4:$BN$12824,3,0)*BE962</f>
        <v>149977.05882352937</v>
      </c>
      <c r="BP962" s="866"/>
      <c r="BQ962" s="866"/>
      <c r="BR962" s="866">
        <f>VLOOKUP(BD962,$BD$4:$BN$12824,6,0)*BE962</f>
        <v>418303.3613445377</v>
      </c>
      <c r="BS962" s="866">
        <f>VLOOKUP(BD962,$BD$4:$BN$12824,7,0)*BE962</f>
        <v>0</v>
      </c>
      <c r="BT962" s="866"/>
      <c r="BU962" s="866">
        <f>VLOOKUP(BD962,$BD$4:$BN$12824,9,0)*BE962</f>
        <v>0</v>
      </c>
      <c r="BV962" s="867"/>
      <c r="BW962" s="867">
        <f>VLOOKUP(BD962,$BD$4:$BN$12824,11,0)*BE962</f>
        <v>0</v>
      </c>
      <c r="BX962" s="1146">
        <f t="shared" ref="BX962:BX1022" si="185">SUM(BO962:BW962)</f>
        <v>568280.4201680671</v>
      </c>
      <c r="BY962" s="867">
        <f t="shared" si="175"/>
        <v>753845.40504201665</v>
      </c>
      <c r="BZ962" s="867">
        <f t="shared" ref="BZ962:BZ1022" si="186">BY962*U962</f>
        <v>3015381.6201680666</v>
      </c>
      <c r="CA962" s="867">
        <f>_xlfn.MAXIFS($BY$4:$BY$12824,$S$4:$S$12824,$S962)</f>
        <v>753845.40504201665</v>
      </c>
      <c r="CB962" s="1032"/>
      <c r="CF962" s="946">
        <f t="shared" si="173"/>
        <v>2447101.1999999997</v>
      </c>
    </row>
    <row r="963" spans="1:84">
      <c r="A963" s="1032"/>
      <c r="B963" s="839" t="s">
        <v>98</v>
      </c>
      <c r="C963" s="839" t="s">
        <v>3454</v>
      </c>
      <c r="D963" s="839" t="s">
        <v>3455</v>
      </c>
      <c r="E963" s="839" t="s">
        <v>3455</v>
      </c>
      <c r="F963" s="841">
        <v>45597</v>
      </c>
      <c r="G963" s="840" t="s">
        <v>3456</v>
      </c>
      <c r="H963" s="842" t="s">
        <v>3457</v>
      </c>
      <c r="I963" s="842"/>
      <c r="J963" s="841"/>
      <c r="K963" s="841"/>
      <c r="L963" s="843" t="s">
        <v>1622</v>
      </c>
      <c r="M963" s="844" t="s">
        <v>3458</v>
      </c>
      <c r="N963" s="841"/>
      <c r="O963" s="841" t="s">
        <v>3459</v>
      </c>
      <c r="P963" s="841" t="s">
        <v>3460</v>
      </c>
      <c r="Q963" s="843"/>
      <c r="R963" s="845" t="s">
        <v>3461</v>
      </c>
      <c r="S963" s="1127" t="s">
        <v>3461</v>
      </c>
      <c r="T963" s="843" t="s">
        <v>3462</v>
      </c>
      <c r="U963" s="842">
        <v>35</v>
      </c>
      <c r="V963" s="842" t="s">
        <v>8</v>
      </c>
      <c r="W963" s="846">
        <v>6.6</v>
      </c>
      <c r="X963" s="847">
        <f t="shared" si="180"/>
        <v>231</v>
      </c>
      <c r="Y963" s="848">
        <v>0</v>
      </c>
      <c r="Z963" s="849">
        <v>6.6</v>
      </c>
      <c r="AA963" s="849"/>
      <c r="AB963" s="849">
        <f t="shared" si="181"/>
        <v>231</v>
      </c>
      <c r="AC963" s="850">
        <f t="shared" si="182"/>
        <v>231</v>
      </c>
      <c r="AD963" s="851"/>
      <c r="AE963" s="852">
        <v>25200</v>
      </c>
      <c r="AF963" s="853">
        <v>0</v>
      </c>
      <c r="AG963" s="854">
        <f t="shared" si="183"/>
        <v>0</v>
      </c>
      <c r="AH963" s="853">
        <v>0.1</v>
      </c>
      <c r="AI963" s="855">
        <f t="shared" si="184"/>
        <v>609670.9</v>
      </c>
      <c r="AJ963" s="845" t="s">
        <v>3463</v>
      </c>
      <c r="AK963" s="857">
        <v>45607</v>
      </c>
      <c r="AL963" s="840"/>
      <c r="AM963" s="840"/>
      <c r="AN963" s="858"/>
      <c r="AO963" s="844"/>
      <c r="AP963" s="859"/>
      <c r="AQ963" s="859"/>
      <c r="AR963" s="859"/>
      <c r="AS963" s="840"/>
      <c r="AT963" s="840"/>
      <c r="AU963" s="860"/>
      <c r="AV963" s="839" t="s">
        <v>3464</v>
      </c>
      <c r="AW963" s="861">
        <v>45624</v>
      </c>
      <c r="AX963" s="862">
        <v>45625</v>
      </c>
      <c r="AY963" s="843"/>
      <c r="AZ963" s="842"/>
      <c r="BA963" s="842" t="s">
        <v>120</v>
      </c>
      <c r="BB963" s="863" t="s">
        <v>121</v>
      </c>
      <c r="BC963" s="864">
        <v>45788</v>
      </c>
      <c r="BD963" s="860" t="s">
        <v>3465</v>
      </c>
      <c r="BE963" s="865" cm="1">
        <f t="array" ref="BE963">IF(BD963="","",AC963/SUMPRODUCT(--(BD963=$BD$4:$BD$12824),$AC$4:$AC$12824))</f>
        <v>4.816363124589515E-2</v>
      </c>
      <c r="BF963" s="458">
        <v>25509</v>
      </c>
      <c r="BG963" s="458"/>
      <c r="BH963" s="458"/>
      <c r="BI963" s="458">
        <f>670527</f>
        <v>670527</v>
      </c>
      <c r="BJ963" s="458">
        <v>250000</v>
      </c>
      <c r="BK963" s="458"/>
      <c r="BL963" s="458"/>
      <c r="BM963" s="458"/>
      <c r="BN963" s="458"/>
      <c r="BO963" s="866">
        <f>VLOOKUP(BD963,$BD$4:$BN$12824,3,0)*BE963</f>
        <v>1228.6060694515393</v>
      </c>
      <c r="BP963" s="866"/>
      <c r="BQ963" s="866"/>
      <c r="BR963" s="866">
        <f>VLOOKUP(BD963,$BD$4:$BN$12824,6,0)*BE963</f>
        <v>32295.015168416336</v>
      </c>
      <c r="BS963" s="866">
        <f>VLOOKUP(BD963,$BD$4:$BN$12824,7,0)*BE963</f>
        <v>12040.907811473788</v>
      </c>
      <c r="BT963" s="866"/>
      <c r="BU963" s="866">
        <f>VLOOKUP(BD963,$BD$4:$BN$12824,9,0)*BE963</f>
        <v>0</v>
      </c>
      <c r="BV963" s="867"/>
      <c r="BW963" s="867">
        <f>VLOOKUP(BD963,$BD$4:$BN$12824,11,0)*BE963</f>
        <v>0</v>
      </c>
      <c r="BX963" s="1146">
        <f>SUM(BO963:BW963)</f>
        <v>45564.529049341661</v>
      </c>
      <c r="BY963" s="867">
        <f t="shared" si="175"/>
        <v>167621.84368712406</v>
      </c>
      <c r="BZ963" s="867">
        <f t="shared" si="186"/>
        <v>5866764.5290493416</v>
      </c>
      <c r="CA963" s="867">
        <f>_xlfn.MAXIFS($BY$4:$BY$12824,$S$4:$S$12824,$S963)</f>
        <v>167621.84368712406</v>
      </c>
      <c r="CB963" s="1032"/>
      <c r="CF963" s="946">
        <f t="shared" si="173"/>
        <v>5821200</v>
      </c>
    </row>
    <row r="964" spans="1:84">
      <c r="A964" s="1032"/>
      <c r="B964" s="839" t="s">
        <v>98</v>
      </c>
      <c r="C964" s="839" t="s">
        <v>3454</v>
      </c>
      <c r="D964" s="839" t="s">
        <v>3455</v>
      </c>
      <c r="E964" s="839" t="s">
        <v>3455</v>
      </c>
      <c r="F964" s="841">
        <v>45597</v>
      </c>
      <c r="G964" s="840" t="s">
        <v>3456</v>
      </c>
      <c r="H964" s="842" t="s">
        <v>3457</v>
      </c>
      <c r="I964" s="842"/>
      <c r="J964" s="841"/>
      <c r="K964" s="841"/>
      <c r="L964" s="843" t="s">
        <v>1622</v>
      </c>
      <c r="M964" s="844" t="s">
        <v>3458</v>
      </c>
      <c r="N964" s="841"/>
      <c r="O964" s="841" t="s">
        <v>3459</v>
      </c>
      <c r="P964" s="841" t="s">
        <v>220</v>
      </c>
      <c r="Q964" s="843"/>
      <c r="R964" s="845" t="s">
        <v>3320</v>
      </c>
      <c r="S964" s="1127" t="s">
        <v>3466</v>
      </c>
      <c r="T964" s="843" t="s">
        <v>3467</v>
      </c>
      <c r="U964" s="842">
        <v>30</v>
      </c>
      <c r="V964" s="842" t="s">
        <v>8</v>
      </c>
      <c r="W964" s="846">
        <v>0.42</v>
      </c>
      <c r="X964" s="847">
        <f t="shared" si="180"/>
        <v>12.6</v>
      </c>
      <c r="Y964" s="848">
        <v>0</v>
      </c>
      <c r="Z964" s="849">
        <v>0.42</v>
      </c>
      <c r="AA964" s="849"/>
      <c r="AB964" s="849">
        <f t="shared" si="181"/>
        <v>12.6</v>
      </c>
      <c r="AC964" s="850">
        <f t="shared" si="182"/>
        <v>12.6</v>
      </c>
      <c r="AD964" s="851"/>
      <c r="AE964" s="852">
        <v>25200</v>
      </c>
      <c r="AF964" s="853">
        <v>0</v>
      </c>
      <c r="AG964" s="854">
        <f t="shared" si="183"/>
        <v>0</v>
      </c>
      <c r="AH964" s="853">
        <v>0.1</v>
      </c>
      <c r="AI964" s="855">
        <f t="shared" si="184"/>
        <v>31752</v>
      </c>
      <c r="AJ964" s="845" t="s">
        <v>3463</v>
      </c>
      <c r="AK964" s="857">
        <v>45607</v>
      </c>
      <c r="AL964" s="840"/>
      <c r="AM964" s="840"/>
      <c r="AN964" s="858"/>
      <c r="AO964" s="844"/>
      <c r="AP964" s="859"/>
      <c r="AQ964" s="859"/>
      <c r="AR964" s="859"/>
      <c r="AS964" s="840"/>
      <c r="AT964" s="840"/>
      <c r="AU964" s="860"/>
      <c r="AV964" s="839" t="s">
        <v>3464</v>
      </c>
      <c r="AW964" s="861">
        <v>45624</v>
      </c>
      <c r="AX964" s="862">
        <v>45625</v>
      </c>
      <c r="AY964" s="843"/>
      <c r="AZ964" s="842"/>
      <c r="BA964" s="842" t="s">
        <v>120</v>
      </c>
      <c r="BB964" s="863" t="s">
        <v>121</v>
      </c>
      <c r="BC964" s="864">
        <v>45788</v>
      </c>
      <c r="BD964" s="860" t="s">
        <v>3465</v>
      </c>
      <c r="BE964" s="865" cm="1">
        <f t="array" ref="BE964">IF(BD964="","",AC964/SUMPRODUCT(--(BD964=$BD$4:$BD$12824),$AC$4:$AC$12824))</f>
        <v>2.6271071588670081E-3</v>
      </c>
      <c r="BF964" s="458"/>
      <c r="BG964" s="458"/>
      <c r="BH964" s="458"/>
      <c r="BI964" s="458"/>
      <c r="BJ964" s="458"/>
      <c r="BK964" s="458"/>
      <c r="BL964" s="458"/>
      <c r="BM964" s="458"/>
      <c r="BN964" s="458"/>
      <c r="BO964" s="866">
        <f>VLOOKUP(BD964,$BD$4:$BN$12824,3,0)*BE964</f>
        <v>67.014876515538518</v>
      </c>
      <c r="BP964" s="866"/>
      <c r="BQ964" s="866"/>
      <c r="BR964" s="866">
        <f>VLOOKUP(BD964,$BD$4:$BN$12824,6,0)*BE964</f>
        <v>1761.5462819136183</v>
      </c>
      <c r="BS964" s="866">
        <f>VLOOKUP(BD964,$BD$4:$BN$12824,7,0)*BE964</f>
        <v>656.77678971675209</v>
      </c>
      <c r="BT964" s="866"/>
      <c r="BU964" s="866">
        <f>VLOOKUP(BD964,$BD$4:$BN$12824,9,0)*BE964</f>
        <v>0</v>
      </c>
      <c r="BV964" s="867"/>
      <c r="BW964" s="867">
        <f>VLOOKUP(BD964,$BD$4:$BN$12824,11,0)*BE964</f>
        <v>0</v>
      </c>
      <c r="BX964" s="1146">
        <f t="shared" ref="BX964:BX995" si="187">SUM(BO964:BW964)</f>
        <v>2485.3379481459087</v>
      </c>
      <c r="BY964" s="867">
        <f t="shared" si="175"/>
        <v>10666.844598271531</v>
      </c>
      <c r="BZ964" s="867">
        <f t="shared" si="186"/>
        <v>320005.33794814593</v>
      </c>
      <c r="CA964" s="867">
        <f>_xlfn.MAXIFS($BY$4:$BY$12824,$S$4:$S$12824,$S964)</f>
        <v>10666.844598271531</v>
      </c>
      <c r="CB964" s="1032"/>
      <c r="CF964" s="946">
        <f t="shared" ref="CF964:CF1027" si="188">AC964*AE964</f>
        <v>317520</v>
      </c>
    </row>
    <row r="965" spans="1:84">
      <c r="A965" s="1032"/>
      <c r="B965" s="839" t="s">
        <v>98</v>
      </c>
      <c r="C965" s="839" t="s">
        <v>3454</v>
      </c>
      <c r="D965" s="839" t="s">
        <v>3455</v>
      </c>
      <c r="E965" s="839" t="s">
        <v>3455</v>
      </c>
      <c r="F965" s="841">
        <v>45597</v>
      </c>
      <c r="G965" s="840" t="s">
        <v>3456</v>
      </c>
      <c r="H965" s="842" t="s">
        <v>3457</v>
      </c>
      <c r="I965" s="842"/>
      <c r="J965" s="841"/>
      <c r="K965" s="841"/>
      <c r="L965" s="843" t="s">
        <v>1622</v>
      </c>
      <c r="M965" s="844" t="s">
        <v>3458</v>
      </c>
      <c r="N965" s="841"/>
      <c r="O965" s="841" t="s">
        <v>3459</v>
      </c>
      <c r="P965" s="841" t="s">
        <v>220</v>
      </c>
      <c r="Q965" s="843"/>
      <c r="R965" s="845" t="s">
        <v>3320</v>
      </c>
      <c r="S965" s="1127" t="s">
        <v>3468</v>
      </c>
      <c r="T965" s="843" t="s">
        <v>3469</v>
      </c>
      <c r="U965" s="842">
        <v>10</v>
      </c>
      <c r="V965" s="842" t="s">
        <v>8</v>
      </c>
      <c r="W965" s="846">
        <v>0.5</v>
      </c>
      <c r="X965" s="847">
        <f t="shared" si="180"/>
        <v>5</v>
      </c>
      <c r="Y965" s="848">
        <v>0</v>
      </c>
      <c r="Z965" s="849">
        <v>0.5</v>
      </c>
      <c r="AA965" s="849"/>
      <c r="AB965" s="849">
        <f t="shared" si="181"/>
        <v>5</v>
      </c>
      <c r="AC965" s="850">
        <f t="shared" si="182"/>
        <v>5</v>
      </c>
      <c r="AD965" s="851"/>
      <c r="AE965" s="852">
        <v>25200</v>
      </c>
      <c r="AF965" s="853">
        <v>0</v>
      </c>
      <c r="AG965" s="854">
        <f t="shared" si="183"/>
        <v>0</v>
      </c>
      <c r="AH965" s="853">
        <v>0.1</v>
      </c>
      <c r="AI965" s="855">
        <f t="shared" si="184"/>
        <v>12600</v>
      </c>
      <c r="AJ965" s="845" t="s">
        <v>3463</v>
      </c>
      <c r="AK965" s="857">
        <v>45607</v>
      </c>
      <c r="AL965" s="840"/>
      <c r="AM965" s="840"/>
      <c r="AN965" s="858"/>
      <c r="AO965" s="844"/>
      <c r="AP965" s="859"/>
      <c r="AQ965" s="859"/>
      <c r="AR965" s="859"/>
      <c r="AS965" s="840"/>
      <c r="AT965" s="840"/>
      <c r="AU965" s="860"/>
      <c r="AV965" s="839" t="s">
        <v>3464</v>
      </c>
      <c r="AW965" s="861">
        <v>45624</v>
      </c>
      <c r="AX965" s="862">
        <v>45625</v>
      </c>
      <c r="AY965" s="843"/>
      <c r="AZ965" s="842"/>
      <c r="BA965" s="842" t="s">
        <v>120</v>
      </c>
      <c r="BB965" s="863" t="s">
        <v>121</v>
      </c>
      <c r="BC965" s="864">
        <v>45788</v>
      </c>
      <c r="BD965" s="860" t="s">
        <v>3465</v>
      </c>
      <c r="BE965" s="865" cm="1">
        <f t="array" ref="BE965">IF(BD965="","",AC965/SUMPRODUCT(--(BD965=$BD$4:$BD$12824),$AC$4:$AC$12824))</f>
        <v>1.0425028408202414E-3</v>
      </c>
      <c r="BF965" s="458"/>
      <c r="BG965" s="458"/>
      <c r="BH965" s="458"/>
      <c r="BI965" s="458"/>
      <c r="BJ965" s="458"/>
      <c r="BK965" s="458"/>
      <c r="BL965" s="458"/>
      <c r="BM965" s="458"/>
      <c r="BN965" s="458"/>
      <c r="BO965" s="866">
        <f>VLOOKUP(BD965,$BD$4:$BN$12824,3,0)*BE965</f>
        <v>26.593204966483537</v>
      </c>
      <c r="BP965" s="866"/>
      <c r="BQ965" s="866"/>
      <c r="BR965" s="866">
        <f>VLOOKUP(BD965,$BD$4:$BN$12824,6,0)*BE965</f>
        <v>699.02630234667402</v>
      </c>
      <c r="BS965" s="866">
        <f>VLOOKUP(BD965,$BD$4:$BN$12824,7,0)*BE965</f>
        <v>260.62571020506033</v>
      </c>
      <c r="BT965" s="866"/>
      <c r="BU965" s="866">
        <f>VLOOKUP(BD965,$BD$4:$BN$12824,9,0)*BE965</f>
        <v>0</v>
      </c>
      <c r="BV965" s="867"/>
      <c r="BW965" s="867">
        <f>VLOOKUP(BD965,$BD$4:$BN$12824,11,0)*BE965</f>
        <v>0</v>
      </c>
      <c r="BX965" s="1146">
        <f t="shared" si="187"/>
        <v>986.24521751821794</v>
      </c>
      <c r="BY965" s="867">
        <f t="shared" si="175"/>
        <v>12698.624521751821</v>
      </c>
      <c r="BZ965" s="867">
        <f t="shared" si="186"/>
        <v>126986.24521751821</v>
      </c>
      <c r="CA965" s="867">
        <f>_xlfn.MAXIFS($BY$4:$BY$12824,$S$4:$S$12824,$S965)</f>
        <v>12698.624521751821</v>
      </c>
      <c r="CB965" s="1032"/>
      <c r="CF965" s="946">
        <f t="shared" si="188"/>
        <v>126000</v>
      </c>
    </row>
    <row r="966" spans="1:84">
      <c r="A966" s="1032"/>
      <c r="B966" s="839" t="s">
        <v>98</v>
      </c>
      <c r="C966" s="839" t="s">
        <v>3454</v>
      </c>
      <c r="D966" s="839" t="s">
        <v>3455</v>
      </c>
      <c r="E966" s="839" t="s">
        <v>3455</v>
      </c>
      <c r="F966" s="841">
        <v>45597</v>
      </c>
      <c r="G966" s="840" t="s">
        <v>3456</v>
      </c>
      <c r="H966" s="842" t="s">
        <v>3457</v>
      </c>
      <c r="I966" s="842"/>
      <c r="J966" s="841"/>
      <c r="K966" s="841"/>
      <c r="L966" s="843" t="s">
        <v>1622</v>
      </c>
      <c r="M966" s="844" t="s">
        <v>3458</v>
      </c>
      <c r="N966" s="841"/>
      <c r="O966" s="841" t="s">
        <v>3459</v>
      </c>
      <c r="P966" s="841" t="s">
        <v>220</v>
      </c>
      <c r="Q966" s="843"/>
      <c r="R966" s="845" t="s">
        <v>3320</v>
      </c>
      <c r="S966" s="1127" t="s">
        <v>3470</v>
      </c>
      <c r="T966" s="843" t="s">
        <v>3471</v>
      </c>
      <c r="U966" s="842">
        <v>10</v>
      </c>
      <c r="V966" s="842" t="s">
        <v>8</v>
      </c>
      <c r="W966" s="846">
        <v>0.12</v>
      </c>
      <c r="X966" s="847">
        <f t="shared" si="180"/>
        <v>1.2</v>
      </c>
      <c r="Y966" s="848">
        <v>0</v>
      </c>
      <c r="Z966" s="849">
        <v>0.12</v>
      </c>
      <c r="AA966" s="849"/>
      <c r="AB966" s="849">
        <f t="shared" si="181"/>
        <v>1.2</v>
      </c>
      <c r="AC966" s="850">
        <f t="shared" si="182"/>
        <v>1.2</v>
      </c>
      <c r="AD966" s="851"/>
      <c r="AE966" s="852">
        <v>25200</v>
      </c>
      <c r="AF966" s="853">
        <v>0</v>
      </c>
      <c r="AG966" s="854">
        <f t="shared" si="183"/>
        <v>0</v>
      </c>
      <c r="AH966" s="853">
        <v>0.1</v>
      </c>
      <c r="AI966" s="855">
        <f t="shared" si="184"/>
        <v>3024</v>
      </c>
      <c r="AJ966" s="845" t="s">
        <v>3463</v>
      </c>
      <c r="AK966" s="857">
        <v>45607</v>
      </c>
      <c r="AL966" s="840"/>
      <c r="AM966" s="840"/>
      <c r="AN966" s="858"/>
      <c r="AO966" s="844"/>
      <c r="AP966" s="859"/>
      <c r="AQ966" s="859"/>
      <c r="AR966" s="859"/>
      <c r="AS966" s="840"/>
      <c r="AT966" s="840"/>
      <c r="AU966" s="860"/>
      <c r="AV966" s="839" t="s">
        <v>3464</v>
      </c>
      <c r="AW966" s="861">
        <v>45624</v>
      </c>
      <c r="AX966" s="862">
        <v>45625</v>
      </c>
      <c r="AY966" s="843"/>
      <c r="AZ966" s="842"/>
      <c r="BA966" s="842" t="s">
        <v>120</v>
      </c>
      <c r="BB966" s="863" t="s">
        <v>121</v>
      </c>
      <c r="BC966" s="864">
        <v>45788</v>
      </c>
      <c r="BD966" s="860" t="s">
        <v>3465</v>
      </c>
      <c r="BE966" s="865" cm="1">
        <f t="array" ref="BE966">IF(BD966="","",AC966/SUMPRODUCT(--(BD966=$BD$4:$BD$12824),$AC$4:$AC$12824))</f>
        <v>2.5020068179685791E-4</v>
      </c>
      <c r="BF966" s="458"/>
      <c r="BG966" s="458"/>
      <c r="BH966" s="458"/>
      <c r="BI966" s="458"/>
      <c r="BJ966" s="458"/>
      <c r="BK966" s="458"/>
      <c r="BL966" s="458"/>
      <c r="BM966" s="458"/>
      <c r="BN966" s="458"/>
      <c r="BO966" s="866">
        <f>VLOOKUP(BD966,$BD$4:$BN$12824,3,0)*BE966</f>
        <v>6.3823691919560481</v>
      </c>
      <c r="BP966" s="866"/>
      <c r="BQ966" s="866"/>
      <c r="BR966" s="866">
        <f>VLOOKUP(BD966,$BD$4:$BN$12824,6,0)*BE966</f>
        <v>167.76631256320175</v>
      </c>
      <c r="BS966" s="866">
        <f>VLOOKUP(BD966,$BD$4:$BN$12824,7,0)*BE966</f>
        <v>62.550170449214477</v>
      </c>
      <c r="BT966" s="866"/>
      <c r="BU966" s="866">
        <f>VLOOKUP(BD966,$BD$4:$BN$12824,9,0)*BE966</f>
        <v>0</v>
      </c>
      <c r="BV966" s="867"/>
      <c r="BW966" s="867">
        <f>VLOOKUP(BD966,$BD$4:$BN$12824,11,0)*BE966</f>
        <v>0</v>
      </c>
      <c r="BX966" s="1146">
        <f t="shared" si="187"/>
        <v>236.69885220437229</v>
      </c>
      <c r="BY966" s="867">
        <f t="shared" ref="BY966:BY1022" si="189">(AB966*AE966+AG966+BX966)/U966</f>
        <v>3047.6698852204372</v>
      </c>
      <c r="BZ966" s="867">
        <f t="shared" si="186"/>
        <v>30476.698852204372</v>
      </c>
      <c r="CA966" s="867">
        <f>_xlfn.MAXIFS($BY$4:$BY$12824,$S$4:$S$12824,$S966)</f>
        <v>3947.4638115772996</v>
      </c>
      <c r="CB966" s="1032"/>
      <c r="CF966" s="946">
        <f t="shared" si="188"/>
        <v>30240</v>
      </c>
    </row>
    <row r="967" spans="1:84">
      <c r="A967" s="1032"/>
      <c r="B967" s="839" t="s">
        <v>98</v>
      </c>
      <c r="C967" s="839" t="s">
        <v>3454</v>
      </c>
      <c r="D967" s="839" t="s">
        <v>3455</v>
      </c>
      <c r="E967" s="839" t="s">
        <v>3455</v>
      </c>
      <c r="F967" s="841">
        <v>45597</v>
      </c>
      <c r="G967" s="840" t="s">
        <v>3456</v>
      </c>
      <c r="H967" s="842" t="s">
        <v>3457</v>
      </c>
      <c r="I967" s="842"/>
      <c r="J967" s="841"/>
      <c r="K967" s="841"/>
      <c r="L967" s="843" t="s">
        <v>1622</v>
      </c>
      <c r="M967" s="844" t="s">
        <v>3458</v>
      </c>
      <c r="N967" s="841"/>
      <c r="O967" s="841" t="s">
        <v>3459</v>
      </c>
      <c r="P967" s="841" t="s">
        <v>3460</v>
      </c>
      <c r="Q967" s="843"/>
      <c r="R967" s="845" t="s">
        <v>3472</v>
      </c>
      <c r="S967" s="1127" t="s">
        <v>3472</v>
      </c>
      <c r="T967" s="843" t="s">
        <v>3473</v>
      </c>
      <c r="U967" s="842">
        <v>10</v>
      </c>
      <c r="V967" s="842" t="s">
        <v>8</v>
      </c>
      <c r="W967" s="846">
        <v>8.3000000000000007</v>
      </c>
      <c r="X967" s="847">
        <f t="shared" si="180"/>
        <v>83</v>
      </c>
      <c r="Y967" s="848">
        <v>0</v>
      </c>
      <c r="Z967" s="849">
        <v>8.3000000000000007</v>
      </c>
      <c r="AA967" s="849"/>
      <c r="AB967" s="849">
        <f t="shared" si="181"/>
        <v>83</v>
      </c>
      <c r="AC967" s="850">
        <f t="shared" si="182"/>
        <v>83</v>
      </c>
      <c r="AD967" s="851"/>
      <c r="AE967" s="852">
        <v>25200</v>
      </c>
      <c r="AF967" s="853">
        <v>0</v>
      </c>
      <c r="AG967" s="854">
        <f t="shared" si="183"/>
        <v>0</v>
      </c>
      <c r="AH967" s="853">
        <v>0.1</v>
      </c>
      <c r="AI967" s="855">
        <f t="shared" si="184"/>
        <v>209160</v>
      </c>
      <c r="AJ967" s="845" t="s">
        <v>3463</v>
      </c>
      <c r="AK967" s="857">
        <v>45607</v>
      </c>
      <c r="AL967" s="840"/>
      <c r="AM967" s="840"/>
      <c r="AN967" s="858"/>
      <c r="AO967" s="844"/>
      <c r="AP967" s="859"/>
      <c r="AQ967" s="859"/>
      <c r="AR967" s="859"/>
      <c r="AS967" s="840"/>
      <c r="AT967" s="840"/>
      <c r="AU967" s="860"/>
      <c r="AV967" s="839" t="s">
        <v>3464</v>
      </c>
      <c r="AW967" s="861">
        <v>45624</v>
      </c>
      <c r="AX967" s="862">
        <v>45625</v>
      </c>
      <c r="AY967" s="843"/>
      <c r="AZ967" s="842"/>
      <c r="BA967" s="842" t="s">
        <v>120</v>
      </c>
      <c r="BB967" s="863" t="s">
        <v>121</v>
      </c>
      <c r="BC967" s="864">
        <v>45788</v>
      </c>
      <c r="BD967" s="860" t="s">
        <v>3465</v>
      </c>
      <c r="BE967" s="865" cm="1">
        <f t="array" ref="BE967">IF(BD967="","",AC967/SUMPRODUCT(--(BD967=$BD$4:$BD$12824),$AC$4:$AC$12824))</f>
        <v>1.7305547157616005E-2</v>
      </c>
      <c r="BF967" s="458"/>
      <c r="BG967" s="458"/>
      <c r="BH967" s="458"/>
      <c r="BI967" s="458"/>
      <c r="BJ967" s="458"/>
      <c r="BK967" s="458"/>
      <c r="BL967" s="458"/>
      <c r="BM967" s="458"/>
      <c r="BN967" s="458"/>
      <c r="BO967" s="866">
        <f>VLOOKUP(BD967,$BD$4:$BN$12824,3,0)*BE967</f>
        <v>441.44720244362668</v>
      </c>
      <c r="BP967" s="866"/>
      <c r="BQ967" s="866"/>
      <c r="BR967" s="866">
        <f>VLOOKUP(BD967,$BD$4:$BN$12824,6,0)*BE967</f>
        <v>11603.836618954787</v>
      </c>
      <c r="BS967" s="866">
        <f>VLOOKUP(BD967,$BD$4:$BN$12824,7,0)*BE967</f>
        <v>4326.3867894040013</v>
      </c>
      <c r="BT967" s="866"/>
      <c r="BU967" s="866">
        <f>VLOOKUP(BD967,$BD$4:$BN$12824,9,0)*BE967</f>
        <v>0</v>
      </c>
      <c r="BV967" s="867"/>
      <c r="BW967" s="867">
        <f>VLOOKUP(BD967,$BD$4:$BN$12824,11,0)*BE967</f>
        <v>0</v>
      </c>
      <c r="BX967" s="1146">
        <f t="shared" si="187"/>
        <v>16371.670610802415</v>
      </c>
      <c r="BY967" s="867">
        <f t="shared" si="189"/>
        <v>210797.16706108022</v>
      </c>
      <c r="BZ967" s="867">
        <f t="shared" si="186"/>
        <v>2107971.6706108022</v>
      </c>
      <c r="CA967" s="867">
        <f>_xlfn.MAXIFS($BY$4:$BY$12824,$S$4:$S$12824,$S967)</f>
        <v>369054.96030315501</v>
      </c>
      <c r="CB967" s="1032"/>
      <c r="CF967" s="946">
        <f t="shared" si="188"/>
        <v>2091600</v>
      </c>
    </row>
    <row r="968" spans="1:84">
      <c r="A968" s="1032"/>
      <c r="B968" s="839" t="s">
        <v>98</v>
      </c>
      <c r="C968" s="839" t="s">
        <v>3454</v>
      </c>
      <c r="D968" s="839" t="s">
        <v>3455</v>
      </c>
      <c r="E968" s="839" t="s">
        <v>3455</v>
      </c>
      <c r="F968" s="841">
        <v>45597</v>
      </c>
      <c r="G968" s="840" t="s">
        <v>3456</v>
      </c>
      <c r="H968" s="842" t="s">
        <v>3457</v>
      </c>
      <c r="I968" s="842"/>
      <c r="J968" s="841"/>
      <c r="K968" s="841"/>
      <c r="L968" s="843" t="s">
        <v>1622</v>
      </c>
      <c r="M968" s="844" t="s">
        <v>3458</v>
      </c>
      <c r="N968" s="841"/>
      <c r="O968" s="841" t="s">
        <v>3459</v>
      </c>
      <c r="P968" s="841" t="s">
        <v>220</v>
      </c>
      <c r="Q968" s="843"/>
      <c r="R968" s="845" t="s">
        <v>3320</v>
      </c>
      <c r="S968" s="1127" t="s">
        <v>3474</v>
      </c>
      <c r="T968" s="843" t="s">
        <v>3475</v>
      </c>
      <c r="U968" s="842">
        <v>10</v>
      </c>
      <c r="V968" s="842" t="s">
        <v>8</v>
      </c>
      <c r="W968" s="846">
        <v>0.42</v>
      </c>
      <c r="X968" s="847">
        <f t="shared" si="180"/>
        <v>4.2</v>
      </c>
      <c r="Y968" s="848">
        <v>0</v>
      </c>
      <c r="Z968" s="849">
        <v>0.42</v>
      </c>
      <c r="AA968" s="849"/>
      <c r="AB968" s="849">
        <f t="shared" si="181"/>
        <v>4.2</v>
      </c>
      <c r="AC968" s="850">
        <f t="shared" si="182"/>
        <v>4.2</v>
      </c>
      <c r="AD968" s="851"/>
      <c r="AE968" s="852">
        <v>25200</v>
      </c>
      <c r="AF968" s="853">
        <v>0</v>
      </c>
      <c r="AG968" s="854">
        <f t="shared" si="183"/>
        <v>0</v>
      </c>
      <c r="AH968" s="853">
        <v>0.1</v>
      </c>
      <c r="AI968" s="855">
        <f t="shared" si="184"/>
        <v>10584</v>
      </c>
      <c r="AJ968" s="845" t="s">
        <v>3463</v>
      </c>
      <c r="AK968" s="857">
        <v>45607</v>
      </c>
      <c r="AL968" s="840"/>
      <c r="AM968" s="840"/>
      <c r="AN968" s="858"/>
      <c r="AO968" s="844"/>
      <c r="AP968" s="859"/>
      <c r="AQ968" s="859"/>
      <c r="AR968" s="859"/>
      <c r="AS968" s="840"/>
      <c r="AT968" s="840"/>
      <c r="AU968" s="860"/>
      <c r="AV968" s="839" t="s">
        <v>3464</v>
      </c>
      <c r="AW968" s="861">
        <v>45624</v>
      </c>
      <c r="AX968" s="862">
        <v>45625</v>
      </c>
      <c r="AY968" s="843"/>
      <c r="AZ968" s="842"/>
      <c r="BA968" s="842" t="s">
        <v>120</v>
      </c>
      <c r="BB968" s="863" t="s">
        <v>121</v>
      </c>
      <c r="BC968" s="864">
        <v>45788</v>
      </c>
      <c r="BD968" s="860" t="s">
        <v>3465</v>
      </c>
      <c r="BE968" s="865" cm="1">
        <f t="array" ref="BE968">IF(BD968="","",AC968/SUMPRODUCT(--(BD968=$BD$4:$BD$12824),$AC$4:$AC$12824))</f>
        <v>8.7570238628900275E-4</v>
      </c>
      <c r="BF968" s="458"/>
      <c r="BG968" s="458"/>
      <c r="BH968" s="458"/>
      <c r="BI968" s="458"/>
      <c r="BJ968" s="458"/>
      <c r="BK968" s="458"/>
      <c r="BL968" s="458"/>
      <c r="BM968" s="458"/>
      <c r="BN968" s="458"/>
      <c r="BO968" s="866">
        <f>VLOOKUP(BD968,$BD$4:$BN$12824,3,0)*BE968</f>
        <v>22.33829217184617</v>
      </c>
      <c r="BP968" s="866"/>
      <c r="BQ968" s="866"/>
      <c r="BR968" s="866">
        <f>VLOOKUP(BD968,$BD$4:$BN$12824,6,0)*BE968</f>
        <v>587.1820939712062</v>
      </c>
      <c r="BS968" s="866">
        <f>VLOOKUP(BD968,$BD$4:$BN$12824,7,0)*BE968</f>
        <v>218.9255965722507</v>
      </c>
      <c r="BT968" s="866"/>
      <c r="BU968" s="866">
        <f>VLOOKUP(BD968,$BD$4:$BN$12824,9,0)*BE968</f>
        <v>0</v>
      </c>
      <c r="BV968" s="867"/>
      <c r="BW968" s="867">
        <f>VLOOKUP(BD968,$BD$4:$BN$12824,11,0)*BE968</f>
        <v>0</v>
      </c>
      <c r="BX968" s="1146">
        <f t="shared" si="187"/>
        <v>828.4459827153031</v>
      </c>
      <c r="BY968" s="867">
        <f t="shared" si="189"/>
        <v>10666.844598271531</v>
      </c>
      <c r="BZ968" s="867">
        <f t="shared" si="186"/>
        <v>106668.44598271532</v>
      </c>
      <c r="CA968" s="867">
        <f>_xlfn.MAXIFS($BY$4:$BY$12824,$S$4:$S$12824,$S968)</f>
        <v>10666.844598271531</v>
      </c>
      <c r="CB968" s="1032"/>
      <c r="CF968" s="946">
        <f t="shared" si="188"/>
        <v>105840</v>
      </c>
    </row>
    <row r="969" spans="1:84">
      <c r="A969" s="1032"/>
      <c r="B969" s="839" t="s">
        <v>98</v>
      </c>
      <c r="C969" s="839" t="s">
        <v>3454</v>
      </c>
      <c r="D969" s="839" t="s">
        <v>3455</v>
      </c>
      <c r="E969" s="839" t="s">
        <v>3455</v>
      </c>
      <c r="F969" s="841">
        <v>45597</v>
      </c>
      <c r="G969" s="840" t="s">
        <v>3456</v>
      </c>
      <c r="H969" s="842" t="s">
        <v>3457</v>
      </c>
      <c r="I969" s="842"/>
      <c r="J969" s="841"/>
      <c r="K969" s="841"/>
      <c r="L969" s="843" t="s">
        <v>1622</v>
      </c>
      <c r="M969" s="844" t="s">
        <v>3458</v>
      </c>
      <c r="N969" s="841"/>
      <c r="O969" s="841" t="s">
        <v>3459</v>
      </c>
      <c r="P969" s="841" t="s">
        <v>3460</v>
      </c>
      <c r="Q969" s="843"/>
      <c r="R969" s="845" t="s">
        <v>3476</v>
      </c>
      <c r="S969" s="1127" t="s">
        <v>3476</v>
      </c>
      <c r="T969" s="843" t="s">
        <v>3477</v>
      </c>
      <c r="U969" s="842">
        <v>8</v>
      </c>
      <c r="V969" s="842" t="s">
        <v>8</v>
      </c>
      <c r="W969" s="846">
        <v>6.9</v>
      </c>
      <c r="X969" s="847">
        <f t="shared" si="180"/>
        <v>55.2</v>
      </c>
      <c r="Y969" s="848">
        <v>0</v>
      </c>
      <c r="Z969" s="849">
        <v>6.9</v>
      </c>
      <c r="AA969" s="849"/>
      <c r="AB969" s="849">
        <f t="shared" si="181"/>
        <v>55.2</v>
      </c>
      <c r="AC969" s="850">
        <f t="shared" si="182"/>
        <v>55.2</v>
      </c>
      <c r="AD969" s="851"/>
      <c r="AE969" s="852">
        <v>25200</v>
      </c>
      <c r="AF969" s="853">
        <v>0</v>
      </c>
      <c r="AG969" s="854">
        <f t="shared" si="183"/>
        <v>0</v>
      </c>
      <c r="AH969" s="853">
        <v>0.1</v>
      </c>
      <c r="AI969" s="855">
        <f t="shared" si="184"/>
        <v>139104</v>
      </c>
      <c r="AJ969" s="845" t="s">
        <v>3463</v>
      </c>
      <c r="AK969" s="857">
        <v>45607</v>
      </c>
      <c r="AL969" s="840"/>
      <c r="AM969" s="840"/>
      <c r="AN969" s="858"/>
      <c r="AO969" s="844"/>
      <c r="AP969" s="859"/>
      <c r="AQ969" s="859"/>
      <c r="AR969" s="859"/>
      <c r="AS969" s="840"/>
      <c r="AT969" s="840"/>
      <c r="AU969" s="860"/>
      <c r="AV969" s="839" t="s">
        <v>3464</v>
      </c>
      <c r="AW969" s="861">
        <v>45624</v>
      </c>
      <c r="AX969" s="862">
        <v>45625</v>
      </c>
      <c r="AY969" s="843"/>
      <c r="AZ969" s="842"/>
      <c r="BA969" s="842" t="s">
        <v>120</v>
      </c>
      <c r="BB969" s="863" t="s">
        <v>121</v>
      </c>
      <c r="BC969" s="864">
        <v>45788</v>
      </c>
      <c r="BD969" s="860" t="s">
        <v>3465</v>
      </c>
      <c r="BE969" s="865" cm="1">
        <f t="array" ref="BE969">IF(BD969="","",AC969/SUMPRODUCT(--(BD969=$BD$4:$BD$12824),$AC$4:$AC$12824))</f>
        <v>1.1509231362655465E-2</v>
      </c>
      <c r="BF969" s="458"/>
      <c r="BG969" s="458"/>
      <c r="BH969" s="458"/>
      <c r="BI969" s="458"/>
      <c r="BJ969" s="458"/>
      <c r="BK969" s="458"/>
      <c r="BL969" s="458"/>
      <c r="BM969" s="458"/>
      <c r="BN969" s="458"/>
      <c r="BO969" s="866">
        <f>VLOOKUP(BD969,$BD$4:$BN$12824,3,0)*BE969</f>
        <v>293.58898282997825</v>
      </c>
      <c r="BP969" s="866"/>
      <c r="BQ969" s="866"/>
      <c r="BR969" s="866">
        <f>VLOOKUP(BD969,$BD$4:$BN$12824,6,0)*BE969</f>
        <v>7717.2503779072804</v>
      </c>
      <c r="BS969" s="866">
        <f>VLOOKUP(BD969,$BD$4:$BN$12824,7,0)*BE969</f>
        <v>2877.307840663866</v>
      </c>
      <c r="BT969" s="866"/>
      <c r="BU969" s="866">
        <f>VLOOKUP(BD969,$BD$4:$BN$12824,9,0)*BE969</f>
        <v>0</v>
      </c>
      <c r="BV969" s="867"/>
      <c r="BW969" s="867">
        <f>VLOOKUP(BD969,$BD$4:$BN$12824,11,0)*BE969</f>
        <v>0</v>
      </c>
      <c r="BX969" s="1146">
        <f t="shared" si="187"/>
        <v>10888.147201401123</v>
      </c>
      <c r="BY969" s="867">
        <f t="shared" si="189"/>
        <v>175241.01840017515</v>
      </c>
      <c r="BZ969" s="867">
        <f t="shared" si="186"/>
        <v>1401928.1472014012</v>
      </c>
      <c r="CA969" s="867">
        <f>_xlfn.MAXIFS($BY$4:$BY$12824,$S$4:$S$12824,$S969)</f>
        <v>175241.01840017515</v>
      </c>
      <c r="CB969" s="1032"/>
      <c r="CF969" s="946">
        <f t="shared" si="188"/>
        <v>1391040</v>
      </c>
    </row>
    <row r="970" spans="1:84">
      <c r="A970" s="1032"/>
      <c r="B970" s="839" t="s">
        <v>98</v>
      </c>
      <c r="C970" s="839" t="s">
        <v>3454</v>
      </c>
      <c r="D970" s="839" t="s">
        <v>3455</v>
      </c>
      <c r="E970" s="839" t="s">
        <v>3455</v>
      </c>
      <c r="F970" s="841">
        <v>45597</v>
      </c>
      <c r="G970" s="840" t="s">
        <v>3456</v>
      </c>
      <c r="H970" s="842" t="s">
        <v>3457</v>
      </c>
      <c r="I970" s="842"/>
      <c r="J970" s="841"/>
      <c r="K970" s="841"/>
      <c r="L970" s="843" t="s">
        <v>1622</v>
      </c>
      <c r="M970" s="844" t="s">
        <v>3458</v>
      </c>
      <c r="N970" s="841"/>
      <c r="O970" s="841" t="s">
        <v>3459</v>
      </c>
      <c r="P970" s="841" t="s">
        <v>3460</v>
      </c>
      <c r="Q970" s="843"/>
      <c r="R970" s="845" t="s">
        <v>3478</v>
      </c>
      <c r="S970" s="1127" t="s">
        <v>3478</v>
      </c>
      <c r="T970" s="843" t="s">
        <v>3479</v>
      </c>
      <c r="U970" s="842">
        <v>8</v>
      </c>
      <c r="V970" s="842" t="s">
        <v>8</v>
      </c>
      <c r="W970" s="846">
        <v>5</v>
      </c>
      <c r="X970" s="847">
        <f t="shared" si="180"/>
        <v>40</v>
      </c>
      <c r="Y970" s="848">
        <v>0</v>
      </c>
      <c r="Z970" s="849">
        <v>5</v>
      </c>
      <c r="AA970" s="849"/>
      <c r="AB970" s="849">
        <f t="shared" si="181"/>
        <v>40</v>
      </c>
      <c r="AC970" s="850">
        <f t="shared" si="182"/>
        <v>40</v>
      </c>
      <c r="AD970" s="851"/>
      <c r="AE970" s="852">
        <v>25200</v>
      </c>
      <c r="AF970" s="853">
        <v>0</v>
      </c>
      <c r="AG970" s="854">
        <f t="shared" si="183"/>
        <v>0</v>
      </c>
      <c r="AH970" s="853">
        <v>0.1</v>
      </c>
      <c r="AI970" s="855">
        <f t="shared" si="184"/>
        <v>100800</v>
      </c>
      <c r="AJ970" s="845" t="s">
        <v>3463</v>
      </c>
      <c r="AK970" s="857">
        <v>45607</v>
      </c>
      <c r="AL970" s="840"/>
      <c r="AM970" s="840"/>
      <c r="AN970" s="858"/>
      <c r="AO970" s="844"/>
      <c r="AP970" s="859"/>
      <c r="AQ970" s="859"/>
      <c r="AR970" s="859"/>
      <c r="AS970" s="840"/>
      <c r="AT970" s="840"/>
      <c r="AU970" s="860"/>
      <c r="AV970" s="839" t="s">
        <v>3464</v>
      </c>
      <c r="AW970" s="861">
        <v>45624</v>
      </c>
      <c r="AX970" s="862">
        <v>45625</v>
      </c>
      <c r="AY970" s="843"/>
      <c r="AZ970" s="842"/>
      <c r="BA970" s="842" t="s">
        <v>120</v>
      </c>
      <c r="BB970" s="863" t="s">
        <v>121</v>
      </c>
      <c r="BC970" s="864">
        <v>45788</v>
      </c>
      <c r="BD970" s="860" t="s">
        <v>3465</v>
      </c>
      <c r="BE970" s="865" cm="1">
        <f t="array" ref="BE970">IF(BD970="","",AC970/SUMPRODUCT(--(BD970=$BD$4:$BD$12824),$AC$4:$AC$12824))</f>
        <v>8.3400227265619312E-3</v>
      </c>
      <c r="BF970" s="458"/>
      <c r="BG970" s="458"/>
      <c r="BH970" s="458"/>
      <c r="BI970" s="458"/>
      <c r="BJ970" s="458"/>
      <c r="BK970" s="458"/>
      <c r="BL970" s="458"/>
      <c r="BM970" s="458"/>
      <c r="BN970" s="458"/>
      <c r="BO970" s="866">
        <f>VLOOKUP(BD970,$BD$4:$BN$12824,3,0)*BE970</f>
        <v>212.74563973186829</v>
      </c>
      <c r="BP970" s="866"/>
      <c r="BQ970" s="866"/>
      <c r="BR970" s="866">
        <f>VLOOKUP(BD970,$BD$4:$BN$12824,6,0)*BE970</f>
        <v>5592.2104187733921</v>
      </c>
      <c r="BS970" s="866">
        <f>VLOOKUP(BD970,$BD$4:$BN$12824,7,0)*BE970</f>
        <v>2085.0056816404826</v>
      </c>
      <c r="BT970" s="866"/>
      <c r="BU970" s="866">
        <f>VLOOKUP(BD970,$BD$4:$BN$12824,9,0)*BE970</f>
        <v>0</v>
      </c>
      <c r="BV970" s="867"/>
      <c r="BW970" s="867">
        <f>VLOOKUP(BD970,$BD$4:$BN$12824,11,0)*BE970</f>
        <v>0</v>
      </c>
      <c r="BX970" s="1146">
        <f t="shared" si="187"/>
        <v>7889.9617401457435</v>
      </c>
      <c r="BY970" s="867">
        <f t="shared" si="189"/>
        <v>126986.24521751821</v>
      </c>
      <c r="BZ970" s="867">
        <f t="shared" si="186"/>
        <v>1015889.9617401457</v>
      </c>
      <c r="CA970" s="867">
        <f>_xlfn.MAXIFS($BY$4:$BY$12824,$S$4:$S$12824,$S970)</f>
        <v>126986.24521751821</v>
      </c>
      <c r="CB970" s="1032"/>
      <c r="CF970" s="946">
        <f t="shared" si="188"/>
        <v>1008000</v>
      </c>
    </row>
    <row r="971" spans="1:84">
      <c r="A971" s="1032"/>
      <c r="B971" s="839" t="s">
        <v>98</v>
      </c>
      <c r="C971" s="839" t="s">
        <v>3454</v>
      </c>
      <c r="D971" s="839" t="s">
        <v>3455</v>
      </c>
      <c r="E971" s="839" t="s">
        <v>3455</v>
      </c>
      <c r="F971" s="841">
        <v>45597</v>
      </c>
      <c r="G971" s="840" t="s">
        <v>3456</v>
      </c>
      <c r="H971" s="842" t="s">
        <v>3457</v>
      </c>
      <c r="I971" s="842"/>
      <c r="J971" s="841"/>
      <c r="K971" s="841"/>
      <c r="L971" s="843" t="s">
        <v>1622</v>
      </c>
      <c r="M971" s="844" t="s">
        <v>3458</v>
      </c>
      <c r="N971" s="841"/>
      <c r="O971" s="841" t="s">
        <v>3459</v>
      </c>
      <c r="P971" s="841" t="s">
        <v>3460</v>
      </c>
      <c r="Q971" s="843"/>
      <c r="R971" s="845" t="s">
        <v>3480</v>
      </c>
      <c r="S971" s="1127" t="s">
        <v>3480</v>
      </c>
      <c r="T971" s="843" t="s">
        <v>3481</v>
      </c>
      <c r="U971" s="842">
        <v>30</v>
      </c>
      <c r="V971" s="842" t="s">
        <v>8</v>
      </c>
      <c r="W971" s="846">
        <v>2.1</v>
      </c>
      <c r="X971" s="847">
        <f t="shared" si="180"/>
        <v>63</v>
      </c>
      <c r="Y971" s="848">
        <v>0</v>
      </c>
      <c r="Z971" s="849">
        <v>2.1</v>
      </c>
      <c r="AA971" s="849"/>
      <c r="AB971" s="849">
        <f t="shared" si="181"/>
        <v>63</v>
      </c>
      <c r="AC971" s="850">
        <f t="shared" si="182"/>
        <v>63</v>
      </c>
      <c r="AD971" s="851"/>
      <c r="AE971" s="852">
        <v>25200</v>
      </c>
      <c r="AF971" s="853">
        <v>0</v>
      </c>
      <c r="AG971" s="854">
        <f t="shared" si="183"/>
        <v>0</v>
      </c>
      <c r="AH971" s="853">
        <v>0.1</v>
      </c>
      <c r="AI971" s="855">
        <f t="shared" si="184"/>
        <v>158760</v>
      </c>
      <c r="AJ971" s="845" t="s">
        <v>3463</v>
      </c>
      <c r="AK971" s="857">
        <v>45607</v>
      </c>
      <c r="AL971" s="840"/>
      <c r="AM971" s="840"/>
      <c r="AN971" s="858"/>
      <c r="AO971" s="844"/>
      <c r="AP971" s="859"/>
      <c r="AQ971" s="859"/>
      <c r="AR971" s="859"/>
      <c r="AS971" s="840"/>
      <c r="AT971" s="840"/>
      <c r="AU971" s="860"/>
      <c r="AV971" s="839" t="s">
        <v>3464</v>
      </c>
      <c r="AW971" s="861">
        <v>45624</v>
      </c>
      <c r="AX971" s="862">
        <v>45625</v>
      </c>
      <c r="AY971" s="843"/>
      <c r="AZ971" s="842"/>
      <c r="BA971" s="842" t="s">
        <v>120</v>
      </c>
      <c r="BB971" s="863" t="s">
        <v>121</v>
      </c>
      <c r="BC971" s="864">
        <v>45788</v>
      </c>
      <c r="BD971" s="860" t="s">
        <v>3465</v>
      </c>
      <c r="BE971" s="865" cm="1">
        <f t="array" ref="BE971">IF(BD971="","",AC971/SUMPRODUCT(--(BD971=$BD$4:$BD$12824),$AC$4:$AC$12824))</f>
        <v>1.3135535794335041E-2</v>
      </c>
      <c r="BF971" s="458"/>
      <c r="BG971" s="458"/>
      <c r="BH971" s="458"/>
      <c r="BI971" s="458"/>
      <c r="BJ971" s="458"/>
      <c r="BK971" s="458"/>
      <c r="BL971" s="458"/>
      <c r="BM971" s="458"/>
      <c r="BN971" s="458"/>
      <c r="BO971" s="866">
        <f>VLOOKUP(BD971,$BD$4:$BN$12824,3,0)*BE971</f>
        <v>335.07438257769257</v>
      </c>
      <c r="BP971" s="866"/>
      <c r="BQ971" s="866"/>
      <c r="BR971" s="866">
        <f>VLOOKUP(BD971,$BD$4:$BN$12824,6,0)*BE971</f>
        <v>8807.7314095680922</v>
      </c>
      <c r="BS971" s="866">
        <f>VLOOKUP(BD971,$BD$4:$BN$12824,7,0)*BE971</f>
        <v>3283.8839485837602</v>
      </c>
      <c r="BT971" s="866"/>
      <c r="BU971" s="866">
        <f>VLOOKUP(BD971,$BD$4:$BN$12824,9,0)*BE971</f>
        <v>0</v>
      </c>
      <c r="BV971" s="867"/>
      <c r="BW971" s="867">
        <f>VLOOKUP(BD971,$BD$4:$BN$12824,11,0)*BE971</f>
        <v>0</v>
      </c>
      <c r="BX971" s="1146">
        <f t="shared" si="187"/>
        <v>12426.689740729544</v>
      </c>
      <c r="BY971" s="867">
        <f t="shared" si="189"/>
        <v>53334.222991357652</v>
      </c>
      <c r="BZ971" s="867">
        <f t="shared" si="186"/>
        <v>1600026.6897407295</v>
      </c>
      <c r="CA971" s="867">
        <f>_xlfn.MAXIFS($BY$4:$BY$12824,$S$4:$S$12824,$S971)</f>
        <v>53334.222991357652</v>
      </c>
      <c r="CB971" s="1032"/>
      <c r="CF971" s="946">
        <f t="shared" si="188"/>
        <v>1587600</v>
      </c>
    </row>
    <row r="972" spans="1:84">
      <c r="A972" s="1032"/>
      <c r="B972" s="839" t="s">
        <v>98</v>
      </c>
      <c r="C972" s="839" t="s">
        <v>3454</v>
      </c>
      <c r="D972" s="839" t="s">
        <v>3455</v>
      </c>
      <c r="E972" s="839" t="s">
        <v>3455</v>
      </c>
      <c r="F972" s="841">
        <v>45597</v>
      </c>
      <c r="G972" s="840" t="s">
        <v>3482</v>
      </c>
      <c r="H972" s="842" t="s">
        <v>3457</v>
      </c>
      <c r="I972" s="842"/>
      <c r="J972" s="841"/>
      <c r="K972" s="841"/>
      <c r="L972" s="843" t="s">
        <v>1622</v>
      </c>
      <c r="M972" s="844" t="s">
        <v>3458</v>
      </c>
      <c r="N972" s="841"/>
      <c r="O972" s="841" t="s">
        <v>3459</v>
      </c>
      <c r="P972" s="841" t="s">
        <v>220</v>
      </c>
      <c r="Q972" s="843"/>
      <c r="R972" s="845" t="s">
        <v>3483</v>
      </c>
      <c r="S972" s="1127" t="s">
        <v>3483</v>
      </c>
      <c r="T972" s="843" t="s">
        <v>3484</v>
      </c>
      <c r="U972" s="842">
        <v>5</v>
      </c>
      <c r="V972" s="842" t="s">
        <v>8</v>
      </c>
      <c r="W972" s="846">
        <v>15.15</v>
      </c>
      <c r="X972" s="847">
        <f t="shared" si="180"/>
        <v>75.75</v>
      </c>
      <c r="Y972" s="848">
        <v>0</v>
      </c>
      <c r="Z972" s="849">
        <v>15.15</v>
      </c>
      <c r="AA972" s="849"/>
      <c r="AB972" s="849">
        <f t="shared" si="181"/>
        <v>75.75</v>
      </c>
      <c r="AC972" s="850">
        <f t="shared" si="182"/>
        <v>75.75</v>
      </c>
      <c r="AD972" s="851"/>
      <c r="AE972" s="852">
        <v>25200</v>
      </c>
      <c r="AF972" s="853">
        <v>0</v>
      </c>
      <c r="AG972" s="854">
        <f t="shared" si="183"/>
        <v>0</v>
      </c>
      <c r="AH972" s="853">
        <v>0.1</v>
      </c>
      <c r="AI972" s="855">
        <f t="shared" si="184"/>
        <v>190890</v>
      </c>
      <c r="AJ972" s="845" t="s">
        <v>3463</v>
      </c>
      <c r="AK972" s="857">
        <v>45607</v>
      </c>
      <c r="AL972" s="840"/>
      <c r="AM972" s="840"/>
      <c r="AN972" s="858"/>
      <c r="AO972" s="844"/>
      <c r="AP972" s="859"/>
      <c r="AQ972" s="859"/>
      <c r="AR972" s="859"/>
      <c r="AS972" s="840"/>
      <c r="AT972" s="840"/>
      <c r="AU972" s="860"/>
      <c r="AV972" s="839" t="s">
        <v>3464</v>
      </c>
      <c r="AW972" s="861">
        <v>45624</v>
      </c>
      <c r="AX972" s="862" t="s">
        <v>3485</v>
      </c>
      <c r="AY972" s="843"/>
      <c r="AZ972" s="842"/>
      <c r="BA972" s="842" t="s">
        <v>120</v>
      </c>
      <c r="BB972" s="863" t="s">
        <v>121</v>
      </c>
      <c r="BC972" s="864">
        <v>45788</v>
      </c>
      <c r="BD972" s="860" t="s">
        <v>3465</v>
      </c>
      <c r="BE972" s="865" cm="1">
        <f t="array" ref="BE972">IF(BD972="","",AC972/SUMPRODUCT(--(BD972=$BD$4:$BD$12824),$AC$4:$AC$12824))</f>
        <v>1.5793918038426655E-2</v>
      </c>
      <c r="BF972" s="458"/>
      <c r="BG972" s="458"/>
      <c r="BH972" s="458"/>
      <c r="BI972" s="458"/>
      <c r="BJ972" s="458"/>
      <c r="BK972" s="458"/>
      <c r="BL972" s="458"/>
      <c r="BM972" s="458"/>
      <c r="BN972" s="458"/>
      <c r="BO972" s="866">
        <f>VLOOKUP(BD972,$BD$4:$BN$12824,3,0)*BE972</f>
        <v>402.88705524222553</v>
      </c>
      <c r="BP972" s="866"/>
      <c r="BQ972" s="866"/>
      <c r="BR972" s="866">
        <f>VLOOKUP(BD972,$BD$4:$BN$12824,6,0)*BE972</f>
        <v>10590.248480552109</v>
      </c>
      <c r="BS972" s="866">
        <f>VLOOKUP(BD972,$BD$4:$BN$12824,7,0)*BE972</f>
        <v>3948.4795096066637</v>
      </c>
      <c r="BT972" s="866"/>
      <c r="BU972" s="866">
        <f>VLOOKUP(BD972,$BD$4:$BN$12824,9,0)*BE972</f>
        <v>0</v>
      </c>
      <c r="BV972" s="867"/>
      <c r="BW972" s="867">
        <f>VLOOKUP(BD972,$BD$4:$BN$12824,11,0)*BE972</f>
        <v>0</v>
      </c>
      <c r="BX972" s="1146">
        <f t="shared" si="187"/>
        <v>14941.615045400998</v>
      </c>
      <c r="BY972" s="867">
        <f t="shared" si="189"/>
        <v>384768.3230090802</v>
      </c>
      <c r="BZ972" s="867">
        <f t="shared" si="186"/>
        <v>1923841.615045401</v>
      </c>
      <c r="CA972" s="867">
        <f>_xlfn.MAXIFS($BY$4:$BY$12824,$S$4:$S$12824,$S972)</f>
        <v>590487.93648504803</v>
      </c>
      <c r="CB972" s="1032"/>
      <c r="CF972" s="946">
        <f t="shared" si="188"/>
        <v>1908900</v>
      </c>
    </row>
    <row r="973" spans="1:84">
      <c r="A973" s="1032"/>
      <c r="B973" s="839" t="s">
        <v>98</v>
      </c>
      <c r="C973" s="839" t="s">
        <v>3454</v>
      </c>
      <c r="D973" s="839" t="s">
        <v>3455</v>
      </c>
      <c r="E973" s="839" t="s">
        <v>3455</v>
      </c>
      <c r="F973" s="841">
        <v>45597</v>
      </c>
      <c r="G973" s="840" t="s">
        <v>3482</v>
      </c>
      <c r="H973" s="842" t="s">
        <v>3457</v>
      </c>
      <c r="I973" s="842"/>
      <c r="J973" s="841"/>
      <c r="K973" s="841"/>
      <c r="L973" s="843" t="s">
        <v>1622</v>
      </c>
      <c r="M973" s="844" t="s">
        <v>3458</v>
      </c>
      <c r="N973" s="841"/>
      <c r="O973" s="841" t="s">
        <v>3459</v>
      </c>
      <c r="P973" s="841" t="s">
        <v>220</v>
      </c>
      <c r="Q973" s="843"/>
      <c r="R973" s="845" t="s">
        <v>3486</v>
      </c>
      <c r="S973" s="1127" t="s">
        <v>3486</v>
      </c>
      <c r="T973" s="843" t="s">
        <v>3487</v>
      </c>
      <c r="U973" s="842">
        <v>50</v>
      </c>
      <c r="V973" s="842" t="s">
        <v>8</v>
      </c>
      <c r="W973" s="846">
        <v>10.94</v>
      </c>
      <c r="X973" s="847">
        <f t="shared" si="180"/>
        <v>547</v>
      </c>
      <c r="Y973" s="848">
        <v>0</v>
      </c>
      <c r="Z973" s="849">
        <v>10.94</v>
      </c>
      <c r="AA973" s="849"/>
      <c r="AB973" s="849">
        <f t="shared" si="181"/>
        <v>547</v>
      </c>
      <c r="AC973" s="850">
        <f t="shared" si="182"/>
        <v>547</v>
      </c>
      <c r="AD973" s="851"/>
      <c r="AE973" s="852">
        <v>25200</v>
      </c>
      <c r="AF973" s="853">
        <v>0</v>
      </c>
      <c r="AG973" s="854">
        <f t="shared" si="183"/>
        <v>0</v>
      </c>
      <c r="AH973" s="853">
        <v>0.1</v>
      </c>
      <c r="AI973" s="855">
        <f t="shared" si="184"/>
        <v>1378440</v>
      </c>
      <c r="AJ973" s="845" t="s">
        <v>3463</v>
      </c>
      <c r="AK973" s="857">
        <v>45607</v>
      </c>
      <c r="AL973" s="840"/>
      <c r="AM973" s="840"/>
      <c r="AN973" s="858"/>
      <c r="AO973" s="844"/>
      <c r="AP973" s="859"/>
      <c r="AQ973" s="859"/>
      <c r="AR973" s="859"/>
      <c r="AS973" s="840"/>
      <c r="AT973" s="840"/>
      <c r="AU973" s="860"/>
      <c r="AV973" s="839" t="s">
        <v>3464</v>
      </c>
      <c r="AW973" s="861">
        <v>45624</v>
      </c>
      <c r="AX973" s="862" t="s">
        <v>3485</v>
      </c>
      <c r="AY973" s="843"/>
      <c r="AZ973" s="842"/>
      <c r="BA973" s="842" t="s">
        <v>120</v>
      </c>
      <c r="BB973" s="863" t="s">
        <v>121</v>
      </c>
      <c r="BC973" s="864">
        <v>45788</v>
      </c>
      <c r="BD973" s="860" t="s">
        <v>3465</v>
      </c>
      <c r="BE973" s="865" cm="1">
        <f t="array" ref="BE973">IF(BD973="","",AC973/SUMPRODUCT(--(BD973=$BD$4:$BD$12824),$AC$4:$AC$12824))</f>
        <v>0.1140498107857344</v>
      </c>
      <c r="BF973" s="458"/>
      <c r="BG973" s="458"/>
      <c r="BH973" s="458"/>
      <c r="BI973" s="458"/>
      <c r="BJ973" s="458"/>
      <c r="BK973" s="458"/>
      <c r="BL973" s="458"/>
      <c r="BM973" s="458"/>
      <c r="BN973" s="458"/>
      <c r="BO973" s="866">
        <f>VLOOKUP(BD973,$BD$4:$BN$12824,3,0)*BE973</f>
        <v>2909.2966233332986</v>
      </c>
      <c r="BP973" s="866"/>
      <c r="BQ973" s="866"/>
      <c r="BR973" s="866">
        <f>VLOOKUP(BD973,$BD$4:$BN$12824,6,0)*BE973</f>
        <v>76473.477476726126</v>
      </c>
      <c r="BS973" s="866">
        <f>VLOOKUP(BD973,$BD$4:$BN$12824,7,0)*BE973</f>
        <v>28512.4526964336</v>
      </c>
      <c r="BT973" s="866"/>
      <c r="BU973" s="866">
        <f>VLOOKUP(BD973,$BD$4:$BN$12824,9,0)*BE973</f>
        <v>0</v>
      </c>
      <c r="BV973" s="867"/>
      <c r="BW973" s="867">
        <f>VLOOKUP(BD973,$BD$4:$BN$12824,11,0)*BE973</f>
        <v>0</v>
      </c>
      <c r="BX973" s="1146">
        <f t="shared" si="187"/>
        <v>107895.22679649302</v>
      </c>
      <c r="BY973" s="867">
        <f t="shared" si="189"/>
        <v>277845.90453592985</v>
      </c>
      <c r="BZ973" s="867">
        <f t="shared" si="186"/>
        <v>13892295.226796493</v>
      </c>
      <c r="CA973" s="867">
        <f>_xlfn.MAXIFS($BY$4:$BY$12824,$S$4:$S$12824,$S973)</f>
        <v>384520.12054443004</v>
      </c>
      <c r="CB973" s="1032"/>
      <c r="CF973" s="946">
        <f t="shared" si="188"/>
        <v>13784400</v>
      </c>
    </row>
    <row r="974" spans="1:84">
      <c r="A974" s="1032"/>
      <c r="B974" s="839" t="s">
        <v>98</v>
      </c>
      <c r="C974" s="839" t="s">
        <v>3454</v>
      </c>
      <c r="D974" s="839" t="s">
        <v>3455</v>
      </c>
      <c r="E974" s="839" t="s">
        <v>3455</v>
      </c>
      <c r="F974" s="841">
        <v>45597</v>
      </c>
      <c r="G974" s="840" t="s">
        <v>3482</v>
      </c>
      <c r="H974" s="842" t="s">
        <v>3457</v>
      </c>
      <c r="I974" s="842"/>
      <c r="J974" s="841"/>
      <c r="K974" s="841"/>
      <c r="L974" s="843" t="s">
        <v>1622</v>
      </c>
      <c r="M974" s="844" t="s">
        <v>3458</v>
      </c>
      <c r="N974" s="841"/>
      <c r="O974" s="841" t="s">
        <v>3459</v>
      </c>
      <c r="P974" s="841" t="s">
        <v>220</v>
      </c>
      <c r="Q974" s="843"/>
      <c r="R974" s="845" t="s">
        <v>3488</v>
      </c>
      <c r="S974" s="1127" t="s">
        <v>3488</v>
      </c>
      <c r="T974" s="843" t="s">
        <v>3489</v>
      </c>
      <c r="U974" s="842">
        <v>29</v>
      </c>
      <c r="V974" s="842" t="s">
        <v>8</v>
      </c>
      <c r="W974" s="846">
        <v>11.65</v>
      </c>
      <c r="X974" s="847">
        <f t="shared" si="180"/>
        <v>337.85</v>
      </c>
      <c r="Y974" s="848">
        <v>0</v>
      </c>
      <c r="Z974" s="849">
        <v>11.65</v>
      </c>
      <c r="AA974" s="849"/>
      <c r="AB974" s="849">
        <f t="shared" si="181"/>
        <v>337.85</v>
      </c>
      <c r="AC974" s="850">
        <f t="shared" si="182"/>
        <v>337.85</v>
      </c>
      <c r="AD974" s="851"/>
      <c r="AE974" s="852">
        <v>25200</v>
      </c>
      <c r="AF974" s="853">
        <v>0</v>
      </c>
      <c r="AG974" s="854">
        <f t="shared" si="183"/>
        <v>0</v>
      </c>
      <c r="AH974" s="853">
        <v>0.1</v>
      </c>
      <c r="AI974" s="855">
        <f t="shared" si="184"/>
        <v>851382</v>
      </c>
      <c r="AJ974" s="845" t="s">
        <v>3463</v>
      </c>
      <c r="AK974" s="857">
        <v>45607</v>
      </c>
      <c r="AL974" s="840"/>
      <c r="AM974" s="840"/>
      <c r="AN974" s="858"/>
      <c r="AO974" s="844"/>
      <c r="AP974" s="859"/>
      <c r="AQ974" s="859"/>
      <c r="AR974" s="859"/>
      <c r="AS974" s="840"/>
      <c r="AT974" s="840"/>
      <c r="AU974" s="860"/>
      <c r="AV974" s="839" t="s">
        <v>3464</v>
      </c>
      <c r="AW974" s="861">
        <v>45624</v>
      </c>
      <c r="AX974" s="862" t="s">
        <v>3485</v>
      </c>
      <c r="AY974" s="843"/>
      <c r="AZ974" s="842"/>
      <c r="BA974" s="842" t="s">
        <v>120</v>
      </c>
      <c r="BB974" s="863" t="s">
        <v>121</v>
      </c>
      <c r="BC974" s="864">
        <v>45788</v>
      </c>
      <c r="BD974" s="860" t="s">
        <v>3465</v>
      </c>
      <c r="BE974" s="865" cm="1">
        <f t="array" ref="BE974">IF(BD974="","",AC974/SUMPRODUCT(--(BD974=$BD$4:$BD$12824),$AC$4:$AC$12824))</f>
        <v>7.0441916954223707E-2</v>
      </c>
      <c r="BF974" s="458"/>
      <c r="BG974" s="458"/>
      <c r="BH974" s="458"/>
      <c r="BI974" s="458"/>
      <c r="BJ974" s="458"/>
      <c r="BK974" s="458"/>
      <c r="BL974" s="458"/>
      <c r="BM974" s="458"/>
      <c r="BN974" s="458"/>
      <c r="BO974" s="866">
        <f>VLOOKUP(BD974,$BD$4:$BN$12824,3,0)*BE974</f>
        <v>1796.9028595852926</v>
      </c>
      <c r="BP974" s="866"/>
      <c r="BQ974" s="866"/>
      <c r="BR974" s="866">
        <f>VLOOKUP(BD974,$BD$4:$BN$12824,6,0)*BE974</f>
        <v>47233.207249564759</v>
      </c>
      <c r="BS974" s="866">
        <f>VLOOKUP(BD974,$BD$4:$BN$12824,7,0)*BE974</f>
        <v>17610.479238555927</v>
      </c>
      <c r="BT974" s="866"/>
      <c r="BU974" s="866">
        <f>VLOOKUP(BD974,$BD$4:$BN$12824,9,0)*BE974</f>
        <v>0</v>
      </c>
      <c r="BV974" s="867"/>
      <c r="BW974" s="867">
        <f>VLOOKUP(BD974,$BD$4:$BN$12824,11,0)*BE974</f>
        <v>0</v>
      </c>
      <c r="BX974" s="1146">
        <f t="shared" si="187"/>
        <v>66640.589347705973</v>
      </c>
      <c r="BY974" s="867">
        <f t="shared" si="189"/>
        <v>295877.95135681744</v>
      </c>
      <c r="BZ974" s="867">
        <f t="shared" si="186"/>
        <v>8580460.5893477052</v>
      </c>
      <c r="CA974" s="867">
        <f>_xlfn.MAXIFS($BY$4:$BY$12824,$S$4:$S$12824,$S974)</f>
        <v>320007.24292424903</v>
      </c>
      <c r="CB974" s="1032"/>
      <c r="CF974" s="946">
        <f t="shared" si="188"/>
        <v>8513820</v>
      </c>
    </row>
    <row r="975" spans="1:84">
      <c r="A975" s="1032"/>
      <c r="B975" s="839" t="s">
        <v>98</v>
      </c>
      <c r="C975" s="839" t="s">
        <v>3454</v>
      </c>
      <c r="D975" s="839" t="s">
        <v>3455</v>
      </c>
      <c r="E975" s="839" t="s">
        <v>3455</v>
      </c>
      <c r="F975" s="841">
        <v>45597</v>
      </c>
      <c r="G975" s="840" t="s">
        <v>3482</v>
      </c>
      <c r="H975" s="842" t="s">
        <v>3457</v>
      </c>
      <c r="I975" s="842"/>
      <c r="J975" s="841"/>
      <c r="K975" s="841"/>
      <c r="L975" s="843" t="s">
        <v>1622</v>
      </c>
      <c r="M975" s="844" t="s">
        <v>3458</v>
      </c>
      <c r="N975" s="841"/>
      <c r="O975" s="841" t="s">
        <v>3459</v>
      </c>
      <c r="P975" s="841" t="s">
        <v>220</v>
      </c>
      <c r="Q975" s="843"/>
      <c r="R975" s="845" t="s">
        <v>3490</v>
      </c>
      <c r="S975" s="1127" t="s">
        <v>3490</v>
      </c>
      <c r="T975" s="843" t="s">
        <v>3491</v>
      </c>
      <c r="U975" s="842">
        <v>5</v>
      </c>
      <c r="V975" s="842" t="s">
        <v>8</v>
      </c>
      <c r="W975" s="846">
        <v>10.94</v>
      </c>
      <c r="X975" s="847">
        <f t="shared" si="180"/>
        <v>54.699999999999996</v>
      </c>
      <c r="Y975" s="848">
        <v>0</v>
      </c>
      <c r="Z975" s="849">
        <v>10.94</v>
      </c>
      <c r="AA975" s="849"/>
      <c r="AB975" s="849">
        <f t="shared" si="181"/>
        <v>54.699999999999996</v>
      </c>
      <c r="AC975" s="850">
        <f t="shared" si="182"/>
        <v>54.699999999999996</v>
      </c>
      <c r="AD975" s="851"/>
      <c r="AE975" s="852">
        <v>25200</v>
      </c>
      <c r="AF975" s="853">
        <v>0</v>
      </c>
      <c r="AG975" s="854">
        <f t="shared" si="183"/>
        <v>0</v>
      </c>
      <c r="AH975" s="853">
        <v>0.1</v>
      </c>
      <c r="AI975" s="855">
        <f t="shared" si="184"/>
        <v>137844</v>
      </c>
      <c r="AJ975" s="845" t="s">
        <v>3463</v>
      </c>
      <c r="AK975" s="857">
        <v>45607</v>
      </c>
      <c r="AL975" s="840"/>
      <c r="AM975" s="840"/>
      <c r="AN975" s="858"/>
      <c r="AO975" s="844"/>
      <c r="AP975" s="859"/>
      <c r="AQ975" s="859"/>
      <c r="AR975" s="859"/>
      <c r="AS975" s="840"/>
      <c r="AT975" s="840"/>
      <c r="AU975" s="860"/>
      <c r="AV975" s="839" t="s">
        <v>3464</v>
      </c>
      <c r="AW975" s="861">
        <v>45624</v>
      </c>
      <c r="AX975" s="862" t="s">
        <v>3485</v>
      </c>
      <c r="AY975" s="843"/>
      <c r="AZ975" s="842"/>
      <c r="BA975" s="842" t="s">
        <v>120</v>
      </c>
      <c r="BB975" s="863" t="s">
        <v>121</v>
      </c>
      <c r="BC975" s="864">
        <v>45788</v>
      </c>
      <c r="BD975" s="860" t="s">
        <v>3465</v>
      </c>
      <c r="BE975" s="865" cm="1">
        <f t="array" ref="BE975">IF(BD975="","",AC975/SUMPRODUCT(--(BD975=$BD$4:$BD$12824),$AC$4:$AC$12824))</f>
        <v>1.1404981078573439E-2</v>
      </c>
      <c r="BF975" s="458"/>
      <c r="BG975" s="458"/>
      <c r="BH975" s="458"/>
      <c r="BI975" s="458"/>
      <c r="BJ975" s="458"/>
      <c r="BK975" s="458"/>
      <c r="BL975" s="458"/>
      <c r="BM975" s="458"/>
      <c r="BN975" s="458"/>
      <c r="BO975" s="866">
        <f>VLOOKUP(BD975,$BD$4:$BN$12824,3,0)*BE975</f>
        <v>290.92966233332987</v>
      </c>
      <c r="BP975" s="866"/>
      <c r="BQ975" s="866"/>
      <c r="BR975" s="866">
        <f>VLOOKUP(BD975,$BD$4:$BN$12824,6,0)*BE975</f>
        <v>7647.3477476726121</v>
      </c>
      <c r="BS975" s="866">
        <f>VLOOKUP(BD975,$BD$4:$BN$12824,7,0)*BE975</f>
        <v>2851.2452696433597</v>
      </c>
      <c r="BT975" s="866"/>
      <c r="BU975" s="866">
        <f>VLOOKUP(BD975,$BD$4:$BN$12824,9,0)*BE975</f>
        <v>0</v>
      </c>
      <c r="BV975" s="867"/>
      <c r="BW975" s="867">
        <f>VLOOKUP(BD975,$BD$4:$BN$12824,11,0)*BE975</f>
        <v>0</v>
      </c>
      <c r="BX975" s="1146">
        <f t="shared" si="187"/>
        <v>10789.522679649303</v>
      </c>
      <c r="BY975" s="867">
        <f t="shared" si="189"/>
        <v>277845.90453592985</v>
      </c>
      <c r="BZ975" s="867">
        <f t="shared" si="186"/>
        <v>1389229.5226796493</v>
      </c>
      <c r="CA975" s="867">
        <f>_xlfn.MAXIFS($BY$4:$BY$12824,$S$4:$S$12824,$S975)</f>
        <v>277845.90453592985</v>
      </c>
      <c r="CB975" s="1032"/>
      <c r="CF975" s="946">
        <f t="shared" si="188"/>
        <v>1378440</v>
      </c>
    </row>
    <row r="976" spans="1:84">
      <c r="A976" s="1032"/>
      <c r="B976" s="839" t="s">
        <v>98</v>
      </c>
      <c r="C976" s="839" t="s">
        <v>3454</v>
      </c>
      <c r="D976" s="839" t="s">
        <v>3455</v>
      </c>
      <c r="E976" s="839" t="s">
        <v>3455</v>
      </c>
      <c r="F976" s="841">
        <v>45597</v>
      </c>
      <c r="G976" s="840" t="s">
        <v>3482</v>
      </c>
      <c r="H976" s="842" t="s">
        <v>3457</v>
      </c>
      <c r="I976" s="842"/>
      <c r="J976" s="841"/>
      <c r="K976" s="841"/>
      <c r="L976" s="843" t="s">
        <v>1622</v>
      </c>
      <c r="M976" s="844" t="s">
        <v>3458</v>
      </c>
      <c r="N976" s="841"/>
      <c r="O976" s="841" t="s">
        <v>3459</v>
      </c>
      <c r="P976" s="841" t="s">
        <v>220</v>
      </c>
      <c r="Q976" s="843"/>
      <c r="R976" s="845" t="s">
        <v>3492</v>
      </c>
      <c r="S976" s="1127" t="s">
        <v>3493</v>
      </c>
      <c r="T976" s="843" t="s">
        <v>3494</v>
      </c>
      <c r="U976" s="842">
        <v>75</v>
      </c>
      <c r="V976" s="842" t="s">
        <v>8</v>
      </c>
      <c r="W976" s="846">
        <v>9.19</v>
      </c>
      <c r="X976" s="847">
        <f t="shared" si="180"/>
        <v>689.25</v>
      </c>
      <c r="Y976" s="848">
        <v>0</v>
      </c>
      <c r="Z976" s="849">
        <v>9.19</v>
      </c>
      <c r="AA976" s="849"/>
      <c r="AB976" s="849">
        <f t="shared" si="181"/>
        <v>689.25</v>
      </c>
      <c r="AC976" s="850">
        <f t="shared" si="182"/>
        <v>689.25</v>
      </c>
      <c r="AD976" s="851"/>
      <c r="AE976" s="852">
        <v>25200</v>
      </c>
      <c r="AF976" s="853">
        <v>0</v>
      </c>
      <c r="AG976" s="854">
        <f t="shared" si="183"/>
        <v>0</v>
      </c>
      <c r="AH976" s="853">
        <v>0.1</v>
      </c>
      <c r="AI976" s="855">
        <f t="shared" si="184"/>
        <v>1736910</v>
      </c>
      <c r="AJ976" s="845" t="s">
        <v>3463</v>
      </c>
      <c r="AK976" s="857">
        <v>45607</v>
      </c>
      <c r="AL976" s="840"/>
      <c r="AM976" s="840"/>
      <c r="AN976" s="858"/>
      <c r="AO976" s="844"/>
      <c r="AP976" s="859"/>
      <c r="AQ976" s="859"/>
      <c r="AR976" s="859"/>
      <c r="AS976" s="840"/>
      <c r="AT976" s="840"/>
      <c r="AU976" s="860"/>
      <c r="AV976" s="839" t="s">
        <v>3464</v>
      </c>
      <c r="AW976" s="861">
        <v>45624</v>
      </c>
      <c r="AX976" s="862" t="s">
        <v>3485</v>
      </c>
      <c r="AY976" s="843"/>
      <c r="AZ976" s="842"/>
      <c r="BA976" s="842" t="s">
        <v>120</v>
      </c>
      <c r="BB976" s="863" t="s">
        <v>121</v>
      </c>
      <c r="BC976" s="864">
        <v>45788</v>
      </c>
      <c r="BD976" s="860" t="s">
        <v>3465</v>
      </c>
      <c r="BE976" s="865" cm="1">
        <f t="array" ref="BE976">IF(BD976="","",AC976/SUMPRODUCT(--(BD976=$BD$4:$BD$12824),$AC$4:$AC$12824))</f>
        <v>0.14370901660707028</v>
      </c>
      <c r="BF976" s="458"/>
      <c r="BG976" s="458"/>
      <c r="BH976" s="458"/>
      <c r="BI976" s="458"/>
      <c r="BJ976" s="458"/>
      <c r="BK976" s="458"/>
      <c r="BL976" s="458"/>
      <c r="BM976" s="458"/>
      <c r="BN976" s="458"/>
      <c r="BO976" s="866">
        <f>VLOOKUP(BD976,$BD$4:$BN$12824,3,0)*BE976</f>
        <v>3665.8733046297557</v>
      </c>
      <c r="BP976" s="866"/>
      <c r="BQ976" s="866"/>
      <c r="BR976" s="866">
        <f>VLOOKUP(BD976,$BD$4:$BN$12824,6,0)*BE976</f>
        <v>96360.775778489013</v>
      </c>
      <c r="BS976" s="866">
        <f>VLOOKUP(BD976,$BD$4:$BN$12824,7,0)*BE976</f>
        <v>35927.254151767571</v>
      </c>
      <c r="BT976" s="866"/>
      <c r="BU976" s="866">
        <f>VLOOKUP(BD976,$BD$4:$BN$12824,9,0)*BE976</f>
        <v>0</v>
      </c>
      <c r="BV976" s="867"/>
      <c r="BW976" s="867">
        <f>VLOOKUP(BD976,$BD$4:$BN$12824,11,0)*BE976</f>
        <v>0</v>
      </c>
      <c r="BX976" s="1146">
        <f t="shared" si="187"/>
        <v>135953.90323488635</v>
      </c>
      <c r="BY976" s="867">
        <f t="shared" si="189"/>
        <v>233400.7187097985</v>
      </c>
      <c r="BZ976" s="867">
        <f t="shared" si="186"/>
        <v>17505053.903234888</v>
      </c>
      <c r="CA976" s="867">
        <f>_xlfn.MAXIFS($BY$4:$BY$12824,$S$4:$S$12824,$S976)</f>
        <v>233400.7187097985</v>
      </c>
      <c r="CB976" s="1032"/>
      <c r="CF976" s="946">
        <f t="shared" si="188"/>
        <v>17369100</v>
      </c>
    </row>
    <row r="977" spans="1:84">
      <c r="A977" s="1032"/>
      <c r="B977" s="839" t="s">
        <v>98</v>
      </c>
      <c r="C977" s="839" t="s">
        <v>3454</v>
      </c>
      <c r="D977" s="839" t="s">
        <v>3455</v>
      </c>
      <c r="E977" s="839" t="s">
        <v>3455</v>
      </c>
      <c r="F977" s="841">
        <v>45597</v>
      </c>
      <c r="G977" s="840" t="s">
        <v>3456</v>
      </c>
      <c r="H977" s="842" t="s">
        <v>3457</v>
      </c>
      <c r="I977" s="842"/>
      <c r="J977" s="841"/>
      <c r="K977" s="841"/>
      <c r="L977" s="843" t="s">
        <v>1622</v>
      </c>
      <c r="M977" s="844" t="s">
        <v>3458</v>
      </c>
      <c r="N977" s="841"/>
      <c r="O977" s="841" t="s">
        <v>3459</v>
      </c>
      <c r="P977" s="841" t="s">
        <v>220</v>
      </c>
      <c r="Q977" s="843"/>
      <c r="R977" s="845" t="s">
        <v>3495</v>
      </c>
      <c r="S977" s="1127" t="s">
        <v>3495</v>
      </c>
      <c r="T977" s="843" t="s">
        <v>3496</v>
      </c>
      <c r="U977" s="842">
        <v>4</v>
      </c>
      <c r="V977" s="842" t="s">
        <v>8</v>
      </c>
      <c r="W977" s="846">
        <v>16.650000000000002</v>
      </c>
      <c r="X977" s="847">
        <f t="shared" si="180"/>
        <v>66.600000000000009</v>
      </c>
      <c r="Y977" s="848">
        <v>0</v>
      </c>
      <c r="Z977" s="849">
        <v>16.650000000000002</v>
      </c>
      <c r="AA977" s="849"/>
      <c r="AB977" s="849">
        <f t="shared" si="181"/>
        <v>66.600000000000009</v>
      </c>
      <c r="AC977" s="850">
        <f t="shared" si="182"/>
        <v>66.600000000000009</v>
      </c>
      <c r="AD977" s="851"/>
      <c r="AE977" s="852">
        <v>25200</v>
      </c>
      <c r="AF977" s="853">
        <v>0</v>
      </c>
      <c r="AG977" s="854">
        <f t="shared" si="183"/>
        <v>0</v>
      </c>
      <c r="AH977" s="853">
        <v>0.1</v>
      </c>
      <c r="AI977" s="855">
        <f t="shared" si="184"/>
        <v>167832.00000000003</v>
      </c>
      <c r="AJ977" s="845" t="s">
        <v>3463</v>
      </c>
      <c r="AK977" s="857">
        <v>45607</v>
      </c>
      <c r="AL977" s="840"/>
      <c r="AM977" s="840"/>
      <c r="AN977" s="858"/>
      <c r="AO977" s="844"/>
      <c r="AP977" s="859"/>
      <c r="AQ977" s="859"/>
      <c r="AR977" s="859"/>
      <c r="AS977" s="840"/>
      <c r="AT977" s="840"/>
      <c r="AU977" s="860"/>
      <c r="AV977" s="839" t="s">
        <v>3464</v>
      </c>
      <c r="AW977" s="861">
        <v>45624</v>
      </c>
      <c r="AX977" s="862">
        <v>45625</v>
      </c>
      <c r="AY977" s="843"/>
      <c r="AZ977" s="842"/>
      <c r="BA977" s="842" t="s">
        <v>120</v>
      </c>
      <c r="BB977" s="863" t="s">
        <v>121</v>
      </c>
      <c r="BC977" s="864">
        <v>45788</v>
      </c>
      <c r="BD977" s="860" t="s">
        <v>3465</v>
      </c>
      <c r="BE977" s="865" cm="1">
        <f t="array" ref="BE977">IF(BD977="","",AC977/SUMPRODUCT(--(BD977=$BD$4:$BD$12824),$AC$4:$AC$12824))</f>
        <v>1.3886137839725615E-2</v>
      </c>
      <c r="BF977" s="458"/>
      <c r="BG977" s="458"/>
      <c r="BH977" s="458"/>
      <c r="BI977" s="458"/>
      <c r="BJ977" s="458"/>
      <c r="BK977" s="458"/>
      <c r="BL977" s="458"/>
      <c r="BM977" s="458"/>
      <c r="BN977" s="458"/>
      <c r="BO977" s="866">
        <f>VLOOKUP(BD977,$BD$4:$BN$12824,3,0)*BE977</f>
        <v>354.22149015356069</v>
      </c>
      <c r="BP977" s="866"/>
      <c r="BQ977" s="866"/>
      <c r="BR977" s="866">
        <f>VLOOKUP(BD977,$BD$4:$BN$12824,6,0)*BE977</f>
        <v>9311.0303472576979</v>
      </c>
      <c r="BS977" s="866">
        <f>VLOOKUP(BD977,$BD$4:$BN$12824,7,0)*BE977</f>
        <v>3471.5344599314039</v>
      </c>
      <c r="BT977" s="866"/>
      <c r="BU977" s="866">
        <f>VLOOKUP(BD977,$BD$4:$BN$12824,9,0)*BE977</f>
        <v>0</v>
      </c>
      <c r="BV977" s="867"/>
      <c r="BW977" s="867">
        <f>VLOOKUP(BD977,$BD$4:$BN$12824,11,0)*BE977</f>
        <v>0</v>
      </c>
      <c r="BX977" s="1146">
        <f t="shared" si="187"/>
        <v>13136.786297342664</v>
      </c>
      <c r="BY977" s="867">
        <f t="shared" si="189"/>
        <v>422864.19657433574</v>
      </c>
      <c r="BZ977" s="867">
        <f t="shared" si="186"/>
        <v>1691456.786297343</v>
      </c>
      <c r="CA977" s="867">
        <f>_xlfn.MAXIFS($BY$4:$BY$12824,$S$4:$S$12824,$S977)</f>
        <v>512461.70259812137</v>
      </c>
      <c r="CB977" s="1032"/>
      <c r="CF977" s="946">
        <f t="shared" si="188"/>
        <v>1678320.0000000002</v>
      </c>
    </row>
    <row r="978" spans="1:84">
      <c r="A978" s="1032"/>
      <c r="B978" s="839" t="s">
        <v>98</v>
      </c>
      <c r="C978" s="839" t="s">
        <v>3454</v>
      </c>
      <c r="D978" s="839" t="s">
        <v>3455</v>
      </c>
      <c r="E978" s="839" t="s">
        <v>3455</v>
      </c>
      <c r="F978" s="841">
        <v>45597</v>
      </c>
      <c r="G978" s="840" t="s">
        <v>3456</v>
      </c>
      <c r="H978" s="842" t="s">
        <v>3457</v>
      </c>
      <c r="I978" s="842"/>
      <c r="J978" s="841"/>
      <c r="K978" s="841"/>
      <c r="L978" s="843" t="s">
        <v>1622</v>
      </c>
      <c r="M978" s="844" t="s">
        <v>3458</v>
      </c>
      <c r="N978" s="841"/>
      <c r="O978" s="841" t="s">
        <v>3459</v>
      </c>
      <c r="P978" s="841" t="s">
        <v>220</v>
      </c>
      <c r="Q978" s="843"/>
      <c r="R978" s="845" t="s">
        <v>3497</v>
      </c>
      <c r="S978" s="1127" t="s">
        <v>3497</v>
      </c>
      <c r="T978" s="843" t="s">
        <v>3498</v>
      </c>
      <c r="U978" s="842">
        <v>4</v>
      </c>
      <c r="V978" s="842" t="s">
        <v>8</v>
      </c>
      <c r="W978" s="846">
        <v>32.1</v>
      </c>
      <c r="X978" s="847">
        <f t="shared" si="180"/>
        <v>128.4</v>
      </c>
      <c r="Y978" s="848">
        <v>0</v>
      </c>
      <c r="Z978" s="849">
        <v>32.1</v>
      </c>
      <c r="AA978" s="849"/>
      <c r="AB978" s="849">
        <f t="shared" si="181"/>
        <v>128.4</v>
      </c>
      <c r="AC978" s="850">
        <f t="shared" si="182"/>
        <v>128.4</v>
      </c>
      <c r="AD978" s="851"/>
      <c r="AE978" s="852">
        <v>25200</v>
      </c>
      <c r="AF978" s="853">
        <v>0</v>
      </c>
      <c r="AG978" s="854">
        <f t="shared" si="183"/>
        <v>0</v>
      </c>
      <c r="AH978" s="853">
        <v>0.1</v>
      </c>
      <c r="AI978" s="855">
        <f t="shared" si="184"/>
        <v>323568</v>
      </c>
      <c r="AJ978" s="845" t="s">
        <v>3463</v>
      </c>
      <c r="AK978" s="857">
        <v>45607</v>
      </c>
      <c r="AL978" s="840"/>
      <c r="AM978" s="840"/>
      <c r="AN978" s="858"/>
      <c r="AO978" s="844"/>
      <c r="AP978" s="859"/>
      <c r="AQ978" s="859"/>
      <c r="AR978" s="859"/>
      <c r="AS978" s="840"/>
      <c r="AT978" s="840"/>
      <c r="AU978" s="860"/>
      <c r="AV978" s="839" t="s">
        <v>3464</v>
      </c>
      <c r="AW978" s="861">
        <v>45624</v>
      </c>
      <c r="AX978" s="862">
        <v>45625</v>
      </c>
      <c r="AY978" s="843"/>
      <c r="AZ978" s="842"/>
      <c r="BA978" s="842" t="s">
        <v>120</v>
      </c>
      <c r="BB978" s="863" t="s">
        <v>121</v>
      </c>
      <c r="BC978" s="864">
        <v>45788</v>
      </c>
      <c r="BD978" s="860" t="s">
        <v>3465</v>
      </c>
      <c r="BE978" s="865" cm="1">
        <f t="array" ref="BE978">IF(BD978="","",AC978/SUMPRODUCT(--(BD978=$BD$4:$BD$12824),$AC$4:$AC$12824))</f>
        <v>2.6771472952263797E-2</v>
      </c>
      <c r="BF978" s="458"/>
      <c r="BG978" s="458"/>
      <c r="BH978" s="458"/>
      <c r="BI978" s="458"/>
      <c r="BJ978" s="458"/>
      <c r="BK978" s="458"/>
      <c r="BL978" s="458"/>
      <c r="BM978" s="458"/>
      <c r="BN978" s="458"/>
      <c r="BO978" s="866">
        <f>VLOOKUP(BD978,$BD$4:$BN$12824,3,0)*BE978</f>
        <v>682.91350353929715</v>
      </c>
      <c r="BP978" s="866"/>
      <c r="BQ978" s="866"/>
      <c r="BR978" s="866">
        <f>VLOOKUP(BD978,$BD$4:$BN$12824,6,0)*BE978</f>
        <v>17950.995444262586</v>
      </c>
      <c r="BS978" s="866">
        <f>VLOOKUP(BD978,$BD$4:$BN$12824,7,0)*BE978</f>
        <v>6692.8682380659493</v>
      </c>
      <c r="BT978" s="866"/>
      <c r="BU978" s="866">
        <f>VLOOKUP(BD978,$BD$4:$BN$12824,9,0)*BE978</f>
        <v>0</v>
      </c>
      <c r="BV978" s="867"/>
      <c r="BW978" s="867">
        <f>VLOOKUP(BD978,$BD$4:$BN$12824,11,0)*BE978</f>
        <v>0</v>
      </c>
      <c r="BX978" s="1146">
        <f t="shared" si="187"/>
        <v>25326.777185867832</v>
      </c>
      <c r="BY978" s="867">
        <f t="shared" si="189"/>
        <v>815251.694296467</v>
      </c>
      <c r="BZ978" s="867">
        <f t="shared" si="186"/>
        <v>3261006.777185868</v>
      </c>
      <c r="CA978" s="867">
        <f>_xlfn.MAXIFS($BY$4:$BY$12824,$S$4:$S$12824,$S978)</f>
        <v>1045233.4899057604</v>
      </c>
      <c r="CB978" s="1032"/>
      <c r="CF978" s="946">
        <f t="shared" si="188"/>
        <v>3235680</v>
      </c>
    </row>
    <row r="979" spans="1:84">
      <c r="A979" s="1032"/>
      <c r="B979" s="839" t="s">
        <v>98</v>
      </c>
      <c r="C979" s="839" t="s">
        <v>3454</v>
      </c>
      <c r="D979" s="839" t="s">
        <v>3455</v>
      </c>
      <c r="E979" s="839" t="s">
        <v>3455</v>
      </c>
      <c r="F979" s="841">
        <v>45597</v>
      </c>
      <c r="G979" s="840" t="s">
        <v>3456</v>
      </c>
      <c r="H979" s="842" t="s">
        <v>3457</v>
      </c>
      <c r="I979" s="842"/>
      <c r="J979" s="841"/>
      <c r="K979" s="841"/>
      <c r="L979" s="843" t="s">
        <v>1622</v>
      </c>
      <c r="M979" s="844" t="s">
        <v>3458</v>
      </c>
      <c r="N979" s="841"/>
      <c r="O979" s="841" t="s">
        <v>3459</v>
      </c>
      <c r="P979" s="841" t="s">
        <v>220</v>
      </c>
      <c r="Q979" s="843"/>
      <c r="R979" s="845" t="s">
        <v>3499</v>
      </c>
      <c r="S979" s="1127" t="s">
        <v>3500</v>
      </c>
      <c r="T979" s="843" t="s">
        <v>3501</v>
      </c>
      <c r="U979" s="842">
        <v>1</v>
      </c>
      <c r="V979" s="842" t="s">
        <v>8</v>
      </c>
      <c r="W979" s="846">
        <v>27.7</v>
      </c>
      <c r="X979" s="847">
        <f t="shared" si="180"/>
        <v>27.7</v>
      </c>
      <c r="Y979" s="848">
        <v>0</v>
      </c>
      <c r="Z979" s="849">
        <v>27.7</v>
      </c>
      <c r="AA979" s="849"/>
      <c r="AB979" s="849">
        <f t="shared" si="181"/>
        <v>27.7</v>
      </c>
      <c r="AC979" s="850">
        <f t="shared" si="182"/>
        <v>27.7</v>
      </c>
      <c r="AD979" s="851"/>
      <c r="AE979" s="852">
        <v>25200</v>
      </c>
      <c r="AF979" s="853">
        <v>0</v>
      </c>
      <c r="AG979" s="854">
        <f t="shared" si="183"/>
        <v>0</v>
      </c>
      <c r="AH979" s="853">
        <v>0.1</v>
      </c>
      <c r="AI979" s="855">
        <f t="shared" si="184"/>
        <v>69804</v>
      </c>
      <c r="AJ979" s="845" t="s">
        <v>3463</v>
      </c>
      <c r="AK979" s="857">
        <v>45607</v>
      </c>
      <c r="AL979" s="840"/>
      <c r="AM979" s="840"/>
      <c r="AN979" s="858"/>
      <c r="AO979" s="844"/>
      <c r="AP979" s="859"/>
      <c r="AQ979" s="859"/>
      <c r="AR979" s="859"/>
      <c r="AS979" s="840"/>
      <c r="AT979" s="840"/>
      <c r="AU979" s="860"/>
      <c r="AV979" s="839" t="s">
        <v>3464</v>
      </c>
      <c r="AW979" s="861">
        <v>45624</v>
      </c>
      <c r="AX979" s="862">
        <v>45625</v>
      </c>
      <c r="AY979" s="843"/>
      <c r="AZ979" s="842"/>
      <c r="BA979" s="842" t="s">
        <v>120</v>
      </c>
      <c r="BB979" s="863" t="s">
        <v>121</v>
      </c>
      <c r="BC979" s="864">
        <v>45788</v>
      </c>
      <c r="BD979" s="860" t="s">
        <v>3465</v>
      </c>
      <c r="BE979" s="865" cm="1">
        <f t="array" ref="BE979">IF(BD979="","",AC979/SUMPRODUCT(--(BD979=$BD$4:$BD$12824),$AC$4:$AC$12824))</f>
        <v>5.7754657381441366E-3</v>
      </c>
      <c r="BF979" s="458"/>
      <c r="BG979" s="458"/>
      <c r="BH979" s="458"/>
      <c r="BI979" s="458"/>
      <c r="BJ979" s="458"/>
      <c r="BK979" s="458"/>
      <c r="BL979" s="458"/>
      <c r="BM979" s="458"/>
      <c r="BN979" s="458"/>
      <c r="BO979" s="866">
        <f>VLOOKUP(BD979,$BD$4:$BN$12824,3,0)*BE979</f>
        <v>147.32635551431878</v>
      </c>
      <c r="BP979" s="866"/>
      <c r="BQ979" s="866"/>
      <c r="BR979" s="866">
        <f>VLOOKUP(BD979,$BD$4:$BN$12824,6,0)*BE979</f>
        <v>3872.6057150005736</v>
      </c>
      <c r="BS979" s="866">
        <f>VLOOKUP(BD979,$BD$4:$BN$12824,7,0)*BE979</f>
        <v>1443.8664345360341</v>
      </c>
      <c r="BT979" s="866"/>
      <c r="BU979" s="866">
        <f>VLOOKUP(BD979,$BD$4:$BN$12824,9,0)*BE979</f>
        <v>0</v>
      </c>
      <c r="BV979" s="867"/>
      <c r="BW979" s="867">
        <f>VLOOKUP(BD979,$BD$4:$BN$12824,11,0)*BE979</f>
        <v>0</v>
      </c>
      <c r="BX979" s="1146">
        <f t="shared" si="187"/>
        <v>5463.7985050509269</v>
      </c>
      <c r="BY979" s="867">
        <f t="shared" si="189"/>
        <v>703503.79850505095</v>
      </c>
      <c r="BZ979" s="867">
        <f t="shared" si="186"/>
        <v>703503.79850505095</v>
      </c>
      <c r="CA979" s="867">
        <f>_xlfn.MAXIFS($BY$4:$BY$12824,$S$4:$S$12824,$S979)</f>
        <v>703503.79850505095</v>
      </c>
      <c r="CB979" s="1032"/>
      <c r="CF979" s="946">
        <f t="shared" si="188"/>
        <v>698040</v>
      </c>
    </row>
    <row r="980" spans="1:84">
      <c r="A980" s="1032"/>
      <c r="B980" s="839" t="s">
        <v>98</v>
      </c>
      <c r="C980" s="839" t="s">
        <v>3454</v>
      </c>
      <c r="D980" s="839" t="s">
        <v>3455</v>
      </c>
      <c r="E980" s="839" t="s">
        <v>3455</v>
      </c>
      <c r="F980" s="841">
        <v>45597</v>
      </c>
      <c r="G980" s="840" t="s">
        <v>3456</v>
      </c>
      <c r="H980" s="842" t="s">
        <v>3457</v>
      </c>
      <c r="I980" s="842"/>
      <c r="J980" s="841"/>
      <c r="K980" s="841"/>
      <c r="L980" s="843" t="s">
        <v>1622</v>
      </c>
      <c r="M980" s="844" t="s">
        <v>3458</v>
      </c>
      <c r="N980" s="841"/>
      <c r="O980" s="841" t="s">
        <v>3459</v>
      </c>
      <c r="P980" s="841" t="s">
        <v>3460</v>
      </c>
      <c r="Q980" s="843"/>
      <c r="R980" s="845" t="s">
        <v>3502</v>
      </c>
      <c r="S980" s="1127" t="s">
        <v>3502</v>
      </c>
      <c r="T980" s="843" t="s">
        <v>3503</v>
      </c>
      <c r="U980" s="842">
        <v>40</v>
      </c>
      <c r="V980" s="842" t="s">
        <v>8</v>
      </c>
      <c r="W980" s="846">
        <v>7.18</v>
      </c>
      <c r="X980" s="847">
        <f t="shared" si="180"/>
        <v>287.2</v>
      </c>
      <c r="Y980" s="848">
        <v>0</v>
      </c>
      <c r="Z980" s="849">
        <v>7.18</v>
      </c>
      <c r="AA980" s="849"/>
      <c r="AB980" s="849">
        <f t="shared" si="181"/>
        <v>287.2</v>
      </c>
      <c r="AC980" s="850">
        <f t="shared" si="182"/>
        <v>287.2</v>
      </c>
      <c r="AD980" s="851"/>
      <c r="AE980" s="852">
        <v>25200</v>
      </c>
      <c r="AF980" s="853">
        <v>0</v>
      </c>
      <c r="AG980" s="854">
        <f t="shared" si="183"/>
        <v>0</v>
      </c>
      <c r="AH980" s="853">
        <v>0.1</v>
      </c>
      <c r="AI980" s="855">
        <f t="shared" si="184"/>
        <v>723744</v>
      </c>
      <c r="AJ980" s="845" t="s">
        <v>3463</v>
      </c>
      <c r="AK980" s="857">
        <v>45607</v>
      </c>
      <c r="AL980" s="840"/>
      <c r="AM980" s="840"/>
      <c r="AN980" s="858"/>
      <c r="AO980" s="844"/>
      <c r="AP980" s="859"/>
      <c r="AQ980" s="859"/>
      <c r="AR980" s="859"/>
      <c r="AS980" s="840"/>
      <c r="AT980" s="840"/>
      <c r="AU980" s="860"/>
      <c r="AV980" s="839" t="s">
        <v>3464</v>
      </c>
      <c r="AW980" s="861">
        <v>45624</v>
      </c>
      <c r="AX980" s="862">
        <v>45625</v>
      </c>
      <c r="AY980" s="843"/>
      <c r="AZ980" s="842"/>
      <c r="BA980" s="842" t="s">
        <v>120</v>
      </c>
      <c r="BB980" s="863" t="s">
        <v>121</v>
      </c>
      <c r="BC980" s="864">
        <v>45788</v>
      </c>
      <c r="BD980" s="860" t="s">
        <v>3465</v>
      </c>
      <c r="BE980" s="865" cm="1">
        <f t="array" ref="BE980">IF(BD980="","",AC980/SUMPRODUCT(--(BD980=$BD$4:$BD$12824),$AC$4:$AC$12824))</f>
        <v>5.9881363176714657E-2</v>
      </c>
      <c r="BF980" s="458"/>
      <c r="BG980" s="458"/>
      <c r="BH980" s="458"/>
      <c r="BI980" s="458"/>
      <c r="BJ980" s="458"/>
      <c r="BK980" s="458"/>
      <c r="BL980" s="458"/>
      <c r="BM980" s="458"/>
      <c r="BN980" s="458"/>
      <c r="BO980" s="866">
        <f>VLOOKUP(BD980,$BD$4:$BN$12824,3,0)*BE980</f>
        <v>1527.5136932748142</v>
      </c>
      <c r="BP980" s="866"/>
      <c r="BQ980" s="866"/>
      <c r="BR980" s="866">
        <f>VLOOKUP(BD980,$BD$4:$BN$12824,6,0)*BE980</f>
        <v>40152.070806792952</v>
      </c>
      <c r="BS980" s="866">
        <f>VLOOKUP(BD980,$BD$4:$BN$12824,7,0)*BE980</f>
        <v>14970.340794178665</v>
      </c>
      <c r="BT980" s="866"/>
      <c r="BU980" s="866">
        <f>VLOOKUP(BD980,$BD$4:$BN$12824,9,0)*BE980</f>
        <v>0</v>
      </c>
      <c r="BV980" s="867"/>
      <c r="BW980" s="867">
        <f>VLOOKUP(BD980,$BD$4:$BN$12824,11,0)*BE980</f>
        <v>0</v>
      </c>
      <c r="BX980" s="1146">
        <f t="shared" si="187"/>
        <v>56649.92529424643</v>
      </c>
      <c r="BY980" s="867">
        <f t="shared" si="189"/>
        <v>182352.24813235615</v>
      </c>
      <c r="BZ980" s="867">
        <f t="shared" si="186"/>
        <v>7294089.9252942465</v>
      </c>
      <c r="CA980" s="867">
        <f>_xlfn.MAXIFS($BY$4:$BY$12824,$S$4:$S$12824,$S980)</f>
        <v>182352.24813235615</v>
      </c>
      <c r="CB980" s="1032"/>
      <c r="CF980" s="946">
        <f t="shared" si="188"/>
        <v>7237440</v>
      </c>
    </row>
    <row r="981" spans="1:84">
      <c r="A981" s="1032"/>
      <c r="B981" s="839" t="s">
        <v>98</v>
      </c>
      <c r="C981" s="839" t="s">
        <v>3454</v>
      </c>
      <c r="D981" s="839" t="s">
        <v>3455</v>
      </c>
      <c r="E981" s="839" t="s">
        <v>3455</v>
      </c>
      <c r="F981" s="841">
        <v>45597</v>
      </c>
      <c r="G981" s="840" t="s">
        <v>3456</v>
      </c>
      <c r="H981" s="842" t="s">
        <v>3457</v>
      </c>
      <c r="I981" s="842"/>
      <c r="J981" s="841"/>
      <c r="K981" s="841"/>
      <c r="L981" s="843" t="s">
        <v>1622</v>
      </c>
      <c r="M981" s="844" t="s">
        <v>3458</v>
      </c>
      <c r="N981" s="841"/>
      <c r="O981" s="841" t="s">
        <v>3459</v>
      </c>
      <c r="P981" s="841" t="s">
        <v>220</v>
      </c>
      <c r="Q981" s="843"/>
      <c r="R981" s="845" t="s">
        <v>3320</v>
      </c>
      <c r="S981" s="1127" t="s">
        <v>3504</v>
      </c>
      <c r="T981" s="843" t="s">
        <v>3505</v>
      </c>
      <c r="U981" s="842">
        <v>30</v>
      </c>
      <c r="V981" s="842" t="s">
        <v>8</v>
      </c>
      <c r="W981" s="846">
        <v>0.51</v>
      </c>
      <c r="X981" s="847">
        <f t="shared" si="180"/>
        <v>15.3</v>
      </c>
      <c r="Y981" s="848">
        <v>0</v>
      </c>
      <c r="Z981" s="849">
        <v>0.51</v>
      </c>
      <c r="AA981" s="849"/>
      <c r="AB981" s="849">
        <f t="shared" si="181"/>
        <v>15.3</v>
      </c>
      <c r="AC981" s="850">
        <f t="shared" si="182"/>
        <v>15.3</v>
      </c>
      <c r="AD981" s="851"/>
      <c r="AE981" s="852">
        <v>25200</v>
      </c>
      <c r="AF981" s="853">
        <v>0</v>
      </c>
      <c r="AG981" s="854">
        <f t="shared" si="183"/>
        <v>0</v>
      </c>
      <c r="AH981" s="853">
        <v>0.1</v>
      </c>
      <c r="AI981" s="855">
        <f t="shared" si="184"/>
        <v>38556</v>
      </c>
      <c r="AJ981" s="845" t="s">
        <v>3463</v>
      </c>
      <c r="AK981" s="857">
        <v>45607</v>
      </c>
      <c r="AL981" s="840"/>
      <c r="AM981" s="840"/>
      <c r="AN981" s="858"/>
      <c r="AO981" s="844"/>
      <c r="AP981" s="859"/>
      <c r="AQ981" s="859"/>
      <c r="AR981" s="859"/>
      <c r="AS981" s="840"/>
      <c r="AT981" s="840"/>
      <c r="AU981" s="860"/>
      <c r="AV981" s="839" t="s">
        <v>3464</v>
      </c>
      <c r="AW981" s="861">
        <v>45624</v>
      </c>
      <c r="AX981" s="862">
        <v>45625</v>
      </c>
      <c r="AY981" s="843"/>
      <c r="AZ981" s="842"/>
      <c r="BA981" s="842" t="s">
        <v>120</v>
      </c>
      <c r="BB981" s="863" t="s">
        <v>121</v>
      </c>
      <c r="BC981" s="864">
        <v>45788</v>
      </c>
      <c r="BD981" s="860" t="s">
        <v>3465</v>
      </c>
      <c r="BE981" s="865" cm="1">
        <f t="array" ref="BE981">IF(BD981="","",AC981/SUMPRODUCT(--(BD981=$BD$4:$BD$12824),$AC$4:$AC$12824))</f>
        <v>3.1900586929099386E-3</v>
      </c>
      <c r="BF981" s="458"/>
      <c r="BG981" s="458"/>
      <c r="BH981" s="458"/>
      <c r="BI981" s="458"/>
      <c r="BJ981" s="458"/>
      <c r="BK981" s="458"/>
      <c r="BL981" s="458"/>
      <c r="BM981" s="458"/>
      <c r="BN981" s="458"/>
      <c r="BO981" s="866">
        <f>VLOOKUP(BD981,$BD$4:$BN$12824,3,0)*BE981</f>
        <v>81.375207197439622</v>
      </c>
      <c r="BP981" s="866"/>
      <c r="BQ981" s="866"/>
      <c r="BR981" s="866">
        <f>VLOOKUP(BD981,$BD$4:$BN$12824,6,0)*BE981</f>
        <v>2139.0204851808226</v>
      </c>
      <c r="BS981" s="866">
        <f>VLOOKUP(BD981,$BD$4:$BN$12824,7,0)*BE981</f>
        <v>797.51467322748465</v>
      </c>
      <c r="BT981" s="866"/>
      <c r="BU981" s="866">
        <f>VLOOKUP(BD981,$BD$4:$BN$12824,9,0)*BE981</f>
        <v>0</v>
      </c>
      <c r="BV981" s="867"/>
      <c r="BW981" s="867">
        <f>VLOOKUP(BD981,$BD$4:$BN$12824,11,0)*BE981</f>
        <v>0</v>
      </c>
      <c r="BX981" s="1146">
        <f t="shared" si="187"/>
        <v>3017.9103656057468</v>
      </c>
      <c r="BY981" s="867">
        <f t="shared" si="189"/>
        <v>12952.597012186858</v>
      </c>
      <c r="BZ981" s="867">
        <f t="shared" si="186"/>
        <v>388577.91036560573</v>
      </c>
      <c r="CA981" s="867">
        <f>_xlfn.MAXIFS($BY$4:$BY$12824,$S$4:$S$12824,$S981)</f>
        <v>12952.597012186858</v>
      </c>
      <c r="CB981" s="1032"/>
      <c r="CF981" s="946">
        <f t="shared" si="188"/>
        <v>385560</v>
      </c>
    </row>
    <row r="982" spans="1:84">
      <c r="A982" s="1032"/>
      <c r="B982" s="839" t="s">
        <v>98</v>
      </c>
      <c r="C982" s="839" t="s">
        <v>3454</v>
      </c>
      <c r="D982" s="839" t="s">
        <v>3455</v>
      </c>
      <c r="E982" s="839" t="s">
        <v>3455</v>
      </c>
      <c r="F982" s="841">
        <v>45597</v>
      </c>
      <c r="G982" s="840" t="s">
        <v>3456</v>
      </c>
      <c r="H982" s="842" t="s">
        <v>3457</v>
      </c>
      <c r="I982" s="842"/>
      <c r="J982" s="841"/>
      <c r="K982" s="841"/>
      <c r="L982" s="843" t="s">
        <v>1622</v>
      </c>
      <c r="M982" s="844" t="s">
        <v>3458</v>
      </c>
      <c r="N982" s="841"/>
      <c r="O982" s="841" t="s">
        <v>3459</v>
      </c>
      <c r="P982" s="841" t="s">
        <v>220</v>
      </c>
      <c r="Q982" s="843"/>
      <c r="R982" s="845" t="s">
        <v>3320</v>
      </c>
      <c r="S982" s="1127" t="s">
        <v>3506</v>
      </c>
      <c r="T982" s="843" t="s">
        <v>3507</v>
      </c>
      <c r="U982" s="842">
        <v>10</v>
      </c>
      <c r="V982" s="842" t="s">
        <v>8</v>
      </c>
      <c r="W982" s="846">
        <v>0.14000000000000001</v>
      </c>
      <c r="X982" s="847">
        <f t="shared" si="180"/>
        <v>1.4000000000000001</v>
      </c>
      <c r="Y982" s="848">
        <v>0</v>
      </c>
      <c r="Z982" s="849">
        <v>0.14000000000000001</v>
      </c>
      <c r="AA982" s="849"/>
      <c r="AB982" s="849">
        <f t="shared" si="181"/>
        <v>1.4000000000000001</v>
      </c>
      <c r="AC982" s="850">
        <f t="shared" si="182"/>
        <v>1.4000000000000001</v>
      </c>
      <c r="AD982" s="851"/>
      <c r="AE982" s="852">
        <v>25200</v>
      </c>
      <c r="AF982" s="853">
        <v>0</v>
      </c>
      <c r="AG982" s="854">
        <f t="shared" si="183"/>
        <v>0</v>
      </c>
      <c r="AH982" s="853">
        <v>0.1</v>
      </c>
      <c r="AI982" s="855">
        <f t="shared" si="184"/>
        <v>3528</v>
      </c>
      <c r="AJ982" s="845" t="s">
        <v>3463</v>
      </c>
      <c r="AK982" s="857">
        <v>45607</v>
      </c>
      <c r="AL982" s="840"/>
      <c r="AM982" s="840"/>
      <c r="AN982" s="858"/>
      <c r="AO982" s="844"/>
      <c r="AP982" s="859"/>
      <c r="AQ982" s="859"/>
      <c r="AR982" s="859"/>
      <c r="AS982" s="840"/>
      <c r="AT982" s="840"/>
      <c r="AU982" s="860"/>
      <c r="AV982" s="839" t="s">
        <v>3464</v>
      </c>
      <c r="AW982" s="861">
        <v>45624</v>
      </c>
      <c r="AX982" s="862">
        <v>45625</v>
      </c>
      <c r="AY982" s="843"/>
      <c r="AZ982" s="842"/>
      <c r="BA982" s="842" t="s">
        <v>120</v>
      </c>
      <c r="BB982" s="863" t="s">
        <v>121</v>
      </c>
      <c r="BC982" s="864">
        <v>45788</v>
      </c>
      <c r="BD982" s="860" t="s">
        <v>3465</v>
      </c>
      <c r="BE982" s="865" cm="1">
        <f t="array" ref="BE982">IF(BD982="","",AC982/SUMPRODUCT(--(BD982=$BD$4:$BD$12824),$AC$4:$AC$12824))</f>
        <v>2.919007954296676E-4</v>
      </c>
      <c r="BF982" s="458"/>
      <c r="BG982" s="458"/>
      <c r="BH982" s="458"/>
      <c r="BI982" s="458"/>
      <c r="BJ982" s="458"/>
      <c r="BK982" s="458"/>
      <c r="BL982" s="458"/>
      <c r="BM982" s="458"/>
      <c r="BN982" s="458"/>
      <c r="BO982" s="866">
        <f>VLOOKUP(BD982,$BD$4:$BN$12824,3,0)*BE982</f>
        <v>7.4460973906153907</v>
      </c>
      <c r="BP982" s="866"/>
      <c r="BQ982" s="866"/>
      <c r="BR982" s="866">
        <f>VLOOKUP(BD982,$BD$4:$BN$12824,6,0)*BE982</f>
        <v>195.72736465706873</v>
      </c>
      <c r="BS982" s="866">
        <f>VLOOKUP(BD982,$BD$4:$BN$12824,7,0)*BE982</f>
        <v>72.975198857416899</v>
      </c>
      <c r="BT982" s="866"/>
      <c r="BU982" s="866">
        <f>VLOOKUP(BD982,$BD$4:$BN$12824,9,0)*BE982</f>
        <v>0</v>
      </c>
      <c r="BV982" s="867"/>
      <c r="BW982" s="867">
        <f>VLOOKUP(BD982,$BD$4:$BN$12824,11,0)*BE982</f>
        <v>0</v>
      </c>
      <c r="BX982" s="1146">
        <f t="shared" si="187"/>
        <v>276.148660905101</v>
      </c>
      <c r="BY982" s="867">
        <f t="shared" si="189"/>
        <v>3555.6148660905101</v>
      </c>
      <c r="BZ982" s="867">
        <f t="shared" si="186"/>
        <v>35556.148660905099</v>
      </c>
      <c r="CA982" s="867">
        <f>_xlfn.MAXIFS($BY$4:$BY$12824,$S$4:$S$12824,$S982)</f>
        <v>5789.6135903133727</v>
      </c>
      <c r="CB982" s="1032"/>
      <c r="CF982" s="946">
        <f t="shared" si="188"/>
        <v>35280</v>
      </c>
    </row>
    <row r="983" spans="1:84">
      <c r="A983" s="1032"/>
      <c r="B983" s="839" t="s">
        <v>98</v>
      </c>
      <c r="C983" s="839" t="s">
        <v>3454</v>
      </c>
      <c r="D983" s="839" t="s">
        <v>3455</v>
      </c>
      <c r="E983" s="839" t="s">
        <v>3455</v>
      </c>
      <c r="F983" s="841">
        <v>45597</v>
      </c>
      <c r="G983" s="840" t="s">
        <v>3456</v>
      </c>
      <c r="H983" s="842" t="s">
        <v>3457</v>
      </c>
      <c r="I983" s="842"/>
      <c r="J983" s="841"/>
      <c r="K983" s="841"/>
      <c r="L983" s="843" t="s">
        <v>1622</v>
      </c>
      <c r="M983" s="844" t="s">
        <v>3458</v>
      </c>
      <c r="N983" s="841"/>
      <c r="O983" s="841" t="s">
        <v>3459</v>
      </c>
      <c r="P983" s="841" t="s">
        <v>220</v>
      </c>
      <c r="Q983" s="843"/>
      <c r="R983" s="845" t="s">
        <v>3320</v>
      </c>
      <c r="S983" s="1127" t="s">
        <v>3508</v>
      </c>
      <c r="T983" s="843" t="s">
        <v>3509</v>
      </c>
      <c r="U983" s="842">
        <v>10</v>
      </c>
      <c r="V983" s="842" t="s">
        <v>8</v>
      </c>
      <c r="W983" s="846">
        <v>0.57999999999999996</v>
      </c>
      <c r="X983" s="847">
        <f t="shared" si="180"/>
        <v>5.8</v>
      </c>
      <c r="Y983" s="848">
        <v>0</v>
      </c>
      <c r="Z983" s="849">
        <v>0.57999999999999996</v>
      </c>
      <c r="AA983" s="849"/>
      <c r="AB983" s="849">
        <f t="shared" si="181"/>
        <v>5.8</v>
      </c>
      <c r="AC983" s="850">
        <f t="shared" si="182"/>
        <v>5.8</v>
      </c>
      <c r="AD983" s="851"/>
      <c r="AE983" s="852">
        <v>25200</v>
      </c>
      <c r="AF983" s="853">
        <v>0</v>
      </c>
      <c r="AG983" s="854">
        <f t="shared" si="183"/>
        <v>0</v>
      </c>
      <c r="AH983" s="853">
        <v>0.1</v>
      </c>
      <c r="AI983" s="855">
        <f t="shared" si="184"/>
        <v>14616</v>
      </c>
      <c r="AJ983" s="845" t="s">
        <v>3463</v>
      </c>
      <c r="AK983" s="857">
        <v>45607</v>
      </c>
      <c r="AL983" s="840"/>
      <c r="AM983" s="840"/>
      <c r="AN983" s="858"/>
      <c r="AO983" s="844"/>
      <c r="AP983" s="859"/>
      <c r="AQ983" s="859"/>
      <c r="AR983" s="859"/>
      <c r="AS983" s="840"/>
      <c r="AT983" s="840"/>
      <c r="AU983" s="860"/>
      <c r="AV983" s="839" t="s">
        <v>3464</v>
      </c>
      <c r="AW983" s="861">
        <v>45624</v>
      </c>
      <c r="AX983" s="862">
        <v>45625</v>
      </c>
      <c r="AY983" s="843"/>
      <c r="AZ983" s="842"/>
      <c r="BA983" s="842" t="s">
        <v>120</v>
      </c>
      <c r="BB983" s="863" t="s">
        <v>121</v>
      </c>
      <c r="BC983" s="864">
        <v>45788</v>
      </c>
      <c r="BD983" s="860" t="s">
        <v>3465</v>
      </c>
      <c r="BE983" s="865" cm="1">
        <f t="array" ref="BE983">IF(BD983="","",AC983/SUMPRODUCT(--(BD983=$BD$4:$BD$12824),$AC$4:$AC$12824))</f>
        <v>1.2093032953514799E-3</v>
      </c>
      <c r="BF983" s="458"/>
      <c r="BG983" s="458"/>
      <c r="BH983" s="458"/>
      <c r="BI983" s="458"/>
      <c r="BJ983" s="458"/>
      <c r="BK983" s="458"/>
      <c r="BL983" s="458"/>
      <c r="BM983" s="458"/>
      <c r="BN983" s="458"/>
      <c r="BO983" s="866">
        <f>VLOOKUP(BD983,$BD$4:$BN$12824,3,0)*BE983</f>
        <v>30.8481177611209</v>
      </c>
      <c r="BP983" s="866"/>
      <c r="BQ983" s="866"/>
      <c r="BR983" s="866">
        <f>VLOOKUP(BD983,$BD$4:$BN$12824,6,0)*BE983</f>
        <v>810.87051072214183</v>
      </c>
      <c r="BS983" s="866">
        <f>VLOOKUP(BD983,$BD$4:$BN$12824,7,0)*BE983</f>
        <v>302.32582383786996</v>
      </c>
      <c r="BT983" s="866"/>
      <c r="BU983" s="866">
        <f>VLOOKUP(BD983,$BD$4:$BN$12824,9,0)*BE983</f>
        <v>0</v>
      </c>
      <c r="BV983" s="867"/>
      <c r="BW983" s="867">
        <f>VLOOKUP(BD983,$BD$4:$BN$12824,11,0)*BE983</f>
        <v>0</v>
      </c>
      <c r="BX983" s="1146">
        <f t="shared" si="187"/>
        <v>1144.0444523211327</v>
      </c>
      <c r="BY983" s="867">
        <f t="shared" si="189"/>
        <v>14730.404445232114</v>
      </c>
      <c r="BZ983" s="867">
        <f t="shared" si="186"/>
        <v>147304.04445232113</v>
      </c>
      <c r="CA983" s="867">
        <f>_xlfn.MAXIFS($BY$4:$BY$12824,$S$4:$S$12824,$S983)</f>
        <v>14730.404445232114</v>
      </c>
      <c r="CB983" s="1032"/>
      <c r="CF983" s="946">
        <f t="shared" si="188"/>
        <v>146160</v>
      </c>
    </row>
    <row r="984" spans="1:84">
      <c r="A984" s="1032"/>
      <c r="B984" s="839" t="s">
        <v>98</v>
      </c>
      <c r="C984" s="839" t="s">
        <v>3454</v>
      </c>
      <c r="D984" s="839" t="s">
        <v>3455</v>
      </c>
      <c r="E984" s="839" t="s">
        <v>3455</v>
      </c>
      <c r="F984" s="841">
        <v>45597</v>
      </c>
      <c r="G984" s="840" t="s">
        <v>3456</v>
      </c>
      <c r="H984" s="842" t="s">
        <v>3457</v>
      </c>
      <c r="I984" s="842"/>
      <c r="J984" s="841"/>
      <c r="K984" s="841"/>
      <c r="L984" s="843" t="s">
        <v>1622</v>
      </c>
      <c r="M984" s="844" t="s">
        <v>3458</v>
      </c>
      <c r="N984" s="841"/>
      <c r="O984" s="841" t="s">
        <v>3459</v>
      </c>
      <c r="P984" s="841" t="s">
        <v>3460</v>
      </c>
      <c r="Q984" s="843"/>
      <c r="R984" s="845" t="s">
        <v>3510</v>
      </c>
      <c r="S984" s="1127" t="s">
        <v>3510</v>
      </c>
      <c r="T984" s="843" t="s">
        <v>3511</v>
      </c>
      <c r="U984" s="842">
        <v>29</v>
      </c>
      <c r="V984" s="842" t="s">
        <v>8</v>
      </c>
      <c r="W984" s="846">
        <v>30.4</v>
      </c>
      <c r="X984" s="847">
        <f t="shared" si="180"/>
        <v>881.59999999999991</v>
      </c>
      <c r="Y984" s="848">
        <v>0</v>
      </c>
      <c r="Z984" s="849">
        <v>30.4</v>
      </c>
      <c r="AA984" s="849"/>
      <c r="AB984" s="849">
        <f t="shared" si="181"/>
        <v>881.59999999999991</v>
      </c>
      <c r="AC984" s="850">
        <f t="shared" si="182"/>
        <v>881.59999999999991</v>
      </c>
      <c r="AD984" s="851"/>
      <c r="AE984" s="852">
        <v>25200</v>
      </c>
      <c r="AF984" s="853">
        <v>0</v>
      </c>
      <c r="AG984" s="854">
        <f t="shared" si="183"/>
        <v>0</v>
      </c>
      <c r="AH984" s="853">
        <v>0.1</v>
      </c>
      <c r="AI984" s="855">
        <f t="shared" si="184"/>
        <v>2221631.9999999995</v>
      </c>
      <c r="AJ984" s="845" t="s">
        <v>3463</v>
      </c>
      <c r="AK984" s="857">
        <v>45607</v>
      </c>
      <c r="AL984" s="840"/>
      <c r="AM984" s="840"/>
      <c r="AN984" s="858"/>
      <c r="AO984" s="844"/>
      <c r="AP984" s="859"/>
      <c r="AQ984" s="859"/>
      <c r="AR984" s="859"/>
      <c r="AS984" s="840"/>
      <c r="AT984" s="840"/>
      <c r="AU984" s="860"/>
      <c r="AV984" s="839" t="s">
        <v>3464</v>
      </c>
      <c r="AW984" s="861">
        <v>45624</v>
      </c>
      <c r="AX984" s="862">
        <v>45625</v>
      </c>
      <c r="AY984" s="843"/>
      <c r="AZ984" s="842"/>
      <c r="BA984" s="842" t="s">
        <v>120</v>
      </c>
      <c r="BB984" s="863" t="s">
        <v>121</v>
      </c>
      <c r="BC984" s="864">
        <v>45788</v>
      </c>
      <c r="BD984" s="860" t="s">
        <v>3465</v>
      </c>
      <c r="BE984" s="865" cm="1">
        <f t="array" ref="BE984">IF(BD984="","",AC984/SUMPRODUCT(--(BD984=$BD$4:$BD$12824),$AC$4:$AC$12824))</f>
        <v>0.18381410089342493</v>
      </c>
      <c r="BF984" s="458"/>
      <c r="BG984" s="458"/>
      <c r="BH984" s="458"/>
      <c r="BI984" s="458"/>
      <c r="BJ984" s="458"/>
      <c r="BK984" s="458"/>
      <c r="BL984" s="458"/>
      <c r="BM984" s="458"/>
      <c r="BN984" s="458"/>
      <c r="BO984" s="866">
        <f>VLOOKUP(BD984,$BD$4:$BN$12824,3,0)*BE984</f>
        <v>4688.9138996903766</v>
      </c>
      <c r="BP984" s="866"/>
      <c r="BQ984" s="866"/>
      <c r="BR984" s="866">
        <f>VLOOKUP(BD984,$BD$4:$BN$12824,6,0)*BE984</f>
        <v>123252.31762976553</v>
      </c>
      <c r="BS984" s="866">
        <f>VLOOKUP(BD984,$BD$4:$BN$12824,7,0)*BE984</f>
        <v>45953.525223356228</v>
      </c>
      <c r="BT984" s="866"/>
      <c r="BU984" s="866">
        <f>VLOOKUP(BD984,$BD$4:$BN$12824,9,0)*BE984</f>
        <v>0</v>
      </c>
      <c r="BV984" s="867"/>
      <c r="BW984" s="867">
        <f>VLOOKUP(BD984,$BD$4:$BN$12824,11,0)*BE984</f>
        <v>0</v>
      </c>
      <c r="BX984" s="1146">
        <f t="shared" si="187"/>
        <v>173894.75675281213</v>
      </c>
      <c r="BY984" s="867">
        <f t="shared" si="189"/>
        <v>772076.37092251063</v>
      </c>
      <c r="BZ984" s="867">
        <f t="shared" si="186"/>
        <v>22390214.756752808</v>
      </c>
      <c r="CA984" s="867">
        <f>_xlfn.MAXIFS($BY$4:$BY$12824,$S$4:$S$12824,$S984)</f>
        <v>772076.37092251063</v>
      </c>
      <c r="CB984" s="1032"/>
      <c r="CF984" s="946">
        <f t="shared" si="188"/>
        <v>22216319.999999996</v>
      </c>
    </row>
    <row r="985" spans="1:84">
      <c r="A985" s="1032"/>
      <c r="B985" s="839" t="s">
        <v>98</v>
      </c>
      <c r="C985" s="839" t="s">
        <v>3454</v>
      </c>
      <c r="D985" s="839" t="s">
        <v>3455</v>
      </c>
      <c r="E985" s="839" t="s">
        <v>3455</v>
      </c>
      <c r="F985" s="841">
        <v>45597</v>
      </c>
      <c r="G985" s="840" t="s">
        <v>3456</v>
      </c>
      <c r="H985" s="842" t="s">
        <v>3457</v>
      </c>
      <c r="I985" s="842"/>
      <c r="J985" s="841"/>
      <c r="K985" s="841"/>
      <c r="L985" s="843" t="s">
        <v>1622</v>
      </c>
      <c r="M985" s="844" t="s">
        <v>3458</v>
      </c>
      <c r="N985" s="841"/>
      <c r="O985" s="841" t="s">
        <v>3459</v>
      </c>
      <c r="P985" s="841" t="s">
        <v>3460</v>
      </c>
      <c r="Q985" s="843"/>
      <c r="R985" s="845" t="s">
        <v>3512</v>
      </c>
      <c r="S985" s="1127" t="s">
        <v>3512</v>
      </c>
      <c r="T985" s="843" t="s">
        <v>3513</v>
      </c>
      <c r="U985" s="842">
        <v>10</v>
      </c>
      <c r="V985" s="842" t="s">
        <v>8</v>
      </c>
      <c r="W985" s="846">
        <v>27</v>
      </c>
      <c r="X985" s="847">
        <f t="shared" si="180"/>
        <v>270</v>
      </c>
      <c r="Y985" s="848">
        <v>0</v>
      </c>
      <c r="Z985" s="849">
        <v>27</v>
      </c>
      <c r="AA985" s="849"/>
      <c r="AB985" s="849">
        <f t="shared" si="181"/>
        <v>270</v>
      </c>
      <c r="AC985" s="850">
        <f t="shared" si="182"/>
        <v>270</v>
      </c>
      <c r="AD985" s="851"/>
      <c r="AE985" s="852">
        <v>25200</v>
      </c>
      <c r="AF985" s="853">
        <v>0</v>
      </c>
      <c r="AG985" s="854">
        <f t="shared" si="183"/>
        <v>0</v>
      </c>
      <c r="AH985" s="853">
        <v>0.1</v>
      </c>
      <c r="AI985" s="855">
        <f t="shared" si="184"/>
        <v>680400</v>
      </c>
      <c r="AJ985" s="845" t="s">
        <v>3463</v>
      </c>
      <c r="AK985" s="857">
        <v>45607</v>
      </c>
      <c r="AL985" s="840"/>
      <c r="AM985" s="840"/>
      <c r="AN985" s="858"/>
      <c r="AO985" s="844"/>
      <c r="AP985" s="859"/>
      <c r="AQ985" s="859"/>
      <c r="AR985" s="859"/>
      <c r="AS985" s="840"/>
      <c r="AT985" s="840"/>
      <c r="AU985" s="860"/>
      <c r="AV985" s="839" t="s">
        <v>3464</v>
      </c>
      <c r="AW985" s="861">
        <v>45624</v>
      </c>
      <c r="AX985" s="862">
        <v>45625</v>
      </c>
      <c r="AY985" s="843"/>
      <c r="AZ985" s="842"/>
      <c r="BA985" s="842" t="s">
        <v>120</v>
      </c>
      <c r="BB985" s="863" t="s">
        <v>121</v>
      </c>
      <c r="BC985" s="864">
        <v>45788</v>
      </c>
      <c r="BD985" s="860" t="s">
        <v>3465</v>
      </c>
      <c r="BE985" s="865" cm="1">
        <f t="array" ref="BE985">IF(BD985="","",AC985/SUMPRODUCT(--(BD985=$BD$4:$BD$12824),$AC$4:$AC$12824))</f>
        <v>5.629515340429303E-2</v>
      </c>
      <c r="BF985" s="458"/>
      <c r="BG985" s="458"/>
      <c r="BH985" s="458"/>
      <c r="BI985" s="458"/>
      <c r="BJ985" s="458"/>
      <c r="BK985" s="458"/>
      <c r="BL985" s="458"/>
      <c r="BM985" s="458"/>
      <c r="BN985" s="458"/>
      <c r="BO985" s="866">
        <f>VLOOKUP(BD985,$BD$4:$BN$12824,3,0)*BE985</f>
        <v>1436.033068190111</v>
      </c>
      <c r="BP985" s="866"/>
      <c r="BQ985" s="866"/>
      <c r="BR985" s="866">
        <f>VLOOKUP(BD985,$BD$4:$BN$12824,6,0)*BE985</f>
        <v>37747.420326720392</v>
      </c>
      <c r="BS985" s="866">
        <f>VLOOKUP(BD985,$BD$4:$BN$12824,7,0)*BE985</f>
        <v>14073.788351073257</v>
      </c>
      <c r="BT985" s="866"/>
      <c r="BU985" s="866">
        <f>VLOOKUP(BD985,$BD$4:$BN$12824,9,0)*BE985</f>
        <v>0</v>
      </c>
      <c r="BV985" s="867"/>
      <c r="BW985" s="867">
        <f>VLOOKUP(BD985,$BD$4:$BN$12824,11,0)*BE985</f>
        <v>0</v>
      </c>
      <c r="BX985" s="1146">
        <f t="shared" si="187"/>
        <v>53257.24174598376</v>
      </c>
      <c r="BY985" s="867">
        <f t="shared" si="189"/>
        <v>685725.72417459846</v>
      </c>
      <c r="BZ985" s="867">
        <f t="shared" si="186"/>
        <v>6857257.2417459842</v>
      </c>
      <c r="CA985" s="867">
        <f>_xlfn.MAXIFS($BY$4:$BY$12824,$S$4:$S$12824,$S985)</f>
        <v>685725.72417459846</v>
      </c>
      <c r="CB985" s="1032"/>
      <c r="CF985" s="946">
        <f t="shared" si="188"/>
        <v>6804000</v>
      </c>
    </row>
    <row r="986" spans="1:84">
      <c r="A986" s="1032"/>
      <c r="B986" s="839" t="s">
        <v>98</v>
      </c>
      <c r="C986" s="839" t="s">
        <v>3454</v>
      </c>
      <c r="D986" s="839" t="s">
        <v>3455</v>
      </c>
      <c r="E986" s="839" t="s">
        <v>3455</v>
      </c>
      <c r="F986" s="841">
        <v>45597</v>
      </c>
      <c r="G986" s="840" t="s">
        <v>3456</v>
      </c>
      <c r="H986" s="842" t="s">
        <v>3457</v>
      </c>
      <c r="I986" s="842"/>
      <c r="J986" s="841"/>
      <c r="K986" s="841"/>
      <c r="L986" s="843" t="s">
        <v>1622</v>
      </c>
      <c r="M986" s="844" t="s">
        <v>3458</v>
      </c>
      <c r="N986" s="841"/>
      <c r="O986" s="841" t="s">
        <v>3459</v>
      </c>
      <c r="P986" s="841" t="s">
        <v>3460</v>
      </c>
      <c r="Q986" s="843"/>
      <c r="R986" s="845" t="s">
        <v>3514</v>
      </c>
      <c r="S986" s="1127" t="s">
        <v>3514</v>
      </c>
      <c r="T986" s="843" t="s">
        <v>3515</v>
      </c>
      <c r="U986" s="842">
        <v>9</v>
      </c>
      <c r="V986" s="842" t="s">
        <v>8</v>
      </c>
      <c r="W986" s="846">
        <v>25.6</v>
      </c>
      <c r="X986" s="847">
        <f t="shared" si="180"/>
        <v>230.4</v>
      </c>
      <c r="Y986" s="848">
        <v>0</v>
      </c>
      <c r="Z986" s="849">
        <v>25.6</v>
      </c>
      <c r="AA986" s="849"/>
      <c r="AB986" s="849">
        <f t="shared" si="181"/>
        <v>230.4</v>
      </c>
      <c r="AC986" s="850">
        <f t="shared" si="182"/>
        <v>230.4</v>
      </c>
      <c r="AD986" s="851"/>
      <c r="AE986" s="852">
        <v>25200</v>
      </c>
      <c r="AF986" s="853">
        <v>0</v>
      </c>
      <c r="AG986" s="854">
        <f t="shared" si="183"/>
        <v>0</v>
      </c>
      <c r="AH986" s="853">
        <v>0.1</v>
      </c>
      <c r="AI986" s="855">
        <f t="shared" si="184"/>
        <v>580608</v>
      </c>
      <c r="AJ986" s="845" t="s">
        <v>3463</v>
      </c>
      <c r="AK986" s="857">
        <v>45607</v>
      </c>
      <c r="AL986" s="840"/>
      <c r="AM986" s="840"/>
      <c r="AN986" s="858"/>
      <c r="AO986" s="844"/>
      <c r="AP986" s="859"/>
      <c r="AQ986" s="859"/>
      <c r="AR986" s="859"/>
      <c r="AS986" s="840"/>
      <c r="AT986" s="840"/>
      <c r="AU986" s="860"/>
      <c r="AV986" s="839" t="s">
        <v>3464</v>
      </c>
      <c r="AW986" s="861">
        <v>45624</v>
      </c>
      <c r="AX986" s="862">
        <v>45625</v>
      </c>
      <c r="AY986" s="843"/>
      <c r="AZ986" s="842"/>
      <c r="BA986" s="842" t="s">
        <v>120</v>
      </c>
      <c r="BB986" s="863" t="s">
        <v>121</v>
      </c>
      <c r="BC986" s="864">
        <v>45788</v>
      </c>
      <c r="BD986" s="860" t="s">
        <v>3465</v>
      </c>
      <c r="BE986" s="865" cm="1">
        <f t="array" ref="BE986">IF(BD986="","",AC986/SUMPRODUCT(--(BD986=$BD$4:$BD$12824),$AC$4:$AC$12824))</f>
        <v>4.8038530904996719E-2</v>
      </c>
      <c r="BF986" s="458"/>
      <c r="BG986" s="458"/>
      <c r="BH986" s="458"/>
      <c r="BI986" s="458"/>
      <c r="BJ986" s="458"/>
      <c r="BK986" s="458"/>
      <c r="BL986" s="458"/>
      <c r="BM986" s="458"/>
      <c r="BN986" s="458"/>
      <c r="BO986" s="866">
        <f>VLOOKUP(BD986,$BD$4:$BN$12824,3,0)*BE986</f>
        <v>1225.4148848555612</v>
      </c>
      <c r="BP986" s="866"/>
      <c r="BQ986" s="866"/>
      <c r="BR986" s="866">
        <f>VLOOKUP(BD986,$BD$4:$BN$12824,6,0)*BE986</f>
        <v>32211.132012134734</v>
      </c>
      <c r="BS986" s="866">
        <f>VLOOKUP(BD986,$BD$4:$BN$12824,7,0)*BE986</f>
        <v>12009.63272624918</v>
      </c>
      <c r="BT986" s="866"/>
      <c r="BU986" s="866">
        <f>VLOOKUP(BD986,$BD$4:$BN$12824,9,0)*BE986</f>
        <v>0</v>
      </c>
      <c r="BV986" s="867"/>
      <c r="BW986" s="867">
        <f>VLOOKUP(BD986,$BD$4:$BN$12824,11,0)*BE986</f>
        <v>0</v>
      </c>
      <c r="BX986" s="1146">
        <f t="shared" si="187"/>
        <v>45446.17962323947</v>
      </c>
      <c r="BY986" s="867">
        <f t="shared" si="189"/>
        <v>650169.57551369327</v>
      </c>
      <c r="BZ986" s="867">
        <f t="shared" si="186"/>
        <v>5851526.1796232397</v>
      </c>
      <c r="CA986" s="867">
        <f>_xlfn.MAXIFS($BY$4:$BY$12824,$S$4:$S$12824,$S986)</f>
        <v>650169.57551369327</v>
      </c>
      <c r="CB986" s="1032"/>
      <c r="CF986" s="946">
        <f t="shared" si="188"/>
        <v>5806080</v>
      </c>
    </row>
    <row r="987" spans="1:84">
      <c r="A987" s="1032"/>
      <c r="B987" s="839" t="s">
        <v>98</v>
      </c>
      <c r="C987" s="839" t="s">
        <v>3454</v>
      </c>
      <c r="D987" s="839" t="s">
        <v>3455</v>
      </c>
      <c r="E987" s="839" t="s">
        <v>3455</v>
      </c>
      <c r="F987" s="841">
        <v>45597</v>
      </c>
      <c r="G987" s="840" t="s">
        <v>3456</v>
      </c>
      <c r="H987" s="842" t="s">
        <v>3457</v>
      </c>
      <c r="I987" s="842"/>
      <c r="J987" s="841"/>
      <c r="K987" s="841"/>
      <c r="L987" s="843" t="s">
        <v>1622</v>
      </c>
      <c r="M987" s="844" t="s">
        <v>3458</v>
      </c>
      <c r="N987" s="841"/>
      <c r="O987" s="841" t="s">
        <v>3459</v>
      </c>
      <c r="P987" s="841" t="s">
        <v>3460</v>
      </c>
      <c r="Q987" s="843"/>
      <c r="R987" s="845" t="s">
        <v>3516</v>
      </c>
      <c r="S987" s="1127" t="s">
        <v>3516</v>
      </c>
      <c r="T987" s="843" t="s">
        <v>3517</v>
      </c>
      <c r="U987" s="842">
        <v>4</v>
      </c>
      <c r="V987" s="842" t="s">
        <v>8</v>
      </c>
      <c r="W987" s="846">
        <v>17.600000000000001</v>
      </c>
      <c r="X987" s="847">
        <f t="shared" si="180"/>
        <v>70.400000000000006</v>
      </c>
      <c r="Y987" s="848">
        <v>0</v>
      </c>
      <c r="Z987" s="849">
        <v>17.600000000000001</v>
      </c>
      <c r="AA987" s="849"/>
      <c r="AB987" s="849">
        <f t="shared" si="181"/>
        <v>70.400000000000006</v>
      </c>
      <c r="AC987" s="850">
        <f t="shared" si="182"/>
        <v>70.400000000000006</v>
      </c>
      <c r="AD987" s="851"/>
      <c r="AE987" s="852">
        <v>25200</v>
      </c>
      <c r="AF987" s="853">
        <v>0</v>
      </c>
      <c r="AG987" s="854">
        <f t="shared" si="183"/>
        <v>0</v>
      </c>
      <c r="AH987" s="853">
        <v>0.1</v>
      </c>
      <c r="AI987" s="855">
        <f t="shared" si="184"/>
        <v>177408.00000000003</v>
      </c>
      <c r="AJ987" s="845" t="s">
        <v>3463</v>
      </c>
      <c r="AK987" s="857">
        <v>45607</v>
      </c>
      <c r="AL987" s="840"/>
      <c r="AM987" s="840"/>
      <c r="AN987" s="858"/>
      <c r="AO987" s="844"/>
      <c r="AP987" s="859"/>
      <c r="AQ987" s="859"/>
      <c r="AR987" s="859"/>
      <c r="AS987" s="840"/>
      <c r="AT987" s="840"/>
      <c r="AU987" s="860"/>
      <c r="AV987" s="839" t="s">
        <v>3464</v>
      </c>
      <c r="AW987" s="861">
        <v>45624</v>
      </c>
      <c r="AX987" s="862">
        <v>45625</v>
      </c>
      <c r="AY987" s="843"/>
      <c r="AZ987" s="842"/>
      <c r="BA987" s="842" t="s">
        <v>120</v>
      </c>
      <c r="BB987" s="863" t="s">
        <v>121</v>
      </c>
      <c r="BC987" s="864">
        <v>45788</v>
      </c>
      <c r="BD987" s="860" t="s">
        <v>3465</v>
      </c>
      <c r="BE987" s="865" cm="1">
        <f t="array" ref="BE987">IF(BD987="","",AC987/SUMPRODUCT(--(BD987=$BD$4:$BD$12824),$AC$4:$AC$12824))</f>
        <v>1.4678439998748998E-2</v>
      </c>
      <c r="BF987" s="458"/>
      <c r="BG987" s="458"/>
      <c r="BH987" s="458"/>
      <c r="BI987" s="458"/>
      <c r="BJ987" s="458"/>
      <c r="BK987" s="458"/>
      <c r="BL987" s="458"/>
      <c r="BM987" s="458"/>
      <c r="BN987" s="458"/>
      <c r="BO987" s="866">
        <f>VLOOKUP(BD987,$BD$4:$BN$12824,3,0)*BE987</f>
        <v>374.43232592808818</v>
      </c>
      <c r="BP987" s="866"/>
      <c r="BQ987" s="866"/>
      <c r="BR987" s="866">
        <f>VLOOKUP(BD987,$BD$4:$BN$12824,6,0)*BE987</f>
        <v>9842.2903370411696</v>
      </c>
      <c r="BS987" s="866">
        <f>VLOOKUP(BD987,$BD$4:$BN$12824,7,0)*BE987</f>
        <v>3669.6099996872495</v>
      </c>
      <c r="BT987" s="866"/>
      <c r="BU987" s="866">
        <f>VLOOKUP(BD987,$BD$4:$BN$12824,9,0)*BE987</f>
        <v>0</v>
      </c>
      <c r="BV987" s="867"/>
      <c r="BW987" s="867">
        <f>VLOOKUP(BD987,$BD$4:$BN$12824,11,0)*BE987</f>
        <v>0</v>
      </c>
      <c r="BX987" s="1146">
        <f t="shared" si="187"/>
        <v>13886.332662656507</v>
      </c>
      <c r="BY987" s="867">
        <f t="shared" si="189"/>
        <v>446991.58316566417</v>
      </c>
      <c r="BZ987" s="867">
        <f t="shared" si="186"/>
        <v>1787966.3326626567</v>
      </c>
      <c r="CA987" s="867">
        <f>_xlfn.MAXIFS($BY$4:$BY$12824,$S$4:$S$12824,$S987)</f>
        <v>446991.58316566417</v>
      </c>
      <c r="CB987" s="1032"/>
      <c r="CF987" s="946">
        <f t="shared" si="188"/>
        <v>1774080.0000000002</v>
      </c>
    </row>
    <row r="988" spans="1:84">
      <c r="A988" s="1032"/>
      <c r="B988" s="839" t="s">
        <v>98</v>
      </c>
      <c r="C988" s="839" t="s">
        <v>3454</v>
      </c>
      <c r="D988" s="839" t="s">
        <v>3455</v>
      </c>
      <c r="E988" s="839" t="s">
        <v>3455</v>
      </c>
      <c r="F988" s="841">
        <v>45597</v>
      </c>
      <c r="G988" s="840" t="s">
        <v>3456</v>
      </c>
      <c r="H988" s="842" t="s">
        <v>3457</v>
      </c>
      <c r="I988" s="842"/>
      <c r="J988" s="841"/>
      <c r="K988" s="841"/>
      <c r="L988" s="843" t="s">
        <v>1622</v>
      </c>
      <c r="M988" s="844" t="s">
        <v>3458</v>
      </c>
      <c r="N988" s="841"/>
      <c r="O988" s="841" t="s">
        <v>3459</v>
      </c>
      <c r="P988" s="841" t="s">
        <v>3460</v>
      </c>
      <c r="Q988" s="843"/>
      <c r="R988" s="845" t="s">
        <v>3518</v>
      </c>
      <c r="S988" s="1127" t="s">
        <v>3518</v>
      </c>
      <c r="T988" s="843" t="s">
        <v>3519</v>
      </c>
      <c r="U988" s="842">
        <v>5</v>
      </c>
      <c r="V988" s="842" t="s">
        <v>8</v>
      </c>
      <c r="W988" s="846">
        <v>23.8</v>
      </c>
      <c r="X988" s="847">
        <f t="shared" si="180"/>
        <v>119</v>
      </c>
      <c r="Y988" s="848">
        <v>0</v>
      </c>
      <c r="Z988" s="849">
        <v>23.8</v>
      </c>
      <c r="AA988" s="849"/>
      <c r="AB988" s="849">
        <f t="shared" si="181"/>
        <v>119</v>
      </c>
      <c r="AC988" s="850">
        <f t="shared" si="182"/>
        <v>119</v>
      </c>
      <c r="AD988" s="851"/>
      <c r="AE988" s="852">
        <v>25200</v>
      </c>
      <c r="AF988" s="853">
        <v>0</v>
      </c>
      <c r="AG988" s="854">
        <f t="shared" si="183"/>
        <v>0</v>
      </c>
      <c r="AH988" s="853">
        <v>0.1</v>
      </c>
      <c r="AI988" s="855">
        <f t="shared" si="184"/>
        <v>299880</v>
      </c>
      <c r="AJ988" s="845" t="s">
        <v>3463</v>
      </c>
      <c r="AK988" s="857">
        <v>45607</v>
      </c>
      <c r="AL988" s="840"/>
      <c r="AM988" s="840"/>
      <c r="AN988" s="858"/>
      <c r="AO988" s="844"/>
      <c r="AP988" s="859"/>
      <c r="AQ988" s="859"/>
      <c r="AR988" s="859"/>
      <c r="AS988" s="840"/>
      <c r="AT988" s="840"/>
      <c r="AU988" s="860"/>
      <c r="AV988" s="839" t="s">
        <v>3464</v>
      </c>
      <c r="AW988" s="861">
        <v>45624</v>
      </c>
      <c r="AX988" s="862">
        <v>45625</v>
      </c>
      <c r="AY988" s="843"/>
      <c r="AZ988" s="842"/>
      <c r="BA988" s="842" t="s">
        <v>120</v>
      </c>
      <c r="BB988" s="863" t="s">
        <v>121</v>
      </c>
      <c r="BC988" s="864">
        <v>45788</v>
      </c>
      <c r="BD988" s="860" t="s">
        <v>3465</v>
      </c>
      <c r="BE988" s="865" cm="1">
        <f t="array" ref="BE988">IF(BD988="","",AC988/SUMPRODUCT(--(BD988=$BD$4:$BD$12824),$AC$4:$AC$12824))</f>
        <v>2.4811567611521743E-2</v>
      </c>
      <c r="BF988" s="458"/>
      <c r="BG988" s="458"/>
      <c r="BH988" s="458"/>
      <c r="BI988" s="458"/>
      <c r="BJ988" s="458"/>
      <c r="BK988" s="458"/>
      <c r="BL988" s="458"/>
      <c r="BM988" s="458"/>
      <c r="BN988" s="458"/>
      <c r="BO988" s="866">
        <f>VLOOKUP(BD988,$BD$4:$BN$12824,3,0)*BE988</f>
        <v>632.9182782023081</v>
      </c>
      <c r="BP988" s="866"/>
      <c r="BQ988" s="866"/>
      <c r="BR988" s="866">
        <f>VLOOKUP(BD988,$BD$4:$BN$12824,6,0)*BE988</f>
        <v>16636.825995850839</v>
      </c>
      <c r="BS988" s="866">
        <f>VLOOKUP(BD988,$BD$4:$BN$12824,7,0)*BE988</f>
        <v>6202.8919028804357</v>
      </c>
      <c r="BT988" s="866"/>
      <c r="BU988" s="866">
        <f>VLOOKUP(BD988,$BD$4:$BN$12824,9,0)*BE988</f>
        <v>0</v>
      </c>
      <c r="BV988" s="867"/>
      <c r="BW988" s="867">
        <f>VLOOKUP(BD988,$BD$4:$BN$12824,11,0)*BE988</f>
        <v>0</v>
      </c>
      <c r="BX988" s="1146">
        <f t="shared" si="187"/>
        <v>23472.636176933585</v>
      </c>
      <c r="BY988" s="867">
        <f t="shared" si="189"/>
        <v>604454.52723538666</v>
      </c>
      <c r="BZ988" s="867">
        <f t="shared" si="186"/>
        <v>3022272.6361769335</v>
      </c>
      <c r="CA988" s="867">
        <f>_xlfn.MAXIFS($BY$4:$BY$12824,$S$4:$S$12824,$S988)</f>
        <v>604454.52723538666</v>
      </c>
      <c r="CB988" s="1032"/>
      <c r="CF988" s="946">
        <f t="shared" si="188"/>
        <v>2998800</v>
      </c>
    </row>
    <row r="989" spans="1:84">
      <c r="A989" s="1032"/>
      <c r="B989" s="839" t="s">
        <v>98</v>
      </c>
      <c r="C989" s="839" t="s">
        <v>3454</v>
      </c>
      <c r="D989" s="839" t="s">
        <v>3455</v>
      </c>
      <c r="E989" s="839" t="s">
        <v>3455</v>
      </c>
      <c r="F989" s="841">
        <v>45597</v>
      </c>
      <c r="G989" s="840" t="s">
        <v>3456</v>
      </c>
      <c r="H989" s="842" t="s">
        <v>3457</v>
      </c>
      <c r="I989" s="842"/>
      <c r="J989" s="841"/>
      <c r="K989" s="841"/>
      <c r="L989" s="843" t="s">
        <v>1622</v>
      </c>
      <c r="M989" s="844" t="s">
        <v>3458</v>
      </c>
      <c r="N989" s="841"/>
      <c r="O989" s="841" t="s">
        <v>3459</v>
      </c>
      <c r="P989" s="841" t="s">
        <v>3460</v>
      </c>
      <c r="Q989" s="843"/>
      <c r="R989" s="845" t="s">
        <v>3520</v>
      </c>
      <c r="S989" s="1127" t="s">
        <v>3520</v>
      </c>
      <c r="T989" s="843" t="s">
        <v>3521</v>
      </c>
      <c r="U989" s="842">
        <v>5</v>
      </c>
      <c r="V989" s="842" t="s">
        <v>8</v>
      </c>
      <c r="W989" s="846">
        <v>28.9</v>
      </c>
      <c r="X989" s="847">
        <f t="shared" si="180"/>
        <v>144.5</v>
      </c>
      <c r="Y989" s="848">
        <v>0</v>
      </c>
      <c r="Z989" s="849">
        <v>28.9</v>
      </c>
      <c r="AA989" s="849"/>
      <c r="AB989" s="849">
        <f t="shared" si="181"/>
        <v>144.5</v>
      </c>
      <c r="AC989" s="850">
        <f t="shared" si="182"/>
        <v>144.5</v>
      </c>
      <c r="AD989" s="851"/>
      <c r="AE989" s="852">
        <v>25200</v>
      </c>
      <c r="AF989" s="853">
        <v>0</v>
      </c>
      <c r="AG989" s="854">
        <f t="shared" si="183"/>
        <v>0</v>
      </c>
      <c r="AH989" s="853">
        <v>0.1</v>
      </c>
      <c r="AI989" s="855">
        <f t="shared" si="184"/>
        <v>364140</v>
      </c>
      <c r="AJ989" s="845" t="s">
        <v>3463</v>
      </c>
      <c r="AK989" s="857">
        <v>45607</v>
      </c>
      <c r="AL989" s="840"/>
      <c r="AM989" s="840"/>
      <c r="AN989" s="858"/>
      <c r="AO989" s="844"/>
      <c r="AP989" s="859"/>
      <c r="AQ989" s="859"/>
      <c r="AR989" s="859"/>
      <c r="AS989" s="840"/>
      <c r="AT989" s="840"/>
      <c r="AU989" s="860"/>
      <c r="AV989" s="839" t="s">
        <v>3464</v>
      </c>
      <c r="AW989" s="861">
        <v>45624</v>
      </c>
      <c r="AX989" s="862">
        <v>45625</v>
      </c>
      <c r="AY989" s="843"/>
      <c r="AZ989" s="842"/>
      <c r="BA989" s="842" t="s">
        <v>120</v>
      </c>
      <c r="BB989" s="863" t="s">
        <v>121</v>
      </c>
      <c r="BC989" s="864">
        <v>45788</v>
      </c>
      <c r="BD989" s="860" t="s">
        <v>3465</v>
      </c>
      <c r="BE989" s="865" cm="1">
        <f t="array" ref="BE989">IF(BD989="","",AC989/SUMPRODUCT(--(BD989=$BD$4:$BD$12824),$AC$4:$AC$12824))</f>
        <v>3.0128332099704974E-2</v>
      </c>
      <c r="BF989" s="458"/>
      <c r="BG989" s="458"/>
      <c r="BH989" s="458"/>
      <c r="BI989" s="458"/>
      <c r="BJ989" s="458"/>
      <c r="BK989" s="458"/>
      <c r="BL989" s="458"/>
      <c r="BM989" s="458"/>
      <c r="BN989" s="458"/>
      <c r="BO989" s="866">
        <f>VLOOKUP(BD989,$BD$4:$BN$12824,3,0)*BE989</f>
        <v>768.54362353137424</v>
      </c>
      <c r="BP989" s="866"/>
      <c r="BQ989" s="866"/>
      <c r="BR989" s="866">
        <f>VLOOKUP(BD989,$BD$4:$BN$12824,6,0)*BE989</f>
        <v>20201.860137818876</v>
      </c>
      <c r="BS989" s="866">
        <f>VLOOKUP(BD989,$BD$4:$BN$12824,7,0)*BE989</f>
        <v>7532.0830249262435</v>
      </c>
      <c r="BT989" s="866"/>
      <c r="BU989" s="866">
        <f>VLOOKUP(BD989,$BD$4:$BN$12824,9,0)*BE989</f>
        <v>0</v>
      </c>
      <c r="BV989" s="867"/>
      <c r="BW989" s="867">
        <f>VLOOKUP(BD989,$BD$4:$BN$12824,11,0)*BE989</f>
        <v>0</v>
      </c>
      <c r="BX989" s="1146">
        <f t="shared" si="187"/>
        <v>28502.486786276495</v>
      </c>
      <c r="BY989" s="867">
        <f t="shared" si="189"/>
        <v>733980.49735725531</v>
      </c>
      <c r="BZ989" s="867">
        <f t="shared" si="186"/>
        <v>3669902.4867862766</v>
      </c>
      <c r="CA989" s="867">
        <f>_xlfn.MAXIFS($BY$4:$BY$12824,$S$4:$S$12824,$S989)</f>
        <v>733980.49735725531</v>
      </c>
      <c r="CB989" s="1032"/>
      <c r="CF989" s="946">
        <f t="shared" si="188"/>
        <v>3641400</v>
      </c>
    </row>
    <row r="990" spans="1:84">
      <c r="A990" s="1032"/>
      <c r="B990" s="839" t="s">
        <v>98</v>
      </c>
      <c r="C990" s="839" t="s">
        <v>3454</v>
      </c>
      <c r="D990" s="839" t="s">
        <v>3455</v>
      </c>
      <c r="E990" s="839" t="s">
        <v>3455</v>
      </c>
      <c r="F990" s="841">
        <v>45597</v>
      </c>
      <c r="G990" s="840" t="s">
        <v>3456</v>
      </c>
      <c r="H990" s="842" t="s">
        <v>3457</v>
      </c>
      <c r="I990" s="842"/>
      <c r="J990" s="841"/>
      <c r="K990" s="841"/>
      <c r="L990" s="843" t="s">
        <v>1622</v>
      </c>
      <c r="M990" s="844" t="s">
        <v>3458</v>
      </c>
      <c r="N990" s="841"/>
      <c r="O990" s="841" t="s">
        <v>3459</v>
      </c>
      <c r="P990" s="841" t="s">
        <v>3460</v>
      </c>
      <c r="Q990" s="843"/>
      <c r="R990" s="845" t="s">
        <v>3522</v>
      </c>
      <c r="S990" s="1127" t="s">
        <v>3522</v>
      </c>
      <c r="T990" s="843" t="s">
        <v>3523</v>
      </c>
      <c r="U990" s="842">
        <v>4</v>
      </c>
      <c r="V990" s="842" t="s">
        <v>8</v>
      </c>
      <c r="W990" s="846">
        <v>16.899999999999999</v>
      </c>
      <c r="X990" s="847">
        <f t="shared" si="180"/>
        <v>67.599999999999994</v>
      </c>
      <c r="Y990" s="848">
        <v>0</v>
      </c>
      <c r="Z990" s="849">
        <v>16.899999999999999</v>
      </c>
      <c r="AA990" s="849"/>
      <c r="AB990" s="849">
        <f t="shared" si="181"/>
        <v>67.599999999999994</v>
      </c>
      <c r="AC990" s="850">
        <f t="shared" si="182"/>
        <v>67.599999999999994</v>
      </c>
      <c r="AD990" s="851"/>
      <c r="AE990" s="852">
        <v>25200</v>
      </c>
      <c r="AF990" s="853">
        <v>0</v>
      </c>
      <c r="AG990" s="854">
        <f t="shared" si="183"/>
        <v>0</v>
      </c>
      <c r="AH990" s="853">
        <v>0.1</v>
      </c>
      <c r="AI990" s="855">
        <f t="shared" si="184"/>
        <v>170352</v>
      </c>
      <c r="AJ990" s="845" t="s">
        <v>3463</v>
      </c>
      <c r="AK990" s="857">
        <v>45607</v>
      </c>
      <c r="AL990" s="840"/>
      <c r="AM990" s="840"/>
      <c r="AN990" s="858"/>
      <c r="AO990" s="844"/>
      <c r="AP990" s="859"/>
      <c r="AQ990" s="859"/>
      <c r="AR990" s="859"/>
      <c r="AS990" s="840"/>
      <c r="AT990" s="840"/>
      <c r="AU990" s="860"/>
      <c r="AV990" s="839" t="s">
        <v>3464</v>
      </c>
      <c r="AW990" s="861">
        <v>45624</v>
      </c>
      <c r="AX990" s="862">
        <v>45625</v>
      </c>
      <c r="AY990" s="843"/>
      <c r="AZ990" s="842"/>
      <c r="BA990" s="842" t="s">
        <v>120</v>
      </c>
      <c r="BB990" s="863" t="s">
        <v>121</v>
      </c>
      <c r="BC990" s="864">
        <v>45788</v>
      </c>
      <c r="BD990" s="860" t="s">
        <v>3465</v>
      </c>
      <c r="BE990" s="865" cm="1">
        <f t="array" ref="BE990">IF(BD990="","",AC990/SUMPRODUCT(--(BD990=$BD$4:$BD$12824),$AC$4:$AC$12824))</f>
        <v>1.4094638407889661E-2</v>
      </c>
      <c r="BF990" s="458"/>
      <c r="BG990" s="458"/>
      <c r="BH990" s="458"/>
      <c r="BI990" s="458"/>
      <c r="BJ990" s="458"/>
      <c r="BK990" s="458"/>
      <c r="BL990" s="458"/>
      <c r="BM990" s="458"/>
      <c r="BN990" s="458"/>
      <c r="BO990" s="866">
        <f>VLOOKUP(BD990,$BD$4:$BN$12824,3,0)*BE990</f>
        <v>359.54013114685733</v>
      </c>
      <c r="BP990" s="866"/>
      <c r="BQ990" s="866"/>
      <c r="BR990" s="866">
        <f>VLOOKUP(BD990,$BD$4:$BN$12824,6,0)*BE990</f>
        <v>9450.8356077270309</v>
      </c>
      <c r="BS990" s="866">
        <f>VLOOKUP(BD990,$BD$4:$BN$12824,7,0)*BE990</f>
        <v>3523.6596019724152</v>
      </c>
      <c r="BT990" s="866"/>
      <c r="BU990" s="866">
        <f>VLOOKUP(BD990,$BD$4:$BN$12824,9,0)*BE990</f>
        <v>0</v>
      </c>
      <c r="BV990" s="867"/>
      <c r="BW990" s="867">
        <f>VLOOKUP(BD990,$BD$4:$BN$12824,11,0)*BE990</f>
        <v>0</v>
      </c>
      <c r="BX990" s="1146">
        <f t="shared" si="187"/>
        <v>13334.035340846303</v>
      </c>
      <c r="BY990" s="867">
        <f t="shared" si="189"/>
        <v>429213.50883521151</v>
      </c>
      <c r="BZ990" s="867">
        <f t="shared" si="186"/>
        <v>1716854.0353408461</v>
      </c>
      <c r="CA990" s="867">
        <f>_xlfn.MAXIFS($BY$4:$BY$12824,$S$4:$S$12824,$S990)</f>
        <v>429213.50883521151</v>
      </c>
      <c r="CB990" s="1032"/>
      <c r="CF990" s="946">
        <f t="shared" si="188"/>
        <v>1703519.9999999998</v>
      </c>
    </row>
    <row r="991" spans="1:84">
      <c r="A991" s="1032"/>
      <c r="B991" s="839" t="s">
        <v>98</v>
      </c>
      <c r="C991" s="839" t="s">
        <v>3454</v>
      </c>
      <c r="D991" s="839" t="s">
        <v>3455</v>
      </c>
      <c r="E991" s="839" t="s">
        <v>3455</v>
      </c>
      <c r="F991" s="841">
        <v>45597</v>
      </c>
      <c r="G991" s="840" t="s">
        <v>3456</v>
      </c>
      <c r="H991" s="842" t="s">
        <v>3457</v>
      </c>
      <c r="I991" s="842"/>
      <c r="J991" s="841"/>
      <c r="K991" s="841"/>
      <c r="L991" s="843" t="s">
        <v>1622</v>
      </c>
      <c r="M991" s="844" t="s">
        <v>3458</v>
      </c>
      <c r="N991" s="841"/>
      <c r="O991" s="841" t="s">
        <v>3459</v>
      </c>
      <c r="P991" s="841" t="s">
        <v>220</v>
      </c>
      <c r="Q991" s="843"/>
      <c r="R991" s="845" t="s">
        <v>3320</v>
      </c>
      <c r="S991" s="1127" t="s">
        <v>3524</v>
      </c>
      <c r="T991" s="843" t="s">
        <v>3525</v>
      </c>
      <c r="U991" s="842">
        <v>12</v>
      </c>
      <c r="V991" s="842" t="s">
        <v>8</v>
      </c>
      <c r="W991" s="846">
        <v>3</v>
      </c>
      <c r="X991" s="847">
        <f t="shared" si="180"/>
        <v>36</v>
      </c>
      <c r="Y991" s="848">
        <v>0</v>
      </c>
      <c r="Z991" s="849">
        <v>3</v>
      </c>
      <c r="AA991" s="849"/>
      <c r="AB991" s="849">
        <f t="shared" si="181"/>
        <v>36</v>
      </c>
      <c r="AC991" s="850">
        <f t="shared" si="182"/>
        <v>36</v>
      </c>
      <c r="AD991" s="851"/>
      <c r="AE991" s="852">
        <v>25200</v>
      </c>
      <c r="AF991" s="853">
        <v>0</v>
      </c>
      <c r="AG991" s="854">
        <f t="shared" si="183"/>
        <v>0</v>
      </c>
      <c r="AH991" s="853">
        <v>0.1</v>
      </c>
      <c r="AI991" s="855">
        <f t="shared" si="184"/>
        <v>90720</v>
      </c>
      <c r="AJ991" s="845" t="s">
        <v>3463</v>
      </c>
      <c r="AK991" s="857">
        <v>45607</v>
      </c>
      <c r="AL991" s="840"/>
      <c r="AM991" s="840"/>
      <c r="AN991" s="858"/>
      <c r="AO991" s="844"/>
      <c r="AP991" s="859"/>
      <c r="AQ991" s="859"/>
      <c r="AR991" s="859"/>
      <c r="AS991" s="840"/>
      <c r="AT991" s="840"/>
      <c r="AU991" s="860"/>
      <c r="AV991" s="839" t="s">
        <v>3464</v>
      </c>
      <c r="AW991" s="861">
        <v>45624</v>
      </c>
      <c r="AX991" s="862">
        <v>45625</v>
      </c>
      <c r="AY991" s="843"/>
      <c r="AZ991" s="842"/>
      <c r="BA991" s="842" t="s">
        <v>120</v>
      </c>
      <c r="BB991" s="863" t="s">
        <v>121</v>
      </c>
      <c r="BC991" s="864">
        <v>45788</v>
      </c>
      <c r="BD991" s="860" t="s">
        <v>3465</v>
      </c>
      <c r="BE991" s="865" cm="1">
        <f t="array" ref="BE991">IF(BD991="","",AC991/SUMPRODUCT(--(BD991=$BD$4:$BD$12824),$AC$4:$AC$12824))</f>
        <v>7.5060204539057372E-3</v>
      </c>
      <c r="BF991" s="458"/>
      <c r="BG991" s="458"/>
      <c r="BH991" s="458"/>
      <c r="BI991" s="458"/>
      <c r="BJ991" s="458"/>
      <c r="BK991" s="458"/>
      <c r="BL991" s="458"/>
      <c r="BM991" s="458"/>
      <c r="BN991" s="458"/>
      <c r="BO991" s="866">
        <f>VLOOKUP(BD991,$BD$4:$BN$12824,3,0)*BE991</f>
        <v>191.47107575868145</v>
      </c>
      <c r="BP991" s="866"/>
      <c r="BQ991" s="866"/>
      <c r="BR991" s="866">
        <f>VLOOKUP(BD991,$BD$4:$BN$12824,6,0)*BE991</f>
        <v>5032.9893768960519</v>
      </c>
      <c r="BS991" s="866">
        <f>VLOOKUP(BD991,$BD$4:$BN$12824,7,0)*BE991</f>
        <v>1876.5051134764342</v>
      </c>
      <c r="BT991" s="866"/>
      <c r="BU991" s="866">
        <f>VLOOKUP(BD991,$BD$4:$BN$12824,9,0)*BE991</f>
        <v>0</v>
      </c>
      <c r="BV991" s="867"/>
      <c r="BW991" s="867">
        <f>VLOOKUP(BD991,$BD$4:$BN$12824,11,0)*BE991</f>
        <v>0</v>
      </c>
      <c r="BX991" s="1146">
        <f t="shared" si="187"/>
        <v>7100.9655661311681</v>
      </c>
      <c r="BY991" s="867">
        <f t="shared" si="189"/>
        <v>76191.747130510936</v>
      </c>
      <c r="BZ991" s="867">
        <f t="shared" si="186"/>
        <v>914300.96556613129</v>
      </c>
      <c r="CA991" s="867">
        <f>_xlfn.MAXIFS($BY$4:$BY$12824,$S$4:$S$12824,$S991)</f>
        <v>76191.747130510936</v>
      </c>
      <c r="CB991" s="1032"/>
      <c r="CF991" s="946">
        <f t="shared" si="188"/>
        <v>907200</v>
      </c>
    </row>
    <row r="992" spans="1:84">
      <c r="A992" s="1032"/>
      <c r="B992" s="839" t="s">
        <v>98</v>
      </c>
      <c r="C992" s="839" t="s">
        <v>3454</v>
      </c>
      <c r="D992" s="839" t="s">
        <v>3455</v>
      </c>
      <c r="E992" s="839" t="s">
        <v>3455</v>
      </c>
      <c r="F992" s="841">
        <v>45597</v>
      </c>
      <c r="G992" s="840" t="s">
        <v>3456</v>
      </c>
      <c r="H992" s="842" t="s">
        <v>3457</v>
      </c>
      <c r="I992" s="842"/>
      <c r="J992" s="841"/>
      <c r="K992" s="841"/>
      <c r="L992" s="843" t="s">
        <v>1622</v>
      </c>
      <c r="M992" s="844" t="s">
        <v>3458</v>
      </c>
      <c r="N992" s="841"/>
      <c r="O992" s="841" t="s">
        <v>3459</v>
      </c>
      <c r="P992" s="841" t="s">
        <v>220</v>
      </c>
      <c r="Q992" s="843"/>
      <c r="R992" s="845" t="s">
        <v>3320</v>
      </c>
      <c r="S992" s="1127" t="s">
        <v>3526</v>
      </c>
      <c r="T992" s="843" t="s">
        <v>3527</v>
      </c>
      <c r="U992" s="842">
        <v>6</v>
      </c>
      <c r="V992" s="842" t="s">
        <v>8</v>
      </c>
      <c r="W992" s="846">
        <v>2</v>
      </c>
      <c r="X992" s="847">
        <f t="shared" si="180"/>
        <v>12</v>
      </c>
      <c r="Y992" s="848">
        <v>0</v>
      </c>
      <c r="Z992" s="849">
        <v>2</v>
      </c>
      <c r="AA992" s="849"/>
      <c r="AB992" s="849">
        <f t="shared" si="181"/>
        <v>12</v>
      </c>
      <c r="AC992" s="850">
        <f t="shared" si="182"/>
        <v>12</v>
      </c>
      <c r="AD992" s="851"/>
      <c r="AE992" s="852">
        <v>25200</v>
      </c>
      <c r="AF992" s="853">
        <v>0</v>
      </c>
      <c r="AG992" s="854">
        <f t="shared" si="183"/>
        <v>0</v>
      </c>
      <c r="AH992" s="853">
        <v>0.1</v>
      </c>
      <c r="AI992" s="855">
        <f t="shared" si="184"/>
        <v>30240</v>
      </c>
      <c r="AJ992" s="845" t="s">
        <v>3463</v>
      </c>
      <c r="AK992" s="857">
        <v>45607</v>
      </c>
      <c r="AL992" s="840"/>
      <c r="AM992" s="840"/>
      <c r="AN992" s="858"/>
      <c r="AO992" s="844"/>
      <c r="AP992" s="859"/>
      <c r="AQ992" s="859"/>
      <c r="AR992" s="859"/>
      <c r="AS992" s="840"/>
      <c r="AT992" s="840"/>
      <c r="AU992" s="860"/>
      <c r="AV992" s="839" t="s">
        <v>3464</v>
      </c>
      <c r="AW992" s="861">
        <v>45624</v>
      </c>
      <c r="AX992" s="862">
        <v>45625</v>
      </c>
      <c r="AY992" s="843"/>
      <c r="AZ992" s="842"/>
      <c r="BA992" s="842" t="s">
        <v>120</v>
      </c>
      <c r="BB992" s="863" t="s">
        <v>121</v>
      </c>
      <c r="BC992" s="864">
        <v>45788</v>
      </c>
      <c r="BD992" s="860" t="s">
        <v>3465</v>
      </c>
      <c r="BE992" s="865" cm="1">
        <f t="array" ref="BE992">IF(BD992="","",AC992/SUMPRODUCT(--(BD992=$BD$4:$BD$12824),$AC$4:$AC$12824))</f>
        <v>2.5020068179685793E-3</v>
      </c>
      <c r="BF992" s="458"/>
      <c r="BG992" s="458"/>
      <c r="BH992" s="458"/>
      <c r="BI992" s="458"/>
      <c r="BJ992" s="458"/>
      <c r="BK992" s="458"/>
      <c r="BL992" s="458"/>
      <c r="BM992" s="458"/>
      <c r="BN992" s="458"/>
      <c r="BO992" s="866">
        <f>VLOOKUP(BD992,$BD$4:$BN$12824,3,0)*BE992</f>
        <v>63.823691919560488</v>
      </c>
      <c r="BP992" s="866"/>
      <c r="BQ992" s="866"/>
      <c r="BR992" s="866">
        <f>VLOOKUP(BD992,$BD$4:$BN$12824,6,0)*BE992</f>
        <v>1677.6631256320177</v>
      </c>
      <c r="BS992" s="866">
        <f>VLOOKUP(BD992,$BD$4:$BN$12824,7,0)*BE992</f>
        <v>625.50170449214488</v>
      </c>
      <c r="BT992" s="866"/>
      <c r="BU992" s="866">
        <f>VLOOKUP(BD992,$BD$4:$BN$12824,9,0)*BE992</f>
        <v>0</v>
      </c>
      <c r="BV992" s="867"/>
      <c r="BW992" s="867">
        <f>VLOOKUP(BD992,$BD$4:$BN$12824,11,0)*BE992</f>
        <v>0</v>
      </c>
      <c r="BX992" s="1146">
        <f t="shared" si="187"/>
        <v>2366.9885220437232</v>
      </c>
      <c r="BY992" s="867">
        <f t="shared" si="189"/>
        <v>50794.49808700729</v>
      </c>
      <c r="BZ992" s="867">
        <f t="shared" si="186"/>
        <v>304766.98852204374</v>
      </c>
      <c r="CA992" s="867">
        <f>_xlfn.MAXIFS($BY$4:$BY$12824,$S$4:$S$12824,$S992)</f>
        <v>50794.49808700729</v>
      </c>
      <c r="CB992" s="1032"/>
      <c r="CF992" s="946">
        <f t="shared" si="188"/>
        <v>302400</v>
      </c>
    </row>
    <row r="993" spans="1:84">
      <c r="A993" s="1032"/>
      <c r="B993" s="839" t="s">
        <v>98</v>
      </c>
      <c r="C993" s="839" t="s">
        <v>3454</v>
      </c>
      <c r="D993" s="839" t="s">
        <v>3455</v>
      </c>
      <c r="E993" s="839" t="s">
        <v>3455</v>
      </c>
      <c r="F993" s="841">
        <v>45597</v>
      </c>
      <c r="G993" s="840" t="s">
        <v>3456</v>
      </c>
      <c r="H993" s="842" t="s">
        <v>3457</v>
      </c>
      <c r="I993" s="842"/>
      <c r="J993" s="841"/>
      <c r="K993" s="841"/>
      <c r="L993" s="843" t="s">
        <v>1622</v>
      </c>
      <c r="M993" s="844" t="s">
        <v>3458</v>
      </c>
      <c r="N993" s="841"/>
      <c r="O993" s="841" t="s">
        <v>3459</v>
      </c>
      <c r="P993" s="841" t="s">
        <v>220</v>
      </c>
      <c r="Q993" s="843"/>
      <c r="R993" s="845" t="s">
        <v>3320</v>
      </c>
      <c r="S993" s="1127" t="s">
        <v>3528</v>
      </c>
      <c r="T993" s="843" t="s">
        <v>3529</v>
      </c>
      <c r="U993" s="842">
        <v>6</v>
      </c>
      <c r="V993" s="842" t="s">
        <v>8</v>
      </c>
      <c r="W993" s="846">
        <v>1</v>
      </c>
      <c r="X993" s="847">
        <f t="shared" si="180"/>
        <v>6</v>
      </c>
      <c r="Y993" s="848">
        <v>0</v>
      </c>
      <c r="Z993" s="849">
        <v>1</v>
      </c>
      <c r="AA993" s="849"/>
      <c r="AB993" s="849">
        <f t="shared" si="181"/>
        <v>6</v>
      </c>
      <c r="AC993" s="850">
        <f t="shared" si="182"/>
        <v>6</v>
      </c>
      <c r="AD993" s="851"/>
      <c r="AE993" s="852">
        <v>25200</v>
      </c>
      <c r="AF993" s="853">
        <v>0</v>
      </c>
      <c r="AG993" s="854">
        <f t="shared" si="183"/>
        <v>0</v>
      </c>
      <c r="AH993" s="853">
        <v>0.1</v>
      </c>
      <c r="AI993" s="855">
        <f t="shared" si="184"/>
        <v>15120</v>
      </c>
      <c r="AJ993" s="845" t="s">
        <v>3463</v>
      </c>
      <c r="AK993" s="857">
        <v>45607</v>
      </c>
      <c r="AL993" s="840"/>
      <c r="AM993" s="840"/>
      <c r="AN993" s="858"/>
      <c r="AO993" s="844"/>
      <c r="AP993" s="859"/>
      <c r="AQ993" s="859"/>
      <c r="AR993" s="859"/>
      <c r="AS993" s="840"/>
      <c r="AT993" s="840"/>
      <c r="AU993" s="860"/>
      <c r="AV993" s="839" t="s">
        <v>3464</v>
      </c>
      <c r="AW993" s="861">
        <v>45624</v>
      </c>
      <c r="AX993" s="862">
        <v>45625</v>
      </c>
      <c r="AY993" s="843"/>
      <c r="AZ993" s="842"/>
      <c r="BA993" s="842" t="s">
        <v>120</v>
      </c>
      <c r="BB993" s="863" t="s">
        <v>121</v>
      </c>
      <c r="BC993" s="864">
        <v>45788</v>
      </c>
      <c r="BD993" s="860" t="s">
        <v>3465</v>
      </c>
      <c r="BE993" s="865" cm="1">
        <f t="array" ref="BE993">IF(BD993="","",AC993/SUMPRODUCT(--(BD993=$BD$4:$BD$12824),$AC$4:$AC$12824))</f>
        <v>1.2510034089842897E-3</v>
      </c>
      <c r="BF993" s="458"/>
      <c r="BG993" s="458"/>
      <c r="BH993" s="458"/>
      <c r="BI993" s="458"/>
      <c r="BJ993" s="458"/>
      <c r="BK993" s="458"/>
      <c r="BL993" s="458"/>
      <c r="BM993" s="458"/>
      <c r="BN993" s="458"/>
      <c r="BO993" s="866">
        <f>VLOOKUP(BD993,$BD$4:$BN$12824,3,0)*BE993</f>
        <v>31.911845959780244</v>
      </c>
      <c r="BP993" s="866"/>
      <c r="BQ993" s="866"/>
      <c r="BR993" s="866">
        <f>VLOOKUP(BD993,$BD$4:$BN$12824,6,0)*BE993</f>
        <v>838.83156281600884</v>
      </c>
      <c r="BS993" s="866">
        <f>VLOOKUP(BD993,$BD$4:$BN$12824,7,0)*BE993</f>
        <v>312.75085224607244</v>
      </c>
      <c r="BT993" s="866"/>
      <c r="BU993" s="866">
        <f>VLOOKUP(BD993,$BD$4:$BN$12824,9,0)*BE993</f>
        <v>0</v>
      </c>
      <c r="BV993" s="867"/>
      <c r="BW993" s="867">
        <f>VLOOKUP(BD993,$BD$4:$BN$12824,11,0)*BE993</f>
        <v>0</v>
      </c>
      <c r="BX993" s="1146">
        <f t="shared" si="187"/>
        <v>1183.4942610218616</v>
      </c>
      <c r="BY993" s="867">
        <f t="shared" si="189"/>
        <v>25397.249043503645</v>
      </c>
      <c r="BZ993" s="867">
        <f t="shared" si="186"/>
        <v>152383.49426102187</v>
      </c>
      <c r="CA993" s="867">
        <f>_xlfn.MAXIFS($BY$4:$BY$12824,$S$4:$S$12824,$S993)</f>
        <v>25397.249043503645</v>
      </c>
      <c r="CB993" s="1032"/>
      <c r="CF993" s="946">
        <f t="shared" si="188"/>
        <v>151200</v>
      </c>
    </row>
    <row r="994" spans="1:84">
      <c r="A994" s="1032"/>
      <c r="B994" s="839" t="s">
        <v>98</v>
      </c>
      <c r="C994" s="839" t="s">
        <v>3454</v>
      </c>
      <c r="D994" s="839" t="s">
        <v>3455</v>
      </c>
      <c r="E994" s="839" t="s">
        <v>3455</v>
      </c>
      <c r="F994" s="841">
        <v>45597</v>
      </c>
      <c r="G994" s="840" t="s">
        <v>3456</v>
      </c>
      <c r="H994" s="842" t="s">
        <v>3457</v>
      </c>
      <c r="I994" s="842"/>
      <c r="J994" s="841"/>
      <c r="K994" s="841"/>
      <c r="L994" s="843" t="s">
        <v>1622</v>
      </c>
      <c r="M994" s="844" t="s">
        <v>3458</v>
      </c>
      <c r="N994" s="841"/>
      <c r="O994" s="841" t="s">
        <v>3459</v>
      </c>
      <c r="P994" s="841" t="s">
        <v>220</v>
      </c>
      <c r="Q994" s="843"/>
      <c r="R994" s="845" t="s">
        <v>3320</v>
      </c>
      <c r="S994" s="1127" t="s">
        <v>3530</v>
      </c>
      <c r="T994" s="843" t="s">
        <v>3531</v>
      </c>
      <c r="U994" s="842">
        <v>6</v>
      </c>
      <c r="V994" s="842" t="s">
        <v>8</v>
      </c>
      <c r="W994" s="846">
        <v>4.5</v>
      </c>
      <c r="X994" s="847">
        <f t="shared" si="180"/>
        <v>27</v>
      </c>
      <c r="Y994" s="848">
        <v>0</v>
      </c>
      <c r="Z994" s="849">
        <v>4.5</v>
      </c>
      <c r="AA994" s="849"/>
      <c r="AB994" s="849">
        <f t="shared" si="181"/>
        <v>27</v>
      </c>
      <c r="AC994" s="850">
        <f t="shared" si="182"/>
        <v>27</v>
      </c>
      <c r="AD994" s="851"/>
      <c r="AE994" s="852">
        <v>25200</v>
      </c>
      <c r="AF994" s="853">
        <v>0</v>
      </c>
      <c r="AG994" s="854">
        <f t="shared" si="183"/>
        <v>0</v>
      </c>
      <c r="AH994" s="853">
        <v>0.1</v>
      </c>
      <c r="AI994" s="855">
        <f t="shared" si="184"/>
        <v>68040</v>
      </c>
      <c r="AJ994" s="845" t="s">
        <v>3463</v>
      </c>
      <c r="AK994" s="857">
        <v>45607</v>
      </c>
      <c r="AL994" s="840"/>
      <c r="AM994" s="840"/>
      <c r="AN994" s="858"/>
      <c r="AO994" s="844"/>
      <c r="AP994" s="859"/>
      <c r="AQ994" s="859"/>
      <c r="AR994" s="859"/>
      <c r="AS994" s="840"/>
      <c r="AT994" s="840"/>
      <c r="AU994" s="860"/>
      <c r="AV994" s="839" t="s">
        <v>3464</v>
      </c>
      <c r="AW994" s="861">
        <v>45624</v>
      </c>
      <c r="AX994" s="862">
        <v>45625</v>
      </c>
      <c r="AY994" s="843"/>
      <c r="AZ994" s="842"/>
      <c r="BA994" s="842" t="s">
        <v>120</v>
      </c>
      <c r="BB994" s="863" t="s">
        <v>121</v>
      </c>
      <c r="BC994" s="864">
        <v>45788</v>
      </c>
      <c r="BD994" s="860" t="s">
        <v>3465</v>
      </c>
      <c r="BE994" s="865" cm="1">
        <f t="array" ref="BE994">IF(BD994="","",AC994/SUMPRODUCT(--(BD994=$BD$4:$BD$12824),$AC$4:$AC$12824))</f>
        <v>5.6295153404293027E-3</v>
      </c>
      <c r="BF994" s="458"/>
      <c r="BG994" s="458"/>
      <c r="BH994" s="458"/>
      <c r="BI994" s="458"/>
      <c r="BJ994" s="458"/>
      <c r="BK994" s="458"/>
      <c r="BL994" s="458"/>
      <c r="BM994" s="458"/>
      <c r="BN994" s="458"/>
      <c r="BO994" s="866">
        <f>VLOOKUP(BD994,$BD$4:$BN$12824,3,0)*BE994</f>
        <v>143.6033068190111</v>
      </c>
      <c r="BP994" s="866"/>
      <c r="BQ994" s="866"/>
      <c r="BR994" s="866">
        <f>VLOOKUP(BD994,$BD$4:$BN$12824,6,0)*BE994</f>
        <v>3774.7420326720389</v>
      </c>
      <c r="BS994" s="866">
        <f>VLOOKUP(BD994,$BD$4:$BN$12824,7,0)*BE994</f>
        <v>1407.3788351073256</v>
      </c>
      <c r="BT994" s="866"/>
      <c r="BU994" s="866">
        <f>VLOOKUP(BD994,$BD$4:$BN$12824,9,0)*BE994</f>
        <v>0</v>
      </c>
      <c r="BV994" s="867"/>
      <c r="BW994" s="867">
        <f>VLOOKUP(BD994,$BD$4:$BN$12824,11,0)*BE994</f>
        <v>0</v>
      </c>
      <c r="BX994" s="1146">
        <f t="shared" si="187"/>
        <v>5325.7241745983756</v>
      </c>
      <c r="BY994" s="867">
        <f t="shared" si="189"/>
        <v>114287.6206957664</v>
      </c>
      <c r="BZ994" s="867">
        <f t="shared" si="186"/>
        <v>685725.72417459835</v>
      </c>
      <c r="CA994" s="867">
        <f>_xlfn.MAXIFS($BY$4:$BY$12824,$S$4:$S$12824,$S994)</f>
        <v>114287.6206957664</v>
      </c>
      <c r="CB994" s="1032"/>
      <c r="CF994" s="946">
        <f t="shared" si="188"/>
        <v>680400</v>
      </c>
    </row>
    <row r="995" spans="1:84">
      <c r="A995" s="1032"/>
      <c r="B995" s="839" t="s">
        <v>98</v>
      </c>
      <c r="C995" s="839" t="s">
        <v>3454</v>
      </c>
      <c r="D995" s="839" t="s">
        <v>3455</v>
      </c>
      <c r="E995" s="839" t="s">
        <v>3455</v>
      </c>
      <c r="F995" s="841">
        <v>45597</v>
      </c>
      <c r="G995" s="840" t="s">
        <v>3456</v>
      </c>
      <c r="H995" s="842" t="s">
        <v>3457</v>
      </c>
      <c r="I995" s="842"/>
      <c r="J995" s="841"/>
      <c r="K995" s="841"/>
      <c r="L995" s="843" t="s">
        <v>1622</v>
      </c>
      <c r="M995" s="844" t="s">
        <v>3458</v>
      </c>
      <c r="N995" s="841"/>
      <c r="O995" s="841" t="s">
        <v>3459</v>
      </c>
      <c r="P995" s="841" t="s">
        <v>220</v>
      </c>
      <c r="Q995" s="843"/>
      <c r="R995" s="845" t="s">
        <v>3320</v>
      </c>
      <c r="S995" s="1127" t="s">
        <v>3532</v>
      </c>
      <c r="T995" s="843" t="s">
        <v>3533</v>
      </c>
      <c r="U995" s="842">
        <v>57</v>
      </c>
      <c r="V995" s="842" t="s">
        <v>8</v>
      </c>
      <c r="W995" s="846">
        <v>3.5</v>
      </c>
      <c r="X995" s="847">
        <f t="shared" si="180"/>
        <v>199.5</v>
      </c>
      <c r="Y995" s="848">
        <v>0</v>
      </c>
      <c r="Z995" s="849">
        <v>3.5</v>
      </c>
      <c r="AA995" s="849"/>
      <c r="AB995" s="849">
        <f t="shared" si="181"/>
        <v>199.5</v>
      </c>
      <c r="AC995" s="850">
        <f t="shared" si="182"/>
        <v>199.5</v>
      </c>
      <c r="AD995" s="851"/>
      <c r="AE995" s="852">
        <v>25200</v>
      </c>
      <c r="AF995" s="853">
        <v>0</v>
      </c>
      <c r="AG995" s="854">
        <f t="shared" si="183"/>
        <v>0</v>
      </c>
      <c r="AH995" s="853">
        <v>0.1</v>
      </c>
      <c r="AI995" s="855">
        <f t="shared" si="184"/>
        <v>502740</v>
      </c>
      <c r="AJ995" s="845" t="s">
        <v>3463</v>
      </c>
      <c r="AK995" s="857">
        <v>45607</v>
      </c>
      <c r="AL995" s="840"/>
      <c r="AM995" s="840"/>
      <c r="AN995" s="858"/>
      <c r="AO995" s="844"/>
      <c r="AP995" s="859"/>
      <c r="AQ995" s="859"/>
      <c r="AR995" s="859"/>
      <c r="AS995" s="840"/>
      <c r="AT995" s="840"/>
      <c r="AU995" s="860"/>
      <c r="AV995" s="839" t="s">
        <v>3464</v>
      </c>
      <c r="AW995" s="861">
        <v>45624</v>
      </c>
      <c r="AX995" s="862">
        <v>45625</v>
      </c>
      <c r="AY995" s="843"/>
      <c r="AZ995" s="842"/>
      <c r="BA995" s="842" t="s">
        <v>120</v>
      </c>
      <c r="BB995" s="863" t="s">
        <v>121</v>
      </c>
      <c r="BC995" s="864">
        <v>45788</v>
      </c>
      <c r="BD995" s="860" t="s">
        <v>3465</v>
      </c>
      <c r="BE995" s="865" cm="1">
        <f t="array" ref="BE995">IF(BD995="","",AC995/SUMPRODUCT(--(BD995=$BD$4:$BD$12824),$AC$4:$AC$12824))</f>
        <v>4.1595863348727627E-2</v>
      </c>
      <c r="BF995" s="458"/>
      <c r="BG995" s="458"/>
      <c r="BH995" s="458"/>
      <c r="BI995" s="458"/>
      <c r="BJ995" s="458"/>
      <c r="BK995" s="458"/>
      <c r="BL995" s="458"/>
      <c r="BM995" s="458"/>
      <c r="BN995" s="458"/>
      <c r="BO995" s="866">
        <f>VLOOKUP(BD995,$BD$4:$BN$12824,3,0)*BE995</f>
        <v>1061.068878162693</v>
      </c>
      <c r="BP995" s="866"/>
      <c r="BQ995" s="866"/>
      <c r="BR995" s="866">
        <f>VLOOKUP(BD995,$BD$4:$BN$12824,6,0)*BE995</f>
        <v>27891.14946363229</v>
      </c>
      <c r="BS995" s="866">
        <f>VLOOKUP(BD995,$BD$4:$BN$12824,7,0)*BE995</f>
        <v>10398.965837181906</v>
      </c>
      <c r="BT995" s="866"/>
      <c r="BU995" s="866">
        <f>VLOOKUP(BD995,$BD$4:$BN$12824,9,0)*BE995</f>
        <v>0</v>
      </c>
      <c r="BV995" s="867"/>
      <c r="BW995" s="867">
        <f>VLOOKUP(BD995,$BD$4:$BN$12824,11,0)*BE995</f>
        <v>0</v>
      </c>
      <c r="BX995" s="1146">
        <f t="shared" si="187"/>
        <v>39351.184178976888</v>
      </c>
      <c r="BY995" s="867">
        <f t="shared" si="189"/>
        <v>88890.371652262766</v>
      </c>
      <c r="BZ995" s="867">
        <f t="shared" si="186"/>
        <v>5066751.1841789773</v>
      </c>
      <c r="CA995" s="867">
        <f>_xlfn.MAXIFS($BY$4:$BY$12824,$S$4:$S$12824,$S995)</f>
        <v>88890.371652262766</v>
      </c>
      <c r="CB995" s="1032"/>
      <c r="CF995" s="946">
        <f t="shared" si="188"/>
        <v>5027400</v>
      </c>
    </row>
    <row r="996" spans="1:84">
      <c r="A996" s="1032"/>
      <c r="B996" s="839" t="s">
        <v>98</v>
      </c>
      <c r="C996" s="839" t="s">
        <v>3454</v>
      </c>
      <c r="D996" s="839" t="s">
        <v>3534</v>
      </c>
      <c r="E996" s="839" t="s">
        <v>3534</v>
      </c>
      <c r="F996" s="841">
        <v>45577</v>
      </c>
      <c r="G996" s="840" t="s">
        <v>3456</v>
      </c>
      <c r="H996" s="842" t="s">
        <v>102</v>
      </c>
      <c r="I996" s="842" t="s">
        <v>3535</v>
      </c>
      <c r="J996" s="841"/>
      <c r="K996" s="841"/>
      <c r="L996" s="843"/>
      <c r="M996" s="844" t="s">
        <v>3458</v>
      </c>
      <c r="N996" s="841"/>
      <c r="O996" s="841" t="s">
        <v>3459</v>
      </c>
      <c r="P996" s="841" t="s">
        <v>3460</v>
      </c>
      <c r="Q996" s="843"/>
      <c r="R996" s="845" t="s">
        <v>3536</v>
      </c>
      <c r="S996" s="1127" t="s">
        <v>3537</v>
      </c>
      <c r="T996" s="843" t="s">
        <v>3538</v>
      </c>
      <c r="U996" s="842">
        <v>26</v>
      </c>
      <c r="V996" s="842" t="s">
        <v>8</v>
      </c>
      <c r="W996" s="846">
        <v>5.8</v>
      </c>
      <c r="X996" s="847">
        <f t="shared" si="180"/>
        <v>150.79999999999998</v>
      </c>
      <c r="Y996" s="848">
        <v>0</v>
      </c>
      <c r="Z996" s="849">
        <v>5.8</v>
      </c>
      <c r="AA996" s="849"/>
      <c r="AB996" s="849">
        <f t="shared" si="181"/>
        <v>150.79999999999998</v>
      </c>
      <c r="AC996" s="850">
        <f t="shared" si="182"/>
        <v>150.79999999999998</v>
      </c>
      <c r="AD996" s="851"/>
      <c r="AE996" s="852">
        <v>25194</v>
      </c>
      <c r="AF996" s="853">
        <v>0</v>
      </c>
      <c r="AG996" s="854">
        <f t="shared" si="183"/>
        <v>0</v>
      </c>
      <c r="AH996" s="853">
        <v>0.1</v>
      </c>
      <c r="AI996" s="855">
        <f t="shared" si="184"/>
        <v>959338.82</v>
      </c>
      <c r="AJ996" s="845" t="s">
        <v>3539</v>
      </c>
      <c r="AK996" s="857">
        <v>45809</v>
      </c>
      <c r="AL996" s="840" t="s">
        <v>3540</v>
      </c>
      <c r="AM996" s="840"/>
      <c r="AN996" s="858"/>
      <c r="AO996" s="844"/>
      <c r="AP996" s="859">
        <v>45992</v>
      </c>
      <c r="AQ996" s="859"/>
      <c r="AR996" s="859" t="s">
        <v>3541</v>
      </c>
      <c r="AS996" s="840"/>
      <c r="AT996" s="840"/>
      <c r="AU996" s="860" t="s">
        <v>1311</v>
      </c>
      <c r="AV996" s="839" t="s">
        <v>3542</v>
      </c>
      <c r="AW996" s="861">
        <v>45673</v>
      </c>
      <c r="AX996" s="862">
        <v>45674</v>
      </c>
      <c r="AY996" s="840" t="s">
        <v>3543</v>
      </c>
      <c r="AZ996" s="842">
        <v>94059950</v>
      </c>
      <c r="BA996" s="842" t="s">
        <v>120</v>
      </c>
      <c r="BB996" s="863" t="s">
        <v>121</v>
      </c>
      <c r="BC996" s="864">
        <v>45674</v>
      </c>
      <c r="BD996" s="860" t="s">
        <v>3544</v>
      </c>
      <c r="BE996" s="865" cm="1">
        <f t="array" ref="BE996">IF(BD996="","",AC996/SUMPRODUCT(--(BD996=$BD$4:$BD$12824),$AC$4:$AC$12824))</f>
        <v>3.1179443070637559E-2</v>
      </c>
      <c r="BF996" s="458">
        <v>5544133</v>
      </c>
      <c r="BG996" s="458"/>
      <c r="BH996" s="458"/>
      <c r="BI996" s="458">
        <f>1931504/1.08</f>
        <v>1788429.6296296294</v>
      </c>
      <c r="BJ996" s="458">
        <v>250000</v>
      </c>
      <c r="BK996" s="458"/>
      <c r="BL996" s="458"/>
      <c r="BM996" s="458"/>
      <c r="BN996" s="458">
        <v>600000</v>
      </c>
      <c r="BO996" s="866">
        <f>VLOOKUP(BD996,$BD$4:$BN$12824,3,0)*BE996</f>
        <v>172862.97924954302</v>
      </c>
      <c r="BP996" s="866"/>
      <c r="BQ996" s="866"/>
      <c r="BR996" s="866">
        <f>VLOOKUP(BD996,$BD$4:$BN$12824,6,0)*BE996</f>
        <v>55762.239822878444</v>
      </c>
      <c r="BS996" s="866">
        <f>VLOOKUP(BD996,$BD$4:$BN$12824,7,0)*BE996</f>
        <v>7794.8607676593901</v>
      </c>
      <c r="BT996" s="866"/>
      <c r="BU996" s="866">
        <f>VLOOKUP(BD996,$BD$4:$BN$12824,9,0)*BE996</f>
        <v>0</v>
      </c>
      <c r="BV996" s="867"/>
      <c r="BW996" s="867">
        <f>VLOOKUP(BD996,$BD$4:$BN$12824,11,0)*BE996</f>
        <v>18707.665842382536</v>
      </c>
      <c r="BX996" s="1146">
        <f t="shared" si="185"/>
        <v>255127.74568246337</v>
      </c>
      <c r="BY996" s="867">
        <f t="shared" si="189"/>
        <v>155937.80560317167</v>
      </c>
      <c r="BZ996" s="867">
        <f t="shared" si="186"/>
        <v>4054382.9456824632</v>
      </c>
      <c r="CA996" s="867">
        <f>_xlfn.MAXIFS($BY$4:$BY$12824,$S$4:$S$12824,$S996)</f>
        <v>155937.80560317167</v>
      </c>
      <c r="CB996" s="1032"/>
      <c r="CF996" s="946">
        <f t="shared" si="188"/>
        <v>3799255.1999999997</v>
      </c>
    </row>
    <row r="997" spans="1:84">
      <c r="A997" s="1032"/>
      <c r="B997" s="839" t="s">
        <v>98</v>
      </c>
      <c r="C997" s="839" t="s">
        <v>3454</v>
      </c>
      <c r="D997" s="839" t="s">
        <v>3534</v>
      </c>
      <c r="E997" s="839" t="s">
        <v>3534</v>
      </c>
      <c r="F997" s="841">
        <v>45577</v>
      </c>
      <c r="G997" s="840" t="s">
        <v>3456</v>
      </c>
      <c r="H997" s="842" t="s">
        <v>102</v>
      </c>
      <c r="I997" s="842" t="s">
        <v>3535</v>
      </c>
      <c r="J997" s="841"/>
      <c r="K997" s="841"/>
      <c r="L997" s="843"/>
      <c r="M997" s="844" t="s">
        <v>3458</v>
      </c>
      <c r="N997" s="841"/>
      <c r="O997" s="841" t="s">
        <v>3459</v>
      </c>
      <c r="P997" s="841" t="s">
        <v>3460</v>
      </c>
      <c r="Q997" s="843"/>
      <c r="R997" s="845" t="s">
        <v>3545</v>
      </c>
      <c r="S997" s="1127" t="s">
        <v>3546</v>
      </c>
      <c r="T997" s="843" t="s">
        <v>3547</v>
      </c>
      <c r="U997" s="842">
        <v>24</v>
      </c>
      <c r="V997" s="842" t="s">
        <v>8</v>
      </c>
      <c r="W997" s="846">
        <v>8.5</v>
      </c>
      <c r="X997" s="847">
        <f t="shared" si="180"/>
        <v>204</v>
      </c>
      <c r="Y997" s="848">
        <v>0</v>
      </c>
      <c r="Z997" s="849">
        <v>8.5</v>
      </c>
      <c r="AA997" s="849"/>
      <c r="AB997" s="849">
        <f t="shared" si="181"/>
        <v>204</v>
      </c>
      <c r="AC997" s="850">
        <f t="shared" si="182"/>
        <v>204</v>
      </c>
      <c r="AD997" s="851"/>
      <c r="AE997" s="852">
        <v>25194</v>
      </c>
      <c r="AF997" s="853">
        <v>0</v>
      </c>
      <c r="AG997" s="854">
        <f t="shared" si="183"/>
        <v>0</v>
      </c>
      <c r="AH997" s="853">
        <v>0.1</v>
      </c>
      <c r="AI997" s="855">
        <f t="shared" si="184"/>
        <v>513957.60000000003</v>
      </c>
      <c r="AJ997" s="845" t="s">
        <v>3539</v>
      </c>
      <c r="AK997" s="857">
        <v>45809</v>
      </c>
      <c r="AL997" s="840" t="s">
        <v>3540</v>
      </c>
      <c r="AM997" s="840"/>
      <c r="AN997" s="858"/>
      <c r="AO997" s="844"/>
      <c r="AP997" s="859">
        <v>45992</v>
      </c>
      <c r="AQ997" s="859"/>
      <c r="AR997" s="859" t="s">
        <v>3541</v>
      </c>
      <c r="AS997" s="840"/>
      <c r="AT997" s="840"/>
      <c r="AU997" s="860" t="s">
        <v>1311</v>
      </c>
      <c r="AV997" s="839" t="s">
        <v>3542</v>
      </c>
      <c r="AW997" s="861">
        <v>45673</v>
      </c>
      <c r="AX997" s="862">
        <v>45674</v>
      </c>
      <c r="AY997" s="843"/>
      <c r="AZ997" s="842"/>
      <c r="BA997" s="842" t="s">
        <v>120</v>
      </c>
      <c r="BB997" s="863" t="s">
        <v>121</v>
      </c>
      <c r="BC997" s="864">
        <v>45674</v>
      </c>
      <c r="BD997" s="860" t="s">
        <v>3544</v>
      </c>
      <c r="BE997" s="865" cm="1">
        <f t="array" ref="BE997">IF(BD997="","",AC997/SUMPRODUCT(--(BD997=$BD$4:$BD$12824),$AC$4:$AC$12824))</f>
        <v>4.2179087443037555E-2</v>
      </c>
      <c r="BF997" s="458"/>
      <c r="BG997" s="458"/>
      <c r="BH997" s="458"/>
      <c r="BI997" s="458"/>
      <c r="BJ997" s="458"/>
      <c r="BK997" s="458"/>
      <c r="BL997" s="458"/>
      <c r="BM997" s="458"/>
      <c r="BN997" s="458"/>
      <c r="BO997" s="866">
        <f>VLOOKUP(BD997,$BD$4:$BN$12824,3,0)*BE997</f>
        <v>233846.47060283012</v>
      </c>
      <c r="BP997" s="866"/>
      <c r="BQ997" s="866"/>
      <c r="BR997" s="866">
        <f>VLOOKUP(BD997,$BD$4:$BN$12824,6,0)*BE997</f>
        <v>75434.329733867402</v>
      </c>
      <c r="BS997" s="866">
        <f>VLOOKUP(BD997,$BD$4:$BN$12824,7,0)*BE997</f>
        <v>10544.771860759389</v>
      </c>
      <c r="BT997" s="866"/>
      <c r="BU997" s="866">
        <f>VLOOKUP(BD997,$BD$4:$BN$12824,9,0)*BE997</f>
        <v>0</v>
      </c>
      <c r="BV997" s="867"/>
      <c r="BW997" s="867">
        <f>VLOOKUP(BD997,$BD$4:$BN$12824,11,0)*BE997</f>
        <v>25307.452465822535</v>
      </c>
      <c r="BX997" s="1146">
        <f t="shared" si="185"/>
        <v>345133.02466327942</v>
      </c>
      <c r="BY997" s="867">
        <f t="shared" si="189"/>
        <v>228529.54269430332</v>
      </c>
      <c r="BZ997" s="867">
        <f t="shared" si="186"/>
        <v>5484709.0246632798</v>
      </c>
      <c r="CA997" s="867">
        <f>_xlfn.MAXIFS($BY$4:$BY$12824,$S$4:$S$12824,$S997)</f>
        <v>228529.54269430332</v>
      </c>
      <c r="CB997" s="1032"/>
      <c r="CF997" s="946">
        <f t="shared" si="188"/>
        <v>5139576</v>
      </c>
    </row>
    <row r="998" spans="1:84">
      <c r="A998" s="1032"/>
      <c r="B998" s="839" t="s">
        <v>98</v>
      </c>
      <c r="C998" s="839" t="s">
        <v>3454</v>
      </c>
      <c r="D998" s="839" t="s">
        <v>3534</v>
      </c>
      <c r="E998" s="839" t="s">
        <v>3534</v>
      </c>
      <c r="F998" s="841">
        <v>45577</v>
      </c>
      <c r="G998" s="840" t="s">
        <v>3456</v>
      </c>
      <c r="H998" s="842" t="s">
        <v>102</v>
      </c>
      <c r="I998" s="842" t="s">
        <v>3535</v>
      </c>
      <c r="J998" s="841"/>
      <c r="K998" s="841"/>
      <c r="L998" s="843"/>
      <c r="M998" s="844" t="s">
        <v>3458</v>
      </c>
      <c r="N998" s="841"/>
      <c r="O998" s="841" t="s">
        <v>3459</v>
      </c>
      <c r="P998" s="841" t="s">
        <v>3548</v>
      </c>
      <c r="Q998" s="843"/>
      <c r="R998" s="845" t="s">
        <v>3549</v>
      </c>
      <c r="S998" s="1127" t="s">
        <v>3549</v>
      </c>
      <c r="T998" s="843" t="s">
        <v>3550</v>
      </c>
      <c r="U998" s="842">
        <v>8</v>
      </c>
      <c r="V998" s="842" t="s">
        <v>8</v>
      </c>
      <c r="W998" s="846">
        <v>51.68</v>
      </c>
      <c r="X998" s="847">
        <f t="shared" si="180"/>
        <v>413.44</v>
      </c>
      <c r="Y998" s="848">
        <v>0</v>
      </c>
      <c r="Z998" s="849">
        <v>51.68</v>
      </c>
      <c r="AA998" s="849"/>
      <c r="AB998" s="849">
        <f t="shared" si="181"/>
        <v>413.44</v>
      </c>
      <c r="AC998" s="850">
        <f t="shared" si="182"/>
        <v>413.44</v>
      </c>
      <c r="AD998" s="851"/>
      <c r="AE998" s="852">
        <v>25194</v>
      </c>
      <c r="AF998" s="853">
        <v>0</v>
      </c>
      <c r="AG998" s="854">
        <f t="shared" si="183"/>
        <v>0</v>
      </c>
      <c r="AH998" s="853">
        <v>0.1</v>
      </c>
      <c r="AI998" s="855">
        <f t="shared" si="184"/>
        <v>1041620.736</v>
      </c>
      <c r="AJ998" s="845" t="s">
        <v>3539</v>
      </c>
      <c r="AK998" s="857">
        <v>45809</v>
      </c>
      <c r="AL998" s="840" t="s">
        <v>3540</v>
      </c>
      <c r="AM998" s="840"/>
      <c r="AN998" s="858"/>
      <c r="AO998" s="844"/>
      <c r="AP998" s="859">
        <v>45992</v>
      </c>
      <c r="AQ998" s="859"/>
      <c r="AR998" s="859" t="s">
        <v>3541</v>
      </c>
      <c r="AS998" s="840"/>
      <c r="AT998" s="840"/>
      <c r="AU998" s="860" t="s">
        <v>1311</v>
      </c>
      <c r="AV998" s="839" t="s">
        <v>3542</v>
      </c>
      <c r="AW998" s="861">
        <v>45673</v>
      </c>
      <c r="AX998" s="862">
        <v>45674</v>
      </c>
      <c r="AY998" s="843"/>
      <c r="AZ998" s="842"/>
      <c r="BA998" s="842" t="s">
        <v>120</v>
      </c>
      <c r="BB998" s="863" t="s">
        <v>121</v>
      </c>
      <c r="BC998" s="864">
        <v>45674</v>
      </c>
      <c r="BD998" s="860" t="s">
        <v>3544</v>
      </c>
      <c r="BE998" s="865" cm="1">
        <f t="array" ref="BE998">IF(BD998="","",AC998/SUMPRODUCT(--(BD998=$BD$4:$BD$12824),$AC$4:$AC$12824))</f>
        <v>8.5482950551222778E-2</v>
      </c>
      <c r="BF998" s="458"/>
      <c r="BG998" s="458"/>
      <c r="BH998" s="458"/>
      <c r="BI998" s="458"/>
      <c r="BJ998" s="458"/>
      <c r="BK998" s="458"/>
      <c r="BL998" s="458"/>
      <c r="BM998" s="458"/>
      <c r="BN998" s="458"/>
      <c r="BO998" s="866">
        <f>VLOOKUP(BD998,$BD$4:$BN$12824,3,0)*BE998</f>
        <v>473928.84708840237</v>
      </c>
      <c r="BP998" s="866"/>
      <c r="BQ998" s="866"/>
      <c r="BR998" s="866">
        <f>VLOOKUP(BD998,$BD$4:$BN$12824,6,0)*BE998</f>
        <v>152880.24159397127</v>
      </c>
      <c r="BS998" s="866">
        <f>VLOOKUP(BD998,$BD$4:$BN$12824,7,0)*BE998</f>
        <v>21370.737637805694</v>
      </c>
      <c r="BT998" s="866"/>
      <c r="BU998" s="866">
        <f>VLOOKUP(BD998,$BD$4:$BN$12824,9,0)*BE998</f>
        <v>0</v>
      </c>
      <c r="BV998" s="867"/>
      <c r="BW998" s="867">
        <f>VLOOKUP(BD998,$BD$4:$BN$12824,11,0)*BE998</f>
        <v>51289.770330733663</v>
      </c>
      <c r="BX998" s="1146">
        <f t="shared" si="185"/>
        <v>699469.59665091289</v>
      </c>
      <c r="BY998" s="867">
        <f t="shared" si="189"/>
        <v>1389459.6195813641</v>
      </c>
      <c r="BZ998" s="867">
        <f t="shared" si="186"/>
        <v>11115676.956650913</v>
      </c>
      <c r="CA998" s="867">
        <f>_xlfn.MAXIFS($BY$4:$BY$12824,$S$4:$S$12824,$S998)</f>
        <v>1389459.6195813641</v>
      </c>
      <c r="CB998" s="1032"/>
      <c r="CF998" s="946">
        <f t="shared" si="188"/>
        <v>10416207.359999999</v>
      </c>
    </row>
    <row r="999" spans="1:84">
      <c r="A999" s="1032"/>
      <c r="B999" s="839" t="s">
        <v>98</v>
      </c>
      <c r="C999" s="839" t="s">
        <v>3454</v>
      </c>
      <c r="D999" s="839" t="s">
        <v>3534</v>
      </c>
      <c r="E999" s="839" t="s">
        <v>3534</v>
      </c>
      <c r="F999" s="841">
        <v>45577</v>
      </c>
      <c r="G999" s="840" t="s">
        <v>3456</v>
      </c>
      <c r="H999" s="842" t="s">
        <v>102</v>
      </c>
      <c r="I999" s="842" t="s">
        <v>3535</v>
      </c>
      <c r="J999" s="841"/>
      <c r="K999" s="841"/>
      <c r="L999" s="843"/>
      <c r="M999" s="844" t="s">
        <v>3458</v>
      </c>
      <c r="N999" s="841"/>
      <c r="O999" s="841" t="s">
        <v>3459</v>
      </c>
      <c r="P999" s="841" t="s">
        <v>3548</v>
      </c>
      <c r="Q999" s="843"/>
      <c r="R999" s="845" t="s">
        <v>3551</v>
      </c>
      <c r="S999" s="1127" t="s">
        <v>3551</v>
      </c>
      <c r="T999" s="843" t="s">
        <v>3552</v>
      </c>
      <c r="U999" s="842">
        <v>53</v>
      </c>
      <c r="V999" s="842" t="s">
        <v>8</v>
      </c>
      <c r="W999" s="846">
        <v>59.56</v>
      </c>
      <c r="X999" s="847">
        <f t="shared" si="180"/>
        <v>3156.6800000000003</v>
      </c>
      <c r="Y999" s="848">
        <v>0</v>
      </c>
      <c r="Z999" s="849">
        <v>59.56</v>
      </c>
      <c r="AA999" s="849"/>
      <c r="AB999" s="849">
        <f t="shared" si="181"/>
        <v>3156.6800000000003</v>
      </c>
      <c r="AC999" s="850">
        <f t="shared" si="182"/>
        <v>3156.6800000000003</v>
      </c>
      <c r="AD999" s="851"/>
      <c r="AE999" s="852">
        <v>25194</v>
      </c>
      <c r="AF999" s="853">
        <v>0</v>
      </c>
      <c r="AG999" s="854">
        <f t="shared" si="183"/>
        <v>0</v>
      </c>
      <c r="AH999" s="853">
        <v>0.1</v>
      </c>
      <c r="AI999" s="855">
        <f t="shared" si="184"/>
        <v>7952939.5920000002</v>
      </c>
      <c r="AJ999" s="845" t="s">
        <v>3539</v>
      </c>
      <c r="AK999" s="857">
        <v>45809</v>
      </c>
      <c r="AL999" s="840" t="s">
        <v>3540</v>
      </c>
      <c r="AM999" s="840"/>
      <c r="AN999" s="858"/>
      <c r="AO999" s="844"/>
      <c r="AP999" s="859">
        <v>45992</v>
      </c>
      <c r="AQ999" s="859"/>
      <c r="AR999" s="859" t="s">
        <v>3541</v>
      </c>
      <c r="AS999" s="840"/>
      <c r="AT999" s="840"/>
      <c r="AU999" s="860" t="s">
        <v>1311</v>
      </c>
      <c r="AV999" s="839" t="s">
        <v>3542</v>
      </c>
      <c r="AW999" s="861">
        <v>45673</v>
      </c>
      <c r="AX999" s="862">
        <v>45674</v>
      </c>
      <c r="AY999" s="843"/>
      <c r="AZ999" s="842"/>
      <c r="BA999" s="842" t="s">
        <v>120</v>
      </c>
      <c r="BB999" s="863" t="s">
        <v>121</v>
      </c>
      <c r="BC999" s="864">
        <v>45674</v>
      </c>
      <c r="BD999" s="860" t="s">
        <v>3544</v>
      </c>
      <c r="BE999" s="865" cm="1">
        <f t="array" ref="BE999">IF(BD999="","",AC999/SUMPRODUCT(--(BD999=$BD$4:$BD$12824),$AC$4:$AC$12824))</f>
        <v>0.65267589092984213</v>
      </c>
      <c r="BF999" s="458"/>
      <c r="BG999" s="458"/>
      <c r="BH999" s="458"/>
      <c r="BI999" s="458"/>
      <c r="BJ999" s="458"/>
      <c r="BK999" s="458"/>
      <c r="BL999" s="458"/>
      <c r="BM999" s="458"/>
      <c r="BN999" s="458"/>
      <c r="BO999" s="866">
        <f>VLOOKUP(BD999,$BD$4:$BN$12824,3,0)*BE999</f>
        <v>3618521.9452085383</v>
      </c>
      <c r="BP999" s="866"/>
      <c r="BQ999" s="866"/>
      <c r="BR999" s="866">
        <f>VLOOKUP(BD999,$BD$4:$BN$12824,6,0)*BE999</f>
        <v>1167264.9018838459</v>
      </c>
      <c r="BS999" s="866">
        <f>VLOOKUP(BD999,$BD$4:$BN$12824,7,0)*BE999</f>
        <v>163168.97273246053</v>
      </c>
      <c r="BT999" s="866"/>
      <c r="BU999" s="866">
        <f>VLOOKUP(BD999,$BD$4:$BN$12824,9,0)*BE999</f>
        <v>0</v>
      </c>
      <c r="BV999" s="867"/>
      <c r="BW999" s="867">
        <f>VLOOKUP(BD999,$BD$4:$BN$12824,11,0)*BE999</f>
        <v>391605.53455790528</v>
      </c>
      <c r="BX999" s="1146">
        <f t="shared" si="185"/>
        <v>5340561.3543827496</v>
      </c>
      <c r="BY999" s="867">
        <f t="shared" si="189"/>
        <v>1601319.9485732596</v>
      </c>
      <c r="BZ999" s="867">
        <f t="shared" si="186"/>
        <v>84869957.274382755</v>
      </c>
      <c r="CA999" s="867">
        <f>_xlfn.MAXIFS($BY$4:$BY$12824,$S$4:$S$12824,$S999)</f>
        <v>1601319.9485732596</v>
      </c>
      <c r="CB999" s="1032"/>
      <c r="CF999" s="946">
        <f t="shared" si="188"/>
        <v>79529395.920000002</v>
      </c>
    </row>
    <row r="1000" spans="1:84">
      <c r="A1000" s="1032"/>
      <c r="B1000" s="839" t="s">
        <v>98</v>
      </c>
      <c r="C1000" s="839" t="s">
        <v>3454</v>
      </c>
      <c r="D1000" s="839" t="s">
        <v>3534</v>
      </c>
      <c r="E1000" s="839" t="s">
        <v>3534</v>
      </c>
      <c r="F1000" s="841">
        <v>45577</v>
      </c>
      <c r="G1000" s="840" t="s">
        <v>3456</v>
      </c>
      <c r="H1000" s="842" t="s">
        <v>102</v>
      </c>
      <c r="I1000" s="842" t="s">
        <v>3535</v>
      </c>
      <c r="J1000" s="841"/>
      <c r="K1000" s="841"/>
      <c r="L1000" s="843"/>
      <c r="M1000" s="844" t="s">
        <v>3458</v>
      </c>
      <c r="N1000" s="841"/>
      <c r="O1000" s="841" t="s">
        <v>1100</v>
      </c>
      <c r="P1000" s="841" t="s">
        <v>124</v>
      </c>
      <c r="Q1000" s="843"/>
      <c r="R1000" s="845" t="s">
        <v>3553</v>
      </c>
      <c r="S1000" s="1127" t="s">
        <v>3553</v>
      </c>
      <c r="T1000" s="843" t="s">
        <v>3554</v>
      </c>
      <c r="U1000" s="842">
        <v>60</v>
      </c>
      <c r="V1000" s="842" t="s">
        <v>8</v>
      </c>
      <c r="W1000" s="846">
        <v>1.46</v>
      </c>
      <c r="X1000" s="847">
        <f t="shared" si="180"/>
        <v>87.6</v>
      </c>
      <c r="Y1000" s="848">
        <v>0</v>
      </c>
      <c r="Z1000" s="849">
        <v>1.46</v>
      </c>
      <c r="AA1000" s="849"/>
      <c r="AB1000" s="849">
        <f t="shared" si="181"/>
        <v>87.6</v>
      </c>
      <c r="AC1000" s="850">
        <f t="shared" si="182"/>
        <v>87.6</v>
      </c>
      <c r="AD1000" s="851"/>
      <c r="AE1000" s="852">
        <v>25194</v>
      </c>
      <c r="AF1000" s="853">
        <v>0</v>
      </c>
      <c r="AG1000" s="854">
        <f t="shared" si="183"/>
        <v>0</v>
      </c>
      <c r="AH1000" s="853">
        <v>0.1</v>
      </c>
      <c r="AI1000" s="855">
        <f t="shared" si="184"/>
        <v>220699.44</v>
      </c>
      <c r="AJ1000" s="845" t="s">
        <v>3539</v>
      </c>
      <c r="AK1000" s="857">
        <v>45809</v>
      </c>
      <c r="AL1000" s="840" t="s">
        <v>3540</v>
      </c>
      <c r="AM1000" s="840"/>
      <c r="AN1000" s="858"/>
      <c r="AO1000" s="844"/>
      <c r="AP1000" s="859">
        <v>45992</v>
      </c>
      <c r="AQ1000" s="859"/>
      <c r="AR1000" s="859" t="s">
        <v>3541</v>
      </c>
      <c r="AS1000" s="840"/>
      <c r="AT1000" s="840"/>
      <c r="AU1000" s="860" t="s">
        <v>1311</v>
      </c>
      <c r="AV1000" s="839" t="s">
        <v>3542</v>
      </c>
      <c r="AW1000" s="861">
        <v>45673</v>
      </c>
      <c r="AX1000" s="862">
        <v>45674</v>
      </c>
      <c r="AY1000" s="843"/>
      <c r="AZ1000" s="842"/>
      <c r="BA1000" s="842" t="s">
        <v>120</v>
      </c>
      <c r="BB1000" s="863" t="s">
        <v>121</v>
      </c>
      <c r="BC1000" s="864">
        <v>45674</v>
      </c>
      <c r="BD1000" s="860" t="s">
        <v>3544</v>
      </c>
      <c r="BE1000" s="865" cm="1">
        <f t="array" ref="BE1000">IF(BD1000="","",AC1000/SUMPRODUCT(--(BD1000=$BD$4:$BD$12824),$AC$4:$AC$12824))</f>
        <v>1.8112196372598477E-2</v>
      </c>
      <c r="BF1000" s="458"/>
      <c r="BG1000" s="458"/>
      <c r="BH1000" s="458"/>
      <c r="BI1000" s="458"/>
      <c r="BJ1000" s="458"/>
      <c r="BK1000" s="458"/>
      <c r="BL1000" s="458"/>
      <c r="BM1000" s="458"/>
      <c r="BN1000" s="458"/>
      <c r="BO1000" s="866">
        <f>VLOOKUP(BD1000,$BD$4:$BN$12824,3,0)*BE1000</f>
        <v>100416.42561180351</v>
      </c>
      <c r="BP1000" s="866"/>
      <c r="BQ1000" s="866"/>
      <c r="BR1000" s="866">
        <f>VLOOKUP(BD1000,$BD$4:$BN$12824,6,0)*BE1000</f>
        <v>32392.388650425411</v>
      </c>
      <c r="BS1000" s="866">
        <f>VLOOKUP(BD1000,$BD$4:$BN$12824,7,0)*BE1000</f>
        <v>4528.0490931496188</v>
      </c>
      <c r="BT1000" s="866"/>
      <c r="BU1000" s="866">
        <f>VLOOKUP(BD1000,$BD$4:$BN$12824,9,0)*BE1000</f>
        <v>0</v>
      </c>
      <c r="BV1000" s="867"/>
      <c r="BW1000" s="867">
        <f>VLOOKUP(BD1000,$BD$4:$BN$12824,11,0)*BE1000</f>
        <v>10867.317823559086</v>
      </c>
      <c r="BX1000" s="1146">
        <f t="shared" si="185"/>
        <v>148204.18117893764</v>
      </c>
      <c r="BY1000" s="867">
        <f t="shared" si="189"/>
        <v>39253.309686315624</v>
      </c>
      <c r="BZ1000" s="867">
        <f t="shared" si="186"/>
        <v>2355198.5811789376</v>
      </c>
      <c r="CA1000" s="867">
        <f>_xlfn.MAXIFS($BY$4:$BY$12824,$S$4:$S$12824,$S1000)</f>
        <v>76843.962198704772</v>
      </c>
      <c r="CB1000" s="1032"/>
      <c r="CF1000" s="946">
        <f t="shared" si="188"/>
        <v>2206994.4</v>
      </c>
    </row>
    <row r="1001" spans="1:84">
      <c r="A1001" s="1032"/>
      <c r="B1001" s="839" t="s">
        <v>98</v>
      </c>
      <c r="C1001" s="839" t="s">
        <v>3454</v>
      </c>
      <c r="D1001" s="839" t="s">
        <v>3534</v>
      </c>
      <c r="E1001" s="839" t="s">
        <v>3534</v>
      </c>
      <c r="F1001" s="841">
        <v>45577</v>
      </c>
      <c r="G1001" s="840" t="s">
        <v>3456</v>
      </c>
      <c r="H1001" s="842" t="s">
        <v>102</v>
      </c>
      <c r="I1001" s="842" t="s">
        <v>3535</v>
      </c>
      <c r="J1001" s="841"/>
      <c r="K1001" s="841"/>
      <c r="L1001" s="843"/>
      <c r="M1001" s="844" t="s">
        <v>3458</v>
      </c>
      <c r="N1001" s="841"/>
      <c r="O1001" s="841" t="s">
        <v>1100</v>
      </c>
      <c r="P1001" s="841" t="s">
        <v>124</v>
      </c>
      <c r="Q1001" s="843"/>
      <c r="R1001" s="845" t="s">
        <v>3555</v>
      </c>
      <c r="S1001" s="1127" t="s">
        <v>3555</v>
      </c>
      <c r="T1001" s="843" t="s">
        <v>3556</v>
      </c>
      <c r="U1001" s="842">
        <v>20</v>
      </c>
      <c r="V1001" s="842" t="s">
        <v>8</v>
      </c>
      <c r="W1001" s="846">
        <v>1.45</v>
      </c>
      <c r="X1001" s="847">
        <f t="shared" si="180"/>
        <v>29</v>
      </c>
      <c r="Y1001" s="848">
        <v>0</v>
      </c>
      <c r="Z1001" s="849">
        <v>1.45</v>
      </c>
      <c r="AA1001" s="849"/>
      <c r="AB1001" s="849">
        <f t="shared" si="181"/>
        <v>29</v>
      </c>
      <c r="AC1001" s="850">
        <f t="shared" si="182"/>
        <v>29</v>
      </c>
      <c r="AD1001" s="851"/>
      <c r="AE1001" s="852">
        <v>25194</v>
      </c>
      <c r="AF1001" s="853">
        <v>0</v>
      </c>
      <c r="AG1001" s="854">
        <f t="shared" si="183"/>
        <v>0</v>
      </c>
      <c r="AH1001" s="853">
        <v>0.1</v>
      </c>
      <c r="AI1001" s="855">
        <f t="shared" si="184"/>
        <v>73062.600000000006</v>
      </c>
      <c r="AJ1001" s="845" t="s">
        <v>3539</v>
      </c>
      <c r="AK1001" s="857">
        <v>45809</v>
      </c>
      <c r="AL1001" s="840" t="s">
        <v>3540</v>
      </c>
      <c r="AM1001" s="840"/>
      <c r="AN1001" s="858"/>
      <c r="AO1001" s="844"/>
      <c r="AP1001" s="859">
        <v>45992</v>
      </c>
      <c r="AQ1001" s="859"/>
      <c r="AR1001" s="859" t="s">
        <v>3541</v>
      </c>
      <c r="AS1001" s="840"/>
      <c r="AT1001" s="840"/>
      <c r="AU1001" s="860" t="s">
        <v>1311</v>
      </c>
      <c r="AV1001" s="839" t="s">
        <v>3542</v>
      </c>
      <c r="AW1001" s="861">
        <v>45673</v>
      </c>
      <c r="AX1001" s="862">
        <v>45674</v>
      </c>
      <c r="AY1001" s="843"/>
      <c r="AZ1001" s="842"/>
      <c r="BA1001" s="842" t="s">
        <v>120</v>
      </c>
      <c r="BB1001" s="863" t="s">
        <v>121</v>
      </c>
      <c r="BC1001" s="864">
        <v>45674</v>
      </c>
      <c r="BD1001" s="860" t="s">
        <v>3544</v>
      </c>
      <c r="BE1001" s="865" cm="1">
        <f t="array" ref="BE1001">IF(BD1001="","",AC1001/SUMPRODUCT(--(BD1001=$BD$4:$BD$12824),$AC$4:$AC$12824))</f>
        <v>5.9960467443533772E-3</v>
      </c>
      <c r="BF1001" s="458"/>
      <c r="BG1001" s="458"/>
      <c r="BH1001" s="458"/>
      <c r="BI1001" s="458"/>
      <c r="BJ1001" s="458"/>
      <c r="BK1001" s="458"/>
      <c r="BL1001" s="458"/>
      <c r="BM1001" s="458"/>
      <c r="BN1001" s="458"/>
      <c r="BO1001" s="866">
        <f>VLOOKUP(BD1001,$BD$4:$BN$12824,3,0)*BE1001</f>
        <v>33242.880624912119</v>
      </c>
      <c r="BP1001" s="866"/>
      <c r="BQ1001" s="866"/>
      <c r="BR1001" s="866">
        <f>VLOOKUP(BD1001,$BD$4:$BN$12824,6,0)*BE1001</f>
        <v>10723.507658245855</v>
      </c>
      <c r="BS1001" s="866">
        <f>VLOOKUP(BD1001,$BD$4:$BN$12824,7,0)*BE1001</f>
        <v>1499.0116860883443</v>
      </c>
      <c r="BT1001" s="866"/>
      <c r="BU1001" s="866">
        <f>VLOOKUP(BD1001,$BD$4:$BN$12824,9,0)*BE1001</f>
        <v>0</v>
      </c>
      <c r="BV1001" s="867"/>
      <c r="BW1001" s="867">
        <f>VLOOKUP(BD1001,$BD$4:$BN$12824,11,0)*BE1001</f>
        <v>3597.6280466120265</v>
      </c>
      <c r="BX1001" s="1146">
        <f t="shared" si="185"/>
        <v>49063.028015858348</v>
      </c>
      <c r="BY1001" s="867">
        <f t="shared" si="189"/>
        <v>38984.451400792917</v>
      </c>
      <c r="BZ1001" s="867">
        <f t="shared" si="186"/>
        <v>779689.02801585838</v>
      </c>
      <c r="CA1001" s="867">
        <f>_xlfn.MAXIFS($BY$4:$BY$12824,$S$4:$S$12824,$S1001)</f>
        <v>38984.451400792917</v>
      </c>
      <c r="CB1001" s="1032"/>
      <c r="CF1001" s="946">
        <f t="shared" si="188"/>
        <v>730626</v>
      </c>
    </row>
    <row r="1002" spans="1:84">
      <c r="A1002" s="1032"/>
      <c r="B1002" s="839" t="s">
        <v>98</v>
      </c>
      <c r="C1002" s="839" t="s">
        <v>3454</v>
      </c>
      <c r="D1002" s="839" t="s">
        <v>3534</v>
      </c>
      <c r="E1002" s="839" t="s">
        <v>3534</v>
      </c>
      <c r="F1002" s="841">
        <v>45577</v>
      </c>
      <c r="G1002" s="840" t="s">
        <v>3456</v>
      </c>
      <c r="H1002" s="842" t="s">
        <v>134</v>
      </c>
      <c r="I1002" s="842"/>
      <c r="J1002" s="841"/>
      <c r="K1002" s="841"/>
      <c r="L1002" s="843"/>
      <c r="M1002" s="844" t="s">
        <v>3458</v>
      </c>
      <c r="N1002" s="841"/>
      <c r="O1002" s="841" t="s">
        <v>3459</v>
      </c>
      <c r="P1002" s="841" t="s">
        <v>3460</v>
      </c>
      <c r="Q1002" s="843"/>
      <c r="R1002" s="845" t="s">
        <v>3557</v>
      </c>
      <c r="S1002" s="1127" t="s">
        <v>3557</v>
      </c>
      <c r="T1002" s="843" t="s">
        <v>3558</v>
      </c>
      <c r="U1002" s="842">
        <v>50</v>
      </c>
      <c r="V1002" s="842" t="s">
        <v>8</v>
      </c>
      <c r="W1002" s="846">
        <v>15.9</v>
      </c>
      <c r="X1002" s="847">
        <f t="shared" si="180"/>
        <v>795</v>
      </c>
      <c r="Y1002" s="848">
        <v>0</v>
      </c>
      <c r="Z1002" s="849">
        <v>15.9</v>
      </c>
      <c r="AA1002" s="849"/>
      <c r="AB1002" s="849">
        <f t="shared" si="181"/>
        <v>795</v>
      </c>
      <c r="AC1002" s="850">
        <f t="shared" si="182"/>
        <v>795</v>
      </c>
      <c r="AD1002" s="851"/>
      <c r="AE1002" s="852">
        <v>25194</v>
      </c>
      <c r="AF1002" s="853">
        <v>0</v>
      </c>
      <c r="AG1002" s="854">
        <f t="shared" si="183"/>
        <v>0</v>
      </c>
      <c r="AH1002" s="853">
        <v>0.1</v>
      </c>
      <c r="AI1002" s="855">
        <f t="shared" si="184"/>
        <v>2002923</v>
      </c>
      <c r="AJ1002" s="845" t="s">
        <v>3539</v>
      </c>
      <c r="AK1002" s="857">
        <v>45809</v>
      </c>
      <c r="AL1002" s="840" t="s">
        <v>3540</v>
      </c>
      <c r="AM1002" s="840"/>
      <c r="AN1002" s="858"/>
      <c r="AO1002" s="844"/>
      <c r="AP1002" s="859">
        <v>45992</v>
      </c>
      <c r="AQ1002" s="859"/>
      <c r="AR1002" s="859" t="s">
        <v>3541</v>
      </c>
      <c r="AS1002" s="840"/>
      <c r="AT1002" s="840"/>
      <c r="AU1002" s="860" t="s">
        <v>1311</v>
      </c>
      <c r="AV1002" s="839" t="s">
        <v>3542</v>
      </c>
      <c r="AW1002" s="861">
        <v>45673</v>
      </c>
      <c r="AX1002" s="862">
        <v>45674</v>
      </c>
      <c r="AY1002" s="843"/>
      <c r="AZ1002" s="842"/>
      <c r="BA1002" s="842" t="s">
        <v>120</v>
      </c>
      <c r="BB1002" s="863" t="s">
        <v>121</v>
      </c>
      <c r="BC1002" s="864">
        <v>45674</v>
      </c>
      <c r="BD1002" s="860" t="s">
        <v>3544</v>
      </c>
      <c r="BE1002" s="865" cm="1">
        <f t="array" ref="BE1002">IF(BD1002="","",AC1002/SUMPRODUCT(--(BD1002=$BD$4:$BD$12824),$AC$4:$AC$12824))</f>
        <v>0.16437438488830811</v>
      </c>
      <c r="BF1002" s="458"/>
      <c r="BG1002" s="458"/>
      <c r="BH1002" s="458"/>
      <c r="BI1002" s="458"/>
      <c r="BJ1002" s="458"/>
      <c r="BK1002" s="458"/>
      <c r="BL1002" s="458"/>
      <c r="BM1002" s="458"/>
      <c r="BN1002" s="458"/>
      <c r="BO1002" s="866">
        <f>VLOOKUP(BD1002,$BD$4:$BN$12824,3,0)*BE1002</f>
        <v>911313.45161397033</v>
      </c>
      <c r="BP1002" s="866"/>
      <c r="BQ1002" s="866"/>
      <c r="BR1002" s="866">
        <f>VLOOKUP(BD1002,$BD$4:$BN$12824,6,0)*BE1002</f>
        <v>293972.02028639504</v>
      </c>
      <c r="BS1002" s="866">
        <f>VLOOKUP(BD1002,$BD$4:$BN$12824,7,0)*BE1002</f>
        <v>41093.596222077023</v>
      </c>
      <c r="BT1002" s="866"/>
      <c r="BU1002" s="866">
        <f>VLOOKUP(BD1002,$BD$4:$BN$12824,9,0)*BE1002</f>
        <v>0</v>
      </c>
      <c r="BV1002" s="867"/>
      <c r="BW1002" s="867">
        <f>VLOOKUP(BD1002,$BD$4:$BN$12824,11,0)*BE1002</f>
        <v>98624.630932984859</v>
      </c>
      <c r="BX1002" s="1146">
        <f t="shared" si="185"/>
        <v>1345003.6990554272</v>
      </c>
      <c r="BY1002" s="867">
        <f t="shared" si="189"/>
        <v>427484.67398110853</v>
      </c>
      <c r="BZ1002" s="867">
        <f t="shared" si="186"/>
        <v>21374233.699055426</v>
      </c>
      <c r="CA1002" s="867">
        <f>_xlfn.MAXIFS($BY$4:$BY$12824,$S$4:$S$12824,$S1002)</f>
        <v>427484.67398110853</v>
      </c>
      <c r="CB1002" s="1032"/>
      <c r="CF1002" s="946">
        <f t="shared" si="188"/>
        <v>20029230</v>
      </c>
    </row>
    <row r="1003" spans="1:84">
      <c r="A1003" s="1032"/>
      <c r="B1003" s="839" t="s">
        <v>98</v>
      </c>
      <c r="C1003" s="839" t="s">
        <v>3454</v>
      </c>
      <c r="D1003" s="839" t="s">
        <v>3559</v>
      </c>
      <c r="E1003" s="839" t="s">
        <v>3559</v>
      </c>
      <c r="F1003" s="841">
        <v>45681</v>
      </c>
      <c r="G1003" s="840" t="s">
        <v>3456</v>
      </c>
      <c r="H1003" s="842" t="s">
        <v>102</v>
      </c>
      <c r="I1003" s="842" t="s">
        <v>3560</v>
      </c>
      <c r="J1003" s="841" t="s">
        <v>3561</v>
      </c>
      <c r="K1003" s="841">
        <v>45691</v>
      </c>
      <c r="L1003" s="843" t="s">
        <v>106</v>
      </c>
      <c r="M1003" s="844" t="s">
        <v>3458</v>
      </c>
      <c r="N1003" s="841"/>
      <c r="O1003" s="841" t="s">
        <v>3459</v>
      </c>
      <c r="P1003" s="841" t="s">
        <v>3460</v>
      </c>
      <c r="Q1003" s="843"/>
      <c r="R1003" s="845" t="s">
        <v>3562</v>
      </c>
      <c r="S1003" s="1127" t="s">
        <v>3563</v>
      </c>
      <c r="T1003" s="843" t="s">
        <v>3564</v>
      </c>
      <c r="U1003" s="842">
        <v>16</v>
      </c>
      <c r="V1003" s="842" t="s">
        <v>8</v>
      </c>
      <c r="W1003" s="846">
        <v>9.01</v>
      </c>
      <c r="X1003" s="847">
        <f t="shared" si="180"/>
        <v>144.16</v>
      </c>
      <c r="Y1003" s="848">
        <v>0</v>
      </c>
      <c r="Z1003" s="849">
        <v>9.01</v>
      </c>
      <c r="AA1003" s="849"/>
      <c r="AB1003" s="849">
        <f t="shared" si="181"/>
        <v>144.16</v>
      </c>
      <c r="AC1003" s="850">
        <f t="shared" si="182"/>
        <v>144.16</v>
      </c>
      <c r="AD1003" s="851"/>
      <c r="AE1003" s="852">
        <v>25320</v>
      </c>
      <c r="AF1003" s="853"/>
      <c r="AG1003" s="854">
        <f t="shared" si="183"/>
        <v>0</v>
      </c>
      <c r="AH1003" s="853">
        <v>0.1</v>
      </c>
      <c r="AI1003" s="855">
        <f t="shared" si="184"/>
        <v>840278.12</v>
      </c>
      <c r="AJ1003" s="845" t="s">
        <v>3565</v>
      </c>
      <c r="AK1003" s="857">
        <v>45680</v>
      </c>
      <c r="AL1003" s="840"/>
      <c r="AM1003" s="840"/>
      <c r="AN1003" s="858"/>
      <c r="AO1003" s="844"/>
      <c r="AP1003" s="859">
        <v>45729</v>
      </c>
      <c r="AQ1003" s="859"/>
      <c r="AR1003" s="859">
        <v>45729</v>
      </c>
      <c r="AS1003" s="840"/>
      <c r="AT1003" s="840"/>
      <c r="AU1003" s="860"/>
      <c r="AV1003" s="839" t="s">
        <v>3566</v>
      </c>
      <c r="AW1003" s="861">
        <v>45734</v>
      </c>
      <c r="AX1003" s="862">
        <v>45734</v>
      </c>
      <c r="AY1003" s="843"/>
      <c r="AZ1003" s="842"/>
      <c r="BA1003" s="842" t="s">
        <v>120</v>
      </c>
      <c r="BB1003" s="863" t="s">
        <v>121</v>
      </c>
      <c r="BC1003" s="864">
        <v>45734</v>
      </c>
      <c r="BD1003" s="860" t="s">
        <v>3567</v>
      </c>
      <c r="BE1003" s="865" cm="1">
        <f t="array" ref="BE1003">IF(BD1003="","",AC1003/SUMPRODUCT(--(BD1003=$BD$4:$BD$12824),$AC$4:$AC$12824))</f>
        <v>0.11081218196073607</v>
      </c>
      <c r="BF1003" s="458">
        <v>4752650</v>
      </c>
      <c r="BG1003" s="458"/>
      <c r="BH1003" s="458"/>
      <c r="BI1003" s="458"/>
      <c r="BJ1003" s="458"/>
      <c r="BK1003" s="458"/>
      <c r="BL1003" s="458">
        <v>595</v>
      </c>
      <c r="BM1003" s="458"/>
      <c r="BN1003" s="458">
        <v>600000</v>
      </c>
      <c r="BO1003" s="866">
        <f>VLOOKUP(BD1003,$BD$4:$BN$12824,3,0)*BE1003</f>
        <v>526651.51659569226</v>
      </c>
      <c r="BP1003" s="866"/>
      <c r="BQ1003" s="866"/>
      <c r="BR1003" s="866">
        <f>VLOOKUP(BD1003,$BD$4:$BN$12824,6,0)*BE1003</f>
        <v>0</v>
      </c>
      <c r="BS1003" s="866">
        <f>VLOOKUP(BD1003,$BD$4:$BN$12824,7,0)*BE1003</f>
        <v>0</v>
      </c>
      <c r="BT1003" s="866"/>
      <c r="BU1003" s="866">
        <f>VLOOKUP(BD1003,$BD$4:$BN$12824,9,0)*BE1003</f>
        <v>65.93324826663796</v>
      </c>
      <c r="BV1003" s="867"/>
      <c r="BW1003" s="867">
        <f>VLOOKUP(BD1003,$BD$4:$BN$12824,11,0)*BE1003</f>
        <v>66487.309176441646</v>
      </c>
      <c r="BX1003" s="1146">
        <f>SUM(BO1003:BW1003)</f>
        <v>593204.75902040058</v>
      </c>
      <c r="BY1003" s="867">
        <f t="shared" si="189"/>
        <v>265208.49743877503</v>
      </c>
      <c r="BZ1003" s="867">
        <f t="shared" si="186"/>
        <v>4243335.9590204004</v>
      </c>
      <c r="CA1003" s="867">
        <f>_xlfn.MAXIFS($BY$4:$BY$12824,$S$4:$S$12824,$S1003)</f>
        <v>265208.49743877503</v>
      </c>
      <c r="CB1003" s="1032"/>
      <c r="CF1003" s="946">
        <f t="shared" si="188"/>
        <v>3650131.1999999997</v>
      </c>
    </row>
    <row r="1004" spans="1:84">
      <c r="A1004" s="1032"/>
      <c r="B1004" s="839" t="s">
        <v>98</v>
      </c>
      <c r="C1004" s="839" t="s">
        <v>3454</v>
      </c>
      <c r="D1004" s="839" t="s">
        <v>3559</v>
      </c>
      <c r="E1004" s="839" t="s">
        <v>3559</v>
      </c>
      <c r="F1004" s="841">
        <v>45681</v>
      </c>
      <c r="G1004" s="840" t="s">
        <v>3456</v>
      </c>
      <c r="H1004" s="842" t="s">
        <v>102</v>
      </c>
      <c r="I1004" s="842" t="s">
        <v>3560</v>
      </c>
      <c r="J1004" s="841" t="s">
        <v>3561</v>
      </c>
      <c r="K1004" s="841">
        <v>45691</v>
      </c>
      <c r="L1004" s="843" t="s">
        <v>106</v>
      </c>
      <c r="M1004" s="844" t="s">
        <v>3458</v>
      </c>
      <c r="N1004" s="841"/>
      <c r="O1004" s="841" t="s">
        <v>3459</v>
      </c>
      <c r="P1004" s="841" t="s">
        <v>3460</v>
      </c>
      <c r="Q1004" s="843"/>
      <c r="R1004" s="845" t="s">
        <v>3568</v>
      </c>
      <c r="S1004" s="1127" t="s">
        <v>3569</v>
      </c>
      <c r="T1004" s="843" t="s">
        <v>3570</v>
      </c>
      <c r="U1004" s="842">
        <v>6</v>
      </c>
      <c r="V1004" s="842" t="s">
        <v>8</v>
      </c>
      <c r="W1004" s="846">
        <v>10.61</v>
      </c>
      <c r="X1004" s="847">
        <f t="shared" si="180"/>
        <v>63.66</v>
      </c>
      <c r="Y1004" s="848">
        <v>0</v>
      </c>
      <c r="Z1004" s="849">
        <v>10.61</v>
      </c>
      <c r="AA1004" s="849"/>
      <c r="AB1004" s="849">
        <f t="shared" si="181"/>
        <v>63.66</v>
      </c>
      <c r="AC1004" s="850">
        <f t="shared" si="182"/>
        <v>63.66</v>
      </c>
      <c r="AD1004" s="851"/>
      <c r="AE1004" s="852">
        <v>25320</v>
      </c>
      <c r="AF1004" s="853"/>
      <c r="AG1004" s="854">
        <f t="shared" si="183"/>
        <v>0</v>
      </c>
      <c r="AH1004" s="853">
        <v>0.1</v>
      </c>
      <c r="AI1004" s="855">
        <f t="shared" si="184"/>
        <v>161187.12</v>
      </c>
      <c r="AJ1004" s="845" t="s">
        <v>3565</v>
      </c>
      <c r="AK1004" s="857">
        <v>45680</v>
      </c>
      <c r="AL1004" s="840"/>
      <c r="AM1004" s="840"/>
      <c r="AN1004" s="858"/>
      <c r="AO1004" s="844"/>
      <c r="AP1004" s="859">
        <v>45729</v>
      </c>
      <c r="AQ1004" s="859"/>
      <c r="AR1004" s="859">
        <v>45729</v>
      </c>
      <c r="AS1004" s="840"/>
      <c r="AT1004" s="840"/>
      <c r="AU1004" s="860"/>
      <c r="AV1004" s="839" t="s">
        <v>3566</v>
      </c>
      <c r="AW1004" s="861">
        <v>45734</v>
      </c>
      <c r="AX1004" s="862">
        <v>45734</v>
      </c>
      <c r="AY1004" s="843"/>
      <c r="AZ1004" s="842"/>
      <c r="BA1004" s="842" t="s">
        <v>120</v>
      </c>
      <c r="BB1004" s="863" t="s">
        <v>121</v>
      </c>
      <c r="BC1004" s="864">
        <v>45734</v>
      </c>
      <c r="BD1004" s="860" t="s">
        <v>3567</v>
      </c>
      <c r="BE1004" s="865" cm="1">
        <f t="array" ref="BE1004">IF(BD1004="","",AC1004/SUMPRODUCT(--(BD1004=$BD$4:$BD$12824),$AC$4:$AC$12824))</f>
        <v>4.8933847833105289E-2</v>
      </c>
      <c r="BF1004" s="458"/>
      <c r="BG1004" s="458"/>
      <c r="BH1004" s="458"/>
      <c r="BI1004" s="458"/>
      <c r="BJ1004" s="458"/>
      <c r="BK1004" s="458"/>
      <c r="BL1004" s="458"/>
      <c r="BM1004" s="458"/>
      <c r="BN1004" s="458"/>
      <c r="BO1004" s="866">
        <f>VLOOKUP(BD1004,$BD$4:$BN$12824,3,0)*BE1004</f>
        <v>232565.45190400784</v>
      </c>
      <c r="BP1004" s="866"/>
      <c r="BQ1004" s="866"/>
      <c r="BR1004" s="866">
        <f>VLOOKUP(BD1004,$BD$4:$BN$12824,6,0)*BE1004</f>
        <v>0</v>
      </c>
      <c r="BS1004" s="866">
        <f>VLOOKUP(BD1004,$BD$4:$BN$12824,7,0)*BE1004</f>
        <v>0</v>
      </c>
      <c r="BT1004" s="866"/>
      <c r="BU1004" s="866">
        <f>VLOOKUP(BD1004,$BD$4:$BN$12824,9,0)*BE1004</f>
        <v>29.115639460697647</v>
      </c>
      <c r="BV1004" s="867"/>
      <c r="BW1004" s="867">
        <f>VLOOKUP(BD1004,$BD$4:$BN$12824,11,0)*BE1004</f>
        <v>29360.308699863173</v>
      </c>
      <c r="BX1004" s="1146">
        <f t="shared" ref="BX1004:BX1016" si="190">SUM(BO1004:BW1004)</f>
        <v>261954.87624333173</v>
      </c>
      <c r="BY1004" s="867">
        <f t="shared" si="189"/>
        <v>312304.34604055528</v>
      </c>
      <c r="BZ1004" s="867">
        <f t="shared" si="186"/>
        <v>1873826.0762433317</v>
      </c>
      <c r="CA1004" s="867">
        <f>_xlfn.MAXIFS($BY$4:$BY$12824,$S$4:$S$12824,$S1004)</f>
        <v>312304.34604055528</v>
      </c>
      <c r="CB1004" s="1032"/>
      <c r="CF1004" s="946">
        <f t="shared" si="188"/>
        <v>1611871.2</v>
      </c>
    </row>
    <row r="1005" spans="1:84">
      <c r="A1005" s="1032"/>
      <c r="B1005" s="839" t="s">
        <v>98</v>
      </c>
      <c r="C1005" s="839" t="s">
        <v>3454</v>
      </c>
      <c r="D1005" s="839" t="s">
        <v>3559</v>
      </c>
      <c r="E1005" s="839" t="s">
        <v>3559</v>
      </c>
      <c r="F1005" s="841">
        <v>45681</v>
      </c>
      <c r="G1005" s="840" t="s">
        <v>3456</v>
      </c>
      <c r="H1005" s="842" t="s">
        <v>102</v>
      </c>
      <c r="I1005" s="842" t="s">
        <v>3560</v>
      </c>
      <c r="J1005" s="841" t="s">
        <v>3561</v>
      </c>
      <c r="K1005" s="841">
        <v>45691</v>
      </c>
      <c r="L1005" s="843" t="s">
        <v>106</v>
      </c>
      <c r="M1005" s="844" t="s">
        <v>3458</v>
      </c>
      <c r="N1005" s="841"/>
      <c r="O1005" s="841" t="s">
        <v>3459</v>
      </c>
      <c r="P1005" s="841" t="s">
        <v>3460</v>
      </c>
      <c r="Q1005" s="843"/>
      <c r="R1005" s="845" t="s">
        <v>3571</v>
      </c>
      <c r="S1005" s="1127" t="s">
        <v>3572</v>
      </c>
      <c r="T1005" s="843" t="s">
        <v>3573</v>
      </c>
      <c r="U1005" s="842">
        <v>6</v>
      </c>
      <c r="V1005" s="842" t="s">
        <v>8</v>
      </c>
      <c r="W1005" s="846">
        <v>8.01</v>
      </c>
      <c r="X1005" s="847">
        <f t="shared" si="180"/>
        <v>48.06</v>
      </c>
      <c r="Y1005" s="848">
        <v>0</v>
      </c>
      <c r="Z1005" s="849">
        <v>8.01</v>
      </c>
      <c r="AA1005" s="849"/>
      <c r="AB1005" s="849">
        <f t="shared" si="181"/>
        <v>48.06</v>
      </c>
      <c r="AC1005" s="850">
        <f t="shared" si="182"/>
        <v>48.06</v>
      </c>
      <c r="AD1005" s="851"/>
      <c r="AE1005" s="852">
        <v>25320</v>
      </c>
      <c r="AF1005" s="853"/>
      <c r="AG1005" s="854">
        <f t="shared" si="183"/>
        <v>0</v>
      </c>
      <c r="AH1005" s="853">
        <v>0.1</v>
      </c>
      <c r="AI1005" s="855">
        <f t="shared" si="184"/>
        <v>121687.92</v>
      </c>
      <c r="AJ1005" s="845" t="s">
        <v>3565</v>
      </c>
      <c r="AK1005" s="857">
        <v>45680</v>
      </c>
      <c r="AL1005" s="840"/>
      <c r="AM1005" s="840"/>
      <c r="AN1005" s="858"/>
      <c r="AO1005" s="844"/>
      <c r="AP1005" s="859">
        <v>45729</v>
      </c>
      <c r="AQ1005" s="859"/>
      <c r="AR1005" s="859">
        <v>45729</v>
      </c>
      <c r="AS1005" s="840"/>
      <c r="AT1005" s="840"/>
      <c r="AU1005" s="860"/>
      <c r="AV1005" s="839" t="s">
        <v>3566</v>
      </c>
      <c r="AW1005" s="861">
        <v>45734</v>
      </c>
      <c r="AX1005" s="862">
        <v>45734</v>
      </c>
      <c r="AY1005" s="843"/>
      <c r="AZ1005" s="842"/>
      <c r="BA1005" s="842" t="s">
        <v>120</v>
      </c>
      <c r="BB1005" s="863" t="s">
        <v>121</v>
      </c>
      <c r="BC1005" s="864">
        <v>45734</v>
      </c>
      <c r="BD1005" s="860" t="s">
        <v>3567</v>
      </c>
      <c r="BE1005" s="865" cm="1">
        <f t="array" ref="BE1005">IF(BD1005="","",AC1005/SUMPRODUCT(--(BD1005=$BD$4:$BD$12824),$AC$4:$AC$12824))</f>
        <v>3.6942518486632742E-2</v>
      </c>
      <c r="BF1005" s="458"/>
      <c r="BG1005" s="458"/>
      <c r="BH1005" s="458"/>
      <c r="BI1005" s="458"/>
      <c r="BJ1005" s="458"/>
      <c r="BK1005" s="458"/>
      <c r="BL1005" s="458"/>
      <c r="BM1005" s="458"/>
      <c r="BN1005" s="458"/>
      <c r="BO1005" s="866">
        <f>VLOOKUP(BD1005,$BD$4:$BN$12824,3,0)*BE1005</f>
        <v>175574.8604854951</v>
      </c>
      <c r="BP1005" s="866"/>
      <c r="BQ1005" s="866"/>
      <c r="BR1005" s="866">
        <f>VLOOKUP(BD1005,$BD$4:$BN$12824,6,0)*BE1005</f>
        <v>0</v>
      </c>
      <c r="BS1005" s="866">
        <f>VLOOKUP(BD1005,$BD$4:$BN$12824,7,0)*BE1005</f>
        <v>0</v>
      </c>
      <c r="BT1005" s="866"/>
      <c r="BU1005" s="866">
        <f>VLOOKUP(BD1005,$BD$4:$BN$12824,9,0)*BE1005</f>
        <v>21.980798499546481</v>
      </c>
      <c r="BV1005" s="867"/>
      <c r="BW1005" s="867">
        <f>VLOOKUP(BD1005,$BD$4:$BN$12824,11,0)*BE1005</f>
        <v>22165.511091979646</v>
      </c>
      <c r="BX1005" s="1146">
        <f t="shared" si="190"/>
        <v>197762.3523759743</v>
      </c>
      <c r="BY1005" s="867">
        <f t="shared" si="189"/>
        <v>235773.59206266236</v>
      </c>
      <c r="BZ1005" s="867">
        <f t="shared" si="186"/>
        <v>1414641.5523759741</v>
      </c>
      <c r="CA1005" s="867">
        <f>_xlfn.MAXIFS($BY$4:$BY$12824,$S$4:$S$12824,$S1005)</f>
        <v>235773.59206266236</v>
      </c>
      <c r="CB1005" s="1032"/>
      <c r="CF1005" s="946">
        <f t="shared" si="188"/>
        <v>1216879.2</v>
      </c>
    </row>
    <row r="1006" spans="1:84">
      <c r="A1006" s="1032"/>
      <c r="B1006" s="839" t="s">
        <v>98</v>
      </c>
      <c r="C1006" s="839" t="s">
        <v>3454</v>
      </c>
      <c r="D1006" s="839" t="s">
        <v>3559</v>
      </c>
      <c r="E1006" s="839" t="s">
        <v>3559</v>
      </c>
      <c r="F1006" s="841">
        <v>45681</v>
      </c>
      <c r="G1006" s="840" t="s">
        <v>3456</v>
      </c>
      <c r="H1006" s="842" t="s">
        <v>102</v>
      </c>
      <c r="I1006" s="842" t="s">
        <v>3560</v>
      </c>
      <c r="J1006" s="841" t="s">
        <v>3561</v>
      </c>
      <c r="K1006" s="841">
        <v>45691</v>
      </c>
      <c r="L1006" s="843" t="s">
        <v>106</v>
      </c>
      <c r="M1006" s="844" t="s">
        <v>3458</v>
      </c>
      <c r="N1006" s="841"/>
      <c r="O1006" s="841" t="s">
        <v>3459</v>
      </c>
      <c r="P1006" s="841" t="s">
        <v>3460</v>
      </c>
      <c r="Q1006" s="843"/>
      <c r="R1006" s="845" t="s">
        <v>3574</v>
      </c>
      <c r="S1006" s="1127" t="s">
        <v>3575</v>
      </c>
      <c r="T1006" s="843" t="s">
        <v>3576</v>
      </c>
      <c r="U1006" s="842">
        <v>6</v>
      </c>
      <c r="V1006" s="842" t="s">
        <v>8</v>
      </c>
      <c r="W1006" s="846">
        <v>8.7100000000000009</v>
      </c>
      <c r="X1006" s="847">
        <f t="shared" si="180"/>
        <v>52.260000000000005</v>
      </c>
      <c r="Y1006" s="848">
        <v>0</v>
      </c>
      <c r="Z1006" s="849">
        <v>8.7100000000000009</v>
      </c>
      <c r="AA1006" s="849"/>
      <c r="AB1006" s="849">
        <f t="shared" si="181"/>
        <v>52.260000000000005</v>
      </c>
      <c r="AC1006" s="850">
        <f t="shared" si="182"/>
        <v>52.260000000000005</v>
      </c>
      <c r="AD1006" s="851"/>
      <c r="AE1006" s="852">
        <v>25320</v>
      </c>
      <c r="AF1006" s="853"/>
      <c r="AG1006" s="854">
        <f t="shared" si="183"/>
        <v>0</v>
      </c>
      <c r="AH1006" s="853">
        <v>0.1</v>
      </c>
      <c r="AI1006" s="855">
        <f t="shared" si="184"/>
        <v>132322.32000000004</v>
      </c>
      <c r="AJ1006" s="845" t="s">
        <v>3565</v>
      </c>
      <c r="AK1006" s="857">
        <v>45680</v>
      </c>
      <c r="AL1006" s="840"/>
      <c r="AM1006" s="840"/>
      <c r="AN1006" s="858"/>
      <c r="AO1006" s="844"/>
      <c r="AP1006" s="859">
        <v>45729</v>
      </c>
      <c r="AQ1006" s="859"/>
      <c r="AR1006" s="859">
        <v>45729</v>
      </c>
      <c r="AS1006" s="840"/>
      <c r="AT1006" s="840"/>
      <c r="AU1006" s="860"/>
      <c r="AV1006" s="839" t="s">
        <v>3566</v>
      </c>
      <c r="AW1006" s="861">
        <v>45734</v>
      </c>
      <c r="AX1006" s="862">
        <v>45734</v>
      </c>
      <c r="AY1006" s="843"/>
      <c r="AZ1006" s="842"/>
      <c r="BA1006" s="842" t="s">
        <v>120</v>
      </c>
      <c r="BB1006" s="863" t="s">
        <v>121</v>
      </c>
      <c r="BC1006" s="864">
        <v>45734</v>
      </c>
      <c r="BD1006" s="860" t="s">
        <v>3567</v>
      </c>
      <c r="BE1006" s="865" cm="1">
        <f t="array" ref="BE1006">IF(BD1006="","",AC1006/SUMPRODUCT(--(BD1006=$BD$4:$BD$12824),$AC$4:$AC$12824))</f>
        <v>4.0170953310683044E-2</v>
      </c>
      <c r="BF1006" s="458"/>
      <c r="BG1006" s="458"/>
      <c r="BH1006" s="458"/>
      <c r="BI1006" s="458"/>
      <c r="BJ1006" s="458"/>
      <c r="BK1006" s="458"/>
      <c r="BL1006" s="458"/>
      <c r="BM1006" s="458"/>
      <c r="BN1006" s="458"/>
      <c r="BO1006" s="866">
        <f>VLOOKUP(BD1006,$BD$4:$BN$12824,3,0)*BE1006</f>
        <v>190918.48125201778</v>
      </c>
      <c r="BP1006" s="866"/>
      <c r="BQ1006" s="866"/>
      <c r="BR1006" s="866">
        <f>VLOOKUP(BD1006,$BD$4:$BN$12824,6,0)*BE1006</f>
        <v>0</v>
      </c>
      <c r="BS1006" s="866">
        <f>VLOOKUP(BD1006,$BD$4:$BN$12824,7,0)*BE1006</f>
        <v>0</v>
      </c>
      <c r="BT1006" s="866"/>
      <c r="BU1006" s="866">
        <f>VLOOKUP(BD1006,$BD$4:$BN$12824,9,0)*BE1006</f>
        <v>23.901717219856412</v>
      </c>
      <c r="BV1006" s="867"/>
      <c r="BW1006" s="867">
        <f>VLOOKUP(BD1006,$BD$4:$BN$12824,11,0)*BE1006</f>
        <v>24102.571986409828</v>
      </c>
      <c r="BX1006" s="1146">
        <f t="shared" si="190"/>
        <v>215044.95495564747</v>
      </c>
      <c r="BY1006" s="867">
        <f t="shared" si="189"/>
        <v>256378.02582594127</v>
      </c>
      <c r="BZ1006" s="867">
        <f t="shared" si="186"/>
        <v>1538268.1549556477</v>
      </c>
      <c r="CA1006" s="867">
        <f>_xlfn.MAXIFS($BY$4:$BY$12824,$S$4:$S$12824,$S1006)</f>
        <v>256378.02582594127</v>
      </c>
      <c r="CB1006" s="1032"/>
      <c r="CF1006" s="946">
        <f t="shared" si="188"/>
        <v>1323223.2000000002</v>
      </c>
    </row>
    <row r="1007" spans="1:84">
      <c r="A1007" s="1032"/>
      <c r="B1007" s="839" t="s">
        <v>98</v>
      </c>
      <c r="C1007" s="839" t="s">
        <v>3454</v>
      </c>
      <c r="D1007" s="839" t="s">
        <v>3559</v>
      </c>
      <c r="E1007" s="839" t="s">
        <v>3559</v>
      </c>
      <c r="F1007" s="841">
        <v>45681</v>
      </c>
      <c r="G1007" s="840" t="s">
        <v>3456</v>
      </c>
      <c r="H1007" s="842" t="s">
        <v>102</v>
      </c>
      <c r="I1007" s="842" t="s">
        <v>3560</v>
      </c>
      <c r="J1007" s="841" t="s">
        <v>3561</v>
      </c>
      <c r="K1007" s="841">
        <v>45691</v>
      </c>
      <c r="L1007" s="843" t="s">
        <v>106</v>
      </c>
      <c r="M1007" s="844" t="s">
        <v>3458</v>
      </c>
      <c r="N1007" s="841"/>
      <c r="O1007" s="841" t="s">
        <v>3459</v>
      </c>
      <c r="P1007" s="841" t="s">
        <v>3460</v>
      </c>
      <c r="Q1007" s="843"/>
      <c r="R1007" s="845" t="s">
        <v>3577</v>
      </c>
      <c r="S1007" s="1127" t="s">
        <v>3578</v>
      </c>
      <c r="T1007" s="843" t="s">
        <v>3579</v>
      </c>
      <c r="U1007" s="842">
        <v>12</v>
      </c>
      <c r="V1007" s="842" t="s">
        <v>8</v>
      </c>
      <c r="W1007" s="846">
        <v>10.31</v>
      </c>
      <c r="X1007" s="847">
        <f t="shared" si="180"/>
        <v>123.72</v>
      </c>
      <c r="Y1007" s="848">
        <v>0</v>
      </c>
      <c r="Z1007" s="849">
        <v>10.31</v>
      </c>
      <c r="AA1007" s="849"/>
      <c r="AB1007" s="849">
        <f t="shared" si="181"/>
        <v>123.72</v>
      </c>
      <c r="AC1007" s="850">
        <f t="shared" si="182"/>
        <v>123.72</v>
      </c>
      <c r="AD1007" s="851"/>
      <c r="AE1007" s="852">
        <v>25320</v>
      </c>
      <c r="AF1007" s="853"/>
      <c r="AG1007" s="854">
        <f t="shared" si="183"/>
        <v>0</v>
      </c>
      <c r="AH1007" s="853">
        <v>0.1</v>
      </c>
      <c r="AI1007" s="855">
        <f t="shared" si="184"/>
        <v>313259.03999999998</v>
      </c>
      <c r="AJ1007" s="845" t="s">
        <v>3565</v>
      </c>
      <c r="AK1007" s="857">
        <v>45680</v>
      </c>
      <c r="AL1007" s="840"/>
      <c r="AM1007" s="840"/>
      <c r="AN1007" s="858"/>
      <c r="AO1007" s="844"/>
      <c r="AP1007" s="859">
        <v>45729</v>
      </c>
      <c r="AQ1007" s="859"/>
      <c r="AR1007" s="859">
        <v>45729</v>
      </c>
      <c r="AS1007" s="840"/>
      <c r="AT1007" s="840"/>
      <c r="AU1007" s="860"/>
      <c r="AV1007" s="839" t="s">
        <v>3566</v>
      </c>
      <c r="AW1007" s="861">
        <v>45734</v>
      </c>
      <c r="AX1007" s="862">
        <v>45734</v>
      </c>
      <c r="AY1007" s="843"/>
      <c r="AZ1007" s="842"/>
      <c r="BA1007" s="842" t="s">
        <v>120</v>
      </c>
      <c r="BB1007" s="863" t="s">
        <v>121</v>
      </c>
      <c r="BC1007" s="864">
        <v>45734</v>
      </c>
      <c r="BD1007" s="860" t="s">
        <v>3567</v>
      </c>
      <c r="BE1007" s="865" cm="1">
        <f t="array" ref="BE1007">IF(BD1007="","",AC1007/SUMPRODUCT(--(BD1007=$BD$4:$BD$12824),$AC$4:$AC$12824))</f>
        <v>9.510046581702461E-2</v>
      </c>
      <c r="BF1007" s="458"/>
      <c r="BG1007" s="458"/>
      <c r="BH1007" s="458"/>
      <c r="BI1007" s="458"/>
      <c r="BJ1007" s="458"/>
      <c r="BK1007" s="458"/>
      <c r="BL1007" s="458"/>
      <c r="BM1007" s="458"/>
      <c r="BN1007" s="458"/>
      <c r="BO1007" s="866">
        <f>VLOOKUP(BD1007,$BD$4:$BN$12824,3,0)*BE1007</f>
        <v>451979.22886528203</v>
      </c>
      <c r="BP1007" s="866"/>
      <c r="BQ1007" s="866"/>
      <c r="BR1007" s="866">
        <f>VLOOKUP(BD1007,$BD$4:$BN$12824,6,0)*BE1007</f>
        <v>0</v>
      </c>
      <c r="BS1007" s="866">
        <f>VLOOKUP(BD1007,$BD$4:$BN$12824,7,0)*BE1007</f>
        <v>0</v>
      </c>
      <c r="BT1007" s="866"/>
      <c r="BU1007" s="866">
        <f>VLOOKUP(BD1007,$BD$4:$BN$12824,9,0)*BE1007</f>
        <v>56.584777161129644</v>
      </c>
      <c r="BV1007" s="867"/>
      <c r="BW1007" s="867">
        <f>VLOOKUP(BD1007,$BD$4:$BN$12824,11,0)*BE1007</f>
        <v>57060.279490214765</v>
      </c>
      <c r="BX1007" s="1146">
        <f t="shared" si="190"/>
        <v>509096.09313265793</v>
      </c>
      <c r="BY1007" s="867">
        <f t="shared" si="189"/>
        <v>303473.87442772149</v>
      </c>
      <c r="BZ1007" s="867">
        <f t="shared" si="186"/>
        <v>3641686.4931326578</v>
      </c>
      <c r="CA1007" s="867">
        <f>_xlfn.MAXIFS($BY$4:$BY$12824,$S$4:$S$12824,$S1007)</f>
        <v>303473.87442772149</v>
      </c>
      <c r="CB1007" s="1032"/>
      <c r="CF1007" s="946">
        <f t="shared" si="188"/>
        <v>3132590.4</v>
      </c>
    </row>
    <row r="1008" spans="1:84">
      <c r="A1008" s="1032"/>
      <c r="B1008" s="839" t="s">
        <v>98</v>
      </c>
      <c r="C1008" s="839" t="s">
        <v>3454</v>
      </c>
      <c r="D1008" s="839" t="s">
        <v>3559</v>
      </c>
      <c r="E1008" s="839" t="s">
        <v>3559</v>
      </c>
      <c r="F1008" s="841">
        <v>45681</v>
      </c>
      <c r="G1008" s="840" t="s">
        <v>3456</v>
      </c>
      <c r="H1008" s="842" t="s">
        <v>102</v>
      </c>
      <c r="I1008" s="842" t="s">
        <v>3560</v>
      </c>
      <c r="J1008" s="841" t="s">
        <v>3561</v>
      </c>
      <c r="K1008" s="841">
        <v>45691</v>
      </c>
      <c r="L1008" s="843" t="s">
        <v>106</v>
      </c>
      <c r="M1008" s="844" t="s">
        <v>3458</v>
      </c>
      <c r="N1008" s="841"/>
      <c r="O1008" s="841" t="s">
        <v>3459</v>
      </c>
      <c r="P1008" s="841" t="s">
        <v>3460</v>
      </c>
      <c r="Q1008" s="843"/>
      <c r="R1008" s="845" t="s">
        <v>3580</v>
      </c>
      <c r="S1008" s="1127" t="s">
        <v>3581</v>
      </c>
      <c r="T1008" s="843" t="s">
        <v>3582</v>
      </c>
      <c r="U1008" s="842">
        <v>6</v>
      </c>
      <c r="V1008" s="842" t="s">
        <v>8</v>
      </c>
      <c r="W1008" s="846">
        <v>10.61</v>
      </c>
      <c r="X1008" s="847">
        <f t="shared" si="180"/>
        <v>63.66</v>
      </c>
      <c r="Y1008" s="848">
        <v>0</v>
      </c>
      <c r="Z1008" s="849">
        <v>10.61</v>
      </c>
      <c r="AA1008" s="849"/>
      <c r="AB1008" s="849">
        <f t="shared" si="181"/>
        <v>63.66</v>
      </c>
      <c r="AC1008" s="850">
        <f t="shared" si="182"/>
        <v>63.66</v>
      </c>
      <c r="AD1008" s="851"/>
      <c r="AE1008" s="852">
        <v>25320</v>
      </c>
      <c r="AF1008" s="853"/>
      <c r="AG1008" s="854">
        <f t="shared" si="183"/>
        <v>0</v>
      </c>
      <c r="AH1008" s="853">
        <v>0.1</v>
      </c>
      <c r="AI1008" s="855">
        <f t="shared" si="184"/>
        <v>161187.12</v>
      </c>
      <c r="AJ1008" s="845" t="s">
        <v>3565</v>
      </c>
      <c r="AK1008" s="857">
        <v>45680</v>
      </c>
      <c r="AL1008" s="840"/>
      <c r="AM1008" s="840"/>
      <c r="AN1008" s="858"/>
      <c r="AO1008" s="844"/>
      <c r="AP1008" s="859">
        <v>45729</v>
      </c>
      <c r="AQ1008" s="859"/>
      <c r="AR1008" s="859">
        <v>45729</v>
      </c>
      <c r="AS1008" s="840"/>
      <c r="AT1008" s="840"/>
      <c r="AU1008" s="860"/>
      <c r="AV1008" s="839" t="s">
        <v>3566</v>
      </c>
      <c r="AW1008" s="861">
        <v>45734</v>
      </c>
      <c r="AX1008" s="862">
        <v>45734</v>
      </c>
      <c r="AY1008" s="843"/>
      <c r="AZ1008" s="842"/>
      <c r="BA1008" s="842" t="s">
        <v>120</v>
      </c>
      <c r="BB1008" s="863" t="s">
        <v>121</v>
      </c>
      <c r="BC1008" s="864">
        <v>45734</v>
      </c>
      <c r="BD1008" s="860" t="s">
        <v>3567</v>
      </c>
      <c r="BE1008" s="865" cm="1">
        <f t="array" ref="BE1008">IF(BD1008="","",AC1008/SUMPRODUCT(--(BD1008=$BD$4:$BD$12824),$AC$4:$AC$12824))</f>
        <v>4.8933847833105289E-2</v>
      </c>
      <c r="BF1008" s="458"/>
      <c r="BG1008" s="458"/>
      <c r="BH1008" s="458"/>
      <c r="BI1008" s="458"/>
      <c r="BJ1008" s="458"/>
      <c r="BK1008" s="458"/>
      <c r="BL1008" s="458"/>
      <c r="BM1008" s="458"/>
      <c r="BN1008" s="458"/>
      <c r="BO1008" s="866">
        <f>VLOOKUP(BD1008,$BD$4:$BN$12824,3,0)*BE1008</f>
        <v>232565.45190400784</v>
      </c>
      <c r="BP1008" s="866"/>
      <c r="BQ1008" s="866"/>
      <c r="BR1008" s="866">
        <f>VLOOKUP(BD1008,$BD$4:$BN$12824,6,0)*BE1008</f>
        <v>0</v>
      </c>
      <c r="BS1008" s="866">
        <f>VLOOKUP(BD1008,$BD$4:$BN$12824,7,0)*BE1008</f>
        <v>0</v>
      </c>
      <c r="BT1008" s="866"/>
      <c r="BU1008" s="866">
        <f>VLOOKUP(BD1008,$BD$4:$BN$12824,9,0)*BE1008</f>
        <v>29.115639460697647</v>
      </c>
      <c r="BV1008" s="867"/>
      <c r="BW1008" s="867">
        <f>VLOOKUP(BD1008,$BD$4:$BN$12824,11,0)*BE1008</f>
        <v>29360.308699863173</v>
      </c>
      <c r="BX1008" s="1146">
        <f t="shared" si="190"/>
        <v>261954.87624333173</v>
      </c>
      <c r="BY1008" s="867">
        <f t="shared" si="189"/>
        <v>312304.34604055528</v>
      </c>
      <c r="BZ1008" s="867">
        <f t="shared" si="186"/>
        <v>1873826.0762433317</v>
      </c>
      <c r="CA1008" s="867">
        <f>_xlfn.MAXIFS($BY$4:$BY$12824,$S$4:$S$12824,$S1008)</f>
        <v>312304.34604055528</v>
      </c>
      <c r="CB1008" s="1032"/>
      <c r="CF1008" s="946">
        <f t="shared" si="188"/>
        <v>1611871.2</v>
      </c>
    </row>
    <row r="1009" spans="1:84">
      <c r="A1009" s="1032"/>
      <c r="B1009" s="839" t="s">
        <v>98</v>
      </c>
      <c r="C1009" s="839" t="s">
        <v>3454</v>
      </c>
      <c r="D1009" s="839" t="s">
        <v>3559</v>
      </c>
      <c r="E1009" s="839" t="s">
        <v>3559</v>
      </c>
      <c r="F1009" s="841">
        <v>45681</v>
      </c>
      <c r="G1009" s="840" t="s">
        <v>3456</v>
      </c>
      <c r="H1009" s="842" t="s">
        <v>102</v>
      </c>
      <c r="I1009" s="842" t="s">
        <v>3560</v>
      </c>
      <c r="J1009" s="841" t="s">
        <v>3561</v>
      </c>
      <c r="K1009" s="841">
        <v>45691</v>
      </c>
      <c r="L1009" s="843" t="s">
        <v>106</v>
      </c>
      <c r="M1009" s="844" t="s">
        <v>3458</v>
      </c>
      <c r="N1009" s="841"/>
      <c r="O1009" s="841" t="s">
        <v>3459</v>
      </c>
      <c r="P1009" s="841" t="s">
        <v>3460</v>
      </c>
      <c r="Q1009" s="843"/>
      <c r="R1009" s="845" t="s">
        <v>3583</v>
      </c>
      <c r="S1009" s="1127" t="s">
        <v>3584</v>
      </c>
      <c r="T1009" s="843" t="s">
        <v>3585</v>
      </c>
      <c r="U1009" s="842">
        <v>6</v>
      </c>
      <c r="V1009" s="842" t="s">
        <v>8</v>
      </c>
      <c r="W1009" s="846">
        <v>13.21</v>
      </c>
      <c r="X1009" s="847">
        <f t="shared" si="180"/>
        <v>79.260000000000005</v>
      </c>
      <c r="Y1009" s="848">
        <v>0</v>
      </c>
      <c r="Z1009" s="849">
        <v>13.21</v>
      </c>
      <c r="AA1009" s="849"/>
      <c r="AB1009" s="849">
        <f t="shared" si="181"/>
        <v>79.260000000000005</v>
      </c>
      <c r="AC1009" s="850">
        <f t="shared" si="182"/>
        <v>79.260000000000005</v>
      </c>
      <c r="AD1009" s="851"/>
      <c r="AE1009" s="852">
        <v>25320</v>
      </c>
      <c r="AF1009" s="853"/>
      <c r="AG1009" s="854">
        <f t="shared" si="183"/>
        <v>0</v>
      </c>
      <c r="AH1009" s="853">
        <v>0.1</v>
      </c>
      <c r="AI1009" s="855">
        <f t="shared" si="184"/>
        <v>200686.32000000004</v>
      </c>
      <c r="AJ1009" s="845" t="s">
        <v>3565</v>
      </c>
      <c r="AK1009" s="857">
        <v>45680</v>
      </c>
      <c r="AL1009" s="840"/>
      <c r="AM1009" s="840"/>
      <c r="AN1009" s="858"/>
      <c r="AO1009" s="844"/>
      <c r="AP1009" s="859">
        <v>45729</v>
      </c>
      <c r="AQ1009" s="859"/>
      <c r="AR1009" s="859">
        <v>45729</v>
      </c>
      <c r="AS1009" s="840"/>
      <c r="AT1009" s="840"/>
      <c r="AU1009" s="860"/>
      <c r="AV1009" s="839" t="s">
        <v>3566</v>
      </c>
      <c r="AW1009" s="861">
        <v>45734</v>
      </c>
      <c r="AX1009" s="862">
        <v>45734</v>
      </c>
      <c r="AY1009" s="843"/>
      <c r="AZ1009" s="842"/>
      <c r="BA1009" s="842" t="s">
        <v>120</v>
      </c>
      <c r="BB1009" s="863" t="s">
        <v>121</v>
      </c>
      <c r="BC1009" s="864">
        <v>45734</v>
      </c>
      <c r="BD1009" s="860" t="s">
        <v>3567</v>
      </c>
      <c r="BE1009" s="865" cm="1">
        <f t="array" ref="BE1009">IF(BD1009="","",AC1009/SUMPRODUCT(--(BD1009=$BD$4:$BD$12824),$AC$4:$AC$12824))</f>
        <v>6.0925177179577843E-2</v>
      </c>
      <c r="BF1009" s="458"/>
      <c r="BG1009" s="458"/>
      <c r="BH1009" s="458"/>
      <c r="BI1009" s="458"/>
      <c r="BJ1009" s="458"/>
      <c r="BK1009" s="458"/>
      <c r="BL1009" s="458"/>
      <c r="BM1009" s="458"/>
      <c r="BN1009" s="458"/>
      <c r="BO1009" s="866">
        <f>VLOOKUP(BD1009,$BD$4:$BN$12824,3,0)*BE1009</f>
        <v>289556.04332252062</v>
      </c>
      <c r="BP1009" s="866"/>
      <c r="BQ1009" s="866"/>
      <c r="BR1009" s="866">
        <f>VLOOKUP(BD1009,$BD$4:$BN$12824,6,0)*BE1009</f>
        <v>0</v>
      </c>
      <c r="BS1009" s="866">
        <f>VLOOKUP(BD1009,$BD$4:$BN$12824,7,0)*BE1009</f>
        <v>0</v>
      </c>
      <c r="BT1009" s="866"/>
      <c r="BU1009" s="866">
        <f>VLOOKUP(BD1009,$BD$4:$BN$12824,9,0)*BE1009</f>
        <v>36.250480421848813</v>
      </c>
      <c r="BV1009" s="867"/>
      <c r="BW1009" s="867">
        <f>VLOOKUP(BD1009,$BD$4:$BN$12824,11,0)*BE1009</f>
        <v>36555.106307746704</v>
      </c>
      <c r="BX1009" s="1146">
        <f t="shared" si="190"/>
        <v>326147.40011068922</v>
      </c>
      <c r="BY1009" s="867">
        <f t="shared" si="189"/>
        <v>388835.1000184482</v>
      </c>
      <c r="BZ1009" s="867">
        <f t="shared" si="186"/>
        <v>2333010.6001106892</v>
      </c>
      <c r="CA1009" s="867">
        <f>_xlfn.MAXIFS($BY$4:$BY$12824,$S$4:$S$12824,$S1009)</f>
        <v>388835.1000184482</v>
      </c>
      <c r="CB1009" s="1032"/>
      <c r="CF1009" s="946">
        <f t="shared" si="188"/>
        <v>2006863.2000000002</v>
      </c>
    </row>
    <row r="1010" spans="1:84">
      <c r="A1010" s="1032"/>
      <c r="B1010" s="839" t="s">
        <v>98</v>
      </c>
      <c r="C1010" s="839" t="s">
        <v>3454</v>
      </c>
      <c r="D1010" s="839" t="s">
        <v>3559</v>
      </c>
      <c r="E1010" s="839" t="s">
        <v>3559</v>
      </c>
      <c r="F1010" s="841">
        <v>45681</v>
      </c>
      <c r="G1010" s="840" t="s">
        <v>3482</v>
      </c>
      <c r="H1010" s="842" t="s">
        <v>102</v>
      </c>
      <c r="I1010" s="842" t="s">
        <v>3560</v>
      </c>
      <c r="J1010" s="841" t="s">
        <v>3561</v>
      </c>
      <c r="K1010" s="841">
        <v>45691</v>
      </c>
      <c r="L1010" s="843" t="s">
        <v>106</v>
      </c>
      <c r="M1010" s="844" t="s">
        <v>3458</v>
      </c>
      <c r="N1010" s="841"/>
      <c r="O1010" s="841" t="s">
        <v>3459</v>
      </c>
      <c r="P1010" s="841" t="s">
        <v>3460</v>
      </c>
      <c r="Q1010" s="843"/>
      <c r="R1010" s="845" t="s">
        <v>3486</v>
      </c>
      <c r="S1010" s="1127" t="s">
        <v>3486</v>
      </c>
      <c r="T1010" s="843" t="s">
        <v>3586</v>
      </c>
      <c r="U1010" s="842">
        <v>14</v>
      </c>
      <c r="V1010" s="842" t="s">
        <v>8</v>
      </c>
      <c r="W1010" s="846">
        <v>17.41</v>
      </c>
      <c r="X1010" s="847">
        <f t="shared" si="180"/>
        <v>243.74</v>
      </c>
      <c r="Y1010" s="848">
        <v>0</v>
      </c>
      <c r="Z1010" s="849">
        <v>11.6</v>
      </c>
      <c r="AA1010" s="849"/>
      <c r="AB1010" s="849">
        <f t="shared" si="181"/>
        <v>162.4</v>
      </c>
      <c r="AC1010" s="850">
        <f t="shared" si="182"/>
        <v>162.4</v>
      </c>
      <c r="AD1010" s="851"/>
      <c r="AE1010" s="852">
        <v>25320</v>
      </c>
      <c r="AF1010" s="853"/>
      <c r="AG1010" s="854">
        <f t="shared" si="183"/>
        <v>0</v>
      </c>
      <c r="AH1010" s="853">
        <v>0.1</v>
      </c>
      <c r="AI1010" s="855">
        <f t="shared" si="184"/>
        <v>411196.80000000005</v>
      </c>
      <c r="AJ1010" s="845" t="s">
        <v>3565</v>
      </c>
      <c r="AK1010" s="857">
        <v>45680</v>
      </c>
      <c r="AL1010" s="840"/>
      <c r="AM1010" s="840"/>
      <c r="AN1010" s="858"/>
      <c r="AO1010" s="844"/>
      <c r="AP1010" s="859">
        <v>45729</v>
      </c>
      <c r="AQ1010" s="859"/>
      <c r="AR1010" s="859">
        <v>45729</v>
      </c>
      <c r="AS1010" s="840"/>
      <c r="AT1010" s="840"/>
      <c r="AU1010" s="860"/>
      <c r="AV1010" s="839" t="s">
        <v>3566</v>
      </c>
      <c r="AW1010" s="861">
        <v>45734</v>
      </c>
      <c r="AX1010" s="862">
        <v>45734</v>
      </c>
      <c r="AY1010" s="843"/>
      <c r="AZ1010" s="842"/>
      <c r="BA1010" s="842" t="s">
        <v>120</v>
      </c>
      <c r="BB1010" s="863" t="s">
        <v>121</v>
      </c>
      <c r="BC1010" s="864">
        <v>45734</v>
      </c>
      <c r="BD1010" s="860" t="s">
        <v>3567</v>
      </c>
      <c r="BE1010" s="865" cm="1">
        <f t="array" ref="BE1010">IF(BD1010="","",AC1010/SUMPRODUCT(--(BD1010=$BD$4:$BD$12824),$AC$4:$AC$12824))</f>
        <v>0.12483281319661169</v>
      </c>
      <c r="BF1010" s="458"/>
      <c r="BG1010" s="458"/>
      <c r="BH1010" s="458"/>
      <c r="BI1010" s="458"/>
      <c r="BJ1010" s="458"/>
      <c r="BK1010" s="458"/>
      <c r="BL1010" s="458"/>
      <c r="BM1010" s="458"/>
      <c r="BN1010" s="458"/>
      <c r="BO1010" s="866">
        <f>VLOOKUP(BD1010,$BD$4:$BN$12824,3,0)*BE1010</f>
        <v>593286.66963887657</v>
      </c>
      <c r="BP1010" s="866"/>
      <c r="BQ1010" s="866"/>
      <c r="BR1010" s="866">
        <f>VLOOKUP(BD1010,$BD$4:$BN$12824,6,0)*BE1010</f>
        <v>0</v>
      </c>
      <c r="BS1010" s="866">
        <f>VLOOKUP(BD1010,$BD$4:$BN$12824,7,0)*BE1010</f>
        <v>0</v>
      </c>
      <c r="BT1010" s="866"/>
      <c r="BU1010" s="866">
        <f>VLOOKUP(BD1010,$BD$4:$BN$12824,9,0)*BE1010</f>
        <v>74.275523851983948</v>
      </c>
      <c r="BV1010" s="867"/>
      <c r="BW1010" s="867">
        <f>VLOOKUP(BD1010,$BD$4:$BN$12824,11,0)*BE1010</f>
        <v>74899.687917967007</v>
      </c>
      <c r="BX1010" s="1146">
        <f t="shared" si="190"/>
        <v>668260.63308069552</v>
      </c>
      <c r="BY1010" s="867">
        <f t="shared" si="189"/>
        <v>341444.90236290684</v>
      </c>
      <c r="BZ1010" s="867">
        <f t="shared" si="186"/>
        <v>4780228.6330806958</v>
      </c>
      <c r="CA1010" s="867">
        <f>_xlfn.MAXIFS($BY$4:$BY$12824,$S$4:$S$12824,$S1010)</f>
        <v>384520.12054443004</v>
      </c>
      <c r="CB1010" s="1032"/>
      <c r="CF1010" s="946">
        <f t="shared" si="188"/>
        <v>4111968</v>
      </c>
    </row>
    <row r="1011" spans="1:84">
      <c r="A1011" s="1032"/>
      <c r="B1011" s="839" t="s">
        <v>98</v>
      </c>
      <c r="C1011" s="839" t="s">
        <v>3454</v>
      </c>
      <c r="D1011" s="839" t="s">
        <v>3559</v>
      </c>
      <c r="E1011" s="839" t="s">
        <v>3559</v>
      </c>
      <c r="F1011" s="841">
        <v>45681</v>
      </c>
      <c r="G1011" s="840" t="s">
        <v>3482</v>
      </c>
      <c r="H1011" s="842" t="s">
        <v>102</v>
      </c>
      <c r="I1011" s="842" t="s">
        <v>3560</v>
      </c>
      <c r="J1011" s="841" t="s">
        <v>3561</v>
      </c>
      <c r="K1011" s="841">
        <v>45691</v>
      </c>
      <c r="L1011" s="843" t="s">
        <v>106</v>
      </c>
      <c r="M1011" s="844" t="s">
        <v>3458</v>
      </c>
      <c r="N1011" s="841"/>
      <c r="O1011" s="841" t="s">
        <v>3459</v>
      </c>
      <c r="P1011" s="841" t="s">
        <v>3460</v>
      </c>
      <c r="Q1011" s="843"/>
      <c r="R1011" s="845" t="s">
        <v>3492</v>
      </c>
      <c r="S1011" s="1127" t="s">
        <v>3492</v>
      </c>
      <c r="T1011" s="843" t="s">
        <v>3494</v>
      </c>
      <c r="U1011" s="842">
        <v>10</v>
      </c>
      <c r="V1011" s="842" t="s">
        <v>8</v>
      </c>
      <c r="W1011" s="846"/>
      <c r="X1011" s="847">
        <f t="shared" si="180"/>
        <v>0</v>
      </c>
      <c r="Y1011" s="848">
        <v>0</v>
      </c>
      <c r="Z1011" s="849">
        <v>9.85</v>
      </c>
      <c r="AA1011" s="849"/>
      <c r="AB1011" s="849">
        <f t="shared" si="181"/>
        <v>98.5</v>
      </c>
      <c r="AC1011" s="850">
        <f t="shared" si="182"/>
        <v>98.5</v>
      </c>
      <c r="AD1011" s="851"/>
      <c r="AE1011" s="852">
        <v>25320</v>
      </c>
      <c r="AF1011" s="853"/>
      <c r="AG1011" s="854">
        <f t="shared" si="183"/>
        <v>0</v>
      </c>
      <c r="AH1011" s="853">
        <v>0.1</v>
      </c>
      <c r="AI1011" s="855">
        <f t="shared" si="184"/>
        <v>249402</v>
      </c>
      <c r="AJ1011" s="845" t="s">
        <v>3565</v>
      </c>
      <c r="AK1011" s="857">
        <v>45680</v>
      </c>
      <c r="AL1011" s="840"/>
      <c r="AM1011" s="840"/>
      <c r="AN1011" s="858"/>
      <c r="AO1011" s="844"/>
      <c r="AP1011" s="859">
        <v>45729</v>
      </c>
      <c r="AQ1011" s="859"/>
      <c r="AR1011" s="859">
        <v>45729</v>
      </c>
      <c r="AS1011" s="840"/>
      <c r="AT1011" s="840"/>
      <c r="AU1011" s="860"/>
      <c r="AV1011" s="839" t="s">
        <v>3566</v>
      </c>
      <c r="AW1011" s="861">
        <v>45734</v>
      </c>
      <c r="AX1011" s="862">
        <v>45734</v>
      </c>
      <c r="AY1011" s="843"/>
      <c r="AZ1011" s="842"/>
      <c r="BA1011" s="842" t="s">
        <v>120</v>
      </c>
      <c r="BB1011" s="863" t="s">
        <v>121</v>
      </c>
      <c r="BC1011" s="864">
        <v>45734</v>
      </c>
      <c r="BD1011" s="860" t="s">
        <v>3567</v>
      </c>
      <c r="BE1011" s="865" cm="1">
        <f t="array" ref="BE1011">IF(BD1011="","",AC1011/SUMPRODUCT(--(BD1011=$BD$4:$BD$12824),$AC$4:$AC$12824))</f>
        <v>7.5714483373560654E-2</v>
      </c>
      <c r="BF1011" s="458"/>
      <c r="BG1011" s="458"/>
      <c r="BH1011" s="458"/>
      <c r="BI1011" s="458"/>
      <c r="BJ1011" s="458"/>
      <c r="BK1011" s="458"/>
      <c r="BL1011" s="458"/>
      <c r="BM1011" s="458"/>
      <c r="BN1011" s="458"/>
      <c r="BO1011" s="866">
        <f>VLOOKUP(BD1011,$BD$4:$BN$12824,3,0)*BE1011</f>
        <v>359844.43940535304</v>
      </c>
      <c r="BP1011" s="866"/>
      <c r="BQ1011" s="866"/>
      <c r="BR1011" s="866">
        <f>VLOOKUP(BD1011,$BD$4:$BN$12824,6,0)*BE1011</f>
        <v>0</v>
      </c>
      <c r="BS1011" s="866">
        <f>VLOOKUP(BD1011,$BD$4:$BN$12824,7,0)*BE1011</f>
        <v>0</v>
      </c>
      <c r="BT1011" s="866"/>
      <c r="BU1011" s="866">
        <f>VLOOKUP(BD1011,$BD$4:$BN$12824,9,0)*BE1011</f>
        <v>45.050117607268589</v>
      </c>
      <c r="BV1011" s="867"/>
      <c r="BW1011" s="867">
        <f>VLOOKUP(BD1011,$BD$4:$BN$12824,11,0)*BE1011</f>
        <v>45428.690024136391</v>
      </c>
      <c r="BX1011" s="1146">
        <f t="shared" si="190"/>
        <v>405318.17954709672</v>
      </c>
      <c r="BY1011" s="867">
        <f t="shared" si="189"/>
        <v>289933.81795470964</v>
      </c>
      <c r="BZ1011" s="867">
        <f t="shared" si="186"/>
        <v>2899338.1795470966</v>
      </c>
      <c r="CA1011" s="867">
        <f>_xlfn.MAXIFS($BY$4:$BY$12824,$S$4:$S$12824,$S1011)</f>
        <v>289933.81795470964</v>
      </c>
      <c r="CB1011" s="1032"/>
      <c r="CF1011" s="946">
        <f t="shared" si="188"/>
        <v>2494020</v>
      </c>
    </row>
    <row r="1012" spans="1:84">
      <c r="A1012" s="1032"/>
      <c r="B1012" s="839" t="s">
        <v>98</v>
      </c>
      <c r="C1012" s="839" t="s">
        <v>3454</v>
      </c>
      <c r="D1012" s="839" t="s">
        <v>3559</v>
      </c>
      <c r="E1012" s="839" t="s">
        <v>3559</v>
      </c>
      <c r="F1012" s="841">
        <v>45681</v>
      </c>
      <c r="G1012" s="840" t="s">
        <v>3456</v>
      </c>
      <c r="H1012" s="842" t="s">
        <v>102</v>
      </c>
      <c r="I1012" s="842" t="s">
        <v>3560</v>
      </c>
      <c r="J1012" s="841" t="s">
        <v>3561</v>
      </c>
      <c r="K1012" s="841">
        <v>45691</v>
      </c>
      <c r="L1012" s="843" t="s">
        <v>106</v>
      </c>
      <c r="M1012" s="844" t="s">
        <v>3458</v>
      </c>
      <c r="N1012" s="841"/>
      <c r="O1012" s="841" t="s">
        <v>3459</v>
      </c>
      <c r="P1012" s="841" t="s">
        <v>3460</v>
      </c>
      <c r="Q1012" s="843"/>
      <c r="R1012" s="845" t="s">
        <v>3495</v>
      </c>
      <c r="S1012" s="1127" t="s">
        <v>3495</v>
      </c>
      <c r="T1012" s="843" t="s">
        <v>3496</v>
      </c>
      <c r="U1012" s="842">
        <v>2</v>
      </c>
      <c r="V1012" s="842" t="s">
        <v>8</v>
      </c>
      <c r="W1012" s="846">
        <v>17.41</v>
      </c>
      <c r="X1012" s="847">
        <f t="shared" si="180"/>
        <v>34.82</v>
      </c>
      <c r="Y1012" s="848">
        <v>0</v>
      </c>
      <c r="Z1012" s="849">
        <v>17.41</v>
      </c>
      <c r="AA1012" s="849"/>
      <c r="AB1012" s="849">
        <f t="shared" si="181"/>
        <v>34.82</v>
      </c>
      <c r="AC1012" s="850">
        <f t="shared" si="182"/>
        <v>34.82</v>
      </c>
      <c r="AD1012" s="851"/>
      <c r="AE1012" s="852">
        <v>25320</v>
      </c>
      <c r="AF1012" s="853"/>
      <c r="AG1012" s="854">
        <f t="shared" si="183"/>
        <v>0</v>
      </c>
      <c r="AH1012" s="853">
        <v>0.1</v>
      </c>
      <c r="AI1012" s="855">
        <f t="shared" si="184"/>
        <v>88164.24</v>
      </c>
      <c r="AJ1012" s="845" t="s">
        <v>3565</v>
      </c>
      <c r="AK1012" s="857">
        <v>45680</v>
      </c>
      <c r="AL1012" s="840"/>
      <c r="AM1012" s="840"/>
      <c r="AN1012" s="858"/>
      <c r="AO1012" s="844"/>
      <c r="AP1012" s="859">
        <v>45729</v>
      </c>
      <c r="AQ1012" s="859"/>
      <c r="AR1012" s="859">
        <v>45729</v>
      </c>
      <c r="AS1012" s="840"/>
      <c r="AT1012" s="840"/>
      <c r="AU1012" s="860"/>
      <c r="AV1012" s="839" t="s">
        <v>3566</v>
      </c>
      <c r="AW1012" s="861">
        <v>45734</v>
      </c>
      <c r="AX1012" s="862">
        <v>45734</v>
      </c>
      <c r="AY1012" s="843"/>
      <c r="AZ1012" s="842"/>
      <c r="BA1012" s="842" t="s">
        <v>120</v>
      </c>
      <c r="BB1012" s="863" t="s">
        <v>121</v>
      </c>
      <c r="BC1012" s="864">
        <v>45734</v>
      </c>
      <c r="BD1012" s="860" t="s">
        <v>3567</v>
      </c>
      <c r="BE1012" s="865" cm="1">
        <f t="array" ref="BE1012">IF(BD1012="","",AC1012/SUMPRODUCT(--(BD1012=$BD$4:$BD$12824),$AC$4:$AC$12824))</f>
        <v>2.6765262041293217E-2</v>
      </c>
      <c r="BF1012" s="458"/>
      <c r="BG1012" s="458"/>
      <c r="BH1012" s="458"/>
      <c r="BI1012" s="458"/>
      <c r="BJ1012" s="458"/>
      <c r="BK1012" s="458"/>
      <c r="BL1012" s="458"/>
      <c r="BM1012" s="458"/>
      <c r="BN1012" s="458"/>
      <c r="BO1012" s="866">
        <f>VLOOKUP(BD1012,$BD$4:$BN$12824,3,0)*BE1012</f>
        <v>127205.92264055221</v>
      </c>
      <c r="BP1012" s="866"/>
      <c r="BQ1012" s="866"/>
      <c r="BR1012" s="866">
        <f>VLOOKUP(BD1012,$BD$4:$BN$12824,6,0)*BE1012</f>
        <v>0</v>
      </c>
      <c r="BS1012" s="866">
        <f>VLOOKUP(BD1012,$BD$4:$BN$12824,7,0)*BE1012</f>
        <v>0</v>
      </c>
      <c r="BT1012" s="866"/>
      <c r="BU1012" s="866">
        <f>VLOOKUP(BD1012,$BD$4:$BN$12824,9,0)*BE1012</f>
        <v>15.925330914569464</v>
      </c>
      <c r="BV1012" s="867"/>
      <c r="BW1012" s="867">
        <f>VLOOKUP(BD1012,$BD$4:$BN$12824,11,0)*BE1012</f>
        <v>16059.15722477593</v>
      </c>
      <c r="BX1012" s="1146">
        <f t="shared" si="190"/>
        <v>143281.00519624271</v>
      </c>
      <c r="BY1012" s="867">
        <f t="shared" si="189"/>
        <v>512461.70259812137</v>
      </c>
      <c r="BZ1012" s="867">
        <f t="shared" si="186"/>
        <v>1024923.4051962427</v>
      </c>
      <c r="CA1012" s="867">
        <f>_xlfn.MAXIFS($BY$4:$BY$12824,$S$4:$S$12824,$S1012)</f>
        <v>512461.70259812137</v>
      </c>
      <c r="CB1012" s="1032"/>
      <c r="CF1012" s="946">
        <f t="shared" si="188"/>
        <v>881642.4</v>
      </c>
    </row>
    <row r="1013" spans="1:84">
      <c r="A1013" s="1032"/>
      <c r="B1013" s="839" t="s">
        <v>98</v>
      </c>
      <c r="C1013" s="839" t="s">
        <v>3454</v>
      </c>
      <c r="D1013" s="839" t="s">
        <v>3559</v>
      </c>
      <c r="E1013" s="839" t="s">
        <v>3559</v>
      </c>
      <c r="F1013" s="841">
        <v>45681</v>
      </c>
      <c r="G1013" s="840" t="s">
        <v>3456</v>
      </c>
      <c r="H1013" s="842" t="s">
        <v>102</v>
      </c>
      <c r="I1013" s="842" t="s">
        <v>3560</v>
      </c>
      <c r="J1013" s="841" t="s">
        <v>3561</v>
      </c>
      <c r="K1013" s="841">
        <v>45691</v>
      </c>
      <c r="L1013" s="843" t="s">
        <v>106</v>
      </c>
      <c r="M1013" s="844" t="s">
        <v>3458</v>
      </c>
      <c r="N1013" s="841"/>
      <c r="O1013" s="841" t="s">
        <v>3459</v>
      </c>
      <c r="P1013" s="841" t="s">
        <v>3460</v>
      </c>
      <c r="Q1013" s="843"/>
      <c r="R1013" s="845" t="s">
        <v>3497</v>
      </c>
      <c r="S1013" s="1127" t="s">
        <v>3497</v>
      </c>
      <c r="T1013" s="843" t="s">
        <v>3498</v>
      </c>
      <c r="U1013" s="842">
        <v>2</v>
      </c>
      <c r="V1013" s="842" t="s">
        <v>8</v>
      </c>
      <c r="W1013" s="846">
        <v>35.51</v>
      </c>
      <c r="X1013" s="847">
        <f t="shared" si="180"/>
        <v>71.02</v>
      </c>
      <c r="Y1013" s="848">
        <v>0</v>
      </c>
      <c r="Z1013" s="849">
        <v>35.51</v>
      </c>
      <c r="AA1013" s="849"/>
      <c r="AB1013" s="849">
        <f t="shared" si="181"/>
        <v>71.02</v>
      </c>
      <c r="AC1013" s="850">
        <f t="shared" si="182"/>
        <v>71.02</v>
      </c>
      <c r="AD1013" s="851"/>
      <c r="AE1013" s="852">
        <v>25320</v>
      </c>
      <c r="AF1013" s="853"/>
      <c r="AG1013" s="854">
        <f t="shared" si="183"/>
        <v>0</v>
      </c>
      <c r="AH1013" s="853">
        <v>0.1</v>
      </c>
      <c r="AI1013" s="855">
        <f t="shared" si="184"/>
        <v>179822.64</v>
      </c>
      <c r="AJ1013" s="845" t="s">
        <v>3565</v>
      </c>
      <c r="AK1013" s="857">
        <v>45680</v>
      </c>
      <c r="AL1013" s="840"/>
      <c r="AM1013" s="840"/>
      <c r="AN1013" s="858"/>
      <c r="AO1013" s="844"/>
      <c r="AP1013" s="859">
        <v>45729</v>
      </c>
      <c r="AQ1013" s="859"/>
      <c r="AR1013" s="859">
        <v>45729</v>
      </c>
      <c r="AS1013" s="840"/>
      <c r="AT1013" s="840"/>
      <c r="AU1013" s="860"/>
      <c r="AV1013" s="839" t="s">
        <v>3566</v>
      </c>
      <c r="AW1013" s="861">
        <v>45734</v>
      </c>
      <c r="AX1013" s="862">
        <v>45734</v>
      </c>
      <c r="AY1013" s="843"/>
      <c r="AZ1013" s="842"/>
      <c r="BA1013" s="842" t="s">
        <v>120</v>
      </c>
      <c r="BB1013" s="863" t="s">
        <v>121</v>
      </c>
      <c r="BC1013" s="864">
        <v>45734</v>
      </c>
      <c r="BD1013" s="860" t="s">
        <v>3567</v>
      </c>
      <c r="BE1013" s="865" cm="1">
        <f t="array" ref="BE1013">IF(BD1013="","",AC1013/SUMPRODUCT(--(BD1013=$BD$4:$BD$12824),$AC$4:$AC$12824))</f>
        <v>5.4591295524774389E-2</v>
      </c>
      <c r="BF1013" s="458"/>
      <c r="BG1013" s="458"/>
      <c r="BH1013" s="458"/>
      <c r="BI1013" s="458"/>
      <c r="BJ1013" s="458"/>
      <c r="BK1013" s="458"/>
      <c r="BL1013" s="458"/>
      <c r="BM1013" s="458"/>
      <c r="BN1013" s="458"/>
      <c r="BO1013" s="866">
        <f>VLOOKUP(BD1013,$BD$4:$BN$12824,3,0)*BE1013</f>
        <v>259453.32067581901</v>
      </c>
      <c r="BP1013" s="866"/>
      <c r="BQ1013" s="866"/>
      <c r="BR1013" s="866">
        <f>VLOOKUP(BD1013,$BD$4:$BN$12824,6,0)*BE1013</f>
        <v>0</v>
      </c>
      <c r="BS1013" s="866">
        <f>VLOOKUP(BD1013,$BD$4:$BN$12824,7,0)*BE1013</f>
        <v>0</v>
      </c>
      <c r="BT1013" s="866"/>
      <c r="BU1013" s="866">
        <f>VLOOKUP(BD1013,$BD$4:$BN$12824,9,0)*BE1013</f>
        <v>32.481820837240761</v>
      </c>
      <c r="BV1013" s="867"/>
      <c r="BW1013" s="867">
        <f>VLOOKUP(BD1013,$BD$4:$BN$12824,11,0)*BE1013</f>
        <v>32754.777314864634</v>
      </c>
      <c r="BX1013" s="1146">
        <f t="shared" si="190"/>
        <v>292240.57981152087</v>
      </c>
      <c r="BY1013" s="867">
        <f t="shared" si="189"/>
        <v>1045233.4899057604</v>
      </c>
      <c r="BZ1013" s="867">
        <f t="shared" si="186"/>
        <v>2090466.9798115208</v>
      </c>
      <c r="CA1013" s="867">
        <f>_xlfn.MAXIFS($BY$4:$BY$12824,$S$4:$S$12824,$S1013)</f>
        <v>1045233.4899057604</v>
      </c>
      <c r="CB1013" s="1032"/>
      <c r="CF1013" s="946">
        <f t="shared" si="188"/>
        <v>1798226.4</v>
      </c>
    </row>
    <row r="1014" spans="1:84">
      <c r="A1014" s="1032"/>
      <c r="B1014" s="839" t="s">
        <v>98</v>
      </c>
      <c r="C1014" s="839" t="s">
        <v>3454</v>
      </c>
      <c r="D1014" s="839" t="s">
        <v>3559</v>
      </c>
      <c r="E1014" s="839" t="s">
        <v>3559</v>
      </c>
      <c r="F1014" s="841">
        <v>45681</v>
      </c>
      <c r="G1014" s="840" t="s">
        <v>3456</v>
      </c>
      <c r="H1014" s="842" t="s">
        <v>102</v>
      </c>
      <c r="I1014" s="842" t="s">
        <v>3560</v>
      </c>
      <c r="J1014" s="841" t="s">
        <v>3561</v>
      </c>
      <c r="K1014" s="841">
        <v>45691</v>
      </c>
      <c r="L1014" s="843"/>
      <c r="M1014" s="844" t="s">
        <v>3458</v>
      </c>
      <c r="N1014" s="841"/>
      <c r="O1014" s="841" t="s">
        <v>3459</v>
      </c>
      <c r="P1014" s="841" t="s">
        <v>124</v>
      </c>
      <c r="Q1014" s="843"/>
      <c r="R1014" s="845" t="s">
        <v>3587</v>
      </c>
      <c r="S1014" s="1127" t="s">
        <v>3587</v>
      </c>
      <c r="T1014" s="843" t="s">
        <v>3588</v>
      </c>
      <c r="U1014" s="842">
        <v>4</v>
      </c>
      <c r="V1014" s="842" t="s">
        <v>8</v>
      </c>
      <c r="W1014" s="846">
        <v>17.41</v>
      </c>
      <c r="X1014" s="847">
        <f t="shared" si="180"/>
        <v>69.64</v>
      </c>
      <c r="Y1014" s="848">
        <v>0</v>
      </c>
      <c r="Z1014" s="849">
        <v>17.41</v>
      </c>
      <c r="AA1014" s="849"/>
      <c r="AB1014" s="849">
        <f t="shared" si="181"/>
        <v>69.64</v>
      </c>
      <c r="AC1014" s="850">
        <f t="shared" si="182"/>
        <v>69.64</v>
      </c>
      <c r="AD1014" s="851"/>
      <c r="AE1014" s="852">
        <v>25320</v>
      </c>
      <c r="AF1014" s="853"/>
      <c r="AG1014" s="854">
        <f t="shared" si="183"/>
        <v>0</v>
      </c>
      <c r="AH1014" s="853">
        <v>0.1</v>
      </c>
      <c r="AI1014" s="855">
        <f t="shared" si="184"/>
        <v>176328.48</v>
      </c>
      <c r="AJ1014" s="845" t="s">
        <v>3565</v>
      </c>
      <c r="AK1014" s="857">
        <v>45680</v>
      </c>
      <c r="AL1014" s="840"/>
      <c r="AM1014" s="840"/>
      <c r="AN1014" s="858"/>
      <c r="AO1014" s="844"/>
      <c r="AP1014" s="859">
        <v>45729</v>
      </c>
      <c r="AQ1014" s="859"/>
      <c r="AR1014" s="859">
        <v>45729</v>
      </c>
      <c r="AS1014" s="840"/>
      <c r="AT1014" s="840"/>
      <c r="AU1014" s="860"/>
      <c r="AV1014" s="839" t="s">
        <v>3566</v>
      </c>
      <c r="AW1014" s="861">
        <v>45734</v>
      </c>
      <c r="AX1014" s="862">
        <v>45734</v>
      </c>
      <c r="AY1014" s="843"/>
      <c r="AZ1014" s="842"/>
      <c r="BA1014" s="842" t="s">
        <v>120</v>
      </c>
      <c r="BB1014" s="863" t="s">
        <v>121</v>
      </c>
      <c r="BC1014" s="864">
        <v>45734</v>
      </c>
      <c r="BD1014" s="860" t="s">
        <v>3567</v>
      </c>
      <c r="BE1014" s="865" cm="1">
        <f t="array" ref="BE1014">IF(BD1014="","",AC1014/SUMPRODUCT(--(BD1014=$BD$4:$BD$12824),$AC$4:$AC$12824))</f>
        <v>5.3530524082586434E-2</v>
      </c>
      <c r="BF1014" s="458"/>
      <c r="BG1014" s="458"/>
      <c r="BH1014" s="458"/>
      <c r="BI1014" s="458"/>
      <c r="BJ1014" s="458"/>
      <c r="BK1014" s="458"/>
      <c r="BL1014" s="458"/>
      <c r="BM1014" s="458"/>
      <c r="BN1014" s="458"/>
      <c r="BO1014" s="866">
        <f>VLOOKUP(BD1014,$BD$4:$BN$12824,3,0)*BE1014</f>
        <v>254411.84528110441</v>
      </c>
      <c r="BP1014" s="866"/>
      <c r="BQ1014" s="866"/>
      <c r="BR1014" s="866">
        <f>VLOOKUP(BD1014,$BD$4:$BN$12824,6,0)*BE1014</f>
        <v>0</v>
      </c>
      <c r="BS1014" s="866">
        <f>VLOOKUP(BD1014,$BD$4:$BN$12824,7,0)*BE1014</f>
        <v>0</v>
      </c>
      <c r="BT1014" s="866"/>
      <c r="BU1014" s="866">
        <f>VLOOKUP(BD1014,$BD$4:$BN$12824,9,0)*BE1014</f>
        <v>31.850661829138929</v>
      </c>
      <c r="BV1014" s="867"/>
      <c r="BW1014" s="867">
        <f>VLOOKUP(BD1014,$BD$4:$BN$12824,11,0)*BE1014</f>
        <v>32118.314449551861</v>
      </c>
      <c r="BX1014" s="1146">
        <f t="shared" si="190"/>
        <v>286562.01039248542</v>
      </c>
      <c r="BY1014" s="867">
        <f t="shared" si="189"/>
        <v>512461.70259812137</v>
      </c>
      <c r="BZ1014" s="867">
        <f t="shared" si="186"/>
        <v>2049846.8103924855</v>
      </c>
      <c r="CA1014" s="867">
        <f>_xlfn.MAXIFS($BY$4:$BY$12824,$S$4:$S$12824,$S1014)</f>
        <v>512461.70259812137</v>
      </c>
      <c r="CB1014" s="1032"/>
      <c r="CF1014" s="946">
        <f t="shared" si="188"/>
        <v>1763284.8</v>
      </c>
    </row>
    <row r="1015" spans="1:84">
      <c r="A1015" s="1032"/>
      <c r="B1015" s="839" t="s">
        <v>98</v>
      </c>
      <c r="C1015" s="839" t="s">
        <v>3454</v>
      </c>
      <c r="D1015" s="839" t="s">
        <v>3559</v>
      </c>
      <c r="E1015" s="839" t="s">
        <v>3559</v>
      </c>
      <c r="F1015" s="841">
        <v>45681</v>
      </c>
      <c r="G1015" s="840" t="s">
        <v>3456</v>
      </c>
      <c r="H1015" s="842" t="s">
        <v>102</v>
      </c>
      <c r="I1015" s="842" t="s">
        <v>3560</v>
      </c>
      <c r="J1015" s="841" t="s">
        <v>3561</v>
      </c>
      <c r="K1015" s="841">
        <v>45691</v>
      </c>
      <c r="L1015" s="843"/>
      <c r="M1015" s="844" t="s">
        <v>3458</v>
      </c>
      <c r="N1015" s="841"/>
      <c r="O1015" s="841" t="s">
        <v>3459</v>
      </c>
      <c r="P1015" s="841" t="s">
        <v>2088</v>
      </c>
      <c r="Q1015" s="843"/>
      <c r="R1015" s="845" t="s">
        <v>3589</v>
      </c>
      <c r="S1015" s="1127" t="s">
        <v>3590</v>
      </c>
      <c r="T1015" s="843" t="s">
        <v>3591</v>
      </c>
      <c r="U1015" s="842">
        <v>18</v>
      </c>
      <c r="V1015" s="842" t="s">
        <v>8</v>
      </c>
      <c r="W1015" s="846">
        <v>35.51</v>
      </c>
      <c r="X1015" s="847">
        <f t="shared" si="180"/>
        <v>639.17999999999995</v>
      </c>
      <c r="Y1015" s="848">
        <v>0</v>
      </c>
      <c r="Z1015" s="849">
        <v>7.51</v>
      </c>
      <c r="AA1015" s="849"/>
      <c r="AB1015" s="849">
        <f t="shared" si="181"/>
        <v>135.18</v>
      </c>
      <c r="AC1015" s="850">
        <f t="shared" si="182"/>
        <v>135.18</v>
      </c>
      <c r="AD1015" s="851"/>
      <c r="AE1015" s="852">
        <v>25320</v>
      </c>
      <c r="AF1015" s="853"/>
      <c r="AG1015" s="854">
        <f t="shared" si="183"/>
        <v>0</v>
      </c>
      <c r="AH1015" s="853">
        <v>0.1</v>
      </c>
      <c r="AI1015" s="855">
        <f t="shared" si="184"/>
        <v>342275.76</v>
      </c>
      <c r="AJ1015" s="845" t="s">
        <v>3565</v>
      </c>
      <c r="AK1015" s="857">
        <v>45680</v>
      </c>
      <c r="AL1015" s="840"/>
      <c r="AM1015" s="840"/>
      <c r="AN1015" s="858"/>
      <c r="AO1015" s="844"/>
      <c r="AP1015" s="859">
        <v>45729</v>
      </c>
      <c r="AQ1015" s="859"/>
      <c r="AR1015" s="859">
        <v>45729</v>
      </c>
      <c r="AS1015" s="840"/>
      <c r="AT1015" s="840"/>
      <c r="AU1015" s="860"/>
      <c r="AV1015" s="839" t="s">
        <v>3566</v>
      </c>
      <c r="AW1015" s="861">
        <v>45734</v>
      </c>
      <c r="AX1015" s="862">
        <v>45734</v>
      </c>
      <c r="AY1015" s="843"/>
      <c r="AZ1015" s="842"/>
      <c r="BA1015" s="842" t="s">
        <v>120</v>
      </c>
      <c r="BB1015" s="863" t="s">
        <v>121</v>
      </c>
      <c r="BC1015" s="864">
        <v>45734</v>
      </c>
      <c r="BD1015" s="860" t="s">
        <v>3567</v>
      </c>
      <c r="BE1015" s="865" cm="1">
        <f t="array" ref="BE1015">IF(BD1015="","",AC1015/SUMPRODUCT(--(BD1015=$BD$4:$BD$12824),$AC$4:$AC$12824))</f>
        <v>0.1039094808369333</v>
      </c>
      <c r="BF1015" s="458"/>
      <c r="BG1015" s="458"/>
      <c r="BH1015" s="458"/>
      <c r="BI1015" s="458"/>
      <c r="BJ1015" s="458"/>
      <c r="BK1015" s="458"/>
      <c r="BL1015" s="458"/>
      <c r="BM1015" s="458"/>
      <c r="BN1015" s="458"/>
      <c r="BO1015" s="866">
        <f>VLOOKUP(BD1015,$BD$4:$BN$12824,3,0)*BE1015</f>
        <v>493845.39409965102</v>
      </c>
      <c r="BP1015" s="866"/>
      <c r="BQ1015" s="866"/>
      <c r="BR1015" s="866">
        <f>VLOOKUP(BD1015,$BD$4:$BN$12824,6,0)*BE1015</f>
        <v>0</v>
      </c>
      <c r="BS1015" s="866">
        <f>VLOOKUP(BD1015,$BD$4:$BN$12824,7,0)*BE1015</f>
        <v>0</v>
      </c>
      <c r="BT1015" s="866"/>
      <c r="BU1015" s="866">
        <f>VLOOKUP(BD1015,$BD$4:$BN$12824,9,0)*BE1015</f>
        <v>61.826141097975309</v>
      </c>
      <c r="BV1015" s="867"/>
      <c r="BW1015" s="867">
        <f>VLOOKUP(BD1015,$BD$4:$BN$12824,11,0)*BE1015</f>
        <v>62345.688502159981</v>
      </c>
      <c r="BX1015" s="1146">
        <f t="shared" si="190"/>
        <v>556252.90874290897</v>
      </c>
      <c r="BY1015" s="867">
        <f t="shared" si="189"/>
        <v>221056.13937460605</v>
      </c>
      <c r="BZ1015" s="867">
        <f t="shared" si="186"/>
        <v>3979010.5087429089</v>
      </c>
      <c r="CA1015" s="867">
        <f>_xlfn.MAXIFS($BY$4:$BY$12824,$S$4:$S$12824,$S1015)</f>
        <v>221056.13937460605</v>
      </c>
      <c r="CB1015" s="1032"/>
      <c r="CF1015" s="946">
        <f t="shared" si="188"/>
        <v>3422757.6</v>
      </c>
    </row>
    <row r="1016" spans="1:84">
      <c r="A1016" s="1032"/>
      <c r="B1016" s="839" t="s">
        <v>98</v>
      </c>
      <c r="C1016" s="839" t="s">
        <v>3454</v>
      </c>
      <c r="D1016" s="839" t="s">
        <v>3559</v>
      </c>
      <c r="E1016" s="839" t="s">
        <v>3559</v>
      </c>
      <c r="F1016" s="841">
        <v>45681</v>
      </c>
      <c r="G1016" s="840" t="s">
        <v>3456</v>
      </c>
      <c r="H1016" s="842" t="s">
        <v>102</v>
      </c>
      <c r="I1016" s="842" t="s">
        <v>3560</v>
      </c>
      <c r="J1016" s="841" t="s">
        <v>3561</v>
      </c>
      <c r="K1016" s="841">
        <v>45691</v>
      </c>
      <c r="L1016" s="843"/>
      <c r="M1016" s="844" t="s">
        <v>3458</v>
      </c>
      <c r="N1016" s="841"/>
      <c r="O1016" s="841" t="s">
        <v>3459</v>
      </c>
      <c r="P1016" s="841" t="s">
        <v>2088</v>
      </c>
      <c r="Q1016" s="843"/>
      <c r="R1016" s="845" t="s">
        <v>3592</v>
      </c>
      <c r="S1016" s="1127" t="s">
        <v>3593</v>
      </c>
      <c r="T1016" s="843" t="s">
        <v>3594</v>
      </c>
      <c r="U1016" s="842">
        <v>20</v>
      </c>
      <c r="V1016" s="842" t="s">
        <v>8</v>
      </c>
      <c r="W1016" s="846">
        <v>7.73</v>
      </c>
      <c r="X1016" s="847">
        <f t="shared" si="180"/>
        <v>154.60000000000002</v>
      </c>
      <c r="Y1016" s="848">
        <v>0</v>
      </c>
      <c r="Z1016" s="849">
        <v>7.73</v>
      </c>
      <c r="AA1016" s="849"/>
      <c r="AB1016" s="849">
        <f t="shared" si="181"/>
        <v>154.60000000000002</v>
      </c>
      <c r="AC1016" s="850">
        <f t="shared" si="182"/>
        <v>154.60000000000002</v>
      </c>
      <c r="AD1016" s="851"/>
      <c r="AE1016" s="852">
        <v>25320</v>
      </c>
      <c r="AF1016" s="853"/>
      <c r="AG1016" s="854">
        <f t="shared" si="183"/>
        <v>0</v>
      </c>
      <c r="AH1016" s="853">
        <v>0.1</v>
      </c>
      <c r="AI1016" s="855">
        <f t="shared" si="184"/>
        <v>391447.20000000007</v>
      </c>
      <c r="AJ1016" s="845" t="s">
        <v>3565</v>
      </c>
      <c r="AK1016" s="857">
        <v>45680</v>
      </c>
      <c r="AL1016" s="840"/>
      <c r="AM1016" s="840"/>
      <c r="AN1016" s="858"/>
      <c r="AO1016" s="844"/>
      <c r="AP1016" s="859">
        <v>45729</v>
      </c>
      <c r="AQ1016" s="859"/>
      <c r="AR1016" s="859">
        <v>45729</v>
      </c>
      <c r="AS1016" s="840"/>
      <c r="AT1016" s="840"/>
      <c r="AU1016" s="860"/>
      <c r="AV1016" s="839" t="s">
        <v>3566</v>
      </c>
      <c r="AW1016" s="861">
        <v>45734</v>
      </c>
      <c r="AX1016" s="862">
        <v>45734</v>
      </c>
      <c r="AY1016" s="843"/>
      <c r="AZ1016" s="842"/>
      <c r="BA1016" s="842" t="s">
        <v>120</v>
      </c>
      <c r="BB1016" s="863" t="s">
        <v>121</v>
      </c>
      <c r="BC1016" s="864">
        <v>45734</v>
      </c>
      <c r="BD1016" s="860" t="s">
        <v>3567</v>
      </c>
      <c r="BE1016" s="865" cm="1">
        <f t="array" ref="BE1016">IF(BD1016="","",AC1016/SUMPRODUCT(--(BD1016=$BD$4:$BD$12824),$AC$4:$AC$12824))</f>
        <v>0.11883714852337542</v>
      </c>
      <c r="BF1016" s="458"/>
      <c r="BG1016" s="458"/>
      <c r="BH1016" s="458"/>
      <c r="BI1016" s="458"/>
      <c r="BJ1016" s="458"/>
      <c r="BK1016" s="458"/>
      <c r="BL1016" s="458"/>
      <c r="BM1016" s="458"/>
      <c r="BN1016" s="458"/>
      <c r="BO1016" s="866">
        <f>VLOOKUP(BD1016,$BD$4:$BN$12824,3,0)*BE1016</f>
        <v>564791.37392962014</v>
      </c>
      <c r="BP1016" s="866"/>
      <c r="BQ1016" s="866"/>
      <c r="BR1016" s="866">
        <f>VLOOKUP(BD1016,$BD$4:$BN$12824,6,0)*BE1016</f>
        <v>0</v>
      </c>
      <c r="BS1016" s="866">
        <f>VLOOKUP(BD1016,$BD$4:$BN$12824,7,0)*BE1016</f>
        <v>0</v>
      </c>
      <c r="BT1016" s="866"/>
      <c r="BU1016" s="866">
        <f>VLOOKUP(BD1016,$BD$4:$BN$12824,9,0)*BE1016</f>
        <v>70.70810337140837</v>
      </c>
      <c r="BV1016" s="867"/>
      <c r="BW1016" s="867">
        <f>VLOOKUP(BD1016,$BD$4:$BN$12824,11,0)*BE1016</f>
        <v>71302.289114025247</v>
      </c>
      <c r="BX1016" s="1146">
        <f t="shared" si="190"/>
        <v>636164.37114701676</v>
      </c>
      <c r="BY1016" s="867">
        <f t="shared" si="189"/>
        <v>227531.81855735084</v>
      </c>
      <c r="BZ1016" s="867">
        <f t="shared" si="186"/>
        <v>4550636.371147017</v>
      </c>
      <c r="CA1016" s="867">
        <f>_xlfn.MAXIFS($BY$4:$BY$12824,$S$4:$S$12824,$S1016)</f>
        <v>227531.81855735084</v>
      </c>
      <c r="CB1016" s="1032"/>
      <c r="CF1016" s="946">
        <f t="shared" si="188"/>
        <v>3914472.0000000005</v>
      </c>
    </row>
    <row r="1017" spans="1:84">
      <c r="A1017" s="1032"/>
      <c r="B1017" s="839" t="s">
        <v>98</v>
      </c>
      <c r="C1017" s="839" t="s">
        <v>254</v>
      </c>
      <c r="D1017" s="839" t="s">
        <v>3418</v>
      </c>
      <c r="E1017" s="839" t="s">
        <v>3419</v>
      </c>
      <c r="F1017" s="841">
        <v>45394</v>
      </c>
      <c r="G1017" s="840" t="s">
        <v>254</v>
      </c>
      <c r="H1017" s="842" t="s">
        <v>102</v>
      </c>
      <c r="I1017" s="842" t="s">
        <v>3344</v>
      </c>
      <c r="J1017" s="841" t="s">
        <v>3345</v>
      </c>
      <c r="K1017" s="841">
        <v>45750</v>
      </c>
      <c r="L1017" s="843" t="s">
        <v>106</v>
      </c>
      <c r="M1017" s="844" t="s">
        <v>107</v>
      </c>
      <c r="N1017" s="841"/>
      <c r="O1017" s="841" t="s">
        <v>108</v>
      </c>
      <c r="P1017" s="841" t="s">
        <v>269</v>
      </c>
      <c r="Q1017" s="843"/>
      <c r="R1017" s="845" t="s">
        <v>3595</v>
      </c>
      <c r="S1017" s="1127" t="s">
        <v>3596</v>
      </c>
      <c r="T1017" s="843" t="s">
        <v>3597</v>
      </c>
      <c r="U1017" s="842">
        <v>1</v>
      </c>
      <c r="V1017" s="842" t="s">
        <v>3</v>
      </c>
      <c r="W1017" s="846">
        <v>3770</v>
      </c>
      <c r="X1017" s="847">
        <f t="shared" si="180"/>
        <v>3770</v>
      </c>
      <c r="Y1017" s="848">
        <f t="shared" ref="Y1017:Y1027" si="191">(W1017-Z1017)/W1017</f>
        <v>0.48129973474801063</v>
      </c>
      <c r="Z1017" s="849">
        <v>1955.5</v>
      </c>
      <c r="AA1017" s="849"/>
      <c r="AB1017" s="849">
        <f t="shared" si="181"/>
        <v>1955.5</v>
      </c>
      <c r="AC1017" s="850">
        <f t="shared" si="182"/>
        <v>1955.5</v>
      </c>
      <c r="AD1017" s="851"/>
      <c r="AE1017" s="852">
        <v>26123.86</v>
      </c>
      <c r="AF1017" s="853">
        <v>0</v>
      </c>
      <c r="AG1017" s="854">
        <f t="shared" si="183"/>
        <v>0</v>
      </c>
      <c r="AH1017" s="853">
        <v>0.1</v>
      </c>
      <c r="AI1017" s="855">
        <f t="shared" si="184"/>
        <v>5718693.4230000004</v>
      </c>
      <c r="AJ1017" s="845" t="s">
        <v>3598</v>
      </c>
      <c r="AK1017" s="857">
        <v>45840</v>
      </c>
      <c r="AL1017" s="840" t="s">
        <v>3599</v>
      </c>
      <c r="AM1017" s="840"/>
      <c r="AN1017" s="858"/>
      <c r="AO1017" s="844" t="s">
        <v>116</v>
      </c>
      <c r="AP1017" s="859"/>
      <c r="AQ1017" s="859" t="s">
        <v>3600</v>
      </c>
      <c r="AR1017" s="859" t="s">
        <v>3601</v>
      </c>
      <c r="AS1017" s="840"/>
      <c r="AT1017" s="840"/>
      <c r="AU1017" s="860" t="s">
        <v>3602</v>
      </c>
      <c r="AV1017" s="839" t="s">
        <v>3603</v>
      </c>
      <c r="AW1017" s="861">
        <v>45705</v>
      </c>
      <c r="AX1017" s="862" t="s">
        <v>3604</v>
      </c>
      <c r="AY1017" s="843"/>
      <c r="AZ1017" s="842"/>
      <c r="BA1017" s="842" t="s">
        <v>120</v>
      </c>
      <c r="BB1017" s="863" t="s">
        <v>121</v>
      </c>
      <c r="BC1017" s="864">
        <v>45707</v>
      </c>
      <c r="BD1017" s="860" t="s">
        <v>3605</v>
      </c>
      <c r="BE1017" s="865" cm="1">
        <f t="array" ref="BE1017">IF(BD1017="","",AC1017/SUMPRODUCT(--(BD1017=$BD$4:$BD$12824),$AC$4:$AC$12824))</f>
        <v>1</v>
      </c>
      <c r="BF1017" s="458">
        <f>5198780+902946</f>
        <v>6101726</v>
      </c>
      <c r="BG1017" s="458"/>
      <c r="BH1017" s="458"/>
      <c r="BI1017" s="458">
        <f>1185106/1.08</f>
        <v>1097320.3703703703</v>
      </c>
      <c r="BJ1017" s="458"/>
      <c r="BK1017" s="458">
        <f>1182038/1.08</f>
        <v>1094479.6296296297</v>
      </c>
      <c r="BL1017" s="458"/>
      <c r="BM1017" s="458"/>
      <c r="BN1017" s="458">
        <f>1296000/1.08</f>
        <v>1200000</v>
      </c>
      <c r="BO1017" s="866">
        <f>VLOOKUP(BD1017,$BD$4:$BN$12824,3,0)*BE1017</f>
        <v>6101726</v>
      </c>
      <c r="BP1017" s="866"/>
      <c r="BQ1017" s="866"/>
      <c r="BR1017" s="866">
        <f>VLOOKUP(BD1017,$BD$4:$BN$12824,6,0)*BE1017</f>
        <v>1097320.3703703703</v>
      </c>
      <c r="BS1017" s="866">
        <f>VLOOKUP(BD1017,$BD$4:$BN$12824,7,0)*BE1017</f>
        <v>0</v>
      </c>
      <c r="BT1017" s="866"/>
      <c r="BU1017" s="866">
        <f>VLOOKUP(BD1017,$BD$4:$BN$12824,9,0)*BE1017</f>
        <v>0</v>
      </c>
      <c r="BV1017" s="867"/>
      <c r="BW1017" s="867">
        <f>VLOOKUP(BD1017,$BD$4:$BN$12824,11,0)*BE1017</f>
        <v>1200000</v>
      </c>
      <c r="BX1017" s="1146">
        <f>SUM(BO1017:BW1017)</f>
        <v>8399046.3703703694</v>
      </c>
      <c r="BY1017" s="867">
        <f t="shared" si="189"/>
        <v>59484254.600370377</v>
      </c>
      <c r="BZ1017" s="867">
        <f t="shared" si="186"/>
        <v>59484254.600370377</v>
      </c>
      <c r="CA1017" s="867">
        <f>_xlfn.MAXIFS($BY$4:$BY$12824,$S$4:$S$12824,$S1017)</f>
        <v>59484254.600370377</v>
      </c>
      <c r="CB1017" s="1032"/>
      <c r="CF1017" s="946">
        <f t="shared" si="188"/>
        <v>51085208.230000004</v>
      </c>
    </row>
    <row r="1018" spans="1:84">
      <c r="A1018" s="1032"/>
      <c r="B1018" s="839" t="s">
        <v>98</v>
      </c>
      <c r="C1018" s="839" t="s">
        <v>2689</v>
      </c>
      <c r="D1018" s="839" t="s">
        <v>2690</v>
      </c>
      <c r="E1018" s="839" t="str">
        <f>D1018</f>
        <v>SC-NNH-VT-2024-001</v>
      </c>
      <c r="F1018" s="841">
        <v>45451</v>
      </c>
      <c r="G1018" s="840" t="s">
        <v>2689</v>
      </c>
      <c r="H1018" s="842" t="s">
        <v>134</v>
      </c>
      <c r="I1018" s="842"/>
      <c r="J1018" s="841"/>
      <c r="K1018" s="841"/>
      <c r="L1018" s="843" t="s">
        <v>106</v>
      </c>
      <c r="M1018" s="844" t="s">
        <v>3606</v>
      </c>
      <c r="N1018" s="841"/>
      <c r="O1018" s="841" t="s">
        <v>135</v>
      </c>
      <c r="P1018" s="841" t="s">
        <v>186</v>
      </c>
      <c r="Q1018" s="843"/>
      <c r="R1018" s="845" t="s">
        <v>3607</v>
      </c>
      <c r="S1018" s="1127" t="s">
        <v>3608</v>
      </c>
      <c r="T1018" s="843" t="s">
        <v>3609</v>
      </c>
      <c r="U1018" s="842">
        <v>20</v>
      </c>
      <c r="V1018" s="842" t="s">
        <v>3</v>
      </c>
      <c r="W1018" s="846">
        <v>75</v>
      </c>
      <c r="X1018" s="847">
        <f t="shared" si="180"/>
        <v>1500</v>
      </c>
      <c r="Y1018" s="848">
        <f t="shared" si="191"/>
        <v>0.55000000000000004</v>
      </c>
      <c r="Z1018" s="849">
        <v>33.75</v>
      </c>
      <c r="AA1018" s="849"/>
      <c r="AB1018" s="849">
        <f t="shared" si="181"/>
        <v>675</v>
      </c>
      <c r="AC1018" s="850">
        <f t="shared" si="182"/>
        <v>675</v>
      </c>
      <c r="AD1018" s="851"/>
      <c r="AE1018" s="852">
        <v>26192.75</v>
      </c>
      <c r="AF1018" s="853">
        <v>4.1000000000000002E-2</v>
      </c>
      <c r="AG1018" s="854">
        <f t="shared" si="183"/>
        <v>724884.35625000007</v>
      </c>
      <c r="AH1018" s="853">
        <v>0.1</v>
      </c>
      <c r="AI1018" s="855">
        <f t="shared" si="184"/>
        <v>1840499.0606249999</v>
      </c>
      <c r="AJ1018" s="845" t="s">
        <v>3610</v>
      </c>
      <c r="AK1018" s="857">
        <v>45577</v>
      </c>
      <c r="AL1018" s="840" t="s">
        <v>3611</v>
      </c>
      <c r="AM1018" s="840"/>
      <c r="AN1018" s="858"/>
      <c r="AO1018" s="844" t="s">
        <v>141</v>
      </c>
      <c r="AP1018" s="859" t="s">
        <v>2702</v>
      </c>
      <c r="AQ1018" s="859"/>
      <c r="AR1018" s="859" t="s">
        <v>3612</v>
      </c>
      <c r="AS1018" s="840"/>
      <c r="AT1018" s="840"/>
      <c r="AU1018" s="860" t="s">
        <v>1849</v>
      </c>
      <c r="AV1018" s="839" t="s">
        <v>3613</v>
      </c>
      <c r="AW1018" s="861">
        <v>45713</v>
      </c>
      <c r="AX1018" s="862" t="s">
        <v>3614</v>
      </c>
      <c r="AY1018" s="843"/>
      <c r="AZ1018" s="842"/>
      <c r="BA1018" s="842" t="s">
        <v>120</v>
      </c>
      <c r="BB1018" s="863" t="s">
        <v>121</v>
      </c>
      <c r="BC1018" s="864">
        <v>45714</v>
      </c>
      <c r="BD1018" s="860" t="s">
        <v>3615</v>
      </c>
      <c r="BE1018" s="865" cm="1">
        <f t="array" ref="BE1018">IF(BD1018="","",AC1018/SUMPRODUCT(--(BD1018=$BD$4:$BD$12824),$AC$4:$AC$12824))</f>
        <v>6.6651855143301492E-2</v>
      </c>
      <c r="BF1018" s="458"/>
      <c r="BG1018" s="458"/>
      <c r="BH1018" s="458"/>
      <c r="BI1018" s="458">
        <f>1800000+11526662</f>
        <v>13326662</v>
      </c>
      <c r="BJ1018" s="458"/>
      <c r="BK1018" s="458"/>
      <c r="BL1018" s="458"/>
      <c r="BM1018" s="458"/>
      <c r="BN1018" s="458">
        <v>600000</v>
      </c>
      <c r="BO1018" s="866">
        <f>VLOOKUP(BD1018,$BD$4:$BN$12824,3,0)*BE1018</f>
        <v>0</v>
      </c>
      <c r="BP1018" s="866"/>
      <c r="BQ1018" s="866"/>
      <c r="BR1018" s="866">
        <f>VLOOKUP(BD1018,$BD$4:$BN$12824,6,0)*BE1018</f>
        <v>888246.7451677405</v>
      </c>
      <c r="BS1018" s="866">
        <f>VLOOKUP(BD1018,$BD$4:$BN$12824,7,0)*BE1018</f>
        <v>0</v>
      </c>
      <c r="BT1018" s="866"/>
      <c r="BU1018" s="866">
        <f>VLOOKUP(BD1018,$BD$4:$BN$12824,9,0)*BE1018</f>
        <v>0</v>
      </c>
      <c r="BV1018" s="867"/>
      <c r="BW1018" s="867">
        <f>VLOOKUP(BD1018,$BD$4:$BN$12824,11,0)*BE1018</f>
        <v>39991.113085980898</v>
      </c>
      <c r="BX1018" s="1146">
        <f>SUM(BO1018:BW1018)</f>
        <v>928237.85825372138</v>
      </c>
      <c r="BY1018" s="867">
        <f>(AB1018*AE1018+AG1018+BX1018)/U1018</f>
        <v>966661.42322518607</v>
      </c>
      <c r="BZ1018" s="867">
        <f t="shared" si="186"/>
        <v>19333228.46450372</v>
      </c>
      <c r="CA1018" s="867">
        <f>_xlfn.MAXIFS($BY$4:$BY$12824,$S$4:$S$12824,$S1018)</f>
        <v>966661.42322518607</v>
      </c>
      <c r="CB1018" s="1032"/>
      <c r="CF1018" s="946">
        <f t="shared" si="188"/>
        <v>17680106.25</v>
      </c>
    </row>
    <row r="1019" spans="1:84">
      <c r="A1019" s="1032"/>
      <c r="B1019" s="839" t="s">
        <v>98</v>
      </c>
      <c r="C1019" s="839" t="s">
        <v>2689</v>
      </c>
      <c r="D1019" s="839" t="s">
        <v>2690</v>
      </c>
      <c r="E1019" s="839" t="str">
        <f>D1019</f>
        <v>SC-NNH-VT-2024-001</v>
      </c>
      <c r="F1019" s="841">
        <v>45451</v>
      </c>
      <c r="G1019" s="840" t="s">
        <v>2689</v>
      </c>
      <c r="H1019" s="842" t="s">
        <v>134</v>
      </c>
      <c r="I1019" s="842"/>
      <c r="J1019" s="841"/>
      <c r="K1019" s="841"/>
      <c r="L1019" s="843" t="s">
        <v>106</v>
      </c>
      <c r="M1019" s="844" t="s">
        <v>3606</v>
      </c>
      <c r="N1019" s="841"/>
      <c r="O1019" s="841" t="s">
        <v>150</v>
      </c>
      <c r="P1019" s="841" t="s">
        <v>384</v>
      </c>
      <c r="Q1019" s="843"/>
      <c r="R1019" s="845"/>
      <c r="S1019" s="1127" t="s">
        <v>3616</v>
      </c>
      <c r="T1019" s="843" t="s">
        <v>3617</v>
      </c>
      <c r="U1019" s="842">
        <v>1</v>
      </c>
      <c r="V1019" s="842" t="s">
        <v>3</v>
      </c>
      <c r="W1019" s="846">
        <v>12206</v>
      </c>
      <c r="X1019" s="847">
        <f t="shared" si="180"/>
        <v>12206</v>
      </c>
      <c r="Y1019" s="848">
        <f t="shared" si="191"/>
        <v>0.55000000000000004</v>
      </c>
      <c r="Z1019" s="849">
        <v>5492.7</v>
      </c>
      <c r="AA1019" s="849"/>
      <c r="AB1019" s="849">
        <f t="shared" si="181"/>
        <v>5492.7</v>
      </c>
      <c r="AC1019" s="850">
        <f t="shared" si="182"/>
        <v>5492.7</v>
      </c>
      <c r="AD1019" s="851"/>
      <c r="AE1019" s="852">
        <v>26192.75</v>
      </c>
      <c r="AF1019" s="853">
        <v>0</v>
      </c>
      <c r="AG1019" s="854">
        <f t="shared" si="183"/>
        <v>0</v>
      </c>
      <c r="AH1019" s="853">
        <v>0.08</v>
      </c>
      <c r="AI1019" s="855">
        <f t="shared" si="184"/>
        <v>11509513.433999998</v>
      </c>
      <c r="AJ1019" s="845" t="s">
        <v>3610</v>
      </c>
      <c r="AK1019" s="857">
        <v>45577</v>
      </c>
      <c r="AL1019" s="840" t="s">
        <v>3611</v>
      </c>
      <c r="AM1019" s="840"/>
      <c r="AN1019" s="858"/>
      <c r="AO1019" s="844" t="s">
        <v>141</v>
      </c>
      <c r="AP1019" s="859" t="s">
        <v>2702</v>
      </c>
      <c r="AQ1019" s="859"/>
      <c r="AR1019" s="859" t="s">
        <v>3612</v>
      </c>
      <c r="AS1019" s="840"/>
      <c r="AT1019" s="840"/>
      <c r="AU1019" s="860" t="s">
        <v>1849</v>
      </c>
      <c r="AV1019" s="839" t="s">
        <v>3613</v>
      </c>
      <c r="AW1019" s="861">
        <v>45713</v>
      </c>
      <c r="AX1019" s="862" t="s">
        <v>3614</v>
      </c>
      <c r="AY1019" s="843"/>
      <c r="AZ1019" s="842"/>
      <c r="BA1019" s="842" t="s">
        <v>120</v>
      </c>
      <c r="BB1019" s="863" t="s">
        <v>121</v>
      </c>
      <c r="BC1019" s="864">
        <v>45714</v>
      </c>
      <c r="BD1019" s="860" t="s">
        <v>3615</v>
      </c>
      <c r="BE1019" s="865" cm="1">
        <f t="array" ref="BE1019">IF(BD1019="","",AC1019/SUMPRODUCT(--(BD1019=$BD$4:$BD$12824),$AC$4:$AC$12824))</f>
        <v>0.542368362586092</v>
      </c>
      <c r="BF1019" s="458"/>
      <c r="BG1019" s="458"/>
      <c r="BH1019" s="458"/>
      <c r="BI1019" s="458"/>
      <c r="BJ1019" s="458"/>
      <c r="BK1019" s="458"/>
      <c r="BL1019" s="458"/>
      <c r="BM1019" s="458"/>
      <c r="BN1019" s="458"/>
      <c r="BO1019" s="866">
        <f>VLOOKUP(BD1019,$BD$4:$BN$12824,3,0)*BE1019</f>
        <v>0</v>
      </c>
      <c r="BP1019" s="866"/>
      <c r="BQ1019" s="866"/>
      <c r="BR1019" s="866">
        <f>VLOOKUP(BD1019,$BD$4:$BN$12824,6,0)*BE1019</f>
        <v>7227959.8476782944</v>
      </c>
      <c r="BS1019" s="866">
        <f>VLOOKUP(BD1019,$BD$4:$BN$12824,7,0)*BE1019</f>
        <v>0</v>
      </c>
      <c r="BT1019" s="866"/>
      <c r="BU1019" s="866">
        <f>VLOOKUP(BD1019,$BD$4:$BN$12824,9,0)*BE1019</f>
        <v>0</v>
      </c>
      <c r="BV1019" s="867"/>
      <c r="BW1019" s="867">
        <f>VLOOKUP(BD1019,$BD$4:$BN$12824,11,0)*BE1019</f>
        <v>325421.01755165518</v>
      </c>
      <c r="BX1019" s="1146">
        <f t="shared" si="185"/>
        <v>7553380.8652299494</v>
      </c>
      <c r="BY1019" s="867">
        <f t="shared" si="189"/>
        <v>151422298.79022992</v>
      </c>
      <c r="BZ1019" s="867">
        <f t="shared" si="186"/>
        <v>151422298.79022992</v>
      </c>
      <c r="CA1019" s="867">
        <f>_xlfn.MAXIFS($BY$4:$BY$12824,$S$4:$S$12824,$S1019)</f>
        <v>151422298.79022992</v>
      </c>
      <c r="CB1019" s="1032"/>
      <c r="CF1019" s="946">
        <f t="shared" si="188"/>
        <v>143868917.92499998</v>
      </c>
    </row>
    <row r="1020" spans="1:84">
      <c r="A1020" s="1032"/>
      <c r="B1020" s="839" t="s">
        <v>98</v>
      </c>
      <c r="C1020" s="839" t="s">
        <v>2689</v>
      </c>
      <c r="D1020" s="839" t="s">
        <v>2690</v>
      </c>
      <c r="E1020" s="839" t="str">
        <f>D1020</f>
        <v>SC-NNH-VT-2024-001</v>
      </c>
      <c r="F1020" s="841">
        <v>45451</v>
      </c>
      <c r="G1020" s="840" t="s">
        <v>2689</v>
      </c>
      <c r="H1020" s="842" t="s">
        <v>134</v>
      </c>
      <c r="I1020" s="842"/>
      <c r="J1020" s="841"/>
      <c r="K1020" s="841"/>
      <c r="L1020" s="843" t="s">
        <v>106</v>
      </c>
      <c r="M1020" s="844" t="s">
        <v>3606</v>
      </c>
      <c r="N1020" s="841"/>
      <c r="O1020" s="841" t="s">
        <v>150</v>
      </c>
      <c r="P1020" s="841" t="s">
        <v>384</v>
      </c>
      <c r="Q1020" s="843"/>
      <c r="R1020" s="845"/>
      <c r="S1020" s="1127" t="s">
        <v>3618</v>
      </c>
      <c r="T1020" s="843" t="s">
        <v>3619</v>
      </c>
      <c r="U1020" s="842">
        <v>1</v>
      </c>
      <c r="V1020" s="842" t="s">
        <v>3</v>
      </c>
      <c r="W1020" s="846">
        <v>6729</v>
      </c>
      <c r="X1020" s="847">
        <f t="shared" si="180"/>
        <v>6729</v>
      </c>
      <c r="Y1020" s="848">
        <f t="shared" si="191"/>
        <v>0.54999999999999993</v>
      </c>
      <c r="Z1020" s="849">
        <v>3028.05</v>
      </c>
      <c r="AA1020" s="849"/>
      <c r="AB1020" s="849">
        <f t="shared" si="181"/>
        <v>3028.05</v>
      </c>
      <c r="AC1020" s="850">
        <f t="shared" si="182"/>
        <v>3028.05</v>
      </c>
      <c r="AD1020" s="851"/>
      <c r="AE1020" s="852">
        <v>26192.75</v>
      </c>
      <c r="AF1020" s="853">
        <v>0</v>
      </c>
      <c r="AG1020" s="854">
        <f t="shared" si="183"/>
        <v>0</v>
      </c>
      <c r="AH1020" s="853">
        <v>0.08</v>
      </c>
      <c r="AI1020" s="855">
        <f t="shared" si="184"/>
        <v>6345036.5310000004</v>
      </c>
      <c r="AJ1020" s="845" t="s">
        <v>3610</v>
      </c>
      <c r="AK1020" s="857">
        <v>45577</v>
      </c>
      <c r="AL1020" s="840" t="s">
        <v>3611</v>
      </c>
      <c r="AM1020" s="840"/>
      <c r="AN1020" s="858"/>
      <c r="AO1020" s="844" t="s">
        <v>141</v>
      </c>
      <c r="AP1020" s="859" t="s">
        <v>2702</v>
      </c>
      <c r="AQ1020" s="859"/>
      <c r="AR1020" s="859" t="s">
        <v>3612</v>
      </c>
      <c r="AS1020" s="840"/>
      <c r="AT1020" s="840"/>
      <c r="AU1020" s="860" t="s">
        <v>1849</v>
      </c>
      <c r="AV1020" s="839" t="s">
        <v>3613</v>
      </c>
      <c r="AW1020" s="861">
        <v>45713</v>
      </c>
      <c r="AX1020" s="862" t="s">
        <v>3614</v>
      </c>
      <c r="AY1020" s="843"/>
      <c r="AZ1020" s="842"/>
      <c r="BA1020" s="842" t="s">
        <v>120</v>
      </c>
      <c r="BB1020" s="863" t="s">
        <v>121</v>
      </c>
      <c r="BC1020" s="864">
        <v>45714</v>
      </c>
      <c r="BD1020" s="860" t="s">
        <v>3615</v>
      </c>
      <c r="BE1020" s="865" cm="1">
        <f t="array" ref="BE1020">IF(BD1020="","",AC1020/SUMPRODUCT(--(BD1020=$BD$4:$BD$12824),$AC$4:$AC$12824))</f>
        <v>0.29900022217285049</v>
      </c>
      <c r="BF1020" s="458"/>
      <c r="BG1020" s="458"/>
      <c r="BH1020" s="458"/>
      <c r="BI1020" s="458"/>
      <c r="BJ1020" s="458"/>
      <c r="BK1020" s="458"/>
      <c r="BL1020" s="458"/>
      <c r="BM1020" s="458"/>
      <c r="BN1020" s="458"/>
      <c r="BO1020" s="866">
        <f>VLOOKUP(BD1020,$BD$4:$BN$12824,3,0)*BE1020</f>
        <v>0</v>
      </c>
      <c r="BP1020" s="866"/>
      <c r="BQ1020" s="866"/>
      <c r="BR1020" s="866">
        <f>VLOOKUP(BD1020,$BD$4:$BN$12824,6,0)*BE1020</f>
        <v>3984674.8988224841</v>
      </c>
      <c r="BS1020" s="866">
        <f>VLOOKUP(BD1020,$BD$4:$BN$12824,7,0)*BE1020</f>
        <v>0</v>
      </c>
      <c r="BT1020" s="866"/>
      <c r="BU1020" s="866">
        <f>VLOOKUP(BD1020,$BD$4:$BN$12824,9,0)*BE1020</f>
        <v>0</v>
      </c>
      <c r="BV1020" s="867"/>
      <c r="BW1020" s="867">
        <f>VLOOKUP(BD1020,$BD$4:$BN$12824,11,0)*BE1020</f>
        <v>179400.13330371029</v>
      </c>
      <c r="BX1020" s="1146">
        <f t="shared" si="185"/>
        <v>4164075.0321261943</v>
      </c>
      <c r="BY1020" s="867">
        <f t="shared" si="189"/>
        <v>83477031.669626191</v>
      </c>
      <c r="BZ1020" s="867">
        <f t="shared" si="186"/>
        <v>83477031.669626191</v>
      </c>
      <c r="CA1020" s="867">
        <f>_xlfn.MAXIFS($BY$4:$BY$12824,$S$4:$S$12824,$S1020)</f>
        <v>83477031.669626191</v>
      </c>
      <c r="CB1020" s="1032"/>
      <c r="CF1020" s="946">
        <f t="shared" si="188"/>
        <v>79312956.637500003</v>
      </c>
    </row>
    <row r="1021" spans="1:84">
      <c r="A1021" s="1032"/>
      <c r="B1021" s="839" t="s">
        <v>98</v>
      </c>
      <c r="C1021" s="839" t="s">
        <v>2689</v>
      </c>
      <c r="D1021" s="839" t="s">
        <v>3620</v>
      </c>
      <c r="E1021" s="839" t="str">
        <f>D1021</f>
        <v>SC-VT-02-181024-SR</v>
      </c>
      <c r="F1021" s="841">
        <v>45451</v>
      </c>
      <c r="G1021" s="840" t="s">
        <v>2689</v>
      </c>
      <c r="H1021" s="842" t="s">
        <v>134</v>
      </c>
      <c r="I1021" s="842"/>
      <c r="J1021" s="841"/>
      <c r="K1021" s="841"/>
      <c r="L1021" s="843" t="s">
        <v>106</v>
      </c>
      <c r="M1021" s="844" t="s">
        <v>3606</v>
      </c>
      <c r="N1021" s="841"/>
      <c r="O1021" s="841" t="s">
        <v>150</v>
      </c>
      <c r="P1021" s="841" t="s">
        <v>461</v>
      </c>
      <c r="Q1021" s="843"/>
      <c r="R1021" s="845">
        <v>20130001</v>
      </c>
      <c r="S1021" s="1127" t="s">
        <v>3218</v>
      </c>
      <c r="T1021" s="880" t="s">
        <v>3219</v>
      </c>
      <c r="U1021" s="842">
        <v>1</v>
      </c>
      <c r="V1021" s="842" t="s">
        <v>3</v>
      </c>
      <c r="W1021" s="846">
        <v>2070</v>
      </c>
      <c r="X1021" s="847">
        <f t="shared" si="180"/>
        <v>2070</v>
      </c>
      <c r="Y1021" s="848">
        <f t="shared" si="191"/>
        <v>0.55000000000000004</v>
      </c>
      <c r="Z1021" s="849">
        <v>931.5</v>
      </c>
      <c r="AA1021" s="849"/>
      <c r="AB1021" s="849">
        <f t="shared" si="181"/>
        <v>931.5</v>
      </c>
      <c r="AC1021" s="850">
        <f t="shared" si="182"/>
        <v>931.5</v>
      </c>
      <c r="AD1021" s="851"/>
      <c r="AE1021" s="852">
        <v>26192.75</v>
      </c>
      <c r="AF1021" s="853">
        <v>0</v>
      </c>
      <c r="AG1021" s="854">
        <f t="shared" si="183"/>
        <v>0</v>
      </c>
      <c r="AH1021" s="853">
        <v>0.08</v>
      </c>
      <c r="AI1021" s="855">
        <f t="shared" si="184"/>
        <v>1951883.73</v>
      </c>
      <c r="AJ1021" s="845" t="s">
        <v>3610</v>
      </c>
      <c r="AK1021" s="857">
        <v>45577</v>
      </c>
      <c r="AL1021" s="840" t="s">
        <v>3611</v>
      </c>
      <c r="AM1021" s="840"/>
      <c r="AN1021" s="858"/>
      <c r="AO1021" s="844" t="s">
        <v>141</v>
      </c>
      <c r="AP1021" s="859" t="s">
        <v>2702</v>
      </c>
      <c r="AQ1021" s="859"/>
      <c r="AR1021" s="859" t="s">
        <v>3612</v>
      </c>
      <c r="AS1021" s="840"/>
      <c r="AT1021" s="840"/>
      <c r="AU1021" s="860" t="s">
        <v>1849</v>
      </c>
      <c r="AV1021" s="839" t="s">
        <v>3613</v>
      </c>
      <c r="AW1021" s="861">
        <v>45713</v>
      </c>
      <c r="AX1021" s="862" t="s">
        <v>3614</v>
      </c>
      <c r="AY1021" s="843"/>
      <c r="AZ1021" s="842"/>
      <c r="BA1021" s="842" t="s">
        <v>120</v>
      </c>
      <c r="BB1021" s="863" t="s">
        <v>121</v>
      </c>
      <c r="BC1021" s="864">
        <v>45714</v>
      </c>
      <c r="BD1021" s="860" t="s">
        <v>3615</v>
      </c>
      <c r="BE1021" s="865" cm="1">
        <f t="array" ref="BE1021">IF(BD1021="","",AC1021/SUMPRODUCT(--(BD1021=$BD$4:$BD$12824),$AC$4:$AC$12824))</f>
        <v>9.1979560097756055E-2</v>
      </c>
      <c r="BF1021" s="458"/>
      <c r="BG1021" s="458"/>
      <c r="BH1021" s="458"/>
      <c r="BI1021" s="458"/>
      <c r="BJ1021" s="458"/>
      <c r="BK1021" s="458"/>
      <c r="BL1021" s="458"/>
      <c r="BM1021" s="458"/>
      <c r="BN1021" s="458"/>
      <c r="BO1021" s="866">
        <f>VLOOKUP(BD1021,$BD$4:$BN$12824,3,0)*BE1021</f>
        <v>0</v>
      </c>
      <c r="BP1021" s="866"/>
      <c r="BQ1021" s="866"/>
      <c r="BR1021" s="866">
        <f>VLOOKUP(BD1021,$BD$4:$BN$12824,6,0)*BE1021</f>
        <v>1225780.5083314818</v>
      </c>
      <c r="BS1021" s="866">
        <f>VLOOKUP(BD1021,$BD$4:$BN$12824,7,0)*BE1021</f>
        <v>0</v>
      </c>
      <c r="BT1021" s="866"/>
      <c r="BU1021" s="866">
        <f>VLOOKUP(BD1021,$BD$4:$BN$12824,9,0)*BE1021</f>
        <v>0</v>
      </c>
      <c r="BV1021" s="867"/>
      <c r="BW1021" s="867">
        <f>VLOOKUP(BD1021,$BD$4:$BN$12824,11,0)*BE1021</f>
        <v>55187.736058653631</v>
      </c>
      <c r="BX1021" s="1146">
        <f t="shared" si="185"/>
        <v>1280968.2443901354</v>
      </c>
      <c r="BY1021" s="867">
        <f t="shared" si="189"/>
        <v>25679514.869390134</v>
      </c>
      <c r="BZ1021" s="867">
        <f t="shared" si="186"/>
        <v>25679514.869390134</v>
      </c>
      <c r="CA1021" s="867">
        <f>_xlfn.MAXIFS($BY$4:$BY$12824,$S$4:$S$12824,$S1021)</f>
        <v>32844957.630094416</v>
      </c>
      <c r="CB1021" s="1032"/>
      <c r="CF1021" s="946">
        <f t="shared" si="188"/>
        <v>24398546.625</v>
      </c>
    </row>
    <row r="1022" spans="1:84">
      <c r="A1022" s="1032"/>
      <c r="B1022" s="839" t="s">
        <v>98</v>
      </c>
      <c r="C1022" s="839" t="s">
        <v>131</v>
      </c>
      <c r="D1022" s="839" t="s">
        <v>3621</v>
      </c>
      <c r="E1022" s="839" t="s">
        <v>3621</v>
      </c>
      <c r="F1022" s="841">
        <v>45680</v>
      </c>
      <c r="G1022" s="840" t="s">
        <v>133</v>
      </c>
      <c r="H1022" s="842" t="s">
        <v>134</v>
      </c>
      <c r="I1022" s="842"/>
      <c r="J1022" s="841"/>
      <c r="K1022" s="841"/>
      <c r="L1022" s="843" t="s">
        <v>106</v>
      </c>
      <c r="M1022" s="844" t="s">
        <v>417</v>
      </c>
      <c r="N1022" s="841"/>
      <c r="O1022" s="841" t="s">
        <v>108</v>
      </c>
      <c r="P1022" s="841" t="s">
        <v>3622</v>
      </c>
      <c r="Q1022" s="843"/>
      <c r="R1022" s="845" t="s">
        <v>1358</v>
      </c>
      <c r="S1022" s="1127" t="s">
        <v>1359</v>
      </c>
      <c r="T1022" s="843" t="s">
        <v>3623</v>
      </c>
      <c r="U1022" s="842">
        <v>36</v>
      </c>
      <c r="V1022" s="842" t="s">
        <v>8</v>
      </c>
      <c r="W1022" s="846">
        <v>41</v>
      </c>
      <c r="X1022" s="847">
        <f t="shared" si="180"/>
        <v>1476</v>
      </c>
      <c r="Y1022" s="848">
        <f t="shared" si="191"/>
        <v>0.60000000000000009</v>
      </c>
      <c r="Z1022" s="849">
        <v>16.399999999999999</v>
      </c>
      <c r="AA1022" s="849"/>
      <c r="AB1022" s="849">
        <f t="shared" si="181"/>
        <v>590.4</v>
      </c>
      <c r="AC1022" s="850">
        <f t="shared" si="182"/>
        <v>590.4</v>
      </c>
      <c r="AD1022" s="851"/>
      <c r="AE1022" s="852">
        <v>25350</v>
      </c>
      <c r="AF1022" s="853">
        <v>0</v>
      </c>
      <c r="AG1022" s="854">
        <f t="shared" si="183"/>
        <v>0</v>
      </c>
      <c r="AH1022" s="853">
        <v>0.1</v>
      </c>
      <c r="AI1022" s="855">
        <f t="shared" si="184"/>
        <v>1496664</v>
      </c>
      <c r="AJ1022" s="845" t="s">
        <v>3624</v>
      </c>
      <c r="AK1022" s="864">
        <v>45698</v>
      </c>
      <c r="AL1022" s="840" t="s">
        <v>3625</v>
      </c>
      <c r="AM1022" s="840"/>
      <c r="AN1022" s="858"/>
      <c r="AO1022" s="844" t="s">
        <v>3626</v>
      </c>
      <c r="AP1022" s="859"/>
      <c r="AQ1022" s="859" t="s">
        <v>3604</v>
      </c>
      <c r="AR1022" s="859" t="s">
        <v>3627</v>
      </c>
      <c r="AS1022" s="840"/>
      <c r="AT1022" s="840"/>
      <c r="AU1022" s="860" t="s">
        <v>1311</v>
      </c>
      <c r="AV1022" s="839" t="s">
        <v>3628</v>
      </c>
      <c r="AW1022" s="861">
        <v>45715</v>
      </c>
      <c r="AX1022" s="862">
        <v>45719</v>
      </c>
      <c r="AY1022" s="843"/>
      <c r="AZ1022" s="842"/>
      <c r="BA1022" s="842" t="s">
        <v>120</v>
      </c>
      <c r="BB1022" s="863" t="s">
        <v>121</v>
      </c>
      <c r="BC1022" s="881">
        <v>45719</v>
      </c>
      <c r="BD1022" s="860" t="s">
        <v>3629</v>
      </c>
      <c r="BE1022" s="865" cm="1">
        <f t="array" ref="BE1022">IF(BD1022="","",AC1022/SUMPRODUCT(--(BD1022=$BD$4:$BD$12824),$AC$4:$AC$12824))</f>
        <v>4.08570570462507E-2</v>
      </c>
      <c r="BF1022" s="458"/>
      <c r="BG1022" s="458"/>
      <c r="BH1022" s="458"/>
      <c r="BI1022" s="458">
        <f>4752000/1.08+9569785/1.08+985185+680000</f>
        <v>14926097.037037037</v>
      </c>
      <c r="BJ1022" s="458"/>
      <c r="BK1022" s="458"/>
      <c r="BL1022" s="458">
        <v>250000</v>
      </c>
      <c r="BM1022" s="458"/>
      <c r="BN1022" s="458">
        <f>2592000/1.08</f>
        <v>2400000</v>
      </c>
      <c r="BO1022" s="866">
        <f>VLOOKUP(BD1022,$BD$4:$BN$12824,3,0)*BE1022</f>
        <v>0</v>
      </c>
      <c r="BP1022" s="866"/>
      <c r="BQ1022" s="866"/>
      <c r="BR1022" s="866">
        <f>VLOOKUP(BD1022,$BD$4:$BN$12824,6,0)*BE1022</f>
        <v>609836.39812009584</v>
      </c>
      <c r="BS1022" s="866">
        <f>VLOOKUP(BD1022,$BD$4:$BN$12824,7,0)*BE1022</f>
        <v>0</v>
      </c>
      <c r="BT1022" s="866"/>
      <c r="BU1022" s="866">
        <f>VLOOKUP(BD1022,$BD$4:$BN$12824,9,0)*BE1022</f>
        <v>10214.264261562676</v>
      </c>
      <c r="BV1022" s="867"/>
      <c r="BW1022" s="867">
        <f>VLOOKUP(BD1022,$BD$4:$BN$12824,11,0)*BE1022</f>
        <v>98056.936911001685</v>
      </c>
      <c r="BX1022" s="1146">
        <f t="shared" si="185"/>
        <v>718107.59929266025</v>
      </c>
      <c r="BY1022" s="867">
        <f t="shared" si="189"/>
        <v>435687.433313685</v>
      </c>
      <c r="BZ1022" s="867">
        <f t="shared" si="186"/>
        <v>15684747.59929266</v>
      </c>
      <c r="CA1022" s="867">
        <f>_xlfn.MAXIFS($BY$4:$BY$12824,$S$4:$S$12824,$S1022)</f>
        <v>435687.433313685</v>
      </c>
      <c r="CB1022" s="1032"/>
      <c r="CF1022" s="946">
        <f t="shared" si="188"/>
        <v>14966640</v>
      </c>
    </row>
    <row r="1023" spans="1:84">
      <c r="A1023" s="1032"/>
      <c r="B1023" s="839" t="s">
        <v>98</v>
      </c>
      <c r="C1023" s="839" t="s">
        <v>131</v>
      </c>
      <c r="D1023" s="839" t="s">
        <v>3621</v>
      </c>
      <c r="E1023" s="839" t="s">
        <v>3621</v>
      </c>
      <c r="F1023" s="841">
        <v>45680</v>
      </c>
      <c r="G1023" s="840" t="s">
        <v>133</v>
      </c>
      <c r="H1023" s="842" t="s">
        <v>134</v>
      </c>
      <c r="I1023" s="842"/>
      <c r="J1023" s="841"/>
      <c r="K1023" s="841"/>
      <c r="L1023" s="843" t="s">
        <v>106</v>
      </c>
      <c r="M1023" s="844" t="s">
        <v>417</v>
      </c>
      <c r="N1023" s="841"/>
      <c r="O1023" s="841" t="s">
        <v>135</v>
      </c>
      <c r="P1023" s="841" t="s">
        <v>1483</v>
      </c>
      <c r="Q1023" s="843"/>
      <c r="R1023" s="845" t="s">
        <v>3630</v>
      </c>
      <c r="S1023" s="1127" t="s">
        <v>3631</v>
      </c>
      <c r="T1023" s="843" t="s">
        <v>3632</v>
      </c>
      <c r="U1023" s="842">
        <v>36</v>
      </c>
      <c r="V1023" s="842" t="s">
        <v>8</v>
      </c>
      <c r="W1023" s="846">
        <v>11</v>
      </c>
      <c r="X1023" s="847">
        <f t="shared" si="180"/>
        <v>396</v>
      </c>
      <c r="Y1023" s="848">
        <f t="shared" si="191"/>
        <v>0.6</v>
      </c>
      <c r="Z1023" s="849">
        <v>4.4000000000000004</v>
      </c>
      <c r="AA1023" s="849"/>
      <c r="AB1023" s="849">
        <f t="shared" si="181"/>
        <v>158.4</v>
      </c>
      <c r="AC1023" s="850">
        <f t="shared" si="182"/>
        <v>158.4</v>
      </c>
      <c r="AD1023" s="851"/>
      <c r="AE1023" s="852">
        <v>25350</v>
      </c>
      <c r="AF1023" s="853">
        <v>0</v>
      </c>
      <c r="AG1023" s="854">
        <f t="shared" si="183"/>
        <v>0</v>
      </c>
      <c r="AH1023" s="853">
        <v>0.08</v>
      </c>
      <c r="AI1023" s="855">
        <f t="shared" si="184"/>
        <v>321235.20000000001</v>
      </c>
      <c r="AJ1023" s="845" t="s">
        <v>3624</v>
      </c>
      <c r="AK1023" s="864">
        <v>45698</v>
      </c>
      <c r="AL1023" s="840" t="s">
        <v>3625</v>
      </c>
      <c r="AM1023" s="840"/>
      <c r="AN1023" s="858"/>
      <c r="AO1023" s="844" t="s">
        <v>3626</v>
      </c>
      <c r="AP1023" s="859"/>
      <c r="AQ1023" s="859" t="s">
        <v>3604</v>
      </c>
      <c r="AR1023" s="859" t="s">
        <v>3627</v>
      </c>
      <c r="AS1023" s="840"/>
      <c r="AT1023" s="840"/>
      <c r="AU1023" s="860" t="s">
        <v>1311</v>
      </c>
      <c r="AV1023" s="839" t="s">
        <v>3628</v>
      </c>
      <c r="AW1023" s="861">
        <v>45715</v>
      </c>
      <c r="AX1023" s="862">
        <v>45719</v>
      </c>
      <c r="AY1023" s="843"/>
      <c r="AZ1023" s="842"/>
      <c r="BA1023" s="842" t="s">
        <v>120</v>
      </c>
      <c r="BB1023" s="863" t="s">
        <v>121</v>
      </c>
      <c r="BC1023" s="881">
        <v>45719</v>
      </c>
      <c r="BD1023" s="860" t="s">
        <v>3629</v>
      </c>
      <c r="BE1023" s="865" cm="1">
        <f t="array" ref="BE1023">IF(BD1023="","",AC1023/SUMPRODUCT(--(BD1023=$BD$4:$BD$12824),$AC$4:$AC$12824))</f>
        <v>1.0961649451433117E-2</v>
      </c>
      <c r="BF1023" s="458"/>
      <c r="BG1023" s="458"/>
      <c r="BH1023" s="458"/>
      <c r="BI1023" s="458"/>
      <c r="BJ1023" s="458"/>
      <c r="BK1023" s="458"/>
      <c r="BL1023" s="458"/>
      <c r="BM1023" s="458"/>
      <c r="BN1023" s="458"/>
      <c r="BO1023" s="866">
        <f>VLOOKUP(BD1023,$BD$4:$BN$12824,3,0)*BE1023</f>
        <v>0</v>
      </c>
      <c r="BP1023" s="866"/>
      <c r="BQ1023" s="866"/>
      <c r="BR1023" s="866">
        <f>VLOOKUP(BD1023,$BD$4:$BN$12824,6,0)*BE1023</f>
        <v>163614.64339807452</v>
      </c>
      <c r="BS1023" s="866">
        <f>VLOOKUP(BD1023,$BD$4:$BN$12824,7,0)*BE1023</f>
        <v>0</v>
      </c>
      <c r="BT1023" s="866"/>
      <c r="BU1023" s="866">
        <f>VLOOKUP(BD1023,$BD$4:$BN$12824,9,0)*BE1023</f>
        <v>2740.4123628582793</v>
      </c>
      <c r="BV1023" s="867"/>
      <c r="BW1023" s="867">
        <f>VLOOKUP(BD1023,$BD$4:$BN$12824,11,0)*BE1023</f>
        <v>26307.95868343948</v>
      </c>
      <c r="BX1023" s="1146">
        <f t="shared" ref="BX1023:BX1055" si="192">SUM(BO1023:BW1023)</f>
        <v>192663.01444437227</v>
      </c>
      <c r="BY1023" s="867">
        <f t="shared" ref="BY1023:BY1055" si="193">(AB1023*AE1023+AG1023+BX1023)/U1023</f>
        <v>116891.75040123257</v>
      </c>
      <c r="BZ1023" s="867">
        <f t="shared" ref="BZ1023:BZ1055" si="194">BY1023*U1023</f>
        <v>4208103.0144443726</v>
      </c>
      <c r="CA1023" s="867">
        <f>_xlfn.MAXIFS($BY$4:$BY$12824,$S$4:$S$12824,$S1023)</f>
        <v>116891.75040123257</v>
      </c>
      <c r="CB1023" s="1032"/>
      <c r="CF1023" s="946">
        <f t="shared" si="188"/>
        <v>4015440</v>
      </c>
    </row>
    <row r="1024" spans="1:84">
      <c r="A1024" s="1032"/>
      <c r="B1024" s="839" t="s">
        <v>98</v>
      </c>
      <c r="C1024" s="839" t="s">
        <v>131</v>
      </c>
      <c r="D1024" s="839" t="s">
        <v>3621</v>
      </c>
      <c r="E1024" s="839" t="s">
        <v>3621</v>
      </c>
      <c r="F1024" s="841">
        <v>45680</v>
      </c>
      <c r="G1024" s="840" t="s">
        <v>133</v>
      </c>
      <c r="H1024" s="842" t="s">
        <v>134</v>
      </c>
      <c r="I1024" s="842"/>
      <c r="J1024" s="841"/>
      <c r="K1024" s="841"/>
      <c r="L1024" s="843" t="s">
        <v>106</v>
      </c>
      <c r="M1024" s="844" t="s">
        <v>417</v>
      </c>
      <c r="N1024" s="841"/>
      <c r="O1024" s="841" t="s">
        <v>135</v>
      </c>
      <c r="P1024" s="841" t="s">
        <v>1483</v>
      </c>
      <c r="Q1024" s="843"/>
      <c r="R1024" s="845" t="s">
        <v>3633</v>
      </c>
      <c r="S1024" s="1127" t="s">
        <v>3634</v>
      </c>
      <c r="T1024" s="843" t="s">
        <v>3635</v>
      </c>
      <c r="U1024" s="842">
        <v>48</v>
      </c>
      <c r="V1024" s="842" t="s">
        <v>8</v>
      </c>
      <c r="W1024" s="846">
        <v>11</v>
      </c>
      <c r="X1024" s="847">
        <f t="shared" si="180"/>
        <v>528</v>
      </c>
      <c r="Y1024" s="848">
        <f t="shared" si="191"/>
        <v>0.6</v>
      </c>
      <c r="Z1024" s="849">
        <v>4.4000000000000004</v>
      </c>
      <c r="AA1024" s="849"/>
      <c r="AB1024" s="849">
        <f t="shared" si="181"/>
        <v>211.20000000000002</v>
      </c>
      <c r="AC1024" s="850">
        <f t="shared" si="182"/>
        <v>211.20000000000002</v>
      </c>
      <c r="AD1024" s="851"/>
      <c r="AE1024" s="852">
        <v>25350</v>
      </c>
      <c r="AF1024" s="853">
        <v>0</v>
      </c>
      <c r="AG1024" s="854">
        <f t="shared" si="183"/>
        <v>0</v>
      </c>
      <c r="AH1024" s="853">
        <v>0.08</v>
      </c>
      <c r="AI1024" s="855">
        <f t="shared" si="184"/>
        <v>428313.60000000003</v>
      </c>
      <c r="AJ1024" s="845" t="s">
        <v>3624</v>
      </c>
      <c r="AK1024" s="864">
        <v>45698</v>
      </c>
      <c r="AL1024" s="840" t="s">
        <v>3625</v>
      </c>
      <c r="AM1024" s="840"/>
      <c r="AN1024" s="858"/>
      <c r="AO1024" s="844" t="s">
        <v>3626</v>
      </c>
      <c r="AP1024" s="859"/>
      <c r="AQ1024" s="859" t="s">
        <v>3604</v>
      </c>
      <c r="AR1024" s="859" t="s">
        <v>3627</v>
      </c>
      <c r="AS1024" s="840"/>
      <c r="AT1024" s="840"/>
      <c r="AU1024" s="860" t="s">
        <v>1311</v>
      </c>
      <c r="AV1024" s="839" t="s">
        <v>3628</v>
      </c>
      <c r="AW1024" s="861">
        <v>45715</v>
      </c>
      <c r="AX1024" s="862">
        <v>45719</v>
      </c>
      <c r="AY1024" s="843"/>
      <c r="AZ1024" s="842"/>
      <c r="BA1024" s="842" t="s">
        <v>120</v>
      </c>
      <c r="BB1024" s="863" t="s">
        <v>121</v>
      </c>
      <c r="BC1024" s="881">
        <v>45719</v>
      </c>
      <c r="BD1024" s="860" t="s">
        <v>3629</v>
      </c>
      <c r="BE1024" s="865" cm="1">
        <f t="array" ref="BE1024">IF(BD1024="","",AC1024/SUMPRODUCT(--(BD1024=$BD$4:$BD$12824),$AC$4:$AC$12824))</f>
        <v>1.4615532601910822E-2</v>
      </c>
      <c r="BF1024" s="458"/>
      <c r="BG1024" s="458"/>
      <c r="BH1024" s="458"/>
      <c r="BI1024" s="458"/>
      <c r="BJ1024" s="458"/>
      <c r="BK1024" s="458"/>
      <c r="BL1024" s="458"/>
      <c r="BM1024" s="458"/>
      <c r="BN1024" s="458"/>
      <c r="BO1024" s="866">
        <f>VLOOKUP(BD1024,$BD$4:$BN$12824,3,0)*BE1024</f>
        <v>0</v>
      </c>
      <c r="BP1024" s="866"/>
      <c r="BQ1024" s="866"/>
      <c r="BR1024" s="866">
        <f>VLOOKUP(BD1024,$BD$4:$BN$12824,6,0)*BE1024</f>
        <v>218152.85786409935</v>
      </c>
      <c r="BS1024" s="866">
        <f>VLOOKUP(BD1024,$BD$4:$BN$12824,7,0)*BE1024</f>
        <v>0</v>
      </c>
      <c r="BT1024" s="866"/>
      <c r="BU1024" s="866">
        <f>VLOOKUP(BD1024,$BD$4:$BN$12824,9,0)*BE1024</f>
        <v>3653.8831504777054</v>
      </c>
      <c r="BV1024" s="867"/>
      <c r="BW1024" s="867">
        <f>VLOOKUP(BD1024,$BD$4:$BN$12824,11,0)*BE1024</f>
        <v>35077.27824458597</v>
      </c>
      <c r="BX1024" s="1146">
        <f t="shared" si="192"/>
        <v>256884.01925916303</v>
      </c>
      <c r="BY1024" s="867">
        <f t="shared" si="193"/>
        <v>116891.75040123257</v>
      </c>
      <c r="BZ1024" s="867">
        <f t="shared" si="194"/>
        <v>5610804.0192591632</v>
      </c>
      <c r="CA1024" s="867">
        <f>_xlfn.MAXIFS($BY$4:$BY$12824,$S$4:$S$12824,$S1024)</f>
        <v>116891.75040123257</v>
      </c>
      <c r="CB1024" s="1032"/>
      <c r="CF1024" s="946">
        <f t="shared" si="188"/>
        <v>5353920</v>
      </c>
    </row>
    <row r="1025" spans="1:84">
      <c r="A1025" s="1032"/>
      <c r="B1025" s="839" t="s">
        <v>98</v>
      </c>
      <c r="C1025" s="839" t="s">
        <v>131</v>
      </c>
      <c r="D1025" s="839" t="s">
        <v>3621</v>
      </c>
      <c r="E1025" s="839" t="s">
        <v>3621</v>
      </c>
      <c r="F1025" s="841">
        <v>45680</v>
      </c>
      <c r="G1025" s="840" t="s">
        <v>133</v>
      </c>
      <c r="H1025" s="842" t="s">
        <v>134</v>
      </c>
      <c r="I1025" s="842"/>
      <c r="J1025" s="841"/>
      <c r="K1025" s="841"/>
      <c r="L1025" s="843" t="s">
        <v>106</v>
      </c>
      <c r="M1025" s="844" t="s">
        <v>417</v>
      </c>
      <c r="N1025" s="841"/>
      <c r="O1025" s="841" t="s">
        <v>135</v>
      </c>
      <c r="P1025" s="841" t="s">
        <v>3636</v>
      </c>
      <c r="Q1025" s="843"/>
      <c r="R1025" s="845" t="s">
        <v>3637</v>
      </c>
      <c r="S1025" s="1127" t="s">
        <v>3638</v>
      </c>
      <c r="T1025" s="843" t="s">
        <v>3639</v>
      </c>
      <c r="U1025" s="842">
        <v>12</v>
      </c>
      <c r="V1025" s="842" t="s">
        <v>8</v>
      </c>
      <c r="W1025" s="846">
        <v>41</v>
      </c>
      <c r="X1025" s="847">
        <f t="shared" si="180"/>
        <v>492</v>
      </c>
      <c r="Y1025" s="848">
        <f t="shared" si="191"/>
        <v>0.60000000000000009</v>
      </c>
      <c r="Z1025" s="849">
        <v>16.399999999999999</v>
      </c>
      <c r="AA1025" s="849"/>
      <c r="AB1025" s="849">
        <f t="shared" si="181"/>
        <v>196.79999999999998</v>
      </c>
      <c r="AC1025" s="850">
        <f t="shared" si="182"/>
        <v>196.79999999999998</v>
      </c>
      <c r="AD1025" s="851"/>
      <c r="AE1025" s="852">
        <v>25350</v>
      </c>
      <c r="AF1025" s="853">
        <v>0</v>
      </c>
      <c r="AG1025" s="854">
        <f t="shared" si="183"/>
        <v>0</v>
      </c>
      <c r="AH1025" s="853">
        <v>0.08</v>
      </c>
      <c r="AI1025" s="855">
        <f t="shared" si="184"/>
        <v>399110.40000000002</v>
      </c>
      <c r="AJ1025" s="845" t="s">
        <v>3624</v>
      </c>
      <c r="AK1025" s="864">
        <v>45698</v>
      </c>
      <c r="AL1025" s="840" t="s">
        <v>3625</v>
      </c>
      <c r="AM1025" s="840"/>
      <c r="AN1025" s="858"/>
      <c r="AO1025" s="844" t="s">
        <v>3626</v>
      </c>
      <c r="AP1025" s="859"/>
      <c r="AQ1025" s="859" t="s">
        <v>3604</v>
      </c>
      <c r="AR1025" s="859" t="s">
        <v>3627</v>
      </c>
      <c r="AS1025" s="840"/>
      <c r="AT1025" s="840"/>
      <c r="AU1025" s="860" t="s">
        <v>1311</v>
      </c>
      <c r="AV1025" s="839" t="s">
        <v>3628</v>
      </c>
      <c r="AW1025" s="861">
        <v>45715</v>
      </c>
      <c r="AX1025" s="862">
        <v>45719</v>
      </c>
      <c r="AY1025" s="843"/>
      <c r="AZ1025" s="842"/>
      <c r="BA1025" s="842" t="s">
        <v>120</v>
      </c>
      <c r="BB1025" s="863" t="s">
        <v>121</v>
      </c>
      <c r="BC1025" s="881">
        <v>45719</v>
      </c>
      <c r="BD1025" s="860" t="s">
        <v>3629</v>
      </c>
      <c r="BE1025" s="865" cm="1">
        <f t="array" ref="BE1025">IF(BD1025="","",AC1025/SUMPRODUCT(--(BD1025=$BD$4:$BD$12824),$AC$4:$AC$12824))</f>
        <v>1.36190190154169E-2</v>
      </c>
      <c r="BF1025" s="458"/>
      <c r="BG1025" s="458"/>
      <c r="BH1025" s="458"/>
      <c r="BI1025" s="458"/>
      <c r="BJ1025" s="458"/>
      <c r="BK1025" s="458"/>
      <c r="BL1025" s="458"/>
      <c r="BM1025" s="458"/>
      <c r="BN1025" s="458"/>
      <c r="BO1025" s="866">
        <f>VLOOKUP(BD1025,$BD$4:$BN$12824,3,0)*BE1025</f>
        <v>0</v>
      </c>
      <c r="BP1025" s="866"/>
      <c r="BQ1025" s="866"/>
      <c r="BR1025" s="866">
        <f>VLOOKUP(BD1025,$BD$4:$BN$12824,6,0)*BE1025</f>
        <v>203278.79937336527</v>
      </c>
      <c r="BS1025" s="866">
        <f>VLOOKUP(BD1025,$BD$4:$BN$12824,7,0)*BE1025</f>
        <v>0</v>
      </c>
      <c r="BT1025" s="866"/>
      <c r="BU1025" s="866">
        <f>VLOOKUP(BD1025,$BD$4:$BN$12824,9,0)*BE1025</f>
        <v>3404.7547538542249</v>
      </c>
      <c r="BV1025" s="867"/>
      <c r="BW1025" s="867">
        <f>VLOOKUP(BD1025,$BD$4:$BN$12824,11,0)*BE1025</f>
        <v>32685.645637000562</v>
      </c>
      <c r="BX1025" s="1146">
        <f t="shared" si="192"/>
        <v>239369.19976422004</v>
      </c>
      <c r="BY1025" s="867">
        <f t="shared" si="193"/>
        <v>435687.433313685</v>
      </c>
      <c r="BZ1025" s="867">
        <f t="shared" si="194"/>
        <v>5228249.19976422</v>
      </c>
      <c r="CA1025" s="867">
        <f>_xlfn.MAXIFS($BY$4:$BY$12824,$S$4:$S$12824,$S1025)</f>
        <v>435687.433313685</v>
      </c>
      <c r="CB1025" s="1032"/>
      <c r="CF1025" s="946">
        <f t="shared" si="188"/>
        <v>4988880</v>
      </c>
    </row>
    <row r="1026" spans="1:84">
      <c r="A1026" s="1032"/>
      <c r="B1026" s="839" t="s">
        <v>98</v>
      </c>
      <c r="C1026" s="839" t="s">
        <v>131</v>
      </c>
      <c r="D1026" s="839" t="s">
        <v>3621</v>
      </c>
      <c r="E1026" s="839" t="s">
        <v>3621</v>
      </c>
      <c r="F1026" s="841">
        <v>45680</v>
      </c>
      <c r="G1026" s="840" t="s">
        <v>133</v>
      </c>
      <c r="H1026" s="842" t="s">
        <v>134</v>
      </c>
      <c r="I1026" s="842"/>
      <c r="J1026" s="841"/>
      <c r="K1026" s="841"/>
      <c r="L1026" s="843" t="s">
        <v>106</v>
      </c>
      <c r="M1026" s="844" t="s">
        <v>417</v>
      </c>
      <c r="N1026" s="841"/>
      <c r="O1026" s="841" t="s">
        <v>108</v>
      </c>
      <c r="P1026" s="841" t="s">
        <v>160</v>
      </c>
      <c r="Q1026" s="843"/>
      <c r="R1026" s="845" t="s">
        <v>3640</v>
      </c>
      <c r="S1026" s="1127" t="s">
        <v>3641</v>
      </c>
      <c r="T1026" s="843" t="s">
        <v>3642</v>
      </c>
      <c r="U1026" s="842">
        <v>2</v>
      </c>
      <c r="V1026" s="842" t="s">
        <v>8</v>
      </c>
      <c r="W1026" s="846">
        <v>183</v>
      </c>
      <c r="X1026" s="847">
        <f t="shared" ref="X1026:X1089" si="195">W1026*U1026</f>
        <v>366</v>
      </c>
      <c r="Y1026" s="848">
        <f t="shared" si="191"/>
        <v>0.43</v>
      </c>
      <c r="Z1026" s="849">
        <v>104.31</v>
      </c>
      <c r="AA1026" s="849"/>
      <c r="AB1026" s="849">
        <f t="shared" ref="AB1026:AB1089" si="196">IF(AA1026="F.O.C", 0, Z1026*U1026)</f>
        <v>208.62</v>
      </c>
      <c r="AC1026" s="850">
        <f t="shared" ref="AC1026:AC1089" si="197">Z1026*U1026</f>
        <v>208.62</v>
      </c>
      <c r="AD1026" s="851"/>
      <c r="AE1026" s="852">
        <v>25350</v>
      </c>
      <c r="AF1026" s="853">
        <v>0</v>
      </c>
      <c r="AG1026" s="854">
        <f t="shared" ref="AG1026:AG1089" si="198">(AC1026*AE1026+BO1026+BP1026+BQ1026+BS1026)*AF1026</f>
        <v>0</v>
      </c>
      <c r="AH1026" s="853">
        <v>0.1</v>
      </c>
      <c r="AI1026" s="855">
        <f t="shared" ref="AI1026:AI1089" si="199">(AC1026*AE1026+AG1026+BF1026+BG1026+BH1026+BJ1026)*AH1026</f>
        <v>528851.70000000007</v>
      </c>
      <c r="AJ1026" s="845" t="s">
        <v>3624</v>
      </c>
      <c r="AK1026" s="864">
        <v>45698</v>
      </c>
      <c r="AL1026" s="840" t="s">
        <v>3625</v>
      </c>
      <c r="AM1026" s="840"/>
      <c r="AN1026" s="858"/>
      <c r="AO1026" s="844" t="s">
        <v>3626</v>
      </c>
      <c r="AP1026" s="859"/>
      <c r="AQ1026" s="859" t="s">
        <v>3604</v>
      </c>
      <c r="AR1026" s="859" t="s">
        <v>3627</v>
      </c>
      <c r="AS1026" s="840"/>
      <c r="AT1026" s="840"/>
      <c r="AU1026" s="860" t="s">
        <v>1311</v>
      </c>
      <c r="AV1026" s="839" t="s">
        <v>3628</v>
      </c>
      <c r="AW1026" s="861">
        <v>45715</v>
      </c>
      <c r="AX1026" s="862">
        <v>45719</v>
      </c>
      <c r="AY1026" s="843"/>
      <c r="AZ1026" s="842"/>
      <c r="BA1026" s="842" t="s">
        <v>120</v>
      </c>
      <c r="BB1026" s="863" t="s">
        <v>121</v>
      </c>
      <c r="BC1026" s="881">
        <v>45719</v>
      </c>
      <c r="BD1026" s="860" t="s">
        <v>3629</v>
      </c>
      <c r="BE1026" s="865" cm="1">
        <f t="array" ref="BE1026">IF(BD1026="","",AC1026/SUMPRODUCT(--(BD1026=$BD$4:$BD$12824),$AC$4:$AC$12824))</f>
        <v>1.443699058433066E-2</v>
      </c>
      <c r="BF1026" s="458"/>
      <c r="BG1026" s="458"/>
      <c r="BH1026" s="458"/>
      <c r="BI1026" s="458"/>
      <c r="BJ1026" s="458"/>
      <c r="BK1026" s="458"/>
      <c r="BL1026" s="458"/>
      <c r="BM1026" s="458"/>
      <c r="BN1026" s="458"/>
      <c r="BO1026" s="866">
        <f>VLOOKUP(BD1026,$BD$4:$BN$12824,3,0)*BE1026</f>
        <v>0</v>
      </c>
      <c r="BP1026" s="866"/>
      <c r="BQ1026" s="866"/>
      <c r="BR1026" s="866">
        <f>VLOOKUP(BD1026,$BD$4:$BN$12824,6,0)*BE1026</f>
        <v>215487.92238450947</v>
      </c>
      <c r="BS1026" s="866">
        <f>VLOOKUP(BD1026,$BD$4:$BN$12824,7,0)*BE1026</f>
        <v>0</v>
      </c>
      <c r="BT1026" s="866"/>
      <c r="BU1026" s="866">
        <f>VLOOKUP(BD1026,$BD$4:$BN$12824,9,0)*BE1026</f>
        <v>3609.2476460826651</v>
      </c>
      <c r="BV1026" s="867"/>
      <c r="BW1026" s="867">
        <f>VLOOKUP(BD1026,$BD$4:$BN$12824,11,0)*BE1026</f>
        <v>34648.777402393585</v>
      </c>
      <c r="BX1026" s="1146">
        <f t="shared" si="192"/>
        <v>253745.9474329857</v>
      </c>
      <c r="BY1026" s="867">
        <f t="shared" si="193"/>
        <v>2771131.4737164928</v>
      </c>
      <c r="BZ1026" s="867">
        <f t="shared" si="194"/>
        <v>5542262.9474329855</v>
      </c>
      <c r="CA1026" s="867">
        <f>_xlfn.MAXIFS($BY$4:$BY$12824,$S$4:$S$12824,$S1026)</f>
        <v>2771131.4737164928</v>
      </c>
      <c r="CB1026" s="1032"/>
      <c r="CF1026" s="946">
        <f t="shared" si="188"/>
        <v>5288517</v>
      </c>
    </row>
    <row r="1027" spans="1:84">
      <c r="A1027" s="1032"/>
      <c r="B1027" s="839" t="s">
        <v>98</v>
      </c>
      <c r="C1027" s="839" t="s">
        <v>131</v>
      </c>
      <c r="D1027" s="839" t="s">
        <v>3621</v>
      </c>
      <c r="E1027" s="839" t="s">
        <v>3621</v>
      </c>
      <c r="F1027" s="841">
        <v>45680</v>
      </c>
      <c r="G1027" s="840" t="s">
        <v>133</v>
      </c>
      <c r="H1027" s="842" t="s">
        <v>134</v>
      </c>
      <c r="I1027" s="842"/>
      <c r="J1027" s="841"/>
      <c r="K1027" s="841"/>
      <c r="L1027" s="843" t="s">
        <v>106</v>
      </c>
      <c r="M1027" s="844" t="s">
        <v>417</v>
      </c>
      <c r="N1027" s="841"/>
      <c r="O1027" s="841" t="s">
        <v>108</v>
      </c>
      <c r="P1027" s="841" t="s">
        <v>160</v>
      </c>
      <c r="Q1027" s="843"/>
      <c r="R1027" s="845" t="s">
        <v>3643</v>
      </c>
      <c r="S1027" s="1127" t="s">
        <v>3644</v>
      </c>
      <c r="T1027" s="843" t="s">
        <v>3645</v>
      </c>
      <c r="U1027" s="842">
        <v>2</v>
      </c>
      <c r="V1027" s="842" t="s">
        <v>8</v>
      </c>
      <c r="W1027" s="846">
        <v>183</v>
      </c>
      <c r="X1027" s="847">
        <f t="shared" si="195"/>
        <v>366</v>
      </c>
      <c r="Y1027" s="848">
        <f t="shared" si="191"/>
        <v>0.43</v>
      </c>
      <c r="Z1027" s="849">
        <v>104.31</v>
      </c>
      <c r="AA1027" s="849"/>
      <c r="AB1027" s="849">
        <f t="shared" si="196"/>
        <v>208.62</v>
      </c>
      <c r="AC1027" s="850">
        <f t="shared" si="197"/>
        <v>208.62</v>
      </c>
      <c r="AD1027" s="851"/>
      <c r="AE1027" s="852">
        <v>25350</v>
      </c>
      <c r="AF1027" s="853">
        <v>0</v>
      </c>
      <c r="AG1027" s="854">
        <f t="shared" si="198"/>
        <v>0</v>
      </c>
      <c r="AH1027" s="853">
        <v>0.1</v>
      </c>
      <c r="AI1027" s="855">
        <f t="shared" si="199"/>
        <v>528851.70000000007</v>
      </c>
      <c r="AJ1027" s="845" t="s">
        <v>3624</v>
      </c>
      <c r="AK1027" s="864">
        <v>45698</v>
      </c>
      <c r="AL1027" s="840" t="s">
        <v>3625</v>
      </c>
      <c r="AM1027" s="840"/>
      <c r="AN1027" s="858"/>
      <c r="AO1027" s="844" t="s">
        <v>3626</v>
      </c>
      <c r="AP1027" s="859"/>
      <c r="AQ1027" s="859" t="s">
        <v>3604</v>
      </c>
      <c r="AR1027" s="859" t="s">
        <v>3627</v>
      </c>
      <c r="AS1027" s="840"/>
      <c r="AT1027" s="840"/>
      <c r="AU1027" s="860" t="s">
        <v>1311</v>
      </c>
      <c r="AV1027" s="839" t="s">
        <v>3628</v>
      </c>
      <c r="AW1027" s="861">
        <v>45715</v>
      </c>
      <c r="AX1027" s="862">
        <v>45719</v>
      </c>
      <c r="AY1027" s="843"/>
      <c r="AZ1027" s="842"/>
      <c r="BA1027" s="842" t="s">
        <v>120</v>
      </c>
      <c r="BB1027" s="863" t="s">
        <v>121</v>
      </c>
      <c r="BC1027" s="881">
        <v>45719</v>
      </c>
      <c r="BD1027" s="860" t="s">
        <v>3629</v>
      </c>
      <c r="BE1027" s="865" cm="1">
        <f t="array" ref="BE1027">IF(BD1027="","",AC1027/SUMPRODUCT(--(BD1027=$BD$4:$BD$12824),$AC$4:$AC$12824))</f>
        <v>1.443699058433066E-2</v>
      </c>
      <c r="BF1027" s="458"/>
      <c r="BG1027" s="458"/>
      <c r="BH1027" s="458"/>
      <c r="BI1027" s="458"/>
      <c r="BJ1027" s="458"/>
      <c r="BK1027" s="458"/>
      <c r="BL1027" s="458"/>
      <c r="BM1027" s="458"/>
      <c r="BN1027" s="458"/>
      <c r="BO1027" s="866">
        <f>VLOOKUP(BD1027,$BD$4:$BN$12824,3,0)*BE1027</f>
        <v>0</v>
      </c>
      <c r="BP1027" s="866"/>
      <c r="BQ1027" s="866"/>
      <c r="BR1027" s="866">
        <f>VLOOKUP(BD1027,$BD$4:$BN$12824,6,0)*BE1027</f>
        <v>215487.92238450947</v>
      </c>
      <c r="BS1027" s="866">
        <f>VLOOKUP(BD1027,$BD$4:$BN$12824,7,0)*BE1027</f>
        <v>0</v>
      </c>
      <c r="BT1027" s="866"/>
      <c r="BU1027" s="866">
        <f>VLOOKUP(BD1027,$BD$4:$BN$12824,9,0)*BE1027</f>
        <v>3609.2476460826651</v>
      </c>
      <c r="BV1027" s="867"/>
      <c r="BW1027" s="867">
        <f>VLOOKUP(BD1027,$BD$4:$BN$12824,11,0)*BE1027</f>
        <v>34648.777402393585</v>
      </c>
      <c r="BX1027" s="1146">
        <f t="shared" si="192"/>
        <v>253745.9474329857</v>
      </c>
      <c r="BY1027" s="867">
        <f t="shared" si="193"/>
        <v>2771131.4737164928</v>
      </c>
      <c r="BZ1027" s="867">
        <f t="shared" si="194"/>
        <v>5542262.9474329855</v>
      </c>
      <c r="CA1027" s="867">
        <f>_xlfn.MAXIFS($BY$4:$BY$12824,$S$4:$S$12824,$S1027)</f>
        <v>2771131.4737164928</v>
      </c>
      <c r="CB1027" s="1032"/>
      <c r="CF1027" s="946">
        <f t="shared" si="188"/>
        <v>5288517</v>
      </c>
    </row>
    <row r="1028" spans="1:84">
      <c r="A1028" s="1032"/>
      <c r="B1028" s="839" t="s">
        <v>98</v>
      </c>
      <c r="C1028" s="839" t="s">
        <v>131</v>
      </c>
      <c r="D1028" s="839" t="s">
        <v>3621</v>
      </c>
      <c r="E1028" s="839" t="s">
        <v>3621</v>
      </c>
      <c r="F1028" s="841">
        <v>45680</v>
      </c>
      <c r="G1028" s="840" t="s">
        <v>133</v>
      </c>
      <c r="H1028" s="842" t="s">
        <v>134</v>
      </c>
      <c r="I1028" s="842"/>
      <c r="J1028" s="841"/>
      <c r="K1028" s="841"/>
      <c r="L1028" s="843" t="s">
        <v>106</v>
      </c>
      <c r="M1028" s="844" t="s">
        <v>417</v>
      </c>
      <c r="N1028" s="841"/>
      <c r="O1028" s="841" t="s">
        <v>108</v>
      </c>
      <c r="P1028" s="841" t="s">
        <v>160</v>
      </c>
      <c r="Q1028" s="843"/>
      <c r="R1028" s="845" t="s">
        <v>3646</v>
      </c>
      <c r="S1028" s="1127" t="s">
        <v>3647</v>
      </c>
      <c r="T1028" s="843" t="s">
        <v>3648</v>
      </c>
      <c r="U1028" s="842">
        <v>1</v>
      </c>
      <c r="V1028" s="842" t="s">
        <v>8</v>
      </c>
      <c r="W1028" s="846">
        <v>229</v>
      </c>
      <c r="X1028" s="847">
        <f t="shared" si="195"/>
        <v>229</v>
      </c>
      <c r="Y1028" s="848">
        <f>1-X1028/W1028</f>
        <v>0</v>
      </c>
      <c r="Z1028" s="849">
        <v>130.53</v>
      </c>
      <c r="AA1028" s="849"/>
      <c r="AB1028" s="849">
        <f t="shared" si="196"/>
        <v>130.53</v>
      </c>
      <c r="AC1028" s="850">
        <f t="shared" si="197"/>
        <v>130.53</v>
      </c>
      <c r="AD1028" s="851"/>
      <c r="AE1028" s="852">
        <v>25350</v>
      </c>
      <c r="AF1028" s="853">
        <v>0</v>
      </c>
      <c r="AG1028" s="854">
        <f t="shared" si="198"/>
        <v>0</v>
      </c>
      <c r="AH1028" s="853">
        <v>0.1</v>
      </c>
      <c r="AI1028" s="855">
        <f t="shared" si="199"/>
        <v>330893.55000000005</v>
      </c>
      <c r="AJ1028" s="845" t="s">
        <v>3624</v>
      </c>
      <c r="AK1028" s="864">
        <v>45698</v>
      </c>
      <c r="AL1028" s="840" t="s">
        <v>3625</v>
      </c>
      <c r="AM1028" s="840"/>
      <c r="AN1028" s="858"/>
      <c r="AO1028" s="844" t="s">
        <v>3626</v>
      </c>
      <c r="AP1028" s="859"/>
      <c r="AQ1028" s="859" t="s">
        <v>3604</v>
      </c>
      <c r="AR1028" s="859" t="s">
        <v>3627</v>
      </c>
      <c r="AS1028" s="840"/>
      <c r="AT1028" s="840"/>
      <c r="AU1028" s="860" t="s">
        <v>1311</v>
      </c>
      <c r="AV1028" s="839" t="s">
        <v>3628</v>
      </c>
      <c r="AW1028" s="861">
        <v>45715</v>
      </c>
      <c r="AX1028" s="862">
        <v>45719</v>
      </c>
      <c r="AY1028" s="843"/>
      <c r="AZ1028" s="842"/>
      <c r="BA1028" s="842" t="s">
        <v>120</v>
      </c>
      <c r="BB1028" s="863" t="s">
        <v>121</v>
      </c>
      <c r="BC1028" s="881">
        <v>45719</v>
      </c>
      <c r="BD1028" s="860" t="s">
        <v>3629</v>
      </c>
      <c r="BE1028" s="865" cm="1">
        <f t="array" ref="BE1028">IF(BD1028="","",AC1028/SUMPRODUCT(--(BD1028=$BD$4:$BD$12824),$AC$4:$AC$12824))</f>
        <v>9.0329804475730094E-3</v>
      </c>
      <c r="BF1028" s="458"/>
      <c r="BG1028" s="458"/>
      <c r="BH1028" s="458"/>
      <c r="BI1028" s="458"/>
      <c r="BJ1028" s="458"/>
      <c r="BK1028" s="458"/>
      <c r="BL1028" s="458"/>
      <c r="BM1028" s="458"/>
      <c r="BN1028" s="458"/>
      <c r="BO1028" s="866">
        <f>VLOOKUP(BD1028,$BD$4:$BN$12824,3,0)*BE1028</f>
        <v>0</v>
      </c>
      <c r="BP1028" s="866"/>
      <c r="BQ1028" s="866"/>
      <c r="BR1028" s="866">
        <f>VLOOKUP(BD1028,$BD$4:$BN$12824,6,0)*BE1028</f>
        <v>134827.14269413298</v>
      </c>
      <c r="BS1028" s="866">
        <f>VLOOKUP(BD1028,$BD$4:$BN$12824,7,0)*BE1028</f>
        <v>0</v>
      </c>
      <c r="BT1028" s="866"/>
      <c r="BU1028" s="866">
        <f>VLOOKUP(BD1028,$BD$4:$BN$12824,9,0)*BE1028</f>
        <v>2258.2451118932522</v>
      </c>
      <c r="BV1028" s="867"/>
      <c r="BW1028" s="867">
        <f>VLOOKUP(BD1028,$BD$4:$BN$12824,11,0)*BE1028</f>
        <v>21679.153074175221</v>
      </c>
      <c r="BX1028" s="1146">
        <f t="shared" si="192"/>
        <v>158764.54088020144</v>
      </c>
      <c r="BY1028" s="867">
        <f t="shared" si="193"/>
        <v>3467700.0408802014</v>
      </c>
      <c r="BZ1028" s="867">
        <f t="shared" si="194"/>
        <v>3467700.0408802014</v>
      </c>
      <c r="CA1028" s="867">
        <f>_xlfn.MAXIFS($BY$4:$BY$12824,$S$4:$S$12824,$S1028)</f>
        <v>3467700.0408802014</v>
      </c>
      <c r="CB1028" s="1032"/>
      <c r="CF1028" s="946">
        <f t="shared" ref="CF1028:CF1091" si="200">AC1028*AE1028</f>
        <v>3308935.5</v>
      </c>
    </row>
    <row r="1029" spans="1:84">
      <c r="A1029" s="1032"/>
      <c r="B1029" s="839" t="s">
        <v>98</v>
      </c>
      <c r="C1029" s="839" t="s">
        <v>131</v>
      </c>
      <c r="D1029" s="839" t="s">
        <v>3621</v>
      </c>
      <c r="E1029" s="839" t="s">
        <v>3621</v>
      </c>
      <c r="F1029" s="841">
        <v>45680</v>
      </c>
      <c r="G1029" s="840" t="s">
        <v>133</v>
      </c>
      <c r="H1029" s="842" t="s">
        <v>134</v>
      </c>
      <c r="I1029" s="842"/>
      <c r="J1029" s="841"/>
      <c r="K1029" s="841"/>
      <c r="L1029" s="843" t="s">
        <v>106</v>
      </c>
      <c r="M1029" s="844" t="s">
        <v>417</v>
      </c>
      <c r="N1029" s="841"/>
      <c r="O1029" s="841" t="s">
        <v>108</v>
      </c>
      <c r="P1029" s="841" t="s">
        <v>160</v>
      </c>
      <c r="Q1029" s="843"/>
      <c r="R1029" s="845" t="s">
        <v>3649</v>
      </c>
      <c r="S1029" s="1127" t="s">
        <v>3650</v>
      </c>
      <c r="T1029" s="843" t="s">
        <v>3651</v>
      </c>
      <c r="U1029" s="842">
        <v>1</v>
      </c>
      <c r="V1029" s="842" t="s">
        <v>8</v>
      </c>
      <c r="W1029" s="846">
        <v>229</v>
      </c>
      <c r="X1029" s="847">
        <f t="shared" si="195"/>
        <v>229</v>
      </c>
      <c r="Y1029" s="848">
        <f>1-X1029/W1029</f>
        <v>0</v>
      </c>
      <c r="Z1029" s="849">
        <v>130.53</v>
      </c>
      <c r="AA1029" s="849"/>
      <c r="AB1029" s="849">
        <f t="shared" si="196"/>
        <v>130.53</v>
      </c>
      <c r="AC1029" s="850">
        <f t="shared" si="197"/>
        <v>130.53</v>
      </c>
      <c r="AD1029" s="851"/>
      <c r="AE1029" s="852">
        <v>25350</v>
      </c>
      <c r="AF1029" s="853">
        <v>0</v>
      </c>
      <c r="AG1029" s="854">
        <f t="shared" si="198"/>
        <v>0</v>
      </c>
      <c r="AH1029" s="853">
        <v>0.1</v>
      </c>
      <c r="AI1029" s="855">
        <f t="shared" si="199"/>
        <v>330893.55000000005</v>
      </c>
      <c r="AJ1029" s="845" t="s">
        <v>3624</v>
      </c>
      <c r="AK1029" s="864">
        <v>45698</v>
      </c>
      <c r="AL1029" s="840" t="s">
        <v>3625</v>
      </c>
      <c r="AM1029" s="840"/>
      <c r="AN1029" s="858"/>
      <c r="AO1029" s="844" t="s">
        <v>3626</v>
      </c>
      <c r="AP1029" s="859"/>
      <c r="AQ1029" s="859" t="s">
        <v>3604</v>
      </c>
      <c r="AR1029" s="859" t="s">
        <v>3627</v>
      </c>
      <c r="AS1029" s="840"/>
      <c r="AT1029" s="840"/>
      <c r="AU1029" s="860" t="s">
        <v>1311</v>
      </c>
      <c r="AV1029" s="839" t="s">
        <v>3628</v>
      </c>
      <c r="AW1029" s="861">
        <v>45715</v>
      </c>
      <c r="AX1029" s="862">
        <v>45719</v>
      </c>
      <c r="AY1029" s="843"/>
      <c r="AZ1029" s="842"/>
      <c r="BA1029" s="842" t="s">
        <v>120</v>
      </c>
      <c r="BB1029" s="863" t="s">
        <v>121</v>
      </c>
      <c r="BC1029" s="881">
        <v>45719</v>
      </c>
      <c r="BD1029" s="860" t="s">
        <v>3629</v>
      </c>
      <c r="BE1029" s="865" cm="1">
        <f t="array" ref="BE1029">IF(BD1029="","",AC1029/SUMPRODUCT(--(BD1029=$BD$4:$BD$12824),$AC$4:$AC$12824))</f>
        <v>9.0329804475730094E-3</v>
      </c>
      <c r="BF1029" s="458"/>
      <c r="BG1029" s="458"/>
      <c r="BH1029" s="458"/>
      <c r="BI1029" s="458"/>
      <c r="BJ1029" s="458"/>
      <c r="BK1029" s="458"/>
      <c r="BL1029" s="458"/>
      <c r="BM1029" s="458"/>
      <c r="BN1029" s="458"/>
      <c r="BO1029" s="866">
        <f>VLOOKUP(BD1029,$BD$4:$BN$12824,3,0)*BE1029</f>
        <v>0</v>
      </c>
      <c r="BP1029" s="866"/>
      <c r="BQ1029" s="866"/>
      <c r="BR1029" s="866">
        <f>VLOOKUP(BD1029,$BD$4:$BN$12824,6,0)*BE1029</f>
        <v>134827.14269413298</v>
      </c>
      <c r="BS1029" s="866">
        <f>VLOOKUP(BD1029,$BD$4:$BN$12824,7,0)*BE1029</f>
        <v>0</v>
      </c>
      <c r="BT1029" s="866"/>
      <c r="BU1029" s="866">
        <f>VLOOKUP(BD1029,$BD$4:$BN$12824,9,0)*BE1029</f>
        <v>2258.2451118932522</v>
      </c>
      <c r="BV1029" s="867"/>
      <c r="BW1029" s="867">
        <f>VLOOKUP(BD1029,$BD$4:$BN$12824,11,0)*BE1029</f>
        <v>21679.153074175221</v>
      </c>
      <c r="BX1029" s="1146">
        <f t="shared" si="192"/>
        <v>158764.54088020144</v>
      </c>
      <c r="BY1029" s="867">
        <f t="shared" si="193"/>
        <v>3467700.0408802014</v>
      </c>
      <c r="BZ1029" s="867">
        <f t="shared" si="194"/>
        <v>3467700.0408802014</v>
      </c>
      <c r="CA1029" s="867">
        <f>_xlfn.MAXIFS($BY$4:$BY$12824,$S$4:$S$12824,$S1029)</f>
        <v>3467700.0408802014</v>
      </c>
      <c r="CB1029" s="1032"/>
      <c r="CF1029" s="946">
        <f t="shared" si="200"/>
        <v>3308935.5</v>
      </c>
    </row>
    <row r="1030" spans="1:84">
      <c r="A1030" s="1032"/>
      <c r="B1030" s="839" t="s">
        <v>98</v>
      </c>
      <c r="C1030" s="839" t="s">
        <v>131</v>
      </c>
      <c r="D1030" s="839" t="s">
        <v>3621</v>
      </c>
      <c r="E1030" s="839" t="s">
        <v>3621</v>
      </c>
      <c r="F1030" s="841">
        <v>45680</v>
      </c>
      <c r="G1030" s="840" t="s">
        <v>133</v>
      </c>
      <c r="H1030" s="842" t="s">
        <v>134</v>
      </c>
      <c r="I1030" s="842"/>
      <c r="J1030" s="841"/>
      <c r="K1030" s="841"/>
      <c r="L1030" s="843" t="s">
        <v>106</v>
      </c>
      <c r="M1030" s="844" t="s">
        <v>417</v>
      </c>
      <c r="N1030" s="841"/>
      <c r="O1030" s="841" t="s">
        <v>108</v>
      </c>
      <c r="P1030" s="841" t="s">
        <v>160</v>
      </c>
      <c r="Q1030" s="843"/>
      <c r="R1030" s="845" t="s">
        <v>3652</v>
      </c>
      <c r="S1030" s="1127" t="s">
        <v>3653</v>
      </c>
      <c r="T1030" s="843" t="s">
        <v>3654</v>
      </c>
      <c r="U1030" s="842">
        <v>1</v>
      </c>
      <c r="V1030" s="842" t="s">
        <v>8</v>
      </c>
      <c r="W1030" s="846">
        <v>229</v>
      </c>
      <c r="X1030" s="847">
        <f t="shared" si="195"/>
        <v>229</v>
      </c>
      <c r="Y1030" s="848">
        <f>1-X1030/W1030</f>
        <v>0</v>
      </c>
      <c r="Z1030" s="849">
        <v>130.53</v>
      </c>
      <c r="AA1030" s="849"/>
      <c r="AB1030" s="849">
        <f t="shared" si="196"/>
        <v>130.53</v>
      </c>
      <c r="AC1030" s="850">
        <f t="shared" si="197"/>
        <v>130.53</v>
      </c>
      <c r="AD1030" s="851"/>
      <c r="AE1030" s="852">
        <v>25350</v>
      </c>
      <c r="AF1030" s="853">
        <v>0</v>
      </c>
      <c r="AG1030" s="854">
        <f t="shared" si="198"/>
        <v>0</v>
      </c>
      <c r="AH1030" s="853">
        <v>0.1</v>
      </c>
      <c r="AI1030" s="855">
        <f t="shared" si="199"/>
        <v>330893.55000000005</v>
      </c>
      <c r="AJ1030" s="845" t="s">
        <v>3624</v>
      </c>
      <c r="AK1030" s="864">
        <v>45698</v>
      </c>
      <c r="AL1030" s="840" t="s">
        <v>3625</v>
      </c>
      <c r="AM1030" s="840"/>
      <c r="AN1030" s="858"/>
      <c r="AO1030" s="844" t="s">
        <v>3626</v>
      </c>
      <c r="AP1030" s="859"/>
      <c r="AQ1030" s="859" t="s">
        <v>3604</v>
      </c>
      <c r="AR1030" s="859" t="s">
        <v>3627</v>
      </c>
      <c r="AS1030" s="840"/>
      <c r="AT1030" s="840"/>
      <c r="AU1030" s="860" t="s">
        <v>1311</v>
      </c>
      <c r="AV1030" s="839" t="s">
        <v>3628</v>
      </c>
      <c r="AW1030" s="861">
        <v>45715</v>
      </c>
      <c r="AX1030" s="862">
        <v>45719</v>
      </c>
      <c r="AY1030" s="843"/>
      <c r="AZ1030" s="842"/>
      <c r="BA1030" s="842" t="s">
        <v>120</v>
      </c>
      <c r="BB1030" s="863" t="s">
        <v>121</v>
      </c>
      <c r="BC1030" s="881">
        <v>45719</v>
      </c>
      <c r="BD1030" s="860" t="s">
        <v>3629</v>
      </c>
      <c r="BE1030" s="865" cm="1">
        <f t="array" ref="BE1030">IF(BD1030="","",AC1030/SUMPRODUCT(--(BD1030=$BD$4:$BD$12824),$AC$4:$AC$12824))</f>
        <v>9.0329804475730094E-3</v>
      </c>
      <c r="BF1030" s="458"/>
      <c r="BG1030" s="458"/>
      <c r="BH1030" s="458"/>
      <c r="BI1030" s="458"/>
      <c r="BJ1030" s="458"/>
      <c r="BK1030" s="458"/>
      <c r="BL1030" s="458"/>
      <c r="BM1030" s="458"/>
      <c r="BN1030" s="458"/>
      <c r="BO1030" s="866">
        <f>VLOOKUP(BD1030,$BD$4:$BN$12824,3,0)*BE1030</f>
        <v>0</v>
      </c>
      <c r="BP1030" s="866"/>
      <c r="BQ1030" s="866"/>
      <c r="BR1030" s="866">
        <f>VLOOKUP(BD1030,$BD$4:$BN$12824,6,0)*BE1030</f>
        <v>134827.14269413298</v>
      </c>
      <c r="BS1030" s="866">
        <f>VLOOKUP(BD1030,$BD$4:$BN$12824,7,0)*BE1030</f>
        <v>0</v>
      </c>
      <c r="BT1030" s="866"/>
      <c r="BU1030" s="866">
        <f>VLOOKUP(BD1030,$BD$4:$BN$12824,9,0)*BE1030</f>
        <v>2258.2451118932522</v>
      </c>
      <c r="BV1030" s="867"/>
      <c r="BW1030" s="867">
        <f>VLOOKUP(BD1030,$BD$4:$BN$12824,11,0)*BE1030</f>
        <v>21679.153074175221</v>
      </c>
      <c r="BX1030" s="1146">
        <f t="shared" si="192"/>
        <v>158764.54088020144</v>
      </c>
      <c r="BY1030" s="867">
        <f t="shared" si="193"/>
        <v>3467700.0408802014</v>
      </c>
      <c r="BZ1030" s="867">
        <f t="shared" si="194"/>
        <v>3467700.0408802014</v>
      </c>
      <c r="CA1030" s="867">
        <f>_xlfn.MAXIFS($BY$4:$BY$12824,$S$4:$S$12824,$S1030)</f>
        <v>3467700.0408802014</v>
      </c>
      <c r="CB1030" s="1032"/>
      <c r="CF1030" s="946">
        <f t="shared" si="200"/>
        <v>3308935.5</v>
      </c>
    </row>
    <row r="1031" spans="1:84">
      <c r="A1031" s="1032"/>
      <c r="B1031" s="839" t="s">
        <v>98</v>
      </c>
      <c r="C1031" s="839" t="s">
        <v>131</v>
      </c>
      <c r="D1031" s="839" t="s">
        <v>3621</v>
      </c>
      <c r="E1031" s="839" t="s">
        <v>3621</v>
      </c>
      <c r="F1031" s="841">
        <v>45680</v>
      </c>
      <c r="G1031" s="840" t="s">
        <v>133</v>
      </c>
      <c r="H1031" s="842" t="s">
        <v>134</v>
      </c>
      <c r="I1031" s="842"/>
      <c r="J1031" s="841"/>
      <c r="K1031" s="841"/>
      <c r="L1031" s="843" t="s">
        <v>106</v>
      </c>
      <c r="M1031" s="844" t="s">
        <v>417</v>
      </c>
      <c r="N1031" s="841"/>
      <c r="O1031" s="841" t="s">
        <v>108</v>
      </c>
      <c r="P1031" s="841" t="s">
        <v>160</v>
      </c>
      <c r="Q1031" s="843"/>
      <c r="R1031" s="845" t="s">
        <v>3655</v>
      </c>
      <c r="S1031" s="1127" t="s">
        <v>3656</v>
      </c>
      <c r="T1031" s="843" t="s">
        <v>3657</v>
      </c>
      <c r="U1031" s="842">
        <v>4</v>
      </c>
      <c r="V1031" s="842" t="s">
        <v>8</v>
      </c>
      <c r="W1031" s="846">
        <v>107</v>
      </c>
      <c r="X1031" s="847">
        <f t="shared" si="195"/>
        <v>428</v>
      </c>
      <c r="Y1031" s="848">
        <f t="shared" ref="Y1031:Y1057" si="201">(W1031-Z1031)/W1031</f>
        <v>0.43</v>
      </c>
      <c r="Z1031" s="849">
        <v>60.99</v>
      </c>
      <c r="AA1031" s="849"/>
      <c r="AB1031" s="849">
        <f t="shared" si="196"/>
        <v>243.96</v>
      </c>
      <c r="AC1031" s="850">
        <f t="shared" si="197"/>
        <v>243.96</v>
      </c>
      <c r="AD1031" s="851"/>
      <c r="AE1031" s="852">
        <v>25350</v>
      </c>
      <c r="AF1031" s="853">
        <v>0</v>
      </c>
      <c r="AG1031" s="854">
        <f t="shared" si="198"/>
        <v>0</v>
      </c>
      <c r="AH1031" s="853">
        <v>0.1</v>
      </c>
      <c r="AI1031" s="855">
        <f t="shared" si="199"/>
        <v>618438.6</v>
      </c>
      <c r="AJ1031" s="845" t="s">
        <v>3624</v>
      </c>
      <c r="AK1031" s="864">
        <v>45698</v>
      </c>
      <c r="AL1031" s="840" t="s">
        <v>3625</v>
      </c>
      <c r="AM1031" s="840"/>
      <c r="AN1031" s="858"/>
      <c r="AO1031" s="844" t="s">
        <v>3626</v>
      </c>
      <c r="AP1031" s="859"/>
      <c r="AQ1031" s="859" t="s">
        <v>3604</v>
      </c>
      <c r="AR1031" s="859" t="s">
        <v>3627</v>
      </c>
      <c r="AS1031" s="840"/>
      <c r="AT1031" s="840"/>
      <c r="AU1031" s="860" t="s">
        <v>1311</v>
      </c>
      <c r="AV1031" s="839" t="s">
        <v>3628</v>
      </c>
      <c r="AW1031" s="861">
        <v>45715</v>
      </c>
      <c r="AX1031" s="862">
        <v>45719</v>
      </c>
      <c r="AY1031" s="843"/>
      <c r="AZ1031" s="842"/>
      <c r="BA1031" s="842" t="s">
        <v>120</v>
      </c>
      <c r="BB1031" s="863" t="s">
        <v>121</v>
      </c>
      <c r="BC1031" s="881">
        <v>45719</v>
      </c>
      <c r="BD1031" s="860" t="s">
        <v>3629</v>
      </c>
      <c r="BE1031" s="865" cm="1">
        <f t="array" ref="BE1031">IF(BD1031="","",AC1031/SUMPRODUCT(--(BD1031=$BD$4:$BD$12824),$AC$4:$AC$12824))</f>
        <v>1.6882601011184488E-2</v>
      </c>
      <c r="BF1031" s="458"/>
      <c r="BG1031" s="458"/>
      <c r="BH1031" s="458"/>
      <c r="BI1031" s="458"/>
      <c r="BJ1031" s="458"/>
      <c r="BK1031" s="458"/>
      <c r="BL1031" s="458"/>
      <c r="BM1031" s="458"/>
      <c r="BN1031" s="458"/>
      <c r="BO1031" s="866">
        <f>VLOOKUP(BD1031,$BD$4:$BN$12824,3,0)*BE1031</f>
        <v>0</v>
      </c>
      <c r="BP1031" s="866"/>
      <c r="BQ1031" s="866"/>
      <c r="BR1031" s="866">
        <f>VLOOKUP(BD1031,$BD$4:$BN$12824,6,0)*BE1031</f>
        <v>251991.34093051928</v>
      </c>
      <c r="BS1031" s="866">
        <f>VLOOKUP(BD1031,$BD$4:$BN$12824,7,0)*BE1031</f>
        <v>0</v>
      </c>
      <c r="BT1031" s="866"/>
      <c r="BU1031" s="866">
        <f>VLOOKUP(BD1031,$BD$4:$BN$12824,9,0)*BE1031</f>
        <v>4220.650252796122</v>
      </c>
      <c r="BV1031" s="867"/>
      <c r="BW1031" s="867">
        <f>VLOOKUP(BD1031,$BD$4:$BN$12824,11,0)*BE1031</f>
        <v>40518.242426842771</v>
      </c>
      <c r="BX1031" s="1146">
        <f t="shared" si="192"/>
        <v>296730.2336101582</v>
      </c>
      <c r="BY1031" s="867">
        <f t="shared" si="193"/>
        <v>1620279.0584025395</v>
      </c>
      <c r="BZ1031" s="867">
        <f t="shared" si="194"/>
        <v>6481116.2336101579</v>
      </c>
      <c r="CA1031" s="867">
        <f>_xlfn.MAXIFS($BY$4:$BY$12824,$S$4:$S$12824,$S1031)</f>
        <v>1633952.6985766431</v>
      </c>
      <c r="CB1031" s="1032"/>
      <c r="CF1031" s="946">
        <f t="shared" si="200"/>
        <v>6184386</v>
      </c>
    </row>
    <row r="1032" spans="1:84">
      <c r="A1032" s="1032"/>
      <c r="B1032" s="839" t="s">
        <v>98</v>
      </c>
      <c r="C1032" s="839" t="s">
        <v>131</v>
      </c>
      <c r="D1032" s="839" t="s">
        <v>3621</v>
      </c>
      <c r="E1032" s="839" t="s">
        <v>3621</v>
      </c>
      <c r="F1032" s="841">
        <v>45680</v>
      </c>
      <c r="G1032" s="840" t="s">
        <v>155</v>
      </c>
      <c r="H1032" s="842" t="s">
        <v>134</v>
      </c>
      <c r="I1032" s="842"/>
      <c r="J1032" s="841"/>
      <c r="K1032" s="841"/>
      <c r="L1032" s="843" t="s">
        <v>106</v>
      </c>
      <c r="M1032" s="844" t="s">
        <v>417</v>
      </c>
      <c r="N1032" s="841"/>
      <c r="O1032" s="841" t="s">
        <v>108</v>
      </c>
      <c r="P1032" s="841" t="s">
        <v>160</v>
      </c>
      <c r="Q1032" s="843"/>
      <c r="R1032" s="845" t="s">
        <v>3658</v>
      </c>
      <c r="S1032" s="1127" t="s">
        <v>171</v>
      </c>
      <c r="T1032" s="843" t="s">
        <v>3659</v>
      </c>
      <c r="U1032" s="842">
        <v>2</v>
      </c>
      <c r="V1032" s="842" t="s">
        <v>8</v>
      </c>
      <c r="W1032" s="846">
        <v>170</v>
      </c>
      <c r="X1032" s="847">
        <f t="shared" si="195"/>
        <v>340</v>
      </c>
      <c r="Y1032" s="848">
        <f t="shared" si="201"/>
        <v>0.45</v>
      </c>
      <c r="Z1032" s="849">
        <v>93.5</v>
      </c>
      <c r="AA1032" s="849"/>
      <c r="AB1032" s="849">
        <f t="shared" si="196"/>
        <v>187</v>
      </c>
      <c r="AC1032" s="850">
        <f t="shared" si="197"/>
        <v>187</v>
      </c>
      <c r="AD1032" s="851"/>
      <c r="AE1032" s="852">
        <v>25350</v>
      </c>
      <c r="AF1032" s="853">
        <v>0</v>
      </c>
      <c r="AG1032" s="854">
        <f t="shared" si="198"/>
        <v>0</v>
      </c>
      <c r="AH1032" s="853">
        <v>0.1</v>
      </c>
      <c r="AI1032" s="855">
        <f t="shared" si="199"/>
        <v>474045</v>
      </c>
      <c r="AJ1032" s="845" t="s">
        <v>3624</v>
      </c>
      <c r="AK1032" s="857">
        <v>45932</v>
      </c>
      <c r="AL1032" s="840" t="s">
        <v>3625</v>
      </c>
      <c r="AM1032" s="840"/>
      <c r="AN1032" s="858"/>
      <c r="AO1032" s="844" t="s">
        <v>3626</v>
      </c>
      <c r="AP1032" s="859"/>
      <c r="AQ1032" s="859" t="s">
        <v>3604</v>
      </c>
      <c r="AR1032" s="859" t="s">
        <v>3627</v>
      </c>
      <c r="AS1032" s="840"/>
      <c r="AT1032" s="840"/>
      <c r="AU1032" s="860" t="s">
        <v>1311</v>
      </c>
      <c r="AV1032" s="839" t="s">
        <v>3628</v>
      </c>
      <c r="AW1032" s="861">
        <v>45715</v>
      </c>
      <c r="AX1032" s="862">
        <v>45719</v>
      </c>
      <c r="AY1032" s="843"/>
      <c r="AZ1032" s="842"/>
      <c r="BA1032" s="842" t="s">
        <v>120</v>
      </c>
      <c r="BB1032" s="863" t="s">
        <v>121</v>
      </c>
      <c r="BC1032" s="881">
        <v>45719</v>
      </c>
      <c r="BD1032" s="860" t="s">
        <v>3629</v>
      </c>
      <c r="BE1032" s="865" cm="1">
        <f t="array" ref="BE1032">IF(BD1032="","",AC1032/SUMPRODUCT(--(BD1032=$BD$4:$BD$12824),$AC$4:$AC$12824))</f>
        <v>1.2940836157941872E-2</v>
      </c>
      <c r="BF1032" s="458"/>
      <c r="BG1032" s="458"/>
      <c r="BH1032" s="458"/>
      <c r="BI1032" s="458"/>
      <c r="BJ1032" s="458"/>
      <c r="BK1032" s="458"/>
      <c r="BL1032" s="458"/>
      <c r="BM1032" s="458"/>
      <c r="BN1032" s="458"/>
      <c r="BO1032" s="866">
        <f>VLOOKUP(BD1032,$BD$4:$BN$12824,3,0)*BE1032</f>
        <v>0</v>
      </c>
      <c r="BP1032" s="866"/>
      <c r="BQ1032" s="866"/>
      <c r="BR1032" s="866">
        <f>VLOOKUP(BD1032,$BD$4:$BN$12824,6,0)*BE1032</f>
        <v>193156.17623383793</v>
      </c>
      <c r="BS1032" s="866">
        <f>VLOOKUP(BD1032,$BD$4:$BN$12824,7,0)*BE1032</f>
        <v>0</v>
      </c>
      <c r="BT1032" s="866"/>
      <c r="BU1032" s="866">
        <f>VLOOKUP(BD1032,$BD$4:$BN$12824,9,0)*BE1032</f>
        <v>3235.2090394854681</v>
      </c>
      <c r="BV1032" s="867"/>
      <c r="BW1032" s="867">
        <f>VLOOKUP(BD1032,$BD$4:$BN$12824,11,0)*BE1032</f>
        <v>31058.006779060492</v>
      </c>
      <c r="BX1032" s="1146">
        <f t="shared" si="192"/>
        <v>227449.39205238389</v>
      </c>
      <c r="BY1032" s="867">
        <f t="shared" si="193"/>
        <v>2483949.696026192</v>
      </c>
      <c r="BZ1032" s="867">
        <f t="shared" si="194"/>
        <v>4967899.3920523841</v>
      </c>
      <c r="CA1032" s="867">
        <f>_xlfn.MAXIFS($BY$4:$BY$12824,$S$4:$S$12824,$S1032)</f>
        <v>4101317.822984701</v>
      </c>
      <c r="CB1032" s="1032"/>
      <c r="CF1032" s="946">
        <f t="shared" si="200"/>
        <v>4740450</v>
      </c>
    </row>
    <row r="1033" spans="1:84">
      <c r="A1033" s="1032"/>
      <c r="B1033" s="839" t="s">
        <v>98</v>
      </c>
      <c r="C1033" s="839" t="s">
        <v>131</v>
      </c>
      <c r="D1033" s="839" t="s">
        <v>2351</v>
      </c>
      <c r="E1033" s="839" t="s">
        <v>2351</v>
      </c>
      <c r="F1033" s="841">
        <v>45682</v>
      </c>
      <c r="G1033" s="840" t="s">
        <v>133</v>
      </c>
      <c r="H1033" s="842" t="s">
        <v>134</v>
      </c>
      <c r="I1033" s="842"/>
      <c r="J1033" s="841"/>
      <c r="K1033" s="841"/>
      <c r="L1033" s="843" t="s">
        <v>106</v>
      </c>
      <c r="M1033" s="844" t="s">
        <v>417</v>
      </c>
      <c r="N1033" s="841"/>
      <c r="O1033" s="841" t="s">
        <v>150</v>
      </c>
      <c r="P1033" s="841" t="s">
        <v>384</v>
      </c>
      <c r="Q1033" s="843"/>
      <c r="R1033" s="845" t="s">
        <v>3660</v>
      </c>
      <c r="S1033" s="1127" t="s">
        <v>3661</v>
      </c>
      <c r="T1033" s="843" t="s">
        <v>3662</v>
      </c>
      <c r="U1033" s="842">
        <v>2</v>
      </c>
      <c r="V1033" s="842" t="s">
        <v>8</v>
      </c>
      <c r="W1033" s="846">
        <v>3115</v>
      </c>
      <c r="X1033" s="847">
        <f t="shared" si="195"/>
        <v>6230</v>
      </c>
      <c r="Y1033" s="848">
        <f t="shared" si="201"/>
        <v>0.48475762439807385</v>
      </c>
      <c r="Z1033" s="849">
        <v>1604.98</v>
      </c>
      <c r="AA1033" s="849"/>
      <c r="AB1033" s="849">
        <f t="shared" si="196"/>
        <v>3209.96</v>
      </c>
      <c r="AC1033" s="850">
        <f t="shared" si="197"/>
        <v>3209.96</v>
      </c>
      <c r="AD1033" s="851"/>
      <c r="AE1033" s="852">
        <v>25350</v>
      </c>
      <c r="AF1033" s="853">
        <v>0</v>
      </c>
      <c r="AG1033" s="854">
        <f t="shared" si="198"/>
        <v>0</v>
      </c>
      <c r="AH1033" s="853">
        <v>0.08</v>
      </c>
      <c r="AI1033" s="855">
        <f t="shared" si="199"/>
        <v>6509798.8799999999</v>
      </c>
      <c r="AJ1033" s="845" t="s">
        <v>3624</v>
      </c>
      <c r="AK1033" s="864">
        <v>45698</v>
      </c>
      <c r="AL1033" s="840" t="s">
        <v>3625</v>
      </c>
      <c r="AM1033" s="840"/>
      <c r="AN1033" s="858"/>
      <c r="AO1033" s="844" t="s">
        <v>3626</v>
      </c>
      <c r="AP1033" s="859"/>
      <c r="AQ1033" s="859" t="s">
        <v>3604</v>
      </c>
      <c r="AR1033" s="859" t="s">
        <v>3627</v>
      </c>
      <c r="AS1033" s="840"/>
      <c r="AT1033" s="840"/>
      <c r="AU1033" s="860" t="s">
        <v>1311</v>
      </c>
      <c r="AV1033" s="839" t="s">
        <v>3628</v>
      </c>
      <c r="AW1033" s="861">
        <v>45715</v>
      </c>
      <c r="AX1033" s="862">
        <v>45719</v>
      </c>
      <c r="AY1033" s="843"/>
      <c r="AZ1033" s="842"/>
      <c r="BA1033" s="842" t="s">
        <v>120</v>
      </c>
      <c r="BB1033" s="863" t="s">
        <v>121</v>
      </c>
      <c r="BC1033" s="881">
        <v>45719</v>
      </c>
      <c r="BD1033" s="860" t="s">
        <v>3629</v>
      </c>
      <c r="BE1033" s="865" cm="1">
        <f t="array" ref="BE1033">IF(BD1033="","",AC1033/SUMPRODUCT(--(BD1033=$BD$4:$BD$12824),$AC$4:$AC$12824))</f>
        <v>0.22213671889597378</v>
      </c>
      <c r="BF1033" s="458"/>
      <c r="BG1033" s="458"/>
      <c r="BH1033" s="458"/>
      <c r="BI1033" s="458"/>
      <c r="BJ1033" s="458"/>
      <c r="BK1033" s="458"/>
      <c r="BL1033" s="458"/>
      <c r="BM1033" s="458"/>
      <c r="BN1033" s="458"/>
      <c r="BO1033" s="866">
        <f>VLOOKUP(BD1033,$BD$4:$BN$12824,3,0)*BE1033</f>
        <v>0</v>
      </c>
      <c r="BP1033" s="866"/>
      <c r="BQ1033" s="866"/>
      <c r="BR1033" s="866">
        <f>VLOOKUP(BD1033,$BD$4:$BN$12824,6,0)*BE1033</f>
        <v>3315634.2217303235</v>
      </c>
      <c r="BS1033" s="866">
        <f>VLOOKUP(BD1033,$BD$4:$BN$12824,7,0)*BE1033</f>
        <v>0</v>
      </c>
      <c r="BT1033" s="866"/>
      <c r="BU1033" s="866">
        <f>VLOOKUP(BD1033,$BD$4:$BN$12824,9,0)*BE1033</f>
        <v>55534.179723993446</v>
      </c>
      <c r="BV1033" s="867"/>
      <c r="BW1033" s="867">
        <f>VLOOKUP(BD1033,$BD$4:$BN$12824,11,0)*BE1033</f>
        <v>533128.12535033701</v>
      </c>
      <c r="BX1033" s="1146">
        <f t="shared" si="192"/>
        <v>3904296.5268046539</v>
      </c>
      <c r="BY1033" s="867">
        <f t="shared" si="193"/>
        <v>42638391.263402328</v>
      </c>
      <c r="BZ1033" s="867">
        <f t="shared" si="194"/>
        <v>85276782.526804656</v>
      </c>
      <c r="CA1033" s="867">
        <f>_xlfn.MAXIFS($BY$4:$BY$12824,$S$4:$S$12824,$S1033)</f>
        <v>42638391.263402328</v>
      </c>
      <c r="CB1033" s="1032"/>
      <c r="CF1033" s="946">
        <f t="shared" si="200"/>
        <v>81372486</v>
      </c>
    </row>
    <row r="1034" spans="1:84">
      <c r="A1034" s="1032"/>
      <c r="B1034" s="839" t="s">
        <v>98</v>
      </c>
      <c r="C1034" s="839" t="s">
        <v>131</v>
      </c>
      <c r="D1034" s="839" t="s">
        <v>2351</v>
      </c>
      <c r="E1034" s="839" t="s">
        <v>2351</v>
      </c>
      <c r="F1034" s="841">
        <v>45680</v>
      </c>
      <c r="G1034" s="840" t="s">
        <v>133</v>
      </c>
      <c r="H1034" s="842" t="s">
        <v>134</v>
      </c>
      <c r="I1034" s="842"/>
      <c r="J1034" s="841"/>
      <c r="K1034" s="841"/>
      <c r="L1034" s="843" t="s">
        <v>106</v>
      </c>
      <c r="M1034" s="844" t="s">
        <v>417</v>
      </c>
      <c r="N1034" s="841"/>
      <c r="O1034" s="841" t="s">
        <v>150</v>
      </c>
      <c r="P1034" s="841" t="s">
        <v>384</v>
      </c>
      <c r="Q1034" s="843"/>
      <c r="R1034" s="845" t="s">
        <v>3663</v>
      </c>
      <c r="S1034" s="1127" t="s">
        <v>3664</v>
      </c>
      <c r="T1034" s="843" t="s">
        <v>3665</v>
      </c>
      <c r="U1034" s="842">
        <v>2</v>
      </c>
      <c r="V1034" s="842" t="s">
        <v>8</v>
      </c>
      <c r="W1034" s="846">
        <v>2656</v>
      </c>
      <c r="X1034" s="847">
        <f t="shared" si="195"/>
        <v>5312</v>
      </c>
      <c r="Y1034" s="848">
        <f t="shared" si="201"/>
        <v>0.48417545180722893</v>
      </c>
      <c r="Z1034" s="849">
        <v>1370.03</v>
      </c>
      <c r="AA1034" s="849"/>
      <c r="AB1034" s="849">
        <f t="shared" si="196"/>
        <v>2740.06</v>
      </c>
      <c r="AC1034" s="850">
        <f t="shared" si="197"/>
        <v>2740.06</v>
      </c>
      <c r="AD1034" s="851"/>
      <c r="AE1034" s="852">
        <v>25350</v>
      </c>
      <c r="AF1034" s="853">
        <v>0</v>
      </c>
      <c r="AG1034" s="854">
        <f t="shared" si="198"/>
        <v>0</v>
      </c>
      <c r="AH1034" s="853">
        <v>0.08</v>
      </c>
      <c r="AI1034" s="855">
        <f t="shared" si="199"/>
        <v>5556841.6799999997</v>
      </c>
      <c r="AJ1034" s="845" t="s">
        <v>3624</v>
      </c>
      <c r="AK1034" s="864">
        <v>45698</v>
      </c>
      <c r="AL1034" s="840" t="s">
        <v>3625</v>
      </c>
      <c r="AM1034" s="840"/>
      <c r="AN1034" s="858"/>
      <c r="AO1034" s="844" t="s">
        <v>3626</v>
      </c>
      <c r="AP1034" s="859"/>
      <c r="AQ1034" s="859" t="s">
        <v>3604</v>
      </c>
      <c r="AR1034" s="859" t="s">
        <v>3627</v>
      </c>
      <c r="AS1034" s="840"/>
      <c r="AT1034" s="840"/>
      <c r="AU1034" s="860" t="s">
        <v>1311</v>
      </c>
      <c r="AV1034" s="839" t="s">
        <v>3628</v>
      </c>
      <c r="AW1034" s="861">
        <v>45715</v>
      </c>
      <c r="AX1034" s="862">
        <v>45719</v>
      </c>
      <c r="AY1034" s="843"/>
      <c r="AZ1034" s="842"/>
      <c r="BA1034" s="842" t="s">
        <v>120</v>
      </c>
      <c r="BB1034" s="863" t="s">
        <v>121</v>
      </c>
      <c r="BC1034" s="881">
        <v>45719</v>
      </c>
      <c r="BD1034" s="860" t="s">
        <v>3629</v>
      </c>
      <c r="BE1034" s="865" cm="1">
        <f t="array" ref="BE1034">IF(BD1034="","",AC1034/SUMPRODUCT(--(BD1034=$BD$4:$BD$12824),$AC$4:$AC$12824))</f>
        <v>0.1896185429033701</v>
      </c>
      <c r="BF1034" s="458"/>
      <c r="BG1034" s="458"/>
      <c r="BH1034" s="458"/>
      <c r="BI1034" s="458"/>
      <c r="BJ1034" s="458"/>
      <c r="BK1034" s="458"/>
      <c r="BL1034" s="458"/>
      <c r="BM1034" s="458"/>
      <c r="BN1034" s="458"/>
      <c r="BO1034" s="866">
        <f>VLOOKUP(BD1034,$BD$4:$BN$12824,3,0)*BE1034</f>
        <v>0</v>
      </c>
      <c r="BP1034" s="866"/>
      <c r="BQ1034" s="866"/>
      <c r="BR1034" s="866">
        <f>VLOOKUP(BD1034,$BD$4:$BN$12824,6,0)*BE1034</f>
        <v>2830264.7713972726</v>
      </c>
      <c r="BS1034" s="866">
        <f>VLOOKUP(BD1034,$BD$4:$BN$12824,7,0)*BE1034</f>
        <v>0</v>
      </c>
      <c r="BT1034" s="866"/>
      <c r="BU1034" s="866">
        <f>VLOOKUP(BD1034,$BD$4:$BN$12824,9,0)*BE1034</f>
        <v>47404.635725842527</v>
      </c>
      <c r="BV1034" s="867"/>
      <c r="BW1034" s="867">
        <f>VLOOKUP(BD1034,$BD$4:$BN$12824,11,0)*BE1034</f>
        <v>455084.50296808826</v>
      </c>
      <c r="BX1034" s="1146">
        <f t="shared" si="192"/>
        <v>3332753.9100912032</v>
      </c>
      <c r="BY1034" s="867">
        <f t="shared" si="193"/>
        <v>36396637.455045603</v>
      </c>
      <c r="BZ1034" s="867">
        <f t="shared" si="194"/>
        <v>72793274.910091206</v>
      </c>
      <c r="CA1034" s="867">
        <f>_xlfn.MAXIFS($BY$4:$BY$12824,$S$4:$S$12824,$S1034)</f>
        <v>36396637.455045603</v>
      </c>
      <c r="CB1034" s="1032"/>
      <c r="CF1034" s="946">
        <f t="shared" si="200"/>
        <v>69460521</v>
      </c>
    </row>
    <row r="1035" spans="1:84">
      <c r="A1035" s="1032"/>
      <c r="B1035" s="839" t="s">
        <v>98</v>
      </c>
      <c r="C1035" s="839" t="s">
        <v>131</v>
      </c>
      <c r="D1035" s="839" t="s">
        <v>2351</v>
      </c>
      <c r="E1035" s="839" t="s">
        <v>2351</v>
      </c>
      <c r="F1035" s="841">
        <v>45680</v>
      </c>
      <c r="G1035" s="840" t="s">
        <v>133</v>
      </c>
      <c r="H1035" s="842" t="s">
        <v>134</v>
      </c>
      <c r="I1035" s="842"/>
      <c r="J1035" s="841"/>
      <c r="K1035" s="841"/>
      <c r="L1035" s="843" t="s">
        <v>106</v>
      </c>
      <c r="M1035" s="844" t="s">
        <v>417</v>
      </c>
      <c r="N1035" s="841"/>
      <c r="O1035" s="841" t="s">
        <v>150</v>
      </c>
      <c r="P1035" s="841" t="s">
        <v>151</v>
      </c>
      <c r="Q1035" s="843"/>
      <c r="R1035" s="845" t="s">
        <v>3666</v>
      </c>
      <c r="S1035" s="1127" t="s">
        <v>3667</v>
      </c>
      <c r="T1035" s="843" t="s">
        <v>3668</v>
      </c>
      <c r="U1035" s="842">
        <v>5</v>
      </c>
      <c r="V1035" s="842" t="s">
        <v>8</v>
      </c>
      <c r="W1035" s="846">
        <v>275</v>
      </c>
      <c r="X1035" s="847">
        <f t="shared" si="195"/>
        <v>1375</v>
      </c>
      <c r="Y1035" s="848">
        <f t="shared" si="201"/>
        <v>0.48698181818181813</v>
      </c>
      <c r="Z1035" s="849">
        <v>141.08000000000001</v>
      </c>
      <c r="AA1035" s="849"/>
      <c r="AB1035" s="849">
        <f t="shared" si="196"/>
        <v>705.40000000000009</v>
      </c>
      <c r="AC1035" s="850">
        <f t="shared" si="197"/>
        <v>705.40000000000009</v>
      </c>
      <c r="AD1035" s="851"/>
      <c r="AE1035" s="852">
        <v>25350</v>
      </c>
      <c r="AF1035" s="853">
        <v>0.25</v>
      </c>
      <c r="AG1035" s="854">
        <f t="shared" si="198"/>
        <v>4470472.5000000009</v>
      </c>
      <c r="AH1035" s="853">
        <v>0.08</v>
      </c>
      <c r="AI1035" s="855">
        <f t="shared" si="199"/>
        <v>1788189.0000000002</v>
      </c>
      <c r="AJ1035" s="845" t="s">
        <v>3624</v>
      </c>
      <c r="AK1035" s="864">
        <v>45698</v>
      </c>
      <c r="AL1035" s="840" t="s">
        <v>3625</v>
      </c>
      <c r="AM1035" s="840"/>
      <c r="AN1035" s="858"/>
      <c r="AO1035" s="844" t="s">
        <v>3626</v>
      </c>
      <c r="AP1035" s="859"/>
      <c r="AQ1035" s="859" t="s">
        <v>3604</v>
      </c>
      <c r="AR1035" s="859" t="s">
        <v>3627</v>
      </c>
      <c r="AS1035" s="840"/>
      <c r="AT1035" s="840"/>
      <c r="AU1035" s="860" t="s">
        <v>1311</v>
      </c>
      <c r="AV1035" s="839" t="s">
        <v>3628</v>
      </c>
      <c r="AW1035" s="861">
        <v>45715</v>
      </c>
      <c r="AX1035" s="862">
        <v>45719</v>
      </c>
      <c r="AY1035" s="843"/>
      <c r="AZ1035" s="842"/>
      <c r="BA1035" s="842" t="s">
        <v>120</v>
      </c>
      <c r="BB1035" s="863" t="s">
        <v>121</v>
      </c>
      <c r="BC1035" s="881">
        <v>45719</v>
      </c>
      <c r="BD1035" s="860" t="s">
        <v>3629</v>
      </c>
      <c r="BE1035" s="865" cm="1">
        <f t="array" ref="BE1035">IF(BD1035="","",AC1035/SUMPRODUCT(--(BD1035=$BD$4:$BD$12824),$AC$4:$AC$12824))</f>
        <v>4.8815325271722984E-2</v>
      </c>
      <c r="BF1035" s="458"/>
      <c r="BG1035" s="458"/>
      <c r="BH1035" s="458"/>
      <c r="BI1035" s="458"/>
      <c r="BJ1035" s="458"/>
      <c r="BK1035" s="458"/>
      <c r="BL1035" s="458"/>
      <c r="BM1035" s="458"/>
      <c r="BN1035" s="458"/>
      <c r="BO1035" s="866">
        <f>VLOOKUP(BD1035,$BD$4:$BN$12824,3,0)*BE1035</f>
        <v>0</v>
      </c>
      <c r="BP1035" s="866"/>
      <c r="BQ1035" s="866"/>
      <c r="BR1035" s="866">
        <f>VLOOKUP(BD1035,$BD$4:$BN$12824,6,0)*BE1035</f>
        <v>728622.28190026362</v>
      </c>
      <c r="BS1035" s="866">
        <f>VLOOKUP(BD1035,$BD$4:$BN$12824,7,0)*BE1035</f>
        <v>0</v>
      </c>
      <c r="BT1035" s="866"/>
      <c r="BU1035" s="866">
        <f>VLOOKUP(BD1035,$BD$4:$BN$12824,9,0)*BE1035</f>
        <v>12203.831317930746</v>
      </c>
      <c r="BV1035" s="867"/>
      <c r="BW1035" s="867">
        <f>VLOOKUP(BD1035,$BD$4:$BN$12824,11,0)*BE1035</f>
        <v>117156.78065213516</v>
      </c>
      <c r="BX1035" s="1146">
        <f t="shared" si="192"/>
        <v>857982.89387032948</v>
      </c>
      <c r="BY1035" s="867">
        <f t="shared" si="193"/>
        <v>4642069.0787740666</v>
      </c>
      <c r="BZ1035" s="867">
        <f t="shared" si="194"/>
        <v>23210345.393870331</v>
      </c>
      <c r="CA1035" s="867">
        <f>_xlfn.MAXIFS($BY$4:$BY$12824,$S$4:$S$12824,$S1035)</f>
        <v>4642069.0787740666</v>
      </c>
      <c r="CB1035" s="1032"/>
      <c r="CF1035" s="946">
        <f t="shared" si="200"/>
        <v>17881890.000000004</v>
      </c>
    </row>
    <row r="1036" spans="1:84">
      <c r="A1036" s="1032"/>
      <c r="B1036" s="839" t="s">
        <v>98</v>
      </c>
      <c r="C1036" s="839" t="s">
        <v>131</v>
      </c>
      <c r="D1036" s="839" t="s">
        <v>2351</v>
      </c>
      <c r="E1036" s="839" t="s">
        <v>2351</v>
      </c>
      <c r="F1036" s="841">
        <v>45680</v>
      </c>
      <c r="G1036" s="840" t="s">
        <v>133</v>
      </c>
      <c r="H1036" s="842" t="s">
        <v>134</v>
      </c>
      <c r="I1036" s="842"/>
      <c r="J1036" s="841"/>
      <c r="K1036" s="841"/>
      <c r="L1036" s="843" t="s">
        <v>106</v>
      </c>
      <c r="M1036" s="844" t="s">
        <v>417</v>
      </c>
      <c r="N1036" s="841"/>
      <c r="O1036" s="841" t="s">
        <v>150</v>
      </c>
      <c r="P1036" s="841" t="s">
        <v>461</v>
      </c>
      <c r="Q1036" s="843"/>
      <c r="R1036" s="845" t="s">
        <v>3669</v>
      </c>
      <c r="S1036" s="1127" t="s">
        <v>3670</v>
      </c>
      <c r="T1036" s="843" t="s">
        <v>3671</v>
      </c>
      <c r="U1036" s="842">
        <v>2</v>
      </c>
      <c r="V1036" s="842" t="s">
        <v>8</v>
      </c>
      <c r="W1036" s="846">
        <v>168</v>
      </c>
      <c r="X1036" s="847">
        <f t="shared" si="195"/>
        <v>336</v>
      </c>
      <c r="Y1036" s="848">
        <f t="shared" si="201"/>
        <v>0.48702380952380947</v>
      </c>
      <c r="Z1036" s="849">
        <v>86.18</v>
      </c>
      <c r="AA1036" s="849"/>
      <c r="AB1036" s="849">
        <f t="shared" si="196"/>
        <v>172.36</v>
      </c>
      <c r="AC1036" s="850">
        <f t="shared" si="197"/>
        <v>172.36</v>
      </c>
      <c r="AD1036" s="851"/>
      <c r="AE1036" s="852">
        <v>25350</v>
      </c>
      <c r="AF1036" s="853">
        <v>0.05</v>
      </c>
      <c r="AG1036" s="854">
        <f t="shared" si="198"/>
        <v>218466.30000000002</v>
      </c>
      <c r="AH1036" s="853">
        <v>0.08</v>
      </c>
      <c r="AI1036" s="855">
        <f t="shared" si="199"/>
        <v>367023.38400000002</v>
      </c>
      <c r="AJ1036" s="845" t="s">
        <v>3624</v>
      </c>
      <c r="AK1036" s="864">
        <v>45698</v>
      </c>
      <c r="AL1036" s="840" t="s">
        <v>3625</v>
      </c>
      <c r="AM1036" s="840"/>
      <c r="AN1036" s="858"/>
      <c r="AO1036" s="844" t="s">
        <v>3626</v>
      </c>
      <c r="AP1036" s="859"/>
      <c r="AQ1036" s="859" t="s">
        <v>3604</v>
      </c>
      <c r="AR1036" s="859" t="s">
        <v>3627</v>
      </c>
      <c r="AS1036" s="840"/>
      <c r="AT1036" s="840"/>
      <c r="AU1036" s="860" t="s">
        <v>1311</v>
      </c>
      <c r="AV1036" s="839" t="s">
        <v>3628</v>
      </c>
      <c r="AW1036" s="861">
        <v>45715</v>
      </c>
      <c r="AX1036" s="862">
        <v>45719</v>
      </c>
      <c r="AY1036" s="843"/>
      <c r="AZ1036" s="842"/>
      <c r="BA1036" s="842" t="s">
        <v>120</v>
      </c>
      <c r="BB1036" s="863" t="s">
        <v>121</v>
      </c>
      <c r="BC1036" s="881">
        <v>45719</v>
      </c>
      <c r="BD1036" s="860" t="s">
        <v>3629</v>
      </c>
      <c r="BE1036" s="865" cm="1">
        <f t="array" ref="BE1036">IF(BD1036="","",AC1036/SUMPRODUCT(--(BD1036=$BD$4:$BD$12824),$AC$4:$AC$12824))</f>
        <v>1.1927714011673056E-2</v>
      </c>
      <c r="BF1036" s="458"/>
      <c r="BG1036" s="458"/>
      <c r="BH1036" s="458"/>
      <c r="BI1036" s="458"/>
      <c r="BJ1036" s="458"/>
      <c r="BK1036" s="458"/>
      <c r="BL1036" s="458"/>
      <c r="BM1036" s="458"/>
      <c r="BN1036" s="458"/>
      <c r="BO1036" s="866">
        <f>VLOOKUP(BD1036,$BD$4:$BN$12824,3,0)*BE1036</f>
        <v>0</v>
      </c>
      <c r="BP1036" s="866"/>
      <c r="BQ1036" s="866"/>
      <c r="BR1036" s="866">
        <f>VLOOKUP(BD1036,$BD$4:$BN$12824,6,0)*BE1036</f>
        <v>178034.21676825834</v>
      </c>
      <c r="BS1036" s="866">
        <f>VLOOKUP(BD1036,$BD$4:$BN$12824,7,0)*BE1036</f>
        <v>0</v>
      </c>
      <c r="BT1036" s="866"/>
      <c r="BU1036" s="866">
        <f>VLOOKUP(BD1036,$BD$4:$BN$12824,9,0)*BE1036</f>
        <v>2981.9285029182638</v>
      </c>
      <c r="BV1036" s="867"/>
      <c r="BW1036" s="867">
        <f>VLOOKUP(BD1036,$BD$4:$BN$12824,11,0)*BE1036</f>
        <v>28626.513628015335</v>
      </c>
      <c r="BX1036" s="1146">
        <f t="shared" si="192"/>
        <v>209642.65889919191</v>
      </c>
      <c r="BY1036" s="867">
        <f t="shared" si="193"/>
        <v>2398717.4794495958</v>
      </c>
      <c r="BZ1036" s="867">
        <f t="shared" si="194"/>
        <v>4797434.9588991916</v>
      </c>
      <c r="CA1036" s="867">
        <f>_xlfn.MAXIFS($BY$4:$BY$12824,$S$4:$S$12824,$S1036)</f>
        <v>2398717.4794495958</v>
      </c>
      <c r="CB1036" s="1032"/>
      <c r="CF1036" s="946">
        <f t="shared" si="200"/>
        <v>4369326</v>
      </c>
    </row>
    <row r="1037" spans="1:84">
      <c r="A1037" s="1032"/>
      <c r="B1037" s="839" t="s">
        <v>98</v>
      </c>
      <c r="C1037" s="839" t="s">
        <v>131</v>
      </c>
      <c r="D1037" s="839" t="s">
        <v>2351</v>
      </c>
      <c r="E1037" s="839" t="s">
        <v>2351</v>
      </c>
      <c r="F1037" s="841">
        <v>45680</v>
      </c>
      <c r="G1037" s="840" t="s">
        <v>133</v>
      </c>
      <c r="H1037" s="842" t="s">
        <v>134</v>
      </c>
      <c r="I1037" s="842"/>
      <c r="J1037" s="841"/>
      <c r="K1037" s="841"/>
      <c r="L1037" s="843" t="s">
        <v>106</v>
      </c>
      <c r="M1037" s="844" t="s">
        <v>417</v>
      </c>
      <c r="N1037" s="841"/>
      <c r="O1037" s="841" t="s">
        <v>150</v>
      </c>
      <c r="P1037" s="841" t="s">
        <v>461</v>
      </c>
      <c r="Q1037" s="843"/>
      <c r="R1037" s="845" t="s">
        <v>3672</v>
      </c>
      <c r="S1037" s="1127" t="s">
        <v>3673</v>
      </c>
      <c r="T1037" s="843" t="s">
        <v>3674</v>
      </c>
      <c r="U1037" s="842">
        <v>2</v>
      </c>
      <c r="V1037" s="842" t="s">
        <v>8</v>
      </c>
      <c r="W1037" s="846">
        <v>168</v>
      </c>
      <c r="X1037" s="847">
        <f t="shared" si="195"/>
        <v>336</v>
      </c>
      <c r="Y1037" s="848">
        <f t="shared" si="201"/>
        <v>0.48702380952380947</v>
      </c>
      <c r="Z1037" s="849">
        <v>86.18</v>
      </c>
      <c r="AA1037" s="849"/>
      <c r="AB1037" s="849">
        <f t="shared" si="196"/>
        <v>172.36</v>
      </c>
      <c r="AC1037" s="850">
        <f t="shared" si="197"/>
        <v>172.36</v>
      </c>
      <c r="AD1037" s="851"/>
      <c r="AE1037" s="852">
        <v>25350</v>
      </c>
      <c r="AF1037" s="853">
        <v>0.05</v>
      </c>
      <c r="AG1037" s="854">
        <f t="shared" si="198"/>
        <v>218466.30000000002</v>
      </c>
      <c r="AH1037" s="853">
        <v>0.08</v>
      </c>
      <c r="AI1037" s="855">
        <f t="shared" si="199"/>
        <v>367023.38400000002</v>
      </c>
      <c r="AJ1037" s="845" t="s">
        <v>3624</v>
      </c>
      <c r="AK1037" s="864">
        <v>45698</v>
      </c>
      <c r="AL1037" s="840" t="s">
        <v>3625</v>
      </c>
      <c r="AM1037" s="840"/>
      <c r="AN1037" s="858"/>
      <c r="AO1037" s="844" t="s">
        <v>3626</v>
      </c>
      <c r="AP1037" s="859"/>
      <c r="AQ1037" s="859" t="s">
        <v>3604</v>
      </c>
      <c r="AR1037" s="859" t="s">
        <v>3627</v>
      </c>
      <c r="AS1037" s="840"/>
      <c r="AT1037" s="840"/>
      <c r="AU1037" s="860" t="s">
        <v>1311</v>
      </c>
      <c r="AV1037" s="839" t="s">
        <v>3628</v>
      </c>
      <c r="AW1037" s="861">
        <v>45715</v>
      </c>
      <c r="AX1037" s="862">
        <v>45719</v>
      </c>
      <c r="AY1037" s="843"/>
      <c r="AZ1037" s="842"/>
      <c r="BA1037" s="842" t="s">
        <v>120</v>
      </c>
      <c r="BB1037" s="863" t="s">
        <v>121</v>
      </c>
      <c r="BC1037" s="881">
        <v>45719</v>
      </c>
      <c r="BD1037" s="860" t="s">
        <v>3629</v>
      </c>
      <c r="BE1037" s="865" cm="1">
        <f t="array" ref="BE1037">IF(BD1037="","",AC1037/SUMPRODUCT(--(BD1037=$BD$4:$BD$12824),$AC$4:$AC$12824))</f>
        <v>1.1927714011673056E-2</v>
      </c>
      <c r="BF1037" s="458"/>
      <c r="BG1037" s="458"/>
      <c r="BH1037" s="458"/>
      <c r="BI1037" s="458"/>
      <c r="BJ1037" s="458"/>
      <c r="BK1037" s="458"/>
      <c r="BL1037" s="458"/>
      <c r="BM1037" s="458"/>
      <c r="BN1037" s="458"/>
      <c r="BO1037" s="866">
        <f>VLOOKUP(BD1037,$BD$4:$BN$12824,3,0)*BE1037</f>
        <v>0</v>
      </c>
      <c r="BP1037" s="866"/>
      <c r="BQ1037" s="866"/>
      <c r="BR1037" s="866">
        <f>VLOOKUP(BD1037,$BD$4:$BN$12824,6,0)*BE1037</f>
        <v>178034.21676825834</v>
      </c>
      <c r="BS1037" s="866">
        <f>VLOOKUP(BD1037,$BD$4:$BN$12824,7,0)*BE1037</f>
        <v>0</v>
      </c>
      <c r="BT1037" s="866"/>
      <c r="BU1037" s="866">
        <f>VLOOKUP(BD1037,$BD$4:$BN$12824,9,0)*BE1037</f>
        <v>2981.9285029182638</v>
      </c>
      <c r="BV1037" s="867"/>
      <c r="BW1037" s="867">
        <f>VLOOKUP(BD1037,$BD$4:$BN$12824,11,0)*BE1037</f>
        <v>28626.513628015335</v>
      </c>
      <c r="BX1037" s="1146">
        <f t="shared" si="192"/>
        <v>209642.65889919191</v>
      </c>
      <c r="BY1037" s="867">
        <f t="shared" si="193"/>
        <v>2398717.4794495958</v>
      </c>
      <c r="BZ1037" s="867">
        <f t="shared" si="194"/>
        <v>4797434.9588991916</v>
      </c>
      <c r="CA1037" s="867">
        <f>_xlfn.MAXIFS($BY$4:$BY$12824,$S$4:$S$12824,$S1037)</f>
        <v>2398717.4794495958</v>
      </c>
      <c r="CB1037" s="1032"/>
      <c r="CF1037" s="946">
        <f t="shared" si="200"/>
        <v>4369326</v>
      </c>
    </row>
    <row r="1038" spans="1:84">
      <c r="A1038" s="1032"/>
      <c r="B1038" s="839" t="s">
        <v>98</v>
      </c>
      <c r="C1038" s="839" t="s">
        <v>131</v>
      </c>
      <c r="D1038" s="839" t="s">
        <v>2351</v>
      </c>
      <c r="E1038" s="839" t="s">
        <v>2351</v>
      </c>
      <c r="F1038" s="841">
        <v>45680</v>
      </c>
      <c r="G1038" s="840" t="s">
        <v>133</v>
      </c>
      <c r="H1038" s="842" t="s">
        <v>134</v>
      </c>
      <c r="I1038" s="842"/>
      <c r="J1038" s="841"/>
      <c r="K1038" s="841"/>
      <c r="L1038" s="843" t="s">
        <v>106</v>
      </c>
      <c r="M1038" s="844" t="s">
        <v>417</v>
      </c>
      <c r="N1038" s="841"/>
      <c r="O1038" s="841" t="s">
        <v>150</v>
      </c>
      <c r="P1038" s="841" t="s">
        <v>461</v>
      </c>
      <c r="Q1038" s="843"/>
      <c r="R1038" s="845" t="s">
        <v>3675</v>
      </c>
      <c r="S1038" s="1127" t="s">
        <v>3676</v>
      </c>
      <c r="T1038" s="843" t="s">
        <v>3677</v>
      </c>
      <c r="U1038" s="842">
        <v>2</v>
      </c>
      <c r="V1038" s="842" t="s">
        <v>8</v>
      </c>
      <c r="W1038" s="846">
        <v>168</v>
      </c>
      <c r="X1038" s="847">
        <f t="shared" si="195"/>
        <v>336</v>
      </c>
      <c r="Y1038" s="848">
        <f t="shared" si="201"/>
        <v>0.48702380952380947</v>
      </c>
      <c r="Z1038" s="849">
        <v>86.18</v>
      </c>
      <c r="AA1038" s="849"/>
      <c r="AB1038" s="849">
        <f t="shared" si="196"/>
        <v>172.36</v>
      </c>
      <c r="AC1038" s="850">
        <f t="shared" si="197"/>
        <v>172.36</v>
      </c>
      <c r="AD1038" s="851"/>
      <c r="AE1038" s="852">
        <v>25350</v>
      </c>
      <c r="AF1038" s="853">
        <v>0.05</v>
      </c>
      <c r="AG1038" s="854">
        <f t="shared" si="198"/>
        <v>218466.30000000002</v>
      </c>
      <c r="AH1038" s="853">
        <v>0.08</v>
      </c>
      <c r="AI1038" s="855">
        <f t="shared" si="199"/>
        <v>367023.38400000002</v>
      </c>
      <c r="AJ1038" s="845" t="s">
        <v>3624</v>
      </c>
      <c r="AK1038" s="864">
        <v>45698</v>
      </c>
      <c r="AL1038" s="840" t="s">
        <v>3625</v>
      </c>
      <c r="AM1038" s="840"/>
      <c r="AN1038" s="858"/>
      <c r="AO1038" s="844" t="s">
        <v>3626</v>
      </c>
      <c r="AP1038" s="859"/>
      <c r="AQ1038" s="859" t="s">
        <v>3604</v>
      </c>
      <c r="AR1038" s="859" t="s">
        <v>3627</v>
      </c>
      <c r="AS1038" s="840"/>
      <c r="AT1038" s="840"/>
      <c r="AU1038" s="860" t="s">
        <v>1311</v>
      </c>
      <c r="AV1038" s="839" t="s">
        <v>3628</v>
      </c>
      <c r="AW1038" s="861">
        <v>45715</v>
      </c>
      <c r="AX1038" s="862">
        <v>45719</v>
      </c>
      <c r="AY1038" s="843"/>
      <c r="AZ1038" s="842"/>
      <c r="BA1038" s="842" t="s">
        <v>120</v>
      </c>
      <c r="BB1038" s="863" t="s">
        <v>121</v>
      </c>
      <c r="BC1038" s="881">
        <v>45719</v>
      </c>
      <c r="BD1038" s="860" t="s">
        <v>3629</v>
      </c>
      <c r="BE1038" s="865" cm="1">
        <f t="array" ref="BE1038">IF(BD1038="","",AC1038/SUMPRODUCT(--(BD1038=$BD$4:$BD$12824),$AC$4:$AC$12824))</f>
        <v>1.1927714011673056E-2</v>
      </c>
      <c r="BF1038" s="458"/>
      <c r="BG1038" s="458"/>
      <c r="BH1038" s="458"/>
      <c r="BI1038" s="458"/>
      <c r="BJ1038" s="458"/>
      <c r="BK1038" s="458"/>
      <c r="BL1038" s="458"/>
      <c r="BM1038" s="458"/>
      <c r="BN1038" s="458"/>
      <c r="BO1038" s="866">
        <f>VLOOKUP(BD1038,$BD$4:$BN$12824,3,0)*BE1038</f>
        <v>0</v>
      </c>
      <c r="BP1038" s="866"/>
      <c r="BQ1038" s="866"/>
      <c r="BR1038" s="866">
        <f>VLOOKUP(BD1038,$BD$4:$BN$12824,6,0)*BE1038</f>
        <v>178034.21676825834</v>
      </c>
      <c r="BS1038" s="866">
        <f>VLOOKUP(BD1038,$BD$4:$BN$12824,7,0)*BE1038</f>
        <v>0</v>
      </c>
      <c r="BT1038" s="866"/>
      <c r="BU1038" s="866">
        <f>VLOOKUP(BD1038,$BD$4:$BN$12824,9,0)*BE1038</f>
        <v>2981.9285029182638</v>
      </c>
      <c r="BV1038" s="867"/>
      <c r="BW1038" s="867">
        <f>VLOOKUP(BD1038,$BD$4:$BN$12824,11,0)*BE1038</f>
        <v>28626.513628015335</v>
      </c>
      <c r="BX1038" s="1146">
        <f t="shared" si="192"/>
        <v>209642.65889919191</v>
      </c>
      <c r="BY1038" s="867">
        <f t="shared" si="193"/>
        <v>2398717.4794495958</v>
      </c>
      <c r="BZ1038" s="867">
        <f t="shared" si="194"/>
        <v>4797434.9588991916</v>
      </c>
      <c r="CA1038" s="867">
        <f>_xlfn.MAXIFS($BY$4:$BY$12824,$S$4:$S$12824,$S1038)</f>
        <v>2398717.4794495958</v>
      </c>
      <c r="CB1038" s="1032"/>
      <c r="CF1038" s="946">
        <f t="shared" si="200"/>
        <v>4369326</v>
      </c>
    </row>
    <row r="1039" spans="1:84">
      <c r="A1039" s="1032"/>
      <c r="B1039" s="839" t="s">
        <v>98</v>
      </c>
      <c r="C1039" s="839" t="s">
        <v>131</v>
      </c>
      <c r="D1039" s="839" t="s">
        <v>2351</v>
      </c>
      <c r="E1039" s="839" t="s">
        <v>2351</v>
      </c>
      <c r="F1039" s="841">
        <v>45680</v>
      </c>
      <c r="G1039" s="840" t="s">
        <v>133</v>
      </c>
      <c r="H1039" s="842" t="s">
        <v>134</v>
      </c>
      <c r="I1039" s="842"/>
      <c r="J1039" s="841"/>
      <c r="K1039" s="841"/>
      <c r="L1039" s="843" t="s">
        <v>106</v>
      </c>
      <c r="M1039" s="844" t="s">
        <v>417</v>
      </c>
      <c r="N1039" s="841"/>
      <c r="O1039" s="841" t="s">
        <v>150</v>
      </c>
      <c r="P1039" s="841" t="s">
        <v>276</v>
      </c>
      <c r="Q1039" s="843"/>
      <c r="R1039" s="845" t="s">
        <v>3678</v>
      </c>
      <c r="S1039" s="1127" t="s">
        <v>3679</v>
      </c>
      <c r="T1039" s="843" t="s">
        <v>3680</v>
      </c>
      <c r="U1039" s="842">
        <v>2</v>
      </c>
      <c r="V1039" s="842" t="s">
        <v>8</v>
      </c>
      <c r="W1039" s="846">
        <v>198</v>
      </c>
      <c r="X1039" s="847">
        <f t="shared" si="195"/>
        <v>396</v>
      </c>
      <c r="Y1039" s="848">
        <f t="shared" si="201"/>
        <v>0.48702020202020208</v>
      </c>
      <c r="Z1039" s="849">
        <v>101.57</v>
      </c>
      <c r="AA1039" s="849"/>
      <c r="AB1039" s="849">
        <f t="shared" si="196"/>
        <v>203.14</v>
      </c>
      <c r="AC1039" s="850">
        <f t="shared" si="197"/>
        <v>203.14</v>
      </c>
      <c r="AD1039" s="851"/>
      <c r="AE1039" s="852">
        <v>25350</v>
      </c>
      <c r="AF1039" s="853">
        <v>0.05</v>
      </c>
      <c r="AG1039" s="854">
        <f t="shared" si="198"/>
        <v>257479.95</v>
      </c>
      <c r="AH1039" s="853">
        <v>0.08</v>
      </c>
      <c r="AI1039" s="855">
        <f t="shared" si="199"/>
        <v>432566.31600000005</v>
      </c>
      <c r="AJ1039" s="845" t="s">
        <v>3624</v>
      </c>
      <c r="AK1039" s="864">
        <v>45698</v>
      </c>
      <c r="AL1039" s="840" t="s">
        <v>3625</v>
      </c>
      <c r="AM1039" s="840"/>
      <c r="AN1039" s="858"/>
      <c r="AO1039" s="844" t="s">
        <v>3626</v>
      </c>
      <c r="AP1039" s="859"/>
      <c r="AQ1039" s="859" t="s">
        <v>3604</v>
      </c>
      <c r="AR1039" s="859" t="s">
        <v>3627</v>
      </c>
      <c r="AS1039" s="840"/>
      <c r="AT1039" s="840"/>
      <c r="AU1039" s="860" t="s">
        <v>1311</v>
      </c>
      <c r="AV1039" s="839" t="s">
        <v>3628</v>
      </c>
      <c r="AW1039" s="861">
        <v>45715</v>
      </c>
      <c r="AX1039" s="862">
        <v>45719</v>
      </c>
      <c r="AY1039" s="843"/>
      <c r="AZ1039" s="842"/>
      <c r="BA1039" s="842" t="s">
        <v>120</v>
      </c>
      <c r="BB1039" s="863" t="s">
        <v>121</v>
      </c>
      <c r="BC1039" s="881">
        <v>45719</v>
      </c>
      <c r="BD1039" s="860" t="s">
        <v>3629</v>
      </c>
      <c r="BE1039" s="865" cm="1">
        <f t="array" ref="BE1039">IF(BD1039="","",AC1039/SUMPRODUCT(--(BD1039=$BD$4:$BD$12824),$AC$4:$AC$12824))</f>
        <v>1.4057761802803806E-2</v>
      </c>
      <c r="BF1039" s="458"/>
      <c r="BG1039" s="458"/>
      <c r="BH1039" s="458"/>
      <c r="BI1039" s="458"/>
      <c r="BJ1039" s="458"/>
      <c r="BK1039" s="458"/>
      <c r="BL1039" s="458"/>
      <c r="BM1039" s="458"/>
      <c r="BN1039" s="458"/>
      <c r="BO1039" s="866">
        <f>VLOOKUP(BD1039,$BD$4:$BN$12824,3,0)*BE1039</f>
        <v>0</v>
      </c>
      <c r="BP1039" s="866"/>
      <c r="BQ1039" s="866"/>
      <c r="BR1039" s="866">
        <f>VLOOKUP(BD1039,$BD$4:$BN$12824,6,0)*BE1039</f>
        <v>209827.51679220234</v>
      </c>
      <c r="BS1039" s="866">
        <f>VLOOKUP(BD1039,$BD$4:$BN$12824,7,0)*BE1039</f>
        <v>0</v>
      </c>
      <c r="BT1039" s="866"/>
      <c r="BU1039" s="866">
        <f>VLOOKUP(BD1039,$BD$4:$BN$12824,9,0)*BE1039</f>
        <v>3514.4404507009517</v>
      </c>
      <c r="BV1039" s="867"/>
      <c r="BW1039" s="867">
        <f>VLOOKUP(BD1039,$BD$4:$BN$12824,11,0)*BE1039</f>
        <v>33738.628326729136</v>
      </c>
      <c r="BX1039" s="1146">
        <f t="shared" si="192"/>
        <v>247080.58556963244</v>
      </c>
      <c r="BY1039" s="867">
        <f t="shared" si="193"/>
        <v>2827079.7677848162</v>
      </c>
      <c r="BZ1039" s="867">
        <f t="shared" si="194"/>
        <v>5654159.5355696324</v>
      </c>
      <c r="CA1039" s="867">
        <f>_xlfn.MAXIFS($BY$4:$BY$12824,$S$4:$S$12824,$S1039)</f>
        <v>2827079.7677848162</v>
      </c>
      <c r="CB1039" s="1032"/>
      <c r="CF1039" s="946">
        <f t="shared" si="200"/>
        <v>5149599</v>
      </c>
    </row>
    <row r="1040" spans="1:84">
      <c r="A1040" s="1032"/>
      <c r="B1040" s="839" t="s">
        <v>98</v>
      </c>
      <c r="C1040" s="839" t="s">
        <v>131</v>
      </c>
      <c r="D1040" s="839" t="s">
        <v>2351</v>
      </c>
      <c r="E1040" s="839" t="s">
        <v>2351</v>
      </c>
      <c r="F1040" s="841">
        <v>45680</v>
      </c>
      <c r="G1040" s="840" t="s">
        <v>133</v>
      </c>
      <c r="H1040" s="842" t="s">
        <v>134</v>
      </c>
      <c r="I1040" s="842"/>
      <c r="J1040" s="841"/>
      <c r="K1040" s="841"/>
      <c r="L1040" s="843" t="s">
        <v>106</v>
      </c>
      <c r="M1040" s="844" t="s">
        <v>417</v>
      </c>
      <c r="N1040" s="841"/>
      <c r="O1040" s="841" t="s">
        <v>150</v>
      </c>
      <c r="P1040" s="841" t="s">
        <v>276</v>
      </c>
      <c r="Q1040" s="843"/>
      <c r="R1040" s="845" t="s">
        <v>3681</v>
      </c>
      <c r="S1040" s="1127" t="s">
        <v>3682</v>
      </c>
      <c r="T1040" s="843" t="s">
        <v>3683</v>
      </c>
      <c r="U1040" s="842">
        <v>2</v>
      </c>
      <c r="V1040" s="842" t="s">
        <v>8</v>
      </c>
      <c r="W1040" s="846">
        <v>198</v>
      </c>
      <c r="X1040" s="847">
        <f t="shared" si="195"/>
        <v>396</v>
      </c>
      <c r="Y1040" s="848">
        <f t="shared" si="201"/>
        <v>0.48702020202020208</v>
      </c>
      <c r="Z1040" s="849">
        <v>101.57</v>
      </c>
      <c r="AA1040" s="849"/>
      <c r="AB1040" s="849">
        <f t="shared" si="196"/>
        <v>203.14</v>
      </c>
      <c r="AC1040" s="850">
        <f t="shared" si="197"/>
        <v>203.14</v>
      </c>
      <c r="AD1040" s="851"/>
      <c r="AE1040" s="852">
        <v>25350</v>
      </c>
      <c r="AF1040" s="853">
        <v>0.2</v>
      </c>
      <c r="AG1040" s="854">
        <f t="shared" si="198"/>
        <v>1029919.8</v>
      </c>
      <c r="AH1040" s="853">
        <v>0.08</v>
      </c>
      <c r="AI1040" s="855">
        <f t="shared" si="199"/>
        <v>494361.50400000002</v>
      </c>
      <c r="AJ1040" s="845" t="s">
        <v>3624</v>
      </c>
      <c r="AK1040" s="864">
        <v>45698</v>
      </c>
      <c r="AL1040" s="840" t="s">
        <v>3625</v>
      </c>
      <c r="AM1040" s="840"/>
      <c r="AN1040" s="858"/>
      <c r="AO1040" s="844" t="s">
        <v>3626</v>
      </c>
      <c r="AP1040" s="859"/>
      <c r="AQ1040" s="859" t="s">
        <v>3604</v>
      </c>
      <c r="AR1040" s="859" t="s">
        <v>3627</v>
      </c>
      <c r="AS1040" s="840"/>
      <c r="AT1040" s="840"/>
      <c r="AU1040" s="860" t="s">
        <v>1311</v>
      </c>
      <c r="AV1040" s="839" t="s">
        <v>3628</v>
      </c>
      <c r="AW1040" s="861">
        <v>45715</v>
      </c>
      <c r="AX1040" s="862">
        <v>45719</v>
      </c>
      <c r="AY1040" s="843"/>
      <c r="AZ1040" s="842"/>
      <c r="BA1040" s="842" t="s">
        <v>120</v>
      </c>
      <c r="BB1040" s="863" t="s">
        <v>121</v>
      </c>
      <c r="BC1040" s="881">
        <v>45719</v>
      </c>
      <c r="BD1040" s="860" t="s">
        <v>3629</v>
      </c>
      <c r="BE1040" s="865" cm="1">
        <f t="array" ref="BE1040">IF(BD1040="","",AC1040/SUMPRODUCT(--(BD1040=$BD$4:$BD$12824),$AC$4:$AC$12824))</f>
        <v>1.4057761802803806E-2</v>
      </c>
      <c r="BF1040" s="458"/>
      <c r="BG1040" s="458"/>
      <c r="BH1040" s="458"/>
      <c r="BI1040" s="458"/>
      <c r="BJ1040" s="458"/>
      <c r="BK1040" s="458"/>
      <c r="BL1040" s="458"/>
      <c r="BM1040" s="458"/>
      <c r="BN1040" s="458"/>
      <c r="BO1040" s="866">
        <f>VLOOKUP(BD1040,$BD$4:$BN$12824,3,0)*BE1040</f>
        <v>0</v>
      </c>
      <c r="BP1040" s="866"/>
      <c r="BQ1040" s="866"/>
      <c r="BR1040" s="866">
        <f>VLOOKUP(BD1040,$BD$4:$BN$12824,6,0)*BE1040</f>
        <v>209827.51679220234</v>
      </c>
      <c r="BS1040" s="866">
        <f>VLOOKUP(BD1040,$BD$4:$BN$12824,7,0)*BE1040</f>
        <v>0</v>
      </c>
      <c r="BT1040" s="866"/>
      <c r="BU1040" s="866">
        <f>VLOOKUP(BD1040,$BD$4:$BN$12824,9,0)*BE1040</f>
        <v>3514.4404507009517</v>
      </c>
      <c r="BV1040" s="867"/>
      <c r="BW1040" s="867">
        <f>VLOOKUP(BD1040,$BD$4:$BN$12824,11,0)*BE1040</f>
        <v>33738.628326729136</v>
      </c>
      <c r="BX1040" s="1146">
        <f t="shared" si="192"/>
        <v>247080.58556963244</v>
      </c>
      <c r="BY1040" s="867">
        <f t="shared" si="193"/>
        <v>3213299.692784816</v>
      </c>
      <c r="BZ1040" s="867">
        <f t="shared" si="194"/>
        <v>6426599.3855696321</v>
      </c>
      <c r="CA1040" s="867">
        <f>_xlfn.MAXIFS($BY$4:$BY$12824,$S$4:$S$12824,$S1040)</f>
        <v>3213299.692784816</v>
      </c>
      <c r="CB1040" s="1032"/>
      <c r="CF1040" s="946">
        <f t="shared" si="200"/>
        <v>5149599</v>
      </c>
    </row>
    <row r="1041" spans="1:84">
      <c r="A1041" s="1032"/>
      <c r="B1041" s="839" t="s">
        <v>98</v>
      </c>
      <c r="C1041" s="839" t="s">
        <v>131</v>
      </c>
      <c r="D1041" s="839" t="s">
        <v>2351</v>
      </c>
      <c r="E1041" s="839" t="s">
        <v>2351</v>
      </c>
      <c r="F1041" s="841">
        <v>45680</v>
      </c>
      <c r="G1041" s="840" t="s">
        <v>133</v>
      </c>
      <c r="H1041" s="842" t="s">
        <v>134</v>
      </c>
      <c r="I1041" s="842"/>
      <c r="J1041" s="841"/>
      <c r="K1041" s="841"/>
      <c r="L1041" s="843" t="s">
        <v>106</v>
      </c>
      <c r="M1041" s="844" t="s">
        <v>417</v>
      </c>
      <c r="N1041" s="841"/>
      <c r="O1041" s="841" t="s">
        <v>150</v>
      </c>
      <c r="P1041" s="841" t="s">
        <v>276</v>
      </c>
      <c r="Q1041" s="843"/>
      <c r="R1041" s="845" t="s">
        <v>3684</v>
      </c>
      <c r="S1041" s="1127" t="s">
        <v>3685</v>
      </c>
      <c r="T1041" s="843" t="s">
        <v>3686</v>
      </c>
      <c r="U1041" s="842">
        <v>2</v>
      </c>
      <c r="V1041" s="842" t="s">
        <v>8</v>
      </c>
      <c r="W1041" s="846">
        <v>198</v>
      </c>
      <c r="X1041" s="847">
        <f t="shared" si="195"/>
        <v>396</v>
      </c>
      <c r="Y1041" s="848">
        <f t="shared" si="201"/>
        <v>0.48702020202020208</v>
      </c>
      <c r="Z1041" s="849">
        <v>101.57</v>
      </c>
      <c r="AA1041" s="849"/>
      <c r="AB1041" s="849">
        <f t="shared" si="196"/>
        <v>203.14</v>
      </c>
      <c r="AC1041" s="850">
        <f t="shared" si="197"/>
        <v>203.14</v>
      </c>
      <c r="AD1041" s="851"/>
      <c r="AE1041" s="852">
        <v>25350</v>
      </c>
      <c r="AF1041" s="853">
        <v>0.2</v>
      </c>
      <c r="AG1041" s="854">
        <f t="shared" si="198"/>
        <v>1029919.8</v>
      </c>
      <c r="AH1041" s="853">
        <v>0.08</v>
      </c>
      <c r="AI1041" s="855">
        <f t="shared" si="199"/>
        <v>494361.50400000002</v>
      </c>
      <c r="AJ1041" s="845" t="s">
        <v>3624</v>
      </c>
      <c r="AK1041" s="864">
        <v>45698</v>
      </c>
      <c r="AL1041" s="840" t="s">
        <v>3625</v>
      </c>
      <c r="AM1041" s="840"/>
      <c r="AN1041" s="858"/>
      <c r="AO1041" s="844" t="s">
        <v>3626</v>
      </c>
      <c r="AP1041" s="859"/>
      <c r="AQ1041" s="859" t="s">
        <v>3604</v>
      </c>
      <c r="AR1041" s="859" t="s">
        <v>3627</v>
      </c>
      <c r="AS1041" s="840"/>
      <c r="AT1041" s="840"/>
      <c r="AU1041" s="860" t="s">
        <v>1311</v>
      </c>
      <c r="AV1041" s="839" t="s">
        <v>3628</v>
      </c>
      <c r="AW1041" s="861">
        <v>45715</v>
      </c>
      <c r="AX1041" s="862">
        <v>45719</v>
      </c>
      <c r="AY1041" s="843"/>
      <c r="AZ1041" s="842"/>
      <c r="BA1041" s="842" t="s">
        <v>120</v>
      </c>
      <c r="BB1041" s="863" t="s">
        <v>121</v>
      </c>
      <c r="BC1041" s="881">
        <v>45719</v>
      </c>
      <c r="BD1041" s="860" t="s">
        <v>3629</v>
      </c>
      <c r="BE1041" s="865" cm="1">
        <f t="array" ref="BE1041">IF(BD1041="","",AC1041/SUMPRODUCT(--(BD1041=$BD$4:$BD$12824),$AC$4:$AC$12824))</f>
        <v>1.4057761802803806E-2</v>
      </c>
      <c r="BF1041" s="458"/>
      <c r="BG1041" s="458"/>
      <c r="BH1041" s="458"/>
      <c r="BI1041" s="458"/>
      <c r="BJ1041" s="458"/>
      <c r="BK1041" s="458"/>
      <c r="BL1041" s="458"/>
      <c r="BM1041" s="458"/>
      <c r="BN1041" s="458"/>
      <c r="BO1041" s="866">
        <f>VLOOKUP(BD1041,$BD$4:$BN$12824,3,0)*BE1041</f>
        <v>0</v>
      </c>
      <c r="BP1041" s="866"/>
      <c r="BQ1041" s="866"/>
      <c r="BR1041" s="866">
        <f>VLOOKUP(BD1041,$BD$4:$BN$12824,6,0)*BE1041</f>
        <v>209827.51679220234</v>
      </c>
      <c r="BS1041" s="866">
        <f>VLOOKUP(BD1041,$BD$4:$BN$12824,7,0)*BE1041</f>
        <v>0</v>
      </c>
      <c r="BT1041" s="866"/>
      <c r="BU1041" s="866">
        <f>VLOOKUP(BD1041,$BD$4:$BN$12824,9,0)*BE1041</f>
        <v>3514.4404507009517</v>
      </c>
      <c r="BV1041" s="867"/>
      <c r="BW1041" s="867">
        <f>VLOOKUP(BD1041,$BD$4:$BN$12824,11,0)*BE1041</f>
        <v>33738.628326729136</v>
      </c>
      <c r="BX1041" s="1146">
        <f t="shared" si="192"/>
        <v>247080.58556963244</v>
      </c>
      <c r="BY1041" s="867">
        <f t="shared" si="193"/>
        <v>3213299.692784816</v>
      </c>
      <c r="BZ1041" s="867">
        <f t="shared" si="194"/>
        <v>6426599.3855696321</v>
      </c>
      <c r="CA1041" s="867">
        <f>_xlfn.MAXIFS($BY$4:$BY$12824,$S$4:$S$12824,$S1041)</f>
        <v>3213299.692784816</v>
      </c>
      <c r="CB1041" s="1032"/>
      <c r="CF1041" s="946">
        <f t="shared" si="200"/>
        <v>5149599</v>
      </c>
    </row>
    <row r="1042" spans="1:84">
      <c r="A1042" s="1032"/>
      <c r="B1042" s="839" t="s">
        <v>98</v>
      </c>
      <c r="C1042" s="839" t="s">
        <v>131</v>
      </c>
      <c r="D1042" s="839" t="s">
        <v>2351</v>
      </c>
      <c r="E1042" s="839" t="s">
        <v>2351</v>
      </c>
      <c r="F1042" s="841">
        <v>45680</v>
      </c>
      <c r="G1042" s="840" t="s">
        <v>133</v>
      </c>
      <c r="H1042" s="842" t="s">
        <v>134</v>
      </c>
      <c r="I1042" s="842"/>
      <c r="J1042" s="841"/>
      <c r="K1042" s="841"/>
      <c r="L1042" s="843" t="s">
        <v>106</v>
      </c>
      <c r="M1042" s="844" t="s">
        <v>417</v>
      </c>
      <c r="N1042" s="841"/>
      <c r="O1042" s="841" t="s">
        <v>150</v>
      </c>
      <c r="P1042" s="841" t="s">
        <v>276</v>
      </c>
      <c r="Q1042" s="843"/>
      <c r="R1042" s="845" t="s">
        <v>3687</v>
      </c>
      <c r="S1042" s="1127" t="s">
        <v>3688</v>
      </c>
      <c r="T1042" s="843" t="s">
        <v>3689</v>
      </c>
      <c r="U1042" s="842">
        <v>2</v>
      </c>
      <c r="V1042" s="842" t="s">
        <v>8</v>
      </c>
      <c r="W1042" s="846">
        <v>167</v>
      </c>
      <c r="X1042" s="847">
        <f t="shared" si="195"/>
        <v>334</v>
      </c>
      <c r="Y1042" s="848">
        <f t="shared" si="201"/>
        <v>0.48700598802395206</v>
      </c>
      <c r="Z1042" s="849">
        <v>85.67</v>
      </c>
      <c r="AA1042" s="849"/>
      <c r="AB1042" s="849">
        <f t="shared" si="196"/>
        <v>171.34</v>
      </c>
      <c r="AC1042" s="850">
        <f t="shared" si="197"/>
        <v>171.34</v>
      </c>
      <c r="AD1042" s="851"/>
      <c r="AE1042" s="852">
        <v>25350</v>
      </c>
      <c r="AF1042" s="853">
        <v>0.2</v>
      </c>
      <c r="AG1042" s="854">
        <f t="shared" si="198"/>
        <v>868693.8</v>
      </c>
      <c r="AH1042" s="853">
        <v>0.08</v>
      </c>
      <c r="AI1042" s="855">
        <f t="shared" si="199"/>
        <v>416973.02399999998</v>
      </c>
      <c r="AJ1042" s="845" t="s">
        <v>3624</v>
      </c>
      <c r="AK1042" s="864">
        <v>45698</v>
      </c>
      <c r="AL1042" s="840" t="s">
        <v>3625</v>
      </c>
      <c r="AM1042" s="840"/>
      <c r="AN1042" s="858"/>
      <c r="AO1042" s="844" t="s">
        <v>3626</v>
      </c>
      <c r="AP1042" s="859"/>
      <c r="AQ1042" s="859" t="s">
        <v>3604</v>
      </c>
      <c r="AR1042" s="859" t="s">
        <v>3627</v>
      </c>
      <c r="AS1042" s="840"/>
      <c r="AT1042" s="840"/>
      <c r="AU1042" s="860" t="s">
        <v>1311</v>
      </c>
      <c r="AV1042" s="839" t="s">
        <v>3628</v>
      </c>
      <c r="AW1042" s="861">
        <v>45715</v>
      </c>
      <c r="AX1042" s="862">
        <v>45719</v>
      </c>
      <c r="AY1042" s="843"/>
      <c r="AZ1042" s="842"/>
      <c r="BA1042" s="842" t="s">
        <v>120</v>
      </c>
      <c r="BB1042" s="863" t="s">
        <v>121</v>
      </c>
      <c r="BC1042" s="881">
        <v>45719</v>
      </c>
      <c r="BD1042" s="860" t="s">
        <v>3629</v>
      </c>
      <c r="BE1042" s="865" cm="1">
        <f t="array" ref="BE1042">IF(BD1042="","",AC1042/SUMPRODUCT(--(BD1042=$BD$4:$BD$12824),$AC$4:$AC$12824))</f>
        <v>1.1857127632629735E-2</v>
      </c>
      <c r="BF1042" s="458"/>
      <c r="BG1042" s="458"/>
      <c r="BH1042" s="458"/>
      <c r="BI1042" s="458"/>
      <c r="BJ1042" s="458"/>
      <c r="BK1042" s="458"/>
      <c r="BL1042" s="458"/>
      <c r="BM1042" s="458"/>
      <c r="BN1042" s="458"/>
      <c r="BO1042" s="866">
        <f>VLOOKUP(BD1042,$BD$4:$BN$12824,3,0)*BE1042</f>
        <v>0</v>
      </c>
      <c r="BP1042" s="866"/>
      <c r="BQ1042" s="866"/>
      <c r="BR1042" s="866">
        <f>VLOOKUP(BD1042,$BD$4:$BN$12824,6,0)*BE1042</f>
        <v>176980.63762516467</v>
      </c>
      <c r="BS1042" s="866">
        <f>VLOOKUP(BD1042,$BD$4:$BN$12824,7,0)*BE1042</f>
        <v>0</v>
      </c>
      <c r="BT1042" s="866"/>
      <c r="BU1042" s="866">
        <f>VLOOKUP(BD1042,$BD$4:$BN$12824,9,0)*BE1042</f>
        <v>2964.2819081574339</v>
      </c>
      <c r="BV1042" s="867"/>
      <c r="BW1042" s="867">
        <f>VLOOKUP(BD1042,$BD$4:$BN$12824,11,0)*BE1042</f>
        <v>28457.106318311366</v>
      </c>
      <c r="BX1042" s="1146">
        <f t="shared" si="192"/>
        <v>208402.02585163346</v>
      </c>
      <c r="BY1042" s="867">
        <f t="shared" si="193"/>
        <v>2710282.4129258166</v>
      </c>
      <c r="BZ1042" s="867">
        <f t="shared" si="194"/>
        <v>5420564.8258516332</v>
      </c>
      <c r="CA1042" s="867">
        <f>_xlfn.MAXIFS($BY$4:$BY$12824,$S$4:$S$12824,$S1042)</f>
        <v>2710282.4129258166</v>
      </c>
      <c r="CB1042" s="1032"/>
      <c r="CF1042" s="946">
        <f t="shared" si="200"/>
        <v>4343469</v>
      </c>
    </row>
    <row r="1043" spans="1:84">
      <c r="A1043" s="1032"/>
      <c r="B1043" s="839" t="s">
        <v>98</v>
      </c>
      <c r="C1043" s="839" t="s">
        <v>131</v>
      </c>
      <c r="D1043" s="839" t="s">
        <v>2351</v>
      </c>
      <c r="E1043" s="839" t="s">
        <v>2351</v>
      </c>
      <c r="F1043" s="841">
        <v>45680</v>
      </c>
      <c r="G1043" s="840" t="s">
        <v>133</v>
      </c>
      <c r="H1043" s="842" t="s">
        <v>134</v>
      </c>
      <c r="I1043" s="842"/>
      <c r="J1043" s="841"/>
      <c r="K1043" s="841"/>
      <c r="L1043" s="843" t="s">
        <v>106</v>
      </c>
      <c r="M1043" s="844" t="s">
        <v>417</v>
      </c>
      <c r="N1043" s="841"/>
      <c r="O1043" s="841" t="s">
        <v>150</v>
      </c>
      <c r="P1043" s="841" t="s">
        <v>276</v>
      </c>
      <c r="Q1043" s="843"/>
      <c r="R1043" s="845" t="s">
        <v>3690</v>
      </c>
      <c r="S1043" s="1127" t="s">
        <v>3691</v>
      </c>
      <c r="T1043" s="843" t="s">
        <v>3692</v>
      </c>
      <c r="U1043" s="842">
        <v>2</v>
      </c>
      <c r="V1043" s="842" t="s">
        <v>8</v>
      </c>
      <c r="W1043" s="846">
        <v>167</v>
      </c>
      <c r="X1043" s="847">
        <f t="shared" si="195"/>
        <v>334</v>
      </c>
      <c r="Y1043" s="848">
        <f t="shared" si="201"/>
        <v>0.48700598802395206</v>
      </c>
      <c r="Z1043" s="849">
        <v>85.67</v>
      </c>
      <c r="AA1043" s="849"/>
      <c r="AB1043" s="849">
        <f t="shared" si="196"/>
        <v>171.34</v>
      </c>
      <c r="AC1043" s="850">
        <f t="shared" si="197"/>
        <v>171.34</v>
      </c>
      <c r="AD1043" s="851"/>
      <c r="AE1043" s="852">
        <v>25350</v>
      </c>
      <c r="AF1043" s="853">
        <v>0.2</v>
      </c>
      <c r="AG1043" s="854">
        <f t="shared" si="198"/>
        <v>868693.8</v>
      </c>
      <c r="AH1043" s="853">
        <v>0.08</v>
      </c>
      <c r="AI1043" s="855">
        <f t="shared" si="199"/>
        <v>416973.02399999998</v>
      </c>
      <c r="AJ1043" s="845" t="s">
        <v>3624</v>
      </c>
      <c r="AK1043" s="864">
        <v>45698</v>
      </c>
      <c r="AL1043" s="840" t="s">
        <v>3625</v>
      </c>
      <c r="AM1043" s="840"/>
      <c r="AN1043" s="858"/>
      <c r="AO1043" s="844" t="s">
        <v>3626</v>
      </c>
      <c r="AP1043" s="859"/>
      <c r="AQ1043" s="859" t="s">
        <v>3604</v>
      </c>
      <c r="AR1043" s="859" t="s">
        <v>3627</v>
      </c>
      <c r="AS1043" s="840"/>
      <c r="AT1043" s="840"/>
      <c r="AU1043" s="860" t="s">
        <v>1311</v>
      </c>
      <c r="AV1043" s="839" t="s">
        <v>3628</v>
      </c>
      <c r="AW1043" s="861">
        <v>45715</v>
      </c>
      <c r="AX1043" s="862">
        <v>45719</v>
      </c>
      <c r="AY1043" s="843"/>
      <c r="AZ1043" s="842"/>
      <c r="BA1043" s="842" t="s">
        <v>120</v>
      </c>
      <c r="BB1043" s="863" t="s">
        <v>121</v>
      </c>
      <c r="BC1043" s="881">
        <v>45719</v>
      </c>
      <c r="BD1043" s="860" t="s">
        <v>3629</v>
      </c>
      <c r="BE1043" s="865" cm="1">
        <f t="array" ref="BE1043">IF(BD1043="","",AC1043/SUMPRODUCT(--(BD1043=$BD$4:$BD$12824),$AC$4:$AC$12824))</f>
        <v>1.1857127632629735E-2</v>
      </c>
      <c r="BF1043" s="458"/>
      <c r="BG1043" s="458"/>
      <c r="BH1043" s="458"/>
      <c r="BI1043" s="458"/>
      <c r="BJ1043" s="458"/>
      <c r="BK1043" s="458"/>
      <c r="BL1043" s="458"/>
      <c r="BM1043" s="458"/>
      <c r="BN1043" s="458"/>
      <c r="BO1043" s="866">
        <f>VLOOKUP(BD1043,$BD$4:$BN$12824,3,0)*BE1043</f>
        <v>0</v>
      </c>
      <c r="BP1043" s="866"/>
      <c r="BQ1043" s="866"/>
      <c r="BR1043" s="866">
        <f>VLOOKUP(BD1043,$BD$4:$BN$12824,6,0)*BE1043</f>
        <v>176980.63762516467</v>
      </c>
      <c r="BS1043" s="866">
        <f>VLOOKUP(BD1043,$BD$4:$BN$12824,7,0)*BE1043</f>
        <v>0</v>
      </c>
      <c r="BT1043" s="866"/>
      <c r="BU1043" s="866">
        <f>VLOOKUP(BD1043,$BD$4:$BN$12824,9,0)*BE1043</f>
        <v>2964.2819081574339</v>
      </c>
      <c r="BV1043" s="867"/>
      <c r="BW1043" s="867">
        <f>VLOOKUP(BD1043,$BD$4:$BN$12824,11,0)*BE1043</f>
        <v>28457.106318311366</v>
      </c>
      <c r="BX1043" s="1146">
        <f t="shared" si="192"/>
        <v>208402.02585163346</v>
      </c>
      <c r="BY1043" s="867">
        <f t="shared" si="193"/>
        <v>2710282.4129258166</v>
      </c>
      <c r="BZ1043" s="867">
        <f t="shared" si="194"/>
        <v>5420564.8258516332</v>
      </c>
      <c r="CA1043" s="867">
        <f>_xlfn.MAXIFS($BY$4:$BY$12824,$S$4:$S$12824,$S1043)</f>
        <v>2710282.4129258166</v>
      </c>
      <c r="CB1043" s="1032"/>
      <c r="CF1043" s="946">
        <f t="shared" si="200"/>
        <v>4343469</v>
      </c>
    </row>
    <row r="1044" spans="1:84">
      <c r="A1044" s="1032"/>
      <c r="B1044" s="839" t="s">
        <v>98</v>
      </c>
      <c r="C1044" s="839" t="s">
        <v>131</v>
      </c>
      <c r="D1044" s="839" t="s">
        <v>2351</v>
      </c>
      <c r="E1044" s="839" t="s">
        <v>2351</v>
      </c>
      <c r="F1044" s="841">
        <v>45680</v>
      </c>
      <c r="G1044" s="840" t="s">
        <v>133</v>
      </c>
      <c r="H1044" s="842" t="s">
        <v>134</v>
      </c>
      <c r="I1044" s="842"/>
      <c r="J1044" s="841"/>
      <c r="K1044" s="841"/>
      <c r="L1044" s="843" t="s">
        <v>106</v>
      </c>
      <c r="M1044" s="844" t="s">
        <v>417</v>
      </c>
      <c r="N1044" s="841"/>
      <c r="O1044" s="841" t="s">
        <v>150</v>
      </c>
      <c r="P1044" s="841" t="s">
        <v>276</v>
      </c>
      <c r="Q1044" s="843"/>
      <c r="R1044" s="845" t="s">
        <v>3693</v>
      </c>
      <c r="S1044" s="1127" t="s">
        <v>3694</v>
      </c>
      <c r="T1044" s="843" t="s">
        <v>3695</v>
      </c>
      <c r="U1044" s="842">
        <v>2</v>
      </c>
      <c r="V1044" s="842" t="s">
        <v>8</v>
      </c>
      <c r="W1044" s="846">
        <v>167</v>
      </c>
      <c r="X1044" s="847">
        <f t="shared" si="195"/>
        <v>334</v>
      </c>
      <c r="Y1044" s="848">
        <f t="shared" si="201"/>
        <v>0.48700598802395206</v>
      </c>
      <c r="Z1044" s="849">
        <v>85.67</v>
      </c>
      <c r="AA1044" s="849"/>
      <c r="AB1044" s="849">
        <f t="shared" si="196"/>
        <v>171.34</v>
      </c>
      <c r="AC1044" s="850">
        <f t="shared" si="197"/>
        <v>171.34</v>
      </c>
      <c r="AD1044" s="851"/>
      <c r="AE1044" s="852">
        <v>25350</v>
      </c>
      <c r="AF1044" s="853">
        <v>0.2</v>
      </c>
      <c r="AG1044" s="854">
        <f t="shared" si="198"/>
        <v>868693.8</v>
      </c>
      <c r="AH1044" s="853">
        <v>0.08</v>
      </c>
      <c r="AI1044" s="855">
        <f t="shared" si="199"/>
        <v>416973.02399999998</v>
      </c>
      <c r="AJ1044" s="845" t="s">
        <v>3624</v>
      </c>
      <c r="AK1044" s="864">
        <v>45698</v>
      </c>
      <c r="AL1044" s="840" t="s">
        <v>3625</v>
      </c>
      <c r="AM1044" s="840"/>
      <c r="AN1044" s="858"/>
      <c r="AO1044" s="844" t="s">
        <v>3626</v>
      </c>
      <c r="AP1044" s="859"/>
      <c r="AQ1044" s="859" t="s">
        <v>3604</v>
      </c>
      <c r="AR1044" s="859" t="s">
        <v>3627</v>
      </c>
      <c r="AS1044" s="840"/>
      <c r="AT1044" s="840"/>
      <c r="AU1044" s="860" t="s">
        <v>1311</v>
      </c>
      <c r="AV1044" s="839" t="s">
        <v>3628</v>
      </c>
      <c r="AW1044" s="861">
        <v>45715</v>
      </c>
      <c r="AX1044" s="862">
        <v>45719</v>
      </c>
      <c r="AY1044" s="843"/>
      <c r="AZ1044" s="842"/>
      <c r="BA1044" s="842" t="s">
        <v>120</v>
      </c>
      <c r="BB1044" s="863" t="s">
        <v>121</v>
      </c>
      <c r="BC1044" s="881">
        <v>45719</v>
      </c>
      <c r="BD1044" s="860" t="s">
        <v>3629</v>
      </c>
      <c r="BE1044" s="865" cm="1">
        <f t="array" ref="BE1044">IF(BD1044="","",AC1044/SUMPRODUCT(--(BD1044=$BD$4:$BD$12824),$AC$4:$AC$12824))</f>
        <v>1.1857127632629735E-2</v>
      </c>
      <c r="BF1044" s="458"/>
      <c r="BG1044" s="458"/>
      <c r="BH1044" s="458"/>
      <c r="BI1044" s="458"/>
      <c r="BJ1044" s="458"/>
      <c r="BK1044" s="458"/>
      <c r="BL1044" s="458"/>
      <c r="BM1044" s="458"/>
      <c r="BN1044" s="458"/>
      <c r="BO1044" s="866">
        <f>VLOOKUP(BD1044,$BD$4:$BN$12824,3,0)*BE1044</f>
        <v>0</v>
      </c>
      <c r="BP1044" s="866"/>
      <c r="BQ1044" s="866"/>
      <c r="BR1044" s="866">
        <f>VLOOKUP(BD1044,$BD$4:$BN$12824,6,0)*BE1044</f>
        <v>176980.63762516467</v>
      </c>
      <c r="BS1044" s="866">
        <f>VLOOKUP(BD1044,$BD$4:$BN$12824,7,0)*BE1044</f>
        <v>0</v>
      </c>
      <c r="BT1044" s="866"/>
      <c r="BU1044" s="866">
        <f>VLOOKUP(BD1044,$BD$4:$BN$12824,9,0)*BE1044</f>
        <v>2964.2819081574339</v>
      </c>
      <c r="BV1044" s="867"/>
      <c r="BW1044" s="867">
        <f>VLOOKUP(BD1044,$BD$4:$BN$12824,11,0)*BE1044</f>
        <v>28457.106318311366</v>
      </c>
      <c r="BX1044" s="1146">
        <f t="shared" si="192"/>
        <v>208402.02585163346</v>
      </c>
      <c r="BY1044" s="867">
        <f t="shared" si="193"/>
        <v>2710282.4129258166</v>
      </c>
      <c r="BZ1044" s="867">
        <f t="shared" si="194"/>
        <v>5420564.8258516332</v>
      </c>
      <c r="CA1044" s="867">
        <f>_xlfn.MAXIFS($BY$4:$BY$12824,$S$4:$S$12824,$S1044)</f>
        <v>2710282.4129258166</v>
      </c>
      <c r="CB1044" s="1032"/>
      <c r="CF1044" s="946">
        <f t="shared" si="200"/>
        <v>4343469</v>
      </c>
    </row>
    <row r="1045" spans="1:84">
      <c r="A1045" s="1032"/>
      <c r="B1045" s="839" t="s">
        <v>98</v>
      </c>
      <c r="C1045" s="839" t="s">
        <v>131</v>
      </c>
      <c r="D1045" s="839" t="s">
        <v>2351</v>
      </c>
      <c r="E1045" s="839" t="s">
        <v>2351</v>
      </c>
      <c r="F1045" s="841">
        <v>45680</v>
      </c>
      <c r="G1045" s="840" t="s">
        <v>133</v>
      </c>
      <c r="H1045" s="842" t="s">
        <v>134</v>
      </c>
      <c r="I1045" s="842"/>
      <c r="J1045" s="841"/>
      <c r="K1045" s="841"/>
      <c r="L1045" s="843" t="s">
        <v>106</v>
      </c>
      <c r="M1045" s="844" t="s">
        <v>417</v>
      </c>
      <c r="N1045" s="841"/>
      <c r="O1045" s="841" t="s">
        <v>108</v>
      </c>
      <c r="P1045" s="841" t="s">
        <v>1136</v>
      </c>
      <c r="Q1045" s="843"/>
      <c r="R1045" s="845" t="s">
        <v>3696</v>
      </c>
      <c r="S1045" s="1127" t="s">
        <v>3697</v>
      </c>
      <c r="T1045" s="843" t="s">
        <v>3698</v>
      </c>
      <c r="U1045" s="842">
        <v>8</v>
      </c>
      <c r="V1045" s="842" t="s">
        <v>8</v>
      </c>
      <c r="W1045" s="846">
        <v>43</v>
      </c>
      <c r="X1045" s="847">
        <f t="shared" si="195"/>
        <v>344</v>
      </c>
      <c r="Y1045" s="848">
        <f t="shared" si="201"/>
        <v>0.48697674418604653</v>
      </c>
      <c r="Z1045" s="849">
        <v>22.06</v>
      </c>
      <c r="AA1045" s="849"/>
      <c r="AB1045" s="849">
        <f t="shared" si="196"/>
        <v>176.48</v>
      </c>
      <c r="AC1045" s="850">
        <f t="shared" si="197"/>
        <v>176.48</v>
      </c>
      <c r="AD1045" s="851"/>
      <c r="AE1045" s="852">
        <v>25350</v>
      </c>
      <c r="AF1045" s="853">
        <v>0</v>
      </c>
      <c r="AG1045" s="854">
        <f t="shared" si="198"/>
        <v>0</v>
      </c>
      <c r="AH1045" s="853">
        <v>0.1</v>
      </c>
      <c r="AI1045" s="855">
        <f t="shared" si="199"/>
        <v>447376.80000000005</v>
      </c>
      <c r="AJ1045" s="845" t="s">
        <v>3624</v>
      </c>
      <c r="AK1045" s="864">
        <v>45698</v>
      </c>
      <c r="AL1045" s="840" t="s">
        <v>3625</v>
      </c>
      <c r="AM1045" s="840"/>
      <c r="AN1045" s="858"/>
      <c r="AO1045" s="844" t="s">
        <v>3626</v>
      </c>
      <c r="AP1045" s="859"/>
      <c r="AQ1045" s="859" t="s">
        <v>3604</v>
      </c>
      <c r="AR1045" s="859" t="s">
        <v>3627</v>
      </c>
      <c r="AS1045" s="840"/>
      <c r="AT1045" s="840"/>
      <c r="AU1045" s="860" t="s">
        <v>1311</v>
      </c>
      <c r="AV1045" s="839" t="s">
        <v>3628</v>
      </c>
      <c r="AW1045" s="861">
        <v>45715</v>
      </c>
      <c r="AX1045" s="862">
        <v>45719</v>
      </c>
      <c r="AY1045" s="843"/>
      <c r="AZ1045" s="842"/>
      <c r="BA1045" s="842" t="s">
        <v>120</v>
      </c>
      <c r="BB1045" s="863" t="s">
        <v>121</v>
      </c>
      <c r="BC1045" s="881">
        <v>45719</v>
      </c>
      <c r="BD1045" s="860" t="s">
        <v>3629</v>
      </c>
      <c r="BE1045" s="865" cm="1">
        <f t="array" ref="BE1045">IF(BD1045="","",AC1045/SUMPRODUCT(--(BD1045=$BD$4:$BD$12824),$AC$4:$AC$12824))</f>
        <v>1.2212827621142147E-2</v>
      </c>
      <c r="BF1045" s="458"/>
      <c r="BG1045" s="458"/>
      <c r="BH1045" s="458"/>
      <c r="BI1045" s="458"/>
      <c r="BJ1045" s="458"/>
      <c r="BK1045" s="458"/>
      <c r="BL1045" s="458"/>
      <c r="BM1045" s="458"/>
      <c r="BN1045" s="458"/>
      <c r="BO1045" s="866">
        <f>VLOOKUP(BD1045,$BD$4:$BN$12824,3,0)*BE1045</f>
        <v>0</v>
      </c>
      <c r="BP1045" s="866"/>
      <c r="BQ1045" s="866"/>
      <c r="BR1045" s="866">
        <f>VLOOKUP(BD1045,$BD$4:$BN$12824,6,0)*BE1045</f>
        <v>182289.85016977388</v>
      </c>
      <c r="BS1045" s="866">
        <f>VLOOKUP(BD1045,$BD$4:$BN$12824,7,0)*BE1045</f>
        <v>0</v>
      </c>
      <c r="BT1045" s="866"/>
      <c r="BU1045" s="866">
        <f>VLOOKUP(BD1045,$BD$4:$BN$12824,9,0)*BE1045</f>
        <v>3053.2069052855368</v>
      </c>
      <c r="BV1045" s="867"/>
      <c r="BW1045" s="867">
        <f>VLOOKUP(BD1045,$BD$4:$BN$12824,11,0)*BE1045</f>
        <v>29310.786290741155</v>
      </c>
      <c r="BX1045" s="1146">
        <f t="shared" si="192"/>
        <v>214653.84336580057</v>
      </c>
      <c r="BY1045" s="867">
        <f t="shared" si="193"/>
        <v>586052.73042072507</v>
      </c>
      <c r="BZ1045" s="867">
        <f t="shared" si="194"/>
        <v>4688421.8433658006</v>
      </c>
      <c r="CA1045" s="867">
        <f>_xlfn.MAXIFS($BY$4:$BY$12824,$S$4:$S$12824,$S1045)</f>
        <v>586052.73042072507</v>
      </c>
      <c r="CB1045" s="1032"/>
      <c r="CF1045" s="946">
        <f t="shared" si="200"/>
        <v>4473768</v>
      </c>
    </row>
    <row r="1046" spans="1:84">
      <c r="A1046" s="1032"/>
      <c r="B1046" s="839" t="s">
        <v>98</v>
      </c>
      <c r="C1046" s="839" t="s">
        <v>131</v>
      </c>
      <c r="D1046" s="839" t="s">
        <v>2351</v>
      </c>
      <c r="E1046" s="839" t="s">
        <v>2351</v>
      </c>
      <c r="F1046" s="841">
        <v>45680</v>
      </c>
      <c r="G1046" s="840" t="s">
        <v>133</v>
      </c>
      <c r="H1046" s="842" t="s">
        <v>134</v>
      </c>
      <c r="I1046" s="842"/>
      <c r="J1046" s="841"/>
      <c r="K1046" s="841"/>
      <c r="L1046" s="843" t="s">
        <v>106</v>
      </c>
      <c r="M1046" s="844" t="s">
        <v>417</v>
      </c>
      <c r="N1046" s="841"/>
      <c r="O1046" s="841" t="s">
        <v>108</v>
      </c>
      <c r="P1046" s="841" t="s">
        <v>1136</v>
      </c>
      <c r="Q1046" s="843"/>
      <c r="R1046" s="845" t="s">
        <v>3699</v>
      </c>
      <c r="S1046" s="1127" t="s">
        <v>3700</v>
      </c>
      <c r="T1046" s="843" t="s">
        <v>3701</v>
      </c>
      <c r="U1046" s="842">
        <v>8</v>
      </c>
      <c r="V1046" s="842" t="s">
        <v>8</v>
      </c>
      <c r="W1046" s="846">
        <v>43</v>
      </c>
      <c r="X1046" s="847">
        <f t="shared" si="195"/>
        <v>344</v>
      </c>
      <c r="Y1046" s="848">
        <f t="shared" si="201"/>
        <v>0.48697674418604653</v>
      </c>
      <c r="Z1046" s="849">
        <v>22.06</v>
      </c>
      <c r="AA1046" s="849"/>
      <c r="AB1046" s="849">
        <f t="shared" si="196"/>
        <v>176.48</v>
      </c>
      <c r="AC1046" s="850">
        <f t="shared" si="197"/>
        <v>176.48</v>
      </c>
      <c r="AD1046" s="851"/>
      <c r="AE1046" s="852">
        <v>25350</v>
      </c>
      <c r="AF1046" s="853">
        <v>0</v>
      </c>
      <c r="AG1046" s="854">
        <f t="shared" si="198"/>
        <v>0</v>
      </c>
      <c r="AH1046" s="853">
        <v>0.1</v>
      </c>
      <c r="AI1046" s="855">
        <f t="shared" si="199"/>
        <v>447376.80000000005</v>
      </c>
      <c r="AJ1046" s="845" t="s">
        <v>3624</v>
      </c>
      <c r="AK1046" s="864">
        <v>45698</v>
      </c>
      <c r="AL1046" s="840" t="s">
        <v>3625</v>
      </c>
      <c r="AM1046" s="840"/>
      <c r="AN1046" s="858"/>
      <c r="AO1046" s="844" t="s">
        <v>3626</v>
      </c>
      <c r="AP1046" s="859"/>
      <c r="AQ1046" s="859" t="s">
        <v>3604</v>
      </c>
      <c r="AR1046" s="859" t="s">
        <v>3627</v>
      </c>
      <c r="AS1046" s="840"/>
      <c r="AT1046" s="840"/>
      <c r="AU1046" s="860" t="s">
        <v>1311</v>
      </c>
      <c r="AV1046" s="839" t="s">
        <v>3628</v>
      </c>
      <c r="AW1046" s="861">
        <v>45715</v>
      </c>
      <c r="AX1046" s="862">
        <v>45719</v>
      </c>
      <c r="AY1046" s="843"/>
      <c r="AZ1046" s="842"/>
      <c r="BA1046" s="842" t="s">
        <v>120</v>
      </c>
      <c r="BB1046" s="863" t="s">
        <v>121</v>
      </c>
      <c r="BC1046" s="881">
        <v>45719</v>
      </c>
      <c r="BD1046" s="860" t="s">
        <v>3629</v>
      </c>
      <c r="BE1046" s="865" cm="1">
        <f t="array" ref="BE1046">IF(BD1046="","",AC1046/SUMPRODUCT(--(BD1046=$BD$4:$BD$12824),$AC$4:$AC$12824))</f>
        <v>1.2212827621142147E-2</v>
      </c>
      <c r="BF1046" s="458"/>
      <c r="BG1046" s="458"/>
      <c r="BH1046" s="458"/>
      <c r="BI1046" s="458"/>
      <c r="BJ1046" s="458"/>
      <c r="BK1046" s="458"/>
      <c r="BL1046" s="458"/>
      <c r="BM1046" s="458"/>
      <c r="BN1046" s="458"/>
      <c r="BO1046" s="866">
        <f>VLOOKUP(BD1046,$BD$4:$BN$12824,3,0)*BE1046</f>
        <v>0</v>
      </c>
      <c r="BP1046" s="866"/>
      <c r="BQ1046" s="866"/>
      <c r="BR1046" s="866">
        <f>VLOOKUP(BD1046,$BD$4:$BN$12824,6,0)*BE1046</f>
        <v>182289.85016977388</v>
      </c>
      <c r="BS1046" s="866">
        <f>VLOOKUP(BD1046,$BD$4:$BN$12824,7,0)*BE1046</f>
        <v>0</v>
      </c>
      <c r="BT1046" s="866"/>
      <c r="BU1046" s="866">
        <f>VLOOKUP(BD1046,$BD$4:$BN$12824,9,0)*BE1046</f>
        <v>3053.2069052855368</v>
      </c>
      <c r="BV1046" s="867"/>
      <c r="BW1046" s="867">
        <f>VLOOKUP(BD1046,$BD$4:$BN$12824,11,0)*BE1046</f>
        <v>29310.786290741155</v>
      </c>
      <c r="BX1046" s="1146">
        <f t="shared" si="192"/>
        <v>214653.84336580057</v>
      </c>
      <c r="BY1046" s="867">
        <f t="shared" si="193"/>
        <v>586052.73042072507</v>
      </c>
      <c r="BZ1046" s="867">
        <f t="shared" si="194"/>
        <v>4688421.8433658006</v>
      </c>
      <c r="CA1046" s="867">
        <f>_xlfn.MAXIFS($BY$4:$BY$12824,$S$4:$S$12824,$S1046)</f>
        <v>586052.73042072507</v>
      </c>
      <c r="CB1046" s="1032"/>
      <c r="CF1046" s="946">
        <f t="shared" si="200"/>
        <v>4473768</v>
      </c>
    </row>
    <row r="1047" spans="1:84">
      <c r="A1047" s="1032"/>
      <c r="B1047" s="839" t="s">
        <v>98</v>
      </c>
      <c r="C1047" s="839" t="s">
        <v>131</v>
      </c>
      <c r="D1047" s="839" t="s">
        <v>2351</v>
      </c>
      <c r="E1047" s="839" t="s">
        <v>2351</v>
      </c>
      <c r="F1047" s="841">
        <v>45680</v>
      </c>
      <c r="G1047" s="840" t="s">
        <v>133</v>
      </c>
      <c r="H1047" s="842" t="s">
        <v>134</v>
      </c>
      <c r="I1047" s="842"/>
      <c r="J1047" s="841"/>
      <c r="K1047" s="841"/>
      <c r="L1047" s="843" t="s">
        <v>106</v>
      </c>
      <c r="M1047" s="844" t="s">
        <v>417</v>
      </c>
      <c r="N1047" s="841"/>
      <c r="O1047" s="841" t="s">
        <v>108</v>
      </c>
      <c r="P1047" s="841" t="s">
        <v>1136</v>
      </c>
      <c r="Q1047" s="843"/>
      <c r="R1047" s="845" t="s">
        <v>3702</v>
      </c>
      <c r="S1047" s="1127" t="s">
        <v>3703</v>
      </c>
      <c r="T1047" s="843" t="s">
        <v>3704</v>
      </c>
      <c r="U1047" s="842">
        <v>8</v>
      </c>
      <c r="V1047" s="842" t="s">
        <v>8</v>
      </c>
      <c r="W1047" s="846">
        <v>43</v>
      </c>
      <c r="X1047" s="847">
        <f t="shared" si="195"/>
        <v>344</v>
      </c>
      <c r="Y1047" s="848">
        <f t="shared" si="201"/>
        <v>0.48697674418604653</v>
      </c>
      <c r="Z1047" s="849">
        <v>22.06</v>
      </c>
      <c r="AA1047" s="849"/>
      <c r="AB1047" s="849">
        <f t="shared" si="196"/>
        <v>176.48</v>
      </c>
      <c r="AC1047" s="850">
        <f t="shared" si="197"/>
        <v>176.48</v>
      </c>
      <c r="AD1047" s="851"/>
      <c r="AE1047" s="852">
        <v>25350</v>
      </c>
      <c r="AF1047" s="853">
        <v>0</v>
      </c>
      <c r="AG1047" s="854">
        <f t="shared" si="198"/>
        <v>0</v>
      </c>
      <c r="AH1047" s="853">
        <v>0.1</v>
      </c>
      <c r="AI1047" s="855">
        <f t="shared" si="199"/>
        <v>447376.80000000005</v>
      </c>
      <c r="AJ1047" s="845" t="s">
        <v>3624</v>
      </c>
      <c r="AK1047" s="864">
        <v>45698</v>
      </c>
      <c r="AL1047" s="840" t="s">
        <v>3625</v>
      </c>
      <c r="AM1047" s="840"/>
      <c r="AN1047" s="858"/>
      <c r="AO1047" s="844" t="s">
        <v>3626</v>
      </c>
      <c r="AP1047" s="859"/>
      <c r="AQ1047" s="859" t="s">
        <v>3604</v>
      </c>
      <c r="AR1047" s="859" t="s">
        <v>3627</v>
      </c>
      <c r="AS1047" s="840"/>
      <c r="AT1047" s="840"/>
      <c r="AU1047" s="860" t="s">
        <v>1311</v>
      </c>
      <c r="AV1047" s="839" t="s">
        <v>3628</v>
      </c>
      <c r="AW1047" s="861">
        <v>45715</v>
      </c>
      <c r="AX1047" s="862">
        <v>45719</v>
      </c>
      <c r="AY1047" s="843"/>
      <c r="AZ1047" s="842"/>
      <c r="BA1047" s="842" t="s">
        <v>120</v>
      </c>
      <c r="BB1047" s="863" t="s">
        <v>121</v>
      </c>
      <c r="BC1047" s="881">
        <v>45719</v>
      </c>
      <c r="BD1047" s="860" t="s">
        <v>3629</v>
      </c>
      <c r="BE1047" s="865" cm="1">
        <f t="array" ref="BE1047">IF(BD1047="","",AC1047/SUMPRODUCT(--(BD1047=$BD$4:$BD$12824),$AC$4:$AC$12824))</f>
        <v>1.2212827621142147E-2</v>
      </c>
      <c r="BF1047" s="458"/>
      <c r="BG1047" s="458"/>
      <c r="BH1047" s="458"/>
      <c r="BI1047" s="458"/>
      <c r="BJ1047" s="458"/>
      <c r="BK1047" s="458"/>
      <c r="BL1047" s="458"/>
      <c r="BM1047" s="458"/>
      <c r="BN1047" s="458"/>
      <c r="BO1047" s="866">
        <f>VLOOKUP(BD1047,$BD$4:$BN$12824,3,0)*BE1047</f>
        <v>0</v>
      </c>
      <c r="BP1047" s="866"/>
      <c r="BQ1047" s="866"/>
      <c r="BR1047" s="866">
        <f>VLOOKUP(BD1047,$BD$4:$BN$12824,6,0)*BE1047</f>
        <v>182289.85016977388</v>
      </c>
      <c r="BS1047" s="866">
        <f>VLOOKUP(BD1047,$BD$4:$BN$12824,7,0)*BE1047</f>
        <v>0</v>
      </c>
      <c r="BT1047" s="866"/>
      <c r="BU1047" s="866">
        <f>VLOOKUP(BD1047,$BD$4:$BN$12824,9,0)*BE1047</f>
        <v>3053.2069052855368</v>
      </c>
      <c r="BV1047" s="867"/>
      <c r="BW1047" s="867">
        <f>VLOOKUP(BD1047,$BD$4:$BN$12824,11,0)*BE1047</f>
        <v>29310.786290741155</v>
      </c>
      <c r="BX1047" s="1146">
        <f t="shared" si="192"/>
        <v>214653.84336580057</v>
      </c>
      <c r="BY1047" s="867">
        <f t="shared" si="193"/>
        <v>586052.73042072507</v>
      </c>
      <c r="BZ1047" s="867">
        <f t="shared" si="194"/>
        <v>4688421.8433658006</v>
      </c>
      <c r="CA1047" s="867">
        <f>_xlfn.MAXIFS($BY$4:$BY$12824,$S$4:$S$12824,$S1047)</f>
        <v>586052.73042072507</v>
      </c>
      <c r="CB1047" s="1032"/>
      <c r="CF1047" s="946">
        <f t="shared" si="200"/>
        <v>4473768</v>
      </c>
    </row>
    <row r="1048" spans="1:84">
      <c r="A1048" s="1032"/>
      <c r="B1048" s="839" t="s">
        <v>98</v>
      </c>
      <c r="C1048" s="839" t="s">
        <v>131</v>
      </c>
      <c r="D1048" s="839" t="s">
        <v>2351</v>
      </c>
      <c r="E1048" s="839" t="s">
        <v>2351</v>
      </c>
      <c r="F1048" s="841">
        <v>45680</v>
      </c>
      <c r="G1048" s="840" t="s">
        <v>133</v>
      </c>
      <c r="H1048" s="842" t="s">
        <v>134</v>
      </c>
      <c r="I1048" s="842"/>
      <c r="J1048" s="841"/>
      <c r="K1048" s="841"/>
      <c r="L1048" s="843" t="s">
        <v>106</v>
      </c>
      <c r="M1048" s="844" t="s">
        <v>417</v>
      </c>
      <c r="N1048" s="841"/>
      <c r="O1048" s="841" t="s">
        <v>108</v>
      </c>
      <c r="P1048" s="841" t="s">
        <v>1136</v>
      </c>
      <c r="Q1048" s="843"/>
      <c r="R1048" s="845" t="s">
        <v>3705</v>
      </c>
      <c r="S1048" s="1127" t="s">
        <v>3706</v>
      </c>
      <c r="T1048" s="843" t="s">
        <v>3707</v>
      </c>
      <c r="U1048" s="842">
        <v>8</v>
      </c>
      <c r="V1048" s="842" t="s">
        <v>8</v>
      </c>
      <c r="W1048" s="846">
        <v>43</v>
      </c>
      <c r="X1048" s="847">
        <f t="shared" si="195"/>
        <v>344</v>
      </c>
      <c r="Y1048" s="848">
        <f t="shared" si="201"/>
        <v>0.48697674418604653</v>
      </c>
      <c r="Z1048" s="849">
        <v>22.06</v>
      </c>
      <c r="AA1048" s="849"/>
      <c r="AB1048" s="849">
        <f t="shared" si="196"/>
        <v>176.48</v>
      </c>
      <c r="AC1048" s="850">
        <f t="shared" si="197"/>
        <v>176.48</v>
      </c>
      <c r="AD1048" s="851"/>
      <c r="AE1048" s="852">
        <v>25350</v>
      </c>
      <c r="AF1048" s="853">
        <v>0</v>
      </c>
      <c r="AG1048" s="854">
        <f t="shared" si="198"/>
        <v>0</v>
      </c>
      <c r="AH1048" s="853">
        <v>0.1</v>
      </c>
      <c r="AI1048" s="855">
        <f t="shared" si="199"/>
        <v>447376.80000000005</v>
      </c>
      <c r="AJ1048" s="845" t="s">
        <v>3624</v>
      </c>
      <c r="AK1048" s="864">
        <v>45698</v>
      </c>
      <c r="AL1048" s="840" t="s">
        <v>3625</v>
      </c>
      <c r="AM1048" s="840"/>
      <c r="AN1048" s="858"/>
      <c r="AO1048" s="844" t="s">
        <v>3626</v>
      </c>
      <c r="AP1048" s="859"/>
      <c r="AQ1048" s="859" t="s">
        <v>3604</v>
      </c>
      <c r="AR1048" s="859" t="s">
        <v>3627</v>
      </c>
      <c r="AS1048" s="840"/>
      <c r="AT1048" s="840"/>
      <c r="AU1048" s="860" t="s">
        <v>1311</v>
      </c>
      <c r="AV1048" s="839" t="s">
        <v>3628</v>
      </c>
      <c r="AW1048" s="861">
        <v>45715</v>
      </c>
      <c r="AX1048" s="862">
        <v>45719</v>
      </c>
      <c r="AY1048" s="843"/>
      <c r="AZ1048" s="842"/>
      <c r="BA1048" s="842" t="s">
        <v>120</v>
      </c>
      <c r="BB1048" s="863" t="s">
        <v>121</v>
      </c>
      <c r="BC1048" s="881">
        <v>45719</v>
      </c>
      <c r="BD1048" s="860" t="s">
        <v>3629</v>
      </c>
      <c r="BE1048" s="865" cm="1">
        <f t="array" ref="BE1048">IF(BD1048="","",AC1048/SUMPRODUCT(--(BD1048=$BD$4:$BD$12824),$AC$4:$AC$12824))</f>
        <v>1.2212827621142147E-2</v>
      </c>
      <c r="BF1048" s="458"/>
      <c r="BG1048" s="458"/>
      <c r="BH1048" s="458"/>
      <c r="BI1048" s="458"/>
      <c r="BJ1048" s="458"/>
      <c r="BK1048" s="458"/>
      <c r="BL1048" s="458"/>
      <c r="BM1048" s="458"/>
      <c r="BN1048" s="458"/>
      <c r="BO1048" s="866">
        <f>VLOOKUP(BD1048,$BD$4:$BN$12824,3,0)*BE1048</f>
        <v>0</v>
      </c>
      <c r="BP1048" s="866"/>
      <c r="BQ1048" s="866"/>
      <c r="BR1048" s="866">
        <f>VLOOKUP(BD1048,$BD$4:$BN$12824,6,0)*BE1048</f>
        <v>182289.85016977388</v>
      </c>
      <c r="BS1048" s="866">
        <f>VLOOKUP(BD1048,$BD$4:$BN$12824,7,0)*BE1048</f>
        <v>0</v>
      </c>
      <c r="BT1048" s="866"/>
      <c r="BU1048" s="866">
        <f>VLOOKUP(BD1048,$BD$4:$BN$12824,9,0)*BE1048</f>
        <v>3053.2069052855368</v>
      </c>
      <c r="BV1048" s="867"/>
      <c r="BW1048" s="867">
        <f>VLOOKUP(BD1048,$BD$4:$BN$12824,11,0)*BE1048</f>
        <v>29310.786290741155</v>
      </c>
      <c r="BX1048" s="1146">
        <f t="shared" si="192"/>
        <v>214653.84336580057</v>
      </c>
      <c r="BY1048" s="867">
        <f t="shared" si="193"/>
        <v>586052.73042072507</v>
      </c>
      <c r="BZ1048" s="867">
        <f t="shared" si="194"/>
        <v>4688421.8433658006</v>
      </c>
      <c r="CA1048" s="867">
        <f>_xlfn.MAXIFS($BY$4:$BY$12824,$S$4:$S$12824,$S1048)</f>
        <v>586052.73042072507</v>
      </c>
      <c r="CB1048" s="1032"/>
      <c r="CF1048" s="946">
        <f t="shared" si="200"/>
        <v>4473768</v>
      </c>
    </row>
    <row r="1049" spans="1:84">
      <c r="A1049" s="1032"/>
      <c r="B1049" s="839" t="s">
        <v>98</v>
      </c>
      <c r="C1049" s="839" t="s">
        <v>131</v>
      </c>
      <c r="D1049" s="839" t="s">
        <v>2351</v>
      </c>
      <c r="E1049" s="839" t="s">
        <v>2351</v>
      </c>
      <c r="F1049" s="841">
        <v>45680</v>
      </c>
      <c r="G1049" s="840" t="s">
        <v>133</v>
      </c>
      <c r="H1049" s="842" t="s">
        <v>134</v>
      </c>
      <c r="I1049" s="842"/>
      <c r="J1049" s="841"/>
      <c r="K1049" s="841"/>
      <c r="L1049" s="843" t="s">
        <v>106</v>
      </c>
      <c r="M1049" s="844" t="s">
        <v>417</v>
      </c>
      <c r="N1049" s="841"/>
      <c r="O1049" s="841" t="s">
        <v>108</v>
      </c>
      <c r="P1049" s="841" t="s">
        <v>1136</v>
      </c>
      <c r="Q1049" s="843"/>
      <c r="R1049" s="845" t="s">
        <v>3708</v>
      </c>
      <c r="S1049" s="1127" t="s">
        <v>3709</v>
      </c>
      <c r="T1049" s="843" t="s">
        <v>3710</v>
      </c>
      <c r="U1049" s="842">
        <v>8</v>
      </c>
      <c r="V1049" s="842" t="s">
        <v>8</v>
      </c>
      <c r="W1049" s="846">
        <v>43</v>
      </c>
      <c r="X1049" s="847">
        <f t="shared" si="195"/>
        <v>344</v>
      </c>
      <c r="Y1049" s="848">
        <f t="shared" si="201"/>
        <v>0.48697674418604653</v>
      </c>
      <c r="Z1049" s="849">
        <v>22.06</v>
      </c>
      <c r="AA1049" s="849"/>
      <c r="AB1049" s="849">
        <f t="shared" si="196"/>
        <v>176.48</v>
      </c>
      <c r="AC1049" s="850">
        <f t="shared" si="197"/>
        <v>176.48</v>
      </c>
      <c r="AD1049" s="851"/>
      <c r="AE1049" s="852">
        <v>25350</v>
      </c>
      <c r="AF1049" s="853">
        <v>0</v>
      </c>
      <c r="AG1049" s="854">
        <f t="shared" si="198"/>
        <v>0</v>
      </c>
      <c r="AH1049" s="853">
        <v>0.1</v>
      </c>
      <c r="AI1049" s="855">
        <f t="shared" si="199"/>
        <v>447376.80000000005</v>
      </c>
      <c r="AJ1049" s="845" t="s">
        <v>3624</v>
      </c>
      <c r="AK1049" s="864">
        <v>45698</v>
      </c>
      <c r="AL1049" s="840" t="s">
        <v>3625</v>
      </c>
      <c r="AM1049" s="840"/>
      <c r="AN1049" s="858"/>
      <c r="AO1049" s="844" t="s">
        <v>3626</v>
      </c>
      <c r="AP1049" s="859"/>
      <c r="AQ1049" s="859" t="s">
        <v>3604</v>
      </c>
      <c r="AR1049" s="859" t="s">
        <v>3627</v>
      </c>
      <c r="AS1049" s="840"/>
      <c r="AT1049" s="840"/>
      <c r="AU1049" s="860" t="s">
        <v>1311</v>
      </c>
      <c r="AV1049" s="839" t="s">
        <v>3628</v>
      </c>
      <c r="AW1049" s="861">
        <v>45715</v>
      </c>
      <c r="AX1049" s="862">
        <v>45719</v>
      </c>
      <c r="AY1049" s="843"/>
      <c r="AZ1049" s="842"/>
      <c r="BA1049" s="842" t="s">
        <v>120</v>
      </c>
      <c r="BB1049" s="863" t="s">
        <v>121</v>
      </c>
      <c r="BC1049" s="881">
        <v>45719</v>
      </c>
      <c r="BD1049" s="860" t="s">
        <v>3629</v>
      </c>
      <c r="BE1049" s="865" cm="1">
        <f t="array" ref="BE1049">IF(BD1049="","",AC1049/SUMPRODUCT(--(BD1049=$BD$4:$BD$12824),$AC$4:$AC$12824))</f>
        <v>1.2212827621142147E-2</v>
      </c>
      <c r="BF1049" s="458"/>
      <c r="BG1049" s="458"/>
      <c r="BH1049" s="458"/>
      <c r="BI1049" s="458"/>
      <c r="BJ1049" s="458"/>
      <c r="BK1049" s="458"/>
      <c r="BL1049" s="458"/>
      <c r="BM1049" s="458"/>
      <c r="BN1049" s="458"/>
      <c r="BO1049" s="866">
        <f>VLOOKUP(BD1049,$BD$4:$BN$12824,3,0)*BE1049</f>
        <v>0</v>
      </c>
      <c r="BP1049" s="866"/>
      <c r="BQ1049" s="866"/>
      <c r="BR1049" s="866">
        <f>VLOOKUP(BD1049,$BD$4:$BN$12824,6,0)*BE1049</f>
        <v>182289.85016977388</v>
      </c>
      <c r="BS1049" s="866">
        <f>VLOOKUP(BD1049,$BD$4:$BN$12824,7,0)*BE1049</f>
        <v>0</v>
      </c>
      <c r="BT1049" s="866"/>
      <c r="BU1049" s="866">
        <f>VLOOKUP(BD1049,$BD$4:$BN$12824,9,0)*BE1049</f>
        <v>3053.2069052855368</v>
      </c>
      <c r="BV1049" s="867"/>
      <c r="BW1049" s="867">
        <f>VLOOKUP(BD1049,$BD$4:$BN$12824,11,0)*BE1049</f>
        <v>29310.786290741155</v>
      </c>
      <c r="BX1049" s="1146">
        <f t="shared" si="192"/>
        <v>214653.84336580057</v>
      </c>
      <c r="BY1049" s="867">
        <f t="shared" si="193"/>
        <v>586052.73042072507</v>
      </c>
      <c r="BZ1049" s="867">
        <f t="shared" si="194"/>
        <v>4688421.8433658006</v>
      </c>
      <c r="CA1049" s="867">
        <f>_xlfn.MAXIFS($BY$4:$BY$12824,$S$4:$S$12824,$S1049)</f>
        <v>586052.73042072507</v>
      </c>
      <c r="CB1049" s="1032"/>
      <c r="CF1049" s="946">
        <f t="shared" si="200"/>
        <v>4473768</v>
      </c>
    </row>
    <row r="1050" spans="1:84">
      <c r="A1050" s="1032"/>
      <c r="B1050" s="839" t="s">
        <v>98</v>
      </c>
      <c r="C1050" s="839" t="s">
        <v>131</v>
      </c>
      <c r="D1050" s="839" t="s">
        <v>2351</v>
      </c>
      <c r="E1050" s="839" t="s">
        <v>2351</v>
      </c>
      <c r="F1050" s="841">
        <v>45680</v>
      </c>
      <c r="G1050" s="840" t="s">
        <v>133</v>
      </c>
      <c r="H1050" s="842" t="s">
        <v>134</v>
      </c>
      <c r="I1050" s="842"/>
      <c r="J1050" s="841"/>
      <c r="K1050" s="841"/>
      <c r="L1050" s="843" t="s">
        <v>106</v>
      </c>
      <c r="M1050" s="844" t="s">
        <v>417</v>
      </c>
      <c r="N1050" s="841"/>
      <c r="O1050" s="841" t="s">
        <v>135</v>
      </c>
      <c r="P1050" s="841" t="s">
        <v>1258</v>
      </c>
      <c r="Q1050" s="843"/>
      <c r="R1050" s="845" t="s">
        <v>3711</v>
      </c>
      <c r="S1050" s="1127" t="s">
        <v>3712</v>
      </c>
      <c r="T1050" s="843" t="s">
        <v>3713</v>
      </c>
      <c r="U1050" s="842">
        <v>4</v>
      </c>
      <c r="V1050" s="842" t="s">
        <v>8</v>
      </c>
      <c r="W1050" s="846">
        <v>458</v>
      </c>
      <c r="X1050" s="847">
        <f t="shared" si="195"/>
        <v>1832</v>
      </c>
      <c r="Y1050" s="848">
        <f t="shared" si="201"/>
        <v>0.6</v>
      </c>
      <c r="Z1050" s="849">
        <v>183.2</v>
      </c>
      <c r="AA1050" s="849"/>
      <c r="AB1050" s="849">
        <f t="shared" si="196"/>
        <v>732.8</v>
      </c>
      <c r="AC1050" s="850">
        <f t="shared" si="197"/>
        <v>732.8</v>
      </c>
      <c r="AD1050" s="851"/>
      <c r="AE1050" s="852">
        <v>25350</v>
      </c>
      <c r="AF1050" s="853">
        <v>0.3</v>
      </c>
      <c r="AG1050" s="854">
        <f t="shared" si="198"/>
        <v>5572944</v>
      </c>
      <c r="AH1050" s="853">
        <v>0.08</v>
      </c>
      <c r="AI1050" s="855">
        <f t="shared" si="199"/>
        <v>1931953.92</v>
      </c>
      <c r="AJ1050" s="845" t="s">
        <v>3624</v>
      </c>
      <c r="AK1050" s="864">
        <v>45698</v>
      </c>
      <c r="AL1050" s="840" t="s">
        <v>3625</v>
      </c>
      <c r="AM1050" s="840"/>
      <c r="AN1050" s="858"/>
      <c r="AO1050" s="844" t="s">
        <v>3626</v>
      </c>
      <c r="AP1050" s="859"/>
      <c r="AQ1050" s="859" t="s">
        <v>3604</v>
      </c>
      <c r="AR1050" s="859" t="s">
        <v>3627</v>
      </c>
      <c r="AS1050" s="840"/>
      <c r="AT1050" s="840"/>
      <c r="AU1050" s="860" t="s">
        <v>1311</v>
      </c>
      <c r="AV1050" s="839" t="s">
        <v>3628</v>
      </c>
      <c r="AW1050" s="861">
        <v>45715</v>
      </c>
      <c r="AX1050" s="862">
        <v>45719</v>
      </c>
      <c r="AY1050" s="843"/>
      <c r="AZ1050" s="842"/>
      <c r="BA1050" s="842" t="s">
        <v>120</v>
      </c>
      <c r="BB1050" s="863" t="s">
        <v>121</v>
      </c>
      <c r="BC1050" s="881">
        <v>45719</v>
      </c>
      <c r="BD1050" s="860" t="s">
        <v>3629</v>
      </c>
      <c r="BE1050" s="865" cm="1">
        <f t="array" ref="BE1050">IF(BD1050="","",AC1050/SUMPRODUCT(--(BD1050=$BD$4:$BD$12824),$AC$4:$AC$12824))</f>
        <v>5.0711469179357239E-2</v>
      </c>
      <c r="BF1050" s="458"/>
      <c r="BG1050" s="458"/>
      <c r="BH1050" s="458"/>
      <c r="BI1050" s="458"/>
      <c r="BJ1050" s="458"/>
      <c r="BK1050" s="458"/>
      <c r="BL1050" s="458"/>
      <c r="BM1050" s="458"/>
      <c r="BN1050" s="458"/>
      <c r="BO1050" s="866">
        <f>VLOOKUP(BD1050,$BD$4:$BN$12824,3,0)*BE1050</f>
        <v>0</v>
      </c>
      <c r="BP1050" s="866"/>
      <c r="BQ1050" s="866"/>
      <c r="BR1050" s="866">
        <f>VLOOKUP(BD1050,$BD$4:$BN$12824,6,0)*BE1050</f>
        <v>756924.30986179912</v>
      </c>
      <c r="BS1050" s="866">
        <f>VLOOKUP(BD1050,$BD$4:$BN$12824,7,0)*BE1050</f>
        <v>0</v>
      </c>
      <c r="BT1050" s="866"/>
      <c r="BU1050" s="866">
        <f>VLOOKUP(BD1050,$BD$4:$BN$12824,9,0)*BE1050</f>
        <v>12677.86729483931</v>
      </c>
      <c r="BV1050" s="867"/>
      <c r="BW1050" s="867">
        <f>VLOOKUP(BD1050,$BD$4:$BN$12824,11,0)*BE1050</f>
        <v>121707.52603045737</v>
      </c>
      <c r="BX1050" s="1146">
        <f t="shared" si="192"/>
        <v>891309.70318709582</v>
      </c>
      <c r="BY1050" s="867">
        <f t="shared" si="193"/>
        <v>6260183.4257967742</v>
      </c>
      <c r="BZ1050" s="867">
        <f t="shared" si="194"/>
        <v>25040733.703187097</v>
      </c>
      <c r="CA1050" s="867">
        <f>_xlfn.MAXIFS($BY$4:$BY$12824,$S$4:$S$12824,$S1050)</f>
        <v>6260183.4257967742</v>
      </c>
      <c r="CB1050" s="1032"/>
      <c r="CF1050" s="946">
        <f t="shared" si="200"/>
        <v>18576480</v>
      </c>
    </row>
    <row r="1051" spans="1:84">
      <c r="A1051" s="1032"/>
      <c r="B1051" s="839" t="s">
        <v>98</v>
      </c>
      <c r="C1051" s="839" t="s">
        <v>131</v>
      </c>
      <c r="D1051" s="839" t="s">
        <v>2351</v>
      </c>
      <c r="E1051" s="839" t="s">
        <v>2351</v>
      </c>
      <c r="F1051" s="841">
        <v>45680</v>
      </c>
      <c r="G1051" s="840" t="s">
        <v>133</v>
      </c>
      <c r="H1051" s="842" t="s">
        <v>134</v>
      </c>
      <c r="I1051" s="842"/>
      <c r="J1051" s="841"/>
      <c r="K1051" s="841"/>
      <c r="L1051" s="843" t="s">
        <v>106</v>
      </c>
      <c r="M1051" s="844" t="s">
        <v>417</v>
      </c>
      <c r="N1051" s="841"/>
      <c r="O1051" s="841" t="s">
        <v>135</v>
      </c>
      <c r="P1051" s="841" t="s">
        <v>1258</v>
      </c>
      <c r="Q1051" s="843"/>
      <c r="R1051" s="845" t="s">
        <v>3714</v>
      </c>
      <c r="S1051" s="1127" t="s">
        <v>3715</v>
      </c>
      <c r="T1051" s="843" t="s">
        <v>3716</v>
      </c>
      <c r="U1051" s="842">
        <v>4</v>
      </c>
      <c r="V1051" s="842" t="s">
        <v>8</v>
      </c>
      <c r="W1051" s="846">
        <v>458</v>
      </c>
      <c r="X1051" s="847">
        <f t="shared" si="195"/>
        <v>1832</v>
      </c>
      <c r="Y1051" s="848">
        <f t="shared" si="201"/>
        <v>0.6</v>
      </c>
      <c r="Z1051" s="849">
        <v>183.2</v>
      </c>
      <c r="AA1051" s="849"/>
      <c r="AB1051" s="849">
        <f t="shared" si="196"/>
        <v>732.8</v>
      </c>
      <c r="AC1051" s="850">
        <f t="shared" si="197"/>
        <v>732.8</v>
      </c>
      <c r="AD1051" s="851"/>
      <c r="AE1051" s="852">
        <v>25350</v>
      </c>
      <c r="AF1051" s="853">
        <v>0.3</v>
      </c>
      <c r="AG1051" s="854">
        <f t="shared" si="198"/>
        <v>5572944</v>
      </c>
      <c r="AH1051" s="853">
        <v>0.08</v>
      </c>
      <c r="AI1051" s="855">
        <f t="shared" si="199"/>
        <v>1931953.92</v>
      </c>
      <c r="AJ1051" s="845" t="s">
        <v>3624</v>
      </c>
      <c r="AK1051" s="864">
        <v>45698</v>
      </c>
      <c r="AL1051" s="840" t="s">
        <v>3625</v>
      </c>
      <c r="AM1051" s="840"/>
      <c r="AN1051" s="858"/>
      <c r="AO1051" s="844" t="s">
        <v>3626</v>
      </c>
      <c r="AP1051" s="859"/>
      <c r="AQ1051" s="859" t="s">
        <v>3604</v>
      </c>
      <c r="AR1051" s="859" t="s">
        <v>3627</v>
      </c>
      <c r="AS1051" s="840"/>
      <c r="AT1051" s="840"/>
      <c r="AU1051" s="860" t="s">
        <v>1311</v>
      </c>
      <c r="AV1051" s="839" t="s">
        <v>3628</v>
      </c>
      <c r="AW1051" s="861">
        <v>45715</v>
      </c>
      <c r="AX1051" s="862">
        <v>45719</v>
      </c>
      <c r="AY1051" s="843"/>
      <c r="AZ1051" s="842"/>
      <c r="BA1051" s="842" t="s">
        <v>120</v>
      </c>
      <c r="BB1051" s="863" t="s">
        <v>121</v>
      </c>
      <c r="BC1051" s="881">
        <v>45719</v>
      </c>
      <c r="BD1051" s="860" t="s">
        <v>3629</v>
      </c>
      <c r="BE1051" s="865" cm="1">
        <f t="array" ref="BE1051">IF(BD1051="","",AC1051/SUMPRODUCT(--(BD1051=$BD$4:$BD$12824),$AC$4:$AC$12824))</f>
        <v>5.0711469179357239E-2</v>
      </c>
      <c r="BF1051" s="458"/>
      <c r="BG1051" s="458"/>
      <c r="BH1051" s="458"/>
      <c r="BI1051" s="458"/>
      <c r="BJ1051" s="458"/>
      <c r="BK1051" s="458"/>
      <c r="BL1051" s="458"/>
      <c r="BM1051" s="458"/>
      <c r="BN1051" s="458"/>
      <c r="BO1051" s="866">
        <f>VLOOKUP(BD1051,$BD$4:$BN$12824,3,0)*BE1051</f>
        <v>0</v>
      </c>
      <c r="BP1051" s="866"/>
      <c r="BQ1051" s="866"/>
      <c r="BR1051" s="866">
        <f>VLOOKUP(BD1051,$BD$4:$BN$12824,6,0)*BE1051</f>
        <v>756924.30986179912</v>
      </c>
      <c r="BS1051" s="866">
        <f>VLOOKUP(BD1051,$BD$4:$BN$12824,7,0)*BE1051</f>
        <v>0</v>
      </c>
      <c r="BT1051" s="866"/>
      <c r="BU1051" s="866">
        <f>VLOOKUP(BD1051,$BD$4:$BN$12824,9,0)*BE1051</f>
        <v>12677.86729483931</v>
      </c>
      <c r="BV1051" s="867"/>
      <c r="BW1051" s="867">
        <f>VLOOKUP(BD1051,$BD$4:$BN$12824,11,0)*BE1051</f>
        <v>121707.52603045737</v>
      </c>
      <c r="BX1051" s="1146">
        <f t="shared" si="192"/>
        <v>891309.70318709582</v>
      </c>
      <c r="BY1051" s="867">
        <f t="shared" si="193"/>
        <v>6260183.4257967742</v>
      </c>
      <c r="BZ1051" s="867">
        <f t="shared" si="194"/>
        <v>25040733.703187097</v>
      </c>
      <c r="CA1051" s="867">
        <f>_xlfn.MAXIFS($BY$4:$BY$12824,$S$4:$S$12824,$S1051)</f>
        <v>6260183.4257967742</v>
      </c>
      <c r="CB1051" s="1032"/>
      <c r="CF1051" s="946">
        <f t="shared" si="200"/>
        <v>18576480</v>
      </c>
    </row>
    <row r="1052" spans="1:84">
      <c r="A1052" s="1032"/>
      <c r="B1052" s="839" t="s">
        <v>98</v>
      </c>
      <c r="C1052" s="839" t="s">
        <v>131</v>
      </c>
      <c r="D1052" s="839" t="s">
        <v>2351</v>
      </c>
      <c r="E1052" s="839" t="s">
        <v>2351</v>
      </c>
      <c r="F1052" s="841">
        <v>45680</v>
      </c>
      <c r="G1052" s="840" t="s">
        <v>133</v>
      </c>
      <c r="H1052" s="842" t="s">
        <v>134</v>
      </c>
      <c r="I1052" s="842"/>
      <c r="J1052" s="841"/>
      <c r="K1052" s="841"/>
      <c r="L1052" s="843" t="s">
        <v>106</v>
      </c>
      <c r="M1052" s="844" t="s">
        <v>417</v>
      </c>
      <c r="N1052" s="841"/>
      <c r="O1052" s="841" t="s">
        <v>135</v>
      </c>
      <c r="P1052" s="841" t="s">
        <v>1258</v>
      </c>
      <c r="Q1052" s="843"/>
      <c r="R1052" s="845" t="s">
        <v>3717</v>
      </c>
      <c r="S1052" s="1127" t="s">
        <v>3718</v>
      </c>
      <c r="T1052" s="843" t="s">
        <v>3719</v>
      </c>
      <c r="U1052" s="842">
        <v>4</v>
      </c>
      <c r="V1052" s="842" t="s">
        <v>8</v>
      </c>
      <c r="W1052" s="846">
        <v>611</v>
      </c>
      <c r="X1052" s="847">
        <f t="shared" si="195"/>
        <v>2444</v>
      </c>
      <c r="Y1052" s="848">
        <f t="shared" si="201"/>
        <v>0.60000000000000009</v>
      </c>
      <c r="Z1052" s="849">
        <v>244.4</v>
      </c>
      <c r="AA1052" s="849"/>
      <c r="AB1052" s="849">
        <f t="shared" si="196"/>
        <v>977.6</v>
      </c>
      <c r="AC1052" s="850">
        <f t="shared" si="197"/>
        <v>977.6</v>
      </c>
      <c r="AD1052" s="851"/>
      <c r="AE1052" s="852">
        <v>25350</v>
      </c>
      <c r="AF1052" s="853">
        <v>0.3</v>
      </c>
      <c r="AG1052" s="854">
        <f t="shared" si="198"/>
        <v>7434648</v>
      </c>
      <c r="AH1052" s="853">
        <v>0.08</v>
      </c>
      <c r="AI1052" s="855">
        <f t="shared" si="199"/>
        <v>2577344.64</v>
      </c>
      <c r="AJ1052" s="845" t="s">
        <v>3624</v>
      </c>
      <c r="AK1052" s="864">
        <v>45698</v>
      </c>
      <c r="AL1052" s="840" t="s">
        <v>3625</v>
      </c>
      <c r="AM1052" s="840"/>
      <c r="AN1052" s="858"/>
      <c r="AO1052" s="844" t="s">
        <v>3626</v>
      </c>
      <c r="AP1052" s="859"/>
      <c r="AQ1052" s="859" t="s">
        <v>3604</v>
      </c>
      <c r="AR1052" s="859" t="s">
        <v>3627</v>
      </c>
      <c r="AS1052" s="840"/>
      <c r="AT1052" s="840"/>
      <c r="AU1052" s="860" t="s">
        <v>1311</v>
      </c>
      <c r="AV1052" s="839" t="s">
        <v>3628</v>
      </c>
      <c r="AW1052" s="861">
        <v>45715</v>
      </c>
      <c r="AX1052" s="862">
        <v>45719</v>
      </c>
      <c r="AY1052" s="843"/>
      <c r="AZ1052" s="842"/>
      <c r="BA1052" s="842" t="s">
        <v>120</v>
      </c>
      <c r="BB1052" s="863" t="s">
        <v>121</v>
      </c>
      <c r="BC1052" s="881">
        <v>45719</v>
      </c>
      <c r="BD1052" s="860" t="s">
        <v>3629</v>
      </c>
      <c r="BE1052" s="865" cm="1">
        <f t="array" ref="BE1052">IF(BD1052="","",AC1052/SUMPRODUCT(--(BD1052=$BD$4:$BD$12824),$AC$4:$AC$12824))</f>
        <v>6.7652200149753872E-2</v>
      </c>
      <c r="BF1052" s="458"/>
      <c r="BG1052" s="458"/>
      <c r="BH1052" s="458"/>
      <c r="BI1052" s="458"/>
      <c r="BJ1052" s="458"/>
      <c r="BK1052" s="458"/>
      <c r="BL1052" s="458"/>
      <c r="BM1052" s="458"/>
      <c r="BN1052" s="458"/>
      <c r="BO1052" s="866">
        <f>VLOOKUP(BD1052,$BD$4:$BN$12824,3,0)*BE1052</f>
        <v>0</v>
      </c>
      <c r="BP1052" s="866"/>
      <c r="BQ1052" s="866"/>
      <c r="BR1052" s="866">
        <f>VLOOKUP(BD1052,$BD$4:$BN$12824,6,0)*BE1052</f>
        <v>1009783.3042042779</v>
      </c>
      <c r="BS1052" s="866">
        <f>VLOOKUP(BD1052,$BD$4:$BN$12824,7,0)*BE1052</f>
        <v>0</v>
      </c>
      <c r="BT1052" s="866"/>
      <c r="BU1052" s="866">
        <f>VLOOKUP(BD1052,$BD$4:$BN$12824,9,0)*BE1052</f>
        <v>16913.050037438468</v>
      </c>
      <c r="BV1052" s="867"/>
      <c r="BW1052" s="867">
        <f>VLOOKUP(BD1052,$BD$4:$BN$12824,11,0)*BE1052</f>
        <v>162365.28035940928</v>
      </c>
      <c r="BX1052" s="1146">
        <f t="shared" si="192"/>
        <v>1189061.6346011257</v>
      </c>
      <c r="BY1052" s="867">
        <f t="shared" si="193"/>
        <v>8351467.4086502818</v>
      </c>
      <c r="BZ1052" s="867">
        <f t="shared" si="194"/>
        <v>33405869.634601127</v>
      </c>
      <c r="CA1052" s="867">
        <f>_xlfn.MAXIFS($BY$4:$BY$12824,$S$4:$S$12824,$S1052)</f>
        <v>8351467.4086502818</v>
      </c>
      <c r="CB1052" s="1032"/>
      <c r="CF1052" s="946">
        <f t="shared" si="200"/>
        <v>24782160</v>
      </c>
    </row>
    <row r="1053" spans="1:84">
      <c r="A1053" s="1032"/>
      <c r="B1053" s="839" t="s">
        <v>98</v>
      </c>
      <c r="C1053" s="839" t="s">
        <v>131</v>
      </c>
      <c r="D1053" s="839" t="s">
        <v>2351</v>
      </c>
      <c r="E1053" s="839" t="s">
        <v>2351</v>
      </c>
      <c r="F1053" s="841">
        <v>45680</v>
      </c>
      <c r="G1053" s="840" t="s">
        <v>133</v>
      </c>
      <c r="H1053" s="842" t="s">
        <v>134</v>
      </c>
      <c r="I1053" s="842"/>
      <c r="J1053" s="841"/>
      <c r="K1053" s="841"/>
      <c r="L1053" s="843" t="s">
        <v>106</v>
      </c>
      <c r="M1053" s="844" t="s">
        <v>417</v>
      </c>
      <c r="N1053" s="841"/>
      <c r="O1053" s="841" t="s">
        <v>135</v>
      </c>
      <c r="P1053" s="841" t="s">
        <v>1362</v>
      </c>
      <c r="Q1053" s="843"/>
      <c r="R1053" s="845" t="s">
        <v>1379</v>
      </c>
      <c r="S1053" s="1127" t="s">
        <v>1380</v>
      </c>
      <c r="T1053" s="843" t="s">
        <v>3720</v>
      </c>
      <c r="U1053" s="842">
        <v>2</v>
      </c>
      <c r="V1053" s="842" t="s">
        <v>8</v>
      </c>
      <c r="W1053" s="846">
        <v>76</v>
      </c>
      <c r="X1053" s="847">
        <f t="shared" si="195"/>
        <v>152</v>
      </c>
      <c r="Y1053" s="848">
        <f t="shared" si="201"/>
        <v>0.6</v>
      </c>
      <c r="Z1053" s="849">
        <v>30.4</v>
      </c>
      <c r="AA1053" s="849"/>
      <c r="AB1053" s="849">
        <f t="shared" si="196"/>
        <v>60.8</v>
      </c>
      <c r="AC1053" s="850">
        <f t="shared" si="197"/>
        <v>60.8</v>
      </c>
      <c r="AD1053" s="851"/>
      <c r="AE1053" s="852">
        <v>25350</v>
      </c>
      <c r="AF1053" s="853">
        <v>0</v>
      </c>
      <c r="AG1053" s="854">
        <f t="shared" si="198"/>
        <v>0</v>
      </c>
      <c r="AH1053" s="853">
        <v>0.08</v>
      </c>
      <c r="AI1053" s="855">
        <f t="shared" si="199"/>
        <v>123302.40000000001</v>
      </c>
      <c r="AJ1053" s="845" t="s">
        <v>3624</v>
      </c>
      <c r="AK1053" s="864">
        <v>45698</v>
      </c>
      <c r="AL1053" s="840" t="s">
        <v>3625</v>
      </c>
      <c r="AM1053" s="840"/>
      <c r="AN1053" s="858"/>
      <c r="AO1053" s="844" t="s">
        <v>3626</v>
      </c>
      <c r="AP1053" s="859"/>
      <c r="AQ1053" s="859" t="s">
        <v>3604</v>
      </c>
      <c r="AR1053" s="859" t="s">
        <v>3627</v>
      </c>
      <c r="AS1053" s="840"/>
      <c r="AT1053" s="840"/>
      <c r="AU1053" s="860" t="s">
        <v>1311</v>
      </c>
      <c r="AV1053" s="839" t="s">
        <v>3628</v>
      </c>
      <c r="AW1053" s="861">
        <v>45715</v>
      </c>
      <c r="AX1053" s="862">
        <v>45719</v>
      </c>
      <c r="AY1053" s="843"/>
      <c r="AZ1053" s="842"/>
      <c r="BA1053" s="842" t="s">
        <v>120</v>
      </c>
      <c r="BB1053" s="863" t="s">
        <v>121</v>
      </c>
      <c r="BC1053" s="881">
        <v>45719</v>
      </c>
      <c r="BD1053" s="860" t="s">
        <v>3629</v>
      </c>
      <c r="BE1053" s="865" cm="1">
        <f t="array" ref="BE1053">IF(BD1053="","",AC1053/SUMPRODUCT(--(BD1053=$BD$4:$BD$12824),$AC$4:$AC$12824))</f>
        <v>4.2075018096409938E-3</v>
      </c>
      <c r="BF1053" s="458"/>
      <c r="BG1053" s="458"/>
      <c r="BH1053" s="458"/>
      <c r="BI1053" s="458"/>
      <c r="BJ1053" s="458"/>
      <c r="BK1053" s="458"/>
      <c r="BL1053" s="458"/>
      <c r="BM1053" s="458"/>
      <c r="BN1053" s="458"/>
      <c r="BO1053" s="866">
        <f>VLOOKUP(BD1053,$BD$4:$BN$12824,3,0)*BE1053</f>
        <v>0</v>
      </c>
      <c r="BP1053" s="866"/>
      <c r="BQ1053" s="866"/>
      <c r="BR1053" s="866">
        <f>VLOOKUP(BD1053,$BD$4:$BN$12824,6,0)*BE1053</f>
        <v>62801.580294210413</v>
      </c>
      <c r="BS1053" s="866">
        <f>VLOOKUP(BD1053,$BD$4:$BN$12824,7,0)*BE1053</f>
        <v>0</v>
      </c>
      <c r="BT1053" s="866"/>
      <c r="BU1053" s="866">
        <f>VLOOKUP(BD1053,$BD$4:$BN$12824,9,0)*BE1053</f>
        <v>1051.8754524102485</v>
      </c>
      <c r="BV1053" s="867"/>
      <c r="BW1053" s="867">
        <f>VLOOKUP(BD1053,$BD$4:$BN$12824,11,0)*BE1053</f>
        <v>10098.004343138386</v>
      </c>
      <c r="BX1053" s="1146">
        <f t="shared" si="192"/>
        <v>73951.460089759043</v>
      </c>
      <c r="BY1053" s="867">
        <f t="shared" si="193"/>
        <v>807615.73004487948</v>
      </c>
      <c r="BZ1053" s="867">
        <f t="shared" si="194"/>
        <v>1615231.460089759</v>
      </c>
      <c r="CA1053" s="867">
        <f>_xlfn.MAXIFS($BY$4:$BY$12824,$S$4:$S$12824,$S1053)</f>
        <v>807615.73004487948</v>
      </c>
      <c r="CB1053" s="1032"/>
      <c r="CF1053" s="946">
        <f t="shared" si="200"/>
        <v>1541280</v>
      </c>
    </row>
    <row r="1054" spans="1:84">
      <c r="A1054" s="1032"/>
      <c r="B1054" s="839" t="s">
        <v>98</v>
      </c>
      <c r="C1054" s="839" t="s">
        <v>131</v>
      </c>
      <c r="D1054" s="839" t="s">
        <v>2351</v>
      </c>
      <c r="E1054" s="839" t="s">
        <v>2351</v>
      </c>
      <c r="F1054" s="841">
        <v>45680</v>
      </c>
      <c r="G1054" s="868" t="s">
        <v>149</v>
      </c>
      <c r="H1054" s="842" t="s">
        <v>102</v>
      </c>
      <c r="I1054" s="842"/>
      <c r="J1054" s="841"/>
      <c r="K1054" s="841"/>
      <c r="L1054" s="843" t="s">
        <v>106</v>
      </c>
      <c r="M1054" s="844" t="s">
        <v>417</v>
      </c>
      <c r="N1054" s="841"/>
      <c r="O1054" s="841" t="s">
        <v>108</v>
      </c>
      <c r="P1054" s="841" t="s">
        <v>160</v>
      </c>
      <c r="Q1054" s="843"/>
      <c r="R1054" s="845" t="s">
        <v>3721</v>
      </c>
      <c r="S1054" s="1127" t="s">
        <v>3722</v>
      </c>
      <c r="T1054" s="843" t="s">
        <v>3723</v>
      </c>
      <c r="U1054" s="842">
        <v>1</v>
      </c>
      <c r="V1054" s="842" t="s">
        <v>8</v>
      </c>
      <c r="W1054" s="846">
        <v>229</v>
      </c>
      <c r="X1054" s="847">
        <f t="shared" si="195"/>
        <v>229</v>
      </c>
      <c r="Y1054" s="848">
        <f t="shared" si="201"/>
        <v>0.55000000000000004</v>
      </c>
      <c r="Z1054" s="849">
        <v>103.05</v>
      </c>
      <c r="AA1054" s="849"/>
      <c r="AB1054" s="849">
        <f t="shared" si="196"/>
        <v>103.05</v>
      </c>
      <c r="AC1054" s="850">
        <f t="shared" si="197"/>
        <v>103.05</v>
      </c>
      <c r="AD1054" s="851"/>
      <c r="AE1054" s="852">
        <v>25350</v>
      </c>
      <c r="AF1054" s="853">
        <v>0</v>
      </c>
      <c r="AG1054" s="854">
        <f t="shared" si="198"/>
        <v>0</v>
      </c>
      <c r="AH1054" s="853">
        <v>0.1</v>
      </c>
      <c r="AI1054" s="855">
        <f t="shared" si="199"/>
        <v>261231.75</v>
      </c>
      <c r="AJ1054" s="845" t="s">
        <v>3624</v>
      </c>
      <c r="AK1054" s="857">
        <v>45932</v>
      </c>
      <c r="AL1054" s="840" t="s">
        <v>3625</v>
      </c>
      <c r="AM1054" s="840"/>
      <c r="AN1054" s="858"/>
      <c r="AO1054" s="844" t="s">
        <v>3626</v>
      </c>
      <c r="AP1054" s="859"/>
      <c r="AQ1054" s="859" t="s">
        <v>3604</v>
      </c>
      <c r="AR1054" s="859" t="s">
        <v>3627</v>
      </c>
      <c r="AS1054" s="840"/>
      <c r="AT1054" s="840"/>
      <c r="AU1054" s="860" t="s">
        <v>1311</v>
      </c>
      <c r="AV1054" s="839" t="s">
        <v>3628</v>
      </c>
      <c r="AW1054" s="861">
        <v>45715</v>
      </c>
      <c r="AX1054" s="862">
        <v>45719</v>
      </c>
      <c r="AY1054" s="843"/>
      <c r="AZ1054" s="842"/>
      <c r="BA1054" s="842" t="s">
        <v>120</v>
      </c>
      <c r="BB1054" s="863" t="s">
        <v>121</v>
      </c>
      <c r="BC1054" s="881">
        <v>45719</v>
      </c>
      <c r="BD1054" s="860" t="s">
        <v>3629</v>
      </c>
      <c r="BE1054" s="865" cm="1">
        <f t="array" ref="BE1054">IF(BD1054="","",AC1054/SUMPRODUCT(--(BD1054=$BD$4:$BD$12824),$AC$4:$AC$12824))</f>
        <v>7.1313003533471121E-3</v>
      </c>
      <c r="BF1054" s="458"/>
      <c r="BG1054" s="458"/>
      <c r="BH1054" s="458"/>
      <c r="BI1054" s="458"/>
      <c r="BJ1054" s="458"/>
      <c r="BK1054" s="458"/>
      <c r="BL1054" s="458"/>
      <c r="BM1054" s="458"/>
      <c r="BN1054" s="458"/>
      <c r="BO1054" s="866">
        <f>VLOOKUP(BD1054,$BD$4:$BN$12824,3,0)*BE1054</f>
        <v>0</v>
      </c>
      <c r="BP1054" s="866"/>
      <c r="BQ1054" s="866"/>
      <c r="BR1054" s="866">
        <f>VLOOKUP(BD1054,$BD$4:$BN$12824,6,0)*BE1054</f>
        <v>106442.48107431551</v>
      </c>
      <c r="BS1054" s="866">
        <f>VLOOKUP(BD1054,$BD$4:$BN$12824,7,0)*BE1054</f>
        <v>0</v>
      </c>
      <c r="BT1054" s="866"/>
      <c r="BU1054" s="866">
        <f>VLOOKUP(BD1054,$BD$4:$BN$12824,9,0)*BE1054</f>
        <v>1782.825088336778</v>
      </c>
      <c r="BV1054" s="867"/>
      <c r="BW1054" s="867">
        <f>VLOOKUP(BD1054,$BD$4:$BN$12824,11,0)*BE1054</f>
        <v>17115.120848033068</v>
      </c>
      <c r="BX1054" s="1146">
        <f t="shared" si="192"/>
        <v>125340.42701068535</v>
      </c>
      <c r="BY1054" s="867">
        <f t="shared" si="193"/>
        <v>2737657.9270106852</v>
      </c>
      <c r="BZ1054" s="867">
        <f t="shared" si="194"/>
        <v>2737657.9270106852</v>
      </c>
      <c r="CA1054" s="867">
        <f>_xlfn.MAXIFS($BY$4:$BY$12824,$S$4:$S$12824,$S1054)</f>
        <v>2737657.9270106852</v>
      </c>
      <c r="CB1054" s="1032"/>
      <c r="CF1054" s="946">
        <f t="shared" si="200"/>
        <v>2612317.5</v>
      </c>
    </row>
    <row r="1055" spans="1:84">
      <c r="A1055" s="1032"/>
      <c r="B1055" s="839" t="s">
        <v>98</v>
      </c>
      <c r="C1055" s="839" t="s">
        <v>131</v>
      </c>
      <c r="D1055" s="839" t="s">
        <v>2351</v>
      </c>
      <c r="E1055" s="839" t="s">
        <v>2351</v>
      </c>
      <c r="F1055" s="841">
        <v>45680</v>
      </c>
      <c r="G1055" s="840" t="s">
        <v>155</v>
      </c>
      <c r="H1055" s="842" t="s">
        <v>102</v>
      </c>
      <c r="I1055" s="842" t="s">
        <v>3724</v>
      </c>
      <c r="J1055" s="841" t="s">
        <v>3725</v>
      </c>
      <c r="K1055" s="841">
        <v>45751</v>
      </c>
      <c r="L1055" s="843" t="s">
        <v>106</v>
      </c>
      <c r="M1055" s="844" t="s">
        <v>417</v>
      </c>
      <c r="N1055" s="841"/>
      <c r="O1055" s="841" t="s">
        <v>108</v>
      </c>
      <c r="P1055" s="841" t="s">
        <v>160</v>
      </c>
      <c r="Q1055" s="843"/>
      <c r="R1055" s="845" t="s">
        <v>3726</v>
      </c>
      <c r="S1055" s="1127" t="s">
        <v>1517</v>
      </c>
      <c r="T1055" s="843" t="s">
        <v>3727</v>
      </c>
      <c r="U1055" s="842">
        <v>1</v>
      </c>
      <c r="V1055" s="842" t="s">
        <v>8</v>
      </c>
      <c r="W1055" s="846">
        <v>488</v>
      </c>
      <c r="X1055" s="847">
        <f t="shared" si="195"/>
        <v>488</v>
      </c>
      <c r="Y1055" s="848">
        <f t="shared" si="201"/>
        <v>0.45000000000000007</v>
      </c>
      <c r="Z1055" s="849">
        <v>268.39999999999998</v>
      </c>
      <c r="AA1055" s="849"/>
      <c r="AB1055" s="849">
        <f t="shared" si="196"/>
        <v>268.39999999999998</v>
      </c>
      <c r="AC1055" s="850">
        <f t="shared" si="197"/>
        <v>268.39999999999998</v>
      </c>
      <c r="AD1055" s="851"/>
      <c r="AE1055" s="852">
        <v>25350</v>
      </c>
      <c r="AF1055" s="853">
        <v>0</v>
      </c>
      <c r="AG1055" s="854">
        <f t="shared" si="198"/>
        <v>0</v>
      </c>
      <c r="AH1055" s="853">
        <v>0.1</v>
      </c>
      <c r="AI1055" s="855">
        <f t="shared" si="199"/>
        <v>680394</v>
      </c>
      <c r="AJ1055" s="845" t="s">
        <v>3624</v>
      </c>
      <c r="AK1055" s="857">
        <v>45932</v>
      </c>
      <c r="AL1055" s="840" t="s">
        <v>3625</v>
      </c>
      <c r="AM1055" s="840"/>
      <c r="AN1055" s="858"/>
      <c r="AO1055" s="844" t="s">
        <v>3626</v>
      </c>
      <c r="AP1055" s="859"/>
      <c r="AQ1055" s="859" t="s">
        <v>3604</v>
      </c>
      <c r="AR1055" s="859" t="s">
        <v>3627</v>
      </c>
      <c r="AS1055" s="840"/>
      <c r="AT1055" s="840"/>
      <c r="AU1055" s="860" t="s">
        <v>1311</v>
      </c>
      <c r="AV1055" s="839" t="s">
        <v>3628</v>
      </c>
      <c r="AW1055" s="861">
        <v>45715</v>
      </c>
      <c r="AX1055" s="862">
        <v>45719</v>
      </c>
      <c r="AY1055" s="843"/>
      <c r="AZ1055" s="842"/>
      <c r="BA1055" s="842" t="s">
        <v>120</v>
      </c>
      <c r="BB1055" s="863" t="s">
        <v>121</v>
      </c>
      <c r="BC1055" s="881">
        <v>45719</v>
      </c>
      <c r="BD1055" s="860" t="s">
        <v>3629</v>
      </c>
      <c r="BE1055" s="865" cm="1">
        <f t="array" ref="BE1055">IF(BD1055="","",AC1055/SUMPRODUCT(--(BD1055=$BD$4:$BD$12824),$AC$4:$AC$12824))</f>
        <v>1.8573906014928334E-2</v>
      </c>
      <c r="BF1055" s="458"/>
      <c r="BG1055" s="458"/>
      <c r="BH1055" s="458"/>
      <c r="BI1055" s="458"/>
      <c r="BJ1055" s="458"/>
      <c r="BK1055" s="458"/>
      <c r="BL1055" s="458"/>
      <c r="BM1055" s="458"/>
      <c r="BN1055" s="458"/>
      <c r="BO1055" s="866">
        <f>VLOOKUP(BD1055,$BD$4:$BN$12824,3,0)*BE1055</f>
        <v>0</v>
      </c>
      <c r="BP1055" s="866"/>
      <c r="BQ1055" s="866"/>
      <c r="BR1055" s="866">
        <f>VLOOKUP(BD1055,$BD$4:$BN$12824,6,0)*BE1055</f>
        <v>277235.92353562621</v>
      </c>
      <c r="BS1055" s="866">
        <f>VLOOKUP(BD1055,$BD$4:$BN$12824,7,0)*BE1055</f>
        <v>0</v>
      </c>
      <c r="BT1055" s="866"/>
      <c r="BU1055" s="866">
        <f>VLOOKUP(BD1055,$BD$4:$BN$12824,9,0)*BE1055</f>
        <v>4643.4765037320831</v>
      </c>
      <c r="BV1055" s="867"/>
      <c r="BW1055" s="867">
        <f>VLOOKUP(BD1055,$BD$4:$BN$12824,11,0)*BE1055</f>
        <v>44577.374435828002</v>
      </c>
      <c r="BX1055" s="1146">
        <f t="shared" si="192"/>
        <v>326456.77447518631</v>
      </c>
      <c r="BY1055" s="867">
        <f t="shared" si="193"/>
        <v>7130396.7744751852</v>
      </c>
      <c r="BZ1055" s="867">
        <f t="shared" si="194"/>
        <v>7130396.7744751852</v>
      </c>
      <c r="CA1055" s="867">
        <f>_xlfn.MAXIFS($BY$4:$BY$12824,$S$4:$S$12824,$S1055)</f>
        <v>7190570.6558119534</v>
      </c>
      <c r="CB1055" s="1032"/>
      <c r="CF1055" s="946">
        <f t="shared" si="200"/>
        <v>6803939.9999999991</v>
      </c>
    </row>
    <row r="1056" spans="1:84">
      <c r="A1056" s="1032"/>
      <c r="B1056" s="839" t="s">
        <v>98</v>
      </c>
      <c r="C1056" s="839" t="s">
        <v>381</v>
      </c>
      <c r="D1056" s="839" t="s">
        <v>3728</v>
      </c>
      <c r="E1056" s="839" t="s">
        <v>3729</v>
      </c>
      <c r="F1056" s="841">
        <v>45680</v>
      </c>
      <c r="G1056" s="840" t="s">
        <v>383</v>
      </c>
      <c r="H1056" s="842" t="s">
        <v>102</v>
      </c>
      <c r="I1056" s="842" t="s">
        <v>3730</v>
      </c>
      <c r="J1056" s="841" t="s">
        <v>3731</v>
      </c>
      <c r="K1056" s="841" t="s">
        <v>3732</v>
      </c>
      <c r="L1056" s="843" t="s">
        <v>106</v>
      </c>
      <c r="M1056" s="844" t="s">
        <v>107</v>
      </c>
      <c r="N1056" s="841"/>
      <c r="O1056" s="861" t="s">
        <v>150</v>
      </c>
      <c r="P1056" s="841" t="s">
        <v>384</v>
      </c>
      <c r="Q1056" s="843"/>
      <c r="R1056" s="845" t="s">
        <v>3733</v>
      </c>
      <c r="S1056" s="1127" t="s">
        <v>3734</v>
      </c>
      <c r="T1056" s="843" t="s">
        <v>3735</v>
      </c>
      <c r="U1056" s="842">
        <v>1</v>
      </c>
      <c r="V1056" s="842" t="s">
        <v>3</v>
      </c>
      <c r="W1056" s="846">
        <v>6049</v>
      </c>
      <c r="X1056" s="847">
        <f t="shared" si="195"/>
        <v>6049</v>
      </c>
      <c r="Y1056" s="848">
        <f t="shared" si="201"/>
        <v>0.45</v>
      </c>
      <c r="Z1056" s="849">
        <v>3326.95</v>
      </c>
      <c r="AA1056" s="849"/>
      <c r="AB1056" s="849">
        <f t="shared" si="196"/>
        <v>3326.95</v>
      </c>
      <c r="AC1056" s="850">
        <f t="shared" si="197"/>
        <v>3326.95</v>
      </c>
      <c r="AD1056" s="851"/>
      <c r="AE1056" s="852">
        <v>26346.82</v>
      </c>
      <c r="AF1056" s="853">
        <v>0</v>
      </c>
      <c r="AG1056" s="854">
        <f t="shared" si="198"/>
        <v>0</v>
      </c>
      <c r="AH1056" s="853">
        <v>0.08</v>
      </c>
      <c r="AI1056" s="855">
        <f t="shared" si="199"/>
        <v>7672192.5439200001</v>
      </c>
      <c r="AJ1056" s="845" t="s">
        <v>3736</v>
      </c>
      <c r="AK1056" s="857" t="s">
        <v>3377</v>
      </c>
      <c r="AL1056" s="840" t="s">
        <v>3737</v>
      </c>
      <c r="AM1056" s="840"/>
      <c r="AN1056" s="858"/>
      <c r="AO1056" s="844" t="s">
        <v>141</v>
      </c>
      <c r="AP1056" s="859"/>
      <c r="AQ1056" s="859">
        <v>45901</v>
      </c>
      <c r="AR1056" s="859">
        <v>45780</v>
      </c>
      <c r="AS1056" s="840"/>
      <c r="AT1056" s="840"/>
      <c r="AU1056" s="860" t="s">
        <v>1849</v>
      </c>
      <c r="AV1056" s="839" t="s">
        <v>3738</v>
      </c>
      <c r="AW1056" s="861">
        <v>45780</v>
      </c>
      <c r="AX1056" s="862">
        <v>45811</v>
      </c>
      <c r="AY1056" s="843"/>
      <c r="AZ1056" s="842"/>
      <c r="BA1056" s="842" t="s">
        <v>120</v>
      </c>
      <c r="BB1056" s="863" t="s">
        <v>121</v>
      </c>
      <c r="BC1056" s="864">
        <v>45722</v>
      </c>
      <c r="BD1056" s="860" t="s">
        <v>3739</v>
      </c>
      <c r="BE1056" s="865" cm="1">
        <f t="array" ref="BE1056">IF(BD1056="","",AC1056/SUMPRODUCT(--(BD1056=$BD$4:$BD$12824),$AC$4:$AC$12824))</f>
        <v>0.92351145038167937</v>
      </c>
      <c r="BF1056" s="458">
        <v>8247854</v>
      </c>
      <c r="BG1056" s="458"/>
      <c r="BH1056" s="458"/>
      <c r="BI1056" s="458"/>
      <c r="BJ1056" s="458"/>
      <c r="BK1056" s="458"/>
      <c r="BL1056" s="458"/>
      <c r="BM1056" s="458"/>
      <c r="BN1056" s="458">
        <v>670505</v>
      </c>
      <c r="BO1056" s="866">
        <f>VLOOKUP(BD1056,$BD$4:$BN$12824,3,0)*BE1056</f>
        <v>7616987.6100763353</v>
      </c>
      <c r="BP1056" s="866"/>
      <c r="BQ1056" s="866"/>
      <c r="BR1056" s="866">
        <f>VLOOKUP(BD1056,$BD$4:$BN$12824,6,0)*BE1056</f>
        <v>0</v>
      </c>
      <c r="BS1056" s="866">
        <f>VLOOKUP(BD1056,$BD$4:$BN$12824,7,0)*BE1056</f>
        <v>0</v>
      </c>
      <c r="BT1056" s="866"/>
      <c r="BU1056" s="866">
        <f>VLOOKUP(BD1056,$BD$4:$BN$12824,9,0)*BE1056</f>
        <v>0</v>
      </c>
      <c r="BV1056" s="867"/>
      <c r="BW1056" s="867">
        <f>VLOOKUP(BD1056,$BD$4:$BN$12824,11,0)*BE1056</f>
        <v>619219.04503816797</v>
      </c>
      <c r="BX1056" s="1146">
        <f t="shared" ref="BX1056:BX1057" si="202">SUM(BO1056:BW1056)</f>
        <v>8236206.6551145036</v>
      </c>
      <c r="BY1056" s="867">
        <f t="shared" ref="BY1056:BY1093" si="203">(AB1056*AE1056+AG1056+BX1056)/U1056</f>
        <v>95890759.454114497</v>
      </c>
      <c r="BZ1056" s="867">
        <f t="shared" ref="BZ1056:BZ1089" si="204">BY1056*U1056</f>
        <v>95890759.454114497</v>
      </c>
      <c r="CA1056" s="867">
        <f>_xlfn.MAXIFS($BY$4:$BY$12824,$S$4:$S$12824,$S1056)</f>
        <v>95890759.454114497</v>
      </c>
      <c r="CB1056" s="1032"/>
      <c r="CF1056" s="946">
        <f t="shared" si="200"/>
        <v>87654552.798999995</v>
      </c>
    </row>
    <row r="1057" spans="1:84">
      <c r="A1057" s="1032"/>
      <c r="B1057" s="839" t="s">
        <v>98</v>
      </c>
      <c r="C1057" s="839" t="s">
        <v>381</v>
      </c>
      <c r="D1057" s="839" t="s">
        <v>3728</v>
      </c>
      <c r="E1057" s="839" t="s">
        <v>3729</v>
      </c>
      <c r="F1057" s="841">
        <v>45680</v>
      </c>
      <c r="G1057" s="840" t="s">
        <v>383</v>
      </c>
      <c r="H1057" s="842" t="s">
        <v>102</v>
      </c>
      <c r="I1057" s="842" t="s">
        <v>3730</v>
      </c>
      <c r="J1057" s="841" t="s">
        <v>3731</v>
      </c>
      <c r="K1057" s="841" t="s">
        <v>3732</v>
      </c>
      <c r="L1057" s="843" t="s">
        <v>106</v>
      </c>
      <c r="M1057" s="844" t="s">
        <v>107</v>
      </c>
      <c r="N1057" s="841"/>
      <c r="O1057" s="861" t="s">
        <v>135</v>
      </c>
      <c r="P1057" s="841" t="s">
        <v>136</v>
      </c>
      <c r="Q1057" s="843"/>
      <c r="R1057" s="845" t="s">
        <v>412</v>
      </c>
      <c r="S1057" s="1127" t="s">
        <v>413</v>
      </c>
      <c r="T1057" s="843" t="s">
        <v>3740</v>
      </c>
      <c r="U1057" s="842">
        <v>3</v>
      </c>
      <c r="V1057" s="842" t="s">
        <v>3</v>
      </c>
      <c r="W1057" s="846">
        <v>167</v>
      </c>
      <c r="X1057" s="847">
        <f t="shared" si="195"/>
        <v>501</v>
      </c>
      <c r="Y1057" s="848">
        <f t="shared" si="201"/>
        <v>0.45</v>
      </c>
      <c r="Z1057" s="849">
        <v>91.85</v>
      </c>
      <c r="AA1057" s="849"/>
      <c r="AB1057" s="849">
        <f t="shared" si="196"/>
        <v>275.54999999999995</v>
      </c>
      <c r="AC1057" s="850">
        <f t="shared" si="197"/>
        <v>275.54999999999995</v>
      </c>
      <c r="AD1057" s="851"/>
      <c r="AE1057" s="852">
        <v>26346.82</v>
      </c>
      <c r="AF1057" s="853">
        <v>0</v>
      </c>
      <c r="AG1057" s="854">
        <f t="shared" si="198"/>
        <v>0</v>
      </c>
      <c r="AH1057" s="853">
        <v>0.08</v>
      </c>
      <c r="AI1057" s="855">
        <f t="shared" si="199"/>
        <v>580789.30007999984</v>
      </c>
      <c r="AJ1057" s="845" t="s">
        <v>3736</v>
      </c>
      <c r="AK1057" s="857" t="s">
        <v>3377</v>
      </c>
      <c r="AL1057" s="840" t="s">
        <v>3737</v>
      </c>
      <c r="AM1057" s="840"/>
      <c r="AN1057" s="858"/>
      <c r="AO1057" s="844" t="s">
        <v>141</v>
      </c>
      <c r="AP1057" s="859"/>
      <c r="AQ1057" s="859">
        <v>45901</v>
      </c>
      <c r="AR1057" s="859">
        <v>45780</v>
      </c>
      <c r="AS1057" s="840"/>
      <c r="AT1057" s="840"/>
      <c r="AU1057" s="860" t="s">
        <v>1849</v>
      </c>
      <c r="AV1057" s="839" t="s">
        <v>3738</v>
      </c>
      <c r="AW1057" s="861">
        <v>45780</v>
      </c>
      <c r="AX1057" s="862">
        <v>45811</v>
      </c>
      <c r="AY1057" s="843"/>
      <c r="AZ1057" s="842"/>
      <c r="BA1057" s="842" t="s">
        <v>120</v>
      </c>
      <c r="BB1057" s="863" t="s">
        <v>121</v>
      </c>
      <c r="BC1057" s="864">
        <v>45722</v>
      </c>
      <c r="BD1057" s="860" t="s">
        <v>3739</v>
      </c>
      <c r="BE1057" s="865" cm="1">
        <f t="array" ref="BE1057">IF(BD1057="","",AC1057/SUMPRODUCT(--(BD1057=$BD$4:$BD$12824),$AC$4:$AC$12824))</f>
        <v>7.6488549618320592E-2</v>
      </c>
      <c r="BF1057" s="458"/>
      <c r="BG1057" s="458"/>
      <c r="BH1057" s="458"/>
      <c r="BI1057" s="458"/>
      <c r="BJ1057" s="458"/>
      <c r="BK1057" s="458"/>
      <c r="BL1057" s="458"/>
      <c r="BM1057" s="458"/>
      <c r="BN1057" s="458"/>
      <c r="BO1057" s="866">
        <f>VLOOKUP(BD1057,$BD$4:$BN$12824,3,0)*BE1057</f>
        <v>630866.38992366393</v>
      </c>
      <c r="BP1057" s="866"/>
      <c r="BQ1057" s="866"/>
      <c r="BR1057" s="866">
        <f>VLOOKUP(BD1057,$BD$4:$BN$12824,6,0)*BE1057</f>
        <v>0</v>
      </c>
      <c r="BS1057" s="866">
        <f>VLOOKUP(BD1057,$BD$4:$BN$12824,7,0)*BE1057</f>
        <v>0</v>
      </c>
      <c r="BT1057" s="866"/>
      <c r="BU1057" s="866">
        <f>VLOOKUP(BD1057,$BD$4:$BN$12824,9,0)*BE1057</f>
        <v>0</v>
      </c>
      <c r="BV1057" s="867"/>
      <c r="BW1057" s="867">
        <f>VLOOKUP(BD1057,$BD$4:$BN$12824,11,0)*BE1057</f>
        <v>51285.954961832045</v>
      </c>
      <c r="BX1057" s="1146">
        <f t="shared" si="202"/>
        <v>682152.34488549596</v>
      </c>
      <c r="BY1057" s="867">
        <f t="shared" si="203"/>
        <v>2647339.5319618317</v>
      </c>
      <c r="BZ1057" s="867">
        <f t="shared" si="204"/>
        <v>7942018.5958854947</v>
      </c>
      <c r="CA1057" s="867">
        <f>_xlfn.MAXIFS($BY$4:$BY$12824,$S$4:$S$12824,$S1057)</f>
        <v>2647339.5319618317</v>
      </c>
      <c r="CB1057" s="1032"/>
      <c r="CF1057" s="946">
        <f t="shared" si="200"/>
        <v>7259866.2509999983</v>
      </c>
    </row>
    <row r="1058" spans="1:84">
      <c r="A1058" s="1032"/>
      <c r="B1058" s="839" t="s">
        <v>98</v>
      </c>
      <c r="C1058" s="839" t="s">
        <v>273</v>
      </c>
      <c r="D1058" s="839" t="s">
        <v>3741</v>
      </c>
      <c r="E1058" s="839" t="s">
        <v>3742</v>
      </c>
      <c r="F1058" s="841">
        <v>45680</v>
      </c>
      <c r="G1058" s="840" t="s">
        <v>273</v>
      </c>
      <c r="H1058" s="842" t="s">
        <v>102</v>
      </c>
      <c r="I1058" s="842" t="s">
        <v>3743</v>
      </c>
      <c r="J1058" s="841" t="s">
        <v>2556</v>
      </c>
      <c r="K1058" s="841" t="s">
        <v>3744</v>
      </c>
      <c r="L1058" s="843" t="s">
        <v>106</v>
      </c>
      <c r="M1058" s="844" t="s">
        <v>275</v>
      </c>
      <c r="N1058" s="841"/>
      <c r="O1058" s="841" t="s">
        <v>150</v>
      </c>
      <c r="P1058" s="841" t="s">
        <v>276</v>
      </c>
      <c r="Q1058" s="843"/>
      <c r="R1058" s="845">
        <v>11207.36</v>
      </c>
      <c r="S1058" s="1127" t="s">
        <v>3745</v>
      </c>
      <c r="T1058" s="843" t="s">
        <v>3746</v>
      </c>
      <c r="U1058" s="842">
        <v>3</v>
      </c>
      <c r="V1058" s="842" t="s">
        <v>3</v>
      </c>
      <c r="W1058" s="846">
        <v>41.767441860465112</v>
      </c>
      <c r="X1058" s="847">
        <f t="shared" si="195"/>
        <v>125.30232558139534</v>
      </c>
      <c r="Y1058" s="848">
        <v>0.56999999999999995</v>
      </c>
      <c r="Z1058" s="849">
        <v>17.96</v>
      </c>
      <c r="AA1058" s="849"/>
      <c r="AB1058" s="849">
        <f t="shared" si="196"/>
        <v>53.88</v>
      </c>
      <c r="AC1058" s="850">
        <f t="shared" si="197"/>
        <v>53.88</v>
      </c>
      <c r="AD1058" s="851"/>
      <c r="AE1058" s="852">
        <v>27126.98</v>
      </c>
      <c r="AF1058" s="853">
        <v>0.1</v>
      </c>
      <c r="AG1058" s="854">
        <f t="shared" si="198"/>
        <v>227881.46711168723</v>
      </c>
      <c r="AH1058" s="853">
        <v>0.08</v>
      </c>
      <c r="AI1058" s="855">
        <f t="shared" si="199"/>
        <v>875030.65196093498</v>
      </c>
      <c r="AJ1058" s="845" t="s">
        <v>3747</v>
      </c>
      <c r="AK1058" s="857">
        <v>45719</v>
      </c>
      <c r="AL1058" s="840" t="s">
        <v>3748</v>
      </c>
      <c r="AM1058" s="840"/>
      <c r="AN1058" s="858"/>
      <c r="AO1058" s="844" t="s">
        <v>116</v>
      </c>
      <c r="AP1058" s="859"/>
      <c r="AQ1058" s="859">
        <v>45780</v>
      </c>
      <c r="AR1058" s="859">
        <v>45903</v>
      </c>
      <c r="AS1058" s="840"/>
      <c r="AT1058" s="840"/>
      <c r="AU1058" s="860" t="s">
        <v>3749</v>
      </c>
      <c r="AV1058" s="839" t="s">
        <v>3750</v>
      </c>
      <c r="AW1058" s="861">
        <v>45933</v>
      </c>
      <c r="AX1058" s="862" t="s">
        <v>3751</v>
      </c>
      <c r="AY1058" s="843"/>
      <c r="AZ1058" s="842"/>
      <c r="BA1058" s="842" t="s">
        <v>120</v>
      </c>
      <c r="BB1058" s="863" t="s">
        <v>121</v>
      </c>
      <c r="BC1058" s="864">
        <v>45729</v>
      </c>
      <c r="BD1058" s="860" t="s">
        <v>3752</v>
      </c>
      <c r="BE1058" s="865" cm="1">
        <f t="array" ref="BE1058">IF(BD1058="","",AC1058/SUMPRODUCT(--(BD1058=$BD$4:$BD$12824),$AC$4:$AC$12824))</f>
        <v>8.8362634479139321E-2</v>
      </c>
      <c r="BF1058" s="458">
        <v>9248400</v>
      </c>
      <c r="BG1058" s="458"/>
      <c r="BH1058" s="458"/>
      <c r="BI1058" s="458">
        <f>162000/1.08+1021023/1.08</f>
        <v>1095391.6666666665</v>
      </c>
      <c r="BJ1058" s="458"/>
      <c r="BK1058" s="458"/>
      <c r="BL1058" s="458"/>
      <c r="BM1058" s="458"/>
      <c r="BN1058" s="458"/>
      <c r="BO1058" s="866">
        <f>VLOOKUP(BD1058,$BD$4:$BN$12824,3,0)*BE1058</f>
        <v>817212.98871687206</v>
      </c>
      <c r="BP1058" s="866"/>
      <c r="BQ1058" s="866"/>
      <c r="BR1058" s="866">
        <f>VLOOKUP(BD1058,$BD$4:$BN$12824,6,0)*BE1058</f>
        <v>96791.693453161875</v>
      </c>
      <c r="BS1058" s="866">
        <f>VLOOKUP(BD1058,$BD$4:$BN$12824,7,0)*BE1058</f>
        <v>0</v>
      </c>
      <c r="BT1058" s="866"/>
      <c r="BU1058" s="866">
        <f>VLOOKUP(BD1058,$BD$4:$BN$12824,9,0)*BE1058</f>
        <v>0</v>
      </c>
      <c r="BV1058" s="867"/>
      <c r="BW1058" s="867">
        <f>VLOOKUP(BD1058,$BD$4:$BN$12824,11,0)*BE1058</f>
        <v>0</v>
      </c>
      <c r="BX1058" s="1146">
        <f t="shared" ref="BX1058:BX1071" si="205">SUM(BO1058:BW1058)</f>
        <v>914004.68217003392</v>
      </c>
      <c r="BY1058" s="867">
        <f t="shared" si="203"/>
        <v>867829.27722724027</v>
      </c>
      <c r="BZ1058" s="867">
        <f t="shared" si="204"/>
        <v>2603487.8316817209</v>
      </c>
      <c r="CA1058" s="867">
        <f>_xlfn.MAXIFS($BY$4:$BY$12824,$S$4:$S$12824,$S1058)</f>
        <v>867829.27722724027</v>
      </c>
      <c r="CB1058" s="1032"/>
      <c r="CF1058" s="946">
        <f t="shared" si="200"/>
        <v>1461601.6824</v>
      </c>
    </row>
    <row r="1059" spans="1:84">
      <c r="A1059" s="1032"/>
      <c r="B1059" s="839" t="s">
        <v>98</v>
      </c>
      <c r="C1059" s="839" t="s">
        <v>273</v>
      </c>
      <c r="D1059" s="839" t="s">
        <v>3741</v>
      </c>
      <c r="E1059" s="839" t="s">
        <v>3742</v>
      </c>
      <c r="F1059" s="841">
        <v>45680</v>
      </c>
      <c r="G1059" s="840" t="s">
        <v>273</v>
      </c>
      <c r="H1059" s="842" t="s">
        <v>102</v>
      </c>
      <c r="I1059" s="842" t="s">
        <v>3743</v>
      </c>
      <c r="J1059" s="841" t="s">
        <v>2556</v>
      </c>
      <c r="K1059" s="841" t="s">
        <v>3744</v>
      </c>
      <c r="L1059" s="843" t="s">
        <v>106</v>
      </c>
      <c r="M1059" s="844" t="s">
        <v>275</v>
      </c>
      <c r="N1059" s="841"/>
      <c r="O1059" s="841" t="s">
        <v>150</v>
      </c>
      <c r="P1059" s="841" t="s">
        <v>276</v>
      </c>
      <c r="Q1059" s="843"/>
      <c r="R1059" s="845">
        <v>11210.36</v>
      </c>
      <c r="S1059" s="1127" t="s">
        <v>3753</v>
      </c>
      <c r="T1059" s="843" t="s">
        <v>3754</v>
      </c>
      <c r="U1059" s="842">
        <v>2</v>
      </c>
      <c r="V1059" s="842" t="s">
        <v>3</v>
      </c>
      <c r="W1059" s="846">
        <v>29.279069767441857</v>
      </c>
      <c r="X1059" s="847">
        <f t="shared" si="195"/>
        <v>58.558139534883715</v>
      </c>
      <c r="Y1059" s="848">
        <v>0.56999999999999995</v>
      </c>
      <c r="Z1059" s="849">
        <v>12.59</v>
      </c>
      <c r="AA1059" s="849"/>
      <c r="AB1059" s="849">
        <f t="shared" si="196"/>
        <v>25.18</v>
      </c>
      <c r="AC1059" s="850">
        <f t="shared" si="197"/>
        <v>25.18</v>
      </c>
      <c r="AD1059" s="851"/>
      <c r="AE1059" s="852">
        <v>27126.98</v>
      </c>
      <c r="AF1059" s="853">
        <v>0.1</v>
      </c>
      <c r="AG1059" s="854">
        <f t="shared" si="198"/>
        <v>106496.94398426659</v>
      </c>
      <c r="AH1059" s="853">
        <v>0.08</v>
      </c>
      <c r="AI1059" s="855">
        <f t="shared" si="199"/>
        <v>63164.344030741326</v>
      </c>
      <c r="AJ1059" s="845" t="s">
        <v>3747</v>
      </c>
      <c r="AK1059" s="857">
        <v>45719</v>
      </c>
      <c r="AL1059" s="840" t="s">
        <v>3748</v>
      </c>
      <c r="AM1059" s="840"/>
      <c r="AN1059" s="858"/>
      <c r="AO1059" s="844" t="s">
        <v>116</v>
      </c>
      <c r="AP1059" s="859"/>
      <c r="AQ1059" s="859">
        <v>45780</v>
      </c>
      <c r="AR1059" s="859">
        <v>45903</v>
      </c>
      <c r="AS1059" s="840"/>
      <c r="AT1059" s="840"/>
      <c r="AU1059" s="860" t="s">
        <v>3749</v>
      </c>
      <c r="AV1059" s="839" t="s">
        <v>3750</v>
      </c>
      <c r="AW1059" s="861">
        <v>45933</v>
      </c>
      <c r="AX1059" s="862" t="s">
        <v>3751</v>
      </c>
      <c r="AY1059" s="843"/>
      <c r="AZ1059" s="842"/>
      <c r="BA1059" s="842" t="s">
        <v>120</v>
      </c>
      <c r="BB1059" s="863" t="s">
        <v>121</v>
      </c>
      <c r="BC1059" s="864">
        <v>45729</v>
      </c>
      <c r="BD1059" s="860" t="s">
        <v>3752</v>
      </c>
      <c r="BE1059" s="865" cm="1">
        <f t="array" ref="BE1059">IF(BD1059="","",AC1059/SUMPRODUCT(--(BD1059=$BD$4:$BD$12824),$AC$4:$AC$12824))</f>
        <v>4.1294935712411433E-2</v>
      </c>
      <c r="BF1059" s="458"/>
      <c r="BG1059" s="458"/>
      <c r="BH1059" s="458"/>
      <c r="BI1059" s="458"/>
      <c r="BJ1059" s="458"/>
      <c r="BK1059" s="458"/>
      <c r="BL1059" s="458"/>
      <c r="BM1059" s="458"/>
      <c r="BN1059" s="458"/>
      <c r="BO1059" s="866">
        <f>VLOOKUP(BD1059,$BD$4:$BN$12824,3,0)*BE1059</f>
        <v>381912.08344266593</v>
      </c>
      <c r="BP1059" s="866"/>
      <c r="BQ1059" s="866"/>
      <c r="BR1059" s="866">
        <f>VLOOKUP(BD1059,$BD$4:$BN$12824,6,0)*BE1059</f>
        <v>45234.12845491121</v>
      </c>
      <c r="BS1059" s="866">
        <f>VLOOKUP(BD1059,$BD$4:$BN$12824,7,0)*BE1059</f>
        <v>0</v>
      </c>
      <c r="BT1059" s="866"/>
      <c r="BU1059" s="866">
        <f>VLOOKUP(BD1059,$BD$4:$BN$12824,9,0)*BE1059</f>
        <v>0</v>
      </c>
      <c r="BV1059" s="867"/>
      <c r="BW1059" s="867">
        <f>VLOOKUP(BD1059,$BD$4:$BN$12824,11,0)*BE1059</f>
        <v>0</v>
      </c>
      <c r="BX1059" s="1146">
        <f t="shared" si="205"/>
        <v>427146.21189757716</v>
      </c>
      <c r="BY1059" s="867">
        <f t="shared" si="203"/>
        <v>608350.25614092185</v>
      </c>
      <c r="BZ1059" s="867">
        <f t="shared" si="204"/>
        <v>1216700.5122818437</v>
      </c>
      <c r="CA1059" s="867">
        <f>_xlfn.MAXIFS($BY$4:$BY$12824,$S$4:$S$12824,$S1059)</f>
        <v>608350.25614092185</v>
      </c>
      <c r="CB1059" s="1032"/>
      <c r="CF1059" s="946">
        <f t="shared" si="200"/>
        <v>683057.35639999993</v>
      </c>
    </row>
    <row r="1060" spans="1:84">
      <c r="A1060" s="1032"/>
      <c r="B1060" s="839" t="s">
        <v>98</v>
      </c>
      <c r="C1060" s="839" t="s">
        <v>273</v>
      </c>
      <c r="D1060" s="839" t="s">
        <v>3741</v>
      </c>
      <c r="E1060" s="839" t="s">
        <v>3742</v>
      </c>
      <c r="F1060" s="841">
        <v>45680</v>
      </c>
      <c r="G1060" s="840" t="s">
        <v>273</v>
      </c>
      <c r="H1060" s="842" t="s">
        <v>102</v>
      </c>
      <c r="I1060" s="842" t="s">
        <v>3743</v>
      </c>
      <c r="J1060" s="841" t="s">
        <v>2556</v>
      </c>
      <c r="K1060" s="841" t="s">
        <v>3744</v>
      </c>
      <c r="L1060" s="843" t="s">
        <v>106</v>
      </c>
      <c r="M1060" s="844" t="s">
        <v>275</v>
      </c>
      <c r="N1060" s="841"/>
      <c r="O1060" s="841" t="s">
        <v>150</v>
      </c>
      <c r="P1060" s="841" t="s">
        <v>276</v>
      </c>
      <c r="Q1060" s="843"/>
      <c r="R1060" s="845">
        <v>15434</v>
      </c>
      <c r="S1060" s="1127" t="s">
        <v>3755</v>
      </c>
      <c r="T1060" s="843" t="s">
        <v>3756</v>
      </c>
      <c r="U1060" s="842">
        <v>6</v>
      </c>
      <c r="V1060" s="842" t="s">
        <v>3</v>
      </c>
      <c r="W1060" s="846">
        <v>39.13953488372092</v>
      </c>
      <c r="X1060" s="847">
        <f t="shared" si="195"/>
        <v>234.8372093023255</v>
      </c>
      <c r="Y1060" s="848">
        <v>0.56999999999999995</v>
      </c>
      <c r="Z1060" s="849">
        <v>16.829999999999998</v>
      </c>
      <c r="AA1060" s="849"/>
      <c r="AB1060" s="849">
        <f t="shared" si="196"/>
        <v>100.97999999999999</v>
      </c>
      <c r="AC1060" s="850">
        <f t="shared" si="197"/>
        <v>100.97999999999999</v>
      </c>
      <c r="AD1060" s="851"/>
      <c r="AE1060" s="852">
        <v>27126.98</v>
      </c>
      <c r="AF1060" s="853">
        <v>0.1</v>
      </c>
      <c r="AG1060" s="854">
        <f t="shared" si="198"/>
        <v>427087.42666923109</v>
      </c>
      <c r="AH1060" s="853">
        <v>0.08</v>
      </c>
      <c r="AI1060" s="855">
        <f t="shared" si="199"/>
        <v>253309.58936553847</v>
      </c>
      <c r="AJ1060" s="845" t="s">
        <v>3747</v>
      </c>
      <c r="AK1060" s="857">
        <v>45719</v>
      </c>
      <c r="AL1060" s="840" t="s">
        <v>3748</v>
      </c>
      <c r="AM1060" s="840"/>
      <c r="AN1060" s="858"/>
      <c r="AO1060" s="844" t="s">
        <v>116</v>
      </c>
      <c r="AP1060" s="859"/>
      <c r="AQ1060" s="859">
        <v>45780</v>
      </c>
      <c r="AR1060" s="859">
        <v>45903</v>
      </c>
      <c r="AS1060" s="840"/>
      <c r="AT1060" s="840"/>
      <c r="AU1060" s="860" t="s">
        <v>3749</v>
      </c>
      <c r="AV1060" s="839" t="s">
        <v>3750</v>
      </c>
      <c r="AW1060" s="861">
        <v>45933</v>
      </c>
      <c r="AX1060" s="862" t="s">
        <v>3751</v>
      </c>
      <c r="AY1060" s="843"/>
      <c r="AZ1060" s="842"/>
      <c r="BA1060" s="842" t="s">
        <v>120</v>
      </c>
      <c r="BB1060" s="863" t="s">
        <v>121</v>
      </c>
      <c r="BC1060" s="864">
        <v>45729</v>
      </c>
      <c r="BD1060" s="860" t="s">
        <v>3752</v>
      </c>
      <c r="BE1060" s="865" cm="1">
        <f t="array" ref="BE1060">IF(BD1060="","",AC1060/SUMPRODUCT(--(BD1060=$BD$4:$BD$12824),$AC$4:$AC$12824))</f>
        <v>0.16560614012070318</v>
      </c>
      <c r="BF1060" s="458"/>
      <c r="BG1060" s="458"/>
      <c r="BH1060" s="458"/>
      <c r="BI1060" s="458"/>
      <c r="BJ1060" s="458"/>
      <c r="BK1060" s="458"/>
      <c r="BL1060" s="458"/>
      <c r="BM1060" s="458"/>
      <c r="BN1060" s="458"/>
      <c r="BO1060" s="866">
        <f>VLOOKUP(BD1060,$BD$4:$BN$12824,3,0)*BE1060</f>
        <v>1531591.8262923113</v>
      </c>
      <c r="BP1060" s="866"/>
      <c r="BQ1060" s="866"/>
      <c r="BR1060" s="866">
        <f>VLOOKUP(BD1060,$BD$4:$BN$12824,6,0)*BE1060</f>
        <v>181403.58583705057</v>
      </c>
      <c r="BS1060" s="866">
        <f>VLOOKUP(BD1060,$BD$4:$BN$12824,7,0)*BE1060</f>
        <v>0</v>
      </c>
      <c r="BT1060" s="866"/>
      <c r="BU1060" s="866">
        <f>VLOOKUP(BD1060,$BD$4:$BN$12824,9,0)*BE1060</f>
        <v>0</v>
      </c>
      <c r="BV1060" s="867"/>
      <c r="BW1060" s="867">
        <f>VLOOKUP(BD1060,$BD$4:$BN$12824,11,0)*BE1060</f>
        <v>0</v>
      </c>
      <c r="BX1060" s="1146">
        <f t="shared" si="205"/>
        <v>1712995.4121293619</v>
      </c>
      <c r="BY1060" s="867">
        <f t="shared" si="203"/>
        <v>813227.54653309879</v>
      </c>
      <c r="BZ1060" s="867">
        <f t="shared" si="204"/>
        <v>4879365.2791985925</v>
      </c>
      <c r="CA1060" s="867">
        <f>_xlfn.MAXIFS($BY$4:$BY$12824,$S$4:$S$12824,$S1060)</f>
        <v>813227.54653309879</v>
      </c>
      <c r="CB1060" s="1032"/>
      <c r="CF1060" s="946">
        <f t="shared" si="200"/>
        <v>2739282.4403999997</v>
      </c>
    </row>
    <row r="1061" spans="1:84">
      <c r="A1061" s="1032"/>
      <c r="B1061" s="839" t="s">
        <v>98</v>
      </c>
      <c r="C1061" s="839" t="s">
        <v>273</v>
      </c>
      <c r="D1061" s="839" t="s">
        <v>3741</v>
      </c>
      <c r="E1061" s="839" t="s">
        <v>3742</v>
      </c>
      <c r="F1061" s="841">
        <v>45680</v>
      </c>
      <c r="G1061" s="840" t="s">
        <v>273</v>
      </c>
      <c r="H1061" s="842" t="s">
        <v>102</v>
      </c>
      <c r="I1061" s="842" t="s">
        <v>3743</v>
      </c>
      <c r="J1061" s="841" t="s">
        <v>2556</v>
      </c>
      <c r="K1061" s="841" t="s">
        <v>3744</v>
      </c>
      <c r="L1061" s="843" t="s">
        <v>106</v>
      </c>
      <c r="M1061" s="844" t="s">
        <v>275</v>
      </c>
      <c r="N1061" s="841"/>
      <c r="O1061" s="841" t="s">
        <v>150</v>
      </c>
      <c r="P1061" s="841" t="s">
        <v>276</v>
      </c>
      <c r="Q1061" s="843"/>
      <c r="R1061" s="845">
        <v>16171.36</v>
      </c>
      <c r="S1061" s="1127" t="s">
        <v>3757</v>
      </c>
      <c r="T1061" s="843" t="s">
        <v>3758</v>
      </c>
      <c r="U1061" s="842">
        <v>6</v>
      </c>
      <c r="V1061" s="842" t="s">
        <v>3</v>
      </c>
      <c r="W1061" s="846">
        <v>44.744186046511622</v>
      </c>
      <c r="X1061" s="847">
        <f t="shared" si="195"/>
        <v>268.46511627906972</v>
      </c>
      <c r="Y1061" s="848">
        <v>0.56999999999999995</v>
      </c>
      <c r="Z1061" s="849">
        <v>19.239999999999998</v>
      </c>
      <c r="AA1061" s="849"/>
      <c r="AB1061" s="849">
        <f t="shared" si="196"/>
        <v>115.44</v>
      </c>
      <c r="AC1061" s="850">
        <f t="shared" si="197"/>
        <v>115.44</v>
      </c>
      <c r="AD1061" s="851"/>
      <c r="AE1061" s="852">
        <v>27126.98</v>
      </c>
      <c r="AF1061" s="853">
        <v>0.1</v>
      </c>
      <c r="AG1061" s="854">
        <f t="shared" si="198"/>
        <v>488244.92508116498</v>
      </c>
      <c r="AH1061" s="853">
        <v>0.08</v>
      </c>
      <c r="AI1061" s="855">
        <f t="shared" si="199"/>
        <v>289582.67970249319</v>
      </c>
      <c r="AJ1061" s="845" t="s">
        <v>3747</v>
      </c>
      <c r="AK1061" s="857">
        <v>45719</v>
      </c>
      <c r="AL1061" s="840" t="s">
        <v>3748</v>
      </c>
      <c r="AM1061" s="840"/>
      <c r="AN1061" s="858"/>
      <c r="AO1061" s="844" t="s">
        <v>116</v>
      </c>
      <c r="AP1061" s="859"/>
      <c r="AQ1061" s="859">
        <v>45780</v>
      </c>
      <c r="AR1061" s="859">
        <v>45903</v>
      </c>
      <c r="AS1061" s="840"/>
      <c r="AT1061" s="840"/>
      <c r="AU1061" s="860" t="s">
        <v>3749</v>
      </c>
      <c r="AV1061" s="839" t="s">
        <v>3750</v>
      </c>
      <c r="AW1061" s="861">
        <v>45933</v>
      </c>
      <c r="AX1061" s="862" t="s">
        <v>3751</v>
      </c>
      <c r="AY1061" s="843"/>
      <c r="AZ1061" s="842"/>
      <c r="BA1061" s="842" t="s">
        <v>120</v>
      </c>
      <c r="BB1061" s="863" t="s">
        <v>121</v>
      </c>
      <c r="BC1061" s="864">
        <v>45729</v>
      </c>
      <c r="BD1061" s="860" t="s">
        <v>3752</v>
      </c>
      <c r="BE1061" s="865" cm="1">
        <f t="array" ref="BE1061">IF(BD1061="","",AC1061/SUMPRODUCT(--(BD1061=$BD$4:$BD$12824),$AC$4:$AC$12824))</f>
        <v>0.18932038834951453</v>
      </c>
      <c r="BF1061" s="458"/>
      <c r="BG1061" s="458"/>
      <c r="BH1061" s="458"/>
      <c r="BI1061" s="458"/>
      <c r="BJ1061" s="458"/>
      <c r="BK1061" s="458"/>
      <c r="BL1061" s="458"/>
      <c r="BM1061" s="458"/>
      <c r="BN1061" s="458"/>
      <c r="BO1061" s="866">
        <f>VLOOKUP(BD1061,$BD$4:$BN$12824,3,0)*BE1061</f>
        <v>1750910.6796116503</v>
      </c>
      <c r="BP1061" s="866"/>
      <c r="BQ1061" s="866"/>
      <c r="BR1061" s="866">
        <f>VLOOKUP(BD1061,$BD$4:$BN$12824,6,0)*BE1061</f>
        <v>207379.97572815529</v>
      </c>
      <c r="BS1061" s="866">
        <f>VLOOKUP(BD1061,$BD$4:$BN$12824,7,0)*BE1061</f>
        <v>0</v>
      </c>
      <c r="BT1061" s="866"/>
      <c r="BU1061" s="866">
        <f>VLOOKUP(BD1061,$BD$4:$BN$12824,9,0)*BE1061</f>
        <v>0</v>
      </c>
      <c r="BV1061" s="867"/>
      <c r="BW1061" s="867">
        <f>VLOOKUP(BD1061,$BD$4:$BN$12824,11,0)*BE1061</f>
        <v>0</v>
      </c>
      <c r="BX1061" s="1146">
        <f t="shared" si="205"/>
        <v>1958290.6553398056</v>
      </c>
      <c r="BY1061" s="867">
        <f t="shared" si="203"/>
        <v>929679.02527016168</v>
      </c>
      <c r="BZ1061" s="867">
        <f t="shared" si="204"/>
        <v>5578074.1516209701</v>
      </c>
      <c r="CA1061" s="867">
        <f>_xlfn.MAXIFS($BY$4:$BY$12824,$S$4:$S$12824,$S1061)</f>
        <v>929679.02527016168</v>
      </c>
      <c r="CB1061" s="1032"/>
      <c r="CF1061" s="946">
        <f t="shared" si="200"/>
        <v>3131538.5711999997</v>
      </c>
    </row>
    <row r="1062" spans="1:84">
      <c r="A1062" s="1032"/>
      <c r="B1062" s="839" t="s">
        <v>98</v>
      </c>
      <c r="C1062" s="839" t="s">
        <v>273</v>
      </c>
      <c r="D1062" s="839" t="s">
        <v>3741</v>
      </c>
      <c r="E1062" s="839" t="s">
        <v>3742</v>
      </c>
      <c r="F1062" s="841">
        <v>45680</v>
      </c>
      <c r="G1062" s="840" t="s">
        <v>273</v>
      </c>
      <c r="H1062" s="842" t="s">
        <v>102</v>
      </c>
      <c r="I1062" s="842" t="s">
        <v>3743</v>
      </c>
      <c r="J1062" s="841" t="s">
        <v>2556</v>
      </c>
      <c r="K1062" s="841" t="s">
        <v>3744</v>
      </c>
      <c r="L1062" s="843" t="s">
        <v>106</v>
      </c>
      <c r="M1062" s="844" t="s">
        <v>275</v>
      </c>
      <c r="N1062" s="841"/>
      <c r="O1062" s="841" t="s">
        <v>150</v>
      </c>
      <c r="P1062" s="841" t="s">
        <v>276</v>
      </c>
      <c r="Q1062" s="843"/>
      <c r="R1062" s="845">
        <v>16174.36</v>
      </c>
      <c r="S1062" s="1127" t="s">
        <v>3759</v>
      </c>
      <c r="T1062" s="843" t="s">
        <v>3760</v>
      </c>
      <c r="U1062" s="842">
        <v>2</v>
      </c>
      <c r="V1062" s="842" t="s">
        <v>3</v>
      </c>
      <c r="W1062" s="846">
        <v>29.279069767441857</v>
      </c>
      <c r="X1062" s="847">
        <f t="shared" si="195"/>
        <v>58.558139534883715</v>
      </c>
      <c r="Y1062" s="848">
        <v>0.56999999999999995</v>
      </c>
      <c r="Z1062" s="849">
        <v>12.59</v>
      </c>
      <c r="AA1062" s="849"/>
      <c r="AB1062" s="849">
        <f t="shared" si="196"/>
        <v>25.18</v>
      </c>
      <c r="AC1062" s="850">
        <f t="shared" si="197"/>
        <v>25.18</v>
      </c>
      <c r="AD1062" s="851"/>
      <c r="AE1062" s="852">
        <v>27126.98</v>
      </c>
      <c r="AF1062" s="853">
        <v>0.1</v>
      </c>
      <c r="AG1062" s="854">
        <f t="shared" si="198"/>
        <v>106496.94398426659</v>
      </c>
      <c r="AH1062" s="853">
        <v>0.08</v>
      </c>
      <c r="AI1062" s="855">
        <f t="shared" si="199"/>
        <v>63164.344030741326</v>
      </c>
      <c r="AJ1062" s="845" t="s">
        <v>3747</v>
      </c>
      <c r="AK1062" s="857">
        <v>45719</v>
      </c>
      <c r="AL1062" s="840" t="s">
        <v>3748</v>
      </c>
      <c r="AM1062" s="840"/>
      <c r="AN1062" s="858"/>
      <c r="AO1062" s="844" t="s">
        <v>116</v>
      </c>
      <c r="AP1062" s="859"/>
      <c r="AQ1062" s="859">
        <v>45780</v>
      </c>
      <c r="AR1062" s="859">
        <v>45903</v>
      </c>
      <c r="AS1062" s="840"/>
      <c r="AT1062" s="840"/>
      <c r="AU1062" s="860" t="s">
        <v>3749</v>
      </c>
      <c r="AV1062" s="839" t="s">
        <v>3750</v>
      </c>
      <c r="AW1062" s="861">
        <v>45933</v>
      </c>
      <c r="AX1062" s="862" t="s">
        <v>3751</v>
      </c>
      <c r="AY1062" s="843"/>
      <c r="AZ1062" s="842"/>
      <c r="BA1062" s="842" t="s">
        <v>120</v>
      </c>
      <c r="BB1062" s="863" t="s">
        <v>121</v>
      </c>
      <c r="BC1062" s="864">
        <v>45729</v>
      </c>
      <c r="BD1062" s="860" t="s">
        <v>3752</v>
      </c>
      <c r="BE1062" s="865" cm="1">
        <f t="array" ref="BE1062">IF(BD1062="","",AC1062/SUMPRODUCT(--(BD1062=$BD$4:$BD$12824),$AC$4:$AC$12824))</f>
        <v>4.1294935712411433E-2</v>
      </c>
      <c r="BF1062" s="458"/>
      <c r="BG1062" s="458"/>
      <c r="BH1062" s="458"/>
      <c r="BI1062" s="458"/>
      <c r="BJ1062" s="458"/>
      <c r="BK1062" s="458"/>
      <c r="BL1062" s="458"/>
      <c r="BM1062" s="458"/>
      <c r="BN1062" s="458"/>
      <c r="BO1062" s="866">
        <f>VLOOKUP(BD1062,$BD$4:$BN$12824,3,0)*BE1062</f>
        <v>381912.08344266593</v>
      </c>
      <c r="BP1062" s="866"/>
      <c r="BQ1062" s="866"/>
      <c r="BR1062" s="866">
        <f>VLOOKUP(BD1062,$BD$4:$BN$12824,6,0)*BE1062</f>
        <v>45234.12845491121</v>
      </c>
      <c r="BS1062" s="866">
        <f>VLOOKUP(BD1062,$BD$4:$BN$12824,7,0)*BE1062</f>
        <v>0</v>
      </c>
      <c r="BT1062" s="866"/>
      <c r="BU1062" s="866">
        <f>VLOOKUP(BD1062,$BD$4:$BN$12824,9,0)*BE1062</f>
        <v>0</v>
      </c>
      <c r="BV1062" s="867"/>
      <c r="BW1062" s="867">
        <f>VLOOKUP(BD1062,$BD$4:$BN$12824,11,0)*BE1062</f>
        <v>0</v>
      </c>
      <c r="BX1062" s="1146">
        <f t="shared" si="205"/>
        <v>427146.21189757716</v>
      </c>
      <c r="BY1062" s="867">
        <f t="shared" si="203"/>
        <v>608350.25614092185</v>
      </c>
      <c r="BZ1062" s="867">
        <f t="shared" si="204"/>
        <v>1216700.5122818437</v>
      </c>
      <c r="CA1062" s="867">
        <f>_xlfn.MAXIFS($BY$4:$BY$12824,$S$4:$S$12824,$S1062)</f>
        <v>608350.25614092185</v>
      </c>
      <c r="CB1062" s="1032"/>
      <c r="CF1062" s="946">
        <f t="shared" si="200"/>
        <v>683057.35639999993</v>
      </c>
    </row>
    <row r="1063" spans="1:84">
      <c r="A1063" s="1032"/>
      <c r="B1063" s="839" t="s">
        <v>98</v>
      </c>
      <c r="C1063" s="839" t="s">
        <v>273</v>
      </c>
      <c r="D1063" s="839" t="s">
        <v>3741</v>
      </c>
      <c r="E1063" s="839" t="s">
        <v>3742</v>
      </c>
      <c r="F1063" s="841">
        <v>45680</v>
      </c>
      <c r="G1063" s="840" t="s">
        <v>273</v>
      </c>
      <c r="H1063" s="842" t="s">
        <v>102</v>
      </c>
      <c r="I1063" s="842" t="s">
        <v>3743</v>
      </c>
      <c r="J1063" s="841" t="s">
        <v>2556</v>
      </c>
      <c r="K1063" s="841" t="s">
        <v>3744</v>
      </c>
      <c r="L1063" s="843" t="s">
        <v>106</v>
      </c>
      <c r="M1063" s="844" t="s">
        <v>275</v>
      </c>
      <c r="N1063" s="841"/>
      <c r="O1063" s="841" t="s">
        <v>150</v>
      </c>
      <c r="P1063" s="841" t="s">
        <v>276</v>
      </c>
      <c r="Q1063" s="843"/>
      <c r="R1063" s="845">
        <v>16177.36</v>
      </c>
      <c r="S1063" s="1127" t="s">
        <v>3761</v>
      </c>
      <c r="T1063" s="843" t="s">
        <v>3762</v>
      </c>
      <c r="U1063" s="842">
        <v>2</v>
      </c>
      <c r="V1063" s="842" t="s">
        <v>3</v>
      </c>
      <c r="W1063" s="846">
        <v>28.046511627906973</v>
      </c>
      <c r="X1063" s="847">
        <f t="shared" si="195"/>
        <v>56.093023255813947</v>
      </c>
      <c r="Y1063" s="848">
        <v>0.56999999999999995</v>
      </c>
      <c r="Z1063" s="849">
        <v>12.06</v>
      </c>
      <c r="AA1063" s="849"/>
      <c r="AB1063" s="849">
        <f t="shared" si="196"/>
        <v>24.12</v>
      </c>
      <c r="AC1063" s="850">
        <f t="shared" si="197"/>
        <v>24.12</v>
      </c>
      <c r="AD1063" s="851"/>
      <c r="AE1063" s="852">
        <v>27126.98</v>
      </c>
      <c r="AF1063" s="853">
        <v>0.1</v>
      </c>
      <c r="AG1063" s="854">
        <f t="shared" si="198"/>
        <v>102013.75253774862</v>
      </c>
      <c r="AH1063" s="853">
        <v>0.08</v>
      </c>
      <c r="AI1063" s="855">
        <f t="shared" si="199"/>
        <v>60505.320811019898</v>
      </c>
      <c r="AJ1063" s="845" t="s">
        <v>3747</v>
      </c>
      <c r="AK1063" s="857">
        <v>45719</v>
      </c>
      <c r="AL1063" s="840" t="s">
        <v>3748</v>
      </c>
      <c r="AM1063" s="840"/>
      <c r="AN1063" s="858"/>
      <c r="AO1063" s="844" t="s">
        <v>116</v>
      </c>
      <c r="AP1063" s="859"/>
      <c r="AQ1063" s="859">
        <v>45780</v>
      </c>
      <c r="AR1063" s="859">
        <v>45903</v>
      </c>
      <c r="AS1063" s="840"/>
      <c r="AT1063" s="840"/>
      <c r="AU1063" s="860" t="s">
        <v>3749</v>
      </c>
      <c r="AV1063" s="839" t="s">
        <v>3750</v>
      </c>
      <c r="AW1063" s="861">
        <v>45933</v>
      </c>
      <c r="AX1063" s="862" t="s">
        <v>3751</v>
      </c>
      <c r="AY1063" s="843"/>
      <c r="AZ1063" s="842"/>
      <c r="BA1063" s="842" t="s">
        <v>120</v>
      </c>
      <c r="BB1063" s="863" t="s">
        <v>121</v>
      </c>
      <c r="BC1063" s="864">
        <v>45729</v>
      </c>
      <c r="BD1063" s="860" t="s">
        <v>3752</v>
      </c>
      <c r="BE1063" s="865" cm="1">
        <f t="array" ref="BE1063">IF(BD1063="","",AC1063/SUMPRODUCT(--(BD1063=$BD$4:$BD$12824),$AC$4:$AC$12824))</f>
        <v>3.9556546838100233E-2</v>
      </c>
      <c r="BF1063" s="458"/>
      <c r="BG1063" s="458"/>
      <c r="BH1063" s="458"/>
      <c r="BI1063" s="458"/>
      <c r="BJ1063" s="458"/>
      <c r="BK1063" s="458"/>
      <c r="BL1063" s="458"/>
      <c r="BM1063" s="458"/>
      <c r="BN1063" s="458"/>
      <c r="BO1063" s="866">
        <f>VLOOKUP(BD1063,$BD$4:$BN$12824,3,0)*BE1063</f>
        <v>365834.76777748618</v>
      </c>
      <c r="BP1063" s="866"/>
      <c r="BQ1063" s="866"/>
      <c r="BR1063" s="866">
        <f>VLOOKUP(BD1063,$BD$4:$BN$12824,6,0)*BE1063</f>
        <v>43329.911768564671</v>
      </c>
      <c r="BS1063" s="866">
        <f>VLOOKUP(BD1063,$BD$4:$BN$12824,7,0)*BE1063</f>
        <v>0</v>
      </c>
      <c r="BT1063" s="866"/>
      <c r="BU1063" s="866">
        <f>VLOOKUP(BD1063,$BD$4:$BN$12824,9,0)*BE1063</f>
        <v>0</v>
      </c>
      <c r="BV1063" s="867"/>
      <c r="BW1063" s="867">
        <f>VLOOKUP(BD1063,$BD$4:$BN$12824,11,0)*BE1063</f>
        <v>0</v>
      </c>
      <c r="BX1063" s="1146">
        <f t="shared" si="205"/>
        <v>409164.67954605084</v>
      </c>
      <c r="BY1063" s="867">
        <f t="shared" si="203"/>
        <v>582740.59484189982</v>
      </c>
      <c r="BZ1063" s="867">
        <f t="shared" si="204"/>
        <v>1165481.1896837996</v>
      </c>
      <c r="CA1063" s="867">
        <f>_xlfn.MAXIFS($BY$4:$BY$12824,$S$4:$S$12824,$S1063)</f>
        <v>582740.59484189982</v>
      </c>
      <c r="CB1063" s="1032"/>
      <c r="CF1063" s="946">
        <f t="shared" si="200"/>
        <v>654302.75760000001</v>
      </c>
    </row>
    <row r="1064" spans="1:84">
      <c r="A1064" s="1032"/>
      <c r="B1064" s="839" t="s">
        <v>98</v>
      </c>
      <c r="C1064" s="839" t="s">
        <v>273</v>
      </c>
      <c r="D1064" s="839" t="s">
        <v>3741</v>
      </c>
      <c r="E1064" s="839" t="s">
        <v>3742</v>
      </c>
      <c r="F1064" s="841">
        <v>45680</v>
      </c>
      <c r="G1064" s="840" t="s">
        <v>273</v>
      </c>
      <c r="H1064" s="842" t="s">
        <v>102</v>
      </c>
      <c r="I1064" s="842" t="s">
        <v>3743</v>
      </c>
      <c r="J1064" s="841" t="s">
        <v>2556</v>
      </c>
      <c r="K1064" s="841" t="s">
        <v>3744</v>
      </c>
      <c r="L1064" s="843" t="s">
        <v>106</v>
      </c>
      <c r="M1064" s="844" t="s">
        <v>275</v>
      </c>
      <c r="N1064" s="841"/>
      <c r="O1064" s="841" t="s">
        <v>150</v>
      </c>
      <c r="P1064" s="841" t="s">
        <v>276</v>
      </c>
      <c r="Q1064" s="843"/>
      <c r="R1064" s="845">
        <v>16187.36</v>
      </c>
      <c r="S1064" s="1127" t="s">
        <v>3763</v>
      </c>
      <c r="T1064" s="843" t="s">
        <v>3764</v>
      </c>
      <c r="U1064" s="842">
        <v>2</v>
      </c>
      <c r="V1064" s="842" t="s">
        <v>3</v>
      </c>
      <c r="W1064" s="846">
        <v>28.046511627906973</v>
      </c>
      <c r="X1064" s="847">
        <f t="shared" si="195"/>
        <v>56.093023255813947</v>
      </c>
      <c r="Y1064" s="848">
        <v>0.56999999999999995</v>
      </c>
      <c r="Z1064" s="849">
        <v>12.06</v>
      </c>
      <c r="AA1064" s="849"/>
      <c r="AB1064" s="849">
        <f t="shared" si="196"/>
        <v>24.12</v>
      </c>
      <c r="AC1064" s="850">
        <f t="shared" si="197"/>
        <v>24.12</v>
      </c>
      <c r="AD1064" s="851"/>
      <c r="AE1064" s="852">
        <v>27126.98</v>
      </c>
      <c r="AF1064" s="853">
        <v>0.1</v>
      </c>
      <c r="AG1064" s="854">
        <f t="shared" si="198"/>
        <v>102013.75253774862</v>
      </c>
      <c r="AH1064" s="853">
        <v>0.08</v>
      </c>
      <c r="AI1064" s="855">
        <f t="shared" si="199"/>
        <v>60505.320811019898</v>
      </c>
      <c r="AJ1064" s="845" t="s">
        <v>3747</v>
      </c>
      <c r="AK1064" s="857">
        <v>45719</v>
      </c>
      <c r="AL1064" s="840" t="s">
        <v>3748</v>
      </c>
      <c r="AM1064" s="840"/>
      <c r="AN1064" s="858"/>
      <c r="AO1064" s="844" t="s">
        <v>116</v>
      </c>
      <c r="AP1064" s="859"/>
      <c r="AQ1064" s="859">
        <v>45780</v>
      </c>
      <c r="AR1064" s="859">
        <v>45903</v>
      </c>
      <c r="AS1064" s="840"/>
      <c r="AT1064" s="840"/>
      <c r="AU1064" s="860" t="s">
        <v>3749</v>
      </c>
      <c r="AV1064" s="839" t="s">
        <v>3750</v>
      </c>
      <c r="AW1064" s="861">
        <v>45933</v>
      </c>
      <c r="AX1064" s="862" t="s">
        <v>3751</v>
      </c>
      <c r="AY1064" s="843"/>
      <c r="AZ1064" s="842"/>
      <c r="BA1064" s="842" t="s">
        <v>120</v>
      </c>
      <c r="BB1064" s="863" t="s">
        <v>121</v>
      </c>
      <c r="BC1064" s="864">
        <v>45729</v>
      </c>
      <c r="BD1064" s="860" t="s">
        <v>3752</v>
      </c>
      <c r="BE1064" s="865" cm="1">
        <f t="array" ref="BE1064">IF(BD1064="","",AC1064/SUMPRODUCT(--(BD1064=$BD$4:$BD$12824),$AC$4:$AC$12824))</f>
        <v>3.9556546838100233E-2</v>
      </c>
      <c r="BF1064" s="458"/>
      <c r="BG1064" s="458"/>
      <c r="BH1064" s="458"/>
      <c r="BI1064" s="458"/>
      <c r="BJ1064" s="458"/>
      <c r="BK1064" s="458"/>
      <c r="BL1064" s="458"/>
      <c r="BM1064" s="458"/>
      <c r="BN1064" s="458"/>
      <c r="BO1064" s="866">
        <f>VLOOKUP(BD1064,$BD$4:$BN$12824,3,0)*BE1064</f>
        <v>365834.76777748618</v>
      </c>
      <c r="BP1064" s="866"/>
      <c r="BQ1064" s="866"/>
      <c r="BR1064" s="866">
        <f>VLOOKUP(BD1064,$BD$4:$BN$12824,6,0)*BE1064</f>
        <v>43329.911768564671</v>
      </c>
      <c r="BS1064" s="866">
        <f>VLOOKUP(BD1064,$BD$4:$BN$12824,7,0)*BE1064</f>
        <v>0</v>
      </c>
      <c r="BT1064" s="866"/>
      <c r="BU1064" s="866">
        <f>VLOOKUP(BD1064,$BD$4:$BN$12824,9,0)*BE1064</f>
        <v>0</v>
      </c>
      <c r="BV1064" s="867"/>
      <c r="BW1064" s="867">
        <f>VLOOKUP(BD1064,$BD$4:$BN$12824,11,0)*BE1064</f>
        <v>0</v>
      </c>
      <c r="BX1064" s="1146">
        <f t="shared" si="205"/>
        <v>409164.67954605084</v>
      </c>
      <c r="BY1064" s="867">
        <f t="shared" si="203"/>
        <v>582740.59484189982</v>
      </c>
      <c r="BZ1064" s="867">
        <f t="shared" si="204"/>
        <v>1165481.1896837996</v>
      </c>
      <c r="CA1064" s="867">
        <f>_xlfn.MAXIFS($BY$4:$BY$12824,$S$4:$S$12824,$S1064)</f>
        <v>582740.59484189982</v>
      </c>
      <c r="CB1064" s="1032"/>
      <c r="CF1064" s="946">
        <f t="shared" si="200"/>
        <v>654302.75760000001</v>
      </c>
    </row>
    <row r="1065" spans="1:84">
      <c r="A1065" s="1032"/>
      <c r="B1065" s="839" t="s">
        <v>98</v>
      </c>
      <c r="C1065" s="839" t="s">
        <v>273</v>
      </c>
      <c r="D1065" s="839" t="s">
        <v>3741</v>
      </c>
      <c r="E1065" s="839" t="s">
        <v>3742</v>
      </c>
      <c r="F1065" s="841">
        <v>45680</v>
      </c>
      <c r="G1065" s="840" t="s">
        <v>273</v>
      </c>
      <c r="H1065" s="842" t="s">
        <v>102</v>
      </c>
      <c r="I1065" s="842" t="s">
        <v>3743</v>
      </c>
      <c r="J1065" s="841" t="s">
        <v>2556</v>
      </c>
      <c r="K1065" s="841" t="s">
        <v>3744</v>
      </c>
      <c r="L1065" s="843" t="s">
        <v>106</v>
      </c>
      <c r="M1065" s="844" t="s">
        <v>275</v>
      </c>
      <c r="N1065" s="841"/>
      <c r="O1065" s="841" t="s">
        <v>150</v>
      </c>
      <c r="P1065" s="841" t="s">
        <v>276</v>
      </c>
      <c r="Q1065" s="843"/>
      <c r="R1065" s="845">
        <v>16190.36</v>
      </c>
      <c r="S1065" s="1127" t="s">
        <v>3765</v>
      </c>
      <c r="T1065" s="843" t="s">
        <v>3766</v>
      </c>
      <c r="U1065" s="842">
        <v>6</v>
      </c>
      <c r="V1065" s="842" t="s">
        <v>3</v>
      </c>
      <c r="W1065" s="846">
        <v>40.674418604651152</v>
      </c>
      <c r="X1065" s="847">
        <f t="shared" si="195"/>
        <v>244.04651162790691</v>
      </c>
      <c r="Y1065" s="848">
        <v>0.56999999999999995</v>
      </c>
      <c r="Z1065" s="849">
        <v>17.489999999999998</v>
      </c>
      <c r="AA1065" s="849"/>
      <c r="AB1065" s="849">
        <f t="shared" si="196"/>
        <v>104.94</v>
      </c>
      <c r="AC1065" s="850">
        <f t="shared" si="197"/>
        <v>104.94</v>
      </c>
      <c r="AD1065" s="851"/>
      <c r="AE1065" s="852">
        <v>27126.98</v>
      </c>
      <c r="AF1065" s="853">
        <v>0.1</v>
      </c>
      <c r="AG1065" s="854">
        <f t="shared" si="198"/>
        <v>443835.95320527948</v>
      </c>
      <c r="AH1065" s="853">
        <v>0.08</v>
      </c>
      <c r="AI1065" s="855">
        <f t="shared" si="199"/>
        <v>263243.29875242239</v>
      </c>
      <c r="AJ1065" s="845" t="s">
        <v>3747</v>
      </c>
      <c r="AK1065" s="857">
        <v>45719</v>
      </c>
      <c r="AL1065" s="840" t="s">
        <v>3748</v>
      </c>
      <c r="AM1065" s="840"/>
      <c r="AN1065" s="858"/>
      <c r="AO1065" s="844" t="s">
        <v>116</v>
      </c>
      <c r="AP1065" s="859"/>
      <c r="AQ1065" s="859">
        <v>45780</v>
      </c>
      <c r="AR1065" s="859">
        <v>45903</v>
      </c>
      <c r="AS1065" s="840"/>
      <c r="AT1065" s="840"/>
      <c r="AU1065" s="860" t="s">
        <v>3749</v>
      </c>
      <c r="AV1065" s="839" t="s">
        <v>3750</v>
      </c>
      <c r="AW1065" s="861">
        <v>45933</v>
      </c>
      <c r="AX1065" s="862" t="s">
        <v>3751</v>
      </c>
      <c r="AY1065" s="843"/>
      <c r="AZ1065" s="842"/>
      <c r="BA1065" s="842" t="s">
        <v>120</v>
      </c>
      <c r="BB1065" s="863" t="s">
        <v>121</v>
      </c>
      <c r="BC1065" s="864">
        <v>45729</v>
      </c>
      <c r="BD1065" s="860" t="s">
        <v>3752</v>
      </c>
      <c r="BE1065" s="865" cm="1">
        <f t="array" ref="BE1065">IF(BD1065="","",AC1065/SUMPRODUCT(--(BD1065=$BD$4:$BD$12824),$AC$4:$AC$12824))</f>
        <v>0.1721004985568092</v>
      </c>
      <c r="BF1065" s="458"/>
      <c r="BG1065" s="458"/>
      <c r="BH1065" s="458"/>
      <c r="BI1065" s="458"/>
      <c r="BJ1065" s="458"/>
      <c r="BK1065" s="458"/>
      <c r="BL1065" s="458"/>
      <c r="BM1065" s="458"/>
      <c r="BN1065" s="458"/>
      <c r="BO1065" s="866">
        <f>VLOOKUP(BD1065,$BD$4:$BN$12824,3,0)*BE1065</f>
        <v>1591654.2508527942</v>
      </c>
      <c r="BP1065" s="866"/>
      <c r="BQ1065" s="866"/>
      <c r="BR1065" s="866">
        <f>VLOOKUP(BD1065,$BD$4:$BN$12824,6,0)*BE1065</f>
        <v>188517.45194830745</v>
      </c>
      <c r="BS1065" s="866">
        <f>VLOOKUP(BD1065,$BD$4:$BN$12824,7,0)*BE1065</f>
        <v>0</v>
      </c>
      <c r="BT1065" s="866"/>
      <c r="BU1065" s="866">
        <f>VLOOKUP(BD1065,$BD$4:$BN$12824,9,0)*BE1065</f>
        <v>0</v>
      </c>
      <c r="BV1065" s="867"/>
      <c r="BW1065" s="867">
        <f>VLOOKUP(BD1065,$BD$4:$BN$12824,11,0)*BE1065</f>
        <v>0</v>
      </c>
      <c r="BX1065" s="1146">
        <f t="shared" si="205"/>
        <v>1780171.7028011016</v>
      </c>
      <c r="BY1065" s="867">
        <f t="shared" si="203"/>
        <v>845118.82286773017</v>
      </c>
      <c r="BZ1065" s="867">
        <f t="shared" si="204"/>
        <v>5070712.937206381</v>
      </c>
      <c r="CA1065" s="867">
        <f>_xlfn.MAXIFS($BY$4:$BY$12824,$S$4:$S$12824,$S1065)</f>
        <v>845118.82286773017</v>
      </c>
      <c r="CB1065" s="1032"/>
      <c r="CF1065" s="946">
        <f t="shared" si="200"/>
        <v>2846705.2812000001</v>
      </c>
    </row>
    <row r="1066" spans="1:84">
      <c r="A1066" s="1032"/>
      <c r="B1066" s="839" t="s">
        <v>98</v>
      </c>
      <c r="C1066" s="839" t="s">
        <v>273</v>
      </c>
      <c r="D1066" s="839" t="s">
        <v>3741</v>
      </c>
      <c r="E1066" s="839" t="s">
        <v>3742</v>
      </c>
      <c r="F1066" s="841">
        <v>45680</v>
      </c>
      <c r="G1066" s="840" t="s">
        <v>273</v>
      </c>
      <c r="H1066" s="842" t="s">
        <v>102</v>
      </c>
      <c r="I1066" s="842" t="s">
        <v>3743</v>
      </c>
      <c r="J1066" s="841" t="s">
        <v>2556</v>
      </c>
      <c r="K1066" s="841" t="s">
        <v>3744</v>
      </c>
      <c r="L1066" s="843" t="s">
        <v>106</v>
      </c>
      <c r="M1066" s="844" t="s">
        <v>275</v>
      </c>
      <c r="N1066" s="841"/>
      <c r="O1066" s="841" t="s">
        <v>150</v>
      </c>
      <c r="P1066" s="841" t="s">
        <v>276</v>
      </c>
      <c r="Q1066" s="843"/>
      <c r="R1066" s="845">
        <v>18495</v>
      </c>
      <c r="S1066" s="1127" t="s">
        <v>3767</v>
      </c>
      <c r="T1066" s="843" t="s">
        <v>3768</v>
      </c>
      <c r="U1066" s="842">
        <v>6</v>
      </c>
      <c r="V1066" s="842" t="s">
        <v>3</v>
      </c>
      <c r="W1066" s="846">
        <v>14.348837209302324</v>
      </c>
      <c r="X1066" s="847">
        <f t="shared" si="195"/>
        <v>86.093023255813947</v>
      </c>
      <c r="Y1066" s="848">
        <v>0.56999999999999995</v>
      </c>
      <c r="Z1066" s="849">
        <v>6.17</v>
      </c>
      <c r="AA1066" s="849"/>
      <c r="AB1066" s="849">
        <f t="shared" si="196"/>
        <v>37.019999999999996</v>
      </c>
      <c r="AC1066" s="850">
        <f t="shared" si="197"/>
        <v>37.019999999999996</v>
      </c>
      <c r="AD1066" s="851"/>
      <c r="AE1066" s="852">
        <v>27126.98</v>
      </c>
      <c r="AF1066" s="853">
        <v>0.1</v>
      </c>
      <c r="AG1066" s="854">
        <f t="shared" si="198"/>
        <v>156573.34655669375</v>
      </c>
      <c r="AH1066" s="853">
        <v>0.08</v>
      </c>
      <c r="AI1066" s="855">
        <f t="shared" si="199"/>
        <v>92865.131692535491</v>
      </c>
      <c r="AJ1066" s="845" t="s">
        <v>3747</v>
      </c>
      <c r="AK1066" s="857">
        <v>45719</v>
      </c>
      <c r="AL1066" s="840" t="s">
        <v>3748</v>
      </c>
      <c r="AM1066" s="840"/>
      <c r="AN1066" s="858"/>
      <c r="AO1066" s="844" t="s">
        <v>116</v>
      </c>
      <c r="AP1066" s="859"/>
      <c r="AQ1066" s="859">
        <v>45780</v>
      </c>
      <c r="AR1066" s="859">
        <v>45903</v>
      </c>
      <c r="AS1066" s="840"/>
      <c r="AT1066" s="840"/>
      <c r="AU1066" s="860" t="s">
        <v>3749</v>
      </c>
      <c r="AV1066" s="839" t="s">
        <v>3750</v>
      </c>
      <c r="AW1066" s="861">
        <v>45933</v>
      </c>
      <c r="AX1066" s="862" t="s">
        <v>3751</v>
      </c>
      <c r="AY1066" s="843"/>
      <c r="AZ1066" s="842"/>
      <c r="BA1066" s="842" t="s">
        <v>120</v>
      </c>
      <c r="BB1066" s="863" t="s">
        <v>121</v>
      </c>
      <c r="BC1066" s="864">
        <v>45729</v>
      </c>
      <c r="BD1066" s="860" t="s">
        <v>3752</v>
      </c>
      <c r="BE1066" s="865" cm="1">
        <f t="array" ref="BE1066">IF(BD1066="","",AC1066/SUMPRODUCT(--(BD1066=$BD$4:$BD$12824),$AC$4:$AC$12824))</f>
        <v>6.0712411440566764E-2</v>
      </c>
      <c r="BF1066" s="458"/>
      <c r="BG1066" s="458"/>
      <c r="BH1066" s="458"/>
      <c r="BI1066" s="458"/>
      <c r="BJ1066" s="458"/>
      <c r="BK1066" s="458"/>
      <c r="BL1066" s="458"/>
      <c r="BM1066" s="458"/>
      <c r="BN1066" s="458"/>
      <c r="BO1066" s="866">
        <f>VLOOKUP(BD1066,$BD$4:$BN$12824,3,0)*BE1066</f>
        <v>561492.66596693767</v>
      </c>
      <c r="BP1066" s="866"/>
      <c r="BQ1066" s="866"/>
      <c r="BR1066" s="866">
        <f>VLOOKUP(BD1066,$BD$4:$BN$12824,6,0)*BE1066</f>
        <v>66503.869555234822</v>
      </c>
      <c r="BS1066" s="866">
        <f>VLOOKUP(BD1066,$BD$4:$BN$12824,7,0)*BE1066</f>
        <v>0</v>
      </c>
      <c r="BT1066" s="866"/>
      <c r="BU1066" s="866">
        <f>VLOOKUP(BD1066,$BD$4:$BN$12824,9,0)*BE1066</f>
        <v>0</v>
      </c>
      <c r="BV1066" s="867"/>
      <c r="BW1066" s="867">
        <f>VLOOKUP(BD1066,$BD$4:$BN$12824,11,0)*BE1066</f>
        <v>0</v>
      </c>
      <c r="BX1066" s="1146">
        <f t="shared" si="205"/>
        <v>627996.53552217246</v>
      </c>
      <c r="BY1066" s="867">
        <f t="shared" si="203"/>
        <v>298135.11361314432</v>
      </c>
      <c r="BZ1066" s="867">
        <f t="shared" si="204"/>
        <v>1788810.681678866</v>
      </c>
      <c r="CA1066" s="867">
        <f>_xlfn.MAXIFS($BY$4:$BY$12824,$S$4:$S$12824,$S1066)</f>
        <v>298135.11361314432</v>
      </c>
      <c r="CB1066" s="1032"/>
      <c r="CF1066" s="946">
        <f t="shared" si="200"/>
        <v>1004240.7995999999</v>
      </c>
    </row>
    <row r="1067" spans="1:84">
      <c r="A1067" s="1032"/>
      <c r="B1067" s="839" t="s">
        <v>98</v>
      </c>
      <c r="C1067" s="839" t="s">
        <v>273</v>
      </c>
      <c r="D1067" s="839" t="s">
        <v>3741</v>
      </c>
      <c r="E1067" s="839" t="s">
        <v>3742</v>
      </c>
      <c r="F1067" s="841">
        <v>45680</v>
      </c>
      <c r="G1067" s="840" t="s">
        <v>273</v>
      </c>
      <c r="H1067" s="842" t="s">
        <v>102</v>
      </c>
      <c r="I1067" s="842" t="s">
        <v>3743</v>
      </c>
      <c r="J1067" s="841" t="s">
        <v>2556</v>
      </c>
      <c r="K1067" s="841" t="s">
        <v>3744</v>
      </c>
      <c r="L1067" s="843" t="s">
        <v>106</v>
      </c>
      <c r="M1067" s="844" t="s">
        <v>275</v>
      </c>
      <c r="N1067" s="841"/>
      <c r="O1067" s="841" t="s">
        <v>150</v>
      </c>
      <c r="P1067" s="841" t="s">
        <v>276</v>
      </c>
      <c r="Q1067" s="843"/>
      <c r="R1067" s="845">
        <v>11203.24</v>
      </c>
      <c r="S1067" s="1127" t="s">
        <v>3769</v>
      </c>
      <c r="T1067" s="843" t="s">
        <v>3770</v>
      </c>
      <c r="U1067" s="842">
        <v>2</v>
      </c>
      <c r="V1067" s="842" t="s">
        <v>3</v>
      </c>
      <c r="W1067" s="846">
        <v>50.674418604651152</v>
      </c>
      <c r="X1067" s="847">
        <f t="shared" si="195"/>
        <v>101.3488372093023</v>
      </c>
      <c r="Y1067" s="848">
        <v>0.56999999999999995</v>
      </c>
      <c r="Z1067" s="849">
        <v>21.79</v>
      </c>
      <c r="AA1067" s="849"/>
      <c r="AB1067" s="849">
        <f t="shared" si="196"/>
        <v>43.58</v>
      </c>
      <c r="AC1067" s="850">
        <f t="shared" si="197"/>
        <v>43.58</v>
      </c>
      <c r="AD1067" s="851"/>
      <c r="AE1067" s="852">
        <v>27126.98</v>
      </c>
      <c r="AF1067" s="853">
        <v>0.1</v>
      </c>
      <c r="AG1067" s="854">
        <f t="shared" si="198"/>
        <v>184318.38041438992</v>
      </c>
      <c r="AH1067" s="853">
        <v>0.08</v>
      </c>
      <c r="AI1067" s="855">
        <f t="shared" si="199"/>
        <v>109320.9735051512</v>
      </c>
      <c r="AJ1067" s="845" t="s">
        <v>3747</v>
      </c>
      <c r="AK1067" s="857">
        <v>45719</v>
      </c>
      <c r="AL1067" s="840" t="s">
        <v>3748</v>
      </c>
      <c r="AM1067" s="840"/>
      <c r="AN1067" s="858"/>
      <c r="AO1067" s="844" t="s">
        <v>116</v>
      </c>
      <c r="AP1067" s="859"/>
      <c r="AQ1067" s="859">
        <v>45780</v>
      </c>
      <c r="AR1067" s="859">
        <v>45903</v>
      </c>
      <c r="AS1067" s="840"/>
      <c r="AT1067" s="840"/>
      <c r="AU1067" s="860" t="s">
        <v>3749</v>
      </c>
      <c r="AV1067" s="839" t="s">
        <v>3750</v>
      </c>
      <c r="AW1067" s="861">
        <v>45933</v>
      </c>
      <c r="AX1067" s="862" t="s">
        <v>3751</v>
      </c>
      <c r="AY1067" s="843"/>
      <c r="AZ1067" s="842"/>
      <c r="BA1067" s="842" t="s">
        <v>120</v>
      </c>
      <c r="BB1067" s="863" t="s">
        <v>121</v>
      </c>
      <c r="BC1067" s="864">
        <v>45729</v>
      </c>
      <c r="BD1067" s="860" t="s">
        <v>3752</v>
      </c>
      <c r="BE1067" s="865" cm="1">
        <f t="array" ref="BE1067">IF(BD1067="","",AC1067/SUMPRODUCT(--(BD1067=$BD$4:$BD$12824),$AC$4:$AC$12824))</f>
        <v>7.1470742587247421E-2</v>
      </c>
      <c r="BF1067" s="458"/>
      <c r="BG1067" s="458"/>
      <c r="BH1067" s="458"/>
      <c r="BI1067" s="458"/>
      <c r="BJ1067" s="458"/>
      <c r="BK1067" s="458"/>
      <c r="BL1067" s="458"/>
      <c r="BM1067" s="458"/>
      <c r="BN1067" s="458"/>
      <c r="BO1067" s="866">
        <f>VLOOKUP(BD1067,$BD$4:$BN$12824,3,0)*BE1067</f>
        <v>660990.01574389904</v>
      </c>
      <c r="BP1067" s="866"/>
      <c r="BQ1067" s="866"/>
      <c r="BR1067" s="866">
        <f>VLOOKUP(BD1067,$BD$4:$BN$12824,6,0)*BE1067</f>
        <v>78288.455840549257</v>
      </c>
      <c r="BS1067" s="866">
        <f>VLOOKUP(BD1067,$BD$4:$BN$12824,7,0)*BE1067</f>
        <v>0</v>
      </c>
      <c r="BT1067" s="866"/>
      <c r="BU1067" s="866">
        <f>VLOOKUP(BD1067,$BD$4:$BN$12824,9,0)*BE1067</f>
        <v>0</v>
      </c>
      <c r="BV1067" s="867"/>
      <c r="BW1067" s="867">
        <f>VLOOKUP(BD1067,$BD$4:$BN$12824,11,0)*BE1067</f>
        <v>0</v>
      </c>
      <c r="BX1067" s="1146">
        <f t="shared" si="205"/>
        <v>739278.47158444836</v>
      </c>
      <c r="BY1067" s="867">
        <f t="shared" si="203"/>
        <v>1052895.3201994193</v>
      </c>
      <c r="BZ1067" s="867">
        <f t="shared" si="204"/>
        <v>2105790.6403988386</v>
      </c>
      <c r="CA1067" s="867">
        <f>_xlfn.MAXIFS($BY$4:$BY$12824,$S$4:$S$12824,$S1067)</f>
        <v>1052895.3201994193</v>
      </c>
      <c r="CB1067" s="1032"/>
      <c r="CF1067" s="946">
        <f t="shared" si="200"/>
        <v>1182193.7884</v>
      </c>
    </row>
    <row r="1068" spans="1:84">
      <c r="A1068" s="1032"/>
      <c r="B1068" s="839" t="s">
        <v>98</v>
      </c>
      <c r="C1068" s="839" t="s">
        <v>273</v>
      </c>
      <c r="D1068" s="839" t="s">
        <v>3741</v>
      </c>
      <c r="E1068" s="839" t="s">
        <v>3742</v>
      </c>
      <c r="F1068" s="841">
        <v>45680</v>
      </c>
      <c r="G1068" s="840" t="s">
        <v>273</v>
      </c>
      <c r="H1068" s="842" t="s">
        <v>102</v>
      </c>
      <c r="I1068" s="842" t="s">
        <v>3743</v>
      </c>
      <c r="J1068" s="841" t="s">
        <v>2556</v>
      </c>
      <c r="K1068" s="841" t="s">
        <v>3744</v>
      </c>
      <c r="L1068" s="843" t="s">
        <v>106</v>
      </c>
      <c r="M1068" s="844" t="s">
        <v>275</v>
      </c>
      <c r="N1068" s="841"/>
      <c r="O1068" s="841" t="s">
        <v>150</v>
      </c>
      <c r="P1068" s="841" t="s">
        <v>276</v>
      </c>
      <c r="Q1068" s="843"/>
      <c r="R1068" s="845">
        <v>16606.240000000002</v>
      </c>
      <c r="S1068" s="1127" t="s">
        <v>3771</v>
      </c>
      <c r="T1068" s="843" t="s">
        <v>3772</v>
      </c>
      <c r="U1068" s="842">
        <v>2</v>
      </c>
      <c r="V1068" s="842" t="s">
        <v>3</v>
      </c>
      <c r="W1068" s="846">
        <v>28.046511627906973</v>
      </c>
      <c r="X1068" s="847">
        <f t="shared" si="195"/>
        <v>56.093023255813947</v>
      </c>
      <c r="Y1068" s="848">
        <v>0.56999999999999995</v>
      </c>
      <c r="Z1068" s="849">
        <v>12.06</v>
      </c>
      <c r="AA1068" s="849"/>
      <c r="AB1068" s="849">
        <f t="shared" si="196"/>
        <v>24.12</v>
      </c>
      <c r="AC1068" s="850">
        <f t="shared" si="197"/>
        <v>24.12</v>
      </c>
      <c r="AD1068" s="851"/>
      <c r="AE1068" s="852">
        <v>27126.98</v>
      </c>
      <c r="AF1068" s="853">
        <v>0.1</v>
      </c>
      <c r="AG1068" s="854">
        <f t="shared" si="198"/>
        <v>102013.75253774862</v>
      </c>
      <c r="AH1068" s="853">
        <v>0.08</v>
      </c>
      <c r="AI1068" s="855">
        <f t="shared" si="199"/>
        <v>60505.320811019898</v>
      </c>
      <c r="AJ1068" s="845" t="s">
        <v>3747</v>
      </c>
      <c r="AK1068" s="857">
        <v>45719</v>
      </c>
      <c r="AL1068" s="840" t="s">
        <v>3748</v>
      </c>
      <c r="AM1068" s="840"/>
      <c r="AN1068" s="858"/>
      <c r="AO1068" s="844" t="s">
        <v>116</v>
      </c>
      <c r="AP1068" s="859"/>
      <c r="AQ1068" s="859">
        <v>45780</v>
      </c>
      <c r="AR1068" s="859">
        <v>45903</v>
      </c>
      <c r="AS1068" s="840"/>
      <c r="AT1068" s="840"/>
      <c r="AU1068" s="860" t="s">
        <v>3749</v>
      </c>
      <c r="AV1068" s="839" t="s">
        <v>3750</v>
      </c>
      <c r="AW1068" s="861">
        <v>45933</v>
      </c>
      <c r="AX1068" s="862" t="s">
        <v>3751</v>
      </c>
      <c r="AY1068" s="843"/>
      <c r="AZ1068" s="842"/>
      <c r="BA1068" s="842" t="s">
        <v>120</v>
      </c>
      <c r="BB1068" s="863" t="s">
        <v>121</v>
      </c>
      <c r="BC1068" s="864">
        <v>45729</v>
      </c>
      <c r="BD1068" s="860" t="s">
        <v>3752</v>
      </c>
      <c r="BE1068" s="865" cm="1">
        <f t="array" ref="BE1068">IF(BD1068="","",AC1068/SUMPRODUCT(--(BD1068=$BD$4:$BD$12824),$AC$4:$AC$12824))</f>
        <v>3.9556546838100233E-2</v>
      </c>
      <c r="BF1068" s="458"/>
      <c r="BG1068" s="458"/>
      <c r="BH1068" s="458"/>
      <c r="BI1068" s="458"/>
      <c r="BJ1068" s="458"/>
      <c r="BK1068" s="458"/>
      <c r="BL1068" s="458"/>
      <c r="BM1068" s="458"/>
      <c r="BN1068" s="458"/>
      <c r="BO1068" s="866">
        <f>VLOOKUP(BD1068,$BD$4:$BN$12824,3,0)*BE1068</f>
        <v>365834.76777748618</v>
      </c>
      <c r="BP1068" s="866"/>
      <c r="BQ1068" s="866"/>
      <c r="BR1068" s="866">
        <f>VLOOKUP(BD1068,$BD$4:$BN$12824,6,0)*BE1068</f>
        <v>43329.911768564671</v>
      </c>
      <c r="BS1068" s="866">
        <f>VLOOKUP(BD1068,$BD$4:$BN$12824,7,0)*BE1068</f>
        <v>0</v>
      </c>
      <c r="BT1068" s="866"/>
      <c r="BU1068" s="866">
        <f>VLOOKUP(BD1068,$BD$4:$BN$12824,9,0)*BE1068</f>
        <v>0</v>
      </c>
      <c r="BV1068" s="867"/>
      <c r="BW1068" s="867">
        <f>VLOOKUP(BD1068,$BD$4:$BN$12824,11,0)*BE1068</f>
        <v>0</v>
      </c>
      <c r="BX1068" s="1146">
        <f t="shared" si="205"/>
        <v>409164.67954605084</v>
      </c>
      <c r="BY1068" s="867">
        <f t="shared" si="203"/>
        <v>582740.59484189982</v>
      </c>
      <c r="BZ1068" s="867">
        <f t="shared" si="204"/>
        <v>1165481.1896837996</v>
      </c>
      <c r="CA1068" s="867">
        <f>_xlfn.MAXIFS($BY$4:$BY$12824,$S$4:$S$12824,$S1068)</f>
        <v>582740.59484189982</v>
      </c>
      <c r="CB1068" s="1032"/>
      <c r="CF1068" s="946">
        <f t="shared" si="200"/>
        <v>654302.75760000001</v>
      </c>
    </row>
    <row r="1069" spans="1:84">
      <c r="A1069" s="1032"/>
      <c r="B1069" s="839" t="s">
        <v>98</v>
      </c>
      <c r="C1069" s="839" t="s">
        <v>273</v>
      </c>
      <c r="D1069" s="839" t="s">
        <v>3741</v>
      </c>
      <c r="E1069" s="839" t="s">
        <v>3742</v>
      </c>
      <c r="F1069" s="841">
        <v>45680</v>
      </c>
      <c r="G1069" s="840" t="s">
        <v>273</v>
      </c>
      <c r="H1069" s="842" t="s">
        <v>102</v>
      </c>
      <c r="I1069" s="842" t="s">
        <v>3743</v>
      </c>
      <c r="J1069" s="841" t="s">
        <v>2556</v>
      </c>
      <c r="K1069" s="841" t="s">
        <v>3744</v>
      </c>
      <c r="L1069" s="843" t="s">
        <v>106</v>
      </c>
      <c r="M1069" s="844" t="s">
        <v>275</v>
      </c>
      <c r="N1069" s="841"/>
      <c r="O1069" s="841" t="s">
        <v>150</v>
      </c>
      <c r="P1069" s="841" t="s">
        <v>276</v>
      </c>
      <c r="Q1069" s="843"/>
      <c r="R1069" s="845">
        <v>16608.240000000002</v>
      </c>
      <c r="S1069" s="1127" t="s">
        <v>3773</v>
      </c>
      <c r="T1069" s="843" t="s">
        <v>3774</v>
      </c>
      <c r="U1069" s="842">
        <v>2</v>
      </c>
      <c r="V1069" s="842" t="s">
        <v>3</v>
      </c>
      <c r="W1069" s="846">
        <v>36.279069767441854</v>
      </c>
      <c r="X1069" s="847">
        <f t="shared" si="195"/>
        <v>72.558139534883708</v>
      </c>
      <c r="Y1069" s="848">
        <v>0.56999999999999995</v>
      </c>
      <c r="Z1069" s="849">
        <v>15.6</v>
      </c>
      <c r="AA1069" s="849"/>
      <c r="AB1069" s="849">
        <f t="shared" si="196"/>
        <v>31.2</v>
      </c>
      <c r="AC1069" s="850">
        <f t="shared" si="197"/>
        <v>31.2</v>
      </c>
      <c r="AD1069" s="851"/>
      <c r="AE1069" s="852">
        <v>27126.98</v>
      </c>
      <c r="AF1069" s="853">
        <v>0.1</v>
      </c>
      <c r="AG1069" s="854">
        <f t="shared" si="198"/>
        <v>131958.08785977433</v>
      </c>
      <c r="AH1069" s="853">
        <v>0.08</v>
      </c>
      <c r="AI1069" s="855">
        <f t="shared" si="199"/>
        <v>78265.589108781947</v>
      </c>
      <c r="AJ1069" s="845" t="s">
        <v>3747</v>
      </c>
      <c r="AK1069" s="857">
        <v>45719</v>
      </c>
      <c r="AL1069" s="840" t="s">
        <v>3748</v>
      </c>
      <c r="AM1069" s="840"/>
      <c r="AN1069" s="858"/>
      <c r="AO1069" s="844" t="s">
        <v>116</v>
      </c>
      <c r="AP1069" s="859"/>
      <c r="AQ1069" s="859">
        <v>45780</v>
      </c>
      <c r="AR1069" s="859">
        <v>45903</v>
      </c>
      <c r="AS1069" s="840"/>
      <c r="AT1069" s="840"/>
      <c r="AU1069" s="860" t="s">
        <v>3749</v>
      </c>
      <c r="AV1069" s="839" t="s">
        <v>3750</v>
      </c>
      <c r="AW1069" s="861">
        <v>45933</v>
      </c>
      <c r="AX1069" s="862" t="s">
        <v>3751</v>
      </c>
      <c r="AY1069" s="843"/>
      <c r="AZ1069" s="842"/>
      <c r="BA1069" s="842" t="s">
        <v>120</v>
      </c>
      <c r="BB1069" s="863" t="s">
        <v>121</v>
      </c>
      <c r="BC1069" s="864">
        <v>45729</v>
      </c>
      <c r="BD1069" s="860" t="s">
        <v>3752</v>
      </c>
      <c r="BE1069" s="865" cm="1">
        <f t="array" ref="BE1069">IF(BD1069="","",AC1069/SUMPRODUCT(--(BD1069=$BD$4:$BD$12824),$AC$4:$AC$12824))</f>
        <v>5.1167672526895816E-2</v>
      </c>
      <c r="BF1069" s="458"/>
      <c r="BG1069" s="458"/>
      <c r="BH1069" s="458"/>
      <c r="BI1069" s="458"/>
      <c r="BJ1069" s="458"/>
      <c r="BK1069" s="458"/>
      <c r="BL1069" s="458"/>
      <c r="BM1069" s="458"/>
      <c r="BN1069" s="458"/>
      <c r="BO1069" s="866">
        <f>VLOOKUP(BD1069,$BD$4:$BN$12824,3,0)*BE1069</f>
        <v>473219.10259774327</v>
      </c>
      <c r="BP1069" s="866"/>
      <c r="BQ1069" s="866"/>
      <c r="BR1069" s="866">
        <f>VLOOKUP(BD1069,$BD$4:$BN$12824,6,0)*BE1069</f>
        <v>56048.642088690613</v>
      </c>
      <c r="BS1069" s="866">
        <f>VLOOKUP(BD1069,$BD$4:$BN$12824,7,0)*BE1069</f>
        <v>0</v>
      </c>
      <c r="BT1069" s="866"/>
      <c r="BU1069" s="866">
        <f>VLOOKUP(BD1069,$BD$4:$BN$12824,9,0)*BE1069</f>
        <v>0</v>
      </c>
      <c r="BV1069" s="867"/>
      <c r="BW1069" s="867">
        <f>VLOOKUP(BD1069,$BD$4:$BN$12824,11,0)*BE1069</f>
        <v>0</v>
      </c>
      <c r="BX1069" s="1146">
        <f t="shared" si="205"/>
        <v>529267.74468643393</v>
      </c>
      <c r="BY1069" s="867">
        <f t="shared" si="203"/>
        <v>753793.80427310406</v>
      </c>
      <c r="BZ1069" s="867">
        <f t="shared" si="204"/>
        <v>1507587.6085462081</v>
      </c>
      <c r="CA1069" s="867">
        <f>_xlfn.MAXIFS($BY$4:$BY$12824,$S$4:$S$12824,$S1069)</f>
        <v>753793.80427310406</v>
      </c>
      <c r="CB1069" s="1032"/>
      <c r="CF1069" s="946">
        <f t="shared" si="200"/>
        <v>846361.77599999995</v>
      </c>
    </row>
    <row r="1070" spans="1:84">
      <c r="A1070" s="1032"/>
      <c r="B1070" s="839" t="s">
        <v>98</v>
      </c>
      <c r="C1070" s="839" t="s">
        <v>2689</v>
      </c>
      <c r="D1070" s="839" t="s">
        <v>3775</v>
      </c>
      <c r="E1070" s="839" t="s">
        <v>3775</v>
      </c>
      <c r="F1070" s="841">
        <v>45680</v>
      </c>
      <c r="G1070" s="840" t="s">
        <v>2689</v>
      </c>
      <c r="H1070" s="842" t="s">
        <v>102</v>
      </c>
      <c r="I1070" s="842" t="s">
        <v>3776</v>
      </c>
      <c r="J1070" s="841">
        <v>45717</v>
      </c>
      <c r="K1070" s="841" t="s">
        <v>3777</v>
      </c>
      <c r="L1070" s="843" t="s">
        <v>106</v>
      </c>
      <c r="M1070" s="844" t="s">
        <v>107</v>
      </c>
      <c r="N1070" s="841"/>
      <c r="O1070" s="841" t="s">
        <v>150</v>
      </c>
      <c r="P1070" s="841" t="s">
        <v>156</v>
      </c>
      <c r="Q1070" s="843"/>
      <c r="R1070" s="845">
        <v>21202500</v>
      </c>
      <c r="S1070" s="1127" t="s">
        <v>3229</v>
      </c>
      <c r="T1070" s="843" t="s">
        <v>3778</v>
      </c>
      <c r="U1070" s="842">
        <v>1</v>
      </c>
      <c r="V1070" s="842" t="s">
        <v>3</v>
      </c>
      <c r="W1070" s="846">
        <v>2370</v>
      </c>
      <c r="X1070" s="847">
        <f t="shared" si="195"/>
        <v>2370</v>
      </c>
      <c r="Y1070" s="848">
        <v>0.5</v>
      </c>
      <c r="Z1070" s="849">
        <v>1185</v>
      </c>
      <c r="AA1070" s="849"/>
      <c r="AB1070" s="849">
        <f t="shared" si="196"/>
        <v>1185</v>
      </c>
      <c r="AC1070" s="850">
        <f t="shared" si="197"/>
        <v>1185</v>
      </c>
      <c r="AD1070" s="851"/>
      <c r="AE1070" s="852">
        <v>27126.98</v>
      </c>
      <c r="AF1070" s="853">
        <v>0</v>
      </c>
      <c r="AG1070" s="854">
        <f t="shared" si="198"/>
        <v>0</v>
      </c>
      <c r="AH1070" s="853">
        <v>0.08</v>
      </c>
      <c r="AI1070" s="855">
        <f t="shared" si="199"/>
        <v>3311797.7039999999</v>
      </c>
      <c r="AJ1070" s="845" t="s">
        <v>3779</v>
      </c>
      <c r="AK1070" s="857">
        <v>45750</v>
      </c>
      <c r="AL1070" s="840" t="s">
        <v>3780</v>
      </c>
      <c r="AM1070" s="840"/>
      <c r="AN1070" s="858"/>
      <c r="AO1070" s="844" t="s">
        <v>116</v>
      </c>
      <c r="AP1070" s="859"/>
      <c r="AQ1070" s="859">
        <v>45841</v>
      </c>
      <c r="AR1070" s="859">
        <v>45964</v>
      </c>
      <c r="AS1070" s="840"/>
      <c r="AT1070" s="840"/>
      <c r="AU1070" s="860" t="s">
        <v>3749</v>
      </c>
      <c r="AV1070" s="839" t="s">
        <v>3781</v>
      </c>
      <c r="AW1070" s="861">
        <v>45964</v>
      </c>
      <c r="AX1070" s="862" t="s">
        <v>3751</v>
      </c>
      <c r="AY1070" s="843"/>
      <c r="AZ1070" s="842"/>
      <c r="BA1070" s="842" t="s">
        <v>120</v>
      </c>
      <c r="BB1070" s="863" t="s">
        <v>121</v>
      </c>
      <c r="BC1070" s="864">
        <v>45729</v>
      </c>
      <c r="BD1070" s="860" t="s">
        <v>3782</v>
      </c>
      <c r="BE1070" s="865" cm="1">
        <f t="array" ref="BE1070">IF(BD1070="","",AC1070/SUMPRODUCT(--(BD1070=$BD$4:$BD$12824),$AC$4:$AC$12824))</f>
        <v>1</v>
      </c>
      <c r="BF1070" s="458">
        <v>9252000</v>
      </c>
      <c r="BG1070" s="458"/>
      <c r="BH1070" s="458"/>
      <c r="BI1070" s="458"/>
      <c r="BJ1070" s="458"/>
      <c r="BK1070" s="458"/>
      <c r="BL1070" s="458"/>
      <c r="BM1070" s="458"/>
      <c r="BN1070" s="458">
        <v>600000</v>
      </c>
      <c r="BO1070" s="866">
        <f>VLOOKUP(BD1070,$BD$4:$BN$12824,3,0)*BE1070</f>
        <v>9252000</v>
      </c>
      <c r="BP1070" s="866"/>
      <c r="BQ1070" s="866"/>
      <c r="BR1070" s="866">
        <f>VLOOKUP(BD1070,$BD$4:$BN$12824,6,0)*BE1070</f>
        <v>0</v>
      </c>
      <c r="BS1070" s="866">
        <f>VLOOKUP(BD1070,$BD$4:$BN$12824,7,0)*BE1070</f>
        <v>0</v>
      </c>
      <c r="BT1070" s="866"/>
      <c r="BU1070" s="866">
        <f>VLOOKUP(BD1070,$BD$4:$BN$12824,9,0)*BE1070</f>
        <v>0</v>
      </c>
      <c r="BV1070" s="867"/>
      <c r="BW1070" s="867">
        <f>VLOOKUP(BD1070,$BD$4:$BN$12824,11,0)*BE1070</f>
        <v>600000</v>
      </c>
      <c r="BX1070" s="1146">
        <f t="shared" si="205"/>
        <v>9852000</v>
      </c>
      <c r="BY1070" s="867">
        <f t="shared" si="203"/>
        <v>41997471.299999997</v>
      </c>
      <c r="BZ1070" s="867">
        <f t="shared" si="204"/>
        <v>41997471.299999997</v>
      </c>
      <c r="CA1070" s="867">
        <f>_xlfn.MAXIFS($BY$4:$BY$12824,$S$4:$S$12824,$S1070)</f>
        <v>41997471.299999997</v>
      </c>
      <c r="CB1070" s="1032"/>
      <c r="CF1070" s="946">
        <f t="shared" si="200"/>
        <v>32145471.300000001</v>
      </c>
    </row>
    <row r="1071" spans="1:84">
      <c r="A1071" s="1032"/>
      <c r="B1071" s="839" t="s">
        <v>98</v>
      </c>
      <c r="C1071" s="839" t="s">
        <v>3783</v>
      </c>
      <c r="D1071" s="839" t="s">
        <v>3784</v>
      </c>
      <c r="E1071" s="839" t="s">
        <v>3785</v>
      </c>
      <c r="F1071" s="841">
        <v>45680</v>
      </c>
      <c r="G1071" s="840" t="s">
        <v>3786</v>
      </c>
      <c r="H1071" s="842" t="s">
        <v>134</v>
      </c>
      <c r="I1071" s="842"/>
      <c r="J1071" s="841"/>
      <c r="K1071" s="841"/>
      <c r="L1071" s="843" t="s">
        <v>106</v>
      </c>
      <c r="M1071" s="844" t="s">
        <v>107</v>
      </c>
      <c r="N1071" s="841"/>
      <c r="O1071" s="841" t="s">
        <v>150</v>
      </c>
      <c r="P1071" s="841" t="s">
        <v>461</v>
      </c>
      <c r="Q1071" s="843"/>
      <c r="R1071" s="845" t="s">
        <v>3787</v>
      </c>
      <c r="S1071" s="1127" t="s">
        <v>3788</v>
      </c>
      <c r="T1071" s="843" t="s">
        <v>3789</v>
      </c>
      <c r="U1071" s="842">
        <v>1</v>
      </c>
      <c r="V1071" s="842" t="s">
        <v>3</v>
      </c>
      <c r="W1071" s="846">
        <v>9620</v>
      </c>
      <c r="X1071" s="847">
        <f t="shared" si="195"/>
        <v>9620</v>
      </c>
      <c r="Y1071" s="848">
        <f t="shared" ref="Y1071:Y1099" si="206">(W1071-Z1071)/W1071</f>
        <v>0.57499999999999996</v>
      </c>
      <c r="Z1071" s="849">
        <v>4088.5</v>
      </c>
      <c r="AA1071" s="849"/>
      <c r="AB1071" s="849">
        <f t="shared" si="196"/>
        <v>4088.5</v>
      </c>
      <c r="AC1071" s="850">
        <f t="shared" si="197"/>
        <v>4088.5</v>
      </c>
      <c r="AD1071" s="851">
        <v>29000</v>
      </c>
      <c r="AE1071" s="852">
        <v>27298.880000000001</v>
      </c>
      <c r="AF1071" s="853">
        <v>0.25</v>
      </c>
      <c r="AG1071" s="854">
        <f t="shared" si="198"/>
        <v>28387899.970675074</v>
      </c>
      <c r="AH1071" s="853">
        <v>0.08</v>
      </c>
      <c r="AI1071" s="855">
        <f t="shared" si="199"/>
        <v>13530201.908054007</v>
      </c>
      <c r="AJ1071" s="845" t="s">
        <v>3790</v>
      </c>
      <c r="AK1071" s="857" t="s">
        <v>3401</v>
      </c>
      <c r="AL1071" s="840" t="s">
        <v>3791</v>
      </c>
      <c r="AM1071" s="840"/>
      <c r="AN1071" s="858"/>
      <c r="AO1071" s="844" t="s">
        <v>141</v>
      </c>
      <c r="AP1071" s="859" t="s">
        <v>3792</v>
      </c>
      <c r="AQ1071" s="859"/>
      <c r="AR1071" s="859" t="s">
        <v>3793</v>
      </c>
      <c r="AS1071" s="840"/>
      <c r="AT1071" s="840"/>
      <c r="AU1071" s="860" t="s">
        <v>3794</v>
      </c>
      <c r="AV1071" s="839" t="s">
        <v>3795</v>
      </c>
      <c r="AW1071" s="861">
        <v>45733</v>
      </c>
      <c r="AX1071" s="862" t="s">
        <v>3796</v>
      </c>
      <c r="AY1071" s="843"/>
      <c r="AZ1071" s="842"/>
      <c r="BA1071" s="842" t="s">
        <v>120</v>
      </c>
      <c r="BB1071" s="863" t="s">
        <v>121</v>
      </c>
      <c r="BC1071" s="864">
        <v>45735</v>
      </c>
      <c r="BD1071" s="860" t="s">
        <v>3797</v>
      </c>
      <c r="BE1071" s="865" cm="1">
        <f t="array" ref="BE1071">IF(BD1071="","",AC1071/SUMPRODUCT(--(BD1071=$BD$4:$BD$12824),$AC$4:$AC$12824))</f>
        <v>6.6606660666066603E-2</v>
      </c>
      <c r="BF1071" s="458">
        <v>27555120</v>
      </c>
      <c r="BG1071" s="458"/>
      <c r="BH1071" s="458"/>
      <c r="BI1071" s="458">
        <f>9641250+5300000</f>
        <v>14941250</v>
      </c>
      <c r="BJ1071" s="458">
        <v>1573033</v>
      </c>
      <c r="BK1071" s="458"/>
      <c r="BL1071" s="458">
        <f>(500000+1388889+816667)</f>
        <v>2705556</v>
      </c>
      <c r="BM1071" s="458"/>
      <c r="BN1071" s="458">
        <v>600000</v>
      </c>
      <c r="BO1071" s="866">
        <f>VLOOKUP(BD1071,$BD$4:$BN$12824,3,0)*BE1071</f>
        <v>1835354.5274527452</v>
      </c>
      <c r="BP1071" s="866"/>
      <c r="BQ1071" s="866"/>
      <c r="BR1071" s="866">
        <f>VLOOKUP(BD1071,$BD$4:$BN$12824,6,0)*BE1071</f>
        <v>995186.76867686759</v>
      </c>
      <c r="BS1071" s="866">
        <f>VLOOKUP(BD1071,$BD$4:$BN$12824,7,0)*BE1071</f>
        <v>104774.47524752475</v>
      </c>
      <c r="BT1071" s="866"/>
      <c r="BU1071" s="866">
        <f>VLOOKUP(BD1071,$BD$4:$BN$12824,9,0)*BE1071</f>
        <v>180208.0504050405</v>
      </c>
      <c r="BV1071" s="867"/>
      <c r="BW1071" s="867">
        <f>VLOOKUP(BD1071,$BD$4:$BN$12824,11,0)*BE1071</f>
        <v>39963.99639963996</v>
      </c>
      <c r="BX1071" s="1146">
        <f t="shared" si="205"/>
        <v>3155487.8181818179</v>
      </c>
      <c r="BY1071" s="867">
        <f t="shared" si="203"/>
        <v>143154858.66885689</v>
      </c>
      <c r="BZ1071" s="867">
        <f t="shared" si="204"/>
        <v>143154858.66885689</v>
      </c>
      <c r="CA1071" s="867">
        <f>_xlfn.MAXIFS($BY$4:$BY$12824,$S$4:$S$12824,$S1071)</f>
        <v>143154858.66885689</v>
      </c>
      <c r="CB1071" s="1032"/>
      <c r="CF1071" s="946">
        <f t="shared" si="200"/>
        <v>111611470.88000001</v>
      </c>
    </row>
    <row r="1072" spans="1:84">
      <c r="A1072" s="1032"/>
      <c r="B1072" s="839" t="s">
        <v>98</v>
      </c>
      <c r="C1072" s="839" t="s">
        <v>3783</v>
      </c>
      <c r="D1072" s="839" t="s">
        <v>3784</v>
      </c>
      <c r="E1072" s="839" t="s">
        <v>3785</v>
      </c>
      <c r="F1072" s="841">
        <v>45680</v>
      </c>
      <c r="G1072" s="840" t="s">
        <v>3786</v>
      </c>
      <c r="H1072" s="842" t="s">
        <v>134</v>
      </c>
      <c r="I1072" s="842"/>
      <c r="J1072" s="841"/>
      <c r="K1072" s="841"/>
      <c r="L1072" s="843" t="s">
        <v>106</v>
      </c>
      <c r="M1072" s="844" t="s">
        <v>107</v>
      </c>
      <c r="N1072" s="841"/>
      <c r="O1072" s="841" t="s">
        <v>150</v>
      </c>
      <c r="P1072" s="841" t="s">
        <v>461</v>
      </c>
      <c r="Q1072" s="843"/>
      <c r="R1072" s="845" t="s">
        <v>3798</v>
      </c>
      <c r="S1072" s="1127" t="s">
        <v>3799</v>
      </c>
      <c r="T1072" s="843" t="s">
        <v>3800</v>
      </c>
      <c r="U1072" s="842">
        <v>1</v>
      </c>
      <c r="V1072" s="842" t="s">
        <v>3</v>
      </c>
      <c r="W1072" s="846">
        <v>8230</v>
      </c>
      <c r="X1072" s="847">
        <f t="shared" si="195"/>
        <v>8230</v>
      </c>
      <c r="Y1072" s="848">
        <f t="shared" si="206"/>
        <v>0.57499999999999996</v>
      </c>
      <c r="Z1072" s="849">
        <v>3497.75</v>
      </c>
      <c r="AA1072" s="849"/>
      <c r="AB1072" s="849">
        <f t="shared" si="196"/>
        <v>3497.75</v>
      </c>
      <c r="AC1072" s="850">
        <f t="shared" si="197"/>
        <v>3497.75</v>
      </c>
      <c r="AD1072" s="851">
        <v>29000</v>
      </c>
      <c r="AE1072" s="852">
        <v>27298.880000000001</v>
      </c>
      <c r="AF1072" s="853">
        <v>0.25</v>
      </c>
      <c r="AG1072" s="854">
        <f t="shared" si="198"/>
        <v>24286114.008176282</v>
      </c>
      <c r="AH1072" s="853">
        <v>0.08</v>
      </c>
      <c r="AI1072" s="855">
        <f t="shared" si="199"/>
        <v>9581661.722254103</v>
      </c>
      <c r="AJ1072" s="845" t="s">
        <v>3790</v>
      </c>
      <c r="AK1072" s="857" t="s">
        <v>3401</v>
      </c>
      <c r="AL1072" s="840" t="s">
        <v>3791</v>
      </c>
      <c r="AM1072" s="840"/>
      <c r="AN1072" s="858"/>
      <c r="AO1072" s="844" t="s">
        <v>141</v>
      </c>
      <c r="AP1072" s="859" t="s">
        <v>3792</v>
      </c>
      <c r="AQ1072" s="859"/>
      <c r="AR1072" s="859" t="s">
        <v>3793</v>
      </c>
      <c r="AS1072" s="840"/>
      <c r="AT1072" s="840"/>
      <c r="AU1072" s="860" t="s">
        <v>3794</v>
      </c>
      <c r="AV1072" s="839" t="s">
        <v>3795</v>
      </c>
      <c r="AW1072" s="861">
        <v>45733</v>
      </c>
      <c r="AX1072" s="862" t="s">
        <v>3796</v>
      </c>
      <c r="AY1072" s="843"/>
      <c r="AZ1072" s="842"/>
      <c r="BA1072" s="842" t="s">
        <v>120</v>
      </c>
      <c r="BB1072" s="863" t="s">
        <v>121</v>
      </c>
      <c r="BC1072" s="864">
        <v>45735</v>
      </c>
      <c r="BD1072" s="860" t="s">
        <v>3797</v>
      </c>
      <c r="BE1072" s="865" cm="1">
        <f t="array" ref="BE1072">IF(BD1072="","",AC1072/SUMPRODUCT(--(BD1072=$BD$4:$BD$12824),$AC$4:$AC$12824))</f>
        <v>5.6982621339056981E-2</v>
      </c>
      <c r="BF1072" s="458"/>
      <c r="BG1072" s="458"/>
      <c r="BH1072" s="458"/>
      <c r="BI1072" s="458"/>
      <c r="BJ1072" s="458"/>
      <c r="BK1072" s="458"/>
      <c r="BL1072" s="458"/>
      <c r="BM1072" s="458"/>
      <c r="BN1072" s="458"/>
      <c r="BO1072" s="866">
        <f>VLOOKUP(BD1072,$BD$4:$BN$12824,3,0)*BE1072</f>
        <v>1570162.9689122757</v>
      </c>
      <c r="BP1072" s="866"/>
      <c r="BQ1072" s="866"/>
      <c r="BR1072" s="866">
        <f>VLOOKUP(BD1072,$BD$4:$BN$12824,6,0)*BE1072</f>
        <v>851391.59108218516</v>
      </c>
      <c r="BS1072" s="866">
        <f>VLOOKUP(BD1072,$BD$4:$BN$12824,7,0)*BE1072</f>
        <v>89635.543792840821</v>
      </c>
      <c r="BT1072" s="866"/>
      <c r="BU1072" s="866">
        <f>VLOOKUP(BD1072,$BD$4:$BN$12824,9,0)*BE1072</f>
        <v>154169.67305961365</v>
      </c>
      <c r="BV1072" s="867"/>
      <c r="BW1072" s="867">
        <f>VLOOKUP(BD1072,$BD$4:$BN$12824,11,0)*BE1072</f>
        <v>34189.572803434188</v>
      </c>
      <c r="BX1072" s="1146">
        <f t="shared" ref="BX1072:BX1099" si="207">SUM(BO1072:BW1072)</f>
        <v>2699549.3496503495</v>
      </c>
      <c r="BY1072" s="867">
        <f t="shared" si="203"/>
        <v>122470320.87782665</v>
      </c>
      <c r="BZ1072" s="867">
        <f t="shared" si="204"/>
        <v>122470320.87782665</v>
      </c>
      <c r="CA1072" s="867">
        <f>_xlfn.MAXIFS($BY$4:$BY$12824,$S$4:$S$12824,$S1072)</f>
        <v>122470320.87782665</v>
      </c>
      <c r="CB1072" s="1032"/>
      <c r="CF1072" s="946">
        <f t="shared" si="200"/>
        <v>95484657.520000011</v>
      </c>
    </row>
    <row r="1073" spans="1:84">
      <c r="A1073" s="1032"/>
      <c r="B1073" s="839" t="s">
        <v>98</v>
      </c>
      <c r="C1073" s="839" t="s">
        <v>3783</v>
      </c>
      <c r="D1073" s="839" t="s">
        <v>3784</v>
      </c>
      <c r="E1073" s="839" t="s">
        <v>3785</v>
      </c>
      <c r="F1073" s="841">
        <v>45680</v>
      </c>
      <c r="G1073" s="840" t="s">
        <v>3786</v>
      </c>
      <c r="H1073" s="842" t="s">
        <v>134</v>
      </c>
      <c r="I1073" s="842"/>
      <c r="J1073" s="841"/>
      <c r="K1073" s="841"/>
      <c r="L1073" s="843" t="s">
        <v>106</v>
      </c>
      <c r="M1073" s="844" t="s">
        <v>107</v>
      </c>
      <c r="N1073" s="841"/>
      <c r="O1073" s="841" t="s">
        <v>150</v>
      </c>
      <c r="P1073" s="841" t="s">
        <v>151</v>
      </c>
      <c r="Q1073" s="843"/>
      <c r="R1073" s="845" t="s">
        <v>3801</v>
      </c>
      <c r="S1073" s="1127" t="s">
        <v>3802</v>
      </c>
      <c r="T1073" s="843" t="s">
        <v>3803</v>
      </c>
      <c r="U1073" s="842">
        <v>4</v>
      </c>
      <c r="V1073" s="842" t="s">
        <v>3</v>
      </c>
      <c r="W1073" s="846">
        <v>1670</v>
      </c>
      <c r="X1073" s="847">
        <f t="shared" si="195"/>
        <v>6680</v>
      </c>
      <c r="Y1073" s="848">
        <f t="shared" si="206"/>
        <v>0.57499999999999996</v>
      </c>
      <c r="Z1073" s="849">
        <v>709.75</v>
      </c>
      <c r="AA1073" s="849"/>
      <c r="AB1073" s="849">
        <f t="shared" si="196"/>
        <v>2839</v>
      </c>
      <c r="AC1073" s="850">
        <f t="shared" si="197"/>
        <v>2839</v>
      </c>
      <c r="AD1073" s="851">
        <v>29000</v>
      </c>
      <c r="AE1073" s="852">
        <v>27298.880000000001</v>
      </c>
      <c r="AF1073" s="853">
        <v>0.25</v>
      </c>
      <c r="AG1073" s="854">
        <f t="shared" si="198"/>
        <v>19712180.021217201</v>
      </c>
      <c r="AH1073" s="853">
        <v>0.08</v>
      </c>
      <c r="AI1073" s="855">
        <f t="shared" si="199"/>
        <v>7777096.0272973767</v>
      </c>
      <c r="AJ1073" s="845" t="s">
        <v>3790</v>
      </c>
      <c r="AK1073" s="857" t="s">
        <v>3401</v>
      </c>
      <c r="AL1073" s="840" t="s">
        <v>3791</v>
      </c>
      <c r="AM1073" s="840"/>
      <c r="AN1073" s="858"/>
      <c r="AO1073" s="844" t="s">
        <v>141</v>
      </c>
      <c r="AP1073" s="859" t="s">
        <v>3792</v>
      </c>
      <c r="AQ1073" s="859"/>
      <c r="AR1073" s="859" t="s">
        <v>3793</v>
      </c>
      <c r="AS1073" s="840"/>
      <c r="AT1073" s="840"/>
      <c r="AU1073" s="860" t="s">
        <v>3794</v>
      </c>
      <c r="AV1073" s="839" t="s">
        <v>3795</v>
      </c>
      <c r="AW1073" s="861">
        <v>45733</v>
      </c>
      <c r="AX1073" s="862" t="s">
        <v>3796</v>
      </c>
      <c r="AY1073" s="843"/>
      <c r="AZ1073" s="842"/>
      <c r="BA1073" s="842" t="s">
        <v>120</v>
      </c>
      <c r="BB1073" s="863" t="s">
        <v>121</v>
      </c>
      <c r="BC1073" s="864">
        <v>45735</v>
      </c>
      <c r="BD1073" s="860" t="s">
        <v>3797</v>
      </c>
      <c r="BE1073" s="865" cm="1">
        <f t="array" ref="BE1073">IF(BD1073="","",AC1073/SUMPRODUCT(--(BD1073=$BD$4:$BD$12824),$AC$4:$AC$12824))</f>
        <v>4.6250778924046249E-2</v>
      </c>
      <c r="BF1073" s="458"/>
      <c r="BG1073" s="458"/>
      <c r="BH1073" s="458"/>
      <c r="BI1073" s="458"/>
      <c r="BJ1073" s="458"/>
      <c r="BK1073" s="458"/>
      <c r="BL1073" s="458"/>
      <c r="BM1073" s="458"/>
      <c r="BN1073" s="458"/>
      <c r="BO1073" s="866">
        <f>VLOOKUP(BD1073,$BD$4:$BN$12824,3,0)*BE1073</f>
        <v>1274445.7633455652</v>
      </c>
      <c r="BP1073" s="866"/>
      <c r="BQ1073" s="866"/>
      <c r="BR1073" s="866">
        <f>VLOOKUP(BD1073,$BD$4:$BN$12824,6,0)*BE1073</f>
        <v>691044.45059890603</v>
      </c>
      <c r="BS1073" s="866">
        <f>VLOOKUP(BD1073,$BD$4:$BN$12824,7,0)*BE1073</f>
        <v>72754.001523229235</v>
      </c>
      <c r="BT1073" s="866"/>
      <c r="BU1073" s="866">
        <f>VLOOKUP(BD1073,$BD$4:$BN$12824,9,0)*BE1073</f>
        <v>125134.07242262686</v>
      </c>
      <c r="BV1073" s="867"/>
      <c r="BW1073" s="867">
        <f>VLOOKUP(BD1073,$BD$4:$BN$12824,11,0)*BE1073</f>
        <v>27750.46735442775</v>
      </c>
      <c r="BX1073" s="1146">
        <f t="shared" si="207"/>
        <v>2191128.7552447547</v>
      </c>
      <c r="BY1073" s="867">
        <f t="shared" si="203"/>
        <v>24851207.274115492</v>
      </c>
      <c r="BZ1073" s="867">
        <f t="shared" si="204"/>
        <v>99404829.096461967</v>
      </c>
      <c r="CA1073" s="867">
        <f>_xlfn.MAXIFS($BY$4:$BY$12824,$S$4:$S$12824,$S1073)</f>
        <v>35621241.8125</v>
      </c>
      <c r="CB1073" s="1032"/>
      <c r="CF1073" s="946">
        <f t="shared" si="200"/>
        <v>77501520.320000008</v>
      </c>
    </row>
    <row r="1074" spans="1:84">
      <c r="A1074" s="1032"/>
      <c r="B1074" s="839" t="s">
        <v>98</v>
      </c>
      <c r="C1074" s="839" t="s">
        <v>3783</v>
      </c>
      <c r="D1074" s="839" t="s">
        <v>3784</v>
      </c>
      <c r="E1074" s="839" t="s">
        <v>3785</v>
      </c>
      <c r="F1074" s="841">
        <v>45680</v>
      </c>
      <c r="G1074" s="840" t="s">
        <v>3786</v>
      </c>
      <c r="H1074" s="842" t="s">
        <v>134</v>
      </c>
      <c r="I1074" s="842"/>
      <c r="J1074" s="841"/>
      <c r="K1074" s="841"/>
      <c r="L1074" s="843" t="s">
        <v>106</v>
      </c>
      <c r="M1074" s="844" t="s">
        <v>107</v>
      </c>
      <c r="N1074" s="841"/>
      <c r="O1074" s="841" t="s">
        <v>150</v>
      </c>
      <c r="P1074" s="841" t="s">
        <v>151</v>
      </c>
      <c r="Q1074" s="843"/>
      <c r="R1074" s="845" t="s">
        <v>3804</v>
      </c>
      <c r="S1074" s="1127" t="s">
        <v>3805</v>
      </c>
      <c r="T1074" s="843" t="s">
        <v>3806</v>
      </c>
      <c r="U1074" s="842">
        <v>2</v>
      </c>
      <c r="V1074" s="842" t="s">
        <v>3</v>
      </c>
      <c r="W1074" s="846">
        <v>3190</v>
      </c>
      <c r="X1074" s="847">
        <f t="shared" si="195"/>
        <v>6380</v>
      </c>
      <c r="Y1074" s="848">
        <f t="shared" si="206"/>
        <v>0.57499999999999996</v>
      </c>
      <c r="Z1074" s="849">
        <v>1355.75</v>
      </c>
      <c r="AA1074" s="849"/>
      <c r="AB1074" s="849">
        <f t="shared" si="196"/>
        <v>2711.5</v>
      </c>
      <c r="AC1074" s="850">
        <f t="shared" si="197"/>
        <v>2711.5</v>
      </c>
      <c r="AD1074" s="851">
        <v>29000</v>
      </c>
      <c r="AE1074" s="852">
        <v>27298.880000000001</v>
      </c>
      <c r="AF1074" s="853">
        <v>0.25</v>
      </c>
      <c r="AG1074" s="854">
        <f t="shared" si="198"/>
        <v>18826902.47535415</v>
      </c>
      <c r="AH1074" s="853">
        <v>0.08</v>
      </c>
      <c r="AI1074" s="855">
        <f t="shared" si="199"/>
        <v>7427825.2476283321</v>
      </c>
      <c r="AJ1074" s="845" t="s">
        <v>3790</v>
      </c>
      <c r="AK1074" s="857" t="s">
        <v>3401</v>
      </c>
      <c r="AL1074" s="840" t="s">
        <v>3791</v>
      </c>
      <c r="AM1074" s="840"/>
      <c r="AN1074" s="858"/>
      <c r="AO1074" s="844" t="s">
        <v>141</v>
      </c>
      <c r="AP1074" s="859" t="s">
        <v>3792</v>
      </c>
      <c r="AQ1074" s="859"/>
      <c r="AR1074" s="859" t="s">
        <v>3793</v>
      </c>
      <c r="AS1074" s="840"/>
      <c r="AT1074" s="840"/>
      <c r="AU1074" s="860" t="s">
        <v>3794</v>
      </c>
      <c r="AV1074" s="839" t="s">
        <v>3795</v>
      </c>
      <c r="AW1074" s="861">
        <v>45733</v>
      </c>
      <c r="AX1074" s="862" t="s">
        <v>3796</v>
      </c>
      <c r="AY1074" s="843"/>
      <c r="AZ1074" s="842"/>
      <c r="BA1074" s="842" t="s">
        <v>120</v>
      </c>
      <c r="BB1074" s="863" t="s">
        <v>121</v>
      </c>
      <c r="BC1074" s="864">
        <v>45735</v>
      </c>
      <c r="BD1074" s="860" t="s">
        <v>3797</v>
      </c>
      <c r="BE1074" s="865" cm="1">
        <f t="array" ref="BE1074">IF(BD1074="","",AC1074/SUMPRODUCT(--(BD1074=$BD$4:$BD$12824),$AC$4:$AC$12824))</f>
        <v>4.4173648134044174E-2</v>
      </c>
      <c r="BF1074" s="458"/>
      <c r="BG1074" s="458"/>
      <c r="BH1074" s="458"/>
      <c r="BI1074" s="458"/>
      <c r="BJ1074" s="458"/>
      <c r="BK1074" s="458"/>
      <c r="BL1074" s="458"/>
      <c r="BM1074" s="458"/>
      <c r="BN1074" s="458"/>
      <c r="BO1074" s="866">
        <f>VLOOKUP(BD1074,$BD$4:$BN$12824,3,0)*BE1074</f>
        <v>1217210.1751713634</v>
      </c>
      <c r="BP1074" s="866"/>
      <c r="BQ1074" s="866"/>
      <c r="BR1074" s="866">
        <f>VLOOKUP(BD1074,$BD$4:$BN$12824,6,0)*BE1074</f>
        <v>660009.52018278756</v>
      </c>
      <c r="BS1074" s="866">
        <f>VLOOKUP(BD1074,$BD$4:$BN$12824,7,0)*BE1074</f>
        <v>69486.606245239906</v>
      </c>
      <c r="BT1074" s="866"/>
      <c r="BU1074" s="866">
        <f>VLOOKUP(BD1074,$BD$4:$BN$12824,9,0)*BE1074</f>
        <v>119514.27875095203</v>
      </c>
      <c r="BV1074" s="867"/>
      <c r="BW1074" s="867">
        <f>VLOOKUP(BD1074,$BD$4:$BN$12824,11,0)*BE1074</f>
        <v>26504.188880426504</v>
      </c>
      <c r="BX1074" s="1146">
        <f t="shared" si="207"/>
        <v>2092724.7692307697</v>
      </c>
      <c r="BY1074" s="867">
        <f t="shared" si="203"/>
        <v>47470270.182292461</v>
      </c>
      <c r="BZ1074" s="867">
        <f t="shared" si="204"/>
        <v>94940540.364584923</v>
      </c>
      <c r="CA1074" s="867">
        <f>_xlfn.MAXIFS($BY$4:$BY$12824,$S$4:$S$12824,$S1074)</f>
        <v>47470270.182292461</v>
      </c>
      <c r="CB1074" s="944">
        <v>163990000</v>
      </c>
      <c r="CC1074" s="1062">
        <f>CB1074*75%</f>
        <v>122992500</v>
      </c>
      <c r="CD1074" s="997">
        <f>(CC1074/1.1-BY1074-CC1074*25%)*80%/CC1074</f>
        <v>0.21850417515911078</v>
      </c>
      <c r="CE1074" s="997"/>
      <c r="CF1074" s="946">
        <f t="shared" si="200"/>
        <v>74020913.120000005</v>
      </c>
    </row>
    <row r="1075" spans="1:84">
      <c r="A1075" s="1032"/>
      <c r="B1075" s="839" t="s">
        <v>98</v>
      </c>
      <c r="C1075" s="839" t="s">
        <v>3783</v>
      </c>
      <c r="D1075" s="839" t="s">
        <v>3784</v>
      </c>
      <c r="E1075" s="839" t="s">
        <v>3785</v>
      </c>
      <c r="F1075" s="841">
        <v>45680</v>
      </c>
      <c r="G1075" s="840" t="s">
        <v>3786</v>
      </c>
      <c r="H1075" s="842" t="s">
        <v>134</v>
      </c>
      <c r="I1075" s="842"/>
      <c r="J1075" s="841"/>
      <c r="K1075" s="841"/>
      <c r="L1075" s="843" t="s">
        <v>106</v>
      </c>
      <c r="M1075" s="844" t="s">
        <v>107</v>
      </c>
      <c r="N1075" s="841"/>
      <c r="O1075" s="841" t="s">
        <v>150</v>
      </c>
      <c r="P1075" s="841" t="s">
        <v>151</v>
      </c>
      <c r="Q1075" s="843"/>
      <c r="R1075" s="845" t="s">
        <v>3807</v>
      </c>
      <c r="S1075" s="1127" t="s">
        <v>3808</v>
      </c>
      <c r="T1075" s="843" t="s">
        <v>3809</v>
      </c>
      <c r="U1075" s="842">
        <v>4</v>
      </c>
      <c r="V1075" s="842" t="s">
        <v>3</v>
      </c>
      <c r="W1075" s="846">
        <v>3110</v>
      </c>
      <c r="X1075" s="847">
        <f t="shared" si="195"/>
        <v>12440</v>
      </c>
      <c r="Y1075" s="848">
        <f t="shared" si="206"/>
        <v>0.57499999999999996</v>
      </c>
      <c r="Z1075" s="849">
        <v>1321.75</v>
      </c>
      <c r="AA1075" s="849"/>
      <c r="AB1075" s="849">
        <f t="shared" si="196"/>
        <v>5287</v>
      </c>
      <c r="AC1075" s="850">
        <f t="shared" si="197"/>
        <v>5287</v>
      </c>
      <c r="AD1075" s="851">
        <v>29000</v>
      </c>
      <c r="AE1075" s="852">
        <v>27298.880000000001</v>
      </c>
      <c r="AF1075" s="853">
        <v>0.25</v>
      </c>
      <c r="AG1075" s="854">
        <f t="shared" si="198"/>
        <v>36709508.901787713</v>
      </c>
      <c r="AH1075" s="853">
        <v>0.08</v>
      </c>
      <c r="AI1075" s="855">
        <f t="shared" si="199"/>
        <v>14483094.996943016</v>
      </c>
      <c r="AJ1075" s="845" t="s">
        <v>3790</v>
      </c>
      <c r="AK1075" s="857" t="s">
        <v>3401</v>
      </c>
      <c r="AL1075" s="840" t="s">
        <v>3791</v>
      </c>
      <c r="AM1075" s="840"/>
      <c r="AN1075" s="858"/>
      <c r="AO1075" s="844" t="s">
        <v>141</v>
      </c>
      <c r="AP1075" s="859" t="s">
        <v>3792</v>
      </c>
      <c r="AQ1075" s="859"/>
      <c r="AR1075" s="859" t="s">
        <v>3793</v>
      </c>
      <c r="AS1075" s="840"/>
      <c r="AT1075" s="840"/>
      <c r="AU1075" s="860" t="s">
        <v>3794</v>
      </c>
      <c r="AV1075" s="839" t="s">
        <v>3795</v>
      </c>
      <c r="AW1075" s="861">
        <v>45733</v>
      </c>
      <c r="AX1075" s="862" t="s">
        <v>3796</v>
      </c>
      <c r="AY1075" s="843"/>
      <c r="AZ1075" s="842"/>
      <c r="BA1075" s="842" t="s">
        <v>120</v>
      </c>
      <c r="BB1075" s="863" t="s">
        <v>121</v>
      </c>
      <c r="BC1075" s="864">
        <v>45735</v>
      </c>
      <c r="BD1075" s="860" t="s">
        <v>3797</v>
      </c>
      <c r="BE1075" s="865" cm="1">
        <f t="array" ref="BE1075">IF(BD1075="","",AC1075/SUMPRODUCT(--(BD1075=$BD$4:$BD$12824),$AC$4:$AC$12824))</f>
        <v>8.6131690092086127E-2</v>
      </c>
      <c r="BF1075" s="458"/>
      <c r="BG1075" s="458"/>
      <c r="BH1075" s="458"/>
      <c r="BI1075" s="458"/>
      <c r="BJ1075" s="458"/>
      <c r="BK1075" s="458"/>
      <c r="BL1075" s="458"/>
      <c r="BM1075" s="458"/>
      <c r="BN1075" s="458"/>
      <c r="BO1075" s="866">
        <f>VLOOKUP(BD1075,$BD$4:$BN$12824,3,0)*BE1075</f>
        <v>2373369.0562902442</v>
      </c>
      <c r="BP1075" s="866"/>
      <c r="BQ1075" s="866"/>
      <c r="BR1075" s="866">
        <f>VLOOKUP(BD1075,$BD$4:$BN$12824,6,0)*BE1075</f>
        <v>1286915.114588382</v>
      </c>
      <c r="BS1075" s="866">
        <f>VLOOKUP(BD1075,$BD$4:$BN$12824,7,0)*BE1075</f>
        <v>135487.99086062453</v>
      </c>
      <c r="BT1075" s="866"/>
      <c r="BU1075" s="866">
        <f>VLOOKUP(BD1075,$BD$4:$BN$12824,9,0)*BE1075</f>
        <v>233034.11091878416</v>
      </c>
      <c r="BV1075" s="867"/>
      <c r="BW1075" s="867">
        <f>VLOOKUP(BD1075,$BD$4:$BN$12824,11,0)*BE1075</f>
        <v>51679.014055251675</v>
      </c>
      <c r="BX1075" s="1146">
        <f t="shared" si="207"/>
        <v>4080485.2867132868</v>
      </c>
      <c r="BY1075" s="867">
        <f t="shared" si="203"/>
        <v>46279793.187125243</v>
      </c>
      <c r="BZ1075" s="867">
        <f t="shared" si="204"/>
        <v>185119172.74850097</v>
      </c>
      <c r="CA1075" s="867">
        <f>_xlfn.MAXIFS($BY$4:$BY$12824,$S$4:$S$12824,$S1075)</f>
        <v>46279793.187125243</v>
      </c>
      <c r="CB1075" s="1032"/>
      <c r="CF1075" s="946">
        <f t="shared" si="200"/>
        <v>144329178.56</v>
      </c>
    </row>
    <row r="1076" spans="1:84">
      <c r="A1076" s="1032"/>
      <c r="B1076" s="839" t="s">
        <v>98</v>
      </c>
      <c r="C1076" s="839" t="s">
        <v>3783</v>
      </c>
      <c r="D1076" s="839" t="s">
        <v>3784</v>
      </c>
      <c r="E1076" s="839" t="s">
        <v>3785</v>
      </c>
      <c r="F1076" s="841">
        <v>45680</v>
      </c>
      <c r="G1076" s="840" t="s">
        <v>3786</v>
      </c>
      <c r="H1076" s="842" t="s">
        <v>134</v>
      </c>
      <c r="I1076" s="842"/>
      <c r="J1076" s="841"/>
      <c r="K1076" s="841"/>
      <c r="L1076" s="843" t="s">
        <v>106</v>
      </c>
      <c r="M1076" s="844" t="s">
        <v>107</v>
      </c>
      <c r="N1076" s="841"/>
      <c r="O1076" s="841" t="s">
        <v>150</v>
      </c>
      <c r="P1076" s="841" t="s">
        <v>151</v>
      </c>
      <c r="Q1076" s="843"/>
      <c r="R1076" s="845" t="s">
        <v>3810</v>
      </c>
      <c r="S1076" s="1127" t="s">
        <v>3811</v>
      </c>
      <c r="T1076" s="843" t="s">
        <v>3812</v>
      </c>
      <c r="U1076" s="842">
        <v>2</v>
      </c>
      <c r="V1076" s="842" t="s">
        <v>3</v>
      </c>
      <c r="W1076" s="846">
        <v>6290</v>
      </c>
      <c r="X1076" s="847">
        <f t="shared" si="195"/>
        <v>12580</v>
      </c>
      <c r="Y1076" s="848">
        <f t="shared" si="206"/>
        <v>0.57499999999999996</v>
      </c>
      <c r="Z1076" s="849">
        <v>2673.25</v>
      </c>
      <c r="AA1076" s="849"/>
      <c r="AB1076" s="849">
        <f t="shared" si="196"/>
        <v>5346.5</v>
      </c>
      <c r="AC1076" s="850">
        <f t="shared" si="197"/>
        <v>5346.5</v>
      </c>
      <c r="AD1076" s="851">
        <v>29000</v>
      </c>
      <c r="AE1076" s="852">
        <v>27298.880000000001</v>
      </c>
      <c r="AF1076" s="853">
        <v>0.25</v>
      </c>
      <c r="AG1076" s="854">
        <f t="shared" si="198"/>
        <v>37122638.423190475</v>
      </c>
      <c r="AH1076" s="853">
        <v>0.08</v>
      </c>
      <c r="AI1076" s="855">
        <f t="shared" si="199"/>
        <v>14646088.02745524</v>
      </c>
      <c r="AJ1076" s="845" t="s">
        <v>3790</v>
      </c>
      <c r="AK1076" s="857" t="s">
        <v>3401</v>
      </c>
      <c r="AL1076" s="840" t="s">
        <v>3791</v>
      </c>
      <c r="AM1076" s="840"/>
      <c r="AN1076" s="858"/>
      <c r="AO1076" s="844" t="s">
        <v>141</v>
      </c>
      <c r="AP1076" s="859" t="s">
        <v>3792</v>
      </c>
      <c r="AQ1076" s="859"/>
      <c r="AR1076" s="859" t="s">
        <v>3793</v>
      </c>
      <c r="AS1076" s="840"/>
      <c r="AT1076" s="840"/>
      <c r="AU1076" s="860" t="s">
        <v>3794</v>
      </c>
      <c r="AV1076" s="839" t="s">
        <v>3795</v>
      </c>
      <c r="AW1076" s="861">
        <v>45733</v>
      </c>
      <c r="AX1076" s="862" t="s">
        <v>3796</v>
      </c>
      <c r="AY1076" s="843"/>
      <c r="AZ1076" s="842"/>
      <c r="BA1076" s="842" t="s">
        <v>120</v>
      </c>
      <c r="BB1076" s="863" t="s">
        <v>121</v>
      </c>
      <c r="BC1076" s="864">
        <v>45735</v>
      </c>
      <c r="BD1076" s="860" t="s">
        <v>3797</v>
      </c>
      <c r="BE1076" s="865" cm="1">
        <f t="array" ref="BE1076">IF(BD1076="","",AC1076/SUMPRODUCT(--(BD1076=$BD$4:$BD$12824),$AC$4:$AC$12824))</f>
        <v>8.7101017794087104E-2</v>
      </c>
      <c r="BF1076" s="458"/>
      <c r="BG1076" s="458"/>
      <c r="BH1076" s="458"/>
      <c r="BI1076" s="458"/>
      <c r="BJ1076" s="458"/>
      <c r="BK1076" s="458"/>
      <c r="BL1076" s="458"/>
      <c r="BM1076" s="458"/>
      <c r="BN1076" s="458"/>
      <c r="BO1076" s="866">
        <f>VLOOKUP(BD1076,$BD$4:$BN$12824,3,0)*BE1076</f>
        <v>2400078.9974382054</v>
      </c>
      <c r="BP1076" s="866"/>
      <c r="BQ1076" s="866"/>
      <c r="BR1076" s="866">
        <f>VLOOKUP(BD1076,$BD$4:$BN$12824,6,0)*BE1076</f>
        <v>1301398.082115904</v>
      </c>
      <c r="BS1076" s="866">
        <f>VLOOKUP(BD1076,$BD$4:$BN$12824,7,0)*BE1076</f>
        <v>137012.77532368622</v>
      </c>
      <c r="BT1076" s="866"/>
      <c r="BU1076" s="866">
        <f>VLOOKUP(BD1076,$BD$4:$BN$12824,9,0)*BE1076</f>
        <v>235656.68129889914</v>
      </c>
      <c r="BV1076" s="867"/>
      <c r="BW1076" s="867">
        <f>VLOOKUP(BD1076,$BD$4:$BN$12824,11,0)*BE1076</f>
        <v>52260.610676452263</v>
      </c>
      <c r="BX1076" s="1146">
        <f t="shared" si="207"/>
        <v>4126407.1468531466</v>
      </c>
      <c r="BY1076" s="867">
        <f t="shared" si="203"/>
        <v>93601253.74502182</v>
      </c>
      <c r="BZ1076" s="867">
        <f t="shared" si="204"/>
        <v>187202507.49004364</v>
      </c>
      <c r="CA1076" s="867">
        <f>_xlfn.MAXIFS($BY$4:$BY$12824,$S$4:$S$12824,$S1076)</f>
        <v>93601253.74502182</v>
      </c>
      <c r="CB1076" s="1032"/>
      <c r="CF1076" s="946">
        <f t="shared" si="200"/>
        <v>145953461.92000002</v>
      </c>
    </row>
    <row r="1077" spans="1:84">
      <c r="A1077" s="1032"/>
      <c r="B1077" s="839" t="s">
        <v>98</v>
      </c>
      <c r="C1077" s="839" t="s">
        <v>3783</v>
      </c>
      <c r="D1077" s="839" t="s">
        <v>3784</v>
      </c>
      <c r="E1077" s="839" t="s">
        <v>3785</v>
      </c>
      <c r="F1077" s="841">
        <v>45680</v>
      </c>
      <c r="G1077" s="840" t="s">
        <v>3786</v>
      </c>
      <c r="H1077" s="842" t="s">
        <v>134</v>
      </c>
      <c r="I1077" s="842"/>
      <c r="J1077" s="841"/>
      <c r="K1077" s="841"/>
      <c r="L1077" s="843" t="s">
        <v>106</v>
      </c>
      <c r="M1077" s="844" t="s">
        <v>107</v>
      </c>
      <c r="N1077" s="841"/>
      <c r="O1077" s="841" t="s">
        <v>150</v>
      </c>
      <c r="P1077" s="841" t="s">
        <v>461</v>
      </c>
      <c r="Q1077" s="843"/>
      <c r="R1077" s="845" t="s">
        <v>3813</v>
      </c>
      <c r="S1077" s="1127" t="s">
        <v>3814</v>
      </c>
      <c r="T1077" s="843" t="s">
        <v>3815</v>
      </c>
      <c r="U1077" s="842">
        <v>1</v>
      </c>
      <c r="V1077" s="842" t="s">
        <v>3</v>
      </c>
      <c r="W1077" s="846">
        <v>2330</v>
      </c>
      <c r="X1077" s="847">
        <f t="shared" si="195"/>
        <v>2330</v>
      </c>
      <c r="Y1077" s="848">
        <f t="shared" si="206"/>
        <v>0.57499999999999996</v>
      </c>
      <c r="Z1077" s="849">
        <v>990.25</v>
      </c>
      <c r="AA1077" s="849"/>
      <c r="AB1077" s="849">
        <f t="shared" si="196"/>
        <v>990.25</v>
      </c>
      <c r="AC1077" s="850">
        <f t="shared" si="197"/>
        <v>990.25</v>
      </c>
      <c r="AD1077" s="851">
        <v>29000</v>
      </c>
      <c r="AE1077" s="852">
        <v>27298.880000000001</v>
      </c>
      <c r="AF1077" s="853">
        <v>0.25</v>
      </c>
      <c r="AG1077" s="854">
        <f t="shared" si="198"/>
        <v>6875655.6062030056</v>
      </c>
      <c r="AH1077" s="853">
        <v>0.08</v>
      </c>
      <c r="AI1077" s="855">
        <f t="shared" si="199"/>
        <v>2712669.7220962406</v>
      </c>
      <c r="AJ1077" s="845" t="s">
        <v>3790</v>
      </c>
      <c r="AK1077" s="857" t="s">
        <v>3401</v>
      </c>
      <c r="AL1077" s="840" t="s">
        <v>3791</v>
      </c>
      <c r="AM1077" s="840"/>
      <c r="AN1077" s="858"/>
      <c r="AO1077" s="844" t="s">
        <v>141</v>
      </c>
      <c r="AP1077" s="859" t="s">
        <v>3792</v>
      </c>
      <c r="AQ1077" s="859"/>
      <c r="AR1077" s="859" t="s">
        <v>3793</v>
      </c>
      <c r="AS1077" s="840"/>
      <c r="AT1077" s="840"/>
      <c r="AU1077" s="860" t="s">
        <v>3794</v>
      </c>
      <c r="AV1077" s="839" t="s">
        <v>3795</v>
      </c>
      <c r="AW1077" s="861">
        <v>45733</v>
      </c>
      <c r="AX1077" s="862" t="s">
        <v>3796</v>
      </c>
      <c r="AY1077" s="843"/>
      <c r="AZ1077" s="842"/>
      <c r="BA1077" s="842" t="s">
        <v>120</v>
      </c>
      <c r="BB1077" s="863" t="s">
        <v>121</v>
      </c>
      <c r="BC1077" s="864">
        <v>45735</v>
      </c>
      <c r="BD1077" s="860" t="s">
        <v>3797</v>
      </c>
      <c r="BE1077" s="865" cm="1">
        <f t="array" ref="BE1077">IF(BD1077="","",AC1077/SUMPRODUCT(--(BD1077=$BD$4:$BD$12824),$AC$4:$AC$12824))</f>
        <v>1.6132382469016132E-2</v>
      </c>
      <c r="BF1077" s="458"/>
      <c r="BG1077" s="458"/>
      <c r="BH1077" s="458"/>
      <c r="BI1077" s="458"/>
      <c r="BJ1077" s="458"/>
      <c r="BK1077" s="458"/>
      <c r="BL1077" s="458"/>
      <c r="BM1077" s="458"/>
      <c r="BN1077" s="458"/>
      <c r="BO1077" s="866">
        <f>VLOOKUP(BD1077,$BD$4:$BN$12824,3,0)*BE1077</f>
        <v>444529.73481963581</v>
      </c>
      <c r="BP1077" s="866"/>
      <c r="BQ1077" s="866"/>
      <c r="BR1077" s="866">
        <f>VLOOKUP(BD1077,$BD$4:$BN$12824,6,0)*BE1077</f>
        <v>241037.95956518728</v>
      </c>
      <c r="BS1077" s="866">
        <f>VLOOKUP(BD1077,$BD$4:$BN$12824,7,0)*BE1077</f>
        <v>25376.769992383852</v>
      </c>
      <c r="BT1077" s="866"/>
      <c r="BU1077" s="866">
        <f>VLOOKUP(BD1077,$BD$4:$BN$12824,9,0)*BE1077</f>
        <v>43647.064183341412</v>
      </c>
      <c r="BV1077" s="867"/>
      <c r="BW1077" s="867">
        <f>VLOOKUP(BD1077,$BD$4:$BN$12824,11,0)*BE1077</f>
        <v>9679.4294814096793</v>
      </c>
      <c r="BX1077" s="1146">
        <f t="shared" si="207"/>
        <v>764270.95804195816</v>
      </c>
      <c r="BY1077" s="867">
        <f t="shared" si="203"/>
        <v>34672642.484244965</v>
      </c>
      <c r="BZ1077" s="867">
        <f t="shared" si="204"/>
        <v>34672642.484244965</v>
      </c>
      <c r="CA1077" s="867">
        <f>_xlfn.MAXIFS($BY$4:$BY$12824,$S$4:$S$12824,$S1077)</f>
        <v>34672642.484244965</v>
      </c>
      <c r="CB1077" s="1032"/>
      <c r="CF1077" s="946">
        <f t="shared" si="200"/>
        <v>27032715.920000002</v>
      </c>
    </row>
    <row r="1078" spans="1:84">
      <c r="A1078" s="1032"/>
      <c r="B1078" s="839" t="s">
        <v>98</v>
      </c>
      <c r="C1078" s="839" t="s">
        <v>3783</v>
      </c>
      <c r="D1078" s="839" t="s">
        <v>3784</v>
      </c>
      <c r="E1078" s="839" t="s">
        <v>3785</v>
      </c>
      <c r="F1078" s="841">
        <v>45680</v>
      </c>
      <c r="G1078" s="840" t="s">
        <v>3786</v>
      </c>
      <c r="H1078" s="842" t="s">
        <v>134</v>
      </c>
      <c r="I1078" s="842"/>
      <c r="J1078" s="841"/>
      <c r="K1078" s="841"/>
      <c r="L1078" s="843" t="s">
        <v>106</v>
      </c>
      <c r="M1078" s="844" t="s">
        <v>107</v>
      </c>
      <c r="N1078" s="841"/>
      <c r="O1078" s="841" t="s">
        <v>150</v>
      </c>
      <c r="P1078" s="841" t="s">
        <v>461</v>
      </c>
      <c r="Q1078" s="843"/>
      <c r="R1078" s="845" t="s">
        <v>3816</v>
      </c>
      <c r="S1078" s="1127" t="s">
        <v>3817</v>
      </c>
      <c r="T1078" s="843" t="s">
        <v>3818</v>
      </c>
      <c r="U1078" s="842">
        <v>1</v>
      </c>
      <c r="V1078" s="842" t="s">
        <v>3</v>
      </c>
      <c r="W1078" s="846">
        <v>2640</v>
      </c>
      <c r="X1078" s="847">
        <f t="shared" si="195"/>
        <v>2640</v>
      </c>
      <c r="Y1078" s="848">
        <f t="shared" si="206"/>
        <v>0.57499999999999996</v>
      </c>
      <c r="Z1078" s="849">
        <v>1122</v>
      </c>
      <c r="AA1078" s="849"/>
      <c r="AB1078" s="849">
        <f t="shared" si="196"/>
        <v>1122</v>
      </c>
      <c r="AC1078" s="850">
        <f t="shared" si="197"/>
        <v>1122</v>
      </c>
      <c r="AD1078" s="851">
        <v>29000</v>
      </c>
      <c r="AE1078" s="852">
        <v>27298.880000000001</v>
      </c>
      <c r="AF1078" s="853">
        <v>0.25</v>
      </c>
      <c r="AG1078" s="854">
        <f t="shared" si="198"/>
        <v>7790442.4035948208</v>
      </c>
      <c r="AH1078" s="853">
        <v>0.08</v>
      </c>
      <c r="AI1078" s="855">
        <f t="shared" si="199"/>
        <v>3073582.8610875858</v>
      </c>
      <c r="AJ1078" s="845" t="s">
        <v>3790</v>
      </c>
      <c r="AK1078" s="857" t="s">
        <v>3401</v>
      </c>
      <c r="AL1078" s="840" t="s">
        <v>3791</v>
      </c>
      <c r="AM1078" s="840"/>
      <c r="AN1078" s="858"/>
      <c r="AO1078" s="844" t="s">
        <v>141</v>
      </c>
      <c r="AP1078" s="859" t="s">
        <v>3792</v>
      </c>
      <c r="AQ1078" s="859"/>
      <c r="AR1078" s="859" t="s">
        <v>3793</v>
      </c>
      <c r="AS1078" s="840"/>
      <c r="AT1078" s="840"/>
      <c r="AU1078" s="860" t="s">
        <v>3794</v>
      </c>
      <c r="AV1078" s="839" t="s">
        <v>3795</v>
      </c>
      <c r="AW1078" s="861">
        <v>45733</v>
      </c>
      <c r="AX1078" s="862" t="s">
        <v>3796</v>
      </c>
      <c r="AY1078" s="843"/>
      <c r="AZ1078" s="842"/>
      <c r="BA1078" s="842" t="s">
        <v>120</v>
      </c>
      <c r="BB1078" s="863" t="s">
        <v>121</v>
      </c>
      <c r="BC1078" s="864">
        <v>45735</v>
      </c>
      <c r="BD1078" s="860" t="s">
        <v>3797</v>
      </c>
      <c r="BE1078" s="865" cm="1">
        <f t="array" ref="BE1078">IF(BD1078="","",AC1078/SUMPRODUCT(--(BD1078=$BD$4:$BD$12824),$AC$4:$AC$12824))</f>
        <v>1.827875095201828E-2</v>
      </c>
      <c r="BF1078" s="458"/>
      <c r="BG1078" s="458"/>
      <c r="BH1078" s="458"/>
      <c r="BI1078" s="458"/>
      <c r="BJ1078" s="458"/>
      <c r="BK1078" s="458"/>
      <c r="BL1078" s="458"/>
      <c r="BM1078" s="458"/>
      <c r="BN1078" s="458"/>
      <c r="BO1078" s="866">
        <f>VLOOKUP(BD1078,$BD$4:$BN$12824,3,0)*BE1078</f>
        <v>503673.17593297793</v>
      </c>
      <c r="BP1078" s="866"/>
      <c r="BQ1078" s="866"/>
      <c r="BR1078" s="866">
        <f>VLOOKUP(BD1078,$BD$4:$BN$12824,6,0)*BE1078</f>
        <v>273107.38766184315</v>
      </c>
      <c r="BS1078" s="866">
        <f>VLOOKUP(BD1078,$BD$4:$BN$12824,7,0)*BE1078</f>
        <v>28753.078446306172</v>
      </c>
      <c r="BT1078" s="866"/>
      <c r="BU1078" s="866">
        <f>VLOOKUP(BD1078,$BD$4:$BN$12824,9,0)*BE1078</f>
        <v>49454.184310738769</v>
      </c>
      <c r="BV1078" s="867"/>
      <c r="BW1078" s="867">
        <f>VLOOKUP(BD1078,$BD$4:$BN$12824,11,0)*BE1078</f>
        <v>10967.250571210969</v>
      </c>
      <c r="BX1078" s="1146">
        <f t="shared" si="207"/>
        <v>865955.07692307711</v>
      </c>
      <c r="BY1078" s="867">
        <f t="shared" si="203"/>
        <v>39285740.840517901</v>
      </c>
      <c r="BZ1078" s="867">
        <f t="shared" si="204"/>
        <v>39285740.840517901</v>
      </c>
      <c r="CA1078" s="867">
        <f>_xlfn.MAXIFS($BY$4:$BY$12824,$S$4:$S$12824,$S1078)</f>
        <v>39285740.840517901</v>
      </c>
      <c r="CB1078" s="1032"/>
      <c r="CF1078" s="946">
        <f t="shared" si="200"/>
        <v>30629343.359999999</v>
      </c>
    </row>
    <row r="1079" spans="1:84">
      <c r="A1079" s="1032"/>
      <c r="B1079" s="839" t="s">
        <v>98</v>
      </c>
      <c r="C1079" s="839" t="s">
        <v>3783</v>
      </c>
      <c r="D1079" s="839" t="s">
        <v>3784</v>
      </c>
      <c r="E1079" s="839" t="s">
        <v>3785</v>
      </c>
      <c r="F1079" s="841">
        <v>45680</v>
      </c>
      <c r="G1079" s="840" t="s">
        <v>3786</v>
      </c>
      <c r="H1079" s="842" t="s">
        <v>134</v>
      </c>
      <c r="I1079" s="842"/>
      <c r="J1079" s="841"/>
      <c r="K1079" s="841"/>
      <c r="L1079" s="843" t="s">
        <v>106</v>
      </c>
      <c r="M1079" s="844" t="s">
        <v>107</v>
      </c>
      <c r="N1079" s="841"/>
      <c r="O1079" s="841" t="s">
        <v>150</v>
      </c>
      <c r="P1079" s="841" t="s">
        <v>461</v>
      </c>
      <c r="Q1079" s="843"/>
      <c r="R1079" s="845" t="s">
        <v>3819</v>
      </c>
      <c r="S1079" s="1127" t="s">
        <v>3820</v>
      </c>
      <c r="T1079" s="843" t="s">
        <v>3821</v>
      </c>
      <c r="U1079" s="842">
        <v>1</v>
      </c>
      <c r="V1079" s="842" t="s">
        <v>3</v>
      </c>
      <c r="W1079" s="846">
        <v>1490</v>
      </c>
      <c r="X1079" s="847">
        <f t="shared" si="195"/>
        <v>1490</v>
      </c>
      <c r="Y1079" s="848">
        <f t="shared" si="206"/>
        <v>0.57499999999999996</v>
      </c>
      <c r="Z1079" s="849">
        <v>633.25</v>
      </c>
      <c r="AA1079" s="849"/>
      <c r="AB1079" s="849">
        <f t="shared" si="196"/>
        <v>633.25</v>
      </c>
      <c r="AC1079" s="850">
        <f t="shared" si="197"/>
        <v>633.25</v>
      </c>
      <c r="AD1079" s="851">
        <v>29000</v>
      </c>
      <c r="AE1079" s="852">
        <v>27298.880000000001</v>
      </c>
      <c r="AF1079" s="853">
        <v>0.25</v>
      </c>
      <c r="AG1079" s="854">
        <f t="shared" si="198"/>
        <v>4396878.4777864721</v>
      </c>
      <c r="AH1079" s="853">
        <v>0.08</v>
      </c>
      <c r="AI1079" s="855">
        <f t="shared" si="199"/>
        <v>1734711.5390229179</v>
      </c>
      <c r="AJ1079" s="845" t="s">
        <v>3790</v>
      </c>
      <c r="AK1079" s="857" t="s">
        <v>3401</v>
      </c>
      <c r="AL1079" s="840" t="s">
        <v>3791</v>
      </c>
      <c r="AM1079" s="840"/>
      <c r="AN1079" s="858"/>
      <c r="AO1079" s="844" t="s">
        <v>141</v>
      </c>
      <c r="AP1079" s="859" t="s">
        <v>3792</v>
      </c>
      <c r="AQ1079" s="859"/>
      <c r="AR1079" s="859" t="s">
        <v>3793</v>
      </c>
      <c r="AS1079" s="840"/>
      <c r="AT1079" s="840"/>
      <c r="AU1079" s="860" t="s">
        <v>3794</v>
      </c>
      <c r="AV1079" s="839" t="s">
        <v>3795</v>
      </c>
      <c r="AW1079" s="861">
        <v>45733</v>
      </c>
      <c r="AX1079" s="862" t="s">
        <v>3796</v>
      </c>
      <c r="AY1079" s="843"/>
      <c r="AZ1079" s="842"/>
      <c r="BA1079" s="842" t="s">
        <v>120</v>
      </c>
      <c r="BB1079" s="863" t="s">
        <v>121</v>
      </c>
      <c r="BC1079" s="864">
        <v>45735</v>
      </c>
      <c r="BD1079" s="860" t="s">
        <v>3797</v>
      </c>
      <c r="BE1079" s="865" cm="1">
        <f t="array" ref="BE1079">IF(BD1079="","",AC1079/SUMPRODUCT(--(BD1079=$BD$4:$BD$12824),$AC$4:$AC$12824))</f>
        <v>1.0316416257010316E-2</v>
      </c>
      <c r="BF1079" s="458"/>
      <c r="BG1079" s="458"/>
      <c r="BH1079" s="458"/>
      <c r="BI1079" s="458"/>
      <c r="BJ1079" s="458"/>
      <c r="BK1079" s="458"/>
      <c r="BL1079" s="458"/>
      <c r="BM1079" s="458"/>
      <c r="BN1079" s="458"/>
      <c r="BO1079" s="866">
        <f>VLOOKUP(BD1079,$BD$4:$BN$12824,3,0)*BE1079</f>
        <v>284270.08793187008</v>
      </c>
      <c r="BP1079" s="866"/>
      <c r="BQ1079" s="866"/>
      <c r="BR1079" s="866">
        <f>VLOOKUP(BD1079,$BD$4:$BN$12824,6,0)*BE1079</f>
        <v>154140.15440005538</v>
      </c>
      <c r="BS1079" s="866">
        <f>VLOOKUP(BD1079,$BD$4:$BN$12824,7,0)*BE1079</f>
        <v>16228.063214013708</v>
      </c>
      <c r="BT1079" s="866"/>
      <c r="BU1079" s="866">
        <f>VLOOKUP(BD1079,$BD$4:$BN$12824,9,0)*BE1079</f>
        <v>27911.641902651802</v>
      </c>
      <c r="BV1079" s="867"/>
      <c r="BW1079" s="867">
        <f>VLOOKUP(BD1079,$BD$4:$BN$12824,11,0)*BE1079</f>
        <v>6189.8497542061896</v>
      </c>
      <c r="BX1079" s="1146">
        <f t="shared" si="207"/>
        <v>488739.79720279714</v>
      </c>
      <c r="BY1079" s="867">
        <f t="shared" si="203"/>
        <v>22172634.034989268</v>
      </c>
      <c r="BZ1079" s="867">
        <f t="shared" si="204"/>
        <v>22172634.034989268</v>
      </c>
      <c r="CA1079" s="867">
        <f>_xlfn.MAXIFS($BY$4:$BY$12824,$S$4:$S$12824,$S1079)</f>
        <v>22172634.034989268</v>
      </c>
      <c r="CB1079" s="1032"/>
      <c r="CF1079" s="946">
        <f t="shared" si="200"/>
        <v>17287015.760000002</v>
      </c>
    </row>
    <row r="1080" spans="1:84">
      <c r="A1080" s="1032"/>
      <c r="B1080" s="839" t="s">
        <v>98</v>
      </c>
      <c r="C1080" s="839" t="s">
        <v>3783</v>
      </c>
      <c r="D1080" s="839" t="s">
        <v>3784</v>
      </c>
      <c r="E1080" s="839" t="s">
        <v>3785</v>
      </c>
      <c r="F1080" s="841">
        <v>45680</v>
      </c>
      <c r="G1080" s="840" t="s">
        <v>3786</v>
      </c>
      <c r="H1080" s="842" t="s">
        <v>134</v>
      </c>
      <c r="I1080" s="842"/>
      <c r="J1080" s="841"/>
      <c r="K1080" s="841"/>
      <c r="L1080" s="843" t="s">
        <v>106</v>
      </c>
      <c r="M1080" s="844" t="s">
        <v>107</v>
      </c>
      <c r="N1080" s="841"/>
      <c r="O1080" s="841" t="s">
        <v>150</v>
      </c>
      <c r="P1080" s="841" t="s">
        <v>461</v>
      </c>
      <c r="Q1080" s="843"/>
      <c r="R1080" s="845" t="s">
        <v>3822</v>
      </c>
      <c r="S1080" s="1127" t="s">
        <v>3823</v>
      </c>
      <c r="T1080" s="843" t="s">
        <v>3824</v>
      </c>
      <c r="U1080" s="842">
        <v>2</v>
      </c>
      <c r="V1080" s="842" t="s">
        <v>3</v>
      </c>
      <c r="W1080" s="846">
        <v>1280</v>
      </c>
      <c r="X1080" s="847">
        <f t="shared" si="195"/>
        <v>2560</v>
      </c>
      <c r="Y1080" s="848">
        <f t="shared" si="206"/>
        <v>0.57499999999999996</v>
      </c>
      <c r="Z1080" s="849">
        <v>544</v>
      </c>
      <c r="AA1080" s="849"/>
      <c r="AB1080" s="849">
        <f t="shared" si="196"/>
        <v>1088</v>
      </c>
      <c r="AC1080" s="850">
        <f t="shared" si="197"/>
        <v>1088</v>
      </c>
      <c r="AD1080" s="851">
        <v>29000</v>
      </c>
      <c r="AE1080" s="852">
        <v>27298.880000000001</v>
      </c>
      <c r="AF1080" s="853">
        <v>0.25</v>
      </c>
      <c r="AG1080" s="854">
        <f t="shared" si="198"/>
        <v>7554368.391364675</v>
      </c>
      <c r="AH1080" s="853">
        <v>0.08</v>
      </c>
      <c r="AI1080" s="855">
        <f t="shared" si="199"/>
        <v>2980443.9865091741</v>
      </c>
      <c r="AJ1080" s="845" t="s">
        <v>3790</v>
      </c>
      <c r="AK1080" s="857" t="s">
        <v>3401</v>
      </c>
      <c r="AL1080" s="840" t="s">
        <v>3791</v>
      </c>
      <c r="AM1080" s="840"/>
      <c r="AN1080" s="858"/>
      <c r="AO1080" s="844" t="s">
        <v>141</v>
      </c>
      <c r="AP1080" s="859" t="s">
        <v>3792</v>
      </c>
      <c r="AQ1080" s="859"/>
      <c r="AR1080" s="859" t="s">
        <v>3793</v>
      </c>
      <c r="AS1080" s="840"/>
      <c r="AT1080" s="840"/>
      <c r="AU1080" s="860" t="s">
        <v>3794</v>
      </c>
      <c r="AV1080" s="839" t="s">
        <v>3795</v>
      </c>
      <c r="AW1080" s="861">
        <v>45733</v>
      </c>
      <c r="AX1080" s="862" t="s">
        <v>3796</v>
      </c>
      <c r="AY1080" s="843"/>
      <c r="AZ1080" s="842"/>
      <c r="BA1080" s="842" t="s">
        <v>120</v>
      </c>
      <c r="BB1080" s="863" t="s">
        <v>121</v>
      </c>
      <c r="BC1080" s="864">
        <v>45735</v>
      </c>
      <c r="BD1080" s="860" t="s">
        <v>3797</v>
      </c>
      <c r="BE1080" s="865" cm="1">
        <f t="array" ref="BE1080">IF(BD1080="","",AC1080/SUMPRODUCT(--(BD1080=$BD$4:$BD$12824),$AC$4:$AC$12824))</f>
        <v>1.7724849408017725E-2</v>
      </c>
      <c r="BF1080" s="458"/>
      <c r="BG1080" s="458"/>
      <c r="BH1080" s="458"/>
      <c r="BI1080" s="458"/>
      <c r="BJ1080" s="458"/>
      <c r="BK1080" s="458"/>
      <c r="BL1080" s="458"/>
      <c r="BM1080" s="458"/>
      <c r="BN1080" s="458"/>
      <c r="BO1080" s="866">
        <f>VLOOKUP(BD1080,$BD$4:$BN$12824,3,0)*BE1080</f>
        <v>488410.35241985734</v>
      </c>
      <c r="BP1080" s="866"/>
      <c r="BQ1080" s="866"/>
      <c r="BR1080" s="866">
        <f>VLOOKUP(BD1080,$BD$4:$BN$12824,6,0)*BE1080</f>
        <v>264831.40621754481</v>
      </c>
      <c r="BS1080" s="866">
        <f>VLOOKUP(BD1080,$BD$4:$BN$12824,7,0)*BE1080</f>
        <v>27881.773038842344</v>
      </c>
      <c r="BT1080" s="866"/>
      <c r="BU1080" s="866">
        <f>VLOOKUP(BD1080,$BD$4:$BN$12824,9,0)*BE1080</f>
        <v>47955.572664958803</v>
      </c>
      <c r="BV1080" s="867"/>
      <c r="BW1080" s="867">
        <f>VLOOKUP(BD1080,$BD$4:$BN$12824,11,0)*BE1080</f>
        <v>10634.909644810636</v>
      </c>
      <c r="BX1080" s="1146">
        <f t="shared" si="207"/>
        <v>839714.01398601395</v>
      </c>
      <c r="BY1080" s="867">
        <f t="shared" si="203"/>
        <v>19047631.922675345</v>
      </c>
      <c r="BZ1080" s="867">
        <f t="shared" si="204"/>
        <v>38095263.84535069</v>
      </c>
      <c r="CA1080" s="867">
        <f>_xlfn.MAXIFS($BY$4:$BY$12824,$S$4:$S$12824,$S1080)</f>
        <v>19047631.922675345</v>
      </c>
      <c r="CB1080" s="1032"/>
      <c r="CF1080" s="946">
        <f t="shared" si="200"/>
        <v>29701181.440000001</v>
      </c>
    </row>
    <row r="1081" spans="1:84">
      <c r="A1081" s="1032"/>
      <c r="B1081" s="839" t="s">
        <v>98</v>
      </c>
      <c r="C1081" s="839" t="s">
        <v>3783</v>
      </c>
      <c r="D1081" s="839" t="s">
        <v>3784</v>
      </c>
      <c r="E1081" s="839" t="s">
        <v>3785</v>
      </c>
      <c r="F1081" s="841">
        <v>45680</v>
      </c>
      <c r="G1081" s="840" t="s">
        <v>3786</v>
      </c>
      <c r="H1081" s="842" t="s">
        <v>134</v>
      </c>
      <c r="I1081" s="842"/>
      <c r="J1081" s="841"/>
      <c r="K1081" s="841"/>
      <c r="L1081" s="843" t="s">
        <v>106</v>
      </c>
      <c r="M1081" s="844" t="s">
        <v>107</v>
      </c>
      <c r="N1081" s="841"/>
      <c r="O1081" s="841" t="s">
        <v>150</v>
      </c>
      <c r="P1081" s="841" t="s">
        <v>461</v>
      </c>
      <c r="Q1081" s="843"/>
      <c r="R1081" s="845" t="s">
        <v>3825</v>
      </c>
      <c r="S1081" s="1127" t="s">
        <v>3826</v>
      </c>
      <c r="T1081" s="843" t="s">
        <v>3827</v>
      </c>
      <c r="U1081" s="842">
        <v>1</v>
      </c>
      <c r="V1081" s="842" t="s">
        <v>3</v>
      </c>
      <c r="W1081" s="846">
        <v>2070</v>
      </c>
      <c r="X1081" s="847">
        <f t="shared" si="195"/>
        <v>2070</v>
      </c>
      <c r="Y1081" s="848">
        <f t="shared" si="206"/>
        <v>0.57499999999999996</v>
      </c>
      <c r="Z1081" s="849">
        <v>879.75</v>
      </c>
      <c r="AA1081" s="849"/>
      <c r="AB1081" s="849">
        <f t="shared" si="196"/>
        <v>879.75</v>
      </c>
      <c r="AC1081" s="850">
        <f t="shared" si="197"/>
        <v>879.75</v>
      </c>
      <c r="AD1081" s="851">
        <v>29000</v>
      </c>
      <c r="AE1081" s="852">
        <v>27298.880000000001</v>
      </c>
      <c r="AF1081" s="853">
        <v>0.25</v>
      </c>
      <c r="AG1081" s="854">
        <f t="shared" si="198"/>
        <v>6108415.0664550299</v>
      </c>
      <c r="AH1081" s="853">
        <v>0.08</v>
      </c>
      <c r="AI1081" s="855">
        <f t="shared" si="199"/>
        <v>2409968.3797164024</v>
      </c>
      <c r="AJ1081" s="845" t="s">
        <v>3790</v>
      </c>
      <c r="AK1081" s="857" t="s">
        <v>3401</v>
      </c>
      <c r="AL1081" s="840" t="s">
        <v>3791</v>
      </c>
      <c r="AM1081" s="840"/>
      <c r="AN1081" s="858"/>
      <c r="AO1081" s="844" t="s">
        <v>141</v>
      </c>
      <c r="AP1081" s="859" t="s">
        <v>3792</v>
      </c>
      <c r="AQ1081" s="859"/>
      <c r="AR1081" s="859" t="s">
        <v>3793</v>
      </c>
      <c r="AS1081" s="840"/>
      <c r="AT1081" s="840"/>
      <c r="AU1081" s="860" t="s">
        <v>3794</v>
      </c>
      <c r="AV1081" s="839" t="s">
        <v>3795</v>
      </c>
      <c r="AW1081" s="861">
        <v>45733</v>
      </c>
      <c r="AX1081" s="862" t="s">
        <v>3796</v>
      </c>
      <c r="AY1081" s="843"/>
      <c r="AZ1081" s="842"/>
      <c r="BA1081" s="842" t="s">
        <v>120</v>
      </c>
      <c r="BB1081" s="863" t="s">
        <v>121</v>
      </c>
      <c r="BC1081" s="864">
        <v>45735</v>
      </c>
      <c r="BD1081" s="860" t="s">
        <v>3797</v>
      </c>
      <c r="BE1081" s="865" cm="1">
        <f t="array" ref="BE1081">IF(BD1081="","",AC1081/SUMPRODUCT(--(BD1081=$BD$4:$BD$12824),$AC$4:$AC$12824))</f>
        <v>1.4332202451014332E-2</v>
      </c>
      <c r="BF1081" s="458"/>
      <c r="BG1081" s="458"/>
      <c r="BH1081" s="458"/>
      <c r="BI1081" s="458"/>
      <c r="BJ1081" s="458"/>
      <c r="BK1081" s="458"/>
      <c r="BL1081" s="458"/>
      <c r="BM1081" s="458"/>
      <c r="BN1081" s="458"/>
      <c r="BO1081" s="866">
        <f>VLOOKUP(BD1081,$BD$4:$BN$12824,3,0)*BE1081</f>
        <v>394925.55840199406</v>
      </c>
      <c r="BP1081" s="866"/>
      <c r="BQ1081" s="866"/>
      <c r="BR1081" s="866">
        <f>VLOOKUP(BD1081,$BD$4:$BN$12824,6,0)*BE1081</f>
        <v>214141.0198712179</v>
      </c>
      <c r="BS1081" s="866">
        <f>VLOOKUP(BD1081,$BD$4:$BN$12824,7,0)*BE1081</f>
        <v>22545.027418126429</v>
      </c>
      <c r="BT1081" s="866"/>
      <c r="BU1081" s="866">
        <f>VLOOKUP(BD1081,$BD$4:$BN$12824,9,0)*BE1081</f>
        <v>38776.576334556536</v>
      </c>
      <c r="BV1081" s="867"/>
      <c r="BW1081" s="867">
        <f>VLOOKUP(BD1081,$BD$4:$BN$12824,11,0)*BE1081</f>
        <v>8599.3214706086001</v>
      </c>
      <c r="BX1081" s="1146">
        <f t="shared" si="207"/>
        <v>678987.50349650357</v>
      </c>
      <c r="BY1081" s="867">
        <f t="shared" si="203"/>
        <v>30803592.249951534</v>
      </c>
      <c r="BZ1081" s="867">
        <f t="shared" si="204"/>
        <v>30803592.249951534</v>
      </c>
      <c r="CA1081" s="867">
        <f>_xlfn.MAXIFS($BY$4:$BY$12824,$S$4:$S$12824,$S1081)</f>
        <v>30803592.249951534</v>
      </c>
      <c r="CB1081" s="1032"/>
      <c r="CF1081" s="946">
        <f t="shared" si="200"/>
        <v>24016189.68</v>
      </c>
    </row>
    <row r="1082" spans="1:84">
      <c r="A1082" s="1032"/>
      <c r="B1082" s="839" t="s">
        <v>98</v>
      </c>
      <c r="C1082" s="839" t="s">
        <v>3783</v>
      </c>
      <c r="D1082" s="839" t="s">
        <v>3784</v>
      </c>
      <c r="E1082" s="839" t="s">
        <v>3785</v>
      </c>
      <c r="F1082" s="841">
        <v>45680</v>
      </c>
      <c r="G1082" s="840" t="s">
        <v>3786</v>
      </c>
      <c r="H1082" s="842" t="s">
        <v>134</v>
      </c>
      <c r="I1082" s="842"/>
      <c r="J1082" s="841"/>
      <c r="K1082" s="841"/>
      <c r="L1082" s="843" t="s">
        <v>106</v>
      </c>
      <c r="M1082" s="844" t="s">
        <v>107</v>
      </c>
      <c r="N1082" s="841"/>
      <c r="O1082" s="841" t="s">
        <v>150</v>
      </c>
      <c r="P1082" s="841" t="s">
        <v>151</v>
      </c>
      <c r="Q1082" s="843"/>
      <c r="R1082" s="845" t="s">
        <v>3828</v>
      </c>
      <c r="S1082" s="1127" t="s">
        <v>3829</v>
      </c>
      <c r="T1082" s="843" t="s">
        <v>3830</v>
      </c>
      <c r="U1082" s="842">
        <v>2</v>
      </c>
      <c r="V1082" s="842" t="s">
        <v>3</v>
      </c>
      <c r="W1082" s="846">
        <v>1650</v>
      </c>
      <c r="X1082" s="847">
        <f t="shared" si="195"/>
        <v>3300</v>
      </c>
      <c r="Y1082" s="848">
        <f t="shared" si="206"/>
        <v>0.57499999999999996</v>
      </c>
      <c r="Z1082" s="849">
        <v>701.25</v>
      </c>
      <c r="AA1082" s="849"/>
      <c r="AB1082" s="849">
        <f t="shared" si="196"/>
        <v>1402.5</v>
      </c>
      <c r="AC1082" s="850">
        <f t="shared" si="197"/>
        <v>1402.5</v>
      </c>
      <c r="AD1082" s="851">
        <v>29000</v>
      </c>
      <c r="AE1082" s="852">
        <v>27298.880000000001</v>
      </c>
      <c r="AF1082" s="853">
        <v>0.25</v>
      </c>
      <c r="AG1082" s="854">
        <f t="shared" si="198"/>
        <v>9738053.0044935271</v>
      </c>
      <c r="AH1082" s="853">
        <v>0.08</v>
      </c>
      <c r="AI1082" s="855">
        <f t="shared" si="199"/>
        <v>3841978.5763594825</v>
      </c>
      <c r="AJ1082" s="845" t="s">
        <v>3790</v>
      </c>
      <c r="AK1082" s="857" t="s">
        <v>3401</v>
      </c>
      <c r="AL1082" s="840" t="s">
        <v>3791</v>
      </c>
      <c r="AM1082" s="840"/>
      <c r="AN1082" s="858"/>
      <c r="AO1082" s="844" t="s">
        <v>141</v>
      </c>
      <c r="AP1082" s="859" t="s">
        <v>3792</v>
      </c>
      <c r="AQ1082" s="859"/>
      <c r="AR1082" s="859" t="s">
        <v>3793</v>
      </c>
      <c r="AS1082" s="840"/>
      <c r="AT1082" s="840"/>
      <c r="AU1082" s="860" t="s">
        <v>3794</v>
      </c>
      <c r="AV1082" s="839" t="s">
        <v>3795</v>
      </c>
      <c r="AW1082" s="861">
        <v>45733</v>
      </c>
      <c r="AX1082" s="862" t="s">
        <v>3796</v>
      </c>
      <c r="AY1082" s="843"/>
      <c r="AZ1082" s="842"/>
      <c r="BA1082" s="842" t="s">
        <v>120</v>
      </c>
      <c r="BB1082" s="863" t="s">
        <v>121</v>
      </c>
      <c r="BC1082" s="864">
        <v>45735</v>
      </c>
      <c r="BD1082" s="860" t="s">
        <v>3797</v>
      </c>
      <c r="BE1082" s="865" cm="1">
        <f t="array" ref="BE1082">IF(BD1082="","",AC1082/SUMPRODUCT(--(BD1082=$BD$4:$BD$12824),$AC$4:$AC$12824))</f>
        <v>2.284843869002285E-2</v>
      </c>
      <c r="BF1082" s="458"/>
      <c r="BG1082" s="458"/>
      <c r="BH1082" s="458"/>
      <c r="BI1082" s="458"/>
      <c r="BJ1082" s="458"/>
      <c r="BK1082" s="458"/>
      <c r="BL1082" s="458"/>
      <c r="BM1082" s="458"/>
      <c r="BN1082" s="458"/>
      <c r="BO1082" s="866">
        <f>VLOOKUP(BD1082,$BD$4:$BN$12824,3,0)*BE1082</f>
        <v>629591.46991622238</v>
      </c>
      <c r="BP1082" s="866"/>
      <c r="BQ1082" s="866"/>
      <c r="BR1082" s="866">
        <f>VLOOKUP(BD1082,$BD$4:$BN$12824,6,0)*BE1082</f>
        <v>341384.23457730393</v>
      </c>
      <c r="BS1082" s="866">
        <f>VLOOKUP(BD1082,$BD$4:$BN$12824,7,0)*BE1082</f>
        <v>35941.348057882715</v>
      </c>
      <c r="BT1082" s="866"/>
      <c r="BU1082" s="866">
        <f>VLOOKUP(BD1082,$BD$4:$BN$12824,9,0)*BE1082</f>
        <v>61817.730388423464</v>
      </c>
      <c r="BV1082" s="867"/>
      <c r="BW1082" s="867">
        <f>VLOOKUP(BD1082,$BD$4:$BN$12824,11,0)*BE1082</f>
        <v>13709.06321401371</v>
      </c>
      <c r="BX1082" s="1146">
        <f t="shared" si="207"/>
        <v>1082443.8461538465</v>
      </c>
      <c r="BY1082" s="867">
        <f t="shared" si="203"/>
        <v>24553588.025323689</v>
      </c>
      <c r="BZ1082" s="867">
        <f t="shared" si="204"/>
        <v>49107176.050647378</v>
      </c>
      <c r="CA1082" s="867">
        <f>_xlfn.MAXIFS($BY$4:$BY$12824,$S$4:$S$12824,$S1082)</f>
        <v>24553588.025323689</v>
      </c>
      <c r="CB1082" s="1032"/>
      <c r="CF1082" s="946">
        <f t="shared" si="200"/>
        <v>38286679.200000003</v>
      </c>
    </row>
    <row r="1083" spans="1:84">
      <c r="A1083" s="1032"/>
      <c r="B1083" s="839" t="s">
        <v>98</v>
      </c>
      <c r="C1083" s="839" t="s">
        <v>3783</v>
      </c>
      <c r="D1083" s="839" t="s">
        <v>3784</v>
      </c>
      <c r="E1083" s="839" t="s">
        <v>3785</v>
      </c>
      <c r="F1083" s="841">
        <v>45731</v>
      </c>
      <c r="G1083" s="840" t="s">
        <v>3786</v>
      </c>
      <c r="H1083" s="842" t="s">
        <v>134</v>
      </c>
      <c r="I1083" s="842"/>
      <c r="J1083" s="841"/>
      <c r="K1083" s="841"/>
      <c r="L1083" s="843" t="s">
        <v>106</v>
      </c>
      <c r="M1083" s="844" t="s">
        <v>107</v>
      </c>
      <c r="N1083" s="841"/>
      <c r="O1083" s="841" t="s">
        <v>150</v>
      </c>
      <c r="P1083" s="841" t="s">
        <v>151</v>
      </c>
      <c r="Q1083" s="843"/>
      <c r="R1083" s="845" t="s">
        <v>3831</v>
      </c>
      <c r="S1083" s="1127" t="s">
        <v>3832</v>
      </c>
      <c r="T1083" s="843" t="s">
        <v>3833</v>
      </c>
      <c r="U1083" s="842">
        <v>2</v>
      </c>
      <c r="V1083" s="842" t="s">
        <v>3</v>
      </c>
      <c r="W1083" s="846">
        <v>1650</v>
      </c>
      <c r="X1083" s="847">
        <f t="shared" si="195"/>
        <v>3300</v>
      </c>
      <c r="Y1083" s="848">
        <f t="shared" si="206"/>
        <v>0.57499999999999996</v>
      </c>
      <c r="Z1083" s="849">
        <v>701.25</v>
      </c>
      <c r="AA1083" s="849"/>
      <c r="AB1083" s="849">
        <f t="shared" si="196"/>
        <v>1402.5</v>
      </c>
      <c r="AC1083" s="850">
        <f t="shared" si="197"/>
        <v>1402.5</v>
      </c>
      <c r="AD1083" s="851">
        <v>29000</v>
      </c>
      <c r="AE1083" s="852">
        <v>27298.880000000001</v>
      </c>
      <c r="AF1083" s="853">
        <v>0.25</v>
      </c>
      <c r="AG1083" s="854">
        <f t="shared" si="198"/>
        <v>9738053.0044935271</v>
      </c>
      <c r="AH1083" s="853">
        <v>0.08</v>
      </c>
      <c r="AI1083" s="855">
        <f t="shared" si="199"/>
        <v>3841978.5763594825</v>
      </c>
      <c r="AJ1083" s="845" t="s">
        <v>3790</v>
      </c>
      <c r="AK1083" s="857" t="s">
        <v>3401</v>
      </c>
      <c r="AL1083" s="840" t="s">
        <v>3791</v>
      </c>
      <c r="AM1083" s="840"/>
      <c r="AN1083" s="858"/>
      <c r="AO1083" s="844" t="s">
        <v>141</v>
      </c>
      <c r="AP1083" s="859" t="s">
        <v>3792</v>
      </c>
      <c r="AQ1083" s="859"/>
      <c r="AR1083" s="859" t="s">
        <v>3793</v>
      </c>
      <c r="AS1083" s="840"/>
      <c r="AT1083" s="840"/>
      <c r="AU1083" s="860" t="s">
        <v>3794</v>
      </c>
      <c r="AV1083" s="839" t="s">
        <v>3795</v>
      </c>
      <c r="AW1083" s="861">
        <v>45733</v>
      </c>
      <c r="AX1083" s="862" t="s">
        <v>3796</v>
      </c>
      <c r="AY1083" s="843"/>
      <c r="AZ1083" s="842"/>
      <c r="BA1083" s="842" t="s">
        <v>120</v>
      </c>
      <c r="BB1083" s="863" t="s">
        <v>121</v>
      </c>
      <c r="BC1083" s="864">
        <v>45735</v>
      </c>
      <c r="BD1083" s="860" t="s">
        <v>3797</v>
      </c>
      <c r="BE1083" s="865" cm="1">
        <f t="array" ref="BE1083">IF(BD1083="","",AC1083/SUMPRODUCT(--(BD1083=$BD$4:$BD$12824),$AC$4:$AC$12824))</f>
        <v>2.284843869002285E-2</v>
      </c>
      <c r="BF1083" s="458"/>
      <c r="BG1083" s="458"/>
      <c r="BH1083" s="458"/>
      <c r="BI1083" s="458"/>
      <c r="BJ1083" s="458"/>
      <c r="BK1083" s="458"/>
      <c r="BL1083" s="458"/>
      <c r="BM1083" s="458"/>
      <c r="BN1083" s="458"/>
      <c r="BO1083" s="866">
        <f>VLOOKUP(BD1083,$BD$4:$BN$12824,3,0)*BE1083</f>
        <v>629591.46991622238</v>
      </c>
      <c r="BP1083" s="866"/>
      <c r="BQ1083" s="866"/>
      <c r="BR1083" s="866">
        <f>VLOOKUP(BD1083,$BD$4:$BN$12824,6,0)*BE1083</f>
        <v>341384.23457730393</v>
      </c>
      <c r="BS1083" s="866">
        <f>VLOOKUP(BD1083,$BD$4:$BN$12824,7,0)*BE1083</f>
        <v>35941.348057882715</v>
      </c>
      <c r="BT1083" s="866"/>
      <c r="BU1083" s="866">
        <f>VLOOKUP(BD1083,$BD$4:$BN$12824,9,0)*BE1083</f>
        <v>61817.730388423464</v>
      </c>
      <c r="BV1083" s="867"/>
      <c r="BW1083" s="867">
        <f>VLOOKUP(BD1083,$BD$4:$BN$12824,11,0)*BE1083</f>
        <v>13709.06321401371</v>
      </c>
      <c r="BX1083" s="1146">
        <f t="shared" si="207"/>
        <v>1082443.8461538465</v>
      </c>
      <c r="BY1083" s="867">
        <f t="shared" si="203"/>
        <v>24553588.025323689</v>
      </c>
      <c r="BZ1083" s="867">
        <f t="shared" si="204"/>
        <v>49107176.050647378</v>
      </c>
      <c r="CA1083" s="867">
        <f>_xlfn.MAXIFS($BY$4:$BY$12824,$S$4:$S$12824,$S1083)</f>
        <v>24553588.025323689</v>
      </c>
      <c r="CB1083" s="1032"/>
      <c r="CF1083" s="946">
        <f t="shared" si="200"/>
        <v>38286679.200000003</v>
      </c>
    </row>
    <row r="1084" spans="1:84">
      <c r="A1084" s="1032"/>
      <c r="B1084" s="839" t="s">
        <v>98</v>
      </c>
      <c r="C1084" s="839" t="s">
        <v>3783</v>
      </c>
      <c r="D1084" s="839" t="s">
        <v>3784</v>
      </c>
      <c r="E1084" s="839" t="s">
        <v>3785</v>
      </c>
      <c r="F1084" s="841">
        <v>45679</v>
      </c>
      <c r="G1084" s="840" t="s">
        <v>3786</v>
      </c>
      <c r="H1084" s="842" t="s">
        <v>134</v>
      </c>
      <c r="I1084" s="842"/>
      <c r="J1084" s="841"/>
      <c r="K1084" s="841"/>
      <c r="L1084" s="843" t="s">
        <v>106</v>
      </c>
      <c r="M1084" s="844" t="s">
        <v>107</v>
      </c>
      <c r="N1084" s="841"/>
      <c r="O1084" s="841" t="s">
        <v>150</v>
      </c>
      <c r="P1084" s="841" t="s">
        <v>384</v>
      </c>
      <c r="Q1084" s="843"/>
      <c r="R1084" s="845" t="s">
        <v>3834</v>
      </c>
      <c r="S1084" s="1127" t="s">
        <v>3835</v>
      </c>
      <c r="T1084" s="843" t="s">
        <v>3836</v>
      </c>
      <c r="U1084" s="842">
        <v>1</v>
      </c>
      <c r="V1084" s="842" t="s">
        <v>3</v>
      </c>
      <c r="W1084" s="846">
        <v>13020</v>
      </c>
      <c r="X1084" s="847">
        <f t="shared" si="195"/>
        <v>13020</v>
      </c>
      <c r="Y1084" s="848">
        <f t="shared" si="206"/>
        <v>0.57499999999999996</v>
      </c>
      <c r="Z1084" s="849">
        <v>5533.5</v>
      </c>
      <c r="AA1084" s="849"/>
      <c r="AB1084" s="849">
        <f t="shared" si="196"/>
        <v>5533.5</v>
      </c>
      <c r="AC1084" s="850">
        <f t="shared" si="197"/>
        <v>5533.5</v>
      </c>
      <c r="AD1084" s="851">
        <v>29000</v>
      </c>
      <c r="AE1084" s="852">
        <v>27298.880000000001</v>
      </c>
      <c r="AF1084" s="853">
        <v>0.25</v>
      </c>
      <c r="AG1084" s="854">
        <f t="shared" si="198"/>
        <v>38421045.490456283</v>
      </c>
      <c r="AH1084" s="853">
        <v>0.08</v>
      </c>
      <c r="AI1084" s="855">
        <f t="shared" si="199"/>
        <v>15158351.837636504</v>
      </c>
      <c r="AJ1084" s="845" t="s">
        <v>3790</v>
      </c>
      <c r="AK1084" s="857" t="s">
        <v>3401</v>
      </c>
      <c r="AL1084" s="840" t="s">
        <v>3791</v>
      </c>
      <c r="AM1084" s="840"/>
      <c r="AN1084" s="858"/>
      <c r="AO1084" s="844" t="s">
        <v>141</v>
      </c>
      <c r="AP1084" s="859" t="s">
        <v>3792</v>
      </c>
      <c r="AQ1084" s="859"/>
      <c r="AR1084" s="859" t="s">
        <v>3793</v>
      </c>
      <c r="AS1084" s="840"/>
      <c r="AT1084" s="840"/>
      <c r="AU1084" s="860" t="s">
        <v>3794</v>
      </c>
      <c r="AV1084" s="839" t="s">
        <v>3795</v>
      </c>
      <c r="AW1084" s="861">
        <v>45733</v>
      </c>
      <c r="AX1084" s="862" t="s">
        <v>3796</v>
      </c>
      <c r="AY1084" s="843"/>
      <c r="AZ1084" s="842"/>
      <c r="BA1084" s="842" t="s">
        <v>120</v>
      </c>
      <c r="BB1084" s="863" t="s">
        <v>121</v>
      </c>
      <c r="BC1084" s="864">
        <v>45735</v>
      </c>
      <c r="BD1084" s="860" t="s">
        <v>3797</v>
      </c>
      <c r="BE1084" s="865" cm="1">
        <f t="array" ref="BE1084">IF(BD1084="","",AC1084/SUMPRODUCT(--(BD1084=$BD$4:$BD$12824),$AC$4:$AC$12824))</f>
        <v>9.0147476286090142E-2</v>
      </c>
      <c r="BF1084" s="458"/>
      <c r="BG1084" s="458"/>
      <c r="BH1084" s="458"/>
      <c r="BI1084" s="458"/>
      <c r="BJ1084" s="458"/>
      <c r="BK1084" s="458"/>
      <c r="BL1084" s="458"/>
      <c r="BM1084" s="458"/>
      <c r="BN1084" s="458"/>
      <c r="BO1084" s="866">
        <f>VLOOKUP(BD1084,$BD$4:$BN$12824,3,0)*BE1084</f>
        <v>2484024.5267603681</v>
      </c>
      <c r="BP1084" s="866"/>
      <c r="BQ1084" s="866"/>
      <c r="BR1084" s="866">
        <f>VLOOKUP(BD1084,$BD$4:$BN$12824,6,0)*BE1084</f>
        <v>1346915.9800595443</v>
      </c>
      <c r="BS1084" s="866">
        <f>VLOOKUP(BD1084,$BD$4:$BN$12824,7,0)*BE1084</f>
        <v>141804.95506473724</v>
      </c>
      <c r="BT1084" s="866"/>
      <c r="BU1084" s="866">
        <f>VLOOKUP(BD1084,$BD$4:$BN$12824,9,0)*BE1084</f>
        <v>243899.04535068889</v>
      </c>
      <c r="BV1084" s="867"/>
      <c r="BW1084" s="867">
        <f>VLOOKUP(BD1084,$BD$4:$BN$12824,11,0)*BE1084</f>
        <v>54088.485771654086</v>
      </c>
      <c r="BX1084" s="1146">
        <f t="shared" si="207"/>
        <v>4270732.9930069922</v>
      </c>
      <c r="BY1084" s="867">
        <f t="shared" si="203"/>
        <v>193750130.96346331</v>
      </c>
      <c r="BZ1084" s="867">
        <f t="shared" si="204"/>
        <v>193750130.96346331</v>
      </c>
      <c r="CA1084" s="867">
        <f>_xlfn.MAXIFS($BY$4:$BY$12824,$S$4:$S$12824,$S1084)</f>
        <v>193750130.96346331</v>
      </c>
      <c r="CB1084" s="1032"/>
      <c r="CF1084" s="946">
        <f t="shared" si="200"/>
        <v>151058352.48000002</v>
      </c>
    </row>
    <row r="1085" spans="1:84">
      <c r="A1085" s="1032"/>
      <c r="B1085" s="839" t="s">
        <v>98</v>
      </c>
      <c r="C1085" s="839" t="s">
        <v>3783</v>
      </c>
      <c r="D1085" s="839" t="s">
        <v>3784</v>
      </c>
      <c r="E1085" s="839" t="s">
        <v>3785</v>
      </c>
      <c r="F1085" s="841">
        <v>45679</v>
      </c>
      <c r="G1085" s="840" t="s">
        <v>3786</v>
      </c>
      <c r="H1085" s="842" t="s">
        <v>134</v>
      </c>
      <c r="I1085" s="842"/>
      <c r="J1085" s="841"/>
      <c r="K1085" s="841"/>
      <c r="L1085" s="843" t="s">
        <v>106</v>
      </c>
      <c r="M1085" s="844" t="s">
        <v>107</v>
      </c>
      <c r="N1085" s="841"/>
      <c r="O1085" s="841" t="s">
        <v>135</v>
      </c>
      <c r="P1085" s="841" t="s">
        <v>136</v>
      </c>
      <c r="Q1085" s="843"/>
      <c r="R1085" s="845" t="s">
        <v>3837</v>
      </c>
      <c r="S1085" s="1127" t="s">
        <v>3838</v>
      </c>
      <c r="T1085" s="843" t="s">
        <v>3839</v>
      </c>
      <c r="U1085" s="842">
        <v>1</v>
      </c>
      <c r="V1085" s="842" t="s">
        <v>3</v>
      </c>
      <c r="W1085" s="846">
        <v>540</v>
      </c>
      <c r="X1085" s="847">
        <f t="shared" si="195"/>
        <v>540</v>
      </c>
      <c r="Y1085" s="848">
        <f t="shared" si="206"/>
        <v>0.57499999999999996</v>
      </c>
      <c r="Z1085" s="849">
        <v>229.5</v>
      </c>
      <c r="AA1085" s="849"/>
      <c r="AB1085" s="849">
        <f t="shared" si="196"/>
        <v>229.5</v>
      </c>
      <c r="AC1085" s="850">
        <f t="shared" si="197"/>
        <v>229.5</v>
      </c>
      <c r="AD1085" s="851">
        <v>29000</v>
      </c>
      <c r="AE1085" s="852">
        <v>27298.880000000001</v>
      </c>
      <c r="AF1085" s="853">
        <v>0.25</v>
      </c>
      <c r="AG1085" s="854">
        <f t="shared" si="198"/>
        <v>1593499.5825534861</v>
      </c>
      <c r="AH1085" s="853">
        <v>0.08</v>
      </c>
      <c r="AI1085" s="855">
        <f t="shared" si="199"/>
        <v>628687.40340427891</v>
      </c>
      <c r="AJ1085" s="845" t="s">
        <v>3790</v>
      </c>
      <c r="AK1085" s="857" t="s">
        <v>3401</v>
      </c>
      <c r="AL1085" s="840" t="s">
        <v>3791</v>
      </c>
      <c r="AM1085" s="840"/>
      <c r="AN1085" s="858"/>
      <c r="AO1085" s="844" t="s">
        <v>141</v>
      </c>
      <c r="AP1085" s="859" t="s">
        <v>3792</v>
      </c>
      <c r="AQ1085" s="859"/>
      <c r="AR1085" s="859" t="s">
        <v>3793</v>
      </c>
      <c r="AS1085" s="840"/>
      <c r="AT1085" s="840"/>
      <c r="AU1085" s="860" t="s">
        <v>3794</v>
      </c>
      <c r="AV1085" s="839" t="s">
        <v>3795</v>
      </c>
      <c r="AW1085" s="861">
        <v>45733</v>
      </c>
      <c r="AX1085" s="862" t="s">
        <v>3796</v>
      </c>
      <c r="AY1085" s="843"/>
      <c r="AZ1085" s="842"/>
      <c r="BA1085" s="842" t="s">
        <v>120</v>
      </c>
      <c r="BB1085" s="863" t="s">
        <v>121</v>
      </c>
      <c r="BC1085" s="864">
        <v>45735</v>
      </c>
      <c r="BD1085" s="860" t="s">
        <v>3797</v>
      </c>
      <c r="BE1085" s="865" cm="1">
        <f t="array" ref="BE1085">IF(BD1085="","",AC1085/SUMPRODUCT(--(BD1085=$BD$4:$BD$12824),$AC$4:$AC$12824))</f>
        <v>3.7388354220037386E-3</v>
      </c>
      <c r="BF1085" s="458"/>
      <c r="BG1085" s="458"/>
      <c r="BH1085" s="458"/>
      <c r="BI1085" s="458"/>
      <c r="BJ1085" s="458"/>
      <c r="BK1085" s="458"/>
      <c r="BL1085" s="458"/>
      <c r="BM1085" s="458"/>
      <c r="BN1085" s="458"/>
      <c r="BO1085" s="866">
        <f>VLOOKUP(BD1085,$BD$4:$BN$12824,3,0)*BE1085</f>
        <v>103024.05871356366</v>
      </c>
      <c r="BP1085" s="866"/>
      <c r="BQ1085" s="866"/>
      <c r="BR1085" s="866">
        <f>VLOOKUP(BD1085,$BD$4:$BN$12824,6,0)*BE1085</f>
        <v>55862.874749013361</v>
      </c>
      <c r="BS1085" s="866">
        <f>VLOOKUP(BD1085,$BD$4:$BN$12824,7,0)*BE1085</f>
        <v>5881.311500380807</v>
      </c>
      <c r="BT1085" s="866"/>
      <c r="BU1085" s="866">
        <f>VLOOKUP(BD1085,$BD$4:$BN$12824,9,0)*BE1085</f>
        <v>10115.628609014748</v>
      </c>
      <c r="BV1085" s="867"/>
      <c r="BW1085" s="867">
        <f>VLOOKUP(BD1085,$BD$4:$BN$12824,11,0)*BE1085</f>
        <v>2243.3012532022431</v>
      </c>
      <c r="BX1085" s="1146">
        <f t="shared" si="207"/>
        <v>177127.17482517485</v>
      </c>
      <c r="BY1085" s="867">
        <f t="shared" si="203"/>
        <v>8035719.717378661</v>
      </c>
      <c r="BZ1085" s="867">
        <f t="shared" si="204"/>
        <v>8035719.717378661</v>
      </c>
      <c r="CA1085" s="867">
        <f>_xlfn.MAXIFS($BY$4:$BY$12824,$S$4:$S$12824,$S1085)</f>
        <v>8035719.717378661</v>
      </c>
      <c r="CB1085" s="1032"/>
      <c r="CF1085" s="946">
        <f t="shared" si="200"/>
        <v>6265092.96</v>
      </c>
    </row>
    <row r="1086" spans="1:84">
      <c r="A1086" s="1032"/>
      <c r="B1086" s="839" t="s">
        <v>98</v>
      </c>
      <c r="C1086" s="839" t="s">
        <v>3783</v>
      </c>
      <c r="D1086" s="839" t="s">
        <v>3784</v>
      </c>
      <c r="E1086" s="839" t="s">
        <v>3785</v>
      </c>
      <c r="F1086" s="841">
        <v>45679</v>
      </c>
      <c r="G1086" s="840" t="s">
        <v>3786</v>
      </c>
      <c r="H1086" s="842" t="s">
        <v>134</v>
      </c>
      <c r="I1086" s="842"/>
      <c r="J1086" s="841"/>
      <c r="K1086" s="841"/>
      <c r="L1086" s="843" t="s">
        <v>106</v>
      </c>
      <c r="M1086" s="844" t="s">
        <v>107</v>
      </c>
      <c r="N1086" s="841"/>
      <c r="O1086" s="841" t="s">
        <v>135</v>
      </c>
      <c r="P1086" s="841" t="s">
        <v>136</v>
      </c>
      <c r="Q1086" s="843"/>
      <c r="R1086" s="845" t="s">
        <v>3840</v>
      </c>
      <c r="S1086" s="1127" t="s">
        <v>3841</v>
      </c>
      <c r="T1086" s="843" t="s">
        <v>3842</v>
      </c>
      <c r="U1086" s="842">
        <v>2</v>
      </c>
      <c r="V1086" s="842" t="s">
        <v>3</v>
      </c>
      <c r="W1086" s="846">
        <v>450</v>
      </c>
      <c r="X1086" s="847">
        <f t="shared" si="195"/>
        <v>900</v>
      </c>
      <c r="Y1086" s="848">
        <f t="shared" si="206"/>
        <v>0.57499999999999996</v>
      </c>
      <c r="Z1086" s="849">
        <v>191.25</v>
      </c>
      <c r="AA1086" s="849"/>
      <c r="AB1086" s="849">
        <f t="shared" si="196"/>
        <v>382.5</v>
      </c>
      <c r="AC1086" s="850">
        <f t="shared" si="197"/>
        <v>382.5</v>
      </c>
      <c r="AD1086" s="851">
        <v>29000</v>
      </c>
      <c r="AE1086" s="852">
        <v>27298.880000000001</v>
      </c>
      <c r="AF1086" s="853">
        <v>0.25</v>
      </c>
      <c r="AG1086" s="854">
        <f t="shared" si="198"/>
        <v>2655832.6375891436</v>
      </c>
      <c r="AH1086" s="853">
        <v>0.08</v>
      </c>
      <c r="AI1086" s="855">
        <f t="shared" si="199"/>
        <v>1047812.3390071315</v>
      </c>
      <c r="AJ1086" s="845" t="s">
        <v>3790</v>
      </c>
      <c r="AK1086" s="857" t="s">
        <v>3401</v>
      </c>
      <c r="AL1086" s="840" t="s">
        <v>3791</v>
      </c>
      <c r="AM1086" s="840"/>
      <c r="AN1086" s="858"/>
      <c r="AO1086" s="844" t="s">
        <v>141</v>
      </c>
      <c r="AP1086" s="859" t="s">
        <v>3792</v>
      </c>
      <c r="AQ1086" s="859"/>
      <c r="AR1086" s="859" t="s">
        <v>3793</v>
      </c>
      <c r="AS1086" s="840"/>
      <c r="AT1086" s="840"/>
      <c r="AU1086" s="860" t="s">
        <v>3794</v>
      </c>
      <c r="AV1086" s="839" t="s">
        <v>3795</v>
      </c>
      <c r="AW1086" s="861">
        <v>45733</v>
      </c>
      <c r="AX1086" s="862" t="s">
        <v>3796</v>
      </c>
      <c r="AY1086" s="843"/>
      <c r="AZ1086" s="842"/>
      <c r="BA1086" s="842" t="s">
        <v>120</v>
      </c>
      <c r="BB1086" s="863" t="s">
        <v>121</v>
      </c>
      <c r="BC1086" s="864">
        <v>45735</v>
      </c>
      <c r="BD1086" s="860" t="s">
        <v>3797</v>
      </c>
      <c r="BE1086" s="865" cm="1">
        <f t="array" ref="BE1086">IF(BD1086="","",AC1086/SUMPRODUCT(--(BD1086=$BD$4:$BD$12824),$AC$4:$AC$12824))</f>
        <v>6.231392370006231E-3</v>
      </c>
      <c r="BF1086" s="458"/>
      <c r="BG1086" s="458"/>
      <c r="BH1086" s="458"/>
      <c r="BI1086" s="458"/>
      <c r="BJ1086" s="458"/>
      <c r="BK1086" s="458"/>
      <c r="BL1086" s="458"/>
      <c r="BM1086" s="458"/>
      <c r="BN1086" s="458"/>
      <c r="BO1086" s="866">
        <f>VLOOKUP(BD1086,$BD$4:$BN$12824,3,0)*BE1086</f>
        <v>171706.7645226061</v>
      </c>
      <c r="BP1086" s="866"/>
      <c r="BQ1086" s="866"/>
      <c r="BR1086" s="866">
        <f>VLOOKUP(BD1086,$BD$4:$BN$12824,6,0)*BE1086</f>
        <v>93104.791248355599</v>
      </c>
      <c r="BS1086" s="866">
        <f>VLOOKUP(BD1086,$BD$4:$BN$12824,7,0)*BE1086</f>
        <v>9802.1858339680111</v>
      </c>
      <c r="BT1086" s="866"/>
      <c r="BU1086" s="866">
        <f>VLOOKUP(BD1086,$BD$4:$BN$12824,9,0)*BE1086</f>
        <v>16859.381015024577</v>
      </c>
      <c r="BV1086" s="867"/>
      <c r="BW1086" s="867">
        <f>VLOOKUP(BD1086,$BD$4:$BN$12824,11,0)*BE1086</f>
        <v>3738.8354220037386</v>
      </c>
      <c r="BX1086" s="1146">
        <f t="shared" si="207"/>
        <v>295211.95804195799</v>
      </c>
      <c r="BY1086" s="867">
        <f t="shared" si="203"/>
        <v>6696433.0978155509</v>
      </c>
      <c r="BZ1086" s="867">
        <f t="shared" si="204"/>
        <v>13392866.195631102</v>
      </c>
      <c r="CA1086" s="867">
        <f>_xlfn.MAXIFS($BY$4:$BY$12824,$S$4:$S$12824,$S1086)</f>
        <v>6696433.0978155509</v>
      </c>
      <c r="CB1086" s="1032"/>
      <c r="CF1086" s="946">
        <f t="shared" si="200"/>
        <v>10441821.6</v>
      </c>
    </row>
    <row r="1087" spans="1:84">
      <c r="A1087" s="1032"/>
      <c r="B1087" s="839" t="s">
        <v>98</v>
      </c>
      <c r="C1087" s="839" t="s">
        <v>3783</v>
      </c>
      <c r="D1087" s="839" t="s">
        <v>3784</v>
      </c>
      <c r="E1087" s="839" t="s">
        <v>3785</v>
      </c>
      <c r="F1087" s="841">
        <v>45679</v>
      </c>
      <c r="G1087" s="840" t="s">
        <v>3786</v>
      </c>
      <c r="H1087" s="842" t="s">
        <v>134</v>
      </c>
      <c r="I1087" s="842"/>
      <c r="J1087" s="841"/>
      <c r="K1087" s="841"/>
      <c r="L1087" s="843" t="s">
        <v>106</v>
      </c>
      <c r="M1087" s="844" t="s">
        <v>107</v>
      </c>
      <c r="N1087" s="841"/>
      <c r="O1087" s="841" t="s">
        <v>135</v>
      </c>
      <c r="P1087" s="841" t="s">
        <v>136</v>
      </c>
      <c r="Q1087" s="843"/>
      <c r="R1087" s="845" t="s">
        <v>3843</v>
      </c>
      <c r="S1087" s="1127" t="s">
        <v>3844</v>
      </c>
      <c r="T1087" s="843" t="s">
        <v>3845</v>
      </c>
      <c r="U1087" s="842">
        <v>3</v>
      </c>
      <c r="V1087" s="842" t="s">
        <v>3</v>
      </c>
      <c r="W1087" s="846">
        <v>425</v>
      </c>
      <c r="X1087" s="847">
        <f t="shared" si="195"/>
        <v>1275</v>
      </c>
      <c r="Y1087" s="848">
        <f t="shared" si="206"/>
        <v>0.54</v>
      </c>
      <c r="Z1087" s="849">
        <v>195.5</v>
      </c>
      <c r="AA1087" s="849"/>
      <c r="AB1087" s="849">
        <f t="shared" si="196"/>
        <v>586.5</v>
      </c>
      <c r="AC1087" s="850">
        <f t="shared" si="197"/>
        <v>586.5</v>
      </c>
      <c r="AD1087" s="851">
        <v>29000</v>
      </c>
      <c r="AE1087" s="852">
        <v>27298.880000000001</v>
      </c>
      <c r="AF1087" s="853">
        <v>0.25</v>
      </c>
      <c r="AG1087" s="854">
        <f t="shared" si="198"/>
        <v>4072276.7109700204</v>
      </c>
      <c r="AH1087" s="853">
        <v>0.08</v>
      </c>
      <c r="AI1087" s="855">
        <f t="shared" si="199"/>
        <v>1606645.5864776019</v>
      </c>
      <c r="AJ1087" s="845" t="s">
        <v>3790</v>
      </c>
      <c r="AK1087" s="857" t="s">
        <v>3401</v>
      </c>
      <c r="AL1087" s="840" t="s">
        <v>3791</v>
      </c>
      <c r="AM1087" s="840"/>
      <c r="AN1087" s="858"/>
      <c r="AO1087" s="844" t="s">
        <v>141</v>
      </c>
      <c r="AP1087" s="859" t="s">
        <v>3792</v>
      </c>
      <c r="AQ1087" s="859"/>
      <c r="AR1087" s="859" t="s">
        <v>3793</v>
      </c>
      <c r="AS1087" s="840"/>
      <c r="AT1087" s="840"/>
      <c r="AU1087" s="860" t="s">
        <v>3794</v>
      </c>
      <c r="AV1087" s="839" t="s">
        <v>3795</v>
      </c>
      <c r="AW1087" s="861">
        <v>45733</v>
      </c>
      <c r="AX1087" s="862" t="s">
        <v>3796</v>
      </c>
      <c r="AY1087" s="843"/>
      <c r="AZ1087" s="842"/>
      <c r="BA1087" s="842" t="s">
        <v>120</v>
      </c>
      <c r="BB1087" s="863" t="s">
        <v>121</v>
      </c>
      <c r="BC1087" s="864">
        <v>45735</v>
      </c>
      <c r="BD1087" s="860" t="s">
        <v>3797</v>
      </c>
      <c r="BE1087" s="865" cm="1">
        <f t="array" ref="BE1087">IF(BD1087="","",AC1087/SUMPRODUCT(--(BD1087=$BD$4:$BD$12824),$AC$4:$AC$12824))</f>
        <v>9.5548016340095548E-3</v>
      </c>
      <c r="BF1087" s="458"/>
      <c r="BG1087" s="458"/>
      <c r="BH1087" s="458"/>
      <c r="BI1087" s="458"/>
      <c r="BJ1087" s="458"/>
      <c r="BK1087" s="458"/>
      <c r="BL1087" s="458"/>
      <c r="BM1087" s="458"/>
      <c r="BN1087" s="458"/>
      <c r="BO1087" s="866">
        <f>VLOOKUP(BD1087,$BD$4:$BN$12824,3,0)*BE1087</f>
        <v>263283.70560132939</v>
      </c>
      <c r="BP1087" s="866"/>
      <c r="BQ1087" s="866"/>
      <c r="BR1087" s="866">
        <f>VLOOKUP(BD1087,$BD$4:$BN$12824,6,0)*BE1087</f>
        <v>142760.67991414526</v>
      </c>
      <c r="BS1087" s="866">
        <f>VLOOKUP(BD1087,$BD$4:$BN$12824,7,0)*BE1087</f>
        <v>15030.018278750953</v>
      </c>
      <c r="BT1087" s="866"/>
      <c r="BU1087" s="866">
        <f>VLOOKUP(BD1087,$BD$4:$BN$12824,9,0)*BE1087</f>
        <v>25851.050889704355</v>
      </c>
      <c r="BV1087" s="867"/>
      <c r="BW1087" s="867">
        <f>VLOOKUP(BD1087,$BD$4:$BN$12824,11,0)*BE1087</f>
        <v>5732.8809804057328</v>
      </c>
      <c r="BX1087" s="1146">
        <f t="shared" si="207"/>
        <v>452658.3356643357</v>
      </c>
      <c r="BY1087" s="867">
        <f t="shared" si="203"/>
        <v>6845242.7222114531</v>
      </c>
      <c r="BZ1087" s="867">
        <f t="shared" si="204"/>
        <v>20535728.166634358</v>
      </c>
      <c r="CA1087" s="867">
        <f>_xlfn.MAXIFS($BY$4:$BY$12824,$S$4:$S$12824,$S1087)</f>
        <v>6845242.7222114531</v>
      </c>
      <c r="CB1087" s="1032"/>
      <c r="CF1087" s="946">
        <f t="shared" si="200"/>
        <v>16010793.120000001</v>
      </c>
    </row>
    <row r="1088" spans="1:84">
      <c r="A1088" s="1032"/>
      <c r="B1088" s="839" t="s">
        <v>98</v>
      </c>
      <c r="C1088" s="839" t="s">
        <v>3783</v>
      </c>
      <c r="D1088" s="839" t="s">
        <v>3784</v>
      </c>
      <c r="E1088" s="839" t="s">
        <v>3785</v>
      </c>
      <c r="F1088" s="841">
        <v>45679</v>
      </c>
      <c r="G1088" s="840" t="s">
        <v>3786</v>
      </c>
      <c r="H1088" s="842" t="s">
        <v>134</v>
      </c>
      <c r="I1088" s="842"/>
      <c r="J1088" s="841"/>
      <c r="K1088" s="841"/>
      <c r="L1088" s="843" t="s">
        <v>106</v>
      </c>
      <c r="M1088" s="844" t="s">
        <v>107</v>
      </c>
      <c r="N1088" s="841"/>
      <c r="O1088" s="841" t="s">
        <v>150</v>
      </c>
      <c r="P1088" s="841" t="s">
        <v>151</v>
      </c>
      <c r="Q1088" s="843"/>
      <c r="R1088" s="845" t="s">
        <v>3846</v>
      </c>
      <c r="S1088" s="1127" t="s">
        <v>3847</v>
      </c>
      <c r="T1088" s="843" t="s">
        <v>3848</v>
      </c>
      <c r="U1088" s="842">
        <v>1</v>
      </c>
      <c r="V1088" s="842" t="s">
        <v>3</v>
      </c>
      <c r="W1088" s="846">
        <v>5560</v>
      </c>
      <c r="X1088" s="847">
        <f t="shared" si="195"/>
        <v>5560</v>
      </c>
      <c r="Y1088" s="848">
        <f t="shared" si="206"/>
        <v>0.69118705035971229</v>
      </c>
      <c r="Z1088" s="849">
        <v>1717</v>
      </c>
      <c r="AA1088" s="849"/>
      <c r="AB1088" s="849">
        <f t="shared" si="196"/>
        <v>1717</v>
      </c>
      <c r="AC1088" s="850">
        <f t="shared" si="197"/>
        <v>1717</v>
      </c>
      <c r="AD1088" s="851">
        <v>29000</v>
      </c>
      <c r="AE1088" s="852">
        <v>27298.880000000001</v>
      </c>
      <c r="AF1088" s="853">
        <v>0.25</v>
      </c>
      <c r="AG1088" s="854">
        <f t="shared" si="198"/>
        <v>11921737.617622377</v>
      </c>
      <c r="AH1088" s="853">
        <v>0.08</v>
      </c>
      <c r="AI1088" s="855">
        <f t="shared" si="199"/>
        <v>4703513.1662097899</v>
      </c>
      <c r="AJ1088" s="845" t="s">
        <v>3790</v>
      </c>
      <c r="AK1088" s="857" t="s">
        <v>3401</v>
      </c>
      <c r="AL1088" s="840" t="s">
        <v>3791</v>
      </c>
      <c r="AM1088" s="840"/>
      <c r="AN1088" s="858"/>
      <c r="AO1088" s="844" t="s">
        <v>141</v>
      </c>
      <c r="AP1088" s="859" t="s">
        <v>3792</v>
      </c>
      <c r="AQ1088" s="859"/>
      <c r="AR1088" s="859" t="s">
        <v>3793</v>
      </c>
      <c r="AS1088" s="840"/>
      <c r="AT1088" s="840"/>
      <c r="AU1088" s="860" t="s">
        <v>3794</v>
      </c>
      <c r="AV1088" s="839" t="s">
        <v>3795</v>
      </c>
      <c r="AW1088" s="861">
        <v>45733</v>
      </c>
      <c r="AX1088" s="862" t="s">
        <v>3796</v>
      </c>
      <c r="AY1088" s="843"/>
      <c r="AZ1088" s="842"/>
      <c r="BA1088" s="842" t="s">
        <v>120</v>
      </c>
      <c r="BB1088" s="863" t="s">
        <v>121</v>
      </c>
      <c r="BC1088" s="864">
        <v>45735</v>
      </c>
      <c r="BD1088" s="860" t="s">
        <v>3797</v>
      </c>
      <c r="BE1088" s="865" cm="1">
        <f t="array" ref="BE1088">IF(BD1088="","",AC1088/SUMPRODUCT(--(BD1088=$BD$4:$BD$12824),$AC$4:$AC$12824))</f>
        <v>2.7972027972027972E-2</v>
      </c>
      <c r="BF1088" s="458"/>
      <c r="BG1088" s="458"/>
      <c r="BH1088" s="458"/>
      <c r="BI1088" s="458"/>
      <c r="BJ1088" s="458"/>
      <c r="BK1088" s="458"/>
      <c r="BL1088" s="458"/>
      <c r="BM1088" s="458"/>
      <c r="BN1088" s="458"/>
      <c r="BO1088" s="866">
        <f>VLOOKUP(BD1088,$BD$4:$BN$12824,3,0)*BE1088</f>
        <v>770772.58741258737</v>
      </c>
      <c r="BP1088" s="866"/>
      <c r="BQ1088" s="866"/>
      <c r="BR1088" s="866">
        <f>VLOOKUP(BD1088,$BD$4:$BN$12824,6,0)*BE1088</f>
        <v>417937.06293706293</v>
      </c>
      <c r="BS1088" s="866">
        <f>VLOOKUP(BD1088,$BD$4:$BN$12824,7,0)*BE1088</f>
        <v>44000.923076923078</v>
      </c>
      <c r="BT1088" s="866"/>
      <c r="BU1088" s="866">
        <f>VLOOKUP(BD1088,$BD$4:$BN$12824,9,0)*BE1088</f>
        <v>75679.888111888111</v>
      </c>
      <c r="BV1088" s="867"/>
      <c r="BW1088" s="867">
        <f>VLOOKUP(BD1088,$BD$4:$BN$12824,11,0)*BE1088</f>
        <v>16783.216783216783</v>
      </c>
      <c r="BX1088" s="1146">
        <f t="shared" si="207"/>
        <v>1325173.6783216782</v>
      </c>
      <c r="BY1088" s="867">
        <f t="shared" si="203"/>
        <v>60119088.255944058</v>
      </c>
      <c r="BZ1088" s="867">
        <f t="shared" si="204"/>
        <v>60119088.255944058</v>
      </c>
      <c r="CA1088" s="867">
        <f>_xlfn.MAXIFS($BY$4:$BY$12824,$S$4:$S$12824,$S1088)</f>
        <v>60119088.255944058</v>
      </c>
      <c r="CB1088" s="1032"/>
      <c r="CF1088" s="946">
        <f t="shared" si="200"/>
        <v>46872176.960000001</v>
      </c>
    </row>
    <row r="1089" spans="1:84">
      <c r="A1089" s="1032"/>
      <c r="B1089" s="839" t="s">
        <v>98</v>
      </c>
      <c r="C1089" s="839" t="s">
        <v>3783</v>
      </c>
      <c r="D1089" s="839" t="s">
        <v>3784</v>
      </c>
      <c r="E1089" s="839" t="s">
        <v>3785</v>
      </c>
      <c r="F1089" s="841">
        <v>45679</v>
      </c>
      <c r="G1089" s="840" t="s">
        <v>3786</v>
      </c>
      <c r="H1089" s="842" t="s">
        <v>134</v>
      </c>
      <c r="I1089" s="842"/>
      <c r="J1089" s="841"/>
      <c r="K1089" s="841"/>
      <c r="L1089" s="843" t="s">
        <v>106</v>
      </c>
      <c r="M1089" s="844" t="s">
        <v>107</v>
      </c>
      <c r="N1089" s="841"/>
      <c r="O1089" s="841" t="s">
        <v>150</v>
      </c>
      <c r="P1089" s="841" t="s">
        <v>461</v>
      </c>
      <c r="Q1089" s="843"/>
      <c r="R1089" s="845" t="s">
        <v>3849</v>
      </c>
      <c r="S1089" s="1127" t="s">
        <v>3850</v>
      </c>
      <c r="T1089" s="843" t="s">
        <v>3851</v>
      </c>
      <c r="U1089" s="842">
        <v>1</v>
      </c>
      <c r="V1089" s="842" t="s">
        <v>3</v>
      </c>
      <c r="W1089" s="846">
        <v>1030</v>
      </c>
      <c r="X1089" s="847">
        <f t="shared" si="195"/>
        <v>1030</v>
      </c>
      <c r="Y1089" s="848">
        <f t="shared" si="206"/>
        <v>0.57499999999999996</v>
      </c>
      <c r="Z1089" s="849">
        <v>437.75</v>
      </c>
      <c r="AA1089" s="849"/>
      <c r="AB1089" s="849">
        <f t="shared" si="196"/>
        <v>437.75</v>
      </c>
      <c r="AC1089" s="850">
        <f t="shared" si="197"/>
        <v>437.75</v>
      </c>
      <c r="AD1089" s="851">
        <v>29000</v>
      </c>
      <c r="AE1089" s="852">
        <v>27298.880000000001</v>
      </c>
      <c r="AF1089" s="853">
        <v>0.25</v>
      </c>
      <c r="AG1089" s="854">
        <f t="shared" si="198"/>
        <v>3039452.907463131</v>
      </c>
      <c r="AH1089" s="853">
        <v>0.08</v>
      </c>
      <c r="AI1089" s="855">
        <f t="shared" si="199"/>
        <v>1199163.0101970506</v>
      </c>
      <c r="AJ1089" s="845" t="s">
        <v>3790</v>
      </c>
      <c r="AK1089" s="857" t="s">
        <v>3401</v>
      </c>
      <c r="AL1089" s="840" t="s">
        <v>3791</v>
      </c>
      <c r="AM1089" s="840"/>
      <c r="AN1089" s="858"/>
      <c r="AO1089" s="844" t="s">
        <v>141</v>
      </c>
      <c r="AP1089" s="859" t="s">
        <v>3792</v>
      </c>
      <c r="AQ1089" s="859"/>
      <c r="AR1089" s="859" t="s">
        <v>3793</v>
      </c>
      <c r="AS1089" s="840"/>
      <c r="AT1089" s="840"/>
      <c r="AU1089" s="860" t="s">
        <v>3794</v>
      </c>
      <c r="AV1089" s="839" t="s">
        <v>3795</v>
      </c>
      <c r="AW1089" s="861">
        <v>45733</v>
      </c>
      <c r="AX1089" s="862" t="s">
        <v>3796</v>
      </c>
      <c r="AY1089" s="843"/>
      <c r="AZ1089" s="842"/>
      <c r="BA1089" s="842" t="s">
        <v>120</v>
      </c>
      <c r="BB1089" s="863" t="s">
        <v>121</v>
      </c>
      <c r="BC1089" s="864">
        <v>45735</v>
      </c>
      <c r="BD1089" s="860" t="s">
        <v>3797</v>
      </c>
      <c r="BE1089" s="865" cm="1">
        <f t="array" ref="BE1089">IF(BD1089="","",AC1089/SUMPRODUCT(--(BD1089=$BD$4:$BD$12824),$AC$4:$AC$12824))</f>
        <v>7.1314823790071319E-3</v>
      </c>
      <c r="BF1089" s="458"/>
      <c r="BG1089" s="458"/>
      <c r="BH1089" s="458"/>
      <c r="BI1089" s="458"/>
      <c r="BJ1089" s="458"/>
      <c r="BK1089" s="458"/>
      <c r="BL1089" s="458"/>
      <c r="BM1089" s="458"/>
      <c r="BN1089" s="458"/>
      <c r="BO1089" s="866">
        <f>VLOOKUP(BD1089,$BD$4:$BN$12824,3,0)*BE1089</f>
        <v>196508.852731427</v>
      </c>
      <c r="BP1089" s="866"/>
      <c r="BQ1089" s="866"/>
      <c r="BR1089" s="866">
        <f>VLOOKUP(BD1089,$BD$4:$BN$12824,6,0)*BE1089</f>
        <v>106553.26109534031</v>
      </c>
      <c r="BS1089" s="866">
        <f>VLOOKUP(BD1089,$BD$4:$BN$12824,7,0)*BE1089</f>
        <v>11218.057121096726</v>
      </c>
      <c r="BT1089" s="866"/>
      <c r="BU1089" s="866">
        <f>VLOOKUP(BD1089,$BD$4:$BN$12824,9,0)*BE1089</f>
        <v>19294.624939417019</v>
      </c>
      <c r="BV1089" s="867"/>
      <c r="BW1089" s="867">
        <f>VLOOKUP(BD1089,$BD$4:$BN$12824,11,0)*BE1089</f>
        <v>4278.8894274042796</v>
      </c>
      <c r="BX1089" s="1146">
        <f t="shared" si="207"/>
        <v>337853.68531468528</v>
      </c>
      <c r="BY1089" s="867">
        <f t="shared" si="203"/>
        <v>15327391.312777817</v>
      </c>
      <c r="BZ1089" s="867">
        <f t="shared" si="204"/>
        <v>15327391.312777817</v>
      </c>
      <c r="CA1089" s="867">
        <f>_xlfn.MAXIFS($BY$4:$BY$12824,$S$4:$S$12824,$S1089)</f>
        <v>15327391.312777817</v>
      </c>
      <c r="CB1089" s="1032"/>
      <c r="CF1089" s="946">
        <f t="shared" si="200"/>
        <v>11950084.720000001</v>
      </c>
    </row>
    <row r="1090" spans="1:84">
      <c r="A1090" s="1032"/>
      <c r="B1090" s="839" t="s">
        <v>98</v>
      </c>
      <c r="C1090" s="839" t="s">
        <v>3783</v>
      </c>
      <c r="D1090" s="839" t="s">
        <v>3784</v>
      </c>
      <c r="E1090" s="839" t="s">
        <v>3785</v>
      </c>
      <c r="F1090" s="841">
        <v>45679</v>
      </c>
      <c r="G1090" s="840" t="s">
        <v>3786</v>
      </c>
      <c r="H1090" s="842" t="s">
        <v>134</v>
      </c>
      <c r="I1090" s="842"/>
      <c r="J1090" s="841"/>
      <c r="K1090" s="841"/>
      <c r="L1090" s="843" t="s">
        <v>106</v>
      </c>
      <c r="M1090" s="844" t="s">
        <v>107</v>
      </c>
      <c r="N1090" s="841"/>
      <c r="O1090" s="841" t="s">
        <v>150</v>
      </c>
      <c r="P1090" s="841" t="s">
        <v>151</v>
      </c>
      <c r="Q1090" s="843"/>
      <c r="R1090" s="845" t="s">
        <v>3852</v>
      </c>
      <c r="S1090" s="1127" t="s">
        <v>3853</v>
      </c>
      <c r="T1090" s="843" t="s">
        <v>3854</v>
      </c>
      <c r="U1090" s="842">
        <v>1</v>
      </c>
      <c r="V1090" s="842" t="s">
        <v>3</v>
      </c>
      <c r="W1090" s="846">
        <v>2400</v>
      </c>
      <c r="X1090" s="847">
        <f t="shared" ref="X1090:X1153" si="208">W1090*U1090</f>
        <v>2400</v>
      </c>
      <c r="Y1090" s="848">
        <f t="shared" si="206"/>
        <v>0.57499999999999996</v>
      </c>
      <c r="Z1090" s="849">
        <v>1020</v>
      </c>
      <c r="AA1090" s="849"/>
      <c r="AB1090" s="849">
        <f t="shared" ref="AB1090:AB1153" si="209">IF(AA1090="F.O.C", 0, Z1090*U1090)</f>
        <v>1020</v>
      </c>
      <c r="AC1090" s="850">
        <f t="shared" ref="AC1090:AC1153" si="210">Z1090*U1090</f>
        <v>1020</v>
      </c>
      <c r="AD1090" s="851">
        <v>29000</v>
      </c>
      <c r="AE1090" s="852">
        <v>27298.880000000001</v>
      </c>
      <c r="AF1090" s="853">
        <v>0.25</v>
      </c>
      <c r="AG1090" s="854">
        <f t="shared" ref="AG1090:AG1153" si="211">(AC1090*AE1090+BO1090+BP1090+BQ1090+BS1090)*AF1090</f>
        <v>7082220.3669043835</v>
      </c>
      <c r="AH1090" s="853">
        <v>0.08</v>
      </c>
      <c r="AI1090" s="855">
        <f t="shared" ref="AI1090:AI1153" si="212">(AC1090*AE1090+AG1090+BF1090+BG1090+BH1090+BJ1090)*AH1090</f>
        <v>2794166.2373523512</v>
      </c>
      <c r="AJ1090" s="845" t="s">
        <v>3790</v>
      </c>
      <c r="AK1090" s="857" t="s">
        <v>3401</v>
      </c>
      <c r="AL1090" s="840" t="s">
        <v>3791</v>
      </c>
      <c r="AM1090" s="840"/>
      <c r="AN1090" s="858"/>
      <c r="AO1090" s="844" t="s">
        <v>141</v>
      </c>
      <c r="AP1090" s="859" t="s">
        <v>3792</v>
      </c>
      <c r="AQ1090" s="859"/>
      <c r="AR1090" s="859" t="s">
        <v>3793</v>
      </c>
      <c r="AS1090" s="840"/>
      <c r="AT1090" s="840"/>
      <c r="AU1090" s="860" t="s">
        <v>3794</v>
      </c>
      <c r="AV1090" s="839" t="s">
        <v>3795</v>
      </c>
      <c r="AW1090" s="861">
        <v>45733</v>
      </c>
      <c r="AX1090" s="862" t="s">
        <v>3796</v>
      </c>
      <c r="AY1090" s="843"/>
      <c r="AZ1090" s="842"/>
      <c r="BA1090" s="842" t="s">
        <v>120</v>
      </c>
      <c r="BB1090" s="863" t="s">
        <v>121</v>
      </c>
      <c r="BC1090" s="864">
        <v>45735</v>
      </c>
      <c r="BD1090" s="860" t="s">
        <v>3797</v>
      </c>
      <c r="BE1090" s="865" cm="1">
        <f t="array" ref="BE1090">IF(BD1090="","",AC1090/SUMPRODUCT(--(BD1090=$BD$4:$BD$12824),$AC$4:$AC$12824))</f>
        <v>1.6617046320016617E-2</v>
      </c>
      <c r="BF1090" s="458"/>
      <c r="BG1090" s="458"/>
      <c r="BH1090" s="458"/>
      <c r="BI1090" s="458"/>
      <c r="BJ1090" s="458"/>
      <c r="BK1090" s="458"/>
      <c r="BL1090" s="458"/>
      <c r="BM1090" s="458"/>
      <c r="BN1090" s="458"/>
      <c r="BO1090" s="866">
        <f>VLOOKUP(BD1090,$BD$4:$BN$12824,3,0)*BE1090</f>
        <v>457884.70539361628</v>
      </c>
      <c r="BP1090" s="866"/>
      <c r="BQ1090" s="866"/>
      <c r="BR1090" s="866">
        <f>VLOOKUP(BD1090,$BD$4:$BN$12824,6,0)*BE1090</f>
        <v>248279.44332894828</v>
      </c>
      <c r="BS1090" s="866">
        <f>VLOOKUP(BD1090,$BD$4:$BN$12824,7,0)*BE1090</f>
        <v>26139.1622239147</v>
      </c>
      <c r="BT1090" s="866"/>
      <c r="BU1090" s="866">
        <f>VLOOKUP(BD1090,$BD$4:$BN$12824,9,0)*BE1090</f>
        <v>44958.34937339888</v>
      </c>
      <c r="BV1090" s="867"/>
      <c r="BW1090" s="867">
        <f>VLOOKUP(BD1090,$BD$4:$BN$12824,11,0)*BE1090</f>
        <v>9970.2277920099696</v>
      </c>
      <c r="BX1090" s="1146">
        <f t="shared" si="207"/>
        <v>787231.8881118882</v>
      </c>
      <c r="BY1090" s="867">
        <f t="shared" si="203"/>
        <v>35714309.855016276</v>
      </c>
      <c r="BZ1090" s="867">
        <f t="shared" ref="BZ1090:BZ1153" si="213">BY1090*U1090</f>
        <v>35714309.855016276</v>
      </c>
      <c r="CA1090" s="867">
        <f>_xlfn.MAXIFS($BY$4:$BY$12824,$S$4:$S$12824,$S1090)</f>
        <v>35714309.855016276</v>
      </c>
      <c r="CB1090" s="1032"/>
      <c r="CF1090" s="946">
        <f t="shared" si="200"/>
        <v>27844857.600000001</v>
      </c>
    </row>
    <row r="1091" spans="1:84">
      <c r="A1091" s="1032"/>
      <c r="B1091" s="839" t="s">
        <v>98</v>
      </c>
      <c r="C1091" s="839" t="s">
        <v>3783</v>
      </c>
      <c r="D1091" s="839" t="s">
        <v>3784</v>
      </c>
      <c r="E1091" s="839" t="s">
        <v>3785</v>
      </c>
      <c r="F1091" s="841">
        <v>45679</v>
      </c>
      <c r="G1091" s="840" t="s">
        <v>3786</v>
      </c>
      <c r="H1091" s="842" t="s">
        <v>134</v>
      </c>
      <c r="I1091" s="842"/>
      <c r="J1091" s="841"/>
      <c r="K1091" s="841"/>
      <c r="L1091" s="843" t="s">
        <v>106</v>
      </c>
      <c r="M1091" s="844" t="s">
        <v>107</v>
      </c>
      <c r="N1091" s="841"/>
      <c r="O1091" s="841" t="s">
        <v>150</v>
      </c>
      <c r="P1091" s="841" t="s">
        <v>151</v>
      </c>
      <c r="Q1091" s="843"/>
      <c r="R1091" s="845" t="s">
        <v>3855</v>
      </c>
      <c r="S1091" s="1127" t="s">
        <v>3856</v>
      </c>
      <c r="T1091" s="843" t="s">
        <v>3857</v>
      </c>
      <c r="U1091" s="842">
        <v>1</v>
      </c>
      <c r="V1091" s="842" t="s">
        <v>3</v>
      </c>
      <c r="W1091" s="846">
        <v>2400</v>
      </c>
      <c r="X1091" s="847">
        <f t="shared" si="208"/>
        <v>2400</v>
      </c>
      <c r="Y1091" s="848">
        <f t="shared" si="206"/>
        <v>0.57499999999999996</v>
      </c>
      <c r="Z1091" s="849">
        <v>1020</v>
      </c>
      <c r="AA1091" s="849"/>
      <c r="AB1091" s="849">
        <f t="shared" si="209"/>
        <v>1020</v>
      </c>
      <c r="AC1091" s="850">
        <f t="shared" si="210"/>
        <v>1020</v>
      </c>
      <c r="AD1091" s="851">
        <v>29000</v>
      </c>
      <c r="AE1091" s="852">
        <v>27298.880000000001</v>
      </c>
      <c r="AF1091" s="853">
        <v>0.25</v>
      </c>
      <c r="AG1091" s="854">
        <f t="shared" si="211"/>
        <v>7082220.3669043835</v>
      </c>
      <c r="AH1091" s="853">
        <v>0.08</v>
      </c>
      <c r="AI1091" s="855">
        <f t="shared" si="212"/>
        <v>2794166.2373523512</v>
      </c>
      <c r="AJ1091" s="845" t="s">
        <v>3790</v>
      </c>
      <c r="AK1091" s="857" t="s">
        <v>3401</v>
      </c>
      <c r="AL1091" s="840" t="s">
        <v>3791</v>
      </c>
      <c r="AM1091" s="840"/>
      <c r="AN1091" s="858"/>
      <c r="AO1091" s="844" t="s">
        <v>141</v>
      </c>
      <c r="AP1091" s="859" t="s">
        <v>3792</v>
      </c>
      <c r="AQ1091" s="859"/>
      <c r="AR1091" s="859" t="s">
        <v>3793</v>
      </c>
      <c r="AS1091" s="840"/>
      <c r="AT1091" s="840"/>
      <c r="AU1091" s="860" t="s">
        <v>3794</v>
      </c>
      <c r="AV1091" s="839" t="s">
        <v>3795</v>
      </c>
      <c r="AW1091" s="861">
        <v>45733</v>
      </c>
      <c r="AX1091" s="862" t="s">
        <v>3796</v>
      </c>
      <c r="AY1091" s="843"/>
      <c r="AZ1091" s="842"/>
      <c r="BA1091" s="842" t="s">
        <v>120</v>
      </c>
      <c r="BB1091" s="863" t="s">
        <v>121</v>
      </c>
      <c r="BC1091" s="864">
        <v>45735</v>
      </c>
      <c r="BD1091" s="860" t="s">
        <v>3797</v>
      </c>
      <c r="BE1091" s="865" cm="1">
        <f t="array" ref="BE1091">IF(BD1091="","",AC1091/SUMPRODUCT(--(BD1091=$BD$4:$BD$12824),$AC$4:$AC$12824))</f>
        <v>1.6617046320016617E-2</v>
      </c>
      <c r="BF1091" s="458"/>
      <c r="BG1091" s="458"/>
      <c r="BH1091" s="458"/>
      <c r="BI1091" s="458"/>
      <c r="BJ1091" s="458"/>
      <c r="BK1091" s="458"/>
      <c r="BL1091" s="458"/>
      <c r="BM1091" s="458"/>
      <c r="BN1091" s="458"/>
      <c r="BO1091" s="866">
        <f>VLOOKUP(BD1091,$BD$4:$BN$12824,3,0)*BE1091</f>
        <v>457884.70539361628</v>
      </c>
      <c r="BP1091" s="866"/>
      <c r="BQ1091" s="866"/>
      <c r="BR1091" s="866">
        <f>VLOOKUP(BD1091,$BD$4:$BN$12824,6,0)*BE1091</f>
        <v>248279.44332894828</v>
      </c>
      <c r="BS1091" s="866">
        <f>VLOOKUP(BD1091,$BD$4:$BN$12824,7,0)*BE1091</f>
        <v>26139.1622239147</v>
      </c>
      <c r="BT1091" s="866"/>
      <c r="BU1091" s="866">
        <f>VLOOKUP(BD1091,$BD$4:$BN$12824,9,0)*BE1091</f>
        <v>44958.34937339888</v>
      </c>
      <c r="BV1091" s="867"/>
      <c r="BW1091" s="867">
        <f>VLOOKUP(BD1091,$BD$4:$BN$12824,11,0)*BE1091</f>
        <v>9970.2277920099696</v>
      </c>
      <c r="BX1091" s="1146">
        <f t="shared" si="207"/>
        <v>787231.8881118882</v>
      </c>
      <c r="BY1091" s="867">
        <f t="shared" si="203"/>
        <v>35714309.855016276</v>
      </c>
      <c r="BZ1091" s="867">
        <f t="shared" si="213"/>
        <v>35714309.855016276</v>
      </c>
      <c r="CA1091" s="867">
        <f>_xlfn.MAXIFS($BY$4:$BY$12824,$S$4:$S$12824,$S1091)</f>
        <v>35714309.855016276</v>
      </c>
      <c r="CB1091" s="1032"/>
      <c r="CF1091" s="946">
        <f t="shared" si="200"/>
        <v>27844857.600000001</v>
      </c>
    </row>
    <row r="1092" spans="1:84">
      <c r="A1092" s="1032"/>
      <c r="B1092" s="839" t="s">
        <v>98</v>
      </c>
      <c r="C1092" s="839" t="s">
        <v>3783</v>
      </c>
      <c r="D1092" s="839" t="s">
        <v>3784</v>
      </c>
      <c r="E1092" s="839" t="s">
        <v>3785</v>
      </c>
      <c r="F1092" s="841">
        <v>45679</v>
      </c>
      <c r="G1092" s="840" t="s">
        <v>3786</v>
      </c>
      <c r="H1092" s="842" t="s">
        <v>134</v>
      </c>
      <c r="I1092" s="842"/>
      <c r="J1092" s="841"/>
      <c r="K1092" s="841"/>
      <c r="L1092" s="843" t="s">
        <v>106</v>
      </c>
      <c r="M1092" s="844" t="s">
        <v>107</v>
      </c>
      <c r="N1092" s="841"/>
      <c r="O1092" s="841" t="s">
        <v>150</v>
      </c>
      <c r="P1092" s="841" t="s">
        <v>384</v>
      </c>
      <c r="Q1092" s="843"/>
      <c r="R1092" s="845" t="s">
        <v>3858</v>
      </c>
      <c r="S1092" s="1127" t="s">
        <v>3859</v>
      </c>
      <c r="T1092" s="843" t="s">
        <v>3860</v>
      </c>
      <c r="U1092" s="842">
        <v>1</v>
      </c>
      <c r="V1092" s="842" t="s">
        <v>3</v>
      </c>
      <c r="W1092" s="846">
        <v>14640</v>
      </c>
      <c r="X1092" s="847">
        <f t="shared" si="208"/>
        <v>14640</v>
      </c>
      <c r="Y1092" s="848">
        <f t="shared" si="206"/>
        <v>0.57499999999999996</v>
      </c>
      <c r="Z1092" s="849">
        <v>6222</v>
      </c>
      <c r="AA1092" s="849"/>
      <c r="AB1092" s="849">
        <f t="shared" si="209"/>
        <v>6222</v>
      </c>
      <c r="AC1092" s="850">
        <f t="shared" si="210"/>
        <v>6222</v>
      </c>
      <c r="AD1092" s="851">
        <v>29000</v>
      </c>
      <c r="AE1092" s="852">
        <v>27298.880000000001</v>
      </c>
      <c r="AF1092" s="853">
        <v>0.25</v>
      </c>
      <c r="AG1092" s="854">
        <f t="shared" si="211"/>
        <v>43201544.238116741</v>
      </c>
      <c r="AH1092" s="853">
        <v>0.08</v>
      </c>
      <c r="AI1092" s="855">
        <f t="shared" si="212"/>
        <v>17044414.047849342</v>
      </c>
      <c r="AJ1092" s="845" t="s">
        <v>3790</v>
      </c>
      <c r="AK1092" s="857" t="s">
        <v>3401</v>
      </c>
      <c r="AL1092" s="840" t="s">
        <v>3791</v>
      </c>
      <c r="AM1092" s="840"/>
      <c r="AN1092" s="858"/>
      <c r="AO1092" s="844" t="s">
        <v>141</v>
      </c>
      <c r="AP1092" s="859" t="s">
        <v>3792</v>
      </c>
      <c r="AQ1092" s="859"/>
      <c r="AR1092" s="859" t="s">
        <v>3793</v>
      </c>
      <c r="AS1092" s="840"/>
      <c r="AT1092" s="840"/>
      <c r="AU1092" s="860" t="s">
        <v>3794</v>
      </c>
      <c r="AV1092" s="839" t="s">
        <v>3795</v>
      </c>
      <c r="AW1092" s="861">
        <v>45733</v>
      </c>
      <c r="AX1092" s="862" t="s">
        <v>3796</v>
      </c>
      <c r="AY1092" s="843"/>
      <c r="AZ1092" s="842"/>
      <c r="BA1092" s="842" t="s">
        <v>120</v>
      </c>
      <c r="BB1092" s="863" t="s">
        <v>121</v>
      </c>
      <c r="BC1092" s="864">
        <v>45735</v>
      </c>
      <c r="BD1092" s="860" t="s">
        <v>3797</v>
      </c>
      <c r="BE1092" s="865" cm="1">
        <f t="array" ref="BE1092">IF(BD1092="","",AC1092/SUMPRODUCT(--(BD1092=$BD$4:$BD$12824),$AC$4:$AC$12824))</f>
        <v>0.10136398255210137</v>
      </c>
      <c r="BF1092" s="458"/>
      <c r="BG1092" s="458"/>
      <c r="BH1092" s="458"/>
      <c r="BI1092" s="458"/>
      <c r="BJ1092" s="458"/>
      <c r="BK1092" s="458"/>
      <c r="BL1092" s="458"/>
      <c r="BM1092" s="458"/>
      <c r="BN1092" s="458"/>
      <c r="BO1092" s="866">
        <f>VLOOKUP(BD1092,$BD$4:$BN$12824,3,0)*BE1092</f>
        <v>2793096.7029010593</v>
      </c>
      <c r="BP1092" s="866"/>
      <c r="BQ1092" s="866"/>
      <c r="BR1092" s="866">
        <f>VLOOKUP(BD1092,$BD$4:$BN$12824,6,0)*BE1092</f>
        <v>1514504.6043065847</v>
      </c>
      <c r="BS1092" s="866">
        <f>VLOOKUP(BD1092,$BD$4:$BN$12824,7,0)*BE1092</f>
        <v>159448.88956587968</v>
      </c>
      <c r="BT1092" s="866"/>
      <c r="BU1092" s="866">
        <f>VLOOKUP(BD1092,$BD$4:$BN$12824,9,0)*BE1092</f>
        <v>274245.93117773317</v>
      </c>
      <c r="BV1092" s="867"/>
      <c r="BW1092" s="867">
        <f>VLOOKUP(BD1092,$BD$4:$BN$12824,11,0)*BE1092</f>
        <v>60818.389531260822</v>
      </c>
      <c r="BX1092" s="1146">
        <f t="shared" si="207"/>
        <v>4802114.5174825173</v>
      </c>
      <c r="BY1092" s="867">
        <f t="shared" si="203"/>
        <v>217857290.11559927</v>
      </c>
      <c r="BZ1092" s="867">
        <f t="shared" si="213"/>
        <v>217857290.11559927</v>
      </c>
      <c r="CA1092" s="867">
        <f>_xlfn.MAXIFS($BY$4:$BY$12824,$S$4:$S$12824,$S1092)</f>
        <v>217857290.11559927</v>
      </c>
      <c r="CB1092" s="1032"/>
      <c r="CF1092" s="946">
        <f t="shared" ref="CF1092:CF1155" si="214">AC1092*AE1092</f>
        <v>169853631.36000001</v>
      </c>
    </row>
    <row r="1093" spans="1:84">
      <c r="A1093" s="1032"/>
      <c r="B1093" s="839" t="s">
        <v>98</v>
      </c>
      <c r="C1093" s="839" t="s">
        <v>3783</v>
      </c>
      <c r="D1093" s="839" t="s">
        <v>3784</v>
      </c>
      <c r="E1093" s="839" t="s">
        <v>3785</v>
      </c>
      <c r="F1093" s="841">
        <v>45679</v>
      </c>
      <c r="G1093" s="840" t="s">
        <v>3786</v>
      </c>
      <c r="H1093" s="842" t="s">
        <v>134</v>
      </c>
      <c r="I1093" s="842"/>
      <c r="J1093" s="841"/>
      <c r="K1093" s="841"/>
      <c r="L1093" s="843" t="s">
        <v>106</v>
      </c>
      <c r="M1093" s="844" t="s">
        <v>107</v>
      </c>
      <c r="N1093" s="841"/>
      <c r="O1093" s="841" t="s">
        <v>135</v>
      </c>
      <c r="P1093" s="841" t="s">
        <v>136</v>
      </c>
      <c r="Q1093" s="843"/>
      <c r="R1093" s="845" t="s">
        <v>3861</v>
      </c>
      <c r="S1093" s="1127" t="s">
        <v>3862</v>
      </c>
      <c r="T1093" s="843" t="s">
        <v>3863</v>
      </c>
      <c r="U1093" s="842">
        <v>3</v>
      </c>
      <c r="V1093" s="842" t="s">
        <v>3</v>
      </c>
      <c r="W1093" s="846">
        <v>290</v>
      </c>
      <c r="X1093" s="847">
        <f t="shared" si="208"/>
        <v>870</v>
      </c>
      <c r="Y1093" s="848">
        <f t="shared" si="206"/>
        <v>0.57499999999999996</v>
      </c>
      <c r="Z1093" s="849">
        <v>123.25</v>
      </c>
      <c r="AA1093" s="849"/>
      <c r="AB1093" s="849">
        <f t="shared" si="209"/>
        <v>369.75</v>
      </c>
      <c r="AC1093" s="850">
        <f t="shared" si="210"/>
        <v>369.75</v>
      </c>
      <c r="AD1093" s="851">
        <v>29000</v>
      </c>
      <c r="AE1093" s="852">
        <v>27298.880000000001</v>
      </c>
      <c r="AF1093" s="853">
        <v>0.25</v>
      </c>
      <c r="AG1093" s="854">
        <f t="shared" si="211"/>
        <v>2567304.8830028391</v>
      </c>
      <c r="AH1093" s="853">
        <v>0.08</v>
      </c>
      <c r="AI1093" s="855">
        <f t="shared" si="212"/>
        <v>1012885.2610402271</v>
      </c>
      <c r="AJ1093" s="845" t="s">
        <v>3790</v>
      </c>
      <c r="AK1093" s="857" t="s">
        <v>3401</v>
      </c>
      <c r="AL1093" s="840" t="s">
        <v>3791</v>
      </c>
      <c r="AM1093" s="840"/>
      <c r="AN1093" s="858"/>
      <c r="AO1093" s="844" t="s">
        <v>141</v>
      </c>
      <c r="AP1093" s="859" t="s">
        <v>3792</v>
      </c>
      <c r="AQ1093" s="859"/>
      <c r="AR1093" s="859" t="s">
        <v>3793</v>
      </c>
      <c r="AS1093" s="840"/>
      <c r="AT1093" s="840"/>
      <c r="AU1093" s="860" t="s">
        <v>3794</v>
      </c>
      <c r="AV1093" s="839" t="s">
        <v>3795</v>
      </c>
      <c r="AW1093" s="861">
        <v>45733</v>
      </c>
      <c r="AX1093" s="862" t="s">
        <v>3796</v>
      </c>
      <c r="AY1093" s="843"/>
      <c r="AZ1093" s="842"/>
      <c r="BA1093" s="842" t="s">
        <v>120</v>
      </c>
      <c r="BB1093" s="863" t="s">
        <v>121</v>
      </c>
      <c r="BC1093" s="864">
        <v>45735</v>
      </c>
      <c r="BD1093" s="860" t="s">
        <v>3797</v>
      </c>
      <c r="BE1093" s="865" cm="1">
        <f t="array" ref="BE1093">IF(BD1093="","",AC1093/SUMPRODUCT(--(BD1093=$BD$4:$BD$12824),$AC$4:$AC$12824))</f>
        <v>6.0236792910060236E-3</v>
      </c>
      <c r="BF1093" s="458"/>
      <c r="BG1093" s="458"/>
      <c r="BH1093" s="458"/>
      <c r="BI1093" s="458"/>
      <c r="BJ1093" s="458"/>
      <c r="BK1093" s="458"/>
      <c r="BL1093" s="458"/>
      <c r="BM1093" s="458"/>
      <c r="BN1093" s="458"/>
      <c r="BO1093" s="866">
        <f>VLOOKUP(BD1093,$BD$4:$BN$12824,3,0)*BE1093</f>
        <v>165983.20570518592</v>
      </c>
      <c r="BP1093" s="866"/>
      <c r="BQ1093" s="866"/>
      <c r="BR1093" s="866">
        <f>VLOOKUP(BD1093,$BD$4:$BN$12824,6,0)*BE1093</f>
        <v>90001.298206743755</v>
      </c>
      <c r="BS1093" s="866">
        <f>VLOOKUP(BD1093,$BD$4:$BN$12824,7,0)*BE1093</f>
        <v>9475.4463061690785</v>
      </c>
      <c r="BT1093" s="866"/>
      <c r="BU1093" s="866">
        <f>VLOOKUP(BD1093,$BD$4:$BN$12824,9,0)*BE1093</f>
        <v>16297.401647857094</v>
      </c>
      <c r="BV1093" s="867"/>
      <c r="BW1093" s="867">
        <f>VLOOKUP(BD1093,$BD$4:$BN$12824,11,0)*BE1093</f>
        <v>3614.2075746036144</v>
      </c>
      <c r="BX1093" s="1146">
        <f t="shared" si="207"/>
        <v>285371.55944055947</v>
      </c>
      <c r="BY1093" s="867">
        <f t="shared" si="203"/>
        <v>4315479.1074811323</v>
      </c>
      <c r="BZ1093" s="867">
        <f t="shared" si="213"/>
        <v>12946437.322443396</v>
      </c>
      <c r="CA1093" s="867">
        <f>_xlfn.MAXIFS($BY$4:$BY$12824,$S$4:$S$12824,$S1093)</f>
        <v>4315479.1074811323</v>
      </c>
      <c r="CB1093" s="1032"/>
      <c r="CF1093" s="946">
        <f t="shared" si="214"/>
        <v>10093760.880000001</v>
      </c>
    </row>
    <row r="1094" spans="1:84">
      <c r="A1094" s="1032"/>
      <c r="B1094" s="839" t="s">
        <v>98</v>
      </c>
      <c r="C1094" s="839" t="s">
        <v>3783</v>
      </c>
      <c r="D1094" s="839" t="s">
        <v>3784</v>
      </c>
      <c r="E1094" s="839" t="s">
        <v>3785</v>
      </c>
      <c r="F1094" s="841">
        <v>45679</v>
      </c>
      <c r="G1094" s="840" t="s">
        <v>3786</v>
      </c>
      <c r="H1094" s="842" t="s">
        <v>134</v>
      </c>
      <c r="I1094" s="842"/>
      <c r="J1094" s="841"/>
      <c r="K1094" s="841"/>
      <c r="L1094" s="843" t="s">
        <v>106</v>
      </c>
      <c r="M1094" s="844" t="s">
        <v>107</v>
      </c>
      <c r="N1094" s="841"/>
      <c r="O1094" s="841" t="s">
        <v>150</v>
      </c>
      <c r="P1094" s="841" t="s">
        <v>276</v>
      </c>
      <c r="Q1094" s="843"/>
      <c r="R1094" s="845" t="s">
        <v>3864</v>
      </c>
      <c r="S1094" s="1127" t="s">
        <v>3865</v>
      </c>
      <c r="T1094" s="843" t="s">
        <v>3866</v>
      </c>
      <c r="U1094" s="842">
        <v>1</v>
      </c>
      <c r="V1094" s="842" t="s">
        <v>3</v>
      </c>
      <c r="W1094" s="846">
        <v>7500</v>
      </c>
      <c r="X1094" s="847">
        <f t="shared" si="208"/>
        <v>7500</v>
      </c>
      <c r="Y1094" s="848">
        <f t="shared" si="206"/>
        <v>0.57499999999999996</v>
      </c>
      <c r="Z1094" s="849">
        <v>3187.5</v>
      </c>
      <c r="AA1094" s="849"/>
      <c r="AB1094" s="849">
        <f t="shared" si="209"/>
        <v>3187.5</v>
      </c>
      <c r="AC1094" s="850">
        <f t="shared" si="210"/>
        <v>3187.5</v>
      </c>
      <c r="AD1094" s="851">
        <v>29000</v>
      </c>
      <c r="AE1094" s="852">
        <v>27298.880000000001</v>
      </c>
      <c r="AF1094" s="853">
        <v>0.25</v>
      </c>
      <c r="AG1094" s="854">
        <f t="shared" si="211"/>
        <v>22131938.646576196</v>
      </c>
      <c r="AH1094" s="853">
        <v>0.08</v>
      </c>
      <c r="AI1094" s="855">
        <f t="shared" si="212"/>
        <v>8731769.4917260967</v>
      </c>
      <c r="AJ1094" s="845" t="s">
        <v>3790</v>
      </c>
      <c r="AK1094" s="857" t="s">
        <v>3401</v>
      </c>
      <c r="AL1094" s="840" t="s">
        <v>3791</v>
      </c>
      <c r="AM1094" s="840"/>
      <c r="AN1094" s="858"/>
      <c r="AO1094" s="844" t="s">
        <v>141</v>
      </c>
      <c r="AP1094" s="859" t="s">
        <v>3792</v>
      </c>
      <c r="AQ1094" s="859"/>
      <c r="AR1094" s="859" t="s">
        <v>3793</v>
      </c>
      <c r="AS1094" s="840"/>
      <c r="AT1094" s="840"/>
      <c r="AU1094" s="860" t="s">
        <v>3794</v>
      </c>
      <c r="AV1094" s="839" t="s">
        <v>3795</v>
      </c>
      <c r="AW1094" s="861">
        <v>45733</v>
      </c>
      <c r="AX1094" s="862" t="s">
        <v>3796</v>
      </c>
      <c r="AY1094" s="843"/>
      <c r="AZ1094" s="842"/>
      <c r="BA1094" s="842" t="s">
        <v>120</v>
      </c>
      <c r="BB1094" s="863" t="s">
        <v>121</v>
      </c>
      <c r="BC1094" s="864">
        <v>45735</v>
      </c>
      <c r="BD1094" s="860" t="s">
        <v>3797</v>
      </c>
      <c r="BE1094" s="865" cm="1">
        <f t="array" ref="BE1094">IF(BD1094="","",AC1094/SUMPRODUCT(--(BD1094=$BD$4:$BD$12824),$AC$4:$AC$12824))</f>
        <v>5.1928269750051929E-2</v>
      </c>
      <c r="BF1094" s="458"/>
      <c r="BG1094" s="458"/>
      <c r="BH1094" s="458"/>
      <c r="BI1094" s="458"/>
      <c r="BJ1094" s="458"/>
      <c r="BK1094" s="458"/>
      <c r="BL1094" s="458"/>
      <c r="BM1094" s="458"/>
      <c r="BN1094" s="458"/>
      <c r="BO1094" s="866">
        <f>VLOOKUP(BD1094,$BD$4:$BN$12824,3,0)*BE1094</f>
        <v>1430889.7043550508</v>
      </c>
      <c r="BP1094" s="866"/>
      <c r="BQ1094" s="866"/>
      <c r="BR1094" s="866">
        <f>VLOOKUP(BD1094,$BD$4:$BN$12824,6,0)*BE1094</f>
        <v>775873.26040296338</v>
      </c>
      <c r="BS1094" s="866">
        <f>VLOOKUP(BD1094,$BD$4:$BN$12824,7,0)*BE1094</f>
        <v>81684.881949733433</v>
      </c>
      <c r="BT1094" s="866"/>
      <c r="BU1094" s="866">
        <f>VLOOKUP(BD1094,$BD$4:$BN$12824,9,0)*BE1094</f>
        <v>140494.8417918715</v>
      </c>
      <c r="BV1094" s="867"/>
      <c r="BW1094" s="867">
        <f>VLOOKUP(BD1094,$BD$4:$BN$12824,11,0)*BE1094</f>
        <v>31156.961850031159</v>
      </c>
      <c r="BX1094" s="1146">
        <f t="shared" si="207"/>
        <v>2460099.6503496505</v>
      </c>
      <c r="BY1094" s="867">
        <f t="shared" ref="BY1094:BY1157" si="215">(AB1094*AE1094+AG1094+BX1094)/U1094</f>
        <v>111607218.29692584</v>
      </c>
      <c r="BZ1094" s="867">
        <f t="shared" si="213"/>
        <v>111607218.29692584</v>
      </c>
      <c r="CA1094" s="867">
        <f>_xlfn.MAXIFS($BY$4:$BY$12824,$S$4:$S$12824,$S1094)</f>
        <v>111607218.29692584</v>
      </c>
      <c r="CB1094" s="1032"/>
      <c r="CF1094" s="946">
        <f t="shared" si="214"/>
        <v>87015180</v>
      </c>
    </row>
    <row r="1095" spans="1:84">
      <c r="A1095" s="1032"/>
      <c r="B1095" s="839" t="s">
        <v>98</v>
      </c>
      <c r="C1095" s="839" t="s">
        <v>3783</v>
      </c>
      <c r="D1095" s="839" t="s">
        <v>3784</v>
      </c>
      <c r="E1095" s="839" t="s">
        <v>3785</v>
      </c>
      <c r="F1095" s="841">
        <v>45679</v>
      </c>
      <c r="G1095" s="840" t="s">
        <v>3786</v>
      </c>
      <c r="H1095" s="842" t="s">
        <v>134</v>
      </c>
      <c r="I1095" s="842"/>
      <c r="J1095" s="841"/>
      <c r="K1095" s="841"/>
      <c r="L1095" s="843" t="s">
        <v>106</v>
      </c>
      <c r="M1095" s="844" t="s">
        <v>107</v>
      </c>
      <c r="N1095" s="841"/>
      <c r="O1095" s="841" t="s">
        <v>150</v>
      </c>
      <c r="P1095" s="841" t="s">
        <v>151</v>
      </c>
      <c r="Q1095" s="843"/>
      <c r="R1095" s="845" t="s">
        <v>3867</v>
      </c>
      <c r="S1095" s="1127" t="s">
        <v>3868</v>
      </c>
      <c r="T1095" s="843" t="s">
        <v>3869</v>
      </c>
      <c r="U1095" s="842">
        <v>2</v>
      </c>
      <c r="V1095" s="842" t="s">
        <v>3</v>
      </c>
      <c r="W1095" s="846">
        <v>2720</v>
      </c>
      <c r="X1095" s="847">
        <f t="shared" si="208"/>
        <v>5440</v>
      </c>
      <c r="Y1095" s="848">
        <f t="shared" si="206"/>
        <v>0.57499999999999996</v>
      </c>
      <c r="Z1095" s="849">
        <v>1156</v>
      </c>
      <c r="AA1095" s="849"/>
      <c r="AB1095" s="849">
        <f t="shared" si="209"/>
        <v>2312</v>
      </c>
      <c r="AC1095" s="850">
        <f t="shared" si="210"/>
        <v>2312</v>
      </c>
      <c r="AD1095" s="851">
        <v>29000</v>
      </c>
      <c r="AE1095" s="852">
        <v>27298.880000000001</v>
      </c>
      <c r="AF1095" s="853">
        <v>0.25</v>
      </c>
      <c r="AG1095" s="854">
        <f t="shared" si="211"/>
        <v>16053032.831649935</v>
      </c>
      <c r="AH1095" s="853">
        <v>0.08</v>
      </c>
      <c r="AI1095" s="855">
        <f t="shared" si="212"/>
        <v>6333443.471331995</v>
      </c>
      <c r="AJ1095" s="845" t="s">
        <v>3790</v>
      </c>
      <c r="AK1095" s="857" t="s">
        <v>3401</v>
      </c>
      <c r="AL1095" s="840" t="s">
        <v>3791</v>
      </c>
      <c r="AM1095" s="840"/>
      <c r="AN1095" s="858"/>
      <c r="AO1095" s="844" t="s">
        <v>141</v>
      </c>
      <c r="AP1095" s="859" t="s">
        <v>3792</v>
      </c>
      <c r="AQ1095" s="859"/>
      <c r="AR1095" s="859" t="s">
        <v>3793</v>
      </c>
      <c r="AS1095" s="840"/>
      <c r="AT1095" s="840"/>
      <c r="AU1095" s="860" t="s">
        <v>3794</v>
      </c>
      <c r="AV1095" s="839" t="s">
        <v>3795</v>
      </c>
      <c r="AW1095" s="861">
        <v>45733</v>
      </c>
      <c r="AX1095" s="862" t="s">
        <v>3796</v>
      </c>
      <c r="AY1095" s="843"/>
      <c r="AZ1095" s="842"/>
      <c r="BA1095" s="842" t="s">
        <v>120</v>
      </c>
      <c r="BB1095" s="863" t="s">
        <v>121</v>
      </c>
      <c r="BC1095" s="864">
        <v>45735</v>
      </c>
      <c r="BD1095" s="860" t="s">
        <v>3797</v>
      </c>
      <c r="BE1095" s="865" cm="1">
        <f t="array" ref="BE1095">IF(BD1095="","",AC1095/SUMPRODUCT(--(BD1095=$BD$4:$BD$12824),$AC$4:$AC$12824))</f>
        <v>3.7665304992037664E-2</v>
      </c>
      <c r="BF1095" s="458"/>
      <c r="BG1095" s="458"/>
      <c r="BH1095" s="458"/>
      <c r="BI1095" s="458"/>
      <c r="BJ1095" s="458"/>
      <c r="BK1095" s="458"/>
      <c r="BL1095" s="458"/>
      <c r="BM1095" s="458"/>
      <c r="BN1095" s="458"/>
      <c r="BO1095" s="866">
        <f>VLOOKUP(BD1095,$BD$4:$BN$12824,3,0)*BE1095</f>
        <v>1037871.9988921969</v>
      </c>
      <c r="BP1095" s="866"/>
      <c r="BQ1095" s="866"/>
      <c r="BR1095" s="866">
        <f>VLOOKUP(BD1095,$BD$4:$BN$12824,6,0)*BE1095</f>
        <v>562766.73821228277</v>
      </c>
      <c r="BS1095" s="866">
        <f>VLOOKUP(BD1095,$BD$4:$BN$12824,7,0)*BE1095</f>
        <v>59248.767707539984</v>
      </c>
      <c r="BT1095" s="866"/>
      <c r="BU1095" s="866">
        <f>VLOOKUP(BD1095,$BD$4:$BN$12824,9,0)*BE1095</f>
        <v>101905.59191303745</v>
      </c>
      <c r="BV1095" s="867"/>
      <c r="BW1095" s="867">
        <f>VLOOKUP(BD1095,$BD$4:$BN$12824,11,0)*BE1095</f>
        <v>22599.1829952226</v>
      </c>
      <c r="BX1095" s="1146">
        <f t="shared" si="207"/>
        <v>1784392.2797202796</v>
      </c>
      <c r="BY1095" s="867">
        <f t="shared" si="215"/>
        <v>40476217.835685104</v>
      </c>
      <c r="BZ1095" s="867">
        <f t="shared" si="213"/>
        <v>80952435.671370208</v>
      </c>
      <c r="CA1095" s="867">
        <f>_xlfn.MAXIFS($BY$4:$BY$12824,$S$4:$S$12824,$S1095)</f>
        <v>40476217.835685104</v>
      </c>
      <c r="CB1095" s="1032"/>
      <c r="CF1095" s="946">
        <f t="shared" si="214"/>
        <v>63115010.560000002</v>
      </c>
    </row>
    <row r="1096" spans="1:84">
      <c r="A1096" s="1032"/>
      <c r="B1096" s="839" t="s">
        <v>98</v>
      </c>
      <c r="C1096" s="839" t="s">
        <v>3783</v>
      </c>
      <c r="D1096" s="839" t="s">
        <v>3784</v>
      </c>
      <c r="E1096" s="839" t="s">
        <v>3785</v>
      </c>
      <c r="F1096" s="841">
        <v>45679</v>
      </c>
      <c r="G1096" s="840" t="s">
        <v>3786</v>
      </c>
      <c r="H1096" s="842" t="s">
        <v>134</v>
      </c>
      <c r="I1096" s="842"/>
      <c r="J1096" s="841"/>
      <c r="K1096" s="841"/>
      <c r="L1096" s="843" t="s">
        <v>106</v>
      </c>
      <c r="M1096" s="844" t="s">
        <v>107</v>
      </c>
      <c r="N1096" s="841"/>
      <c r="O1096" s="841" t="s">
        <v>150</v>
      </c>
      <c r="P1096" s="841" t="s">
        <v>461</v>
      </c>
      <c r="Q1096" s="843"/>
      <c r="R1096" s="845" t="s">
        <v>3870</v>
      </c>
      <c r="S1096" s="1127" t="s">
        <v>3871</v>
      </c>
      <c r="T1096" s="843" t="s">
        <v>3872</v>
      </c>
      <c r="U1096" s="842">
        <v>1</v>
      </c>
      <c r="V1096" s="842" t="s">
        <v>3</v>
      </c>
      <c r="W1096" s="846">
        <v>5130</v>
      </c>
      <c r="X1096" s="847">
        <f t="shared" si="208"/>
        <v>5130</v>
      </c>
      <c r="Y1096" s="848">
        <f t="shared" si="206"/>
        <v>0.57499999999999996</v>
      </c>
      <c r="Z1096" s="849">
        <v>2180.25</v>
      </c>
      <c r="AA1096" s="849"/>
      <c r="AB1096" s="849">
        <f t="shared" si="209"/>
        <v>2180.25</v>
      </c>
      <c r="AC1096" s="850">
        <f t="shared" si="210"/>
        <v>2180.25</v>
      </c>
      <c r="AD1096" s="851">
        <v>29000</v>
      </c>
      <c r="AE1096" s="852">
        <v>27298.880000000001</v>
      </c>
      <c r="AF1096" s="853">
        <v>0.25</v>
      </c>
      <c r="AG1096" s="854">
        <f t="shared" si="211"/>
        <v>15138246.03425812</v>
      </c>
      <c r="AH1096" s="853">
        <v>0.08</v>
      </c>
      <c r="AI1096" s="855">
        <f t="shared" si="212"/>
        <v>5972530.3323406503</v>
      </c>
      <c r="AJ1096" s="845" t="s">
        <v>3790</v>
      </c>
      <c r="AK1096" s="857" t="s">
        <v>3401</v>
      </c>
      <c r="AL1096" s="840" t="s">
        <v>3791</v>
      </c>
      <c r="AM1096" s="840"/>
      <c r="AN1096" s="858"/>
      <c r="AO1096" s="844" t="s">
        <v>141</v>
      </c>
      <c r="AP1096" s="859" t="s">
        <v>3792</v>
      </c>
      <c r="AQ1096" s="859"/>
      <c r="AR1096" s="859" t="s">
        <v>3793</v>
      </c>
      <c r="AS1096" s="840"/>
      <c r="AT1096" s="840"/>
      <c r="AU1096" s="860" t="s">
        <v>3794</v>
      </c>
      <c r="AV1096" s="839" t="s">
        <v>3795</v>
      </c>
      <c r="AW1096" s="861">
        <v>45733</v>
      </c>
      <c r="AX1096" s="862" t="s">
        <v>3796</v>
      </c>
      <c r="AY1096" s="843"/>
      <c r="AZ1096" s="842"/>
      <c r="BA1096" s="842" t="s">
        <v>120</v>
      </c>
      <c r="BB1096" s="863" t="s">
        <v>121</v>
      </c>
      <c r="BC1096" s="864">
        <v>45735</v>
      </c>
      <c r="BD1096" s="860" t="s">
        <v>3797</v>
      </c>
      <c r="BE1096" s="865" cm="1">
        <f t="array" ref="BE1096">IF(BD1096="","",AC1096/SUMPRODUCT(--(BD1096=$BD$4:$BD$12824),$AC$4:$AC$12824))</f>
        <v>3.5518936509035516E-2</v>
      </c>
      <c r="BF1096" s="458"/>
      <c r="BG1096" s="458"/>
      <c r="BH1096" s="458"/>
      <c r="BI1096" s="458"/>
      <c r="BJ1096" s="458"/>
      <c r="BK1096" s="458"/>
      <c r="BL1096" s="458"/>
      <c r="BM1096" s="458"/>
      <c r="BN1096" s="458"/>
      <c r="BO1096" s="866">
        <f>VLOOKUP(BD1096,$BD$4:$BN$12824,3,0)*BE1096</f>
        <v>978728.55777885474</v>
      </c>
      <c r="BP1096" s="866"/>
      <c r="BQ1096" s="866"/>
      <c r="BR1096" s="866">
        <f>VLOOKUP(BD1096,$BD$4:$BN$12824,6,0)*BE1096</f>
        <v>530697.3101156269</v>
      </c>
      <c r="BS1096" s="866">
        <f>VLOOKUP(BD1096,$BD$4:$BN$12824,7,0)*BE1096</f>
        <v>55872.459253617664</v>
      </c>
      <c r="BT1096" s="866"/>
      <c r="BU1096" s="866">
        <f>VLOOKUP(BD1096,$BD$4:$BN$12824,9,0)*BE1096</f>
        <v>96098.471785640097</v>
      </c>
      <c r="BV1096" s="867"/>
      <c r="BW1096" s="867">
        <f>VLOOKUP(BD1096,$BD$4:$BN$12824,11,0)*BE1096</f>
        <v>21311.361905421309</v>
      </c>
      <c r="BX1096" s="1146">
        <f t="shared" si="207"/>
        <v>1682708.1608391607</v>
      </c>
      <c r="BY1096" s="867">
        <f t="shared" si="215"/>
        <v>76339337.315097287</v>
      </c>
      <c r="BZ1096" s="867">
        <f t="shared" si="213"/>
        <v>76339337.315097287</v>
      </c>
      <c r="CA1096" s="867">
        <f>_xlfn.MAXIFS($BY$4:$BY$12824,$S$4:$S$12824,$S1096)</f>
        <v>76339337.315097287</v>
      </c>
      <c r="CB1096" s="1032"/>
      <c r="CF1096" s="946">
        <f t="shared" si="214"/>
        <v>59518383.120000005</v>
      </c>
    </row>
    <row r="1097" spans="1:84">
      <c r="A1097" s="1032"/>
      <c r="B1097" s="839" t="s">
        <v>98</v>
      </c>
      <c r="C1097" s="839" t="s">
        <v>3783</v>
      </c>
      <c r="D1097" s="839" t="s">
        <v>3784</v>
      </c>
      <c r="E1097" s="839" t="s">
        <v>3785</v>
      </c>
      <c r="F1097" s="841">
        <v>45679</v>
      </c>
      <c r="G1097" s="840" t="s">
        <v>3786</v>
      </c>
      <c r="H1097" s="842" t="s">
        <v>134</v>
      </c>
      <c r="I1097" s="842"/>
      <c r="J1097" s="841"/>
      <c r="K1097" s="841"/>
      <c r="L1097" s="843" t="s">
        <v>106</v>
      </c>
      <c r="M1097" s="844" t="s">
        <v>107</v>
      </c>
      <c r="N1097" s="841"/>
      <c r="O1097" s="841" t="s">
        <v>150</v>
      </c>
      <c r="P1097" s="841" t="s">
        <v>461</v>
      </c>
      <c r="Q1097" s="843"/>
      <c r="R1097" s="845" t="s">
        <v>3873</v>
      </c>
      <c r="S1097" s="1127" t="s">
        <v>3874</v>
      </c>
      <c r="T1097" s="843" t="s">
        <v>3875</v>
      </c>
      <c r="U1097" s="842">
        <v>1</v>
      </c>
      <c r="V1097" s="842" t="s">
        <v>3</v>
      </c>
      <c r="W1097" s="846">
        <v>7250</v>
      </c>
      <c r="X1097" s="847">
        <f t="shared" si="208"/>
        <v>7250</v>
      </c>
      <c r="Y1097" s="848">
        <f t="shared" si="206"/>
        <v>0.57499999999999996</v>
      </c>
      <c r="Z1097" s="849">
        <v>3081.25</v>
      </c>
      <c r="AA1097" s="849"/>
      <c r="AB1097" s="849">
        <f t="shared" si="209"/>
        <v>3081.25</v>
      </c>
      <c r="AC1097" s="850">
        <f t="shared" si="210"/>
        <v>3081.25</v>
      </c>
      <c r="AD1097" s="851">
        <v>29000</v>
      </c>
      <c r="AE1097" s="852">
        <v>27298.880000000001</v>
      </c>
      <c r="AF1097" s="853">
        <v>0.25</v>
      </c>
      <c r="AG1097" s="854">
        <f t="shared" si="211"/>
        <v>21394207.35835699</v>
      </c>
      <c r="AH1097" s="853">
        <v>0.08</v>
      </c>
      <c r="AI1097" s="855">
        <f t="shared" si="212"/>
        <v>8440710.5086685587</v>
      </c>
      <c r="AJ1097" s="845" t="s">
        <v>3790</v>
      </c>
      <c r="AK1097" s="857" t="s">
        <v>3401</v>
      </c>
      <c r="AL1097" s="840" t="s">
        <v>3791</v>
      </c>
      <c r="AM1097" s="840"/>
      <c r="AN1097" s="858"/>
      <c r="AO1097" s="844" t="s">
        <v>141</v>
      </c>
      <c r="AP1097" s="859" t="s">
        <v>3792</v>
      </c>
      <c r="AQ1097" s="859"/>
      <c r="AR1097" s="859" t="s">
        <v>3793</v>
      </c>
      <c r="AS1097" s="840"/>
      <c r="AT1097" s="840"/>
      <c r="AU1097" s="860" t="s">
        <v>3794</v>
      </c>
      <c r="AV1097" s="839" t="s">
        <v>3795</v>
      </c>
      <c r="AW1097" s="861">
        <v>45733</v>
      </c>
      <c r="AX1097" s="862" t="s">
        <v>3796</v>
      </c>
      <c r="AY1097" s="843"/>
      <c r="AZ1097" s="842"/>
      <c r="BA1097" s="842" t="s">
        <v>120</v>
      </c>
      <c r="BB1097" s="863" t="s">
        <v>121</v>
      </c>
      <c r="BC1097" s="864">
        <v>45735</v>
      </c>
      <c r="BD1097" s="860" t="s">
        <v>3797</v>
      </c>
      <c r="BE1097" s="865" cm="1">
        <f t="array" ref="BE1097">IF(BD1097="","",AC1097/SUMPRODUCT(--(BD1097=$BD$4:$BD$12824),$AC$4:$AC$12824))</f>
        <v>5.0197327425050196E-2</v>
      </c>
      <c r="BF1097" s="458"/>
      <c r="BG1097" s="458"/>
      <c r="BH1097" s="458"/>
      <c r="BI1097" s="458"/>
      <c r="BJ1097" s="458"/>
      <c r="BK1097" s="458"/>
      <c r="BL1097" s="458"/>
      <c r="BM1097" s="458"/>
      <c r="BN1097" s="458"/>
      <c r="BO1097" s="866">
        <f>VLOOKUP(BD1097,$BD$4:$BN$12824,3,0)*BE1097</f>
        <v>1383193.3808765491</v>
      </c>
      <c r="BP1097" s="866"/>
      <c r="BQ1097" s="866"/>
      <c r="BR1097" s="866">
        <f>VLOOKUP(BD1097,$BD$4:$BN$12824,6,0)*BE1097</f>
        <v>750010.81838953122</v>
      </c>
      <c r="BS1097" s="866">
        <f>VLOOKUP(BD1097,$BD$4:$BN$12824,7,0)*BE1097</f>
        <v>78962.052551408982</v>
      </c>
      <c r="BT1097" s="866"/>
      <c r="BU1097" s="866">
        <f>VLOOKUP(BD1097,$BD$4:$BN$12824,9,0)*BE1097</f>
        <v>135811.68039880911</v>
      </c>
      <c r="BV1097" s="867"/>
      <c r="BW1097" s="867">
        <f>VLOOKUP(BD1097,$BD$4:$BN$12824,11,0)*BE1097</f>
        <v>30118.396455030117</v>
      </c>
      <c r="BX1097" s="1146">
        <f t="shared" si="207"/>
        <v>2378096.3286713283</v>
      </c>
      <c r="BY1097" s="867">
        <f t="shared" si="215"/>
        <v>107886977.6870283</v>
      </c>
      <c r="BZ1097" s="867">
        <f t="shared" si="213"/>
        <v>107886977.6870283</v>
      </c>
      <c r="CA1097" s="867">
        <f>_xlfn.MAXIFS($BY$4:$BY$12824,$S$4:$S$12824,$S1097)</f>
        <v>107886977.6870283</v>
      </c>
      <c r="CB1097" s="1032"/>
      <c r="CF1097" s="946">
        <f t="shared" si="214"/>
        <v>84114674</v>
      </c>
    </row>
    <row r="1098" spans="1:84">
      <c r="A1098" s="1032"/>
      <c r="B1098" s="839" t="s">
        <v>98</v>
      </c>
      <c r="C1098" s="839" t="s">
        <v>3783</v>
      </c>
      <c r="D1098" s="839" t="s">
        <v>3784</v>
      </c>
      <c r="E1098" s="839" t="s">
        <v>3785</v>
      </c>
      <c r="F1098" s="841">
        <v>45679</v>
      </c>
      <c r="G1098" s="840" t="s">
        <v>3786</v>
      </c>
      <c r="H1098" s="842" t="s">
        <v>134</v>
      </c>
      <c r="I1098" s="842"/>
      <c r="J1098" s="841"/>
      <c r="K1098" s="841"/>
      <c r="L1098" s="843" t="s">
        <v>106</v>
      </c>
      <c r="M1098" s="844" t="s">
        <v>107</v>
      </c>
      <c r="N1098" s="841"/>
      <c r="O1098" s="841" t="s">
        <v>150</v>
      </c>
      <c r="P1098" s="841" t="s">
        <v>461</v>
      </c>
      <c r="Q1098" s="843"/>
      <c r="R1098" s="845" t="s">
        <v>3876</v>
      </c>
      <c r="S1098" s="1127" t="s">
        <v>3877</v>
      </c>
      <c r="T1098" s="843" t="s">
        <v>3878</v>
      </c>
      <c r="U1098" s="842">
        <v>1</v>
      </c>
      <c r="V1098" s="842" t="s">
        <v>3</v>
      </c>
      <c r="W1098" s="846">
        <v>1260</v>
      </c>
      <c r="X1098" s="847">
        <f t="shared" si="208"/>
        <v>1260</v>
      </c>
      <c r="Y1098" s="848">
        <f t="shared" si="206"/>
        <v>0.57499999999999996</v>
      </c>
      <c r="Z1098" s="849">
        <v>535.5</v>
      </c>
      <c r="AA1098" s="849"/>
      <c r="AB1098" s="849">
        <f t="shared" si="209"/>
        <v>535.5</v>
      </c>
      <c r="AC1098" s="850">
        <f t="shared" si="210"/>
        <v>535.5</v>
      </c>
      <c r="AD1098" s="851">
        <v>29000</v>
      </c>
      <c r="AE1098" s="852">
        <v>27298.880000000001</v>
      </c>
      <c r="AF1098" s="853">
        <v>0.25</v>
      </c>
      <c r="AG1098" s="854">
        <f t="shared" si="211"/>
        <v>3718165.6926248008</v>
      </c>
      <c r="AH1098" s="853">
        <v>0.08</v>
      </c>
      <c r="AI1098" s="855">
        <f t="shared" si="212"/>
        <v>1466937.2746099841</v>
      </c>
      <c r="AJ1098" s="845" t="s">
        <v>3790</v>
      </c>
      <c r="AK1098" s="857" t="s">
        <v>3401</v>
      </c>
      <c r="AL1098" s="840" t="s">
        <v>3791</v>
      </c>
      <c r="AM1098" s="840"/>
      <c r="AN1098" s="858"/>
      <c r="AO1098" s="844" t="s">
        <v>141</v>
      </c>
      <c r="AP1098" s="859" t="s">
        <v>3792</v>
      </c>
      <c r="AQ1098" s="859"/>
      <c r="AR1098" s="859" t="s">
        <v>3793</v>
      </c>
      <c r="AS1098" s="840"/>
      <c r="AT1098" s="840"/>
      <c r="AU1098" s="860" t="s">
        <v>3794</v>
      </c>
      <c r="AV1098" s="839" t="s">
        <v>3795</v>
      </c>
      <c r="AW1098" s="861">
        <v>45733</v>
      </c>
      <c r="AX1098" s="862" t="s">
        <v>3796</v>
      </c>
      <c r="AY1098" s="843"/>
      <c r="AZ1098" s="842"/>
      <c r="BA1098" s="842" t="s">
        <v>120</v>
      </c>
      <c r="BB1098" s="863" t="s">
        <v>121</v>
      </c>
      <c r="BC1098" s="864">
        <v>45735</v>
      </c>
      <c r="BD1098" s="860" t="s">
        <v>3797</v>
      </c>
      <c r="BE1098" s="865" cm="1">
        <f t="array" ref="BE1098">IF(BD1098="","",AC1098/SUMPRODUCT(--(BD1098=$BD$4:$BD$12824),$AC$4:$AC$12824))</f>
        <v>8.7239493180087235E-3</v>
      </c>
      <c r="BF1098" s="458"/>
      <c r="BG1098" s="458"/>
      <c r="BH1098" s="458"/>
      <c r="BI1098" s="458"/>
      <c r="BJ1098" s="458"/>
      <c r="BK1098" s="458"/>
      <c r="BL1098" s="458"/>
      <c r="BM1098" s="458"/>
      <c r="BN1098" s="458"/>
      <c r="BO1098" s="866">
        <f>VLOOKUP(BD1098,$BD$4:$BN$12824,3,0)*BE1098</f>
        <v>240389.47033164854</v>
      </c>
      <c r="BP1098" s="866"/>
      <c r="BQ1098" s="866"/>
      <c r="BR1098" s="866">
        <f>VLOOKUP(BD1098,$BD$4:$BN$12824,6,0)*BE1098</f>
        <v>130346.70774769784</v>
      </c>
      <c r="BS1098" s="866">
        <f>VLOOKUP(BD1098,$BD$4:$BN$12824,7,0)*BE1098</f>
        <v>13723.060167555217</v>
      </c>
      <c r="BT1098" s="866"/>
      <c r="BU1098" s="866">
        <f>VLOOKUP(BD1098,$BD$4:$BN$12824,9,0)*BE1098</f>
        <v>23603.13342103441</v>
      </c>
      <c r="BV1098" s="867"/>
      <c r="BW1098" s="867">
        <f>VLOOKUP(BD1098,$BD$4:$BN$12824,11,0)*BE1098</f>
        <v>5234.3695908052341</v>
      </c>
      <c r="BX1098" s="1146">
        <f t="shared" si="207"/>
        <v>413296.7412587413</v>
      </c>
      <c r="BY1098" s="867">
        <f t="shared" si="215"/>
        <v>18750012.673883542</v>
      </c>
      <c r="BZ1098" s="867">
        <f t="shared" si="213"/>
        <v>18750012.673883542</v>
      </c>
      <c r="CA1098" s="867">
        <f>_xlfn.MAXIFS($BY$4:$BY$12824,$S$4:$S$12824,$S1098)</f>
        <v>24384136.996707372</v>
      </c>
      <c r="CB1098" s="1032"/>
      <c r="CF1098" s="946">
        <f t="shared" si="214"/>
        <v>14618550.24</v>
      </c>
    </row>
    <row r="1099" spans="1:84">
      <c r="A1099" s="1032"/>
      <c r="B1099" s="839" t="s">
        <v>98</v>
      </c>
      <c r="C1099" s="839" t="s">
        <v>3783</v>
      </c>
      <c r="D1099" s="839" t="s">
        <v>3784</v>
      </c>
      <c r="E1099" s="839" t="s">
        <v>3785</v>
      </c>
      <c r="F1099" s="841">
        <v>45679</v>
      </c>
      <c r="G1099" s="840" t="s">
        <v>3786</v>
      </c>
      <c r="H1099" s="842" t="s">
        <v>134</v>
      </c>
      <c r="I1099" s="842"/>
      <c r="J1099" s="841"/>
      <c r="K1099" s="841"/>
      <c r="L1099" s="843" t="s">
        <v>106</v>
      </c>
      <c r="M1099" s="844" t="s">
        <v>107</v>
      </c>
      <c r="N1099" s="841"/>
      <c r="O1099" s="841" t="s">
        <v>150</v>
      </c>
      <c r="P1099" s="841" t="s">
        <v>461</v>
      </c>
      <c r="Q1099" s="843"/>
      <c r="R1099" s="845" t="s">
        <v>3879</v>
      </c>
      <c r="S1099" s="1127" t="s">
        <v>3880</v>
      </c>
      <c r="T1099" s="843" t="s">
        <v>3881</v>
      </c>
      <c r="U1099" s="842">
        <v>1</v>
      </c>
      <c r="V1099" s="842" t="s">
        <v>3</v>
      </c>
      <c r="W1099" s="846">
        <v>3010</v>
      </c>
      <c r="X1099" s="847">
        <f t="shared" si="208"/>
        <v>3010</v>
      </c>
      <c r="Y1099" s="848">
        <f t="shared" si="206"/>
        <v>0.57499999999999996</v>
      </c>
      <c r="Z1099" s="849">
        <v>1279.25</v>
      </c>
      <c r="AA1099" s="849"/>
      <c r="AB1099" s="849">
        <f t="shared" si="209"/>
        <v>1279.25</v>
      </c>
      <c r="AC1099" s="850">
        <f t="shared" si="210"/>
        <v>1279.25</v>
      </c>
      <c r="AD1099" s="851">
        <v>29000</v>
      </c>
      <c r="AE1099" s="852">
        <v>27298.880000000001</v>
      </c>
      <c r="AF1099" s="853">
        <v>0.25</v>
      </c>
      <c r="AG1099" s="854">
        <f t="shared" si="211"/>
        <v>8882284.7101592477</v>
      </c>
      <c r="AH1099" s="853">
        <v>0.08</v>
      </c>
      <c r="AI1099" s="855">
        <f t="shared" si="212"/>
        <v>3504350.15601274</v>
      </c>
      <c r="AJ1099" s="845" t="s">
        <v>3790</v>
      </c>
      <c r="AK1099" s="857" t="s">
        <v>3401</v>
      </c>
      <c r="AL1099" s="840" t="s">
        <v>3791</v>
      </c>
      <c r="AM1099" s="840"/>
      <c r="AN1099" s="858"/>
      <c r="AO1099" s="844" t="s">
        <v>141</v>
      </c>
      <c r="AP1099" s="859" t="s">
        <v>3792</v>
      </c>
      <c r="AQ1099" s="859"/>
      <c r="AR1099" s="859" t="s">
        <v>3793</v>
      </c>
      <c r="AS1099" s="840"/>
      <c r="AT1099" s="840"/>
      <c r="AU1099" s="860" t="s">
        <v>3794</v>
      </c>
      <c r="AV1099" s="839" t="s">
        <v>3795</v>
      </c>
      <c r="AW1099" s="861">
        <v>45733</v>
      </c>
      <c r="AX1099" s="862" t="s">
        <v>3796</v>
      </c>
      <c r="AY1099" s="843"/>
      <c r="AZ1099" s="842"/>
      <c r="BA1099" s="842" t="s">
        <v>120</v>
      </c>
      <c r="BB1099" s="863" t="s">
        <v>121</v>
      </c>
      <c r="BC1099" s="864">
        <v>45735</v>
      </c>
      <c r="BD1099" s="860" t="s">
        <v>3797</v>
      </c>
      <c r="BE1099" s="865" cm="1">
        <f t="array" ref="BE1099">IF(BD1099="","",AC1099/SUMPRODUCT(--(BD1099=$BD$4:$BD$12824),$AC$4:$AC$12824))</f>
        <v>2.0840545593020839E-2</v>
      </c>
      <c r="BF1099" s="458"/>
      <c r="BG1099" s="458"/>
      <c r="BH1099" s="458"/>
      <c r="BI1099" s="458"/>
      <c r="BJ1099" s="458"/>
      <c r="BK1099" s="458"/>
      <c r="BL1099" s="458"/>
      <c r="BM1099" s="458"/>
      <c r="BN1099" s="458"/>
      <c r="BO1099" s="866">
        <f>VLOOKUP(BD1099,$BD$4:$BN$12824,3,0)*BE1099</f>
        <v>574263.73468116042</v>
      </c>
      <c r="BP1099" s="866"/>
      <c r="BQ1099" s="866"/>
      <c r="BR1099" s="866">
        <f>VLOOKUP(BD1099,$BD$4:$BN$12824,6,0)*BE1099</f>
        <v>311383.80184172263</v>
      </c>
      <c r="BS1099" s="866">
        <f>VLOOKUP(BD1099,$BD$4:$BN$12824,7,0)*BE1099</f>
        <v>32782.865955826353</v>
      </c>
      <c r="BT1099" s="866"/>
      <c r="BU1099" s="866">
        <f>VLOOKUP(BD1099,$BD$4:$BN$12824,9,0)*BE1099</f>
        <v>56385.263172471088</v>
      </c>
      <c r="BV1099" s="867"/>
      <c r="BW1099" s="867">
        <f>VLOOKUP(BD1099,$BD$4:$BN$12824,11,0)*BE1099</f>
        <v>12504.327355812504</v>
      </c>
      <c r="BX1099" s="1146">
        <f t="shared" si="207"/>
        <v>987319.99300699297</v>
      </c>
      <c r="BY1099" s="867">
        <f t="shared" si="215"/>
        <v>44791696.943166241</v>
      </c>
      <c r="BZ1099" s="867">
        <f t="shared" si="213"/>
        <v>44791696.943166241</v>
      </c>
      <c r="CA1099" s="867">
        <f>_xlfn.MAXIFS($BY$4:$BY$12824,$S$4:$S$12824,$S1099)</f>
        <v>44791696.943166241</v>
      </c>
      <c r="CB1099" s="1032"/>
      <c r="CF1099" s="946">
        <f t="shared" si="214"/>
        <v>34922092.240000002</v>
      </c>
    </row>
    <row r="1100" spans="1:84">
      <c r="A1100" s="1032"/>
      <c r="B1100" s="839" t="s">
        <v>98</v>
      </c>
      <c r="C1100" s="839" t="s">
        <v>3882</v>
      </c>
      <c r="D1100" s="839" t="s">
        <v>3883</v>
      </c>
      <c r="E1100" s="839" t="s">
        <v>3883</v>
      </c>
      <c r="F1100" s="841">
        <v>45679</v>
      </c>
      <c r="G1100" s="840" t="s">
        <v>3884</v>
      </c>
      <c r="H1100" s="842" t="s">
        <v>134</v>
      </c>
      <c r="I1100" s="842"/>
      <c r="J1100" s="841"/>
      <c r="K1100" s="841"/>
      <c r="L1100" s="843" t="s">
        <v>106</v>
      </c>
      <c r="M1100" s="844" t="s">
        <v>107</v>
      </c>
      <c r="N1100" s="841"/>
      <c r="O1100" s="841" t="s">
        <v>3459</v>
      </c>
      <c r="P1100" s="841" t="s">
        <v>3885</v>
      </c>
      <c r="Q1100" s="843"/>
      <c r="R1100" s="845" t="s">
        <v>3886</v>
      </c>
      <c r="S1100" s="1127" t="s">
        <v>3887</v>
      </c>
      <c r="T1100" s="843" t="s">
        <v>3888</v>
      </c>
      <c r="U1100" s="842">
        <v>1</v>
      </c>
      <c r="V1100" s="842" t="s">
        <v>3</v>
      </c>
      <c r="W1100" s="846">
        <v>123.9</v>
      </c>
      <c r="X1100" s="847">
        <f t="shared" si="208"/>
        <v>123.9</v>
      </c>
      <c r="Y1100" s="848">
        <v>0.2</v>
      </c>
      <c r="Z1100" s="849">
        <v>99.12</v>
      </c>
      <c r="AA1100" s="849"/>
      <c r="AB1100" s="849">
        <f t="shared" si="209"/>
        <v>99.12</v>
      </c>
      <c r="AC1100" s="850">
        <f t="shared" si="210"/>
        <v>99.12</v>
      </c>
      <c r="AD1100" s="851"/>
      <c r="AE1100" s="852">
        <v>27448.69</v>
      </c>
      <c r="AF1100" s="853">
        <v>0</v>
      </c>
      <c r="AG1100" s="854">
        <f t="shared" si="211"/>
        <v>0</v>
      </c>
      <c r="AH1100" s="853">
        <v>0.1</v>
      </c>
      <c r="AI1100" s="855">
        <f t="shared" si="212"/>
        <v>351342.55927751894</v>
      </c>
      <c r="AJ1100" s="845" t="s">
        <v>3889</v>
      </c>
      <c r="AK1100" s="857">
        <v>45811</v>
      </c>
      <c r="AL1100" s="840" t="s">
        <v>3890</v>
      </c>
      <c r="AM1100" s="840"/>
      <c r="AN1100" s="858"/>
      <c r="AO1100" s="844" t="s">
        <v>116</v>
      </c>
      <c r="AP1100" s="859"/>
      <c r="AQ1100" s="859" t="s">
        <v>3891</v>
      </c>
      <c r="AR1100" s="859" t="s">
        <v>3892</v>
      </c>
      <c r="AS1100" s="840"/>
      <c r="AT1100" s="840" t="s">
        <v>1875</v>
      </c>
      <c r="AU1100" s="860"/>
      <c r="AV1100" s="839" t="s">
        <v>3893</v>
      </c>
      <c r="AW1100" s="861">
        <v>45742</v>
      </c>
      <c r="AX1100" s="862" t="s">
        <v>3894</v>
      </c>
      <c r="AY1100" s="843" t="s">
        <v>3895</v>
      </c>
      <c r="AZ1100" s="842">
        <v>94059950</v>
      </c>
      <c r="BA1100" s="842" t="s">
        <v>120</v>
      </c>
      <c r="BB1100" s="863" t="s">
        <v>121</v>
      </c>
      <c r="BC1100" s="864">
        <v>45744</v>
      </c>
      <c r="BD1100" s="860" t="s">
        <v>3896</v>
      </c>
      <c r="BE1100" s="865" cm="1">
        <f t="array" ref="BE1100">IF(BD1100="","",AC1100/SUMPRODUCT(--(BD1100=$BD$4:$BD$12824),$AC$4:$AC$12824))</f>
        <v>7.1239650413983432E-2</v>
      </c>
      <c r="BF1100" s="458">
        <v>792711.43997518974</v>
      </c>
      <c r="BG1100" s="458"/>
      <c r="BH1100" s="458"/>
      <c r="BI1100" s="458"/>
      <c r="BJ1100" s="458"/>
      <c r="BK1100" s="458"/>
      <c r="BL1100" s="458"/>
      <c r="BM1100" s="458"/>
      <c r="BN1100" s="458">
        <v>155963.99520234953</v>
      </c>
      <c r="BO1100" s="866">
        <f>VLOOKUP(BD1100,$BD$4:$BN$12824,3,0)*BE1100</f>
        <v>56472.485862997928</v>
      </c>
      <c r="BP1100" s="866"/>
      <c r="BQ1100" s="866"/>
      <c r="BR1100" s="866">
        <f>VLOOKUP(BD1100,$BD$4:$BN$12824,6,0)*BE1100</f>
        <v>0</v>
      </c>
      <c r="BS1100" s="866">
        <f>VLOOKUP(BD1100,$BD$4:$BN$12824,7,0)*BE1100</f>
        <v>0</v>
      </c>
      <c r="BT1100" s="866"/>
      <c r="BU1100" s="866">
        <f>VLOOKUP(BD1100,$BD$4:$BN$12824,9,0)*BE1100</f>
        <v>0</v>
      </c>
      <c r="BV1100" s="867"/>
      <c r="BW1100" s="867">
        <f>VLOOKUP(BD1100,$BD$4:$BN$12824,11,0)*BE1100</f>
        <v>11110.82049538357</v>
      </c>
      <c r="BX1100" s="1146">
        <f t="shared" ref="BX1100:BX1114" si="216">SUM(BO1100:BW1100)</f>
        <v>67583.306358381495</v>
      </c>
      <c r="BY1100" s="867">
        <f t="shared" si="215"/>
        <v>2788297.4591583814</v>
      </c>
      <c r="BZ1100" s="867">
        <f t="shared" si="213"/>
        <v>2788297.4591583814</v>
      </c>
      <c r="CA1100" s="867">
        <f>_xlfn.MAXIFS($BY$4:$BY$12824,$S$4:$S$12824,$S1100)</f>
        <v>2788297.4591583814</v>
      </c>
      <c r="CB1100" s="1032"/>
      <c r="CF1100" s="946">
        <f t="shared" si="214"/>
        <v>2720714.1527999998</v>
      </c>
    </row>
    <row r="1101" spans="1:84">
      <c r="A1101" s="1032"/>
      <c r="B1101" s="839" t="s">
        <v>98</v>
      </c>
      <c r="C1101" s="839" t="s">
        <v>3882</v>
      </c>
      <c r="D1101" s="839" t="s">
        <v>3883</v>
      </c>
      <c r="E1101" s="839" t="s">
        <v>3883</v>
      </c>
      <c r="F1101" s="841">
        <v>45679</v>
      </c>
      <c r="G1101" s="840" t="s">
        <v>3884</v>
      </c>
      <c r="H1101" s="842" t="s">
        <v>134</v>
      </c>
      <c r="I1101" s="842"/>
      <c r="J1101" s="841"/>
      <c r="K1101" s="841"/>
      <c r="L1101" s="843" t="s">
        <v>106</v>
      </c>
      <c r="M1101" s="844" t="s">
        <v>107</v>
      </c>
      <c r="N1101" s="841"/>
      <c r="O1101" s="841" t="s">
        <v>3459</v>
      </c>
      <c r="P1101" s="841" t="s">
        <v>3885</v>
      </c>
      <c r="Q1101" s="843"/>
      <c r="R1101" s="845" t="s">
        <v>3897</v>
      </c>
      <c r="S1101" s="1127" t="s">
        <v>3898</v>
      </c>
      <c r="T1101" s="843" t="s">
        <v>3899</v>
      </c>
      <c r="U1101" s="842">
        <v>1</v>
      </c>
      <c r="V1101" s="842" t="s">
        <v>3</v>
      </c>
      <c r="W1101" s="846">
        <v>88.98</v>
      </c>
      <c r="X1101" s="847">
        <f t="shared" si="208"/>
        <v>88.98</v>
      </c>
      <c r="Y1101" s="848">
        <v>0.2</v>
      </c>
      <c r="Z1101" s="849">
        <v>71.180000000000007</v>
      </c>
      <c r="AA1101" s="849"/>
      <c r="AB1101" s="849">
        <f t="shared" si="209"/>
        <v>71.180000000000007</v>
      </c>
      <c r="AC1101" s="850">
        <f t="shared" si="210"/>
        <v>71.180000000000007</v>
      </c>
      <c r="AD1101" s="851"/>
      <c r="AE1101" s="852">
        <v>27448.69</v>
      </c>
      <c r="AF1101" s="853">
        <v>0</v>
      </c>
      <c r="AG1101" s="854">
        <f t="shared" si="211"/>
        <v>0</v>
      </c>
      <c r="AH1101" s="853">
        <v>0.1</v>
      </c>
      <c r="AI1101" s="855">
        <f t="shared" si="212"/>
        <v>195379.77542000002</v>
      </c>
      <c r="AJ1101" s="845" t="s">
        <v>3889</v>
      </c>
      <c r="AK1101" s="857">
        <v>45811</v>
      </c>
      <c r="AL1101" s="840" t="s">
        <v>3890</v>
      </c>
      <c r="AM1101" s="840"/>
      <c r="AN1101" s="858"/>
      <c r="AO1101" s="844" t="s">
        <v>116</v>
      </c>
      <c r="AP1101" s="859"/>
      <c r="AQ1101" s="859" t="s">
        <v>3891</v>
      </c>
      <c r="AR1101" s="859" t="s">
        <v>3892</v>
      </c>
      <c r="AS1101" s="840"/>
      <c r="AT1101" s="840" t="s">
        <v>1875</v>
      </c>
      <c r="AU1101" s="860"/>
      <c r="AV1101" s="839" t="s">
        <v>3893</v>
      </c>
      <c r="AW1101" s="861">
        <v>45742</v>
      </c>
      <c r="AX1101" s="862" t="s">
        <v>3894</v>
      </c>
      <c r="AY1101" s="843" t="s">
        <v>3900</v>
      </c>
      <c r="AZ1101" s="842">
        <v>94059950</v>
      </c>
      <c r="BA1101" s="842" t="s">
        <v>120</v>
      </c>
      <c r="BB1101" s="863" t="s">
        <v>121</v>
      </c>
      <c r="BC1101" s="864">
        <v>45744</v>
      </c>
      <c r="BD1101" s="860" t="s">
        <v>3896</v>
      </c>
      <c r="BE1101" s="865" cm="1">
        <f t="array" ref="BE1101">IF(BD1101="","",AC1101/SUMPRODUCT(--(BD1101=$BD$4:$BD$12824),$AC$4:$AC$12824))</f>
        <v>5.1158578656853727E-2</v>
      </c>
      <c r="BF1101" s="458"/>
      <c r="BG1101" s="458"/>
      <c r="BH1101" s="458"/>
      <c r="BI1101" s="458"/>
      <c r="BJ1101" s="458"/>
      <c r="BK1101" s="458"/>
      <c r="BL1101" s="458"/>
      <c r="BM1101" s="458"/>
      <c r="BN1101" s="458"/>
      <c r="BO1101" s="866">
        <f>VLOOKUP(BD1101,$BD$4:$BN$12824,3,0)*BE1101</f>
        <v>40553.990554158525</v>
      </c>
      <c r="BP1101" s="866"/>
      <c r="BQ1101" s="866"/>
      <c r="BR1101" s="866">
        <f>VLOOKUP(BD1101,$BD$4:$BN$12824,6,0)*BE1101</f>
        <v>0</v>
      </c>
      <c r="BS1101" s="866">
        <f>VLOOKUP(BD1101,$BD$4:$BN$12824,7,0)*BE1101</f>
        <v>0</v>
      </c>
      <c r="BT1101" s="866"/>
      <c r="BU1101" s="866">
        <f>VLOOKUP(BD1101,$BD$4:$BN$12824,9,0)*BE1101</f>
        <v>0</v>
      </c>
      <c r="BV1101" s="867"/>
      <c r="BW1101" s="867">
        <f>VLOOKUP(BD1101,$BD$4:$BN$12824,11,0)*BE1101</f>
        <v>7978.8963161965557</v>
      </c>
      <c r="BX1101" s="1146">
        <f t="shared" si="216"/>
        <v>48532.886870355083</v>
      </c>
      <c r="BY1101" s="867">
        <f t="shared" si="215"/>
        <v>2002330.6410703552</v>
      </c>
      <c r="BZ1101" s="867">
        <f t="shared" si="213"/>
        <v>2002330.6410703552</v>
      </c>
      <c r="CA1101" s="867">
        <f>_xlfn.MAXIFS($BY$4:$BY$12824,$S$4:$S$12824,$S1101)</f>
        <v>2002330.6410703552</v>
      </c>
      <c r="CB1101" s="1032"/>
      <c r="CF1101" s="946">
        <f t="shared" si="214"/>
        <v>1953797.7542000001</v>
      </c>
    </row>
    <row r="1102" spans="1:84">
      <c r="A1102" s="1032"/>
      <c r="B1102" s="839" t="s">
        <v>98</v>
      </c>
      <c r="C1102" s="839" t="s">
        <v>3882</v>
      </c>
      <c r="D1102" s="839" t="s">
        <v>3883</v>
      </c>
      <c r="E1102" s="839" t="s">
        <v>3883</v>
      </c>
      <c r="F1102" s="841">
        <v>45679</v>
      </c>
      <c r="G1102" s="840" t="s">
        <v>3884</v>
      </c>
      <c r="H1102" s="842" t="s">
        <v>134</v>
      </c>
      <c r="I1102" s="842"/>
      <c r="J1102" s="841"/>
      <c r="K1102" s="841"/>
      <c r="L1102" s="843" t="s">
        <v>106</v>
      </c>
      <c r="M1102" s="844" t="s">
        <v>107</v>
      </c>
      <c r="N1102" s="841"/>
      <c r="O1102" s="841" t="s">
        <v>3459</v>
      </c>
      <c r="P1102" s="841" t="s">
        <v>3885</v>
      </c>
      <c r="Q1102" s="843"/>
      <c r="R1102" s="845" t="s">
        <v>3901</v>
      </c>
      <c r="S1102" s="1127" t="s">
        <v>3902</v>
      </c>
      <c r="T1102" s="843" t="s">
        <v>3903</v>
      </c>
      <c r="U1102" s="842">
        <v>2</v>
      </c>
      <c r="V1102" s="842" t="s">
        <v>3</v>
      </c>
      <c r="W1102" s="846">
        <v>178.95</v>
      </c>
      <c r="X1102" s="847">
        <f t="shared" si="208"/>
        <v>357.9</v>
      </c>
      <c r="Y1102" s="848">
        <v>0.2</v>
      </c>
      <c r="Z1102" s="849">
        <v>143.16</v>
      </c>
      <c r="AA1102" s="849"/>
      <c r="AB1102" s="849">
        <f t="shared" si="209"/>
        <v>286.32</v>
      </c>
      <c r="AC1102" s="850">
        <f t="shared" si="210"/>
        <v>286.32</v>
      </c>
      <c r="AD1102" s="851"/>
      <c r="AE1102" s="852">
        <v>27448.69</v>
      </c>
      <c r="AF1102" s="853">
        <v>0</v>
      </c>
      <c r="AG1102" s="854">
        <f t="shared" si="211"/>
        <v>0</v>
      </c>
      <c r="AH1102" s="853">
        <v>0.1</v>
      </c>
      <c r="AI1102" s="855">
        <f t="shared" si="212"/>
        <v>785910.89208000002</v>
      </c>
      <c r="AJ1102" s="845" t="s">
        <v>3889</v>
      </c>
      <c r="AK1102" s="857">
        <v>45811</v>
      </c>
      <c r="AL1102" s="840" t="s">
        <v>3890</v>
      </c>
      <c r="AM1102" s="840"/>
      <c r="AN1102" s="858"/>
      <c r="AO1102" s="844" t="s">
        <v>116</v>
      </c>
      <c r="AP1102" s="859"/>
      <c r="AQ1102" s="859" t="s">
        <v>3891</v>
      </c>
      <c r="AR1102" s="859" t="s">
        <v>3892</v>
      </c>
      <c r="AS1102" s="840"/>
      <c r="AT1102" s="840" t="s">
        <v>1875</v>
      </c>
      <c r="AU1102" s="860"/>
      <c r="AV1102" s="839" t="s">
        <v>3893</v>
      </c>
      <c r="AW1102" s="861">
        <v>45742</v>
      </c>
      <c r="AX1102" s="862" t="s">
        <v>3894</v>
      </c>
      <c r="AY1102" s="843" t="s">
        <v>3904</v>
      </c>
      <c r="AZ1102" s="842">
        <v>94059950</v>
      </c>
      <c r="BA1102" s="842" t="s">
        <v>120</v>
      </c>
      <c r="BB1102" s="863" t="s">
        <v>121</v>
      </c>
      <c r="BC1102" s="864">
        <v>45744</v>
      </c>
      <c r="BD1102" s="860" t="s">
        <v>3896</v>
      </c>
      <c r="BE1102" s="865" cm="1">
        <f t="array" ref="BE1102">IF(BD1102="","",AC1102/SUMPRODUCT(--(BD1102=$BD$4:$BD$12824),$AC$4:$AC$12824))</f>
        <v>0.20578426862925481</v>
      </c>
      <c r="BF1102" s="458"/>
      <c r="BG1102" s="458"/>
      <c r="BH1102" s="458"/>
      <c r="BI1102" s="458"/>
      <c r="BJ1102" s="458"/>
      <c r="BK1102" s="458"/>
      <c r="BL1102" s="458"/>
      <c r="BM1102" s="458"/>
      <c r="BN1102" s="458"/>
      <c r="BO1102" s="866">
        <f>VLOOKUP(BD1102,$BD$4:$BN$12824,3,0)*BE1102</f>
        <v>163127.54390933784</v>
      </c>
      <c r="BP1102" s="866"/>
      <c r="BQ1102" s="866"/>
      <c r="BR1102" s="866">
        <f>VLOOKUP(BD1102,$BD$4:$BN$12824,6,0)*BE1102</f>
        <v>0</v>
      </c>
      <c r="BS1102" s="866">
        <f>VLOOKUP(BD1102,$BD$4:$BN$12824,7,0)*BE1102</f>
        <v>0</v>
      </c>
      <c r="BT1102" s="866"/>
      <c r="BU1102" s="866">
        <f>VLOOKUP(BD1102,$BD$4:$BN$12824,9,0)*BE1102</f>
        <v>0</v>
      </c>
      <c r="BV1102" s="867"/>
      <c r="BW1102" s="867">
        <f>VLOOKUP(BD1102,$BD$4:$BN$12824,11,0)*BE1102</f>
        <v>32094.936685212102</v>
      </c>
      <c r="BX1102" s="1146">
        <f t="shared" si="216"/>
        <v>195222.48059454994</v>
      </c>
      <c r="BY1102" s="867">
        <f t="shared" si="215"/>
        <v>4027165.7006972749</v>
      </c>
      <c r="BZ1102" s="867">
        <f t="shared" si="213"/>
        <v>8054331.4013945498</v>
      </c>
      <c r="CA1102" s="867">
        <f>_xlfn.MAXIFS($BY$4:$BY$12824,$S$4:$S$12824,$S1102)</f>
        <v>4027165.7006972749</v>
      </c>
      <c r="CB1102" s="1032"/>
      <c r="CF1102" s="946">
        <f t="shared" si="214"/>
        <v>7859108.9207999995</v>
      </c>
    </row>
    <row r="1103" spans="1:84">
      <c r="A1103" s="1032"/>
      <c r="B1103" s="839" t="s">
        <v>98</v>
      </c>
      <c r="C1103" s="839" t="s">
        <v>3882</v>
      </c>
      <c r="D1103" s="839" t="s">
        <v>3883</v>
      </c>
      <c r="E1103" s="839" t="s">
        <v>3883</v>
      </c>
      <c r="F1103" s="841">
        <v>45679</v>
      </c>
      <c r="G1103" s="840" t="s">
        <v>3884</v>
      </c>
      <c r="H1103" s="842" t="s">
        <v>134</v>
      </c>
      <c r="I1103" s="842"/>
      <c r="J1103" s="841"/>
      <c r="K1103" s="841"/>
      <c r="L1103" s="843" t="s">
        <v>106</v>
      </c>
      <c r="M1103" s="844" t="s">
        <v>107</v>
      </c>
      <c r="N1103" s="841"/>
      <c r="O1103" s="841" t="s">
        <v>3459</v>
      </c>
      <c r="P1103" s="841" t="s">
        <v>2088</v>
      </c>
      <c r="Q1103" s="843"/>
      <c r="R1103" s="845" t="s">
        <v>3905</v>
      </c>
      <c r="S1103" s="1127" t="s">
        <v>3906</v>
      </c>
      <c r="T1103" s="843" t="s">
        <v>3907</v>
      </c>
      <c r="U1103" s="842">
        <v>3</v>
      </c>
      <c r="V1103" s="842" t="s">
        <v>3</v>
      </c>
      <c r="W1103" s="846">
        <v>108.23</v>
      </c>
      <c r="X1103" s="847">
        <f t="shared" si="208"/>
        <v>324.69</v>
      </c>
      <c r="Y1103" s="848">
        <v>0.2</v>
      </c>
      <c r="Z1103" s="849">
        <v>86.58</v>
      </c>
      <c r="AA1103" s="849"/>
      <c r="AB1103" s="849">
        <f t="shared" si="209"/>
        <v>259.74</v>
      </c>
      <c r="AC1103" s="850">
        <f t="shared" si="210"/>
        <v>259.74</v>
      </c>
      <c r="AD1103" s="851"/>
      <c r="AE1103" s="852">
        <v>27448.69</v>
      </c>
      <c r="AF1103" s="853">
        <v>0</v>
      </c>
      <c r="AG1103" s="854">
        <f t="shared" si="211"/>
        <v>0</v>
      </c>
      <c r="AH1103" s="853">
        <v>0.1</v>
      </c>
      <c r="AI1103" s="855">
        <f t="shared" si="212"/>
        <v>712952.27406000008</v>
      </c>
      <c r="AJ1103" s="845" t="s">
        <v>3889</v>
      </c>
      <c r="AK1103" s="857">
        <v>45811</v>
      </c>
      <c r="AL1103" s="840" t="s">
        <v>3890</v>
      </c>
      <c r="AM1103" s="840"/>
      <c r="AN1103" s="858"/>
      <c r="AO1103" s="844" t="s">
        <v>116</v>
      </c>
      <c r="AP1103" s="859"/>
      <c r="AQ1103" s="859" t="s">
        <v>3891</v>
      </c>
      <c r="AR1103" s="859" t="s">
        <v>3892</v>
      </c>
      <c r="AS1103" s="840"/>
      <c r="AT1103" s="840" t="s">
        <v>1875</v>
      </c>
      <c r="AU1103" s="860"/>
      <c r="AV1103" s="839" t="s">
        <v>3893</v>
      </c>
      <c r="AW1103" s="861">
        <v>45742</v>
      </c>
      <c r="AX1103" s="862" t="s">
        <v>3894</v>
      </c>
      <c r="AY1103" s="843" t="s">
        <v>3908</v>
      </c>
      <c r="AZ1103" s="842">
        <v>94059950</v>
      </c>
      <c r="BA1103" s="842" t="s">
        <v>120</v>
      </c>
      <c r="BB1103" s="863" t="s">
        <v>121</v>
      </c>
      <c r="BC1103" s="864">
        <v>45744</v>
      </c>
      <c r="BD1103" s="860" t="s">
        <v>3896</v>
      </c>
      <c r="BE1103" s="865" cm="1">
        <f t="array" ref="BE1103">IF(BD1103="","",AC1103/SUMPRODUCT(--(BD1103=$BD$4:$BD$12824),$AC$4:$AC$12824))</f>
        <v>0.18668065777368903</v>
      </c>
      <c r="BF1103" s="458"/>
      <c r="BG1103" s="458"/>
      <c r="BH1103" s="458"/>
      <c r="BI1103" s="458"/>
      <c r="BJ1103" s="458"/>
      <c r="BK1103" s="458"/>
      <c r="BL1103" s="458"/>
      <c r="BM1103" s="458"/>
      <c r="BN1103" s="458"/>
      <c r="BO1103" s="866">
        <f>VLOOKUP(BD1103,$BD$4:$BN$12824,3,0)*BE1103</f>
        <v>147983.89303929664</v>
      </c>
      <c r="BP1103" s="866"/>
      <c r="BQ1103" s="866"/>
      <c r="BR1103" s="866">
        <f>VLOOKUP(BD1103,$BD$4:$BN$12824,6,0)*BE1103</f>
        <v>0</v>
      </c>
      <c r="BS1103" s="866">
        <f>VLOOKUP(BD1103,$BD$4:$BN$12824,7,0)*BE1103</f>
        <v>0</v>
      </c>
      <c r="BT1103" s="866"/>
      <c r="BU1103" s="866">
        <f>VLOOKUP(BD1103,$BD$4:$BN$12824,9,0)*BE1103</f>
        <v>0</v>
      </c>
      <c r="BV1103" s="867"/>
      <c r="BW1103" s="867">
        <f>VLOOKUP(BD1103,$BD$4:$BN$12824,11,0)*BE1103</f>
        <v>29115.461213387091</v>
      </c>
      <c r="BX1103" s="1146">
        <f t="shared" si="216"/>
        <v>177099.35425268373</v>
      </c>
      <c r="BY1103" s="867">
        <f t="shared" si="215"/>
        <v>2435540.6982842279</v>
      </c>
      <c r="BZ1103" s="867">
        <f t="shared" si="213"/>
        <v>7306622.0948526841</v>
      </c>
      <c r="CA1103" s="867">
        <f>_xlfn.MAXIFS($BY$4:$BY$12824,$S$4:$S$12824,$S1103)</f>
        <v>2435540.6982842279</v>
      </c>
      <c r="CB1103" s="1032"/>
      <c r="CF1103" s="946">
        <f t="shared" si="214"/>
        <v>7129522.7406000001</v>
      </c>
    </row>
    <row r="1104" spans="1:84">
      <c r="A1104" s="1032"/>
      <c r="B1104" s="839" t="s">
        <v>98</v>
      </c>
      <c r="C1104" s="839" t="s">
        <v>3882</v>
      </c>
      <c r="D1104" s="839" t="s">
        <v>3883</v>
      </c>
      <c r="E1104" s="839" t="s">
        <v>3883</v>
      </c>
      <c r="F1104" s="841">
        <v>45679</v>
      </c>
      <c r="G1104" s="840" t="s">
        <v>3884</v>
      </c>
      <c r="H1104" s="842" t="s">
        <v>134</v>
      </c>
      <c r="I1104" s="842"/>
      <c r="J1104" s="841"/>
      <c r="K1104" s="841"/>
      <c r="L1104" s="843" t="s">
        <v>106</v>
      </c>
      <c r="M1104" s="844" t="s">
        <v>107</v>
      </c>
      <c r="N1104" s="841"/>
      <c r="O1104" s="841" t="s">
        <v>3459</v>
      </c>
      <c r="P1104" s="841" t="s">
        <v>3885</v>
      </c>
      <c r="Q1104" s="843"/>
      <c r="R1104" s="845" t="s">
        <v>3909</v>
      </c>
      <c r="S1104" s="1127" t="s">
        <v>3910</v>
      </c>
      <c r="T1104" s="843" t="s">
        <v>3911</v>
      </c>
      <c r="U1104" s="842">
        <v>1</v>
      </c>
      <c r="V1104" s="842" t="s">
        <v>3</v>
      </c>
      <c r="W1104" s="846"/>
      <c r="X1104" s="847">
        <f t="shared" si="208"/>
        <v>0</v>
      </c>
      <c r="Y1104" s="848"/>
      <c r="Z1104" s="849">
        <v>220</v>
      </c>
      <c r="AA1104" s="849" t="s">
        <v>40</v>
      </c>
      <c r="AB1104" s="849">
        <f t="shared" si="209"/>
        <v>0</v>
      </c>
      <c r="AC1104" s="850">
        <f t="shared" si="210"/>
        <v>220</v>
      </c>
      <c r="AD1104" s="851"/>
      <c r="AE1104" s="852">
        <v>27448.69</v>
      </c>
      <c r="AF1104" s="853"/>
      <c r="AG1104" s="854">
        <f t="shared" si="211"/>
        <v>0</v>
      </c>
      <c r="AH1104" s="853"/>
      <c r="AI1104" s="855">
        <f t="shared" si="212"/>
        <v>0</v>
      </c>
      <c r="AJ1104" s="845" t="s">
        <v>3889</v>
      </c>
      <c r="AK1104" s="857">
        <v>45811</v>
      </c>
      <c r="AL1104" s="840" t="s">
        <v>3890</v>
      </c>
      <c r="AM1104" s="840"/>
      <c r="AN1104" s="858"/>
      <c r="AO1104" s="844" t="s">
        <v>116</v>
      </c>
      <c r="AP1104" s="859"/>
      <c r="AQ1104" s="859" t="s">
        <v>3891</v>
      </c>
      <c r="AR1104" s="859" t="s">
        <v>3892</v>
      </c>
      <c r="AS1104" s="840"/>
      <c r="AT1104" s="840" t="s">
        <v>1875</v>
      </c>
      <c r="AU1104" s="860"/>
      <c r="AV1104" s="839" t="s">
        <v>3893</v>
      </c>
      <c r="AW1104" s="861">
        <v>45742</v>
      </c>
      <c r="AX1104" s="862" t="s">
        <v>3894</v>
      </c>
      <c r="AY1104" s="843" t="s">
        <v>3912</v>
      </c>
      <c r="AZ1104" s="842">
        <v>94059950</v>
      </c>
      <c r="BA1104" s="842" t="s">
        <v>120</v>
      </c>
      <c r="BB1104" s="863" t="s">
        <v>121</v>
      </c>
      <c r="BC1104" s="864">
        <v>45744</v>
      </c>
      <c r="BD1104" s="860" t="s">
        <v>3896</v>
      </c>
      <c r="BE1104" s="865" cm="1">
        <f t="array" ref="BE1104">IF(BD1104="","",AC1104/SUMPRODUCT(--(BD1104=$BD$4:$BD$12824),$AC$4:$AC$12824))</f>
        <v>0.15811867525298987</v>
      </c>
      <c r="BF1104" s="458"/>
      <c r="BG1104" s="458"/>
      <c r="BH1104" s="458"/>
      <c r="BI1104" s="458"/>
      <c r="BJ1104" s="458"/>
      <c r="BK1104" s="458"/>
      <c r="BL1104" s="458"/>
      <c r="BM1104" s="458"/>
      <c r="BN1104" s="458"/>
      <c r="BO1104" s="866">
        <f>VLOOKUP(BD1104,$BD$4:$BN$12824,3,0)*BE1104</f>
        <v>125342.482746767</v>
      </c>
      <c r="BP1104" s="866"/>
      <c r="BQ1104" s="866"/>
      <c r="BR1104" s="866">
        <f>VLOOKUP(BD1104,$BD$4:$BN$12824,6,0)*BE1104</f>
        <v>0</v>
      </c>
      <c r="BS1104" s="866">
        <f>VLOOKUP(BD1104,$BD$4:$BN$12824,7,0)*BE1104</f>
        <v>0</v>
      </c>
      <c r="BT1104" s="866"/>
      <c r="BU1104" s="866">
        <f>VLOOKUP(BD1104,$BD$4:$BN$12824,9,0)*BE1104</f>
        <v>0</v>
      </c>
      <c r="BV1104" s="867"/>
      <c r="BW1104" s="867">
        <f>VLOOKUP(BD1104,$BD$4:$BN$12824,11,0)*BE1104</f>
        <v>24660.820308559174</v>
      </c>
      <c r="BX1104" s="1146">
        <f t="shared" si="216"/>
        <v>150003.30305532616</v>
      </c>
      <c r="BY1104" s="867">
        <f t="shared" si="215"/>
        <v>150003.30305532616</v>
      </c>
      <c r="BZ1104" s="867">
        <f t="shared" si="213"/>
        <v>150003.30305532616</v>
      </c>
      <c r="CA1104" s="867">
        <f>_xlfn.MAXIFS($BY$4:$BY$12824,$S$4:$S$12824,$S1104)</f>
        <v>150003.30305532616</v>
      </c>
      <c r="CB1104" s="1032"/>
      <c r="CF1104" s="946">
        <f t="shared" si="214"/>
        <v>6038711.7999999998</v>
      </c>
    </row>
    <row r="1105" spans="1:84">
      <c r="A1105" s="1032"/>
      <c r="B1105" s="839" t="s">
        <v>98</v>
      </c>
      <c r="C1105" s="839" t="s">
        <v>3882</v>
      </c>
      <c r="D1105" s="839" t="s">
        <v>3883</v>
      </c>
      <c r="E1105" s="839" t="s">
        <v>3883</v>
      </c>
      <c r="F1105" s="841">
        <v>45679</v>
      </c>
      <c r="G1105" s="840" t="s">
        <v>3884</v>
      </c>
      <c r="H1105" s="842" t="s">
        <v>134</v>
      </c>
      <c r="I1105" s="842"/>
      <c r="J1105" s="841"/>
      <c r="K1105" s="841"/>
      <c r="L1105" s="843" t="s">
        <v>106</v>
      </c>
      <c r="M1105" s="844" t="s">
        <v>107</v>
      </c>
      <c r="N1105" s="841"/>
      <c r="O1105" s="841" t="s">
        <v>3459</v>
      </c>
      <c r="P1105" s="841" t="s">
        <v>3885</v>
      </c>
      <c r="Q1105" s="843"/>
      <c r="R1105" s="845" t="s">
        <v>3913</v>
      </c>
      <c r="S1105" s="1127" t="s">
        <v>3914</v>
      </c>
      <c r="T1105" s="843" t="s">
        <v>3915</v>
      </c>
      <c r="U1105" s="842">
        <v>1</v>
      </c>
      <c r="V1105" s="842" t="s">
        <v>3</v>
      </c>
      <c r="W1105" s="846"/>
      <c r="X1105" s="847">
        <f t="shared" si="208"/>
        <v>0</v>
      </c>
      <c r="Y1105" s="848"/>
      <c r="Z1105" s="849">
        <v>455</v>
      </c>
      <c r="AA1105" s="849" t="s">
        <v>40</v>
      </c>
      <c r="AB1105" s="849">
        <f t="shared" si="209"/>
        <v>0</v>
      </c>
      <c r="AC1105" s="850">
        <f t="shared" si="210"/>
        <v>455</v>
      </c>
      <c r="AD1105" s="851"/>
      <c r="AE1105" s="852">
        <v>27448.69</v>
      </c>
      <c r="AF1105" s="853"/>
      <c r="AG1105" s="854">
        <f t="shared" si="211"/>
        <v>0</v>
      </c>
      <c r="AH1105" s="853"/>
      <c r="AI1105" s="855">
        <f t="shared" si="212"/>
        <v>0</v>
      </c>
      <c r="AJ1105" s="845" t="s">
        <v>3889</v>
      </c>
      <c r="AK1105" s="857">
        <v>45811</v>
      </c>
      <c r="AL1105" s="840" t="s">
        <v>3890</v>
      </c>
      <c r="AM1105" s="840"/>
      <c r="AN1105" s="858"/>
      <c r="AO1105" s="844" t="s">
        <v>116</v>
      </c>
      <c r="AP1105" s="859"/>
      <c r="AQ1105" s="859" t="s">
        <v>3891</v>
      </c>
      <c r="AR1105" s="859" t="s">
        <v>3892</v>
      </c>
      <c r="AS1105" s="840"/>
      <c r="AT1105" s="840" t="s">
        <v>1875</v>
      </c>
      <c r="AU1105" s="860"/>
      <c r="AV1105" s="839" t="s">
        <v>3893</v>
      </c>
      <c r="AW1105" s="861">
        <v>45742</v>
      </c>
      <c r="AX1105" s="862" t="s">
        <v>3894</v>
      </c>
      <c r="AY1105" s="843" t="s">
        <v>3916</v>
      </c>
      <c r="AZ1105" s="842">
        <v>94059950</v>
      </c>
      <c r="BA1105" s="842" t="s">
        <v>120</v>
      </c>
      <c r="BB1105" s="863" t="s">
        <v>121</v>
      </c>
      <c r="BC1105" s="864">
        <v>45744</v>
      </c>
      <c r="BD1105" s="860" t="s">
        <v>3896</v>
      </c>
      <c r="BE1105" s="865" cm="1">
        <f t="array" ref="BE1105">IF(BD1105="","",AC1105/SUMPRODUCT(--(BD1105=$BD$4:$BD$12824),$AC$4:$AC$12824))</f>
        <v>0.32701816927322902</v>
      </c>
      <c r="BF1105" s="458"/>
      <c r="BG1105" s="458"/>
      <c r="BH1105" s="458"/>
      <c r="BI1105" s="458"/>
      <c r="BJ1105" s="458"/>
      <c r="BK1105" s="458"/>
      <c r="BL1105" s="458"/>
      <c r="BM1105" s="458"/>
      <c r="BN1105" s="458"/>
      <c r="BO1105" s="866">
        <f>VLOOKUP(BD1105,$BD$4:$BN$12824,3,0)*BE1105</f>
        <v>259231.04386263172</v>
      </c>
      <c r="BP1105" s="866"/>
      <c r="BQ1105" s="866"/>
      <c r="BR1105" s="866">
        <f>VLOOKUP(BD1105,$BD$4:$BN$12824,6,0)*BE1105</f>
        <v>0</v>
      </c>
      <c r="BS1105" s="866">
        <f>VLOOKUP(BD1105,$BD$4:$BN$12824,7,0)*BE1105</f>
        <v>0</v>
      </c>
      <c r="BT1105" s="866"/>
      <c r="BU1105" s="866">
        <f>VLOOKUP(BD1105,$BD$4:$BN$12824,9,0)*BE1105</f>
        <v>0</v>
      </c>
      <c r="BV1105" s="867"/>
      <c r="BW1105" s="867">
        <f>VLOOKUP(BD1105,$BD$4:$BN$12824,11,0)*BE1105</f>
        <v>51003.060183611015</v>
      </c>
      <c r="BX1105" s="1146">
        <f t="shared" si="216"/>
        <v>310234.10404624272</v>
      </c>
      <c r="BY1105" s="867">
        <f t="shared" si="215"/>
        <v>310234.10404624272</v>
      </c>
      <c r="BZ1105" s="867">
        <f t="shared" si="213"/>
        <v>310234.10404624272</v>
      </c>
      <c r="CA1105" s="867">
        <f>_xlfn.MAXIFS($BY$4:$BY$12824,$S$4:$S$12824,$S1105)</f>
        <v>310234.10404624272</v>
      </c>
      <c r="CB1105" s="1032"/>
      <c r="CF1105" s="946">
        <f t="shared" si="214"/>
        <v>12489153.949999999</v>
      </c>
    </row>
    <row r="1106" spans="1:84">
      <c r="A1106" s="1032"/>
      <c r="B1106" s="839" t="s">
        <v>98</v>
      </c>
      <c r="C1106" s="839" t="s">
        <v>3454</v>
      </c>
      <c r="D1106" s="839" t="s">
        <v>3917</v>
      </c>
      <c r="E1106" s="839" t="s">
        <v>3917</v>
      </c>
      <c r="F1106" s="841">
        <v>45679</v>
      </c>
      <c r="G1106" s="840" t="s">
        <v>3918</v>
      </c>
      <c r="H1106" s="842" t="s">
        <v>102</v>
      </c>
      <c r="I1106" s="842" t="s">
        <v>3919</v>
      </c>
      <c r="J1106" s="841">
        <v>45661</v>
      </c>
      <c r="K1106" s="841" t="s">
        <v>3920</v>
      </c>
      <c r="L1106" s="843" t="s">
        <v>106</v>
      </c>
      <c r="M1106" s="844" t="s">
        <v>107</v>
      </c>
      <c r="N1106" s="841"/>
      <c r="O1106" s="841" t="s">
        <v>3459</v>
      </c>
      <c r="P1106" s="841"/>
      <c r="Q1106" s="843"/>
      <c r="R1106" s="845" t="s">
        <v>3921</v>
      </c>
      <c r="S1106" s="1127" t="s">
        <v>3921</v>
      </c>
      <c r="T1106" s="843" t="s">
        <v>3922</v>
      </c>
      <c r="U1106" s="842">
        <v>15</v>
      </c>
      <c r="V1106" s="842" t="s">
        <v>8</v>
      </c>
      <c r="W1106" s="846">
        <v>11.8</v>
      </c>
      <c r="X1106" s="847">
        <f t="shared" si="208"/>
        <v>177</v>
      </c>
      <c r="Y1106" s="848">
        <v>0</v>
      </c>
      <c r="Z1106" s="849">
        <v>11.8</v>
      </c>
      <c r="AA1106" s="849"/>
      <c r="AB1106" s="849">
        <f t="shared" si="209"/>
        <v>177</v>
      </c>
      <c r="AC1106" s="850">
        <f t="shared" si="210"/>
        <v>177</v>
      </c>
      <c r="AD1106" s="851"/>
      <c r="AE1106" s="852">
        <v>25814</v>
      </c>
      <c r="AF1106" s="853">
        <v>0</v>
      </c>
      <c r="AG1106" s="854">
        <f t="shared" si="211"/>
        <v>0</v>
      </c>
      <c r="AH1106" s="853">
        <v>0.1</v>
      </c>
      <c r="AI1106" s="855">
        <f t="shared" si="212"/>
        <v>1712249.3</v>
      </c>
      <c r="AJ1106" s="845" t="s">
        <v>3923</v>
      </c>
      <c r="AK1106" s="857">
        <v>45692</v>
      </c>
      <c r="AL1106" s="840" t="s">
        <v>3924</v>
      </c>
      <c r="AM1106" s="840"/>
      <c r="AN1106" s="858"/>
      <c r="AO1106" s="844"/>
      <c r="AP1106" s="859">
        <v>45773</v>
      </c>
      <c r="AQ1106" s="859" t="s">
        <v>3925</v>
      </c>
      <c r="AR1106" s="859">
        <v>45773</v>
      </c>
      <c r="AS1106" s="840"/>
      <c r="AT1106" s="840"/>
      <c r="AU1106" s="860"/>
      <c r="AV1106" s="839" t="s">
        <v>3926</v>
      </c>
      <c r="AW1106" s="861">
        <v>45776</v>
      </c>
      <c r="AX1106" s="862"/>
      <c r="AY1106" s="843"/>
      <c r="AZ1106" s="842"/>
      <c r="BA1106" s="842" t="s">
        <v>120</v>
      </c>
      <c r="BB1106" s="863" t="s">
        <v>121</v>
      </c>
      <c r="BC1106" s="864">
        <v>45804</v>
      </c>
      <c r="BD1106" s="860" t="s">
        <v>3927</v>
      </c>
      <c r="BE1106" s="865" cm="1">
        <f t="array" ref="BE1106">IF(BD1106="","",AC1106/SUMPRODUCT(--(BD1106=$BD$4:$BD$12824),$AC$4:$AC$12824))</f>
        <v>0.12560496175080543</v>
      </c>
      <c r="BF1106" s="458">
        <v>12553415</v>
      </c>
      <c r="BG1106" s="458"/>
      <c r="BH1106" s="458"/>
      <c r="BI1106" s="458"/>
      <c r="BJ1106" s="458"/>
      <c r="BK1106" s="458"/>
      <c r="BL1106" s="458"/>
      <c r="BM1106" s="458"/>
      <c r="BN1106" s="458">
        <v>600000</v>
      </c>
      <c r="BO1106" s="866">
        <f>VLOOKUP(BD1106,$BD$4:$BN$12824,3,0)*BE1106</f>
        <v>1576771.2109169872</v>
      </c>
      <c r="BP1106" s="866"/>
      <c r="BQ1106" s="866"/>
      <c r="BR1106" s="866">
        <f>VLOOKUP(BD1106,$BD$4:$BN$12824,6,0)*BE1106</f>
        <v>0</v>
      </c>
      <c r="BS1106" s="866">
        <f>VLOOKUP(BD1106,$BD$4:$BN$12824,7,0)*BE1106</f>
        <v>0</v>
      </c>
      <c r="BT1106" s="866"/>
      <c r="BU1106" s="866">
        <f>VLOOKUP(BD1106,$BD$4:$BN$12824,9,0)*BE1106</f>
        <v>0</v>
      </c>
      <c r="BV1106" s="867"/>
      <c r="BW1106" s="867">
        <f>VLOOKUP(BD1106,$BD$4:$BN$12824,11,0)*BE1106</f>
        <v>75362.977050483256</v>
      </c>
      <c r="BX1106" s="1146">
        <f t="shared" si="216"/>
        <v>1652134.1879674704</v>
      </c>
      <c r="BY1106" s="867">
        <f t="shared" si="215"/>
        <v>414747.4791978313</v>
      </c>
      <c r="BZ1106" s="867">
        <f t="shared" si="213"/>
        <v>6221212.1879674699</v>
      </c>
      <c r="CA1106" s="867">
        <f>_xlfn.MAXIFS($BY$4:$BY$12824,$S$4:$S$12824,$S1106)</f>
        <v>414747.4791978313</v>
      </c>
      <c r="CB1106" s="1032"/>
      <c r="CF1106" s="946">
        <f t="shared" si="214"/>
        <v>4569078</v>
      </c>
    </row>
    <row r="1107" spans="1:84">
      <c r="A1107" s="1032"/>
      <c r="B1107" s="839" t="s">
        <v>98</v>
      </c>
      <c r="C1107" s="839" t="s">
        <v>3454</v>
      </c>
      <c r="D1107" s="839" t="s">
        <v>3917</v>
      </c>
      <c r="E1107" s="839" t="s">
        <v>3917</v>
      </c>
      <c r="F1107" s="841">
        <v>45558</v>
      </c>
      <c r="G1107" s="840" t="s">
        <v>3918</v>
      </c>
      <c r="H1107" s="842" t="s">
        <v>102</v>
      </c>
      <c r="I1107" s="842" t="s">
        <v>3919</v>
      </c>
      <c r="J1107" s="841">
        <v>45661</v>
      </c>
      <c r="K1107" s="841" t="s">
        <v>3920</v>
      </c>
      <c r="L1107" s="843" t="s">
        <v>106</v>
      </c>
      <c r="M1107" s="844" t="s">
        <v>107</v>
      </c>
      <c r="N1107" s="841"/>
      <c r="O1107" s="841" t="s">
        <v>3459</v>
      </c>
      <c r="P1107" s="841"/>
      <c r="Q1107" s="843"/>
      <c r="R1107" s="845" t="s">
        <v>3486</v>
      </c>
      <c r="S1107" s="1127" t="s">
        <v>3486</v>
      </c>
      <c r="T1107" s="843" t="s">
        <v>3928</v>
      </c>
      <c r="U1107" s="842">
        <v>7</v>
      </c>
      <c r="V1107" s="842" t="s">
        <v>8</v>
      </c>
      <c r="W1107" s="846">
        <v>10.94</v>
      </c>
      <c r="X1107" s="847">
        <f t="shared" si="208"/>
        <v>76.58</v>
      </c>
      <c r="Y1107" s="848">
        <v>0</v>
      </c>
      <c r="Z1107" s="849">
        <v>10.94</v>
      </c>
      <c r="AA1107" s="849"/>
      <c r="AB1107" s="849">
        <f t="shared" si="209"/>
        <v>76.58</v>
      </c>
      <c r="AC1107" s="850">
        <f t="shared" si="210"/>
        <v>76.58</v>
      </c>
      <c r="AD1107" s="851"/>
      <c r="AE1107" s="852">
        <v>25814</v>
      </c>
      <c r="AF1107" s="853">
        <v>0</v>
      </c>
      <c r="AG1107" s="854">
        <f t="shared" si="211"/>
        <v>0</v>
      </c>
      <c r="AH1107" s="853">
        <v>0.1</v>
      </c>
      <c r="AI1107" s="855">
        <f t="shared" si="212"/>
        <v>197683.61199999999</v>
      </c>
      <c r="AJ1107" s="845" t="s">
        <v>3923</v>
      </c>
      <c r="AK1107" s="857">
        <v>45692</v>
      </c>
      <c r="AL1107" s="840" t="s">
        <v>3924</v>
      </c>
      <c r="AM1107" s="840"/>
      <c r="AN1107" s="858"/>
      <c r="AO1107" s="844"/>
      <c r="AP1107" s="859">
        <v>45773</v>
      </c>
      <c r="AQ1107" s="859" t="s">
        <v>3925</v>
      </c>
      <c r="AR1107" s="859">
        <v>45773</v>
      </c>
      <c r="AS1107" s="840"/>
      <c r="AT1107" s="840"/>
      <c r="AU1107" s="860"/>
      <c r="AV1107" s="839" t="s">
        <v>3926</v>
      </c>
      <c r="AW1107" s="861">
        <v>45776</v>
      </c>
      <c r="AX1107" s="862"/>
      <c r="AY1107" s="843"/>
      <c r="AZ1107" s="842"/>
      <c r="BA1107" s="842" t="s">
        <v>120</v>
      </c>
      <c r="BB1107" s="863" t="s">
        <v>121</v>
      </c>
      <c r="BC1107" s="864">
        <v>45804</v>
      </c>
      <c r="BD1107" s="860" t="s">
        <v>3927</v>
      </c>
      <c r="BE1107" s="865" cm="1">
        <f t="array" ref="BE1107">IF(BD1107="","",AC1107/SUMPRODUCT(--(BD1107=$BD$4:$BD$12824),$AC$4:$AC$12824))</f>
        <v>5.4343660852410616E-2</v>
      </c>
      <c r="BF1107" s="458"/>
      <c r="BG1107" s="458"/>
      <c r="BH1107" s="458"/>
      <c r="BI1107" s="458"/>
      <c r="BJ1107" s="458"/>
      <c r="BK1107" s="458"/>
      <c r="BL1107" s="458"/>
      <c r="BM1107" s="458"/>
      <c r="BN1107" s="458"/>
      <c r="BO1107" s="866">
        <f>VLOOKUP(BD1107,$BD$4:$BN$12824,3,0)*BE1107</f>
        <v>682198.52729956422</v>
      </c>
      <c r="BP1107" s="866"/>
      <c r="BQ1107" s="866"/>
      <c r="BR1107" s="866">
        <f>VLOOKUP(BD1107,$BD$4:$BN$12824,6,0)*BE1107</f>
        <v>0</v>
      </c>
      <c r="BS1107" s="866">
        <f>VLOOKUP(BD1107,$BD$4:$BN$12824,7,0)*BE1107</f>
        <v>0</v>
      </c>
      <c r="BT1107" s="866"/>
      <c r="BU1107" s="866">
        <f>VLOOKUP(BD1107,$BD$4:$BN$12824,9,0)*BE1107</f>
        <v>0</v>
      </c>
      <c r="BV1107" s="867"/>
      <c r="BW1107" s="867">
        <f>VLOOKUP(BD1107,$BD$4:$BN$12824,11,0)*BE1107</f>
        <v>32606.196511446371</v>
      </c>
      <c r="BX1107" s="1146">
        <f t="shared" si="216"/>
        <v>714804.7238110106</v>
      </c>
      <c r="BY1107" s="867">
        <f t="shared" si="215"/>
        <v>384520.12054443004</v>
      </c>
      <c r="BZ1107" s="867">
        <f t="shared" si="213"/>
        <v>2691640.8438110105</v>
      </c>
      <c r="CA1107" s="867">
        <f>_xlfn.MAXIFS($BY$4:$BY$12824,$S$4:$S$12824,$S1107)</f>
        <v>384520.12054443004</v>
      </c>
      <c r="CB1107" s="1032"/>
      <c r="CF1107" s="946">
        <f t="shared" si="214"/>
        <v>1976836.1199999999</v>
      </c>
    </row>
    <row r="1108" spans="1:84">
      <c r="A1108" s="1032"/>
      <c r="B1108" s="839" t="s">
        <v>98</v>
      </c>
      <c r="C1108" s="839" t="s">
        <v>3454</v>
      </c>
      <c r="D1108" s="839" t="s">
        <v>3917</v>
      </c>
      <c r="E1108" s="839" t="s">
        <v>3917</v>
      </c>
      <c r="F1108" s="841">
        <v>45558</v>
      </c>
      <c r="G1108" s="840" t="s">
        <v>3918</v>
      </c>
      <c r="H1108" s="842" t="s">
        <v>102</v>
      </c>
      <c r="I1108" s="842" t="s">
        <v>3919</v>
      </c>
      <c r="J1108" s="841">
        <v>45661</v>
      </c>
      <c r="K1108" s="841" t="s">
        <v>3920</v>
      </c>
      <c r="L1108" s="843" t="s">
        <v>106</v>
      </c>
      <c r="M1108" s="844" t="s">
        <v>107</v>
      </c>
      <c r="N1108" s="841"/>
      <c r="O1108" s="841" t="s">
        <v>3459</v>
      </c>
      <c r="P1108" s="841"/>
      <c r="Q1108" s="843"/>
      <c r="R1108" s="845" t="s">
        <v>3929</v>
      </c>
      <c r="S1108" s="1127" t="s">
        <v>3929</v>
      </c>
      <c r="T1108" s="843" t="s">
        <v>3930</v>
      </c>
      <c r="U1108" s="842">
        <v>1</v>
      </c>
      <c r="V1108" s="842" t="s">
        <v>8</v>
      </c>
      <c r="W1108" s="846">
        <v>15.9</v>
      </c>
      <c r="X1108" s="847">
        <f t="shared" si="208"/>
        <v>15.9</v>
      </c>
      <c r="Y1108" s="848">
        <v>0</v>
      </c>
      <c r="Z1108" s="849">
        <v>15.9</v>
      </c>
      <c r="AA1108" s="849"/>
      <c r="AB1108" s="849">
        <f t="shared" si="209"/>
        <v>15.9</v>
      </c>
      <c r="AC1108" s="850">
        <f t="shared" si="210"/>
        <v>15.9</v>
      </c>
      <c r="AD1108" s="851"/>
      <c r="AE1108" s="852">
        <v>25814</v>
      </c>
      <c r="AF1108" s="853">
        <v>0</v>
      </c>
      <c r="AG1108" s="854">
        <f t="shared" si="211"/>
        <v>0</v>
      </c>
      <c r="AH1108" s="853">
        <v>0.1</v>
      </c>
      <c r="AI1108" s="855">
        <f t="shared" si="212"/>
        <v>41044.260000000009</v>
      </c>
      <c r="AJ1108" s="845" t="s">
        <v>3923</v>
      </c>
      <c r="AK1108" s="857">
        <v>45692</v>
      </c>
      <c r="AL1108" s="840" t="s">
        <v>3924</v>
      </c>
      <c r="AM1108" s="840"/>
      <c r="AN1108" s="858"/>
      <c r="AO1108" s="844"/>
      <c r="AP1108" s="859">
        <v>45773</v>
      </c>
      <c r="AQ1108" s="859" t="s">
        <v>3925</v>
      </c>
      <c r="AR1108" s="859">
        <v>45773</v>
      </c>
      <c r="AS1108" s="840"/>
      <c r="AT1108" s="840"/>
      <c r="AU1108" s="860"/>
      <c r="AV1108" s="839" t="s">
        <v>3926</v>
      </c>
      <c r="AW1108" s="861">
        <v>45776</v>
      </c>
      <c r="AX1108" s="862"/>
      <c r="AY1108" s="843"/>
      <c r="AZ1108" s="842"/>
      <c r="BA1108" s="842" t="s">
        <v>120</v>
      </c>
      <c r="BB1108" s="863" t="s">
        <v>121</v>
      </c>
      <c r="BC1108" s="864">
        <v>45804</v>
      </c>
      <c r="BD1108" s="860" t="s">
        <v>3927</v>
      </c>
      <c r="BE1108" s="865" cm="1">
        <f t="array" ref="BE1108">IF(BD1108="","",AC1108/SUMPRODUCT(--(BD1108=$BD$4:$BD$12824),$AC$4:$AC$12824))</f>
        <v>1.1283157581004555E-2</v>
      </c>
      <c r="BF1108" s="458"/>
      <c r="BG1108" s="458"/>
      <c r="BH1108" s="458"/>
      <c r="BI1108" s="458"/>
      <c r="BJ1108" s="458"/>
      <c r="BK1108" s="458"/>
      <c r="BL1108" s="458"/>
      <c r="BM1108" s="458"/>
      <c r="BN1108" s="458"/>
      <c r="BO1108" s="866">
        <f>VLOOKUP(BD1108,$BD$4:$BN$12824,3,0)*BE1108</f>
        <v>141642.1596247463</v>
      </c>
      <c r="BP1108" s="866"/>
      <c r="BQ1108" s="866"/>
      <c r="BR1108" s="866">
        <f>VLOOKUP(BD1108,$BD$4:$BN$12824,6,0)*BE1108</f>
        <v>0</v>
      </c>
      <c r="BS1108" s="866">
        <f>VLOOKUP(BD1108,$BD$4:$BN$12824,7,0)*BE1108</f>
        <v>0</v>
      </c>
      <c r="BT1108" s="866"/>
      <c r="BU1108" s="866">
        <f>VLOOKUP(BD1108,$BD$4:$BN$12824,9,0)*BE1108</f>
        <v>0</v>
      </c>
      <c r="BV1108" s="867"/>
      <c r="BW1108" s="867">
        <f>VLOOKUP(BD1108,$BD$4:$BN$12824,11,0)*BE1108</f>
        <v>6769.8945486027333</v>
      </c>
      <c r="BX1108" s="1146">
        <f t="shared" si="216"/>
        <v>148412.05417334902</v>
      </c>
      <c r="BY1108" s="867">
        <f t="shared" si="215"/>
        <v>558854.65417334903</v>
      </c>
      <c r="BZ1108" s="867">
        <f t="shared" si="213"/>
        <v>558854.65417334903</v>
      </c>
      <c r="CA1108" s="867">
        <f>_xlfn.MAXIFS($BY$4:$BY$12824,$S$4:$S$12824,$S1108)</f>
        <v>558854.65417334903</v>
      </c>
      <c r="CB1108" s="1032"/>
      <c r="CF1108" s="946">
        <f t="shared" si="214"/>
        <v>410442.60000000003</v>
      </c>
    </row>
    <row r="1109" spans="1:84">
      <c r="A1109" s="1032"/>
      <c r="B1109" s="839" t="s">
        <v>98</v>
      </c>
      <c r="C1109" s="839" t="s">
        <v>3454</v>
      </c>
      <c r="D1109" s="839" t="s">
        <v>3917</v>
      </c>
      <c r="E1109" s="839" t="s">
        <v>3917</v>
      </c>
      <c r="F1109" s="841">
        <v>45558</v>
      </c>
      <c r="G1109" s="840" t="s">
        <v>3918</v>
      </c>
      <c r="H1109" s="842" t="s">
        <v>102</v>
      </c>
      <c r="I1109" s="842" t="s">
        <v>3919</v>
      </c>
      <c r="J1109" s="841">
        <v>45661</v>
      </c>
      <c r="K1109" s="841" t="s">
        <v>3920</v>
      </c>
      <c r="L1109" s="843" t="s">
        <v>106</v>
      </c>
      <c r="M1109" s="844" t="s">
        <v>107</v>
      </c>
      <c r="N1109" s="841"/>
      <c r="O1109" s="841" t="s">
        <v>3459</v>
      </c>
      <c r="P1109" s="841"/>
      <c r="Q1109" s="843"/>
      <c r="R1109" s="845" t="s">
        <v>3483</v>
      </c>
      <c r="S1109" s="1127" t="s">
        <v>3483</v>
      </c>
      <c r="T1109" s="843" t="s">
        <v>3931</v>
      </c>
      <c r="U1109" s="842">
        <v>2</v>
      </c>
      <c r="V1109" s="842" t="s">
        <v>8</v>
      </c>
      <c r="W1109" s="846">
        <v>16.8</v>
      </c>
      <c r="X1109" s="847">
        <f t="shared" si="208"/>
        <v>33.6</v>
      </c>
      <c r="Y1109" s="848">
        <v>0</v>
      </c>
      <c r="Z1109" s="849">
        <v>16.8</v>
      </c>
      <c r="AA1109" s="849"/>
      <c r="AB1109" s="849">
        <f t="shared" si="209"/>
        <v>33.6</v>
      </c>
      <c r="AC1109" s="850">
        <f t="shared" si="210"/>
        <v>33.6</v>
      </c>
      <c r="AD1109" s="851"/>
      <c r="AE1109" s="852">
        <v>25814</v>
      </c>
      <c r="AF1109" s="853">
        <v>0</v>
      </c>
      <c r="AG1109" s="854">
        <f t="shared" si="211"/>
        <v>0</v>
      </c>
      <c r="AH1109" s="853">
        <v>0.1</v>
      </c>
      <c r="AI1109" s="855">
        <f t="shared" si="212"/>
        <v>86735.040000000008</v>
      </c>
      <c r="AJ1109" s="845" t="s">
        <v>3923</v>
      </c>
      <c r="AK1109" s="857">
        <v>45692</v>
      </c>
      <c r="AL1109" s="840" t="s">
        <v>3924</v>
      </c>
      <c r="AM1109" s="840"/>
      <c r="AN1109" s="858"/>
      <c r="AO1109" s="844"/>
      <c r="AP1109" s="859">
        <v>45773</v>
      </c>
      <c r="AQ1109" s="859" t="s">
        <v>3925</v>
      </c>
      <c r="AR1109" s="859">
        <v>45773</v>
      </c>
      <c r="AS1109" s="840"/>
      <c r="AT1109" s="840"/>
      <c r="AU1109" s="860"/>
      <c r="AV1109" s="839" t="s">
        <v>3926</v>
      </c>
      <c r="AW1109" s="861">
        <v>45776</v>
      </c>
      <c r="AX1109" s="862"/>
      <c r="AY1109" s="843"/>
      <c r="AZ1109" s="842"/>
      <c r="BA1109" s="842" t="s">
        <v>120</v>
      </c>
      <c r="BB1109" s="863" t="s">
        <v>121</v>
      </c>
      <c r="BC1109" s="864">
        <v>45804</v>
      </c>
      <c r="BD1109" s="860" t="s">
        <v>3927</v>
      </c>
      <c r="BE1109" s="865" cm="1">
        <f t="array" ref="BE1109">IF(BD1109="","",AC1109/SUMPRODUCT(--(BD1109=$BD$4:$BD$12824),$AC$4:$AC$12824))</f>
        <v>2.38436537560851E-2</v>
      </c>
      <c r="BF1109" s="458"/>
      <c r="BG1109" s="458"/>
      <c r="BH1109" s="458"/>
      <c r="BI1109" s="458"/>
      <c r="BJ1109" s="458"/>
      <c r="BK1109" s="458"/>
      <c r="BL1109" s="458"/>
      <c r="BM1109" s="458"/>
      <c r="BN1109" s="458"/>
      <c r="BO1109" s="866">
        <f>VLOOKUP(BD1109,$BD$4:$BN$12824,3,0)*BE1109</f>
        <v>299319.28071644506</v>
      </c>
      <c r="BP1109" s="866"/>
      <c r="BQ1109" s="866"/>
      <c r="BR1109" s="866">
        <f>VLOOKUP(BD1109,$BD$4:$BN$12824,6,0)*BE1109</f>
        <v>0</v>
      </c>
      <c r="BS1109" s="866">
        <f>VLOOKUP(BD1109,$BD$4:$BN$12824,7,0)*BE1109</f>
        <v>0</v>
      </c>
      <c r="BT1109" s="866"/>
      <c r="BU1109" s="866">
        <f>VLOOKUP(BD1109,$BD$4:$BN$12824,9,0)*BE1109</f>
        <v>0</v>
      </c>
      <c r="BV1109" s="867"/>
      <c r="BW1109" s="867">
        <f>VLOOKUP(BD1109,$BD$4:$BN$12824,11,0)*BE1109</f>
        <v>14306.192253651059</v>
      </c>
      <c r="BX1109" s="1146">
        <f t="shared" si="216"/>
        <v>313625.4729700961</v>
      </c>
      <c r="BY1109" s="867">
        <f t="shared" si="215"/>
        <v>590487.93648504803</v>
      </c>
      <c r="BZ1109" s="867">
        <f t="shared" si="213"/>
        <v>1180975.8729700961</v>
      </c>
      <c r="CA1109" s="867">
        <f>_xlfn.MAXIFS($BY$4:$BY$12824,$S$4:$S$12824,$S1109)</f>
        <v>590487.93648504803</v>
      </c>
      <c r="CB1109" s="1032"/>
      <c r="CF1109" s="946">
        <f t="shared" si="214"/>
        <v>867350.4</v>
      </c>
    </row>
    <row r="1110" spans="1:84">
      <c r="A1110" s="1032"/>
      <c r="B1110" s="839" t="s">
        <v>98</v>
      </c>
      <c r="C1110" s="839" t="s">
        <v>3454</v>
      </c>
      <c r="D1110" s="839" t="s">
        <v>3917</v>
      </c>
      <c r="E1110" s="839" t="s">
        <v>3917</v>
      </c>
      <c r="F1110" s="841">
        <v>45729</v>
      </c>
      <c r="G1110" s="840" t="s">
        <v>3918</v>
      </c>
      <c r="H1110" s="842" t="s">
        <v>102</v>
      </c>
      <c r="I1110" s="842" t="s">
        <v>3919</v>
      </c>
      <c r="J1110" s="841">
        <v>45661</v>
      </c>
      <c r="K1110" s="841" t="s">
        <v>3920</v>
      </c>
      <c r="L1110" s="843" t="s">
        <v>106</v>
      </c>
      <c r="M1110" s="844" t="s">
        <v>107</v>
      </c>
      <c r="N1110" s="841"/>
      <c r="O1110" s="841" t="s">
        <v>3459</v>
      </c>
      <c r="P1110" s="841"/>
      <c r="Q1110" s="843"/>
      <c r="R1110" s="845" t="s">
        <v>3932</v>
      </c>
      <c r="S1110" s="1127" t="s">
        <v>3932</v>
      </c>
      <c r="T1110" s="843" t="s">
        <v>3933</v>
      </c>
      <c r="U1110" s="842">
        <v>3</v>
      </c>
      <c r="V1110" s="842" t="s">
        <v>8</v>
      </c>
      <c r="W1110" s="846">
        <v>13.1</v>
      </c>
      <c r="X1110" s="847">
        <f t="shared" si="208"/>
        <v>39.299999999999997</v>
      </c>
      <c r="Y1110" s="848">
        <v>0</v>
      </c>
      <c r="Z1110" s="849">
        <v>13.1</v>
      </c>
      <c r="AA1110" s="849"/>
      <c r="AB1110" s="849">
        <f t="shared" si="209"/>
        <v>39.299999999999997</v>
      </c>
      <c r="AC1110" s="850">
        <f t="shared" si="210"/>
        <v>39.299999999999997</v>
      </c>
      <c r="AD1110" s="851"/>
      <c r="AE1110" s="852">
        <v>25814</v>
      </c>
      <c r="AF1110" s="853">
        <v>0</v>
      </c>
      <c r="AG1110" s="854">
        <f t="shared" si="211"/>
        <v>0</v>
      </c>
      <c r="AH1110" s="853">
        <v>0.1</v>
      </c>
      <c r="AI1110" s="855">
        <f t="shared" si="212"/>
        <v>101449.02</v>
      </c>
      <c r="AJ1110" s="845" t="s">
        <v>3923</v>
      </c>
      <c r="AK1110" s="857">
        <v>45692</v>
      </c>
      <c r="AL1110" s="840" t="s">
        <v>3924</v>
      </c>
      <c r="AM1110" s="840"/>
      <c r="AN1110" s="858"/>
      <c r="AO1110" s="844"/>
      <c r="AP1110" s="859">
        <v>45773</v>
      </c>
      <c r="AQ1110" s="859" t="s">
        <v>3925</v>
      </c>
      <c r="AR1110" s="859">
        <v>45773</v>
      </c>
      <c r="AS1110" s="840"/>
      <c r="AT1110" s="840"/>
      <c r="AU1110" s="860"/>
      <c r="AV1110" s="839" t="s">
        <v>3926</v>
      </c>
      <c r="AW1110" s="861">
        <v>45776</v>
      </c>
      <c r="AX1110" s="862"/>
      <c r="AY1110" s="843"/>
      <c r="AZ1110" s="842"/>
      <c r="BA1110" s="842" t="s">
        <v>120</v>
      </c>
      <c r="BB1110" s="863" t="s">
        <v>121</v>
      </c>
      <c r="BC1110" s="864">
        <v>45804</v>
      </c>
      <c r="BD1110" s="860" t="s">
        <v>3927</v>
      </c>
      <c r="BE1110" s="865" cm="1">
        <f t="array" ref="BE1110">IF(BD1110="","",AC1110/SUMPRODUCT(--(BD1110=$BD$4:$BD$12824),$AC$4:$AC$12824))</f>
        <v>2.7888559303992391E-2</v>
      </c>
      <c r="BF1110" s="458"/>
      <c r="BG1110" s="458"/>
      <c r="BH1110" s="458"/>
      <c r="BI1110" s="458"/>
      <c r="BJ1110" s="458"/>
      <c r="BK1110" s="458"/>
      <c r="BL1110" s="458"/>
      <c r="BM1110" s="458"/>
      <c r="BN1110" s="458"/>
      <c r="BO1110" s="866">
        <f>VLOOKUP(BD1110,$BD$4:$BN$12824,3,0)*BE1110</f>
        <v>350096.65869512764</v>
      </c>
      <c r="BP1110" s="866"/>
      <c r="BQ1110" s="866"/>
      <c r="BR1110" s="866">
        <f>VLOOKUP(BD1110,$BD$4:$BN$12824,6,0)*BE1110</f>
        <v>0</v>
      </c>
      <c r="BS1110" s="866">
        <f>VLOOKUP(BD1110,$BD$4:$BN$12824,7,0)*BE1110</f>
        <v>0</v>
      </c>
      <c r="BT1110" s="866"/>
      <c r="BU1110" s="866">
        <f>VLOOKUP(BD1110,$BD$4:$BN$12824,9,0)*BE1110</f>
        <v>0</v>
      </c>
      <c r="BV1110" s="867"/>
      <c r="BW1110" s="867">
        <f>VLOOKUP(BD1110,$BD$4:$BN$12824,11,0)*BE1110</f>
        <v>16733.135582395433</v>
      </c>
      <c r="BX1110" s="1146">
        <f t="shared" si="216"/>
        <v>366829.79427752306</v>
      </c>
      <c r="BY1110" s="867">
        <f t="shared" si="215"/>
        <v>460439.99809250765</v>
      </c>
      <c r="BZ1110" s="867">
        <f t="shared" si="213"/>
        <v>1381319.9942775229</v>
      </c>
      <c r="CA1110" s="867">
        <f>_xlfn.MAXIFS($BY$4:$BY$12824,$S$4:$S$12824,$S1110)</f>
        <v>460439.99809250765</v>
      </c>
      <c r="CB1110" s="1032"/>
      <c r="CF1110" s="946">
        <f t="shared" si="214"/>
        <v>1014490.2</v>
      </c>
    </row>
    <row r="1111" spans="1:84">
      <c r="A1111" s="1032"/>
      <c r="B1111" s="839" t="s">
        <v>98</v>
      </c>
      <c r="C1111" s="839" t="s">
        <v>3454</v>
      </c>
      <c r="D1111" s="839" t="s">
        <v>3917</v>
      </c>
      <c r="E1111" s="839" t="s">
        <v>3917</v>
      </c>
      <c r="F1111" s="841">
        <v>45729</v>
      </c>
      <c r="G1111" s="840" t="s">
        <v>3918</v>
      </c>
      <c r="H1111" s="842" t="s">
        <v>102</v>
      </c>
      <c r="I1111" s="842" t="s">
        <v>3919</v>
      </c>
      <c r="J1111" s="841">
        <v>45661</v>
      </c>
      <c r="K1111" s="841" t="s">
        <v>3920</v>
      </c>
      <c r="L1111" s="843" t="s">
        <v>106</v>
      </c>
      <c r="M1111" s="844" t="s">
        <v>107</v>
      </c>
      <c r="N1111" s="841"/>
      <c r="O1111" s="841" t="s">
        <v>3459</v>
      </c>
      <c r="P1111" s="841"/>
      <c r="Q1111" s="843"/>
      <c r="R1111" s="845" t="s">
        <v>3483</v>
      </c>
      <c r="S1111" s="1127" t="s">
        <v>3483</v>
      </c>
      <c r="T1111" s="843" t="s">
        <v>3934</v>
      </c>
      <c r="U1111" s="842">
        <v>1</v>
      </c>
      <c r="V1111" s="842" t="s">
        <v>8</v>
      </c>
      <c r="W1111" s="846">
        <v>16.8</v>
      </c>
      <c r="X1111" s="847">
        <f t="shared" si="208"/>
        <v>16.8</v>
      </c>
      <c r="Y1111" s="848">
        <v>0</v>
      </c>
      <c r="Z1111" s="849">
        <v>16.8</v>
      </c>
      <c r="AA1111" s="849"/>
      <c r="AB1111" s="849">
        <f t="shared" si="209"/>
        <v>16.8</v>
      </c>
      <c r="AC1111" s="850">
        <f t="shared" si="210"/>
        <v>16.8</v>
      </c>
      <c r="AD1111" s="851"/>
      <c r="AE1111" s="852">
        <v>25814</v>
      </c>
      <c r="AF1111" s="853">
        <v>0</v>
      </c>
      <c r="AG1111" s="854">
        <f t="shared" si="211"/>
        <v>0</v>
      </c>
      <c r="AH1111" s="853">
        <v>0.1</v>
      </c>
      <c r="AI1111" s="855">
        <f t="shared" si="212"/>
        <v>43367.520000000004</v>
      </c>
      <c r="AJ1111" s="845" t="s">
        <v>3923</v>
      </c>
      <c r="AK1111" s="857">
        <v>45692</v>
      </c>
      <c r="AL1111" s="840" t="s">
        <v>3924</v>
      </c>
      <c r="AM1111" s="840"/>
      <c r="AN1111" s="858"/>
      <c r="AO1111" s="844"/>
      <c r="AP1111" s="859">
        <v>45773</v>
      </c>
      <c r="AQ1111" s="859" t="s">
        <v>3925</v>
      </c>
      <c r="AR1111" s="859">
        <v>45773</v>
      </c>
      <c r="AS1111" s="840"/>
      <c r="AT1111" s="840"/>
      <c r="AU1111" s="860"/>
      <c r="AV1111" s="839" t="s">
        <v>3926</v>
      </c>
      <c r="AW1111" s="861">
        <v>45776</v>
      </c>
      <c r="AX1111" s="862"/>
      <c r="AY1111" s="843"/>
      <c r="AZ1111" s="842"/>
      <c r="BA1111" s="842" t="s">
        <v>120</v>
      </c>
      <c r="BB1111" s="863" t="s">
        <v>121</v>
      </c>
      <c r="BC1111" s="864">
        <v>45804</v>
      </c>
      <c r="BD1111" s="860" t="s">
        <v>3927</v>
      </c>
      <c r="BE1111" s="865" cm="1">
        <f t="array" ref="BE1111">IF(BD1111="","",AC1111/SUMPRODUCT(--(BD1111=$BD$4:$BD$12824),$AC$4:$AC$12824))</f>
        <v>1.192182687804255E-2</v>
      </c>
      <c r="BF1111" s="458"/>
      <c r="BG1111" s="458"/>
      <c r="BH1111" s="458"/>
      <c r="BI1111" s="458"/>
      <c r="BJ1111" s="458"/>
      <c r="BK1111" s="458"/>
      <c r="BL1111" s="458"/>
      <c r="BM1111" s="458"/>
      <c r="BN1111" s="458"/>
      <c r="BO1111" s="866">
        <f>VLOOKUP(BD1111,$BD$4:$BN$12824,3,0)*BE1111</f>
        <v>149659.64035822253</v>
      </c>
      <c r="BP1111" s="866"/>
      <c r="BQ1111" s="866"/>
      <c r="BR1111" s="866">
        <f>VLOOKUP(BD1111,$BD$4:$BN$12824,6,0)*BE1111</f>
        <v>0</v>
      </c>
      <c r="BS1111" s="866">
        <f>VLOOKUP(BD1111,$BD$4:$BN$12824,7,0)*BE1111</f>
        <v>0</v>
      </c>
      <c r="BT1111" s="866"/>
      <c r="BU1111" s="866">
        <f>VLOOKUP(BD1111,$BD$4:$BN$12824,9,0)*BE1111</f>
        <v>0</v>
      </c>
      <c r="BV1111" s="867"/>
      <c r="BW1111" s="867">
        <f>VLOOKUP(BD1111,$BD$4:$BN$12824,11,0)*BE1111</f>
        <v>7153.0961268255296</v>
      </c>
      <c r="BX1111" s="1146">
        <f t="shared" si="216"/>
        <v>156812.73648504805</v>
      </c>
      <c r="BY1111" s="867">
        <f t="shared" si="215"/>
        <v>590487.93648504803</v>
      </c>
      <c r="BZ1111" s="867">
        <f t="shared" si="213"/>
        <v>590487.93648504803</v>
      </c>
      <c r="CA1111" s="867">
        <f>_xlfn.MAXIFS($BY$4:$BY$12824,$S$4:$S$12824,$S1111)</f>
        <v>590487.93648504803</v>
      </c>
      <c r="CB1111" s="1032"/>
      <c r="CF1111" s="946">
        <f t="shared" si="214"/>
        <v>433675.2</v>
      </c>
    </row>
    <row r="1112" spans="1:84">
      <c r="A1112" s="1032"/>
      <c r="B1112" s="839" t="s">
        <v>98</v>
      </c>
      <c r="C1112" s="839" t="s">
        <v>3454</v>
      </c>
      <c r="D1112" s="839" t="s">
        <v>3917</v>
      </c>
      <c r="E1112" s="839" t="s">
        <v>3917</v>
      </c>
      <c r="F1112" s="841">
        <v>45692</v>
      </c>
      <c r="G1112" s="840" t="s">
        <v>3918</v>
      </c>
      <c r="H1112" s="842" t="s">
        <v>102</v>
      </c>
      <c r="I1112" s="842" t="s">
        <v>3919</v>
      </c>
      <c r="J1112" s="841">
        <v>45661</v>
      </c>
      <c r="K1112" s="841" t="s">
        <v>3920</v>
      </c>
      <c r="L1112" s="843" t="s">
        <v>106</v>
      </c>
      <c r="M1112" s="844" t="s">
        <v>107</v>
      </c>
      <c r="N1112" s="841"/>
      <c r="O1112" s="841" t="s">
        <v>3459</v>
      </c>
      <c r="P1112" s="841"/>
      <c r="Q1112" s="843"/>
      <c r="R1112" s="845" t="s">
        <v>3472</v>
      </c>
      <c r="S1112" s="1127" t="s">
        <v>3472</v>
      </c>
      <c r="T1112" s="843" t="s">
        <v>3935</v>
      </c>
      <c r="U1112" s="842">
        <v>100</v>
      </c>
      <c r="V1112" s="842" t="s">
        <v>8</v>
      </c>
      <c r="W1112" s="846">
        <v>10.5</v>
      </c>
      <c r="X1112" s="847">
        <f t="shared" si="208"/>
        <v>1050</v>
      </c>
      <c r="Y1112" s="848">
        <v>0</v>
      </c>
      <c r="Z1112" s="849">
        <v>10.5</v>
      </c>
      <c r="AA1112" s="849"/>
      <c r="AB1112" s="849">
        <f t="shared" si="209"/>
        <v>1050</v>
      </c>
      <c r="AC1112" s="850">
        <f t="shared" si="210"/>
        <v>1050</v>
      </c>
      <c r="AD1112" s="851"/>
      <c r="AE1112" s="852">
        <v>25814</v>
      </c>
      <c r="AF1112" s="853">
        <v>0</v>
      </c>
      <c r="AG1112" s="854">
        <f t="shared" si="211"/>
        <v>0</v>
      </c>
      <c r="AH1112" s="853">
        <v>0.1</v>
      </c>
      <c r="AI1112" s="855">
        <f t="shared" si="212"/>
        <v>2710470</v>
      </c>
      <c r="AJ1112" s="845" t="s">
        <v>3923</v>
      </c>
      <c r="AK1112" s="857">
        <v>45692</v>
      </c>
      <c r="AL1112" s="840" t="s">
        <v>3924</v>
      </c>
      <c r="AM1112" s="840"/>
      <c r="AN1112" s="858"/>
      <c r="AO1112" s="844"/>
      <c r="AP1112" s="859">
        <v>45773</v>
      </c>
      <c r="AQ1112" s="859" t="s">
        <v>3925</v>
      </c>
      <c r="AR1112" s="859">
        <v>45773</v>
      </c>
      <c r="AS1112" s="840"/>
      <c r="AT1112" s="840"/>
      <c r="AU1112" s="860"/>
      <c r="AV1112" s="839" t="s">
        <v>3926</v>
      </c>
      <c r="AW1112" s="861">
        <v>45776</v>
      </c>
      <c r="AX1112" s="862"/>
      <c r="AY1112" s="843"/>
      <c r="AZ1112" s="842"/>
      <c r="BA1112" s="842" t="s">
        <v>120</v>
      </c>
      <c r="BB1112" s="863" t="s">
        <v>121</v>
      </c>
      <c r="BC1112" s="864">
        <v>45804</v>
      </c>
      <c r="BD1112" s="860" t="s">
        <v>3927</v>
      </c>
      <c r="BE1112" s="865" cm="1">
        <f t="array" ref="BE1112">IF(BD1112="","",AC1112/SUMPRODUCT(--(BD1112=$BD$4:$BD$12824),$AC$4:$AC$12824))</f>
        <v>0.74511417987765927</v>
      </c>
      <c r="BF1112" s="458"/>
      <c r="BG1112" s="458"/>
      <c r="BH1112" s="458"/>
      <c r="BI1112" s="458"/>
      <c r="BJ1112" s="458"/>
      <c r="BK1112" s="458"/>
      <c r="BL1112" s="458"/>
      <c r="BM1112" s="458"/>
      <c r="BN1112" s="458"/>
      <c r="BO1112" s="866">
        <f>VLOOKUP(BD1112,$BD$4:$BN$12824,3,0)*BE1112</f>
        <v>9353727.5223889053</v>
      </c>
      <c r="BP1112" s="866"/>
      <c r="BQ1112" s="866"/>
      <c r="BR1112" s="866">
        <f>VLOOKUP(BD1112,$BD$4:$BN$12824,6,0)*BE1112</f>
        <v>0</v>
      </c>
      <c r="BS1112" s="866">
        <f>VLOOKUP(BD1112,$BD$4:$BN$12824,7,0)*BE1112</f>
        <v>0</v>
      </c>
      <c r="BT1112" s="866"/>
      <c r="BU1112" s="866">
        <f>VLOOKUP(BD1112,$BD$4:$BN$12824,9,0)*BE1112</f>
        <v>0</v>
      </c>
      <c r="BV1112" s="867"/>
      <c r="BW1112" s="867">
        <f>VLOOKUP(BD1112,$BD$4:$BN$12824,11,0)*BE1112</f>
        <v>447068.50792659557</v>
      </c>
      <c r="BX1112" s="1146">
        <f t="shared" si="216"/>
        <v>9800796.0303155016</v>
      </c>
      <c r="BY1112" s="867">
        <f t="shared" si="215"/>
        <v>369054.96030315501</v>
      </c>
      <c r="BZ1112" s="867">
        <f t="shared" si="213"/>
        <v>36905496.030315503</v>
      </c>
      <c r="CA1112" s="867">
        <f>_xlfn.MAXIFS($BY$4:$BY$12824,$S$4:$S$12824,$S1112)</f>
        <v>369054.96030315501</v>
      </c>
      <c r="CB1112" s="1032"/>
      <c r="CF1112" s="946">
        <f t="shared" si="214"/>
        <v>27104700</v>
      </c>
    </row>
    <row r="1113" spans="1:84">
      <c r="A1113" s="1032"/>
      <c r="B1113" s="839" t="s">
        <v>98</v>
      </c>
      <c r="C1113" s="839" t="s">
        <v>3783</v>
      </c>
      <c r="D1113" s="839" t="s">
        <v>3936</v>
      </c>
      <c r="E1113" s="839" t="s">
        <v>3936</v>
      </c>
      <c r="F1113" s="841">
        <v>45731</v>
      </c>
      <c r="G1113" s="840" t="s">
        <v>3786</v>
      </c>
      <c r="H1113" s="842" t="s">
        <v>102</v>
      </c>
      <c r="I1113" s="842" t="s">
        <v>3937</v>
      </c>
      <c r="J1113" s="841" t="s">
        <v>3938</v>
      </c>
      <c r="K1113" s="841">
        <v>45937</v>
      </c>
      <c r="L1113" s="843" t="s">
        <v>106</v>
      </c>
      <c r="M1113" s="844" t="s">
        <v>107</v>
      </c>
      <c r="N1113" s="841"/>
      <c r="O1113" s="841" t="s">
        <v>150</v>
      </c>
      <c r="P1113" s="841" t="s">
        <v>151</v>
      </c>
      <c r="Q1113" s="843"/>
      <c r="R1113" s="845" t="s">
        <v>3801</v>
      </c>
      <c r="S1113" s="1127" t="s">
        <v>3802</v>
      </c>
      <c r="T1113" s="843" t="s">
        <v>3803</v>
      </c>
      <c r="U1113" s="842">
        <v>2</v>
      </c>
      <c r="V1113" s="842" t="s">
        <v>3</v>
      </c>
      <c r="W1113" s="846">
        <v>1670</v>
      </c>
      <c r="X1113" s="847">
        <f t="shared" si="208"/>
        <v>3340</v>
      </c>
      <c r="Y1113" s="848">
        <v>0.5</v>
      </c>
      <c r="Z1113" s="849">
        <v>835</v>
      </c>
      <c r="AA1113" s="849"/>
      <c r="AB1113" s="849">
        <f t="shared" si="209"/>
        <v>1670</v>
      </c>
      <c r="AC1113" s="850">
        <f t="shared" si="210"/>
        <v>1670</v>
      </c>
      <c r="AD1113" s="851">
        <f t="shared" ref="AD1113:AD1144" si="217">IF(V1113=$AD$2,$AE$2,$AE$3)</f>
        <v>32000</v>
      </c>
      <c r="AE1113" s="852">
        <v>29302.25</v>
      </c>
      <c r="AF1113" s="853">
        <v>0.25</v>
      </c>
      <c r="AG1113" s="854">
        <f t="shared" si="211"/>
        <v>13824145.125</v>
      </c>
      <c r="AH1113" s="853">
        <v>0.08</v>
      </c>
      <c r="AI1113" s="855">
        <f t="shared" si="212"/>
        <v>5529658.0499999998</v>
      </c>
      <c r="AJ1113" s="845" t="s">
        <v>3939</v>
      </c>
      <c r="AK1113" s="857">
        <v>45751</v>
      </c>
      <c r="AL1113" s="840">
        <v>125306250</v>
      </c>
      <c r="AM1113" s="840"/>
      <c r="AN1113" s="858"/>
      <c r="AO1113" s="844" t="s">
        <v>141</v>
      </c>
      <c r="AP1113" s="859"/>
      <c r="AQ1113" s="859" t="s">
        <v>3940</v>
      </c>
      <c r="AR1113" s="859">
        <v>45875</v>
      </c>
      <c r="AS1113" s="840"/>
      <c r="AT1113" s="840"/>
      <c r="AU1113" s="860" t="s">
        <v>1602</v>
      </c>
      <c r="AV1113" s="839" t="s">
        <v>3941</v>
      </c>
      <c r="AW1113" s="861">
        <v>45817</v>
      </c>
      <c r="AX1113" s="862">
        <v>45818</v>
      </c>
      <c r="AY1113" s="843" t="s">
        <v>3942</v>
      </c>
      <c r="AZ1113" s="842">
        <v>94013900</v>
      </c>
      <c r="BA1113" s="842" t="s">
        <v>120</v>
      </c>
      <c r="BB1113" s="863" t="s">
        <v>121</v>
      </c>
      <c r="BC1113" s="864">
        <v>45825</v>
      </c>
      <c r="BD1113" s="860" t="s">
        <v>3943</v>
      </c>
      <c r="BE1113" s="865" cm="1">
        <f t="array" ref="BE1113">IF(BD1113="","",AC1113/SUMPRODUCT(--(BD1113=$BD$4:$BD$12824),$AC$4:$AC$12824))</f>
        <v>1</v>
      </c>
      <c r="BF1113" s="1146">
        <f>5141276+970547</f>
        <v>6111823</v>
      </c>
      <c r="BG1113" s="458"/>
      <c r="BH1113" s="458"/>
      <c r="BI1113" s="458">
        <v>1521398</v>
      </c>
      <c r="BJ1113" s="458">
        <v>250000</v>
      </c>
      <c r="BK1113" s="458"/>
      <c r="BL1113" s="458">
        <v>360</v>
      </c>
      <c r="BM1113" s="458"/>
      <c r="BN1113" s="458">
        <v>600000</v>
      </c>
      <c r="BO1113" s="866">
        <f>VLOOKUP(BD1113,$BD$4:$BN$12824,3,0)*BE1113</f>
        <v>6111823</v>
      </c>
      <c r="BP1113" s="866"/>
      <c r="BQ1113" s="866"/>
      <c r="BR1113" s="866">
        <f>VLOOKUP(BD1113,$BD$4:$BN$12824,6,0)*BE1113</f>
        <v>1521398</v>
      </c>
      <c r="BS1113" s="866">
        <f>VLOOKUP(BD1113,$BD$4:$BN$12824,7,0)*BE1113</f>
        <v>250000</v>
      </c>
      <c r="BT1113" s="866"/>
      <c r="BU1113" s="866">
        <f>VLOOKUP(BD1113,$BD$4:$BN$12824,9,0)*BE1113</f>
        <v>360</v>
      </c>
      <c r="BV1113" s="867"/>
      <c r="BW1113" s="867">
        <f>VLOOKUP(BD1113,$BD$4:$BN$12824,11,0)*BE1113</f>
        <v>600000</v>
      </c>
      <c r="BX1113" s="1146">
        <f t="shared" si="216"/>
        <v>8483581</v>
      </c>
      <c r="BY1113" s="867">
        <f t="shared" si="215"/>
        <v>35621241.8125</v>
      </c>
      <c r="BZ1113" s="867">
        <f t="shared" si="213"/>
        <v>71242483.625</v>
      </c>
      <c r="CA1113" s="867">
        <f>_xlfn.MAXIFS($BY$4:$BY$12824,$S$4:$S$12824,$S1113)</f>
        <v>35621241.8125</v>
      </c>
      <c r="CB1113" s="944"/>
      <c r="CF1113" s="946">
        <f t="shared" si="214"/>
        <v>48934757.5</v>
      </c>
    </row>
    <row r="1114" spans="1:84">
      <c r="A1114" s="1032"/>
      <c r="B1114" s="839" t="s">
        <v>98</v>
      </c>
      <c r="C1114" s="839" t="s">
        <v>273</v>
      </c>
      <c r="D1114" s="839" t="s">
        <v>3944</v>
      </c>
      <c r="E1114" s="839" t="s">
        <v>3945</v>
      </c>
      <c r="F1114" s="841">
        <v>45731</v>
      </c>
      <c r="G1114" s="840" t="s">
        <v>273</v>
      </c>
      <c r="H1114" s="842" t="s">
        <v>102</v>
      </c>
      <c r="I1114" s="842" t="s">
        <v>3946</v>
      </c>
      <c r="J1114" s="841">
        <v>45901</v>
      </c>
      <c r="K1114" s="841" t="s">
        <v>3947</v>
      </c>
      <c r="L1114" s="843" t="s">
        <v>106</v>
      </c>
      <c r="M1114" s="844" t="s">
        <v>275</v>
      </c>
      <c r="N1114" s="841"/>
      <c r="O1114" s="841" t="s">
        <v>150</v>
      </c>
      <c r="P1114" s="841" t="s">
        <v>276</v>
      </c>
      <c r="Q1114" s="843"/>
      <c r="R1114" s="845" t="s">
        <v>3948</v>
      </c>
      <c r="S1114" s="1127" t="s">
        <v>2439</v>
      </c>
      <c r="T1114" s="843" t="s">
        <v>2440</v>
      </c>
      <c r="U1114" s="842">
        <v>1</v>
      </c>
      <c r="V1114" s="842" t="s">
        <v>3</v>
      </c>
      <c r="W1114" s="846">
        <v>95.023255813953483</v>
      </c>
      <c r="X1114" s="847">
        <f t="shared" si="208"/>
        <v>95.023255813953483</v>
      </c>
      <c r="Y1114" s="848">
        <v>0.56999999999999995</v>
      </c>
      <c r="Z1114" s="849">
        <v>40.86</v>
      </c>
      <c r="AA1114" s="849"/>
      <c r="AB1114" s="849">
        <f t="shared" si="209"/>
        <v>40.86</v>
      </c>
      <c r="AC1114" s="850">
        <f t="shared" si="210"/>
        <v>40.86</v>
      </c>
      <c r="AD1114" s="851">
        <f t="shared" si="217"/>
        <v>32000</v>
      </c>
      <c r="AE1114" s="852">
        <v>29506.38</v>
      </c>
      <c r="AF1114" s="853">
        <v>0.1</v>
      </c>
      <c r="AG1114" s="854">
        <f t="shared" si="211"/>
        <v>124846.92567502597</v>
      </c>
      <c r="AH1114" s="853">
        <v>0.08</v>
      </c>
      <c r="AI1114" s="855">
        <f t="shared" si="212"/>
        <v>1654494.6089980023</v>
      </c>
      <c r="AJ1114" s="845" t="s">
        <v>3949</v>
      </c>
      <c r="AK1114" s="857">
        <v>45768</v>
      </c>
      <c r="AL1114" s="840" t="s">
        <v>3950</v>
      </c>
      <c r="AM1114" s="840"/>
      <c r="AN1114" s="858"/>
      <c r="AO1114" s="844" t="s">
        <v>3951</v>
      </c>
      <c r="AP1114" s="859"/>
      <c r="AQ1114" s="859" t="s">
        <v>3952</v>
      </c>
      <c r="AR1114" s="859">
        <v>45821</v>
      </c>
      <c r="AS1114" s="840"/>
      <c r="AT1114" s="840"/>
      <c r="AU1114" s="860" t="s">
        <v>1210</v>
      </c>
      <c r="AV1114" s="839" t="s">
        <v>3953</v>
      </c>
      <c r="AW1114" s="861">
        <v>45824</v>
      </c>
      <c r="AX1114" s="862"/>
      <c r="AY1114" s="843"/>
      <c r="AZ1114" s="842"/>
      <c r="BA1114" s="842" t="s">
        <v>120</v>
      </c>
      <c r="BB1114" s="863" t="s">
        <v>121</v>
      </c>
      <c r="BC1114" s="864">
        <v>45826</v>
      </c>
      <c r="BD1114" s="860" t="s">
        <v>3954</v>
      </c>
      <c r="BE1114" s="865" cm="1">
        <f t="array" ref="BE1114">IF(BD1114="","",AC1114/SUMPRODUCT(--(BD1114=$BD$4:$BD$12824),$AC$4:$AC$12824))</f>
        <v>2.2137989262024111E-3</v>
      </c>
      <c r="BF1114" s="458">
        <v>18821180</v>
      </c>
      <c r="BG1114" s="458"/>
      <c r="BH1114" s="458"/>
      <c r="BI1114" s="458">
        <v>6664285</v>
      </c>
      <c r="BJ1114" s="458">
        <v>529525</v>
      </c>
      <c r="BK1114" s="458"/>
      <c r="BL1114" s="458">
        <v>27345</v>
      </c>
      <c r="BM1114" s="458"/>
      <c r="BN1114" s="458">
        <v>600000</v>
      </c>
      <c r="BO1114" s="866">
        <f>VLOOKUP(BD1114,$BD$4:$BN$12824,3,0)*BE1114</f>
        <v>41666.308073862296</v>
      </c>
      <c r="BP1114" s="866"/>
      <c r="BQ1114" s="866"/>
      <c r="BR1114" s="866">
        <f>VLOOKUP(BD1114,$BD$4:$BN$12824,6,0)*BE1114</f>
        <v>14753.386976906835</v>
      </c>
      <c r="BS1114" s="866">
        <f>VLOOKUP(BD1114,$BD$4:$BN$12824,7,0)*BE1114</f>
        <v>1172.2618763973317</v>
      </c>
      <c r="BT1114" s="866"/>
      <c r="BU1114" s="866">
        <f>VLOOKUP(BD1114,$BD$4:$BN$12824,9,0)*BE1114</f>
        <v>60.536331637004935</v>
      </c>
      <c r="BV1114" s="867"/>
      <c r="BW1114" s="867">
        <f>VLOOKUP(BD1114,$BD$4:$BN$12824,11,0)*BE1114</f>
        <v>1328.2793557214466</v>
      </c>
      <c r="BX1114" s="1146">
        <f t="shared" si="216"/>
        <v>58980.772614524911</v>
      </c>
      <c r="BY1114" s="867">
        <f t="shared" si="215"/>
        <v>1389458.3850895509</v>
      </c>
      <c r="BZ1114" s="867">
        <f t="shared" si="213"/>
        <v>1389458.3850895509</v>
      </c>
      <c r="CA1114" s="867">
        <f>_xlfn.MAXIFS($BY$4:$BY$12824,$S$4:$S$12824,$S1114)</f>
        <v>1768663.1796846197</v>
      </c>
      <c r="CB1114" s="1032"/>
      <c r="CF1114" s="946">
        <f t="shared" si="214"/>
        <v>1205630.6868</v>
      </c>
    </row>
    <row r="1115" spans="1:84">
      <c r="A1115" s="1032"/>
      <c r="B1115" s="839" t="s">
        <v>98</v>
      </c>
      <c r="C1115" s="839" t="s">
        <v>273</v>
      </c>
      <c r="D1115" s="839" t="s">
        <v>3944</v>
      </c>
      <c r="E1115" s="839" t="s">
        <v>3944</v>
      </c>
      <c r="F1115" s="841">
        <v>45731</v>
      </c>
      <c r="G1115" s="840" t="s">
        <v>273</v>
      </c>
      <c r="H1115" s="842" t="s">
        <v>134</v>
      </c>
      <c r="I1115" s="842"/>
      <c r="J1115" s="841"/>
      <c r="K1115" s="841"/>
      <c r="L1115" s="843" t="s">
        <v>106</v>
      </c>
      <c r="M1115" s="844" t="s">
        <v>275</v>
      </c>
      <c r="N1115" s="841"/>
      <c r="O1115" s="841" t="s">
        <v>150</v>
      </c>
      <c r="P1115" s="841" t="s">
        <v>276</v>
      </c>
      <c r="Q1115" s="843"/>
      <c r="R1115" s="845">
        <v>10736</v>
      </c>
      <c r="S1115" s="1127" t="s">
        <v>1113</v>
      </c>
      <c r="T1115" s="843" t="s">
        <v>1114</v>
      </c>
      <c r="U1115" s="842">
        <v>200</v>
      </c>
      <c r="V1115" s="842" t="s">
        <v>3</v>
      </c>
      <c r="W1115" s="846">
        <v>10.88</v>
      </c>
      <c r="X1115" s="847">
        <f t="shared" si="208"/>
        <v>2176</v>
      </c>
      <c r="Y1115" s="848">
        <v>0.56999999999999995</v>
      </c>
      <c r="Z1115" s="849">
        <v>4.6784000000000008</v>
      </c>
      <c r="AA1115" s="849"/>
      <c r="AB1115" s="849">
        <f t="shared" si="209"/>
        <v>935.68000000000018</v>
      </c>
      <c r="AC1115" s="850">
        <f t="shared" si="210"/>
        <v>935.68000000000018</v>
      </c>
      <c r="AD1115" s="851">
        <f t="shared" si="217"/>
        <v>32000</v>
      </c>
      <c r="AE1115" s="852">
        <v>29506.38</v>
      </c>
      <c r="AF1115" s="853">
        <v>0.1</v>
      </c>
      <c r="AG1115" s="854">
        <f t="shared" si="211"/>
        <v>2858951.8212336842</v>
      </c>
      <c r="AH1115" s="853">
        <v>0.08</v>
      </c>
      <c r="AI1115" s="855">
        <f t="shared" si="212"/>
        <v>2437398.5167706953</v>
      </c>
      <c r="AJ1115" s="845" t="s">
        <v>3949</v>
      </c>
      <c r="AK1115" s="857">
        <v>45768</v>
      </c>
      <c r="AL1115" s="840" t="s">
        <v>3950</v>
      </c>
      <c r="AM1115" s="840"/>
      <c r="AN1115" s="858"/>
      <c r="AO1115" s="844" t="s">
        <v>3951</v>
      </c>
      <c r="AP1115" s="859"/>
      <c r="AQ1115" s="859" t="s">
        <v>3952</v>
      </c>
      <c r="AR1115" s="859">
        <v>45821</v>
      </c>
      <c r="AS1115" s="840"/>
      <c r="AT1115" s="840"/>
      <c r="AU1115" s="860" t="s">
        <v>1210</v>
      </c>
      <c r="AV1115" s="839" t="s">
        <v>3953</v>
      </c>
      <c r="AW1115" s="861">
        <v>45824</v>
      </c>
      <c r="AX1115" s="862"/>
      <c r="AY1115" s="843"/>
      <c r="AZ1115" s="842"/>
      <c r="BA1115" s="842" t="s">
        <v>120</v>
      </c>
      <c r="BB1115" s="863" t="s">
        <v>121</v>
      </c>
      <c r="BC1115" s="864">
        <v>45826</v>
      </c>
      <c r="BD1115" s="860" t="s">
        <v>3954</v>
      </c>
      <c r="BE1115" s="865" cm="1">
        <f t="array" ref="BE1115">IF(BD1115="","",AC1115/SUMPRODUCT(--(BD1115=$BD$4:$BD$12824),$AC$4:$AC$12824))</f>
        <v>5.0695236888621452E-2</v>
      </c>
      <c r="BF1115" s="458"/>
      <c r="BG1115" s="458"/>
      <c r="BH1115" s="458"/>
      <c r="BI1115" s="458"/>
      <c r="BJ1115" s="458"/>
      <c r="BK1115" s="458"/>
      <c r="BL1115" s="458"/>
      <c r="BM1115" s="458"/>
      <c r="BN1115" s="458"/>
      <c r="BO1115" s="866">
        <f>VLOOKUP(BD1115,$BD$4:$BN$12824,3,0)*BE1115</f>
        <v>954144.17862338433</v>
      </c>
      <c r="BP1115" s="866"/>
      <c r="BQ1115" s="866"/>
      <c r="BR1115" s="866">
        <f>VLOOKUP(BD1115,$BD$4:$BN$12824,6,0)*BE1115</f>
        <v>337847.50676828664</v>
      </c>
      <c r="BS1115" s="866">
        <f>VLOOKUP(BD1115,$BD$4:$BN$12824,7,0)*BE1115</f>
        <v>26844.395313447276</v>
      </c>
      <c r="BT1115" s="866"/>
      <c r="BU1115" s="866">
        <f>VLOOKUP(BD1115,$BD$4:$BN$12824,9,0)*BE1115</f>
        <v>1386.2612527193537</v>
      </c>
      <c r="BV1115" s="867"/>
      <c r="BW1115" s="867">
        <f>VLOOKUP(BD1115,$BD$4:$BN$12824,11,0)*BE1115</f>
        <v>30417.142133172871</v>
      </c>
      <c r="BX1115" s="1146">
        <f t="shared" ref="BX1115:BX1164" si="218">SUM(BO1115:BW1115)</f>
        <v>1350639.4840910106</v>
      </c>
      <c r="BY1115" s="867">
        <f t="shared" si="215"/>
        <v>159090.60471862351</v>
      </c>
      <c r="BZ1115" s="867">
        <f t="shared" si="213"/>
        <v>31818120.943724703</v>
      </c>
      <c r="CA1115" s="867">
        <f>_xlfn.MAXIFS($BY$4:$BY$12824,$S$4:$S$12824,$S1115)</f>
        <v>209011.24719546674</v>
      </c>
      <c r="CB1115" s="1032"/>
      <c r="CF1115" s="946">
        <f t="shared" si="214"/>
        <v>27608529.638400007</v>
      </c>
    </row>
    <row r="1116" spans="1:84">
      <c r="A1116" s="1032"/>
      <c r="B1116" s="839" t="s">
        <v>98</v>
      </c>
      <c r="C1116" s="839" t="s">
        <v>273</v>
      </c>
      <c r="D1116" s="839" t="s">
        <v>3944</v>
      </c>
      <c r="E1116" s="839" t="s">
        <v>3944</v>
      </c>
      <c r="F1116" s="841">
        <v>45731</v>
      </c>
      <c r="G1116" s="840" t="s">
        <v>273</v>
      </c>
      <c r="H1116" s="842" t="s">
        <v>134</v>
      </c>
      <c r="I1116" s="842"/>
      <c r="J1116" s="841"/>
      <c r="K1116" s="841"/>
      <c r="L1116" s="843" t="s">
        <v>106</v>
      </c>
      <c r="M1116" s="844" t="s">
        <v>275</v>
      </c>
      <c r="N1116" s="841"/>
      <c r="O1116" s="841" t="s">
        <v>150</v>
      </c>
      <c r="P1116" s="841" t="s">
        <v>276</v>
      </c>
      <c r="Q1116" s="843"/>
      <c r="R1116" s="845">
        <v>11207.24</v>
      </c>
      <c r="S1116" s="1127" t="s">
        <v>3955</v>
      </c>
      <c r="T1116" s="843" t="s">
        <v>3956</v>
      </c>
      <c r="U1116" s="842">
        <v>200</v>
      </c>
      <c r="V1116" s="842" t="s">
        <v>3</v>
      </c>
      <c r="W1116" s="846">
        <v>41.77</v>
      </c>
      <c r="X1116" s="847">
        <f t="shared" si="208"/>
        <v>8354</v>
      </c>
      <c r="Y1116" s="848">
        <v>0.56999999999999995</v>
      </c>
      <c r="Z1116" s="849">
        <v>17.961100000000002</v>
      </c>
      <c r="AA1116" s="849"/>
      <c r="AB1116" s="849">
        <f t="shared" si="209"/>
        <v>3592.2200000000003</v>
      </c>
      <c r="AC1116" s="850">
        <f t="shared" si="210"/>
        <v>3592.2200000000003</v>
      </c>
      <c r="AD1116" s="851">
        <f t="shared" si="217"/>
        <v>32000</v>
      </c>
      <c r="AE1116" s="852">
        <v>29506.38</v>
      </c>
      <c r="AF1116" s="853">
        <v>0.1</v>
      </c>
      <c r="AG1116" s="854">
        <f t="shared" si="211"/>
        <v>10975957.497512037</v>
      </c>
      <c r="AH1116" s="853">
        <v>0.08</v>
      </c>
      <c r="AI1116" s="855">
        <f t="shared" si="212"/>
        <v>9357549.2688889652</v>
      </c>
      <c r="AJ1116" s="845" t="s">
        <v>3949</v>
      </c>
      <c r="AK1116" s="857">
        <v>45768</v>
      </c>
      <c r="AL1116" s="840" t="s">
        <v>3950</v>
      </c>
      <c r="AM1116" s="840"/>
      <c r="AN1116" s="858"/>
      <c r="AO1116" s="844" t="s">
        <v>3951</v>
      </c>
      <c r="AP1116" s="859"/>
      <c r="AQ1116" s="859" t="s">
        <v>3952</v>
      </c>
      <c r="AR1116" s="859">
        <v>45821</v>
      </c>
      <c r="AS1116" s="840"/>
      <c r="AT1116" s="840"/>
      <c r="AU1116" s="860" t="s">
        <v>1210</v>
      </c>
      <c r="AV1116" s="839" t="s">
        <v>3953</v>
      </c>
      <c r="AW1116" s="861">
        <v>45824</v>
      </c>
      <c r="AX1116" s="862"/>
      <c r="AY1116" s="843"/>
      <c r="AZ1116" s="842"/>
      <c r="BA1116" s="842" t="s">
        <v>120</v>
      </c>
      <c r="BB1116" s="863" t="s">
        <v>121</v>
      </c>
      <c r="BC1116" s="864">
        <v>45826</v>
      </c>
      <c r="BD1116" s="860" t="s">
        <v>3954</v>
      </c>
      <c r="BE1116" s="865" cm="1">
        <f t="array" ref="BE1116">IF(BD1116="","",AC1116/SUMPRODUCT(--(BD1116=$BD$4:$BD$12824),$AC$4:$AC$12824))</f>
        <v>0.1946268423564079</v>
      </c>
      <c r="BF1116" s="458"/>
      <c r="BG1116" s="458"/>
      <c r="BH1116" s="458"/>
      <c r="BI1116" s="458"/>
      <c r="BJ1116" s="458"/>
      <c r="BK1116" s="458"/>
      <c r="BL1116" s="458"/>
      <c r="BM1116" s="458"/>
      <c r="BN1116" s="458"/>
      <c r="BO1116" s="866">
        <f>VLOOKUP(BD1116,$BD$4:$BN$12824,3,0)*BE1116</f>
        <v>3663106.8328215773</v>
      </c>
      <c r="BP1116" s="866"/>
      <c r="BQ1116" s="866"/>
      <c r="BR1116" s="866">
        <f>VLOOKUP(BD1116,$BD$4:$BN$12824,6,0)*BE1116</f>
        <v>1297048.7461131739</v>
      </c>
      <c r="BS1116" s="866">
        <f>VLOOKUP(BD1116,$BD$4:$BN$12824,7,0)*BE1116</f>
        <v>103059.77869877689</v>
      </c>
      <c r="BT1116" s="866"/>
      <c r="BU1116" s="866">
        <f>VLOOKUP(BD1116,$BD$4:$BN$12824,9,0)*BE1116</f>
        <v>5322.0710042359742</v>
      </c>
      <c r="BV1116" s="867"/>
      <c r="BW1116" s="867">
        <f>VLOOKUP(BD1116,$BD$4:$BN$12824,11,0)*BE1116</f>
        <v>116776.10541384474</v>
      </c>
      <c r="BX1116" s="1146">
        <f t="shared" si="218"/>
        <v>5185313.5340516092</v>
      </c>
      <c r="BY1116" s="867">
        <f t="shared" si="215"/>
        <v>610773.39697581832</v>
      </c>
      <c r="BZ1116" s="867">
        <f t="shared" si="213"/>
        <v>122154679.39516367</v>
      </c>
      <c r="CA1116" s="867">
        <f>_xlfn.MAXIFS($BY$4:$BY$12824,$S$4:$S$12824,$S1116)</f>
        <v>681894.03698413877</v>
      </c>
      <c r="CB1116" s="1032"/>
      <c r="CF1116" s="946">
        <f t="shared" si="214"/>
        <v>105993408.36360002</v>
      </c>
    </row>
    <row r="1117" spans="1:84">
      <c r="A1117" s="1032"/>
      <c r="B1117" s="839" t="s">
        <v>98</v>
      </c>
      <c r="C1117" s="839" t="s">
        <v>273</v>
      </c>
      <c r="D1117" s="839" t="s">
        <v>3944</v>
      </c>
      <c r="E1117" s="839" t="s">
        <v>3944</v>
      </c>
      <c r="F1117" s="841">
        <v>45731</v>
      </c>
      <c r="G1117" s="840" t="s">
        <v>273</v>
      </c>
      <c r="H1117" s="842" t="s">
        <v>134</v>
      </c>
      <c r="I1117" s="842"/>
      <c r="J1117" s="841"/>
      <c r="K1117" s="841"/>
      <c r="L1117" s="843" t="s">
        <v>106</v>
      </c>
      <c r="M1117" s="844" t="s">
        <v>275</v>
      </c>
      <c r="N1117" s="841"/>
      <c r="O1117" s="841" t="s">
        <v>150</v>
      </c>
      <c r="P1117" s="841" t="s">
        <v>276</v>
      </c>
      <c r="Q1117" s="843"/>
      <c r="R1117" s="845">
        <v>10731</v>
      </c>
      <c r="S1117" s="1127" t="s">
        <v>3957</v>
      </c>
      <c r="T1117" s="843" t="s">
        <v>3958</v>
      </c>
      <c r="U1117" s="842">
        <v>100</v>
      </c>
      <c r="V1117" s="842" t="s">
        <v>3</v>
      </c>
      <c r="W1117" s="846">
        <v>6.43</v>
      </c>
      <c r="X1117" s="847">
        <f t="shared" si="208"/>
        <v>643</v>
      </c>
      <c r="Y1117" s="848">
        <v>0.56999999999999995</v>
      </c>
      <c r="Z1117" s="849">
        <v>2.7649000000000004</v>
      </c>
      <c r="AA1117" s="849"/>
      <c r="AB1117" s="849">
        <f t="shared" si="209"/>
        <v>276.49</v>
      </c>
      <c r="AC1117" s="850">
        <f t="shared" si="210"/>
        <v>276.49</v>
      </c>
      <c r="AD1117" s="851">
        <f t="shared" si="217"/>
        <v>32000</v>
      </c>
      <c r="AE1117" s="852">
        <v>29506.38</v>
      </c>
      <c r="AF1117" s="853">
        <v>0.1</v>
      </c>
      <c r="AG1117" s="854">
        <f t="shared" si="211"/>
        <v>844809.75232226949</v>
      </c>
      <c r="AH1117" s="853">
        <v>0.08</v>
      </c>
      <c r="AI1117" s="855">
        <f t="shared" si="212"/>
        <v>720242.30068178161</v>
      </c>
      <c r="AJ1117" s="845" t="s">
        <v>3949</v>
      </c>
      <c r="AK1117" s="857">
        <v>45768</v>
      </c>
      <c r="AL1117" s="840" t="s">
        <v>3950</v>
      </c>
      <c r="AM1117" s="840"/>
      <c r="AN1117" s="858"/>
      <c r="AO1117" s="844" t="s">
        <v>3951</v>
      </c>
      <c r="AP1117" s="859"/>
      <c r="AQ1117" s="859" t="s">
        <v>3952</v>
      </c>
      <c r="AR1117" s="859">
        <v>45821</v>
      </c>
      <c r="AS1117" s="840"/>
      <c r="AT1117" s="840"/>
      <c r="AU1117" s="860" t="s">
        <v>1210</v>
      </c>
      <c r="AV1117" s="839" t="s">
        <v>3953</v>
      </c>
      <c r="AW1117" s="861">
        <v>45824</v>
      </c>
      <c r="AX1117" s="862"/>
      <c r="AY1117" s="843"/>
      <c r="AZ1117" s="842"/>
      <c r="BA1117" s="842" t="s">
        <v>120</v>
      </c>
      <c r="BB1117" s="863" t="s">
        <v>121</v>
      </c>
      <c r="BC1117" s="864">
        <v>45826</v>
      </c>
      <c r="BD1117" s="860" t="s">
        <v>3954</v>
      </c>
      <c r="BE1117" s="865" cm="1">
        <f t="array" ref="BE1117">IF(BD1117="","",AC1117/SUMPRODUCT(--(BD1117=$BD$4:$BD$12824),$AC$4:$AC$12824))</f>
        <v>1.4980256121040253E-2</v>
      </c>
      <c r="BF1117" s="458"/>
      <c r="BG1117" s="458"/>
      <c r="BH1117" s="458"/>
      <c r="BI1117" s="458"/>
      <c r="BJ1117" s="458"/>
      <c r="BK1117" s="458"/>
      <c r="BL1117" s="458"/>
      <c r="BM1117" s="458"/>
      <c r="BN1117" s="458"/>
      <c r="BO1117" s="866">
        <f>VLOOKUP(BD1117,$BD$4:$BN$12824,3,0)*BE1117</f>
        <v>281946.09690020041</v>
      </c>
      <c r="BP1117" s="866"/>
      <c r="BQ1117" s="866"/>
      <c r="BR1117" s="866">
        <f>VLOOKUP(BD1117,$BD$4:$BN$12824,6,0)*BE1117</f>
        <v>99832.696163606743</v>
      </c>
      <c r="BS1117" s="866">
        <f>VLOOKUP(BD1117,$BD$4:$BN$12824,7,0)*BE1117</f>
        <v>7932.4201224938397</v>
      </c>
      <c r="BT1117" s="866"/>
      <c r="BU1117" s="866">
        <f>VLOOKUP(BD1117,$BD$4:$BN$12824,9,0)*BE1117</f>
        <v>409.63510362984573</v>
      </c>
      <c r="BV1117" s="867"/>
      <c r="BW1117" s="867">
        <f>VLOOKUP(BD1117,$BD$4:$BN$12824,11,0)*BE1117</f>
        <v>8988.153672624152</v>
      </c>
      <c r="BX1117" s="1146">
        <f t="shared" si="218"/>
        <v>399109.00196255499</v>
      </c>
      <c r="BY1117" s="867">
        <f t="shared" si="215"/>
        <v>94021.377604848254</v>
      </c>
      <c r="BZ1117" s="867">
        <f t="shared" si="213"/>
        <v>9402137.7604848258</v>
      </c>
      <c r="CA1117" s="867">
        <f>_xlfn.MAXIFS($BY$4:$BY$12824,$S$4:$S$12824,$S1117)</f>
        <v>104958.3641878709</v>
      </c>
      <c r="CB1117" s="1032"/>
      <c r="CF1117" s="946">
        <f t="shared" si="214"/>
        <v>8158219.0062000006</v>
      </c>
    </row>
    <row r="1118" spans="1:84">
      <c r="A1118" s="1032"/>
      <c r="B1118" s="839" t="s">
        <v>98</v>
      </c>
      <c r="C1118" s="839" t="s">
        <v>273</v>
      </c>
      <c r="D1118" s="839" t="s">
        <v>3944</v>
      </c>
      <c r="E1118" s="839" t="s">
        <v>3944</v>
      </c>
      <c r="F1118" s="841">
        <v>45731</v>
      </c>
      <c r="G1118" s="840" t="s">
        <v>273</v>
      </c>
      <c r="H1118" s="842" t="s">
        <v>134</v>
      </c>
      <c r="I1118" s="842"/>
      <c r="J1118" s="841"/>
      <c r="K1118" s="841"/>
      <c r="L1118" s="843" t="s">
        <v>106</v>
      </c>
      <c r="M1118" s="844" t="s">
        <v>275</v>
      </c>
      <c r="N1118" s="841"/>
      <c r="O1118" s="841" t="s">
        <v>150</v>
      </c>
      <c r="P1118" s="841" t="s">
        <v>276</v>
      </c>
      <c r="Q1118" s="843"/>
      <c r="R1118" s="845">
        <v>11211.24</v>
      </c>
      <c r="S1118" s="1127" t="s">
        <v>3959</v>
      </c>
      <c r="T1118" s="843" t="s">
        <v>3960</v>
      </c>
      <c r="U1118" s="842">
        <v>30</v>
      </c>
      <c r="V1118" s="842" t="s">
        <v>3</v>
      </c>
      <c r="W1118" s="846">
        <v>28.49</v>
      </c>
      <c r="X1118" s="847">
        <f t="shared" si="208"/>
        <v>854.69999999999993</v>
      </c>
      <c r="Y1118" s="848">
        <v>0.56999999999999995</v>
      </c>
      <c r="Z1118" s="849">
        <v>12.2507</v>
      </c>
      <c r="AA1118" s="849"/>
      <c r="AB1118" s="849">
        <f t="shared" si="209"/>
        <v>367.52100000000002</v>
      </c>
      <c r="AC1118" s="850">
        <f t="shared" si="210"/>
        <v>367.52100000000002</v>
      </c>
      <c r="AD1118" s="851">
        <f t="shared" si="217"/>
        <v>32000</v>
      </c>
      <c r="AE1118" s="852">
        <v>29506.38</v>
      </c>
      <c r="AF1118" s="853">
        <v>0.1</v>
      </c>
      <c r="AG1118" s="854">
        <f t="shared" si="211"/>
        <v>1122953.1808862267</v>
      </c>
      <c r="AH1118" s="853">
        <v>0.08</v>
      </c>
      <c r="AI1118" s="855">
        <f t="shared" si="212"/>
        <v>957373.3971892983</v>
      </c>
      <c r="AJ1118" s="845" t="s">
        <v>3949</v>
      </c>
      <c r="AK1118" s="857">
        <v>45768</v>
      </c>
      <c r="AL1118" s="840" t="s">
        <v>3950</v>
      </c>
      <c r="AM1118" s="840"/>
      <c r="AN1118" s="858"/>
      <c r="AO1118" s="844" t="s">
        <v>3951</v>
      </c>
      <c r="AP1118" s="859"/>
      <c r="AQ1118" s="859" t="s">
        <v>3952</v>
      </c>
      <c r="AR1118" s="859">
        <v>45821</v>
      </c>
      <c r="AS1118" s="840"/>
      <c r="AT1118" s="840"/>
      <c r="AU1118" s="860" t="s">
        <v>1210</v>
      </c>
      <c r="AV1118" s="839" t="s">
        <v>3953</v>
      </c>
      <c r="AW1118" s="861">
        <v>45824</v>
      </c>
      <c r="AX1118" s="862"/>
      <c r="AY1118" s="843"/>
      <c r="AZ1118" s="842"/>
      <c r="BA1118" s="842" t="s">
        <v>120</v>
      </c>
      <c r="BB1118" s="863" t="s">
        <v>121</v>
      </c>
      <c r="BC1118" s="864">
        <v>45826</v>
      </c>
      <c r="BD1118" s="860" t="s">
        <v>3954</v>
      </c>
      <c r="BE1118" s="865" cm="1">
        <f t="array" ref="BE1118">IF(BD1118="","",AC1118/SUMPRODUCT(--(BD1118=$BD$4:$BD$12824),$AC$4:$AC$12824))</f>
        <v>1.9912324893706226E-2</v>
      </c>
      <c r="BF1118" s="458"/>
      <c r="BG1118" s="458"/>
      <c r="BH1118" s="458"/>
      <c r="BI1118" s="458"/>
      <c r="BJ1118" s="458"/>
      <c r="BK1118" s="458"/>
      <c r="BL1118" s="458"/>
      <c r="BM1118" s="458"/>
      <c r="BN1118" s="458"/>
      <c r="BO1118" s="866">
        <f>VLOOKUP(BD1118,$BD$4:$BN$12824,3,0)*BE1118</f>
        <v>374773.45104292576</v>
      </c>
      <c r="BP1118" s="866"/>
      <c r="BQ1118" s="866"/>
      <c r="BR1118" s="866">
        <f>VLOOKUP(BD1118,$BD$4:$BN$12824,6,0)*BE1118</f>
        <v>132701.408104253</v>
      </c>
      <c r="BS1118" s="866">
        <f>VLOOKUP(BD1118,$BD$4:$BN$12824,7,0)*BE1118</f>
        <v>10544.07383933979</v>
      </c>
      <c r="BT1118" s="866"/>
      <c r="BU1118" s="866">
        <f>VLOOKUP(BD1118,$BD$4:$BN$12824,9,0)*BE1118</f>
        <v>544.50252421839673</v>
      </c>
      <c r="BV1118" s="867"/>
      <c r="BW1118" s="867">
        <f>VLOOKUP(BD1118,$BD$4:$BN$12824,11,0)*BE1118</f>
        <v>11947.394936223736</v>
      </c>
      <c r="BX1118" s="1146">
        <f t="shared" si="218"/>
        <v>530510.83044696064</v>
      </c>
      <c r="BY1118" s="867">
        <f t="shared" si="215"/>
        <v>416589.27651043964</v>
      </c>
      <c r="BZ1118" s="867">
        <f t="shared" si="213"/>
        <v>12497678.295313189</v>
      </c>
      <c r="CA1118" s="867">
        <f>_xlfn.MAXIFS($BY$4:$BY$12824,$S$4:$S$12824,$S1118)</f>
        <v>465103.03874944698</v>
      </c>
      <c r="CB1118" s="1032"/>
      <c r="CF1118" s="946">
        <f t="shared" si="214"/>
        <v>10844214.283980001</v>
      </c>
    </row>
    <row r="1119" spans="1:84">
      <c r="A1119" s="1032"/>
      <c r="B1119" s="839" t="s">
        <v>98</v>
      </c>
      <c r="C1119" s="839" t="s">
        <v>273</v>
      </c>
      <c r="D1119" s="839" t="s">
        <v>3944</v>
      </c>
      <c r="E1119" s="839" t="s">
        <v>3944</v>
      </c>
      <c r="F1119" s="841">
        <v>45731</v>
      </c>
      <c r="G1119" s="840" t="s">
        <v>273</v>
      </c>
      <c r="H1119" s="842" t="s">
        <v>134</v>
      </c>
      <c r="I1119" s="842"/>
      <c r="J1119" s="841"/>
      <c r="K1119" s="841"/>
      <c r="L1119" s="843" t="s">
        <v>106</v>
      </c>
      <c r="M1119" s="844" t="s">
        <v>275</v>
      </c>
      <c r="N1119" s="841"/>
      <c r="O1119" s="841" t="s">
        <v>150</v>
      </c>
      <c r="P1119" s="841" t="s">
        <v>276</v>
      </c>
      <c r="Q1119" s="843"/>
      <c r="R1119" s="845">
        <v>11207.31</v>
      </c>
      <c r="S1119" s="1127" t="s">
        <v>3961</v>
      </c>
      <c r="T1119" s="843" t="s">
        <v>3962</v>
      </c>
      <c r="U1119" s="842">
        <v>30</v>
      </c>
      <c r="V1119" s="842" t="s">
        <v>3</v>
      </c>
      <c r="W1119" s="846">
        <v>41.77</v>
      </c>
      <c r="X1119" s="847">
        <f t="shared" si="208"/>
        <v>1253.1000000000001</v>
      </c>
      <c r="Y1119" s="848">
        <v>0.56999999999999995</v>
      </c>
      <c r="Z1119" s="849">
        <v>17.961100000000002</v>
      </c>
      <c r="AA1119" s="849"/>
      <c r="AB1119" s="849">
        <f t="shared" si="209"/>
        <v>538.83300000000008</v>
      </c>
      <c r="AC1119" s="850">
        <f t="shared" si="210"/>
        <v>538.83300000000008</v>
      </c>
      <c r="AD1119" s="851">
        <f t="shared" si="217"/>
        <v>32000</v>
      </c>
      <c r="AE1119" s="852">
        <v>29506.38</v>
      </c>
      <c r="AF1119" s="853">
        <v>0.1</v>
      </c>
      <c r="AG1119" s="854">
        <f t="shared" si="211"/>
        <v>1646393.624626806</v>
      </c>
      <c r="AH1119" s="853">
        <v>0.08</v>
      </c>
      <c r="AI1119" s="855">
        <f t="shared" si="212"/>
        <v>1403632.3903333449</v>
      </c>
      <c r="AJ1119" s="845" t="s">
        <v>3949</v>
      </c>
      <c r="AK1119" s="857">
        <v>45768</v>
      </c>
      <c r="AL1119" s="840" t="s">
        <v>3950</v>
      </c>
      <c r="AM1119" s="840"/>
      <c r="AN1119" s="858"/>
      <c r="AO1119" s="844" t="s">
        <v>3951</v>
      </c>
      <c r="AP1119" s="859"/>
      <c r="AQ1119" s="859" t="s">
        <v>3952</v>
      </c>
      <c r="AR1119" s="859">
        <v>45821</v>
      </c>
      <c r="AS1119" s="840"/>
      <c r="AT1119" s="840"/>
      <c r="AU1119" s="860" t="s">
        <v>1210</v>
      </c>
      <c r="AV1119" s="839" t="s">
        <v>3953</v>
      </c>
      <c r="AW1119" s="861">
        <v>45824</v>
      </c>
      <c r="AX1119" s="862"/>
      <c r="AY1119" s="843"/>
      <c r="AZ1119" s="842"/>
      <c r="BA1119" s="842" t="s">
        <v>120</v>
      </c>
      <c r="BB1119" s="863" t="s">
        <v>121</v>
      </c>
      <c r="BC1119" s="864">
        <v>45826</v>
      </c>
      <c r="BD1119" s="860" t="s">
        <v>3954</v>
      </c>
      <c r="BE1119" s="865" cm="1">
        <f t="array" ref="BE1119">IF(BD1119="","",AC1119/SUMPRODUCT(--(BD1119=$BD$4:$BD$12824),$AC$4:$AC$12824))</f>
        <v>2.9194026353461185E-2</v>
      </c>
      <c r="BF1119" s="458"/>
      <c r="BG1119" s="458"/>
      <c r="BH1119" s="458"/>
      <c r="BI1119" s="458"/>
      <c r="BJ1119" s="458"/>
      <c r="BK1119" s="458"/>
      <c r="BL1119" s="458"/>
      <c r="BM1119" s="458"/>
      <c r="BN1119" s="458"/>
      <c r="BO1119" s="866">
        <f>VLOOKUP(BD1119,$BD$4:$BN$12824,3,0)*BE1119</f>
        <v>549466.02492323657</v>
      </c>
      <c r="BP1119" s="866"/>
      <c r="BQ1119" s="866"/>
      <c r="BR1119" s="866">
        <f>VLOOKUP(BD1119,$BD$4:$BN$12824,6,0)*BE1119</f>
        <v>194557.31191697606</v>
      </c>
      <c r="BS1119" s="866">
        <f>VLOOKUP(BD1119,$BD$4:$BN$12824,7,0)*BE1119</f>
        <v>15458.966804816535</v>
      </c>
      <c r="BT1119" s="866"/>
      <c r="BU1119" s="866">
        <f>VLOOKUP(BD1119,$BD$4:$BN$12824,9,0)*BE1119</f>
        <v>798.31065063539609</v>
      </c>
      <c r="BV1119" s="867"/>
      <c r="BW1119" s="867">
        <f>VLOOKUP(BD1119,$BD$4:$BN$12824,11,0)*BE1119</f>
        <v>17516.41581207671</v>
      </c>
      <c r="BX1119" s="1146">
        <f t="shared" si="218"/>
        <v>777797.03010774124</v>
      </c>
      <c r="BY1119" s="867">
        <f t="shared" si="215"/>
        <v>610773.39697581844</v>
      </c>
      <c r="BZ1119" s="867">
        <f t="shared" si="213"/>
        <v>18323201.909274552</v>
      </c>
      <c r="CA1119" s="867">
        <f>_xlfn.MAXIFS($BY$4:$BY$12824,$S$4:$S$12824,$S1119)</f>
        <v>717774.37234548759</v>
      </c>
      <c r="CB1119" s="1032"/>
      <c r="CF1119" s="946">
        <f t="shared" si="214"/>
        <v>15899011.254540004</v>
      </c>
    </row>
    <row r="1120" spans="1:84">
      <c r="A1120" s="1032"/>
      <c r="B1120" s="839" t="s">
        <v>98</v>
      </c>
      <c r="C1120" s="839" t="s">
        <v>273</v>
      </c>
      <c r="D1120" s="839" t="s">
        <v>3944</v>
      </c>
      <c r="E1120" s="839" t="s">
        <v>3944</v>
      </c>
      <c r="F1120" s="841">
        <v>45680</v>
      </c>
      <c r="G1120" s="840" t="s">
        <v>273</v>
      </c>
      <c r="H1120" s="842" t="s">
        <v>134</v>
      </c>
      <c r="I1120" s="842"/>
      <c r="J1120" s="841"/>
      <c r="K1120" s="841"/>
      <c r="L1120" s="843" t="s">
        <v>106</v>
      </c>
      <c r="M1120" s="844" t="s">
        <v>275</v>
      </c>
      <c r="N1120" s="841"/>
      <c r="O1120" s="841" t="s">
        <v>150</v>
      </c>
      <c r="P1120" s="841" t="s">
        <v>276</v>
      </c>
      <c r="Q1120" s="843"/>
      <c r="R1120" s="845">
        <v>14262</v>
      </c>
      <c r="S1120" s="1127" t="s">
        <v>3963</v>
      </c>
      <c r="T1120" s="843" t="s">
        <v>3964</v>
      </c>
      <c r="U1120" s="842">
        <v>10</v>
      </c>
      <c r="V1120" s="842" t="s">
        <v>3</v>
      </c>
      <c r="W1120" s="846">
        <v>48.39</v>
      </c>
      <c r="X1120" s="847">
        <f t="shared" si="208"/>
        <v>483.9</v>
      </c>
      <c r="Y1120" s="848">
        <v>0.56999999999999995</v>
      </c>
      <c r="Z1120" s="849">
        <v>20.807700000000004</v>
      </c>
      <c r="AA1120" s="849"/>
      <c r="AB1120" s="849">
        <f t="shared" si="209"/>
        <v>208.07700000000006</v>
      </c>
      <c r="AC1120" s="850">
        <f t="shared" si="210"/>
        <v>208.07700000000006</v>
      </c>
      <c r="AD1120" s="851">
        <f t="shared" si="217"/>
        <v>32000</v>
      </c>
      <c r="AE1120" s="852">
        <v>29506.38</v>
      </c>
      <c r="AF1120" s="853">
        <v>0.1</v>
      </c>
      <c r="AG1120" s="854">
        <f t="shared" si="211"/>
        <v>635775.17752526642</v>
      </c>
      <c r="AH1120" s="853">
        <v>0.08</v>
      </c>
      <c r="AI1120" s="855">
        <f t="shared" si="212"/>
        <v>542029.9367028214</v>
      </c>
      <c r="AJ1120" s="845" t="s">
        <v>3949</v>
      </c>
      <c r="AK1120" s="857">
        <v>45768</v>
      </c>
      <c r="AL1120" s="840" t="s">
        <v>3950</v>
      </c>
      <c r="AM1120" s="840"/>
      <c r="AN1120" s="858"/>
      <c r="AO1120" s="844" t="s">
        <v>3951</v>
      </c>
      <c r="AP1120" s="859"/>
      <c r="AQ1120" s="859" t="s">
        <v>3952</v>
      </c>
      <c r="AR1120" s="859">
        <v>45821</v>
      </c>
      <c r="AS1120" s="840"/>
      <c r="AT1120" s="840"/>
      <c r="AU1120" s="860" t="s">
        <v>1210</v>
      </c>
      <c r="AV1120" s="839" t="s">
        <v>3953</v>
      </c>
      <c r="AW1120" s="861">
        <v>45824</v>
      </c>
      <c r="AX1120" s="862"/>
      <c r="AY1120" s="843"/>
      <c r="AZ1120" s="842"/>
      <c r="BA1120" s="842" t="s">
        <v>120</v>
      </c>
      <c r="BB1120" s="863" t="s">
        <v>121</v>
      </c>
      <c r="BC1120" s="864">
        <v>45826</v>
      </c>
      <c r="BD1120" s="860" t="s">
        <v>3954</v>
      </c>
      <c r="BE1120" s="865" cm="1">
        <f t="array" ref="BE1120">IF(BD1120="","",AC1120/SUMPRODUCT(--(BD1120=$BD$4:$BD$12824),$AC$4:$AC$12824))</f>
        <v>1.1273632872428274E-2</v>
      </c>
      <c r="BF1120" s="458"/>
      <c r="BG1120" s="458"/>
      <c r="BH1120" s="458"/>
      <c r="BI1120" s="458"/>
      <c r="BJ1120" s="458"/>
      <c r="BK1120" s="458"/>
      <c r="BL1120" s="458"/>
      <c r="BM1120" s="458"/>
      <c r="BN1120" s="458"/>
      <c r="BO1120" s="866">
        <f>VLOOKUP(BD1120,$BD$4:$BN$12824,3,0)*BE1120</f>
        <v>212183.07354588958</v>
      </c>
      <c r="BP1120" s="866"/>
      <c r="BQ1120" s="866"/>
      <c r="BR1120" s="866">
        <f>VLOOKUP(BD1120,$BD$4:$BN$12824,6,0)*BE1120</f>
        <v>75130.702447230666</v>
      </c>
      <c r="BS1120" s="866">
        <f>VLOOKUP(BD1120,$BD$4:$BN$12824,7,0)*BE1120</f>
        <v>5969.6704467725822</v>
      </c>
      <c r="BT1120" s="866"/>
      <c r="BU1120" s="866">
        <f>VLOOKUP(BD1120,$BD$4:$BN$12824,9,0)*BE1120</f>
        <v>308.27749089655117</v>
      </c>
      <c r="BV1120" s="867"/>
      <c r="BW1120" s="867">
        <f>VLOOKUP(BD1120,$BD$4:$BN$12824,11,0)*BE1120</f>
        <v>6764.1797234569649</v>
      </c>
      <c r="BX1120" s="1146">
        <f t="shared" si="218"/>
        <v>300355.90365424636</v>
      </c>
      <c r="BY1120" s="867">
        <f t="shared" si="215"/>
        <v>707573.01124395139</v>
      </c>
      <c r="BZ1120" s="867">
        <f t="shared" si="213"/>
        <v>7075730.1124395141</v>
      </c>
      <c r="CA1120" s="867">
        <f>_xlfn.MAXIFS($BY$4:$BY$12824,$S$4:$S$12824,$S1120)</f>
        <v>707573.01124395139</v>
      </c>
      <c r="CB1120" s="1032"/>
      <c r="CF1120" s="946">
        <f t="shared" si="214"/>
        <v>6139599.0312600015</v>
      </c>
    </row>
    <row r="1121" spans="1:84">
      <c r="A1121" s="1032"/>
      <c r="B1121" s="839" t="s">
        <v>98</v>
      </c>
      <c r="C1121" s="839" t="s">
        <v>273</v>
      </c>
      <c r="D1121" s="839" t="s">
        <v>3944</v>
      </c>
      <c r="E1121" s="839" t="s">
        <v>3944</v>
      </c>
      <c r="F1121" s="841">
        <v>45680</v>
      </c>
      <c r="G1121" s="840" t="s">
        <v>273</v>
      </c>
      <c r="H1121" s="842" t="s">
        <v>134</v>
      </c>
      <c r="I1121" s="842"/>
      <c r="J1121" s="841"/>
      <c r="K1121" s="841"/>
      <c r="L1121" s="843" t="s">
        <v>106</v>
      </c>
      <c r="M1121" s="844" t="s">
        <v>275</v>
      </c>
      <c r="N1121" s="841"/>
      <c r="O1121" s="841" t="s">
        <v>150</v>
      </c>
      <c r="P1121" s="841" t="s">
        <v>276</v>
      </c>
      <c r="Q1121" s="843"/>
      <c r="R1121" s="845">
        <v>14263.24</v>
      </c>
      <c r="S1121" s="1127" t="s">
        <v>3965</v>
      </c>
      <c r="T1121" s="843" t="s">
        <v>3966</v>
      </c>
      <c r="U1121" s="842">
        <v>20</v>
      </c>
      <c r="V1121" s="842" t="s">
        <v>3</v>
      </c>
      <c r="W1121" s="846">
        <v>81.72</v>
      </c>
      <c r="X1121" s="847">
        <f t="shared" si="208"/>
        <v>1634.4</v>
      </c>
      <c r="Y1121" s="848">
        <v>0.56999999999999995</v>
      </c>
      <c r="Z1121" s="849">
        <v>35.139600000000002</v>
      </c>
      <c r="AA1121" s="849"/>
      <c r="AB1121" s="849">
        <f t="shared" si="209"/>
        <v>702.79200000000003</v>
      </c>
      <c r="AC1121" s="850">
        <f t="shared" si="210"/>
        <v>702.79200000000003</v>
      </c>
      <c r="AD1121" s="851">
        <f t="shared" si="217"/>
        <v>32000</v>
      </c>
      <c r="AE1121" s="852">
        <v>29506.38</v>
      </c>
      <c r="AF1121" s="853">
        <v>0.1</v>
      </c>
      <c r="AG1121" s="854">
        <f t="shared" si="211"/>
        <v>2147367.1216104473</v>
      </c>
      <c r="AH1121" s="853">
        <v>0.08</v>
      </c>
      <c r="AI1121" s="855">
        <f t="shared" si="212"/>
        <v>1830737.194765636</v>
      </c>
      <c r="AJ1121" s="845" t="s">
        <v>3949</v>
      </c>
      <c r="AK1121" s="857">
        <v>45768</v>
      </c>
      <c r="AL1121" s="840" t="s">
        <v>3950</v>
      </c>
      <c r="AM1121" s="840"/>
      <c r="AN1121" s="858"/>
      <c r="AO1121" s="844" t="s">
        <v>3951</v>
      </c>
      <c r="AP1121" s="859"/>
      <c r="AQ1121" s="859" t="s">
        <v>3952</v>
      </c>
      <c r="AR1121" s="859">
        <v>45821</v>
      </c>
      <c r="AS1121" s="840"/>
      <c r="AT1121" s="840"/>
      <c r="AU1121" s="860" t="s">
        <v>1210</v>
      </c>
      <c r="AV1121" s="839" t="s">
        <v>3953</v>
      </c>
      <c r="AW1121" s="861">
        <v>45824</v>
      </c>
      <c r="AX1121" s="862"/>
      <c r="AY1121" s="843"/>
      <c r="AZ1121" s="842"/>
      <c r="BA1121" s="842" t="s">
        <v>120</v>
      </c>
      <c r="BB1121" s="863" t="s">
        <v>121</v>
      </c>
      <c r="BC1121" s="864">
        <v>45826</v>
      </c>
      <c r="BD1121" s="860" t="s">
        <v>3954</v>
      </c>
      <c r="BE1121" s="865" cm="1">
        <f t="array" ref="BE1121">IF(BD1121="","",AC1121/SUMPRODUCT(--(BD1121=$BD$4:$BD$12824),$AC$4:$AC$12824))</f>
        <v>3.8077341530681479E-2</v>
      </c>
      <c r="BF1121" s="458"/>
      <c r="BG1121" s="458"/>
      <c r="BH1121" s="458"/>
      <c r="BI1121" s="458"/>
      <c r="BJ1121" s="458"/>
      <c r="BK1121" s="458"/>
      <c r="BL1121" s="458"/>
      <c r="BM1121" s="458"/>
      <c r="BN1121" s="458"/>
      <c r="BO1121" s="866">
        <f>VLOOKUP(BD1121,$BD$4:$BN$12824,3,0)*BE1121</f>
        <v>716660.49887043168</v>
      </c>
      <c r="BP1121" s="866"/>
      <c r="BQ1121" s="866"/>
      <c r="BR1121" s="866">
        <f>VLOOKUP(BD1121,$BD$4:$BN$12824,6,0)*BE1121</f>
        <v>253758.25600279763</v>
      </c>
      <c r="BS1121" s="866">
        <f>VLOOKUP(BD1121,$BD$4:$BN$12824,7,0)*BE1121</f>
        <v>20162.90427403411</v>
      </c>
      <c r="BT1121" s="866"/>
      <c r="BU1121" s="866">
        <f>VLOOKUP(BD1121,$BD$4:$BN$12824,9,0)*BE1121</f>
        <v>1041.2249041564851</v>
      </c>
      <c r="BV1121" s="867"/>
      <c r="BW1121" s="867">
        <f>VLOOKUP(BD1121,$BD$4:$BN$12824,11,0)*BE1121</f>
        <v>22846.404918408887</v>
      </c>
      <c r="BX1121" s="1146">
        <f t="shared" si="218"/>
        <v>1014469.2889698287</v>
      </c>
      <c r="BY1121" s="867">
        <f t="shared" si="215"/>
        <v>1194934.211177014</v>
      </c>
      <c r="BZ1121" s="867">
        <f t="shared" si="213"/>
        <v>23898684.22354028</v>
      </c>
      <c r="CA1121" s="867">
        <f>_xlfn.MAXIFS($BY$4:$BY$12824,$S$4:$S$12824,$S1121)</f>
        <v>1334144.8810155371</v>
      </c>
      <c r="CB1121" s="1032"/>
      <c r="CF1121" s="946">
        <f t="shared" si="214"/>
        <v>20736847.812960003</v>
      </c>
    </row>
    <row r="1122" spans="1:84">
      <c r="A1122" s="1032"/>
      <c r="B1122" s="839" t="s">
        <v>98</v>
      </c>
      <c r="C1122" s="839" t="s">
        <v>273</v>
      </c>
      <c r="D1122" s="839" t="s">
        <v>3944</v>
      </c>
      <c r="E1122" s="839" t="s">
        <v>3944</v>
      </c>
      <c r="F1122" s="841">
        <v>45680</v>
      </c>
      <c r="G1122" s="840" t="s">
        <v>273</v>
      </c>
      <c r="H1122" s="842" t="s">
        <v>134</v>
      </c>
      <c r="I1122" s="842"/>
      <c r="J1122" s="841"/>
      <c r="K1122" s="841"/>
      <c r="L1122" s="843" t="s">
        <v>106</v>
      </c>
      <c r="M1122" s="844" t="s">
        <v>275</v>
      </c>
      <c r="N1122" s="841"/>
      <c r="O1122" s="841" t="s">
        <v>150</v>
      </c>
      <c r="P1122" s="841" t="s">
        <v>276</v>
      </c>
      <c r="Q1122" s="843"/>
      <c r="R1122" s="845">
        <v>11212.24</v>
      </c>
      <c r="S1122" s="1127" t="s">
        <v>3967</v>
      </c>
      <c r="T1122" s="843" t="s">
        <v>3968</v>
      </c>
      <c r="U1122" s="842">
        <v>20</v>
      </c>
      <c r="V1122" s="842" t="s">
        <v>3</v>
      </c>
      <c r="W1122" s="846">
        <v>28.49</v>
      </c>
      <c r="X1122" s="847">
        <f t="shared" si="208"/>
        <v>569.79999999999995</v>
      </c>
      <c r="Y1122" s="848">
        <v>0.56999999999999995</v>
      </c>
      <c r="Z1122" s="849">
        <v>12.2507</v>
      </c>
      <c r="AA1122" s="849"/>
      <c r="AB1122" s="849">
        <f t="shared" si="209"/>
        <v>245.01400000000001</v>
      </c>
      <c r="AC1122" s="850">
        <f t="shared" si="210"/>
        <v>245.01400000000001</v>
      </c>
      <c r="AD1122" s="851">
        <f t="shared" si="217"/>
        <v>32000</v>
      </c>
      <c r="AE1122" s="852">
        <v>29506.38</v>
      </c>
      <c r="AF1122" s="853">
        <v>0.1</v>
      </c>
      <c r="AG1122" s="854">
        <f t="shared" si="211"/>
        <v>748635.45392415114</v>
      </c>
      <c r="AH1122" s="853">
        <v>0.08</v>
      </c>
      <c r="AI1122" s="855">
        <f t="shared" si="212"/>
        <v>638248.93145953212</v>
      </c>
      <c r="AJ1122" s="845" t="s">
        <v>3949</v>
      </c>
      <c r="AK1122" s="857">
        <v>45768</v>
      </c>
      <c r="AL1122" s="840" t="s">
        <v>3950</v>
      </c>
      <c r="AM1122" s="840"/>
      <c r="AN1122" s="858"/>
      <c r="AO1122" s="844" t="s">
        <v>3951</v>
      </c>
      <c r="AP1122" s="859"/>
      <c r="AQ1122" s="859" t="s">
        <v>3952</v>
      </c>
      <c r="AR1122" s="859">
        <v>45821</v>
      </c>
      <c r="AS1122" s="840"/>
      <c r="AT1122" s="840"/>
      <c r="AU1122" s="860" t="s">
        <v>1210</v>
      </c>
      <c r="AV1122" s="839" t="s">
        <v>3953</v>
      </c>
      <c r="AW1122" s="861">
        <v>45824</v>
      </c>
      <c r="AX1122" s="862"/>
      <c r="AY1122" s="843"/>
      <c r="AZ1122" s="842"/>
      <c r="BA1122" s="842" t="s">
        <v>120</v>
      </c>
      <c r="BB1122" s="863" t="s">
        <v>121</v>
      </c>
      <c r="BC1122" s="864">
        <v>45826</v>
      </c>
      <c r="BD1122" s="860" t="s">
        <v>3954</v>
      </c>
      <c r="BE1122" s="865" cm="1">
        <f t="array" ref="BE1122">IF(BD1122="","",AC1122/SUMPRODUCT(--(BD1122=$BD$4:$BD$12824),$AC$4:$AC$12824))</f>
        <v>1.3274883262470819E-2</v>
      </c>
      <c r="BF1122" s="458"/>
      <c r="BG1122" s="458"/>
      <c r="BH1122" s="458"/>
      <c r="BI1122" s="458"/>
      <c r="BJ1122" s="458"/>
      <c r="BK1122" s="458"/>
      <c r="BL1122" s="458"/>
      <c r="BM1122" s="458"/>
      <c r="BN1122" s="458"/>
      <c r="BO1122" s="866">
        <f>VLOOKUP(BD1122,$BD$4:$BN$12824,3,0)*BE1122</f>
        <v>249848.96736195052</v>
      </c>
      <c r="BP1122" s="866"/>
      <c r="BQ1122" s="866"/>
      <c r="BR1122" s="866">
        <f>VLOOKUP(BD1122,$BD$4:$BN$12824,6,0)*BE1122</f>
        <v>88467.605402835339</v>
      </c>
      <c r="BS1122" s="866">
        <f>VLOOKUP(BD1122,$BD$4:$BN$12824,7,0)*BE1122</f>
        <v>7029.3825595598601</v>
      </c>
      <c r="BT1122" s="866"/>
      <c r="BU1122" s="866">
        <f>VLOOKUP(BD1122,$BD$4:$BN$12824,9,0)*BE1122</f>
        <v>363.00168281226456</v>
      </c>
      <c r="BV1122" s="867"/>
      <c r="BW1122" s="867">
        <f>VLOOKUP(BD1122,$BD$4:$BN$12824,11,0)*BE1122</f>
        <v>7964.9299574824909</v>
      </c>
      <c r="BX1122" s="1146">
        <f t="shared" si="218"/>
        <v>353673.88696464046</v>
      </c>
      <c r="BY1122" s="867">
        <f t="shared" si="215"/>
        <v>416589.27651043964</v>
      </c>
      <c r="BZ1122" s="867">
        <f t="shared" si="213"/>
        <v>8331785.5302087925</v>
      </c>
      <c r="CA1122" s="867">
        <f>_xlfn.MAXIFS($BY$4:$BY$12824,$S$4:$S$12824,$S1122)</f>
        <v>465103.03874944698</v>
      </c>
      <c r="CB1122" s="1032"/>
      <c r="CF1122" s="946">
        <f t="shared" si="214"/>
        <v>7229476.1893200008</v>
      </c>
    </row>
    <row r="1123" spans="1:84">
      <c r="A1123" s="1032"/>
      <c r="B1123" s="839" t="s">
        <v>98</v>
      </c>
      <c r="C1123" s="839" t="s">
        <v>273</v>
      </c>
      <c r="D1123" s="839" t="s">
        <v>3944</v>
      </c>
      <c r="E1123" s="839" t="s">
        <v>3944</v>
      </c>
      <c r="F1123" s="841">
        <v>45680</v>
      </c>
      <c r="G1123" s="840" t="s">
        <v>273</v>
      </c>
      <c r="H1123" s="842" t="s">
        <v>134</v>
      </c>
      <c r="I1123" s="842"/>
      <c r="J1123" s="841"/>
      <c r="K1123" s="841"/>
      <c r="L1123" s="843" t="s">
        <v>106</v>
      </c>
      <c r="M1123" s="844" t="s">
        <v>275</v>
      </c>
      <c r="N1123" s="841"/>
      <c r="O1123" s="841" t="s">
        <v>150</v>
      </c>
      <c r="P1123" s="841" t="s">
        <v>276</v>
      </c>
      <c r="Q1123" s="843"/>
      <c r="R1123" s="845">
        <v>11212.31</v>
      </c>
      <c r="S1123" s="1127" t="s">
        <v>3969</v>
      </c>
      <c r="T1123" s="843" t="s">
        <v>3970</v>
      </c>
      <c r="U1123" s="842">
        <v>20</v>
      </c>
      <c r="V1123" s="842" t="s">
        <v>3</v>
      </c>
      <c r="W1123" s="846">
        <v>28.49</v>
      </c>
      <c r="X1123" s="847">
        <f t="shared" si="208"/>
        <v>569.79999999999995</v>
      </c>
      <c r="Y1123" s="848">
        <v>0.56999999999999995</v>
      </c>
      <c r="Z1123" s="849">
        <v>12.2507</v>
      </c>
      <c r="AA1123" s="849"/>
      <c r="AB1123" s="849">
        <f t="shared" si="209"/>
        <v>245.01400000000001</v>
      </c>
      <c r="AC1123" s="850">
        <f t="shared" si="210"/>
        <v>245.01400000000001</v>
      </c>
      <c r="AD1123" s="851">
        <f t="shared" si="217"/>
        <v>32000</v>
      </c>
      <c r="AE1123" s="852">
        <v>29506.38</v>
      </c>
      <c r="AF1123" s="853">
        <v>0.1</v>
      </c>
      <c r="AG1123" s="854">
        <f t="shared" si="211"/>
        <v>748635.45392415114</v>
      </c>
      <c r="AH1123" s="853">
        <v>0.08</v>
      </c>
      <c r="AI1123" s="855">
        <f t="shared" si="212"/>
        <v>638248.93145953212</v>
      </c>
      <c r="AJ1123" s="845" t="s">
        <v>3949</v>
      </c>
      <c r="AK1123" s="857">
        <v>45768</v>
      </c>
      <c r="AL1123" s="840" t="s">
        <v>3950</v>
      </c>
      <c r="AM1123" s="840"/>
      <c r="AN1123" s="858"/>
      <c r="AO1123" s="844" t="s">
        <v>3951</v>
      </c>
      <c r="AP1123" s="859"/>
      <c r="AQ1123" s="859" t="s">
        <v>3952</v>
      </c>
      <c r="AR1123" s="859">
        <v>45821</v>
      </c>
      <c r="AS1123" s="840"/>
      <c r="AT1123" s="840"/>
      <c r="AU1123" s="860" t="s">
        <v>1210</v>
      </c>
      <c r="AV1123" s="839" t="s">
        <v>3953</v>
      </c>
      <c r="AW1123" s="861">
        <v>45824</v>
      </c>
      <c r="AX1123" s="862"/>
      <c r="AY1123" s="843"/>
      <c r="AZ1123" s="842"/>
      <c r="BA1123" s="842" t="s">
        <v>120</v>
      </c>
      <c r="BB1123" s="863" t="s">
        <v>121</v>
      </c>
      <c r="BC1123" s="864">
        <v>45826</v>
      </c>
      <c r="BD1123" s="860" t="s">
        <v>3954</v>
      </c>
      <c r="BE1123" s="865" cm="1">
        <f t="array" ref="BE1123">IF(BD1123="","",AC1123/SUMPRODUCT(--(BD1123=$BD$4:$BD$12824),$AC$4:$AC$12824))</f>
        <v>1.3274883262470819E-2</v>
      </c>
      <c r="BF1123" s="458"/>
      <c r="BG1123" s="458"/>
      <c r="BH1123" s="458"/>
      <c r="BI1123" s="458"/>
      <c r="BJ1123" s="458"/>
      <c r="BK1123" s="458"/>
      <c r="BL1123" s="458"/>
      <c r="BM1123" s="458"/>
      <c r="BN1123" s="458"/>
      <c r="BO1123" s="866">
        <f>VLOOKUP(BD1123,$BD$4:$BN$12824,3,0)*BE1123</f>
        <v>249848.96736195052</v>
      </c>
      <c r="BP1123" s="866"/>
      <c r="BQ1123" s="866"/>
      <c r="BR1123" s="866">
        <f>VLOOKUP(BD1123,$BD$4:$BN$12824,6,0)*BE1123</f>
        <v>88467.605402835339</v>
      </c>
      <c r="BS1123" s="866">
        <f>VLOOKUP(BD1123,$BD$4:$BN$12824,7,0)*BE1123</f>
        <v>7029.3825595598601</v>
      </c>
      <c r="BT1123" s="866"/>
      <c r="BU1123" s="866">
        <f>VLOOKUP(BD1123,$BD$4:$BN$12824,9,0)*BE1123</f>
        <v>363.00168281226456</v>
      </c>
      <c r="BV1123" s="867"/>
      <c r="BW1123" s="867">
        <f>VLOOKUP(BD1123,$BD$4:$BN$12824,11,0)*BE1123</f>
        <v>7964.9299574824909</v>
      </c>
      <c r="BX1123" s="1146">
        <f t="shared" si="218"/>
        <v>353673.88696464046</v>
      </c>
      <c r="BY1123" s="867">
        <f t="shared" si="215"/>
        <v>416589.27651043964</v>
      </c>
      <c r="BZ1123" s="867">
        <f t="shared" si="213"/>
        <v>8331785.5302087925</v>
      </c>
      <c r="CA1123" s="867">
        <f>_xlfn.MAXIFS($BY$4:$BY$12824,$S$4:$S$12824,$S1123)</f>
        <v>465103.03874944698</v>
      </c>
      <c r="CB1123" s="1032"/>
      <c r="CF1123" s="946">
        <f t="shared" si="214"/>
        <v>7229476.1893200008</v>
      </c>
    </row>
    <row r="1124" spans="1:84">
      <c r="A1124" s="1032"/>
      <c r="B1124" s="839" t="s">
        <v>98</v>
      </c>
      <c r="C1124" s="839" t="s">
        <v>273</v>
      </c>
      <c r="D1124" s="839" t="s">
        <v>3944</v>
      </c>
      <c r="E1124" s="839" t="s">
        <v>3944</v>
      </c>
      <c r="F1124" s="841">
        <v>45680</v>
      </c>
      <c r="G1124" s="840" t="s">
        <v>273</v>
      </c>
      <c r="H1124" s="842" t="s">
        <v>134</v>
      </c>
      <c r="I1124" s="842"/>
      <c r="J1124" s="841"/>
      <c r="K1124" s="841"/>
      <c r="L1124" s="843" t="s">
        <v>106</v>
      </c>
      <c r="M1124" s="844" t="s">
        <v>275</v>
      </c>
      <c r="N1124" s="841"/>
      <c r="O1124" s="841" t="s">
        <v>150</v>
      </c>
      <c r="P1124" s="841" t="s">
        <v>276</v>
      </c>
      <c r="Q1124" s="843"/>
      <c r="R1124" s="845">
        <v>14263.31</v>
      </c>
      <c r="S1124" s="1127" t="s">
        <v>3971</v>
      </c>
      <c r="T1124" s="843" t="s">
        <v>3972</v>
      </c>
      <c r="U1124" s="842">
        <v>20</v>
      </c>
      <c r="V1124" s="842" t="s">
        <v>3</v>
      </c>
      <c r="W1124" s="846">
        <v>81.72</v>
      </c>
      <c r="X1124" s="847">
        <f t="shared" si="208"/>
        <v>1634.4</v>
      </c>
      <c r="Y1124" s="848">
        <v>0.56999999999999995</v>
      </c>
      <c r="Z1124" s="849">
        <v>35.139600000000002</v>
      </c>
      <c r="AA1124" s="849"/>
      <c r="AB1124" s="849">
        <f t="shared" si="209"/>
        <v>702.79200000000003</v>
      </c>
      <c r="AC1124" s="850">
        <f t="shared" si="210"/>
        <v>702.79200000000003</v>
      </c>
      <c r="AD1124" s="851">
        <f t="shared" si="217"/>
        <v>32000</v>
      </c>
      <c r="AE1124" s="852">
        <v>29506.38</v>
      </c>
      <c r="AF1124" s="853">
        <v>0.1</v>
      </c>
      <c r="AG1124" s="854">
        <f t="shared" si="211"/>
        <v>2147367.1216104473</v>
      </c>
      <c r="AH1124" s="853">
        <v>0.08</v>
      </c>
      <c r="AI1124" s="855">
        <f t="shared" si="212"/>
        <v>1830737.194765636</v>
      </c>
      <c r="AJ1124" s="845" t="s">
        <v>3949</v>
      </c>
      <c r="AK1124" s="857">
        <v>45768</v>
      </c>
      <c r="AL1124" s="840" t="s">
        <v>3950</v>
      </c>
      <c r="AM1124" s="840"/>
      <c r="AN1124" s="858"/>
      <c r="AO1124" s="844" t="s">
        <v>3951</v>
      </c>
      <c r="AP1124" s="859"/>
      <c r="AQ1124" s="859" t="s">
        <v>3952</v>
      </c>
      <c r="AR1124" s="859">
        <v>45821</v>
      </c>
      <c r="AS1124" s="840"/>
      <c r="AT1124" s="840"/>
      <c r="AU1124" s="842" t="s">
        <v>1210</v>
      </c>
      <c r="AV1124" s="839" t="s">
        <v>3953</v>
      </c>
      <c r="AW1124" s="861">
        <v>45824</v>
      </c>
      <c r="AX1124" s="862"/>
      <c r="AY1124" s="843"/>
      <c r="AZ1124" s="842"/>
      <c r="BA1124" s="842" t="s">
        <v>120</v>
      </c>
      <c r="BB1124" s="863" t="s">
        <v>121</v>
      </c>
      <c r="BC1124" s="864">
        <v>45826</v>
      </c>
      <c r="BD1124" s="860" t="s">
        <v>3954</v>
      </c>
      <c r="BE1124" s="865" cm="1">
        <f t="array" ref="BE1124">IF(BD1124="","",AC1124/SUMPRODUCT(--(BD1124=$BD$4:$BD$12824),$AC$4:$AC$12824))</f>
        <v>3.8077341530681479E-2</v>
      </c>
      <c r="BF1124" s="458"/>
      <c r="BG1124" s="458"/>
      <c r="BH1124" s="458"/>
      <c r="BI1124" s="458"/>
      <c r="BJ1124" s="458"/>
      <c r="BK1124" s="458"/>
      <c r="BL1124" s="458"/>
      <c r="BM1124" s="458"/>
      <c r="BN1124" s="458"/>
      <c r="BO1124" s="866">
        <f>VLOOKUP(BD1124,$BD$4:$BN$12824,3,0)*BE1124</f>
        <v>716660.49887043168</v>
      </c>
      <c r="BP1124" s="866"/>
      <c r="BQ1124" s="866"/>
      <c r="BR1124" s="866">
        <f>VLOOKUP(BD1124,$BD$4:$BN$12824,6,0)*BE1124</f>
        <v>253758.25600279763</v>
      </c>
      <c r="BS1124" s="866">
        <f>VLOOKUP(BD1124,$BD$4:$BN$12824,7,0)*BE1124</f>
        <v>20162.90427403411</v>
      </c>
      <c r="BT1124" s="866"/>
      <c r="BU1124" s="866">
        <f>VLOOKUP(BD1124,$BD$4:$BN$12824,9,0)*BE1124</f>
        <v>1041.2249041564851</v>
      </c>
      <c r="BV1124" s="867"/>
      <c r="BW1124" s="867">
        <f>VLOOKUP(BD1124,$BD$4:$BN$12824,11,0)*BE1124</f>
        <v>22846.404918408887</v>
      </c>
      <c r="BX1124" s="1146">
        <f t="shared" si="218"/>
        <v>1014469.2889698287</v>
      </c>
      <c r="BY1124" s="867">
        <f t="shared" si="215"/>
        <v>1194934.211177014</v>
      </c>
      <c r="BZ1124" s="867">
        <f t="shared" si="213"/>
        <v>23898684.22354028</v>
      </c>
      <c r="CA1124" s="867">
        <f>_xlfn.MAXIFS($BY$4:$BY$12824,$S$4:$S$12824,$S1124)</f>
        <v>1334144.8810155371</v>
      </c>
      <c r="CB1124" s="1032"/>
      <c r="CF1124" s="946">
        <f t="shared" si="214"/>
        <v>20736847.812960003</v>
      </c>
    </row>
    <row r="1125" spans="1:84">
      <c r="A1125" s="1032"/>
      <c r="B1125" s="839" t="s">
        <v>98</v>
      </c>
      <c r="C1125" s="839" t="s">
        <v>273</v>
      </c>
      <c r="D1125" s="839" t="s">
        <v>3944</v>
      </c>
      <c r="E1125" s="839" t="s">
        <v>3944</v>
      </c>
      <c r="F1125" s="841">
        <v>45680</v>
      </c>
      <c r="G1125" s="840" t="s">
        <v>273</v>
      </c>
      <c r="H1125" s="842" t="s">
        <v>134</v>
      </c>
      <c r="I1125" s="842"/>
      <c r="J1125" s="841"/>
      <c r="K1125" s="841"/>
      <c r="L1125" s="843" t="s">
        <v>106</v>
      </c>
      <c r="M1125" s="844" t="s">
        <v>275</v>
      </c>
      <c r="N1125" s="841"/>
      <c r="O1125" s="841" t="s">
        <v>150</v>
      </c>
      <c r="P1125" s="841" t="s">
        <v>276</v>
      </c>
      <c r="Q1125" s="843"/>
      <c r="R1125" s="845">
        <v>10741</v>
      </c>
      <c r="S1125" s="1127" t="s">
        <v>3973</v>
      </c>
      <c r="T1125" s="843" t="s">
        <v>3974</v>
      </c>
      <c r="U1125" s="842">
        <v>100</v>
      </c>
      <c r="V1125" s="842" t="s">
        <v>3</v>
      </c>
      <c r="W1125" s="846">
        <v>14.39</v>
      </c>
      <c r="X1125" s="847">
        <f t="shared" si="208"/>
        <v>1439</v>
      </c>
      <c r="Y1125" s="848">
        <v>0.56999999999999995</v>
      </c>
      <c r="Z1125" s="849">
        <v>6.1877000000000013</v>
      </c>
      <c r="AA1125" s="849"/>
      <c r="AB1125" s="849">
        <f t="shared" si="209"/>
        <v>618.7700000000001</v>
      </c>
      <c r="AC1125" s="850">
        <f t="shared" si="210"/>
        <v>618.7700000000001</v>
      </c>
      <c r="AD1125" s="851">
        <f t="shared" si="217"/>
        <v>32000</v>
      </c>
      <c r="AE1125" s="852">
        <v>29506.38</v>
      </c>
      <c r="AF1125" s="853">
        <v>0.1</v>
      </c>
      <c r="AG1125" s="854">
        <f t="shared" si="211"/>
        <v>1890639.5545750326</v>
      </c>
      <c r="AH1125" s="853">
        <v>0.08</v>
      </c>
      <c r="AI1125" s="855">
        <f t="shared" si="212"/>
        <v>1611864.1845740029</v>
      </c>
      <c r="AJ1125" s="845" t="s">
        <v>3949</v>
      </c>
      <c r="AK1125" s="857">
        <v>45768</v>
      </c>
      <c r="AL1125" s="840" t="s">
        <v>3950</v>
      </c>
      <c r="AM1125" s="840"/>
      <c r="AN1125" s="858"/>
      <c r="AO1125" s="844" t="s">
        <v>3951</v>
      </c>
      <c r="AP1125" s="859"/>
      <c r="AQ1125" s="859" t="s">
        <v>3952</v>
      </c>
      <c r="AR1125" s="859">
        <v>45821</v>
      </c>
      <c r="AS1125" s="840"/>
      <c r="AT1125" s="840"/>
      <c r="AU1125" s="842" t="s">
        <v>1210</v>
      </c>
      <c r="AV1125" s="839" t="s">
        <v>3953</v>
      </c>
      <c r="AW1125" s="861">
        <v>45824</v>
      </c>
      <c r="AX1125" s="862"/>
      <c r="AY1125" s="843"/>
      <c r="AZ1125" s="842"/>
      <c r="BA1125" s="842" t="s">
        <v>120</v>
      </c>
      <c r="BB1125" s="863" t="s">
        <v>121</v>
      </c>
      <c r="BC1125" s="864">
        <v>45826</v>
      </c>
      <c r="BD1125" s="860" t="s">
        <v>3954</v>
      </c>
      <c r="BE1125" s="865" cm="1">
        <f t="array" ref="BE1125">IF(BD1125="","",AC1125/SUMPRODUCT(--(BD1125=$BD$4:$BD$12824),$AC$4:$AC$12824))</f>
        <v>3.3525021085811707E-2</v>
      </c>
      <c r="BF1125" s="458"/>
      <c r="BG1125" s="458"/>
      <c r="BH1125" s="458"/>
      <c r="BI1125" s="458"/>
      <c r="BJ1125" s="458"/>
      <c r="BK1125" s="458"/>
      <c r="BL1125" s="458"/>
      <c r="BM1125" s="458"/>
      <c r="BN1125" s="458"/>
      <c r="BO1125" s="866">
        <f>VLOOKUP(BD1125,$BD$4:$BN$12824,3,0)*BE1125</f>
        <v>630980.45635985758</v>
      </c>
      <c r="BP1125" s="866"/>
      <c r="BQ1125" s="866"/>
      <c r="BR1125" s="866">
        <f>VLOOKUP(BD1125,$BD$4:$BN$12824,6,0)*BE1125</f>
        <v>223420.29514685867</v>
      </c>
      <c r="BS1125" s="866">
        <f>VLOOKUP(BD1125,$BD$4:$BN$12824,7,0)*BE1125</f>
        <v>17752.336790464444</v>
      </c>
      <c r="BT1125" s="866"/>
      <c r="BU1125" s="866">
        <f>VLOOKUP(BD1125,$BD$4:$BN$12824,9,0)*BE1125</f>
        <v>916.74170159152118</v>
      </c>
      <c r="BV1125" s="867"/>
      <c r="BW1125" s="867">
        <f>VLOOKUP(BD1125,$BD$4:$BN$12824,11,0)*BE1125</f>
        <v>20115.012651487024</v>
      </c>
      <c r="BX1125" s="1146">
        <f t="shared" si="218"/>
        <v>893184.84265025926</v>
      </c>
      <c r="BY1125" s="867">
        <f t="shared" si="215"/>
        <v>210414.87149825296</v>
      </c>
      <c r="BZ1125" s="867">
        <f t="shared" si="213"/>
        <v>21041487.149825297</v>
      </c>
      <c r="CA1125" s="867">
        <f>_xlfn.MAXIFS($BY$4:$BY$12824,$S$4:$S$12824,$S1125)</f>
        <v>210414.87149825296</v>
      </c>
      <c r="CB1125" s="1032"/>
      <c r="CF1125" s="946">
        <f t="shared" si="214"/>
        <v>18257662.752600003</v>
      </c>
    </row>
    <row r="1126" spans="1:84">
      <c r="A1126" s="1032"/>
      <c r="B1126" s="839" t="s">
        <v>98</v>
      </c>
      <c r="C1126" s="839" t="s">
        <v>273</v>
      </c>
      <c r="D1126" s="839" t="s">
        <v>3944</v>
      </c>
      <c r="E1126" s="839" t="s">
        <v>3944</v>
      </c>
      <c r="F1126" s="841">
        <v>45649</v>
      </c>
      <c r="G1126" s="840" t="s">
        <v>273</v>
      </c>
      <c r="H1126" s="842" t="s">
        <v>134</v>
      </c>
      <c r="I1126" s="842"/>
      <c r="J1126" s="841"/>
      <c r="K1126" s="841"/>
      <c r="L1126" s="843" t="s">
        <v>106</v>
      </c>
      <c r="M1126" s="844" t="s">
        <v>275</v>
      </c>
      <c r="N1126" s="841"/>
      <c r="O1126" s="841" t="s">
        <v>150</v>
      </c>
      <c r="P1126" s="841" t="s">
        <v>276</v>
      </c>
      <c r="Q1126" s="843"/>
      <c r="R1126" s="845">
        <v>11212.22</v>
      </c>
      <c r="S1126" s="1127" t="s">
        <v>3975</v>
      </c>
      <c r="T1126" s="843" t="s">
        <v>1120</v>
      </c>
      <c r="U1126" s="842">
        <v>4</v>
      </c>
      <c r="V1126" s="842" t="s">
        <v>3</v>
      </c>
      <c r="W1126" s="846">
        <v>28.488372093023255</v>
      </c>
      <c r="X1126" s="847">
        <f t="shared" si="208"/>
        <v>113.95348837209302</v>
      </c>
      <c r="Y1126" s="848">
        <v>0.56999999999999995</v>
      </c>
      <c r="Z1126" s="849">
        <v>12.25</v>
      </c>
      <c r="AA1126" s="849"/>
      <c r="AB1126" s="849">
        <f t="shared" si="209"/>
        <v>49</v>
      </c>
      <c r="AC1126" s="850">
        <f t="shared" si="210"/>
        <v>49</v>
      </c>
      <c r="AD1126" s="851">
        <f t="shared" si="217"/>
        <v>32000</v>
      </c>
      <c r="AE1126" s="852">
        <v>29506.38</v>
      </c>
      <c r="AF1126" s="853">
        <v>0.1</v>
      </c>
      <c r="AG1126" s="854">
        <f t="shared" si="211"/>
        <v>149718.53543994794</v>
      </c>
      <c r="AH1126" s="853">
        <v>0.08</v>
      </c>
      <c r="AI1126" s="855">
        <f t="shared" si="212"/>
        <v>127642.49243519585</v>
      </c>
      <c r="AJ1126" s="845" t="s">
        <v>3949</v>
      </c>
      <c r="AK1126" s="857">
        <v>45768</v>
      </c>
      <c r="AL1126" s="840" t="s">
        <v>3950</v>
      </c>
      <c r="AM1126" s="840"/>
      <c r="AN1126" s="858"/>
      <c r="AO1126" s="844" t="s">
        <v>3951</v>
      </c>
      <c r="AP1126" s="859"/>
      <c r="AQ1126" s="859" t="s">
        <v>3952</v>
      </c>
      <c r="AR1126" s="859">
        <v>45821</v>
      </c>
      <c r="AS1126" s="840"/>
      <c r="AT1126" s="840"/>
      <c r="AU1126" s="842" t="s">
        <v>1210</v>
      </c>
      <c r="AV1126" s="839" t="s">
        <v>3953</v>
      </c>
      <c r="AW1126" s="861">
        <v>45824</v>
      </c>
      <c r="AX1126" s="862"/>
      <c r="AY1126" s="843"/>
      <c r="AZ1126" s="842"/>
      <c r="BA1126" s="842" t="s">
        <v>120</v>
      </c>
      <c r="BB1126" s="863" t="s">
        <v>121</v>
      </c>
      <c r="BC1126" s="864">
        <v>45826</v>
      </c>
      <c r="BD1126" s="860" t="s">
        <v>3954</v>
      </c>
      <c r="BE1126" s="865" cm="1">
        <f t="array" ref="BE1126">IF(BD1126="","",AC1126/SUMPRODUCT(--(BD1126=$BD$4:$BD$12824),$AC$4:$AC$12824))</f>
        <v>2.6548249482114088E-3</v>
      </c>
      <c r="BF1126" s="458"/>
      <c r="BG1126" s="458"/>
      <c r="BH1126" s="458"/>
      <c r="BI1126" s="458"/>
      <c r="BJ1126" s="458"/>
      <c r="BK1126" s="458"/>
      <c r="BL1126" s="458"/>
      <c r="BM1126" s="458"/>
      <c r="BN1126" s="458"/>
      <c r="BO1126" s="866">
        <f>VLOOKUP(BD1126,$BD$4:$BN$12824,3,0)*BE1126</f>
        <v>49966.938218777599</v>
      </c>
      <c r="BP1126" s="866"/>
      <c r="BQ1126" s="866"/>
      <c r="BR1126" s="866">
        <f>VLOOKUP(BD1126,$BD$4:$BN$12824,6,0)*BE1126</f>
        <v>17692.510079991069</v>
      </c>
      <c r="BS1126" s="866">
        <f>VLOOKUP(BD1126,$BD$4:$BN$12824,7,0)*BE1126</f>
        <v>1405.7961807016463</v>
      </c>
      <c r="BT1126" s="866"/>
      <c r="BU1126" s="866">
        <f>VLOOKUP(BD1126,$BD$4:$BN$12824,9,0)*BE1126</f>
        <v>72.596188208840971</v>
      </c>
      <c r="BV1126" s="867"/>
      <c r="BW1126" s="867">
        <f>VLOOKUP(BD1126,$BD$4:$BN$12824,11,0)*BE1126</f>
        <v>1592.8949689268452</v>
      </c>
      <c r="BX1126" s="1146">
        <f t="shared" si="218"/>
        <v>70730.735636605998</v>
      </c>
      <c r="BY1126" s="867">
        <f t="shared" si="215"/>
        <v>416565.47276913852</v>
      </c>
      <c r="BZ1126" s="867">
        <f t="shared" si="213"/>
        <v>1666261.8910765541</v>
      </c>
      <c r="CA1126" s="867">
        <f>_xlfn.MAXIFS($BY$4:$BY$12824,$S$4:$S$12824,$S1126)</f>
        <v>465103.03874944698</v>
      </c>
      <c r="CB1126" s="1032"/>
      <c r="CF1126" s="946">
        <f t="shared" si="214"/>
        <v>1445812.62</v>
      </c>
    </row>
    <row r="1127" spans="1:84">
      <c r="A1127" s="1032"/>
      <c r="B1127" s="839" t="s">
        <v>98</v>
      </c>
      <c r="C1127" s="839" t="s">
        <v>273</v>
      </c>
      <c r="D1127" s="839" t="s">
        <v>3944</v>
      </c>
      <c r="E1127" s="839" t="s">
        <v>3944</v>
      </c>
      <c r="F1127" s="841">
        <v>45680</v>
      </c>
      <c r="G1127" s="840" t="s">
        <v>273</v>
      </c>
      <c r="H1127" s="842" t="s">
        <v>134</v>
      </c>
      <c r="I1127" s="842"/>
      <c r="J1127" s="841"/>
      <c r="K1127" s="841"/>
      <c r="L1127" s="843" t="s">
        <v>106</v>
      </c>
      <c r="M1127" s="844" t="s">
        <v>275</v>
      </c>
      <c r="N1127" s="841"/>
      <c r="O1127" s="841" t="s">
        <v>150</v>
      </c>
      <c r="P1127" s="841" t="s">
        <v>276</v>
      </c>
      <c r="Q1127" s="843"/>
      <c r="R1127" s="845">
        <v>18646</v>
      </c>
      <c r="S1127" s="1127" t="s">
        <v>3976</v>
      </c>
      <c r="T1127" s="843" t="s">
        <v>3977</v>
      </c>
      <c r="U1127" s="842">
        <v>10</v>
      </c>
      <c r="V1127" s="842" t="s">
        <v>3</v>
      </c>
      <c r="W1127" s="846">
        <v>46.67</v>
      </c>
      <c r="X1127" s="847">
        <f t="shared" si="208"/>
        <v>466.70000000000005</v>
      </c>
      <c r="Y1127" s="848">
        <v>0.56999999999999995</v>
      </c>
      <c r="Z1127" s="849">
        <v>20.068100000000005</v>
      </c>
      <c r="AA1127" s="849"/>
      <c r="AB1127" s="849">
        <f t="shared" si="209"/>
        <v>200.68100000000004</v>
      </c>
      <c r="AC1127" s="850">
        <f t="shared" si="210"/>
        <v>200.68100000000004</v>
      </c>
      <c r="AD1127" s="851">
        <f t="shared" si="217"/>
        <v>32000</v>
      </c>
      <c r="AE1127" s="852">
        <v>29506.38</v>
      </c>
      <c r="AF1127" s="853">
        <v>0.1</v>
      </c>
      <c r="AG1127" s="854">
        <f t="shared" si="211"/>
        <v>613176.84511477954</v>
      </c>
      <c r="AH1127" s="853">
        <v>0.08</v>
      </c>
      <c r="AI1127" s="855">
        <f t="shared" si="212"/>
        <v>522763.73519158253</v>
      </c>
      <c r="AJ1127" s="845" t="s">
        <v>3949</v>
      </c>
      <c r="AK1127" s="857">
        <v>45768</v>
      </c>
      <c r="AL1127" s="840" t="s">
        <v>3950</v>
      </c>
      <c r="AM1127" s="840"/>
      <c r="AN1127" s="858"/>
      <c r="AO1127" s="844" t="s">
        <v>3951</v>
      </c>
      <c r="AP1127" s="859"/>
      <c r="AQ1127" s="859" t="s">
        <v>3952</v>
      </c>
      <c r="AR1127" s="859">
        <v>45821</v>
      </c>
      <c r="AS1127" s="840"/>
      <c r="AT1127" s="840"/>
      <c r="AU1127" s="842" t="s">
        <v>1210</v>
      </c>
      <c r="AV1127" s="839" t="s">
        <v>3953</v>
      </c>
      <c r="AW1127" s="861">
        <v>45824</v>
      </c>
      <c r="AX1127" s="862"/>
      <c r="AY1127" s="843"/>
      <c r="AZ1127" s="842"/>
      <c r="BA1127" s="842" t="s">
        <v>120</v>
      </c>
      <c r="BB1127" s="863" t="s">
        <v>121</v>
      </c>
      <c r="BC1127" s="864">
        <v>45826</v>
      </c>
      <c r="BD1127" s="860" t="s">
        <v>3954</v>
      </c>
      <c r="BE1127" s="865" cm="1">
        <f t="array" ref="BE1127">IF(BD1127="","",AC1127/SUMPRODUCT(--(BD1127=$BD$4:$BD$12824),$AC$4:$AC$12824))</f>
        <v>1.0872916845551302E-2</v>
      </c>
      <c r="BF1127" s="458"/>
      <c r="BG1127" s="458"/>
      <c r="BH1127" s="458"/>
      <c r="BI1127" s="458"/>
      <c r="BJ1127" s="458"/>
      <c r="BK1127" s="458"/>
      <c r="BL1127" s="458"/>
      <c r="BM1127" s="458"/>
      <c r="BN1127" s="458"/>
      <c r="BO1127" s="866">
        <f>VLOOKUP(BD1127,$BD$4:$BN$12824,3,0)*BE1127</f>
        <v>204641.12507515325</v>
      </c>
      <c r="BP1127" s="866"/>
      <c r="BQ1127" s="866"/>
      <c r="BR1127" s="866">
        <f>VLOOKUP(BD1127,$BD$4:$BN$12824,6,0)*BE1127</f>
        <v>72460.216640054859</v>
      </c>
      <c r="BS1127" s="866">
        <f>VLOOKUP(BD1127,$BD$4:$BN$12824,7,0)*BE1127</f>
        <v>5757.481292640553</v>
      </c>
      <c r="BT1127" s="866"/>
      <c r="BU1127" s="866">
        <f>VLOOKUP(BD1127,$BD$4:$BN$12824,9,0)*BE1127</f>
        <v>297.31991114160036</v>
      </c>
      <c r="BV1127" s="867"/>
      <c r="BW1127" s="867">
        <f>VLOOKUP(BD1127,$BD$4:$BN$12824,11,0)*BE1127</f>
        <v>6523.7501073307812</v>
      </c>
      <c r="BX1127" s="1146">
        <f t="shared" si="218"/>
        <v>289679.89302632108</v>
      </c>
      <c r="BY1127" s="867">
        <f t="shared" si="215"/>
        <v>682422.65829211031</v>
      </c>
      <c r="BZ1127" s="867">
        <f t="shared" si="213"/>
        <v>6824226.5829211026</v>
      </c>
      <c r="CA1127" s="867">
        <f>_xlfn.MAXIFS($BY$4:$BY$12824,$S$4:$S$12824,$S1127)</f>
        <v>802109.92695650866</v>
      </c>
      <c r="CB1127" s="1032"/>
      <c r="CF1127" s="946">
        <f t="shared" si="214"/>
        <v>5921369.8447800018</v>
      </c>
    </row>
    <row r="1128" spans="1:84">
      <c r="A1128" s="1032"/>
      <c r="B1128" s="839" t="s">
        <v>98</v>
      </c>
      <c r="C1128" s="839" t="s">
        <v>273</v>
      </c>
      <c r="D1128" s="839" t="s">
        <v>3944</v>
      </c>
      <c r="E1128" s="839" t="s">
        <v>3944</v>
      </c>
      <c r="F1128" s="841">
        <v>45680</v>
      </c>
      <c r="G1128" s="840" t="s">
        <v>273</v>
      </c>
      <c r="H1128" s="842" t="s">
        <v>134</v>
      </c>
      <c r="I1128" s="842"/>
      <c r="J1128" s="841"/>
      <c r="K1128" s="841"/>
      <c r="L1128" s="843" t="s">
        <v>106</v>
      </c>
      <c r="M1128" s="844" t="s">
        <v>275</v>
      </c>
      <c r="N1128" s="841"/>
      <c r="O1128" s="841" t="s">
        <v>150</v>
      </c>
      <c r="P1128" s="841" t="s">
        <v>276</v>
      </c>
      <c r="Q1128" s="843"/>
      <c r="R1128" s="845">
        <v>11207.36</v>
      </c>
      <c r="S1128" s="1127" t="s">
        <v>3745</v>
      </c>
      <c r="T1128" s="843" t="s">
        <v>3978</v>
      </c>
      <c r="U1128" s="842">
        <v>100</v>
      </c>
      <c r="V1128" s="842" t="s">
        <v>3</v>
      </c>
      <c r="W1128" s="846">
        <v>41.77</v>
      </c>
      <c r="X1128" s="847">
        <f t="shared" si="208"/>
        <v>4177</v>
      </c>
      <c r="Y1128" s="848">
        <v>0.56999999999999995</v>
      </c>
      <c r="Z1128" s="849">
        <v>17.961100000000002</v>
      </c>
      <c r="AA1128" s="849"/>
      <c r="AB1128" s="849">
        <f t="shared" si="209"/>
        <v>1796.1100000000001</v>
      </c>
      <c r="AC1128" s="850">
        <f t="shared" si="210"/>
        <v>1796.1100000000001</v>
      </c>
      <c r="AD1128" s="851">
        <f t="shared" si="217"/>
        <v>32000</v>
      </c>
      <c r="AE1128" s="852">
        <v>29506.38</v>
      </c>
      <c r="AF1128" s="853">
        <v>0.1</v>
      </c>
      <c r="AG1128" s="854">
        <f t="shared" si="211"/>
        <v>5487978.7487560185</v>
      </c>
      <c r="AH1128" s="853">
        <v>0.08</v>
      </c>
      <c r="AI1128" s="855">
        <f t="shared" si="212"/>
        <v>4678774.6344444826</v>
      </c>
      <c r="AJ1128" s="845" t="s">
        <v>3949</v>
      </c>
      <c r="AK1128" s="857">
        <v>45768</v>
      </c>
      <c r="AL1128" s="840" t="s">
        <v>3950</v>
      </c>
      <c r="AM1128" s="840"/>
      <c r="AN1128" s="858"/>
      <c r="AO1128" s="844" t="s">
        <v>3951</v>
      </c>
      <c r="AP1128" s="859"/>
      <c r="AQ1128" s="859" t="s">
        <v>3952</v>
      </c>
      <c r="AR1128" s="859">
        <v>45821</v>
      </c>
      <c r="AS1128" s="840"/>
      <c r="AT1128" s="840"/>
      <c r="AU1128" s="842" t="s">
        <v>1210</v>
      </c>
      <c r="AV1128" s="839" t="s">
        <v>3953</v>
      </c>
      <c r="AW1128" s="861">
        <v>45824</v>
      </c>
      <c r="AX1128" s="862"/>
      <c r="AY1128" s="843"/>
      <c r="AZ1128" s="842"/>
      <c r="BA1128" s="842" t="s">
        <v>120</v>
      </c>
      <c r="BB1128" s="863" t="s">
        <v>121</v>
      </c>
      <c r="BC1128" s="864">
        <v>45826</v>
      </c>
      <c r="BD1128" s="860" t="s">
        <v>3954</v>
      </c>
      <c r="BE1128" s="865" cm="1">
        <f t="array" ref="BE1128">IF(BD1128="","",AC1128/SUMPRODUCT(--(BD1128=$BD$4:$BD$12824),$AC$4:$AC$12824))</f>
        <v>9.7313421178203949E-2</v>
      </c>
      <c r="BF1128" s="458"/>
      <c r="BG1128" s="458"/>
      <c r="BH1128" s="458"/>
      <c r="BI1128" s="458"/>
      <c r="BJ1128" s="458"/>
      <c r="BK1128" s="458"/>
      <c r="BL1128" s="458"/>
      <c r="BM1128" s="458"/>
      <c r="BN1128" s="458"/>
      <c r="BO1128" s="866">
        <f>VLOOKUP(BD1128,$BD$4:$BN$12824,3,0)*BE1128</f>
        <v>1831553.4164107887</v>
      </c>
      <c r="BP1128" s="866"/>
      <c r="BQ1128" s="866"/>
      <c r="BR1128" s="866">
        <f>VLOOKUP(BD1128,$BD$4:$BN$12824,6,0)*BE1128</f>
        <v>648524.37305658695</v>
      </c>
      <c r="BS1128" s="866">
        <f>VLOOKUP(BD1128,$BD$4:$BN$12824,7,0)*BE1128</f>
        <v>51529.889349388446</v>
      </c>
      <c r="BT1128" s="866"/>
      <c r="BU1128" s="866">
        <f>VLOOKUP(BD1128,$BD$4:$BN$12824,9,0)*BE1128</f>
        <v>2661.0355021179871</v>
      </c>
      <c r="BV1128" s="867"/>
      <c r="BW1128" s="867">
        <f>VLOOKUP(BD1128,$BD$4:$BN$12824,11,0)*BE1128</f>
        <v>58388.052706922368</v>
      </c>
      <c r="BX1128" s="1146">
        <f t="shared" si="218"/>
        <v>2592656.7670258046</v>
      </c>
      <c r="BY1128" s="867">
        <f t="shared" si="215"/>
        <v>610773.39697581832</v>
      </c>
      <c r="BZ1128" s="867">
        <f t="shared" si="213"/>
        <v>61077339.697581835</v>
      </c>
      <c r="CA1128" s="867">
        <f>_xlfn.MAXIFS($BY$4:$BY$12824,$S$4:$S$12824,$S1128)</f>
        <v>867829.27722724027</v>
      </c>
      <c r="CB1128" s="1032"/>
      <c r="CF1128" s="946">
        <f t="shared" si="214"/>
        <v>52996704.181800008</v>
      </c>
    </row>
    <row r="1129" spans="1:84">
      <c r="A1129" s="1032"/>
      <c r="B1129" s="839" t="s">
        <v>98</v>
      </c>
      <c r="C1129" s="839" t="s">
        <v>273</v>
      </c>
      <c r="D1129" s="839" t="s">
        <v>3944</v>
      </c>
      <c r="E1129" s="839" t="s">
        <v>3944</v>
      </c>
      <c r="F1129" s="841">
        <v>45680</v>
      </c>
      <c r="G1129" s="840" t="s">
        <v>273</v>
      </c>
      <c r="H1129" s="842" t="s">
        <v>134</v>
      </c>
      <c r="I1129" s="842"/>
      <c r="J1129" s="841"/>
      <c r="K1129" s="841"/>
      <c r="L1129" s="843" t="s">
        <v>106</v>
      </c>
      <c r="M1129" s="844" t="s">
        <v>275</v>
      </c>
      <c r="N1129" s="841"/>
      <c r="O1129" s="841" t="s">
        <v>150</v>
      </c>
      <c r="P1129" s="841" t="s">
        <v>276</v>
      </c>
      <c r="Q1129" s="843"/>
      <c r="R1129" s="845">
        <v>16187.24</v>
      </c>
      <c r="S1129" s="1127" t="s">
        <v>3979</v>
      </c>
      <c r="T1129" s="843" t="s">
        <v>3980</v>
      </c>
      <c r="U1129" s="842">
        <v>10</v>
      </c>
      <c r="V1129" s="842" t="s">
        <v>3</v>
      </c>
      <c r="W1129" s="846">
        <v>28.05</v>
      </c>
      <c r="X1129" s="847">
        <f t="shared" si="208"/>
        <v>280.5</v>
      </c>
      <c r="Y1129" s="848">
        <v>0.56999999999999995</v>
      </c>
      <c r="Z1129" s="849">
        <v>12.061500000000002</v>
      </c>
      <c r="AA1129" s="849"/>
      <c r="AB1129" s="849">
        <f t="shared" si="209"/>
        <v>120.61500000000002</v>
      </c>
      <c r="AC1129" s="850">
        <f t="shared" si="210"/>
        <v>120.61500000000002</v>
      </c>
      <c r="AD1129" s="851">
        <f t="shared" si="217"/>
        <v>32000</v>
      </c>
      <c r="AE1129" s="852">
        <v>29506.38</v>
      </c>
      <c r="AF1129" s="853">
        <v>0.1</v>
      </c>
      <c r="AG1129" s="854">
        <f t="shared" si="211"/>
        <v>368536.75820590457</v>
      </c>
      <c r="AH1129" s="853">
        <v>0.08</v>
      </c>
      <c r="AI1129" s="855">
        <f t="shared" si="212"/>
        <v>314195.90255247243</v>
      </c>
      <c r="AJ1129" s="845" t="s">
        <v>3949</v>
      </c>
      <c r="AK1129" s="857">
        <v>45768</v>
      </c>
      <c r="AL1129" s="840" t="s">
        <v>3950</v>
      </c>
      <c r="AM1129" s="840"/>
      <c r="AN1129" s="858"/>
      <c r="AO1129" s="844" t="s">
        <v>3951</v>
      </c>
      <c r="AP1129" s="859"/>
      <c r="AQ1129" s="859" t="s">
        <v>3952</v>
      </c>
      <c r="AR1129" s="859">
        <v>45821</v>
      </c>
      <c r="AS1129" s="840"/>
      <c r="AT1129" s="840"/>
      <c r="AU1129" s="842" t="s">
        <v>1210</v>
      </c>
      <c r="AV1129" s="839" t="s">
        <v>3953</v>
      </c>
      <c r="AW1129" s="861">
        <v>45824</v>
      </c>
      <c r="AX1129" s="862"/>
      <c r="AY1129" s="843"/>
      <c r="AZ1129" s="842"/>
      <c r="BA1129" s="842" t="s">
        <v>120</v>
      </c>
      <c r="BB1129" s="863" t="s">
        <v>121</v>
      </c>
      <c r="BC1129" s="864">
        <v>45826</v>
      </c>
      <c r="BD1129" s="860" t="s">
        <v>3954</v>
      </c>
      <c r="BE1129" s="865" cm="1">
        <f t="array" ref="BE1129">IF(BD1129="","",AC1129/SUMPRODUCT(--(BD1129=$BD$4:$BD$12824),$AC$4:$AC$12824))</f>
        <v>6.5349328801738594E-3</v>
      </c>
      <c r="BF1129" s="458"/>
      <c r="BG1129" s="458"/>
      <c r="BH1129" s="458"/>
      <c r="BI1129" s="458"/>
      <c r="BJ1129" s="458"/>
      <c r="BK1129" s="458"/>
      <c r="BL1129" s="458"/>
      <c r="BM1129" s="458"/>
      <c r="BN1129" s="458"/>
      <c r="BO1129" s="866">
        <f>VLOOKUP(BD1129,$BD$4:$BN$12824,3,0)*BE1129</f>
        <v>122995.14802567064</v>
      </c>
      <c r="BP1129" s="866"/>
      <c r="BQ1129" s="866"/>
      <c r="BR1129" s="866">
        <f>VLOOKUP(BD1129,$BD$4:$BN$12824,6,0)*BE1129</f>
        <v>43550.655169349448</v>
      </c>
      <c r="BS1129" s="866">
        <f>VLOOKUP(BD1129,$BD$4:$BN$12824,7,0)*BE1129</f>
        <v>3460.4103333740627</v>
      </c>
      <c r="BT1129" s="866"/>
      <c r="BU1129" s="866">
        <f>VLOOKUP(BD1129,$BD$4:$BN$12824,9,0)*BE1129</f>
        <v>178.6977396083542</v>
      </c>
      <c r="BV1129" s="867"/>
      <c r="BW1129" s="867">
        <f>VLOOKUP(BD1129,$BD$4:$BN$12824,11,0)*BE1129</f>
        <v>3920.9597281043157</v>
      </c>
      <c r="BX1129" s="1146">
        <f t="shared" si="218"/>
        <v>174105.87099610682</v>
      </c>
      <c r="BY1129" s="867">
        <f t="shared" si="215"/>
        <v>410155.46529020125</v>
      </c>
      <c r="BZ1129" s="867">
        <f t="shared" si="213"/>
        <v>4101554.6529020127</v>
      </c>
      <c r="CA1129" s="867">
        <f>_xlfn.MAXIFS($BY$4:$BY$12824,$S$4:$S$12824,$S1129)</f>
        <v>457926.97167717724</v>
      </c>
      <c r="CB1129" s="1032"/>
      <c r="CF1129" s="946">
        <f t="shared" si="214"/>
        <v>3558912.0237000007</v>
      </c>
    </row>
    <row r="1130" spans="1:84">
      <c r="A1130" s="1032"/>
      <c r="B1130" s="839" t="s">
        <v>98</v>
      </c>
      <c r="C1130" s="839" t="s">
        <v>273</v>
      </c>
      <c r="D1130" s="839" t="s">
        <v>3944</v>
      </c>
      <c r="E1130" s="839" t="s">
        <v>3944</v>
      </c>
      <c r="F1130" s="841">
        <v>45680</v>
      </c>
      <c r="G1130" s="840" t="s">
        <v>273</v>
      </c>
      <c r="H1130" s="842" t="s">
        <v>134</v>
      </c>
      <c r="I1130" s="842"/>
      <c r="J1130" s="841"/>
      <c r="K1130" s="841"/>
      <c r="L1130" s="843" t="s">
        <v>106</v>
      </c>
      <c r="M1130" s="844" t="s">
        <v>275</v>
      </c>
      <c r="N1130" s="841"/>
      <c r="O1130" s="841" t="s">
        <v>150</v>
      </c>
      <c r="P1130" s="841" t="s">
        <v>276</v>
      </c>
      <c r="Q1130" s="843"/>
      <c r="R1130" s="845">
        <v>16170</v>
      </c>
      <c r="S1130" s="1127" t="s">
        <v>2470</v>
      </c>
      <c r="T1130" s="843" t="s">
        <v>2471</v>
      </c>
      <c r="U1130" s="842">
        <v>100</v>
      </c>
      <c r="V1130" s="842" t="s">
        <v>3</v>
      </c>
      <c r="W1130" s="846">
        <v>6.43</v>
      </c>
      <c r="X1130" s="847">
        <f t="shared" si="208"/>
        <v>643</v>
      </c>
      <c r="Y1130" s="848">
        <v>0.56999999999999995</v>
      </c>
      <c r="Z1130" s="849">
        <v>2.7649000000000004</v>
      </c>
      <c r="AA1130" s="849"/>
      <c r="AB1130" s="849">
        <f t="shared" si="209"/>
        <v>276.49</v>
      </c>
      <c r="AC1130" s="850">
        <f t="shared" si="210"/>
        <v>276.49</v>
      </c>
      <c r="AD1130" s="851">
        <f t="shared" si="217"/>
        <v>32000</v>
      </c>
      <c r="AE1130" s="852">
        <v>29506.38</v>
      </c>
      <c r="AF1130" s="853">
        <v>0.1</v>
      </c>
      <c r="AG1130" s="854">
        <f t="shared" si="211"/>
        <v>844809.75232226949</v>
      </c>
      <c r="AH1130" s="853">
        <v>0.08</v>
      </c>
      <c r="AI1130" s="855">
        <f t="shared" si="212"/>
        <v>720242.30068178161</v>
      </c>
      <c r="AJ1130" s="845" t="s">
        <v>3949</v>
      </c>
      <c r="AK1130" s="857">
        <v>45768</v>
      </c>
      <c r="AL1130" s="840" t="s">
        <v>3950</v>
      </c>
      <c r="AM1130" s="840"/>
      <c r="AN1130" s="858"/>
      <c r="AO1130" s="844" t="s">
        <v>3951</v>
      </c>
      <c r="AP1130" s="859"/>
      <c r="AQ1130" s="859" t="s">
        <v>3952</v>
      </c>
      <c r="AR1130" s="859">
        <v>45821</v>
      </c>
      <c r="AS1130" s="840"/>
      <c r="AT1130" s="840"/>
      <c r="AU1130" s="842" t="s">
        <v>1210</v>
      </c>
      <c r="AV1130" s="839" t="s">
        <v>3953</v>
      </c>
      <c r="AW1130" s="861">
        <v>45824</v>
      </c>
      <c r="AX1130" s="862"/>
      <c r="AY1130" s="843"/>
      <c r="AZ1130" s="842"/>
      <c r="BA1130" s="842" t="s">
        <v>120</v>
      </c>
      <c r="BB1130" s="863" t="s">
        <v>121</v>
      </c>
      <c r="BC1130" s="864">
        <v>45826</v>
      </c>
      <c r="BD1130" s="860" t="s">
        <v>3954</v>
      </c>
      <c r="BE1130" s="865" cm="1">
        <f t="array" ref="BE1130">IF(BD1130="","",AC1130/SUMPRODUCT(--(BD1130=$BD$4:$BD$12824),$AC$4:$AC$12824))</f>
        <v>1.4980256121040253E-2</v>
      </c>
      <c r="BF1130" s="458"/>
      <c r="BG1130" s="458"/>
      <c r="BH1130" s="458"/>
      <c r="BI1130" s="458"/>
      <c r="BJ1130" s="458"/>
      <c r="BK1130" s="458"/>
      <c r="BL1130" s="458"/>
      <c r="BM1130" s="458"/>
      <c r="BN1130" s="458"/>
      <c r="BO1130" s="866">
        <f>VLOOKUP(BD1130,$BD$4:$BN$12824,3,0)*BE1130</f>
        <v>281946.09690020041</v>
      </c>
      <c r="BP1130" s="866"/>
      <c r="BQ1130" s="866"/>
      <c r="BR1130" s="866">
        <f>VLOOKUP(BD1130,$BD$4:$BN$12824,6,0)*BE1130</f>
        <v>99832.696163606743</v>
      </c>
      <c r="BS1130" s="866">
        <f>VLOOKUP(BD1130,$BD$4:$BN$12824,7,0)*BE1130</f>
        <v>7932.4201224938397</v>
      </c>
      <c r="BT1130" s="866"/>
      <c r="BU1130" s="866">
        <f>VLOOKUP(BD1130,$BD$4:$BN$12824,9,0)*BE1130</f>
        <v>409.63510362984573</v>
      </c>
      <c r="BV1130" s="867"/>
      <c r="BW1130" s="867">
        <f>VLOOKUP(BD1130,$BD$4:$BN$12824,11,0)*BE1130</f>
        <v>8988.153672624152</v>
      </c>
      <c r="BX1130" s="1146">
        <f t="shared" si="218"/>
        <v>399109.00196255499</v>
      </c>
      <c r="BY1130" s="867">
        <f t="shared" si="215"/>
        <v>94021.377604848254</v>
      </c>
      <c r="BZ1130" s="867">
        <f t="shared" si="213"/>
        <v>9402137.7604848258</v>
      </c>
      <c r="CA1130" s="867">
        <f>_xlfn.MAXIFS($BY$4:$BY$12824,$S$4:$S$12824,$S1130)</f>
        <v>139164.2712355862</v>
      </c>
      <c r="CB1130" s="1032"/>
      <c r="CF1130" s="946">
        <f t="shared" si="214"/>
        <v>8158219.0062000006</v>
      </c>
    </row>
    <row r="1131" spans="1:84">
      <c r="A1131" s="1032"/>
      <c r="B1131" s="839" t="s">
        <v>98</v>
      </c>
      <c r="C1131" s="839" t="s">
        <v>273</v>
      </c>
      <c r="D1131" s="839" t="s">
        <v>3944</v>
      </c>
      <c r="E1131" s="839" t="s">
        <v>3944</v>
      </c>
      <c r="F1131" s="841">
        <v>45680</v>
      </c>
      <c r="G1131" s="840" t="s">
        <v>273</v>
      </c>
      <c r="H1131" s="842" t="s">
        <v>134</v>
      </c>
      <c r="I1131" s="842"/>
      <c r="J1131" s="841"/>
      <c r="K1131" s="841"/>
      <c r="L1131" s="843" t="s">
        <v>106</v>
      </c>
      <c r="M1131" s="844" t="s">
        <v>275</v>
      </c>
      <c r="N1131" s="841"/>
      <c r="O1131" s="841" t="s">
        <v>150</v>
      </c>
      <c r="P1131" s="841" t="s">
        <v>276</v>
      </c>
      <c r="Q1131" s="843"/>
      <c r="R1131" s="845">
        <v>16187.31</v>
      </c>
      <c r="S1131" s="1127" t="s">
        <v>3981</v>
      </c>
      <c r="T1131" s="843" t="s">
        <v>3982</v>
      </c>
      <c r="U1131" s="842">
        <v>10</v>
      </c>
      <c r="V1131" s="842" t="s">
        <v>3</v>
      </c>
      <c r="W1131" s="846">
        <v>28.05</v>
      </c>
      <c r="X1131" s="847">
        <f t="shared" si="208"/>
        <v>280.5</v>
      </c>
      <c r="Y1131" s="848">
        <v>0.56999999999999995</v>
      </c>
      <c r="Z1131" s="849">
        <v>12.061500000000002</v>
      </c>
      <c r="AA1131" s="849"/>
      <c r="AB1131" s="849">
        <f t="shared" si="209"/>
        <v>120.61500000000002</v>
      </c>
      <c r="AC1131" s="850">
        <f t="shared" si="210"/>
        <v>120.61500000000002</v>
      </c>
      <c r="AD1131" s="851">
        <f t="shared" si="217"/>
        <v>32000</v>
      </c>
      <c r="AE1131" s="852">
        <v>29506.38</v>
      </c>
      <c r="AF1131" s="853">
        <v>0.1</v>
      </c>
      <c r="AG1131" s="854">
        <f t="shared" si="211"/>
        <v>368536.75820590457</v>
      </c>
      <c r="AH1131" s="853">
        <v>0.08</v>
      </c>
      <c r="AI1131" s="855">
        <f t="shared" si="212"/>
        <v>314195.90255247243</v>
      </c>
      <c r="AJ1131" s="845" t="s">
        <v>3949</v>
      </c>
      <c r="AK1131" s="857">
        <v>45768</v>
      </c>
      <c r="AL1131" s="840" t="s">
        <v>3950</v>
      </c>
      <c r="AM1131" s="840"/>
      <c r="AN1131" s="858"/>
      <c r="AO1131" s="844" t="s">
        <v>3951</v>
      </c>
      <c r="AP1131" s="859"/>
      <c r="AQ1131" s="859" t="s">
        <v>3952</v>
      </c>
      <c r="AR1131" s="859">
        <v>45821</v>
      </c>
      <c r="AS1131" s="840"/>
      <c r="AT1131" s="840"/>
      <c r="AU1131" s="842" t="s">
        <v>1210</v>
      </c>
      <c r="AV1131" s="839" t="s">
        <v>3953</v>
      </c>
      <c r="AW1131" s="861">
        <v>45824</v>
      </c>
      <c r="AX1131" s="862"/>
      <c r="AY1131" s="843"/>
      <c r="AZ1131" s="842"/>
      <c r="BA1131" s="842" t="s">
        <v>120</v>
      </c>
      <c r="BB1131" s="863" t="s">
        <v>121</v>
      </c>
      <c r="BC1131" s="864">
        <v>45826</v>
      </c>
      <c r="BD1131" s="860" t="s">
        <v>3954</v>
      </c>
      <c r="BE1131" s="865" cm="1">
        <f t="array" ref="BE1131">IF(BD1131="","",AC1131/SUMPRODUCT(--(BD1131=$BD$4:$BD$12824),$AC$4:$AC$12824))</f>
        <v>6.5349328801738594E-3</v>
      </c>
      <c r="BF1131" s="458"/>
      <c r="BG1131" s="458"/>
      <c r="BH1131" s="458"/>
      <c r="BI1131" s="458"/>
      <c r="BJ1131" s="458"/>
      <c r="BK1131" s="458"/>
      <c r="BL1131" s="458"/>
      <c r="BM1131" s="458"/>
      <c r="BN1131" s="458"/>
      <c r="BO1131" s="866">
        <f>VLOOKUP(BD1131,$BD$4:$BN$12824,3,0)*BE1131</f>
        <v>122995.14802567064</v>
      </c>
      <c r="BP1131" s="866"/>
      <c r="BQ1131" s="866"/>
      <c r="BR1131" s="866">
        <f>VLOOKUP(BD1131,$BD$4:$BN$12824,6,0)*BE1131</f>
        <v>43550.655169349448</v>
      </c>
      <c r="BS1131" s="866">
        <f>VLOOKUP(BD1131,$BD$4:$BN$12824,7,0)*BE1131</f>
        <v>3460.4103333740627</v>
      </c>
      <c r="BT1131" s="866"/>
      <c r="BU1131" s="866">
        <f>VLOOKUP(BD1131,$BD$4:$BN$12824,9,0)*BE1131</f>
        <v>178.6977396083542</v>
      </c>
      <c r="BV1131" s="867"/>
      <c r="BW1131" s="867">
        <f>VLOOKUP(BD1131,$BD$4:$BN$12824,11,0)*BE1131</f>
        <v>3920.9597281043157</v>
      </c>
      <c r="BX1131" s="1146">
        <f t="shared" si="218"/>
        <v>174105.87099610682</v>
      </c>
      <c r="BY1131" s="867">
        <f t="shared" si="215"/>
        <v>410155.46529020125</v>
      </c>
      <c r="BZ1131" s="867">
        <f t="shared" si="213"/>
        <v>4101554.6529020127</v>
      </c>
      <c r="CA1131" s="867">
        <f>_xlfn.MAXIFS($BY$4:$BY$12824,$S$4:$S$12824,$S1131)</f>
        <v>457926.97167717724</v>
      </c>
      <c r="CB1131" s="1032"/>
      <c r="CF1131" s="946">
        <f t="shared" si="214"/>
        <v>3558912.0237000007</v>
      </c>
    </row>
    <row r="1132" spans="1:84">
      <c r="A1132" s="1032"/>
      <c r="B1132" s="839" t="s">
        <v>98</v>
      </c>
      <c r="C1132" s="839" t="s">
        <v>273</v>
      </c>
      <c r="D1132" s="839" t="s">
        <v>3944</v>
      </c>
      <c r="E1132" s="839" t="s">
        <v>3944</v>
      </c>
      <c r="F1132" s="841">
        <v>45680</v>
      </c>
      <c r="G1132" s="840" t="s">
        <v>273</v>
      </c>
      <c r="H1132" s="842" t="s">
        <v>134</v>
      </c>
      <c r="I1132" s="842"/>
      <c r="J1132" s="841"/>
      <c r="K1132" s="841"/>
      <c r="L1132" s="843" t="s">
        <v>106</v>
      </c>
      <c r="M1132" s="844" t="s">
        <v>275</v>
      </c>
      <c r="N1132" s="841"/>
      <c r="O1132" s="841" t="s">
        <v>150</v>
      </c>
      <c r="P1132" s="841" t="s">
        <v>276</v>
      </c>
      <c r="Q1132" s="843"/>
      <c r="R1132" s="845">
        <v>11204.24</v>
      </c>
      <c r="S1132" s="1127" t="s">
        <v>3395</v>
      </c>
      <c r="T1132" s="843" t="s">
        <v>3396</v>
      </c>
      <c r="U1132" s="842">
        <v>10</v>
      </c>
      <c r="V1132" s="842" t="s">
        <v>3</v>
      </c>
      <c r="W1132" s="846">
        <v>41.77</v>
      </c>
      <c r="X1132" s="847">
        <f t="shared" si="208"/>
        <v>417.70000000000005</v>
      </c>
      <c r="Y1132" s="848">
        <v>0.56999999999999995</v>
      </c>
      <c r="Z1132" s="849">
        <v>17.961100000000002</v>
      </c>
      <c r="AA1132" s="849"/>
      <c r="AB1132" s="849">
        <f t="shared" si="209"/>
        <v>179.61100000000002</v>
      </c>
      <c r="AC1132" s="850">
        <f t="shared" si="210"/>
        <v>179.61100000000002</v>
      </c>
      <c r="AD1132" s="851">
        <f t="shared" si="217"/>
        <v>32000</v>
      </c>
      <c r="AE1132" s="852">
        <v>29506.38</v>
      </c>
      <c r="AF1132" s="853">
        <v>0.1</v>
      </c>
      <c r="AG1132" s="854">
        <f t="shared" si="211"/>
        <v>548797.87487560185</v>
      </c>
      <c r="AH1132" s="853">
        <v>0.08</v>
      </c>
      <c r="AI1132" s="855">
        <f t="shared" si="212"/>
        <v>467877.46344444825</v>
      </c>
      <c r="AJ1132" s="845" t="s">
        <v>3949</v>
      </c>
      <c r="AK1132" s="857">
        <v>45768</v>
      </c>
      <c r="AL1132" s="840" t="s">
        <v>3950</v>
      </c>
      <c r="AM1132" s="840"/>
      <c r="AN1132" s="858"/>
      <c r="AO1132" s="844" t="s">
        <v>3951</v>
      </c>
      <c r="AP1132" s="859"/>
      <c r="AQ1132" s="859" t="s">
        <v>3952</v>
      </c>
      <c r="AR1132" s="859">
        <v>45821</v>
      </c>
      <c r="AS1132" s="840"/>
      <c r="AT1132" s="840"/>
      <c r="AU1132" s="842" t="s">
        <v>1210</v>
      </c>
      <c r="AV1132" s="839" t="s">
        <v>3953</v>
      </c>
      <c r="AW1132" s="861">
        <v>45824</v>
      </c>
      <c r="AX1132" s="862"/>
      <c r="AY1132" s="843"/>
      <c r="AZ1132" s="842"/>
      <c r="BA1132" s="842" t="s">
        <v>120</v>
      </c>
      <c r="BB1132" s="863" t="s">
        <v>121</v>
      </c>
      <c r="BC1132" s="864">
        <v>45826</v>
      </c>
      <c r="BD1132" s="860" t="s">
        <v>3954</v>
      </c>
      <c r="BE1132" s="865" cm="1">
        <f t="array" ref="BE1132">IF(BD1132="","",AC1132/SUMPRODUCT(--(BD1132=$BD$4:$BD$12824),$AC$4:$AC$12824))</f>
        <v>9.7313421178203945E-3</v>
      </c>
      <c r="BF1132" s="458"/>
      <c r="BG1132" s="458"/>
      <c r="BH1132" s="458"/>
      <c r="BI1132" s="458"/>
      <c r="BJ1132" s="458"/>
      <c r="BK1132" s="458"/>
      <c r="BL1132" s="458"/>
      <c r="BM1132" s="458"/>
      <c r="BN1132" s="458"/>
      <c r="BO1132" s="866">
        <f>VLOOKUP(BD1132,$BD$4:$BN$12824,3,0)*BE1132</f>
        <v>183155.34164107885</v>
      </c>
      <c r="BP1132" s="866"/>
      <c r="BQ1132" s="866"/>
      <c r="BR1132" s="866">
        <f>VLOOKUP(BD1132,$BD$4:$BN$12824,6,0)*BE1132</f>
        <v>64852.437305658685</v>
      </c>
      <c r="BS1132" s="866">
        <f>VLOOKUP(BD1132,$BD$4:$BN$12824,7,0)*BE1132</f>
        <v>5152.9889349388441</v>
      </c>
      <c r="BT1132" s="866"/>
      <c r="BU1132" s="866">
        <f>VLOOKUP(BD1132,$BD$4:$BN$12824,9,0)*BE1132</f>
        <v>266.10355021179868</v>
      </c>
      <c r="BV1132" s="867"/>
      <c r="BW1132" s="867">
        <f>VLOOKUP(BD1132,$BD$4:$BN$12824,11,0)*BE1132</f>
        <v>5838.8052706922372</v>
      </c>
      <c r="BX1132" s="1146">
        <f t="shared" si="218"/>
        <v>259265.67670258041</v>
      </c>
      <c r="BY1132" s="867">
        <f t="shared" si="215"/>
        <v>610773.39697581832</v>
      </c>
      <c r="BZ1132" s="867">
        <f t="shared" si="213"/>
        <v>6107733.9697581828</v>
      </c>
      <c r="CA1132" s="867">
        <f>_xlfn.MAXIFS($BY$4:$BY$12824,$S$4:$S$12824,$S1132)</f>
        <v>1239609.8870550967</v>
      </c>
      <c r="CB1132" s="1032"/>
      <c r="CF1132" s="946">
        <f t="shared" si="214"/>
        <v>5299670.418180001</v>
      </c>
    </row>
    <row r="1133" spans="1:84">
      <c r="A1133" s="1032"/>
      <c r="B1133" s="839" t="s">
        <v>98</v>
      </c>
      <c r="C1133" s="839" t="s">
        <v>273</v>
      </c>
      <c r="D1133" s="839" t="s">
        <v>3944</v>
      </c>
      <c r="E1133" s="839" t="s">
        <v>3944</v>
      </c>
      <c r="F1133" s="841">
        <v>45680</v>
      </c>
      <c r="G1133" s="840" t="s">
        <v>273</v>
      </c>
      <c r="H1133" s="842" t="s">
        <v>134</v>
      </c>
      <c r="I1133" s="842"/>
      <c r="J1133" s="841"/>
      <c r="K1133" s="841"/>
      <c r="L1133" s="843" t="s">
        <v>106</v>
      </c>
      <c r="M1133" s="844" t="s">
        <v>275</v>
      </c>
      <c r="N1133" s="841"/>
      <c r="O1133" s="841" t="s">
        <v>150</v>
      </c>
      <c r="P1133" s="841" t="s">
        <v>276</v>
      </c>
      <c r="Q1133" s="843"/>
      <c r="R1133" s="845">
        <v>15437</v>
      </c>
      <c r="S1133" s="1127" t="s">
        <v>3983</v>
      </c>
      <c r="T1133" s="843" t="s">
        <v>3984</v>
      </c>
      <c r="U1133" s="842">
        <v>10</v>
      </c>
      <c r="V1133" s="842" t="s">
        <v>3</v>
      </c>
      <c r="W1133" s="846">
        <v>68.41</v>
      </c>
      <c r="X1133" s="847">
        <f t="shared" si="208"/>
        <v>684.09999999999991</v>
      </c>
      <c r="Y1133" s="848">
        <v>0.56999999999999995</v>
      </c>
      <c r="Z1133" s="849">
        <v>29.416300000000003</v>
      </c>
      <c r="AA1133" s="849"/>
      <c r="AB1133" s="849">
        <f t="shared" si="209"/>
        <v>294.16300000000001</v>
      </c>
      <c r="AC1133" s="850">
        <f t="shared" si="210"/>
        <v>294.16300000000001</v>
      </c>
      <c r="AD1133" s="851">
        <f t="shared" si="217"/>
        <v>32000</v>
      </c>
      <c r="AE1133" s="852">
        <v>29506.38</v>
      </c>
      <c r="AF1133" s="853">
        <v>0.1</v>
      </c>
      <c r="AG1133" s="854">
        <f t="shared" si="211"/>
        <v>898809.25593104912</v>
      </c>
      <c r="AH1133" s="853">
        <v>0.08</v>
      </c>
      <c r="AI1133" s="855">
        <f t="shared" si="212"/>
        <v>766279.561269684</v>
      </c>
      <c r="AJ1133" s="845" t="s">
        <v>3949</v>
      </c>
      <c r="AK1133" s="857">
        <v>45768</v>
      </c>
      <c r="AL1133" s="840" t="s">
        <v>3950</v>
      </c>
      <c r="AM1133" s="840"/>
      <c r="AN1133" s="858"/>
      <c r="AO1133" s="844" t="s">
        <v>3951</v>
      </c>
      <c r="AP1133" s="859"/>
      <c r="AQ1133" s="859" t="s">
        <v>3952</v>
      </c>
      <c r="AR1133" s="859">
        <v>45821</v>
      </c>
      <c r="AS1133" s="840"/>
      <c r="AT1133" s="840"/>
      <c r="AU1133" s="842" t="s">
        <v>1210</v>
      </c>
      <c r="AV1133" s="839" t="s">
        <v>3953</v>
      </c>
      <c r="AW1133" s="861">
        <v>45824</v>
      </c>
      <c r="AX1133" s="862"/>
      <c r="AY1133" s="843"/>
      <c r="AZ1133" s="842"/>
      <c r="BA1133" s="842" t="s">
        <v>120</v>
      </c>
      <c r="BB1133" s="863" t="s">
        <v>121</v>
      </c>
      <c r="BC1133" s="864">
        <v>45826</v>
      </c>
      <c r="BD1133" s="860" t="s">
        <v>3954</v>
      </c>
      <c r="BE1133" s="865" cm="1">
        <f t="array" ref="BE1133">IF(BD1133="","",AC1133/SUMPRODUCT(--(BD1133=$BD$4:$BD$12824),$AC$4:$AC$12824))</f>
        <v>1.5937781045728829E-2</v>
      </c>
      <c r="BF1133" s="458"/>
      <c r="BG1133" s="458"/>
      <c r="BH1133" s="458"/>
      <c r="BI1133" s="458"/>
      <c r="BJ1133" s="458"/>
      <c r="BK1133" s="458"/>
      <c r="BL1133" s="458"/>
      <c r="BM1133" s="458"/>
      <c r="BN1133" s="458"/>
      <c r="BO1133" s="866">
        <f>VLOOKUP(BD1133,$BD$4:$BN$12824,3,0)*BE1133</f>
        <v>299967.84586225048</v>
      </c>
      <c r="BP1133" s="866"/>
      <c r="BQ1133" s="866"/>
      <c r="BR1133" s="866">
        <f>VLOOKUP(BD1133,$BD$4:$BN$12824,6,0)*BE1133</f>
        <v>106213.91515633494</v>
      </c>
      <c r="BS1133" s="866">
        <f>VLOOKUP(BD1133,$BD$4:$BN$12824,7,0)*BE1133</f>
        <v>8439.4535082395578</v>
      </c>
      <c r="BT1133" s="866"/>
      <c r="BU1133" s="866">
        <f>VLOOKUP(BD1133,$BD$4:$BN$12824,9,0)*BE1133</f>
        <v>435.81862269545479</v>
      </c>
      <c r="BV1133" s="867"/>
      <c r="BW1133" s="867">
        <f>VLOOKUP(BD1133,$BD$4:$BN$12824,11,0)*BE1133</f>
        <v>9562.6686274372969</v>
      </c>
      <c r="BX1133" s="1146">
        <f t="shared" si="218"/>
        <v>424619.70177695772</v>
      </c>
      <c r="BY1133" s="867">
        <f t="shared" si="215"/>
        <v>1000311.4217648007</v>
      </c>
      <c r="BZ1133" s="867">
        <f t="shared" si="213"/>
        <v>10003114.217648007</v>
      </c>
      <c r="CA1133" s="867">
        <f>_xlfn.MAXIFS($BY$4:$BY$12824,$S$4:$S$12824,$S1133)</f>
        <v>1000311.4217648007</v>
      </c>
      <c r="CB1133" s="1032"/>
      <c r="CF1133" s="946">
        <f t="shared" si="214"/>
        <v>8679685.2599400003</v>
      </c>
    </row>
    <row r="1134" spans="1:84">
      <c r="A1134" s="1032"/>
      <c r="B1134" s="839" t="s">
        <v>98</v>
      </c>
      <c r="C1134" s="839" t="s">
        <v>273</v>
      </c>
      <c r="D1134" s="839" t="s">
        <v>3944</v>
      </c>
      <c r="E1134" s="839" t="s">
        <v>3944</v>
      </c>
      <c r="F1134" s="841">
        <v>45680</v>
      </c>
      <c r="G1134" s="840" t="s">
        <v>273</v>
      </c>
      <c r="H1134" s="842" t="s">
        <v>134</v>
      </c>
      <c r="I1134" s="842"/>
      <c r="J1134" s="841"/>
      <c r="K1134" s="841"/>
      <c r="L1134" s="843" t="s">
        <v>106</v>
      </c>
      <c r="M1134" s="844" t="s">
        <v>275</v>
      </c>
      <c r="N1134" s="841"/>
      <c r="O1134" s="841" t="s">
        <v>150</v>
      </c>
      <c r="P1134" s="841" t="s">
        <v>276</v>
      </c>
      <c r="Q1134" s="843"/>
      <c r="R1134" s="845">
        <v>11211.22</v>
      </c>
      <c r="S1134" s="1127" t="s">
        <v>1119</v>
      </c>
      <c r="T1134" s="843" t="s">
        <v>1120</v>
      </c>
      <c r="U1134" s="842">
        <v>12</v>
      </c>
      <c r="V1134" s="842" t="s">
        <v>3</v>
      </c>
      <c r="W1134" s="846">
        <v>28.49</v>
      </c>
      <c r="X1134" s="847">
        <f t="shared" si="208"/>
        <v>341.88</v>
      </c>
      <c r="Y1134" s="848">
        <v>0.56999999999999995</v>
      </c>
      <c r="Z1134" s="849">
        <v>12.2507</v>
      </c>
      <c r="AA1134" s="849"/>
      <c r="AB1134" s="849">
        <f t="shared" si="209"/>
        <v>147.00839999999999</v>
      </c>
      <c r="AC1134" s="850">
        <f t="shared" si="210"/>
        <v>147.00839999999999</v>
      </c>
      <c r="AD1134" s="851">
        <f t="shared" si="217"/>
        <v>32000</v>
      </c>
      <c r="AE1134" s="852">
        <v>29506.38</v>
      </c>
      <c r="AF1134" s="853">
        <v>0.1</v>
      </c>
      <c r="AG1134" s="854">
        <f t="shared" si="211"/>
        <v>449181.27235449059</v>
      </c>
      <c r="AH1134" s="853">
        <v>0.08</v>
      </c>
      <c r="AI1134" s="855">
        <f t="shared" si="212"/>
        <v>382949.35887571931</v>
      </c>
      <c r="AJ1134" s="845" t="s">
        <v>3949</v>
      </c>
      <c r="AK1134" s="857">
        <v>45768</v>
      </c>
      <c r="AL1134" s="840" t="s">
        <v>3950</v>
      </c>
      <c r="AM1134" s="840"/>
      <c r="AN1134" s="858"/>
      <c r="AO1134" s="844" t="s">
        <v>3951</v>
      </c>
      <c r="AP1134" s="859"/>
      <c r="AQ1134" s="859" t="s">
        <v>3952</v>
      </c>
      <c r="AR1134" s="859">
        <v>45821</v>
      </c>
      <c r="AS1134" s="840"/>
      <c r="AT1134" s="840"/>
      <c r="AU1134" s="842" t="s">
        <v>1210</v>
      </c>
      <c r="AV1134" s="839" t="s">
        <v>3953</v>
      </c>
      <c r="AW1134" s="861">
        <v>45824</v>
      </c>
      <c r="AX1134" s="862"/>
      <c r="AY1134" s="843"/>
      <c r="AZ1134" s="842"/>
      <c r="BA1134" s="842" t="s">
        <v>120</v>
      </c>
      <c r="BB1134" s="863" t="s">
        <v>121</v>
      </c>
      <c r="BC1134" s="864">
        <v>45826</v>
      </c>
      <c r="BD1134" s="860" t="s">
        <v>3954</v>
      </c>
      <c r="BE1134" s="865" cm="1">
        <f t="array" ref="BE1134">IF(BD1134="","",AC1134/SUMPRODUCT(--(BD1134=$BD$4:$BD$12824),$AC$4:$AC$12824))</f>
        <v>7.9649299574824899E-3</v>
      </c>
      <c r="BF1134" s="458"/>
      <c r="BG1134" s="458"/>
      <c r="BH1134" s="458"/>
      <c r="BI1134" s="458"/>
      <c r="BJ1134" s="458"/>
      <c r="BK1134" s="458"/>
      <c r="BL1134" s="458"/>
      <c r="BM1134" s="458"/>
      <c r="BN1134" s="458"/>
      <c r="BO1134" s="866">
        <f>VLOOKUP(BD1134,$BD$4:$BN$12824,3,0)*BE1134</f>
        <v>149909.38041717029</v>
      </c>
      <c r="BP1134" s="866"/>
      <c r="BQ1134" s="866"/>
      <c r="BR1134" s="866">
        <f>VLOOKUP(BD1134,$BD$4:$BN$12824,6,0)*BE1134</f>
        <v>53080.563241701195</v>
      </c>
      <c r="BS1134" s="866">
        <f>VLOOKUP(BD1134,$BD$4:$BN$12824,7,0)*BE1134</f>
        <v>4217.6295357359159</v>
      </c>
      <c r="BT1134" s="866"/>
      <c r="BU1134" s="866">
        <f>VLOOKUP(BD1134,$BD$4:$BN$12824,9,0)*BE1134</f>
        <v>217.80100968735869</v>
      </c>
      <c r="BV1134" s="867"/>
      <c r="BW1134" s="867">
        <f>VLOOKUP(BD1134,$BD$4:$BN$12824,11,0)*BE1134</f>
        <v>4778.9579744894936</v>
      </c>
      <c r="BX1134" s="1146">
        <f t="shared" si="218"/>
        <v>212204.33217878424</v>
      </c>
      <c r="BY1134" s="867">
        <f t="shared" si="215"/>
        <v>416589.27651043964</v>
      </c>
      <c r="BZ1134" s="867">
        <f t="shared" si="213"/>
        <v>4999071.3181252759</v>
      </c>
      <c r="CA1134" s="867">
        <f>_xlfn.MAXIFS($BY$4:$BY$12824,$S$4:$S$12824,$S1134)</f>
        <v>532154.69504862465</v>
      </c>
      <c r="CB1134" s="1032"/>
      <c r="CF1134" s="946">
        <f t="shared" si="214"/>
        <v>4337685.7135920003</v>
      </c>
    </row>
    <row r="1135" spans="1:84">
      <c r="A1135" s="1032"/>
      <c r="B1135" s="839" t="s">
        <v>98</v>
      </c>
      <c r="C1135" s="839" t="s">
        <v>273</v>
      </c>
      <c r="D1135" s="839" t="s">
        <v>3944</v>
      </c>
      <c r="E1135" s="839" t="s">
        <v>3944</v>
      </c>
      <c r="F1135" s="841">
        <v>45680</v>
      </c>
      <c r="G1135" s="840" t="s">
        <v>273</v>
      </c>
      <c r="H1135" s="842" t="s">
        <v>134</v>
      </c>
      <c r="I1135" s="842"/>
      <c r="J1135" s="841"/>
      <c r="K1135" s="841"/>
      <c r="L1135" s="843" t="s">
        <v>106</v>
      </c>
      <c r="M1135" s="844" t="s">
        <v>275</v>
      </c>
      <c r="N1135" s="841"/>
      <c r="O1135" s="841" t="s">
        <v>150</v>
      </c>
      <c r="P1135" s="841" t="s">
        <v>276</v>
      </c>
      <c r="Q1135" s="843"/>
      <c r="R1135" s="845">
        <v>16695</v>
      </c>
      <c r="S1135" s="1127" t="s">
        <v>3985</v>
      </c>
      <c r="T1135" s="843" t="s">
        <v>3986</v>
      </c>
      <c r="U1135" s="842">
        <v>20</v>
      </c>
      <c r="V1135" s="842" t="s">
        <v>3</v>
      </c>
      <c r="W1135" s="846">
        <v>10.96</v>
      </c>
      <c r="X1135" s="847">
        <f t="shared" si="208"/>
        <v>219.20000000000002</v>
      </c>
      <c r="Y1135" s="848">
        <v>0.56999999999999995</v>
      </c>
      <c r="Z1135" s="849">
        <v>4.7128000000000005</v>
      </c>
      <c r="AA1135" s="849"/>
      <c r="AB1135" s="849">
        <f t="shared" si="209"/>
        <v>94.256000000000014</v>
      </c>
      <c r="AC1135" s="850">
        <f t="shared" si="210"/>
        <v>94.256000000000014</v>
      </c>
      <c r="AD1135" s="851">
        <f t="shared" si="217"/>
        <v>32000</v>
      </c>
      <c r="AE1135" s="852">
        <v>29506.38</v>
      </c>
      <c r="AF1135" s="853">
        <v>0.1</v>
      </c>
      <c r="AG1135" s="854">
        <f t="shared" si="211"/>
        <v>287997.35258015787</v>
      </c>
      <c r="AH1135" s="853">
        <v>0.08</v>
      </c>
      <c r="AI1135" s="855">
        <f t="shared" si="212"/>
        <v>245532.05646881269</v>
      </c>
      <c r="AJ1135" s="845" t="s">
        <v>3949</v>
      </c>
      <c r="AK1135" s="857">
        <v>45768</v>
      </c>
      <c r="AL1135" s="840" t="s">
        <v>3950</v>
      </c>
      <c r="AM1135" s="840"/>
      <c r="AN1135" s="858"/>
      <c r="AO1135" s="844" t="s">
        <v>3951</v>
      </c>
      <c r="AP1135" s="859"/>
      <c r="AQ1135" s="859" t="s">
        <v>3952</v>
      </c>
      <c r="AR1135" s="859">
        <v>45821</v>
      </c>
      <c r="AS1135" s="840"/>
      <c r="AT1135" s="840"/>
      <c r="AU1135" s="842" t="s">
        <v>1210</v>
      </c>
      <c r="AV1135" s="839" t="s">
        <v>3953</v>
      </c>
      <c r="AW1135" s="861">
        <v>45824</v>
      </c>
      <c r="AX1135" s="862"/>
      <c r="AY1135" s="843"/>
      <c r="AZ1135" s="842"/>
      <c r="BA1135" s="842" t="s">
        <v>120</v>
      </c>
      <c r="BB1135" s="863" t="s">
        <v>121</v>
      </c>
      <c r="BC1135" s="864">
        <v>45826</v>
      </c>
      <c r="BD1135" s="860" t="s">
        <v>3954</v>
      </c>
      <c r="BE1135" s="865" cm="1">
        <f t="array" ref="BE1135">IF(BD1135="","",AC1135/SUMPRODUCT(--(BD1135=$BD$4:$BD$12824),$AC$4:$AC$12824))</f>
        <v>5.1067995983390731E-3</v>
      </c>
      <c r="BF1135" s="458"/>
      <c r="BG1135" s="458"/>
      <c r="BH1135" s="458"/>
      <c r="BI1135" s="458"/>
      <c r="BJ1135" s="458"/>
      <c r="BK1135" s="458"/>
      <c r="BL1135" s="458"/>
      <c r="BM1135" s="458"/>
      <c r="BN1135" s="458"/>
      <c r="BO1135" s="866">
        <f>VLOOKUP(BD1135,$BD$4:$BN$12824,3,0)*BE1135</f>
        <v>96115.994464267395</v>
      </c>
      <c r="BP1135" s="866"/>
      <c r="BQ1135" s="866"/>
      <c r="BR1135" s="866">
        <f>VLOOKUP(BD1135,$BD$4:$BN$12824,6,0)*BE1135</f>
        <v>34033.167961217106</v>
      </c>
      <c r="BS1135" s="866">
        <f>VLOOKUP(BD1135,$BD$4:$BN$12824,7,0)*BE1135</f>
        <v>2704.1780573104975</v>
      </c>
      <c r="BT1135" s="866"/>
      <c r="BU1135" s="866">
        <f>VLOOKUP(BD1135,$BD$4:$BN$12824,9,0)*BE1135</f>
        <v>139.64543501658196</v>
      </c>
      <c r="BV1135" s="867"/>
      <c r="BW1135" s="867">
        <f>VLOOKUP(BD1135,$BD$4:$BN$12824,11,0)*BE1135</f>
        <v>3064.079759003444</v>
      </c>
      <c r="BX1135" s="1146">
        <f t="shared" si="218"/>
        <v>136057.06567681502</v>
      </c>
      <c r="BY1135" s="867">
        <f t="shared" si="215"/>
        <v>160260.38857684867</v>
      </c>
      <c r="BZ1135" s="867">
        <f t="shared" si="213"/>
        <v>3205207.7715369733</v>
      </c>
      <c r="CA1135" s="867">
        <f>_xlfn.MAXIFS($BY$4:$BY$12824,$S$4:$S$12824,$S1135)</f>
        <v>160260.38857684867</v>
      </c>
      <c r="CB1135" s="1032"/>
      <c r="CF1135" s="946">
        <f t="shared" si="214"/>
        <v>2781153.3532800004</v>
      </c>
    </row>
    <row r="1136" spans="1:84">
      <c r="A1136" s="1032"/>
      <c r="B1136" s="839" t="s">
        <v>98</v>
      </c>
      <c r="C1136" s="839" t="s">
        <v>273</v>
      </c>
      <c r="D1136" s="839" t="s">
        <v>3944</v>
      </c>
      <c r="E1136" s="839" t="s">
        <v>3944</v>
      </c>
      <c r="F1136" s="841">
        <v>45680</v>
      </c>
      <c r="G1136" s="840" t="s">
        <v>273</v>
      </c>
      <c r="H1136" s="842" t="s">
        <v>134</v>
      </c>
      <c r="I1136" s="842"/>
      <c r="J1136" s="841"/>
      <c r="K1136" s="841"/>
      <c r="L1136" s="843" t="s">
        <v>106</v>
      </c>
      <c r="M1136" s="844" t="s">
        <v>275</v>
      </c>
      <c r="N1136" s="841"/>
      <c r="O1136" s="841" t="s">
        <v>150</v>
      </c>
      <c r="P1136" s="841" t="s">
        <v>276</v>
      </c>
      <c r="Q1136" s="843"/>
      <c r="R1136" s="845">
        <v>16177.24</v>
      </c>
      <c r="S1136" s="1127" t="s">
        <v>3987</v>
      </c>
      <c r="T1136" s="843" t="s">
        <v>3988</v>
      </c>
      <c r="U1136" s="842">
        <v>20</v>
      </c>
      <c r="V1136" s="842" t="s">
        <v>3</v>
      </c>
      <c r="W1136" s="846">
        <v>28.05</v>
      </c>
      <c r="X1136" s="847">
        <f t="shared" si="208"/>
        <v>561</v>
      </c>
      <c r="Y1136" s="848">
        <v>0.56999999999999995</v>
      </c>
      <c r="Z1136" s="849">
        <v>12.061500000000002</v>
      </c>
      <c r="AA1136" s="849"/>
      <c r="AB1136" s="849">
        <f t="shared" si="209"/>
        <v>241.23000000000005</v>
      </c>
      <c r="AC1136" s="850">
        <f t="shared" si="210"/>
        <v>241.23000000000005</v>
      </c>
      <c r="AD1136" s="851">
        <f t="shared" si="217"/>
        <v>32000</v>
      </c>
      <c r="AE1136" s="852">
        <v>29506.38</v>
      </c>
      <c r="AF1136" s="853">
        <v>0.1</v>
      </c>
      <c r="AG1136" s="854">
        <f t="shared" si="211"/>
        <v>737073.51641180913</v>
      </c>
      <c r="AH1136" s="853">
        <v>0.08</v>
      </c>
      <c r="AI1136" s="855">
        <f t="shared" si="212"/>
        <v>628391.80510494485</v>
      </c>
      <c r="AJ1136" s="845" t="s">
        <v>3949</v>
      </c>
      <c r="AK1136" s="857">
        <v>45768</v>
      </c>
      <c r="AL1136" s="840" t="s">
        <v>3950</v>
      </c>
      <c r="AM1136" s="840"/>
      <c r="AN1136" s="858"/>
      <c r="AO1136" s="844" t="s">
        <v>3951</v>
      </c>
      <c r="AP1136" s="859"/>
      <c r="AQ1136" s="859" t="s">
        <v>3952</v>
      </c>
      <c r="AR1136" s="859">
        <v>45821</v>
      </c>
      <c r="AS1136" s="840"/>
      <c r="AT1136" s="840"/>
      <c r="AU1136" s="842" t="s">
        <v>1210</v>
      </c>
      <c r="AV1136" s="839" t="s">
        <v>3953</v>
      </c>
      <c r="AW1136" s="861">
        <v>45824</v>
      </c>
      <c r="AX1136" s="862"/>
      <c r="AY1136" s="843"/>
      <c r="AZ1136" s="842"/>
      <c r="BA1136" s="842" t="s">
        <v>120</v>
      </c>
      <c r="BB1136" s="863" t="s">
        <v>121</v>
      </c>
      <c r="BC1136" s="864">
        <v>45826</v>
      </c>
      <c r="BD1136" s="860" t="s">
        <v>3954</v>
      </c>
      <c r="BE1136" s="865" cm="1">
        <f t="array" ref="BE1136">IF(BD1136="","",AC1136/SUMPRODUCT(--(BD1136=$BD$4:$BD$12824),$AC$4:$AC$12824))</f>
        <v>1.3069865760347719E-2</v>
      </c>
      <c r="BF1136" s="458"/>
      <c r="BG1136" s="458"/>
      <c r="BH1136" s="458"/>
      <c r="BI1136" s="458"/>
      <c r="BJ1136" s="458"/>
      <c r="BK1136" s="458"/>
      <c r="BL1136" s="458"/>
      <c r="BM1136" s="458"/>
      <c r="BN1136" s="458"/>
      <c r="BO1136" s="866">
        <f>VLOOKUP(BD1136,$BD$4:$BN$12824,3,0)*BE1136</f>
        <v>245990.29605134128</v>
      </c>
      <c r="BP1136" s="866"/>
      <c r="BQ1136" s="866"/>
      <c r="BR1136" s="866">
        <f>VLOOKUP(BD1136,$BD$4:$BN$12824,6,0)*BE1136</f>
        <v>87101.310338698895</v>
      </c>
      <c r="BS1136" s="866">
        <f>VLOOKUP(BD1136,$BD$4:$BN$12824,7,0)*BE1136</f>
        <v>6920.8206667481254</v>
      </c>
      <c r="BT1136" s="866"/>
      <c r="BU1136" s="866">
        <f>VLOOKUP(BD1136,$BD$4:$BN$12824,9,0)*BE1136</f>
        <v>357.3954792167084</v>
      </c>
      <c r="BV1136" s="867"/>
      <c r="BW1136" s="867">
        <f>VLOOKUP(BD1136,$BD$4:$BN$12824,11,0)*BE1136</f>
        <v>7841.9194562086313</v>
      </c>
      <c r="BX1136" s="1146">
        <f t="shared" si="218"/>
        <v>348211.74199221365</v>
      </c>
      <c r="BY1136" s="867">
        <f t="shared" si="215"/>
        <v>410155.46529020125</v>
      </c>
      <c r="BZ1136" s="867">
        <f t="shared" si="213"/>
        <v>8203109.3058040254</v>
      </c>
      <c r="CA1136" s="867">
        <f>_xlfn.MAXIFS($BY$4:$BY$12824,$S$4:$S$12824,$S1136)</f>
        <v>410155.46529020125</v>
      </c>
      <c r="CB1136" s="1032"/>
      <c r="CF1136" s="946">
        <f t="shared" si="214"/>
        <v>7117824.0474000014</v>
      </c>
    </row>
    <row r="1137" spans="1:84">
      <c r="A1137" s="1032"/>
      <c r="B1137" s="839" t="s">
        <v>98</v>
      </c>
      <c r="C1137" s="839" t="s">
        <v>273</v>
      </c>
      <c r="D1137" s="839" t="s">
        <v>3944</v>
      </c>
      <c r="E1137" s="839" t="s">
        <v>3944</v>
      </c>
      <c r="F1137" s="841">
        <v>45680</v>
      </c>
      <c r="G1137" s="840" t="s">
        <v>273</v>
      </c>
      <c r="H1137" s="842" t="s">
        <v>134</v>
      </c>
      <c r="I1137" s="842"/>
      <c r="J1137" s="841"/>
      <c r="K1137" s="841"/>
      <c r="L1137" s="843" t="s">
        <v>106</v>
      </c>
      <c r="M1137" s="844" t="s">
        <v>275</v>
      </c>
      <c r="N1137" s="841"/>
      <c r="O1137" s="841" t="s">
        <v>150</v>
      </c>
      <c r="P1137" s="841" t="s">
        <v>276</v>
      </c>
      <c r="Q1137" s="843"/>
      <c r="R1137" s="845">
        <v>15436</v>
      </c>
      <c r="S1137" s="1127" t="s">
        <v>3989</v>
      </c>
      <c r="T1137" s="843" t="s">
        <v>3990</v>
      </c>
      <c r="U1137" s="842">
        <v>5</v>
      </c>
      <c r="V1137" s="842" t="s">
        <v>3</v>
      </c>
      <c r="W1137" s="846">
        <v>70.44</v>
      </c>
      <c r="X1137" s="847">
        <f t="shared" si="208"/>
        <v>352.2</v>
      </c>
      <c r="Y1137" s="848">
        <v>0.56999999999999995</v>
      </c>
      <c r="Z1137" s="849">
        <v>30.289200000000001</v>
      </c>
      <c r="AA1137" s="849"/>
      <c r="AB1137" s="849">
        <f t="shared" si="209"/>
        <v>151.446</v>
      </c>
      <c r="AC1137" s="850">
        <f t="shared" si="210"/>
        <v>151.446</v>
      </c>
      <c r="AD1137" s="851">
        <f t="shared" si="217"/>
        <v>32000</v>
      </c>
      <c r="AE1137" s="852">
        <v>29506.38</v>
      </c>
      <c r="AF1137" s="853">
        <v>0.1</v>
      </c>
      <c r="AG1137" s="854">
        <f t="shared" si="211"/>
        <v>462740.27180078282</v>
      </c>
      <c r="AH1137" s="853">
        <v>0.08</v>
      </c>
      <c r="AI1137" s="855">
        <f t="shared" si="212"/>
        <v>394509.07978246268</v>
      </c>
      <c r="AJ1137" s="845" t="s">
        <v>3949</v>
      </c>
      <c r="AK1137" s="857">
        <v>45768</v>
      </c>
      <c r="AL1137" s="840" t="s">
        <v>3950</v>
      </c>
      <c r="AM1137" s="840"/>
      <c r="AN1137" s="858"/>
      <c r="AO1137" s="844" t="s">
        <v>3951</v>
      </c>
      <c r="AP1137" s="859"/>
      <c r="AQ1137" s="859" t="s">
        <v>3952</v>
      </c>
      <c r="AR1137" s="859">
        <v>45821</v>
      </c>
      <c r="AS1137" s="840"/>
      <c r="AT1137" s="840"/>
      <c r="AU1137" s="842" t="s">
        <v>1210</v>
      </c>
      <c r="AV1137" s="839" t="s">
        <v>3953</v>
      </c>
      <c r="AW1137" s="861">
        <v>45824</v>
      </c>
      <c r="AX1137" s="862"/>
      <c r="AY1137" s="843"/>
      <c r="AZ1137" s="842"/>
      <c r="BA1137" s="842" t="s">
        <v>120</v>
      </c>
      <c r="BB1137" s="863" t="s">
        <v>121</v>
      </c>
      <c r="BC1137" s="864">
        <v>45826</v>
      </c>
      <c r="BD1137" s="860" t="s">
        <v>3954</v>
      </c>
      <c r="BE1137" s="865" cm="1">
        <f t="array" ref="BE1137">IF(BD1137="","",AC1137/SUMPRODUCT(--(BD1137=$BD$4:$BD$12824),$AC$4:$AC$12824))</f>
        <v>8.2053595736086733E-3</v>
      </c>
      <c r="BF1137" s="458"/>
      <c r="BG1137" s="458"/>
      <c r="BH1137" s="458"/>
      <c r="BI1137" s="458"/>
      <c r="BJ1137" s="458"/>
      <c r="BK1137" s="458"/>
      <c r="BL1137" s="458"/>
      <c r="BM1137" s="458"/>
      <c r="BN1137" s="458"/>
      <c r="BO1137" s="866">
        <f>VLOOKUP(BD1137,$BD$4:$BN$12824,3,0)*BE1137</f>
        <v>154434.5494996121</v>
      </c>
      <c r="BP1137" s="866"/>
      <c r="BQ1137" s="866"/>
      <c r="BR1137" s="866">
        <f>VLOOKUP(BD1137,$BD$4:$BN$12824,6,0)*BE1137</f>
        <v>54682.854726006677</v>
      </c>
      <c r="BS1137" s="866">
        <f>VLOOKUP(BD1137,$BD$4:$BN$12824,7,0)*BE1137</f>
        <v>4344.9430282151325</v>
      </c>
      <c r="BT1137" s="866"/>
      <c r="BU1137" s="866">
        <f>VLOOKUP(BD1137,$BD$4:$BN$12824,9,0)*BE1137</f>
        <v>224.37555754032917</v>
      </c>
      <c r="BV1137" s="867"/>
      <c r="BW1137" s="867">
        <f>VLOOKUP(BD1137,$BD$4:$BN$12824,11,0)*BE1137</f>
        <v>4923.2157441652043</v>
      </c>
      <c r="BX1137" s="1146">
        <f t="shared" si="218"/>
        <v>218609.93855553947</v>
      </c>
      <c r="BY1137" s="867">
        <f t="shared" si="215"/>
        <v>1029994.6871672645</v>
      </c>
      <c r="BZ1137" s="867">
        <f t="shared" si="213"/>
        <v>5149973.4358363226</v>
      </c>
      <c r="CA1137" s="867">
        <f>_xlfn.MAXIFS($BY$4:$BY$12824,$S$4:$S$12824,$S1137)</f>
        <v>1029994.6871672645</v>
      </c>
      <c r="CB1137" s="1032"/>
      <c r="CF1137" s="946">
        <f t="shared" si="214"/>
        <v>4468623.2254800005</v>
      </c>
    </row>
    <row r="1138" spans="1:84">
      <c r="A1138" s="1032"/>
      <c r="B1138" s="839" t="s">
        <v>98</v>
      </c>
      <c r="C1138" s="839" t="s">
        <v>273</v>
      </c>
      <c r="D1138" s="839" t="s">
        <v>3944</v>
      </c>
      <c r="E1138" s="839" t="s">
        <v>3944</v>
      </c>
      <c r="F1138" s="841">
        <v>45680</v>
      </c>
      <c r="G1138" s="840" t="s">
        <v>273</v>
      </c>
      <c r="H1138" s="842" t="s">
        <v>134</v>
      </c>
      <c r="I1138" s="842"/>
      <c r="J1138" s="841"/>
      <c r="K1138" s="841"/>
      <c r="L1138" s="843" t="s">
        <v>106</v>
      </c>
      <c r="M1138" s="844" t="s">
        <v>275</v>
      </c>
      <c r="N1138" s="841"/>
      <c r="O1138" s="841" t="s">
        <v>150</v>
      </c>
      <c r="P1138" s="841" t="s">
        <v>276</v>
      </c>
      <c r="Q1138" s="843"/>
      <c r="R1138" s="845">
        <v>11211.36</v>
      </c>
      <c r="S1138" s="1127" t="s">
        <v>3991</v>
      </c>
      <c r="T1138" s="843" t="s">
        <v>3992</v>
      </c>
      <c r="U1138" s="842">
        <v>40</v>
      </c>
      <c r="V1138" s="842" t="s">
        <v>3</v>
      </c>
      <c r="W1138" s="846">
        <v>28.49</v>
      </c>
      <c r="X1138" s="847">
        <f t="shared" si="208"/>
        <v>1139.5999999999999</v>
      </c>
      <c r="Y1138" s="848">
        <v>0.56999999999999995</v>
      </c>
      <c r="Z1138" s="849">
        <v>12.2507</v>
      </c>
      <c r="AA1138" s="849"/>
      <c r="AB1138" s="849">
        <f t="shared" si="209"/>
        <v>490.02800000000002</v>
      </c>
      <c r="AC1138" s="850">
        <f t="shared" si="210"/>
        <v>490.02800000000002</v>
      </c>
      <c r="AD1138" s="851">
        <f t="shared" si="217"/>
        <v>32000</v>
      </c>
      <c r="AE1138" s="852">
        <v>29506.38</v>
      </c>
      <c r="AF1138" s="853">
        <v>0.1</v>
      </c>
      <c r="AG1138" s="854">
        <f t="shared" si="211"/>
        <v>1497270.9078483023</v>
      </c>
      <c r="AH1138" s="853">
        <v>0.08</v>
      </c>
      <c r="AI1138" s="855">
        <f t="shared" si="212"/>
        <v>1276497.8629190642</v>
      </c>
      <c r="AJ1138" s="845" t="s">
        <v>3949</v>
      </c>
      <c r="AK1138" s="857">
        <v>45768</v>
      </c>
      <c r="AL1138" s="840" t="s">
        <v>3950</v>
      </c>
      <c r="AM1138" s="840"/>
      <c r="AN1138" s="858"/>
      <c r="AO1138" s="844" t="s">
        <v>3951</v>
      </c>
      <c r="AP1138" s="859"/>
      <c r="AQ1138" s="859" t="s">
        <v>3952</v>
      </c>
      <c r="AR1138" s="859">
        <v>45821</v>
      </c>
      <c r="AS1138" s="840"/>
      <c r="AT1138" s="840"/>
      <c r="AU1138" s="842" t="s">
        <v>1210</v>
      </c>
      <c r="AV1138" s="839" t="s">
        <v>3953</v>
      </c>
      <c r="AW1138" s="861">
        <v>45824</v>
      </c>
      <c r="AX1138" s="862"/>
      <c r="AY1138" s="843"/>
      <c r="AZ1138" s="842"/>
      <c r="BA1138" s="842" t="s">
        <v>120</v>
      </c>
      <c r="BB1138" s="863" t="s">
        <v>121</v>
      </c>
      <c r="BC1138" s="864">
        <v>45826</v>
      </c>
      <c r="BD1138" s="860" t="s">
        <v>3954</v>
      </c>
      <c r="BE1138" s="865" cm="1">
        <f t="array" ref="BE1138">IF(BD1138="","",AC1138/SUMPRODUCT(--(BD1138=$BD$4:$BD$12824),$AC$4:$AC$12824))</f>
        <v>2.6549766524941638E-2</v>
      </c>
      <c r="BF1138" s="458"/>
      <c r="BG1138" s="458"/>
      <c r="BH1138" s="458"/>
      <c r="BI1138" s="458"/>
      <c r="BJ1138" s="458"/>
      <c r="BK1138" s="458"/>
      <c r="BL1138" s="458"/>
      <c r="BM1138" s="458"/>
      <c r="BN1138" s="458"/>
      <c r="BO1138" s="866">
        <f>VLOOKUP(BD1138,$BD$4:$BN$12824,3,0)*BE1138</f>
        <v>499697.93472390104</v>
      </c>
      <c r="BP1138" s="866"/>
      <c r="BQ1138" s="866"/>
      <c r="BR1138" s="866">
        <f>VLOOKUP(BD1138,$BD$4:$BN$12824,6,0)*BE1138</f>
        <v>176935.21080567068</v>
      </c>
      <c r="BS1138" s="866">
        <f>VLOOKUP(BD1138,$BD$4:$BN$12824,7,0)*BE1138</f>
        <v>14058.76511911972</v>
      </c>
      <c r="BT1138" s="866"/>
      <c r="BU1138" s="866">
        <f>VLOOKUP(BD1138,$BD$4:$BN$12824,9,0)*BE1138</f>
        <v>726.00336562452912</v>
      </c>
      <c r="BV1138" s="867"/>
      <c r="BW1138" s="867">
        <f>VLOOKUP(BD1138,$BD$4:$BN$12824,11,0)*BE1138</f>
        <v>15929.859914964982</v>
      </c>
      <c r="BX1138" s="1146">
        <f t="shared" si="218"/>
        <v>707347.77392928093</v>
      </c>
      <c r="BY1138" s="867">
        <f t="shared" si="215"/>
        <v>416589.27651043964</v>
      </c>
      <c r="BZ1138" s="867">
        <f t="shared" si="213"/>
        <v>16663571.060417585</v>
      </c>
      <c r="CA1138" s="867">
        <f>_xlfn.MAXIFS($BY$4:$BY$12824,$S$4:$S$12824,$S1138)</f>
        <v>416589.27651043964</v>
      </c>
      <c r="CB1138" s="1032"/>
      <c r="CF1138" s="946">
        <f t="shared" si="214"/>
        <v>14458952.378640002</v>
      </c>
    </row>
    <row r="1139" spans="1:84">
      <c r="A1139" s="1032"/>
      <c r="B1139" s="839" t="s">
        <v>98</v>
      </c>
      <c r="C1139" s="839" t="s">
        <v>273</v>
      </c>
      <c r="D1139" s="839" t="s">
        <v>3944</v>
      </c>
      <c r="E1139" s="839" t="s">
        <v>3944</v>
      </c>
      <c r="F1139" s="841">
        <v>45680</v>
      </c>
      <c r="G1139" s="840" t="s">
        <v>273</v>
      </c>
      <c r="H1139" s="842" t="s">
        <v>134</v>
      </c>
      <c r="I1139" s="842"/>
      <c r="J1139" s="841"/>
      <c r="K1139" s="841"/>
      <c r="L1139" s="843" t="s">
        <v>106</v>
      </c>
      <c r="M1139" s="844" t="s">
        <v>275</v>
      </c>
      <c r="N1139" s="841"/>
      <c r="O1139" s="841" t="s">
        <v>150</v>
      </c>
      <c r="P1139" s="841" t="s">
        <v>276</v>
      </c>
      <c r="Q1139" s="843"/>
      <c r="R1139" s="845">
        <v>14263.36</v>
      </c>
      <c r="S1139" s="1127" t="s">
        <v>3993</v>
      </c>
      <c r="T1139" s="843" t="s">
        <v>3994</v>
      </c>
      <c r="U1139" s="842">
        <v>40</v>
      </c>
      <c r="V1139" s="842" t="s">
        <v>3</v>
      </c>
      <c r="W1139" s="846">
        <v>81.72</v>
      </c>
      <c r="X1139" s="847">
        <f t="shared" si="208"/>
        <v>3268.8</v>
      </c>
      <c r="Y1139" s="848">
        <v>0.56999999999999995</v>
      </c>
      <c r="Z1139" s="849">
        <v>35.139600000000002</v>
      </c>
      <c r="AA1139" s="849"/>
      <c r="AB1139" s="849">
        <f t="shared" si="209"/>
        <v>1405.5840000000001</v>
      </c>
      <c r="AC1139" s="850">
        <f t="shared" si="210"/>
        <v>1405.5840000000001</v>
      </c>
      <c r="AD1139" s="851">
        <f t="shared" si="217"/>
        <v>32000</v>
      </c>
      <c r="AE1139" s="852">
        <v>29506.38</v>
      </c>
      <c r="AF1139" s="853">
        <v>0.1</v>
      </c>
      <c r="AG1139" s="854">
        <f t="shared" si="211"/>
        <v>4294734.2432208946</v>
      </c>
      <c r="AH1139" s="853">
        <v>0.08</v>
      </c>
      <c r="AI1139" s="855">
        <f t="shared" si="212"/>
        <v>3661474.389531272</v>
      </c>
      <c r="AJ1139" s="845" t="s">
        <v>3949</v>
      </c>
      <c r="AK1139" s="857">
        <v>45768</v>
      </c>
      <c r="AL1139" s="840" t="s">
        <v>3950</v>
      </c>
      <c r="AM1139" s="840"/>
      <c r="AN1139" s="858"/>
      <c r="AO1139" s="844" t="s">
        <v>3951</v>
      </c>
      <c r="AP1139" s="859"/>
      <c r="AQ1139" s="859" t="s">
        <v>3952</v>
      </c>
      <c r="AR1139" s="859">
        <v>45821</v>
      </c>
      <c r="AS1139" s="840"/>
      <c r="AT1139" s="840"/>
      <c r="AU1139" s="842" t="s">
        <v>1210</v>
      </c>
      <c r="AV1139" s="839" t="s">
        <v>3953</v>
      </c>
      <c r="AW1139" s="861">
        <v>45824</v>
      </c>
      <c r="AX1139" s="862"/>
      <c r="AY1139" s="843"/>
      <c r="AZ1139" s="842"/>
      <c r="BA1139" s="842" t="s">
        <v>120</v>
      </c>
      <c r="BB1139" s="863" t="s">
        <v>121</v>
      </c>
      <c r="BC1139" s="864">
        <v>45826</v>
      </c>
      <c r="BD1139" s="860" t="s">
        <v>3954</v>
      </c>
      <c r="BE1139" s="865" cm="1">
        <f t="array" ref="BE1139">IF(BD1139="","",AC1139/SUMPRODUCT(--(BD1139=$BD$4:$BD$12824),$AC$4:$AC$12824))</f>
        <v>7.6154683061362957E-2</v>
      </c>
      <c r="BF1139" s="458"/>
      <c r="BG1139" s="458"/>
      <c r="BH1139" s="458"/>
      <c r="BI1139" s="458"/>
      <c r="BJ1139" s="458"/>
      <c r="BK1139" s="458"/>
      <c r="BL1139" s="458"/>
      <c r="BM1139" s="458"/>
      <c r="BN1139" s="458"/>
      <c r="BO1139" s="866">
        <f>VLOOKUP(BD1139,$BD$4:$BN$12824,3,0)*BE1139</f>
        <v>1433320.9977408634</v>
      </c>
      <c r="BP1139" s="866"/>
      <c r="BQ1139" s="866"/>
      <c r="BR1139" s="866">
        <f>VLOOKUP(BD1139,$BD$4:$BN$12824,6,0)*BE1139</f>
        <v>507516.51200559526</v>
      </c>
      <c r="BS1139" s="866">
        <f>VLOOKUP(BD1139,$BD$4:$BN$12824,7,0)*BE1139</f>
        <v>40325.80854806822</v>
      </c>
      <c r="BT1139" s="866"/>
      <c r="BU1139" s="866">
        <f>VLOOKUP(BD1139,$BD$4:$BN$12824,9,0)*BE1139</f>
        <v>2082.4498083129702</v>
      </c>
      <c r="BV1139" s="867"/>
      <c r="BW1139" s="867">
        <f>VLOOKUP(BD1139,$BD$4:$BN$12824,11,0)*BE1139</f>
        <v>45692.809836817774</v>
      </c>
      <c r="BX1139" s="1146">
        <f t="shared" si="218"/>
        <v>2028938.5779396575</v>
      </c>
      <c r="BY1139" s="867">
        <f t="shared" si="215"/>
        <v>1194934.211177014</v>
      </c>
      <c r="BZ1139" s="867">
        <f t="shared" si="213"/>
        <v>47797368.44708056</v>
      </c>
      <c r="CA1139" s="867">
        <f>_xlfn.MAXIFS($BY$4:$BY$12824,$S$4:$S$12824,$S1139)</f>
        <v>1194934.211177014</v>
      </c>
      <c r="CB1139" s="1032"/>
      <c r="CF1139" s="946">
        <f t="shared" si="214"/>
        <v>41473695.625920005</v>
      </c>
    </row>
    <row r="1140" spans="1:84">
      <c r="A1140" s="1032"/>
      <c r="B1140" s="839" t="s">
        <v>98</v>
      </c>
      <c r="C1140" s="839" t="s">
        <v>273</v>
      </c>
      <c r="D1140" s="839" t="s">
        <v>3944</v>
      </c>
      <c r="E1140" s="839" t="s">
        <v>3944</v>
      </c>
      <c r="F1140" s="841">
        <v>45680</v>
      </c>
      <c r="G1140" s="840" t="s">
        <v>273</v>
      </c>
      <c r="H1140" s="842" t="s">
        <v>134</v>
      </c>
      <c r="I1140" s="842"/>
      <c r="J1140" s="841"/>
      <c r="K1140" s="841"/>
      <c r="L1140" s="843" t="s">
        <v>106</v>
      </c>
      <c r="M1140" s="844" t="s">
        <v>275</v>
      </c>
      <c r="N1140" s="841"/>
      <c r="O1140" s="841" t="s">
        <v>150</v>
      </c>
      <c r="P1140" s="841" t="s">
        <v>276</v>
      </c>
      <c r="Q1140" s="843"/>
      <c r="R1140" s="845">
        <v>16850.240000000002</v>
      </c>
      <c r="S1140" s="1127" t="s">
        <v>3995</v>
      </c>
      <c r="T1140" s="843" t="s">
        <v>3996</v>
      </c>
      <c r="U1140" s="842">
        <v>2</v>
      </c>
      <c r="V1140" s="842" t="s">
        <v>3</v>
      </c>
      <c r="W1140" s="846">
        <v>74.62</v>
      </c>
      <c r="X1140" s="847">
        <f t="shared" si="208"/>
        <v>149.24</v>
      </c>
      <c r="Y1140" s="848">
        <v>0.56999999999999995</v>
      </c>
      <c r="Z1140" s="849">
        <v>32.086600000000004</v>
      </c>
      <c r="AA1140" s="849"/>
      <c r="AB1140" s="849">
        <f t="shared" si="209"/>
        <v>64.173200000000008</v>
      </c>
      <c r="AC1140" s="850">
        <f t="shared" si="210"/>
        <v>64.173200000000008</v>
      </c>
      <c r="AD1140" s="851">
        <f t="shared" si="217"/>
        <v>32000</v>
      </c>
      <c r="AE1140" s="852">
        <v>29506.38</v>
      </c>
      <c r="AF1140" s="853">
        <v>0.1</v>
      </c>
      <c r="AG1140" s="854">
        <f t="shared" si="211"/>
        <v>196079.94935703813</v>
      </c>
      <c r="AH1140" s="853">
        <v>0.08</v>
      </c>
      <c r="AI1140" s="855">
        <f t="shared" si="212"/>
        <v>167167.90194984307</v>
      </c>
      <c r="AJ1140" s="845" t="s">
        <v>3949</v>
      </c>
      <c r="AK1140" s="857">
        <v>45768</v>
      </c>
      <c r="AL1140" s="840" t="s">
        <v>3950</v>
      </c>
      <c r="AM1140" s="840"/>
      <c r="AN1140" s="858"/>
      <c r="AO1140" s="844" t="s">
        <v>3951</v>
      </c>
      <c r="AP1140" s="859"/>
      <c r="AQ1140" s="859" t="s">
        <v>3952</v>
      </c>
      <c r="AR1140" s="859">
        <v>45821</v>
      </c>
      <c r="AS1140" s="840"/>
      <c r="AT1140" s="840"/>
      <c r="AU1140" s="842" t="s">
        <v>1210</v>
      </c>
      <c r="AV1140" s="839" t="s">
        <v>3953</v>
      </c>
      <c r="AW1140" s="861">
        <v>45824</v>
      </c>
      <c r="AX1140" s="862"/>
      <c r="AY1140" s="843"/>
      <c r="AZ1140" s="842"/>
      <c r="BA1140" s="842" t="s">
        <v>120</v>
      </c>
      <c r="BB1140" s="863" t="s">
        <v>121</v>
      </c>
      <c r="BC1140" s="864">
        <v>45826</v>
      </c>
      <c r="BD1140" s="860" t="s">
        <v>3954</v>
      </c>
      <c r="BE1140" s="865" cm="1">
        <f t="array" ref="BE1140">IF(BD1140="","",AC1140/SUMPRODUCT(--(BD1140=$BD$4:$BD$12824),$AC$4:$AC$12824))</f>
        <v>3.4769104564604161E-3</v>
      </c>
      <c r="BF1140" s="458"/>
      <c r="BG1140" s="458"/>
      <c r="BH1140" s="458"/>
      <c r="BI1140" s="458"/>
      <c r="BJ1140" s="458"/>
      <c r="BK1140" s="458"/>
      <c r="BL1140" s="458"/>
      <c r="BM1140" s="458"/>
      <c r="BN1140" s="458"/>
      <c r="BO1140" s="866">
        <f>VLOOKUP(BD1140,$BD$4:$BN$12824,3,0)*BE1140</f>
        <v>65439.557544923657</v>
      </c>
      <c r="BP1140" s="866"/>
      <c r="BQ1140" s="866"/>
      <c r="BR1140" s="866">
        <f>VLOOKUP(BD1140,$BD$4:$BN$12824,6,0)*BE1140</f>
        <v>23171.122201332302</v>
      </c>
      <c r="BS1140" s="866">
        <f>VLOOKUP(BD1140,$BD$4:$BN$12824,7,0)*BE1140</f>
        <v>1841.1110094572018</v>
      </c>
      <c r="BT1140" s="866"/>
      <c r="BU1140" s="866">
        <f>VLOOKUP(BD1140,$BD$4:$BN$12824,9,0)*BE1140</f>
        <v>95.07611643191008</v>
      </c>
      <c r="BV1140" s="867"/>
      <c r="BW1140" s="867">
        <f>VLOOKUP(BD1140,$BD$4:$BN$12824,11,0)*BE1140</f>
        <v>2086.1462738762498</v>
      </c>
      <c r="BX1140" s="1146">
        <f t="shared" si="218"/>
        <v>92633.013146021331</v>
      </c>
      <c r="BY1140" s="867">
        <f t="shared" si="215"/>
        <v>1091115.8937595298</v>
      </c>
      <c r="BZ1140" s="867">
        <f t="shared" si="213"/>
        <v>2182231.7875190596</v>
      </c>
      <c r="CA1140" s="867">
        <f>_xlfn.MAXIFS($BY$4:$BY$12824,$S$4:$S$12824,$S1140)</f>
        <v>1218355.3501718573</v>
      </c>
      <c r="CB1140" s="1032"/>
      <c r="CF1140" s="946">
        <f t="shared" si="214"/>
        <v>1893518.8250160003</v>
      </c>
    </row>
    <row r="1141" spans="1:84">
      <c r="A1141" s="1032"/>
      <c r="B1141" s="839" t="s">
        <v>98</v>
      </c>
      <c r="C1141" s="839" t="s">
        <v>273</v>
      </c>
      <c r="D1141" s="839" t="s">
        <v>3944</v>
      </c>
      <c r="E1141" s="839" t="s">
        <v>3944</v>
      </c>
      <c r="F1141" s="841">
        <v>45680</v>
      </c>
      <c r="G1141" s="840" t="s">
        <v>273</v>
      </c>
      <c r="H1141" s="842" t="s">
        <v>134</v>
      </c>
      <c r="I1141" s="842"/>
      <c r="J1141" s="841"/>
      <c r="K1141" s="841"/>
      <c r="L1141" s="843" t="s">
        <v>106</v>
      </c>
      <c r="M1141" s="844" t="s">
        <v>275</v>
      </c>
      <c r="N1141" s="841"/>
      <c r="O1141" s="841" t="s">
        <v>150</v>
      </c>
      <c r="P1141" s="841" t="s">
        <v>276</v>
      </c>
      <c r="Q1141" s="843"/>
      <c r="R1141" s="845">
        <v>11212.36</v>
      </c>
      <c r="S1141" s="1127" t="s">
        <v>3997</v>
      </c>
      <c r="T1141" s="843" t="s">
        <v>3998</v>
      </c>
      <c r="U1141" s="842">
        <v>40</v>
      </c>
      <c r="V1141" s="842" t="s">
        <v>3</v>
      </c>
      <c r="W1141" s="846">
        <v>28.49</v>
      </c>
      <c r="X1141" s="847">
        <f t="shared" si="208"/>
        <v>1139.5999999999999</v>
      </c>
      <c r="Y1141" s="848">
        <v>0.56999999999999995</v>
      </c>
      <c r="Z1141" s="849">
        <v>12.2507</v>
      </c>
      <c r="AA1141" s="849"/>
      <c r="AB1141" s="849">
        <f t="shared" si="209"/>
        <v>490.02800000000002</v>
      </c>
      <c r="AC1141" s="850">
        <f t="shared" si="210"/>
        <v>490.02800000000002</v>
      </c>
      <c r="AD1141" s="851">
        <f t="shared" si="217"/>
        <v>32000</v>
      </c>
      <c r="AE1141" s="852">
        <v>29506.38</v>
      </c>
      <c r="AF1141" s="853">
        <v>0.1</v>
      </c>
      <c r="AG1141" s="854">
        <f t="shared" si="211"/>
        <v>1497270.9078483023</v>
      </c>
      <c r="AH1141" s="853">
        <v>0.08</v>
      </c>
      <c r="AI1141" s="855">
        <f t="shared" si="212"/>
        <v>1276497.8629190642</v>
      </c>
      <c r="AJ1141" s="845" t="s">
        <v>3949</v>
      </c>
      <c r="AK1141" s="857">
        <v>45768</v>
      </c>
      <c r="AL1141" s="840" t="s">
        <v>3950</v>
      </c>
      <c r="AM1141" s="840"/>
      <c r="AN1141" s="858"/>
      <c r="AO1141" s="844" t="s">
        <v>3951</v>
      </c>
      <c r="AP1141" s="859"/>
      <c r="AQ1141" s="859" t="s">
        <v>3952</v>
      </c>
      <c r="AR1141" s="859">
        <v>45821</v>
      </c>
      <c r="AS1141" s="840"/>
      <c r="AT1141" s="840"/>
      <c r="AU1141" s="842" t="s">
        <v>1210</v>
      </c>
      <c r="AV1141" s="839" t="s">
        <v>3953</v>
      </c>
      <c r="AW1141" s="861">
        <v>45824</v>
      </c>
      <c r="AX1141" s="862"/>
      <c r="AY1141" s="843"/>
      <c r="AZ1141" s="842"/>
      <c r="BA1141" s="842" t="s">
        <v>120</v>
      </c>
      <c r="BB1141" s="863" t="s">
        <v>121</v>
      </c>
      <c r="BC1141" s="864">
        <v>45826</v>
      </c>
      <c r="BD1141" s="860" t="s">
        <v>3954</v>
      </c>
      <c r="BE1141" s="865" cm="1">
        <f t="array" ref="BE1141">IF(BD1141="","",AC1141/SUMPRODUCT(--(BD1141=$BD$4:$BD$12824),$AC$4:$AC$12824))</f>
        <v>2.6549766524941638E-2</v>
      </c>
      <c r="BF1141" s="458"/>
      <c r="BG1141" s="458"/>
      <c r="BH1141" s="458"/>
      <c r="BI1141" s="458"/>
      <c r="BJ1141" s="458"/>
      <c r="BK1141" s="458"/>
      <c r="BL1141" s="458"/>
      <c r="BM1141" s="458"/>
      <c r="BN1141" s="458"/>
      <c r="BO1141" s="866">
        <f>VLOOKUP(BD1141,$BD$4:$BN$12824,3,0)*BE1141</f>
        <v>499697.93472390104</v>
      </c>
      <c r="BP1141" s="866"/>
      <c r="BQ1141" s="866"/>
      <c r="BR1141" s="866">
        <f>VLOOKUP(BD1141,$BD$4:$BN$12824,6,0)*BE1141</f>
        <v>176935.21080567068</v>
      </c>
      <c r="BS1141" s="866">
        <f>VLOOKUP(BD1141,$BD$4:$BN$12824,7,0)*BE1141</f>
        <v>14058.76511911972</v>
      </c>
      <c r="BT1141" s="866"/>
      <c r="BU1141" s="866">
        <f>VLOOKUP(BD1141,$BD$4:$BN$12824,9,0)*BE1141</f>
        <v>726.00336562452912</v>
      </c>
      <c r="BV1141" s="867"/>
      <c r="BW1141" s="867">
        <f>VLOOKUP(BD1141,$BD$4:$BN$12824,11,0)*BE1141</f>
        <v>15929.859914964982</v>
      </c>
      <c r="BX1141" s="1146">
        <f t="shared" si="218"/>
        <v>707347.77392928093</v>
      </c>
      <c r="BY1141" s="867">
        <f t="shared" si="215"/>
        <v>416589.27651043964</v>
      </c>
      <c r="BZ1141" s="867">
        <f t="shared" si="213"/>
        <v>16663571.060417585</v>
      </c>
      <c r="CA1141" s="867">
        <f>_xlfn.MAXIFS($BY$4:$BY$12824,$S$4:$S$12824,$S1141)</f>
        <v>416589.27651043964</v>
      </c>
      <c r="CB1141" s="1032"/>
      <c r="CF1141" s="946">
        <f t="shared" si="214"/>
        <v>14458952.378640002</v>
      </c>
    </row>
    <row r="1142" spans="1:84">
      <c r="A1142" s="1032"/>
      <c r="B1142" s="839" t="s">
        <v>98</v>
      </c>
      <c r="C1142" s="839" t="s">
        <v>273</v>
      </c>
      <c r="D1142" s="839" t="s">
        <v>3944</v>
      </c>
      <c r="E1142" s="839" t="s">
        <v>3944</v>
      </c>
      <c r="F1142" s="841">
        <v>45680</v>
      </c>
      <c r="G1142" s="840" t="s">
        <v>273</v>
      </c>
      <c r="H1142" s="842" t="s">
        <v>134</v>
      </c>
      <c r="I1142" s="842"/>
      <c r="J1142" s="841"/>
      <c r="K1142" s="841"/>
      <c r="L1142" s="843" t="s">
        <v>106</v>
      </c>
      <c r="M1142" s="844" t="s">
        <v>275</v>
      </c>
      <c r="N1142" s="841"/>
      <c r="O1142" s="841" t="s">
        <v>150</v>
      </c>
      <c r="P1142" s="841" t="s">
        <v>276</v>
      </c>
      <c r="Q1142" s="843"/>
      <c r="R1142" s="845">
        <v>15169.24</v>
      </c>
      <c r="S1142" s="1127" t="s">
        <v>3999</v>
      </c>
      <c r="T1142" s="843" t="s">
        <v>4000</v>
      </c>
      <c r="U1142" s="842">
        <v>6</v>
      </c>
      <c r="V1142" s="842" t="s">
        <v>3</v>
      </c>
      <c r="W1142" s="846">
        <v>33.75</v>
      </c>
      <c r="X1142" s="847">
        <f t="shared" si="208"/>
        <v>202.5</v>
      </c>
      <c r="Y1142" s="848">
        <v>0.56999999999999995</v>
      </c>
      <c r="Z1142" s="849">
        <v>14.512500000000001</v>
      </c>
      <c r="AA1142" s="849"/>
      <c r="AB1142" s="849">
        <f t="shared" si="209"/>
        <v>87.075000000000003</v>
      </c>
      <c r="AC1142" s="850">
        <f t="shared" si="210"/>
        <v>87.075000000000003</v>
      </c>
      <c r="AD1142" s="851">
        <f t="shared" si="217"/>
        <v>32000</v>
      </c>
      <c r="AE1142" s="852">
        <v>29506.38</v>
      </c>
      <c r="AF1142" s="853">
        <v>0.1</v>
      </c>
      <c r="AG1142" s="854">
        <f t="shared" si="211"/>
        <v>266055.94843741768</v>
      </c>
      <c r="AH1142" s="853">
        <v>0.08</v>
      </c>
      <c r="AI1142" s="855">
        <f t="shared" si="212"/>
        <v>226825.91895499345</v>
      </c>
      <c r="AJ1142" s="845" t="s">
        <v>3949</v>
      </c>
      <c r="AK1142" s="857">
        <v>45768</v>
      </c>
      <c r="AL1142" s="840" t="s">
        <v>3950</v>
      </c>
      <c r="AM1142" s="840"/>
      <c r="AN1142" s="858"/>
      <c r="AO1142" s="844" t="s">
        <v>3951</v>
      </c>
      <c r="AP1142" s="859"/>
      <c r="AQ1142" s="859" t="s">
        <v>3952</v>
      </c>
      <c r="AR1142" s="859">
        <v>45821</v>
      </c>
      <c r="AS1142" s="840"/>
      <c r="AT1142" s="840"/>
      <c r="AU1142" s="842" t="s">
        <v>1210</v>
      </c>
      <c r="AV1142" s="839" t="s">
        <v>3953</v>
      </c>
      <c r="AW1142" s="861">
        <v>45824</v>
      </c>
      <c r="AX1142" s="862"/>
      <c r="AY1142" s="843"/>
      <c r="AZ1142" s="842"/>
      <c r="BA1142" s="842" t="s">
        <v>120</v>
      </c>
      <c r="BB1142" s="863" t="s">
        <v>121</v>
      </c>
      <c r="BC1142" s="864">
        <v>45826</v>
      </c>
      <c r="BD1142" s="860" t="s">
        <v>3954</v>
      </c>
      <c r="BE1142" s="865" cm="1">
        <f t="array" ref="BE1142">IF(BD1142="","",AC1142/SUMPRODUCT(--(BD1142=$BD$4:$BD$12824),$AC$4:$AC$12824))</f>
        <v>4.7177322931736413E-3</v>
      </c>
      <c r="BF1142" s="458"/>
      <c r="BG1142" s="458"/>
      <c r="BH1142" s="458"/>
      <c r="BI1142" s="458"/>
      <c r="BJ1142" s="458"/>
      <c r="BK1142" s="458"/>
      <c r="BL1142" s="458"/>
      <c r="BM1142" s="458"/>
      <c r="BN1142" s="458"/>
      <c r="BO1142" s="866">
        <f>VLOOKUP(BD1142,$BD$4:$BN$12824,3,0)*BE1142</f>
        <v>88793.288681633872</v>
      </c>
      <c r="BP1142" s="866"/>
      <c r="BQ1142" s="866"/>
      <c r="BR1142" s="866">
        <f>VLOOKUP(BD1142,$BD$4:$BN$12824,6,0)*BE1142</f>
        <v>31440.3125554127</v>
      </c>
      <c r="BS1142" s="866">
        <f>VLOOKUP(BD1142,$BD$4:$BN$12824,7,0)*BE1142</f>
        <v>2498.1571925427725</v>
      </c>
      <c r="BT1142" s="866"/>
      <c r="BU1142" s="866">
        <f>VLOOKUP(BD1142,$BD$4:$BN$12824,9,0)*BE1142</f>
        <v>129.00638955683323</v>
      </c>
      <c r="BV1142" s="867"/>
      <c r="BW1142" s="867">
        <f>VLOOKUP(BD1142,$BD$4:$BN$12824,11,0)*BE1142</f>
        <v>2830.6393759041848</v>
      </c>
      <c r="BX1142" s="1146">
        <f t="shared" si="218"/>
        <v>125691.40419505036</v>
      </c>
      <c r="BY1142" s="867">
        <f t="shared" si="215"/>
        <v>493502.56518874475</v>
      </c>
      <c r="BZ1142" s="867">
        <f t="shared" si="213"/>
        <v>2961015.3911324684</v>
      </c>
      <c r="CA1142" s="867">
        <f>_xlfn.MAXIFS($BY$4:$BY$12824,$S$4:$S$12824,$S1142)</f>
        <v>493502.56518874475</v>
      </c>
      <c r="CB1142" s="1032"/>
      <c r="CF1142" s="946">
        <f t="shared" si="214"/>
        <v>2569268.0385000003</v>
      </c>
    </row>
    <row r="1143" spans="1:84">
      <c r="A1143" s="1032"/>
      <c r="B1143" s="839" t="s">
        <v>98</v>
      </c>
      <c r="C1143" s="839" t="s">
        <v>273</v>
      </c>
      <c r="D1143" s="839" t="s">
        <v>3944</v>
      </c>
      <c r="E1143" s="839" t="s">
        <v>3944</v>
      </c>
      <c r="F1143" s="841">
        <v>45680</v>
      </c>
      <c r="G1143" s="840" t="s">
        <v>273</v>
      </c>
      <c r="H1143" s="842" t="s">
        <v>134</v>
      </c>
      <c r="I1143" s="842"/>
      <c r="J1143" s="841"/>
      <c r="K1143" s="841"/>
      <c r="L1143" s="843" t="s">
        <v>106</v>
      </c>
      <c r="M1143" s="844" t="s">
        <v>275</v>
      </c>
      <c r="N1143" s="841"/>
      <c r="O1143" s="841" t="s">
        <v>150</v>
      </c>
      <c r="P1143" s="841" t="s">
        <v>276</v>
      </c>
      <c r="Q1143" s="843"/>
      <c r="R1143" s="845">
        <v>16328.24</v>
      </c>
      <c r="S1143" s="1127" t="s">
        <v>4001</v>
      </c>
      <c r="T1143" s="843" t="s">
        <v>4002</v>
      </c>
      <c r="U1143" s="842">
        <v>6</v>
      </c>
      <c r="V1143" s="842" t="s">
        <v>3</v>
      </c>
      <c r="W1143" s="846">
        <v>81.290000000000006</v>
      </c>
      <c r="X1143" s="847">
        <f t="shared" si="208"/>
        <v>487.74</v>
      </c>
      <c r="Y1143" s="848">
        <v>0.56999999999999995</v>
      </c>
      <c r="Z1143" s="849">
        <v>34.95470000000001</v>
      </c>
      <c r="AA1143" s="849"/>
      <c r="AB1143" s="849">
        <f t="shared" si="209"/>
        <v>209.72820000000007</v>
      </c>
      <c r="AC1143" s="850">
        <f t="shared" si="210"/>
        <v>209.72820000000007</v>
      </c>
      <c r="AD1143" s="851">
        <f t="shared" si="217"/>
        <v>32000</v>
      </c>
      <c r="AE1143" s="852">
        <v>29506.38</v>
      </c>
      <c r="AF1143" s="853">
        <v>0.1</v>
      </c>
      <c r="AG1143" s="854">
        <f t="shared" si="211"/>
        <v>640820.38662156125</v>
      </c>
      <c r="AH1143" s="853">
        <v>0.08</v>
      </c>
      <c r="AI1143" s="855">
        <f t="shared" si="212"/>
        <v>546331.22820300504</v>
      </c>
      <c r="AJ1143" s="845" t="s">
        <v>3949</v>
      </c>
      <c r="AK1143" s="857">
        <v>45768</v>
      </c>
      <c r="AL1143" s="840" t="s">
        <v>3950</v>
      </c>
      <c r="AM1143" s="840"/>
      <c r="AN1143" s="858"/>
      <c r="AO1143" s="844" t="s">
        <v>3951</v>
      </c>
      <c r="AP1143" s="859"/>
      <c r="AQ1143" s="859" t="s">
        <v>3952</v>
      </c>
      <c r="AR1143" s="859">
        <v>45821</v>
      </c>
      <c r="AS1143" s="840"/>
      <c r="AT1143" s="840"/>
      <c r="AU1143" s="842" t="s">
        <v>1210</v>
      </c>
      <c r="AV1143" s="839" t="s">
        <v>3953</v>
      </c>
      <c r="AW1143" s="861">
        <v>45824</v>
      </c>
      <c r="AX1143" s="862"/>
      <c r="AY1143" s="843"/>
      <c r="AZ1143" s="842"/>
      <c r="BA1143" s="842" t="s">
        <v>120</v>
      </c>
      <c r="BB1143" s="863" t="s">
        <v>121</v>
      </c>
      <c r="BC1143" s="864">
        <v>45826</v>
      </c>
      <c r="BD1143" s="860" t="s">
        <v>3954</v>
      </c>
      <c r="BE1143" s="865" cm="1">
        <f t="array" ref="BE1143">IF(BD1143="","",AC1143/SUMPRODUCT(--(BD1143=$BD$4:$BD$12824),$AC$4:$AC$12824))</f>
        <v>1.1363095055172901E-2</v>
      </c>
      <c r="BF1143" s="458"/>
      <c r="BG1143" s="458"/>
      <c r="BH1143" s="458"/>
      <c r="BI1143" s="458"/>
      <c r="BJ1143" s="458"/>
      <c r="BK1143" s="458"/>
      <c r="BL1143" s="458"/>
      <c r="BM1143" s="458"/>
      <c r="BN1143" s="458"/>
      <c r="BO1143" s="866">
        <f>VLOOKUP(BD1143,$BD$4:$BN$12824,3,0)*BE1143</f>
        <v>213866.85739051912</v>
      </c>
      <c r="BP1143" s="866"/>
      <c r="BQ1143" s="866"/>
      <c r="BR1143" s="866">
        <f>VLOOKUP(BD1143,$BD$4:$BN$12824,6,0)*BE1143</f>
        <v>75726.903929762935</v>
      </c>
      <c r="BS1143" s="866">
        <f>VLOOKUP(BD1143,$BD$4:$BN$12824,7,0)*BE1143</f>
        <v>6017.0429090904308</v>
      </c>
      <c r="BT1143" s="866"/>
      <c r="BU1143" s="866">
        <f>VLOOKUP(BD1143,$BD$4:$BN$12824,9,0)*BE1143</f>
        <v>310.72383428370296</v>
      </c>
      <c r="BV1143" s="867"/>
      <c r="BW1143" s="867">
        <f>VLOOKUP(BD1143,$BD$4:$BN$12824,11,0)*BE1143</f>
        <v>6817.8570331037408</v>
      </c>
      <c r="BX1143" s="1146">
        <f t="shared" si="218"/>
        <v>302739.38509675994</v>
      </c>
      <c r="BY1143" s="867">
        <f t="shared" si="215"/>
        <v>1188646.6229390537</v>
      </c>
      <c r="BZ1143" s="867">
        <f t="shared" si="213"/>
        <v>7131879.7376343217</v>
      </c>
      <c r="CA1143" s="867">
        <f>_xlfn.MAXIFS($BY$4:$BY$12824,$S$4:$S$12824,$S1143)</f>
        <v>1188646.6229390537</v>
      </c>
      <c r="CB1143" s="1032"/>
      <c r="CF1143" s="946">
        <f t="shared" si="214"/>
        <v>6188319.9659160022</v>
      </c>
    </row>
    <row r="1144" spans="1:84">
      <c r="A1144" s="1032"/>
      <c r="B1144" s="839" t="s">
        <v>98</v>
      </c>
      <c r="C1144" s="839" t="s">
        <v>273</v>
      </c>
      <c r="D1144" s="839" t="s">
        <v>3944</v>
      </c>
      <c r="E1144" s="839" t="s">
        <v>3944</v>
      </c>
      <c r="F1144" s="841">
        <v>45680</v>
      </c>
      <c r="G1144" s="840" t="s">
        <v>273</v>
      </c>
      <c r="H1144" s="842" t="s">
        <v>134</v>
      </c>
      <c r="I1144" s="842"/>
      <c r="J1144" s="841"/>
      <c r="K1144" s="841"/>
      <c r="L1144" s="843" t="s">
        <v>106</v>
      </c>
      <c r="M1144" s="844" t="s">
        <v>275</v>
      </c>
      <c r="N1144" s="841"/>
      <c r="O1144" s="841" t="s">
        <v>150</v>
      </c>
      <c r="P1144" s="841" t="s">
        <v>276</v>
      </c>
      <c r="Q1144" s="843"/>
      <c r="R1144" s="845">
        <v>11203.24</v>
      </c>
      <c r="S1144" s="1127" t="s">
        <v>3769</v>
      </c>
      <c r="T1144" s="843" t="s">
        <v>4003</v>
      </c>
      <c r="U1144" s="842">
        <v>10</v>
      </c>
      <c r="V1144" s="842" t="s">
        <v>3</v>
      </c>
      <c r="W1144" s="846">
        <v>50.68</v>
      </c>
      <c r="X1144" s="847">
        <f t="shared" si="208"/>
        <v>506.8</v>
      </c>
      <c r="Y1144" s="848">
        <v>0.56999999999999995</v>
      </c>
      <c r="Z1144" s="849">
        <v>21.792400000000001</v>
      </c>
      <c r="AA1144" s="849"/>
      <c r="AB1144" s="849">
        <f t="shared" si="209"/>
        <v>217.92400000000001</v>
      </c>
      <c r="AC1144" s="850">
        <f t="shared" si="210"/>
        <v>217.92400000000001</v>
      </c>
      <c r="AD1144" s="851">
        <f t="shared" si="217"/>
        <v>32000</v>
      </c>
      <c r="AE1144" s="852">
        <v>29506.38</v>
      </c>
      <c r="AF1144" s="853">
        <v>0.1</v>
      </c>
      <c r="AG1144" s="854">
        <f t="shared" si="211"/>
        <v>665862.49218806566</v>
      </c>
      <c r="AH1144" s="853">
        <v>0.08</v>
      </c>
      <c r="AI1144" s="855">
        <f t="shared" si="212"/>
        <v>567680.86778464529</v>
      </c>
      <c r="AJ1144" s="845" t="s">
        <v>3949</v>
      </c>
      <c r="AK1144" s="857">
        <v>45768</v>
      </c>
      <c r="AL1144" s="840" t="s">
        <v>3950</v>
      </c>
      <c r="AM1144" s="840"/>
      <c r="AN1144" s="858"/>
      <c r="AO1144" s="844" t="s">
        <v>3951</v>
      </c>
      <c r="AP1144" s="859"/>
      <c r="AQ1144" s="859" t="s">
        <v>3952</v>
      </c>
      <c r="AR1144" s="859">
        <v>45821</v>
      </c>
      <c r="AS1144" s="840"/>
      <c r="AT1144" s="840"/>
      <c r="AU1144" s="842" t="s">
        <v>1210</v>
      </c>
      <c r="AV1144" s="839" t="s">
        <v>3953</v>
      </c>
      <c r="AW1144" s="861">
        <v>45824</v>
      </c>
      <c r="AX1144" s="862"/>
      <c r="AY1144" s="843"/>
      <c r="AZ1144" s="842"/>
      <c r="BA1144" s="842" t="s">
        <v>120</v>
      </c>
      <c r="BB1144" s="863" t="s">
        <v>121</v>
      </c>
      <c r="BC1144" s="864">
        <v>45826</v>
      </c>
      <c r="BD1144" s="860" t="s">
        <v>3954</v>
      </c>
      <c r="BE1144" s="865" cm="1">
        <f t="array" ref="BE1144">IF(BD1144="","",AC1144/SUMPRODUCT(--(BD1144=$BD$4:$BD$12824),$AC$4:$AC$12824))</f>
        <v>1.1807144326816796E-2</v>
      </c>
      <c r="BF1144" s="458"/>
      <c r="BG1144" s="458"/>
      <c r="BH1144" s="458"/>
      <c r="BI1144" s="458"/>
      <c r="BJ1144" s="458"/>
      <c r="BK1144" s="458"/>
      <c r="BL1144" s="458"/>
      <c r="BM1144" s="458"/>
      <c r="BN1144" s="458"/>
      <c r="BO1144" s="866">
        <f>VLOOKUP(BD1144,$BD$4:$BN$12824,3,0)*BE1144</f>
        <v>222224.38866099773</v>
      </c>
      <c r="BP1144" s="866"/>
      <c r="BQ1144" s="866"/>
      <c r="BR1144" s="866">
        <f>VLOOKUP(BD1144,$BD$4:$BN$12824,6,0)*BE1144</f>
        <v>78686.174830040269</v>
      </c>
      <c r="BS1144" s="866">
        <f>VLOOKUP(BD1144,$BD$4:$BN$12824,7,0)*BE1144</f>
        <v>6252.1780996576636</v>
      </c>
      <c r="BT1144" s="866"/>
      <c r="BU1144" s="866">
        <f>VLOOKUP(BD1144,$BD$4:$BN$12824,9,0)*BE1144</f>
        <v>322.86636161680531</v>
      </c>
      <c r="BV1144" s="867"/>
      <c r="BW1144" s="867">
        <f>VLOOKUP(BD1144,$BD$4:$BN$12824,11,0)*BE1144</f>
        <v>7084.2865960900781</v>
      </c>
      <c r="BX1144" s="1146">
        <f t="shared" si="218"/>
        <v>314569.89454840252</v>
      </c>
      <c r="BY1144" s="867">
        <f t="shared" si="215"/>
        <v>741058.07418564684</v>
      </c>
      <c r="BZ1144" s="867">
        <f t="shared" si="213"/>
        <v>7410580.7418564688</v>
      </c>
      <c r="CA1144" s="867">
        <f>_xlfn.MAXIFS($BY$4:$BY$12824,$S$4:$S$12824,$S1144)</f>
        <v>1052895.3201994193</v>
      </c>
      <c r="CB1144" s="1032"/>
      <c r="CF1144" s="946">
        <f t="shared" si="214"/>
        <v>6430148.3551200004</v>
      </c>
    </row>
    <row r="1145" spans="1:84">
      <c r="A1145" s="1032"/>
      <c r="B1145" s="839" t="s">
        <v>98</v>
      </c>
      <c r="C1145" s="839" t="s">
        <v>273</v>
      </c>
      <c r="D1145" s="839" t="s">
        <v>3944</v>
      </c>
      <c r="E1145" s="839" t="s">
        <v>3944</v>
      </c>
      <c r="F1145" s="841">
        <v>45680</v>
      </c>
      <c r="G1145" s="840" t="s">
        <v>273</v>
      </c>
      <c r="H1145" s="842" t="s">
        <v>134</v>
      </c>
      <c r="I1145" s="842"/>
      <c r="J1145" s="841"/>
      <c r="K1145" s="841"/>
      <c r="L1145" s="843" t="s">
        <v>106</v>
      </c>
      <c r="M1145" s="844" t="s">
        <v>275</v>
      </c>
      <c r="N1145" s="841"/>
      <c r="O1145" s="841" t="s">
        <v>150</v>
      </c>
      <c r="P1145" s="841" t="s">
        <v>276</v>
      </c>
      <c r="Q1145" s="843"/>
      <c r="R1145" s="845">
        <v>11726.24</v>
      </c>
      <c r="S1145" s="1127" t="s">
        <v>2445</v>
      </c>
      <c r="T1145" s="843" t="s">
        <v>2446</v>
      </c>
      <c r="U1145" s="842">
        <v>10</v>
      </c>
      <c r="V1145" s="842" t="s">
        <v>3</v>
      </c>
      <c r="W1145" s="846">
        <v>52.52</v>
      </c>
      <c r="X1145" s="847">
        <f t="shared" si="208"/>
        <v>525.20000000000005</v>
      </c>
      <c r="Y1145" s="848">
        <v>0.56999999999999995</v>
      </c>
      <c r="Z1145" s="849">
        <v>22.583600000000004</v>
      </c>
      <c r="AA1145" s="849"/>
      <c r="AB1145" s="849">
        <f t="shared" si="209"/>
        <v>225.83600000000004</v>
      </c>
      <c r="AC1145" s="850">
        <f t="shared" si="210"/>
        <v>225.83600000000004</v>
      </c>
      <c r="AD1145" s="851">
        <f t="shared" ref="AD1145:AD1176" si="219">IF(V1145=$AD$2,$AE$2,$AE$3)</f>
        <v>32000</v>
      </c>
      <c r="AE1145" s="852">
        <v>29506.38</v>
      </c>
      <c r="AF1145" s="853">
        <v>0.1</v>
      </c>
      <c r="AG1145" s="854">
        <f t="shared" si="211"/>
        <v>690037.45244114462</v>
      </c>
      <c r="AH1145" s="853">
        <v>0.08</v>
      </c>
      <c r="AI1145" s="855">
        <f t="shared" si="212"/>
        <v>588291.22288969171</v>
      </c>
      <c r="AJ1145" s="845" t="s">
        <v>3949</v>
      </c>
      <c r="AK1145" s="857">
        <v>45768</v>
      </c>
      <c r="AL1145" s="840" t="s">
        <v>3950</v>
      </c>
      <c r="AM1145" s="840"/>
      <c r="AN1145" s="858"/>
      <c r="AO1145" s="844" t="s">
        <v>3951</v>
      </c>
      <c r="AP1145" s="859"/>
      <c r="AQ1145" s="859" t="s">
        <v>3952</v>
      </c>
      <c r="AR1145" s="859">
        <v>45821</v>
      </c>
      <c r="AS1145" s="840"/>
      <c r="AT1145" s="840"/>
      <c r="AU1145" s="842" t="s">
        <v>1210</v>
      </c>
      <c r="AV1145" s="839" t="s">
        <v>3953</v>
      </c>
      <c r="AW1145" s="861">
        <v>45824</v>
      </c>
      <c r="AX1145" s="862"/>
      <c r="AY1145" s="843"/>
      <c r="AZ1145" s="842"/>
      <c r="BA1145" s="842" t="s">
        <v>120</v>
      </c>
      <c r="BB1145" s="863" t="s">
        <v>121</v>
      </c>
      <c r="BC1145" s="864">
        <v>45826</v>
      </c>
      <c r="BD1145" s="860" t="s">
        <v>3954</v>
      </c>
      <c r="BE1145" s="865" cm="1">
        <f t="array" ref="BE1145">IF(BD1145="","",AC1145/SUMPRODUCT(--(BD1145=$BD$4:$BD$12824),$AC$4:$AC$12824))</f>
        <v>1.2235817285801465E-2</v>
      </c>
      <c r="BF1145" s="458"/>
      <c r="BG1145" s="458"/>
      <c r="BH1145" s="458"/>
      <c r="BI1145" s="458"/>
      <c r="BJ1145" s="458"/>
      <c r="BK1145" s="458"/>
      <c r="BL1145" s="458"/>
      <c r="BM1145" s="458"/>
      <c r="BN1145" s="458"/>
      <c r="BO1145" s="866">
        <f>VLOOKUP(BD1145,$BD$4:$BN$12824,3,0)*BE1145</f>
        <v>230292.51958318084</v>
      </c>
      <c r="BP1145" s="866"/>
      <c r="BQ1145" s="866"/>
      <c r="BR1145" s="866">
        <f>VLOOKUP(BD1145,$BD$4:$BN$12824,6,0)*BE1145</f>
        <v>81542.973600507423</v>
      </c>
      <c r="BS1145" s="866">
        <f>VLOOKUP(BD1145,$BD$4:$BN$12824,7,0)*BE1145</f>
        <v>6479.1711482640212</v>
      </c>
      <c r="BT1145" s="866"/>
      <c r="BU1145" s="866">
        <f>VLOOKUP(BD1145,$BD$4:$BN$12824,9,0)*BE1145</f>
        <v>334.58842368024108</v>
      </c>
      <c r="BV1145" s="867"/>
      <c r="BW1145" s="867">
        <f>VLOOKUP(BD1145,$BD$4:$BN$12824,11,0)*BE1145</f>
        <v>7341.4903714808788</v>
      </c>
      <c r="BX1145" s="1146">
        <f t="shared" si="218"/>
        <v>325990.74312711338</v>
      </c>
      <c r="BY1145" s="867">
        <f t="shared" si="215"/>
        <v>767963.10292482586</v>
      </c>
      <c r="BZ1145" s="867">
        <f t="shared" si="213"/>
        <v>7679631.0292482581</v>
      </c>
      <c r="CA1145" s="867">
        <f>_xlfn.MAXIFS($BY$4:$BY$12824,$S$4:$S$12824,$S1145)</f>
        <v>1136688.5731404335</v>
      </c>
      <c r="CB1145" s="1032"/>
      <c r="CF1145" s="946">
        <f t="shared" si="214"/>
        <v>6663602.8336800011</v>
      </c>
    </row>
    <row r="1146" spans="1:84">
      <c r="A1146" s="1032"/>
      <c r="B1146" s="839" t="s">
        <v>98</v>
      </c>
      <c r="C1146" s="839" t="s">
        <v>273</v>
      </c>
      <c r="D1146" s="839" t="s">
        <v>3944</v>
      </c>
      <c r="E1146" s="839" t="s">
        <v>3944</v>
      </c>
      <c r="F1146" s="841">
        <v>45680</v>
      </c>
      <c r="G1146" s="840" t="s">
        <v>273</v>
      </c>
      <c r="H1146" s="842" t="s">
        <v>134</v>
      </c>
      <c r="I1146" s="842"/>
      <c r="J1146" s="841"/>
      <c r="K1146" s="841"/>
      <c r="L1146" s="843" t="s">
        <v>106</v>
      </c>
      <c r="M1146" s="844" t="s">
        <v>275</v>
      </c>
      <c r="N1146" s="841"/>
      <c r="O1146" s="841" t="s">
        <v>150</v>
      </c>
      <c r="P1146" s="841" t="s">
        <v>276</v>
      </c>
      <c r="Q1146" s="843"/>
      <c r="R1146" s="845">
        <v>11727.24</v>
      </c>
      <c r="S1146" s="1127" t="s">
        <v>2447</v>
      </c>
      <c r="T1146" s="843" t="s">
        <v>4004</v>
      </c>
      <c r="U1146" s="842">
        <v>20</v>
      </c>
      <c r="V1146" s="842" t="s">
        <v>3</v>
      </c>
      <c r="W1146" s="846">
        <v>43.68</v>
      </c>
      <c r="X1146" s="847">
        <f t="shared" si="208"/>
        <v>873.6</v>
      </c>
      <c r="Y1146" s="848">
        <v>0.56999999999999995</v>
      </c>
      <c r="Z1146" s="849">
        <v>18.782400000000003</v>
      </c>
      <c r="AA1146" s="849"/>
      <c r="AB1146" s="849">
        <f t="shared" si="209"/>
        <v>375.64800000000002</v>
      </c>
      <c r="AC1146" s="850">
        <f t="shared" si="210"/>
        <v>375.64800000000002</v>
      </c>
      <c r="AD1146" s="851">
        <f t="shared" si="219"/>
        <v>32000</v>
      </c>
      <c r="AE1146" s="852">
        <v>29506.38</v>
      </c>
      <c r="AF1146" s="853">
        <v>0.1</v>
      </c>
      <c r="AG1146" s="854">
        <f t="shared" si="211"/>
        <v>1147785.0694070524</v>
      </c>
      <c r="AH1146" s="853">
        <v>0.08</v>
      </c>
      <c r="AI1146" s="855">
        <f t="shared" si="212"/>
        <v>978543.81629176438</v>
      </c>
      <c r="AJ1146" s="845" t="s">
        <v>3949</v>
      </c>
      <c r="AK1146" s="857">
        <v>45768</v>
      </c>
      <c r="AL1146" s="840" t="s">
        <v>3950</v>
      </c>
      <c r="AM1146" s="840"/>
      <c r="AN1146" s="858"/>
      <c r="AO1146" s="844" t="s">
        <v>3951</v>
      </c>
      <c r="AP1146" s="859"/>
      <c r="AQ1146" s="859" t="s">
        <v>3952</v>
      </c>
      <c r="AR1146" s="859">
        <v>45821</v>
      </c>
      <c r="AS1146" s="840"/>
      <c r="AT1146" s="840"/>
      <c r="AU1146" s="842" t="s">
        <v>1210</v>
      </c>
      <c r="AV1146" s="839" t="s">
        <v>3953</v>
      </c>
      <c r="AW1146" s="861">
        <v>45824</v>
      </c>
      <c r="AX1146" s="862"/>
      <c r="AY1146" s="843"/>
      <c r="AZ1146" s="842"/>
      <c r="BA1146" s="842" t="s">
        <v>120</v>
      </c>
      <c r="BB1146" s="863" t="s">
        <v>121</v>
      </c>
      <c r="BC1146" s="864">
        <v>45826</v>
      </c>
      <c r="BD1146" s="860" t="s">
        <v>3954</v>
      </c>
      <c r="BE1146" s="865" cm="1">
        <f t="array" ref="BE1146">IF(BD1146="","",AC1146/SUMPRODUCT(--(BD1146=$BD$4:$BD$12824),$AC$4:$AC$12824))</f>
        <v>2.0352646574402434E-2</v>
      </c>
      <c r="BF1146" s="458"/>
      <c r="BG1146" s="458"/>
      <c r="BH1146" s="458"/>
      <c r="BI1146" s="458"/>
      <c r="BJ1146" s="458"/>
      <c r="BK1146" s="458"/>
      <c r="BL1146" s="458"/>
      <c r="BM1146" s="458"/>
      <c r="BN1146" s="458"/>
      <c r="BO1146" s="866">
        <f>VLOOKUP(BD1146,$BD$4:$BN$12824,3,0)*BE1146</f>
        <v>383060.82465321157</v>
      </c>
      <c r="BP1146" s="866"/>
      <c r="BQ1146" s="866"/>
      <c r="BR1146" s="866">
        <f>VLOOKUP(BD1146,$BD$4:$BN$12824,6,0)*BE1146</f>
        <v>135635.83727609154</v>
      </c>
      <c r="BS1146" s="866">
        <f>VLOOKUP(BD1146,$BD$4:$BN$12824,7,0)*BE1146</f>
        <v>10777.235177310449</v>
      </c>
      <c r="BT1146" s="866"/>
      <c r="BU1146" s="866">
        <f>VLOOKUP(BD1146,$BD$4:$BN$12824,9,0)*BE1146</f>
        <v>556.54312057703453</v>
      </c>
      <c r="BV1146" s="867"/>
      <c r="BW1146" s="867">
        <f>VLOOKUP(BD1146,$BD$4:$BN$12824,11,0)*BE1146</f>
        <v>12211.58794464146</v>
      </c>
      <c r="BX1146" s="1146">
        <f t="shared" si="218"/>
        <v>542242.02817183197</v>
      </c>
      <c r="BY1146" s="867">
        <f t="shared" si="215"/>
        <v>638701.98659094435</v>
      </c>
      <c r="BZ1146" s="867">
        <f t="shared" si="213"/>
        <v>12774039.731818886</v>
      </c>
      <c r="CA1146" s="867">
        <f>_xlfn.MAXIFS($BY$4:$BY$12824,$S$4:$S$12824,$S1146)</f>
        <v>945364.75389897439</v>
      </c>
      <c r="CB1146" s="1032"/>
      <c r="CF1146" s="946">
        <f t="shared" si="214"/>
        <v>11084012.634240001</v>
      </c>
    </row>
    <row r="1147" spans="1:84">
      <c r="A1147" s="1032"/>
      <c r="B1147" s="839" t="s">
        <v>98</v>
      </c>
      <c r="C1147" s="839" t="s">
        <v>273</v>
      </c>
      <c r="D1147" s="839" t="s">
        <v>3944</v>
      </c>
      <c r="E1147" s="839" t="s">
        <v>3944</v>
      </c>
      <c r="F1147" s="841">
        <v>45680</v>
      </c>
      <c r="G1147" s="840" t="s">
        <v>273</v>
      </c>
      <c r="H1147" s="842" t="s">
        <v>134</v>
      </c>
      <c r="I1147" s="842"/>
      <c r="J1147" s="841"/>
      <c r="K1147" s="841"/>
      <c r="L1147" s="843" t="s">
        <v>106</v>
      </c>
      <c r="M1147" s="844" t="s">
        <v>275</v>
      </c>
      <c r="N1147" s="841"/>
      <c r="O1147" s="841" t="s">
        <v>150</v>
      </c>
      <c r="P1147" s="841" t="s">
        <v>276</v>
      </c>
      <c r="Q1147" s="843"/>
      <c r="R1147" s="845">
        <v>15836.24</v>
      </c>
      <c r="S1147" s="1127" t="s">
        <v>4005</v>
      </c>
      <c r="T1147" s="843" t="s">
        <v>4006</v>
      </c>
      <c r="U1147" s="842">
        <v>20</v>
      </c>
      <c r="V1147" s="842" t="s">
        <v>3</v>
      </c>
      <c r="W1147" s="846">
        <v>75.28</v>
      </c>
      <c r="X1147" s="847">
        <f t="shared" si="208"/>
        <v>1505.6</v>
      </c>
      <c r="Y1147" s="848">
        <v>0.56999999999999995</v>
      </c>
      <c r="Z1147" s="849">
        <v>32.370400000000004</v>
      </c>
      <c r="AA1147" s="849"/>
      <c r="AB1147" s="849">
        <f t="shared" si="209"/>
        <v>647.40800000000013</v>
      </c>
      <c r="AC1147" s="850">
        <f t="shared" si="210"/>
        <v>647.40800000000013</v>
      </c>
      <c r="AD1147" s="851">
        <f t="shared" si="219"/>
        <v>32000</v>
      </c>
      <c r="AE1147" s="852">
        <v>29506.38</v>
      </c>
      <c r="AF1147" s="853">
        <v>0.1</v>
      </c>
      <c r="AG1147" s="854">
        <f t="shared" si="211"/>
        <v>1978142.3998388946</v>
      </c>
      <c r="AH1147" s="853">
        <v>0.08</v>
      </c>
      <c r="AI1147" s="855">
        <f t="shared" si="212"/>
        <v>1686464.709030312</v>
      </c>
      <c r="AJ1147" s="845" t="s">
        <v>3949</v>
      </c>
      <c r="AK1147" s="857">
        <v>45768</v>
      </c>
      <c r="AL1147" s="840" t="s">
        <v>3950</v>
      </c>
      <c r="AM1147" s="840"/>
      <c r="AN1147" s="858"/>
      <c r="AO1147" s="844" t="s">
        <v>3951</v>
      </c>
      <c r="AP1147" s="859"/>
      <c r="AQ1147" s="859" t="s">
        <v>3952</v>
      </c>
      <c r="AR1147" s="859">
        <v>45821</v>
      </c>
      <c r="AS1147" s="840"/>
      <c r="AT1147" s="840"/>
      <c r="AU1147" s="842" t="s">
        <v>1210</v>
      </c>
      <c r="AV1147" s="839" t="s">
        <v>3953</v>
      </c>
      <c r="AW1147" s="861">
        <v>45824</v>
      </c>
      <c r="AX1147" s="862"/>
      <c r="AY1147" s="843"/>
      <c r="AZ1147" s="842"/>
      <c r="BA1147" s="842" t="s">
        <v>120</v>
      </c>
      <c r="BB1147" s="863" t="s">
        <v>121</v>
      </c>
      <c r="BC1147" s="864">
        <v>45826</v>
      </c>
      <c r="BD1147" s="860" t="s">
        <v>3954</v>
      </c>
      <c r="BE1147" s="865" cm="1">
        <f t="array" ref="BE1147">IF(BD1147="","",AC1147/SUMPRODUCT(--(BD1147=$BD$4:$BD$12824),$AC$4:$AC$12824))</f>
        <v>3.5076630817788813E-2</v>
      </c>
      <c r="BF1147" s="458"/>
      <c r="BG1147" s="458"/>
      <c r="BH1147" s="458"/>
      <c r="BI1147" s="458"/>
      <c r="BJ1147" s="458"/>
      <c r="BK1147" s="458"/>
      <c r="BL1147" s="458"/>
      <c r="BM1147" s="458"/>
      <c r="BN1147" s="458"/>
      <c r="BO1147" s="866">
        <f>VLOOKUP(BD1147,$BD$4:$BN$12824,3,0)*BE1147</f>
        <v>660183.58241515048</v>
      </c>
      <c r="BP1147" s="866"/>
      <c r="BQ1147" s="866"/>
      <c r="BR1147" s="866">
        <f>VLOOKUP(BD1147,$BD$4:$BN$12824,6,0)*BE1147</f>
        <v>233760.66460952771</v>
      </c>
      <c r="BS1147" s="866">
        <f>VLOOKUP(BD1147,$BD$4:$BN$12824,7,0)*BE1147</f>
        <v>18573.95293378962</v>
      </c>
      <c r="BT1147" s="866"/>
      <c r="BU1147" s="866">
        <f>VLOOKUP(BD1147,$BD$4:$BN$12824,9,0)*BE1147</f>
        <v>959.17046971243508</v>
      </c>
      <c r="BV1147" s="867"/>
      <c r="BW1147" s="867">
        <f>VLOOKUP(BD1147,$BD$4:$BN$12824,11,0)*BE1147</f>
        <v>21045.978490673289</v>
      </c>
      <c r="BX1147" s="1146">
        <f t="shared" si="218"/>
        <v>934523.34891885344</v>
      </c>
      <c r="BY1147" s="867">
        <f t="shared" si="215"/>
        <v>1100766.6105898877</v>
      </c>
      <c r="BZ1147" s="867">
        <f t="shared" si="213"/>
        <v>22015332.211797755</v>
      </c>
      <c r="CA1147" s="867">
        <f>_xlfn.MAXIFS($BY$4:$BY$12824,$S$4:$S$12824,$S1147)</f>
        <v>1100766.6105898877</v>
      </c>
      <c r="CB1147" s="1032"/>
      <c r="CF1147" s="946">
        <f t="shared" si="214"/>
        <v>19102666.463040005</v>
      </c>
    </row>
    <row r="1148" spans="1:84">
      <c r="A1148" s="1032"/>
      <c r="B1148" s="839" t="s">
        <v>98</v>
      </c>
      <c r="C1148" s="839" t="s">
        <v>273</v>
      </c>
      <c r="D1148" s="839" t="s">
        <v>3944</v>
      </c>
      <c r="E1148" s="839" t="s">
        <v>3944</v>
      </c>
      <c r="F1148" s="841">
        <v>45680</v>
      </c>
      <c r="G1148" s="840" t="s">
        <v>273</v>
      </c>
      <c r="H1148" s="842" t="s">
        <v>134</v>
      </c>
      <c r="I1148" s="842"/>
      <c r="J1148" s="841"/>
      <c r="K1148" s="841"/>
      <c r="L1148" s="843" t="s">
        <v>106</v>
      </c>
      <c r="M1148" s="844" t="s">
        <v>275</v>
      </c>
      <c r="N1148" s="841"/>
      <c r="O1148" s="841" t="s">
        <v>150</v>
      </c>
      <c r="P1148" s="841" t="s">
        <v>276</v>
      </c>
      <c r="Q1148" s="843"/>
      <c r="R1148" s="845">
        <v>15168</v>
      </c>
      <c r="S1148" s="1127" t="s">
        <v>4007</v>
      </c>
      <c r="T1148" s="843" t="s">
        <v>4008</v>
      </c>
      <c r="U1148" s="842">
        <v>20</v>
      </c>
      <c r="V1148" s="842" t="s">
        <v>3</v>
      </c>
      <c r="W1148" s="846">
        <v>3.58</v>
      </c>
      <c r="X1148" s="847">
        <f t="shared" si="208"/>
        <v>71.599999999999994</v>
      </c>
      <c r="Y1148" s="848">
        <v>0.56999999999999995</v>
      </c>
      <c r="Z1148" s="849">
        <v>1.5394000000000001</v>
      </c>
      <c r="AA1148" s="849"/>
      <c r="AB1148" s="849">
        <f t="shared" si="209"/>
        <v>30.788000000000004</v>
      </c>
      <c r="AC1148" s="850">
        <f t="shared" si="210"/>
        <v>30.788000000000004</v>
      </c>
      <c r="AD1148" s="851">
        <f t="shared" si="219"/>
        <v>32000</v>
      </c>
      <c r="AE1148" s="852">
        <v>29506.38</v>
      </c>
      <c r="AF1148" s="853">
        <v>0.1</v>
      </c>
      <c r="AG1148" s="854">
        <f t="shared" si="211"/>
        <v>94072.12794132893</v>
      </c>
      <c r="AH1148" s="853">
        <v>0.08</v>
      </c>
      <c r="AI1148" s="855">
        <f t="shared" si="212"/>
        <v>80201.164430506324</v>
      </c>
      <c r="AJ1148" s="845" t="s">
        <v>3949</v>
      </c>
      <c r="AK1148" s="857">
        <v>45768</v>
      </c>
      <c r="AL1148" s="840" t="s">
        <v>3950</v>
      </c>
      <c r="AM1148" s="840"/>
      <c r="AN1148" s="858"/>
      <c r="AO1148" s="844" t="s">
        <v>3951</v>
      </c>
      <c r="AP1148" s="859"/>
      <c r="AQ1148" s="859" t="s">
        <v>3952</v>
      </c>
      <c r="AR1148" s="859">
        <v>45821</v>
      </c>
      <c r="AS1148" s="840"/>
      <c r="AT1148" s="840"/>
      <c r="AU1148" s="842" t="s">
        <v>1210</v>
      </c>
      <c r="AV1148" s="839" t="s">
        <v>3953</v>
      </c>
      <c r="AW1148" s="861">
        <v>45824</v>
      </c>
      <c r="AX1148" s="862"/>
      <c r="AY1148" s="843"/>
      <c r="AZ1148" s="842"/>
      <c r="BA1148" s="842" t="s">
        <v>120</v>
      </c>
      <c r="BB1148" s="863" t="s">
        <v>121</v>
      </c>
      <c r="BC1148" s="864">
        <v>45826</v>
      </c>
      <c r="BD1148" s="860" t="s">
        <v>3954</v>
      </c>
      <c r="BE1148" s="865" cm="1">
        <f t="array" ref="BE1148">IF(BD1148="","",AC1148/SUMPRODUCT(--(BD1148=$BD$4:$BD$12824),$AC$4:$AC$12824))</f>
        <v>1.6680969490925073E-3</v>
      </c>
      <c r="BF1148" s="458"/>
      <c r="BG1148" s="458"/>
      <c r="BH1148" s="458"/>
      <c r="BI1148" s="458"/>
      <c r="BJ1148" s="458"/>
      <c r="BK1148" s="458"/>
      <c r="BL1148" s="458"/>
      <c r="BM1148" s="458"/>
      <c r="BN1148" s="458"/>
      <c r="BO1148" s="866">
        <f>VLOOKUP(BD1148,$BD$4:$BN$12824,3,0)*BE1148</f>
        <v>31395.552936320917</v>
      </c>
      <c r="BP1148" s="866"/>
      <c r="BQ1148" s="866"/>
      <c r="BR1148" s="866">
        <f>VLOOKUP(BD1148,$BD$4:$BN$12824,6,0)*BE1148</f>
        <v>11116.673476382959</v>
      </c>
      <c r="BS1148" s="866">
        <f>VLOOKUP(BD1148,$BD$4:$BN$12824,7,0)*BE1148</f>
        <v>883.29903696820986</v>
      </c>
      <c r="BT1148" s="866"/>
      <c r="BU1148" s="866">
        <f>VLOOKUP(BD1148,$BD$4:$BN$12824,9,0)*BE1148</f>
        <v>45.614111072934612</v>
      </c>
      <c r="BV1148" s="867"/>
      <c r="BW1148" s="867">
        <f>VLOOKUP(BD1148,$BD$4:$BN$12824,11,0)*BE1148</f>
        <v>1000.8581694555044</v>
      </c>
      <c r="BX1148" s="1146">
        <f t="shared" si="218"/>
        <v>44441.997730200528</v>
      </c>
      <c r="BY1148" s="867">
        <f t="shared" si="215"/>
        <v>52347.827655576475</v>
      </c>
      <c r="BZ1148" s="867">
        <f t="shared" si="213"/>
        <v>1046956.5531115294</v>
      </c>
      <c r="CA1148" s="867">
        <f>_xlfn.MAXIFS($BY$4:$BY$12824,$S$4:$S$12824,$S1148)</f>
        <v>72562.395252765811</v>
      </c>
      <c r="CB1148" s="1032"/>
      <c r="CF1148" s="946">
        <f t="shared" si="214"/>
        <v>908442.42744000012</v>
      </c>
    </row>
    <row r="1149" spans="1:84">
      <c r="A1149" s="1032"/>
      <c r="B1149" s="839" t="s">
        <v>98</v>
      </c>
      <c r="C1149" s="839" t="s">
        <v>273</v>
      </c>
      <c r="D1149" s="839" t="s">
        <v>3944</v>
      </c>
      <c r="E1149" s="839" t="s">
        <v>3944</v>
      </c>
      <c r="F1149" s="841">
        <v>45680</v>
      </c>
      <c r="G1149" s="840" t="s">
        <v>273</v>
      </c>
      <c r="H1149" s="842" t="s">
        <v>134</v>
      </c>
      <c r="I1149" s="842"/>
      <c r="J1149" s="841"/>
      <c r="K1149" s="841"/>
      <c r="L1149" s="843" t="s">
        <v>106</v>
      </c>
      <c r="M1149" s="844" t="s">
        <v>275</v>
      </c>
      <c r="N1149" s="841"/>
      <c r="O1149" s="841" t="s">
        <v>150</v>
      </c>
      <c r="P1149" s="841" t="s">
        <v>276</v>
      </c>
      <c r="Q1149" s="843"/>
      <c r="R1149" s="845">
        <v>16695</v>
      </c>
      <c r="S1149" s="1127" t="s">
        <v>3985</v>
      </c>
      <c r="T1149" s="843" t="s">
        <v>3986</v>
      </c>
      <c r="U1149" s="842">
        <v>20</v>
      </c>
      <c r="V1149" s="842" t="s">
        <v>3</v>
      </c>
      <c r="W1149" s="846">
        <v>10.96</v>
      </c>
      <c r="X1149" s="847">
        <f t="shared" si="208"/>
        <v>219.20000000000002</v>
      </c>
      <c r="Y1149" s="848">
        <v>0.56999999999999995</v>
      </c>
      <c r="Z1149" s="849">
        <v>4.7128000000000005</v>
      </c>
      <c r="AA1149" s="849"/>
      <c r="AB1149" s="849">
        <f t="shared" si="209"/>
        <v>94.256000000000014</v>
      </c>
      <c r="AC1149" s="850">
        <f t="shared" si="210"/>
        <v>94.256000000000014</v>
      </c>
      <c r="AD1149" s="851">
        <f t="shared" si="219"/>
        <v>32000</v>
      </c>
      <c r="AE1149" s="852">
        <v>29506.38</v>
      </c>
      <c r="AF1149" s="853">
        <v>0.1</v>
      </c>
      <c r="AG1149" s="854">
        <f t="shared" si="211"/>
        <v>287997.35258015787</v>
      </c>
      <c r="AH1149" s="853">
        <v>0.08</v>
      </c>
      <c r="AI1149" s="855">
        <f t="shared" si="212"/>
        <v>245532.05646881269</v>
      </c>
      <c r="AJ1149" s="845" t="s">
        <v>3949</v>
      </c>
      <c r="AK1149" s="857">
        <v>45768</v>
      </c>
      <c r="AL1149" s="840" t="s">
        <v>3950</v>
      </c>
      <c r="AM1149" s="840"/>
      <c r="AN1149" s="858"/>
      <c r="AO1149" s="844" t="s">
        <v>3951</v>
      </c>
      <c r="AP1149" s="859"/>
      <c r="AQ1149" s="859" t="s">
        <v>3952</v>
      </c>
      <c r="AR1149" s="859">
        <v>45821</v>
      </c>
      <c r="AS1149" s="840"/>
      <c r="AT1149" s="840"/>
      <c r="AU1149" s="842" t="s">
        <v>1210</v>
      </c>
      <c r="AV1149" s="839" t="s">
        <v>3953</v>
      </c>
      <c r="AW1149" s="861">
        <v>45824</v>
      </c>
      <c r="AX1149" s="862"/>
      <c r="AY1149" s="843"/>
      <c r="AZ1149" s="842"/>
      <c r="BA1149" s="842" t="s">
        <v>120</v>
      </c>
      <c r="BB1149" s="863" t="s">
        <v>121</v>
      </c>
      <c r="BC1149" s="864">
        <v>45826</v>
      </c>
      <c r="BD1149" s="860" t="s">
        <v>3954</v>
      </c>
      <c r="BE1149" s="865" cm="1">
        <f t="array" ref="BE1149">IF(BD1149="","",AC1149/SUMPRODUCT(--(BD1149=$BD$4:$BD$12824),$AC$4:$AC$12824))</f>
        <v>5.1067995983390731E-3</v>
      </c>
      <c r="BF1149" s="458"/>
      <c r="BG1149" s="458"/>
      <c r="BH1149" s="458"/>
      <c r="BI1149" s="458"/>
      <c r="BJ1149" s="458"/>
      <c r="BK1149" s="458"/>
      <c r="BL1149" s="458"/>
      <c r="BM1149" s="458"/>
      <c r="BN1149" s="458"/>
      <c r="BO1149" s="866">
        <f>VLOOKUP(BD1149,$BD$4:$BN$12824,3,0)*BE1149</f>
        <v>96115.994464267395</v>
      </c>
      <c r="BP1149" s="866"/>
      <c r="BQ1149" s="866"/>
      <c r="BR1149" s="866">
        <f>VLOOKUP(BD1149,$BD$4:$BN$12824,6,0)*BE1149</f>
        <v>34033.167961217106</v>
      </c>
      <c r="BS1149" s="866">
        <f>VLOOKUP(BD1149,$BD$4:$BN$12824,7,0)*BE1149</f>
        <v>2704.1780573104975</v>
      </c>
      <c r="BT1149" s="866"/>
      <c r="BU1149" s="866">
        <f>VLOOKUP(BD1149,$BD$4:$BN$12824,9,0)*BE1149</f>
        <v>139.64543501658196</v>
      </c>
      <c r="BV1149" s="867"/>
      <c r="BW1149" s="867">
        <f>VLOOKUP(BD1149,$BD$4:$BN$12824,11,0)*BE1149</f>
        <v>3064.079759003444</v>
      </c>
      <c r="BX1149" s="1146">
        <f t="shared" si="218"/>
        <v>136057.06567681502</v>
      </c>
      <c r="BY1149" s="867">
        <f t="shared" si="215"/>
        <v>160260.38857684867</v>
      </c>
      <c r="BZ1149" s="867">
        <f t="shared" si="213"/>
        <v>3205207.7715369733</v>
      </c>
      <c r="CA1149" s="867">
        <f>_xlfn.MAXIFS($BY$4:$BY$12824,$S$4:$S$12824,$S1149)</f>
        <v>160260.38857684867</v>
      </c>
      <c r="CB1149" s="1032"/>
      <c r="CF1149" s="946">
        <f t="shared" si="214"/>
        <v>2781153.3532800004</v>
      </c>
    </row>
    <row r="1150" spans="1:84">
      <c r="A1150" s="1032"/>
      <c r="B1150" s="839" t="s">
        <v>98</v>
      </c>
      <c r="C1150" s="839" t="s">
        <v>273</v>
      </c>
      <c r="D1150" s="839" t="s">
        <v>3944</v>
      </c>
      <c r="E1150" s="839" t="s">
        <v>3944</v>
      </c>
      <c r="F1150" s="841">
        <v>45680</v>
      </c>
      <c r="G1150" s="840" t="s">
        <v>273</v>
      </c>
      <c r="H1150" s="842" t="s">
        <v>134</v>
      </c>
      <c r="I1150" s="842"/>
      <c r="J1150" s="841"/>
      <c r="K1150" s="841"/>
      <c r="L1150" s="843" t="s">
        <v>106</v>
      </c>
      <c r="M1150" s="844" t="s">
        <v>275</v>
      </c>
      <c r="N1150" s="841"/>
      <c r="O1150" s="841" t="s">
        <v>150</v>
      </c>
      <c r="P1150" s="841" t="s">
        <v>276</v>
      </c>
      <c r="Q1150" s="843"/>
      <c r="R1150" s="845">
        <v>16696</v>
      </c>
      <c r="S1150" s="1127" t="s">
        <v>4009</v>
      </c>
      <c r="T1150" s="843" t="s">
        <v>4010</v>
      </c>
      <c r="U1150" s="842">
        <v>20</v>
      </c>
      <c r="V1150" s="842" t="s">
        <v>3</v>
      </c>
      <c r="W1150" s="846">
        <v>15.71</v>
      </c>
      <c r="X1150" s="847">
        <f t="shared" si="208"/>
        <v>314.20000000000005</v>
      </c>
      <c r="Y1150" s="848">
        <v>0.56999999999999995</v>
      </c>
      <c r="Z1150" s="849">
        <v>6.755300000000001</v>
      </c>
      <c r="AA1150" s="849"/>
      <c r="AB1150" s="849">
        <f t="shared" si="209"/>
        <v>135.10600000000002</v>
      </c>
      <c r="AC1150" s="850">
        <f t="shared" si="210"/>
        <v>135.10600000000002</v>
      </c>
      <c r="AD1150" s="851">
        <f t="shared" si="219"/>
        <v>32000</v>
      </c>
      <c r="AE1150" s="852">
        <v>29506.38</v>
      </c>
      <c r="AF1150" s="853">
        <v>0.1</v>
      </c>
      <c r="AG1150" s="854">
        <f t="shared" si="211"/>
        <v>412813.72345203289</v>
      </c>
      <c r="AH1150" s="853">
        <v>0.08</v>
      </c>
      <c r="AI1150" s="855">
        <f t="shared" si="212"/>
        <v>351944.21597856272</v>
      </c>
      <c r="AJ1150" s="845" t="s">
        <v>3949</v>
      </c>
      <c r="AK1150" s="857">
        <v>45768</v>
      </c>
      <c r="AL1150" s="840" t="s">
        <v>3950</v>
      </c>
      <c r="AM1150" s="840"/>
      <c r="AN1150" s="858"/>
      <c r="AO1150" s="844" t="s">
        <v>3951</v>
      </c>
      <c r="AP1150" s="859"/>
      <c r="AQ1150" s="859" t="s">
        <v>3952</v>
      </c>
      <c r="AR1150" s="859">
        <v>45821</v>
      </c>
      <c r="AS1150" s="840"/>
      <c r="AT1150" s="840"/>
      <c r="AU1150" s="842" t="s">
        <v>1210</v>
      </c>
      <c r="AV1150" s="839" t="s">
        <v>3953</v>
      </c>
      <c r="AW1150" s="861">
        <v>45824</v>
      </c>
      <c r="AX1150" s="862"/>
      <c r="AY1150" s="843"/>
      <c r="AZ1150" s="842"/>
      <c r="BA1150" s="842" t="s">
        <v>120</v>
      </c>
      <c r="BB1150" s="863" t="s">
        <v>121</v>
      </c>
      <c r="BC1150" s="864">
        <v>45826</v>
      </c>
      <c r="BD1150" s="860" t="s">
        <v>3954</v>
      </c>
      <c r="BE1150" s="865" cm="1">
        <f t="array" ref="BE1150">IF(BD1150="","",AC1150/SUMPRODUCT(--(BD1150=$BD$4:$BD$12824),$AC$4:$AC$12824))</f>
        <v>7.3200567235316453E-3</v>
      </c>
      <c r="BF1150" s="458"/>
      <c r="BG1150" s="458"/>
      <c r="BH1150" s="458"/>
      <c r="BI1150" s="458"/>
      <c r="BJ1150" s="458"/>
      <c r="BK1150" s="458"/>
      <c r="BL1150" s="458"/>
      <c r="BM1150" s="458"/>
      <c r="BN1150" s="458"/>
      <c r="BO1150" s="866">
        <f>VLOOKUP(BD1150,$BD$4:$BN$12824,3,0)*BE1150</f>
        <v>137772.10520379932</v>
      </c>
      <c r="BP1150" s="866"/>
      <c r="BQ1150" s="866"/>
      <c r="BR1150" s="866">
        <f>VLOOKUP(BD1150,$BD$4:$BN$12824,6,0)*BE1150</f>
        <v>48782.944221781094</v>
      </c>
      <c r="BS1150" s="866">
        <f>VLOOKUP(BD1150,$BD$4:$BN$12824,7,0)*BE1150</f>
        <v>3876.1530365280946</v>
      </c>
      <c r="BT1150" s="866"/>
      <c r="BU1150" s="866">
        <f>VLOOKUP(BD1150,$BD$4:$BN$12824,9,0)*BE1150</f>
        <v>200.16695110497284</v>
      </c>
      <c r="BV1150" s="867"/>
      <c r="BW1150" s="867">
        <f>VLOOKUP(BD1150,$BD$4:$BN$12824,11,0)*BE1150</f>
        <v>4392.0340341189876</v>
      </c>
      <c r="BX1150" s="1146">
        <f t="shared" si="218"/>
        <v>195023.40344733247</v>
      </c>
      <c r="BY1150" s="867">
        <f t="shared" si="215"/>
        <v>229716.30515896832</v>
      </c>
      <c r="BZ1150" s="867">
        <f t="shared" si="213"/>
        <v>4594326.1031793663</v>
      </c>
      <c r="CA1150" s="867">
        <f>_xlfn.MAXIFS($BY$4:$BY$12824,$S$4:$S$12824,$S1150)</f>
        <v>229716.30515896832</v>
      </c>
      <c r="CB1150" s="1032"/>
      <c r="CF1150" s="946">
        <f t="shared" si="214"/>
        <v>3986488.976280001</v>
      </c>
    </row>
    <row r="1151" spans="1:84">
      <c r="A1151" s="1032"/>
      <c r="B1151" s="839" t="s">
        <v>98</v>
      </c>
      <c r="C1151" s="839" t="s">
        <v>273</v>
      </c>
      <c r="D1151" s="839" t="s">
        <v>3944</v>
      </c>
      <c r="E1151" s="839" t="s">
        <v>3944</v>
      </c>
      <c r="F1151" s="841">
        <v>45680</v>
      </c>
      <c r="G1151" s="840" t="s">
        <v>273</v>
      </c>
      <c r="H1151" s="842" t="s">
        <v>134</v>
      </c>
      <c r="I1151" s="842"/>
      <c r="J1151" s="841"/>
      <c r="K1151" s="841"/>
      <c r="L1151" s="843" t="s">
        <v>106</v>
      </c>
      <c r="M1151" s="844" t="s">
        <v>275</v>
      </c>
      <c r="N1151" s="841"/>
      <c r="O1151" s="841" t="s">
        <v>150</v>
      </c>
      <c r="P1151" s="841" t="s">
        <v>276</v>
      </c>
      <c r="Q1151" s="843"/>
      <c r="R1151" s="845">
        <v>11211.31</v>
      </c>
      <c r="S1151" s="1127" t="s">
        <v>4011</v>
      </c>
      <c r="T1151" s="843" t="s">
        <v>4012</v>
      </c>
      <c r="U1151" s="842">
        <v>20</v>
      </c>
      <c r="V1151" s="842" t="s">
        <v>3</v>
      </c>
      <c r="W1151" s="846">
        <v>28.488372093023255</v>
      </c>
      <c r="X1151" s="847">
        <f t="shared" si="208"/>
        <v>569.76744186046506</v>
      </c>
      <c r="Y1151" s="848">
        <v>0.56999999999999995</v>
      </c>
      <c r="Z1151" s="849">
        <v>12.25</v>
      </c>
      <c r="AA1151" s="849"/>
      <c r="AB1151" s="849">
        <f t="shared" si="209"/>
        <v>245</v>
      </c>
      <c r="AC1151" s="850">
        <f t="shared" si="210"/>
        <v>245</v>
      </c>
      <c r="AD1151" s="851">
        <f t="shared" si="219"/>
        <v>32000</v>
      </c>
      <c r="AE1151" s="852">
        <v>29506.38</v>
      </c>
      <c r="AF1151" s="853">
        <v>0.1</v>
      </c>
      <c r="AG1151" s="854">
        <f t="shared" si="211"/>
        <v>748592.67719973973</v>
      </c>
      <c r="AH1151" s="853">
        <v>0.08</v>
      </c>
      <c r="AI1151" s="855">
        <f t="shared" si="212"/>
        <v>638212.46217597928</v>
      </c>
      <c r="AJ1151" s="845" t="s">
        <v>3949</v>
      </c>
      <c r="AK1151" s="857">
        <v>45768</v>
      </c>
      <c r="AL1151" s="840" t="s">
        <v>3950</v>
      </c>
      <c r="AM1151" s="840"/>
      <c r="AN1151" s="858"/>
      <c r="AO1151" s="844" t="s">
        <v>3951</v>
      </c>
      <c r="AP1151" s="859"/>
      <c r="AQ1151" s="859" t="s">
        <v>3952</v>
      </c>
      <c r="AR1151" s="859">
        <v>45821</v>
      </c>
      <c r="AS1151" s="840"/>
      <c r="AT1151" s="840"/>
      <c r="AU1151" s="842" t="s">
        <v>1210</v>
      </c>
      <c r="AV1151" s="839" t="s">
        <v>3953</v>
      </c>
      <c r="AW1151" s="861">
        <v>45824</v>
      </c>
      <c r="AX1151" s="862"/>
      <c r="AY1151" s="843"/>
      <c r="AZ1151" s="842"/>
      <c r="BA1151" s="842" t="s">
        <v>120</v>
      </c>
      <c r="BB1151" s="863" t="s">
        <v>121</v>
      </c>
      <c r="BC1151" s="864">
        <v>45826</v>
      </c>
      <c r="BD1151" s="860" t="s">
        <v>3954</v>
      </c>
      <c r="BE1151" s="865" cm="1">
        <f t="array" ref="BE1151">IF(BD1151="","",AC1151/SUMPRODUCT(--(BD1151=$BD$4:$BD$12824),$AC$4:$AC$12824))</f>
        <v>1.3274124741057042E-2</v>
      </c>
      <c r="BF1151" s="458"/>
      <c r="BG1151" s="458"/>
      <c r="BH1151" s="458"/>
      <c r="BI1151" s="458"/>
      <c r="BJ1151" s="458"/>
      <c r="BK1151" s="458"/>
      <c r="BL1151" s="458"/>
      <c r="BM1151" s="458"/>
      <c r="BN1151" s="458"/>
      <c r="BO1151" s="866">
        <f>VLOOKUP(BD1151,$BD$4:$BN$12824,3,0)*BE1151</f>
        <v>249834.69109388799</v>
      </c>
      <c r="BP1151" s="866"/>
      <c r="BQ1151" s="866"/>
      <c r="BR1151" s="866">
        <f>VLOOKUP(BD1151,$BD$4:$BN$12824,6,0)*BE1151</f>
        <v>88462.550399955333</v>
      </c>
      <c r="BS1151" s="866">
        <f>VLOOKUP(BD1151,$BD$4:$BN$12824,7,0)*BE1151</f>
        <v>7028.9809035082299</v>
      </c>
      <c r="BT1151" s="866"/>
      <c r="BU1151" s="866">
        <f>VLOOKUP(BD1151,$BD$4:$BN$12824,9,0)*BE1151</f>
        <v>362.98094104420483</v>
      </c>
      <c r="BV1151" s="867"/>
      <c r="BW1151" s="867">
        <f>VLOOKUP(BD1151,$BD$4:$BN$12824,11,0)*BE1151</f>
        <v>7964.4748446342255</v>
      </c>
      <c r="BX1151" s="1146">
        <f t="shared" si="218"/>
        <v>353653.67818303005</v>
      </c>
      <c r="BY1151" s="867">
        <f t="shared" si="215"/>
        <v>416565.47276913852</v>
      </c>
      <c r="BZ1151" s="867">
        <f t="shared" si="213"/>
        <v>8331309.4553827699</v>
      </c>
      <c r="CA1151" s="867">
        <f>_xlfn.MAXIFS($BY$4:$BY$12824,$S$4:$S$12824,$S1151)</f>
        <v>465103.03874944698</v>
      </c>
      <c r="CB1151" s="1032"/>
      <c r="CF1151" s="946">
        <f t="shared" si="214"/>
        <v>7229063.1000000006</v>
      </c>
    </row>
    <row r="1152" spans="1:84">
      <c r="A1152" s="1032"/>
      <c r="B1152" s="839" t="s">
        <v>98</v>
      </c>
      <c r="C1152" s="839" t="s">
        <v>273</v>
      </c>
      <c r="D1152" s="839" t="s">
        <v>3944</v>
      </c>
      <c r="E1152" s="839" t="s">
        <v>3944</v>
      </c>
      <c r="F1152" s="841">
        <v>45680</v>
      </c>
      <c r="G1152" s="840" t="s">
        <v>273</v>
      </c>
      <c r="H1152" s="842" t="s">
        <v>134</v>
      </c>
      <c r="I1152" s="842"/>
      <c r="J1152" s="841"/>
      <c r="K1152" s="841"/>
      <c r="L1152" s="843" t="s">
        <v>106</v>
      </c>
      <c r="M1152" s="844" t="s">
        <v>275</v>
      </c>
      <c r="N1152" s="841"/>
      <c r="O1152" s="841" t="s">
        <v>150</v>
      </c>
      <c r="P1152" s="841" t="s">
        <v>276</v>
      </c>
      <c r="Q1152" s="843"/>
      <c r="R1152" s="845">
        <v>15438</v>
      </c>
      <c r="S1152" s="1127" t="s">
        <v>4013</v>
      </c>
      <c r="T1152" s="843" t="s">
        <v>4014</v>
      </c>
      <c r="U1152" s="842">
        <v>30</v>
      </c>
      <c r="V1152" s="842" t="s">
        <v>3</v>
      </c>
      <c r="W1152" s="846">
        <v>3.5813953488372094</v>
      </c>
      <c r="X1152" s="847">
        <f t="shared" si="208"/>
        <v>107.44186046511628</v>
      </c>
      <c r="Y1152" s="848">
        <v>0.56999999999999995</v>
      </c>
      <c r="Z1152" s="849">
        <v>1.54</v>
      </c>
      <c r="AA1152" s="849"/>
      <c r="AB1152" s="849">
        <f t="shared" si="209"/>
        <v>46.2</v>
      </c>
      <c r="AC1152" s="850">
        <f t="shared" si="210"/>
        <v>46.2</v>
      </c>
      <c r="AD1152" s="851">
        <f t="shared" si="219"/>
        <v>32000</v>
      </c>
      <c r="AE1152" s="852">
        <v>29506.38</v>
      </c>
      <c r="AF1152" s="853">
        <v>0.1</v>
      </c>
      <c r="AG1152" s="854">
        <f t="shared" si="211"/>
        <v>141163.19055766519</v>
      </c>
      <c r="AH1152" s="853">
        <v>0.08</v>
      </c>
      <c r="AI1152" s="855">
        <f t="shared" si="212"/>
        <v>120348.63572461322</v>
      </c>
      <c r="AJ1152" s="845" t="s">
        <v>3949</v>
      </c>
      <c r="AK1152" s="857">
        <v>45768</v>
      </c>
      <c r="AL1152" s="840" t="s">
        <v>3950</v>
      </c>
      <c r="AM1152" s="840"/>
      <c r="AN1152" s="858"/>
      <c r="AO1152" s="844" t="s">
        <v>3951</v>
      </c>
      <c r="AP1152" s="859"/>
      <c r="AQ1152" s="859" t="s">
        <v>3952</v>
      </c>
      <c r="AR1152" s="859">
        <v>45821</v>
      </c>
      <c r="AS1152" s="840"/>
      <c r="AT1152" s="840"/>
      <c r="AU1152" s="842" t="s">
        <v>1210</v>
      </c>
      <c r="AV1152" s="839" t="s">
        <v>3953</v>
      </c>
      <c r="AW1152" s="861">
        <v>45824</v>
      </c>
      <c r="AX1152" s="862"/>
      <c r="AY1152" s="843"/>
      <c r="AZ1152" s="842"/>
      <c r="BA1152" s="842" t="s">
        <v>120</v>
      </c>
      <c r="BB1152" s="863" t="s">
        <v>121</v>
      </c>
      <c r="BC1152" s="864">
        <v>45826</v>
      </c>
      <c r="BD1152" s="860" t="s">
        <v>3954</v>
      </c>
      <c r="BE1152" s="865" cm="1">
        <f t="array" ref="BE1152">IF(BD1152="","",AC1152/SUMPRODUCT(--(BD1152=$BD$4:$BD$12824),$AC$4:$AC$12824))</f>
        <v>2.5031206654564709E-3</v>
      </c>
      <c r="BF1152" s="458"/>
      <c r="BG1152" s="458"/>
      <c r="BH1152" s="458"/>
      <c r="BI1152" s="458"/>
      <c r="BJ1152" s="458"/>
      <c r="BK1152" s="458"/>
      <c r="BL1152" s="458"/>
      <c r="BM1152" s="458"/>
      <c r="BN1152" s="458"/>
      <c r="BO1152" s="866">
        <f>VLOOKUP(BD1152,$BD$4:$BN$12824,3,0)*BE1152</f>
        <v>47111.684606276023</v>
      </c>
      <c r="BP1152" s="866"/>
      <c r="BQ1152" s="866"/>
      <c r="BR1152" s="866">
        <f>VLOOKUP(BD1152,$BD$4:$BN$12824,6,0)*BE1152</f>
        <v>16681.509503991576</v>
      </c>
      <c r="BS1152" s="866">
        <f>VLOOKUP(BD1152,$BD$4:$BN$12824,7,0)*BE1152</f>
        <v>1325.4649703758378</v>
      </c>
      <c r="BT1152" s="866"/>
      <c r="BU1152" s="866">
        <f>VLOOKUP(BD1152,$BD$4:$BN$12824,9,0)*BE1152</f>
        <v>68.4478345969072</v>
      </c>
      <c r="BV1152" s="867"/>
      <c r="BW1152" s="867">
        <f>VLOOKUP(BD1152,$BD$4:$BN$12824,11,0)*BE1152</f>
        <v>1501.8723992738826</v>
      </c>
      <c r="BX1152" s="1146">
        <f t="shared" si="218"/>
        <v>66688.979314514232</v>
      </c>
      <c r="BY1152" s="867">
        <f t="shared" si="215"/>
        <v>52368.230862405981</v>
      </c>
      <c r="BZ1152" s="867">
        <f t="shared" si="213"/>
        <v>1571046.9258721794</v>
      </c>
      <c r="CA1152" s="867">
        <f>_xlfn.MAXIFS($BY$4:$BY$12824,$S$4:$S$12824,$S1152)</f>
        <v>52368.230862405981</v>
      </c>
      <c r="CB1152" s="1032"/>
      <c r="CF1152" s="946">
        <f t="shared" si="214"/>
        <v>1363194.7560000001</v>
      </c>
    </row>
    <row r="1153" spans="1:84">
      <c r="A1153" s="1032"/>
      <c r="B1153" s="839" t="s">
        <v>98</v>
      </c>
      <c r="C1153" s="839" t="s">
        <v>273</v>
      </c>
      <c r="D1153" s="839" t="s">
        <v>3944</v>
      </c>
      <c r="E1153" s="839" t="s">
        <v>3944</v>
      </c>
      <c r="F1153" s="841">
        <v>45680</v>
      </c>
      <c r="G1153" s="840" t="s">
        <v>273</v>
      </c>
      <c r="H1153" s="842" t="s">
        <v>102</v>
      </c>
      <c r="I1153" s="842" t="s">
        <v>4015</v>
      </c>
      <c r="J1153" s="841" t="s">
        <v>4016</v>
      </c>
      <c r="K1153" s="841" t="s">
        <v>4017</v>
      </c>
      <c r="L1153" s="843" t="s">
        <v>106</v>
      </c>
      <c r="M1153" s="844" t="s">
        <v>275</v>
      </c>
      <c r="N1153" s="841"/>
      <c r="O1153" s="841" t="s">
        <v>150</v>
      </c>
      <c r="P1153" s="841" t="s">
        <v>4018</v>
      </c>
      <c r="Q1153" s="843"/>
      <c r="R1153" s="845">
        <v>11103.24</v>
      </c>
      <c r="S1153" s="1127" t="s">
        <v>4019</v>
      </c>
      <c r="T1153" s="843" t="s">
        <v>4020</v>
      </c>
      <c r="U1153" s="842">
        <v>2</v>
      </c>
      <c r="V1153" s="842" t="s">
        <v>3</v>
      </c>
      <c r="W1153" s="846">
        <v>78.290000000000006</v>
      </c>
      <c r="X1153" s="847">
        <f t="shared" si="208"/>
        <v>156.58000000000001</v>
      </c>
      <c r="Y1153" s="848">
        <v>0.5</v>
      </c>
      <c r="Z1153" s="849">
        <v>39.15</v>
      </c>
      <c r="AA1153" s="849"/>
      <c r="AB1153" s="849">
        <f t="shared" si="209"/>
        <v>78.3</v>
      </c>
      <c r="AC1153" s="850">
        <f t="shared" si="210"/>
        <v>78.3</v>
      </c>
      <c r="AD1153" s="851">
        <f t="shared" si="219"/>
        <v>32000</v>
      </c>
      <c r="AE1153" s="852">
        <v>29506.38</v>
      </c>
      <c r="AF1153" s="853">
        <v>0.1</v>
      </c>
      <c r="AG1153" s="854">
        <f t="shared" si="211"/>
        <v>239244.10867240658</v>
      </c>
      <c r="AH1153" s="853">
        <v>0.08</v>
      </c>
      <c r="AI1153" s="855">
        <f t="shared" si="212"/>
        <v>203967.49301379253</v>
      </c>
      <c r="AJ1153" s="845" t="s">
        <v>3949</v>
      </c>
      <c r="AK1153" s="857">
        <v>45768</v>
      </c>
      <c r="AL1153" s="840" t="s">
        <v>3950</v>
      </c>
      <c r="AM1153" s="840"/>
      <c r="AN1153" s="858"/>
      <c r="AO1153" s="844" t="s">
        <v>3951</v>
      </c>
      <c r="AP1153" s="859"/>
      <c r="AQ1153" s="859" t="s">
        <v>3952</v>
      </c>
      <c r="AR1153" s="859">
        <v>45821</v>
      </c>
      <c r="AS1153" s="840"/>
      <c r="AT1153" s="840"/>
      <c r="AU1153" s="842" t="s">
        <v>1210</v>
      </c>
      <c r="AV1153" s="839" t="s">
        <v>3953</v>
      </c>
      <c r="AW1153" s="861">
        <v>45824</v>
      </c>
      <c r="AX1153" s="862"/>
      <c r="AY1153" s="843"/>
      <c r="AZ1153" s="842"/>
      <c r="BA1153" s="842" t="s">
        <v>120</v>
      </c>
      <c r="BB1153" s="863" t="s">
        <v>121</v>
      </c>
      <c r="BC1153" s="864">
        <v>45826</v>
      </c>
      <c r="BD1153" s="860" t="s">
        <v>3954</v>
      </c>
      <c r="BE1153" s="865" cm="1">
        <f t="array" ref="BE1153">IF(BD1153="","",AC1153/SUMPRODUCT(--(BD1153=$BD$4:$BD$12824),$AC$4:$AC$12824))</f>
        <v>4.2423019070398629E-3</v>
      </c>
      <c r="BF1153" s="458"/>
      <c r="BG1153" s="458"/>
      <c r="BH1153" s="458"/>
      <c r="BI1153" s="458"/>
      <c r="BJ1153" s="458"/>
      <c r="BK1153" s="458"/>
      <c r="BL1153" s="458"/>
      <c r="BM1153" s="458"/>
      <c r="BN1153" s="458"/>
      <c r="BO1153" s="866">
        <f>VLOOKUP(BD1153,$BD$4:$BN$12824,3,0)*BE1153</f>
        <v>79845.127806740522</v>
      </c>
      <c r="BP1153" s="866"/>
      <c r="BQ1153" s="866"/>
      <c r="BR1153" s="866">
        <f>VLOOKUP(BD1153,$BD$4:$BN$12824,6,0)*BE1153</f>
        <v>28271.908964557151</v>
      </c>
      <c r="BS1153" s="866">
        <f>VLOOKUP(BD1153,$BD$4:$BN$12824,7,0)*BE1153</f>
        <v>2246.4049173252833</v>
      </c>
      <c r="BT1153" s="866"/>
      <c r="BU1153" s="866">
        <f>VLOOKUP(BD1153,$BD$4:$BN$12824,9,0)*BE1153</f>
        <v>116.00574564800505</v>
      </c>
      <c r="BV1153" s="867"/>
      <c r="BW1153" s="867">
        <f>VLOOKUP(BD1153,$BD$4:$BN$12824,11,0)*BE1153</f>
        <v>2545.3811442239175</v>
      </c>
      <c r="BX1153" s="1146">
        <f t="shared" si="218"/>
        <v>113024.82857849488</v>
      </c>
      <c r="BY1153" s="867">
        <f t="shared" si="215"/>
        <v>1331309.2456254507</v>
      </c>
      <c r="BZ1153" s="867">
        <f t="shared" si="213"/>
        <v>2662618.4912509015</v>
      </c>
      <c r="CA1153" s="867">
        <f>_xlfn.MAXIFS($BY$4:$BY$12824,$S$4:$S$12824,$S1153)</f>
        <v>1720626.9149939986</v>
      </c>
      <c r="CB1153" s="1032"/>
      <c r="CF1153" s="946">
        <f t="shared" si="214"/>
        <v>2310349.554</v>
      </c>
    </row>
    <row r="1154" spans="1:84">
      <c r="A1154" s="1032"/>
      <c r="B1154" s="839" t="s">
        <v>98</v>
      </c>
      <c r="C1154" s="839" t="s">
        <v>273</v>
      </c>
      <c r="D1154" s="839" t="s">
        <v>3944</v>
      </c>
      <c r="E1154" s="839" t="s">
        <v>3944</v>
      </c>
      <c r="F1154" s="841">
        <v>45680</v>
      </c>
      <c r="G1154" s="840" t="s">
        <v>273</v>
      </c>
      <c r="H1154" s="842" t="s">
        <v>102</v>
      </c>
      <c r="I1154" s="842" t="s">
        <v>4015</v>
      </c>
      <c r="J1154" s="841" t="s">
        <v>4016</v>
      </c>
      <c r="K1154" s="841" t="s">
        <v>4017</v>
      </c>
      <c r="L1154" s="843" t="s">
        <v>106</v>
      </c>
      <c r="M1154" s="844" t="s">
        <v>275</v>
      </c>
      <c r="N1154" s="841"/>
      <c r="O1154" s="841" t="s">
        <v>150</v>
      </c>
      <c r="P1154" s="841" t="s">
        <v>4018</v>
      </c>
      <c r="Q1154" s="843"/>
      <c r="R1154" s="845">
        <v>14108.24</v>
      </c>
      <c r="S1154" s="1127" t="s">
        <v>4021</v>
      </c>
      <c r="T1154" s="843" t="s">
        <v>4022</v>
      </c>
      <c r="U1154" s="842">
        <v>2</v>
      </c>
      <c r="V1154" s="842" t="s">
        <v>3</v>
      </c>
      <c r="W1154" s="846">
        <v>4.96</v>
      </c>
      <c r="X1154" s="847">
        <f t="shared" ref="X1154:X1217" si="220">W1154*U1154</f>
        <v>9.92</v>
      </c>
      <c r="Y1154" s="848">
        <v>0.5</v>
      </c>
      <c r="Z1154" s="849">
        <v>2.48</v>
      </c>
      <c r="AA1154" s="849"/>
      <c r="AB1154" s="849">
        <f t="shared" ref="AB1154:AB1217" si="221">IF(AA1154="F.O.C", 0, Z1154*U1154)</f>
        <v>4.96</v>
      </c>
      <c r="AC1154" s="850">
        <f t="shared" ref="AC1154:AC1217" si="222">Z1154*U1154</f>
        <v>4.96</v>
      </c>
      <c r="AD1154" s="851">
        <f t="shared" si="219"/>
        <v>32000</v>
      </c>
      <c r="AE1154" s="852">
        <v>29506.38</v>
      </c>
      <c r="AF1154" s="853">
        <v>0.1</v>
      </c>
      <c r="AG1154" s="854">
        <f t="shared" ref="AG1154:AG1217" si="223">(AC1154*AE1154+BO1154+BP1154+BQ1154+BS1154)*AF1154</f>
        <v>15155.182362900852</v>
      </c>
      <c r="AH1154" s="853">
        <v>0.08</v>
      </c>
      <c r="AI1154" s="855">
        <f t="shared" ref="AI1154:AI1217" si="224">(AC1154*AE1154+AG1154+BF1154+BG1154+BH1154+BJ1154)*AH1154</f>
        <v>12920.546173032068</v>
      </c>
      <c r="AJ1154" s="845" t="s">
        <v>3949</v>
      </c>
      <c r="AK1154" s="857">
        <v>45768</v>
      </c>
      <c r="AL1154" s="840" t="s">
        <v>3950</v>
      </c>
      <c r="AM1154" s="840"/>
      <c r="AN1154" s="858"/>
      <c r="AO1154" s="844" t="s">
        <v>3951</v>
      </c>
      <c r="AP1154" s="859"/>
      <c r="AQ1154" s="859" t="s">
        <v>3952</v>
      </c>
      <c r="AR1154" s="859">
        <v>45821</v>
      </c>
      <c r="AS1154" s="840"/>
      <c r="AT1154" s="840"/>
      <c r="AU1154" s="842" t="s">
        <v>1210</v>
      </c>
      <c r="AV1154" s="839" t="s">
        <v>3953</v>
      </c>
      <c r="AW1154" s="861">
        <v>45824</v>
      </c>
      <c r="AX1154" s="862"/>
      <c r="AY1154" s="843"/>
      <c r="AZ1154" s="842"/>
      <c r="BA1154" s="842" t="s">
        <v>120</v>
      </c>
      <c r="BB1154" s="863" t="s">
        <v>121</v>
      </c>
      <c r="BC1154" s="864">
        <v>45826</v>
      </c>
      <c r="BD1154" s="860" t="s">
        <v>3954</v>
      </c>
      <c r="BE1154" s="865" cm="1">
        <f t="array" ref="BE1154">IF(BD1154="","",AC1154/SUMPRODUCT(--(BD1154=$BD$4:$BD$12824),$AC$4:$AC$12824))</f>
        <v>2.6873330088017522E-4</v>
      </c>
      <c r="BF1154" s="458"/>
      <c r="BG1154" s="458"/>
      <c r="BH1154" s="458"/>
      <c r="BI1154" s="458"/>
      <c r="BJ1154" s="458"/>
      <c r="BK1154" s="458"/>
      <c r="BL1154" s="458"/>
      <c r="BM1154" s="458"/>
      <c r="BN1154" s="458"/>
      <c r="BO1154" s="866">
        <f>VLOOKUP(BD1154,$BD$4:$BN$12824,3,0)*BE1154</f>
        <v>5057.8778278599366</v>
      </c>
      <c r="BP1154" s="866"/>
      <c r="BQ1154" s="866"/>
      <c r="BR1154" s="866">
        <f>VLOOKUP(BD1154,$BD$4:$BN$12824,6,0)*BE1154</f>
        <v>1790.9153060562385</v>
      </c>
      <c r="BS1154" s="866">
        <f>VLOOKUP(BD1154,$BD$4:$BN$12824,7,0)*BE1154</f>
        <v>142.30100114857478</v>
      </c>
      <c r="BT1154" s="866"/>
      <c r="BU1154" s="866">
        <f>VLOOKUP(BD1154,$BD$4:$BN$12824,9,0)*BE1154</f>
        <v>7.3485121125683914</v>
      </c>
      <c r="BV1154" s="867"/>
      <c r="BW1154" s="867">
        <f>VLOOKUP(BD1154,$BD$4:$BN$12824,11,0)*BE1154</f>
        <v>161.23998052810512</v>
      </c>
      <c r="BX1154" s="1146">
        <f t="shared" si="218"/>
        <v>7159.6826277054233</v>
      </c>
      <c r="BY1154" s="867">
        <f t="shared" si="215"/>
        <v>84333.254895303136</v>
      </c>
      <c r="BZ1154" s="867">
        <f t="shared" ref="BZ1154:BZ1217" si="225">BY1154*U1154</f>
        <v>168666.50979060627</v>
      </c>
      <c r="CA1154" s="867">
        <f>_xlfn.MAXIFS($BY$4:$BY$12824,$S$4:$S$12824,$S1154)</f>
        <v>97385.845927534101</v>
      </c>
      <c r="CB1154" s="1032"/>
      <c r="CF1154" s="946">
        <f t="shared" si="214"/>
        <v>146351.64480000001</v>
      </c>
    </row>
    <row r="1155" spans="1:84">
      <c r="A1155" s="1032"/>
      <c r="B1155" s="839" t="s">
        <v>98</v>
      </c>
      <c r="C1155" s="839" t="s">
        <v>273</v>
      </c>
      <c r="D1155" s="839" t="s">
        <v>3944</v>
      </c>
      <c r="E1155" s="839" t="s">
        <v>3944</v>
      </c>
      <c r="F1155" s="841">
        <v>45680</v>
      </c>
      <c r="G1155" s="840" t="s">
        <v>273</v>
      </c>
      <c r="H1155" s="842" t="s">
        <v>102</v>
      </c>
      <c r="I1155" s="842" t="s">
        <v>4015</v>
      </c>
      <c r="J1155" s="841" t="s">
        <v>4016</v>
      </c>
      <c r="K1155" s="841" t="s">
        <v>4017</v>
      </c>
      <c r="L1155" s="843" t="s">
        <v>106</v>
      </c>
      <c r="M1155" s="844" t="s">
        <v>275</v>
      </c>
      <c r="N1155" s="841"/>
      <c r="O1155" s="841" t="s">
        <v>150</v>
      </c>
      <c r="P1155" s="841" t="s">
        <v>4018</v>
      </c>
      <c r="Q1155" s="843"/>
      <c r="R1155" s="845">
        <v>14109.24</v>
      </c>
      <c r="S1155" s="1127" t="s">
        <v>4023</v>
      </c>
      <c r="T1155" s="843" t="s">
        <v>4024</v>
      </c>
      <c r="U1155" s="842">
        <v>2</v>
      </c>
      <c r="V1155" s="842" t="s">
        <v>3</v>
      </c>
      <c r="W1155" s="846">
        <v>4.96</v>
      </c>
      <c r="X1155" s="847">
        <f t="shared" si="220"/>
        <v>9.92</v>
      </c>
      <c r="Y1155" s="848">
        <v>0.5</v>
      </c>
      <c r="Z1155" s="849">
        <v>2.48</v>
      </c>
      <c r="AA1155" s="849"/>
      <c r="AB1155" s="849">
        <f t="shared" si="221"/>
        <v>4.96</v>
      </c>
      <c r="AC1155" s="850">
        <f t="shared" si="222"/>
        <v>4.96</v>
      </c>
      <c r="AD1155" s="851">
        <f t="shared" si="219"/>
        <v>32000</v>
      </c>
      <c r="AE1155" s="852">
        <v>29506.38</v>
      </c>
      <c r="AF1155" s="853">
        <v>0.1</v>
      </c>
      <c r="AG1155" s="854">
        <f t="shared" si="223"/>
        <v>15155.182362900852</v>
      </c>
      <c r="AH1155" s="853">
        <v>0.08</v>
      </c>
      <c r="AI1155" s="855">
        <f t="shared" si="224"/>
        <v>12920.546173032068</v>
      </c>
      <c r="AJ1155" s="845" t="s">
        <v>3949</v>
      </c>
      <c r="AK1155" s="857">
        <v>45768</v>
      </c>
      <c r="AL1155" s="840" t="s">
        <v>3950</v>
      </c>
      <c r="AM1155" s="840"/>
      <c r="AN1155" s="858"/>
      <c r="AO1155" s="844" t="s">
        <v>3951</v>
      </c>
      <c r="AP1155" s="859"/>
      <c r="AQ1155" s="859" t="s">
        <v>3952</v>
      </c>
      <c r="AR1155" s="859">
        <v>45821</v>
      </c>
      <c r="AS1155" s="840"/>
      <c r="AT1155" s="840"/>
      <c r="AU1155" s="842" t="s">
        <v>1210</v>
      </c>
      <c r="AV1155" s="839" t="s">
        <v>3953</v>
      </c>
      <c r="AW1155" s="861">
        <v>45824</v>
      </c>
      <c r="AX1155" s="862"/>
      <c r="AY1155" s="843"/>
      <c r="AZ1155" s="842"/>
      <c r="BA1155" s="842" t="s">
        <v>120</v>
      </c>
      <c r="BB1155" s="863" t="s">
        <v>121</v>
      </c>
      <c r="BC1155" s="864">
        <v>45826</v>
      </c>
      <c r="BD1155" s="860" t="s">
        <v>3954</v>
      </c>
      <c r="BE1155" s="865" cm="1">
        <f t="array" ref="BE1155">IF(BD1155="","",AC1155/SUMPRODUCT(--(BD1155=$BD$4:$BD$12824),$AC$4:$AC$12824))</f>
        <v>2.6873330088017522E-4</v>
      </c>
      <c r="BF1155" s="458"/>
      <c r="BG1155" s="458"/>
      <c r="BH1155" s="458"/>
      <c r="BI1155" s="458"/>
      <c r="BJ1155" s="458"/>
      <c r="BK1155" s="458"/>
      <c r="BL1155" s="458"/>
      <c r="BM1155" s="458"/>
      <c r="BN1155" s="458"/>
      <c r="BO1155" s="866">
        <f>VLOOKUP(BD1155,$BD$4:$BN$12824,3,0)*BE1155</f>
        <v>5057.8778278599366</v>
      </c>
      <c r="BP1155" s="866"/>
      <c r="BQ1155" s="866"/>
      <c r="BR1155" s="866">
        <f>VLOOKUP(BD1155,$BD$4:$BN$12824,6,0)*BE1155</f>
        <v>1790.9153060562385</v>
      </c>
      <c r="BS1155" s="866">
        <f>VLOOKUP(BD1155,$BD$4:$BN$12824,7,0)*BE1155</f>
        <v>142.30100114857478</v>
      </c>
      <c r="BT1155" s="866"/>
      <c r="BU1155" s="866">
        <f>VLOOKUP(BD1155,$BD$4:$BN$12824,9,0)*BE1155</f>
        <v>7.3485121125683914</v>
      </c>
      <c r="BV1155" s="867"/>
      <c r="BW1155" s="867">
        <f>VLOOKUP(BD1155,$BD$4:$BN$12824,11,0)*BE1155</f>
        <v>161.23998052810512</v>
      </c>
      <c r="BX1155" s="1146">
        <f t="shared" si="218"/>
        <v>7159.6826277054233</v>
      </c>
      <c r="BY1155" s="867">
        <f t="shared" si="215"/>
        <v>84333.254895303136</v>
      </c>
      <c r="BZ1155" s="867">
        <f t="shared" si="225"/>
        <v>168666.50979060627</v>
      </c>
      <c r="CA1155" s="867">
        <f>_xlfn.MAXIFS($BY$4:$BY$12824,$S$4:$S$12824,$S1155)</f>
        <v>86261.507330577806</v>
      </c>
      <c r="CB1155" s="1032"/>
      <c r="CF1155" s="946">
        <f t="shared" si="214"/>
        <v>146351.64480000001</v>
      </c>
    </row>
    <row r="1156" spans="1:84">
      <c r="A1156" s="1032"/>
      <c r="B1156" s="839" t="s">
        <v>98</v>
      </c>
      <c r="C1156" s="839" t="s">
        <v>273</v>
      </c>
      <c r="D1156" s="839" t="s">
        <v>3944</v>
      </c>
      <c r="E1156" s="839" t="s">
        <v>3944</v>
      </c>
      <c r="F1156" s="841">
        <v>45680</v>
      </c>
      <c r="G1156" s="840" t="s">
        <v>273</v>
      </c>
      <c r="H1156" s="842" t="s">
        <v>102</v>
      </c>
      <c r="I1156" s="842" t="s">
        <v>4015</v>
      </c>
      <c r="J1156" s="841" t="s">
        <v>4016</v>
      </c>
      <c r="K1156" s="841" t="s">
        <v>4017</v>
      </c>
      <c r="L1156" s="843" t="s">
        <v>106</v>
      </c>
      <c r="M1156" s="844" t="s">
        <v>275</v>
      </c>
      <c r="N1156" s="841"/>
      <c r="O1156" s="841" t="s">
        <v>150</v>
      </c>
      <c r="P1156" s="841" t="s">
        <v>4018</v>
      </c>
      <c r="Q1156" s="843"/>
      <c r="R1156" s="845">
        <v>16787.240000000002</v>
      </c>
      <c r="S1156" s="1127" t="s">
        <v>4025</v>
      </c>
      <c r="T1156" s="843" t="s">
        <v>4026</v>
      </c>
      <c r="U1156" s="842">
        <v>4</v>
      </c>
      <c r="V1156" s="842" t="s">
        <v>3</v>
      </c>
      <c r="W1156" s="846">
        <v>21.78</v>
      </c>
      <c r="X1156" s="847">
        <f t="shared" si="220"/>
        <v>87.12</v>
      </c>
      <c r="Y1156" s="848">
        <v>0.5</v>
      </c>
      <c r="Z1156" s="849">
        <v>10.89</v>
      </c>
      <c r="AA1156" s="849"/>
      <c r="AB1156" s="849">
        <f t="shared" si="221"/>
        <v>43.56</v>
      </c>
      <c r="AC1156" s="850">
        <f t="shared" si="222"/>
        <v>43.56</v>
      </c>
      <c r="AD1156" s="851">
        <f t="shared" si="219"/>
        <v>32000</v>
      </c>
      <c r="AE1156" s="852">
        <v>29506.38</v>
      </c>
      <c r="AF1156" s="853">
        <v>0.1</v>
      </c>
      <c r="AG1156" s="854">
        <f t="shared" si="223"/>
        <v>133096.72252579863</v>
      </c>
      <c r="AH1156" s="853">
        <v>0.08</v>
      </c>
      <c r="AI1156" s="855">
        <f t="shared" si="224"/>
        <v>113471.57082606391</v>
      </c>
      <c r="AJ1156" s="845" t="s">
        <v>3949</v>
      </c>
      <c r="AK1156" s="857">
        <v>45768</v>
      </c>
      <c r="AL1156" s="840" t="s">
        <v>3950</v>
      </c>
      <c r="AM1156" s="840"/>
      <c r="AN1156" s="858"/>
      <c r="AO1156" s="844" t="s">
        <v>3951</v>
      </c>
      <c r="AP1156" s="859"/>
      <c r="AQ1156" s="859" t="s">
        <v>3952</v>
      </c>
      <c r="AR1156" s="859">
        <v>45821</v>
      </c>
      <c r="AS1156" s="840"/>
      <c r="AT1156" s="840"/>
      <c r="AU1156" s="842" t="s">
        <v>1210</v>
      </c>
      <c r="AV1156" s="839" t="s">
        <v>3953</v>
      </c>
      <c r="AW1156" s="861">
        <v>45824</v>
      </c>
      <c r="AX1156" s="862"/>
      <c r="AY1156" s="843"/>
      <c r="AZ1156" s="842"/>
      <c r="BA1156" s="842" t="s">
        <v>120</v>
      </c>
      <c r="BB1156" s="863" t="s">
        <v>121</v>
      </c>
      <c r="BC1156" s="864">
        <v>45826</v>
      </c>
      <c r="BD1156" s="860" t="s">
        <v>3954</v>
      </c>
      <c r="BE1156" s="865" cm="1">
        <f t="array" ref="BE1156">IF(BD1156="","",AC1156/SUMPRODUCT(--(BD1156=$BD$4:$BD$12824),$AC$4:$AC$12824))</f>
        <v>2.3600851988589584E-3</v>
      </c>
      <c r="BF1156" s="458"/>
      <c r="BG1156" s="458"/>
      <c r="BH1156" s="458"/>
      <c r="BI1156" s="458"/>
      <c r="BJ1156" s="458"/>
      <c r="BK1156" s="458"/>
      <c r="BL1156" s="458"/>
      <c r="BM1156" s="458"/>
      <c r="BN1156" s="458"/>
      <c r="BO1156" s="866">
        <f>VLOOKUP(BD1156,$BD$4:$BN$12824,3,0)*BE1156</f>
        <v>44419.588343060248</v>
      </c>
      <c r="BP1156" s="866"/>
      <c r="BQ1156" s="866"/>
      <c r="BR1156" s="866">
        <f>VLOOKUP(BD1156,$BD$4:$BN$12824,6,0)*BE1156</f>
        <v>15728.280389477773</v>
      </c>
      <c r="BS1156" s="866">
        <f>VLOOKUP(BD1156,$BD$4:$BN$12824,7,0)*BE1156</f>
        <v>1249.72411492579</v>
      </c>
      <c r="BT1156" s="866"/>
      <c r="BU1156" s="866">
        <f>VLOOKUP(BD1156,$BD$4:$BN$12824,9,0)*BE1156</f>
        <v>64.536529762798224</v>
      </c>
      <c r="BV1156" s="867"/>
      <c r="BW1156" s="867">
        <f>VLOOKUP(BD1156,$BD$4:$BN$12824,11,0)*BE1156</f>
        <v>1416.051119315375</v>
      </c>
      <c r="BX1156" s="1146">
        <f t="shared" si="218"/>
        <v>62878.180496541987</v>
      </c>
      <c r="BY1156" s="867">
        <f t="shared" si="215"/>
        <v>370318.2039555852</v>
      </c>
      <c r="BZ1156" s="867">
        <f t="shared" si="225"/>
        <v>1481272.8158223408</v>
      </c>
      <c r="CA1156" s="867">
        <f>_xlfn.MAXIFS($BY$4:$BY$12824,$S$4:$S$12824,$S1156)</f>
        <v>370318.2039555852</v>
      </c>
      <c r="CB1156" s="1032"/>
      <c r="CF1156" s="946">
        <f t="shared" ref="CF1156:CF1219" si="226">AC1156*AE1156</f>
        <v>1285297.9128</v>
      </c>
    </row>
    <row r="1157" spans="1:84">
      <c r="A1157" s="1032"/>
      <c r="B1157" s="839" t="s">
        <v>98</v>
      </c>
      <c r="C1157" s="839" t="s">
        <v>273</v>
      </c>
      <c r="D1157" s="839" t="s">
        <v>3944</v>
      </c>
      <c r="E1157" s="839" t="s">
        <v>3944</v>
      </c>
      <c r="F1157" s="841">
        <v>45680</v>
      </c>
      <c r="G1157" s="840" t="s">
        <v>273</v>
      </c>
      <c r="H1157" s="842" t="s">
        <v>102</v>
      </c>
      <c r="I1157" s="842" t="s">
        <v>4015</v>
      </c>
      <c r="J1157" s="841" t="s">
        <v>4016</v>
      </c>
      <c r="K1157" s="841" t="s">
        <v>4017</v>
      </c>
      <c r="L1157" s="843" t="s">
        <v>106</v>
      </c>
      <c r="M1157" s="844" t="s">
        <v>275</v>
      </c>
      <c r="N1157" s="841"/>
      <c r="O1157" s="841" t="s">
        <v>150</v>
      </c>
      <c r="P1157" s="841" t="s">
        <v>4018</v>
      </c>
      <c r="Q1157" s="843"/>
      <c r="R1157" s="845">
        <v>16793.240000000002</v>
      </c>
      <c r="S1157" s="1127" t="s">
        <v>4027</v>
      </c>
      <c r="T1157" s="843" t="s">
        <v>4028</v>
      </c>
      <c r="U1157" s="842">
        <v>4</v>
      </c>
      <c r="V1157" s="842" t="s">
        <v>3</v>
      </c>
      <c r="W1157" s="846">
        <v>26.21</v>
      </c>
      <c r="X1157" s="847">
        <f t="shared" si="220"/>
        <v>104.84</v>
      </c>
      <c r="Y1157" s="848">
        <v>0.5</v>
      </c>
      <c r="Z1157" s="849">
        <v>13.11</v>
      </c>
      <c r="AA1157" s="849"/>
      <c r="AB1157" s="849">
        <f t="shared" si="221"/>
        <v>52.44</v>
      </c>
      <c r="AC1157" s="850">
        <f t="shared" si="222"/>
        <v>52.44</v>
      </c>
      <c r="AD1157" s="851">
        <f t="shared" si="219"/>
        <v>32000</v>
      </c>
      <c r="AE1157" s="852">
        <v>29506.38</v>
      </c>
      <c r="AF1157" s="853">
        <v>0.1</v>
      </c>
      <c r="AG1157" s="854">
        <f t="shared" si="223"/>
        <v>160229.38772389528</v>
      </c>
      <c r="AH1157" s="853">
        <v>0.08</v>
      </c>
      <c r="AI1157" s="855">
        <f t="shared" si="224"/>
        <v>136603.51639391162</v>
      </c>
      <c r="AJ1157" s="845" t="s">
        <v>3949</v>
      </c>
      <c r="AK1157" s="857">
        <v>45768</v>
      </c>
      <c r="AL1157" s="840" t="s">
        <v>3950</v>
      </c>
      <c r="AM1157" s="840"/>
      <c r="AN1157" s="858"/>
      <c r="AO1157" s="844" t="s">
        <v>3951</v>
      </c>
      <c r="AP1157" s="859"/>
      <c r="AQ1157" s="859" t="s">
        <v>3952</v>
      </c>
      <c r="AR1157" s="859">
        <v>45821</v>
      </c>
      <c r="AS1157" s="840"/>
      <c r="AT1157" s="840"/>
      <c r="AU1157" s="842" t="s">
        <v>1210</v>
      </c>
      <c r="AV1157" s="839" t="s">
        <v>3953</v>
      </c>
      <c r="AW1157" s="861">
        <v>45824</v>
      </c>
      <c r="AX1157" s="862"/>
      <c r="AY1157" s="843"/>
      <c r="AZ1157" s="842"/>
      <c r="BA1157" s="842" t="s">
        <v>120</v>
      </c>
      <c r="BB1157" s="863" t="s">
        <v>121</v>
      </c>
      <c r="BC1157" s="864">
        <v>45826</v>
      </c>
      <c r="BD1157" s="860" t="s">
        <v>3954</v>
      </c>
      <c r="BE1157" s="865" cm="1">
        <f t="array" ref="BE1157">IF(BD1157="","",AC1157/SUMPRODUCT(--(BD1157=$BD$4:$BD$12824),$AC$4:$AC$12824))</f>
        <v>2.8412044955960459E-3</v>
      </c>
      <c r="BF1157" s="458"/>
      <c r="BG1157" s="458"/>
      <c r="BH1157" s="458"/>
      <c r="BI1157" s="458"/>
      <c r="BJ1157" s="458"/>
      <c r="BK1157" s="458"/>
      <c r="BL1157" s="458"/>
      <c r="BM1157" s="458"/>
      <c r="BN1157" s="458"/>
      <c r="BO1157" s="866">
        <f>VLOOKUP(BD1157,$BD$4:$BN$12824,3,0)*BE1157</f>
        <v>53474.821228422385</v>
      </c>
      <c r="BP1157" s="866"/>
      <c r="BQ1157" s="866"/>
      <c r="BR1157" s="866">
        <f>VLOOKUP(BD1157,$BD$4:$BN$12824,6,0)*BE1157</f>
        <v>18934.596501933294</v>
      </c>
      <c r="BS1157" s="866">
        <f>VLOOKUP(BD1157,$BD$4:$BN$12824,7,0)*BE1157</f>
        <v>1504.4888105304963</v>
      </c>
      <c r="BT1157" s="866"/>
      <c r="BU1157" s="866">
        <f>VLOOKUP(BD1157,$BD$4:$BN$12824,9,0)*BE1157</f>
        <v>77.692736932073871</v>
      </c>
      <c r="BV1157" s="867"/>
      <c r="BW1157" s="867">
        <f>VLOOKUP(BD1157,$BD$4:$BN$12824,11,0)*BE1157</f>
        <v>1704.7226973576276</v>
      </c>
      <c r="BX1157" s="1146">
        <f t="shared" si="218"/>
        <v>75696.321975175888</v>
      </c>
      <c r="BY1157" s="867">
        <f t="shared" si="215"/>
        <v>445810.06922476779</v>
      </c>
      <c r="BZ1157" s="867">
        <f t="shared" si="225"/>
        <v>1783240.2768990712</v>
      </c>
      <c r="CA1157" s="867">
        <f>_xlfn.MAXIFS($BY$4:$BY$12824,$S$4:$S$12824,$S1157)</f>
        <v>445810.06922476779</v>
      </c>
      <c r="CB1157" s="1032"/>
      <c r="CF1157" s="946">
        <f t="shared" si="226"/>
        <v>1547314.5671999999</v>
      </c>
    </row>
    <row r="1158" spans="1:84">
      <c r="A1158" s="1032"/>
      <c r="B1158" s="839" t="s">
        <v>98</v>
      </c>
      <c r="C1158" s="839" t="s">
        <v>273</v>
      </c>
      <c r="D1158" s="839" t="s">
        <v>3944</v>
      </c>
      <c r="E1158" s="839" t="s">
        <v>3944</v>
      </c>
      <c r="F1158" s="841">
        <v>45680</v>
      </c>
      <c r="G1158" s="840" t="s">
        <v>273</v>
      </c>
      <c r="H1158" s="842" t="s">
        <v>102</v>
      </c>
      <c r="I1158" s="842" t="s">
        <v>4015</v>
      </c>
      <c r="J1158" s="841" t="s">
        <v>4016</v>
      </c>
      <c r="K1158" s="841" t="s">
        <v>4017</v>
      </c>
      <c r="L1158" s="843" t="s">
        <v>106</v>
      </c>
      <c r="M1158" s="844" t="s">
        <v>275</v>
      </c>
      <c r="N1158" s="841"/>
      <c r="O1158" s="841" t="s">
        <v>150</v>
      </c>
      <c r="P1158" s="841" t="s">
        <v>4018</v>
      </c>
      <c r="Q1158" s="843"/>
      <c r="R1158" s="845">
        <v>18453</v>
      </c>
      <c r="S1158" s="1127" t="s">
        <v>4029</v>
      </c>
      <c r="T1158" s="843" t="s">
        <v>4030</v>
      </c>
      <c r="U1158" s="842">
        <v>2</v>
      </c>
      <c r="V1158" s="842" t="s">
        <v>3</v>
      </c>
      <c r="W1158" s="846">
        <v>31.08</v>
      </c>
      <c r="X1158" s="847">
        <f t="shared" si="220"/>
        <v>62.16</v>
      </c>
      <c r="Y1158" s="848">
        <v>0.5</v>
      </c>
      <c r="Z1158" s="849">
        <v>15.54</v>
      </c>
      <c r="AA1158" s="849"/>
      <c r="AB1158" s="849">
        <f t="shared" si="221"/>
        <v>31.08</v>
      </c>
      <c r="AC1158" s="850">
        <f t="shared" si="222"/>
        <v>31.08</v>
      </c>
      <c r="AD1158" s="851">
        <f t="shared" si="219"/>
        <v>32000</v>
      </c>
      <c r="AE1158" s="852">
        <v>29506.38</v>
      </c>
      <c r="AF1158" s="853">
        <v>0.1</v>
      </c>
      <c r="AG1158" s="854">
        <f t="shared" si="223"/>
        <v>94964.328193338399</v>
      </c>
      <c r="AH1158" s="853">
        <v>0.08</v>
      </c>
      <c r="AI1158" s="855">
        <f t="shared" si="224"/>
        <v>80961.809487467064</v>
      </c>
      <c r="AJ1158" s="845" t="s">
        <v>3949</v>
      </c>
      <c r="AK1158" s="857">
        <v>45768</v>
      </c>
      <c r="AL1158" s="840" t="s">
        <v>3950</v>
      </c>
      <c r="AM1158" s="840"/>
      <c r="AN1158" s="858"/>
      <c r="AO1158" s="844" t="s">
        <v>3951</v>
      </c>
      <c r="AP1158" s="859"/>
      <c r="AQ1158" s="859" t="s">
        <v>3952</v>
      </c>
      <c r="AR1158" s="859">
        <v>45821</v>
      </c>
      <c r="AS1158" s="840"/>
      <c r="AT1158" s="840"/>
      <c r="AU1158" s="842" t="s">
        <v>1210</v>
      </c>
      <c r="AV1158" s="839" t="s">
        <v>3953</v>
      </c>
      <c r="AW1158" s="861">
        <v>45824</v>
      </c>
      <c r="AX1158" s="862"/>
      <c r="AY1158" s="843"/>
      <c r="AZ1158" s="842"/>
      <c r="BA1158" s="842" t="s">
        <v>120</v>
      </c>
      <c r="BB1158" s="863" t="s">
        <v>121</v>
      </c>
      <c r="BC1158" s="864">
        <v>45826</v>
      </c>
      <c r="BD1158" s="860" t="s">
        <v>3954</v>
      </c>
      <c r="BE1158" s="865" cm="1">
        <f t="array" ref="BE1158">IF(BD1158="","",AC1158/SUMPRODUCT(--(BD1158=$BD$4:$BD$12824),$AC$4:$AC$12824))</f>
        <v>1.6839175385798075E-3</v>
      </c>
      <c r="BF1158" s="458"/>
      <c r="BG1158" s="458"/>
      <c r="BH1158" s="458"/>
      <c r="BI1158" s="458"/>
      <c r="BJ1158" s="458"/>
      <c r="BK1158" s="458"/>
      <c r="BL1158" s="458"/>
      <c r="BM1158" s="458"/>
      <c r="BN1158" s="458"/>
      <c r="BO1158" s="866">
        <f>VLOOKUP(BD1158,$BD$4:$BN$12824,3,0)*BE1158</f>
        <v>31693.315098767504</v>
      </c>
      <c r="BP1158" s="866"/>
      <c r="BQ1158" s="866"/>
      <c r="BR1158" s="866">
        <f>VLOOKUP(BD1158,$BD$4:$BN$12824,6,0)*BE1158</f>
        <v>11222.106393594333</v>
      </c>
      <c r="BS1158" s="866">
        <f>VLOOKUP(BD1158,$BD$4:$BN$12824,7,0)*BE1158</f>
        <v>891.67643461647253</v>
      </c>
      <c r="BT1158" s="866"/>
      <c r="BU1158" s="866">
        <f>VLOOKUP(BD1158,$BD$4:$BN$12824,9,0)*BE1158</f>
        <v>46.04672509246484</v>
      </c>
      <c r="BV1158" s="867"/>
      <c r="BW1158" s="867">
        <f>VLOOKUP(BD1158,$BD$4:$BN$12824,11,0)*BE1158</f>
        <v>1010.3505231478845</v>
      </c>
      <c r="BX1158" s="1146">
        <f t="shared" si="218"/>
        <v>44863.495175218653</v>
      </c>
      <c r="BY1158" s="867">
        <f t="shared" ref="BY1158:BY1221" si="227">(AB1158*AE1158+AG1158+BX1158)/U1158</f>
        <v>528443.05688427843</v>
      </c>
      <c r="BZ1158" s="867">
        <f t="shared" si="225"/>
        <v>1056886.1137685569</v>
      </c>
      <c r="CA1158" s="867">
        <f>_xlfn.MAXIFS($BY$4:$BY$12824,$S$4:$S$12824,$S1158)</f>
        <v>682993.65396080317</v>
      </c>
      <c r="CB1158" s="1032"/>
      <c r="CF1158" s="946">
        <f t="shared" si="226"/>
        <v>917058.29039999994</v>
      </c>
    </row>
    <row r="1159" spans="1:84">
      <c r="A1159" s="1032"/>
      <c r="B1159" s="839" t="s">
        <v>98</v>
      </c>
      <c r="C1159" s="839" t="s">
        <v>273</v>
      </c>
      <c r="D1159" s="839" t="s">
        <v>3944</v>
      </c>
      <c r="E1159" s="839" t="s">
        <v>3944</v>
      </c>
      <c r="F1159" s="841">
        <v>45680</v>
      </c>
      <c r="G1159" s="840" t="s">
        <v>273</v>
      </c>
      <c r="H1159" s="842" t="s">
        <v>102</v>
      </c>
      <c r="I1159" s="842" t="s">
        <v>4015</v>
      </c>
      <c r="J1159" s="841" t="s">
        <v>4016</v>
      </c>
      <c r="K1159" s="841" t="s">
        <v>4017</v>
      </c>
      <c r="L1159" s="843" t="s">
        <v>106</v>
      </c>
      <c r="M1159" s="844" t="s">
        <v>275</v>
      </c>
      <c r="N1159" s="841"/>
      <c r="O1159" s="841" t="s">
        <v>150</v>
      </c>
      <c r="P1159" s="841" t="s">
        <v>4018</v>
      </c>
      <c r="Q1159" s="843"/>
      <c r="R1159" s="845">
        <v>18454</v>
      </c>
      <c r="S1159" s="1127" t="s">
        <v>4031</v>
      </c>
      <c r="T1159" s="843" t="s">
        <v>4032</v>
      </c>
      <c r="U1159" s="842">
        <v>2</v>
      </c>
      <c r="V1159" s="842" t="s">
        <v>3</v>
      </c>
      <c r="W1159" s="846">
        <v>31.08</v>
      </c>
      <c r="X1159" s="847">
        <f t="shared" si="220"/>
        <v>62.16</v>
      </c>
      <c r="Y1159" s="848">
        <v>0.5</v>
      </c>
      <c r="Z1159" s="849">
        <v>15.54</v>
      </c>
      <c r="AA1159" s="849"/>
      <c r="AB1159" s="849">
        <f t="shared" si="221"/>
        <v>31.08</v>
      </c>
      <c r="AC1159" s="850">
        <f t="shared" si="222"/>
        <v>31.08</v>
      </c>
      <c r="AD1159" s="851">
        <f t="shared" si="219"/>
        <v>32000</v>
      </c>
      <c r="AE1159" s="852">
        <v>29506.38</v>
      </c>
      <c r="AF1159" s="853">
        <v>0.1</v>
      </c>
      <c r="AG1159" s="854">
        <f t="shared" si="223"/>
        <v>94964.328193338399</v>
      </c>
      <c r="AH1159" s="853">
        <v>0.08</v>
      </c>
      <c r="AI1159" s="855">
        <f t="shared" si="224"/>
        <v>80961.809487467064</v>
      </c>
      <c r="AJ1159" s="845" t="s">
        <v>3949</v>
      </c>
      <c r="AK1159" s="857">
        <v>45768</v>
      </c>
      <c r="AL1159" s="840" t="s">
        <v>3950</v>
      </c>
      <c r="AM1159" s="840"/>
      <c r="AN1159" s="858"/>
      <c r="AO1159" s="844" t="s">
        <v>3951</v>
      </c>
      <c r="AP1159" s="859"/>
      <c r="AQ1159" s="859" t="s">
        <v>3952</v>
      </c>
      <c r="AR1159" s="859">
        <v>45821</v>
      </c>
      <c r="AS1159" s="840"/>
      <c r="AT1159" s="840"/>
      <c r="AU1159" s="842" t="s">
        <v>1210</v>
      </c>
      <c r="AV1159" s="839" t="s">
        <v>3953</v>
      </c>
      <c r="AW1159" s="861">
        <v>45824</v>
      </c>
      <c r="AX1159" s="862"/>
      <c r="AY1159" s="843"/>
      <c r="AZ1159" s="842"/>
      <c r="BA1159" s="842" t="s">
        <v>120</v>
      </c>
      <c r="BB1159" s="863" t="s">
        <v>121</v>
      </c>
      <c r="BC1159" s="864">
        <v>45826</v>
      </c>
      <c r="BD1159" s="860" t="s">
        <v>3954</v>
      </c>
      <c r="BE1159" s="865" cm="1">
        <f t="array" ref="BE1159">IF(BD1159="","",AC1159/SUMPRODUCT(--(BD1159=$BD$4:$BD$12824),$AC$4:$AC$12824))</f>
        <v>1.6839175385798075E-3</v>
      </c>
      <c r="BF1159" s="458"/>
      <c r="BG1159" s="458"/>
      <c r="BH1159" s="458"/>
      <c r="BI1159" s="458"/>
      <c r="BJ1159" s="458"/>
      <c r="BK1159" s="458"/>
      <c r="BL1159" s="458"/>
      <c r="BM1159" s="458"/>
      <c r="BN1159" s="458"/>
      <c r="BO1159" s="866">
        <f>VLOOKUP(BD1159,$BD$4:$BN$12824,3,0)*BE1159</f>
        <v>31693.315098767504</v>
      </c>
      <c r="BP1159" s="866"/>
      <c r="BQ1159" s="866"/>
      <c r="BR1159" s="866">
        <f>VLOOKUP(BD1159,$BD$4:$BN$12824,6,0)*BE1159</f>
        <v>11222.106393594333</v>
      </c>
      <c r="BS1159" s="866">
        <f>VLOOKUP(BD1159,$BD$4:$BN$12824,7,0)*BE1159</f>
        <v>891.67643461647253</v>
      </c>
      <c r="BT1159" s="866"/>
      <c r="BU1159" s="866">
        <f>VLOOKUP(BD1159,$BD$4:$BN$12824,9,0)*BE1159</f>
        <v>46.04672509246484</v>
      </c>
      <c r="BV1159" s="867"/>
      <c r="BW1159" s="867">
        <f>VLOOKUP(BD1159,$BD$4:$BN$12824,11,0)*BE1159</f>
        <v>1010.3505231478845</v>
      </c>
      <c r="BX1159" s="1146">
        <f t="shared" si="218"/>
        <v>44863.495175218653</v>
      </c>
      <c r="BY1159" s="867">
        <f t="shared" si="227"/>
        <v>528443.05688427843</v>
      </c>
      <c r="BZ1159" s="867">
        <f t="shared" si="225"/>
        <v>1056886.1137685569</v>
      </c>
      <c r="CA1159" s="867">
        <f>_xlfn.MAXIFS($BY$4:$BY$12824,$S$4:$S$12824,$S1159)</f>
        <v>682993.65396080317</v>
      </c>
      <c r="CB1159" s="1032"/>
      <c r="CF1159" s="946">
        <f t="shared" si="226"/>
        <v>917058.29039999994</v>
      </c>
    </row>
    <row r="1160" spans="1:84">
      <c r="A1160" s="1032"/>
      <c r="B1160" s="839" t="s">
        <v>98</v>
      </c>
      <c r="C1160" s="839" t="s">
        <v>273</v>
      </c>
      <c r="D1160" s="839" t="s">
        <v>3944</v>
      </c>
      <c r="E1160" s="839" t="s">
        <v>3944</v>
      </c>
      <c r="F1160" s="841">
        <v>45680</v>
      </c>
      <c r="G1160" s="840" t="s">
        <v>273</v>
      </c>
      <c r="H1160" s="842" t="s">
        <v>102</v>
      </c>
      <c r="I1160" s="842" t="s">
        <v>4015</v>
      </c>
      <c r="J1160" s="841" t="s">
        <v>4016</v>
      </c>
      <c r="K1160" s="841" t="s">
        <v>4017</v>
      </c>
      <c r="L1160" s="843" t="s">
        <v>106</v>
      </c>
      <c r="M1160" s="844" t="s">
        <v>275</v>
      </c>
      <c r="N1160" s="841"/>
      <c r="O1160" s="841" t="s">
        <v>150</v>
      </c>
      <c r="P1160" s="841" t="s">
        <v>4018</v>
      </c>
      <c r="Q1160" s="843"/>
      <c r="R1160" s="845">
        <v>18476</v>
      </c>
      <c r="S1160" s="1127" t="s">
        <v>4033</v>
      </c>
      <c r="T1160" s="843" t="s">
        <v>4034</v>
      </c>
      <c r="U1160" s="842">
        <v>2</v>
      </c>
      <c r="V1160" s="842" t="s">
        <v>3</v>
      </c>
      <c r="W1160" s="846">
        <v>21.63</v>
      </c>
      <c r="X1160" s="847">
        <f t="shared" si="220"/>
        <v>43.26</v>
      </c>
      <c r="Y1160" s="848">
        <v>0.5</v>
      </c>
      <c r="Z1160" s="849">
        <v>10.82</v>
      </c>
      <c r="AA1160" s="849"/>
      <c r="AB1160" s="849">
        <f t="shared" si="221"/>
        <v>21.64</v>
      </c>
      <c r="AC1160" s="850">
        <f t="shared" si="222"/>
        <v>21.64</v>
      </c>
      <c r="AD1160" s="851">
        <f t="shared" si="219"/>
        <v>32000</v>
      </c>
      <c r="AE1160" s="852">
        <v>29506.38</v>
      </c>
      <c r="AF1160" s="853">
        <v>0.1</v>
      </c>
      <c r="AG1160" s="854">
        <f t="shared" si="223"/>
        <v>66120.594018785181</v>
      </c>
      <c r="AH1160" s="853">
        <v>0.08</v>
      </c>
      <c r="AI1160" s="855">
        <f t="shared" si="224"/>
        <v>56371.092577502823</v>
      </c>
      <c r="AJ1160" s="845" t="s">
        <v>3949</v>
      </c>
      <c r="AK1160" s="857">
        <v>45768</v>
      </c>
      <c r="AL1160" s="840" t="s">
        <v>3950</v>
      </c>
      <c r="AM1160" s="840"/>
      <c r="AN1160" s="858"/>
      <c r="AO1160" s="844" t="s">
        <v>3951</v>
      </c>
      <c r="AP1160" s="859"/>
      <c r="AQ1160" s="859" t="s">
        <v>3952</v>
      </c>
      <c r="AR1160" s="859">
        <v>45821</v>
      </c>
      <c r="AS1160" s="840"/>
      <c r="AT1160" s="840"/>
      <c r="AU1160" s="842" t="s">
        <v>1210</v>
      </c>
      <c r="AV1160" s="839" t="s">
        <v>3953</v>
      </c>
      <c r="AW1160" s="861">
        <v>45824</v>
      </c>
      <c r="AX1160" s="862"/>
      <c r="AY1160" s="843"/>
      <c r="AZ1160" s="842"/>
      <c r="BA1160" s="842" t="s">
        <v>120</v>
      </c>
      <c r="BB1160" s="863" t="s">
        <v>121</v>
      </c>
      <c r="BC1160" s="864">
        <v>45826</v>
      </c>
      <c r="BD1160" s="860" t="s">
        <v>3954</v>
      </c>
      <c r="BE1160" s="865" cm="1">
        <f t="array" ref="BE1160">IF(BD1160="","",AC1160/SUMPRODUCT(--(BD1160=$BD$4:$BD$12824),$AC$4:$AC$12824))</f>
        <v>1.1724573852917323E-3</v>
      </c>
      <c r="BF1160" s="458"/>
      <c r="BG1160" s="458"/>
      <c r="BH1160" s="458"/>
      <c r="BI1160" s="458"/>
      <c r="BJ1160" s="458"/>
      <c r="BK1160" s="458"/>
      <c r="BL1160" s="458"/>
      <c r="BM1160" s="458"/>
      <c r="BN1160" s="458"/>
      <c r="BO1160" s="866">
        <f>VLOOKUP(BD1160,$BD$4:$BN$12824,3,0)*BE1160</f>
        <v>22067.031490905047</v>
      </c>
      <c r="BP1160" s="866"/>
      <c r="BQ1160" s="866"/>
      <c r="BR1160" s="866">
        <f>VLOOKUP(BD1160,$BD$4:$BN$12824,6,0)*BE1160</f>
        <v>7813.5901659389128</v>
      </c>
      <c r="BS1160" s="866">
        <f>VLOOKUP(BD1160,$BD$4:$BN$12824,7,0)*BE1160</f>
        <v>620.84549694660461</v>
      </c>
      <c r="BT1160" s="866"/>
      <c r="BU1160" s="866">
        <f>VLOOKUP(BD1160,$BD$4:$BN$12824,9,0)*BE1160</f>
        <v>32.060847200802421</v>
      </c>
      <c r="BV1160" s="867"/>
      <c r="BW1160" s="867">
        <f>VLOOKUP(BD1160,$BD$4:$BN$12824,11,0)*BE1160</f>
        <v>703.4744311750394</v>
      </c>
      <c r="BX1160" s="1146">
        <f t="shared" si="218"/>
        <v>31237.002432166406</v>
      </c>
      <c r="BY1160" s="867">
        <f t="shared" si="227"/>
        <v>367937.82982547581</v>
      </c>
      <c r="BZ1160" s="867">
        <f t="shared" si="225"/>
        <v>735875.65965095162</v>
      </c>
      <c r="CA1160" s="867">
        <f>_xlfn.MAXIFS($BY$4:$BY$12824,$S$4:$S$12824,$S1160)</f>
        <v>475294.63742508896</v>
      </c>
      <c r="CB1160" s="1032"/>
      <c r="CF1160" s="946">
        <f t="shared" si="226"/>
        <v>638518.06320000009</v>
      </c>
    </row>
    <row r="1161" spans="1:84">
      <c r="A1161" s="1032"/>
      <c r="B1161" s="839" t="s">
        <v>98</v>
      </c>
      <c r="C1161" s="839" t="s">
        <v>273</v>
      </c>
      <c r="D1161" s="839" t="s">
        <v>3944</v>
      </c>
      <c r="E1161" s="839" t="s">
        <v>3944</v>
      </c>
      <c r="F1161" s="841">
        <v>45680</v>
      </c>
      <c r="G1161" s="840" t="s">
        <v>273</v>
      </c>
      <c r="H1161" s="842" t="s">
        <v>102</v>
      </c>
      <c r="I1161" s="842" t="s">
        <v>4015</v>
      </c>
      <c r="J1161" s="841" t="s">
        <v>4016</v>
      </c>
      <c r="K1161" s="841" t="s">
        <v>4017</v>
      </c>
      <c r="L1161" s="843" t="s">
        <v>106</v>
      </c>
      <c r="M1161" s="844" t="s">
        <v>275</v>
      </c>
      <c r="N1161" s="841"/>
      <c r="O1161" s="841" t="s">
        <v>150</v>
      </c>
      <c r="P1161" s="841" t="s">
        <v>4018</v>
      </c>
      <c r="Q1161" s="843"/>
      <c r="R1161" s="845">
        <v>11434</v>
      </c>
      <c r="S1161" s="1127" t="s">
        <v>4035</v>
      </c>
      <c r="T1161" s="843" t="s">
        <v>4036</v>
      </c>
      <c r="U1161" s="842">
        <v>4</v>
      </c>
      <c r="V1161" s="842" t="s">
        <v>3</v>
      </c>
      <c r="W1161" s="846">
        <v>32.770000000000003</v>
      </c>
      <c r="X1161" s="847">
        <f t="shared" si="220"/>
        <v>131.08000000000001</v>
      </c>
      <c r="Y1161" s="848">
        <v>0.5</v>
      </c>
      <c r="Z1161" s="849">
        <v>16.39</v>
      </c>
      <c r="AA1161" s="849"/>
      <c r="AB1161" s="849">
        <f t="shared" si="221"/>
        <v>65.56</v>
      </c>
      <c r="AC1161" s="850">
        <f t="shared" si="222"/>
        <v>65.56</v>
      </c>
      <c r="AD1161" s="851">
        <f t="shared" si="219"/>
        <v>32000</v>
      </c>
      <c r="AE1161" s="852">
        <v>29506.38</v>
      </c>
      <c r="AF1161" s="853">
        <v>0.1</v>
      </c>
      <c r="AG1161" s="854">
        <f t="shared" si="223"/>
        <v>200317.28945802012</v>
      </c>
      <c r="AH1161" s="853">
        <v>0.08</v>
      </c>
      <c r="AI1161" s="855">
        <f t="shared" si="224"/>
        <v>170780.44498064159</v>
      </c>
      <c r="AJ1161" s="845" t="s">
        <v>3949</v>
      </c>
      <c r="AK1161" s="857">
        <v>45768</v>
      </c>
      <c r="AL1161" s="840" t="s">
        <v>3950</v>
      </c>
      <c r="AM1161" s="840"/>
      <c r="AN1161" s="858"/>
      <c r="AO1161" s="844" t="s">
        <v>3951</v>
      </c>
      <c r="AP1161" s="859"/>
      <c r="AQ1161" s="859" t="s">
        <v>3952</v>
      </c>
      <c r="AR1161" s="859">
        <v>45821</v>
      </c>
      <c r="AS1161" s="840"/>
      <c r="AT1161" s="840"/>
      <c r="AU1161" s="842" t="s">
        <v>1210</v>
      </c>
      <c r="AV1161" s="839" t="s">
        <v>3953</v>
      </c>
      <c r="AW1161" s="861">
        <v>45824</v>
      </c>
      <c r="AX1161" s="862"/>
      <c r="AY1161" s="843"/>
      <c r="AZ1161" s="842"/>
      <c r="BA1161" s="842" t="s">
        <v>120</v>
      </c>
      <c r="BB1161" s="863" t="s">
        <v>121</v>
      </c>
      <c r="BC1161" s="864">
        <v>45826</v>
      </c>
      <c r="BD1161" s="860" t="s">
        <v>3954</v>
      </c>
      <c r="BE1161" s="865" cm="1">
        <f t="array" ref="BE1161">IF(BD1161="","",AC1161/SUMPRODUCT(--(BD1161=$BD$4:$BD$12824),$AC$4:$AC$12824))</f>
        <v>3.552047420504897E-3</v>
      </c>
      <c r="BF1161" s="458"/>
      <c r="BG1161" s="458"/>
      <c r="BH1161" s="458"/>
      <c r="BI1161" s="458"/>
      <c r="BJ1161" s="458"/>
      <c r="BK1161" s="458"/>
      <c r="BL1161" s="458"/>
      <c r="BM1161" s="458"/>
      <c r="BN1161" s="458"/>
      <c r="BO1161" s="866">
        <f>VLOOKUP(BD1161,$BD$4:$BN$12824,3,0)*BE1161</f>
        <v>66853.723869858353</v>
      </c>
      <c r="BP1161" s="866"/>
      <c r="BQ1161" s="866"/>
      <c r="BR1161" s="866">
        <f>VLOOKUP(BD1161,$BD$4:$BN$12824,6,0)*BE1161</f>
        <v>23671.856343759478</v>
      </c>
      <c r="BS1161" s="866">
        <f>VLOOKUP(BD1161,$BD$4:$BN$12824,7,0)*BE1161</f>
        <v>1880.8979103428555</v>
      </c>
      <c r="BT1161" s="866"/>
      <c r="BU1161" s="866">
        <f>VLOOKUP(BD1161,$BD$4:$BN$12824,9,0)*BE1161</f>
        <v>97.130736713706412</v>
      </c>
      <c r="BV1161" s="867"/>
      <c r="BW1161" s="867">
        <f>VLOOKUP(BD1161,$BD$4:$BN$12824,11,0)*BE1161</f>
        <v>2131.228452302938</v>
      </c>
      <c r="BX1161" s="1146">
        <f t="shared" si="218"/>
        <v>94634.837312977324</v>
      </c>
      <c r="BY1161" s="867">
        <f t="shared" si="227"/>
        <v>557347.59989274933</v>
      </c>
      <c r="BZ1161" s="867">
        <f t="shared" si="225"/>
        <v>2229390.3995709973</v>
      </c>
      <c r="CA1161" s="867">
        <f>_xlfn.MAXIFS($BY$4:$BY$12824,$S$4:$S$12824,$S1161)</f>
        <v>557347.59989274933</v>
      </c>
      <c r="CB1161" s="1032"/>
      <c r="CF1161" s="946">
        <f t="shared" si="226"/>
        <v>1934438.2728000002</v>
      </c>
    </row>
    <row r="1162" spans="1:84">
      <c r="A1162" s="1032"/>
      <c r="B1162" s="839" t="s">
        <v>98</v>
      </c>
      <c r="C1162" s="839" t="s">
        <v>273</v>
      </c>
      <c r="D1162" s="839" t="s">
        <v>3944</v>
      </c>
      <c r="E1162" s="839" t="s">
        <v>3944</v>
      </c>
      <c r="F1162" s="841">
        <v>45680</v>
      </c>
      <c r="G1162" s="840" t="s">
        <v>273</v>
      </c>
      <c r="H1162" s="842" t="s">
        <v>102</v>
      </c>
      <c r="I1162" s="842" t="s">
        <v>4015</v>
      </c>
      <c r="J1162" s="841" t="s">
        <v>4016</v>
      </c>
      <c r="K1162" s="841" t="s">
        <v>4017</v>
      </c>
      <c r="L1162" s="843" t="s">
        <v>106</v>
      </c>
      <c r="M1162" s="844" t="s">
        <v>275</v>
      </c>
      <c r="N1162" s="841"/>
      <c r="O1162" s="841" t="s">
        <v>150</v>
      </c>
      <c r="P1162" s="841" t="s">
        <v>4018</v>
      </c>
      <c r="Q1162" s="843"/>
      <c r="R1162" s="845">
        <v>11910</v>
      </c>
      <c r="S1162" s="1127" t="s">
        <v>4037</v>
      </c>
      <c r="T1162" s="843" t="s">
        <v>4038</v>
      </c>
      <c r="U1162" s="842">
        <v>4</v>
      </c>
      <c r="V1162" s="842" t="s">
        <v>3</v>
      </c>
      <c r="W1162" s="846">
        <v>63.79</v>
      </c>
      <c r="X1162" s="847">
        <f t="shared" si="220"/>
        <v>255.16</v>
      </c>
      <c r="Y1162" s="848">
        <v>0.5</v>
      </c>
      <c r="Z1162" s="849">
        <v>31.9</v>
      </c>
      <c r="AA1162" s="849"/>
      <c r="AB1162" s="849">
        <f t="shared" si="221"/>
        <v>127.6</v>
      </c>
      <c r="AC1162" s="850">
        <f t="shared" si="222"/>
        <v>127.6</v>
      </c>
      <c r="AD1162" s="851">
        <f t="shared" si="219"/>
        <v>32000</v>
      </c>
      <c r="AE1162" s="852">
        <v>29506.38</v>
      </c>
      <c r="AF1162" s="853">
        <v>0.1</v>
      </c>
      <c r="AG1162" s="854">
        <f t="shared" si="223"/>
        <v>389879.28820688487</v>
      </c>
      <c r="AH1162" s="853">
        <v>0.08</v>
      </c>
      <c r="AI1162" s="855">
        <f t="shared" si="224"/>
        <v>332391.47009655082</v>
      </c>
      <c r="AJ1162" s="845" t="s">
        <v>3949</v>
      </c>
      <c r="AK1162" s="857">
        <v>45768</v>
      </c>
      <c r="AL1162" s="840" t="s">
        <v>3950</v>
      </c>
      <c r="AM1162" s="840"/>
      <c r="AN1162" s="858"/>
      <c r="AO1162" s="844" t="s">
        <v>3951</v>
      </c>
      <c r="AP1162" s="859"/>
      <c r="AQ1162" s="859" t="s">
        <v>3952</v>
      </c>
      <c r="AR1162" s="859">
        <v>45821</v>
      </c>
      <c r="AS1162" s="840"/>
      <c r="AT1162" s="840"/>
      <c r="AU1162" s="842" t="s">
        <v>1210</v>
      </c>
      <c r="AV1162" s="839" t="s">
        <v>3953</v>
      </c>
      <c r="AW1162" s="861">
        <v>45824</v>
      </c>
      <c r="AX1162" s="862"/>
      <c r="AY1162" s="843"/>
      <c r="AZ1162" s="842"/>
      <c r="BA1162" s="842" t="s">
        <v>120</v>
      </c>
      <c r="BB1162" s="863" t="s">
        <v>121</v>
      </c>
      <c r="BC1162" s="864">
        <v>45826</v>
      </c>
      <c r="BD1162" s="860" t="s">
        <v>3954</v>
      </c>
      <c r="BE1162" s="865" cm="1">
        <f t="array" ref="BE1162">IF(BD1162="","",AC1162/SUMPRODUCT(--(BD1162=$BD$4:$BD$12824),$AC$4:$AC$12824))</f>
        <v>6.9133808855464428E-3</v>
      </c>
      <c r="BF1162" s="458"/>
      <c r="BG1162" s="458"/>
      <c r="BH1162" s="458"/>
      <c r="BI1162" s="458"/>
      <c r="BJ1162" s="458"/>
      <c r="BK1162" s="458"/>
      <c r="BL1162" s="458"/>
      <c r="BM1162" s="458"/>
      <c r="BN1162" s="458"/>
      <c r="BO1162" s="866">
        <f>VLOOKUP(BD1162,$BD$4:$BN$12824,3,0)*BE1162</f>
        <v>130117.98605542899</v>
      </c>
      <c r="BP1162" s="866"/>
      <c r="BQ1162" s="866"/>
      <c r="BR1162" s="866">
        <f>VLOOKUP(BD1162,$BD$4:$BN$12824,6,0)*BE1162</f>
        <v>46072.740534833873</v>
      </c>
      <c r="BS1162" s="866">
        <f>VLOOKUP(BD1162,$BD$4:$BN$12824,7,0)*BE1162</f>
        <v>3660.80801341898</v>
      </c>
      <c r="BT1162" s="866"/>
      <c r="BU1162" s="866">
        <f>VLOOKUP(BD1162,$BD$4:$BN$12824,9,0)*BE1162</f>
        <v>189.04640031526748</v>
      </c>
      <c r="BV1162" s="867"/>
      <c r="BW1162" s="867">
        <f>VLOOKUP(BD1162,$BD$4:$BN$12824,11,0)*BE1162</f>
        <v>4148.0285313278655</v>
      </c>
      <c r="BX1162" s="1146">
        <f t="shared" si="218"/>
        <v>184188.609535325</v>
      </c>
      <c r="BY1162" s="867">
        <f t="shared" si="227"/>
        <v>1084770.4964355526</v>
      </c>
      <c r="BZ1162" s="867">
        <f t="shared" si="225"/>
        <v>4339081.9857422104</v>
      </c>
      <c r="CA1162" s="867">
        <f>_xlfn.MAXIFS($BY$4:$BY$12824,$S$4:$S$12824,$S1162)</f>
        <v>1084770.4964355526</v>
      </c>
      <c r="CB1162" s="1032"/>
      <c r="CF1162" s="946">
        <f t="shared" si="226"/>
        <v>3765014.088</v>
      </c>
    </row>
    <row r="1163" spans="1:84">
      <c r="A1163" s="1032"/>
      <c r="B1163" s="839" t="s">
        <v>98</v>
      </c>
      <c r="C1163" s="839" t="s">
        <v>273</v>
      </c>
      <c r="D1163" s="839" t="s">
        <v>3944</v>
      </c>
      <c r="E1163" s="839" t="s">
        <v>3944</v>
      </c>
      <c r="F1163" s="841">
        <v>45680</v>
      </c>
      <c r="G1163" s="840" t="s">
        <v>273</v>
      </c>
      <c r="H1163" s="842" t="s">
        <v>102</v>
      </c>
      <c r="I1163" s="842" t="s">
        <v>4015</v>
      </c>
      <c r="J1163" s="841" t="s">
        <v>4016</v>
      </c>
      <c r="K1163" s="841" t="s">
        <v>4017</v>
      </c>
      <c r="L1163" s="843" t="s">
        <v>106</v>
      </c>
      <c r="M1163" s="844" t="s">
        <v>275</v>
      </c>
      <c r="N1163" s="841"/>
      <c r="O1163" s="841" t="s">
        <v>150</v>
      </c>
      <c r="P1163" s="841" t="s">
        <v>4018</v>
      </c>
      <c r="Q1163" s="843"/>
      <c r="R1163" s="845">
        <v>12575</v>
      </c>
      <c r="S1163" s="1127" t="s">
        <v>4039</v>
      </c>
      <c r="T1163" s="843" t="s">
        <v>4040</v>
      </c>
      <c r="U1163" s="842">
        <v>4</v>
      </c>
      <c r="V1163" s="842" t="s">
        <v>3</v>
      </c>
      <c r="W1163" s="846">
        <v>89.23</v>
      </c>
      <c r="X1163" s="847">
        <f t="shared" si="220"/>
        <v>356.92</v>
      </c>
      <c r="Y1163" s="848">
        <v>0.5</v>
      </c>
      <c r="Z1163" s="849">
        <v>44.62</v>
      </c>
      <c r="AA1163" s="849"/>
      <c r="AB1163" s="849">
        <f t="shared" si="221"/>
        <v>178.48</v>
      </c>
      <c r="AC1163" s="850">
        <f t="shared" si="222"/>
        <v>178.48</v>
      </c>
      <c r="AD1163" s="851">
        <f t="shared" si="219"/>
        <v>32000</v>
      </c>
      <c r="AE1163" s="852">
        <v>29506.38</v>
      </c>
      <c r="AF1163" s="853">
        <v>0.1</v>
      </c>
      <c r="AG1163" s="854">
        <f t="shared" si="223"/>
        <v>545342.12663922261</v>
      </c>
      <c r="AH1163" s="853">
        <v>0.08</v>
      </c>
      <c r="AI1163" s="855">
        <f t="shared" si="224"/>
        <v>464931.2663231378</v>
      </c>
      <c r="AJ1163" s="845" t="s">
        <v>3949</v>
      </c>
      <c r="AK1163" s="857">
        <v>45768</v>
      </c>
      <c r="AL1163" s="840" t="s">
        <v>3950</v>
      </c>
      <c r="AM1163" s="840"/>
      <c r="AN1163" s="858"/>
      <c r="AO1163" s="844" t="s">
        <v>3951</v>
      </c>
      <c r="AP1163" s="859"/>
      <c r="AQ1163" s="859" t="s">
        <v>3952</v>
      </c>
      <c r="AR1163" s="859">
        <v>45821</v>
      </c>
      <c r="AS1163" s="840"/>
      <c r="AT1163" s="840"/>
      <c r="AU1163" s="842" t="s">
        <v>1210</v>
      </c>
      <c r="AV1163" s="839" t="s">
        <v>3953</v>
      </c>
      <c r="AW1163" s="861">
        <v>45824</v>
      </c>
      <c r="AX1163" s="862"/>
      <c r="AY1163" s="843"/>
      <c r="AZ1163" s="842"/>
      <c r="BA1163" s="842" t="s">
        <v>120</v>
      </c>
      <c r="BB1163" s="863" t="s">
        <v>121</v>
      </c>
      <c r="BC1163" s="864">
        <v>45826</v>
      </c>
      <c r="BD1163" s="860" t="s">
        <v>3954</v>
      </c>
      <c r="BE1163" s="865" cm="1">
        <f t="array" ref="BE1163">IF(BD1163="","",AC1163/SUMPRODUCT(--(BD1163=$BD$4:$BD$12824),$AC$4:$AC$12824))</f>
        <v>9.670064423607596E-3</v>
      </c>
      <c r="BF1163" s="458"/>
      <c r="BG1163" s="458"/>
      <c r="BH1163" s="458"/>
      <c r="BI1163" s="458"/>
      <c r="BJ1163" s="458"/>
      <c r="BK1163" s="458"/>
      <c r="BL1163" s="458"/>
      <c r="BM1163" s="458"/>
      <c r="BN1163" s="458"/>
      <c r="BO1163" s="866">
        <f>VLOOKUP(BD1163,$BD$4:$BN$12824,3,0)*BE1163</f>
        <v>182002.02312831482</v>
      </c>
      <c r="BP1163" s="866"/>
      <c r="BQ1163" s="866"/>
      <c r="BR1163" s="866">
        <f>VLOOKUP(BD1163,$BD$4:$BN$12824,6,0)*BE1163</f>
        <v>64444.065287281745</v>
      </c>
      <c r="BS1163" s="866">
        <f>VLOOKUP(BD1163,$BD$4:$BN$12824,7,0)*BE1163</f>
        <v>5120.5408639108118</v>
      </c>
      <c r="BT1163" s="866"/>
      <c r="BU1163" s="866">
        <f>VLOOKUP(BD1163,$BD$4:$BN$12824,9,0)*BE1163</f>
        <v>264.42791166354971</v>
      </c>
      <c r="BV1163" s="867"/>
      <c r="BW1163" s="867">
        <f>VLOOKUP(BD1163,$BD$4:$BN$12824,11,0)*BE1163</f>
        <v>5802.0386541645576</v>
      </c>
      <c r="BX1163" s="1146">
        <f t="shared" si="218"/>
        <v>257633.09584533548</v>
      </c>
      <c r="BY1163" s="867">
        <f t="shared" si="227"/>
        <v>1517318.4812211394</v>
      </c>
      <c r="BZ1163" s="867">
        <f t="shared" si="225"/>
        <v>6069273.9248845577</v>
      </c>
      <c r="CA1163" s="867">
        <f>_xlfn.MAXIFS($BY$4:$BY$12824,$S$4:$S$12824,$S1163)</f>
        <v>1517318.4812211394</v>
      </c>
      <c r="CB1163" s="1032"/>
      <c r="CF1163" s="946">
        <f t="shared" si="226"/>
        <v>5266298.7023999998</v>
      </c>
    </row>
    <row r="1164" spans="1:84">
      <c r="A1164" s="1032"/>
      <c r="B1164" s="839" t="s">
        <v>98</v>
      </c>
      <c r="C1164" s="839" t="s">
        <v>273</v>
      </c>
      <c r="D1164" s="839" t="s">
        <v>4041</v>
      </c>
      <c r="E1164" s="839" t="s">
        <v>4041</v>
      </c>
      <c r="F1164" s="841">
        <v>45731</v>
      </c>
      <c r="G1164" s="840" t="s">
        <v>273</v>
      </c>
      <c r="H1164" s="842" t="s">
        <v>134</v>
      </c>
      <c r="I1164" s="842" t="s">
        <v>4042</v>
      </c>
      <c r="J1164" s="841"/>
      <c r="K1164" s="841"/>
      <c r="L1164" s="843" t="s">
        <v>106</v>
      </c>
      <c r="M1164" s="844" t="s">
        <v>275</v>
      </c>
      <c r="N1164" s="841"/>
      <c r="O1164" s="841" t="s">
        <v>150</v>
      </c>
      <c r="P1164" s="841" t="s">
        <v>4018</v>
      </c>
      <c r="Q1164" s="843"/>
      <c r="R1164" s="845" t="s">
        <v>4043</v>
      </c>
      <c r="S1164" s="1130" t="s">
        <v>4043</v>
      </c>
      <c r="T1164" s="843" t="s">
        <v>4044</v>
      </c>
      <c r="U1164" s="842">
        <v>1</v>
      </c>
      <c r="V1164" s="842" t="s">
        <v>3</v>
      </c>
      <c r="W1164" s="846">
        <v>4536.1400000000003</v>
      </c>
      <c r="X1164" s="847">
        <f t="shared" si="220"/>
        <v>4536.1400000000003</v>
      </c>
      <c r="Y1164" s="848">
        <v>0.8</v>
      </c>
      <c r="Z1164" s="849">
        <v>907.23</v>
      </c>
      <c r="AA1164" s="849"/>
      <c r="AB1164" s="849">
        <f t="shared" si="221"/>
        <v>907.23</v>
      </c>
      <c r="AC1164" s="850">
        <f t="shared" si="222"/>
        <v>907.23</v>
      </c>
      <c r="AD1164" s="851">
        <f t="shared" si="219"/>
        <v>32000</v>
      </c>
      <c r="AE1164" s="852">
        <v>29506.38</v>
      </c>
      <c r="AF1164" s="853">
        <v>0.1</v>
      </c>
      <c r="AG1164" s="854">
        <f t="shared" si="223"/>
        <v>2772023.4062690604</v>
      </c>
      <c r="AH1164" s="853">
        <v>0.08</v>
      </c>
      <c r="AI1164" s="855">
        <f t="shared" si="224"/>
        <v>2363287.7226935248</v>
      </c>
      <c r="AJ1164" s="845" t="s">
        <v>3949</v>
      </c>
      <c r="AK1164" s="857">
        <v>45768</v>
      </c>
      <c r="AL1164" s="840" t="s">
        <v>3950</v>
      </c>
      <c r="AM1164" s="840"/>
      <c r="AN1164" s="858"/>
      <c r="AO1164" s="844" t="s">
        <v>3951</v>
      </c>
      <c r="AP1164" s="859"/>
      <c r="AQ1164" s="859" t="s">
        <v>3952</v>
      </c>
      <c r="AR1164" s="859">
        <v>45821</v>
      </c>
      <c r="AS1164" s="840"/>
      <c r="AT1164" s="840"/>
      <c r="AU1164" s="842" t="s">
        <v>1210</v>
      </c>
      <c r="AV1164" s="839" t="s">
        <v>3953</v>
      </c>
      <c r="AW1164" s="861">
        <v>45824</v>
      </c>
      <c r="AX1164" s="862"/>
      <c r="AY1164" s="843"/>
      <c r="AZ1164" s="842"/>
      <c r="BA1164" s="842" t="s">
        <v>120</v>
      </c>
      <c r="BB1164" s="863" t="s">
        <v>121</v>
      </c>
      <c r="BC1164" s="864">
        <v>45826</v>
      </c>
      <c r="BD1164" s="860" t="s">
        <v>3954</v>
      </c>
      <c r="BE1164" s="865" cm="1">
        <f t="array" ref="BE1164">IF(BD1164="","",AC1164/SUMPRODUCT(--(BD1164=$BD$4:$BD$12824),$AC$4:$AC$12824))</f>
        <v>4.9153813015629308E-2</v>
      </c>
      <c r="BF1164" s="458"/>
      <c r="BG1164" s="458"/>
      <c r="BH1164" s="458"/>
      <c r="BI1164" s="458"/>
      <c r="BJ1164" s="458"/>
      <c r="BK1164" s="458"/>
      <c r="BL1164" s="458"/>
      <c r="BM1164" s="458"/>
      <c r="BN1164" s="458"/>
      <c r="BO1164" s="866">
        <f>VLOOKUP(BD1164,$BD$4:$BN$12824,3,0)*BE1164</f>
        <v>925132.76245350204</v>
      </c>
      <c r="BP1164" s="866"/>
      <c r="BQ1164" s="866"/>
      <c r="BR1164" s="866">
        <f>VLOOKUP(BD1164,$BD$4:$BN$12824,6,0)*BE1164</f>
        <v>327575.01877286314</v>
      </c>
      <c r="BS1164" s="866">
        <f>VLOOKUP(BD1164,$BD$4:$BN$12824,7,0)*BE1164</f>
        <v>26028.172837101109</v>
      </c>
      <c r="BT1164" s="866"/>
      <c r="BU1164" s="866">
        <f>VLOOKUP(BD1164,$BD$4:$BN$12824,9,0)*BE1164</f>
        <v>1344.1110169123833</v>
      </c>
      <c r="BV1164" s="867"/>
      <c r="BW1164" s="867">
        <f>VLOOKUP(BD1164,$BD$4:$BN$12824,11,0)*BE1164</f>
        <v>29492.287809377583</v>
      </c>
      <c r="BX1164" s="1146">
        <f t="shared" si="218"/>
        <v>1309572.3528897562</v>
      </c>
      <c r="BY1164" s="867">
        <f t="shared" si="227"/>
        <v>30850668.88655882</v>
      </c>
      <c r="BZ1164" s="867">
        <f t="shared" si="225"/>
        <v>30850668.88655882</v>
      </c>
      <c r="CA1164" s="867">
        <f>_xlfn.MAXIFS($BY$4:$BY$12824,$S$4:$S$12824,$S1164)</f>
        <v>30850668.88655882</v>
      </c>
      <c r="CB1164" s="1032"/>
      <c r="CF1164" s="946">
        <f t="shared" si="226"/>
        <v>26769073.1274</v>
      </c>
    </row>
    <row r="1165" spans="1:84">
      <c r="A1165" s="1032"/>
      <c r="B1165" s="839" t="s">
        <v>98</v>
      </c>
      <c r="C1165" s="839" t="s">
        <v>254</v>
      </c>
      <c r="D1165" s="839" t="s">
        <v>4045</v>
      </c>
      <c r="E1165" s="839" t="s">
        <v>4046</v>
      </c>
      <c r="F1165" s="841">
        <v>45679</v>
      </c>
      <c r="G1165" s="840" t="s">
        <v>4047</v>
      </c>
      <c r="H1165" s="842" t="s">
        <v>4048</v>
      </c>
      <c r="I1165" s="842"/>
      <c r="J1165" s="841"/>
      <c r="K1165" s="841"/>
      <c r="L1165" s="843" t="s">
        <v>106</v>
      </c>
      <c r="M1165" s="844" t="s">
        <v>107</v>
      </c>
      <c r="N1165" s="841"/>
      <c r="O1165" s="841" t="s">
        <v>108</v>
      </c>
      <c r="P1165" s="841" t="s">
        <v>3622</v>
      </c>
      <c r="Q1165" s="843"/>
      <c r="R1165" s="845" t="s">
        <v>4049</v>
      </c>
      <c r="S1165" s="1127" t="s">
        <v>4050</v>
      </c>
      <c r="T1165" s="843" t="s">
        <v>4051</v>
      </c>
      <c r="U1165" s="842">
        <v>2</v>
      </c>
      <c r="V1165" s="842" t="s">
        <v>3</v>
      </c>
      <c r="W1165" s="846">
        <v>4713</v>
      </c>
      <c r="X1165" s="847">
        <f t="shared" si="220"/>
        <v>9426</v>
      </c>
      <c r="Y1165" s="848">
        <f t="shared" ref="Y1165:Y1171" si="228">(W1165-Z1165)/W1165</f>
        <v>0.5</v>
      </c>
      <c r="Z1165" s="849">
        <v>2356.5</v>
      </c>
      <c r="AA1165" s="849"/>
      <c r="AB1165" s="849">
        <f t="shared" si="221"/>
        <v>4713</v>
      </c>
      <c r="AC1165" s="850">
        <f t="shared" si="222"/>
        <v>4713</v>
      </c>
      <c r="AD1165" s="851">
        <f t="shared" si="219"/>
        <v>32000</v>
      </c>
      <c r="AE1165" s="852">
        <v>29506.38</v>
      </c>
      <c r="AF1165" s="853">
        <v>0</v>
      </c>
      <c r="AG1165" s="854">
        <f t="shared" si="223"/>
        <v>0</v>
      </c>
      <c r="AH1165" s="853">
        <v>0.1</v>
      </c>
      <c r="AI1165" s="855">
        <f t="shared" si="224"/>
        <v>16951815.294</v>
      </c>
      <c r="AJ1165" s="845" t="s">
        <v>4052</v>
      </c>
      <c r="AK1165" s="857">
        <v>45742</v>
      </c>
      <c r="AL1165" s="840" t="s">
        <v>4053</v>
      </c>
      <c r="AM1165" s="840"/>
      <c r="AN1165" s="858"/>
      <c r="AO1165" s="844" t="s">
        <v>4054</v>
      </c>
      <c r="AP1165" s="859"/>
      <c r="AQ1165" s="859" t="s">
        <v>4055</v>
      </c>
      <c r="AR1165" s="859" t="s">
        <v>4017</v>
      </c>
      <c r="AS1165" s="840"/>
      <c r="AT1165" s="840"/>
      <c r="AU1165" s="842"/>
      <c r="AV1165" s="839" t="s">
        <v>4056</v>
      </c>
      <c r="AW1165" s="861">
        <v>45824</v>
      </c>
      <c r="AX1165" s="862">
        <v>45829</v>
      </c>
      <c r="AY1165" s="843"/>
      <c r="AZ1165" s="842"/>
      <c r="BA1165" s="842" t="s">
        <v>120</v>
      </c>
      <c r="BB1165" s="863" t="s">
        <v>121</v>
      </c>
      <c r="BC1165" s="864">
        <v>45832</v>
      </c>
      <c r="BD1165" s="860" t="s">
        <v>4057</v>
      </c>
      <c r="BE1165" s="865" cm="1">
        <f t="array" ref="BE1165">IF(BD1165="","",AC1165/SUMPRODUCT(--(BD1165=$BD$4:$BD$12824),$AC$4:$AC$12824))</f>
        <v>0.10800207616976468</v>
      </c>
      <c r="BF1165" s="458">
        <v>29213000</v>
      </c>
      <c r="BG1165" s="458"/>
      <c r="BH1165" s="458"/>
      <c r="BI1165" s="458">
        <f>5109000+5562000</f>
        <v>10671000</v>
      </c>
      <c r="BJ1165" s="458">
        <v>1241584</v>
      </c>
      <c r="BK1165" s="458"/>
      <c r="BL1165" s="458"/>
      <c r="BM1165" s="458"/>
      <c r="BN1165" s="458">
        <v>2380400</v>
      </c>
      <c r="BO1165" s="866">
        <f>VLOOKUP(BD1165,$BD$4:$BN$12824,3,0)*BE1165</f>
        <v>3155064.6511473353</v>
      </c>
      <c r="BP1165" s="866"/>
      <c r="BQ1165" s="866"/>
      <c r="BR1165" s="866">
        <f>VLOOKUP(BD1165,$BD$4:$BN$12824,6,0)*BE1165</f>
        <v>1152490.154807559</v>
      </c>
      <c r="BS1165" s="866">
        <f>VLOOKUP(BD1165,$BD$4:$BN$12824,7,0)*BE1165</f>
        <v>134093.6497391611</v>
      </c>
      <c r="BT1165" s="866"/>
      <c r="BU1165" s="866">
        <f>VLOOKUP(BD1165,$BD$4:$BN$12824,9,0)*BE1165</f>
        <v>0</v>
      </c>
      <c r="BV1165" s="867"/>
      <c r="BW1165" s="867">
        <f>VLOOKUP(BD1165,$BD$4:$BN$12824,11,0)*BE1165</f>
        <v>257088.14211450785</v>
      </c>
      <c r="BX1165" s="1146">
        <f t="shared" ref="BX1165:BX1217" si="229">SUM(BO1165:BW1165)</f>
        <v>4698736.5978085632</v>
      </c>
      <c r="BY1165" s="867">
        <f t="shared" si="227"/>
        <v>71881152.768904284</v>
      </c>
      <c r="BZ1165" s="867">
        <f t="shared" si="225"/>
        <v>143762305.53780857</v>
      </c>
      <c r="CA1165" s="867">
        <f>_xlfn.MAXIFS($BY$4:$BY$12824,$S$4:$S$12824,$S1165)</f>
        <v>71881152.768904284</v>
      </c>
      <c r="CB1165" s="1032"/>
      <c r="CF1165" s="946">
        <f t="shared" si="226"/>
        <v>139063568.94</v>
      </c>
    </row>
    <row r="1166" spans="1:84">
      <c r="A1166" s="1032"/>
      <c r="B1166" s="839" t="s">
        <v>98</v>
      </c>
      <c r="C1166" s="839" t="s">
        <v>254</v>
      </c>
      <c r="D1166" s="839" t="s">
        <v>4045</v>
      </c>
      <c r="E1166" s="839" t="s">
        <v>4046</v>
      </c>
      <c r="F1166" s="841">
        <v>45679</v>
      </c>
      <c r="G1166" s="840" t="s">
        <v>4047</v>
      </c>
      <c r="H1166" s="842" t="s">
        <v>4048</v>
      </c>
      <c r="I1166" s="842"/>
      <c r="J1166" s="841"/>
      <c r="K1166" s="841"/>
      <c r="L1166" s="843" t="s">
        <v>106</v>
      </c>
      <c r="M1166" s="844" t="s">
        <v>107</v>
      </c>
      <c r="N1166" s="841"/>
      <c r="O1166" s="841" t="s">
        <v>108</v>
      </c>
      <c r="P1166" s="841" t="s">
        <v>3622</v>
      </c>
      <c r="Q1166" s="843"/>
      <c r="R1166" s="845" t="s">
        <v>4058</v>
      </c>
      <c r="S1166" s="1127" t="s">
        <v>4059</v>
      </c>
      <c r="T1166" s="843" t="s">
        <v>4060</v>
      </c>
      <c r="U1166" s="842">
        <v>2</v>
      </c>
      <c r="V1166" s="842" t="s">
        <v>3</v>
      </c>
      <c r="W1166" s="846">
        <v>3689</v>
      </c>
      <c r="X1166" s="847">
        <f t="shared" si="220"/>
        <v>7378</v>
      </c>
      <c r="Y1166" s="848">
        <f t="shared" si="228"/>
        <v>0.5</v>
      </c>
      <c r="Z1166" s="849">
        <v>1844.5</v>
      </c>
      <c r="AA1166" s="849"/>
      <c r="AB1166" s="849">
        <f t="shared" si="221"/>
        <v>3689</v>
      </c>
      <c r="AC1166" s="850">
        <f t="shared" si="222"/>
        <v>3689</v>
      </c>
      <c r="AD1166" s="851">
        <f t="shared" si="219"/>
        <v>32000</v>
      </c>
      <c r="AE1166" s="852">
        <v>29506.38</v>
      </c>
      <c r="AF1166" s="853">
        <v>0</v>
      </c>
      <c r="AG1166" s="854">
        <f t="shared" si="223"/>
        <v>0</v>
      </c>
      <c r="AH1166" s="853">
        <v>0.1</v>
      </c>
      <c r="AI1166" s="855">
        <f t="shared" si="224"/>
        <v>10884903.582000002</v>
      </c>
      <c r="AJ1166" s="845" t="s">
        <v>4052</v>
      </c>
      <c r="AK1166" s="857">
        <v>45742</v>
      </c>
      <c r="AL1166" s="840" t="s">
        <v>4053</v>
      </c>
      <c r="AM1166" s="840"/>
      <c r="AN1166" s="858"/>
      <c r="AO1166" s="844" t="s">
        <v>4054</v>
      </c>
      <c r="AP1166" s="859"/>
      <c r="AQ1166" s="859" t="s">
        <v>4055</v>
      </c>
      <c r="AR1166" s="859" t="s">
        <v>4017</v>
      </c>
      <c r="AS1166" s="840"/>
      <c r="AT1166" s="840"/>
      <c r="AU1166" s="842"/>
      <c r="AV1166" s="839" t="s">
        <v>4056</v>
      </c>
      <c r="AW1166" s="861">
        <v>45824</v>
      </c>
      <c r="AX1166" s="862">
        <v>45829</v>
      </c>
      <c r="AY1166" s="843"/>
      <c r="AZ1166" s="842"/>
      <c r="BA1166" s="842" t="s">
        <v>120</v>
      </c>
      <c r="BB1166" s="863" t="s">
        <v>121</v>
      </c>
      <c r="BC1166" s="864">
        <v>45832</v>
      </c>
      <c r="BD1166" s="860" t="s">
        <v>4057</v>
      </c>
      <c r="BE1166" s="865" cm="1">
        <f t="array" ref="BE1166">IF(BD1166="","",AC1166/SUMPRODUCT(--(BD1166=$BD$4:$BD$12824),$AC$4:$AC$12824))</f>
        <v>8.4536316356940783E-2</v>
      </c>
      <c r="BF1166" s="458"/>
      <c r="BG1166" s="458"/>
      <c r="BH1166" s="458"/>
      <c r="BI1166" s="458"/>
      <c r="BJ1166" s="458"/>
      <c r="BK1166" s="458"/>
      <c r="BL1166" s="458"/>
      <c r="BM1166" s="458"/>
      <c r="BN1166" s="458"/>
      <c r="BO1166" s="866">
        <f>VLOOKUP(BD1166,$BD$4:$BN$12824,3,0)*BE1166</f>
        <v>2469559.4097353113</v>
      </c>
      <c r="BP1166" s="866"/>
      <c r="BQ1166" s="866"/>
      <c r="BR1166" s="866">
        <f>VLOOKUP(BD1166,$BD$4:$BN$12824,6,0)*BE1166</f>
        <v>902087.03184491512</v>
      </c>
      <c r="BS1166" s="866">
        <f>VLOOKUP(BD1166,$BD$4:$BN$12824,7,0)*BE1166</f>
        <v>104958.93780771596</v>
      </c>
      <c r="BT1166" s="866"/>
      <c r="BU1166" s="866">
        <f>VLOOKUP(BD1166,$BD$4:$BN$12824,9,0)*BE1166</f>
        <v>0</v>
      </c>
      <c r="BV1166" s="867"/>
      <c r="BW1166" s="867">
        <f>VLOOKUP(BD1166,$BD$4:$BN$12824,11,0)*BE1166</f>
        <v>201230.24745606183</v>
      </c>
      <c r="BX1166" s="1146">
        <f t="shared" ref="BX1166:BX1194" si="230">SUM(BO1166:BW1166)</f>
        <v>3677835.6268440043</v>
      </c>
      <c r="BY1166" s="867">
        <f t="shared" si="227"/>
        <v>56263435.723422006</v>
      </c>
      <c r="BZ1166" s="867">
        <f t="shared" si="225"/>
        <v>112526871.44684401</v>
      </c>
      <c r="CA1166" s="867">
        <f>_xlfn.MAXIFS($BY$4:$BY$12824,$S$4:$S$12824,$S1166)</f>
        <v>56263435.723422006</v>
      </c>
      <c r="CB1166" s="1032"/>
      <c r="CF1166" s="946">
        <f t="shared" si="226"/>
        <v>108849035.82000001</v>
      </c>
    </row>
    <row r="1167" spans="1:84">
      <c r="A1167" s="1032"/>
      <c r="B1167" s="839" t="s">
        <v>98</v>
      </c>
      <c r="C1167" s="839" t="s">
        <v>254</v>
      </c>
      <c r="D1167" s="839" t="s">
        <v>4045</v>
      </c>
      <c r="E1167" s="839" t="s">
        <v>4046</v>
      </c>
      <c r="F1167" s="841">
        <v>45679</v>
      </c>
      <c r="G1167" s="840" t="s">
        <v>4047</v>
      </c>
      <c r="H1167" s="842" t="s">
        <v>4048</v>
      </c>
      <c r="I1167" s="842"/>
      <c r="J1167" s="841"/>
      <c r="K1167" s="841"/>
      <c r="L1167" s="843" t="s">
        <v>106</v>
      </c>
      <c r="M1167" s="844" t="s">
        <v>107</v>
      </c>
      <c r="N1167" s="841"/>
      <c r="O1167" s="841" t="s">
        <v>108</v>
      </c>
      <c r="P1167" s="841" t="s">
        <v>160</v>
      </c>
      <c r="Q1167" s="843"/>
      <c r="R1167" s="845" t="s">
        <v>4061</v>
      </c>
      <c r="S1167" s="1127" t="s">
        <v>4062</v>
      </c>
      <c r="T1167" s="843" t="s">
        <v>4063</v>
      </c>
      <c r="U1167" s="842">
        <v>2</v>
      </c>
      <c r="V1167" s="842" t="s">
        <v>3</v>
      </c>
      <c r="W1167" s="846">
        <v>207</v>
      </c>
      <c r="X1167" s="847">
        <f t="shared" si="220"/>
        <v>414</v>
      </c>
      <c r="Y1167" s="848">
        <f t="shared" si="228"/>
        <v>0.5</v>
      </c>
      <c r="Z1167" s="849">
        <v>103.5</v>
      </c>
      <c r="AA1167" s="849"/>
      <c r="AB1167" s="849">
        <f t="shared" si="221"/>
        <v>207</v>
      </c>
      <c r="AC1167" s="850">
        <f t="shared" si="222"/>
        <v>207</v>
      </c>
      <c r="AD1167" s="851">
        <f t="shared" si="219"/>
        <v>32000</v>
      </c>
      <c r="AE1167" s="852">
        <v>29506.38</v>
      </c>
      <c r="AF1167" s="853">
        <v>0</v>
      </c>
      <c r="AG1167" s="854">
        <f t="shared" si="223"/>
        <v>0</v>
      </c>
      <c r="AH1167" s="853">
        <v>0.1</v>
      </c>
      <c r="AI1167" s="855">
        <f t="shared" si="224"/>
        <v>610782.06599999999</v>
      </c>
      <c r="AJ1167" s="845" t="s">
        <v>4052</v>
      </c>
      <c r="AK1167" s="857">
        <v>45742</v>
      </c>
      <c r="AL1167" s="840" t="s">
        <v>4053</v>
      </c>
      <c r="AM1167" s="840"/>
      <c r="AN1167" s="858"/>
      <c r="AO1167" s="844" t="s">
        <v>4054</v>
      </c>
      <c r="AP1167" s="859"/>
      <c r="AQ1167" s="859" t="s">
        <v>4055</v>
      </c>
      <c r="AR1167" s="859" t="s">
        <v>4017</v>
      </c>
      <c r="AS1167" s="840"/>
      <c r="AT1167" s="840"/>
      <c r="AU1167" s="842"/>
      <c r="AV1167" s="839" t="s">
        <v>4056</v>
      </c>
      <c r="AW1167" s="861">
        <v>45824</v>
      </c>
      <c r="AX1167" s="862">
        <v>45829</v>
      </c>
      <c r="AY1167" s="843"/>
      <c r="AZ1167" s="842"/>
      <c r="BA1167" s="842" t="s">
        <v>120</v>
      </c>
      <c r="BB1167" s="863" t="s">
        <v>121</v>
      </c>
      <c r="BC1167" s="864">
        <v>45832</v>
      </c>
      <c r="BD1167" s="860" t="s">
        <v>4057</v>
      </c>
      <c r="BE1167" s="865" cm="1">
        <f t="array" ref="BE1167">IF(BD1167="","",AC1167/SUMPRODUCT(--(BD1167=$BD$4:$BD$12824),$AC$4:$AC$12824))</f>
        <v>4.7435666809126434E-3</v>
      </c>
      <c r="BF1167" s="458"/>
      <c r="BG1167" s="458"/>
      <c r="BH1167" s="458"/>
      <c r="BI1167" s="458"/>
      <c r="BJ1167" s="458"/>
      <c r="BK1167" s="458"/>
      <c r="BL1167" s="458"/>
      <c r="BM1167" s="458"/>
      <c r="BN1167" s="458"/>
      <c r="BO1167" s="866">
        <f>VLOOKUP(BD1167,$BD$4:$BN$12824,3,0)*BE1167</f>
        <v>138573.81344950106</v>
      </c>
      <c r="BP1167" s="866"/>
      <c r="BQ1167" s="866"/>
      <c r="BR1167" s="866">
        <f>VLOOKUP(BD1167,$BD$4:$BN$12824,6,0)*BE1167</f>
        <v>50618.600052018817</v>
      </c>
      <c r="BS1167" s="866">
        <f>VLOOKUP(BD1167,$BD$4:$BN$12824,7,0)*BE1167</f>
        <v>5889.5364939542433</v>
      </c>
      <c r="BT1167" s="866"/>
      <c r="BU1167" s="866">
        <f>VLOOKUP(BD1167,$BD$4:$BN$12824,9,0)*BE1167</f>
        <v>0</v>
      </c>
      <c r="BV1167" s="867"/>
      <c r="BW1167" s="867">
        <f>VLOOKUP(BD1167,$BD$4:$BN$12824,11,0)*BE1167</f>
        <v>11291.586127244456</v>
      </c>
      <c r="BX1167" s="1146">
        <f t="shared" si="230"/>
        <v>206373.53612271859</v>
      </c>
      <c r="BY1167" s="867">
        <f t="shared" si="227"/>
        <v>3157097.0980613595</v>
      </c>
      <c r="BZ1167" s="867">
        <f t="shared" si="225"/>
        <v>6314194.196122719</v>
      </c>
      <c r="CA1167" s="867">
        <f>_xlfn.MAXIFS($BY$4:$BY$12824,$S$4:$S$12824,$S1167)</f>
        <v>3157097.0980613595</v>
      </c>
      <c r="CB1167" s="1032"/>
      <c r="CF1167" s="946">
        <f t="shared" si="226"/>
        <v>6107820.6600000001</v>
      </c>
    </row>
    <row r="1168" spans="1:84">
      <c r="A1168" s="1032"/>
      <c r="B1168" s="839" t="s">
        <v>98</v>
      </c>
      <c r="C1168" s="839" t="s">
        <v>254</v>
      </c>
      <c r="D1168" s="839" t="s">
        <v>4045</v>
      </c>
      <c r="E1168" s="839" t="s">
        <v>4046</v>
      </c>
      <c r="F1168" s="841">
        <v>45679</v>
      </c>
      <c r="G1168" s="840" t="s">
        <v>4047</v>
      </c>
      <c r="H1168" s="842" t="s">
        <v>4048</v>
      </c>
      <c r="I1168" s="842"/>
      <c r="J1168" s="841"/>
      <c r="K1168" s="841"/>
      <c r="L1168" s="843" t="s">
        <v>106</v>
      </c>
      <c r="M1168" s="844" t="s">
        <v>107</v>
      </c>
      <c r="N1168" s="841"/>
      <c r="O1168" s="841" t="s">
        <v>108</v>
      </c>
      <c r="P1168" s="841" t="s">
        <v>160</v>
      </c>
      <c r="Q1168" s="843"/>
      <c r="R1168" s="845" t="s">
        <v>4064</v>
      </c>
      <c r="S1168" s="1127" t="s">
        <v>4065</v>
      </c>
      <c r="T1168" s="843" t="s">
        <v>4066</v>
      </c>
      <c r="U1168" s="842">
        <v>2</v>
      </c>
      <c r="V1168" s="842" t="s">
        <v>3</v>
      </c>
      <c r="W1168" s="846">
        <v>207</v>
      </c>
      <c r="X1168" s="847">
        <f t="shared" si="220"/>
        <v>414</v>
      </c>
      <c r="Y1168" s="848">
        <f t="shared" si="228"/>
        <v>0.5</v>
      </c>
      <c r="Z1168" s="849">
        <v>103.5</v>
      </c>
      <c r="AA1168" s="849"/>
      <c r="AB1168" s="849">
        <f t="shared" si="221"/>
        <v>207</v>
      </c>
      <c r="AC1168" s="850">
        <f t="shared" si="222"/>
        <v>207</v>
      </c>
      <c r="AD1168" s="851">
        <f t="shared" si="219"/>
        <v>32000</v>
      </c>
      <c r="AE1168" s="852">
        <v>29506.38</v>
      </c>
      <c r="AF1168" s="853">
        <v>0</v>
      </c>
      <c r="AG1168" s="854">
        <f t="shared" si="223"/>
        <v>0</v>
      </c>
      <c r="AH1168" s="853">
        <v>0.1</v>
      </c>
      <c r="AI1168" s="855">
        <f t="shared" si="224"/>
        <v>610782.06599999999</v>
      </c>
      <c r="AJ1168" s="845" t="s">
        <v>4052</v>
      </c>
      <c r="AK1168" s="857">
        <v>45742</v>
      </c>
      <c r="AL1168" s="840" t="s">
        <v>4053</v>
      </c>
      <c r="AM1168" s="840"/>
      <c r="AN1168" s="858"/>
      <c r="AO1168" s="844" t="s">
        <v>4054</v>
      </c>
      <c r="AP1168" s="859"/>
      <c r="AQ1168" s="859" t="s">
        <v>4055</v>
      </c>
      <c r="AR1168" s="859" t="s">
        <v>4017</v>
      </c>
      <c r="AS1168" s="840"/>
      <c r="AT1168" s="840"/>
      <c r="AU1168" s="842"/>
      <c r="AV1168" s="839" t="s">
        <v>4056</v>
      </c>
      <c r="AW1168" s="861">
        <v>45824</v>
      </c>
      <c r="AX1168" s="862">
        <v>45829</v>
      </c>
      <c r="AY1168" s="843"/>
      <c r="AZ1168" s="842"/>
      <c r="BA1168" s="842" t="s">
        <v>120</v>
      </c>
      <c r="BB1168" s="863" t="s">
        <v>121</v>
      </c>
      <c r="BC1168" s="864">
        <v>45832</v>
      </c>
      <c r="BD1168" s="860" t="s">
        <v>4057</v>
      </c>
      <c r="BE1168" s="865" cm="1">
        <f t="array" ref="BE1168">IF(BD1168="","",AC1168/SUMPRODUCT(--(BD1168=$BD$4:$BD$12824),$AC$4:$AC$12824))</f>
        <v>4.7435666809126434E-3</v>
      </c>
      <c r="BF1168" s="458"/>
      <c r="BG1168" s="458"/>
      <c r="BH1168" s="458"/>
      <c r="BI1168" s="458"/>
      <c r="BJ1168" s="458"/>
      <c r="BK1168" s="458"/>
      <c r="BL1168" s="458"/>
      <c r="BM1168" s="458"/>
      <c r="BN1168" s="458"/>
      <c r="BO1168" s="866">
        <f>VLOOKUP(BD1168,$BD$4:$BN$12824,3,0)*BE1168</f>
        <v>138573.81344950106</v>
      </c>
      <c r="BP1168" s="866"/>
      <c r="BQ1168" s="866"/>
      <c r="BR1168" s="866">
        <f>VLOOKUP(BD1168,$BD$4:$BN$12824,6,0)*BE1168</f>
        <v>50618.600052018817</v>
      </c>
      <c r="BS1168" s="866">
        <f>VLOOKUP(BD1168,$BD$4:$BN$12824,7,0)*BE1168</f>
        <v>5889.5364939542433</v>
      </c>
      <c r="BT1168" s="866"/>
      <c r="BU1168" s="866">
        <f>VLOOKUP(BD1168,$BD$4:$BN$12824,9,0)*BE1168</f>
        <v>0</v>
      </c>
      <c r="BV1168" s="867"/>
      <c r="BW1168" s="867">
        <f>VLOOKUP(BD1168,$BD$4:$BN$12824,11,0)*BE1168</f>
        <v>11291.586127244456</v>
      </c>
      <c r="BX1168" s="1146">
        <f t="shared" si="230"/>
        <v>206373.53612271859</v>
      </c>
      <c r="BY1168" s="867">
        <f t="shared" si="227"/>
        <v>3157097.0980613595</v>
      </c>
      <c r="BZ1168" s="867">
        <f t="shared" si="225"/>
        <v>6314194.196122719</v>
      </c>
      <c r="CA1168" s="867">
        <f>_xlfn.MAXIFS($BY$4:$BY$12824,$S$4:$S$12824,$S1168)</f>
        <v>3157097.0980613595</v>
      </c>
      <c r="CB1168" s="1032"/>
      <c r="CF1168" s="946">
        <f t="shared" si="226"/>
        <v>6107820.6600000001</v>
      </c>
    </row>
    <row r="1169" spans="1:84">
      <c r="A1169" s="1032"/>
      <c r="B1169" s="839" t="s">
        <v>98</v>
      </c>
      <c r="C1169" s="839" t="s">
        <v>254</v>
      </c>
      <c r="D1169" s="839" t="s">
        <v>4045</v>
      </c>
      <c r="E1169" s="839" t="s">
        <v>4046</v>
      </c>
      <c r="F1169" s="841">
        <v>45679</v>
      </c>
      <c r="G1169" s="840" t="s">
        <v>4047</v>
      </c>
      <c r="H1169" s="842" t="s">
        <v>4048</v>
      </c>
      <c r="I1169" s="842"/>
      <c r="J1169" s="841"/>
      <c r="K1169" s="841"/>
      <c r="L1169" s="843" t="s">
        <v>106</v>
      </c>
      <c r="M1169" s="844" t="s">
        <v>107</v>
      </c>
      <c r="N1169" s="841"/>
      <c r="O1169" s="841" t="s">
        <v>108</v>
      </c>
      <c r="P1169" s="841" t="s">
        <v>160</v>
      </c>
      <c r="Q1169" s="843"/>
      <c r="R1169" s="845" t="s">
        <v>4067</v>
      </c>
      <c r="S1169" s="1127" t="s">
        <v>4068</v>
      </c>
      <c r="T1169" s="843" t="s">
        <v>4069</v>
      </c>
      <c r="U1169" s="842">
        <v>2</v>
      </c>
      <c r="V1169" s="842" t="s">
        <v>3</v>
      </c>
      <c r="W1169" s="846">
        <v>115</v>
      </c>
      <c r="X1169" s="847">
        <f t="shared" si="220"/>
        <v>230</v>
      </c>
      <c r="Y1169" s="848">
        <f t="shared" si="228"/>
        <v>0.5</v>
      </c>
      <c r="Z1169" s="849">
        <v>57.5</v>
      </c>
      <c r="AA1169" s="849"/>
      <c r="AB1169" s="849">
        <f t="shared" si="221"/>
        <v>115</v>
      </c>
      <c r="AC1169" s="850">
        <f t="shared" si="222"/>
        <v>115</v>
      </c>
      <c r="AD1169" s="851">
        <f t="shared" si="219"/>
        <v>32000</v>
      </c>
      <c r="AE1169" s="852">
        <v>29506.38</v>
      </c>
      <c r="AF1169" s="853">
        <v>0</v>
      </c>
      <c r="AG1169" s="854">
        <f t="shared" si="223"/>
        <v>0</v>
      </c>
      <c r="AH1169" s="853">
        <v>0.1</v>
      </c>
      <c r="AI1169" s="855">
        <f t="shared" si="224"/>
        <v>339323.37000000005</v>
      </c>
      <c r="AJ1169" s="845" t="s">
        <v>4052</v>
      </c>
      <c r="AK1169" s="857">
        <v>45742</v>
      </c>
      <c r="AL1169" s="840" t="s">
        <v>4053</v>
      </c>
      <c r="AM1169" s="840"/>
      <c r="AN1169" s="858"/>
      <c r="AO1169" s="844" t="s">
        <v>4054</v>
      </c>
      <c r="AP1169" s="859"/>
      <c r="AQ1169" s="859" t="s">
        <v>4055</v>
      </c>
      <c r="AR1169" s="859" t="s">
        <v>4017</v>
      </c>
      <c r="AS1169" s="840"/>
      <c r="AT1169" s="840"/>
      <c r="AU1169" s="842"/>
      <c r="AV1169" s="839" t="s">
        <v>4056</v>
      </c>
      <c r="AW1169" s="861">
        <v>45824</v>
      </c>
      <c r="AX1169" s="862">
        <v>45829</v>
      </c>
      <c r="AY1169" s="843"/>
      <c r="AZ1169" s="842"/>
      <c r="BA1169" s="842" t="s">
        <v>120</v>
      </c>
      <c r="BB1169" s="863" t="s">
        <v>121</v>
      </c>
      <c r="BC1169" s="864">
        <v>45832</v>
      </c>
      <c r="BD1169" s="860" t="s">
        <v>4057</v>
      </c>
      <c r="BE1169" s="865" cm="1">
        <f t="array" ref="BE1169">IF(BD1169="","",AC1169/SUMPRODUCT(--(BD1169=$BD$4:$BD$12824),$AC$4:$AC$12824))</f>
        <v>2.6353148227292464E-3</v>
      </c>
      <c r="BF1169" s="458"/>
      <c r="BG1169" s="458"/>
      <c r="BH1169" s="458"/>
      <c r="BI1169" s="458"/>
      <c r="BJ1169" s="458"/>
      <c r="BK1169" s="458"/>
      <c r="BL1169" s="458"/>
      <c r="BM1169" s="458"/>
      <c r="BN1169" s="458"/>
      <c r="BO1169" s="866">
        <f>VLOOKUP(BD1169,$BD$4:$BN$12824,3,0)*BE1169</f>
        <v>76985.451916389473</v>
      </c>
      <c r="BP1169" s="866"/>
      <c r="BQ1169" s="866"/>
      <c r="BR1169" s="866">
        <f>VLOOKUP(BD1169,$BD$4:$BN$12824,6,0)*BE1169</f>
        <v>28121.444473343789</v>
      </c>
      <c r="BS1169" s="866">
        <f>VLOOKUP(BD1169,$BD$4:$BN$12824,7,0)*BE1169</f>
        <v>3271.9647188634685</v>
      </c>
      <c r="BT1169" s="866"/>
      <c r="BU1169" s="866">
        <f>VLOOKUP(BD1169,$BD$4:$BN$12824,9,0)*BE1169</f>
        <v>0</v>
      </c>
      <c r="BV1169" s="867"/>
      <c r="BW1169" s="867">
        <f>VLOOKUP(BD1169,$BD$4:$BN$12824,11,0)*BE1169</f>
        <v>6273.1034040246977</v>
      </c>
      <c r="BX1169" s="1146">
        <f t="shared" si="230"/>
        <v>114651.96451262143</v>
      </c>
      <c r="BY1169" s="867">
        <f t="shared" si="227"/>
        <v>1753942.8322563109</v>
      </c>
      <c r="BZ1169" s="867">
        <f t="shared" si="225"/>
        <v>3507885.6645126217</v>
      </c>
      <c r="CA1169" s="867">
        <f>_xlfn.MAXIFS($BY$4:$BY$12824,$S$4:$S$12824,$S1169)</f>
        <v>1753942.8322563109</v>
      </c>
      <c r="CB1169" s="1032"/>
      <c r="CF1169" s="946">
        <f t="shared" si="226"/>
        <v>3393233.7</v>
      </c>
    </row>
    <row r="1170" spans="1:84">
      <c r="A1170" s="1032"/>
      <c r="B1170" s="839" t="s">
        <v>98</v>
      </c>
      <c r="C1170" s="839" t="s">
        <v>254</v>
      </c>
      <c r="D1170" s="839" t="s">
        <v>4045</v>
      </c>
      <c r="E1170" s="839" t="s">
        <v>4046</v>
      </c>
      <c r="F1170" s="841">
        <v>45679</v>
      </c>
      <c r="G1170" s="840" t="s">
        <v>4047</v>
      </c>
      <c r="H1170" s="842" t="s">
        <v>4048</v>
      </c>
      <c r="I1170" s="842"/>
      <c r="J1170" s="841"/>
      <c r="K1170" s="841"/>
      <c r="L1170" s="843" t="s">
        <v>106</v>
      </c>
      <c r="M1170" s="844" t="s">
        <v>107</v>
      </c>
      <c r="N1170" s="841"/>
      <c r="O1170" s="841" t="s">
        <v>108</v>
      </c>
      <c r="P1170" s="841" t="s">
        <v>160</v>
      </c>
      <c r="Q1170" s="843"/>
      <c r="R1170" s="845" t="s">
        <v>4070</v>
      </c>
      <c r="S1170" s="1127" t="s">
        <v>4071</v>
      </c>
      <c r="T1170" s="843" t="s">
        <v>4072</v>
      </c>
      <c r="U1170" s="842">
        <v>2</v>
      </c>
      <c r="V1170" s="842" t="s">
        <v>3</v>
      </c>
      <c r="W1170" s="846">
        <v>508</v>
      </c>
      <c r="X1170" s="847">
        <f t="shared" si="220"/>
        <v>1016</v>
      </c>
      <c r="Y1170" s="848">
        <f t="shared" si="228"/>
        <v>0.5</v>
      </c>
      <c r="Z1170" s="849">
        <v>254</v>
      </c>
      <c r="AA1170" s="849"/>
      <c r="AB1170" s="849">
        <f t="shared" si="221"/>
        <v>508</v>
      </c>
      <c r="AC1170" s="850">
        <f t="shared" si="222"/>
        <v>508</v>
      </c>
      <c r="AD1170" s="851">
        <f t="shared" si="219"/>
        <v>32000</v>
      </c>
      <c r="AE1170" s="852">
        <v>29506.38</v>
      </c>
      <c r="AF1170" s="853">
        <v>0</v>
      </c>
      <c r="AG1170" s="854">
        <f t="shared" si="223"/>
        <v>0</v>
      </c>
      <c r="AH1170" s="853">
        <v>0.1</v>
      </c>
      <c r="AI1170" s="855">
        <f t="shared" si="224"/>
        <v>1498924.1040000003</v>
      </c>
      <c r="AJ1170" s="845" t="s">
        <v>4052</v>
      </c>
      <c r="AK1170" s="857">
        <v>45742</v>
      </c>
      <c r="AL1170" s="840" t="s">
        <v>4053</v>
      </c>
      <c r="AM1170" s="840"/>
      <c r="AN1170" s="858"/>
      <c r="AO1170" s="844" t="s">
        <v>4054</v>
      </c>
      <c r="AP1170" s="859"/>
      <c r="AQ1170" s="859" t="s">
        <v>4055</v>
      </c>
      <c r="AR1170" s="859" t="s">
        <v>4017</v>
      </c>
      <c r="AS1170" s="840"/>
      <c r="AT1170" s="840"/>
      <c r="AU1170" s="842"/>
      <c r="AV1170" s="839" t="s">
        <v>4056</v>
      </c>
      <c r="AW1170" s="861">
        <v>45824</v>
      </c>
      <c r="AX1170" s="862">
        <v>45829</v>
      </c>
      <c r="AY1170" s="843"/>
      <c r="AZ1170" s="842"/>
      <c r="BA1170" s="842" t="s">
        <v>120</v>
      </c>
      <c r="BB1170" s="863" t="s">
        <v>121</v>
      </c>
      <c r="BC1170" s="864">
        <v>45832</v>
      </c>
      <c r="BD1170" s="860" t="s">
        <v>4057</v>
      </c>
      <c r="BE1170" s="865" cm="1">
        <f t="array" ref="BE1170">IF(BD1170="","",AC1170/SUMPRODUCT(--(BD1170=$BD$4:$BD$12824),$AC$4:$AC$12824))</f>
        <v>1.1641216782143107E-2</v>
      </c>
      <c r="BF1170" s="458"/>
      <c r="BG1170" s="458"/>
      <c r="BH1170" s="458"/>
      <c r="BI1170" s="458"/>
      <c r="BJ1170" s="458"/>
      <c r="BK1170" s="458"/>
      <c r="BL1170" s="458"/>
      <c r="BM1170" s="458"/>
      <c r="BN1170" s="458"/>
      <c r="BO1170" s="866">
        <f>VLOOKUP(BD1170,$BD$4:$BN$12824,3,0)*BE1170</f>
        <v>340074.86585674656</v>
      </c>
      <c r="BP1170" s="866"/>
      <c r="BQ1170" s="866"/>
      <c r="BR1170" s="866">
        <f>VLOOKUP(BD1170,$BD$4:$BN$12824,6,0)*BE1170</f>
        <v>124223.42428224909</v>
      </c>
      <c r="BS1170" s="866">
        <f>VLOOKUP(BD1170,$BD$4:$BN$12824,7,0)*BE1170</f>
        <v>14453.548497240366</v>
      </c>
      <c r="BT1170" s="866"/>
      <c r="BU1170" s="866">
        <f>VLOOKUP(BD1170,$BD$4:$BN$12824,9,0)*BE1170</f>
        <v>0</v>
      </c>
      <c r="BV1170" s="867"/>
      <c r="BW1170" s="867">
        <f>VLOOKUP(BD1170,$BD$4:$BN$12824,11,0)*BE1170</f>
        <v>27710.752428213451</v>
      </c>
      <c r="BX1170" s="1146">
        <f t="shared" si="230"/>
        <v>506462.5910644494</v>
      </c>
      <c r="BY1170" s="867">
        <f t="shared" si="227"/>
        <v>7747851.8155322252</v>
      </c>
      <c r="BZ1170" s="867">
        <f t="shared" si="225"/>
        <v>15495703.63106445</v>
      </c>
      <c r="CA1170" s="867">
        <f>_xlfn.MAXIFS($BY$4:$BY$12824,$S$4:$S$12824,$S1170)</f>
        <v>7747851.8155322252</v>
      </c>
      <c r="CB1170" s="1032"/>
      <c r="CF1170" s="946">
        <f t="shared" si="226"/>
        <v>14989241.040000001</v>
      </c>
    </row>
    <row r="1171" spans="1:84">
      <c r="A1171" s="1032"/>
      <c r="B1171" s="839" t="s">
        <v>98</v>
      </c>
      <c r="C1171" s="839" t="s">
        <v>254</v>
      </c>
      <c r="D1171" s="839" t="s">
        <v>4045</v>
      </c>
      <c r="E1171" s="839" t="s">
        <v>4046</v>
      </c>
      <c r="F1171" s="841">
        <v>45679</v>
      </c>
      <c r="G1171" s="840" t="s">
        <v>4047</v>
      </c>
      <c r="H1171" s="842" t="s">
        <v>4048</v>
      </c>
      <c r="I1171" s="842"/>
      <c r="J1171" s="841"/>
      <c r="K1171" s="841"/>
      <c r="L1171" s="843" t="s">
        <v>106</v>
      </c>
      <c r="M1171" s="844" t="s">
        <v>107</v>
      </c>
      <c r="N1171" s="841"/>
      <c r="O1171" s="841" t="s">
        <v>108</v>
      </c>
      <c r="P1171" s="841" t="s">
        <v>160</v>
      </c>
      <c r="Q1171" s="843"/>
      <c r="R1171" s="845" t="s">
        <v>4073</v>
      </c>
      <c r="S1171" s="1127" t="s">
        <v>4074</v>
      </c>
      <c r="T1171" s="843" t="s">
        <v>4075</v>
      </c>
      <c r="U1171" s="842">
        <v>2</v>
      </c>
      <c r="V1171" s="842" t="s">
        <v>3</v>
      </c>
      <c r="W1171" s="846">
        <v>406</v>
      </c>
      <c r="X1171" s="847">
        <f t="shared" si="220"/>
        <v>812</v>
      </c>
      <c r="Y1171" s="848">
        <f t="shared" si="228"/>
        <v>0.5</v>
      </c>
      <c r="Z1171" s="849">
        <v>203</v>
      </c>
      <c r="AA1171" s="849"/>
      <c r="AB1171" s="849">
        <f t="shared" si="221"/>
        <v>406</v>
      </c>
      <c r="AC1171" s="850">
        <f t="shared" si="222"/>
        <v>406</v>
      </c>
      <c r="AD1171" s="851">
        <f t="shared" si="219"/>
        <v>32000</v>
      </c>
      <c r="AE1171" s="852">
        <v>29506.38</v>
      </c>
      <c r="AF1171" s="853">
        <v>0</v>
      </c>
      <c r="AG1171" s="854">
        <f t="shared" si="223"/>
        <v>0</v>
      </c>
      <c r="AH1171" s="853">
        <v>0.1</v>
      </c>
      <c r="AI1171" s="855">
        <f t="shared" si="224"/>
        <v>1197959.0280000002</v>
      </c>
      <c r="AJ1171" s="845" t="s">
        <v>4052</v>
      </c>
      <c r="AK1171" s="857">
        <v>45742</v>
      </c>
      <c r="AL1171" s="840" t="s">
        <v>4053</v>
      </c>
      <c r="AM1171" s="840"/>
      <c r="AN1171" s="858"/>
      <c r="AO1171" s="844" t="s">
        <v>4054</v>
      </c>
      <c r="AP1171" s="859"/>
      <c r="AQ1171" s="859" t="s">
        <v>4055</v>
      </c>
      <c r="AR1171" s="859" t="s">
        <v>4017</v>
      </c>
      <c r="AS1171" s="840"/>
      <c r="AT1171" s="840"/>
      <c r="AU1171" s="842"/>
      <c r="AV1171" s="839" t="s">
        <v>4056</v>
      </c>
      <c r="AW1171" s="861">
        <v>45824</v>
      </c>
      <c r="AX1171" s="862">
        <v>45829</v>
      </c>
      <c r="AY1171" s="843"/>
      <c r="AZ1171" s="842"/>
      <c r="BA1171" s="842" t="s">
        <v>120</v>
      </c>
      <c r="BB1171" s="863" t="s">
        <v>121</v>
      </c>
      <c r="BC1171" s="864">
        <v>45832</v>
      </c>
      <c r="BD1171" s="860" t="s">
        <v>4057</v>
      </c>
      <c r="BE1171" s="865" cm="1">
        <f t="array" ref="BE1171">IF(BD1171="","",AC1171/SUMPRODUCT(--(BD1171=$BD$4:$BD$12824),$AC$4:$AC$12824))</f>
        <v>9.3038071132876005E-3</v>
      </c>
      <c r="BF1171" s="458"/>
      <c r="BG1171" s="458"/>
      <c r="BH1171" s="458"/>
      <c r="BI1171" s="458"/>
      <c r="BJ1171" s="458"/>
      <c r="BK1171" s="458"/>
      <c r="BL1171" s="458"/>
      <c r="BM1171" s="458"/>
      <c r="BN1171" s="458"/>
      <c r="BO1171" s="866">
        <f>VLOOKUP(BD1171,$BD$4:$BN$12824,3,0)*BE1171</f>
        <v>271792.11720047065</v>
      </c>
      <c r="BP1171" s="866"/>
      <c r="BQ1171" s="866"/>
      <c r="BR1171" s="866">
        <f>VLOOKUP(BD1171,$BD$4:$BN$12824,6,0)*BE1171</f>
        <v>99280.92570589199</v>
      </c>
      <c r="BS1171" s="866">
        <f>VLOOKUP(BD1171,$BD$4:$BN$12824,7,0)*BE1171</f>
        <v>11551.458050944073</v>
      </c>
      <c r="BT1171" s="866"/>
      <c r="BU1171" s="866">
        <f>VLOOKUP(BD1171,$BD$4:$BN$12824,9,0)*BE1171</f>
        <v>0</v>
      </c>
      <c r="BV1171" s="867"/>
      <c r="BW1171" s="867">
        <f>VLOOKUP(BD1171,$BD$4:$BN$12824,11,0)*BE1171</f>
        <v>22146.782452469804</v>
      </c>
      <c r="BX1171" s="1146">
        <f t="shared" si="230"/>
        <v>404771.28340977652</v>
      </c>
      <c r="BY1171" s="867">
        <f t="shared" si="227"/>
        <v>6192180.7817048887</v>
      </c>
      <c r="BZ1171" s="867">
        <f t="shared" si="225"/>
        <v>12384361.563409777</v>
      </c>
      <c r="CA1171" s="867">
        <f>_xlfn.MAXIFS($BY$4:$BY$12824,$S$4:$S$12824,$S1171)</f>
        <v>6192180.7817048887</v>
      </c>
      <c r="CB1171" s="1032"/>
      <c r="CF1171" s="946">
        <f t="shared" si="226"/>
        <v>11979590.280000001</v>
      </c>
    </row>
    <row r="1172" spans="1:84">
      <c r="A1172" s="1032"/>
      <c r="B1172" s="839" t="s">
        <v>98</v>
      </c>
      <c r="C1172" s="839" t="s">
        <v>254</v>
      </c>
      <c r="D1172" s="839" t="s">
        <v>4045</v>
      </c>
      <c r="E1172" s="839" t="s">
        <v>4046</v>
      </c>
      <c r="F1172" s="841">
        <v>45679</v>
      </c>
      <c r="G1172" s="840" t="s">
        <v>4047</v>
      </c>
      <c r="H1172" s="842" t="s">
        <v>4048</v>
      </c>
      <c r="I1172" s="842"/>
      <c r="J1172" s="841"/>
      <c r="K1172" s="841"/>
      <c r="L1172" s="843" t="s">
        <v>106</v>
      </c>
      <c r="M1172" s="844" t="s">
        <v>107</v>
      </c>
      <c r="N1172" s="841"/>
      <c r="O1172" s="841" t="s">
        <v>108</v>
      </c>
      <c r="P1172" s="841" t="s">
        <v>160</v>
      </c>
      <c r="Q1172" s="843"/>
      <c r="R1172" s="845" t="s">
        <v>4076</v>
      </c>
      <c r="S1172" s="1127" t="s">
        <v>4077</v>
      </c>
      <c r="T1172" s="843" t="s">
        <v>4078</v>
      </c>
      <c r="U1172" s="842">
        <v>1</v>
      </c>
      <c r="V1172" s="842" t="s">
        <v>3</v>
      </c>
      <c r="W1172" s="846">
        <v>918</v>
      </c>
      <c r="X1172" s="847">
        <f t="shared" si="220"/>
        <v>918</v>
      </c>
      <c r="Y1172" s="848">
        <f>1-X1172/W1172</f>
        <v>0</v>
      </c>
      <c r="Z1172" s="849">
        <v>459</v>
      </c>
      <c r="AA1172" s="849"/>
      <c r="AB1172" s="849">
        <f t="shared" si="221"/>
        <v>459</v>
      </c>
      <c r="AC1172" s="850">
        <f t="shared" si="222"/>
        <v>459</v>
      </c>
      <c r="AD1172" s="851">
        <f t="shared" si="219"/>
        <v>32000</v>
      </c>
      <c r="AE1172" s="852">
        <v>29506.38</v>
      </c>
      <c r="AF1172" s="853">
        <v>0</v>
      </c>
      <c r="AG1172" s="854">
        <f t="shared" si="223"/>
        <v>0</v>
      </c>
      <c r="AH1172" s="853">
        <v>0.1</v>
      </c>
      <c r="AI1172" s="855">
        <f t="shared" si="224"/>
        <v>1354342.8420000002</v>
      </c>
      <c r="AJ1172" s="845" t="s">
        <v>4052</v>
      </c>
      <c r="AK1172" s="857">
        <v>45742</v>
      </c>
      <c r="AL1172" s="840" t="s">
        <v>4053</v>
      </c>
      <c r="AM1172" s="840"/>
      <c r="AN1172" s="858"/>
      <c r="AO1172" s="844" t="s">
        <v>4054</v>
      </c>
      <c r="AP1172" s="859"/>
      <c r="AQ1172" s="859" t="s">
        <v>4055</v>
      </c>
      <c r="AR1172" s="859" t="s">
        <v>4017</v>
      </c>
      <c r="AS1172" s="840"/>
      <c r="AT1172" s="840"/>
      <c r="AU1172" s="842"/>
      <c r="AV1172" s="839" t="s">
        <v>4056</v>
      </c>
      <c r="AW1172" s="861">
        <v>45824</v>
      </c>
      <c r="AX1172" s="862">
        <v>45829</v>
      </c>
      <c r="AY1172" s="843"/>
      <c r="AZ1172" s="842"/>
      <c r="BA1172" s="842" t="s">
        <v>120</v>
      </c>
      <c r="BB1172" s="863" t="s">
        <v>121</v>
      </c>
      <c r="BC1172" s="864">
        <v>45832</v>
      </c>
      <c r="BD1172" s="860" t="s">
        <v>4057</v>
      </c>
      <c r="BE1172" s="865" cm="1">
        <f t="array" ref="BE1172">IF(BD1172="","",AC1172/SUMPRODUCT(--(BD1172=$BD$4:$BD$12824),$AC$4:$AC$12824))</f>
        <v>1.0518343509849775E-2</v>
      </c>
      <c r="BF1172" s="458"/>
      <c r="BG1172" s="458"/>
      <c r="BH1172" s="458"/>
      <c r="BI1172" s="458"/>
      <c r="BJ1172" s="458"/>
      <c r="BK1172" s="458"/>
      <c r="BL1172" s="458"/>
      <c r="BM1172" s="458"/>
      <c r="BN1172" s="458"/>
      <c r="BO1172" s="866">
        <f>VLOOKUP(BD1172,$BD$4:$BN$12824,3,0)*BE1172</f>
        <v>307272.36895324144</v>
      </c>
      <c r="BP1172" s="866"/>
      <c r="BQ1172" s="866"/>
      <c r="BR1172" s="866">
        <f>VLOOKUP(BD1172,$BD$4:$BN$12824,6,0)*BE1172</f>
        <v>112241.24359360695</v>
      </c>
      <c r="BS1172" s="866">
        <f>VLOOKUP(BD1172,$BD$4:$BN$12824,7,0)*BE1172</f>
        <v>13059.407008333323</v>
      </c>
      <c r="BT1172" s="866"/>
      <c r="BU1172" s="866">
        <f>VLOOKUP(BD1172,$BD$4:$BN$12824,9,0)*BE1172</f>
        <v>0</v>
      </c>
      <c r="BV1172" s="867"/>
      <c r="BW1172" s="867">
        <f>VLOOKUP(BD1172,$BD$4:$BN$12824,11,0)*BE1172</f>
        <v>25037.864890846402</v>
      </c>
      <c r="BX1172" s="1146">
        <f t="shared" si="230"/>
        <v>457610.8844460281</v>
      </c>
      <c r="BY1172" s="867">
        <f t="shared" si="227"/>
        <v>14001039.304446029</v>
      </c>
      <c r="BZ1172" s="867">
        <f t="shared" si="225"/>
        <v>14001039.304446029</v>
      </c>
      <c r="CA1172" s="867">
        <f>_xlfn.MAXIFS($BY$4:$BY$12824,$S$4:$S$12824,$S1172)</f>
        <v>14001039.304446029</v>
      </c>
      <c r="CB1172" s="1032"/>
      <c r="CF1172" s="946">
        <f t="shared" si="226"/>
        <v>13543428.42</v>
      </c>
    </row>
    <row r="1173" spans="1:84">
      <c r="A1173" s="1032"/>
      <c r="B1173" s="839" t="s">
        <v>98</v>
      </c>
      <c r="C1173" s="839" t="s">
        <v>254</v>
      </c>
      <c r="D1173" s="839" t="s">
        <v>4045</v>
      </c>
      <c r="E1173" s="839" t="s">
        <v>4046</v>
      </c>
      <c r="F1173" s="841">
        <v>45679</v>
      </c>
      <c r="G1173" s="840" t="s">
        <v>4047</v>
      </c>
      <c r="H1173" s="842" t="s">
        <v>4048</v>
      </c>
      <c r="I1173" s="842"/>
      <c r="J1173" s="841"/>
      <c r="K1173" s="841"/>
      <c r="L1173" s="843" t="s">
        <v>106</v>
      </c>
      <c r="M1173" s="844" t="s">
        <v>107</v>
      </c>
      <c r="N1173" s="841"/>
      <c r="O1173" s="841" t="s">
        <v>108</v>
      </c>
      <c r="P1173" s="841" t="s">
        <v>160</v>
      </c>
      <c r="Q1173" s="843"/>
      <c r="R1173" s="845" t="s">
        <v>4079</v>
      </c>
      <c r="S1173" s="1127" t="s">
        <v>4080</v>
      </c>
      <c r="T1173" s="843" t="s">
        <v>4081</v>
      </c>
      <c r="U1173" s="842">
        <v>1</v>
      </c>
      <c r="V1173" s="842" t="s">
        <v>3</v>
      </c>
      <c r="W1173" s="846">
        <v>2213</v>
      </c>
      <c r="X1173" s="847">
        <f t="shared" si="220"/>
        <v>2213</v>
      </c>
      <c r="Y1173" s="848">
        <f>1-X1173/W1173</f>
        <v>0</v>
      </c>
      <c r="Z1173" s="849">
        <v>1106.5</v>
      </c>
      <c r="AA1173" s="849"/>
      <c r="AB1173" s="849">
        <f t="shared" si="221"/>
        <v>1106.5</v>
      </c>
      <c r="AC1173" s="850">
        <f t="shared" si="222"/>
        <v>1106.5</v>
      </c>
      <c r="AD1173" s="851">
        <f t="shared" si="219"/>
        <v>32000</v>
      </c>
      <c r="AE1173" s="852">
        <v>29506.38</v>
      </c>
      <c r="AF1173" s="853">
        <v>0</v>
      </c>
      <c r="AG1173" s="854">
        <f t="shared" si="223"/>
        <v>0</v>
      </c>
      <c r="AH1173" s="853">
        <v>0.1</v>
      </c>
      <c r="AI1173" s="855">
        <f t="shared" si="224"/>
        <v>3264880.9470000006</v>
      </c>
      <c r="AJ1173" s="845" t="s">
        <v>4052</v>
      </c>
      <c r="AK1173" s="857">
        <v>45742</v>
      </c>
      <c r="AL1173" s="840" t="s">
        <v>4053</v>
      </c>
      <c r="AM1173" s="840"/>
      <c r="AN1173" s="858"/>
      <c r="AO1173" s="844" t="s">
        <v>4054</v>
      </c>
      <c r="AP1173" s="859"/>
      <c r="AQ1173" s="859" t="s">
        <v>4055</v>
      </c>
      <c r="AR1173" s="859" t="s">
        <v>4017</v>
      </c>
      <c r="AS1173" s="840"/>
      <c r="AT1173" s="840"/>
      <c r="AU1173" s="842"/>
      <c r="AV1173" s="839" t="s">
        <v>4056</v>
      </c>
      <c r="AW1173" s="861">
        <v>45824</v>
      </c>
      <c r="AX1173" s="862">
        <v>45829</v>
      </c>
      <c r="AY1173" s="843"/>
      <c r="AZ1173" s="842"/>
      <c r="BA1173" s="842" t="s">
        <v>120</v>
      </c>
      <c r="BB1173" s="863" t="s">
        <v>121</v>
      </c>
      <c r="BC1173" s="864">
        <v>45832</v>
      </c>
      <c r="BD1173" s="860" t="s">
        <v>4057</v>
      </c>
      <c r="BE1173" s="865" cm="1">
        <f t="array" ref="BE1173">IF(BD1173="","",AC1173/SUMPRODUCT(--(BD1173=$BD$4:$BD$12824),$AC$4:$AC$12824))</f>
        <v>2.5356311750868794E-2</v>
      </c>
      <c r="BF1173" s="458"/>
      <c r="BG1173" s="458"/>
      <c r="BH1173" s="458"/>
      <c r="BI1173" s="458"/>
      <c r="BJ1173" s="458"/>
      <c r="BK1173" s="458"/>
      <c r="BL1173" s="458"/>
      <c r="BM1173" s="458"/>
      <c r="BN1173" s="458"/>
      <c r="BO1173" s="866">
        <f>VLOOKUP(BD1173,$BD$4:$BN$12824,3,0)*BE1173</f>
        <v>740733.93517813005</v>
      </c>
      <c r="BP1173" s="866"/>
      <c r="BQ1173" s="866"/>
      <c r="BR1173" s="866">
        <f>VLOOKUP(BD1173,$BD$4:$BN$12824,6,0)*BE1173</f>
        <v>270577.20269352087</v>
      </c>
      <c r="BS1173" s="866">
        <f>VLOOKUP(BD1173,$BD$4:$BN$12824,7,0)*BE1173</f>
        <v>31481.990968890681</v>
      </c>
      <c r="BT1173" s="866"/>
      <c r="BU1173" s="866">
        <f>VLOOKUP(BD1173,$BD$4:$BN$12824,9,0)*BE1173</f>
        <v>0</v>
      </c>
      <c r="BV1173" s="867"/>
      <c r="BW1173" s="867">
        <f>VLOOKUP(BD1173,$BD$4:$BN$12824,11,0)*BE1173</f>
        <v>60358.164491768075</v>
      </c>
      <c r="BX1173" s="1146">
        <f t="shared" si="230"/>
        <v>1103151.2933323097</v>
      </c>
      <c r="BY1173" s="867">
        <f t="shared" si="227"/>
        <v>33751960.763332315</v>
      </c>
      <c r="BZ1173" s="867">
        <f t="shared" si="225"/>
        <v>33751960.763332315</v>
      </c>
      <c r="CA1173" s="867">
        <f>_xlfn.MAXIFS($BY$4:$BY$12824,$S$4:$S$12824,$S1173)</f>
        <v>33751960.763332315</v>
      </c>
      <c r="CB1173" s="1032"/>
      <c r="CF1173" s="946">
        <f t="shared" si="226"/>
        <v>32648809.470000003</v>
      </c>
    </row>
    <row r="1174" spans="1:84">
      <c r="A1174" s="1032"/>
      <c r="B1174" s="839" t="s">
        <v>98</v>
      </c>
      <c r="C1174" s="839" t="s">
        <v>254</v>
      </c>
      <c r="D1174" s="839" t="s">
        <v>4045</v>
      </c>
      <c r="E1174" s="839" t="s">
        <v>4046</v>
      </c>
      <c r="F1174" s="841">
        <v>45679</v>
      </c>
      <c r="G1174" s="840" t="s">
        <v>4047</v>
      </c>
      <c r="H1174" s="842" t="s">
        <v>4048</v>
      </c>
      <c r="I1174" s="842"/>
      <c r="J1174" s="841"/>
      <c r="K1174" s="841"/>
      <c r="L1174" s="843" t="s">
        <v>106</v>
      </c>
      <c r="M1174" s="844" t="s">
        <v>107</v>
      </c>
      <c r="N1174" s="841"/>
      <c r="O1174" s="841" t="s">
        <v>108</v>
      </c>
      <c r="P1174" s="841" t="s">
        <v>3622</v>
      </c>
      <c r="Q1174" s="843"/>
      <c r="R1174" s="845" t="s">
        <v>719</v>
      </c>
      <c r="S1174" s="1127" t="s">
        <v>720</v>
      </c>
      <c r="T1174" s="843" t="s">
        <v>4082</v>
      </c>
      <c r="U1174" s="842">
        <v>2</v>
      </c>
      <c r="V1174" s="842" t="s">
        <v>3</v>
      </c>
      <c r="W1174" s="846">
        <v>525</v>
      </c>
      <c r="X1174" s="847">
        <f t="shared" si="220"/>
        <v>1050</v>
      </c>
      <c r="Y1174" s="848">
        <f t="shared" ref="Y1174:Y1187" si="231">(W1174-Z1174)/W1174</f>
        <v>0.5</v>
      </c>
      <c r="Z1174" s="849">
        <v>262.5</v>
      </c>
      <c r="AA1174" s="849"/>
      <c r="AB1174" s="849">
        <f t="shared" si="221"/>
        <v>525</v>
      </c>
      <c r="AC1174" s="850">
        <f t="shared" si="222"/>
        <v>525</v>
      </c>
      <c r="AD1174" s="851">
        <f t="shared" si="219"/>
        <v>32000</v>
      </c>
      <c r="AE1174" s="852">
        <v>29506.38</v>
      </c>
      <c r="AF1174" s="853">
        <v>0</v>
      </c>
      <c r="AG1174" s="854">
        <f t="shared" si="223"/>
        <v>0</v>
      </c>
      <c r="AH1174" s="853">
        <v>0.1</v>
      </c>
      <c r="AI1174" s="855">
        <f t="shared" si="224"/>
        <v>1549084.9500000002</v>
      </c>
      <c r="AJ1174" s="845" t="s">
        <v>4052</v>
      </c>
      <c r="AK1174" s="857">
        <v>45742</v>
      </c>
      <c r="AL1174" s="840" t="s">
        <v>4053</v>
      </c>
      <c r="AM1174" s="840"/>
      <c r="AN1174" s="858"/>
      <c r="AO1174" s="844" t="s">
        <v>4054</v>
      </c>
      <c r="AP1174" s="859"/>
      <c r="AQ1174" s="859" t="s">
        <v>4055</v>
      </c>
      <c r="AR1174" s="859" t="s">
        <v>4017</v>
      </c>
      <c r="AS1174" s="840"/>
      <c r="AT1174" s="840"/>
      <c r="AU1174" s="842"/>
      <c r="AV1174" s="839" t="s">
        <v>4056</v>
      </c>
      <c r="AW1174" s="861">
        <v>45824</v>
      </c>
      <c r="AX1174" s="862">
        <v>45829</v>
      </c>
      <c r="AY1174" s="843"/>
      <c r="AZ1174" s="842"/>
      <c r="BA1174" s="842" t="s">
        <v>120</v>
      </c>
      <c r="BB1174" s="863" t="s">
        <v>121</v>
      </c>
      <c r="BC1174" s="864">
        <v>45832</v>
      </c>
      <c r="BD1174" s="860" t="s">
        <v>4057</v>
      </c>
      <c r="BE1174" s="865" cm="1">
        <f t="array" ref="BE1174">IF(BD1174="","",AC1174/SUMPRODUCT(--(BD1174=$BD$4:$BD$12824),$AC$4:$AC$12824))</f>
        <v>1.203078506028569E-2</v>
      </c>
      <c r="BF1174" s="458"/>
      <c r="BG1174" s="458"/>
      <c r="BH1174" s="458"/>
      <c r="BI1174" s="458"/>
      <c r="BJ1174" s="458"/>
      <c r="BK1174" s="458"/>
      <c r="BL1174" s="458"/>
      <c r="BM1174" s="458"/>
      <c r="BN1174" s="458"/>
      <c r="BO1174" s="866">
        <f>VLOOKUP(BD1174,$BD$4:$BN$12824,3,0)*BE1174</f>
        <v>351455.32396612584</v>
      </c>
      <c r="BP1174" s="866"/>
      <c r="BQ1174" s="866"/>
      <c r="BR1174" s="866">
        <f>VLOOKUP(BD1174,$BD$4:$BN$12824,6,0)*BE1174</f>
        <v>128380.5073783086</v>
      </c>
      <c r="BS1174" s="866">
        <f>VLOOKUP(BD1174,$BD$4:$BN$12824,7,0)*BE1174</f>
        <v>14937.230238289749</v>
      </c>
      <c r="BT1174" s="866"/>
      <c r="BU1174" s="866">
        <f>VLOOKUP(BD1174,$BD$4:$BN$12824,9,0)*BE1174</f>
        <v>0</v>
      </c>
      <c r="BV1174" s="867"/>
      <c r="BW1174" s="867">
        <f>VLOOKUP(BD1174,$BD$4:$BN$12824,11,0)*BE1174</f>
        <v>28638.080757504056</v>
      </c>
      <c r="BX1174" s="1146">
        <f t="shared" si="230"/>
        <v>523411.14234022819</v>
      </c>
      <c r="BY1174" s="867">
        <f t="shared" si="227"/>
        <v>8007130.321170114</v>
      </c>
      <c r="BZ1174" s="867">
        <f t="shared" si="225"/>
        <v>16014260.642340228</v>
      </c>
      <c r="CA1174" s="867">
        <f>_xlfn.MAXIFS($BY$4:$BY$12824,$S$4:$S$12824,$S1174)</f>
        <v>8007130.321170114</v>
      </c>
      <c r="CB1174" s="1032"/>
      <c r="CF1174" s="946">
        <f t="shared" si="226"/>
        <v>15490849.5</v>
      </c>
    </row>
    <row r="1175" spans="1:84">
      <c r="A1175" s="1032"/>
      <c r="B1175" s="839" t="s">
        <v>98</v>
      </c>
      <c r="C1175" s="839" t="s">
        <v>254</v>
      </c>
      <c r="D1175" s="839" t="s">
        <v>4045</v>
      </c>
      <c r="E1175" s="839" t="s">
        <v>4046</v>
      </c>
      <c r="F1175" s="841">
        <v>45679</v>
      </c>
      <c r="G1175" s="840" t="s">
        <v>4047</v>
      </c>
      <c r="H1175" s="842" t="s">
        <v>4048</v>
      </c>
      <c r="I1175" s="842"/>
      <c r="J1175" s="841"/>
      <c r="K1175" s="841"/>
      <c r="L1175" s="843" t="s">
        <v>106</v>
      </c>
      <c r="M1175" s="844" t="s">
        <v>107</v>
      </c>
      <c r="N1175" s="841"/>
      <c r="O1175" s="841" t="s">
        <v>108</v>
      </c>
      <c r="P1175" s="841" t="s">
        <v>3622</v>
      </c>
      <c r="Q1175" s="843"/>
      <c r="R1175" s="845" t="s">
        <v>4083</v>
      </c>
      <c r="S1175" s="1127" t="s">
        <v>4084</v>
      </c>
      <c r="T1175" s="843" t="s">
        <v>4085</v>
      </c>
      <c r="U1175" s="842">
        <v>2</v>
      </c>
      <c r="V1175" s="842" t="s">
        <v>3</v>
      </c>
      <c r="W1175" s="846">
        <v>467</v>
      </c>
      <c r="X1175" s="847">
        <f t="shared" si="220"/>
        <v>934</v>
      </c>
      <c r="Y1175" s="848">
        <f t="shared" si="231"/>
        <v>0.5</v>
      </c>
      <c r="Z1175" s="849">
        <v>233.5</v>
      </c>
      <c r="AA1175" s="849"/>
      <c r="AB1175" s="849">
        <f t="shared" si="221"/>
        <v>467</v>
      </c>
      <c r="AC1175" s="850">
        <f t="shared" si="222"/>
        <v>467</v>
      </c>
      <c r="AD1175" s="851">
        <f t="shared" si="219"/>
        <v>32000</v>
      </c>
      <c r="AE1175" s="852">
        <v>29506.38</v>
      </c>
      <c r="AF1175" s="853">
        <v>0</v>
      </c>
      <c r="AG1175" s="854">
        <f t="shared" si="223"/>
        <v>0</v>
      </c>
      <c r="AH1175" s="853">
        <v>0.1</v>
      </c>
      <c r="AI1175" s="855">
        <f t="shared" si="224"/>
        <v>1377947.9460000002</v>
      </c>
      <c r="AJ1175" s="845" t="s">
        <v>4052</v>
      </c>
      <c r="AK1175" s="857">
        <v>45742</v>
      </c>
      <c r="AL1175" s="840" t="s">
        <v>4053</v>
      </c>
      <c r="AM1175" s="840"/>
      <c r="AN1175" s="858"/>
      <c r="AO1175" s="844" t="s">
        <v>4054</v>
      </c>
      <c r="AP1175" s="859"/>
      <c r="AQ1175" s="859" t="s">
        <v>4055</v>
      </c>
      <c r="AR1175" s="859" t="s">
        <v>4017</v>
      </c>
      <c r="AS1175" s="840"/>
      <c r="AT1175" s="840"/>
      <c r="AU1175" s="842"/>
      <c r="AV1175" s="839" t="s">
        <v>4056</v>
      </c>
      <c r="AW1175" s="861">
        <v>45824</v>
      </c>
      <c r="AX1175" s="862">
        <v>45829</v>
      </c>
      <c r="AY1175" s="843"/>
      <c r="AZ1175" s="842"/>
      <c r="BA1175" s="842" t="s">
        <v>120</v>
      </c>
      <c r="BB1175" s="863" t="s">
        <v>121</v>
      </c>
      <c r="BC1175" s="864">
        <v>45832</v>
      </c>
      <c r="BD1175" s="860" t="s">
        <v>4057</v>
      </c>
      <c r="BE1175" s="865" cm="1">
        <f t="array" ref="BE1175">IF(BD1175="","",AC1175/SUMPRODUCT(--(BD1175=$BD$4:$BD$12824),$AC$4:$AC$12824))</f>
        <v>1.0701669758387461E-2</v>
      </c>
      <c r="BF1175" s="458"/>
      <c r="BG1175" s="458"/>
      <c r="BH1175" s="458"/>
      <c r="BI1175" s="458"/>
      <c r="BJ1175" s="458"/>
      <c r="BK1175" s="458"/>
      <c r="BL1175" s="458"/>
      <c r="BM1175" s="458"/>
      <c r="BN1175" s="458"/>
      <c r="BO1175" s="866">
        <f>VLOOKUP(BD1175,$BD$4:$BN$12824,3,0)*BE1175</f>
        <v>312627.87865177292</v>
      </c>
      <c r="BP1175" s="866"/>
      <c r="BQ1175" s="866"/>
      <c r="BR1175" s="866">
        <f>VLOOKUP(BD1175,$BD$4:$BN$12824,6,0)*BE1175</f>
        <v>114197.5179917526</v>
      </c>
      <c r="BS1175" s="866">
        <f>VLOOKUP(BD1175,$BD$4:$BN$12824,7,0)*BE1175</f>
        <v>13287.021945297738</v>
      </c>
      <c r="BT1175" s="866"/>
      <c r="BU1175" s="866">
        <f>VLOOKUP(BD1175,$BD$4:$BN$12824,9,0)*BE1175</f>
        <v>0</v>
      </c>
      <c r="BV1175" s="867"/>
      <c r="BW1175" s="867">
        <f>VLOOKUP(BD1175,$BD$4:$BN$12824,11,0)*BE1175</f>
        <v>25474.254692865514</v>
      </c>
      <c r="BX1175" s="1146">
        <f t="shared" si="230"/>
        <v>465586.67328168877</v>
      </c>
      <c r="BY1175" s="867">
        <f t="shared" si="227"/>
        <v>7122533.0666408446</v>
      </c>
      <c r="BZ1175" s="867">
        <f t="shared" si="225"/>
        <v>14245066.133281689</v>
      </c>
      <c r="CA1175" s="867">
        <f>_xlfn.MAXIFS($BY$4:$BY$12824,$S$4:$S$12824,$S1175)</f>
        <v>7122533.0666408446</v>
      </c>
      <c r="CB1175" s="1032"/>
      <c r="CF1175" s="946">
        <f t="shared" si="226"/>
        <v>13779479.460000001</v>
      </c>
    </row>
    <row r="1176" spans="1:84">
      <c r="A1176" s="1032"/>
      <c r="B1176" s="839" t="s">
        <v>98</v>
      </c>
      <c r="C1176" s="839" t="s">
        <v>254</v>
      </c>
      <c r="D1176" s="839" t="s">
        <v>4045</v>
      </c>
      <c r="E1176" s="839" t="s">
        <v>4046</v>
      </c>
      <c r="F1176" s="841">
        <v>45679</v>
      </c>
      <c r="G1176" s="840" t="s">
        <v>4047</v>
      </c>
      <c r="H1176" s="842" t="s">
        <v>4048</v>
      </c>
      <c r="I1176" s="842"/>
      <c r="J1176" s="841"/>
      <c r="K1176" s="841"/>
      <c r="L1176" s="843" t="s">
        <v>106</v>
      </c>
      <c r="M1176" s="844" t="s">
        <v>107</v>
      </c>
      <c r="N1176" s="841"/>
      <c r="O1176" s="841" t="s">
        <v>108</v>
      </c>
      <c r="P1176" s="841" t="s">
        <v>3622</v>
      </c>
      <c r="Q1176" s="843"/>
      <c r="R1176" s="845" t="s">
        <v>256</v>
      </c>
      <c r="S1176" s="1127" t="s">
        <v>257</v>
      </c>
      <c r="T1176" s="843" t="s">
        <v>4086</v>
      </c>
      <c r="U1176" s="842">
        <v>5</v>
      </c>
      <c r="V1176" s="842" t="s">
        <v>3</v>
      </c>
      <c r="W1176" s="846">
        <v>3443</v>
      </c>
      <c r="X1176" s="847">
        <f t="shared" si="220"/>
        <v>17215</v>
      </c>
      <c r="Y1176" s="848">
        <f t="shared" si="231"/>
        <v>0.5</v>
      </c>
      <c r="Z1176" s="849">
        <v>1721.5</v>
      </c>
      <c r="AA1176" s="849"/>
      <c r="AB1176" s="849">
        <f t="shared" si="221"/>
        <v>8607.5</v>
      </c>
      <c r="AC1176" s="850">
        <f t="shared" si="222"/>
        <v>8607.5</v>
      </c>
      <c r="AD1176" s="851">
        <f t="shared" si="219"/>
        <v>32000</v>
      </c>
      <c r="AE1176" s="852">
        <v>29506.38</v>
      </c>
      <c r="AF1176" s="853">
        <v>0</v>
      </c>
      <c r="AG1176" s="854">
        <f t="shared" si="223"/>
        <v>0</v>
      </c>
      <c r="AH1176" s="853">
        <v>0.1</v>
      </c>
      <c r="AI1176" s="855">
        <f t="shared" si="224"/>
        <v>25397616.585000001</v>
      </c>
      <c r="AJ1176" s="845" t="s">
        <v>4052</v>
      </c>
      <c r="AK1176" s="857">
        <v>45742</v>
      </c>
      <c r="AL1176" s="840" t="s">
        <v>4053</v>
      </c>
      <c r="AM1176" s="840"/>
      <c r="AN1176" s="858"/>
      <c r="AO1176" s="844" t="s">
        <v>4054</v>
      </c>
      <c r="AP1176" s="859"/>
      <c r="AQ1176" s="859" t="s">
        <v>4055</v>
      </c>
      <c r="AR1176" s="859" t="s">
        <v>4017</v>
      </c>
      <c r="AS1176" s="840"/>
      <c r="AT1176" s="840"/>
      <c r="AU1176" s="842"/>
      <c r="AV1176" s="839" t="s">
        <v>4056</v>
      </c>
      <c r="AW1176" s="861">
        <v>45824</v>
      </c>
      <c r="AX1176" s="862">
        <v>45829</v>
      </c>
      <c r="AY1176" s="843"/>
      <c r="AZ1176" s="842"/>
      <c r="BA1176" s="842" t="s">
        <v>120</v>
      </c>
      <c r="BB1176" s="863" t="s">
        <v>121</v>
      </c>
      <c r="BC1176" s="864">
        <v>45832</v>
      </c>
      <c r="BD1176" s="860" t="s">
        <v>4057</v>
      </c>
      <c r="BE1176" s="865" cm="1">
        <f t="array" ref="BE1176">IF(BD1176="","",AC1176/SUMPRODUCT(--(BD1176=$BD$4:$BD$12824),$AC$4:$AC$12824))</f>
        <v>0.19724758553601729</v>
      </c>
      <c r="BF1176" s="458"/>
      <c r="BG1176" s="458"/>
      <c r="BH1176" s="458"/>
      <c r="BI1176" s="458"/>
      <c r="BJ1176" s="458"/>
      <c r="BK1176" s="458"/>
      <c r="BL1176" s="458"/>
      <c r="BM1176" s="458"/>
      <c r="BN1176" s="458"/>
      <c r="BO1176" s="866">
        <f>VLOOKUP(BD1176,$BD$4:$BN$12824,3,0)*BE1176</f>
        <v>5762193.7162636733</v>
      </c>
      <c r="BP1176" s="866"/>
      <c r="BQ1176" s="866"/>
      <c r="BR1176" s="866">
        <f>VLOOKUP(BD1176,$BD$4:$BN$12824,6,0)*BE1176</f>
        <v>2104828.9852548405</v>
      </c>
      <c r="BS1176" s="866">
        <f>VLOOKUP(BD1176,$BD$4:$BN$12824,7,0)*BE1176</f>
        <v>244899.44624015049</v>
      </c>
      <c r="BT1176" s="866"/>
      <c r="BU1176" s="866">
        <f>VLOOKUP(BD1176,$BD$4:$BN$12824,9,0)*BE1176</f>
        <v>0</v>
      </c>
      <c r="BV1176" s="867"/>
      <c r="BW1176" s="867">
        <f>VLOOKUP(BD1176,$BD$4:$BN$12824,11,0)*BE1176</f>
        <v>469528.15260993555</v>
      </c>
      <c r="BX1176" s="1146">
        <f t="shared" si="230"/>
        <v>8581450.3003685996</v>
      </c>
      <c r="BY1176" s="867">
        <f t="shared" si="227"/>
        <v>52511523.23007372</v>
      </c>
      <c r="BZ1176" s="867">
        <f t="shared" si="225"/>
        <v>262557616.1503686</v>
      </c>
      <c r="CA1176" s="867">
        <f>_xlfn.MAXIFS($BY$4:$BY$12824,$S$4:$S$12824,$S1176)</f>
        <v>52511523.23007372</v>
      </c>
      <c r="CB1176" s="1032"/>
      <c r="CF1176" s="946">
        <f t="shared" si="226"/>
        <v>253976165.84999999</v>
      </c>
    </row>
    <row r="1177" spans="1:84">
      <c r="A1177" s="1032"/>
      <c r="B1177" s="839" t="s">
        <v>98</v>
      </c>
      <c r="C1177" s="839" t="s">
        <v>254</v>
      </c>
      <c r="D1177" s="839" t="s">
        <v>4045</v>
      </c>
      <c r="E1177" s="839" t="s">
        <v>4046</v>
      </c>
      <c r="F1177" s="841">
        <v>45679</v>
      </c>
      <c r="G1177" s="840" t="s">
        <v>4047</v>
      </c>
      <c r="H1177" s="842" t="s">
        <v>4048</v>
      </c>
      <c r="I1177" s="842"/>
      <c r="J1177" s="841"/>
      <c r="K1177" s="841"/>
      <c r="L1177" s="843" t="s">
        <v>106</v>
      </c>
      <c r="M1177" s="844" t="s">
        <v>107</v>
      </c>
      <c r="N1177" s="841"/>
      <c r="O1177" s="841" t="s">
        <v>108</v>
      </c>
      <c r="P1177" s="841" t="s">
        <v>160</v>
      </c>
      <c r="Q1177" s="843"/>
      <c r="R1177" s="845" t="s">
        <v>4087</v>
      </c>
      <c r="S1177" s="1127" t="s">
        <v>4088</v>
      </c>
      <c r="T1177" s="843" t="s">
        <v>4089</v>
      </c>
      <c r="U1177" s="842">
        <v>2</v>
      </c>
      <c r="V1177" s="842" t="s">
        <v>3</v>
      </c>
      <c r="W1177" s="846">
        <v>1041</v>
      </c>
      <c r="X1177" s="847">
        <f t="shared" si="220"/>
        <v>2082</v>
      </c>
      <c r="Y1177" s="848">
        <f t="shared" si="231"/>
        <v>0.5</v>
      </c>
      <c r="Z1177" s="849">
        <v>520.5</v>
      </c>
      <c r="AA1177" s="849"/>
      <c r="AB1177" s="849">
        <f t="shared" si="221"/>
        <v>1041</v>
      </c>
      <c r="AC1177" s="850">
        <f t="shared" si="222"/>
        <v>1041</v>
      </c>
      <c r="AD1177" s="851">
        <f t="shared" ref="AD1177:AD1194" si="232">IF(V1177=$AD$2,$AE$2,$AE$3)</f>
        <v>32000</v>
      </c>
      <c r="AE1177" s="852">
        <v>29506.38</v>
      </c>
      <c r="AF1177" s="853">
        <v>0</v>
      </c>
      <c r="AG1177" s="854">
        <f t="shared" si="223"/>
        <v>0</v>
      </c>
      <c r="AH1177" s="853">
        <v>0.1</v>
      </c>
      <c r="AI1177" s="855">
        <f t="shared" si="224"/>
        <v>3071614.1580000003</v>
      </c>
      <c r="AJ1177" s="845" t="s">
        <v>4052</v>
      </c>
      <c r="AK1177" s="857">
        <v>45742</v>
      </c>
      <c r="AL1177" s="840" t="s">
        <v>4053</v>
      </c>
      <c r="AM1177" s="840"/>
      <c r="AN1177" s="858"/>
      <c r="AO1177" s="844" t="s">
        <v>4054</v>
      </c>
      <c r="AP1177" s="859"/>
      <c r="AQ1177" s="859" t="s">
        <v>4055</v>
      </c>
      <c r="AR1177" s="859" t="s">
        <v>4017</v>
      </c>
      <c r="AS1177" s="840"/>
      <c r="AT1177" s="840"/>
      <c r="AU1177" s="842"/>
      <c r="AV1177" s="839" t="s">
        <v>4056</v>
      </c>
      <c r="AW1177" s="861">
        <v>45824</v>
      </c>
      <c r="AX1177" s="862">
        <v>45829</v>
      </c>
      <c r="AY1177" s="843"/>
      <c r="AZ1177" s="842"/>
      <c r="BA1177" s="842" t="s">
        <v>120</v>
      </c>
      <c r="BB1177" s="863" t="s">
        <v>121</v>
      </c>
      <c r="BC1177" s="864">
        <v>45832</v>
      </c>
      <c r="BD1177" s="860" t="s">
        <v>4057</v>
      </c>
      <c r="BE1177" s="865" cm="1">
        <f t="array" ref="BE1177">IF(BD1177="","",AC1177/SUMPRODUCT(--(BD1177=$BD$4:$BD$12824),$AC$4:$AC$12824))</f>
        <v>2.3855328090966483E-2</v>
      </c>
      <c r="BF1177" s="458"/>
      <c r="BG1177" s="458"/>
      <c r="BH1177" s="458"/>
      <c r="BI1177" s="458"/>
      <c r="BJ1177" s="458"/>
      <c r="BK1177" s="458"/>
      <c r="BL1177" s="458"/>
      <c r="BM1177" s="458"/>
      <c r="BN1177" s="458"/>
      <c r="BO1177" s="866">
        <f>VLOOKUP(BD1177,$BD$4:$BN$12824,3,0)*BE1177</f>
        <v>696885.69952140388</v>
      </c>
      <c r="BP1177" s="866"/>
      <c r="BQ1177" s="866"/>
      <c r="BR1177" s="866">
        <f>VLOOKUP(BD1177,$BD$4:$BN$12824,6,0)*BE1177</f>
        <v>254560.20605870333</v>
      </c>
      <c r="BS1177" s="866">
        <f>VLOOKUP(BD1177,$BD$4:$BN$12824,7,0)*BE1177</f>
        <v>29618.393672494531</v>
      </c>
      <c r="BT1177" s="866"/>
      <c r="BU1177" s="866">
        <f>VLOOKUP(BD1177,$BD$4:$BN$12824,9,0)*BE1177</f>
        <v>0</v>
      </c>
      <c r="BV1177" s="867"/>
      <c r="BW1177" s="867">
        <f>VLOOKUP(BD1177,$BD$4:$BN$12824,11,0)*BE1177</f>
        <v>56785.222987736619</v>
      </c>
      <c r="BX1177" s="1146">
        <f t="shared" si="230"/>
        <v>1037849.5222403384</v>
      </c>
      <c r="BY1177" s="867">
        <f t="shared" si="227"/>
        <v>15876995.551120169</v>
      </c>
      <c r="BZ1177" s="867">
        <f t="shared" si="225"/>
        <v>31753991.102240339</v>
      </c>
      <c r="CA1177" s="867">
        <f>_xlfn.MAXIFS($BY$4:$BY$12824,$S$4:$S$12824,$S1177)</f>
        <v>15876995.551120169</v>
      </c>
      <c r="CB1177" s="1032"/>
      <c r="CF1177" s="946">
        <f t="shared" si="226"/>
        <v>30716141.580000002</v>
      </c>
    </row>
    <row r="1178" spans="1:84">
      <c r="A1178" s="1032"/>
      <c r="B1178" s="839" t="s">
        <v>98</v>
      </c>
      <c r="C1178" s="839" t="s">
        <v>254</v>
      </c>
      <c r="D1178" s="839" t="s">
        <v>4045</v>
      </c>
      <c r="E1178" s="839" t="s">
        <v>4046</v>
      </c>
      <c r="F1178" s="841">
        <v>45679</v>
      </c>
      <c r="G1178" s="840" t="s">
        <v>4047</v>
      </c>
      <c r="H1178" s="842" t="s">
        <v>4048</v>
      </c>
      <c r="I1178" s="842"/>
      <c r="J1178" s="841"/>
      <c r="K1178" s="841"/>
      <c r="L1178" s="843" t="s">
        <v>106</v>
      </c>
      <c r="M1178" s="844" t="s">
        <v>107</v>
      </c>
      <c r="N1178" s="841"/>
      <c r="O1178" s="841" t="s">
        <v>108</v>
      </c>
      <c r="P1178" s="841" t="s">
        <v>160</v>
      </c>
      <c r="Q1178" s="843"/>
      <c r="R1178" s="845" t="s">
        <v>4090</v>
      </c>
      <c r="S1178" s="1127" t="s">
        <v>4091</v>
      </c>
      <c r="T1178" s="843" t="s">
        <v>4092</v>
      </c>
      <c r="U1178" s="842">
        <v>3</v>
      </c>
      <c r="V1178" s="842" t="s">
        <v>3</v>
      </c>
      <c r="W1178" s="846">
        <v>361</v>
      </c>
      <c r="X1178" s="847">
        <f t="shared" si="220"/>
        <v>1083</v>
      </c>
      <c r="Y1178" s="848">
        <f t="shared" si="231"/>
        <v>0.5</v>
      </c>
      <c r="Z1178" s="849">
        <v>180.5</v>
      </c>
      <c r="AA1178" s="849"/>
      <c r="AB1178" s="849">
        <f t="shared" si="221"/>
        <v>541.5</v>
      </c>
      <c r="AC1178" s="850">
        <f t="shared" si="222"/>
        <v>541.5</v>
      </c>
      <c r="AD1178" s="851">
        <f t="shared" si="232"/>
        <v>32000</v>
      </c>
      <c r="AE1178" s="852">
        <v>29506.38</v>
      </c>
      <c r="AF1178" s="853">
        <v>0</v>
      </c>
      <c r="AG1178" s="854">
        <f t="shared" si="223"/>
        <v>0</v>
      </c>
      <c r="AH1178" s="853">
        <v>0.1</v>
      </c>
      <c r="AI1178" s="855">
        <f t="shared" si="224"/>
        <v>1597770.4770000002</v>
      </c>
      <c r="AJ1178" s="845" t="s">
        <v>4052</v>
      </c>
      <c r="AK1178" s="857">
        <v>45742</v>
      </c>
      <c r="AL1178" s="840" t="s">
        <v>4053</v>
      </c>
      <c r="AM1178" s="840"/>
      <c r="AN1178" s="858"/>
      <c r="AO1178" s="844" t="s">
        <v>4054</v>
      </c>
      <c r="AP1178" s="859"/>
      <c r="AQ1178" s="859" t="s">
        <v>4055</v>
      </c>
      <c r="AR1178" s="859" t="s">
        <v>4017</v>
      </c>
      <c r="AS1178" s="840"/>
      <c r="AT1178" s="840"/>
      <c r="AU1178" s="842"/>
      <c r="AV1178" s="839" t="s">
        <v>4056</v>
      </c>
      <c r="AW1178" s="861">
        <v>45824</v>
      </c>
      <c r="AX1178" s="862">
        <v>45829</v>
      </c>
      <c r="AY1178" s="843"/>
      <c r="AZ1178" s="842"/>
      <c r="BA1178" s="842" t="s">
        <v>120</v>
      </c>
      <c r="BB1178" s="863" t="s">
        <v>121</v>
      </c>
      <c r="BC1178" s="864">
        <v>45832</v>
      </c>
      <c r="BD1178" s="860" t="s">
        <v>4057</v>
      </c>
      <c r="BE1178" s="865" cm="1">
        <f t="array" ref="BE1178">IF(BD1178="","",AC1178/SUMPRODUCT(--(BD1178=$BD$4:$BD$12824),$AC$4:$AC$12824))</f>
        <v>1.2408895447894669E-2</v>
      </c>
      <c r="BF1178" s="458"/>
      <c r="BG1178" s="458"/>
      <c r="BH1178" s="458"/>
      <c r="BI1178" s="458"/>
      <c r="BJ1178" s="458"/>
      <c r="BK1178" s="458"/>
      <c r="BL1178" s="458"/>
      <c r="BM1178" s="458"/>
      <c r="BN1178" s="458"/>
      <c r="BO1178" s="866">
        <f>VLOOKUP(BD1178,$BD$4:$BN$12824,3,0)*BE1178</f>
        <v>362501.06271934696</v>
      </c>
      <c r="BP1178" s="866"/>
      <c r="BQ1178" s="866"/>
      <c r="BR1178" s="866">
        <f>VLOOKUP(BD1178,$BD$4:$BN$12824,6,0)*BE1178</f>
        <v>132415.32332448402</v>
      </c>
      <c r="BS1178" s="866">
        <f>VLOOKUP(BD1178,$BD$4:$BN$12824,7,0)*BE1178</f>
        <v>15406.686045778855</v>
      </c>
      <c r="BT1178" s="866"/>
      <c r="BU1178" s="866">
        <f>VLOOKUP(BD1178,$BD$4:$BN$12824,9,0)*BE1178</f>
        <v>0</v>
      </c>
      <c r="BV1178" s="867"/>
      <c r="BW1178" s="867">
        <f>VLOOKUP(BD1178,$BD$4:$BN$12824,11,0)*BE1178</f>
        <v>29538.134724168471</v>
      </c>
      <c r="BX1178" s="1146">
        <f t="shared" si="230"/>
        <v>539861.20681377838</v>
      </c>
      <c r="BY1178" s="867">
        <f t="shared" si="227"/>
        <v>5505855.3256045934</v>
      </c>
      <c r="BZ1178" s="867">
        <f t="shared" si="225"/>
        <v>16517565.97681378</v>
      </c>
      <c r="CA1178" s="867">
        <f>_xlfn.MAXIFS($BY$4:$BY$12824,$S$4:$S$12824,$S1178)</f>
        <v>5505855.3256045934</v>
      </c>
      <c r="CB1178" s="1032"/>
      <c r="CF1178" s="946">
        <f t="shared" si="226"/>
        <v>15977704.770000001</v>
      </c>
    </row>
    <row r="1179" spans="1:84">
      <c r="A1179" s="1032"/>
      <c r="B1179" s="839" t="s">
        <v>98</v>
      </c>
      <c r="C1179" s="839" t="s">
        <v>254</v>
      </c>
      <c r="D1179" s="839" t="s">
        <v>4045</v>
      </c>
      <c r="E1179" s="839" t="s">
        <v>4046</v>
      </c>
      <c r="F1179" s="841">
        <v>45679</v>
      </c>
      <c r="G1179" s="840" t="s">
        <v>4047</v>
      </c>
      <c r="H1179" s="842" t="s">
        <v>4048</v>
      </c>
      <c r="I1179" s="842"/>
      <c r="J1179" s="841"/>
      <c r="K1179" s="841"/>
      <c r="L1179" s="843" t="s">
        <v>106</v>
      </c>
      <c r="M1179" s="844" t="s">
        <v>107</v>
      </c>
      <c r="N1179" s="841"/>
      <c r="O1179" s="841" t="s">
        <v>108</v>
      </c>
      <c r="P1179" s="841" t="s">
        <v>160</v>
      </c>
      <c r="Q1179" s="843"/>
      <c r="R1179" s="845" t="s">
        <v>4093</v>
      </c>
      <c r="S1179" s="1127" t="s">
        <v>4094</v>
      </c>
      <c r="T1179" s="843" t="s">
        <v>4095</v>
      </c>
      <c r="U1179" s="842">
        <v>2</v>
      </c>
      <c r="V1179" s="842" t="s">
        <v>3</v>
      </c>
      <c r="W1179" s="849">
        <v>426</v>
      </c>
      <c r="X1179" s="847">
        <f t="shared" si="220"/>
        <v>852</v>
      </c>
      <c r="Y1179" s="848">
        <f t="shared" si="231"/>
        <v>0.5</v>
      </c>
      <c r="Z1179" s="849">
        <v>213</v>
      </c>
      <c r="AA1179" s="849"/>
      <c r="AB1179" s="849">
        <f t="shared" si="221"/>
        <v>426</v>
      </c>
      <c r="AC1179" s="850">
        <f t="shared" si="222"/>
        <v>426</v>
      </c>
      <c r="AD1179" s="851">
        <f t="shared" si="232"/>
        <v>32000</v>
      </c>
      <c r="AE1179" s="852">
        <v>29506.38</v>
      </c>
      <c r="AF1179" s="853">
        <v>0</v>
      </c>
      <c r="AG1179" s="854">
        <f t="shared" si="223"/>
        <v>0</v>
      </c>
      <c r="AH1179" s="853">
        <v>0.1</v>
      </c>
      <c r="AI1179" s="855">
        <f t="shared" si="224"/>
        <v>1256971.7880000002</v>
      </c>
      <c r="AJ1179" s="845" t="s">
        <v>4052</v>
      </c>
      <c r="AK1179" s="857">
        <v>45742</v>
      </c>
      <c r="AL1179" s="840" t="s">
        <v>4053</v>
      </c>
      <c r="AM1179" s="840"/>
      <c r="AN1179" s="858"/>
      <c r="AO1179" s="844" t="s">
        <v>4054</v>
      </c>
      <c r="AP1179" s="859"/>
      <c r="AQ1179" s="859" t="s">
        <v>4055</v>
      </c>
      <c r="AR1179" s="859" t="s">
        <v>4017</v>
      </c>
      <c r="AS1179" s="840"/>
      <c r="AT1179" s="840"/>
      <c r="AU1179" s="842"/>
      <c r="AV1179" s="839" t="s">
        <v>4056</v>
      </c>
      <c r="AW1179" s="861">
        <v>45824</v>
      </c>
      <c r="AX1179" s="862">
        <v>45829</v>
      </c>
      <c r="AY1179" s="843"/>
      <c r="AZ1179" s="842"/>
      <c r="BA1179" s="842" t="s">
        <v>120</v>
      </c>
      <c r="BB1179" s="863" t="s">
        <v>121</v>
      </c>
      <c r="BC1179" s="864">
        <v>45832</v>
      </c>
      <c r="BD1179" s="860" t="s">
        <v>4057</v>
      </c>
      <c r="BE1179" s="865" cm="1">
        <f t="array" ref="BE1179">IF(BD1179="","",AC1179/SUMPRODUCT(--(BD1179=$BD$4:$BD$12824),$AC$4:$AC$12824))</f>
        <v>9.762122734631817E-3</v>
      </c>
      <c r="BF1179" s="458"/>
      <c r="BG1179" s="458"/>
      <c r="BH1179" s="458"/>
      <c r="BI1179" s="458"/>
      <c r="BJ1179" s="458"/>
      <c r="BK1179" s="458"/>
      <c r="BL1179" s="458"/>
      <c r="BM1179" s="458"/>
      <c r="BN1179" s="458"/>
      <c r="BO1179" s="866">
        <f>VLOOKUP(BD1179,$BD$4:$BN$12824,3,0)*BE1179</f>
        <v>285180.89144679927</v>
      </c>
      <c r="BP1179" s="866"/>
      <c r="BQ1179" s="866"/>
      <c r="BR1179" s="866">
        <f>VLOOKUP(BD1179,$BD$4:$BN$12824,6,0)*BE1179</f>
        <v>104171.61170125612</v>
      </c>
      <c r="BS1179" s="866">
        <f>VLOOKUP(BD1179,$BD$4:$BN$12824,7,0)*BE1179</f>
        <v>12120.49539335511</v>
      </c>
      <c r="BT1179" s="866"/>
      <c r="BU1179" s="866">
        <f>VLOOKUP(BD1179,$BD$4:$BN$12824,9,0)*BE1179</f>
        <v>0</v>
      </c>
      <c r="BV1179" s="867"/>
      <c r="BW1179" s="867">
        <f>VLOOKUP(BD1179,$BD$4:$BN$12824,11,0)*BE1179</f>
        <v>23237.756957517577</v>
      </c>
      <c r="BX1179" s="1146">
        <f t="shared" si="230"/>
        <v>424710.75549892808</v>
      </c>
      <c r="BY1179" s="867">
        <f t="shared" si="227"/>
        <v>6497214.3177494649</v>
      </c>
      <c r="BZ1179" s="867">
        <f t="shared" si="225"/>
        <v>12994428.63549893</v>
      </c>
      <c r="CA1179" s="867">
        <f>_xlfn.MAXIFS($BY$4:$BY$12824,$S$4:$S$12824,$S1179)</f>
        <v>6497214.3177494649</v>
      </c>
      <c r="CB1179" s="1032"/>
      <c r="CF1179" s="946">
        <f t="shared" si="226"/>
        <v>12569717.880000001</v>
      </c>
    </row>
    <row r="1180" spans="1:84">
      <c r="A1180" s="1032"/>
      <c r="B1180" s="839" t="s">
        <v>98</v>
      </c>
      <c r="C1180" s="839" t="s">
        <v>254</v>
      </c>
      <c r="D1180" s="839" t="s">
        <v>4045</v>
      </c>
      <c r="E1180" s="839" t="s">
        <v>4046</v>
      </c>
      <c r="F1180" s="841">
        <v>45679</v>
      </c>
      <c r="G1180" s="840" t="s">
        <v>4047</v>
      </c>
      <c r="H1180" s="842" t="s">
        <v>4048</v>
      </c>
      <c r="I1180" s="842"/>
      <c r="J1180" s="841"/>
      <c r="K1180" s="841"/>
      <c r="L1180" s="843" t="s">
        <v>106</v>
      </c>
      <c r="M1180" s="844" t="s">
        <v>107</v>
      </c>
      <c r="N1180" s="841"/>
      <c r="O1180" s="841" t="s">
        <v>108</v>
      </c>
      <c r="P1180" s="841" t="s">
        <v>160</v>
      </c>
      <c r="Q1180" s="843"/>
      <c r="R1180" s="845" t="s">
        <v>4096</v>
      </c>
      <c r="S1180" s="1127" t="s">
        <v>4097</v>
      </c>
      <c r="T1180" s="843" t="s">
        <v>4098</v>
      </c>
      <c r="U1180" s="842">
        <v>5</v>
      </c>
      <c r="V1180" s="842" t="s">
        <v>3</v>
      </c>
      <c r="W1180" s="846">
        <v>533</v>
      </c>
      <c r="X1180" s="847">
        <f t="shared" si="220"/>
        <v>2665</v>
      </c>
      <c r="Y1180" s="848">
        <f t="shared" si="231"/>
        <v>0.5</v>
      </c>
      <c r="Z1180" s="849">
        <v>266.5</v>
      </c>
      <c r="AA1180" s="849"/>
      <c r="AB1180" s="849">
        <f t="shared" si="221"/>
        <v>1332.5</v>
      </c>
      <c r="AC1180" s="850">
        <f t="shared" si="222"/>
        <v>1332.5</v>
      </c>
      <c r="AD1180" s="851">
        <f t="shared" si="232"/>
        <v>32000</v>
      </c>
      <c r="AE1180" s="852">
        <v>29506.38</v>
      </c>
      <c r="AF1180" s="853">
        <v>0</v>
      </c>
      <c r="AG1180" s="854">
        <f t="shared" si="223"/>
        <v>0</v>
      </c>
      <c r="AH1180" s="853">
        <v>0.1</v>
      </c>
      <c r="AI1180" s="855">
        <f t="shared" si="224"/>
        <v>3931725.1350000002</v>
      </c>
      <c r="AJ1180" s="845" t="s">
        <v>4052</v>
      </c>
      <c r="AK1180" s="857">
        <v>45742</v>
      </c>
      <c r="AL1180" s="840" t="s">
        <v>4053</v>
      </c>
      <c r="AM1180" s="840"/>
      <c r="AN1180" s="858"/>
      <c r="AO1180" s="844" t="s">
        <v>4054</v>
      </c>
      <c r="AP1180" s="859"/>
      <c r="AQ1180" s="859" t="s">
        <v>4055</v>
      </c>
      <c r="AR1180" s="859" t="s">
        <v>4017</v>
      </c>
      <c r="AS1180" s="840"/>
      <c r="AT1180" s="840"/>
      <c r="AU1180" s="842"/>
      <c r="AV1180" s="839" t="s">
        <v>4056</v>
      </c>
      <c r="AW1180" s="861">
        <v>45824</v>
      </c>
      <c r="AX1180" s="862">
        <v>45829</v>
      </c>
      <c r="AY1180" s="843"/>
      <c r="AZ1180" s="842"/>
      <c r="BA1180" s="842" t="s">
        <v>120</v>
      </c>
      <c r="BB1180" s="863" t="s">
        <v>121</v>
      </c>
      <c r="BC1180" s="864">
        <v>45832</v>
      </c>
      <c r="BD1180" s="860" t="s">
        <v>4057</v>
      </c>
      <c r="BE1180" s="865" cm="1">
        <f t="array" ref="BE1180">IF(BD1180="","",AC1180/SUMPRODUCT(--(BD1180=$BD$4:$BD$12824),$AC$4:$AC$12824))</f>
        <v>3.0535278272058441E-2</v>
      </c>
      <c r="BF1180" s="458"/>
      <c r="BG1180" s="458"/>
      <c r="BH1180" s="458"/>
      <c r="BI1180" s="458"/>
      <c r="BJ1180" s="458"/>
      <c r="BK1180" s="458"/>
      <c r="BL1180" s="458"/>
      <c r="BM1180" s="458"/>
      <c r="BN1180" s="458"/>
      <c r="BO1180" s="866">
        <f>VLOOKUP(BD1180,$BD$4:$BN$12824,3,0)*BE1180</f>
        <v>892027.08416164329</v>
      </c>
      <c r="BP1180" s="866"/>
      <c r="BQ1180" s="866"/>
      <c r="BR1180" s="866">
        <f>VLOOKUP(BD1180,$BD$4:$BN$12824,6,0)*BE1180</f>
        <v>325841.95444113563</v>
      </c>
      <c r="BS1180" s="866">
        <f>VLOOKUP(BD1180,$BD$4:$BN$12824,7,0)*BE1180</f>
        <v>37912.112938135404</v>
      </c>
      <c r="BT1180" s="866"/>
      <c r="BU1180" s="866">
        <f>VLOOKUP(BD1180,$BD$4:$BN$12824,9,0)*BE1180</f>
        <v>0</v>
      </c>
      <c r="BV1180" s="867"/>
      <c r="BW1180" s="867">
        <f>VLOOKUP(BD1180,$BD$4:$BN$12824,11,0)*BE1180</f>
        <v>72686.176398807918</v>
      </c>
      <c r="BX1180" s="1146">
        <f t="shared" si="230"/>
        <v>1328467.3279397222</v>
      </c>
      <c r="BY1180" s="867">
        <f t="shared" si="227"/>
        <v>8129143.7355879443</v>
      </c>
      <c r="BZ1180" s="867">
        <f t="shared" si="225"/>
        <v>40645718.67793972</v>
      </c>
      <c r="CA1180" s="867">
        <f>_xlfn.MAXIFS($BY$4:$BY$12824,$S$4:$S$12824,$S1180)</f>
        <v>8129143.7355879443</v>
      </c>
      <c r="CB1180" s="1032"/>
      <c r="CF1180" s="946">
        <f t="shared" si="226"/>
        <v>39317251.350000001</v>
      </c>
    </row>
    <row r="1181" spans="1:84">
      <c r="A1181" s="1032"/>
      <c r="B1181" s="839" t="s">
        <v>98</v>
      </c>
      <c r="C1181" s="839" t="s">
        <v>254</v>
      </c>
      <c r="D1181" s="839" t="s">
        <v>4045</v>
      </c>
      <c r="E1181" s="839" t="s">
        <v>4046</v>
      </c>
      <c r="F1181" s="841">
        <v>45679</v>
      </c>
      <c r="G1181" s="840" t="s">
        <v>4047</v>
      </c>
      <c r="H1181" s="842" t="s">
        <v>4048</v>
      </c>
      <c r="I1181" s="842"/>
      <c r="J1181" s="841"/>
      <c r="K1181" s="841"/>
      <c r="L1181" s="843" t="s">
        <v>106</v>
      </c>
      <c r="M1181" s="844" t="s">
        <v>107</v>
      </c>
      <c r="N1181" s="841"/>
      <c r="O1181" s="841" t="s">
        <v>108</v>
      </c>
      <c r="P1181" s="841" t="s">
        <v>160</v>
      </c>
      <c r="Q1181" s="843"/>
      <c r="R1181" s="845" t="s">
        <v>4099</v>
      </c>
      <c r="S1181" s="1127" t="s">
        <v>4100</v>
      </c>
      <c r="T1181" s="843" t="s">
        <v>4101</v>
      </c>
      <c r="U1181" s="842">
        <v>5</v>
      </c>
      <c r="V1181" s="842" t="s">
        <v>3</v>
      </c>
      <c r="W1181" s="846">
        <v>189</v>
      </c>
      <c r="X1181" s="847">
        <f t="shared" si="220"/>
        <v>945</v>
      </c>
      <c r="Y1181" s="848">
        <f t="shared" si="231"/>
        <v>0.5</v>
      </c>
      <c r="Z1181" s="849">
        <v>94.5</v>
      </c>
      <c r="AA1181" s="849"/>
      <c r="AB1181" s="849">
        <f t="shared" si="221"/>
        <v>472.5</v>
      </c>
      <c r="AC1181" s="850">
        <f t="shared" si="222"/>
        <v>472.5</v>
      </c>
      <c r="AD1181" s="851">
        <f t="shared" si="232"/>
        <v>32000</v>
      </c>
      <c r="AE1181" s="852">
        <v>29506.38</v>
      </c>
      <c r="AF1181" s="853">
        <v>0</v>
      </c>
      <c r="AG1181" s="854">
        <f t="shared" si="223"/>
        <v>0</v>
      </c>
      <c r="AH1181" s="853">
        <v>0.1</v>
      </c>
      <c r="AI1181" s="855">
        <f t="shared" si="224"/>
        <v>1394176.4550000001</v>
      </c>
      <c r="AJ1181" s="845" t="s">
        <v>4052</v>
      </c>
      <c r="AK1181" s="857">
        <v>45742</v>
      </c>
      <c r="AL1181" s="840" t="s">
        <v>4053</v>
      </c>
      <c r="AM1181" s="840"/>
      <c r="AN1181" s="858"/>
      <c r="AO1181" s="844" t="s">
        <v>4054</v>
      </c>
      <c r="AP1181" s="859"/>
      <c r="AQ1181" s="859" t="s">
        <v>4055</v>
      </c>
      <c r="AR1181" s="859" t="s">
        <v>4017</v>
      </c>
      <c r="AS1181" s="840"/>
      <c r="AT1181" s="840"/>
      <c r="AU1181" s="842"/>
      <c r="AV1181" s="839" t="s">
        <v>4056</v>
      </c>
      <c r="AW1181" s="861">
        <v>45824</v>
      </c>
      <c r="AX1181" s="862">
        <v>45829</v>
      </c>
      <c r="AY1181" s="843"/>
      <c r="AZ1181" s="842"/>
      <c r="BA1181" s="842" t="s">
        <v>120</v>
      </c>
      <c r="BB1181" s="863" t="s">
        <v>121</v>
      </c>
      <c r="BC1181" s="864">
        <v>45832</v>
      </c>
      <c r="BD1181" s="860" t="s">
        <v>4057</v>
      </c>
      <c r="BE1181" s="865" cm="1">
        <f t="array" ref="BE1181">IF(BD1181="","",AC1181/SUMPRODUCT(--(BD1181=$BD$4:$BD$12824),$AC$4:$AC$12824))</f>
        <v>1.0827706554257121E-2</v>
      </c>
      <c r="BF1181" s="458"/>
      <c r="BG1181" s="458"/>
      <c r="BH1181" s="458"/>
      <c r="BI1181" s="458"/>
      <c r="BJ1181" s="458"/>
      <c r="BK1181" s="458"/>
      <c r="BL1181" s="458"/>
      <c r="BM1181" s="458"/>
      <c r="BN1181" s="458"/>
      <c r="BO1181" s="866">
        <f>VLOOKUP(BD1181,$BD$4:$BN$12824,3,0)*BE1181</f>
        <v>316309.79156951327</v>
      </c>
      <c r="BP1181" s="866"/>
      <c r="BQ1181" s="866"/>
      <c r="BR1181" s="866">
        <f>VLOOKUP(BD1181,$BD$4:$BN$12824,6,0)*BE1181</f>
        <v>115542.45664047773</v>
      </c>
      <c r="BS1181" s="866">
        <f>VLOOKUP(BD1181,$BD$4:$BN$12824,7,0)*BE1181</f>
        <v>13443.507214460773</v>
      </c>
      <c r="BT1181" s="866"/>
      <c r="BU1181" s="866">
        <f>VLOOKUP(BD1181,$BD$4:$BN$12824,9,0)*BE1181</f>
        <v>0</v>
      </c>
      <c r="BV1181" s="867"/>
      <c r="BW1181" s="867">
        <f>VLOOKUP(BD1181,$BD$4:$BN$12824,11,0)*BE1181</f>
        <v>25774.27268175365</v>
      </c>
      <c r="BX1181" s="1146">
        <f t="shared" si="230"/>
        <v>471070.02810620546</v>
      </c>
      <c r="BY1181" s="867">
        <f t="shared" si="227"/>
        <v>2882566.9156212411</v>
      </c>
      <c r="BZ1181" s="867">
        <f t="shared" si="225"/>
        <v>14412834.578106206</v>
      </c>
      <c r="CA1181" s="867">
        <f>_xlfn.MAXIFS($BY$4:$BY$12824,$S$4:$S$12824,$S1181)</f>
        <v>4058022.3771518515</v>
      </c>
      <c r="CB1181" s="1032"/>
      <c r="CF1181" s="946">
        <f t="shared" si="226"/>
        <v>13941764.550000001</v>
      </c>
    </row>
    <row r="1182" spans="1:84">
      <c r="A1182" s="1032"/>
      <c r="B1182" s="839" t="s">
        <v>98</v>
      </c>
      <c r="C1182" s="839" t="s">
        <v>254</v>
      </c>
      <c r="D1182" s="839" t="s">
        <v>4045</v>
      </c>
      <c r="E1182" s="839" t="s">
        <v>4046</v>
      </c>
      <c r="F1182" s="841">
        <v>45679</v>
      </c>
      <c r="G1182" s="840" t="s">
        <v>4047</v>
      </c>
      <c r="H1182" s="842" t="s">
        <v>4048</v>
      </c>
      <c r="I1182" s="842"/>
      <c r="J1182" s="841"/>
      <c r="K1182" s="841"/>
      <c r="L1182" s="843" t="s">
        <v>106</v>
      </c>
      <c r="M1182" s="844" t="s">
        <v>107</v>
      </c>
      <c r="N1182" s="841"/>
      <c r="O1182" s="841" t="s">
        <v>108</v>
      </c>
      <c r="P1182" s="841" t="s">
        <v>160</v>
      </c>
      <c r="Q1182" s="843"/>
      <c r="R1182" s="845" t="s">
        <v>1178</v>
      </c>
      <c r="S1182" s="1127" t="s">
        <v>1179</v>
      </c>
      <c r="T1182" s="843" t="s">
        <v>4102</v>
      </c>
      <c r="U1182" s="842">
        <v>2</v>
      </c>
      <c r="V1182" s="842" t="s">
        <v>3</v>
      </c>
      <c r="W1182" s="846">
        <v>4549</v>
      </c>
      <c r="X1182" s="847">
        <f t="shared" si="220"/>
        <v>9098</v>
      </c>
      <c r="Y1182" s="848">
        <f t="shared" si="231"/>
        <v>0.5</v>
      </c>
      <c r="Z1182" s="849">
        <v>2274.5</v>
      </c>
      <c r="AA1182" s="849"/>
      <c r="AB1182" s="849">
        <f t="shared" si="221"/>
        <v>4549</v>
      </c>
      <c r="AC1182" s="850">
        <f t="shared" si="222"/>
        <v>4549</v>
      </c>
      <c r="AD1182" s="851">
        <f t="shared" si="232"/>
        <v>32000</v>
      </c>
      <c r="AE1182" s="852">
        <v>29506.38</v>
      </c>
      <c r="AF1182" s="853">
        <v>0</v>
      </c>
      <c r="AG1182" s="854">
        <f t="shared" si="223"/>
        <v>0</v>
      </c>
      <c r="AH1182" s="853">
        <v>0.1</v>
      </c>
      <c r="AI1182" s="855">
        <f t="shared" si="224"/>
        <v>13422452.262000002</v>
      </c>
      <c r="AJ1182" s="845" t="s">
        <v>4052</v>
      </c>
      <c r="AK1182" s="857">
        <v>45742</v>
      </c>
      <c r="AL1182" s="840" t="s">
        <v>4053</v>
      </c>
      <c r="AM1182" s="840"/>
      <c r="AN1182" s="858"/>
      <c r="AO1182" s="844" t="s">
        <v>4054</v>
      </c>
      <c r="AP1182" s="859"/>
      <c r="AQ1182" s="859" t="s">
        <v>4055</v>
      </c>
      <c r="AR1182" s="859" t="s">
        <v>4017</v>
      </c>
      <c r="AS1182" s="840"/>
      <c r="AT1182" s="840"/>
      <c r="AU1182" s="842"/>
      <c r="AV1182" s="839" t="s">
        <v>4056</v>
      </c>
      <c r="AW1182" s="861">
        <v>45824</v>
      </c>
      <c r="AX1182" s="862">
        <v>45829</v>
      </c>
      <c r="AY1182" s="843"/>
      <c r="AZ1182" s="842"/>
      <c r="BA1182" s="842" t="s">
        <v>120</v>
      </c>
      <c r="BB1182" s="863" t="s">
        <v>121</v>
      </c>
      <c r="BC1182" s="864">
        <v>45832</v>
      </c>
      <c r="BD1182" s="860" t="s">
        <v>4057</v>
      </c>
      <c r="BE1182" s="865" cm="1">
        <f t="array" ref="BE1182">IF(BD1182="","",AC1182/SUMPRODUCT(--(BD1182=$BD$4:$BD$12824),$AC$4:$AC$12824))</f>
        <v>0.10424388807474211</v>
      </c>
      <c r="BF1182" s="458"/>
      <c r="BG1182" s="458"/>
      <c r="BH1182" s="458"/>
      <c r="BI1182" s="458"/>
      <c r="BJ1182" s="458"/>
      <c r="BK1182" s="458"/>
      <c r="BL1182" s="458"/>
      <c r="BM1182" s="458"/>
      <c r="BN1182" s="458"/>
      <c r="BO1182" s="866">
        <f>VLOOKUP(BD1182,$BD$4:$BN$12824,3,0)*BE1182</f>
        <v>3045276.7023274414</v>
      </c>
      <c r="BP1182" s="866"/>
      <c r="BQ1182" s="866"/>
      <c r="BR1182" s="866">
        <f>VLOOKUP(BD1182,$BD$4:$BN$12824,6,0)*BE1182</f>
        <v>1112386.5296455731</v>
      </c>
      <c r="BS1182" s="866">
        <f>VLOOKUP(BD1182,$BD$4:$BN$12824,7,0)*BE1182</f>
        <v>129427.54353139061</v>
      </c>
      <c r="BT1182" s="866"/>
      <c r="BU1182" s="866">
        <f>VLOOKUP(BD1182,$BD$4:$BN$12824,9,0)*BE1182</f>
        <v>0</v>
      </c>
      <c r="BV1182" s="867"/>
      <c r="BW1182" s="867">
        <f>VLOOKUP(BD1182,$BD$4:$BN$12824,11,0)*BE1182</f>
        <v>248142.15117311612</v>
      </c>
      <c r="BX1182" s="1146">
        <f t="shared" si="230"/>
        <v>4535232.9266775213</v>
      </c>
      <c r="BY1182" s="867">
        <f t="shared" si="227"/>
        <v>69379877.773338765</v>
      </c>
      <c r="BZ1182" s="867">
        <f t="shared" si="225"/>
        <v>138759755.54667753</v>
      </c>
      <c r="CA1182" s="867">
        <f>_xlfn.MAXIFS($BY$4:$BY$12824,$S$4:$S$12824,$S1182)</f>
        <v>74138253.047492683</v>
      </c>
      <c r="CB1182" s="1032"/>
      <c r="CF1182" s="946">
        <f t="shared" si="226"/>
        <v>134224522.62</v>
      </c>
    </row>
    <row r="1183" spans="1:84">
      <c r="A1183" s="1032"/>
      <c r="B1183" s="839" t="s">
        <v>98</v>
      </c>
      <c r="C1183" s="839" t="s">
        <v>254</v>
      </c>
      <c r="D1183" s="839" t="s">
        <v>4045</v>
      </c>
      <c r="E1183" s="839" t="s">
        <v>4046</v>
      </c>
      <c r="F1183" s="841">
        <v>45679</v>
      </c>
      <c r="G1183" s="840" t="s">
        <v>4047</v>
      </c>
      <c r="H1183" s="842" t="s">
        <v>4048</v>
      </c>
      <c r="I1183" s="842"/>
      <c r="J1183" s="841"/>
      <c r="K1183" s="841"/>
      <c r="L1183" s="843" t="s">
        <v>106</v>
      </c>
      <c r="M1183" s="844" t="s">
        <v>107</v>
      </c>
      <c r="N1183" s="841"/>
      <c r="O1183" s="841" t="s">
        <v>108</v>
      </c>
      <c r="P1183" s="841" t="s">
        <v>160</v>
      </c>
      <c r="Q1183" s="843"/>
      <c r="R1183" s="845" t="s">
        <v>3432</v>
      </c>
      <c r="S1183" s="1127" t="s">
        <v>3433</v>
      </c>
      <c r="T1183" s="843" t="s">
        <v>4103</v>
      </c>
      <c r="U1183" s="842">
        <v>5</v>
      </c>
      <c r="V1183" s="842" t="s">
        <v>3</v>
      </c>
      <c r="W1183" s="846">
        <v>209</v>
      </c>
      <c r="X1183" s="847">
        <f t="shared" si="220"/>
        <v>1045</v>
      </c>
      <c r="Y1183" s="848">
        <f t="shared" si="231"/>
        <v>0.5</v>
      </c>
      <c r="Z1183" s="849">
        <v>104.5</v>
      </c>
      <c r="AA1183" s="849"/>
      <c r="AB1183" s="849">
        <f t="shared" si="221"/>
        <v>522.5</v>
      </c>
      <c r="AC1183" s="850">
        <f t="shared" si="222"/>
        <v>522.5</v>
      </c>
      <c r="AD1183" s="851">
        <f t="shared" si="232"/>
        <v>32000</v>
      </c>
      <c r="AE1183" s="852">
        <v>29506.38</v>
      </c>
      <c r="AF1183" s="853">
        <v>0</v>
      </c>
      <c r="AG1183" s="854">
        <f t="shared" si="223"/>
        <v>0</v>
      </c>
      <c r="AH1183" s="853">
        <v>0.1</v>
      </c>
      <c r="AI1183" s="855">
        <f t="shared" si="224"/>
        <v>1541708.3550000002</v>
      </c>
      <c r="AJ1183" s="845" t="s">
        <v>4052</v>
      </c>
      <c r="AK1183" s="857">
        <v>45742</v>
      </c>
      <c r="AL1183" s="840" t="s">
        <v>4053</v>
      </c>
      <c r="AM1183" s="840"/>
      <c r="AN1183" s="858"/>
      <c r="AO1183" s="844" t="s">
        <v>4054</v>
      </c>
      <c r="AP1183" s="859"/>
      <c r="AQ1183" s="859" t="s">
        <v>4055</v>
      </c>
      <c r="AR1183" s="859" t="s">
        <v>4017</v>
      </c>
      <c r="AS1183" s="840"/>
      <c r="AT1183" s="840"/>
      <c r="AU1183" s="842"/>
      <c r="AV1183" s="839" t="s">
        <v>4056</v>
      </c>
      <c r="AW1183" s="861">
        <v>45824</v>
      </c>
      <c r="AX1183" s="862">
        <v>45829</v>
      </c>
      <c r="AY1183" s="843"/>
      <c r="AZ1183" s="842"/>
      <c r="BA1183" s="842" t="s">
        <v>120</v>
      </c>
      <c r="BB1183" s="863" t="s">
        <v>121</v>
      </c>
      <c r="BC1183" s="864">
        <v>45832</v>
      </c>
      <c r="BD1183" s="860" t="s">
        <v>4057</v>
      </c>
      <c r="BE1183" s="865" cm="1">
        <f t="array" ref="BE1183">IF(BD1183="","",AC1183/SUMPRODUCT(--(BD1183=$BD$4:$BD$12824),$AC$4:$AC$12824))</f>
        <v>1.1973495607617663E-2</v>
      </c>
      <c r="BF1183" s="458"/>
      <c r="BG1183" s="458"/>
      <c r="BH1183" s="458"/>
      <c r="BI1183" s="458"/>
      <c r="BJ1183" s="458"/>
      <c r="BK1183" s="458"/>
      <c r="BL1183" s="458"/>
      <c r="BM1183" s="458"/>
      <c r="BN1183" s="458"/>
      <c r="BO1183" s="866">
        <f>VLOOKUP(BD1183,$BD$4:$BN$12824,3,0)*BE1183</f>
        <v>349781.72718533478</v>
      </c>
      <c r="BP1183" s="866"/>
      <c r="BQ1183" s="866"/>
      <c r="BR1183" s="866">
        <f>VLOOKUP(BD1183,$BD$4:$BN$12824,6,0)*BE1183</f>
        <v>127769.17162888809</v>
      </c>
      <c r="BS1183" s="866">
        <f>VLOOKUP(BD1183,$BD$4:$BN$12824,7,0)*BE1183</f>
        <v>14866.100570488368</v>
      </c>
      <c r="BT1183" s="866"/>
      <c r="BU1183" s="866">
        <f>VLOOKUP(BD1183,$BD$4:$BN$12824,9,0)*BE1183</f>
        <v>0</v>
      </c>
      <c r="BV1183" s="867"/>
      <c r="BW1183" s="867">
        <f>VLOOKUP(BD1183,$BD$4:$BN$12824,11,0)*BE1183</f>
        <v>28501.708944373087</v>
      </c>
      <c r="BX1183" s="1146">
        <f t="shared" si="230"/>
        <v>520918.70832908433</v>
      </c>
      <c r="BY1183" s="867">
        <f t="shared" si="227"/>
        <v>3187600.4516658173</v>
      </c>
      <c r="BZ1183" s="867">
        <f t="shared" si="225"/>
        <v>15938002.258329086</v>
      </c>
      <c r="CA1183" s="867">
        <f>_xlfn.MAXIFS($BY$4:$BY$12824,$S$4:$S$12824,$S1183)</f>
        <v>3549768.1278823959</v>
      </c>
      <c r="CB1183" s="1032"/>
      <c r="CF1183" s="946">
        <f t="shared" si="226"/>
        <v>15417083.550000001</v>
      </c>
    </row>
    <row r="1184" spans="1:84">
      <c r="A1184" s="1032"/>
      <c r="B1184" s="839" t="s">
        <v>98</v>
      </c>
      <c r="C1184" s="839" t="s">
        <v>254</v>
      </c>
      <c r="D1184" s="839" t="s">
        <v>4045</v>
      </c>
      <c r="E1184" s="839" t="s">
        <v>4046</v>
      </c>
      <c r="F1184" s="841">
        <v>45679</v>
      </c>
      <c r="G1184" s="840" t="s">
        <v>4047</v>
      </c>
      <c r="H1184" s="842" t="s">
        <v>4048</v>
      </c>
      <c r="I1184" s="842"/>
      <c r="J1184" s="841"/>
      <c r="K1184" s="841"/>
      <c r="L1184" s="843" t="s">
        <v>106</v>
      </c>
      <c r="M1184" s="844" t="s">
        <v>107</v>
      </c>
      <c r="N1184" s="841"/>
      <c r="O1184" s="841" t="s">
        <v>108</v>
      </c>
      <c r="P1184" s="841" t="s">
        <v>160</v>
      </c>
      <c r="Q1184" s="843"/>
      <c r="R1184" s="845" t="s">
        <v>4104</v>
      </c>
      <c r="S1184" s="1127" t="s">
        <v>4105</v>
      </c>
      <c r="T1184" s="843" t="s">
        <v>4106</v>
      </c>
      <c r="U1184" s="842">
        <v>5</v>
      </c>
      <c r="V1184" s="842" t="s">
        <v>3</v>
      </c>
      <c r="W1184" s="846">
        <v>209</v>
      </c>
      <c r="X1184" s="847">
        <f t="shared" si="220"/>
        <v>1045</v>
      </c>
      <c r="Y1184" s="848">
        <f t="shared" si="231"/>
        <v>0.5</v>
      </c>
      <c r="Z1184" s="849">
        <v>104.5</v>
      </c>
      <c r="AA1184" s="849"/>
      <c r="AB1184" s="849">
        <f t="shared" si="221"/>
        <v>522.5</v>
      </c>
      <c r="AC1184" s="850">
        <f t="shared" si="222"/>
        <v>522.5</v>
      </c>
      <c r="AD1184" s="851">
        <f t="shared" si="232"/>
        <v>32000</v>
      </c>
      <c r="AE1184" s="852">
        <v>29506.38</v>
      </c>
      <c r="AF1184" s="853">
        <v>0</v>
      </c>
      <c r="AG1184" s="854">
        <f t="shared" si="223"/>
        <v>0</v>
      </c>
      <c r="AH1184" s="853">
        <v>0.1</v>
      </c>
      <c r="AI1184" s="855">
        <f t="shared" si="224"/>
        <v>1541708.3550000002</v>
      </c>
      <c r="AJ1184" s="845" t="s">
        <v>4052</v>
      </c>
      <c r="AK1184" s="857">
        <v>45742</v>
      </c>
      <c r="AL1184" s="840" t="s">
        <v>4053</v>
      </c>
      <c r="AM1184" s="840"/>
      <c r="AN1184" s="858"/>
      <c r="AO1184" s="844" t="s">
        <v>4054</v>
      </c>
      <c r="AP1184" s="859"/>
      <c r="AQ1184" s="859" t="s">
        <v>4055</v>
      </c>
      <c r="AR1184" s="859" t="s">
        <v>4017</v>
      </c>
      <c r="AS1184" s="840"/>
      <c r="AT1184" s="840"/>
      <c r="AU1184" s="842"/>
      <c r="AV1184" s="839" t="s">
        <v>4056</v>
      </c>
      <c r="AW1184" s="861">
        <v>45824</v>
      </c>
      <c r="AX1184" s="862">
        <v>45829</v>
      </c>
      <c r="AY1184" s="843"/>
      <c r="AZ1184" s="842"/>
      <c r="BA1184" s="842" t="s">
        <v>120</v>
      </c>
      <c r="BB1184" s="863" t="s">
        <v>121</v>
      </c>
      <c r="BC1184" s="864">
        <v>45832</v>
      </c>
      <c r="BD1184" s="860" t="s">
        <v>4057</v>
      </c>
      <c r="BE1184" s="865" cm="1">
        <f t="array" ref="BE1184">IF(BD1184="","",AC1184/SUMPRODUCT(--(BD1184=$BD$4:$BD$12824),$AC$4:$AC$12824))</f>
        <v>1.1973495607617663E-2</v>
      </c>
      <c r="BF1184" s="458"/>
      <c r="BG1184" s="458"/>
      <c r="BH1184" s="458"/>
      <c r="BI1184" s="458"/>
      <c r="BJ1184" s="458"/>
      <c r="BK1184" s="458"/>
      <c r="BL1184" s="458"/>
      <c r="BM1184" s="458"/>
      <c r="BN1184" s="458"/>
      <c r="BO1184" s="866">
        <f>VLOOKUP(BD1184,$BD$4:$BN$12824,3,0)*BE1184</f>
        <v>349781.72718533478</v>
      </c>
      <c r="BP1184" s="866"/>
      <c r="BQ1184" s="866"/>
      <c r="BR1184" s="866">
        <f>VLOOKUP(BD1184,$BD$4:$BN$12824,6,0)*BE1184</f>
        <v>127769.17162888809</v>
      </c>
      <c r="BS1184" s="866">
        <f>VLOOKUP(BD1184,$BD$4:$BN$12824,7,0)*BE1184</f>
        <v>14866.100570488368</v>
      </c>
      <c r="BT1184" s="866"/>
      <c r="BU1184" s="866">
        <f>VLOOKUP(BD1184,$BD$4:$BN$12824,9,0)*BE1184</f>
        <v>0</v>
      </c>
      <c r="BV1184" s="867"/>
      <c r="BW1184" s="867">
        <f>VLOOKUP(BD1184,$BD$4:$BN$12824,11,0)*BE1184</f>
        <v>28501.708944373087</v>
      </c>
      <c r="BX1184" s="1146">
        <f t="shared" si="230"/>
        <v>520918.70832908433</v>
      </c>
      <c r="BY1184" s="867">
        <f t="shared" si="227"/>
        <v>3187600.4516658173</v>
      </c>
      <c r="BZ1184" s="867">
        <f t="shared" si="225"/>
        <v>15938002.258329086</v>
      </c>
      <c r="CA1184" s="867">
        <f>_xlfn.MAXIFS($BY$4:$BY$12824,$S$4:$S$12824,$S1184)</f>
        <v>3187600.4516658173</v>
      </c>
      <c r="CB1184" s="1032"/>
      <c r="CF1184" s="946">
        <f t="shared" si="226"/>
        <v>15417083.550000001</v>
      </c>
    </row>
    <row r="1185" spans="1:84">
      <c r="A1185" s="1032"/>
      <c r="B1185" s="839" t="s">
        <v>98</v>
      </c>
      <c r="C1185" s="839" t="s">
        <v>254</v>
      </c>
      <c r="D1185" s="839" t="s">
        <v>4045</v>
      </c>
      <c r="E1185" s="839" t="s">
        <v>4046</v>
      </c>
      <c r="F1185" s="841">
        <v>45679</v>
      </c>
      <c r="G1185" s="840" t="s">
        <v>4047</v>
      </c>
      <c r="H1185" s="842" t="s">
        <v>4048</v>
      </c>
      <c r="I1185" s="842"/>
      <c r="J1185" s="841"/>
      <c r="K1185" s="841"/>
      <c r="L1185" s="843" t="s">
        <v>106</v>
      </c>
      <c r="M1185" s="844" t="s">
        <v>107</v>
      </c>
      <c r="N1185" s="841"/>
      <c r="O1185" s="841" t="s">
        <v>108</v>
      </c>
      <c r="P1185" s="841" t="s">
        <v>160</v>
      </c>
      <c r="Q1185" s="843"/>
      <c r="R1185" s="845" t="s">
        <v>4107</v>
      </c>
      <c r="S1185" s="1127" t="s">
        <v>4108</v>
      </c>
      <c r="T1185" s="843" t="s">
        <v>4109</v>
      </c>
      <c r="U1185" s="842">
        <v>5</v>
      </c>
      <c r="V1185" s="842" t="s">
        <v>3</v>
      </c>
      <c r="W1185" s="846">
        <v>209</v>
      </c>
      <c r="X1185" s="847">
        <f t="shared" si="220"/>
        <v>1045</v>
      </c>
      <c r="Y1185" s="848">
        <f t="shared" si="231"/>
        <v>0.5</v>
      </c>
      <c r="Z1185" s="849">
        <v>104.5</v>
      </c>
      <c r="AA1185" s="849"/>
      <c r="AB1185" s="849">
        <f t="shared" si="221"/>
        <v>522.5</v>
      </c>
      <c r="AC1185" s="850">
        <f t="shared" si="222"/>
        <v>522.5</v>
      </c>
      <c r="AD1185" s="851">
        <f t="shared" si="232"/>
        <v>32000</v>
      </c>
      <c r="AE1185" s="852">
        <v>29506.38</v>
      </c>
      <c r="AF1185" s="853">
        <v>0</v>
      </c>
      <c r="AG1185" s="854">
        <f t="shared" si="223"/>
        <v>0</v>
      </c>
      <c r="AH1185" s="853">
        <v>0.1</v>
      </c>
      <c r="AI1185" s="855">
        <f t="shared" si="224"/>
        <v>1541708.3550000002</v>
      </c>
      <c r="AJ1185" s="845" t="s">
        <v>4052</v>
      </c>
      <c r="AK1185" s="857">
        <v>45742</v>
      </c>
      <c r="AL1185" s="840" t="s">
        <v>4053</v>
      </c>
      <c r="AM1185" s="840"/>
      <c r="AN1185" s="858"/>
      <c r="AO1185" s="844" t="s">
        <v>4054</v>
      </c>
      <c r="AP1185" s="859"/>
      <c r="AQ1185" s="859" t="s">
        <v>4055</v>
      </c>
      <c r="AR1185" s="859" t="s">
        <v>4017</v>
      </c>
      <c r="AS1185" s="840"/>
      <c r="AT1185" s="840"/>
      <c r="AU1185" s="842"/>
      <c r="AV1185" s="839" t="s">
        <v>4056</v>
      </c>
      <c r="AW1185" s="861">
        <v>45824</v>
      </c>
      <c r="AX1185" s="862">
        <v>45829</v>
      </c>
      <c r="AY1185" s="843"/>
      <c r="AZ1185" s="842"/>
      <c r="BA1185" s="842" t="s">
        <v>120</v>
      </c>
      <c r="BB1185" s="863" t="s">
        <v>121</v>
      </c>
      <c r="BC1185" s="864">
        <v>45832</v>
      </c>
      <c r="BD1185" s="860" t="s">
        <v>4057</v>
      </c>
      <c r="BE1185" s="865" cm="1">
        <f t="array" ref="BE1185">IF(BD1185="","",AC1185/SUMPRODUCT(--(BD1185=$BD$4:$BD$12824),$AC$4:$AC$12824))</f>
        <v>1.1973495607617663E-2</v>
      </c>
      <c r="BF1185" s="458"/>
      <c r="BG1185" s="458"/>
      <c r="BH1185" s="458"/>
      <c r="BI1185" s="458"/>
      <c r="BJ1185" s="458"/>
      <c r="BK1185" s="458"/>
      <c r="BL1185" s="458"/>
      <c r="BM1185" s="458"/>
      <c r="BN1185" s="458"/>
      <c r="BO1185" s="866">
        <f>VLOOKUP(BD1185,$BD$4:$BN$12824,3,0)*BE1185</f>
        <v>349781.72718533478</v>
      </c>
      <c r="BP1185" s="866"/>
      <c r="BQ1185" s="866"/>
      <c r="BR1185" s="866">
        <f>VLOOKUP(BD1185,$BD$4:$BN$12824,6,0)*BE1185</f>
        <v>127769.17162888809</v>
      </c>
      <c r="BS1185" s="866">
        <f>VLOOKUP(BD1185,$BD$4:$BN$12824,7,0)*BE1185</f>
        <v>14866.100570488368</v>
      </c>
      <c r="BT1185" s="866"/>
      <c r="BU1185" s="866">
        <f>VLOOKUP(BD1185,$BD$4:$BN$12824,9,0)*BE1185</f>
        <v>0</v>
      </c>
      <c r="BV1185" s="867"/>
      <c r="BW1185" s="867">
        <f>VLOOKUP(BD1185,$BD$4:$BN$12824,11,0)*BE1185</f>
        <v>28501.708944373087</v>
      </c>
      <c r="BX1185" s="1146">
        <f t="shared" si="230"/>
        <v>520918.70832908433</v>
      </c>
      <c r="BY1185" s="867">
        <f t="shared" si="227"/>
        <v>3187600.4516658173</v>
      </c>
      <c r="BZ1185" s="867">
        <f t="shared" si="225"/>
        <v>15938002.258329086</v>
      </c>
      <c r="CA1185" s="867">
        <f>_xlfn.MAXIFS($BY$4:$BY$12824,$S$4:$S$12824,$S1185)</f>
        <v>3187600.4516658173</v>
      </c>
      <c r="CB1185" s="1032"/>
      <c r="CF1185" s="946">
        <f t="shared" si="226"/>
        <v>15417083.550000001</v>
      </c>
    </row>
    <row r="1186" spans="1:84">
      <c r="A1186" s="1032"/>
      <c r="B1186" s="839" t="s">
        <v>98</v>
      </c>
      <c r="C1186" s="839" t="s">
        <v>254</v>
      </c>
      <c r="D1186" s="839" t="s">
        <v>4045</v>
      </c>
      <c r="E1186" s="839" t="s">
        <v>4046</v>
      </c>
      <c r="F1186" s="841">
        <v>45679</v>
      </c>
      <c r="G1186" s="840" t="s">
        <v>4047</v>
      </c>
      <c r="H1186" s="842" t="s">
        <v>4048</v>
      </c>
      <c r="I1186" s="842"/>
      <c r="J1186" s="841"/>
      <c r="K1186" s="841"/>
      <c r="L1186" s="843" t="s">
        <v>106</v>
      </c>
      <c r="M1186" s="844" t="s">
        <v>107</v>
      </c>
      <c r="N1186" s="841"/>
      <c r="O1186" s="841" t="s">
        <v>108</v>
      </c>
      <c r="P1186" s="841" t="s">
        <v>160</v>
      </c>
      <c r="Q1186" s="843"/>
      <c r="R1186" s="845" t="s">
        <v>4110</v>
      </c>
      <c r="S1186" s="1127" t="s">
        <v>4111</v>
      </c>
      <c r="T1186" s="843" t="s">
        <v>4112</v>
      </c>
      <c r="U1186" s="842">
        <v>5</v>
      </c>
      <c r="V1186" s="842" t="s">
        <v>3</v>
      </c>
      <c r="W1186" s="846">
        <v>209</v>
      </c>
      <c r="X1186" s="847">
        <f t="shared" si="220"/>
        <v>1045</v>
      </c>
      <c r="Y1186" s="848">
        <f t="shared" si="231"/>
        <v>0.5</v>
      </c>
      <c r="Z1186" s="849">
        <v>104.5</v>
      </c>
      <c r="AA1186" s="849"/>
      <c r="AB1186" s="849">
        <f t="shared" si="221"/>
        <v>522.5</v>
      </c>
      <c r="AC1186" s="850">
        <f t="shared" si="222"/>
        <v>522.5</v>
      </c>
      <c r="AD1186" s="851">
        <f t="shared" si="232"/>
        <v>32000</v>
      </c>
      <c r="AE1186" s="852">
        <v>29506.38</v>
      </c>
      <c r="AF1186" s="853">
        <v>0</v>
      </c>
      <c r="AG1186" s="854">
        <f t="shared" si="223"/>
        <v>0</v>
      </c>
      <c r="AH1186" s="853">
        <v>0.1</v>
      </c>
      <c r="AI1186" s="855">
        <f t="shared" si="224"/>
        <v>1541708.3550000002</v>
      </c>
      <c r="AJ1186" s="845" t="s">
        <v>4052</v>
      </c>
      <c r="AK1186" s="857">
        <v>45742</v>
      </c>
      <c r="AL1186" s="840" t="s">
        <v>4053</v>
      </c>
      <c r="AM1186" s="840"/>
      <c r="AN1186" s="858"/>
      <c r="AO1186" s="844" t="s">
        <v>4054</v>
      </c>
      <c r="AP1186" s="859"/>
      <c r="AQ1186" s="859" t="s">
        <v>4055</v>
      </c>
      <c r="AR1186" s="859" t="s">
        <v>4017</v>
      </c>
      <c r="AS1186" s="840"/>
      <c r="AT1186" s="840"/>
      <c r="AU1186" s="842"/>
      <c r="AV1186" s="839" t="s">
        <v>4056</v>
      </c>
      <c r="AW1186" s="861">
        <v>45824</v>
      </c>
      <c r="AX1186" s="862">
        <v>45829</v>
      </c>
      <c r="AY1186" s="843"/>
      <c r="AZ1186" s="842"/>
      <c r="BA1186" s="842" t="s">
        <v>120</v>
      </c>
      <c r="BB1186" s="863" t="s">
        <v>121</v>
      </c>
      <c r="BC1186" s="864">
        <v>45832</v>
      </c>
      <c r="BD1186" s="860" t="s">
        <v>4057</v>
      </c>
      <c r="BE1186" s="865" cm="1">
        <f t="array" ref="BE1186">IF(BD1186="","",AC1186/SUMPRODUCT(--(BD1186=$BD$4:$BD$12824),$AC$4:$AC$12824))</f>
        <v>1.1973495607617663E-2</v>
      </c>
      <c r="BF1186" s="458"/>
      <c r="BG1186" s="458"/>
      <c r="BH1186" s="458"/>
      <c r="BI1186" s="458"/>
      <c r="BJ1186" s="458"/>
      <c r="BK1186" s="458"/>
      <c r="BL1186" s="458"/>
      <c r="BM1186" s="458"/>
      <c r="BN1186" s="458"/>
      <c r="BO1186" s="866">
        <f>VLOOKUP(BD1186,$BD$4:$BN$12824,3,0)*BE1186</f>
        <v>349781.72718533478</v>
      </c>
      <c r="BP1186" s="866"/>
      <c r="BQ1186" s="866"/>
      <c r="BR1186" s="866">
        <f>VLOOKUP(BD1186,$BD$4:$BN$12824,6,0)*BE1186</f>
        <v>127769.17162888809</v>
      </c>
      <c r="BS1186" s="866">
        <f>VLOOKUP(BD1186,$BD$4:$BN$12824,7,0)*BE1186</f>
        <v>14866.100570488368</v>
      </c>
      <c r="BT1186" s="866"/>
      <c r="BU1186" s="866">
        <f>VLOOKUP(BD1186,$BD$4:$BN$12824,9,0)*BE1186</f>
        <v>0</v>
      </c>
      <c r="BV1186" s="867"/>
      <c r="BW1186" s="867">
        <f>VLOOKUP(BD1186,$BD$4:$BN$12824,11,0)*BE1186</f>
        <v>28501.708944373087</v>
      </c>
      <c r="BX1186" s="1146">
        <f t="shared" si="230"/>
        <v>520918.70832908433</v>
      </c>
      <c r="BY1186" s="867">
        <f t="shared" si="227"/>
        <v>3187600.4516658173</v>
      </c>
      <c r="BZ1186" s="867">
        <f t="shared" si="225"/>
        <v>15938002.258329086</v>
      </c>
      <c r="CA1186" s="867">
        <f>_xlfn.MAXIFS($BY$4:$BY$12824,$S$4:$S$12824,$S1186)</f>
        <v>3187600.4516658173</v>
      </c>
      <c r="CB1186" s="1032"/>
      <c r="CF1186" s="946">
        <f t="shared" si="226"/>
        <v>15417083.550000001</v>
      </c>
    </row>
    <row r="1187" spans="1:84">
      <c r="A1187" s="1032"/>
      <c r="B1187" s="839" t="s">
        <v>98</v>
      </c>
      <c r="C1187" s="839" t="s">
        <v>254</v>
      </c>
      <c r="D1187" s="839" t="s">
        <v>4045</v>
      </c>
      <c r="E1187" s="839" t="s">
        <v>4046</v>
      </c>
      <c r="F1187" s="841">
        <v>45679</v>
      </c>
      <c r="G1187" s="840" t="s">
        <v>4047</v>
      </c>
      <c r="H1187" s="842" t="s">
        <v>4048</v>
      </c>
      <c r="I1187" s="842"/>
      <c r="J1187" s="841"/>
      <c r="K1187" s="841"/>
      <c r="L1187" s="843" t="s">
        <v>106</v>
      </c>
      <c r="M1187" s="844" t="s">
        <v>107</v>
      </c>
      <c r="N1187" s="841"/>
      <c r="O1187" s="841" t="s">
        <v>108</v>
      </c>
      <c r="P1187" s="841" t="s">
        <v>160</v>
      </c>
      <c r="Q1187" s="843"/>
      <c r="R1187" s="845" t="s">
        <v>4113</v>
      </c>
      <c r="S1187" s="1127" t="s">
        <v>4114</v>
      </c>
      <c r="T1187" s="843" t="s">
        <v>4115</v>
      </c>
      <c r="U1187" s="842">
        <v>2</v>
      </c>
      <c r="V1187" s="842" t="s">
        <v>3</v>
      </c>
      <c r="W1187" s="846">
        <v>4180</v>
      </c>
      <c r="X1187" s="847">
        <f t="shared" si="220"/>
        <v>8360</v>
      </c>
      <c r="Y1187" s="848">
        <f t="shared" si="231"/>
        <v>0.5</v>
      </c>
      <c r="Z1187" s="849">
        <v>2090</v>
      </c>
      <c r="AA1187" s="849"/>
      <c r="AB1187" s="849">
        <f t="shared" si="221"/>
        <v>4180</v>
      </c>
      <c r="AC1187" s="850">
        <f t="shared" si="222"/>
        <v>4180</v>
      </c>
      <c r="AD1187" s="851">
        <f t="shared" si="232"/>
        <v>32000</v>
      </c>
      <c r="AE1187" s="852">
        <v>29506.38</v>
      </c>
      <c r="AF1187" s="853">
        <v>0</v>
      </c>
      <c r="AG1187" s="854">
        <f t="shared" si="223"/>
        <v>0</v>
      </c>
      <c r="AH1187" s="853">
        <v>0.1</v>
      </c>
      <c r="AI1187" s="855">
        <f t="shared" si="224"/>
        <v>12333666.840000002</v>
      </c>
      <c r="AJ1187" s="845" t="s">
        <v>4052</v>
      </c>
      <c r="AK1187" s="857">
        <v>45742</v>
      </c>
      <c r="AL1187" s="840" t="s">
        <v>4053</v>
      </c>
      <c r="AM1187" s="840"/>
      <c r="AN1187" s="858"/>
      <c r="AO1187" s="844" t="s">
        <v>4054</v>
      </c>
      <c r="AP1187" s="859"/>
      <c r="AQ1187" s="859" t="s">
        <v>4055</v>
      </c>
      <c r="AR1187" s="859" t="s">
        <v>4017</v>
      </c>
      <c r="AS1187" s="840"/>
      <c r="AT1187" s="840"/>
      <c r="AU1187" s="842"/>
      <c r="AV1187" s="839" t="s">
        <v>4056</v>
      </c>
      <c r="AW1187" s="861">
        <v>45824</v>
      </c>
      <c r="AX1187" s="862">
        <v>45829</v>
      </c>
      <c r="AY1187" s="843"/>
      <c r="AZ1187" s="842"/>
      <c r="BA1187" s="842" t="s">
        <v>120</v>
      </c>
      <c r="BB1187" s="863" t="s">
        <v>121</v>
      </c>
      <c r="BC1187" s="864">
        <v>45832</v>
      </c>
      <c r="BD1187" s="860" t="s">
        <v>4057</v>
      </c>
      <c r="BE1187" s="865" cm="1">
        <f t="array" ref="BE1187">IF(BD1187="","",AC1187/SUMPRODUCT(--(BD1187=$BD$4:$BD$12824),$AC$4:$AC$12824))</f>
        <v>9.5787964860941308E-2</v>
      </c>
      <c r="BF1187" s="458"/>
      <c r="BG1187" s="458"/>
      <c r="BH1187" s="458"/>
      <c r="BI1187" s="458"/>
      <c r="BJ1187" s="458"/>
      <c r="BK1187" s="458"/>
      <c r="BL1187" s="458"/>
      <c r="BM1187" s="458"/>
      <c r="BN1187" s="458"/>
      <c r="BO1187" s="866">
        <f>VLOOKUP(BD1187,$BD$4:$BN$12824,3,0)*BE1187</f>
        <v>2798253.8174826782</v>
      </c>
      <c r="BP1187" s="866"/>
      <c r="BQ1187" s="866"/>
      <c r="BR1187" s="866">
        <f>VLOOKUP(BD1187,$BD$4:$BN$12824,6,0)*BE1187</f>
        <v>1022153.3730311047</v>
      </c>
      <c r="BS1187" s="866">
        <f>VLOOKUP(BD1187,$BD$4:$BN$12824,7,0)*BE1187</f>
        <v>118928.80456390695</v>
      </c>
      <c r="BT1187" s="866"/>
      <c r="BU1187" s="866">
        <f>VLOOKUP(BD1187,$BD$4:$BN$12824,9,0)*BE1187</f>
        <v>0</v>
      </c>
      <c r="BV1187" s="867"/>
      <c r="BW1187" s="867">
        <f>VLOOKUP(BD1187,$BD$4:$BN$12824,11,0)*BE1187</f>
        <v>228013.6715549847</v>
      </c>
      <c r="BX1187" s="1146">
        <f t="shared" si="230"/>
        <v>4167349.6666326746</v>
      </c>
      <c r="BY1187" s="867">
        <f t="shared" si="227"/>
        <v>63752009.033316344</v>
      </c>
      <c r="BZ1187" s="867">
        <f t="shared" si="225"/>
        <v>127504018.06663269</v>
      </c>
      <c r="CA1187" s="867">
        <f>_xlfn.MAXIFS($BY$4:$BY$12824,$S$4:$S$12824,$S1187)</f>
        <v>63752009.033316344</v>
      </c>
      <c r="CB1187" s="1032"/>
      <c r="CF1187" s="946">
        <f t="shared" si="226"/>
        <v>123336668.40000001</v>
      </c>
    </row>
    <row r="1188" spans="1:84">
      <c r="A1188" s="1032"/>
      <c r="B1188" s="839" t="s">
        <v>98</v>
      </c>
      <c r="C1188" s="839" t="s">
        <v>254</v>
      </c>
      <c r="D1188" s="839" t="s">
        <v>4045</v>
      </c>
      <c r="E1188" s="839" t="s">
        <v>4046</v>
      </c>
      <c r="F1188" s="841">
        <v>45679</v>
      </c>
      <c r="G1188" s="840" t="s">
        <v>4047</v>
      </c>
      <c r="H1188" s="842" t="s">
        <v>4048</v>
      </c>
      <c r="I1188" s="842"/>
      <c r="J1188" s="841"/>
      <c r="K1188" s="841"/>
      <c r="L1188" s="843" t="s">
        <v>106</v>
      </c>
      <c r="M1188" s="844" t="s">
        <v>107</v>
      </c>
      <c r="N1188" s="841"/>
      <c r="O1188" s="841" t="s">
        <v>108</v>
      </c>
      <c r="P1188" s="841" t="s">
        <v>160</v>
      </c>
      <c r="Q1188" s="843"/>
      <c r="R1188" s="845" t="s">
        <v>4116</v>
      </c>
      <c r="S1188" s="1127" t="s">
        <v>4117</v>
      </c>
      <c r="T1188" s="843" t="s">
        <v>4118</v>
      </c>
      <c r="U1188" s="842">
        <v>1</v>
      </c>
      <c r="V1188" s="842" t="s">
        <v>3</v>
      </c>
      <c r="W1188" s="846">
        <v>713</v>
      </c>
      <c r="X1188" s="847">
        <f t="shared" si="220"/>
        <v>713</v>
      </c>
      <c r="Y1188" s="848">
        <f>1-X1188/W1188</f>
        <v>0</v>
      </c>
      <c r="Z1188" s="849">
        <v>356.5</v>
      </c>
      <c r="AA1188" s="849"/>
      <c r="AB1188" s="849">
        <f t="shared" si="221"/>
        <v>356.5</v>
      </c>
      <c r="AC1188" s="850">
        <f t="shared" si="222"/>
        <v>356.5</v>
      </c>
      <c r="AD1188" s="851">
        <f t="shared" si="232"/>
        <v>32000</v>
      </c>
      <c r="AE1188" s="852">
        <v>29506.38</v>
      </c>
      <c r="AF1188" s="853">
        <v>0</v>
      </c>
      <c r="AG1188" s="854">
        <f t="shared" si="223"/>
        <v>0</v>
      </c>
      <c r="AH1188" s="853">
        <v>0.1</v>
      </c>
      <c r="AI1188" s="855">
        <f t="shared" si="224"/>
        <v>1051902.4470000002</v>
      </c>
      <c r="AJ1188" s="845" t="s">
        <v>4052</v>
      </c>
      <c r="AK1188" s="857">
        <v>45742</v>
      </c>
      <c r="AL1188" s="840" t="s">
        <v>4053</v>
      </c>
      <c r="AM1188" s="840"/>
      <c r="AN1188" s="858"/>
      <c r="AO1188" s="844" t="s">
        <v>4054</v>
      </c>
      <c r="AP1188" s="859"/>
      <c r="AQ1188" s="859" t="s">
        <v>4055</v>
      </c>
      <c r="AR1188" s="859" t="s">
        <v>4017</v>
      </c>
      <c r="AS1188" s="840"/>
      <c r="AT1188" s="840"/>
      <c r="AU1188" s="842"/>
      <c r="AV1188" s="839" t="s">
        <v>4056</v>
      </c>
      <c r="AW1188" s="861">
        <v>45824</v>
      </c>
      <c r="AX1188" s="862">
        <v>45829</v>
      </c>
      <c r="AY1188" s="843"/>
      <c r="AZ1188" s="842"/>
      <c r="BA1188" s="842" t="s">
        <v>120</v>
      </c>
      <c r="BB1188" s="863" t="s">
        <v>121</v>
      </c>
      <c r="BC1188" s="864">
        <v>45832</v>
      </c>
      <c r="BD1188" s="860" t="s">
        <v>4057</v>
      </c>
      <c r="BE1188" s="865" cm="1">
        <f t="array" ref="BE1188">IF(BD1188="","",AC1188/SUMPRODUCT(--(BD1188=$BD$4:$BD$12824),$AC$4:$AC$12824))</f>
        <v>8.169475950460664E-3</v>
      </c>
      <c r="BF1188" s="458"/>
      <c r="BG1188" s="458"/>
      <c r="BH1188" s="458"/>
      <c r="BI1188" s="458"/>
      <c r="BJ1188" s="458"/>
      <c r="BK1188" s="458"/>
      <c r="BL1188" s="458"/>
      <c r="BM1188" s="458"/>
      <c r="BN1188" s="458"/>
      <c r="BO1188" s="866">
        <f>VLOOKUP(BD1188,$BD$4:$BN$12824,3,0)*BE1188</f>
        <v>238654.90094080739</v>
      </c>
      <c r="BP1188" s="866"/>
      <c r="BQ1188" s="866"/>
      <c r="BR1188" s="866">
        <f>VLOOKUP(BD1188,$BD$4:$BN$12824,6,0)*BE1188</f>
        <v>87176.477867365742</v>
      </c>
      <c r="BS1188" s="866">
        <f>VLOOKUP(BD1188,$BD$4:$BN$12824,7,0)*BE1188</f>
        <v>10143.090628476753</v>
      </c>
      <c r="BT1188" s="866"/>
      <c r="BU1188" s="866">
        <f>VLOOKUP(BD1188,$BD$4:$BN$12824,9,0)*BE1188</f>
        <v>0</v>
      </c>
      <c r="BV1188" s="867"/>
      <c r="BW1188" s="867">
        <f>VLOOKUP(BD1188,$BD$4:$BN$12824,11,0)*BE1188</f>
        <v>19446.620552476565</v>
      </c>
      <c r="BX1188" s="1146">
        <f t="shared" si="230"/>
        <v>355421.08998912643</v>
      </c>
      <c r="BY1188" s="867">
        <f t="shared" si="227"/>
        <v>10874445.559989126</v>
      </c>
      <c r="BZ1188" s="867">
        <f t="shared" si="225"/>
        <v>10874445.559989126</v>
      </c>
      <c r="CA1188" s="867">
        <f>_xlfn.MAXIFS($BY$4:$BY$12824,$S$4:$S$12824,$S1188)</f>
        <v>10874445.559989126</v>
      </c>
      <c r="CB1188" s="1032"/>
      <c r="CF1188" s="946">
        <f t="shared" si="226"/>
        <v>10519024.470000001</v>
      </c>
    </row>
    <row r="1189" spans="1:84">
      <c r="A1189" s="1032"/>
      <c r="B1189" s="839" t="s">
        <v>98</v>
      </c>
      <c r="C1189" s="839" t="s">
        <v>254</v>
      </c>
      <c r="D1189" s="839" t="s">
        <v>4119</v>
      </c>
      <c r="E1189" s="839" t="s">
        <v>4120</v>
      </c>
      <c r="F1189" s="841">
        <v>45558</v>
      </c>
      <c r="G1189" s="840" t="s">
        <v>4047</v>
      </c>
      <c r="H1189" s="842" t="s">
        <v>134</v>
      </c>
      <c r="I1189" s="842" t="s">
        <v>3383</v>
      </c>
      <c r="J1189" s="841"/>
      <c r="K1189" s="841"/>
      <c r="L1189" s="843" t="s">
        <v>106</v>
      </c>
      <c r="M1189" s="844" t="s">
        <v>107</v>
      </c>
      <c r="N1189" s="841"/>
      <c r="O1189" s="841" t="s">
        <v>108</v>
      </c>
      <c r="P1189" s="841" t="s">
        <v>461</v>
      </c>
      <c r="Q1189" s="843"/>
      <c r="R1189" s="845" t="s">
        <v>4121</v>
      </c>
      <c r="S1189" s="1127" t="s">
        <v>4122</v>
      </c>
      <c r="T1189" s="843" t="s">
        <v>4123</v>
      </c>
      <c r="U1189" s="842">
        <v>2</v>
      </c>
      <c r="V1189" s="842" t="s">
        <v>3</v>
      </c>
      <c r="W1189" s="846">
        <v>3033</v>
      </c>
      <c r="X1189" s="847">
        <f t="shared" si="220"/>
        <v>6066</v>
      </c>
      <c r="Y1189" s="848">
        <f>(W1189-Z1189)/W1189</f>
        <v>0.5</v>
      </c>
      <c r="Z1189" s="849">
        <v>1516.5</v>
      </c>
      <c r="AA1189" s="849"/>
      <c r="AB1189" s="849">
        <f t="shared" si="221"/>
        <v>3033</v>
      </c>
      <c r="AC1189" s="850">
        <f t="shared" si="222"/>
        <v>3033</v>
      </c>
      <c r="AD1189" s="851">
        <f t="shared" si="232"/>
        <v>32000</v>
      </c>
      <c r="AE1189" s="852">
        <v>29506.38</v>
      </c>
      <c r="AF1189" s="853">
        <v>0</v>
      </c>
      <c r="AG1189" s="854">
        <f t="shared" si="223"/>
        <v>0</v>
      </c>
      <c r="AH1189" s="853">
        <v>0.1</v>
      </c>
      <c r="AI1189" s="855">
        <f t="shared" si="224"/>
        <v>8949285.0540000014</v>
      </c>
      <c r="AJ1189" s="845" t="s">
        <v>4052</v>
      </c>
      <c r="AK1189" s="857">
        <v>45742</v>
      </c>
      <c r="AL1189" s="840" t="s">
        <v>4053</v>
      </c>
      <c r="AM1189" s="840"/>
      <c r="AN1189" s="858"/>
      <c r="AO1189" s="844" t="s">
        <v>4054</v>
      </c>
      <c r="AP1189" s="859"/>
      <c r="AQ1189" s="859" t="s">
        <v>4055</v>
      </c>
      <c r="AR1189" s="859" t="s">
        <v>4017</v>
      </c>
      <c r="AS1189" s="840"/>
      <c r="AT1189" s="840"/>
      <c r="AU1189" s="842"/>
      <c r="AV1189" s="839" t="s">
        <v>4056</v>
      </c>
      <c r="AW1189" s="861">
        <v>45824</v>
      </c>
      <c r="AX1189" s="862">
        <v>45829</v>
      </c>
      <c r="AY1189" s="843"/>
      <c r="AZ1189" s="842"/>
      <c r="BA1189" s="842" t="s">
        <v>120</v>
      </c>
      <c r="BB1189" s="863" t="s">
        <v>121</v>
      </c>
      <c r="BC1189" s="864">
        <v>45832</v>
      </c>
      <c r="BD1189" s="860" t="s">
        <v>4057</v>
      </c>
      <c r="BE1189" s="865" cm="1">
        <f t="array" ref="BE1189">IF(BD1189="","",AC1189/SUMPRODUCT(--(BD1189=$BD$4:$BD$12824),$AC$4:$AC$12824))</f>
        <v>6.950356397685048E-2</v>
      </c>
      <c r="BF1189" s="458"/>
      <c r="BG1189" s="458"/>
      <c r="BH1189" s="458"/>
      <c r="BI1189" s="458"/>
      <c r="BJ1189" s="458"/>
      <c r="BK1189" s="458"/>
      <c r="BL1189" s="458"/>
      <c r="BM1189" s="458"/>
      <c r="BN1189" s="458"/>
      <c r="BO1189" s="866">
        <f>VLOOKUP(BD1189,$BD$4:$BN$12824,3,0)*BE1189</f>
        <v>2030407.614455733</v>
      </c>
      <c r="BP1189" s="866"/>
      <c r="BQ1189" s="866"/>
      <c r="BR1189" s="866">
        <f>VLOOKUP(BD1189,$BD$4:$BN$12824,6,0)*BE1189</f>
        <v>741672.53119697142</v>
      </c>
      <c r="BS1189" s="866">
        <f>VLOOKUP(BD1189,$BD$4:$BN$12824,7,0)*BE1189</f>
        <v>86294.512976633923</v>
      </c>
      <c r="BT1189" s="866"/>
      <c r="BU1189" s="866">
        <f>VLOOKUP(BD1189,$BD$4:$BN$12824,9,0)*BE1189</f>
        <v>0</v>
      </c>
      <c r="BV1189" s="867"/>
      <c r="BW1189" s="867">
        <f>VLOOKUP(BD1189,$BD$4:$BN$12824,11,0)*BE1189</f>
        <v>165446.28369049489</v>
      </c>
      <c r="BX1189" s="1146">
        <f t="shared" si="230"/>
        <v>3023820.9423198332</v>
      </c>
      <c r="BY1189" s="867">
        <f t="shared" si="227"/>
        <v>46258335.741159923</v>
      </c>
      <c r="BZ1189" s="867">
        <f t="shared" si="225"/>
        <v>92516671.482319847</v>
      </c>
      <c r="CA1189" s="867">
        <f>_xlfn.MAXIFS($BY$4:$BY$12824,$S$4:$S$12824,$S1189)</f>
        <v>46258335.741159923</v>
      </c>
      <c r="CB1189" s="1032"/>
      <c r="CF1189" s="946">
        <f t="shared" si="226"/>
        <v>89492850.540000007</v>
      </c>
    </row>
    <row r="1190" spans="1:84">
      <c r="A1190" s="1032"/>
      <c r="B1190" s="839" t="s">
        <v>98</v>
      </c>
      <c r="C1190" s="839" t="s">
        <v>254</v>
      </c>
      <c r="D1190" s="839" t="s">
        <v>4119</v>
      </c>
      <c r="E1190" s="839" t="s">
        <v>4120</v>
      </c>
      <c r="F1190" s="841">
        <v>45558</v>
      </c>
      <c r="G1190" s="840" t="s">
        <v>4047</v>
      </c>
      <c r="H1190" s="842" t="s">
        <v>134</v>
      </c>
      <c r="I1190" s="842" t="s">
        <v>3383</v>
      </c>
      <c r="J1190" s="841"/>
      <c r="K1190" s="841"/>
      <c r="L1190" s="843" t="s">
        <v>106</v>
      </c>
      <c r="M1190" s="844" t="s">
        <v>107</v>
      </c>
      <c r="N1190" s="841"/>
      <c r="O1190" s="841" t="s">
        <v>108</v>
      </c>
      <c r="P1190" s="841" t="s">
        <v>1136</v>
      </c>
      <c r="Q1190" s="843"/>
      <c r="R1190" s="845" t="s">
        <v>4124</v>
      </c>
      <c r="S1190" s="1127" t="s">
        <v>4125</v>
      </c>
      <c r="T1190" s="843" t="s">
        <v>4126</v>
      </c>
      <c r="U1190" s="842">
        <v>2</v>
      </c>
      <c r="V1190" s="842" t="s">
        <v>3</v>
      </c>
      <c r="W1190" s="846">
        <v>730</v>
      </c>
      <c r="X1190" s="847">
        <f t="shared" si="220"/>
        <v>1460</v>
      </c>
      <c r="Y1190" s="848">
        <f>(W1190-Z1190)/W1190</f>
        <v>0.5</v>
      </c>
      <c r="Z1190" s="849">
        <v>365</v>
      </c>
      <c r="AA1190" s="849"/>
      <c r="AB1190" s="849">
        <f t="shared" si="221"/>
        <v>730</v>
      </c>
      <c r="AC1190" s="850">
        <f t="shared" si="222"/>
        <v>730</v>
      </c>
      <c r="AD1190" s="851">
        <f t="shared" si="232"/>
        <v>32000</v>
      </c>
      <c r="AE1190" s="852">
        <v>29506.38</v>
      </c>
      <c r="AF1190" s="853">
        <v>0</v>
      </c>
      <c r="AG1190" s="854">
        <f t="shared" si="223"/>
        <v>0</v>
      </c>
      <c r="AH1190" s="853">
        <v>0.1</v>
      </c>
      <c r="AI1190" s="855">
        <f t="shared" si="224"/>
        <v>2153965.7400000002</v>
      </c>
      <c r="AJ1190" s="845" t="s">
        <v>4052</v>
      </c>
      <c r="AK1190" s="857">
        <v>45742</v>
      </c>
      <c r="AL1190" s="840" t="s">
        <v>4053</v>
      </c>
      <c r="AM1190" s="840"/>
      <c r="AN1190" s="858"/>
      <c r="AO1190" s="844" t="s">
        <v>4054</v>
      </c>
      <c r="AP1190" s="859"/>
      <c r="AQ1190" s="859" t="s">
        <v>4055</v>
      </c>
      <c r="AR1190" s="859" t="s">
        <v>4017</v>
      </c>
      <c r="AS1190" s="840"/>
      <c r="AT1190" s="840"/>
      <c r="AU1190" s="842"/>
      <c r="AV1190" s="839" t="s">
        <v>4056</v>
      </c>
      <c r="AW1190" s="861">
        <v>45824</v>
      </c>
      <c r="AX1190" s="862">
        <v>45829</v>
      </c>
      <c r="AY1190" s="843"/>
      <c r="AZ1190" s="842"/>
      <c r="BA1190" s="842" t="s">
        <v>120</v>
      </c>
      <c r="BB1190" s="863" t="s">
        <v>121</v>
      </c>
      <c r="BC1190" s="864">
        <v>45832</v>
      </c>
      <c r="BD1190" s="860" t="s">
        <v>4057</v>
      </c>
      <c r="BE1190" s="865" cm="1">
        <f t="array" ref="BE1190">IF(BD1190="","",AC1190/SUMPRODUCT(--(BD1190=$BD$4:$BD$12824),$AC$4:$AC$12824))</f>
        <v>1.6728520179063913E-2</v>
      </c>
      <c r="BF1190" s="458"/>
      <c r="BG1190" s="458"/>
      <c r="BH1190" s="458"/>
      <c r="BI1190" s="458"/>
      <c r="BJ1190" s="458"/>
      <c r="BK1190" s="458"/>
      <c r="BL1190" s="458"/>
      <c r="BM1190" s="458"/>
      <c r="BN1190" s="458"/>
      <c r="BO1190" s="866">
        <f>VLOOKUP(BD1190,$BD$4:$BN$12824,3,0)*BE1190</f>
        <v>488690.25999099412</v>
      </c>
      <c r="BP1190" s="866"/>
      <c r="BQ1190" s="866"/>
      <c r="BR1190" s="866">
        <f>VLOOKUP(BD1190,$BD$4:$BN$12824,6,0)*BE1190</f>
        <v>178510.03883079102</v>
      </c>
      <c r="BS1190" s="866">
        <f>VLOOKUP(BD1190,$BD$4:$BN$12824,7,0)*BE1190</f>
        <v>20769.862998002889</v>
      </c>
      <c r="BT1190" s="866"/>
      <c r="BU1190" s="866">
        <f>VLOOKUP(BD1190,$BD$4:$BN$12824,9,0)*BE1190</f>
        <v>0</v>
      </c>
      <c r="BV1190" s="867"/>
      <c r="BW1190" s="867">
        <f>VLOOKUP(BD1190,$BD$4:$BN$12824,11,0)*BE1190</f>
        <v>39820.569434243742</v>
      </c>
      <c r="BX1190" s="1146">
        <f t="shared" si="230"/>
        <v>727790.73125403177</v>
      </c>
      <c r="BY1190" s="867">
        <f t="shared" si="227"/>
        <v>11133724.065627016</v>
      </c>
      <c r="BZ1190" s="867">
        <f t="shared" si="225"/>
        <v>22267448.131254032</v>
      </c>
      <c r="CA1190" s="867">
        <f>_xlfn.MAXIFS($BY$4:$BY$12824,$S$4:$S$12824,$S1190)</f>
        <v>11133724.065627016</v>
      </c>
      <c r="CB1190" s="1032"/>
      <c r="CF1190" s="946">
        <f t="shared" si="226"/>
        <v>21539657.400000002</v>
      </c>
    </row>
    <row r="1191" spans="1:84">
      <c r="A1191" s="1032"/>
      <c r="B1191" s="839" t="s">
        <v>98</v>
      </c>
      <c r="C1191" s="839" t="s">
        <v>254</v>
      </c>
      <c r="D1191" s="839" t="s">
        <v>4119</v>
      </c>
      <c r="E1191" s="839" t="s">
        <v>4120</v>
      </c>
      <c r="F1191" s="841">
        <v>45558</v>
      </c>
      <c r="G1191" s="840" t="s">
        <v>4047</v>
      </c>
      <c r="H1191" s="842" t="s">
        <v>134</v>
      </c>
      <c r="I1191" s="842" t="s">
        <v>3383</v>
      </c>
      <c r="J1191" s="841"/>
      <c r="K1191" s="841"/>
      <c r="L1191" s="843" t="s">
        <v>106</v>
      </c>
      <c r="M1191" s="844" t="s">
        <v>107</v>
      </c>
      <c r="N1191" s="841"/>
      <c r="O1191" s="841" t="s">
        <v>108</v>
      </c>
      <c r="P1191" s="841" t="s">
        <v>1136</v>
      </c>
      <c r="Q1191" s="843"/>
      <c r="R1191" s="845" t="s">
        <v>4127</v>
      </c>
      <c r="S1191" s="1127" t="s">
        <v>4128</v>
      </c>
      <c r="T1191" s="843" t="s">
        <v>4129</v>
      </c>
      <c r="U1191" s="842">
        <v>2</v>
      </c>
      <c r="V1191" s="842" t="s">
        <v>3</v>
      </c>
      <c r="W1191" s="846">
        <v>816</v>
      </c>
      <c r="X1191" s="847">
        <f t="shared" si="220"/>
        <v>1632</v>
      </c>
      <c r="Y1191" s="848">
        <f>(W1191-Z1191)/W1191</f>
        <v>0.5</v>
      </c>
      <c r="Z1191" s="849">
        <v>408</v>
      </c>
      <c r="AA1191" s="849"/>
      <c r="AB1191" s="849">
        <f t="shared" si="221"/>
        <v>816</v>
      </c>
      <c r="AC1191" s="850">
        <f t="shared" si="222"/>
        <v>816</v>
      </c>
      <c r="AD1191" s="851">
        <f t="shared" si="232"/>
        <v>32000</v>
      </c>
      <c r="AE1191" s="852">
        <v>29506.38</v>
      </c>
      <c r="AF1191" s="853">
        <v>0</v>
      </c>
      <c r="AG1191" s="854">
        <f t="shared" si="223"/>
        <v>0</v>
      </c>
      <c r="AH1191" s="853">
        <v>0.1</v>
      </c>
      <c r="AI1191" s="855">
        <f t="shared" si="224"/>
        <v>2407720.6080000005</v>
      </c>
      <c r="AJ1191" s="845" t="s">
        <v>4052</v>
      </c>
      <c r="AK1191" s="857">
        <v>45742</v>
      </c>
      <c r="AL1191" s="840" t="s">
        <v>4053</v>
      </c>
      <c r="AM1191" s="840"/>
      <c r="AN1191" s="858"/>
      <c r="AO1191" s="844" t="s">
        <v>4054</v>
      </c>
      <c r="AP1191" s="859"/>
      <c r="AQ1191" s="859" t="s">
        <v>4055</v>
      </c>
      <c r="AR1191" s="859" t="s">
        <v>4017</v>
      </c>
      <c r="AS1191" s="840"/>
      <c r="AT1191" s="840"/>
      <c r="AU1191" s="842"/>
      <c r="AV1191" s="839" t="s">
        <v>4056</v>
      </c>
      <c r="AW1191" s="861">
        <v>45824</v>
      </c>
      <c r="AX1191" s="862">
        <v>45829</v>
      </c>
      <c r="AY1191" s="843"/>
      <c r="AZ1191" s="842"/>
      <c r="BA1191" s="842" t="s">
        <v>120</v>
      </c>
      <c r="BB1191" s="863" t="s">
        <v>121</v>
      </c>
      <c r="BC1191" s="864">
        <v>45832</v>
      </c>
      <c r="BD1191" s="860" t="s">
        <v>4057</v>
      </c>
      <c r="BE1191" s="865" cm="1">
        <f t="array" ref="BE1191">IF(BD1191="","",AC1191/SUMPRODUCT(--(BD1191=$BD$4:$BD$12824),$AC$4:$AC$12824))</f>
        <v>1.8699277350844045E-2</v>
      </c>
      <c r="BF1191" s="458"/>
      <c r="BG1191" s="458"/>
      <c r="BH1191" s="458"/>
      <c r="BI1191" s="458"/>
      <c r="BJ1191" s="458"/>
      <c r="BK1191" s="458"/>
      <c r="BL1191" s="458"/>
      <c r="BM1191" s="458"/>
      <c r="BN1191" s="458"/>
      <c r="BO1191" s="866">
        <f>VLOOKUP(BD1191,$BD$4:$BN$12824,3,0)*BE1191</f>
        <v>546261.98925020709</v>
      </c>
      <c r="BP1191" s="866"/>
      <c r="BQ1191" s="866"/>
      <c r="BR1191" s="866">
        <f>VLOOKUP(BD1191,$BD$4:$BN$12824,6,0)*BE1191</f>
        <v>199539.98861085682</v>
      </c>
      <c r="BS1191" s="866">
        <f>VLOOKUP(BD1191,$BD$4:$BN$12824,7,0)*BE1191</f>
        <v>23216.723570370352</v>
      </c>
      <c r="BT1191" s="866"/>
      <c r="BU1191" s="866">
        <f>VLOOKUP(BD1191,$BD$4:$BN$12824,9,0)*BE1191</f>
        <v>0</v>
      </c>
      <c r="BV1191" s="867"/>
      <c r="BW1191" s="867">
        <f>VLOOKUP(BD1191,$BD$4:$BN$12824,11,0)*BE1191</f>
        <v>44511.759805949165</v>
      </c>
      <c r="BX1191" s="1146">
        <f t="shared" si="230"/>
        <v>813530.46123738342</v>
      </c>
      <c r="BY1191" s="867">
        <f t="shared" si="227"/>
        <v>12445368.270618692</v>
      </c>
      <c r="BZ1191" s="867">
        <f t="shared" si="225"/>
        <v>24890736.541237384</v>
      </c>
      <c r="CA1191" s="867">
        <f>_xlfn.MAXIFS($BY$4:$BY$12824,$S$4:$S$12824,$S1191)</f>
        <v>12445368.270618692</v>
      </c>
      <c r="CB1191" s="1032"/>
      <c r="CF1191" s="946">
        <f t="shared" si="226"/>
        <v>24077206.080000002</v>
      </c>
    </row>
    <row r="1192" spans="1:84">
      <c r="A1192" s="1032"/>
      <c r="B1192" s="839" t="s">
        <v>98</v>
      </c>
      <c r="C1192" s="839" t="s">
        <v>254</v>
      </c>
      <c r="D1192" s="839" t="s">
        <v>4130</v>
      </c>
      <c r="E1192" s="839" t="s">
        <v>4130</v>
      </c>
      <c r="F1192" s="841">
        <v>45729</v>
      </c>
      <c r="G1192" s="840" t="s">
        <v>4047</v>
      </c>
      <c r="H1192" s="842" t="s">
        <v>102</v>
      </c>
      <c r="I1192" s="842" t="s">
        <v>3724</v>
      </c>
      <c r="J1192" s="841"/>
      <c r="K1192" s="841">
        <v>45755</v>
      </c>
      <c r="L1192" s="843" t="s">
        <v>106</v>
      </c>
      <c r="M1192" s="844" t="s">
        <v>107</v>
      </c>
      <c r="N1192" s="841"/>
      <c r="O1192" s="841" t="s">
        <v>108</v>
      </c>
      <c r="P1192" s="841" t="s">
        <v>160</v>
      </c>
      <c r="Q1192" s="843"/>
      <c r="R1192" s="845" t="s">
        <v>2535</v>
      </c>
      <c r="S1192" s="1127" t="s">
        <v>2536</v>
      </c>
      <c r="T1192" s="843" t="s">
        <v>4131</v>
      </c>
      <c r="U1192" s="842">
        <v>4</v>
      </c>
      <c r="V1192" s="842" t="s">
        <v>3</v>
      </c>
      <c r="W1192" s="846">
        <v>1000</v>
      </c>
      <c r="X1192" s="847">
        <f t="shared" si="220"/>
        <v>4000</v>
      </c>
      <c r="Y1192" s="848">
        <v>0.51</v>
      </c>
      <c r="Z1192" s="849">
        <v>490</v>
      </c>
      <c r="AA1192" s="849"/>
      <c r="AB1192" s="849">
        <f t="shared" si="221"/>
        <v>1960</v>
      </c>
      <c r="AC1192" s="850">
        <f t="shared" si="222"/>
        <v>1960</v>
      </c>
      <c r="AD1192" s="851">
        <f t="shared" si="232"/>
        <v>32000</v>
      </c>
      <c r="AE1192" s="852">
        <v>29506.38</v>
      </c>
      <c r="AF1192" s="853">
        <v>0</v>
      </c>
      <c r="AG1192" s="854">
        <f t="shared" si="223"/>
        <v>0</v>
      </c>
      <c r="AH1192" s="853">
        <v>0.1</v>
      </c>
      <c r="AI1192" s="855">
        <f t="shared" si="224"/>
        <v>5783250.4800000004</v>
      </c>
      <c r="AJ1192" s="845" t="s">
        <v>4052</v>
      </c>
      <c r="AK1192" s="857">
        <v>45742</v>
      </c>
      <c r="AL1192" s="840" t="s">
        <v>4053</v>
      </c>
      <c r="AM1192" s="840"/>
      <c r="AN1192" s="858"/>
      <c r="AO1192" s="844" t="s">
        <v>4054</v>
      </c>
      <c r="AP1192" s="859"/>
      <c r="AQ1192" s="859" t="s">
        <v>4055</v>
      </c>
      <c r="AR1192" s="859" t="s">
        <v>4017</v>
      </c>
      <c r="AS1192" s="840"/>
      <c r="AT1192" s="840"/>
      <c r="AU1192" s="842"/>
      <c r="AV1192" s="839" t="s">
        <v>4056</v>
      </c>
      <c r="AW1192" s="861">
        <v>45824</v>
      </c>
      <c r="AX1192" s="862">
        <v>45829</v>
      </c>
      <c r="AY1192" s="843"/>
      <c r="AZ1192" s="842"/>
      <c r="BA1192" s="842" t="s">
        <v>120</v>
      </c>
      <c r="BB1192" s="863" t="s">
        <v>121</v>
      </c>
      <c r="BC1192" s="864">
        <v>45832</v>
      </c>
      <c r="BD1192" s="860" t="s">
        <v>4057</v>
      </c>
      <c r="BE1192" s="865" cm="1">
        <f t="array" ref="BE1192">IF(BD1192="","",AC1192/SUMPRODUCT(--(BD1192=$BD$4:$BD$12824),$AC$4:$AC$12824))</f>
        <v>4.4914930891733242E-2</v>
      </c>
      <c r="BF1192" s="458"/>
      <c r="BG1192" s="458"/>
      <c r="BH1192" s="458"/>
      <c r="BI1192" s="458"/>
      <c r="BJ1192" s="458"/>
      <c r="BK1192" s="458"/>
      <c r="BL1192" s="458"/>
      <c r="BM1192" s="458"/>
      <c r="BN1192" s="458"/>
      <c r="BO1192" s="866">
        <f>VLOOKUP(BD1192,$BD$4:$BN$12824,3,0)*BE1192</f>
        <v>1312099.8761402031</v>
      </c>
      <c r="BP1192" s="866"/>
      <c r="BQ1192" s="866"/>
      <c r="BR1192" s="866">
        <f>VLOOKUP(BD1192,$BD$4:$BN$12824,6,0)*BE1192</f>
        <v>479287.22754568543</v>
      </c>
      <c r="BS1192" s="866">
        <f>VLOOKUP(BD1192,$BD$4:$BN$12824,7,0)*BE1192</f>
        <v>55765.659556281724</v>
      </c>
      <c r="BT1192" s="866"/>
      <c r="BU1192" s="866">
        <f>VLOOKUP(BD1192,$BD$4:$BN$12824,9,0)*BE1192</f>
        <v>0</v>
      </c>
      <c r="BV1192" s="867"/>
      <c r="BW1192" s="867">
        <f>VLOOKUP(BD1192,$BD$4:$BN$12824,11,0)*BE1192</f>
        <v>106915.50149468181</v>
      </c>
      <c r="BX1192" s="1146">
        <f t="shared" si="230"/>
        <v>1954068.2647368521</v>
      </c>
      <c r="BY1192" s="867">
        <f t="shared" si="227"/>
        <v>14946643.266184215</v>
      </c>
      <c r="BZ1192" s="867">
        <f t="shared" si="225"/>
        <v>59786573.064736858</v>
      </c>
      <c r="CA1192" s="867">
        <f>_xlfn.MAXIFS($BY$4:$BY$12824,$S$4:$S$12824,$S1192)</f>
        <v>14946643.266184215</v>
      </c>
      <c r="CB1192" s="1032"/>
      <c r="CF1192" s="946">
        <f t="shared" si="226"/>
        <v>57832504.800000004</v>
      </c>
    </row>
    <row r="1193" spans="1:84">
      <c r="A1193" s="1032"/>
      <c r="B1193" s="839" t="s">
        <v>98</v>
      </c>
      <c r="C1193" s="839" t="s">
        <v>254</v>
      </c>
      <c r="D1193" s="839" t="s">
        <v>4130</v>
      </c>
      <c r="E1193" s="839" t="s">
        <v>4130</v>
      </c>
      <c r="F1193" s="841">
        <v>45729</v>
      </c>
      <c r="G1193" s="840" t="s">
        <v>4047</v>
      </c>
      <c r="H1193" s="842" t="s">
        <v>102</v>
      </c>
      <c r="I1193" s="842" t="s">
        <v>3724</v>
      </c>
      <c r="J1193" s="841"/>
      <c r="K1193" s="841">
        <v>45755</v>
      </c>
      <c r="L1193" s="843" t="s">
        <v>106</v>
      </c>
      <c r="M1193" s="844" t="s">
        <v>107</v>
      </c>
      <c r="N1193" s="841"/>
      <c r="O1193" s="841" t="s">
        <v>108</v>
      </c>
      <c r="P1193" s="841" t="s">
        <v>2088</v>
      </c>
      <c r="Q1193" s="843"/>
      <c r="R1193" s="845" t="s">
        <v>4132</v>
      </c>
      <c r="S1193" s="1127" t="s">
        <v>2507</v>
      </c>
      <c r="T1193" s="843" t="s">
        <v>4133</v>
      </c>
      <c r="U1193" s="842">
        <v>10</v>
      </c>
      <c r="V1193" s="842" t="s">
        <v>3</v>
      </c>
      <c r="W1193" s="846">
        <v>131</v>
      </c>
      <c r="X1193" s="847">
        <f t="shared" si="220"/>
        <v>1310</v>
      </c>
      <c r="Y1193" s="848">
        <v>0.51</v>
      </c>
      <c r="Z1193" s="849">
        <v>64.19</v>
      </c>
      <c r="AA1193" s="849"/>
      <c r="AB1193" s="849">
        <f t="shared" si="221"/>
        <v>641.9</v>
      </c>
      <c r="AC1193" s="850">
        <f t="shared" si="222"/>
        <v>641.9</v>
      </c>
      <c r="AD1193" s="851">
        <f t="shared" si="232"/>
        <v>32000</v>
      </c>
      <c r="AE1193" s="852">
        <v>29506.38</v>
      </c>
      <c r="AF1193" s="853">
        <v>0</v>
      </c>
      <c r="AG1193" s="854">
        <f t="shared" si="223"/>
        <v>0</v>
      </c>
      <c r="AH1193" s="853">
        <v>0.1</v>
      </c>
      <c r="AI1193" s="855">
        <f t="shared" si="224"/>
        <v>1894014.5322000002</v>
      </c>
      <c r="AJ1193" s="845" t="s">
        <v>4052</v>
      </c>
      <c r="AK1193" s="857">
        <v>45742</v>
      </c>
      <c r="AL1193" s="840" t="s">
        <v>4053</v>
      </c>
      <c r="AM1193" s="840"/>
      <c r="AN1193" s="858"/>
      <c r="AO1193" s="844" t="s">
        <v>4054</v>
      </c>
      <c r="AP1193" s="859"/>
      <c r="AQ1193" s="859" t="s">
        <v>4055</v>
      </c>
      <c r="AR1193" s="859" t="s">
        <v>4017</v>
      </c>
      <c r="AS1193" s="840"/>
      <c r="AT1193" s="840"/>
      <c r="AU1193" s="842"/>
      <c r="AV1193" s="839" t="s">
        <v>4056</v>
      </c>
      <c r="AW1193" s="861">
        <v>45824</v>
      </c>
      <c r="AX1193" s="862">
        <v>45829</v>
      </c>
      <c r="AY1193" s="843"/>
      <c r="AZ1193" s="842"/>
      <c r="BA1193" s="842" t="s">
        <v>120</v>
      </c>
      <c r="BB1193" s="863" t="s">
        <v>121</v>
      </c>
      <c r="BC1193" s="864">
        <v>45832</v>
      </c>
      <c r="BD1193" s="860" t="s">
        <v>4057</v>
      </c>
      <c r="BE1193" s="865" cm="1">
        <f t="array" ref="BE1193">IF(BD1193="","",AC1193/SUMPRODUCT(--(BD1193=$BD$4:$BD$12824),$AC$4:$AC$12824))</f>
        <v>1.4709639867042637E-2</v>
      </c>
      <c r="BF1193" s="458"/>
      <c r="BG1193" s="458"/>
      <c r="BH1193" s="458"/>
      <c r="BI1193" s="458"/>
      <c r="BJ1193" s="458"/>
      <c r="BK1193" s="458"/>
      <c r="BL1193" s="458"/>
      <c r="BM1193" s="458"/>
      <c r="BN1193" s="458"/>
      <c r="BO1193" s="866">
        <f>VLOOKUP(BD1193,$BD$4:$BN$12824,3,0)*BE1193</f>
        <v>429712.70943591656</v>
      </c>
      <c r="BP1193" s="866"/>
      <c r="BQ1193" s="866"/>
      <c r="BR1193" s="866">
        <f>VLOOKUP(BD1193,$BD$4:$BN$12824,6,0)*BE1193</f>
        <v>156966.56702121199</v>
      </c>
      <c r="BS1193" s="866">
        <f>VLOOKUP(BD1193,$BD$4:$BN$12824,7,0)*BE1193</f>
        <v>18263.253504682267</v>
      </c>
      <c r="BT1193" s="866"/>
      <c r="BU1193" s="866">
        <f>VLOOKUP(BD1193,$BD$4:$BN$12824,9,0)*BE1193</f>
        <v>0</v>
      </c>
      <c r="BV1193" s="867"/>
      <c r="BW1193" s="867">
        <f>VLOOKUP(BD1193,$BD$4:$BN$12824,11,0)*BE1193</f>
        <v>35014.826739508295</v>
      </c>
      <c r="BX1193" s="1146">
        <f t="shared" si="230"/>
        <v>639957.35670131911</v>
      </c>
      <c r="BY1193" s="867">
        <f t="shared" si="227"/>
        <v>1958010.2678701319</v>
      </c>
      <c r="BZ1193" s="867">
        <f t="shared" si="225"/>
        <v>19580102.678701319</v>
      </c>
      <c r="CA1193" s="867">
        <f>_xlfn.MAXIFS($BY$4:$BY$12824,$S$4:$S$12824,$S1193)</f>
        <v>1960005.2636090375</v>
      </c>
      <c r="CB1193" s="1032"/>
      <c r="CF1193" s="946">
        <f t="shared" si="226"/>
        <v>18940145.322000001</v>
      </c>
    </row>
    <row r="1194" spans="1:84">
      <c r="A1194" s="1032"/>
      <c r="B1194" s="839" t="s">
        <v>98</v>
      </c>
      <c r="C1194" s="839" t="s">
        <v>254</v>
      </c>
      <c r="D1194" s="839" t="s">
        <v>4134</v>
      </c>
      <c r="E1194" s="839" t="s">
        <v>4135</v>
      </c>
      <c r="F1194" s="841">
        <v>45772</v>
      </c>
      <c r="G1194" s="840" t="s">
        <v>4047</v>
      </c>
      <c r="H1194" s="842" t="s">
        <v>102</v>
      </c>
      <c r="I1194" s="842" t="s">
        <v>4136</v>
      </c>
      <c r="J1194" s="841"/>
      <c r="K1194" s="841"/>
      <c r="L1194" s="843" t="s">
        <v>106</v>
      </c>
      <c r="M1194" s="844" t="s">
        <v>107</v>
      </c>
      <c r="N1194" s="841"/>
      <c r="O1194" s="841" t="s">
        <v>108</v>
      </c>
      <c r="P1194" s="841" t="s">
        <v>3622</v>
      </c>
      <c r="Q1194" s="843"/>
      <c r="R1194" s="845" t="s">
        <v>4137</v>
      </c>
      <c r="S1194" s="1127" t="s">
        <v>4138</v>
      </c>
      <c r="T1194" s="843" t="s">
        <v>4139</v>
      </c>
      <c r="U1194" s="842">
        <v>1</v>
      </c>
      <c r="V1194" s="842" t="s">
        <v>3</v>
      </c>
      <c r="W1194" s="846">
        <v>935</v>
      </c>
      <c r="X1194" s="847">
        <f t="shared" si="220"/>
        <v>935</v>
      </c>
      <c r="Y1194" s="882">
        <v>0.51</v>
      </c>
      <c r="Z1194" s="879">
        <f>X1194*(1-Y1194)</f>
        <v>458.15</v>
      </c>
      <c r="AA1194" s="849"/>
      <c r="AB1194" s="849">
        <f t="shared" si="221"/>
        <v>458.15</v>
      </c>
      <c r="AC1194" s="850">
        <f t="shared" si="222"/>
        <v>458.15</v>
      </c>
      <c r="AD1194" s="851">
        <f t="shared" si="232"/>
        <v>32000</v>
      </c>
      <c r="AE1194" s="852">
        <v>29506.38</v>
      </c>
      <c r="AF1194" s="853">
        <v>0</v>
      </c>
      <c r="AG1194" s="854">
        <f t="shared" si="223"/>
        <v>0</v>
      </c>
      <c r="AH1194" s="853">
        <v>0.1</v>
      </c>
      <c r="AI1194" s="855">
        <f t="shared" si="224"/>
        <v>1351834.7997000001</v>
      </c>
      <c r="AJ1194" s="845" t="s">
        <v>4052</v>
      </c>
      <c r="AK1194" s="857">
        <v>45742</v>
      </c>
      <c r="AL1194" s="840" t="s">
        <v>4053</v>
      </c>
      <c r="AM1194" s="840"/>
      <c r="AN1194" s="858"/>
      <c r="AO1194" s="844" t="s">
        <v>4054</v>
      </c>
      <c r="AP1194" s="859"/>
      <c r="AQ1194" s="859" t="s">
        <v>4055</v>
      </c>
      <c r="AR1194" s="859" t="s">
        <v>4017</v>
      </c>
      <c r="AS1194" s="840"/>
      <c r="AT1194" s="840"/>
      <c r="AU1194" s="842"/>
      <c r="AV1194" s="839" t="s">
        <v>4056</v>
      </c>
      <c r="AW1194" s="861">
        <v>45824</v>
      </c>
      <c r="AX1194" s="862">
        <v>45829</v>
      </c>
      <c r="AY1194" s="843"/>
      <c r="AZ1194" s="842"/>
      <c r="BA1194" s="842" t="s">
        <v>120</v>
      </c>
      <c r="BB1194" s="863" t="s">
        <v>121</v>
      </c>
      <c r="BC1194" s="864">
        <v>45832</v>
      </c>
      <c r="BD1194" s="860" t="s">
        <v>4057</v>
      </c>
      <c r="BE1194" s="865" cm="1">
        <f t="array" ref="BE1194">IF(BD1194="","",AC1194/SUMPRODUCT(--(BD1194=$BD$4:$BD$12824),$AC$4:$AC$12824))</f>
        <v>1.0498865095942646E-2</v>
      </c>
      <c r="BF1194" s="458"/>
      <c r="BG1194" s="458"/>
      <c r="BH1194" s="458"/>
      <c r="BI1194" s="458"/>
      <c r="BJ1194" s="458"/>
      <c r="BK1194" s="458"/>
      <c r="BL1194" s="458"/>
      <c r="BM1194" s="458"/>
      <c r="BN1194" s="458"/>
      <c r="BO1194" s="866">
        <f>VLOOKUP(BD1194,$BD$4:$BN$12824,3,0)*BE1194</f>
        <v>306703.3460477725</v>
      </c>
      <c r="BP1194" s="866"/>
      <c r="BQ1194" s="866"/>
      <c r="BR1194" s="866">
        <f>VLOOKUP(BD1194,$BD$4:$BN$12824,6,0)*BE1194</f>
        <v>112033.38943880398</v>
      </c>
      <c r="BS1194" s="866">
        <f>VLOOKUP(BD1194,$BD$4:$BN$12824,7,0)*BE1194</f>
        <v>13035.222921280854</v>
      </c>
      <c r="BT1194" s="866"/>
      <c r="BU1194" s="866">
        <f>VLOOKUP(BD1194,$BD$4:$BN$12824,9,0)*BE1194</f>
        <v>0</v>
      </c>
      <c r="BV1194" s="867"/>
      <c r="BW1194" s="867">
        <f>VLOOKUP(BD1194,$BD$4:$BN$12824,11,0)*BE1194</f>
        <v>24991.498474381875</v>
      </c>
      <c r="BX1194" s="1146">
        <f t="shared" si="230"/>
        <v>456763.45688223914</v>
      </c>
      <c r="BY1194" s="867">
        <f t="shared" si="227"/>
        <v>13975111.453882238</v>
      </c>
      <c r="BZ1194" s="867">
        <f t="shared" si="225"/>
        <v>13975111.453882238</v>
      </c>
      <c r="CA1194" s="867">
        <f>_xlfn.MAXIFS($BY$4:$BY$12824,$S$4:$S$12824,$S1194)</f>
        <v>13975111.453882238</v>
      </c>
      <c r="CB1194" s="1032"/>
      <c r="CF1194" s="946">
        <f t="shared" si="226"/>
        <v>13518347.997</v>
      </c>
    </row>
    <row r="1195" spans="1:84">
      <c r="A1195" s="1032"/>
      <c r="B1195" s="839" t="s">
        <v>98</v>
      </c>
      <c r="C1195" s="839" t="s">
        <v>3454</v>
      </c>
      <c r="D1195" s="839" t="s">
        <v>4140</v>
      </c>
      <c r="E1195" s="839" t="s">
        <v>4140</v>
      </c>
      <c r="F1195" s="841">
        <v>45773</v>
      </c>
      <c r="G1195" s="840" t="s">
        <v>3456</v>
      </c>
      <c r="H1195" s="842"/>
      <c r="I1195" s="842"/>
      <c r="J1195" s="841"/>
      <c r="K1195" s="841"/>
      <c r="L1195" s="843" t="s">
        <v>106</v>
      </c>
      <c r="M1195" s="844" t="s">
        <v>107</v>
      </c>
      <c r="N1195" s="841"/>
      <c r="O1195" s="841" t="s">
        <v>3459</v>
      </c>
      <c r="P1195" s="841" t="s">
        <v>3460</v>
      </c>
      <c r="Q1195" s="843"/>
      <c r="R1195" s="845" t="s">
        <v>4141</v>
      </c>
      <c r="S1195" s="1127" t="s">
        <v>4141</v>
      </c>
      <c r="T1195" s="843" t="s">
        <v>4142</v>
      </c>
      <c r="U1195" s="842">
        <v>72</v>
      </c>
      <c r="V1195" s="842" t="s">
        <v>8</v>
      </c>
      <c r="W1195" s="846">
        <v>31.89</v>
      </c>
      <c r="X1195" s="847">
        <f t="shared" si="220"/>
        <v>2296.08</v>
      </c>
      <c r="Y1195" s="848">
        <v>0</v>
      </c>
      <c r="Z1195" s="849">
        <v>31.89</v>
      </c>
      <c r="AA1195" s="849"/>
      <c r="AB1195" s="849">
        <f t="shared" si="221"/>
        <v>2296.08</v>
      </c>
      <c r="AC1195" s="850">
        <f t="shared" si="222"/>
        <v>2296.08</v>
      </c>
      <c r="AD1195" s="851"/>
      <c r="AE1195" s="852">
        <v>25850</v>
      </c>
      <c r="AF1195" s="853">
        <v>0</v>
      </c>
      <c r="AG1195" s="854">
        <f t="shared" si="223"/>
        <v>0</v>
      </c>
      <c r="AH1195" s="853">
        <v>0.1</v>
      </c>
      <c r="AI1195" s="855">
        <f t="shared" si="224"/>
        <v>6268640.2000000002</v>
      </c>
      <c r="AJ1195" s="845" t="s">
        <v>4140</v>
      </c>
      <c r="AK1195" s="857">
        <v>45814</v>
      </c>
      <c r="AL1195" s="840" t="s">
        <v>4143</v>
      </c>
      <c r="AM1195" s="840"/>
      <c r="AN1195" s="858"/>
      <c r="AO1195" s="844" t="s">
        <v>3951</v>
      </c>
      <c r="AP1195" s="859">
        <v>45820</v>
      </c>
      <c r="AQ1195" s="859">
        <v>45820</v>
      </c>
      <c r="AR1195" s="859">
        <v>45825</v>
      </c>
      <c r="AS1195" s="840" t="s">
        <v>1581</v>
      </c>
      <c r="AT1195" s="840" t="s">
        <v>1743</v>
      </c>
      <c r="AU1195" s="842"/>
      <c r="AV1195" s="839" t="s">
        <v>4144</v>
      </c>
      <c r="AW1195" s="861">
        <v>45827</v>
      </c>
      <c r="AX1195" s="862">
        <v>45829</v>
      </c>
      <c r="AY1195" s="843" t="s">
        <v>4142</v>
      </c>
      <c r="AZ1195" s="842">
        <v>94059950</v>
      </c>
      <c r="BA1195" s="842" t="s">
        <v>120</v>
      </c>
      <c r="BB1195" s="863" t="s">
        <v>121</v>
      </c>
      <c r="BC1195" s="864">
        <v>45831</v>
      </c>
      <c r="BD1195" s="860" t="s">
        <v>4145</v>
      </c>
      <c r="BE1195" s="865" cm="1">
        <f t="array" ref="BE1195">IF(BD1195="","",AC1195/SUMPRODUCT(--(BD1195=$BD$4:$BD$12824),$AC$4:$AC$12824))</f>
        <v>0.50463558448347112</v>
      </c>
      <c r="BF1195" s="458">
        <v>3332734</v>
      </c>
      <c r="BG1195" s="458"/>
      <c r="BH1195" s="458"/>
      <c r="BI1195" s="458">
        <f>(341146+1133654+787260)</f>
        <v>2262060</v>
      </c>
      <c r="BJ1195" s="458"/>
      <c r="BK1195" s="458"/>
      <c r="BL1195" s="458"/>
      <c r="BM1195" s="458"/>
      <c r="BN1195" s="458">
        <v>600000</v>
      </c>
      <c r="BO1195" s="866">
        <f>VLOOKUP(BD1195,$BD$4:$BN$12824,3,0)*BE1195</f>
        <v>1681816.1700179367</v>
      </c>
      <c r="BP1195" s="866"/>
      <c r="BQ1195" s="866"/>
      <c r="BR1195" s="866">
        <f>VLOOKUP(BD1195,$BD$4:$BN$12824,6,0)*BE1195</f>
        <v>1141515.9702366807</v>
      </c>
      <c r="BS1195" s="866">
        <f>VLOOKUP(BD1195,$BD$4:$BN$12824,7,0)*BE1195</f>
        <v>0</v>
      </c>
      <c r="BT1195" s="866"/>
      <c r="BU1195" s="866">
        <f>VLOOKUP(BD1195,$BD$4:$BN$12824,9,0)*BE1195</f>
        <v>0</v>
      </c>
      <c r="BV1195" s="867"/>
      <c r="BW1195" s="867">
        <f>VLOOKUP(BD1195,$BD$4:$BN$12824,11,0)*BE1195</f>
        <v>302781.35069008265</v>
      </c>
      <c r="BX1195" s="1146">
        <f t="shared" ref="BX1195" si="233">SUM(BO1195:BW1195)</f>
        <v>3126113.4909447003</v>
      </c>
      <c r="BY1195" s="867">
        <f t="shared" si="227"/>
        <v>867774.74292978749</v>
      </c>
      <c r="BZ1195" s="867">
        <f t="shared" si="225"/>
        <v>62479781.490944698</v>
      </c>
      <c r="CA1195" s="867">
        <f>_xlfn.MAXIFS($BY$4:$BY$12824,$S$4:$S$12824,$S1195)</f>
        <v>867774.74292978749</v>
      </c>
      <c r="CB1195" s="1032"/>
      <c r="CF1195" s="946">
        <f t="shared" si="226"/>
        <v>59353668</v>
      </c>
    </row>
    <row r="1196" spans="1:84">
      <c r="A1196" s="1032"/>
      <c r="B1196" s="839" t="s">
        <v>98</v>
      </c>
      <c r="C1196" s="839" t="s">
        <v>3454</v>
      </c>
      <c r="D1196" s="839" t="s">
        <v>4140</v>
      </c>
      <c r="E1196" s="839" t="s">
        <v>4140</v>
      </c>
      <c r="F1196" s="841">
        <v>45773</v>
      </c>
      <c r="G1196" s="840" t="s">
        <v>3456</v>
      </c>
      <c r="H1196" s="842"/>
      <c r="I1196" s="842"/>
      <c r="J1196" s="841"/>
      <c r="K1196" s="841"/>
      <c r="L1196" s="843" t="s">
        <v>106</v>
      </c>
      <c r="M1196" s="844" t="s">
        <v>107</v>
      </c>
      <c r="N1196" s="841"/>
      <c r="O1196" s="841" t="s">
        <v>3459</v>
      </c>
      <c r="P1196" s="841" t="s">
        <v>3460</v>
      </c>
      <c r="Q1196" s="843"/>
      <c r="R1196" s="845" t="s">
        <v>4146</v>
      </c>
      <c r="S1196" s="1127" t="s">
        <v>4146</v>
      </c>
      <c r="T1196" s="843" t="s">
        <v>4147</v>
      </c>
      <c r="U1196" s="842">
        <v>8</v>
      </c>
      <c r="V1196" s="842" t="s">
        <v>8</v>
      </c>
      <c r="W1196" s="846">
        <v>35.669999999999995</v>
      </c>
      <c r="X1196" s="847">
        <f t="shared" si="220"/>
        <v>285.35999999999996</v>
      </c>
      <c r="Y1196" s="848">
        <v>0</v>
      </c>
      <c r="Z1196" s="849">
        <v>35.669999999999995</v>
      </c>
      <c r="AA1196" s="849"/>
      <c r="AB1196" s="849">
        <f t="shared" si="221"/>
        <v>285.35999999999996</v>
      </c>
      <c r="AC1196" s="850">
        <f t="shared" si="222"/>
        <v>285.35999999999996</v>
      </c>
      <c r="AD1196" s="851"/>
      <c r="AE1196" s="852">
        <v>25850</v>
      </c>
      <c r="AF1196" s="853">
        <v>0</v>
      </c>
      <c r="AG1196" s="854">
        <f t="shared" si="223"/>
        <v>0</v>
      </c>
      <c r="AH1196" s="853">
        <v>0.1</v>
      </c>
      <c r="AI1196" s="855">
        <f t="shared" si="224"/>
        <v>737655.6</v>
      </c>
      <c r="AJ1196" s="845" t="s">
        <v>4140</v>
      </c>
      <c r="AK1196" s="857">
        <v>45814</v>
      </c>
      <c r="AL1196" s="840" t="s">
        <v>4143</v>
      </c>
      <c r="AM1196" s="840"/>
      <c r="AN1196" s="858"/>
      <c r="AO1196" s="844" t="s">
        <v>3951</v>
      </c>
      <c r="AP1196" s="859">
        <v>45820</v>
      </c>
      <c r="AQ1196" s="859">
        <v>45820</v>
      </c>
      <c r="AR1196" s="859">
        <v>45825</v>
      </c>
      <c r="AS1196" s="840" t="s">
        <v>1581</v>
      </c>
      <c r="AT1196" s="840" t="s">
        <v>1743</v>
      </c>
      <c r="AU1196" s="842"/>
      <c r="AV1196" s="839" t="s">
        <v>4144</v>
      </c>
      <c r="AW1196" s="861">
        <v>45827</v>
      </c>
      <c r="AX1196" s="862">
        <v>45829</v>
      </c>
      <c r="AY1196" s="843" t="s">
        <v>4147</v>
      </c>
      <c r="AZ1196" s="842">
        <v>94059950</v>
      </c>
      <c r="BA1196" s="842" t="s">
        <v>120</v>
      </c>
      <c r="BB1196" s="863" t="s">
        <v>121</v>
      </c>
      <c r="BC1196" s="864">
        <v>45831</v>
      </c>
      <c r="BD1196" s="860" t="s">
        <v>4145</v>
      </c>
      <c r="BE1196" s="865" cm="1">
        <f t="array" ref="BE1196">IF(BD1196="","",AC1196/SUMPRODUCT(--(BD1196=$BD$4:$BD$12824),$AC$4:$AC$12824))</f>
        <v>6.2716808816854513E-2</v>
      </c>
      <c r="BF1196" s="458"/>
      <c r="BG1196" s="458"/>
      <c r="BH1196" s="458"/>
      <c r="BI1196" s="458"/>
      <c r="BJ1196" s="458"/>
      <c r="BK1196" s="458"/>
      <c r="BL1196" s="458"/>
      <c r="BM1196" s="458"/>
      <c r="BN1196" s="458"/>
      <c r="BO1196" s="866">
        <f>VLOOKUP(BD1196,$BD$4:$BN$12824,3,0)*BE1196</f>
        <v>209018.44111543082</v>
      </c>
      <c r="BP1196" s="866"/>
      <c r="BQ1196" s="866"/>
      <c r="BR1196" s="866">
        <f>VLOOKUP(BD1196,$BD$4:$BN$12824,6,0)*BE1196</f>
        <v>141869.18455225392</v>
      </c>
      <c r="BS1196" s="866">
        <f>VLOOKUP(BD1196,$BD$4:$BN$12824,7,0)*BE1196</f>
        <v>0</v>
      </c>
      <c r="BT1196" s="866"/>
      <c r="BU1196" s="866">
        <f>VLOOKUP(BD1196,$BD$4:$BN$12824,9,0)*BE1196</f>
        <v>0</v>
      </c>
      <c r="BV1196" s="867"/>
      <c r="BW1196" s="867">
        <f>VLOOKUP(BD1196,$BD$4:$BN$12824,11,0)*BE1196</f>
        <v>37630.085290112707</v>
      </c>
      <c r="BX1196" s="1146">
        <f t="shared" ref="BX1196:BX1208" si="234">SUM(BO1196:BW1196)</f>
        <v>388517.71095779742</v>
      </c>
      <c r="BY1196" s="867">
        <f t="shared" si="227"/>
        <v>970634.21386972454</v>
      </c>
      <c r="BZ1196" s="867">
        <f t="shared" si="225"/>
        <v>7765073.7109577963</v>
      </c>
      <c r="CA1196" s="867">
        <f>_xlfn.MAXIFS($BY$4:$BY$12824,$S$4:$S$12824,$S1196)</f>
        <v>970634.21386972454</v>
      </c>
      <c r="CB1196" s="1032"/>
      <c r="CF1196" s="946">
        <f t="shared" si="226"/>
        <v>7376555.9999999991</v>
      </c>
    </row>
    <row r="1197" spans="1:84">
      <c r="A1197" s="1032"/>
      <c r="B1197" s="839" t="s">
        <v>98</v>
      </c>
      <c r="C1197" s="839" t="s">
        <v>3454</v>
      </c>
      <c r="D1197" s="839" t="s">
        <v>4140</v>
      </c>
      <c r="E1197" s="839" t="s">
        <v>4140</v>
      </c>
      <c r="F1197" s="841">
        <v>45773</v>
      </c>
      <c r="G1197" s="840" t="s">
        <v>3456</v>
      </c>
      <c r="H1197" s="842"/>
      <c r="I1197" s="842"/>
      <c r="J1197" s="841"/>
      <c r="K1197" s="841"/>
      <c r="L1197" s="843" t="s">
        <v>106</v>
      </c>
      <c r="M1197" s="844" t="s">
        <v>107</v>
      </c>
      <c r="N1197" s="841"/>
      <c r="O1197" s="841" t="s">
        <v>3459</v>
      </c>
      <c r="P1197" s="841" t="s">
        <v>3460</v>
      </c>
      <c r="Q1197" s="843"/>
      <c r="R1197" s="845" t="s">
        <v>4148</v>
      </c>
      <c r="S1197" s="1127" t="s">
        <v>4148</v>
      </c>
      <c r="T1197" s="843" t="s">
        <v>4149</v>
      </c>
      <c r="U1197" s="842">
        <v>7</v>
      </c>
      <c r="V1197" s="842" t="s">
        <v>8</v>
      </c>
      <c r="W1197" s="846">
        <v>31.89</v>
      </c>
      <c r="X1197" s="847">
        <f t="shared" si="220"/>
        <v>223.23000000000002</v>
      </c>
      <c r="Y1197" s="848">
        <v>0</v>
      </c>
      <c r="Z1197" s="849">
        <v>31.89</v>
      </c>
      <c r="AA1197" s="849"/>
      <c r="AB1197" s="849">
        <f t="shared" si="221"/>
        <v>223.23000000000002</v>
      </c>
      <c r="AC1197" s="850">
        <f t="shared" si="222"/>
        <v>223.23000000000002</v>
      </c>
      <c r="AD1197" s="851"/>
      <c r="AE1197" s="852">
        <v>25850</v>
      </c>
      <c r="AF1197" s="853">
        <v>0</v>
      </c>
      <c r="AG1197" s="854">
        <f t="shared" si="223"/>
        <v>0</v>
      </c>
      <c r="AH1197" s="853">
        <v>0.1</v>
      </c>
      <c r="AI1197" s="855">
        <f t="shared" si="224"/>
        <v>577049.55000000016</v>
      </c>
      <c r="AJ1197" s="845" t="s">
        <v>4140</v>
      </c>
      <c r="AK1197" s="857">
        <v>45814</v>
      </c>
      <c r="AL1197" s="840" t="s">
        <v>4143</v>
      </c>
      <c r="AM1197" s="840"/>
      <c r="AN1197" s="858"/>
      <c r="AO1197" s="844" t="s">
        <v>3951</v>
      </c>
      <c r="AP1197" s="859">
        <v>45820</v>
      </c>
      <c r="AQ1197" s="859">
        <v>45820</v>
      </c>
      <c r="AR1197" s="859">
        <v>45825</v>
      </c>
      <c r="AS1197" s="840" t="s">
        <v>1581</v>
      </c>
      <c r="AT1197" s="840" t="s">
        <v>1743</v>
      </c>
      <c r="AU1197" s="842"/>
      <c r="AV1197" s="839" t="s">
        <v>4144</v>
      </c>
      <c r="AW1197" s="861">
        <v>45827</v>
      </c>
      <c r="AX1197" s="862">
        <v>45829</v>
      </c>
      <c r="AY1197" s="843" t="s">
        <v>4149</v>
      </c>
      <c r="AZ1197" s="842">
        <v>94059950</v>
      </c>
      <c r="BA1197" s="842" t="s">
        <v>120</v>
      </c>
      <c r="BB1197" s="863" t="s">
        <v>121</v>
      </c>
      <c r="BC1197" s="864">
        <v>45831</v>
      </c>
      <c r="BD1197" s="860" t="s">
        <v>4145</v>
      </c>
      <c r="BE1197" s="865" cm="1">
        <f t="array" ref="BE1197">IF(BD1197="","",AC1197/SUMPRODUCT(--(BD1197=$BD$4:$BD$12824),$AC$4:$AC$12824))</f>
        <v>4.906179293589303E-2</v>
      </c>
      <c r="BF1197" s="458"/>
      <c r="BG1197" s="458"/>
      <c r="BH1197" s="458"/>
      <c r="BI1197" s="458"/>
      <c r="BJ1197" s="458"/>
      <c r="BK1197" s="458"/>
      <c r="BL1197" s="458"/>
      <c r="BM1197" s="458"/>
      <c r="BN1197" s="458"/>
      <c r="BO1197" s="866">
        <f>VLOOKUP(BD1197,$BD$4:$BN$12824,3,0)*BE1197</f>
        <v>163509.90541841052</v>
      </c>
      <c r="BP1197" s="866"/>
      <c r="BQ1197" s="866"/>
      <c r="BR1197" s="866">
        <f>VLOOKUP(BD1197,$BD$4:$BN$12824,6,0)*BE1197</f>
        <v>110980.71932856619</v>
      </c>
      <c r="BS1197" s="866">
        <f>VLOOKUP(BD1197,$BD$4:$BN$12824,7,0)*BE1197</f>
        <v>0</v>
      </c>
      <c r="BT1197" s="866"/>
      <c r="BU1197" s="866">
        <f>VLOOKUP(BD1197,$BD$4:$BN$12824,9,0)*BE1197</f>
        <v>0</v>
      </c>
      <c r="BV1197" s="867"/>
      <c r="BW1197" s="867">
        <f>VLOOKUP(BD1197,$BD$4:$BN$12824,11,0)*BE1197</f>
        <v>29437.075761535816</v>
      </c>
      <c r="BX1197" s="1146">
        <f t="shared" si="234"/>
        <v>303927.70050851256</v>
      </c>
      <c r="BY1197" s="867">
        <f t="shared" si="227"/>
        <v>867774.74292978761</v>
      </c>
      <c r="BZ1197" s="867">
        <f t="shared" si="225"/>
        <v>6074423.2005085135</v>
      </c>
      <c r="CA1197" s="867">
        <f>_xlfn.MAXIFS($BY$4:$BY$12824,$S$4:$S$12824,$S1197)</f>
        <v>867774.74292978761</v>
      </c>
      <c r="CB1197" s="1032"/>
      <c r="CF1197" s="946">
        <f t="shared" si="226"/>
        <v>5770495.5000000009</v>
      </c>
    </row>
    <row r="1198" spans="1:84">
      <c r="A1198" s="1032"/>
      <c r="B1198" s="839" t="s">
        <v>98</v>
      </c>
      <c r="C1198" s="839" t="s">
        <v>3454</v>
      </c>
      <c r="D1198" s="839" t="s">
        <v>4140</v>
      </c>
      <c r="E1198" s="839" t="s">
        <v>4140</v>
      </c>
      <c r="F1198" s="841">
        <v>45773</v>
      </c>
      <c r="G1198" s="840" t="s">
        <v>3456</v>
      </c>
      <c r="H1198" s="842"/>
      <c r="I1198" s="842"/>
      <c r="J1198" s="841"/>
      <c r="K1198" s="841"/>
      <c r="L1198" s="843" t="s">
        <v>106</v>
      </c>
      <c r="M1198" s="844" t="s">
        <v>107</v>
      </c>
      <c r="N1198" s="841"/>
      <c r="O1198" s="841" t="s">
        <v>3459</v>
      </c>
      <c r="P1198" s="841" t="s">
        <v>124</v>
      </c>
      <c r="Q1198" s="843"/>
      <c r="R1198" s="845" t="s">
        <v>3488</v>
      </c>
      <c r="S1198" s="1127" t="s">
        <v>3488</v>
      </c>
      <c r="T1198" s="843" t="s">
        <v>4150</v>
      </c>
      <c r="U1198" s="842">
        <v>79</v>
      </c>
      <c r="V1198" s="842" t="s">
        <v>8</v>
      </c>
      <c r="W1198" s="846">
        <v>11.76</v>
      </c>
      <c r="X1198" s="847">
        <f t="shared" si="220"/>
        <v>929.04</v>
      </c>
      <c r="Y1198" s="848">
        <v>0</v>
      </c>
      <c r="Z1198" s="849">
        <v>11.76</v>
      </c>
      <c r="AA1198" s="849"/>
      <c r="AB1198" s="849">
        <f t="shared" si="221"/>
        <v>929.04</v>
      </c>
      <c r="AC1198" s="850">
        <f t="shared" si="222"/>
        <v>929.04</v>
      </c>
      <c r="AD1198" s="851"/>
      <c r="AE1198" s="852">
        <v>25850</v>
      </c>
      <c r="AF1198" s="853">
        <v>0</v>
      </c>
      <c r="AG1198" s="854">
        <f t="shared" si="223"/>
        <v>0</v>
      </c>
      <c r="AH1198" s="853">
        <v>0.1</v>
      </c>
      <c r="AI1198" s="855">
        <f t="shared" si="224"/>
        <v>2401568.4</v>
      </c>
      <c r="AJ1198" s="845" t="s">
        <v>4140</v>
      </c>
      <c r="AK1198" s="857">
        <v>45814</v>
      </c>
      <c r="AL1198" s="840" t="s">
        <v>4143</v>
      </c>
      <c r="AM1198" s="840"/>
      <c r="AN1198" s="858"/>
      <c r="AO1198" s="844" t="s">
        <v>3951</v>
      </c>
      <c r="AP1198" s="859">
        <v>45820</v>
      </c>
      <c r="AQ1198" s="859">
        <v>45820</v>
      </c>
      <c r="AR1198" s="859">
        <v>45825</v>
      </c>
      <c r="AS1198" s="840" t="s">
        <v>1581</v>
      </c>
      <c r="AT1198" s="840" t="s">
        <v>1743</v>
      </c>
      <c r="AU1198" s="842"/>
      <c r="AV1198" s="839" t="s">
        <v>4144</v>
      </c>
      <c r="AW1198" s="861">
        <v>45827</v>
      </c>
      <c r="AX1198" s="862">
        <v>45829</v>
      </c>
      <c r="AY1198" s="843" t="s">
        <v>4150</v>
      </c>
      <c r="AZ1198" s="842">
        <v>85044030</v>
      </c>
      <c r="BA1198" s="842" t="s">
        <v>120</v>
      </c>
      <c r="BB1198" s="863" t="s">
        <v>121</v>
      </c>
      <c r="BC1198" s="864">
        <v>45831</v>
      </c>
      <c r="BD1198" s="860" t="s">
        <v>4145</v>
      </c>
      <c r="BE1198" s="865" cm="1">
        <f t="array" ref="BE1198">IF(BD1198="","",AC1198/SUMPRODUCT(--(BD1198=$BD$4:$BD$12824),$AC$4:$AC$12824))</f>
        <v>0.20418567445756419</v>
      </c>
      <c r="BF1198" s="458"/>
      <c r="BG1198" s="458"/>
      <c r="BH1198" s="458"/>
      <c r="BI1198" s="458"/>
      <c r="BJ1198" s="458"/>
      <c r="BK1198" s="458"/>
      <c r="BL1198" s="458"/>
      <c r="BM1198" s="458"/>
      <c r="BN1198" s="458"/>
      <c r="BO1198" s="866">
        <f>VLOOKUP(BD1198,$BD$4:$BN$12824,3,0)*BE1198</f>
        <v>680496.53957765573</v>
      </c>
      <c r="BP1198" s="866"/>
      <c r="BQ1198" s="866"/>
      <c r="BR1198" s="866">
        <f>VLOOKUP(BD1198,$BD$4:$BN$12824,6,0)*BE1198</f>
        <v>461880.24676347768</v>
      </c>
      <c r="BS1198" s="866">
        <f>VLOOKUP(BD1198,$BD$4:$BN$12824,7,0)*BE1198</f>
        <v>0</v>
      </c>
      <c r="BT1198" s="866"/>
      <c r="BU1198" s="866">
        <f>VLOOKUP(BD1198,$BD$4:$BN$12824,9,0)*BE1198</f>
        <v>0</v>
      </c>
      <c r="BV1198" s="867"/>
      <c r="BW1198" s="867">
        <f>VLOOKUP(BD1198,$BD$4:$BN$12824,11,0)*BE1198</f>
        <v>122511.40467453851</v>
      </c>
      <c r="BX1198" s="1146">
        <f t="shared" si="234"/>
        <v>1264888.1910156719</v>
      </c>
      <c r="BY1198" s="867">
        <f t="shared" si="227"/>
        <v>320007.24292424903</v>
      </c>
      <c r="BZ1198" s="867">
        <f t="shared" si="225"/>
        <v>25280572.191015672</v>
      </c>
      <c r="CA1198" s="867">
        <f>_xlfn.MAXIFS($BY$4:$BY$12824,$S$4:$S$12824,$S1198)</f>
        <v>320007.24292424903</v>
      </c>
      <c r="CB1198" s="1032"/>
      <c r="CF1198" s="946">
        <f t="shared" si="226"/>
        <v>24015684</v>
      </c>
    </row>
    <row r="1199" spans="1:84">
      <c r="A1199" s="1032"/>
      <c r="B1199" s="839" t="s">
        <v>98</v>
      </c>
      <c r="C1199" s="839" t="s">
        <v>3454</v>
      </c>
      <c r="D1199" s="839" t="s">
        <v>4140</v>
      </c>
      <c r="E1199" s="839" t="s">
        <v>4140</v>
      </c>
      <c r="F1199" s="841">
        <v>45773</v>
      </c>
      <c r="G1199" s="840" t="s">
        <v>3456</v>
      </c>
      <c r="H1199" s="842"/>
      <c r="I1199" s="842"/>
      <c r="J1199" s="841"/>
      <c r="K1199" s="841"/>
      <c r="L1199" s="843" t="s">
        <v>106</v>
      </c>
      <c r="M1199" s="844" t="s">
        <v>107</v>
      </c>
      <c r="N1199" s="841"/>
      <c r="O1199" s="841" t="s">
        <v>3459</v>
      </c>
      <c r="P1199" s="841" t="s">
        <v>3885</v>
      </c>
      <c r="Q1199" s="843"/>
      <c r="R1199" s="845" t="s">
        <v>4151</v>
      </c>
      <c r="S1199" s="1127" t="s">
        <v>4151</v>
      </c>
      <c r="T1199" s="843" t="s">
        <v>4152</v>
      </c>
      <c r="U1199" s="842">
        <v>8</v>
      </c>
      <c r="V1199" s="842" t="s">
        <v>8</v>
      </c>
      <c r="W1199" s="846">
        <v>15.950000000000001</v>
      </c>
      <c r="X1199" s="847">
        <f t="shared" si="220"/>
        <v>127.60000000000001</v>
      </c>
      <c r="Y1199" s="848">
        <v>0</v>
      </c>
      <c r="Z1199" s="849">
        <v>15.950000000000001</v>
      </c>
      <c r="AA1199" s="849"/>
      <c r="AB1199" s="849">
        <f t="shared" si="221"/>
        <v>127.60000000000001</v>
      </c>
      <c r="AC1199" s="850">
        <f t="shared" si="222"/>
        <v>127.60000000000001</v>
      </c>
      <c r="AD1199" s="851"/>
      <c r="AE1199" s="852">
        <v>25850</v>
      </c>
      <c r="AF1199" s="853">
        <v>0</v>
      </c>
      <c r="AG1199" s="854">
        <f t="shared" si="223"/>
        <v>0</v>
      </c>
      <c r="AH1199" s="853">
        <v>0.1</v>
      </c>
      <c r="AI1199" s="855">
        <f t="shared" si="224"/>
        <v>329846</v>
      </c>
      <c r="AJ1199" s="845" t="s">
        <v>4140</v>
      </c>
      <c r="AK1199" s="857">
        <v>45814</v>
      </c>
      <c r="AL1199" s="840" t="s">
        <v>4143</v>
      </c>
      <c r="AM1199" s="840"/>
      <c r="AN1199" s="858"/>
      <c r="AO1199" s="844" t="s">
        <v>3951</v>
      </c>
      <c r="AP1199" s="859">
        <v>45820</v>
      </c>
      <c r="AQ1199" s="859">
        <v>45820</v>
      </c>
      <c r="AR1199" s="859">
        <v>45825</v>
      </c>
      <c r="AS1199" s="840" t="s">
        <v>1581</v>
      </c>
      <c r="AT1199" s="840" t="s">
        <v>1743</v>
      </c>
      <c r="AU1199" s="842"/>
      <c r="AV1199" s="839" t="s">
        <v>4144</v>
      </c>
      <c r="AW1199" s="861">
        <v>45827</v>
      </c>
      <c r="AX1199" s="862">
        <v>45829</v>
      </c>
      <c r="AY1199" s="843" t="s">
        <v>4152</v>
      </c>
      <c r="AZ1199" s="842">
        <v>94059950</v>
      </c>
      <c r="BA1199" s="842" t="s">
        <v>120</v>
      </c>
      <c r="BB1199" s="863" t="s">
        <v>121</v>
      </c>
      <c r="BC1199" s="864">
        <v>45831</v>
      </c>
      <c r="BD1199" s="860" t="s">
        <v>4145</v>
      </c>
      <c r="BE1199" s="865" cm="1">
        <f t="array" ref="BE1199">IF(BD1199="","",AC1199/SUMPRODUCT(--(BD1199=$BD$4:$BD$12824),$AC$4:$AC$12824))</f>
        <v>2.8044101503471534E-2</v>
      </c>
      <c r="BF1199" s="458"/>
      <c r="BG1199" s="458"/>
      <c r="BH1199" s="458"/>
      <c r="BI1199" s="458"/>
      <c r="BJ1199" s="458"/>
      <c r="BK1199" s="458"/>
      <c r="BL1199" s="458"/>
      <c r="BM1199" s="458"/>
      <c r="BN1199" s="458"/>
      <c r="BO1199" s="866">
        <f>VLOOKUP(BD1199,$BD$4:$BN$12824,3,0)*BE1199</f>
        <v>93463.530580070699</v>
      </c>
      <c r="BP1199" s="866"/>
      <c r="BQ1199" s="866"/>
      <c r="BR1199" s="866">
        <f>VLOOKUP(BD1199,$BD$4:$BN$12824,6,0)*BE1199</f>
        <v>63437.440246942817</v>
      </c>
      <c r="BS1199" s="866">
        <f>VLOOKUP(BD1199,$BD$4:$BN$12824,7,0)*BE1199</f>
        <v>0</v>
      </c>
      <c r="BT1199" s="866"/>
      <c r="BU1199" s="866">
        <f>VLOOKUP(BD1199,$BD$4:$BN$12824,9,0)*BE1199</f>
        <v>0</v>
      </c>
      <c r="BV1199" s="867"/>
      <c r="BW1199" s="867">
        <f>VLOOKUP(BD1199,$BD$4:$BN$12824,11,0)*BE1199</f>
        <v>16826.460902082919</v>
      </c>
      <c r="BX1199" s="1146">
        <f t="shared" si="234"/>
        <v>173727.43172909642</v>
      </c>
      <c r="BY1199" s="867">
        <f t="shared" si="227"/>
        <v>434023.42896613706</v>
      </c>
      <c r="BZ1199" s="867">
        <f t="shared" si="225"/>
        <v>3472187.4317290965</v>
      </c>
      <c r="CA1199" s="867">
        <f>_xlfn.MAXIFS($BY$4:$BY$12824,$S$4:$S$12824,$S1199)</f>
        <v>434023.42896613706</v>
      </c>
      <c r="CB1199" s="1032"/>
      <c r="CF1199" s="946">
        <f t="shared" si="226"/>
        <v>3298460</v>
      </c>
    </row>
    <row r="1200" spans="1:84">
      <c r="A1200" s="1032"/>
      <c r="B1200" s="839" t="s">
        <v>98</v>
      </c>
      <c r="C1200" s="839" t="s">
        <v>3454</v>
      </c>
      <c r="D1200" s="839" t="s">
        <v>4140</v>
      </c>
      <c r="E1200" s="839" t="s">
        <v>4140</v>
      </c>
      <c r="F1200" s="841">
        <v>45773</v>
      </c>
      <c r="G1200" s="840" t="s">
        <v>3456</v>
      </c>
      <c r="H1200" s="842"/>
      <c r="I1200" s="842"/>
      <c r="J1200" s="841"/>
      <c r="K1200" s="841"/>
      <c r="L1200" s="843" t="s">
        <v>106</v>
      </c>
      <c r="M1200" s="844" t="s">
        <v>107</v>
      </c>
      <c r="N1200" s="841"/>
      <c r="O1200" s="841" t="s">
        <v>3459</v>
      </c>
      <c r="P1200" s="841" t="s">
        <v>3460</v>
      </c>
      <c r="Q1200" s="843"/>
      <c r="R1200" s="845" t="s">
        <v>4153</v>
      </c>
      <c r="S1200" s="1127" t="s">
        <v>4153</v>
      </c>
      <c r="T1200" s="843" t="s">
        <v>4154</v>
      </c>
      <c r="U1200" s="842">
        <v>11</v>
      </c>
      <c r="V1200" s="842" t="s">
        <v>8</v>
      </c>
      <c r="W1200" s="846">
        <v>21.8</v>
      </c>
      <c r="X1200" s="847">
        <f t="shared" si="220"/>
        <v>239.8</v>
      </c>
      <c r="Y1200" s="848">
        <v>0</v>
      </c>
      <c r="Z1200" s="849">
        <v>21.8</v>
      </c>
      <c r="AA1200" s="849"/>
      <c r="AB1200" s="849">
        <f t="shared" si="221"/>
        <v>239.8</v>
      </c>
      <c r="AC1200" s="850">
        <f t="shared" si="222"/>
        <v>239.8</v>
      </c>
      <c r="AD1200" s="851"/>
      <c r="AE1200" s="852">
        <v>25850</v>
      </c>
      <c r="AF1200" s="853">
        <v>0</v>
      </c>
      <c r="AG1200" s="854">
        <f t="shared" si="223"/>
        <v>0</v>
      </c>
      <c r="AH1200" s="853">
        <v>0.1</v>
      </c>
      <c r="AI1200" s="855">
        <f t="shared" si="224"/>
        <v>619883</v>
      </c>
      <c r="AJ1200" s="845" t="s">
        <v>4140</v>
      </c>
      <c r="AK1200" s="857">
        <v>45814</v>
      </c>
      <c r="AL1200" s="840" t="s">
        <v>4143</v>
      </c>
      <c r="AM1200" s="840"/>
      <c r="AN1200" s="858"/>
      <c r="AO1200" s="844" t="s">
        <v>3951</v>
      </c>
      <c r="AP1200" s="859">
        <v>45820</v>
      </c>
      <c r="AQ1200" s="859">
        <v>45820</v>
      </c>
      <c r="AR1200" s="859">
        <v>45825</v>
      </c>
      <c r="AS1200" s="840" t="s">
        <v>1581</v>
      </c>
      <c r="AT1200" s="840" t="s">
        <v>1743</v>
      </c>
      <c r="AU1200" s="842"/>
      <c r="AV1200" s="839" t="s">
        <v>4144</v>
      </c>
      <c r="AW1200" s="861">
        <v>45827</v>
      </c>
      <c r="AX1200" s="862">
        <v>45829</v>
      </c>
      <c r="AY1200" s="843" t="s">
        <v>4154</v>
      </c>
      <c r="AZ1200" s="842">
        <v>94059950</v>
      </c>
      <c r="BA1200" s="842" t="s">
        <v>120</v>
      </c>
      <c r="BB1200" s="863" t="s">
        <v>121</v>
      </c>
      <c r="BC1200" s="864">
        <v>45831</v>
      </c>
      <c r="BD1200" s="860" t="s">
        <v>4145</v>
      </c>
      <c r="BE1200" s="865" cm="1">
        <f t="array" ref="BE1200">IF(BD1200="","",AC1200/SUMPRODUCT(--(BD1200=$BD$4:$BD$12824),$AC$4:$AC$12824))</f>
        <v>5.2703570066868918E-2</v>
      </c>
      <c r="BF1200" s="458"/>
      <c r="BG1200" s="458"/>
      <c r="BH1200" s="458"/>
      <c r="BI1200" s="458"/>
      <c r="BJ1200" s="458"/>
      <c r="BK1200" s="458"/>
      <c r="BL1200" s="458"/>
      <c r="BM1200" s="458"/>
      <c r="BN1200" s="458"/>
      <c r="BO1200" s="866">
        <f>VLOOKUP(BD1200,$BD$4:$BN$12824,3,0)*BE1200</f>
        <v>175646.97988323632</v>
      </c>
      <c r="BP1200" s="866"/>
      <c r="BQ1200" s="866"/>
      <c r="BR1200" s="866">
        <f>VLOOKUP(BD1200,$BD$4:$BN$12824,6,0)*BE1200</f>
        <v>119218.6377054615</v>
      </c>
      <c r="BS1200" s="866">
        <f>VLOOKUP(BD1200,$BD$4:$BN$12824,7,0)*BE1200</f>
        <v>0</v>
      </c>
      <c r="BT1200" s="866"/>
      <c r="BU1200" s="866">
        <f>VLOOKUP(BD1200,$BD$4:$BN$12824,9,0)*BE1200</f>
        <v>0</v>
      </c>
      <c r="BV1200" s="867"/>
      <c r="BW1200" s="867">
        <f>VLOOKUP(BD1200,$BD$4:$BN$12824,11,0)*BE1200</f>
        <v>31622.142040121351</v>
      </c>
      <c r="BX1200" s="1146">
        <f t="shared" si="234"/>
        <v>326487.75962881919</v>
      </c>
      <c r="BY1200" s="867">
        <f t="shared" si="227"/>
        <v>593210.70542080177</v>
      </c>
      <c r="BZ1200" s="867">
        <f t="shared" si="225"/>
        <v>6525317.7596288193</v>
      </c>
      <c r="CA1200" s="867">
        <f>_xlfn.MAXIFS($BY$4:$BY$12824,$S$4:$S$12824,$S1200)</f>
        <v>593210.70542080177</v>
      </c>
      <c r="CB1200" s="1032"/>
      <c r="CF1200" s="946">
        <f t="shared" si="226"/>
        <v>6198830</v>
      </c>
    </row>
    <row r="1201" spans="1:84">
      <c r="A1201" s="1032"/>
      <c r="B1201" s="839" t="s">
        <v>98</v>
      </c>
      <c r="C1201" s="839" t="s">
        <v>3454</v>
      </c>
      <c r="D1201" s="839" t="s">
        <v>4140</v>
      </c>
      <c r="E1201" s="839" t="s">
        <v>4140</v>
      </c>
      <c r="F1201" s="841">
        <v>45773</v>
      </c>
      <c r="G1201" s="840" t="s">
        <v>3456</v>
      </c>
      <c r="H1201" s="842"/>
      <c r="I1201" s="842"/>
      <c r="J1201" s="841"/>
      <c r="K1201" s="841"/>
      <c r="L1201" s="843" t="s">
        <v>106</v>
      </c>
      <c r="M1201" s="844" t="s">
        <v>107</v>
      </c>
      <c r="N1201" s="841"/>
      <c r="O1201" s="841" t="s">
        <v>3459</v>
      </c>
      <c r="P1201" s="841" t="s">
        <v>3460</v>
      </c>
      <c r="Q1201" s="843"/>
      <c r="R1201" s="845" t="s">
        <v>4155</v>
      </c>
      <c r="S1201" s="1127" t="s">
        <v>4155</v>
      </c>
      <c r="T1201" s="843" t="s">
        <v>4156</v>
      </c>
      <c r="U1201" s="842">
        <v>5</v>
      </c>
      <c r="V1201" s="842" t="s">
        <v>8</v>
      </c>
      <c r="W1201" s="846">
        <v>21.8</v>
      </c>
      <c r="X1201" s="847">
        <f t="shared" si="220"/>
        <v>109</v>
      </c>
      <c r="Y1201" s="848">
        <v>0</v>
      </c>
      <c r="Z1201" s="849">
        <v>21.8</v>
      </c>
      <c r="AA1201" s="849"/>
      <c r="AB1201" s="849">
        <f t="shared" si="221"/>
        <v>109</v>
      </c>
      <c r="AC1201" s="850">
        <f t="shared" si="222"/>
        <v>109</v>
      </c>
      <c r="AD1201" s="851"/>
      <c r="AE1201" s="852">
        <v>25850</v>
      </c>
      <c r="AF1201" s="853">
        <v>0</v>
      </c>
      <c r="AG1201" s="854">
        <f t="shared" si="223"/>
        <v>0</v>
      </c>
      <c r="AH1201" s="853">
        <v>0.1</v>
      </c>
      <c r="AI1201" s="855">
        <f t="shared" si="224"/>
        <v>281765</v>
      </c>
      <c r="AJ1201" s="845" t="s">
        <v>4140</v>
      </c>
      <c r="AK1201" s="857">
        <v>45814</v>
      </c>
      <c r="AL1201" s="840" t="s">
        <v>4143</v>
      </c>
      <c r="AM1201" s="840"/>
      <c r="AN1201" s="858"/>
      <c r="AO1201" s="844" t="s">
        <v>3951</v>
      </c>
      <c r="AP1201" s="859">
        <v>45820</v>
      </c>
      <c r="AQ1201" s="859">
        <v>45820</v>
      </c>
      <c r="AR1201" s="859">
        <v>45825</v>
      </c>
      <c r="AS1201" s="840" t="s">
        <v>1581</v>
      </c>
      <c r="AT1201" s="840" t="s">
        <v>1743</v>
      </c>
      <c r="AU1201" s="842"/>
      <c r="AV1201" s="839" t="s">
        <v>4144</v>
      </c>
      <c r="AW1201" s="861">
        <v>45827</v>
      </c>
      <c r="AX1201" s="862">
        <v>45829</v>
      </c>
      <c r="AY1201" s="843" t="s">
        <v>4156</v>
      </c>
      <c r="AZ1201" s="842">
        <v>94059950</v>
      </c>
      <c r="BA1201" s="842" t="s">
        <v>120</v>
      </c>
      <c r="BB1201" s="863" t="s">
        <v>121</v>
      </c>
      <c r="BC1201" s="864">
        <v>45831</v>
      </c>
      <c r="BD1201" s="860" t="s">
        <v>4145</v>
      </c>
      <c r="BE1201" s="865" cm="1">
        <f t="array" ref="BE1201">IF(BD1201="","",AC1201/SUMPRODUCT(--(BD1201=$BD$4:$BD$12824),$AC$4:$AC$12824))</f>
        <v>2.3956168212213143E-2</v>
      </c>
      <c r="BF1201" s="458"/>
      <c r="BG1201" s="458"/>
      <c r="BH1201" s="458"/>
      <c r="BI1201" s="458"/>
      <c r="BJ1201" s="458"/>
      <c r="BK1201" s="458"/>
      <c r="BL1201" s="458"/>
      <c r="BM1201" s="458"/>
      <c r="BN1201" s="458"/>
      <c r="BO1201" s="866">
        <f>VLOOKUP(BD1201,$BD$4:$BN$12824,3,0)*BE1201</f>
        <v>79839.536310561962</v>
      </c>
      <c r="BP1201" s="866"/>
      <c r="BQ1201" s="866"/>
      <c r="BR1201" s="866">
        <f>VLOOKUP(BD1201,$BD$4:$BN$12824,6,0)*BE1201</f>
        <v>54190.289866118859</v>
      </c>
      <c r="BS1201" s="866">
        <f>VLOOKUP(BD1201,$BD$4:$BN$12824,7,0)*BE1201</f>
        <v>0</v>
      </c>
      <c r="BT1201" s="866"/>
      <c r="BU1201" s="866">
        <f>VLOOKUP(BD1201,$BD$4:$BN$12824,9,0)*BE1201</f>
        <v>0</v>
      </c>
      <c r="BV1201" s="867"/>
      <c r="BW1201" s="867">
        <f>VLOOKUP(BD1201,$BD$4:$BN$12824,11,0)*BE1201</f>
        <v>14373.700927327885</v>
      </c>
      <c r="BX1201" s="1146">
        <f t="shared" si="234"/>
        <v>148403.52710400871</v>
      </c>
      <c r="BY1201" s="867">
        <f t="shared" si="227"/>
        <v>593210.70542080177</v>
      </c>
      <c r="BZ1201" s="867">
        <f t="shared" si="225"/>
        <v>2966053.5271040089</v>
      </c>
      <c r="CA1201" s="867">
        <f>_xlfn.MAXIFS($BY$4:$BY$12824,$S$4:$S$12824,$S1201)</f>
        <v>593210.70542080177</v>
      </c>
      <c r="CB1201" s="1032"/>
      <c r="CF1201" s="946">
        <f t="shared" si="226"/>
        <v>2817650</v>
      </c>
    </row>
    <row r="1202" spans="1:84">
      <c r="A1202" s="1032"/>
      <c r="B1202" s="839" t="s">
        <v>98</v>
      </c>
      <c r="C1202" s="839" t="s">
        <v>3454</v>
      </c>
      <c r="D1202" s="839" t="s">
        <v>4140</v>
      </c>
      <c r="E1202" s="839" t="s">
        <v>4140</v>
      </c>
      <c r="F1202" s="841">
        <v>45773</v>
      </c>
      <c r="G1202" s="840" t="s">
        <v>3456</v>
      </c>
      <c r="H1202" s="842"/>
      <c r="I1202" s="842"/>
      <c r="J1202" s="841"/>
      <c r="K1202" s="841"/>
      <c r="L1202" s="843" t="s">
        <v>106</v>
      </c>
      <c r="M1202" s="844" t="s">
        <v>107</v>
      </c>
      <c r="N1202" s="841"/>
      <c r="O1202" s="841" t="s">
        <v>3459</v>
      </c>
      <c r="P1202" s="841" t="s">
        <v>3460</v>
      </c>
      <c r="Q1202" s="843"/>
      <c r="R1202" s="845" t="s">
        <v>4157</v>
      </c>
      <c r="S1202" s="1127" t="s">
        <v>4157</v>
      </c>
      <c r="T1202" s="843" t="s">
        <v>4158</v>
      </c>
      <c r="U1202" s="842">
        <v>5</v>
      </c>
      <c r="V1202" s="842" t="s">
        <v>8</v>
      </c>
      <c r="W1202" s="846">
        <v>7.07</v>
      </c>
      <c r="X1202" s="847">
        <f t="shared" si="220"/>
        <v>35.35</v>
      </c>
      <c r="Y1202" s="848">
        <v>0</v>
      </c>
      <c r="Z1202" s="849">
        <v>7.07</v>
      </c>
      <c r="AA1202" s="849"/>
      <c r="AB1202" s="849">
        <f t="shared" si="221"/>
        <v>35.35</v>
      </c>
      <c r="AC1202" s="850">
        <f t="shared" si="222"/>
        <v>35.35</v>
      </c>
      <c r="AD1202" s="851"/>
      <c r="AE1202" s="852">
        <v>25850</v>
      </c>
      <c r="AF1202" s="853">
        <v>0</v>
      </c>
      <c r="AG1202" s="854">
        <f t="shared" si="223"/>
        <v>0</v>
      </c>
      <c r="AH1202" s="853">
        <v>0.1</v>
      </c>
      <c r="AI1202" s="855">
        <f t="shared" si="224"/>
        <v>91379.75</v>
      </c>
      <c r="AJ1202" s="845" t="s">
        <v>4140</v>
      </c>
      <c r="AK1202" s="857">
        <v>45814</v>
      </c>
      <c r="AL1202" s="840" t="s">
        <v>4143</v>
      </c>
      <c r="AM1202" s="840"/>
      <c r="AN1202" s="858"/>
      <c r="AO1202" s="844" t="s">
        <v>3951</v>
      </c>
      <c r="AP1202" s="859">
        <v>45820</v>
      </c>
      <c r="AQ1202" s="859">
        <v>45820</v>
      </c>
      <c r="AR1202" s="859">
        <v>45825</v>
      </c>
      <c r="AS1202" s="840" t="s">
        <v>1581</v>
      </c>
      <c r="AT1202" s="840" t="s">
        <v>1743</v>
      </c>
      <c r="AU1202" s="842"/>
      <c r="AV1202" s="839" t="s">
        <v>4144</v>
      </c>
      <c r="AW1202" s="861">
        <v>45827</v>
      </c>
      <c r="AX1202" s="862">
        <v>45829</v>
      </c>
      <c r="AY1202" s="843" t="s">
        <v>4158</v>
      </c>
      <c r="AZ1202" s="842">
        <v>94059950</v>
      </c>
      <c r="BA1202" s="842" t="s">
        <v>120</v>
      </c>
      <c r="BB1202" s="863" t="s">
        <v>121</v>
      </c>
      <c r="BC1202" s="864">
        <v>45831</v>
      </c>
      <c r="BD1202" s="860" t="s">
        <v>4145</v>
      </c>
      <c r="BE1202" s="865" cm="1">
        <f t="array" ref="BE1202">IF(BD1202="","",AC1202/SUMPRODUCT(--(BD1202=$BD$4:$BD$12824),$AC$4:$AC$12824))</f>
        <v>7.7692710669883909E-3</v>
      </c>
      <c r="BF1202" s="458"/>
      <c r="BG1202" s="458"/>
      <c r="BH1202" s="458"/>
      <c r="BI1202" s="458"/>
      <c r="BJ1202" s="458"/>
      <c r="BK1202" s="458"/>
      <c r="BL1202" s="458"/>
      <c r="BM1202" s="458"/>
      <c r="BN1202" s="458"/>
      <c r="BO1202" s="866">
        <f>VLOOKUP(BD1202,$BD$4:$BN$12824,3,0)*BE1202</f>
        <v>25892.913840168487</v>
      </c>
      <c r="BP1202" s="866"/>
      <c r="BQ1202" s="866"/>
      <c r="BR1202" s="866">
        <f>VLOOKUP(BD1202,$BD$4:$BN$12824,6,0)*BE1202</f>
        <v>17574.557309791759</v>
      </c>
      <c r="BS1202" s="866">
        <f>VLOOKUP(BD1202,$BD$4:$BN$12824,7,0)*BE1202</f>
        <v>0</v>
      </c>
      <c r="BT1202" s="866"/>
      <c r="BU1202" s="866">
        <f>VLOOKUP(BD1202,$BD$4:$BN$12824,9,0)*BE1202</f>
        <v>0</v>
      </c>
      <c r="BV1202" s="867"/>
      <c r="BW1202" s="867">
        <f>VLOOKUP(BD1202,$BD$4:$BN$12824,11,0)*BE1202</f>
        <v>4661.5626401930349</v>
      </c>
      <c r="BX1202" s="1146">
        <f t="shared" si="234"/>
        <v>48129.033790153277</v>
      </c>
      <c r="BY1202" s="867">
        <f t="shared" si="227"/>
        <v>192385.30675803064</v>
      </c>
      <c r="BZ1202" s="867">
        <f t="shared" si="225"/>
        <v>961926.53379015322</v>
      </c>
      <c r="CA1202" s="867">
        <f>_xlfn.MAXIFS($BY$4:$BY$12824,$S$4:$S$12824,$S1202)</f>
        <v>192385.30675803064</v>
      </c>
      <c r="CB1202" s="1032"/>
      <c r="CF1202" s="946">
        <f t="shared" si="226"/>
        <v>913797.5</v>
      </c>
    </row>
    <row r="1203" spans="1:84">
      <c r="A1203" s="1032"/>
      <c r="B1203" s="839" t="s">
        <v>98</v>
      </c>
      <c r="C1203" s="839" t="s">
        <v>3454</v>
      </c>
      <c r="D1203" s="839" t="s">
        <v>4140</v>
      </c>
      <c r="E1203" s="839" t="s">
        <v>4140</v>
      </c>
      <c r="F1203" s="841">
        <v>45773</v>
      </c>
      <c r="G1203" s="840" t="s">
        <v>3456</v>
      </c>
      <c r="H1203" s="842"/>
      <c r="I1203" s="842"/>
      <c r="J1203" s="841"/>
      <c r="K1203" s="841"/>
      <c r="L1203" s="843" t="s">
        <v>106</v>
      </c>
      <c r="M1203" s="844" t="s">
        <v>107</v>
      </c>
      <c r="N1203" s="841"/>
      <c r="O1203" s="841" t="s">
        <v>3459</v>
      </c>
      <c r="P1203" s="841" t="s">
        <v>4159</v>
      </c>
      <c r="Q1203" s="843"/>
      <c r="R1203" s="845" t="s">
        <v>4160</v>
      </c>
      <c r="S1203" s="1127" t="s">
        <v>4160</v>
      </c>
      <c r="T1203" s="843" t="s">
        <v>4161</v>
      </c>
      <c r="U1203" s="842">
        <v>23</v>
      </c>
      <c r="V1203" s="842" t="s">
        <v>8</v>
      </c>
      <c r="W1203" s="846">
        <v>3.53</v>
      </c>
      <c r="X1203" s="847">
        <f t="shared" si="220"/>
        <v>81.19</v>
      </c>
      <c r="Y1203" s="848">
        <v>0</v>
      </c>
      <c r="Z1203" s="849">
        <v>3.53</v>
      </c>
      <c r="AA1203" s="849"/>
      <c r="AB1203" s="849">
        <f t="shared" si="221"/>
        <v>81.19</v>
      </c>
      <c r="AC1203" s="850">
        <f t="shared" si="222"/>
        <v>81.19</v>
      </c>
      <c r="AD1203" s="851"/>
      <c r="AE1203" s="852">
        <v>25850</v>
      </c>
      <c r="AF1203" s="853">
        <v>0</v>
      </c>
      <c r="AG1203" s="854">
        <f t="shared" si="223"/>
        <v>0</v>
      </c>
      <c r="AH1203" s="853">
        <v>0.1</v>
      </c>
      <c r="AI1203" s="855">
        <f t="shared" si="224"/>
        <v>209876.15000000002</v>
      </c>
      <c r="AJ1203" s="845" t="s">
        <v>4140</v>
      </c>
      <c r="AK1203" s="857">
        <v>45814</v>
      </c>
      <c r="AL1203" s="840" t="s">
        <v>4143</v>
      </c>
      <c r="AM1203" s="840"/>
      <c r="AN1203" s="858"/>
      <c r="AO1203" s="844" t="s">
        <v>3951</v>
      </c>
      <c r="AP1203" s="859">
        <v>45820</v>
      </c>
      <c r="AQ1203" s="859">
        <v>45820</v>
      </c>
      <c r="AR1203" s="859">
        <v>45825</v>
      </c>
      <c r="AS1203" s="840" t="s">
        <v>1581</v>
      </c>
      <c r="AT1203" s="840" t="s">
        <v>1743</v>
      </c>
      <c r="AU1203" s="842"/>
      <c r="AV1203" s="839" t="s">
        <v>4144</v>
      </c>
      <c r="AW1203" s="861">
        <v>45827</v>
      </c>
      <c r="AX1203" s="862">
        <v>45829</v>
      </c>
      <c r="AY1203" s="843" t="s">
        <v>4161</v>
      </c>
      <c r="AZ1203" s="842">
        <v>94054260</v>
      </c>
      <c r="BA1203" s="842" t="s">
        <v>120</v>
      </c>
      <c r="BB1203" s="863" t="s">
        <v>121</v>
      </c>
      <c r="BC1203" s="864">
        <v>45831</v>
      </c>
      <c r="BD1203" s="860" t="s">
        <v>4145</v>
      </c>
      <c r="BE1203" s="865" cm="1">
        <f t="array" ref="BE1203">IF(BD1203="","",AC1203/SUMPRODUCT(--(BD1203=$BD$4:$BD$12824),$AC$4:$AC$12824))</f>
        <v>1.7844048597702614E-2</v>
      </c>
      <c r="BF1203" s="458"/>
      <c r="BG1203" s="458"/>
      <c r="BH1203" s="458"/>
      <c r="BI1203" s="458"/>
      <c r="BJ1203" s="458"/>
      <c r="BK1203" s="458"/>
      <c r="BL1203" s="458"/>
      <c r="BM1203" s="458"/>
      <c r="BN1203" s="458"/>
      <c r="BO1203" s="866">
        <f>VLOOKUP(BD1203,$BD$4:$BN$12824,3,0)*BE1203</f>
        <v>59469.467459215826</v>
      </c>
      <c r="BP1203" s="866"/>
      <c r="BQ1203" s="866"/>
      <c r="BR1203" s="866">
        <f>VLOOKUP(BD1203,$BD$4:$BN$12824,6,0)*BE1203</f>
        <v>40364.308570919173</v>
      </c>
      <c r="BS1203" s="866">
        <f>VLOOKUP(BD1203,$BD$4:$BN$12824,7,0)*BE1203</f>
        <v>0</v>
      </c>
      <c r="BT1203" s="866"/>
      <c r="BU1203" s="866">
        <f>VLOOKUP(BD1203,$BD$4:$BN$12824,9,0)*BE1203</f>
        <v>0</v>
      </c>
      <c r="BV1203" s="867"/>
      <c r="BW1203" s="867">
        <f>VLOOKUP(BD1203,$BD$4:$BN$12824,11,0)*BE1203</f>
        <v>10706.42915862157</v>
      </c>
      <c r="BX1203" s="1146">
        <f t="shared" si="234"/>
        <v>110540.20518875656</v>
      </c>
      <c r="BY1203" s="867">
        <f t="shared" si="227"/>
        <v>96056.595877772008</v>
      </c>
      <c r="BZ1203" s="867">
        <f t="shared" si="225"/>
        <v>2209301.7051887563</v>
      </c>
      <c r="CA1203" s="867">
        <f>_xlfn.MAXIFS($BY$4:$BY$12824,$S$4:$S$12824,$S1203)</f>
        <v>96056.595877772008</v>
      </c>
      <c r="CB1203" s="1032"/>
      <c r="CF1203" s="946">
        <f t="shared" si="226"/>
        <v>2098761.5</v>
      </c>
    </row>
    <row r="1204" spans="1:84">
      <c r="A1204" s="1032"/>
      <c r="B1204" s="839" t="s">
        <v>98</v>
      </c>
      <c r="C1204" s="839" t="s">
        <v>3454</v>
      </c>
      <c r="D1204" s="839" t="s">
        <v>4140</v>
      </c>
      <c r="E1204" s="839" t="s">
        <v>4140</v>
      </c>
      <c r="F1204" s="841">
        <v>45773</v>
      </c>
      <c r="G1204" s="840" t="s">
        <v>3456</v>
      </c>
      <c r="H1204" s="842"/>
      <c r="I1204" s="842"/>
      <c r="J1204" s="841"/>
      <c r="K1204" s="841"/>
      <c r="L1204" s="843" t="s">
        <v>106</v>
      </c>
      <c r="M1204" s="844" t="s">
        <v>107</v>
      </c>
      <c r="N1204" s="841"/>
      <c r="O1204" s="841" t="s">
        <v>3459</v>
      </c>
      <c r="P1204" s="841" t="s">
        <v>2088</v>
      </c>
      <c r="Q1204" s="843"/>
      <c r="R1204" s="845" t="s">
        <v>3592</v>
      </c>
      <c r="S1204" s="1127" t="s">
        <v>3593</v>
      </c>
      <c r="T1204" s="843" t="s">
        <v>4162</v>
      </c>
      <c r="U1204" s="842">
        <v>7.42</v>
      </c>
      <c r="V1204" s="842" t="s">
        <v>8</v>
      </c>
      <c r="W1204" s="846">
        <v>7.42</v>
      </c>
      <c r="X1204" s="847">
        <f t="shared" si="220"/>
        <v>55.056399999999996</v>
      </c>
      <c r="Y1204" s="848">
        <v>0</v>
      </c>
      <c r="Z1204" s="849">
        <v>7.42</v>
      </c>
      <c r="AA1204" s="849"/>
      <c r="AB1204" s="849">
        <f t="shared" si="221"/>
        <v>55.056399999999996</v>
      </c>
      <c r="AC1204" s="850">
        <f t="shared" si="222"/>
        <v>55.056399999999996</v>
      </c>
      <c r="AD1204" s="851"/>
      <c r="AE1204" s="852">
        <v>25850</v>
      </c>
      <c r="AF1204" s="853">
        <v>0</v>
      </c>
      <c r="AG1204" s="854">
        <f t="shared" si="223"/>
        <v>0</v>
      </c>
      <c r="AH1204" s="853">
        <v>0.1</v>
      </c>
      <c r="AI1204" s="855">
        <f t="shared" si="224"/>
        <v>142320.79399999999</v>
      </c>
      <c r="AJ1204" s="845" t="s">
        <v>4140</v>
      </c>
      <c r="AK1204" s="857">
        <v>45814</v>
      </c>
      <c r="AL1204" s="840" t="s">
        <v>4143</v>
      </c>
      <c r="AM1204" s="840"/>
      <c r="AN1204" s="858"/>
      <c r="AO1204" s="844" t="s">
        <v>3951</v>
      </c>
      <c r="AP1204" s="859">
        <v>45820</v>
      </c>
      <c r="AQ1204" s="859">
        <v>45820</v>
      </c>
      <c r="AR1204" s="859">
        <v>45825</v>
      </c>
      <c r="AS1204" s="840" t="s">
        <v>1581</v>
      </c>
      <c r="AT1204" s="840" t="s">
        <v>1743</v>
      </c>
      <c r="AU1204" s="842"/>
      <c r="AV1204" s="839" t="s">
        <v>4144</v>
      </c>
      <c r="AW1204" s="861">
        <v>45827</v>
      </c>
      <c r="AX1204" s="862">
        <v>45829</v>
      </c>
      <c r="AY1204" s="843" t="s">
        <v>4162</v>
      </c>
      <c r="AZ1204" s="842">
        <v>94059950</v>
      </c>
      <c r="BA1204" s="842" t="s">
        <v>120</v>
      </c>
      <c r="BB1204" s="863" t="s">
        <v>121</v>
      </c>
      <c r="BC1204" s="864">
        <v>45831</v>
      </c>
      <c r="BD1204" s="860" t="s">
        <v>4145</v>
      </c>
      <c r="BE1204" s="865" cm="1">
        <f t="array" ref="BE1204">IF(BD1204="","",AC1204/SUMPRODUCT(--(BD1204=$BD$4:$BD$12824),$AC$4:$AC$12824))</f>
        <v>1.2100370454668731E-2</v>
      </c>
      <c r="BF1204" s="458"/>
      <c r="BG1204" s="458"/>
      <c r="BH1204" s="458"/>
      <c r="BI1204" s="458"/>
      <c r="BJ1204" s="458"/>
      <c r="BK1204" s="458"/>
      <c r="BL1204" s="458"/>
      <c r="BM1204" s="458"/>
      <c r="BN1204" s="458"/>
      <c r="BO1204" s="866">
        <f>VLOOKUP(BD1204,$BD$4:$BN$12824,3,0)*BE1204</f>
        <v>40327.316026869936</v>
      </c>
      <c r="BP1204" s="866"/>
      <c r="BQ1204" s="866"/>
      <c r="BR1204" s="866">
        <f>VLOOKUP(BD1204,$BD$4:$BN$12824,6,0)*BE1204</f>
        <v>27371.763990687949</v>
      </c>
      <c r="BS1204" s="866">
        <f>VLOOKUP(BD1204,$BD$4:$BN$12824,7,0)*BE1204</f>
        <v>0</v>
      </c>
      <c r="BT1204" s="866"/>
      <c r="BU1204" s="866">
        <f>VLOOKUP(BD1204,$BD$4:$BN$12824,9,0)*BE1204</f>
        <v>0</v>
      </c>
      <c r="BV1204" s="867"/>
      <c r="BW1204" s="867">
        <f>VLOOKUP(BD1204,$BD$4:$BN$12824,11,0)*BE1204</f>
        <v>7260.2222728012384</v>
      </c>
      <c r="BX1204" s="1146">
        <f t="shared" si="234"/>
        <v>74959.302290359134</v>
      </c>
      <c r="BY1204" s="867">
        <f t="shared" si="227"/>
        <v>201909.33184506185</v>
      </c>
      <c r="BZ1204" s="867">
        <f t="shared" si="225"/>
        <v>1498167.242290359</v>
      </c>
      <c r="CA1204" s="867">
        <f>_xlfn.MAXIFS($BY$4:$BY$12824,$S$4:$S$12824,$S1204)</f>
        <v>227531.81855735084</v>
      </c>
      <c r="CB1204" s="1032"/>
      <c r="CF1204" s="946">
        <f t="shared" si="226"/>
        <v>1423207.94</v>
      </c>
    </row>
    <row r="1205" spans="1:84">
      <c r="A1205" s="1032"/>
      <c r="B1205" s="839" t="s">
        <v>98</v>
      </c>
      <c r="C1205" s="839" t="s">
        <v>3454</v>
      </c>
      <c r="D1205" s="839" t="s">
        <v>4163</v>
      </c>
      <c r="E1205" s="839" t="s">
        <v>4163</v>
      </c>
      <c r="F1205" s="841">
        <v>45813</v>
      </c>
      <c r="G1205" s="840" t="s">
        <v>3456</v>
      </c>
      <c r="H1205" s="842"/>
      <c r="I1205" s="842"/>
      <c r="J1205" s="841"/>
      <c r="K1205" s="841"/>
      <c r="L1205" s="843" t="s">
        <v>106</v>
      </c>
      <c r="M1205" s="844"/>
      <c r="N1205" s="841"/>
      <c r="O1205" s="841" t="s">
        <v>3459</v>
      </c>
      <c r="P1205" s="841" t="s">
        <v>3460</v>
      </c>
      <c r="Q1205" s="843"/>
      <c r="R1205" s="845" t="s">
        <v>4164</v>
      </c>
      <c r="S1205" s="1127" t="s">
        <v>4165</v>
      </c>
      <c r="T1205" s="843" t="s">
        <v>4166</v>
      </c>
      <c r="U1205" s="842">
        <v>5</v>
      </c>
      <c r="V1205" s="842" t="s">
        <v>8</v>
      </c>
      <c r="W1205" s="846">
        <v>11.2</v>
      </c>
      <c r="X1205" s="847">
        <f t="shared" si="220"/>
        <v>56</v>
      </c>
      <c r="Y1205" s="848">
        <v>0</v>
      </c>
      <c r="Z1205" s="849">
        <v>11.2</v>
      </c>
      <c r="AA1205" s="849"/>
      <c r="AB1205" s="849">
        <f t="shared" si="221"/>
        <v>56</v>
      </c>
      <c r="AC1205" s="850">
        <f t="shared" si="222"/>
        <v>56</v>
      </c>
      <c r="AD1205" s="851"/>
      <c r="AE1205" s="852">
        <v>25850</v>
      </c>
      <c r="AF1205" s="853">
        <v>0</v>
      </c>
      <c r="AG1205" s="854">
        <f t="shared" si="223"/>
        <v>0</v>
      </c>
      <c r="AH1205" s="853">
        <v>0</v>
      </c>
      <c r="AI1205" s="855">
        <f t="shared" si="224"/>
        <v>0</v>
      </c>
      <c r="AJ1205" s="845" t="s">
        <v>4167</v>
      </c>
      <c r="AK1205" s="857"/>
      <c r="AL1205" s="840" t="s">
        <v>4168</v>
      </c>
      <c r="AM1205" s="840"/>
      <c r="AN1205" s="858"/>
      <c r="AO1205" s="844"/>
      <c r="AP1205" s="859"/>
      <c r="AQ1205" s="859"/>
      <c r="AR1205" s="859"/>
      <c r="AS1205" s="840"/>
      <c r="AT1205" s="840"/>
      <c r="AU1205" s="842"/>
      <c r="AV1205" s="839"/>
      <c r="AW1205" s="861"/>
      <c r="AX1205" s="862">
        <v>45829</v>
      </c>
      <c r="AY1205" s="843"/>
      <c r="AZ1205" s="842"/>
      <c r="BA1205" s="842" t="s">
        <v>120</v>
      </c>
      <c r="BB1205" s="863" t="s">
        <v>121</v>
      </c>
      <c r="BC1205" s="864">
        <v>45829</v>
      </c>
      <c r="BD1205" s="860" t="s">
        <v>4145</v>
      </c>
      <c r="BE1205" s="865" cm="1">
        <f t="array" ref="BE1205">IF(BD1205="","",AC1205/SUMPRODUCT(--(BD1205=$BD$4:$BD$12824),$AC$4:$AC$12824))</f>
        <v>1.2307756145724184E-2</v>
      </c>
      <c r="BF1205" s="458"/>
      <c r="BG1205" s="458"/>
      <c r="BH1205" s="458"/>
      <c r="BI1205" s="458"/>
      <c r="BJ1205" s="458"/>
      <c r="BK1205" s="458"/>
      <c r="BL1205" s="458"/>
      <c r="BM1205" s="458"/>
      <c r="BN1205" s="458"/>
      <c r="BO1205" s="866">
        <f>VLOOKUP(BD1205,$BD$4:$BN$12824,3,0)*BE1205</f>
        <v>41018.477370563945</v>
      </c>
      <c r="BP1205" s="866"/>
      <c r="BQ1205" s="866"/>
      <c r="BR1205" s="866">
        <f>VLOOKUP(BD1205,$BD$4:$BN$12824,6,0)*BE1205</f>
        <v>27840.882866996846</v>
      </c>
      <c r="BS1205" s="866">
        <f>VLOOKUP(BD1205,$BD$4:$BN$12824,7,0)*BE1205</f>
        <v>0</v>
      </c>
      <c r="BT1205" s="866"/>
      <c r="BU1205" s="866">
        <f>VLOOKUP(BD1205,$BD$4:$BN$12824,9,0)*BE1205</f>
        <v>0</v>
      </c>
      <c r="BV1205" s="867"/>
      <c r="BW1205" s="867">
        <f>VLOOKUP(BD1205,$BD$4:$BN$12824,11,0)*BE1205</f>
        <v>7384.6536874345102</v>
      </c>
      <c r="BX1205" s="1146">
        <f t="shared" si="234"/>
        <v>76244.013924995292</v>
      </c>
      <c r="BY1205" s="867">
        <f t="shared" si="227"/>
        <v>304768.80278499902</v>
      </c>
      <c r="BZ1205" s="867">
        <f t="shared" si="225"/>
        <v>1523844.013924995</v>
      </c>
      <c r="CA1205" s="867">
        <f>_xlfn.MAXIFS($BY$4:$BY$12824,$S$4:$S$12824,$S1205)</f>
        <v>304768.80278499902</v>
      </c>
      <c r="CB1205" s="1032"/>
      <c r="CF1205" s="946">
        <f t="shared" si="226"/>
        <v>1447600</v>
      </c>
    </row>
    <row r="1206" spans="1:84">
      <c r="A1206" s="1032"/>
      <c r="B1206" s="839" t="s">
        <v>98</v>
      </c>
      <c r="C1206" s="839" t="s">
        <v>3454</v>
      </c>
      <c r="D1206" s="839" t="s">
        <v>4163</v>
      </c>
      <c r="E1206" s="839" t="s">
        <v>4163</v>
      </c>
      <c r="F1206" s="841">
        <v>45813</v>
      </c>
      <c r="G1206" s="840" t="s">
        <v>3456</v>
      </c>
      <c r="H1206" s="842"/>
      <c r="I1206" s="842"/>
      <c r="J1206" s="841"/>
      <c r="K1206" s="841"/>
      <c r="L1206" s="843" t="s">
        <v>106</v>
      </c>
      <c r="M1206" s="844"/>
      <c r="N1206" s="841"/>
      <c r="O1206" s="841" t="s">
        <v>3459</v>
      </c>
      <c r="P1206" s="841" t="s">
        <v>3460</v>
      </c>
      <c r="Q1206" s="843"/>
      <c r="R1206" s="845" t="s">
        <v>4169</v>
      </c>
      <c r="S1206" s="1127" t="s">
        <v>4169</v>
      </c>
      <c r="T1206" s="843" t="s">
        <v>4170</v>
      </c>
      <c r="U1206" s="842">
        <v>1</v>
      </c>
      <c r="V1206" s="842" t="s">
        <v>8</v>
      </c>
      <c r="W1206" s="846">
        <v>10.8</v>
      </c>
      <c r="X1206" s="847">
        <f t="shared" si="220"/>
        <v>10.8</v>
      </c>
      <c r="Y1206" s="848">
        <v>0</v>
      </c>
      <c r="Z1206" s="849">
        <v>10.8</v>
      </c>
      <c r="AA1206" s="849"/>
      <c r="AB1206" s="849">
        <f t="shared" si="221"/>
        <v>10.8</v>
      </c>
      <c r="AC1206" s="850">
        <f t="shared" si="222"/>
        <v>10.8</v>
      </c>
      <c r="AD1206" s="851"/>
      <c r="AE1206" s="852">
        <v>25850</v>
      </c>
      <c r="AF1206" s="853">
        <v>0</v>
      </c>
      <c r="AG1206" s="854">
        <f t="shared" si="223"/>
        <v>0</v>
      </c>
      <c r="AH1206" s="853">
        <v>0</v>
      </c>
      <c r="AI1206" s="855">
        <f t="shared" si="224"/>
        <v>0</v>
      </c>
      <c r="AJ1206" s="845" t="s">
        <v>4167</v>
      </c>
      <c r="AK1206" s="857"/>
      <c r="AL1206" s="840" t="s">
        <v>4168</v>
      </c>
      <c r="AM1206" s="840"/>
      <c r="AN1206" s="858"/>
      <c r="AO1206" s="844"/>
      <c r="AP1206" s="859"/>
      <c r="AQ1206" s="859"/>
      <c r="AR1206" s="859"/>
      <c r="AS1206" s="840"/>
      <c r="AT1206" s="840"/>
      <c r="AU1206" s="842"/>
      <c r="AV1206" s="839"/>
      <c r="AW1206" s="861"/>
      <c r="AX1206" s="862">
        <v>45829</v>
      </c>
      <c r="AY1206" s="843"/>
      <c r="AZ1206" s="842"/>
      <c r="BA1206" s="842" t="s">
        <v>120</v>
      </c>
      <c r="BB1206" s="863" t="s">
        <v>121</v>
      </c>
      <c r="BC1206" s="864">
        <v>45829</v>
      </c>
      <c r="BD1206" s="860" t="s">
        <v>4145</v>
      </c>
      <c r="BE1206" s="865" cm="1">
        <f t="array" ref="BE1206">IF(BD1206="","",AC1206/SUMPRODUCT(--(BD1206=$BD$4:$BD$12824),$AC$4:$AC$12824))</f>
        <v>2.3736386852468067E-3</v>
      </c>
      <c r="BF1206" s="458"/>
      <c r="BG1206" s="458"/>
      <c r="BH1206" s="458"/>
      <c r="BI1206" s="458"/>
      <c r="BJ1206" s="458"/>
      <c r="BK1206" s="458"/>
      <c r="BL1206" s="458"/>
      <c r="BM1206" s="458"/>
      <c r="BN1206" s="458"/>
      <c r="BO1206" s="866">
        <f>VLOOKUP(BD1206,$BD$4:$BN$12824,3,0)*BE1206</f>
        <v>7910.7063500373315</v>
      </c>
      <c r="BP1206" s="866"/>
      <c r="BQ1206" s="866"/>
      <c r="BR1206" s="866">
        <f>VLOOKUP(BD1206,$BD$4:$BN$12824,6,0)*BE1206</f>
        <v>5369.3131243493917</v>
      </c>
      <c r="BS1206" s="866">
        <f>VLOOKUP(BD1206,$BD$4:$BN$12824,7,0)*BE1206</f>
        <v>0</v>
      </c>
      <c r="BT1206" s="866"/>
      <c r="BU1206" s="866">
        <f>VLOOKUP(BD1206,$BD$4:$BN$12824,9,0)*BE1206</f>
        <v>0</v>
      </c>
      <c r="BV1206" s="867"/>
      <c r="BW1206" s="867">
        <f>VLOOKUP(BD1206,$BD$4:$BN$12824,11,0)*BE1206</f>
        <v>1424.183211148084</v>
      </c>
      <c r="BX1206" s="1146">
        <f t="shared" si="234"/>
        <v>14704.202685534807</v>
      </c>
      <c r="BY1206" s="867">
        <f t="shared" si="227"/>
        <v>293884.20268553478</v>
      </c>
      <c r="BZ1206" s="867">
        <f t="shared" si="225"/>
        <v>293884.20268553478</v>
      </c>
      <c r="CA1206" s="867">
        <f>_xlfn.MAXIFS($BY$4:$BY$12824,$S$4:$S$12824,$S1206)</f>
        <v>293884.20268553478</v>
      </c>
      <c r="CB1206" s="1032"/>
      <c r="CF1206" s="946">
        <f t="shared" si="226"/>
        <v>279180</v>
      </c>
    </row>
    <row r="1207" spans="1:84">
      <c r="A1207" s="1032"/>
      <c r="B1207" s="839" t="s">
        <v>98</v>
      </c>
      <c r="C1207" s="839" t="s">
        <v>3454</v>
      </c>
      <c r="D1207" s="839" t="s">
        <v>4163</v>
      </c>
      <c r="E1207" s="839" t="s">
        <v>4163</v>
      </c>
      <c r="F1207" s="841">
        <v>45813</v>
      </c>
      <c r="G1207" s="840" t="s">
        <v>3456</v>
      </c>
      <c r="H1207" s="842"/>
      <c r="I1207" s="842"/>
      <c r="J1207" s="841"/>
      <c r="K1207" s="841"/>
      <c r="L1207" s="843" t="s">
        <v>106</v>
      </c>
      <c r="M1207" s="844"/>
      <c r="N1207" s="841"/>
      <c r="O1207" s="841" t="s">
        <v>3459</v>
      </c>
      <c r="P1207" s="841" t="s">
        <v>3885</v>
      </c>
      <c r="Q1207" s="843"/>
      <c r="R1207" s="845" t="s">
        <v>4171</v>
      </c>
      <c r="S1207" s="1127" t="s">
        <v>4171</v>
      </c>
      <c r="T1207" s="843" t="s">
        <v>4172</v>
      </c>
      <c r="U1207" s="842">
        <v>7</v>
      </c>
      <c r="V1207" s="842" t="s">
        <v>8</v>
      </c>
      <c r="W1207" s="846">
        <v>10.71</v>
      </c>
      <c r="X1207" s="847">
        <f t="shared" si="220"/>
        <v>74.97</v>
      </c>
      <c r="Y1207" s="848">
        <v>0</v>
      </c>
      <c r="Z1207" s="849">
        <v>10.71</v>
      </c>
      <c r="AA1207" s="849"/>
      <c r="AB1207" s="849">
        <f t="shared" si="221"/>
        <v>74.97</v>
      </c>
      <c r="AC1207" s="850">
        <f t="shared" si="222"/>
        <v>74.97</v>
      </c>
      <c r="AD1207" s="851"/>
      <c r="AE1207" s="852">
        <v>25850</v>
      </c>
      <c r="AF1207" s="853">
        <v>0</v>
      </c>
      <c r="AG1207" s="854">
        <f t="shared" si="223"/>
        <v>0</v>
      </c>
      <c r="AH1207" s="853">
        <v>0</v>
      </c>
      <c r="AI1207" s="855">
        <f t="shared" si="224"/>
        <v>0</v>
      </c>
      <c r="AJ1207" s="845" t="s">
        <v>4167</v>
      </c>
      <c r="AK1207" s="857"/>
      <c r="AL1207" s="840" t="s">
        <v>4168</v>
      </c>
      <c r="AM1207" s="840"/>
      <c r="AN1207" s="858"/>
      <c r="AO1207" s="844"/>
      <c r="AP1207" s="859"/>
      <c r="AQ1207" s="859"/>
      <c r="AR1207" s="859"/>
      <c r="AS1207" s="840"/>
      <c r="AT1207" s="840"/>
      <c r="AU1207" s="842"/>
      <c r="AV1207" s="839"/>
      <c r="AW1207" s="861"/>
      <c r="AX1207" s="862">
        <v>45829</v>
      </c>
      <c r="AY1207" s="843"/>
      <c r="AZ1207" s="842"/>
      <c r="BA1207" s="842" t="s">
        <v>120</v>
      </c>
      <c r="BB1207" s="863" t="s">
        <v>121</v>
      </c>
      <c r="BC1207" s="864">
        <v>45829</v>
      </c>
      <c r="BD1207" s="860" t="s">
        <v>4145</v>
      </c>
      <c r="BE1207" s="865" cm="1">
        <f t="array" ref="BE1207">IF(BD1207="","",AC1207/SUMPRODUCT(--(BD1207=$BD$4:$BD$12824),$AC$4:$AC$12824))</f>
        <v>1.647700854008825E-2</v>
      </c>
      <c r="BF1207" s="458"/>
      <c r="BG1207" s="458"/>
      <c r="BH1207" s="458"/>
      <c r="BI1207" s="458"/>
      <c r="BJ1207" s="458"/>
      <c r="BK1207" s="458"/>
      <c r="BL1207" s="458"/>
      <c r="BM1207" s="458"/>
      <c r="BN1207" s="458"/>
      <c r="BO1207" s="866">
        <f>VLOOKUP(BD1207,$BD$4:$BN$12824,3,0)*BE1207</f>
        <v>54913.486579842473</v>
      </c>
      <c r="BP1207" s="866"/>
      <c r="BQ1207" s="866"/>
      <c r="BR1207" s="866">
        <f>VLOOKUP(BD1207,$BD$4:$BN$12824,6,0)*BE1207</f>
        <v>37271.981938192024</v>
      </c>
      <c r="BS1207" s="866">
        <f>VLOOKUP(BD1207,$BD$4:$BN$12824,7,0)*BE1207</f>
        <v>0</v>
      </c>
      <c r="BT1207" s="866"/>
      <c r="BU1207" s="866">
        <f>VLOOKUP(BD1207,$BD$4:$BN$12824,9,0)*BE1207</f>
        <v>0</v>
      </c>
      <c r="BV1207" s="867"/>
      <c r="BW1207" s="867">
        <f>VLOOKUP(BD1207,$BD$4:$BN$12824,11,0)*BE1207</f>
        <v>9886.205124052949</v>
      </c>
      <c r="BX1207" s="1146">
        <f t="shared" si="234"/>
        <v>102071.67364208745</v>
      </c>
      <c r="BY1207" s="867">
        <f t="shared" si="227"/>
        <v>291435.16766315536</v>
      </c>
      <c r="BZ1207" s="867">
        <f t="shared" si="225"/>
        <v>2040046.1736420875</v>
      </c>
      <c r="CA1207" s="867">
        <f>_xlfn.MAXIFS($BY$4:$BY$12824,$S$4:$S$12824,$S1207)</f>
        <v>291435.16766315536</v>
      </c>
      <c r="CB1207" s="1032"/>
      <c r="CF1207" s="946">
        <f t="shared" si="226"/>
        <v>1937974.5</v>
      </c>
    </row>
    <row r="1208" spans="1:84">
      <c r="A1208" s="1032"/>
      <c r="B1208" s="839" t="s">
        <v>98</v>
      </c>
      <c r="C1208" s="839" t="s">
        <v>3454</v>
      </c>
      <c r="D1208" s="839" t="s">
        <v>4163</v>
      </c>
      <c r="E1208" s="839" t="s">
        <v>4163</v>
      </c>
      <c r="F1208" s="841">
        <v>45813</v>
      </c>
      <c r="G1208" s="840" t="s">
        <v>3456</v>
      </c>
      <c r="H1208" s="842"/>
      <c r="I1208" s="842"/>
      <c r="J1208" s="841"/>
      <c r="K1208" s="841"/>
      <c r="L1208" s="843" t="s">
        <v>106</v>
      </c>
      <c r="M1208" s="844"/>
      <c r="N1208" s="841"/>
      <c r="O1208" s="841" t="s">
        <v>3459</v>
      </c>
      <c r="P1208" s="841" t="s">
        <v>3885</v>
      </c>
      <c r="Q1208" s="843"/>
      <c r="R1208" s="845" t="s">
        <v>4173</v>
      </c>
      <c r="S1208" s="1127" t="s">
        <v>4173</v>
      </c>
      <c r="T1208" s="843" t="s">
        <v>4174</v>
      </c>
      <c r="U1208" s="842">
        <v>1</v>
      </c>
      <c r="V1208" s="842" t="s">
        <v>8</v>
      </c>
      <c r="W1208" s="846">
        <v>26.5</v>
      </c>
      <c r="X1208" s="847">
        <f t="shared" si="220"/>
        <v>26.5</v>
      </c>
      <c r="Y1208" s="848">
        <v>0</v>
      </c>
      <c r="Z1208" s="849">
        <v>26.5</v>
      </c>
      <c r="AA1208" s="849"/>
      <c r="AB1208" s="849">
        <f t="shared" si="221"/>
        <v>26.5</v>
      </c>
      <c r="AC1208" s="850">
        <f t="shared" si="222"/>
        <v>26.5</v>
      </c>
      <c r="AD1208" s="851"/>
      <c r="AE1208" s="852">
        <v>25850</v>
      </c>
      <c r="AF1208" s="853">
        <v>0</v>
      </c>
      <c r="AG1208" s="854">
        <f t="shared" si="223"/>
        <v>0</v>
      </c>
      <c r="AH1208" s="853">
        <v>0</v>
      </c>
      <c r="AI1208" s="855">
        <f t="shared" si="224"/>
        <v>0</v>
      </c>
      <c r="AJ1208" s="845" t="s">
        <v>4167</v>
      </c>
      <c r="AK1208" s="857"/>
      <c r="AL1208" s="840" t="s">
        <v>4168</v>
      </c>
      <c r="AM1208" s="840"/>
      <c r="AN1208" s="858"/>
      <c r="AO1208" s="844"/>
      <c r="AP1208" s="859"/>
      <c r="AQ1208" s="859"/>
      <c r="AR1208" s="859"/>
      <c r="AS1208" s="840"/>
      <c r="AT1208" s="840"/>
      <c r="AU1208" s="842"/>
      <c r="AV1208" s="839"/>
      <c r="AW1208" s="861"/>
      <c r="AX1208" s="862">
        <v>45829</v>
      </c>
      <c r="AY1208" s="843"/>
      <c r="AZ1208" s="842"/>
      <c r="BA1208" s="842" t="s">
        <v>120</v>
      </c>
      <c r="BB1208" s="863" t="s">
        <v>121</v>
      </c>
      <c r="BC1208" s="864">
        <v>45829</v>
      </c>
      <c r="BD1208" s="860" t="s">
        <v>4145</v>
      </c>
      <c r="BE1208" s="865" cm="1">
        <f t="array" ref="BE1208">IF(BD1208="","",AC1208/SUMPRODUCT(--(BD1208=$BD$4:$BD$12824),$AC$4:$AC$12824))</f>
        <v>5.8242060332444794E-3</v>
      </c>
      <c r="BF1208" s="458"/>
      <c r="BG1208" s="458"/>
      <c r="BH1208" s="458"/>
      <c r="BI1208" s="458"/>
      <c r="BJ1208" s="458"/>
      <c r="BK1208" s="458"/>
      <c r="BL1208" s="458"/>
      <c r="BM1208" s="458"/>
      <c r="BN1208" s="458"/>
      <c r="BO1208" s="866">
        <f>VLOOKUP(BD1208,$BD$4:$BN$12824,3,0)*BE1208</f>
        <v>19410.529469999008</v>
      </c>
      <c r="BP1208" s="866"/>
      <c r="BQ1208" s="866"/>
      <c r="BR1208" s="866">
        <f>VLOOKUP(BD1208,$BD$4:$BN$12824,6,0)*BE1208</f>
        <v>13174.703499561007</v>
      </c>
      <c r="BS1208" s="866">
        <f>VLOOKUP(BD1208,$BD$4:$BN$12824,7,0)*BE1208</f>
        <v>0</v>
      </c>
      <c r="BT1208" s="866"/>
      <c r="BU1208" s="866">
        <f>VLOOKUP(BD1208,$BD$4:$BN$12824,9,0)*BE1208</f>
        <v>0</v>
      </c>
      <c r="BV1208" s="867"/>
      <c r="BW1208" s="867">
        <f>VLOOKUP(BD1208,$BD$4:$BN$12824,11,0)*BE1208</f>
        <v>3494.5236199466876</v>
      </c>
      <c r="BX1208" s="1146">
        <f t="shared" si="234"/>
        <v>36079.756589506702</v>
      </c>
      <c r="BY1208" s="867">
        <f t="shared" si="227"/>
        <v>721104.75658950675</v>
      </c>
      <c r="BZ1208" s="867">
        <f t="shared" si="225"/>
        <v>721104.75658950675</v>
      </c>
      <c r="CA1208" s="867">
        <f>_xlfn.MAXIFS($BY$4:$BY$12824,$S$4:$S$12824,$S1208)</f>
        <v>721104.75658950675</v>
      </c>
      <c r="CB1208" s="1032"/>
      <c r="CF1208" s="946">
        <f t="shared" si="226"/>
        <v>685025</v>
      </c>
    </row>
    <row r="1209" spans="1:84">
      <c r="B1209" s="839" t="s">
        <v>98</v>
      </c>
      <c r="C1209" s="839" t="s">
        <v>4175</v>
      </c>
      <c r="D1209" s="839" t="s">
        <v>4176</v>
      </c>
      <c r="E1209" s="839" t="s">
        <v>4176</v>
      </c>
      <c r="F1209" s="841">
        <v>45654</v>
      </c>
      <c r="G1209" s="840" t="s">
        <v>4177</v>
      </c>
      <c r="H1209" s="842" t="s">
        <v>134</v>
      </c>
      <c r="I1209" s="883"/>
      <c r="J1209" s="841"/>
      <c r="K1209" s="841"/>
      <c r="L1209" s="843" t="s">
        <v>106</v>
      </c>
      <c r="M1209" s="844" t="s">
        <v>107</v>
      </c>
      <c r="N1209" s="841"/>
      <c r="O1209" s="884" t="s">
        <v>108</v>
      </c>
      <c r="P1209" s="842" t="s">
        <v>3622</v>
      </c>
      <c r="Q1209" s="843"/>
      <c r="R1209" s="845" t="s">
        <v>4178</v>
      </c>
      <c r="S1209" s="1127" t="s">
        <v>4179</v>
      </c>
      <c r="T1209" s="885" t="s">
        <v>4180</v>
      </c>
      <c r="U1209" s="886">
        <v>2</v>
      </c>
      <c r="V1209" s="842" t="s">
        <v>3</v>
      </c>
      <c r="W1209" s="846">
        <v>1380</v>
      </c>
      <c r="X1209" s="847">
        <f t="shared" si="220"/>
        <v>2760</v>
      </c>
      <c r="Y1209" s="848" t="s">
        <v>4181</v>
      </c>
      <c r="Z1209" s="849">
        <v>683.1</v>
      </c>
      <c r="AA1209" s="849"/>
      <c r="AB1209" s="849">
        <f t="shared" si="221"/>
        <v>1366.2</v>
      </c>
      <c r="AC1209" s="850">
        <f t="shared" si="222"/>
        <v>1366.2</v>
      </c>
      <c r="AD1209" s="851">
        <f>IF(V1209=$AD$2,$AE$2,$AE$3)</f>
        <v>32000</v>
      </c>
      <c r="AE1209" s="852">
        <v>30034.01</v>
      </c>
      <c r="AF1209" s="853">
        <v>0</v>
      </c>
      <c r="AG1209" s="854">
        <f>(AC1209*AE1209+BO1209+BP1209+BQ1209+BS1209)*AF1209</f>
        <v>0</v>
      </c>
      <c r="AH1209" s="853">
        <v>0.1</v>
      </c>
      <c r="AI1209" s="855">
        <f t="shared" si="224"/>
        <v>5354572.9462000001</v>
      </c>
      <c r="AJ1209" s="845" t="s">
        <v>4176</v>
      </c>
      <c r="AK1209" s="857">
        <v>46019</v>
      </c>
      <c r="AL1209" s="843" t="s">
        <v>4182</v>
      </c>
      <c r="AM1209" s="843"/>
      <c r="AN1209" s="844"/>
      <c r="AO1209" s="844" t="s">
        <v>141</v>
      </c>
      <c r="AP1209" s="841"/>
      <c r="AQ1209" s="842" t="s">
        <v>4183</v>
      </c>
      <c r="AR1209" s="841">
        <v>45842</v>
      </c>
      <c r="AS1209" s="842"/>
      <c r="AT1209" s="842"/>
      <c r="AU1209" s="842" t="s">
        <v>1210</v>
      </c>
      <c r="AV1209" s="845" t="s">
        <v>4184</v>
      </c>
      <c r="AW1209" s="861">
        <v>45754</v>
      </c>
      <c r="AX1209" s="862">
        <v>45876</v>
      </c>
      <c r="AY1209" s="843" t="s">
        <v>4185</v>
      </c>
      <c r="AZ1209" s="842">
        <v>94051199</v>
      </c>
      <c r="BA1209" s="842" t="s">
        <v>120</v>
      </c>
      <c r="BB1209" s="863" t="s">
        <v>121</v>
      </c>
      <c r="BC1209" s="864">
        <v>45850</v>
      </c>
      <c r="BD1209" s="860" t="s">
        <v>4186</v>
      </c>
      <c r="BE1209" s="865" cm="1">
        <f t="array" ref="BE1209">IF(BD1209="","",AC1209/SUMPRODUCT(--(BD1209=$BD$4:$BD$12824),$AC$4:$AC$12824))</f>
        <v>7.0606147210354325E-2</v>
      </c>
      <c r="BF1209" s="458" cm="1">
        <f t="array" ref="BF1209">SUM(_xlfn._xlws.FILTER( INDEX(Cost!$B$3:$BK$77,MATCH(LDL!$BD1209, Cost!$F$3:$F$77, 0),0),Cost!$B$3:$BK$3 = BF$3))</f>
        <v>11967068</v>
      </c>
      <c r="BG1209" s="458"/>
      <c r="BH1209" s="458"/>
      <c r="BI1209" s="458" cm="1">
        <f t="array" ref="BI1209">SUM(_xlfn._xlws.FILTER( INDEX(Cost!$B$3:$BK$77,MATCH(LDL!$BD1209, Cost!$F$3:$F$77, 0),0),Cost!$B$3:$BK$3 = BI$3))/1.08</f>
        <v>6630815.7407407407</v>
      </c>
      <c r="BJ1209" s="458" cm="1">
        <f t="array" ref="BJ1209">SUM(_xlfn._xlws.FILTER( INDEX(Cost!$B$3:$BK$77,MATCH(LDL!$BD1209, Cost!$F$3:$F$77, 0),0),Cost!$B$3:$BK$3 = BJ$3))</f>
        <v>546197</v>
      </c>
      <c r="BK1209" s="458"/>
      <c r="BL1209" s="458" cm="1">
        <f t="array" ref="BL1209">SUM(_xlfn._xlws.FILTER( INDEX(Cost!$B$3:$BK$77,MATCH(LDL!$BD1209, Cost!$F$3:$F$77, 0),0),Cost!$B$3:$BK$3 = BL$3))</f>
        <v>23585</v>
      </c>
      <c r="BM1209" s="458"/>
      <c r="BN1209" s="458" cm="1">
        <f t="array" ref="BN1209">SUM(_xlfn._xlws.FILTER( INDEX(Cost!$B$3:$BK$77,MATCH(LDL!$BD1209, Cost!$F$3:$F$77, 0),0),Cost!$B$3:$BK$3 = BN$3))/1.08</f>
        <v>600000</v>
      </c>
      <c r="BO1209" s="866">
        <f>VLOOKUP(BD1209,$BD$4:$BN$12824,3,0)*BE1209</f>
        <v>844948.56488432048</v>
      </c>
      <c r="BP1209" s="866"/>
      <c r="BQ1209" s="866"/>
      <c r="BR1209" s="866">
        <f>VLOOKUP(BD1209,$BD$4:$BN$12824,6,0)*BE1209</f>
        <v>468176.35231547541</v>
      </c>
      <c r="BS1209" s="866">
        <f>VLOOKUP(BD1209,$BD$4:$BN$12824,7,0)*BE1209</f>
        <v>38564.865787853902</v>
      </c>
      <c r="BT1209" s="866"/>
      <c r="BU1209" s="866">
        <f>VLOOKUP(BD1209,$BD$4:$BN$12824,9,0)*BE1209</f>
        <v>1665.2459819562068</v>
      </c>
      <c r="BV1209" s="867"/>
      <c r="BW1209" s="867">
        <f>VLOOKUP(BD1209,$BD$4:$BN$12824,11,0)*BE1209</f>
        <v>42363.688326212592</v>
      </c>
      <c r="BX1209" s="1146">
        <f t="shared" si="229"/>
        <v>1395718.7172958185</v>
      </c>
      <c r="BY1209" s="867">
        <f t="shared" si="227"/>
        <v>21214091.589647908</v>
      </c>
      <c r="BZ1209" s="867">
        <f t="shared" si="225"/>
        <v>42428183.179295816</v>
      </c>
      <c r="CA1209" s="867">
        <f>_xlfn.MAXIFS($BY$4:$BY$12824,$S$4:$S$12824,$S1209)</f>
        <v>21214091.589647908</v>
      </c>
      <c r="CB1209" s="1032"/>
      <c r="CF1209" s="946">
        <f t="shared" si="226"/>
        <v>41032464.461999997</v>
      </c>
    </row>
    <row r="1210" spans="1:84">
      <c r="B1210" s="839" t="s">
        <v>98</v>
      </c>
      <c r="C1210" s="839" t="s">
        <v>4175</v>
      </c>
      <c r="D1210" s="839" t="s">
        <v>4176</v>
      </c>
      <c r="E1210" s="839" t="s">
        <v>4176</v>
      </c>
      <c r="F1210" s="841">
        <v>45654</v>
      </c>
      <c r="G1210" s="840" t="s">
        <v>4177</v>
      </c>
      <c r="H1210" s="842" t="s">
        <v>134</v>
      </c>
      <c r="I1210" s="883"/>
      <c r="J1210" s="841"/>
      <c r="K1210" s="841"/>
      <c r="L1210" s="843" t="s">
        <v>106</v>
      </c>
      <c r="M1210" s="844" t="s">
        <v>107</v>
      </c>
      <c r="N1210" s="841"/>
      <c r="O1210" s="884" t="s">
        <v>108</v>
      </c>
      <c r="P1210" s="842" t="s">
        <v>2088</v>
      </c>
      <c r="Q1210" s="843"/>
      <c r="R1210" s="845" t="s">
        <v>4187</v>
      </c>
      <c r="S1210" s="1127" t="s">
        <v>4188</v>
      </c>
      <c r="T1210" s="885" t="s">
        <v>4189</v>
      </c>
      <c r="U1210" s="886">
        <v>2</v>
      </c>
      <c r="V1210" s="842" t="s">
        <v>3</v>
      </c>
      <c r="W1210" s="846">
        <v>1075</v>
      </c>
      <c r="X1210" s="847">
        <f t="shared" si="220"/>
        <v>2150</v>
      </c>
      <c r="Y1210" s="848" t="s">
        <v>4181</v>
      </c>
      <c r="Z1210" s="849">
        <v>532.13</v>
      </c>
      <c r="AA1210" s="849"/>
      <c r="AB1210" s="849">
        <f>IF(AA1210="F.O.C", 0, Z1210*U1210)</f>
        <v>1064.26</v>
      </c>
      <c r="AC1210" s="850">
        <f t="shared" si="222"/>
        <v>1064.26</v>
      </c>
      <c r="AD1210" s="851">
        <f t="shared" ref="AD1210:AD1272" si="235">IF(V1210=$AD$2,$AE$2,$AE$3)</f>
        <v>32000</v>
      </c>
      <c r="AE1210" s="852">
        <v>30034.01</v>
      </c>
      <c r="AF1210" s="853">
        <v>0</v>
      </c>
      <c r="AG1210" s="854">
        <f>(AC1210*AE1210+BO1210+BP1210+BQ1210+BS1210)*AF1210</f>
        <v>0</v>
      </c>
      <c r="AH1210" s="853">
        <v>0.1</v>
      </c>
      <c r="AI1210" s="855">
        <f t="shared" si="224"/>
        <v>3196399.5482600001</v>
      </c>
      <c r="AJ1210" s="845" t="s">
        <v>4176</v>
      </c>
      <c r="AK1210" s="857">
        <v>46019</v>
      </c>
      <c r="AL1210" s="843" t="s">
        <v>4182</v>
      </c>
      <c r="AM1210" s="843"/>
      <c r="AN1210" s="844"/>
      <c r="AO1210" s="844" t="s">
        <v>141</v>
      </c>
      <c r="AP1210" s="841"/>
      <c r="AQ1210" s="842" t="s">
        <v>4183</v>
      </c>
      <c r="AR1210" s="841">
        <v>45842</v>
      </c>
      <c r="AS1210" s="842"/>
      <c r="AT1210" s="842"/>
      <c r="AU1210" s="842" t="s">
        <v>1210</v>
      </c>
      <c r="AV1210" s="845" t="s">
        <v>4184</v>
      </c>
      <c r="AW1210" s="861">
        <v>45754</v>
      </c>
      <c r="AX1210" s="862">
        <v>45876</v>
      </c>
      <c r="AY1210" s="843" t="s">
        <v>4190</v>
      </c>
      <c r="AZ1210" s="842">
        <v>94051199</v>
      </c>
      <c r="BA1210" s="842" t="s">
        <v>120</v>
      </c>
      <c r="BB1210" s="863" t="s">
        <v>121</v>
      </c>
      <c r="BC1210" s="864">
        <v>45850</v>
      </c>
      <c r="BD1210" s="860" t="s">
        <v>4186</v>
      </c>
      <c r="BE1210" s="865" cm="1">
        <f t="array" ref="BE1210">IF(BD1210="","",AC1210/SUMPRODUCT(--(BD1210=$BD$4:$BD$12824),$AC$4:$AC$12824))</f>
        <v>5.500168220618628E-2</v>
      </c>
      <c r="BF1210" s="458"/>
      <c r="BG1210" s="458"/>
      <c r="BH1210" s="458"/>
      <c r="BI1210" s="458"/>
      <c r="BJ1210" s="458"/>
      <c r="BK1210" s="458"/>
      <c r="BL1210" s="458"/>
      <c r="BM1210" s="458"/>
      <c r="BN1210" s="458"/>
      <c r="BO1210" s="866">
        <f>VLOOKUP(BD1210,$BD$4:$BN$12824,3,0)*BE1210</f>
        <v>658208.87107582123</v>
      </c>
      <c r="BP1210" s="866"/>
      <c r="BQ1210" s="866"/>
      <c r="BR1210" s="866">
        <f>VLOOKUP(BD1210,$BD$4:$BN$12824,6,0)*BE1210</f>
        <v>364706.02013999986</v>
      </c>
      <c r="BS1210" s="866">
        <f>VLOOKUP(BD1210,$BD$4:$BN$12824,7,0)*BE1210</f>
        <v>30041.753815972326</v>
      </c>
      <c r="BT1210" s="866"/>
      <c r="BU1210" s="866">
        <f>VLOOKUP(BD1210,$BD$4:$BN$12824,9,0)*BE1210</f>
        <v>1297.2146748329035</v>
      </c>
      <c r="BV1210" s="867"/>
      <c r="BW1210" s="867">
        <f>VLOOKUP(BD1210,$BD$4:$BN$12824,11,0)*BE1210</f>
        <v>33001.009323711769</v>
      </c>
      <c r="BX1210" s="1146">
        <f t="shared" si="229"/>
        <v>1087254.869030338</v>
      </c>
      <c r="BY1210" s="867">
        <f t="shared" si="227"/>
        <v>16525625.175815169</v>
      </c>
      <c r="BZ1210" s="867">
        <f t="shared" si="225"/>
        <v>33051250.351630338</v>
      </c>
      <c r="CA1210" s="867">
        <f>_xlfn.MAXIFS($BY$4:$BY$12824,$S$4:$S$12824,$S1210)</f>
        <v>16525625.175815169</v>
      </c>
      <c r="CB1210" s="1032"/>
      <c r="CF1210" s="946">
        <f t="shared" si="226"/>
        <v>31963995.4826</v>
      </c>
    </row>
    <row r="1211" spans="1:84">
      <c r="B1211" s="839" t="s">
        <v>98</v>
      </c>
      <c r="C1211" s="839" t="s">
        <v>4175</v>
      </c>
      <c r="D1211" s="839" t="s">
        <v>4176</v>
      </c>
      <c r="E1211" s="839" t="s">
        <v>4176</v>
      </c>
      <c r="F1211" s="841">
        <v>45654</v>
      </c>
      <c r="G1211" s="840" t="s">
        <v>4177</v>
      </c>
      <c r="H1211" s="842" t="s">
        <v>134</v>
      </c>
      <c r="I1211" s="883"/>
      <c r="J1211" s="841"/>
      <c r="K1211" s="841"/>
      <c r="L1211" s="843" t="s">
        <v>106</v>
      </c>
      <c r="M1211" s="844" t="s">
        <v>107</v>
      </c>
      <c r="N1211" s="841"/>
      <c r="O1211" s="884" t="s">
        <v>108</v>
      </c>
      <c r="P1211" s="842" t="s">
        <v>269</v>
      </c>
      <c r="Q1211" s="843"/>
      <c r="R1211" s="845" t="s">
        <v>4191</v>
      </c>
      <c r="S1211" s="1127" t="s">
        <v>4192</v>
      </c>
      <c r="T1211" s="885" t="s">
        <v>4193</v>
      </c>
      <c r="U1211" s="886">
        <v>2</v>
      </c>
      <c r="V1211" s="842" t="s">
        <v>3</v>
      </c>
      <c r="W1211" s="846">
        <v>1150</v>
      </c>
      <c r="X1211" s="847">
        <f t="shared" si="220"/>
        <v>2300</v>
      </c>
      <c r="Y1211" s="848" t="s">
        <v>4181</v>
      </c>
      <c r="Z1211" s="849">
        <v>569.25</v>
      </c>
      <c r="AA1211" s="849"/>
      <c r="AB1211" s="849">
        <f t="shared" si="221"/>
        <v>1138.5</v>
      </c>
      <c r="AC1211" s="850">
        <f t="shared" si="222"/>
        <v>1138.5</v>
      </c>
      <c r="AD1211" s="851">
        <f t="shared" si="235"/>
        <v>32000</v>
      </c>
      <c r="AE1211" s="852">
        <v>30034.01</v>
      </c>
      <c r="AF1211" s="853">
        <v>0</v>
      </c>
      <c r="AG1211" s="854">
        <f t="shared" si="223"/>
        <v>0</v>
      </c>
      <c r="AH1211" s="853">
        <v>0.1</v>
      </c>
      <c r="AI1211" s="855">
        <f t="shared" si="224"/>
        <v>3419372.0384999998</v>
      </c>
      <c r="AJ1211" s="845" t="s">
        <v>4176</v>
      </c>
      <c r="AK1211" s="857">
        <v>46019</v>
      </c>
      <c r="AL1211" s="843" t="s">
        <v>4182</v>
      </c>
      <c r="AM1211" s="843"/>
      <c r="AN1211" s="844"/>
      <c r="AO1211" s="844" t="s">
        <v>141</v>
      </c>
      <c r="AP1211" s="841"/>
      <c r="AQ1211" s="842" t="s">
        <v>4183</v>
      </c>
      <c r="AR1211" s="841">
        <v>45842</v>
      </c>
      <c r="AS1211" s="842"/>
      <c r="AT1211" s="842"/>
      <c r="AU1211" s="842" t="s">
        <v>1210</v>
      </c>
      <c r="AV1211" s="845" t="s">
        <v>4184</v>
      </c>
      <c r="AW1211" s="861">
        <v>45754</v>
      </c>
      <c r="AX1211" s="862">
        <v>45876</v>
      </c>
      <c r="AY1211" s="843" t="s">
        <v>4194</v>
      </c>
      <c r="AZ1211" s="842">
        <v>94052190</v>
      </c>
      <c r="BA1211" s="842" t="s">
        <v>120</v>
      </c>
      <c r="BB1211" s="863" t="s">
        <v>121</v>
      </c>
      <c r="BC1211" s="864">
        <v>45850</v>
      </c>
      <c r="BD1211" s="860" t="s">
        <v>4186</v>
      </c>
      <c r="BE1211" s="865" cm="1">
        <f t="array" ref="BE1211">IF(BD1211="","",AC1211/SUMPRODUCT(--(BD1211=$BD$4:$BD$12824),$AC$4:$AC$12824))</f>
        <v>5.8838456008628609E-2</v>
      </c>
      <c r="BF1211" s="458"/>
      <c r="BG1211" s="458"/>
      <c r="BH1211" s="458"/>
      <c r="BI1211" s="458"/>
      <c r="BJ1211" s="458"/>
      <c r="BK1211" s="458"/>
      <c r="BL1211" s="458"/>
      <c r="BM1211" s="458"/>
      <c r="BN1211" s="458"/>
      <c r="BO1211" s="866">
        <f>VLOOKUP(BD1211,$BD$4:$BN$12824,3,0)*BE1211</f>
        <v>704123.80407026713</v>
      </c>
      <c r="BP1211" s="866"/>
      <c r="BQ1211" s="866"/>
      <c r="BR1211" s="866">
        <f>VLOOKUP(BD1211,$BD$4:$BN$12824,6,0)*BE1211</f>
        <v>390146.9602628962</v>
      </c>
      <c r="BS1211" s="866">
        <f>VLOOKUP(BD1211,$BD$4:$BN$12824,7,0)*BE1211</f>
        <v>32137.388156544919</v>
      </c>
      <c r="BT1211" s="866"/>
      <c r="BU1211" s="866">
        <f>VLOOKUP(BD1211,$BD$4:$BN$12824,9,0)*BE1211</f>
        <v>1387.7049849635057</v>
      </c>
      <c r="BV1211" s="867"/>
      <c r="BW1211" s="867">
        <f>VLOOKUP(BD1211,$BD$4:$BN$12824,11,0)*BE1211</f>
        <v>35303.073605177167</v>
      </c>
      <c r="BX1211" s="1146">
        <f t="shared" si="229"/>
        <v>1163098.9310798489</v>
      </c>
      <c r="BY1211" s="867">
        <f t="shared" si="227"/>
        <v>17678409.658039924</v>
      </c>
      <c r="BZ1211" s="867">
        <f t="shared" si="225"/>
        <v>35356819.316079848</v>
      </c>
      <c r="CA1211" s="867">
        <f>_xlfn.MAXIFS($BY$4:$BY$12824,$S$4:$S$12824,$S1211)</f>
        <v>17678409.658039924</v>
      </c>
      <c r="CB1211" s="1032"/>
      <c r="CF1211" s="946">
        <f t="shared" si="226"/>
        <v>34193720.384999998</v>
      </c>
    </row>
    <row r="1212" spans="1:84">
      <c r="B1212" s="839" t="s">
        <v>98</v>
      </c>
      <c r="C1212" s="839" t="s">
        <v>4175</v>
      </c>
      <c r="D1212" s="839" t="s">
        <v>4176</v>
      </c>
      <c r="E1212" s="839" t="s">
        <v>4176</v>
      </c>
      <c r="F1212" s="841">
        <v>45654</v>
      </c>
      <c r="G1212" s="840" t="s">
        <v>4177</v>
      </c>
      <c r="H1212" s="842" t="s">
        <v>134</v>
      </c>
      <c r="I1212" s="883"/>
      <c r="J1212" s="841"/>
      <c r="K1212" s="841"/>
      <c r="L1212" s="843" t="s">
        <v>106</v>
      </c>
      <c r="M1212" s="844" t="s">
        <v>107</v>
      </c>
      <c r="N1212" s="841"/>
      <c r="O1212" s="884" t="s">
        <v>108</v>
      </c>
      <c r="P1212" s="842" t="s">
        <v>3622</v>
      </c>
      <c r="Q1212" s="843"/>
      <c r="R1212" s="845" t="s">
        <v>4195</v>
      </c>
      <c r="S1212" s="1127" t="s">
        <v>4196</v>
      </c>
      <c r="T1212" s="885" t="s">
        <v>4197</v>
      </c>
      <c r="U1212" s="886">
        <v>2</v>
      </c>
      <c r="V1212" s="842" t="s">
        <v>3</v>
      </c>
      <c r="W1212" s="846">
        <v>1560</v>
      </c>
      <c r="X1212" s="847">
        <f t="shared" si="220"/>
        <v>3120</v>
      </c>
      <c r="Y1212" s="848" t="s">
        <v>4181</v>
      </c>
      <c r="Z1212" s="849">
        <v>772.2</v>
      </c>
      <c r="AA1212" s="849"/>
      <c r="AB1212" s="849">
        <f t="shared" si="221"/>
        <v>1544.4</v>
      </c>
      <c r="AC1212" s="850">
        <f t="shared" si="222"/>
        <v>1544.4</v>
      </c>
      <c r="AD1212" s="851">
        <f t="shared" si="235"/>
        <v>32000</v>
      </c>
      <c r="AE1212" s="852">
        <v>30034.01</v>
      </c>
      <c r="AF1212" s="853">
        <v>0</v>
      </c>
      <c r="AG1212" s="854">
        <f t="shared" si="223"/>
        <v>0</v>
      </c>
      <c r="AH1212" s="853">
        <v>0.1</v>
      </c>
      <c r="AI1212" s="855">
        <f t="shared" si="224"/>
        <v>4638452.5044</v>
      </c>
      <c r="AJ1212" s="845" t="s">
        <v>4176</v>
      </c>
      <c r="AK1212" s="857">
        <v>46019</v>
      </c>
      <c r="AL1212" s="843" t="s">
        <v>4182</v>
      </c>
      <c r="AM1212" s="843"/>
      <c r="AN1212" s="844"/>
      <c r="AO1212" s="844" t="s">
        <v>141</v>
      </c>
      <c r="AP1212" s="841"/>
      <c r="AQ1212" s="842" t="s">
        <v>4183</v>
      </c>
      <c r="AR1212" s="841">
        <v>45842</v>
      </c>
      <c r="AS1212" s="842"/>
      <c r="AT1212" s="842"/>
      <c r="AU1212" s="842" t="s">
        <v>1210</v>
      </c>
      <c r="AV1212" s="845" t="s">
        <v>4184</v>
      </c>
      <c r="AW1212" s="861">
        <v>45754</v>
      </c>
      <c r="AX1212" s="862">
        <v>45876</v>
      </c>
      <c r="AY1212" s="843" t="s">
        <v>4198</v>
      </c>
      <c r="AZ1212" s="842">
        <v>94051199</v>
      </c>
      <c r="BA1212" s="842" t="s">
        <v>120</v>
      </c>
      <c r="BB1212" s="863" t="s">
        <v>121</v>
      </c>
      <c r="BC1212" s="864">
        <v>45850</v>
      </c>
      <c r="BD1212" s="860" t="s">
        <v>4186</v>
      </c>
      <c r="BE1212" s="865" cm="1">
        <f t="array" ref="BE1212">IF(BD1212="","",AC1212/SUMPRODUCT(--(BD1212=$BD$4:$BD$12824),$AC$4:$AC$12824))</f>
        <v>7.9815644672574459E-2</v>
      </c>
      <c r="BF1212" s="458"/>
      <c r="BG1212" s="458"/>
      <c r="BH1212" s="458"/>
      <c r="BI1212" s="458"/>
      <c r="BJ1212" s="458"/>
      <c r="BK1212" s="458"/>
      <c r="BL1212" s="458"/>
      <c r="BM1212" s="458"/>
      <c r="BN1212" s="458"/>
      <c r="BO1212" s="866">
        <f>VLOOKUP(BD1212,$BD$4:$BN$12824,3,0)*BE1212</f>
        <v>955159.2472605363</v>
      </c>
      <c r="BP1212" s="866"/>
      <c r="BQ1212" s="866"/>
      <c r="BR1212" s="866">
        <f>VLOOKUP(BD1212,$BD$4:$BN$12824,6,0)*BE1212</f>
        <v>529242.83305227652</v>
      </c>
      <c r="BS1212" s="866">
        <f>VLOOKUP(BD1212,$BD$4:$BN$12824,7,0)*BE1212</f>
        <v>43595.065673226149</v>
      </c>
      <c r="BT1212" s="866"/>
      <c r="BU1212" s="866">
        <f>VLOOKUP(BD1212,$BD$4:$BN$12824,9,0)*BE1212</f>
        <v>1882.4519796026686</v>
      </c>
      <c r="BV1212" s="867"/>
      <c r="BW1212" s="867">
        <f>VLOOKUP(BD1212,$BD$4:$BN$12824,11,0)*BE1212</f>
        <v>47889.386803544672</v>
      </c>
      <c r="BX1212" s="1146">
        <f t="shared" si="229"/>
        <v>1577768.9847691862</v>
      </c>
      <c r="BY1212" s="867">
        <f t="shared" si="227"/>
        <v>23981147.014384594</v>
      </c>
      <c r="BZ1212" s="867">
        <f t="shared" si="225"/>
        <v>47962294.028769188</v>
      </c>
      <c r="CA1212" s="867">
        <f>_xlfn.MAXIFS($BY$4:$BY$12824,$S$4:$S$12824,$S1212)</f>
        <v>23981147.014384594</v>
      </c>
      <c r="CB1212" s="1032"/>
      <c r="CF1212" s="946">
        <f t="shared" si="226"/>
        <v>46384525.044</v>
      </c>
    </row>
    <row r="1213" spans="1:84">
      <c r="B1213" s="839" t="s">
        <v>98</v>
      </c>
      <c r="C1213" s="839" t="s">
        <v>4175</v>
      </c>
      <c r="D1213" s="839" t="s">
        <v>4176</v>
      </c>
      <c r="E1213" s="839" t="s">
        <v>4176</v>
      </c>
      <c r="F1213" s="841">
        <v>45654</v>
      </c>
      <c r="G1213" s="840" t="s">
        <v>4177</v>
      </c>
      <c r="H1213" s="842" t="s">
        <v>134</v>
      </c>
      <c r="I1213" s="883"/>
      <c r="J1213" s="841"/>
      <c r="K1213" s="841"/>
      <c r="L1213" s="843" t="s">
        <v>106</v>
      </c>
      <c r="M1213" s="844" t="s">
        <v>107</v>
      </c>
      <c r="N1213" s="841"/>
      <c r="O1213" s="884" t="s">
        <v>108</v>
      </c>
      <c r="P1213" s="842" t="s">
        <v>3622</v>
      </c>
      <c r="Q1213" s="843"/>
      <c r="R1213" s="845" t="s">
        <v>4199</v>
      </c>
      <c r="S1213" s="1127" t="s">
        <v>4200</v>
      </c>
      <c r="T1213" s="885" t="s">
        <v>4201</v>
      </c>
      <c r="U1213" s="886">
        <v>1</v>
      </c>
      <c r="V1213" s="842" t="s">
        <v>3</v>
      </c>
      <c r="W1213" s="846">
        <v>1610</v>
      </c>
      <c r="X1213" s="847">
        <f t="shared" si="220"/>
        <v>1610</v>
      </c>
      <c r="Y1213" s="848" t="s">
        <v>4181</v>
      </c>
      <c r="Z1213" s="849">
        <v>796.95</v>
      </c>
      <c r="AA1213" s="849"/>
      <c r="AB1213" s="849">
        <f t="shared" si="221"/>
        <v>796.95</v>
      </c>
      <c r="AC1213" s="850">
        <f t="shared" si="222"/>
        <v>796.95</v>
      </c>
      <c r="AD1213" s="851">
        <f t="shared" si="235"/>
        <v>32000</v>
      </c>
      <c r="AE1213" s="852">
        <v>30034.01</v>
      </c>
      <c r="AF1213" s="853">
        <v>0</v>
      </c>
      <c r="AG1213" s="854">
        <f t="shared" si="223"/>
        <v>0</v>
      </c>
      <c r="AH1213" s="853">
        <v>0.1</v>
      </c>
      <c r="AI1213" s="855">
        <f t="shared" si="224"/>
        <v>2393560.4269499998</v>
      </c>
      <c r="AJ1213" s="845" t="s">
        <v>4176</v>
      </c>
      <c r="AK1213" s="857">
        <v>46019</v>
      </c>
      <c r="AL1213" s="843" t="s">
        <v>4182</v>
      </c>
      <c r="AM1213" s="843"/>
      <c r="AN1213" s="844"/>
      <c r="AO1213" s="844" t="s">
        <v>141</v>
      </c>
      <c r="AP1213" s="841"/>
      <c r="AQ1213" s="842" t="s">
        <v>4183</v>
      </c>
      <c r="AR1213" s="841">
        <v>45842</v>
      </c>
      <c r="AS1213" s="842"/>
      <c r="AT1213" s="842"/>
      <c r="AU1213" s="842" t="s">
        <v>1210</v>
      </c>
      <c r="AV1213" s="845" t="s">
        <v>4184</v>
      </c>
      <c r="AW1213" s="861">
        <v>45754</v>
      </c>
      <c r="AX1213" s="862">
        <v>45876</v>
      </c>
      <c r="AY1213" s="843" t="s">
        <v>4202</v>
      </c>
      <c r="AZ1213" s="842">
        <v>94051199</v>
      </c>
      <c r="BA1213" s="842" t="s">
        <v>120</v>
      </c>
      <c r="BB1213" s="863" t="s">
        <v>121</v>
      </c>
      <c r="BC1213" s="864">
        <v>45850</v>
      </c>
      <c r="BD1213" s="860" t="s">
        <v>4186</v>
      </c>
      <c r="BE1213" s="865" cm="1">
        <f t="array" ref="BE1213">IF(BD1213="","",AC1213/SUMPRODUCT(--(BD1213=$BD$4:$BD$12824),$AC$4:$AC$12824))</f>
        <v>4.1186919206040028E-2</v>
      </c>
      <c r="BF1213" s="458"/>
      <c r="BG1213" s="458"/>
      <c r="BH1213" s="458"/>
      <c r="BI1213" s="458"/>
      <c r="BJ1213" s="458"/>
      <c r="BK1213" s="458"/>
      <c r="BL1213" s="458"/>
      <c r="BM1213" s="458"/>
      <c r="BN1213" s="458"/>
      <c r="BO1213" s="866">
        <f>VLOOKUP(BD1213,$BD$4:$BN$12824,3,0)*BE1213</f>
        <v>492886.66284918704</v>
      </c>
      <c r="BP1213" s="866"/>
      <c r="BQ1213" s="866"/>
      <c r="BR1213" s="866">
        <f>VLOOKUP(BD1213,$BD$4:$BN$12824,6,0)*BE1213</f>
        <v>273102.87218402734</v>
      </c>
      <c r="BS1213" s="866">
        <f>VLOOKUP(BD1213,$BD$4:$BN$12824,7,0)*BE1213</f>
        <v>22496.171709581446</v>
      </c>
      <c r="BT1213" s="866"/>
      <c r="BU1213" s="866">
        <f>VLOOKUP(BD1213,$BD$4:$BN$12824,9,0)*BE1213</f>
        <v>971.3934894744541</v>
      </c>
      <c r="BV1213" s="867"/>
      <c r="BW1213" s="867">
        <f>VLOOKUP(BD1213,$BD$4:$BN$12824,11,0)*BE1213</f>
        <v>24712.151523624016</v>
      </c>
      <c r="BX1213" s="1146">
        <f t="shared" si="229"/>
        <v>814169.25175589416</v>
      </c>
      <c r="BY1213" s="867">
        <f t="shared" si="227"/>
        <v>24749773.521255892</v>
      </c>
      <c r="BZ1213" s="867">
        <f t="shared" si="225"/>
        <v>24749773.521255892</v>
      </c>
      <c r="CA1213" s="867">
        <f>_xlfn.MAXIFS($BY$4:$BY$12824,$S$4:$S$12824,$S1213)</f>
        <v>24749773.521255892</v>
      </c>
      <c r="CB1213" s="1032"/>
      <c r="CF1213" s="946">
        <f t="shared" si="226"/>
        <v>23935604.269499999</v>
      </c>
    </row>
    <row r="1214" spans="1:84">
      <c r="B1214" s="839" t="s">
        <v>98</v>
      </c>
      <c r="C1214" s="839" t="s">
        <v>4175</v>
      </c>
      <c r="D1214" s="839" t="s">
        <v>4176</v>
      </c>
      <c r="E1214" s="839" t="s">
        <v>4176</v>
      </c>
      <c r="F1214" s="841">
        <v>45654</v>
      </c>
      <c r="G1214" s="840" t="s">
        <v>4177</v>
      </c>
      <c r="H1214" s="842" t="s">
        <v>134</v>
      </c>
      <c r="I1214" s="883"/>
      <c r="J1214" s="841"/>
      <c r="K1214" s="841"/>
      <c r="L1214" s="843" t="s">
        <v>106</v>
      </c>
      <c r="M1214" s="844" t="s">
        <v>107</v>
      </c>
      <c r="N1214" s="841"/>
      <c r="O1214" s="884" t="s">
        <v>108</v>
      </c>
      <c r="P1214" s="842" t="s">
        <v>3622</v>
      </c>
      <c r="Q1214" s="843"/>
      <c r="R1214" s="845" t="s">
        <v>4203</v>
      </c>
      <c r="S1214" s="1127" t="s">
        <v>4204</v>
      </c>
      <c r="T1214" s="885" t="s">
        <v>4205</v>
      </c>
      <c r="U1214" s="886">
        <v>2</v>
      </c>
      <c r="V1214" s="842" t="s">
        <v>3</v>
      </c>
      <c r="W1214" s="846">
        <v>2210</v>
      </c>
      <c r="X1214" s="847">
        <f t="shared" si="220"/>
        <v>4420</v>
      </c>
      <c r="Y1214" s="848" t="s">
        <v>4181</v>
      </c>
      <c r="Z1214" s="849">
        <v>1093.95</v>
      </c>
      <c r="AA1214" s="849"/>
      <c r="AB1214" s="849">
        <f t="shared" si="221"/>
        <v>2187.9</v>
      </c>
      <c r="AC1214" s="850">
        <f t="shared" si="222"/>
        <v>2187.9</v>
      </c>
      <c r="AD1214" s="851">
        <f t="shared" si="235"/>
        <v>32000</v>
      </c>
      <c r="AE1214" s="852">
        <v>30034.01</v>
      </c>
      <c r="AF1214" s="853">
        <v>0</v>
      </c>
      <c r="AG1214" s="854">
        <f t="shared" si="223"/>
        <v>0</v>
      </c>
      <c r="AH1214" s="853">
        <v>0.1</v>
      </c>
      <c r="AI1214" s="855">
        <f t="shared" si="224"/>
        <v>6571141.0479000006</v>
      </c>
      <c r="AJ1214" s="845" t="s">
        <v>4176</v>
      </c>
      <c r="AK1214" s="857">
        <v>46019</v>
      </c>
      <c r="AL1214" s="843" t="s">
        <v>4182</v>
      </c>
      <c r="AM1214" s="843"/>
      <c r="AN1214" s="844"/>
      <c r="AO1214" s="844" t="s">
        <v>141</v>
      </c>
      <c r="AP1214" s="841"/>
      <c r="AQ1214" s="842" t="s">
        <v>4183</v>
      </c>
      <c r="AR1214" s="841">
        <v>45842</v>
      </c>
      <c r="AS1214" s="842"/>
      <c r="AT1214" s="842"/>
      <c r="AU1214" s="842" t="s">
        <v>1210</v>
      </c>
      <c r="AV1214" s="845" t="s">
        <v>4184</v>
      </c>
      <c r="AW1214" s="861">
        <v>45754</v>
      </c>
      <c r="AX1214" s="862">
        <v>45876</v>
      </c>
      <c r="AY1214" s="843" t="s">
        <v>4206</v>
      </c>
      <c r="AZ1214" s="842">
        <v>94051199</v>
      </c>
      <c r="BA1214" s="842" t="s">
        <v>120</v>
      </c>
      <c r="BB1214" s="863" t="s">
        <v>121</v>
      </c>
      <c r="BC1214" s="864">
        <v>45850</v>
      </c>
      <c r="BD1214" s="860" t="s">
        <v>4186</v>
      </c>
      <c r="BE1214" s="865" cm="1">
        <f t="array" ref="BE1214">IF(BD1214="","",AC1214/SUMPRODUCT(--(BD1214=$BD$4:$BD$12824),$AC$4:$AC$12824))</f>
        <v>0.11307216328614715</v>
      </c>
      <c r="BF1214" s="458"/>
      <c r="BG1214" s="458"/>
      <c r="BH1214" s="458"/>
      <c r="BI1214" s="458"/>
      <c r="BJ1214" s="458"/>
      <c r="BK1214" s="458"/>
      <c r="BL1214" s="458"/>
      <c r="BM1214" s="458"/>
      <c r="BN1214" s="458"/>
      <c r="BO1214" s="866">
        <f>VLOOKUP(BD1214,$BD$4:$BN$12824,3,0)*BE1214</f>
        <v>1353142.2669524264</v>
      </c>
      <c r="BP1214" s="866"/>
      <c r="BQ1214" s="866"/>
      <c r="BR1214" s="866">
        <f>VLOOKUP(BD1214,$BD$4:$BN$12824,6,0)*BE1214</f>
        <v>749760.68015739182</v>
      </c>
      <c r="BS1214" s="866">
        <f>VLOOKUP(BD1214,$BD$4:$BN$12824,7,0)*BE1214</f>
        <v>61759.676370403715</v>
      </c>
      <c r="BT1214" s="866"/>
      <c r="BU1214" s="866">
        <f>VLOOKUP(BD1214,$BD$4:$BN$12824,9,0)*BE1214</f>
        <v>2666.8069711037806</v>
      </c>
      <c r="BV1214" s="867"/>
      <c r="BW1214" s="867">
        <f>VLOOKUP(BD1214,$BD$4:$BN$12824,11,0)*BE1214</f>
        <v>67843.297971688284</v>
      </c>
      <c r="BX1214" s="1146">
        <f t="shared" si="229"/>
        <v>2235172.7284230143</v>
      </c>
      <c r="BY1214" s="867">
        <f t="shared" si="227"/>
        <v>33973291.603711508</v>
      </c>
      <c r="BZ1214" s="867">
        <f t="shared" si="225"/>
        <v>67946583.207423016</v>
      </c>
      <c r="CA1214" s="867">
        <f>_xlfn.MAXIFS($BY$4:$BY$12824,$S$4:$S$12824,$S1214)</f>
        <v>33973291.603711508</v>
      </c>
      <c r="CB1214" s="1032"/>
      <c r="CF1214" s="946">
        <f t="shared" si="226"/>
        <v>65711410.479000002</v>
      </c>
    </row>
    <row r="1215" spans="1:84">
      <c r="B1215" s="839" t="s">
        <v>98</v>
      </c>
      <c r="C1215" s="839" t="s">
        <v>4175</v>
      </c>
      <c r="D1215" s="839" t="s">
        <v>4176</v>
      </c>
      <c r="E1215" s="839" t="s">
        <v>4176</v>
      </c>
      <c r="F1215" s="841">
        <v>45654</v>
      </c>
      <c r="G1215" s="840" t="s">
        <v>4177</v>
      </c>
      <c r="H1215" s="842" t="s">
        <v>134</v>
      </c>
      <c r="I1215" s="883"/>
      <c r="J1215" s="841"/>
      <c r="K1215" s="841"/>
      <c r="L1215" s="843" t="s">
        <v>106</v>
      </c>
      <c r="M1215" s="844" t="s">
        <v>107</v>
      </c>
      <c r="N1215" s="841"/>
      <c r="O1215" s="884" t="s">
        <v>108</v>
      </c>
      <c r="P1215" s="842" t="s">
        <v>3622</v>
      </c>
      <c r="Q1215" s="843"/>
      <c r="R1215" s="845" t="s">
        <v>4207</v>
      </c>
      <c r="S1215" s="1127" t="s">
        <v>4208</v>
      </c>
      <c r="T1215" s="885" t="s">
        <v>4209</v>
      </c>
      <c r="U1215" s="886">
        <v>1</v>
      </c>
      <c r="V1215" s="842" t="s">
        <v>3</v>
      </c>
      <c r="W1215" s="846">
        <v>2925</v>
      </c>
      <c r="X1215" s="847">
        <f t="shared" si="220"/>
        <v>2925</v>
      </c>
      <c r="Y1215" s="848" t="s">
        <v>4181</v>
      </c>
      <c r="Z1215" s="849">
        <v>1447.88</v>
      </c>
      <c r="AA1215" s="849"/>
      <c r="AB1215" s="849">
        <f t="shared" si="221"/>
        <v>1447.88</v>
      </c>
      <c r="AC1215" s="850">
        <f t="shared" si="222"/>
        <v>1447.88</v>
      </c>
      <c r="AD1215" s="851">
        <f t="shared" si="235"/>
        <v>32000</v>
      </c>
      <c r="AE1215" s="852">
        <v>30034.01</v>
      </c>
      <c r="AF1215" s="853">
        <v>0</v>
      </c>
      <c r="AG1215" s="854">
        <f t="shared" si="223"/>
        <v>0</v>
      </c>
      <c r="AH1215" s="853">
        <v>0.1</v>
      </c>
      <c r="AI1215" s="855">
        <f t="shared" si="224"/>
        <v>4348564.2398800002</v>
      </c>
      <c r="AJ1215" s="845" t="s">
        <v>4176</v>
      </c>
      <c r="AK1215" s="857">
        <v>46019</v>
      </c>
      <c r="AL1215" s="843" t="s">
        <v>4182</v>
      </c>
      <c r="AM1215" s="843"/>
      <c r="AN1215" s="844"/>
      <c r="AO1215" s="844" t="s">
        <v>141</v>
      </c>
      <c r="AP1215" s="841"/>
      <c r="AQ1215" s="842" t="s">
        <v>4183</v>
      </c>
      <c r="AR1215" s="841">
        <v>45842</v>
      </c>
      <c r="AS1215" s="842"/>
      <c r="AT1215" s="842"/>
      <c r="AU1215" s="842" t="s">
        <v>1210</v>
      </c>
      <c r="AV1215" s="845" t="s">
        <v>4184</v>
      </c>
      <c r="AW1215" s="861">
        <v>45754</v>
      </c>
      <c r="AX1215" s="862">
        <v>45876</v>
      </c>
      <c r="AY1215" s="843" t="s">
        <v>4210</v>
      </c>
      <c r="AZ1215" s="842">
        <v>94051199</v>
      </c>
      <c r="BA1215" s="842" t="s">
        <v>120</v>
      </c>
      <c r="BB1215" s="863" t="s">
        <v>121</v>
      </c>
      <c r="BC1215" s="864">
        <v>45850</v>
      </c>
      <c r="BD1215" s="860" t="s">
        <v>4186</v>
      </c>
      <c r="BE1215" s="865" cm="1">
        <f t="array" ref="BE1215">IF(BD1215="","",AC1215/SUMPRODUCT(--(BD1215=$BD$4:$BD$12824),$AC$4:$AC$12824))</f>
        <v>7.4827425283946591E-2</v>
      </c>
      <c r="BF1215" s="458"/>
      <c r="BG1215" s="458"/>
      <c r="BH1215" s="458"/>
      <c r="BI1215" s="458"/>
      <c r="BJ1215" s="458"/>
      <c r="BK1215" s="458"/>
      <c r="BL1215" s="458"/>
      <c r="BM1215" s="458"/>
      <c r="BN1215" s="458"/>
      <c r="BO1215" s="866">
        <f>VLOOKUP(BD1215,$BD$4:$BN$12824,3,0)*BE1215</f>
        <v>895464.88663790817</v>
      </c>
      <c r="BP1215" s="866"/>
      <c r="BQ1215" s="866"/>
      <c r="BR1215" s="866">
        <f>VLOOKUP(BD1215,$BD$4:$BN$12824,6,0)*BE1215</f>
        <v>496166.86941189476</v>
      </c>
      <c r="BS1215" s="866">
        <f>VLOOKUP(BD1215,$BD$4:$BN$12824,7,0)*BE1215</f>
        <v>40870.515207815777</v>
      </c>
      <c r="BT1215" s="866"/>
      <c r="BU1215" s="866">
        <f>VLOOKUP(BD1215,$BD$4:$BN$12824,9,0)*BE1215</f>
        <v>1764.8048253218803</v>
      </c>
      <c r="BV1215" s="867"/>
      <c r="BW1215" s="867">
        <f>VLOOKUP(BD1215,$BD$4:$BN$12824,11,0)*BE1215</f>
        <v>44896.455170367954</v>
      </c>
      <c r="BX1215" s="1146">
        <f t="shared" si="229"/>
        <v>1479163.5312533083</v>
      </c>
      <c r="BY1215" s="867">
        <f t="shared" si="227"/>
        <v>44964805.930053309</v>
      </c>
      <c r="BZ1215" s="867">
        <f t="shared" si="225"/>
        <v>44964805.930053309</v>
      </c>
      <c r="CA1215" s="867">
        <f>_xlfn.MAXIFS($BY$4:$BY$12824,$S$4:$S$12824,$S1215)</f>
        <v>44964805.930053309</v>
      </c>
      <c r="CB1215" s="1032"/>
      <c r="CF1215" s="946">
        <f>AC1215*AE1215</f>
        <v>43485642.398800001</v>
      </c>
    </row>
    <row r="1216" spans="1:84">
      <c r="B1216" s="839" t="s">
        <v>98</v>
      </c>
      <c r="C1216" s="839" t="s">
        <v>4175</v>
      </c>
      <c r="D1216" s="839" t="s">
        <v>4176</v>
      </c>
      <c r="E1216" s="839" t="s">
        <v>4176</v>
      </c>
      <c r="F1216" s="841">
        <v>45654</v>
      </c>
      <c r="G1216" s="840" t="s">
        <v>4177</v>
      </c>
      <c r="H1216" s="842" t="s">
        <v>134</v>
      </c>
      <c r="I1216" s="883"/>
      <c r="J1216" s="841"/>
      <c r="K1216" s="841"/>
      <c r="L1216" s="843" t="s">
        <v>106</v>
      </c>
      <c r="M1216" s="844" t="s">
        <v>107</v>
      </c>
      <c r="N1216" s="841"/>
      <c r="O1216" s="884" t="s">
        <v>108</v>
      </c>
      <c r="P1216" s="842" t="s">
        <v>160</v>
      </c>
      <c r="Q1216" s="843"/>
      <c r="R1216" s="845" t="s">
        <v>4211</v>
      </c>
      <c r="S1216" s="1127" t="s">
        <v>4212</v>
      </c>
      <c r="T1216" s="885" t="s">
        <v>4213</v>
      </c>
      <c r="U1216" s="886">
        <v>4</v>
      </c>
      <c r="V1216" s="842" t="s">
        <v>3</v>
      </c>
      <c r="W1216" s="846">
        <v>890</v>
      </c>
      <c r="X1216" s="847">
        <f t="shared" si="220"/>
        <v>3560</v>
      </c>
      <c r="Y1216" s="848" t="s">
        <v>4181</v>
      </c>
      <c r="Z1216" s="849">
        <v>440.55</v>
      </c>
      <c r="AA1216" s="849"/>
      <c r="AB1216" s="849">
        <f t="shared" si="221"/>
        <v>1762.2</v>
      </c>
      <c r="AC1216" s="850">
        <f t="shared" si="222"/>
        <v>1762.2</v>
      </c>
      <c r="AD1216" s="851">
        <f t="shared" si="235"/>
        <v>32000</v>
      </c>
      <c r="AE1216" s="852">
        <v>30034.01</v>
      </c>
      <c r="AF1216" s="853">
        <v>0</v>
      </c>
      <c r="AG1216" s="854">
        <f t="shared" si="223"/>
        <v>0</v>
      </c>
      <c r="AH1216" s="853">
        <v>0.1</v>
      </c>
      <c r="AI1216" s="855">
        <f t="shared" si="224"/>
        <v>5292593.2422000002</v>
      </c>
      <c r="AJ1216" s="845" t="s">
        <v>4176</v>
      </c>
      <c r="AK1216" s="857">
        <v>46019</v>
      </c>
      <c r="AL1216" s="843" t="s">
        <v>4182</v>
      </c>
      <c r="AM1216" s="843"/>
      <c r="AN1216" s="844"/>
      <c r="AO1216" s="844" t="s">
        <v>141</v>
      </c>
      <c r="AP1216" s="841"/>
      <c r="AQ1216" s="842" t="s">
        <v>4183</v>
      </c>
      <c r="AR1216" s="841">
        <v>45842</v>
      </c>
      <c r="AS1216" s="842"/>
      <c r="AT1216" s="842"/>
      <c r="AU1216" s="842" t="s">
        <v>1210</v>
      </c>
      <c r="AV1216" s="845" t="s">
        <v>4184</v>
      </c>
      <c r="AW1216" s="861">
        <v>45754</v>
      </c>
      <c r="AX1216" s="862">
        <v>45876</v>
      </c>
      <c r="AY1216" s="843" t="s">
        <v>4214</v>
      </c>
      <c r="AZ1216" s="842">
        <v>94052190</v>
      </c>
      <c r="BA1216" s="842" t="s">
        <v>120</v>
      </c>
      <c r="BB1216" s="863" t="s">
        <v>121</v>
      </c>
      <c r="BC1216" s="864">
        <v>45850</v>
      </c>
      <c r="BD1216" s="860" t="s">
        <v>4186</v>
      </c>
      <c r="BE1216" s="865" cm="1">
        <f t="array" ref="BE1216">IF(BD1216="","",AC1216/SUMPRODUCT(--(BD1216=$BD$4:$BD$12824),$AC$4:$AC$12824))</f>
        <v>9.1071697126399065E-2</v>
      </c>
      <c r="BF1216" s="458"/>
      <c r="BG1216" s="458"/>
      <c r="BH1216" s="458"/>
      <c r="BI1216" s="458"/>
      <c r="BJ1216" s="458"/>
      <c r="BK1216" s="458"/>
      <c r="BL1216" s="458"/>
      <c r="BM1216" s="458"/>
      <c r="BN1216" s="458"/>
      <c r="BO1216" s="866">
        <f>VLOOKUP(BD1216,$BD$4:$BN$12824,3,0)*BE1216</f>
        <v>1089861.1923870223</v>
      </c>
      <c r="BP1216" s="866"/>
      <c r="BQ1216" s="866"/>
      <c r="BR1216" s="866">
        <f>VLOOKUP(BD1216,$BD$4:$BN$12824,6,0)*BE1216</f>
        <v>603879.64284170023</v>
      </c>
      <c r="BS1216" s="866">
        <f>VLOOKUP(BD1216,$BD$4:$BN$12824,7,0)*BE1216</f>
        <v>49743.087755347791</v>
      </c>
      <c r="BT1216" s="866"/>
      <c r="BU1216" s="866">
        <f>VLOOKUP(BD1216,$BD$4:$BN$12824,9,0)*BE1216</f>
        <v>2147.9259767261219</v>
      </c>
      <c r="BV1216" s="867"/>
      <c r="BW1216" s="867">
        <f>VLOOKUP(BD1216,$BD$4:$BN$12824,11,0)*BE1216</f>
        <v>54643.018275839437</v>
      </c>
      <c r="BX1216" s="1146">
        <f t="shared" si="229"/>
        <v>1800274.8672366361</v>
      </c>
      <c r="BY1216" s="867">
        <f t="shared" si="227"/>
        <v>13681551.822309159</v>
      </c>
      <c r="BZ1216" s="867">
        <f t="shared" si="225"/>
        <v>54726207.289236635</v>
      </c>
      <c r="CA1216" s="867">
        <f>_xlfn.MAXIFS($BY$4:$BY$12824,$S$4:$S$12824,$S1216)</f>
        <v>13681551.822309159</v>
      </c>
      <c r="CB1216" s="1032"/>
      <c r="CF1216" s="946">
        <f t="shared" si="226"/>
        <v>52925932.421999998</v>
      </c>
    </row>
    <row r="1217" spans="2:84">
      <c r="B1217" s="839" t="s">
        <v>98</v>
      </c>
      <c r="C1217" s="839" t="s">
        <v>4175</v>
      </c>
      <c r="D1217" s="839" t="s">
        <v>4176</v>
      </c>
      <c r="E1217" s="839" t="s">
        <v>4176</v>
      </c>
      <c r="F1217" s="841">
        <v>45654</v>
      </c>
      <c r="G1217" s="840" t="s">
        <v>4177</v>
      </c>
      <c r="H1217" s="842" t="s">
        <v>134</v>
      </c>
      <c r="I1217" s="883"/>
      <c r="J1217" s="841"/>
      <c r="K1217" s="841"/>
      <c r="L1217" s="843" t="s">
        <v>106</v>
      </c>
      <c r="M1217" s="844" t="s">
        <v>107</v>
      </c>
      <c r="N1217" s="841"/>
      <c r="O1217" s="884" t="s">
        <v>108</v>
      </c>
      <c r="P1217" s="842" t="s">
        <v>160</v>
      </c>
      <c r="Q1217" s="843"/>
      <c r="R1217" s="845" t="s">
        <v>4215</v>
      </c>
      <c r="S1217" s="1127" t="s">
        <v>4216</v>
      </c>
      <c r="T1217" s="885" t="s">
        <v>4217</v>
      </c>
      <c r="U1217" s="886">
        <v>10</v>
      </c>
      <c r="V1217" s="842" t="s">
        <v>3</v>
      </c>
      <c r="W1217" s="846">
        <v>870</v>
      </c>
      <c r="X1217" s="847">
        <f t="shared" si="220"/>
        <v>8700</v>
      </c>
      <c r="Y1217" s="848" t="s">
        <v>4181</v>
      </c>
      <c r="Z1217" s="849">
        <v>430.65</v>
      </c>
      <c r="AA1217" s="849"/>
      <c r="AB1217" s="849">
        <f t="shared" si="221"/>
        <v>4306.5</v>
      </c>
      <c r="AC1217" s="850">
        <f t="shared" si="222"/>
        <v>4306.5</v>
      </c>
      <c r="AD1217" s="851">
        <f t="shared" si="235"/>
        <v>32000</v>
      </c>
      <c r="AE1217" s="852">
        <v>30034.01</v>
      </c>
      <c r="AF1217" s="853">
        <v>0</v>
      </c>
      <c r="AG1217" s="854">
        <f t="shared" si="223"/>
        <v>0</v>
      </c>
      <c r="AH1217" s="853">
        <v>0.1</v>
      </c>
      <c r="AI1217" s="855">
        <f t="shared" si="224"/>
        <v>12934146.406500001</v>
      </c>
      <c r="AJ1217" s="845" t="s">
        <v>4176</v>
      </c>
      <c r="AK1217" s="857">
        <v>46019</v>
      </c>
      <c r="AL1217" s="843" t="s">
        <v>4182</v>
      </c>
      <c r="AM1217" s="843"/>
      <c r="AN1217" s="844"/>
      <c r="AO1217" s="844" t="s">
        <v>141</v>
      </c>
      <c r="AP1217" s="841"/>
      <c r="AQ1217" s="842" t="s">
        <v>4183</v>
      </c>
      <c r="AR1217" s="841">
        <v>45842</v>
      </c>
      <c r="AS1217" s="842"/>
      <c r="AT1217" s="842"/>
      <c r="AU1217" s="842" t="s">
        <v>1210</v>
      </c>
      <c r="AV1217" s="845" t="s">
        <v>4184</v>
      </c>
      <c r="AW1217" s="861">
        <v>45754</v>
      </c>
      <c r="AX1217" s="862">
        <v>45876</v>
      </c>
      <c r="AY1217" s="843" t="s">
        <v>4218</v>
      </c>
      <c r="AZ1217" s="842">
        <v>94052190</v>
      </c>
      <c r="BA1217" s="842" t="s">
        <v>120</v>
      </c>
      <c r="BB1217" s="863" t="s">
        <v>121</v>
      </c>
      <c r="BC1217" s="864">
        <v>45850</v>
      </c>
      <c r="BD1217" s="860" t="s">
        <v>4186</v>
      </c>
      <c r="BE1217" s="865" cm="1">
        <f t="array" ref="BE1217">IF(BD1217="","",AC1217/SUMPRODUCT(--(BD1217=$BD$4:$BD$12824),$AC$4:$AC$12824))</f>
        <v>0.22256285533698647</v>
      </c>
      <c r="BF1217" s="458"/>
      <c r="BG1217" s="458"/>
      <c r="BH1217" s="458"/>
      <c r="BI1217" s="458"/>
      <c r="BJ1217" s="458"/>
      <c r="BK1217" s="458"/>
      <c r="BL1217" s="458"/>
      <c r="BM1217" s="458"/>
      <c r="BN1217" s="458"/>
      <c r="BO1217" s="866">
        <f>VLOOKUP(BD1217,$BD$4:$BN$12824,3,0)*BE1217</f>
        <v>2663424.8240918801</v>
      </c>
      <c r="BP1217" s="866"/>
      <c r="BQ1217" s="866"/>
      <c r="BR1217" s="866">
        <f>VLOOKUP(BD1217,$BD$4:$BN$12824,6,0)*BE1217</f>
        <v>1475773.2844726942</v>
      </c>
      <c r="BS1217" s="866">
        <f>VLOOKUP(BD1217,$BD$4:$BN$12824,7,0)*BE1217</f>
        <v>121563.163896496</v>
      </c>
      <c r="BT1217" s="866"/>
      <c r="BU1217" s="866">
        <f>VLOOKUP(BD1217,$BD$4:$BN$12824,9,0)*BE1217</f>
        <v>5249.1449431228257</v>
      </c>
      <c r="BV1217" s="867"/>
      <c r="BW1217" s="867">
        <f>VLOOKUP(BD1217,$BD$4:$BN$12824,11,0)*BE1217</f>
        <v>133537.7132021919</v>
      </c>
      <c r="BX1217" s="1146">
        <f t="shared" si="229"/>
        <v>4399548.1306063849</v>
      </c>
      <c r="BY1217" s="867">
        <f t="shared" si="227"/>
        <v>13374101.219560638</v>
      </c>
      <c r="BZ1217" s="867">
        <f t="shared" si="225"/>
        <v>133741012.19560638</v>
      </c>
      <c r="CA1217" s="867">
        <f>_xlfn.MAXIFS($BY$4:$BY$12824,$S$4:$S$12824,$S1217)</f>
        <v>13374101.219560638</v>
      </c>
      <c r="CB1217" s="1032"/>
      <c r="CF1217" s="946">
        <f t="shared" si="226"/>
        <v>129341464.065</v>
      </c>
    </row>
    <row r="1218" spans="2:84">
      <c r="B1218" s="839" t="s">
        <v>98</v>
      </c>
      <c r="C1218" s="839" t="s">
        <v>4175</v>
      </c>
      <c r="D1218" s="839" t="s">
        <v>4176</v>
      </c>
      <c r="E1218" s="839" t="s">
        <v>4176</v>
      </c>
      <c r="F1218" s="841">
        <v>45654</v>
      </c>
      <c r="G1218" s="840" t="s">
        <v>4177</v>
      </c>
      <c r="H1218" s="842" t="s">
        <v>134</v>
      </c>
      <c r="I1218" s="883"/>
      <c r="J1218" s="841"/>
      <c r="K1218" s="841"/>
      <c r="L1218" s="843" t="s">
        <v>106</v>
      </c>
      <c r="M1218" s="844" t="s">
        <v>107</v>
      </c>
      <c r="N1218" s="841"/>
      <c r="O1218" s="884" t="s">
        <v>108</v>
      </c>
      <c r="P1218" s="842" t="s">
        <v>269</v>
      </c>
      <c r="Q1218" s="843"/>
      <c r="R1218" s="845" t="s">
        <v>4219</v>
      </c>
      <c r="S1218" s="1127" t="s">
        <v>4220</v>
      </c>
      <c r="T1218" s="885" t="s">
        <v>4221</v>
      </c>
      <c r="U1218" s="886">
        <v>1</v>
      </c>
      <c r="V1218" s="842" t="s">
        <v>3</v>
      </c>
      <c r="W1218" s="846">
        <v>1000</v>
      </c>
      <c r="X1218" s="847">
        <f t="shared" ref="X1218:X1281" si="236">W1218*U1218</f>
        <v>1000</v>
      </c>
      <c r="Y1218" s="848" t="s">
        <v>4181</v>
      </c>
      <c r="Z1218" s="849">
        <v>495</v>
      </c>
      <c r="AA1218" s="849"/>
      <c r="AB1218" s="849">
        <f t="shared" ref="AB1218:AB1281" si="237">IF(AA1218="F.O.C", 0, Z1218*U1218)</f>
        <v>495</v>
      </c>
      <c r="AC1218" s="850">
        <f t="shared" ref="AC1218:AC1281" si="238">Z1218*U1218</f>
        <v>495</v>
      </c>
      <c r="AD1218" s="851">
        <f t="shared" si="235"/>
        <v>32000</v>
      </c>
      <c r="AE1218" s="852">
        <v>30034.01</v>
      </c>
      <c r="AF1218" s="853">
        <v>0</v>
      </c>
      <c r="AG1218" s="854">
        <f t="shared" ref="AG1218:AG1281" si="239">(AC1218*AE1218+BO1218+BP1218+BQ1218+BS1218)*AF1218</f>
        <v>0</v>
      </c>
      <c r="AH1218" s="853">
        <v>0.1</v>
      </c>
      <c r="AI1218" s="855">
        <f t="shared" ref="AI1218:AI1281" si="240">(AC1218*AE1218+AG1218+BF1218+BG1218+BH1218+BJ1218)*AH1218</f>
        <v>1486683.4950000001</v>
      </c>
      <c r="AJ1218" s="845" t="s">
        <v>4176</v>
      </c>
      <c r="AK1218" s="857">
        <v>46019</v>
      </c>
      <c r="AL1218" s="843" t="s">
        <v>4182</v>
      </c>
      <c r="AM1218" s="843"/>
      <c r="AN1218" s="844"/>
      <c r="AO1218" s="844" t="s">
        <v>141</v>
      </c>
      <c r="AP1218" s="841"/>
      <c r="AQ1218" s="842" t="s">
        <v>4183</v>
      </c>
      <c r="AR1218" s="841">
        <v>45842</v>
      </c>
      <c r="AS1218" s="842"/>
      <c r="AT1218" s="842"/>
      <c r="AU1218" s="842" t="s">
        <v>1210</v>
      </c>
      <c r="AV1218" s="845" t="s">
        <v>4184</v>
      </c>
      <c r="AW1218" s="861">
        <v>45754</v>
      </c>
      <c r="AX1218" s="862">
        <v>45876</v>
      </c>
      <c r="AY1218" s="843" t="s">
        <v>4222</v>
      </c>
      <c r="AZ1218" s="842">
        <v>94052190</v>
      </c>
      <c r="BA1218" s="842" t="s">
        <v>120</v>
      </c>
      <c r="BB1218" s="863" t="s">
        <v>121</v>
      </c>
      <c r="BC1218" s="864">
        <v>45850</v>
      </c>
      <c r="BD1218" s="860" t="s">
        <v>4186</v>
      </c>
      <c r="BE1218" s="865" cm="1">
        <f t="array" ref="BE1218">IF(BD1218="","",AC1218/SUMPRODUCT(--(BD1218=$BD$4:$BD$12824),$AC$4:$AC$12824))</f>
        <v>2.5581937395055914E-2</v>
      </c>
      <c r="BF1218" s="458"/>
      <c r="BG1218" s="458"/>
      <c r="BH1218" s="458"/>
      <c r="BI1218" s="458"/>
      <c r="BJ1218" s="458"/>
      <c r="BK1218" s="458"/>
      <c r="BL1218" s="458"/>
      <c r="BM1218" s="458"/>
      <c r="BN1218" s="458"/>
      <c r="BO1218" s="866">
        <f>VLOOKUP(BD1218,$BD$4:$BN$12824,3,0)*BE1218</f>
        <v>306140.78437837696</v>
      </c>
      <c r="BP1218" s="866"/>
      <c r="BQ1218" s="866"/>
      <c r="BR1218" s="866">
        <f>VLOOKUP(BD1218,$BD$4:$BN$12824,6,0)*BE1218</f>
        <v>169629.11315778093</v>
      </c>
      <c r="BS1218" s="866">
        <f>VLOOKUP(BD1218,$BD$4:$BN$12824,7,0)*BE1218</f>
        <v>13972.777459367355</v>
      </c>
      <c r="BT1218" s="866"/>
      <c r="BU1218" s="866">
        <f>VLOOKUP(BD1218,$BD$4:$BN$12824,9,0)*BE1218</f>
        <v>603.34999346239374</v>
      </c>
      <c r="BV1218" s="867"/>
      <c r="BW1218" s="867">
        <f>VLOOKUP(BD1218,$BD$4:$BN$12824,11,0)*BE1218</f>
        <v>15349.162437033548</v>
      </c>
      <c r="BX1218" s="1146">
        <f t="shared" ref="BX1218:BX1281" si="241">SUM(BO1218:BW1218)</f>
        <v>505695.18742602115</v>
      </c>
      <c r="BY1218" s="867">
        <f t="shared" si="227"/>
        <v>15372530.137426021</v>
      </c>
      <c r="BZ1218" s="867">
        <f t="shared" ref="BZ1218:BZ1281" si="242">BY1218*U1218</f>
        <v>15372530.137426021</v>
      </c>
      <c r="CA1218" s="867">
        <f>_xlfn.MAXIFS($BY$4:$BY$12824,$S$4:$S$12824,$S1218)</f>
        <v>15372530.137426021</v>
      </c>
      <c r="CB1218" s="1032"/>
      <c r="CF1218" s="946">
        <f t="shared" si="226"/>
        <v>14866834.949999999</v>
      </c>
    </row>
    <row r="1219" spans="2:84">
      <c r="B1219" s="839" t="s">
        <v>98</v>
      </c>
      <c r="C1219" s="839" t="s">
        <v>4175</v>
      </c>
      <c r="D1219" s="839" t="s">
        <v>4176</v>
      </c>
      <c r="E1219" s="839" t="s">
        <v>4176</v>
      </c>
      <c r="F1219" s="841">
        <v>45654</v>
      </c>
      <c r="G1219" s="840" t="s">
        <v>4177</v>
      </c>
      <c r="H1219" s="842" t="s">
        <v>134</v>
      </c>
      <c r="I1219" s="883"/>
      <c r="J1219" s="841"/>
      <c r="K1219" s="841"/>
      <c r="L1219" s="843" t="s">
        <v>106</v>
      </c>
      <c r="M1219" s="844" t="s">
        <v>107</v>
      </c>
      <c r="N1219" s="841"/>
      <c r="O1219" s="884" t="s">
        <v>108</v>
      </c>
      <c r="P1219" s="842" t="s">
        <v>269</v>
      </c>
      <c r="Q1219" s="843"/>
      <c r="R1219" s="845" t="s">
        <v>4223</v>
      </c>
      <c r="S1219" s="1127" t="s">
        <v>4224</v>
      </c>
      <c r="T1219" s="885" t="s">
        <v>4225</v>
      </c>
      <c r="U1219" s="886">
        <v>1</v>
      </c>
      <c r="V1219" s="842" t="s">
        <v>3</v>
      </c>
      <c r="W1219" s="846">
        <v>1045</v>
      </c>
      <c r="X1219" s="847">
        <f t="shared" si="236"/>
        <v>1045</v>
      </c>
      <c r="Y1219" s="848" t="s">
        <v>4181</v>
      </c>
      <c r="Z1219" s="849">
        <v>517.28</v>
      </c>
      <c r="AA1219" s="849"/>
      <c r="AB1219" s="849">
        <f t="shared" si="237"/>
        <v>517.28</v>
      </c>
      <c r="AC1219" s="850">
        <f t="shared" si="238"/>
        <v>517.28</v>
      </c>
      <c r="AD1219" s="851">
        <f t="shared" si="235"/>
        <v>32000</v>
      </c>
      <c r="AE1219" s="852">
        <v>30034.01</v>
      </c>
      <c r="AF1219" s="853">
        <v>0</v>
      </c>
      <c r="AG1219" s="854">
        <f t="shared" si="239"/>
        <v>0</v>
      </c>
      <c r="AH1219" s="853">
        <v>0.1</v>
      </c>
      <c r="AI1219" s="855">
        <f t="shared" si="240"/>
        <v>1553599.2692799999</v>
      </c>
      <c r="AJ1219" s="845" t="s">
        <v>4176</v>
      </c>
      <c r="AK1219" s="857">
        <v>46019</v>
      </c>
      <c r="AL1219" s="843" t="s">
        <v>4182</v>
      </c>
      <c r="AM1219" s="843"/>
      <c r="AN1219" s="844"/>
      <c r="AO1219" s="844" t="s">
        <v>141</v>
      </c>
      <c r="AP1219" s="841"/>
      <c r="AQ1219" s="842" t="s">
        <v>4183</v>
      </c>
      <c r="AR1219" s="841">
        <v>45842</v>
      </c>
      <c r="AS1219" s="842"/>
      <c r="AT1219" s="842"/>
      <c r="AU1219" s="842" t="s">
        <v>1210</v>
      </c>
      <c r="AV1219" s="845" t="s">
        <v>4184</v>
      </c>
      <c r="AW1219" s="861">
        <v>45754</v>
      </c>
      <c r="AX1219" s="862">
        <v>45876</v>
      </c>
      <c r="AY1219" s="843" t="s">
        <v>4226</v>
      </c>
      <c r="AZ1219" s="842">
        <v>94052190</v>
      </c>
      <c r="BA1219" s="842" t="s">
        <v>120</v>
      </c>
      <c r="BB1219" s="863" t="s">
        <v>121</v>
      </c>
      <c r="BC1219" s="864">
        <v>45850</v>
      </c>
      <c r="BD1219" s="860" t="s">
        <v>4186</v>
      </c>
      <c r="BE1219" s="865" cm="1">
        <f t="array" ref="BE1219">IF(BD1219="","",AC1219/SUMPRODUCT(--(BD1219=$BD$4:$BD$12824),$AC$4:$AC$12824))</f>
        <v>2.6733382981241463E-2</v>
      </c>
      <c r="BF1219" s="458"/>
      <c r="BG1219" s="458"/>
      <c r="BH1219" s="458"/>
      <c r="BI1219" s="458"/>
      <c r="BJ1219" s="458"/>
      <c r="BK1219" s="458"/>
      <c r="BL1219" s="458"/>
      <c r="BM1219" s="458"/>
      <c r="BN1219" s="458"/>
      <c r="BO1219" s="866">
        <f>VLOOKUP(BD1219,$BD$4:$BN$12824,3,0)*BE1219</f>
        <v>319920.2120065593</v>
      </c>
      <c r="BP1219" s="866"/>
      <c r="BQ1219" s="866"/>
      <c r="BR1219" s="866">
        <f>VLOOKUP(BD1219,$BD$4:$BN$12824,6,0)*BE1219</f>
        <v>177264.13667526652</v>
      </c>
      <c r="BS1219" s="866">
        <f>VLOOKUP(BD1219,$BD$4:$BN$12824,7,0)*BE1219</f>
        <v>14601.693584205143</v>
      </c>
      <c r="BT1219" s="866"/>
      <c r="BU1219" s="866">
        <f>VLOOKUP(BD1219,$BD$4:$BN$12824,9,0)*BE1219</f>
        <v>630.50683761257994</v>
      </c>
      <c r="BV1219" s="867"/>
      <c r="BW1219" s="867">
        <f>VLOOKUP(BD1219,$BD$4:$BN$12824,11,0)*BE1219</f>
        <v>16040.029788744878</v>
      </c>
      <c r="BX1219" s="1146">
        <f t="shared" si="241"/>
        <v>528456.57889238838</v>
      </c>
      <c r="BY1219" s="867">
        <f t="shared" si="227"/>
        <v>16064449.271692388</v>
      </c>
      <c r="BZ1219" s="867">
        <f t="shared" si="242"/>
        <v>16064449.271692388</v>
      </c>
      <c r="CA1219" s="867">
        <f>_xlfn.MAXIFS($BY$4:$BY$12824,$S$4:$S$12824,$S1219)</f>
        <v>16064449.271692388</v>
      </c>
      <c r="CB1219" s="1032"/>
      <c r="CF1219" s="946">
        <f t="shared" si="226"/>
        <v>15535992.692799998</v>
      </c>
    </row>
    <row r="1220" spans="2:84">
      <c r="B1220" s="839" t="s">
        <v>98</v>
      </c>
      <c r="C1220" s="839" t="s">
        <v>4175</v>
      </c>
      <c r="D1220" s="839" t="s">
        <v>4176</v>
      </c>
      <c r="E1220" s="839" t="s">
        <v>4176</v>
      </c>
      <c r="F1220" s="841">
        <v>45654</v>
      </c>
      <c r="G1220" s="840" t="s">
        <v>4177</v>
      </c>
      <c r="H1220" s="842" t="s">
        <v>134</v>
      </c>
      <c r="I1220" s="883"/>
      <c r="J1220" s="841"/>
      <c r="K1220" s="841"/>
      <c r="L1220" s="843" t="s">
        <v>106</v>
      </c>
      <c r="M1220" s="844" t="s">
        <v>107</v>
      </c>
      <c r="N1220" s="841"/>
      <c r="O1220" s="884" t="s">
        <v>108</v>
      </c>
      <c r="P1220" s="842" t="s">
        <v>269</v>
      </c>
      <c r="Q1220" s="843"/>
      <c r="R1220" s="845" t="s">
        <v>4227</v>
      </c>
      <c r="S1220" s="1127" t="s">
        <v>4228</v>
      </c>
      <c r="T1220" s="885" t="s">
        <v>4229</v>
      </c>
      <c r="U1220" s="886">
        <v>2</v>
      </c>
      <c r="V1220" s="842" t="s">
        <v>3</v>
      </c>
      <c r="W1220" s="846">
        <v>830</v>
      </c>
      <c r="X1220" s="847">
        <f t="shared" si="236"/>
        <v>1660</v>
      </c>
      <c r="Y1220" s="848" t="s">
        <v>4181</v>
      </c>
      <c r="Z1220" s="849">
        <v>410.85</v>
      </c>
      <c r="AA1220" s="849"/>
      <c r="AB1220" s="849">
        <f t="shared" si="237"/>
        <v>821.7</v>
      </c>
      <c r="AC1220" s="850">
        <f t="shared" si="238"/>
        <v>821.7</v>
      </c>
      <c r="AD1220" s="851">
        <f t="shared" si="235"/>
        <v>32000</v>
      </c>
      <c r="AE1220" s="852">
        <v>30034.01</v>
      </c>
      <c r="AF1220" s="853">
        <v>0</v>
      </c>
      <c r="AG1220" s="854">
        <f t="shared" si="239"/>
        <v>0</v>
      </c>
      <c r="AH1220" s="853">
        <v>0.1</v>
      </c>
      <c r="AI1220" s="855">
        <f t="shared" si="240"/>
        <v>2467894.6017</v>
      </c>
      <c r="AJ1220" s="845" t="s">
        <v>4176</v>
      </c>
      <c r="AK1220" s="857">
        <v>46019</v>
      </c>
      <c r="AL1220" s="843" t="s">
        <v>4182</v>
      </c>
      <c r="AM1220" s="843"/>
      <c r="AN1220" s="844"/>
      <c r="AO1220" s="844" t="s">
        <v>141</v>
      </c>
      <c r="AP1220" s="841"/>
      <c r="AQ1220" s="842" t="s">
        <v>4183</v>
      </c>
      <c r="AR1220" s="841">
        <v>45842</v>
      </c>
      <c r="AS1220" s="842"/>
      <c r="AT1220" s="842"/>
      <c r="AU1220" s="842" t="s">
        <v>1210</v>
      </c>
      <c r="AV1220" s="845" t="s">
        <v>4184</v>
      </c>
      <c r="AW1220" s="861">
        <v>45754</v>
      </c>
      <c r="AX1220" s="862">
        <v>45876</v>
      </c>
      <c r="AY1220" s="843" t="s">
        <v>4230</v>
      </c>
      <c r="AZ1220" s="842">
        <v>94052190</v>
      </c>
      <c r="BA1220" s="842" t="s">
        <v>120</v>
      </c>
      <c r="BB1220" s="863" t="s">
        <v>121</v>
      </c>
      <c r="BC1220" s="864">
        <v>45850</v>
      </c>
      <c r="BD1220" s="860" t="s">
        <v>4186</v>
      </c>
      <c r="BE1220" s="865" cm="1">
        <f t="array" ref="BE1220">IF(BD1220="","",AC1220/SUMPRODUCT(--(BD1220=$BD$4:$BD$12824),$AC$4:$AC$12824))</f>
        <v>4.2466016075792826E-2</v>
      </c>
      <c r="BF1220" s="458"/>
      <c r="BG1220" s="458"/>
      <c r="BH1220" s="458"/>
      <c r="BI1220" s="458"/>
      <c r="BJ1220" s="458"/>
      <c r="BK1220" s="458"/>
      <c r="BL1220" s="458"/>
      <c r="BM1220" s="458"/>
      <c r="BN1220" s="458"/>
      <c r="BO1220" s="866">
        <f>VLOOKUP(BD1220,$BD$4:$BN$12824,3,0)*BE1220</f>
        <v>508193.70206810592</v>
      </c>
      <c r="BP1220" s="866"/>
      <c r="BQ1220" s="866"/>
      <c r="BR1220" s="866">
        <f>VLOOKUP(BD1220,$BD$4:$BN$12824,6,0)*BE1220</f>
        <v>281584.32784191641</v>
      </c>
      <c r="BS1220" s="866">
        <f>VLOOKUP(BD1220,$BD$4:$BN$12824,7,0)*BE1220</f>
        <v>23194.810582549813</v>
      </c>
      <c r="BT1220" s="866"/>
      <c r="BU1220" s="866">
        <f>VLOOKUP(BD1220,$BD$4:$BN$12824,9,0)*BE1220</f>
        <v>1001.5609891475738</v>
      </c>
      <c r="BV1220" s="867"/>
      <c r="BW1220" s="867">
        <f>VLOOKUP(BD1220,$BD$4:$BN$12824,11,0)*BE1220</f>
        <v>25479.609645475695</v>
      </c>
      <c r="BX1220" s="1146">
        <f t="shared" si="241"/>
        <v>839454.01112719544</v>
      </c>
      <c r="BY1220" s="867">
        <f t="shared" si="227"/>
        <v>12759200.014063599</v>
      </c>
      <c r="BZ1220" s="867">
        <f t="shared" si="242"/>
        <v>25518400.028127197</v>
      </c>
      <c r="CA1220" s="867">
        <f>_xlfn.MAXIFS($BY$4:$BY$12824,$S$4:$S$12824,$S1220)</f>
        <v>12759200.014063599</v>
      </c>
      <c r="CB1220" s="1032"/>
      <c r="CF1220" s="946">
        <f t="shared" ref="CF1220:CF1283" si="243">AC1220*AE1220</f>
        <v>24678946.017000001</v>
      </c>
    </row>
    <row r="1221" spans="2:84">
      <c r="B1221" s="839" t="s">
        <v>98</v>
      </c>
      <c r="C1221" s="839" t="s">
        <v>4175</v>
      </c>
      <c r="D1221" s="839" t="s">
        <v>4176</v>
      </c>
      <c r="E1221" s="839" t="s">
        <v>4176</v>
      </c>
      <c r="F1221" s="841">
        <v>45654</v>
      </c>
      <c r="G1221" s="840" t="s">
        <v>4177</v>
      </c>
      <c r="H1221" s="842" t="s">
        <v>134</v>
      </c>
      <c r="I1221" s="883"/>
      <c r="J1221" s="841"/>
      <c r="K1221" s="841"/>
      <c r="L1221" s="843" t="s">
        <v>106</v>
      </c>
      <c r="M1221" s="844" t="s">
        <v>107</v>
      </c>
      <c r="N1221" s="841"/>
      <c r="O1221" s="884" t="s">
        <v>108</v>
      </c>
      <c r="P1221" s="842" t="s">
        <v>160</v>
      </c>
      <c r="Q1221" s="843"/>
      <c r="R1221" s="845" t="s">
        <v>4231</v>
      </c>
      <c r="S1221" s="1127" t="s">
        <v>4232</v>
      </c>
      <c r="T1221" s="885" t="s">
        <v>4233</v>
      </c>
      <c r="U1221" s="886">
        <v>2</v>
      </c>
      <c r="V1221" s="842" t="s">
        <v>3</v>
      </c>
      <c r="W1221" s="846">
        <v>1030</v>
      </c>
      <c r="X1221" s="847">
        <f t="shared" si="236"/>
        <v>2060</v>
      </c>
      <c r="Y1221" s="848" t="s">
        <v>4181</v>
      </c>
      <c r="Z1221" s="849">
        <v>509.85</v>
      </c>
      <c r="AA1221" s="849"/>
      <c r="AB1221" s="849">
        <f t="shared" si="237"/>
        <v>1019.7</v>
      </c>
      <c r="AC1221" s="850">
        <f t="shared" si="238"/>
        <v>1019.7</v>
      </c>
      <c r="AD1221" s="851">
        <f t="shared" si="235"/>
        <v>32000</v>
      </c>
      <c r="AE1221" s="852">
        <v>30034.01</v>
      </c>
      <c r="AF1221" s="853">
        <v>0</v>
      </c>
      <c r="AG1221" s="854">
        <f t="shared" si="239"/>
        <v>0</v>
      </c>
      <c r="AH1221" s="853">
        <v>0.1</v>
      </c>
      <c r="AI1221" s="855">
        <f t="shared" si="240"/>
        <v>3062567.9997000005</v>
      </c>
      <c r="AJ1221" s="845" t="s">
        <v>4176</v>
      </c>
      <c r="AK1221" s="857">
        <v>46019</v>
      </c>
      <c r="AL1221" s="843" t="s">
        <v>4182</v>
      </c>
      <c r="AM1221" s="843"/>
      <c r="AN1221" s="844"/>
      <c r="AO1221" s="844" t="s">
        <v>141</v>
      </c>
      <c r="AP1221" s="841"/>
      <c r="AQ1221" s="842" t="s">
        <v>4183</v>
      </c>
      <c r="AR1221" s="841">
        <v>45842</v>
      </c>
      <c r="AS1221" s="842"/>
      <c r="AT1221" s="842"/>
      <c r="AU1221" s="842" t="s">
        <v>1210</v>
      </c>
      <c r="AV1221" s="845" t="s">
        <v>4184</v>
      </c>
      <c r="AW1221" s="861">
        <v>45754</v>
      </c>
      <c r="AX1221" s="862">
        <v>45876</v>
      </c>
      <c r="AY1221" s="843" t="s">
        <v>4234</v>
      </c>
      <c r="AZ1221" s="842">
        <v>94052190</v>
      </c>
      <c r="BA1221" s="842" t="s">
        <v>120</v>
      </c>
      <c r="BB1221" s="863" t="s">
        <v>121</v>
      </c>
      <c r="BC1221" s="864">
        <v>45850</v>
      </c>
      <c r="BD1221" s="860" t="s">
        <v>4186</v>
      </c>
      <c r="BE1221" s="865" cm="1">
        <f t="array" ref="BE1221">IF(BD1221="","",AC1221/SUMPRODUCT(--(BD1221=$BD$4:$BD$12824),$AC$4:$AC$12824))</f>
        <v>5.2698791033815189E-2</v>
      </c>
      <c r="BF1221" s="458"/>
      <c r="BG1221" s="458"/>
      <c r="BH1221" s="458"/>
      <c r="BI1221" s="458"/>
      <c r="BJ1221" s="458"/>
      <c r="BK1221" s="458"/>
      <c r="BL1221" s="458"/>
      <c r="BM1221" s="458"/>
      <c r="BN1221" s="458"/>
      <c r="BO1221" s="866">
        <f>VLOOKUP(BD1221,$BD$4:$BN$12824,3,0)*BE1221</f>
        <v>630650.01581945666</v>
      </c>
      <c r="BP1221" s="866"/>
      <c r="BQ1221" s="866"/>
      <c r="BR1221" s="866">
        <f>VLOOKUP(BD1221,$BD$4:$BN$12824,6,0)*BE1221</f>
        <v>349435.97310502874</v>
      </c>
      <c r="BS1221" s="866">
        <f>VLOOKUP(BD1221,$BD$4:$BN$12824,7,0)*BE1221</f>
        <v>28783.921566296754</v>
      </c>
      <c r="BT1221" s="866"/>
      <c r="BU1221" s="866">
        <f>VLOOKUP(BD1221,$BD$4:$BN$12824,9,0)*BE1221</f>
        <v>1242.9009865325313</v>
      </c>
      <c r="BV1221" s="867"/>
      <c r="BW1221" s="867">
        <f>VLOOKUP(BD1221,$BD$4:$BN$12824,11,0)*BE1221</f>
        <v>31619.274620289114</v>
      </c>
      <c r="BX1221" s="1146">
        <f t="shared" si="241"/>
        <v>1041732.0860976038</v>
      </c>
      <c r="BY1221" s="867">
        <f t="shared" si="227"/>
        <v>15833706.041548803</v>
      </c>
      <c r="BZ1221" s="867">
        <f t="shared" si="242"/>
        <v>31667412.083097607</v>
      </c>
      <c r="CA1221" s="867">
        <f>_xlfn.MAXIFS($BY$4:$BY$12824,$S$4:$S$12824,$S1221)</f>
        <v>15833706.041548803</v>
      </c>
      <c r="CB1221" s="1032"/>
      <c r="CF1221" s="946">
        <f t="shared" si="243"/>
        <v>30625679.997000001</v>
      </c>
    </row>
    <row r="1222" spans="2:84">
      <c r="B1222" s="839" t="s">
        <v>98</v>
      </c>
      <c r="C1222" s="839" t="s">
        <v>4175</v>
      </c>
      <c r="D1222" s="839" t="s">
        <v>4176</v>
      </c>
      <c r="E1222" s="839" t="s">
        <v>4176</v>
      </c>
      <c r="F1222" s="841">
        <v>45654</v>
      </c>
      <c r="G1222" s="840" t="s">
        <v>4177</v>
      </c>
      <c r="H1222" s="842" t="s">
        <v>134</v>
      </c>
      <c r="I1222" s="883"/>
      <c r="J1222" s="841"/>
      <c r="K1222" s="841"/>
      <c r="L1222" s="843" t="s">
        <v>106</v>
      </c>
      <c r="M1222" s="844" t="s">
        <v>107</v>
      </c>
      <c r="N1222" s="841"/>
      <c r="O1222" s="884" t="s">
        <v>108</v>
      </c>
      <c r="P1222" s="842" t="s">
        <v>2088</v>
      </c>
      <c r="Q1222" s="843"/>
      <c r="R1222" s="845" t="s">
        <v>4235</v>
      </c>
      <c r="S1222" s="1127" t="s">
        <v>4236</v>
      </c>
      <c r="T1222" s="885" t="s">
        <v>4237</v>
      </c>
      <c r="U1222" s="886">
        <v>4</v>
      </c>
      <c r="V1222" s="842" t="s">
        <v>3</v>
      </c>
      <c r="W1222" s="846">
        <v>445</v>
      </c>
      <c r="X1222" s="847">
        <f t="shared" si="236"/>
        <v>1780</v>
      </c>
      <c r="Y1222" s="848" t="s">
        <v>4181</v>
      </c>
      <c r="Z1222" s="849">
        <v>220.28</v>
      </c>
      <c r="AA1222" s="849"/>
      <c r="AB1222" s="849">
        <f t="shared" si="237"/>
        <v>881.12</v>
      </c>
      <c r="AC1222" s="850">
        <f t="shared" si="238"/>
        <v>881.12</v>
      </c>
      <c r="AD1222" s="851">
        <f t="shared" si="235"/>
        <v>32000</v>
      </c>
      <c r="AE1222" s="852">
        <v>30034.01</v>
      </c>
      <c r="AF1222" s="853">
        <v>0</v>
      </c>
      <c r="AG1222" s="854">
        <f t="shared" si="239"/>
        <v>0</v>
      </c>
      <c r="AH1222" s="853">
        <v>0.1</v>
      </c>
      <c r="AI1222" s="855">
        <f t="shared" si="240"/>
        <v>2646356.6891200002</v>
      </c>
      <c r="AJ1222" s="845" t="s">
        <v>4176</v>
      </c>
      <c r="AK1222" s="857">
        <v>46019</v>
      </c>
      <c r="AL1222" s="843" t="s">
        <v>4182</v>
      </c>
      <c r="AM1222" s="843"/>
      <c r="AN1222" s="844"/>
      <c r="AO1222" s="844" t="s">
        <v>141</v>
      </c>
      <c r="AP1222" s="841"/>
      <c r="AQ1222" s="842" t="s">
        <v>4183</v>
      </c>
      <c r="AR1222" s="841">
        <v>45842</v>
      </c>
      <c r="AS1222" s="842"/>
      <c r="AT1222" s="842"/>
      <c r="AU1222" s="842" t="s">
        <v>1210</v>
      </c>
      <c r="AV1222" s="845" t="s">
        <v>4184</v>
      </c>
      <c r="AW1222" s="861">
        <v>45754</v>
      </c>
      <c r="AX1222" s="862">
        <v>45876</v>
      </c>
      <c r="AY1222" s="843" t="s">
        <v>4238</v>
      </c>
      <c r="AZ1222" s="842">
        <v>94051199</v>
      </c>
      <c r="BA1222" s="842" t="s">
        <v>120</v>
      </c>
      <c r="BB1222" s="863" t="s">
        <v>121</v>
      </c>
      <c r="BC1222" s="864">
        <v>45850</v>
      </c>
      <c r="BD1222" s="860" t="s">
        <v>4186</v>
      </c>
      <c r="BE1222" s="865" cm="1">
        <f t="array" ref="BE1222">IF(BD1222="","",AC1222/SUMPRODUCT(--(BD1222=$BD$4:$BD$12824),$AC$4:$AC$12824))</f>
        <v>4.5536882176831654E-2</v>
      </c>
      <c r="BF1222" s="458"/>
      <c r="BG1222" s="458"/>
      <c r="BH1222" s="458"/>
      <c r="BI1222" s="458"/>
      <c r="BJ1222" s="458"/>
      <c r="BK1222" s="458"/>
      <c r="BL1222" s="458"/>
      <c r="BM1222" s="458"/>
      <c r="BN1222" s="458"/>
      <c r="BO1222" s="866">
        <f>VLOOKUP(BD1222,$BD$4:$BN$12824,3,0)*BE1222</f>
        <v>544942.96551813243</v>
      </c>
      <c r="BP1222" s="866"/>
      <c r="BQ1222" s="866"/>
      <c r="BR1222" s="866">
        <f>VLOOKUP(BD1222,$BD$4:$BN$12824,6,0)*BE1222</f>
        <v>301946.67512239184</v>
      </c>
      <c r="BS1222" s="866">
        <f>VLOOKUP(BD1222,$BD$4:$BN$12824,7,0)*BE1222</f>
        <v>24872.108434338919</v>
      </c>
      <c r="BT1222" s="866"/>
      <c r="BU1222" s="866">
        <f>VLOOKUP(BD1222,$BD$4:$BN$12824,9,0)*BE1222</f>
        <v>1073.9873661405745</v>
      </c>
      <c r="BV1222" s="867"/>
      <c r="BW1222" s="867">
        <f>VLOOKUP(BD1222,$BD$4:$BN$12824,11,0)*BE1222</f>
        <v>27322.129306098992</v>
      </c>
      <c r="BX1222" s="1146">
        <f t="shared" si="241"/>
        <v>900157.86574710277</v>
      </c>
      <c r="BY1222" s="867">
        <f t="shared" ref="BY1222:BY1285" si="244">(AB1222*AE1222+AG1222+BX1222)/U1222</f>
        <v>6840931.189236775</v>
      </c>
      <c r="BZ1222" s="867">
        <f t="shared" si="242"/>
        <v>27363724.7569471</v>
      </c>
      <c r="CA1222" s="867">
        <f>_xlfn.MAXIFS($BY$4:$BY$12824,$S$4:$S$12824,$S1222)</f>
        <v>6840931.189236775</v>
      </c>
      <c r="CB1222" s="1032"/>
      <c r="CF1222" s="946">
        <f t="shared" si="243"/>
        <v>26463566.891199999</v>
      </c>
    </row>
    <row r="1223" spans="2:84">
      <c r="B1223" s="839" t="s">
        <v>98</v>
      </c>
      <c r="C1223" s="839" t="s">
        <v>2689</v>
      </c>
      <c r="D1223" s="839" t="s">
        <v>4239</v>
      </c>
      <c r="E1223" s="839" t="s">
        <v>4239</v>
      </c>
      <c r="F1223" s="841">
        <v>45827</v>
      </c>
      <c r="G1223" s="868" t="s">
        <v>2689</v>
      </c>
      <c r="H1223" s="842" t="s">
        <v>102</v>
      </c>
      <c r="I1223" s="883" t="s">
        <v>4240</v>
      </c>
      <c r="J1223" s="841">
        <v>45827</v>
      </c>
      <c r="K1223" s="841">
        <v>45930</v>
      </c>
      <c r="L1223" s="843" t="s">
        <v>106</v>
      </c>
      <c r="M1223" s="844" t="s">
        <v>107</v>
      </c>
      <c r="N1223" s="841"/>
      <c r="O1223" s="884" t="s">
        <v>150</v>
      </c>
      <c r="P1223" s="842" t="s">
        <v>4241</v>
      </c>
      <c r="Q1223" s="843"/>
      <c r="R1223" s="845">
        <v>20171402</v>
      </c>
      <c r="S1223" s="1127" t="s">
        <v>4242</v>
      </c>
      <c r="T1223" s="885" t="s">
        <v>4243</v>
      </c>
      <c r="U1223" s="886">
        <v>1</v>
      </c>
      <c r="V1223" s="842" t="s">
        <v>3</v>
      </c>
      <c r="W1223" s="846">
        <v>1848</v>
      </c>
      <c r="X1223" s="847">
        <f t="shared" si="236"/>
        <v>1848</v>
      </c>
      <c r="Y1223" s="853">
        <v>0.3</v>
      </c>
      <c r="Z1223" s="849">
        <v>1293.5999999999999</v>
      </c>
      <c r="AA1223" s="849"/>
      <c r="AB1223" s="849">
        <f t="shared" si="237"/>
        <v>1293.5999999999999</v>
      </c>
      <c r="AC1223" s="850">
        <f t="shared" si="238"/>
        <v>1293.5999999999999</v>
      </c>
      <c r="AD1223" s="851">
        <f t="shared" si="235"/>
        <v>32000</v>
      </c>
      <c r="AE1223" s="852">
        <v>29848.42</v>
      </c>
      <c r="AF1223" s="853">
        <v>0</v>
      </c>
      <c r="AG1223" s="854">
        <f t="shared" si="239"/>
        <v>0</v>
      </c>
      <c r="AH1223" s="853">
        <v>0.08</v>
      </c>
      <c r="AI1223" s="855">
        <f t="shared" si="240"/>
        <v>4406678.3289599996</v>
      </c>
      <c r="AJ1223" s="845" t="s">
        <v>4244</v>
      </c>
      <c r="AK1223" s="857">
        <v>45846</v>
      </c>
      <c r="AL1223" s="843" t="s">
        <v>4245</v>
      </c>
      <c r="AM1223" s="843"/>
      <c r="AN1223" s="844"/>
      <c r="AO1223" s="844" t="s">
        <v>116</v>
      </c>
      <c r="AP1223" s="841"/>
      <c r="AQ1223" s="842" t="s">
        <v>4246</v>
      </c>
      <c r="AR1223" s="841">
        <v>45856</v>
      </c>
      <c r="AS1223" s="842"/>
      <c r="AT1223" s="842" t="s">
        <v>4247</v>
      </c>
      <c r="AU1223" s="842" t="s">
        <v>4248</v>
      </c>
      <c r="AV1223" s="845" t="s">
        <v>4249</v>
      </c>
      <c r="AW1223" s="861">
        <v>45859</v>
      </c>
      <c r="AX1223" s="862">
        <v>45863</v>
      </c>
      <c r="AY1223" s="843" t="s">
        <v>4250</v>
      </c>
      <c r="AZ1223" s="842">
        <v>94017100</v>
      </c>
      <c r="BA1223" s="842" t="s">
        <v>120</v>
      </c>
      <c r="BB1223" s="863" t="s">
        <v>121</v>
      </c>
      <c r="BC1223" s="864">
        <v>45864</v>
      </c>
      <c r="BD1223" s="860" t="s">
        <v>4251</v>
      </c>
      <c r="BE1223" s="865" cm="1">
        <f t="array" ref="BE1223">IF(BD1223="","",AC1223/SUMPRODUCT(--(BD1223=$BD$4:$BD$12824),$AC$4:$AC$12824))</f>
        <v>0.33333333333333331</v>
      </c>
      <c r="BF1223" s="458" cm="1">
        <f t="array" ref="BF1223">SUM(_xlfn._xlws.FILTER( INDEX(Cost!$B$3:$BK$77,MATCH(LDL!$BD1223, Cost!$F$3:$F$77, 0),0),Cost!$B$3:$BK$3 = BF$3))</f>
        <v>16471563</v>
      </c>
      <c r="BG1223" s="458"/>
      <c r="BH1223" s="458"/>
      <c r="BI1223" s="458" cm="1">
        <f t="array" ref="BI1223">SUM(_xlfn._xlws.FILTER( INDEX(Cost!$B$3:$BK$77,MATCH(LDL!$BD1223, Cost!$F$3:$F$77, 0),0),Cost!$B$3:$BK$3 = BI$3))/1.08</f>
        <v>3404164.8148148144</v>
      </c>
      <c r="BJ1223" s="458" cm="1">
        <f t="array" ref="BJ1223">SUM(_xlfn._xlws.FILTER( INDEX(Cost!$B$3:$BK$77,MATCH(LDL!$BD1223, Cost!$F$3:$F$77, 0),0),Cost!$B$3:$BK$3 = BJ$3))</f>
        <v>0</v>
      </c>
      <c r="BK1223" s="458"/>
      <c r="BL1223" s="458" cm="1">
        <f t="array" ref="BL1223">SUM(_xlfn._xlws.FILTER( INDEX(Cost!$B$3:$BK$77,MATCH(LDL!$BD1223, Cost!$F$3:$F$77, 0),0),Cost!$B$3:$BK$3 = BL$3))</f>
        <v>20000</v>
      </c>
      <c r="BM1223" s="458"/>
      <c r="BN1223" s="458" cm="1">
        <f t="array" ref="BN1223">SUM(_xlfn._xlws.FILTER( INDEX(Cost!$B$3:$BK$77,MATCH(LDL!$BD1223, Cost!$F$3:$F$77, 0),0),Cost!$B$3:$BK$3 = BN$3))/1.08</f>
        <v>1100000</v>
      </c>
      <c r="BO1223" s="866">
        <f>VLOOKUP(BD1223,$BD$4:$BN$12824,3,0)*BE1223</f>
        <v>5490521</v>
      </c>
      <c r="BP1223" s="866"/>
      <c r="BQ1223" s="866"/>
      <c r="BR1223" s="866">
        <f>VLOOKUP(BD1223,$BD$4:$BN$12824,6,0)*BE1223</f>
        <v>1134721.6049382715</v>
      </c>
      <c r="BS1223" s="866">
        <f>VLOOKUP(BD1223,$BD$4:$BN$12824,7,0)*BE1223</f>
        <v>0</v>
      </c>
      <c r="BT1223" s="866"/>
      <c r="BU1223" s="866">
        <f>VLOOKUP(BD1223,$BD$4:$BN$12824,9,0)*BE1223</f>
        <v>6666.6666666666661</v>
      </c>
      <c r="BV1223" s="867"/>
      <c r="BW1223" s="867">
        <f>VLOOKUP(BD1223,$BD$4:$BN$12824,11,0)*BE1223</f>
        <v>366666.66666666663</v>
      </c>
      <c r="BX1223" s="1146">
        <f t="shared" si="241"/>
        <v>6998575.9382716054</v>
      </c>
      <c r="BY1223" s="867">
        <f t="shared" si="244"/>
        <v>45610492.0502716</v>
      </c>
      <c r="BZ1223" s="867">
        <f t="shared" si="242"/>
        <v>45610492.0502716</v>
      </c>
      <c r="CA1223" s="867">
        <f>_xlfn.MAXIFS($BY$4:$BY$12824,$S$4:$S$12824,$S1223)</f>
        <v>45610492.0502716</v>
      </c>
      <c r="CB1223" s="1032"/>
      <c r="CF1223" s="946">
        <f t="shared" si="243"/>
        <v>38611916.111999996</v>
      </c>
    </row>
    <row r="1224" spans="2:84">
      <c r="B1224" s="839" t="s">
        <v>98</v>
      </c>
      <c r="C1224" s="839" t="s">
        <v>2689</v>
      </c>
      <c r="D1224" s="839" t="s">
        <v>4239</v>
      </c>
      <c r="E1224" s="839" t="s">
        <v>4239</v>
      </c>
      <c r="F1224" s="841">
        <v>45827</v>
      </c>
      <c r="G1224" s="868" t="s">
        <v>2689</v>
      </c>
      <c r="H1224" s="842" t="s">
        <v>102</v>
      </c>
      <c r="I1224" s="883" t="s">
        <v>4240</v>
      </c>
      <c r="J1224" s="841">
        <v>45827</v>
      </c>
      <c r="K1224" s="841">
        <v>45930</v>
      </c>
      <c r="L1224" s="843" t="s">
        <v>106</v>
      </c>
      <c r="M1224" s="844" t="s">
        <v>107</v>
      </c>
      <c r="N1224" s="841"/>
      <c r="O1224" s="884" t="s">
        <v>150</v>
      </c>
      <c r="P1224" s="842" t="s">
        <v>4241</v>
      </c>
      <c r="Q1224" s="843"/>
      <c r="R1224" s="845">
        <v>20171403</v>
      </c>
      <c r="S1224" s="1127" t="s">
        <v>4252</v>
      </c>
      <c r="T1224" s="885" t="s">
        <v>4253</v>
      </c>
      <c r="U1224" s="886">
        <v>1</v>
      </c>
      <c r="V1224" s="842" t="s">
        <v>3</v>
      </c>
      <c r="W1224" s="846">
        <v>1848</v>
      </c>
      <c r="X1224" s="847">
        <f t="shared" si="236"/>
        <v>1848</v>
      </c>
      <c r="Y1224" s="853">
        <v>0.3</v>
      </c>
      <c r="Z1224" s="849">
        <v>1293.5999999999999</v>
      </c>
      <c r="AA1224" s="849"/>
      <c r="AB1224" s="849">
        <f t="shared" si="237"/>
        <v>1293.5999999999999</v>
      </c>
      <c r="AC1224" s="850">
        <f t="shared" si="238"/>
        <v>1293.5999999999999</v>
      </c>
      <c r="AD1224" s="851">
        <f t="shared" si="235"/>
        <v>32000</v>
      </c>
      <c r="AE1224" s="852">
        <v>29848.42</v>
      </c>
      <c r="AF1224" s="853">
        <v>0</v>
      </c>
      <c r="AG1224" s="854">
        <f t="shared" si="239"/>
        <v>0</v>
      </c>
      <c r="AH1224" s="853">
        <v>0.08</v>
      </c>
      <c r="AI1224" s="855">
        <f t="shared" si="240"/>
        <v>3088953.2889599996</v>
      </c>
      <c r="AJ1224" s="845" t="s">
        <v>4244</v>
      </c>
      <c r="AK1224" s="857">
        <v>45846</v>
      </c>
      <c r="AL1224" s="843" t="s">
        <v>4245</v>
      </c>
      <c r="AM1224" s="843"/>
      <c r="AN1224" s="844"/>
      <c r="AO1224" s="844" t="s">
        <v>116</v>
      </c>
      <c r="AP1224" s="841"/>
      <c r="AQ1224" s="842" t="s">
        <v>4246</v>
      </c>
      <c r="AR1224" s="841">
        <v>45856</v>
      </c>
      <c r="AS1224" s="842"/>
      <c r="AT1224" s="842" t="s">
        <v>4247</v>
      </c>
      <c r="AU1224" s="842" t="s">
        <v>4248</v>
      </c>
      <c r="AV1224" s="845" t="s">
        <v>4249</v>
      </c>
      <c r="AW1224" s="861">
        <v>45859</v>
      </c>
      <c r="AX1224" s="862">
        <v>45863</v>
      </c>
      <c r="AY1224" s="843" t="s">
        <v>4254</v>
      </c>
      <c r="AZ1224" s="842">
        <v>94017100</v>
      </c>
      <c r="BA1224" s="842" t="s">
        <v>120</v>
      </c>
      <c r="BB1224" s="863" t="s">
        <v>121</v>
      </c>
      <c r="BC1224" s="864">
        <v>45864</v>
      </c>
      <c r="BD1224" s="860" t="s">
        <v>4251</v>
      </c>
      <c r="BE1224" s="865" cm="1">
        <f t="array" ref="BE1224">IF(BD1224="","",AC1224/SUMPRODUCT(--(BD1224=$BD$4:$BD$12824),$AC$4:$AC$12824))</f>
        <v>0.33333333333333331</v>
      </c>
      <c r="BF1224" s="458"/>
      <c r="BG1224" s="458"/>
      <c r="BH1224" s="458"/>
      <c r="BI1224" s="458"/>
      <c r="BJ1224" s="458"/>
      <c r="BK1224" s="458"/>
      <c r="BL1224" s="458"/>
      <c r="BM1224" s="458"/>
      <c r="BN1224" s="458"/>
      <c r="BO1224" s="866">
        <f>VLOOKUP(BD1224,$BD$4:$BN$12824,3,0)*BE1224</f>
        <v>5490521</v>
      </c>
      <c r="BP1224" s="866"/>
      <c r="BQ1224" s="866"/>
      <c r="BR1224" s="866">
        <f>VLOOKUP(BD1224,$BD$4:$BN$12824,6,0)*BE1224</f>
        <v>1134721.6049382715</v>
      </c>
      <c r="BS1224" s="866">
        <f>VLOOKUP(BD1224,$BD$4:$BN$12824,7,0)*BE1224</f>
        <v>0</v>
      </c>
      <c r="BT1224" s="866"/>
      <c r="BU1224" s="866">
        <f>VLOOKUP(BD1224,$BD$4:$BN$12824,9,0)*BE1224</f>
        <v>6666.6666666666661</v>
      </c>
      <c r="BV1224" s="867"/>
      <c r="BW1224" s="867">
        <f>VLOOKUP(BD1224,$BD$4:$BN$12824,11,0)*BE1224</f>
        <v>366666.66666666663</v>
      </c>
      <c r="BX1224" s="1146">
        <f t="shared" si="241"/>
        <v>6998575.9382716054</v>
      </c>
      <c r="BY1224" s="867">
        <f t="shared" si="244"/>
        <v>45610492.0502716</v>
      </c>
      <c r="BZ1224" s="867">
        <f t="shared" si="242"/>
        <v>45610492.0502716</v>
      </c>
      <c r="CA1224" s="867">
        <f>_xlfn.MAXIFS($BY$4:$BY$12824,$S$4:$S$12824,$S1224)</f>
        <v>45610492.0502716</v>
      </c>
      <c r="CB1224" s="1032"/>
      <c r="CF1224" s="946">
        <f t="shared" si="243"/>
        <v>38611916.111999996</v>
      </c>
    </row>
    <row r="1225" spans="2:84">
      <c r="B1225" s="839" t="s">
        <v>98</v>
      </c>
      <c r="C1225" s="839" t="s">
        <v>2689</v>
      </c>
      <c r="D1225" s="839" t="s">
        <v>4239</v>
      </c>
      <c r="E1225" s="839" t="s">
        <v>4239</v>
      </c>
      <c r="F1225" s="841">
        <v>45827</v>
      </c>
      <c r="G1225" s="868" t="s">
        <v>2689</v>
      </c>
      <c r="H1225" s="842" t="s">
        <v>102</v>
      </c>
      <c r="I1225" s="883" t="s">
        <v>4240</v>
      </c>
      <c r="J1225" s="841">
        <v>45827</v>
      </c>
      <c r="K1225" s="841">
        <v>45930</v>
      </c>
      <c r="L1225" s="843" t="s">
        <v>106</v>
      </c>
      <c r="M1225" s="844" t="s">
        <v>107</v>
      </c>
      <c r="N1225" s="841"/>
      <c r="O1225" s="884" t="s">
        <v>150</v>
      </c>
      <c r="P1225" s="842" t="s">
        <v>4241</v>
      </c>
      <c r="Q1225" s="843"/>
      <c r="R1225" s="845">
        <v>20171401</v>
      </c>
      <c r="S1225" s="1127" t="s">
        <v>4255</v>
      </c>
      <c r="T1225" s="885" t="s">
        <v>4256</v>
      </c>
      <c r="U1225" s="886">
        <v>1</v>
      </c>
      <c r="V1225" s="842" t="s">
        <v>3</v>
      </c>
      <c r="W1225" s="846">
        <v>1848</v>
      </c>
      <c r="X1225" s="847">
        <f t="shared" si="236"/>
        <v>1848</v>
      </c>
      <c r="Y1225" s="853">
        <v>0.3</v>
      </c>
      <c r="Z1225" s="849">
        <v>1293.5999999999999</v>
      </c>
      <c r="AA1225" s="849"/>
      <c r="AB1225" s="849">
        <f t="shared" si="237"/>
        <v>1293.5999999999999</v>
      </c>
      <c r="AC1225" s="850">
        <f t="shared" si="238"/>
        <v>1293.5999999999999</v>
      </c>
      <c r="AD1225" s="851">
        <f t="shared" si="235"/>
        <v>32000</v>
      </c>
      <c r="AE1225" s="852">
        <v>29848.42</v>
      </c>
      <c r="AF1225" s="853">
        <v>0</v>
      </c>
      <c r="AG1225" s="854">
        <f t="shared" si="239"/>
        <v>0</v>
      </c>
      <c r="AH1225" s="853">
        <v>0.08</v>
      </c>
      <c r="AI1225" s="855">
        <f t="shared" si="240"/>
        <v>3088953.2889599996</v>
      </c>
      <c r="AJ1225" s="845" t="s">
        <v>4244</v>
      </c>
      <c r="AK1225" s="857">
        <v>45846</v>
      </c>
      <c r="AL1225" s="843" t="s">
        <v>4245</v>
      </c>
      <c r="AM1225" s="843"/>
      <c r="AN1225" s="844"/>
      <c r="AO1225" s="844" t="s">
        <v>116</v>
      </c>
      <c r="AP1225" s="841"/>
      <c r="AQ1225" s="842" t="s">
        <v>4246</v>
      </c>
      <c r="AR1225" s="841">
        <v>45856</v>
      </c>
      <c r="AS1225" s="842"/>
      <c r="AT1225" s="842" t="s">
        <v>4247</v>
      </c>
      <c r="AU1225" s="842" t="s">
        <v>4248</v>
      </c>
      <c r="AV1225" s="845" t="s">
        <v>4249</v>
      </c>
      <c r="AW1225" s="861">
        <v>45859</v>
      </c>
      <c r="AX1225" s="862">
        <v>45863</v>
      </c>
      <c r="AY1225" s="843" t="s">
        <v>4257</v>
      </c>
      <c r="AZ1225" s="842">
        <v>94017100</v>
      </c>
      <c r="BA1225" s="842" t="s">
        <v>120</v>
      </c>
      <c r="BB1225" s="863" t="s">
        <v>121</v>
      </c>
      <c r="BC1225" s="864">
        <v>45864</v>
      </c>
      <c r="BD1225" s="860" t="s">
        <v>4251</v>
      </c>
      <c r="BE1225" s="865" cm="1">
        <f t="array" ref="BE1225">IF(BD1225="","",AC1225/SUMPRODUCT(--(BD1225=$BD$4:$BD$12824),$AC$4:$AC$12824))</f>
        <v>0.33333333333333331</v>
      </c>
      <c r="BF1225" s="458"/>
      <c r="BG1225" s="458"/>
      <c r="BH1225" s="458"/>
      <c r="BI1225" s="458"/>
      <c r="BJ1225" s="458"/>
      <c r="BK1225" s="458"/>
      <c r="BL1225" s="458"/>
      <c r="BM1225" s="458"/>
      <c r="BN1225" s="458"/>
      <c r="BO1225" s="866">
        <f>VLOOKUP(BD1225,$BD$4:$BN$12824,3,0)*BE1225</f>
        <v>5490521</v>
      </c>
      <c r="BP1225" s="866"/>
      <c r="BQ1225" s="866"/>
      <c r="BR1225" s="866">
        <f>VLOOKUP(BD1225,$BD$4:$BN$12824,6,0)*BE1225</f>
        <v>1134721.6049382715</v>
      </c>
      <c r="BS1225" s="866">
        <f>VLOOKUP(BD1225,$BD$4:$BN$12824,7,0)*BE1225</f>
        <v>0</v>
      </c>
      <c r="BT1225" s="866"/>
      <c r="BU1225" s="866">
        <f>VLOOKUP(BD1225,$BD$4:$BN$12824,9,0)*BE1225</f>
        <v>6666.6666666666661</v>
      </c>
      <c r="BV1225" s="867"/>
      <c r="BW1225" s="867">
        <f>VLOOKUP(BD1225,$BD$4:$BN$12824,11,0)*BE1225</f>
        <v>366666.66666666663</v>
      </c>
      <c r="BX1225" s="1146">
        <f t="shared" si="241"/>
        <v>6998575.9382716054</v>
      </c>
      <c r="BY1225" s="867">
        <f t="shared" si="244"/>
        <v>45610492.0502716</v>
      </c>
      <c r="BZ1225" s="867">
        <f t="shared" si="242"/>
        <v>45610492.0502716</v>
      </c>
      <c r="CA1225" s="867">
        <f>_xlfn.MAXIFS($BY$4:$BY$12824,$S$4:$S$12824,$S1225)</f>
        <v>45610492.0502716</v>
      </c>
      <c r="CB1225" s="1032"/>
      <c r="CF1225" s="946">
        <f t="shared" si="243"/>
        <v>38611916.111999996</v>
      </c>
    </row>
    <row r="1226" spans="2:84">
      <c r="B1226" s="839" t="s">
        <v>98</v>
      </c>
      <c r="C1226" s="839" t="s">
        <v>2689</v>
      </c>
      <c r="D1226" s="839" t="s">
        <v>4258</v>
      </c>
      <c r="E1226" s="839" t="s">
        <v>4258</v>
      </c>
      <c r="F1226" s="841">
        <v>45649</v>
      </c>
      <c r="G1226" s="868" t="s">
        <v>2689</v>
      </c>
      <c r="H1226" s="842" t="s">
        <v>102</v>
      </c>
      <c r="I1226" s="883" t="s">
        <v>4259</v>
      </c>
      <c r="J1226" s="841" t="s">
        <v>2699</v>
      </c>
      <c r="K1226" s="841">
        <v>45783</v>
      </c>
      <c r="L1226" s="843" t="s">
        <v>106</v>
      </c>
      <c r="M1226" s="844" t="s">
        <v>107</v>
      </c>
      <c r="N1226" s="841"/>
      <c r="O1226" s="884" t="s">
        <v>150</v>
      </c>
      <c r="P1226" s="841" t="s">
        <v>156</v>
      </c>
      <c r="Q1226" s="843"/>
      <c r="R1226" s="845">
        <v>20130002</v>
      </c>
      <c r="S1226" s="1127" t="s">
        <v>4260</v>
      </c>
      <c r="T1226" s="885" t="s">
        <v>4261</v>
      </c>
      <c r="U1226" s="886">
        <v>1</v>
      </c>
      <c r="V1226" s="886" t="s">
        <v>3</v>
      </c>
      <c r="W1226" s="846">
        <v>2940</v>
      </c>
      <c r="X1226" s="847">
        <f t="shared" si="236"/>
        <v>2940</v>
      </c>
      <c r="Y1226" s="848">
        <v>0.49</v>
      </c>
      <c r="Z1226" s="849">
        <v>1499.4</v>
      </c>
      <c r="AA1226" s="854"/>
      <c r="AB1226" s="849">
        <f t="shared" si="237"/>
        <v>1499.4</v>
      </c>
      <c r="AC1226" s="850">
        <f t="shared" si="238"/>
        <v>1499.4</v>
      </c>
      <c r="AD1226" s="887">
        <f t="shared" si="235"/>
        <v>32000</v>
      </c>
      <c r="AE1226" s="888">
        <v>30266.65</v>
      </c>
      <c r="AF1226" s="853">
        <v>0</v>
      </c>
      <c r="AG1226" s="854">
        <f t="shared" si="239"/>
        <v>0</v>
      </c>
      <c r="AH1226" s="853" t="s">
        <v>4262</v>
      </c>
      <c r="AI1226" s="855">
        <f t="shared" si="240"/>
        <v>6608554.1608000007</v>
      </c>
      <c r="AJ1226" s="845" t="s">
        <v>3318</v>
      </c>
      <c r="AK1226" s="857">
        <v>45796</v>
      </c>
      <c r="AL1226" s="843" t="s">
        <v>4263</v>
      </c>
      <c r="AM1226" s="843" t="s">
        <v>4264</v>
      </c>
      <c r="AN1226" s="844" t="s">
        <v>4265</v>
      </c>
      <c r="AO1226" s="844" t="s">
        <v>141</v>
      </c>
      <c r="AP1226" s="841"/>
      <c r="AQ1226" s="841">
        <v>45821</v>
      </c>
      <c r="AR1226" s="841">
        <v>45865</v>
      </c>
      <c r="AS1226" s="842" t="s">
        <v>4266</v>
      </c>
      <c r="AT1226" s="842" t="s">
        <v>1235</v>
      </c>
      <c r="AU1226" s="842" t="s">
        <v>3794</v>
      </c>
      <c r="AV1226" s="845" t="s">
        <v>4267</v>
      </c>
      <c r="AW1226" s="861">
        <v>45867</v>
      </c>
      <c r="AX1226" s="862">
        <v>45873</v>
      </c>
      <c r="AY1226" s="843" t="s">
        <v>4268</v>
      </c>
      <c r="AZ1226" s="842" t="s">
        <v>4269</v>
      </c>
      <c r="BA1226" s="842" t="s">
        <v>120</v>
      </c>
      <c r="BB1226" s="863" t="s">
        <v>121</v>
      </c>
      <c r="BC1226" s="864">
        <v>45867</v>
      </c>
      <c r="BD1226" s="860" t="s">
        <v>4270</v>
      </c>
      <c r="BE1226" s="865" cm="1">
        <f t="array" ref="BE1226">IF(BD1226="","",AC1226/SUMPRODUCT(--(BD1226=$BD$4:$BD$12824),$AC$4:$AC$12824))</f>
        <v>3.3642066718720574E-2</v>
      </c>
      <c r="BF1226" s="458" cm="1">
        <f t="array" ref="BF1226">SUM(_xlfn._xlws.FILTER( INDEX(Cost!$B$3:$BK$77,MATCH(LDL!$BD1226, Cost!$F$3:$F$77, 0),0),Cost!$B$3:$BK$3 = BF$3))</f>
        <v>35874160</v>
      </c>
      <c r="BG1226" s="458"/>
      <c r="BH1226" s="458"/>
      <c r="BI1226" s="458" cm="1">
        <f t="array" ref="BI1226">SUM(_xlfn._xlws.FILTER( INDEX(Cost!$B$3:$BK$77,MATCH(LDL!$BD1226, Cost!$F$3:$F$77, 0),0),Cost!$B$3:$BK$3 = BI$3))/1.08</f>
        <v>16034632.407407407</v>
      </c>
      <c r="BJ1226" s="458" cm="1">
        <f t="array" ref="BJ1226">SUM(_xlfn._xlws.FILTER( INDEX(Cost!$B$3:$BK$77,MATCH(LDL!$BD1226, Cost!$F$3:$F$77, 0),0),Cost!$B$3:$BK$3 = BJ$3))</f>
        <v>1350952</v>
      </c>
      <c r="BK1226" s="458"/>
      <c r="BL1226" s="458" cm="1">
        <f t="array" ref="BL1226">SUM(_xlfn._xlws.FILTER( INDEX(Cost!$B$3:$BK$77,MATCH(LDL!$BD1226, Cost!$F$3:$F$77, 0),0),Cost!$B$3:$BK$3 = BL$3))</f>
        <v>540000</v>
      </c>
      <c r="BM1226" s="458"/>
      <c r="BN1226" s="458" cm="1">
        <f t="array" ref="BN1226">SUM(_xlfn._xlws.FILTER( INDEX(Cost!$B$3:$BK$77,MATCH(LDL!$BD1226, Cost!$F$3:$F$77, 0),0),Cost!$B$3:$BK$3 = BN$3))/1.08</f>
        <v>8937037.0370370373</v>
      </c>
      <c r="BO1226" s="866">
        <f>VLOOKUP(BD1226,$BD$4:$BN$12824,3,0)*BE1226</f>
        <v>1206880.8841980568</v>
      </c>
      <c r="BP1226" s="866"/>
      <c r="BQ1226" s="866"/>
      <c r="BR1226" s="866">
        <f>VLOOKUP(BD1226,$BD$4:$BN$12824,6,0)*BE1226</f>
        <v>539438.17326015909</v>
      </c>
      <c r="BS1226" s="866">
        <f>VLOOKUP(BD1226,$BD$4:$BN$12824,7,0)*BE1226</f>
        <v>45448.817317788998</v>
      </c>
      <c r="BT1226" s="866"/>
      <c r="BU1226" s="866">
        <f>VLOOKUP(BD1226,$BD$4:$BN$12824,9,0)*BE1226</f>
        <v>18166.716028109109</v>
      </c>
      <c r="BV1226" s="867"/>
      <c r="BW1226" s="867">
        <f>VLOOKUP(BD1226,$BD$4:$BN$12824,11,0)*BE1226</f>
        <v>300660.39626767684</v>
      </c>
      <c r="BX1226" s="1146">
        <f t="shared" si="241"/>
        <v>2110594.9870717907</v>
      </c>
      <c r="BY1226" s="867">
        <f t="shared" si="244"/>
        <v>47492409.997071795</v>
      </c>
      <c r="BZ1226" s="867">
        <f t="shared" si="242"/>
        <v>47492409.997071795</v>
      </c>
      <c r="CA1226" s="867">
        <f>_xlfn.MAXIFS($BY$4:$BY$12824,$S$4:$S$12824,$S1226)</f>
        <v>47492409.997071795</v>
      </c>
      <c r="CB1226" s="1032"/>
      <c r="CF1226" s="946">
        <f t="shared" si="243"/>
        <v>45381815.010000005</v>
      </c>
    </row>
    <row r="1227" spans="2:84">
      <c r="B1227" s="839" t="s">
        <v>98</v>
      </c>
      <c r="C1227" s="839" t="s">
        <v>2689</v>
      </c>
      <c r="D1227" s="839" t="s">
        <v>4271</v>
      </c>
      <c r="E1227" s="839" t="s">
        <v>4272</v>
      </c>
      <c r="F1227" s="841">
        <v>45675</v>
      </c>
      <c r="G1227" s="868" t="s">
        <v>2689</v>
      </c>
      <c r="H1227" s="842" t="s">
        <v>134</v>
      </c>
      <c r="I1227" s="883"/>
      <c r="J1227" s="841"/>
      <c r="K1227" s="841"/>
      <c r="L1227" s="843" t="s">
        <v>106</v>
      </c>
      <c r="M1227" s="844" t="s">
        <v>107</v>
      </c>
      <c r="N1227" s="841"/>
      <c r="O1227" s="884" t="s">
        <v>150</v>
      </c>
      <c r="P1227" s="842" t="s">
        <v>151</v>
      </c>
      <c r="Q1227" s="843"/>
      <c r="R1227" s="845">
        <v>44003500</v>
      </c>
      <c r="S1227" s="1127" t="s">
        <v>3107</v>
      </c>
      <c r="T1227" s="885" t="s">
        <v>3108</v>
      </c>
      <c r="U1227" s="886">
        <v>12</v>
      </c>
      <c r="V1227" s="842" t="s">
        <v>3</v>
      </c>
      <c r="W1227" s="846">
        <v>279</v>
      </c>
      <c r="X1227" s="847">
        <f t="shared" si="236"/>
        <v>3348</v>
      </c>
      <c r="Y1227" s="848">
        <f t="shared" ref="Y1227:Y1258" si="245">(W1227-Z1227)/W1227</f>
        <v>0.48724014336917559</v>
      </c>
      <c r="Z1227" s="849">
        <v>143.06</v>
      </c>
      <c r="AA1227" s="854"/>
      <c r="AB1227" s="849">
        <f t="shared" si="237"/>
        <v>1716.72</v>
      </c>
      <c r="AC1227" s="850">
        <f t="shared" si="238"/>
        <v>1716.72</v>
      </c>
      <c r="AD1227" s="887">
        <f t="shared" si="235"/>
        <v>32000</v>
      </c>
      <c r="AE1227" s="888">
        <v>30266.65</v>
      </c>
      <c r="AF1227" s="889">
        <v>0</v>
      </c>
      <c r="AG1227" s="854">
        <f t="shared" si="239"/>
        <v>0</v>
      </c>
      <c r="AH1227" s="853" t="s">
        <v>4262</v>
      </c>
      <c r="AI1227" s="855">
        <f t="shared" si="240"/>
        <v>4156749.0710400003</v>
      </c>
      <c r="AJ1227" s="890" t="s">
        <v>3318</v>
      </c>
      <c r="AK1227" s="891">
        <v>45796</v>
      </c>
      <c r="AL1227" s="892" t="s">
        <v>4263</v>
      </c>
      <c r="AM1227" s="892" t="s">
        <v>4264</v>
      </c>
      <c r="AN1227" s="844" t="s">
        <v>4265</v>
      </c>
      <c r="AO1227" s="844" t="s">
        <v>141</v>
      </c>
      <c r="AP1227" s="841"/>
      <c r="AQ1227" s="841">
        <v>45821</v>
      </c>
      <c r="AR1227" s="841">
        <v>45865</v>
      </c>
      <c r="AS1227" s="842" t="s">
        <v>4266</v>
      </c>
      <c r="AT1227" s="842" t="s">
        <v>1235</v>
      </c>
      <c r="AU1227" s="842" t="s">
        <v>3794</v>
      </c>
      <c r="AV1227" s="845" t="s">
        <v>4273</v>
      </c>
      <c r="AW1227" s="861">
        <v>45867</v>
      </c>
      <c r="AX1227" s="862">
        <v>45873</v>
      </c>
      <c r="AY1227" s="843" t="s">
        <v>4274</v>
      </c>
      <c r="AZ1227" s="842" t="s">
        <v>2704</v>
      </c>
      <c r="BA1227" s="842" t="s">
        <v>120</v>
      </c>
      <c r="BB1227" s="863" t="s">
        <v>121</v>
      </c>
      <c r="BC1227" s="864">
        <v>45867</v>
      </c>
      <c r="BD1227" s="860" t="s">
        <v>4270</v>
      </c>
      <c r="BE1227" s="865" cm="1">
        <f t="array" ref="BE1227">IF(BD1227="","",AC1227/SUMPRODUCT(--(BD1227=$BD$4:$BD$12824),$AC$4:$AC$12824))</f>
        <v>3.8518079750141376E-2</v>
      </c>
      <c r="BF1227" s="458"/>
      <c r="BG1227" s="458"/>
      <c r="BH1227" s="458"/>
      <c r="BI1227" s="458"/>
      <c r="BJ1227" s="458"/>
      <c r="BK1227" s="458"/>
      <c r="BL1227" s="458"/>
      <c r="BM1227" s="458"/>
      <c r="BN1227" s="458"/>
      <c r="BO1227" s="866">
        <f>VLOOKUP(BD1227,$BD$4:$BN$12824,3,0)*BE1227</f>
        <v>1381803.7558493319</v>
      </c>
      <c r="BP1227" s="866"/>
      <c r="BQ1227" s="866"/>
      <c r="BR1227" s="866">
        <f>VLOOKUP(BD1227,$BD$4:$BN$12824,6,0)*BE1227</f>
        <v>617623.24983271991</v>
      </c>
      <c r="BS1227" s="866">
        <f>VLOOKUP(BD1227,$BD$4:$BN$12824,7,0)*BE1227</f>
        <v>52036.076874612991</v>
      </c>
      <c r="BT1227" s="866"/>
      <c r="BU1227" s="866">
        <f>VLOOKUP(BD1227,$BD$4:$BN$12824,9,0)*BE1227</f>
        <v>20799.763065076342</v>
      </c>
      <c r="BV1227" s="867"/>
      <c r="BW1227" s="867">
        <f>VLOOKUP(BD1227,$BD$4:$BN$12824,11,0)*BE1227</f>
        <v>344237.50532255979</v>
      </c>
      <c r="BX1227" s="1146">
        <f t="shared" si="241"/>
        <v>2416500.3509443011</v>
      </c>
      <c r="BY1227" s="867">
        <f t="shared" si="244"/>
        <v>4531321.9782453589</v>
      </c>
      <c r="BZ1227" s="867">
        <f t="shared" si="242"/>
        <v>54375863.738944307</v>
      </c>
      <c r="CA1227" s="867">
        <f>_xlfn.MAXIFS($BY$4:$BY$12824,$S$4:$S$12824,$S1227)</f>
        <v>4531321.9782453589</v>
      </c>
      <c r="CB1227" s="1032"/>
      <c r="CF1227" s="946">
        <f t="shared" si="243"/>
        <v>51959363.388000004</v>
      </c>
    </row>
    <row r="1228" spans="2:84">
      <c r="B1228" s="839" t="s">
        <v>98</v>
      </c>
      <c r="C1228" s="839" t="s">
        <v>2689</v>
      </c>
      <c r="D1228" s="839" t="s">
        <v>4271</v>
      </c>
      <c r="E1228" s="839" t="s">
        <v>4272</v>
      </c>
      <c r="F1228" s="841">
        <v>45675</v>
      </c>
      <c r="G1228" s="868" t="s">
        <v>2689</v>
      </c>
      <c r="H1228" s="842" t="s">
        <v>134</v>
      </c>
      <c r="I1228" s="883"/>
      <c r="J1228" s="841"/>
      <c r="K1228" s="841"/>
      <c r="L1228" s="843" t="s">
        <v>106</v>
      </c>
      <c r="M1228" s="844" t="s">
        <v>107</v>
      </c>
      <c r="N1228" s="841"/>
      <c r="O1228" s="884" t="s">
        <v>150</v>
      </c>
      <c r="P1228" s="842" t="s">
        <v>151</v>
      </c>
      <c r="Q1228" s="843"/>
      <c r="R1228" s="845">
        <v>44003500</v>
      </c>
      <c r="S1228" s="1127" t="s">
        <v>3110</v>
      </c>
      <c r="T1228" s="885" t="s">
        <v>3111</v>
      </c>
      <c r="U1228" s="886">
        <v>12</v>
      </c>
      <c r="V1228" s="842" t="s">
        <v>3</v>
      </c>
      <c r="W1228" s="846">
        <v>279</v>
      </c>
      <c r="X1228" s="847">
        <f t="shared" si="236"/>
        <v>3348</v>
      </c>
      <c r="Y1228" s="848">
        <f t="shared" si="245"/>
        <v>0.48724014336917559</v>
      </c>
      <c r="Z1228" s="849">
        <v>143.06</v>
      </c>
      <c r="AA1228" s="854"/>
      <c r="AB1228" s="849">
        <f t="shared" si="237"/>
        <v>1716.72</v>
      </c>
      <c r="AC1228" s="850">
        <f t="shared" si="238"/>
        <v>1716.72</v>
      </c>
      <c r="AD1228" s="887">
        <f t="shared" si="235"/>
        <v>32000</v>
      </c>
      <c r="AE1228" s="888">
        <v>30266.65</v>
      </c>
      <c r="AF1228" s="853">
        <v>0</v>
      </c>
      <c r="AG1228" s="854">
        <f t="shared" si="239"/>
        <v>0</v>
      </c>
      <c r="AH1228" s="853" t="s">
        <v>4262</v>
      </c>
      <c r="AI1228" s="855">
        <f t="shared" si="240"/>
        <v>4156749.0710400003</v>
      </c>
      <c r="AJ1228" s="845" t="s">
        <v>3318</v>
      </c>
      <c r="AK1228" s="857">
        <v>45796</v>
      </c>
      <c r="AL1228" s="843" t="s">
        <v>4263</v>
      </c>
      <c r="AM1228" s="843" t="s">
        <v>4264</v>
      </c>
      <c r="AN1228" s="844" t="s">
        <v>4265</v>
      </c>
      <c r="AO1228" s="844" t="s">
        <v>141</v>
      </c>
      <c r="AP1228" s="841"/>
      <c r="AQ1228" s="841">
        <v>45821</v>
      </c>
      <c r="AR1228" s="841">
        <v>45865</v>
      </c>
      <c r="AS1228" s="842" t="s">
        <v>4266</v>
      </c>
      <c r="AT1228" s="842" t="s">
        <v>1235</v>
      </c>
      <c r="AU1228" s="842" t="s">
        <v>3794</v>
      </c>
      <c r="AV1228" s="845" t="s">
        <v>4275</v>
      </c>
      <c r="AW1228" s="861">
        <v>45867</v>
      </c>
      <c r="AX1228" s="862">
        <v>45873</v>
      </c>
      <c r="AY1228" s="843" t="s">
        <v>4274</v>
      </c>
      <c r="AZ1228" s="842" t="s">
        <v>2704</v>
      </c>
      <c r="BA1228" s="842" t="s">
        <v>120</v>
      </c>
      <c r="BB1228" s="863" t="s">
        <v>121</v>
      </c>
      <c r="BC1228" s="864">
        <v>45867</v>
      </c>
      <c r="BD1228" s="860" t="s">
        <v>4270</v>
      </c>
      <c r="BE1228" s="865" cm="1">
        <f t="array" ref="BE1228">IF(BD1228="","",AC1228/SUMPRODUCT(--(BD1228=$BD$4:$BD$12824),$AC$4:$AC$12824))</f>
        <v>3.8518079750141376E-2</v>
      </c>
      <c r="BF1228" s="458"/>
      <c r="BG1228" s="458"/>
      <c r="BH1228" s="458"/>
      <c r="BI1228" s="458"/>
      <c r="BJ1228" s="458"/>
      <c r="BK1228" s="458"/>
      <c r="BL1228" s="458"/>
      <c r="BM1228" s="458"/>
      <c r="BN1228" s="458"/>
      <c r="BO1228" s="866">
        <f>VLOOKUP(BD1228,$BD$4:$BN$12824,3,0)*BE1228</f>
        <v>1381803.7558493319</v>
      </c>
      <c r="BP1228" s="866"/>
      <c r="BQ1228" s="866"/>
      <c r="BR1228" s="866">
        <f>VLOOKUP(BD1228,$BD$4:$BN$12824,6,0)*BE1228</f>
        <v>617623.24983271991</v>
      </c>
      <c r="BS1228" s="866">
        <f>VLOOKUP(BD1228,$BD$4:$BN$12824,7,0)*BE1228</f>
        <v>52036.076874612991</v>
      </c>
      <c r="BT1228" s="866"/>
      <c r="BU1228" s="866">
        <f>VLOOKUP(BD1228,$BD$4:$BN$12824,9,0)*BE1228</f>
        <v>20799.763065076342</v>
      </c>
      <c r="BV1228" s="867"/>
      <c r="BW1228" s="867">
        <f>VLOOKUP(BD1228,$BD$4:$BN$12824,11,0)*BE1228</f>
        <v>344237.50532255979</v>
      </c>
      <c r="BX1228" s="1146">
        <f t="shared" si="241"/>
        <v>2416500.3509443011</v>
      </c>
      <c r="BY1228" s="867">
        <f t="shared" si="244"/>
        <v>4531321.9782453589</v>
      </c>
      <c r="BZ1228" s="867">
        <f t="shared" si="242"/>
        <v>54375863.738944307</v>
      </c>
      <c r="CA1228" s="867">
        <f>_xlfn.MAXIFS($BY$4:$BY$12824,$S$4:$S$12824,$S1228)</f>
        <v>4531321.9782453589</v>
      </c>
      <c r="CB1228" s="1032"/>
      <c r="CF1228" s="946">
        <f t="shared" si="243"/>
        <v>51959363.388000004</v>
      </c>
    </row>
    <row r="1229" spans="2:84">
      <c r="B1229" s="839" t="s">
        <v>98</v>
      </c>
      <c r="C1229" s="839" t="s">
        <v>2689</v>
      </c>
      <c r="D1229" s="839" t="s">
        <v>4271</v>
      </c>
      <c r="E1229" s="839" t="s">
        <v>4272</v>
      </c>
      <c r="F1229" s="841">
        <v>45675</v>
      </c>
      <c r="G1229" s="868" t="s">
        <v>2689</v>
      </c>
      <c r="H1229" s="842" t="s">
        <v>134</v>
      </c>
      <c r="I1229" s="883"/>
      <c r="J1229" s="841"/>
      <c r="K1229" s="841"/>
      <c r="L1229" s="843" t="s">
        <v>106</v>
      </c>
      <c r="M1229" s="844" t="s">
        <v>107</v>
      </c>
      <c r="N1229" s="841"/>
      <c r="O1229" s="884" t="s">
        <v>150</v>
      </c>
      <c r="P1229" s="842" t="s">
        <v>151</v>
      </c>
      <c r="Q1229" s="843"/>
      <c r="R1229" s="845">
        <v>44003500</v>
      </c>
      <c r="S1229" s="1127" t="s">
        <v>3113</v>
      </c>
      <c r="T1229" s="885" t="s">
        <v>3114</v>
      </c>
      <c r="U1229" s="886">
        <v>12</v>
      </c>
      <c r="V1229" s="842" t="s">
        <v>3</v>
      </c>
      <c r="W1229" s="846">
        <v>279</v>
      </c>
      <c r="X1229" s="847">
        <f t="shared" si="236"/>
        <v>3348</v>
      </c>
      <c r="Y1229" s="848">
        <f t="shared" si="245"/>
        <v>0.48724014336917559</v>
      </c>
      <c r="Z1229" s="849">
        <v>143.06</v>
      </c>
      <c r="AA1229" s="854"/>
      <c r="AB1229" s="849">
        <f t="shared" si="237"/>
        <v>1716.72</v>
      </c>
      <c r="AC1229" s="850">
        <f t="shared" si="238"/>
        <v>1716.72</v>
      </c>
      <c r="AD1229" s="887">
        <f t="shared" si="235"/>
        <v>32000</v>
      </c>
      <c r="AE1229" s="888">
        <v>30266.65</v>
      </c>
      <c r="AF1229" s="853">
        <v>0</v>
      </c>
      <c r="AG1229" s="854">
        <f t="shared" si="239"/>
        <v>0</v>
      </c>
      <c r="AH1229" s="853" t="s">
        <v>4262</v>
      </c>
      <c r="AI1229" s="855">
        <f t="shared" si="240"/>
        <v>4156749.0710400003</v>
      </c>
      <c r="AJ1229" s="845" t="s">
        <v>3318</v>
      </c>
      <c r="AK1229" s="857">
        <v>45796</v>
      </c>
      <c r="AL1229" s="843" t="s">
        <v>4263</v>
      </c>
      <c r="AM1229" s="843" t="s">
        <v>4264</v>
      </c>
      <c r="AN1229" s="844" t="s">
        <v>4265</v>
      </c>
      <c r="AO1229" s="844" t="s">
        <v>141</v>
      </c>
      <c r="AP1229" s="841"/>
      <c r="AQ1229" s="841">
        <v>45821</v>
      </c>
      <c r="AR1229" s="841">
        <v>45865</v>
      </c>
      <c r="AS1229" s="842" t="s">
        <v>4266</v>
      </c>
      <c r="AT1229" s="842" t="s">
        <v>1235</v>
      </c>
      <c r="AU1229" s="842" t="s">
        <v>3794</v>
      </c>
      <c r="AV1229" s="845" t="s">
        <v>4275</v>
      </c>
      <c r="AW1229" s="861">
        <v>45867</v>
      </c>
      <c r="AX1229" s="862">
        <v>45873</v>
      </c>
      <c r="AY1229" s="843" t="s">
        <v>4274</v>
      </c>
      <c r="AZ1229" s="842" t="s">
        <v>2704</v>
      </c>
      <c r="BA1229" s="842" t="s">
        <v>120</v>
      </c>
      <c r="BB1229" s="863" t="s">
        <v>121</v>
      </c>
      <c r="BC1229" s="864">
        <v>45867</v>
      </c>
      <c r="BD1229" s="860" t="s">
        <v>4270</v>
      </c>
      <c r="BE1229" s="865" cm="1">
        <f t="array" ref="BE1229">IF(BD1229="","",AC1229/SUMPRODUCT(--(BD1229=$BD$4:$BD$12824),$AC$4:$AC$12824))</f>
        <v>3.8518079750141376E-2</v>
      </c>
      <c r="BF1229" s="458"/>
      <c r="BG1229" s="458"/>
      <c r="BH1229" s="458"/>
      <c r="BI1229" s="458"/>
      <c r="BJ1229" s="458"/>
      <c r="BK1229" s="458"/>
      <c r="BL1229" s="458"/>
      <c r="BM1229" s="458"/>
      <c r="BN1229" s="458"/>
      <c r="BO1229" s="866">
        <f>VLOOKUP(BD1229,$BD$4:$BN$12824,3,0)*BE1229</f>
        <v>1381803.7558493319</v>
      </c>
      <c r="BP1229" s="866"/>
      <c r="BQ1229" s="866"/>
      <c r="BR1229" s="866">
        <f>VLOOKUP(BD1229,$BD$4:$BN$12824,6,0)*BE1229</f>
        <v>617623.24983271991</v>
      </c>
      <c r="BS1229" s="866">
        <f>VLOOKUP(BD1229,$BD$4:$BN$12824,7,0)*BE1229</f>
        <v>52036.076874612991</v>
      </c>
      <c r="BT1229" s="866"/>
      <c r="BU1229" s="866">
        <f>VLOOKUP(BD1229,$BD$4:$BN$12824,9,0)*BE1229</f>
        <v>20799.763065076342</v>
      </c>
      <c r="BV1229" s="867"/>
      <c r="BW1229" s="867">
        <f>VLOOKUP(BD1229,$BD$4:$BN$12824,11,0)*BE1229</f>
        <v>344237.50532255979</v>
      </c>
      <c r="BX1229" s="1146">
        <f t="shared" si="241"/>
        <v>2416500.3509443011</v>
      </c>
      <c r="BY1229" s="867">
        <f t="shared" si="244"/>
        <v>4531321.9782453589</v>
      </c>
      <c r="BZ1229" s="867">
        <f t="shared" si="242"/>
        <v>54375863.738944307</v>
      </c>
      <c r="CA1229" s="867">
        <f>_xlfn.MAXIFS($BY$4:$BY$12824,$S$4:$S$12824,$S1229)</f>
        <v>4531321.9782453589</v>
      </c>
      <c r="CB1229" s="1032"/>
      <c r="CF1229" s="946">
        <f t="shared" si="243"/>
        <v>51959363.388000004</v>
      </c>
    </row>
    <row r="1230" spans="2:84">
      <c r="B1230" s="839" t="s">
        <v>98</v>
      </c>
      <c r="C1230" s="839" t="s">
        <v>2689</v>
      </c>
      <c r="D1230" s="839" t="s">
        <v>4271</v>
      </c>
      <c r="E1230" s="839" t="s">
        <v>4272</v>
      </c>
      <c r="F1230" s="841">
        <v>45675</v>
      </c>
      <c r="G1230" s="868" t="s">
        <v>2689</v>
      </c>
      <c r="H1230" s="842" t="s">
        <v>134</v>
      </c>
      <c r="I1230" s="883"/>
      <c r="J1230" s="841"/>
      <c r="K1230" s="841"/>
      <c r="L1230" s="843" t="s">
        <v>106</v>
      </c>
      <c r="M1230" s="844" t="s">
        <v>107</v>
      </c>
      <c r="N1230" s="841"/>
      <c r="O1230" s="884" t="s">
        <v>150</v>
      </c>
      <c r="P1230" s="842" t="s">
        <v>151</v>
      </c>
      <c r="Q1230" s="843"/>
      <c r="R1230" s="845">
        <v>44003500</v>
      </c>
      <c r="S1230" s="1127" t="s">
        <v>3116</v>
      </c>
      <c r="T1230" s="885" t="s">
        <v>3117</v>
      </c>
      <c r="U1230" s="886">
        <v>12</v>
      </c>
      <c r="V1230" s="842" t="s">
        <v>3</v>
      </c>
      <c r="W1230" s="846">
        <v>279</v>
      </c>
      <c r="X1230" s="847">
        <f t="shared" si="236"/>
        <v>3348</v>
      </c>
      <c r="Y1230" s="848">
        <f t="shared" si="245"/>
        <v>0.48724014336917559</v>
      </c>
      <c r="Z1230" s="849">
        <v>143.06</v>
      </c>
      <c r="AA1230" s="854"/>
      <c r="AB1230" s="849">
        <f t="shared" si="237"/>
        <v>1716.72</v>
      </c>
      <c r="AC1230" s="850">
        <f t="shared" si="238"/>
        <v>1716.72</v>
      </c>
      <c r="AD1230" s="887">
        <f t="shared" si="235"/>
        <v>32000</v>
      </c>
      <c r="AE1230" s="888">
        <v>30266.65</v>
      </c>
      <c r="AF1230" s="853">
        <v>0</v>
      </c>
      <c r="AG1230" s="854">
        <f t="shared" si="239"/>
        <v>0</v>
      </c>
      <c r="AH1230" s="853" t="s">
        <v>4262</v>
      </c>
      <c r="AI1230" s="855">
        <f t="shared" si="240"/>
        <v>4156749.0710400003</v>
      </c>
      <c r="AJ1230" s="845" t="s">
        <v>3318</v>
      </c>
      <c r="AK1230" s="857">
        <v>45796</v>
      </c>
      <c r="AL1230" s="843" t="s">
        <v>4263</v>
      </c>
      <c r="AM1230" s="843" t="s">
        <v>4264</v>
      </c>
      <c r="AN1230" s="844" t="s">
        <v>4265</v>
      </c>
      <c r="AO1230" s="844" t="s">
        <v>141</v>
      </c>
      <c r="AP1230" s="841"/>
      <c r="AQ1230" s="841">
        <v>45821</v>
      </c>
      <c r="AR1230" s="841">
        <v>45865</v>
      </c>
      <c r="AS1230" s="842" t="s">
        <v>4266</v>
      </c>
      <c r="AT1230" s="842" t="s">
        <v>1235</v>
      </c>
      <c r="AU1230" s="842" t="s">
        <v>3794</v>
      </c>
      <c r="AV1230" s="845" t="s">
        <v>4275</v>
      </c>
      <c r="AW1230" s="861">
        <v>45867</v>
      </c>
      <c r="AX1230" s="862">
        <v>45873</v>
      </c>
      <c r="AY1230" s="843" t="s">
        <v>4274</v>
      </c>
      <c r="AZ1230" s="842" t="s">
        <v>2704</v>
      </c>
      <c r="BA1230" s="842" t="s">
        <v>120</v>
      </c>
      <c r="BB1230" s="863" t="s">
        <v>121</v>
      </c>
      <c r="BC1230" s="864">
        <v>45867</v>
      </c>
      <c r="BD1230" s="860" t="s">
        <v>4270</v>
      </c>
      <c r="BE1230" s="865" cm="1">
        <f t="array" ref="BE1230">IF(BD1230="","",AC1230/SUMPRODUCT(--(BD1230=$BD$4:$BD$12824),$AC$4:$AC$12824))</f>
        <v>3.8518079750141376E-2</v>
      </c>
      <c r="BF1230" s="458"/>
      <c r="BG1230" s="458"/>
      <c r="BH1230" s="458"/>
      <c r="BI1230" s="458"/>
      <c r="BJ1230" s="458"/>
      <c r="BK1230" s="458"/>
      <c r="BL1230" s="458"/>
      <c r="BM1230" s="458"/>
      <c r="BN1230" s="458"/>
      <c r="BO1230" s="866">
        <f>VLOOKUP(BD1230,$BD$4:$BN$12824,3,0)*BE1230</f>
        <v>1381803.7558493319</v>
      </c>
      <c r="BP1230" s="866"/>
      <c r="BQ1230" s="866"/>
      <c r="BR1230" s="866">
        <f>VLOOKUP(BD1230,$BD$4:$BN$12824,6,0)*BE1230</f>
        <v>617623.24983271991</v>
      </c>
      <c r="BS1230" s="866">
        <f>VLOOKUP(BD1230,$BD$4:$BN$12824,7,0)*BE1230</f>
        <v>52036.076874612991</v>
      </c>
      <c r="BT1230" s="866"/>
      <c r="BU1230" s="866">
        <f>VLOOKUP(BD1230,$BD$4:$BN$12824,9,0)*BE1230</f>
        <v>20799.763065076342</v>
      </c>
      <c r="BV1230" s="867"/>
      <c r="BW1230" s="867">
        <f>VLOOKUP(BD1230,$BD$4:$BN$12824,11,0)*BE1230</f>
        <v>344237.50532255979</v>
      </c>
      <c r="BX1230" s="1146">
        <f t="shared" si="241"/>
        <v>2416500.3509443011</v>
      </c>
      <c r="BY1230" s="867">
        <f t="shared" si="244"/>
        <v>4531321.9782453589</v>
      </c>
      <c r="BZ1230" s="867">
        <f t="shared" si="242"/>
        <v>54375863.738944307</v>
      </c>
      <c r="CA1230" s="867">
        <f>_xlfn.MAXIFS($BY$4:$BY$12824,$S$4:$S$12824,$S1230)</f>
        <v>4531321.9782453589</v>
      </c>
      <c r="CB1230" s="1032"/>
      <c r="CF1230" s="946">
        <f t="shared" si="243"/>
        <v>51959363.388000004</v>
      </c>
    </row>
    <row r="1231" spans="2:84">
      <c r="B1231" s="839" t="s">
        <v>98</v>
      </c>
      <c r="C1231" s="839" t="s">
        <v>2689</v>
      </c>
      <c r="D1231" s="839" t="s">
        <v>4271</v>
      </c>
      <c r="E1231" s="839" t="s">
        <v>4272</v>
      </c>
      <c r="F1231" s="841">
        <v>45675</v>
      </c>
      <c r="G1231" s="868" t="s">
        <v>2689</v>
      </c>
      <c r="H1231" s="842" t="s">
        <v>134</v>
      </c>
      <c r="I1231" s="883"/>
      <c r="J1231" s="841"/>
      <c r="K1231" s="841"/>
      <c r="L1231" s="843" t="s">
        <v>106</v>
      </c>
      <c r="M1231" s="844" t="s">
        <v>107</v>
      </c>
      <c r="N1231" s="841"/>
      <c r="O1231" s="884" t="s">
        <v>150</v>
      </c>
      <c r="P1231" s="842" t="s">
        <v>151</v>
      </c>
      <c r="Q1231" s="843"/>
      <c r="R1231" s="845">
        <v>44003500</v>
      </c>
      <c r="S1231" s="1127" t="s">
        <v>3119</v>
      </c>
      <c r="T1231" s="885" t="s">
        <v>3120</v>
      </c>
      <c r="U1231" s="886">
        <v>12</v>
      </c>
      <c r="V1231" s="842" t="s">
        <v>3</v>
      </c>
      <c r="W1231" s="846">
        <v>279</v>
      </c>
      <c r="X1231" s="847">
        <f t="shared" si="236"/>
        <v>3348</v>
      </c>
      <c r="Y1231" s="848">
        <f t="shared" si="245"/>
        <v>0.48724014336917559</v>
      </c>
      <c r="Z1231" s="849">
        <v>143.06</v>
      </c>
      <c r="AA1231" s="854"/>
      <c r="AB1231" s="849">
        <f t="shared" si="237"/>
        <v>1716.72</v>
      </c>
      <c r="AC1231" s="850">
        <f t="shared" si="238"/>
        <v>1716.72</v>
      </c>
      <c r="AD1231" s="887">
        <f t="shared" si="235"/>
        <v>32000</v>
      </c>
      <c r="AE1231" s="888">
        <v>30266.65</v>
      </c>
      <c r="AF1231" s="853">
        <v>0</v>
      </c>
      <c r="AG1231" s="854">
        <f t="shared" si="239"/>
        <v>0</v>
      </c>
      <c r="AH1231" s="853" t="s">
        <v>4262</v>
      </c>
      <c r="AI1231" s="855">
        <f t="shared" si="240"/>
        <v>4156749.0710400003</v>
      </c>
      <c r="AJ1231" s="845" t="s">
        <v>3318</v>
      </c>
      <c r="AK1231" s="857">
        <v>45796</v>
      </c>
      <c r="AL1231" s="843" t="s">
        <v>4263</v>
      </c>
      <c r="AM1231" s="843" t="s">
        <v>4264</v>
      </c>
      <c r="AN1231" s="844" t="s">
        <v>4265</v>
      </c>
      <c r="AO1231" s="844" t="s">
        <v>141</v>
      </c>
      <c r="AP1231" s="841"/>
      <c r="AQ1231" s="841">
        <v>45821</v>
      </c>
      <c r="AR1231" s="841">
        <v>45865</v>
      </c>
      <c r="AS1231" s="842" t="s">
        <v>4266</v>
      </c>
      <c r="AT1231" s="842" t="s">
        <v>1235</v>
      </c>
      <c r="AU1231" s="842" t="s">
        <v>3794</v>
      </c>
      <c r="AV1231" s="845" t="s">
        <v>4275</v>
      </c>
      <c r="AW1231" s="861">
        <v>45867</v>
      </c>
      <c r="AX1231" s="862">
        <v>45873</v>
      </c>
      <c r="AY1231" s="843" t="s">
        <v>4274</v>
      </c>
      <c r="AZ1231" s="842" t="s">
        <v>2704</v>
      </c>
      <c r="BA1231" s="842" t="s">
        <v>120</v>
      </c>
      <c r="BB1231" s="863" t="s">
        <v>121</v>
      </c>
      <c r="BC1231" s="864">
        <v>45867</v>
      </c>
      <c r="BD1231" s="860" t="s">
        <v>4270</v>
      </c>
      <c r="BE1231" s="865" cm="1">
        <f t="array" ref="BE1231">IF(BD1231="","",AC1231/SUMPRODUCT(--(BD1231=$BD$4:$BD$12824),$AC$4:$AC$12824))</f>
        <v>3.8518079750141376E-2</v>
      </c>
      <c r="BF1231" s="458"/>
      <c r="BG1231" s="458"/>
      <c r="BH1231" s="458"/>
      <c r="BI1231" s="458"/>
      <c r="BJ1231" s="458"/>
      <c r="BK1231" s="458"/>
      <c r="BL1231" s="458"/>
      <c r="BM1231" s="458"/>
      <c r="BN1231" s="458"/>
      <c r="BO1231" s="866">
        <f>VLOOKUP(BD1231,$BD$4:$BN$12824,3,0)*BE1231</f>
        <v>1381803.7558493319</v>
      </c>
      <c r="BP1231" s="866"/>
      <c r="BQ1231" s="866"/>
      <c r="BR1231" s="866">
        <f>VLOOKUP(BD1231,$BD$4:$BN$12824,6,0)*BE1231</f>
        <v>617623.24983271991</v>
      </c>
      <c r="BS1231" s="866">
        <f>VLOOKUP(BD1231,$BD$4:$BN$12824,7,0)*BE1231</f>
        <v>52036.076874612991</v>
      </c>
      <c r="BT1231" s="866"/>
      <c r="BU1231" s="866">
        <f>VLOOKUP(BD1231,$BD$4:$BN$12824,9,0)*BE1231</f>
        <v>20799.763065076342</v>
      </c>
      <c r="BV1231" s="867"/>
      <c r="BW1231" s="867">
        <f>VLOOKUP(BD1231,$BD$4:$BN$12824,11,0)*BE1231</f>
        <v>344237.50532255979</v>
      </c>
      <c r="BX1231" s="1146">
        <f t="shared" si="241"/>
        <v>2416500.3509443011</v>
      </c>
      <c r="BY1231" s="867">
        <f t="shared" si="244"/>
        <v>4531321.9782453589</v>
      </c>
      <c r="BZ1231" s="867">
        <f t="shared" si="242"/>
        <v>54375863.738944307</v>
      </c>
      <c r="CA1231" s="867">
        <f>_xlfn.MAXIFS($BY$4:$BY$12824,$S$4:$S$12824,$S1231)</f>
        <v>4531321.9782453589</v>
      </c>
      <c r="CB1231" s="1032"/>
      <c r="CF1231" s="946">
        <f t="shared" si="243"/>
        <v>51959363.388000004</v>
      </c>
    </row>
    <row r="1232" spans="2:84">
      <c r="B1232" s="839" t="s">
        <v>98</v>
      </c>
      <c r="C1232" s="839" t="s">
        <v>2689</v>
      </c>
      <c r="D1232" s="839" t="s">
        <v>4271</v>
      </c>
      <c r="E1232" s="839" t="s">
        <v>4272</v>
      </c>
      <c r="F1232" s="841">
        <v>45675</v>
      </c>
      <c r="G1232" s="868" t="s">
        <v>2689</v>
      </c>
      <c r="H1232" s="842" t="s">
        <v>134</v>
      </c>
      <c r="I1232" s="883"/>
      <c r="J1232" s="841"/>
      <c r="K1232" s="841"/>
      <c r="L1232" s="843" t="s">
        <v>106</v>
      </c>
      <c r="M1232" s="844" t="s">
        <v>107</v>
      </c>
      <c r="N1232" s="841"/>
      <c r="O1232" s="884" t="s">
        <v>150</v>
      </c>
      <c r="P1232" s="842" t="s">
        <v>151</v>
      </c>
      <c r="Q1232" s="843"/>
      <c r="R1232" s="845">
        <v>44003500</v>
      </c>
      <c r="S1232" s="1127" t="s">
        <v>3122</v>
      </c>
      <c r="T1232" s="885" t="s">
        <v>3123</v>
      </c>
      <c r="U1232" s="886">
        <v>12</v>
      </c>
      <c r="V1232" s="842" t="s">
        <v>3</v>
      </c>
      <c r="W1232" s="846">
        <v>279</v>
      </c>
      <c r="X1232" s="847">
        <f t="shared" si="236"/>
        <v>3348</v>
      </c>
      <c r="Y1232" s="848">
        <f t="shared" si="245"/>
        <v>0.48724014336917559</v>
      </c>
      <c r="Z1232" s="849">
        <v>143.06</v>
      </c>
      <c r="AA1232" s="854"/>
      <c r="AB1232" s="849">
        <f t="shared" si="237"/>
        <v>1716.72</v>
      </c>
      <c r="AC1232" s="850">
        <f t="shared" si="238"/>
        <v>1716.72</v>
      </c>
      <c r="AD1232" s="887">
        <f t="shared" si="235"/>
        <v>32000</v>
      </c>
      <c r="AE1232" s="888">
        <v>30266.65</v>
      </c>
      <c r="AF1232" s="853">
        <v>0</v>
      </c>
      <c r="AG1232" s="854">
        <f t="shared" si="239"/>
        <v>0</v>
      </c>
      <c r="AH1232" s="853" t="s">
        <v>4262</v>
      </c>
      <c r="AI1232" s="855">
        <f t="shared" si="240"/>
        <v>4156749.0710400003</v>
      </c>
      <c r="AJ1232" s="845" t="s">
        <v>3318</v>
      </c>
      <c r="AK1232" s="857">
        <v>45796</v>
      </c>
      <c r="AL1232" s="843" t="s">
        <v>4263</v>
      </c>
      <c r="AM1232" s="843" t="s">
        <v>4264</v>
      </c>
      <c r="AN1232" s="844" t="s">
        <v>4265</v>
      </c>
      <c r="AO1232" s="844" t="s">
        <v>141</v>
      </c>
      <c r="AP1232" s="841"/>
      <c r="AQ1232" s="841">
        <v>45821</v>
      </c>
      <c r="AR1232" s="841">
        <v>45865</v>
      </c>
      <c r="AS1232" s="842" t="s">
        <v>4266</v>
      </c>
      <c r="AT1232" s="842" t="s">
        <v>1235</v>
      </c>
      <c r="AU1232" s="842" t="s">
        <v>3794</v>
      </c>
      <c r="AV1232" s="845" t="s">
        <v>4275</v>
      </c>
      <c r="AW1232" s="861">
        <v>45867</v>
      </c>
      <c r="AX1232" s="862">
        <v>45873</v>
      </c>
      <c r="AY1232" s="843" t="s">
        <v>4274</v>
      </c>
      <c r="AZ1232" s="842" t="s">
        <v>2704</v>
      </c>
      <c r="BA1232" s="842" t="s">
        <v>120</v>
      </c>
      <c r="BB1232" s="863" t="s">
        <v>121</v>
      </c>
      <c r="BC1232" s="864">
        <v>45867</v>
      </c>
      <c r="BD1232" s="860" t="s">
        <v>4270</v>
      </c>
      <c r="BE1232" s="865" cm="1">
        <f t="array" ref="BE1232">IF(BD1232="","",AC1232/SUMPRODUCT(--(BD1232=$BD$4:$BD$12824),$AC$4:$AC$12824))</f>
        <v>3.8518079750141376E-2</v>
      </c>
      <c r="BF1232" s="458"/>
      <c r="BG1232" s="458"/>
      <c r="BH1232" s="458"/>
      <c r="BI1232" s="458"/>
      <c r="BJ1232" s="458"/>
      <c r="BK1232" s="458"/>
      <c r="BL1232" s="458"/>
      <c r="BM1232" s="458"/>
      <c r="BN1232" s="458"/>
      <c r="BO1232" s="866">
        <f>VLOOKUP(BD1232,$BD$4:$BN$12824,3,0)*BE1232</f>
        <v>1381803.7558493319</v>
      </c>
      <c r="BP1232" s="866"/>
      <c r="BQ1232" s="866"/>
      <c r="BR1232" s="866">
        <f>VLOOKUP(BD1232,$BD$4:$BN$12824,6,0)*BE1232</f>
        <v>617623.24983271991</v>
      </c>
      <c r="BS1232" s="866">
        <f>VLOOKUP(BD1232,$BD$4:$BN$12824,7,0)*BE1232</f>
        <v>52036.076874612991</v>
      </c>
      <c r="BT1232" s="866"/>
      <c r="BU1232" s="866">
        <f>VLOOKUP(BD1232,$BD$4:$BN$12824,9,0)*BE1232</f>
        <v>20799.763065076342</v>
      </c>
      <c r="BV1232" s="867"/>
      <c r="BW1232" s="867">
        <f>VLOOKUP(BD1232,$BD$4:$BN$12824,11,0)*BE1232</f>
        <v>344237.50532255979</v>
      </c>
      <c r="BX1232" s="1146">
        <f t="shared" si="241"/>
        <v>2416500.3509443011</v>
      </c>
      <c r="BY1232" s="867">
        <f t="shared" si="244"/>
        <v>4531321.9782453589</v>
      </c>
      <c r="BZ1232" s="867">
        <f t="shared" si="242"/>
        <v>54375863.738944307</v>
      </c>
      <c r="CA1232" s="867">
        <f>_xlfn.MAXIFS($BY$4:$BY$12824,$S$4:$S$12824,$S1232)</f>
        <v>4531321.9782453589</v>
      </c>
      <c r="CB1232" s="1032"/>
      <c r="CF1232" s="946">
        <f t="shared" si="243"/>
        <v>51959363.388000004</v>
      </c>
    </row>
    <row r="1233" spans="2:84">
      <c r="B1233" s="839" t="s">
        <v>98</v>
      </c>
      <c r="C1233" s="839" t="s">
        <v>2689</v>
      </c>
      <c r="D1233" s="839" t="s">
        <v>4271</v>
      </c>
      <c r="E1233" s="839" t="s">
        <v>4272</v>
      </c>
      <c r="F1233" s="841">
        <v>45675</v>
      </c>
      <c r="G1233" s="868" t="s">
        <v>2689</v>
      </c>
      <c r="H1233" s="842" t="s">
        <v>134</v>
      </c>
      <c r="I1233" s="883"/>
      <c r="J1233" s="841"/>
      <c r="K1233" s="841"/>
      <c r="L1233" s="843" t="s">
        <v>106</v>
      </c>
      <c r="M1233" s="844" t="s">
        <v>107</v>
      </c>
      <c r="N1233" s="841"/>
      <c r="O1233" s="884" t="s">
        <v>150</v>
      </c>
      <c r="P1233" s="842" t="s">
        <v>151</v>
      </c>
      <c r="Q1233" s="843"/>
      <c r="R1233" s="845">
        <v>44003500</v>
      </c>
      <c r="S1233" s="1127" t="s">
        <v>3125</v>
      </c>
      <c r="T1233" s="885" t="s">
        <v>3126</v>
      </c>
      <c r="U1233" s="886">
        <v>12</v>
      </c>
      <c r="V1233" s="842" t="s">
        <v>3</v>
      </c>
      <c r="W1233" s="846">
        <v>279</v>
      </c>
      <c r="X1233" s="847">
        <f t="shared" si="236"/>
        <v>3348</v>
      </c>
      <c r="Y1233" s="848">
        <f t="shared" si="245"/>
        <v>0.48724014336917559</v>
      </c>
      <c r="Z1233" s="849">
        <v>143.06</v>
      </c>
      <c r="AA1233" s="854"/>
      <c r="AB1233" s="849">
        <f t="shared" si="237"/>
        <v>1716.72</v>
      </c>
      <c r="AC1233" s="850">
        <f t="shared" si="238"/>
        <v>1716.72</v>
      </c>
      <c r="AD1233" s="887">
        <f t="shared" si="235"/>
        <v>32000</v>
      </c>
      <c r="AE1233" s="888">
        <v>30266.65</v>
      </c>
      <c r="AF1233" s="853">
        <v>0</v>
      </c>
      <c r="AG1233" s="854">
        <f t="shared" si="239"/>
        <v>0</v>
      </c>
      <c r="AH1233" s="853" t="s">
        <v>4262</v>
      </c>
      <c r="AI1233" s="855">
        <f t="shared" si="240"/>
        <v>4156749.0710400003</v>
      </c>
      <c r="AJ1233" s="845" t="s">
        <v>3318</v>
      </c>
      <c r="AK1233" s="857">
        <v>45796</v>
      </c>
      <c r="AL1233" s="843" t="s">
        <v>4263</v>
      </c>
      <c r="AM1233" s="843" t="s">
        <v>4264</v>
      </c>
      <c r="AN1233" s="844" t="s">
        <v>4265</v>
      </c>
      <c r="AO1233" s="844" t="s">
        <v>141</v>
      </c>
      <c r="AP1233" s="841"/>
      <c r="AQ1233" s="841">
        <v>45821</v>
      </c>
      <c r="AR1233" s="841">
        <v>45865</v>
      </c>
      <c r="AS1233" s="842" t="s">
        <v>4266</v>
      </c>
      <c r="AT1233" s="842" t="s">
        <v>1235</v>
      </c>
      <c r="AU1233" s="842" t="s">
        <v>3794</v>
      </c>
      <c r="AV1233" s="845" t="s">
        <v>4275</v>
      </c>
      <c r="AW1233" s="861">
        <v>45867</v>
      </c>
      <c r="AX1233" s="862">
        <v>45873</v>
      </c>
      <c r="AY1233" s="843" t="s">
        <v>4274</v>
      </c>
      <c r="AZ1233" s="842" t="s">
        <v>2704</v>
      </c>
      <c r="BA1233" s="842" t="s">
        <v>120</v>
      </c>
      <c r="BB1233" s="863" t="s">
        <v>121</v>
      </c>
      <c r="BC1233" s="864">
        <v>45867</v>
      </c>
      <c r="BD1233" s="860" t="s">
        <v>4270</v>
      </c>
      <c r="BE1233" s="865" cm="1">
        <f t="array" ref="BE1233">IF(BD1233="","",AC1233/SUMPRODUCT(--(BD1233=$BD$4:$BD$12824),$AC$4:$AC$12824))</f>
        <v>3.8518079750141376E-2</v>
      </c>
      <c r="BF1233" s="458"/>
      <c r="BG1233" s="458"/>
      <c r="BH1233" s="458"/>
      <c r="BI1233" s="458"/>
      <c r="BJ1233" s="458"/>
      <c r="BK1233" s="458"/>
      <c r="BL1233" s="458"/>
      <c r="BM1233" s="458"/>
      <c r="BN1233" s="458"/>
      <c r="BO1233" s="866">
        <f>VLOOKUP(BD1233,$BD$4:$BN$12824,3,0)*BE1233</f>
        <v>1381803.7558493319</v>
      </c>
      <c r="BP1233" s="866"/>
      <c r="BQ1233" s="866"/>
      <c r="BR1233" s="866">
        <f>VLOOKUP(BD1233,$BD$4:$BN$12824,6,0)*BE1233</f>
        <v>617623.24983271991</v>
      </c>
      <c r="BS1233" s="866">
        <f>VLOOKUP(BD1233,$BD$4:$BN$12824,7,0)*BE1233</f>
        <v>52036.076874612991</v>
      </c>
      <c r="BT1233" s="866"/>
      <c r="BU1233" s="866">
        <f>VLOOKUP(BD1233,$BD$4:$BN$12824,9,0)*BE1233</f>
        <v>20799.763065076342</v>
      </c>
      <c r="BV1233" s="867"/>
      <c r="BW1233" s="867">
        <f>VLOOKUP(BD1233,$BD$4:$BN$12824,11,0)*BE1233</f>
        <v>344237.50532255979</v>
      </c>
      <c r="BX1233" s="1146">
        <f t="shared" si="241"/>
        <v>2416500.3509443011</v>
      </c>
      <c r="BY1233" s="867">
        <f t="shared" si="244"/>
        <v>4531321.9782453589</v>
      </c>
      <c r="BZ1233" s="867">
        <f t="shared" si="242"/>
        <v>54375863.738944307</v>
      </c>
      <c r="CA1233" s="867">
        <f>_xlfn.MAXIFS($BY$4:$BY$12824,$S$4:$S$12824,$S1233)</f>
        <v>4531321.9782453589</v>
      </c>
      <c r="CB1233" s="1032"/>
      <c r="CF1233" s="946">
        <f t="shared" si="243"/>
        <v>51959363.388000004</v>
      </c>
    </row>
    <row r="1234" spans="2:84">
      <c r="B1234" s="839" t="s">
        <v>98</v>
      </c>
      <c r="C1234" s="839" t="s">
        <v>2689</v>
      </c>
      <c r="D1234" s="839" t="s">
        <v>4271</v>
      </c>
      <c r="E1234" s="839" t="s">
        <v>4272</v>
      </c>
      <c r="F1234" s="841">
        <v>45675</v>
      </c>
      <c r="G1234" s="868" t="s">
        <v>2689</v>
      </c>
      <c r="H1234" s="842" t="s">
        <v>134</v>
      </c>
      <c r="I1234" s="883"/>
      <c r="J1234" s="841"/>
      <c r="K1234" s="841"/>
      <c r="L1234" s="843" t="s">
        <v>106</v>
      </c>
      <c r="M1234" s="844" t="s">
        <v>107</v>
      </c>
      <c r="N1234" s="841"/>
      <c r="O1234" s="884" t="s">
        <v>150</v>
      </c>
      <c r="P1234" s="842" t="s">
        <v>151</v>
      </c>
      <c r="Q1234" s="843"/>
      <c r="R1234" s="845">
        <v>40600300</v>
      </c>
      <c r="S1234" s="1127" t="s">
        <v>3176</v>
      </c>
      <c r="T1234" s="885" t="s">
        <v>3177</v>
      </c>
      <c r="U1234" s="886">
        <v>2</v>
      </c>
      <c r="V1234" s="842" t="s">
        <v>3</v>
      </c>
      <c r="W1234" s="846">
        <v>2820</v>
      </c>
      <c r="X1234" s="847">
        <f t="shared" si="236"/>
        <v>5640</v>
      </c>
      <c r="Y1234" s="848">
        <f t="shared" si="245"/>
        <v>0.50332269503546101</v>
      </c>
      <c r="Z1234" s="879">
        <v>1400.63</v>
      </c>
      <c r="AA1234" s="893"/>
      <c r="AB1234" s="849">
        <f t="shared" si="237"/>
        <v>2801.26</v>
      </c>
      <c r="AC1234" s="850">
        <f t="shared" si="238"/>
        <v>2801.26</v>
      </c>
      <c r="AD1234" s="887">
        <f t="shared" si="235"/>
        <v>32000</v>
      </c>
      <c r="AE1234" s="888">
        <v>30266.65</v>
      </c>
      <c r="AF1234" s="853">
        <v>0</v>
      </c>
      <c r="AG1234" s="854">
        <f t="shared" si="239"/>
        <v>0</v>
      </c>
      <c r="AH1234" s="853" t="s">
        <v>4262</v>
      </c>
      <c r="AI1234" s="855">
        <f t="shared" si="240"/>
        <v>6782780.4783200016</v>
      </c>
      <c r="AJ1234" s="845" t="s">
        <v>3318</v>
      </c>
      <c r="AK1234" s="857">
        <v>45796</v>
      </c>
      <c r="AL1234" s="843" t="s">
        <v>4263</v>
      </c>
      <c r="AM1234" s="843" t="s">
        <v>4264</v>
      </c>
      <c r="AN1234" s="844" t="s">
        <v>4265</v>
      </c>
      <c r="AO1234" s="844" t="s">
        <v>141</v>
      </c>
      <c r="AP1234" s="841"/>
      <c r="AQ1234" s="841">
        <v>45821</v>
      </c>
      <c r="AR1234" s="841">
        <v>45865</v>
      </c>
      <c r="AS1234" s="842" t="s">
        <v>4266</v>
      </c>
      <c r="AT1234" s="842" t="s">
        <v>1235</v>
      </c>
      <c r="AU1234" s="842" t="s">
        <v>3794</v>
      </c>
      <c r="AV1234" s="845" t="s">
        <v>4273</v>
      </c>
      <c r="AW1234" s="861">
        <v>45867</v>
      </c>
      <c r="AX1234" s="862">
        <v>45873</v>
      </c>
      <c r="AY1234" s="843" t="s">
        <v>3178</v>
      </c>
      <c r="AZ1234" s="842" t="s">
        <v>4276</v>
      </c>
      <c r="BA1234" s="842" t="s">
        <v>120</v>
      </c>
      <c r="BB1234" s="863" t="s">
        <v>121</v>
      </c>
      <c r="BC1234" s="864">
        <v>45867</v>
      </c>
      <c r="BD1234" s="860" t="s">
        <v>4270</v>
      </c>
      <c r="BE1234" s="865" cm="1">
        <f t="array" ref="BE1234">IF(BD1234="","",AC1234/SUMPRODUCT(--(BD1234=$BD$4:$BD$12824),$AC$4:$AC$12824))</f>
        <v>6.2851924647514462E-2</v>
      </c>
      <c r="BF1234" s="458"/>
      <c r="BG1234" s="458"/>
      <c r="BH1234" s="458"/>
      <c r="BI1234" s="458"/>
      <c r="BJ1234" s="458"/>
      <c r="BK1234" s="458"/>
      <c r="BL1234" s="458"/>
      <c r="BM1234" s="458"/>
      <c r="BN1234" s="458"/>
      <c r="BO1234" s="866">
        <f>VLOOKUP(BD1234,$BD$4:$BN$12824,3,0)*BE1234</f>
        <v>2254760.0011128774</v>
      </c>
      <c r="BP1234" s="866"/>
      <c r="BQ1234" s="866"/>
      <c r="BR1234" s="866">
        <f>VLOOKUP(BD1234,$BD$4:$BN$12824,6,0)*BE1234</f>
        <v>1007807.5078209637</v>
      </c>
      <c r="BS1234" s="866">
        <f>VLOOKUP(BD1234,$BD$4:$BN$12824,7,0)*BE1234</f>
        <v>84909.933306408959</v>
      </c>
      <c r="BT1234" s="866"/>
      <c r="BU1234" s="866">
        <f>VLOOKUP(BD1234,$BD$4:$BN$12824,9,0)*BE1234</f>
        <v>33940.039309657812</v>
      </c>
      <c r="BV1234" s="867"/>
      <c r="BW1234" s="867">
        <f>VLOOKUP(BD1234,$BD$4:$BN$12824,11,0)*BE1234</f>
        <v>561709.97842389776</v>
      </c>
      <c r="BX1234" s="1146">
        <f t="shared" si="241"/>
        <v>3943127.4599738056</v>
      </c>
      <c r="BY1234" s="867">
        <f t="shared" si="244"/>
        <v>44363941.719486915</v>
      </c>
      <c r="BZ1234" s="867">
        <f t="shared" si="242"/>
        <v>88727883.438973829</v>
      </c>
      <c r="CA1234" s="867">
        <f>_xlfn.MAXIFS($BY$4:$BY$12824,$S$4:$S$12824,$S1234)</f>
        <v>44363941.719486915</v>
      </c>
      <c r="CB1234" s="1032"/>
      <c r="CF1234" s="946">
        <f t="shared" si="243"/>
        <v>84784755.979000017</v>
      </c>
    </row>
    <row r="1235" spans="2:84">
      <c r="B1235" s="839" t="s">
        <v>98</v>
      </c>
      <c r="C1235" s="839" t="s">
        <v>2689</v>
      </c>
      <c r="D1235" s="839" t="s">
        <v>4271</v>
      </c>
      <c r="E1235" s="839" t="s">
        <v>4272</v>
      </c>
      <c r="F1235" s="841">
        <v>45675</v>
      </c>
      <c r="G1235" s="868" t="s">
        <v>2689</v>
      </c>
      <c r="H1235" s="842" t="s">
        <v>134</v>
      </c>
      <c r="I1235" s="883"/>
      <c r="J1235" s="841"/>
      <c r="K1235" s="841"/>
      <c r="L1235" s="843" t="s">
        <v>106</v>
      </c>
      <c r="M1235" s="844" t="s">
        <v>107</v>
      </c>
      <c r="N1235" s="841"/>
      <c r="O1235" s="884" t="s">
        <v>150</v>
      </c>
      <c r="P1235" s="842" t="s">
        <v>151</v>
      </c>
      <c r="Q1235" s="843"/>
      <c r="R1235" s="845">
        <v>21018601</v>
      </c>
      <c r="S1235" s="1127" t="s">
        <v>3185</v>
      </c>
      <c r="T1235" s="885" t="s">
        <v>3186</v>
      </c>
      <c r="U1235" s="886">
        <v>2</v>
      </c>
      <c r="V1235" s="842" t="s">
        <v>3</v>
      </c>
      <c r="W1235" s="846">
        <v>849</v>
      </c>
      <c r="X1235" s="847">
        <f t="shared" si="236"/>
        <v>1698</v>
      </c>
      <c r="Y1235" s="848">
        <f t="shared" si="245"/>
        <v>0.50275618374558306</v>
      </c>
      <c r="Z1235" s="849">
        <v>422.16</v>
      </c>
      <c r="AA1235" s="854"/>
      <c r="AB1235" s="849">
        <f t="shared" si="237"/>
        <v>844.32</v>
      </c>
      <c r="AC1235" s="850">
        <f t="shared" si="238"/>
        <v>844.32</v>
      </c>
      <c r="AD1235" s="887">
        <f t="shared" si="235"/>
        <v>32000</v>
      </c>
      <c r="AE1235" s="888">
        <v>30266.65</v>
      </c>
      <c r="AF1235" s="853">
        <v>0</v>
      </c>
      <c r="AG1235" s="854">
        <f t="shared" si="239"/>
        <v>0</v>
      </c>
      <c r="AH1235" s="853" t="s">
        <v>4262</v>
      </c>
      <c r="AI1235" s="855">
        <f t="shared" si="240"/>
        <v>2044379.0342400002</v>
      </c>
      <c r="AJ1235" s="845" t="s">
        <v>3318</v>
      </c>
      <c r="AK1235" s="857">
        <v>45796</v>
      </c>
      <c r="AL1235" s="843" t="s">
        <v>4263</v>
      </c>
      <c r="AM1235" s="843" t="s">
        <v>4264</v>
      </c>
      <c r="AN1235" s="844" t="s">
        <v>4265</v>
      </c>
      <c r="AO1235" s="844" t="s">
        <v>141</v>
      </c>
      <c r="AP1235" s="841"/>
      <c r="AQ1235" s="841">
        <v>45821</v>
      </c>
      <c r="AR1235" s="841">
        <v>45865</v>
      </c>
      <c r="AS1235" s="842" t="s">
        <v>4266</v>
      </c>
      <c r="AT1235" s="842" t="s">
        <v>1235</v>
      </c>
      <c r="AU1235" s="842" t="s">
        <v>3794</v>
      </c>
      <c r="AV1235" s="845" t="s">
        <v>4273</v>
      </c>
      <c r="AW1235" s="861">
        <v>45867</v>
      </c>
      <c r="AX1235" s="862">
        <v>45873</v>
      </c>
      <c r="AY1235" s="843" t="s">
        <v>3187</v>
      </c>
      <c r="AZ1235" s="842" t="s">
        <v>2704</v>
      </c>
      <c r="BA1235" s="842" t="s">
        <v>120</v>
      </c>
      <c r="BB1235" s="863" t="s">
        <v>121</v>
      </c>
      <c r="BC1235" s="864">
        <v>45867</v>
      </c>
      <c r="BD1235" s="860" t="s">
        <v>4270</v>
      </c>
      <c r="BE1235" s="865" cm="1">
        <f t="array" ref="BE1235">IF(BD1235="","",AC1235/SUMPRODUCT(--(BD1235=$BD$4:$BD$12824),$AC$4:$AC$12824))</f>
        <v>1.894402412428315E-2</v>
      </c>
      <c r="BF1235" s="458"/>
      <c r="BG1235" s="458"/>
      <c r="BH1235" s="458"/>
      <c r="BI1235" s="458"/>
      <c r="BJ1235" s="458"/>
      <c r="BK1235" s="458"/>
      <c r="BL1235" s="458"/>
      <c r="BM1235" s="458"/>
      <c r="BN1235" s="458"/>
      <c r="BO1235" s="866">
        <f>VLOOKUP(BD1235,$BD$4:$BN$12824,3,0)*BE1235</f>
        <v>679600.95247839356</v>
      </c>
      <c r="BP1235" s="866"/>
      <c r="BQ1235" s="866"/>
      <c r="BR1235" s="866">
        <f>VLOOKUP(BD1235,$BD$4:$BN$12824,6,0)*BE1235</f>
        <v>303760.46314993832</v>
      </c>
      <c r="BS1235" s="866">
        <f>VLOOKUP(BD1235,$BD$4:$BN$12824,7,0)*BE1235</f>
        <v>25592.467278748569</v>
      </c>
      <c r="BT1235" s="866"/>
      <c r="BU1235" s="866">
        <f>VLOOKUP(BD1235,$BD$4:$BN$12824,9,0)*BE1235</f>
        <v>10229.7730271129</v>
      </c>
      <c r="BV1235" s="867"/>
      <c r="BW1235" s="867">
        <f>VLOOKUP(BD1235,$BD$4:$BN$12824,11,0)*BE1235</f>
        <v>169303.44522924162</v>
      </c>
      <c r="BX1235" s="1146">
        <f t="shared" si="241"/>
        <v>1188487.101163435</v>
      </c>
      <c r="BY1235" s="867">
        <f t="shared" si="244"/>
        <v>13371612.514581719</v>
      </c>
      <c r="BZ1235" s="867">
        <f t="shared" si="242"/>
        <v>26743225.029163439</v>
      </c>
      <c r="CA1235" s="867">
        <f>_xlfn.MAXIFS($BY$4:$BY$12824,$S$4:$S$12824,$S1235)</f>
        <v>13371612.514581719</v>
      </c>
      <c r="CB1235" s="1032"/>
      <c r="CF1235" s="946">
        <f t="shared" si="243"/>
        <v>25554737.928000003</v>
      </c>
    </row>
    <row r="1236" spans="2:84">
      <c r="B1236" s="839" t="s">
        <v>98</v>
      </c>
      <c r="C1236" s="839" t="s">
        <v>2689</v>
      </c>
      <c r="D1236" s="839" t="s">
        <v>4271</v>
      </c>
      <c r="E1236" s="839" t="s">
        <v>4272</v>
      </c>
      <c r="F1236" s="841">
        <v>45675</v>
      </c>
      <c r="G1236" s="868" t="s">
        <v>2689</v>
      </c>
      <c r="H1236" s="842" t="s">
        <v>134</v>
      </c>
      <c r="I1236" s="883"/>
      <c r="J1236" s="841"/>
      <c r="K1236" s="841"/>
      <c r="L1236" s="843" t="s">
        <v>106</v>
      </c>
      <c r="M1236" s="844" t="s">
        <v>107</v>
      </c>
      <c r="N1236" s="841"/>
      <c r="O1236" s="884" t="s">
        <v>150</v>
      </c>
      <c r="P1236" s="842" t="s">
        <v>151</v>
      </c>
      <c r="Q1236" s="843"/>
      <c r="R1236" s="845">
        <v>21022601</v>
      </c>
      <c r="S1236" s="1127" t="s">
        <v>4277</v>
      </c>
      <c r="T1236" s="885" t="s">
        <v>4278</v>
      </c>
      <c r="U1236" s="886">
        <v>1</v>
      </c>
      <c r="V1236" s="842" t="s">
        <v>3</v>
      </c>
      <c r="W1236" s="846">
        <v>460</v>
      </c>
      <c r="X1236" s="847">
        <f t="shared" si="236"/>
        <v>460</v>
      </c>
      <c r="Y1236" s="848">
        <f t="shared" si="245"/>
        <v>0.50321739130434784</v>
      </c>
      <c r="Z1236" s="849">
        <v>228.52</v>
      </c>
      <c r="AA1236" s="854"/>
      <c r="AB1236" s="849">
        <f t="shared" si="237"/>
        <v>228.52</v>
      </c>
      <c r="AC1236" s="850">
        <f t="shared" si="238"/>
        <v>228.52</v>
      </c>
      <c r="AD1236" s="887">
        <f t="shared" si="235"/>
        <v>32000</v>
      </c>
      <c r="AE1236" s="888">
        <v>30266.65</v>
      </c>
      <c r="AF1236" s="853">
        <v>0</v>
      </c>
      <c r="AG1236" s="854">
        <f t="shared" si="239"/>
        <v>0</v>
      </c>
      <c r="AH1236" s="853" t="s">
        <v>4262</v>
      </c>
      <c r="AI1236" s="855">
        <f t="shared" si="240"/>
        <v>553322.78864000004</v>
      </c>
      <c r="AJ1236" s="845" t="s">
        <v>3318</v>
      </c>
      <c r="AK1236" s="857">
        <v>45796</v>
      </c>
      <c r="AL1236" s="843" t="s">
        <v>4263</v>
      </c>
      <c r="AM1236" s="843" t="s">
        <v>4264</v>
      </c>
      <c r="AN1236" s="844" t="s">
        <v>4265</v>
      </c>
      <c r="AO1236" s="844" t="s">
        <v>141</v>
      </c>
      <c r="AP1236" s="841"/>
      <c r="AQ1236" s="841">
        <v>45821</v>
      </c>
      <c r="AR1236" s="841">
        <v>45865</v>
      </c>
      <c r="AS1236" s="842" t="s">
        <v>4266</v>
      </c>
      <c r="AT1236" s="842" t="s">
        <v>1235</v>
      </c>
      <c r="AU1236" s="842" t="s">
        <v>3794</v>
      </c>
      <c r="AV1236" s="845" t="s">
        <v>4275</v>
      </c>
      <c r="AW1236" s="861">
        <v>45867</v>
      </c>
      <c r="AX1236" s="862">
        <v>45873</v>
      </c>
      <c r="AY1236" s="843" t="s">
        <v>4279</v>
      </c>
      <c r="AZ1236" s="842" t="s">
        <v>2704</v>
      </c>
      <c r="BA1236" s="842" t="s">
        <v>120</v>
      </c>
      <c r="BB1236" s="863" t="s">
        <v>121</v>
      </c>
      <c r="BC1236" s="864">
        <v>45867</v>
      </c>
      <c r="BD1236" s="860" t="s">
        <v>4270</v>
      </c>
      <c r="BE1236" s="865" cm="1">
        <f t="array" ref="BE1236">IF(BD1236="","",AC1236/SUMPRODUCT(--(BD1236=$BD$4:$BD$12824),$AC$4:$AC$12824))</f>
        <v>5.1273076474336564E-3</v>
      </c>
      <c r="BF1236" s="458"/>
      <c r="BG1236" s="458"/>
      <c r="BH1236" s="458"/>
      <c r="BI1236" s="458"/>
      <c r="BJ1236" s="458"/>
      <c r="BK1236" s="458"/>
      <c r="BL1236" s="458"/>
      <c r="BM1236" s="458"/>
      <c r="BN1236" s="458"/>
      <c r="BO1236" s="866">
        <f>VLOOKUP(BD1236,$BD$4:$BN$12824,3,0)*BE1236</f>
        <v>183937.85491325858</v>
      </c>
      <c r="BP1236" s="866"/>
      <c r="BQ1236" s="866"/>
      <c r="BR1236" s="866">
        <f>VLOOKUP(BD1236,$BD$4:$BN$12824,6,0)*BE1236</f>
        <v>82214.493366287541</v>
      </c>
      <c r="BS1236" s="866">
        <f>VLOOKUP(BD1236,$BD$4:$BN$12824,7,0)*BE1236</f>
        <v>6926.7465209157926</v>
      </c>
      <c r="BT1236" s="866"/>
      <c r="BU1236" s="866">
        <f>VLOOKUP(BD1236,$BD$4:$BN$12824,9,0)*BE1236</f>
        <v>2768.7461296141746</v>
      </c>
      <c r="BV1236" s="867"/>
      <c r="BW1236" s="867">
        <f>VLOOKUP(BD1236,$BD$4:$BN$12824,11,0)*BE1236</f>
        <v>45822.93834539783</v>
      </c>
      <c r="BX1236" s="1146">
        <f t="shared" si="241"/>
        <v>321670.77927547391</v>
      </c>
      <c r="BY1236" s="867">
        <f t="shared" si="244"/>
        <v>7238205.6372754751</v>
      </c>
      <c r="BZ1236" s="867">
        <f t="shared" si="242"/>
        <v>7238205.6372754751</v>
      </c>
      <c r="CA1236" s="867">
        <f>_xlfn.MAXIFS($BY$4:$BY$12824,$S$4:$S$12824,$S1236)</f>
        <v>7238205.6372754751</v>
      </c>
      <c r="CB1236" s="1032"/>
      <c r="CF1236" s="946">
        <f t="shared" si="243"/>
        <v>6916534.8580000009</v>
      </c>
    </row>
    <row r="1237" spans="2:84">
      <c r="B1237" s="839" t="s">
        <v>98</v>
      </c>
      <c r="C1237" s="839" t="s">
        <v>2689</v>
      </c>
      <c r="D1237" s="839" t="s">
        <v>4271</v>
      </c>
      <c r="E1237" s="839" t="s">
        <v>4272</v>
      </c>
      <c r="F1237" s="841">
        <v>45675</v>
      </c>
      <c r="G1237" s="868" t="s">
        <v>2689</v>
      </c>
      <c r="H1237" s="842" t="s">
        <v>134</v>
      </c>
      <c r="I1237" s="883"/>
      <c r="J1237" s="841"/>
      <c r="K1237" s="841"/>
      <c r="L1237" s="843" t="s">
        <v>106</v>
      </c>
      <c r="M1237" s="844" t="s">
        <v>107</v>
      </c>
      <c r="N1237" s="841"/>
      <c r="O1237" s="884" t="s">
        <v>150</v>
      </c>
      <c r="P1237" s="842" t="s">
        <v>151</v>
      </c>
      <c r="Q1237" s="843"/>
      <c r="R1237" s="845">
        <v>43140100</v>
      </c>
      <c r="S1237" s="1127" t="s">
        <v>3197</v>
      </c>
      <c r="T1237" s="885" t="s">
        <v>4280</v>
      </c>
      <c r="U1237" s="886">
        <v>2</v>
      </c>
      <c r="V1237" s="842" t="s">
        <v>3</v>
      </c>
      <c r="W1237" s="846">
        <v>905</v>
      </c>
      <c r="X1237" s="847">
        <f t="shared" si="236"/>
        <v>1810</v>
      </c>
      <c r="Y1237" s="848">
        <f t="shared" si="245"/>
        <v>0.49756906077348068</v>
      </c>
      <c r="Z1237" s="849">
        <v>454.7</v>
      </c>
      <c r="AA1237" s="854"/>
      <c r="AB1237" s="849">
        <f t="shared" si="237"/>
        <v>909.4</v>
      </c>
      <c r="AC1237" s="850">
        <f t="shared" si="238"/>
        <v>909.4</v>
      </c>
      <c r="AD1237" s="887">
        <f t="shared" si="235"/>
        <v>32000</v>
      </c>
      <c r="AE1237" s="888">
        <v>30266.65</v>
      </c>
      <c r="AF1237" s="853">
        <v>0</v>
      </c>
      <c r="AG1237" s="854">
        <f t="shared" si="239"/>
        <v>0</v>
      </c>
      <c r="AH1237" s="853" t="s">
        <v>4262</v>
      </c>
      <c r="AI1237" s="855">
        <f t="shared" si="240"/>
        <v>2201959.3208000003</v>
      </c>
      <c r="AJ1237" s="845" t="s">
        <v>3318</v>
      </c>
      <c r="AK1237" s="857">
        <v>45796</v>
      </c>
      <c r="AL1237" s="843" t="s">
        <v>4263</v>
      </c>
      <c r="AM1237" s="843" t="s">
        <v>4264</v>
      </c>
      <c r="AN1237" s="844" t="s">
        <v>4265</v>
      </c>
      <c r="AO1237" s="844" t="s">
        <v>141</v>
      </c>
      <c r="AP1237" s="841"/>
      <c r="AQ1237" s="841">
        <v>45821</v>
      </c>
      <c r="AR1237" s="841">
        <v>45865</v>
      </c>
      <c r="AS1237" s="842" t="s">
        <v>4266</v>
      </c>
      <c r="AT1237" s="842" t="s">
        <v>1235</v>
      </c>
      <c r="AU1237" s="842" t="s">
        <v>3794</v>
      </c>
      <c r="AV1237" s="845" t="s">
        <v>4273</v>
      </c>
      <c r="AW1237" s="861">
        <v>45867</v>
      </c>
      <c r="AX1237" s="862">
        <v>45873</v>
      </c>
      <c r="AY1237" s="843" t="s">
        <v>4281</v>
      </c>
      <c r="AZ1237" s="842" t="s">
        <v>3200</v>
      </c>
      <c r="BA1237" s="842" t="s">
        <v>120</v>
      </c>
      <c r="BB1237" s="863" t="s">
        <v>121</v>
      </c>
      <c r="BC1237" s="864">
        <v>45867</v>
      </c>
      <c r="BD1237" s="860" t="s">
        <v>4270</v>
      </c>
      <c r="BE1237" s="865" cm="1">
        <f t="array" ref="BE1237">IF(BD1237="","",AC1237/SUMPRODUCT(--(BD1237=$BD$4:$BD$12824),$AC$4:$AC$12824))</f>
        <v>2.0404225339472112E-2</v>
      </c>
      <c r="BF1237" s="458"/>
      <c r="BG1237" s="458"/>
      <c r="BH1237" s="458"/>
      <c r="BI1237" s="458"/>
      <c r="BJ1237" s="458"/>
      <c r="BK1237" s="458"/>
      <c r="BL1237" s="458"/>
      <c r="BM1237" s="458"/>
      <c r="BN1237" s="458"/>
      <c r="BO1237" s="866">
        <f>VLOOKUP(BD1237,$BD$4:$BN$12824,3,0)*BE1237</f>
        <v>731984.44450427685</v>
      </c>
      <c r="BP1237" s="866"/>
      <c r="BQ1237" s="866"/>
      <c r="BR1237" s="866">
        <f>VLOOKUP(BD1237,$BD$4:$BN$12824,6,0)*BE1237</f>
        <v>327174.25287634291</v>
      </c>
      <c r="BS1237" s="866">
        <f>VLOOKUP(BD1237,$BD$4:$BN$12824,7,0)*BE1237</f>
        <v>27565.129030810527</v>
      </c>
      <c r="BT1237" s="866"/>
      <c r="BU1237" s="866">
        <f>VLOOKUP(BD1237,$BD$4:$BN$12824,9,0)*BE1237</f>
        <v>11018.281683314941</v>
      </c>
      <c r="BV1237" s="867"/>
      <c r="BW1237" s="867">
        <f>VLOOKUP(BD1237,$BD$4:$BN$12824,11,0)*BE1237</f>
        <v>182353.31757091187</v>
      </c>
      <c r="BX1237" s="1146">
        <f t="shared" si="241"/>
        <v>1280095.4256656573</v>
      </c>
      <c r="BY1237" s="867">
        <f t="shared" si="244"/>
        <v>14402293.46783283</v>
      </c>
      <c r="BZ1237" s="867">
        <f t="shared" si="242"/>
        <v>28804586.93566566</v>
      </c>
      <c r="CA1237" s="867">
        <f>_xlfn.MAXIFS($BY$4:$BY$12824,$S$4:$S$12824,$S1237)</f>
        <v>14402293.46783283</v>
      </c>
      <c r="CB1237" s="1032"/>
      <c r="CF1237" s="946">
        <f t="shared" si="243"/>
        <v>27524491.510000002</v>
      </c>
    </row>
    <row r="1238" spans="2:84">
      <c r="B1238" s="839" t="s">
        <v>98</v>
      </c>
      <c r="C1238" s="839" t="s">
        <v>2689</v>
      </c>
      <c r="D1238" s="839" t="s">
        <v>4271</v>
      </c>
      <c r="E1238" s="839" t="s">
        <v>4272</v>
      </c>
      <c r="F1238" s="841">
        <v>45675</v>
      </c>
      <c r="G1238" s="868" t="s">
        <v>2689</v>
      </c>
      <c r="H1238" s="842" t="s">
        <v>134</v>
      </c>
      <c r="I1238" s="883"/>
      <c r="J1238" s="841"/>
      <c r="K1238" s="841"/>
      <c r="L1238" s="843" t="s">
        <v>106</v>
      </c>
      <c r="M1238" s="844" t="s">
        <v>107</v>
      </c>
      <c r="N1238" s="841"/>
      <c r="O1238" s="884" t="s">
        <v>150</v>
      </c>
      <c r="P1238" s="842" t="s">
        <v>151</v>
      </c>
      <c r="Q1238" s="843"/>
      <c r="R1238" s="845">
        <v>43140300</v>
      </c>
      <c r="S1238" s="1127" t="s">
        <v>4282</v>
      </c>
      <c r="T1238" s="885" t="s">
        <v>4283</v>
      </c>
      <c r="U1238" s="886">
        <v>2</v>
      </c>
      <c r="V1238" s="842" t="s">
        <v>3</v>
      </c>
      <c r="W1238" s="846">
        <v>1143</v>
      </c>
      <c r="X1238" s="847">
        <f t="shared" si="236"/>
        <v>2286</v>
      </c>
      <c r="Y1238" s="848">
        <f t="shared" si="245"/>
        <v>0.50329833770778654</v>
      </c>
      <c r="Z1238" s="849">
        <v>567.73</v>
      </c>
      <c r="AA1238" s="854"/>
      <c r="AB1238" s="849">
        <f t="shared" si="237"/>
        <v>1135.46</v>
      </c>
      <c r="AC1238" s="850">
        <f t="shared" si="238"/>
        <v>1135.46</v>
      </c>
      <c r="AD1238" s="887">
        <f t="shared" si="235"/>
        <v>32000</v>
      </c>
      <c r="AE1238" s="888">
        <v>30266.65</v>
      </c>
      <c r="AF1238" s="853">
        <v>0</v>
      </c>
      <c r="AG1238" s="854">
        <f t="shared" si="239"/>
        <v>0</v>
      </c>
      <c r="AH1238" s="853" t="s">
        <v>4262</v>
      </c>
      <c r="AI1238" s="855">
        <f t="shared" si="240"/>
        <v>2749325.6327200001</v>
      </c>
      <c r="AJ1238" s="845" t="s">
        <v>3318</v>
      </c>
      <c r="AK1238" s="857">
        <v>45796</v>
      </c>
      <c r="AL1238" s="843" t="s">
        <v>4263</v>
      </c>
      <c r="AM1238" s="843" t="s">
        <v>4264</v>
      </c>
      <c r="AN1238" s="844" t="s">
        <v>4265</v>
      </c>
      <c r="AO1238" s="844" t="s">
        <v>141</v>
      </c>
      <c r="AP1238" s="841"/>
      <c r="AQ1238" s="841">
        <v>45821</v>
      </c>
      <c r="AR1238" s="841">
        <v>45865</v>
      </c>
      <c r="AS1238" s="842" t="s">
        <v>4266</v>
      </c>
      <c r="AT1238" s="842" t="s">
        <v>1235</v>
      </c>
      <c r="AU1238" s="842" t="s">
        <v>3794</v>
      </c>
      <c r="AV1238" s="845" t="s">
        <v>4275</v>
      </c>
      <c r="AW1238" s="861">
        <v>45867</v>
      </c>
      <c r="AX1238" s="862">
        <v>45873</v>
      </c>
      <c r="AY1238" s="843" t="s">
        <v>4284</v>
      </c>
      <c r="AZ1238" s="842" t="s">
        <v>3200</v>
      </c>
      <c r="BA1238" s="842" t="s">
        <v>120</v>
      </c>
      <c r="BB1238" s="863" t="s">
        <v>121</v>
      </c>
      <c r="BC1238" s="864">
        <v>45867</v>
      </c>
      <c r="BD1238" s="860" t="s">
        <v>4270</v>
      </c>
      <c r="BE1238" s="865" cm="1">
        <f t="array" ref="BE1238">IF(BD1238="","",AC1238/SUMPRODUCT(--(BD1238=$BD$4:$BD$12824),$AC$4:$AC$12824))</f>
        <v>2.547633791946009E-2</v>
      </c>
      <c r="BF1238" s="458"/>
      <c r="BG1238" s="458"/>
      <c r="BH1238" s="458"/>
      <c r="BI1238" s="458"/>
      <c r="BJ1238" s="458"/>
      <c r="BK1238" s="458"/>
      <c r="BL1238" s="458"/>
      <c r="BM1238" s="458"/>
      <c r="BN1238" s="458"/>
      <c r="BO1238" s="866">
        <f>VLOOKUP(BD1238,$BD$4:$BN$12824,3,0)*BE1238</f>
        <v>913942.22273677832</v>
      </c>
      <c r="BP1238" s="866"/>
      <c r="BQ1238" s="866"/>
      <c r="BR1238" s="866">
        <f>VLOOKUP(BD1238,$BD$4:$BN$12824,6,0)*BE1238</f>
        <v>408503.71362543694</v>
      </c>
      <c r="BS1238" s="866">
        <f>VLOOKUP(BD1238,$BD$4:$BN$12824,7,0)*BE1238</f>
        <v>34417.309664970446</v>
      </c>
      <c r="BT1238" s="866"/>
      <c r="BU1238" s="866">
        <f>VLOOKUP(BD1238,$BD$4:$BN$12824,9,0)*BE1238</f>
        <v>13757.222476508448</v>
      </c>
      <c r="BV1238" s="867"/>
      <c r="BW1238" s="867">
        <f>VLOOKUP(BD1238,$BD$4:$BN$12824,11,0)*BE1238</f>
        <v>227682.97555428592</v>
      </c>
      <c r="BX1238" s="1146">
        <f t="shared" si="241"/>
        <v>1598303.4440579801</v>
      </c>
      <c r="BY1238" s="867">
        <f t="shared" si="244"/>
        <v>17982436.92652899</v>
      </c>
      <c r="BZ1238" s="867">
        <f t="shared" si="242"/>
        <v>35964873.853057981</v>
      </c>
      <c r="CA1238" s="867">
        <f>_xlfn.MAXIFS($BY$4:$BY$12824,$S$4:$S$12824,$S1238)</f>
        <v>17982436.92652899</v>
      </c>
      <c r="CB1238" s="1032"/>
      <c r="CF1238" s="946">
        <f t="shared" si="243"/>
        <v>34366570.409000002</v>
      </c>
    </row>
    <row r="1239" spans="2:84">
      <c r="B1239" s="839" t="s">
        <v>98</v>
      </c>
      <c r="C1239" s="839" t="s">
        <v>2689</v>
      </c>
      <c r="D1239" s="839" t="s">
        <v>4271</v>
      </c>
      <c r="E1239" s="839" t="s">
        <v>4272</v>
      </c>
      <c r="F1239" s="841">
        <v>45675</v>
      </c>
      <c r="G1239" s="868" t="s">
        <v>2689</v>
      </c>
      <c r="H1239" s="842" t="s">
        <v>134</v>
      </c>
      <c r="I1239" s="883"/>
      <c r="J1239" s="841"/>
      <c r="K1239" s="841"/>
      <c r="L1239" s="843" t="s">
        <v>106</v>
      </c>
      <c r="M1239" s="844" t="s">
        <v>107</v>
      </c>
      <c r="N1239" s="841"/>
      <c r="O1239" s="884" t="s">
        <v>150</v>
      </c>
      <c r="P1239" s="842" t="s">
        <v>151</v>
      </c>
      <c r="Q1239" s="843"/>
      <c r="R1239" s="845">
        <v>41721000</v>
      </c>
      <c r="S1239" s="1127" t="s">
        <v>4285</v>
      </c>
      <c r="T1239" s="885" t="s">
        <v>4286</v>
      </c>
      <c r="U1239" s="886">
        <v>2</v>
      </c>
      <c r="V1239" s="842" t="s">
        <v>3</v>
      </c>
      <c r="W1239" s="846">
        <v>899</v>
      </c>
      <c r="X1239" s="847">
        <f t="shared" si="236"/>
        <v>1798</v>
      </c>
      <c r="Y1239" s="848">
        <f t="shared" si="245"/>
        <v>0.49695216907675194</v>
      </c>
      <c r="Z1239" s="849">
        <v>452.24</v>
      </c>
      <c r="AA1239" s="854"/>
      <c r="AB1239" s="849">
        <f t="shared" si="237"/>
        <v>904.48</v>
      </c>
      <c r="AC1239" s="850">
        <f t="shared" si="238"/>
        <v>904.48</v>
      </c>
      <c r="AD1239" s="887">
        <f t="shared" si="235"/>
        <v>32000</v>
      </c>
      <c r="AE1239" s="888">
        <v>30266.65</v>
      </c>
      <c r="AF1239" s="853">
        <v>0</v>
      </c>
      <c r="AG1239" s="854">
        <f t="shared" si="239"/>
        <v>0</v>
      </c>
      <c r="AH1239" s="853" t="s">
        <v>4262</v>
      </c>
      <c r="AI1239" s="855">
        <f t="shared" si="240"/>
        <v>2190046.36736</v>
      </c>
      <c r="AJ1239" s="845" t="s">
        <v>3318</v>
      </c>
      <c r="AK1239" s="857">
        <v>45796</v>
      </c>
      <c r="AL1239" s="843" t="s">
        <v>4263</v>
      </c>
      <c r="AM1239" s="843" t="s">
        <v>4264</v>
      </c>
      <c r="AN1239" s="844" t="s">
        <v>4265</v>
      </c>
      <c r="AO1239" s="844" t="s">
        <v>141</v>
      </c>
      <c r="AP1239" s="841"/>
      <c r="AQ1239" s="841">
        <v>45821</v>
      </c>
      <c r="AR1239" s="841">
        <v>45865</v>
      </c>
      <c r="AS1239" s="842" t="s">
        <v>4266</v>
      </c>
      <c r="AT1239" s="842" t="s">
        <v>1235</v>
      </c>
      <c r="AU1239" s="842" t="s">
        <v>3794</v>
      </c>
      <c r="AV1239" s="845" t="s">
        <v>4273</v>
      </c>
      <c r="AW1239" s="861">
        <v>45867</v>
      </c>
      <c r="AX1239" s="862">
        <v>45873</v>
      </c>
      <c r="AY1239" s="843" t="s">
        <v>4287</v>
      </c>
      <c r="AZ1239" s="842" t="s">
        <v>3200</v>
      </c>
      <c r="BA1239" s="842" t="s">
        <v>120</v>
      </c>
      <c r="BB1239" s="863" t="s">
        <v>121</v>
      </c>
      <c r="BC1239" s="864">
        <v>45867</v>
      </c>
      <c r="BD1239" s="860" t="s">
        <v>4270</v>
      </c>
      <c r="BE1239" s="865" cm="1">
        <f t="array" ref="BE1239">IF(BD1239="","",AC1239/SUMPRODUCT(--(BD1239=$BD$4:$BD$12824),$AC$4:$AC$12824))</f>
        <v>2.0293835204580755E-2</v>
      </c>
      <c r="BF1239" s="458"/>
      <c r="BG1239" s="458"/>
      <c r="BH1239" s="458"/>
      <c r="BI1239" s="458"/>
      <c r="BJ1239" s="458"/>
      <c r="BK1239" s="458"/>
      <c r="BL1239" s="458"/>
      <c r="BM1239" s="458"/>
      <c r="BN1239" s="458"/>
      <c r="BO1239" s="866">
        <f>VLOOKUP(BD1239,$BD$4:$BN$12824,3,0)*BE1239</f>
        <v>728024.29114276276</v>
      </c>
      <c r="BP1239" s="866"/>
      <c r="BQ1239" s="866"/>
      <c r="BR1239" s="866">
        <f>VLOOKUP(BD1239,$BD$4:$BN$12824,6,0)*BE1239</f>
        <v>325404.18764195591</v>
      </c>
      <c r="BS1239" s="866">
        <f>VLOOKUP(BD1239,$BD$4:$BN$12824,7,0)*BE1239</f>
        <v>27415.997257298779</v>
      </c>
      <c r="BT1239" s="866"/>
      <c r="BU1239" s="866">
        <f>VLOOKUP(BD1239,$BD$4:$BN$12824,9,0)*BE1239</f>
        <v>10958.671010473608</v>
      </c>
      <c r="BV1239" s="867"/>
      <c r="BW1239" s="867">
        <f>VLOOKUP(BD1239,$BD$4:$BN$12824,11,0)*BE1239</f>
        <v>181366.7568468643</v>
      </c>
      <c r="BX1239" s="1146">
        <f t="shared" si="241"/>
        <v>1273169.9038993551</v>
      </c>
      <c r="BY1239" s="867">
        <f t="shared" si="244"/>
        <v>14324374.747949678</v>
      </c>
      <c r="BZ1239" s="867">
        <f t="shared" si="242"/>
        <v>28648749.495899357</v>
      </c>
      <c r="CA1239" s="867">
        <f>_xlfn.MAXIFS($BY$4:$BY$12824,$S$4:$S$12824,$S1239)</f>
        <v>14324374.747949678</v>
      </c>
      <c r="CB1239" s="1032"/>
      <c r="CF1239" s="946">
        <f t="shared" si="243"/>
        <v>27375579.592</v>
      </c>
    </row>
    <row r="1240" spans="2:84">
      <c r="B1240" s="839" t="s">
        <v>98</v>
      </c>
      <c r="C1240" s="839" t="s">
        <v>2689</v>
      </c>
      <c r="D1240" s="839" t="s">
        <v>4271</v>
      </c>
      <c r="E1240" s="839" t="s">
        <v>4272</v>
      </c>
      <c r="F1240" s="841">
        <v>45675</v>
      </c>
      <c r="G1240" s="868" t="s">
        <v>2689</v>
      </c>
      <c r="H1240" s="842" t="s">
        <v>134</v>
      </c>
      <c r="I1240" s="883"/>
      <c r="J1240" s="841"/>
      <c r="K1240" s="841"/>
      <c r="L1240" s="843" t="s">
        <v>106</v>
      </c>
      <c r="M1240" s="844" t="s">
        <v>107</v>
      </c>
      <c r="N1240" s="841"/>
      <c r="O1240" s="884" t="s">
        <v>150</v>
      </c>
      <c r="P1240" s="842" t="s">
        <v>151</v>
      </c>
      <c r="Q1240" s="843"/>
      <c r="R1240" s="845">
        <v>41721000</v>
      </c>
      <c r="S1240" s="1127" t="s">
        <v>4288</v>
      </c>
      <c r="T1240" s="885" t="s">
        <v>4289</v>
      </c>
      <c r="U1240" s="886">
        <v>2</v>
      </c>
      <c r="V1240" s="842" t="s">
        <v>3</v>
      </c>
      <c r="W1240" s="846">
        <v>899</v>
      </c>
      <c r="X1240" s="847">
        <f t="shared" si="236"/>
        <v>1798</v>
      </c>
      <c r="Y1240" s="848">
        <f t="shared" si="245"/>
        <v>0.49695216907675194</v>
      </c>
      <c r="Z1240" s="849">
        <v>452.24</v>
      </c>
      <c r="AA1240" s="854"/>
      <c r="AB1240" s="849">
        <f t="shared" si="237"/>
        <v>904.48</v>
      </c>
      <c r="AC1240" s="850">
        <f t="shared" si="238"/>
        <v>904.48</v>
      </c>
      <c r="AD1240" s="887">
        <f t="shared" si="235"/>
        <v>32000</v>
      </c>
      <c r="AE1240" s="888">
        <v>30266.65</v>
      </c>
      <c r="AF1240" s="853">
        <v>0</v>
      </c>
      <c r="AG1240" s="854">
        <f t="shared" si="239"/>
        <v>0</v>
      </c>
      <c r="AH1240" s="853" t="s">
        <v>4262</v>
      </c>
      <c r="AI1240" s="855">
        <f t="shared" si="240"/>
        <v>2190046.36736</v>
      </c>
      <c r="AJ1240" s="845" t="s">
        <v>3318</v>
      </c>
      <c r="AK1240" s="857">
        <v>45796</v>
      </c>
      <c r="AL1240" s="843" t="s">
        <v>4263</v>
      </c>
      <c r="AM1240" s="843" t="s">
        <v>4264</v>
      </c>
      <c r="AN1240" s="844" t="s">
        <v>4265</v>
      </c>
      <c r="AO1240" s="844" t="s">
        <v>141</v>
      </c>
      <c r="AP1240" s="841"/>
      <c r="AQ1240" s="841">
        <v>45821</v>
      </c>
      <c r="AR1240" s="841">
        <v>45865</v>
      </c>
      <c r="AS1240" s="842" t="s">
        <v>4266</v>
      </c>
      <c r="AT1240" s="842" t="s">
        <v>1235</v>
      </c>
      <c r="AU1240" s="842" t="s">
        <v>3794</v>
      </c>
      <c r="AV1240" s="845" t="s">
        <v>4275</v>
      </c>
      <c r="AW1240" s="861">
        <v>45867</v>
      </c>
      <c r="AX1240" s="862">
        <v>45873</v>
      </c>
      <c r="AY1240" s="843" t="s">
        <v>4287</v>
      </c>
      <c r="AZ1240" s="842" t="s">
        <v>3200</v>
      </c>
      <c r="BA1240" s="842" t="s">
        <v>120</v>
      </c>
      <c r="BB1240" s="863" t="s">
        <v>121</v>
      </c>
      <c r="BC1240" s="864">
        <v>45867</v>
      </c>
      <c r="BD1240" s="860" t="s">
        <v>4270</v>
      </c>
      <c r="BE1240" s="865" cm="1">
        <f t="array" ref="BE1240">IF(BD1240="","",AC1240/SUMPRODUCT(--(BD1240=$BD$4:$BD$12824),$AC$4:$AC$12824))</f>
        <v>2.0293835204580755E-2</v>
      </c>
      <c r="BF1240" s="458"/>
      <c r="BG1240" s="458"/>
      <c r="BH1240" s="458"/>
      <c r="BI1240" s="458"/>
      <c r="BJ1240" s="458"/>
      <c r="BK1240" s="458"/>
      <c r="BL1240" s="458"/>
      <c r="BM1240" s="458"/>
      <c r="BN1240" s="458"/>
      <c r="BO1240" s="866">
        <f>VLOOKUP(BD1240,$BD$4:$BN$12824,3,0)*BE1240</f>
        <v>728024.29114276276</v>
      </c>
      <c r="BP1240" s="866"/>
      <c r="BQ1240" s="866"/>
      <c r="BR1240" s="866">
        <f>VLOOKUP(BD1240,$BD$4:$BN$12824,6,0)*BE1240</f>
        <v>325404.18764195591</v>
      </c>
      <c r="BS1240" s="866">
        <f>VLOOKUP(BD1240,$BD$4:$BN$12824,7,0)*BE1240</f>
        <v>27415.997257298779</v>
      </c>
      <c r="BT1240" s="866"/>
      <c r="BU1240" s="866">
        <f>VLOOKUP(BD1240,$BD$4:$BN$12824,9,0)*BE1240</f>
        <v>10958.671010473608</v>
      </c>
      <c r="BV1240" s="867"/>
      <c r="BW1240" s="867">
        <f>VLOOKUP(BD1240,$BD$4:$BN$12824,11,0)*BE1240</f>
        <v>181366.7568468643</v>
      </c>
      <c r="BX1240" s="1146">
        <f t="shared" si="241"/>
        <v>1273169.9038993551</v>
      </c>
      <c r="BY1240" s="867">
        <f t="shared" si="244"/>
        <v>14324374.747949678</v>
      </c>
      <c r="BZ1240" s="867">
        <f t="shared" si="242"/>
        <v>28648749.495899357</v>
      </c>
      <c r="CA1240" s="867">
        <f>_xlfn.MAXIFS($BY$4:$BY$12824,$S$4:$S$12824,$S1240)</f>
        <v>14324374.747949678</v>
      </c>
      <c r="CB1240" s="1032"/>
      <c r="CF1240" s="946">
        <f t="shared" si="243"/>
        <v>27375579.592</v>
      </c>
    </row>
    <row r="1241" spans="2:84">
      <c r="B1241" s="839" t="s">
        <v>98</v>
      </c>
      <c r="C1241" s="839" t="s">
        <v>2689</v>
      </c>
      <c r="D1241" s="839" t="s">
        <v>4271</v>
      </c>
      <c r="E1241" s="839" t="s">
        <v>4272</v>
      </c>
      <c r="F1241" s="841">
        <v>45675</v>
      </c>
      <c r="G1241" s="868" t="s">
        <v>2689</v>
      </c>
      <c r="H1241" s="842" t="s">
        <v>134</v>
      </c>
      <c r="I1241" s="883"/>
      <c r="J1241" s="841"/>
      <c r="K1241" s="841"/>
      <c r="L1241" s="843" t="s">
        <v>106</v>
      </c>
      <c r="M1241" s="844" t="s">
        <v>107</v>
      </c>
      <c r="N1241" s="841"/>
      <c r="O1241" s="884" t="s">
        <v>150</v>
      </c>
      <c r="P1241" s="842" t="s">
        <v>3216</v>
      </c>
      <c r="Q1241" s="843"/>
      <c r="R1241" s="845">
        <v>20130001</v>
      </c>
      <c r="S1241" s="1127" t="s">
        <v>3218</v>
      </c>
      <c r="T1241" s="885" t="s">
        <v>3219</v>
      </c>
      <c r="U1241" s="886">
        <v>2</v>
      </c>
      <c r="V1241" s="842" t="s">
        <v>3</v>
      </c>
      <c r="W1241" s="846">
        <v>2070</v>
      </c>
      <c r="X1241" s="847">
        <f t="shared" si="236"/>
        <v>4140</v>
      </c>
      <c r="Y1241" s="848">
        <f t="shared" si="245"/>
        <v>0.49905314009661833</v>
      </c>
      <c r="Z1241" s="849">
        <v>1036.96</v>
      </c>
      <c r="AA1241" s="854"/>
      <c r="AB1241" s="849">
        <f t="shared" si="237"/>
        <v>2073.92</v>
      </c>
      <c r="AC1241" s="850">
        <f t="shared" si="238"/>
        <v>2073.92</v>
      </c>
      <c r="AD1241" s="887">
        <f t="shared" si="235"/>
        <v>32000</v>
      </c>
      <c r="AE1241" s="888">
        <v>30266.65</v>
      </c>
      <c r="AF1241" s="853">
        <v>0</v>
      </c>
      <c r="AG1241" s="854">
        <f t="shared" si="239"/>
        <v>0</v>
      </c>
      <c r="AH1241" s="853" t="s">
        <v>4262</v>
      </c>
      <c r="AI1241" s="855">
        <f t="shared" si="240"/>
        <v>5021648.8614400011</v>
      </c>
      <c r="AJ1241" s="845" t="s">
        <v>3318</v>
      </c>
      <c r="AK1241" s="857">
        <v>45796</v>
      </c>
      <c r="AL1241" s="843" t="s">
        <v>4263</v>
      </c>
      <c r="AM1241" s="843" t="s">
        <v>4264</v>
      </c>
      <c r="AN1241" s="844" t="s">
        <v>4265</v>
      </c>
      <c r="AO1241" s="844" t="s">
        <v>141</v>
      </c>
      <c r="AP1241" s="841"/>
      <c r="AQ1241" s="841">
        <v>45821</v>
      </c>
      <c r="AR1241" s="841">
        <v>45865</v>
      </c>
      <c r="AS1241" s="842" t="s">
        <v>4266</v>
      </c>
      <c r="AT1241" s="842" t="s">
        <v>1235</v>
      </c>
      <c r="AU1241" s="842" t="s">
        <v>3794</v>
      </c>
      <c r="AV1241" s="845" t="s">
        <v>4273</v>
      </c>
      <c r="AW1241" s="861">
        <v>45867</v>
      </c>
      <c r="AX1241" s="862">
        <v>45873</v>
      </c>
      <c r="AY1241" s="843" t="s">
        <v>4290</v>
      </c>
      <c r="AZ1241" s="842" t="s">
        <v>4269</v>
      </c>
      <c r="BA1241" s="842" t="s">
        <v>120</v>
      </c>
      <c r="BB1241" s="863" t="s">
        <v>121</v>
      </c>
      <c r="BC1241" s="864">
        <v>45867</v>
      </c>
      <c r="BD1241" s="860" t="s">
        <v>4270</v>
      </c>
      <c r="BE1241" s="865" cm="1">
        <f t="array" ref="BE1241">IF(BD1241="","",AC1241/SUMPRODUCT(--(BD1241=$BD$4:$BD$12824),$AC$4:$AC$12824))</f>
        <v>4.6532583039408409E-2</v>
      </c>
      <c r="BF1241" s="458"/>
      <c r="BG1241" s="458"/>
      <c r="BH1241" s="458"/>
      <c r="BI1241" s="458"/>
      <c r="BJ1241" s="458"/>
      <c r="BK1241" s="458"/>
      <c r="BL1241" s="458"/>
      <c r="BM1241" s="458"/>
      <c r="BN1241" s="458"/>
      <c r="BO1241" s="866">
        <f>VLOOKUP(BD1241,$BD$4:$BN$12824,3,0)*BE1241</f>
        <v>1669317.3291690235</v>
      </c>
      <c r="BP1241" s="866"/>
      <c r="BQ1241" s="866"/>
      <c r="BR1241" s="866">
        <f>VLOOKUP(BD1241,$BD$4:$BN$12824,6,0)*BE1241</f>
        <v>746132.86400407436</v>
      </c>
      <c r="BS1241" s="866">
        <f>VLOOKUP(BD1241,$BD$4:$BN$12824,7,0)*BE1241</f>
        <v>62863.286122254867</v>
      </c>
      <c r="BT1241" s="866"/>
      <c r="BU1241" s="866">
        <f>VLOOKUP(BD1241,$BD$4:$BN$12824,9,0)*BE1241</f>
        <v>25127.594841280541</v>
      </c>
      <c r="BV1241" s="867"/>
      <c r="BW1241" s="867">
        <f>VLOOKUP(BD1241,$BD$4:$BN$12824,11,0)*BE1241</f>
        <v>415863.41805219441</v>
      </c>
      <c r="BX1241" s="1146">
        <f t="shared" si="241"/>
        <v>2919304.4921888281</v>
      </c>
      <c r="BY1241" s="867">
        <f t="shared" si="244"/>
        <v>32844957.630094416</v>
      </c>
      <c r="BZ1241" s="867">
        <f t="shared" si="242"/>
        <v>65689915.260188833</v>
      </c>
      <c r="CA1241" s="867">
        <f>_xlfn.MAXIFS($BY$4:$BY$12824,$S$4:$S$12824,$S1241)</f>
        <v>32844957.630094416</v>
      </c>
      <c r="CB1241" s="1032"/>
      <c r="CF1241" s="946">
        <f t="shared" si="243"/>
        <v>62770610.768000007</v>
      </c>
    </row>
    <row r="1242" spans="2:84">
      <c r="B1242" s="839" t="s">
        <v>98</v>
      </c>
      <c r="C1242" s="839" t="s">
        <v>2689</v>
      </c>
      <c r="D1242" s="839" t="s">
        <v>4271</v>
      </c>
      <c r="E1242" s="839" t="s">
        <v>4272</v>
      </c>
      <c r="F1242" s="841">
        <v>45675</v>
      </c>
      <c r="G1242" s="868" t="s">
        <v>2689</v>
      </c>
      <c r="H1242" s="842" t="s">
        <v>134</v>
      </c>
      <c r="I1242" s="883"/>
      <c r="J1242" s="841"/>
      <c r="K1242" s="841"/>
      <c r="L1242" s="843" t="s">
        <v>106</v>
      </c>
      <c r="M1242" s="844" t="s">
        <v>107</v>
      </c>
      <c r="N1242" s="841"/>
      <c r="O1242" s="884" t="s">
        <v>150</v>
      </c>
      <c r="P1242" s="842" t="s">
        <v>3216</v>
      </c>
      <c r="Q1242" s="843"/>
      <c r="R1242" s="845">
        <v>20130002</v>
      </c>
      <c r="S1242" s="1127" t="s">
        <v>4260</v>
      </c>
      <c r="T1242" s="885" t="s">
        <v>4291</v>
      </c>
      <c r="U1242" s="886">
        <v>2</v>
      </c>
      <c r="V1242" s="842" t="s">
        <v>3</v>
      </c>
      <c r="W1242" s="846">
        <v>2940</v>
      </c>
      <c r="X1242" s="847">
        <f t="shared" si="236"/>
        <v>5880</v>
      </c>
      <c r="Y1242" s="848">
        <f t="shared" si="245"/>
        <v>0.49852040816326532</v>
      </c>
      <c r="Z1242" s="849">
        <v>1474.35</v>
      </c>
      <c r="AA1242" s="854"/>
      <c r="AB1242" s="849">
        <f t="shared" si="237"/>
        <v>2948.7</v>
      </c>
      <c r="AC1242" s="850">
        <f t="shared" si="238"/>
        <v>2948.7</v>
      </c>
      <c r="AD1242" s="887">
        <f t="shared" si="235"/>
        <v>32000</v>
      </c>
      <c r="AE1242" s="888">
        <v>30266.65</v>
      </c>
      <c r="AF1242" s="853">
        <v>0</v>
      </c>
      <c r="AG1242" s="854">
        <f t="shared" si="239"/>
        <v>0</v>
      </c>
      <c r="AH1242" s="853" t="s">
        <v>4262</v>
      </c>
      <c r="AI1242" s="855">
        <f t="shared" si="240"/>
        <v>7139781.6684000008</v>
      </c>
      <c r="AJ1242" s="845" t="s">
        <v>3318</v>
      </c>
      <c r="AK1242" s="857">
        <v>45796</v>
      </c>
      <c r="AL1242" s="843" t="s">
        <v>4263</v>
      </c>
      <c r="AM1242" s="843" t="s">
        <v>4264</v>
      </c>
      <c r="AN1242" s="844" t="s">
        <v>4265</v>
      </c>
      <c r="AO1242" s="844" t="s">
        <v>141</v>
      </c>
      <c r="AP1242" s="841"/>
      <c r="AQ1242" s="841">
        <v>45821</v>
      </c>
      <c r="AR1242" s="841">
        <v>45865</v>
      </c>
      <c r="AS1242" s="842" t="s">
        <v>4266</v>
      </c>
      <c r="AT1242" s="842" t="s">
        <v>1235</v>
      </c>
      <c r="AU1242" s="842" t="s">
        <v>3794</v>
      </c>
      <c r="AV1242" s="845" t="s">
        <v>4273</v>
      </c>
      <c r="AW1242" s="861">
        <v>45867</v>
      </c>
      <c r="AX1242" s="862">
        <v>45873</v>
      </c>
      <c r="AY1242" s="843" t="s">
        <v>4268</v>
      </c>
      <c r="AZ1242" s="842" t="s">
        <v>4269</v>
      </c>
      <c r="BA1242" s="842" t="s">
        <v>120</v>
      </c>
      <c r="BB1242" s="863" t="s">
        <v>121</v>
      </c>
      <c r="BC1242" s="864">
        <v>45867</v>
      </c>
      <c r="BD1242" s="860" t="s">
        <v>4270</v>
      </c>
      <c r="BE1242" s="865" cm="1">
        <f t="array" ref="BE1242">IF(BD1242="","",AC1242/SUMPRODUCT(--(BD1242=$BD$4:$BD$12824),$AC$4:$AC$12824))</f>
        <v>6.6160038771169355E-2</v>
      </c>
      <c r="BF1242" s="458"/>
      <c r="BG1242" s="458"/>
      <c r="BH1242" s="458"/>
      <c r="BI1242" s="458"/>
      <c r="BJ1242" s="458"/>
      <c r="BK1242" s="458"/>
      <c r="BL1242" s="458"/>
      <c r="BM1242" s="458"/>
      <c r="BN1242" s="458"/>
      <c r="BO1242" s="866">
        <f>VLOOKUP(BD1242,$BD$4:$BN$12824,3,0)*BE1242</f>
        <v>2373435.816483133</v>
      </c>
      <c r="BP1242" s="866"/>
      <c r="BQ1242" s="866"/>
      <c r="BR1242" s="866">
        <f>VLOOKUP(BD1242,$BD$4:$BN$12824,6,0)*BE1242</f>
        <v>1060851.9017555227</v>
      </c>
      <c r="BS1242" s="866">
        <f>VLOOKUP(BD1242,$BD$4:$BN$12824,7,0)*BE1242</f>
        <v>89379.036697988777</v>
      </c>
      <c r="BT1242" s="866"/>
      <c r="BU1242" s="866">
        <f>VLOOKUP(BD1242,$BD$4:$BN$12824,9,0)*BE1242</f>
        <v>35726.420936431452</v>
      </c>
      <c r="BV1242" s="867"/>
      <c r="BW1242" s="867">
        <f>VLOOKUP(BD1242,$BD$4:$BN$12824,11,0)*BE1242</f>
        <v>591274.71686974692</v>
      </c>
      <c r="BX1242" s="1146">
        <f t="shared" si="241"/>
        <v>4150667.8927428224</v>
      </c>
      <c r="BY1242" s="867">
        <f t="shared" si="244"/>
        <v>46698969.373871416</v>
      </c>
      <c r="BZ1242" s="867">
        <f t="shared" si="242"/>
        <v>93397938.747742832</v>
      </c>
      <c r="CA1242" s="867">
        <f>_xlfn.MAXIFS($BY$4:$BY$12824,$S$4:$S$12824,$S1242)</f>
        <v>47492409.997071795</v>
      </c>
      <c r="CB1242" s="1032"/>
      <c r="CF1242" s="946">
        <f t="shared" si="243"/>
        <v>89247270.855000004</v>
      </c>
    </row>
    <row r="1243" spans="2:84">
      <c r="B1243" s="839" t="s">
        <v>98</v>
      </c>
      <c r="C1243" s="839" t="s">
        <v>2689</v>
      </c>
      <c r="D1243" s="839" t="s">
        <v>4271</v>
      </c>
      <c r="E1243" s="839" t="s">
        <v>4272</v>
      </c>
      <c r="F1243" s="841">
        <v>45675</v>
      </c>
      <c r="G1243" s="868" t="s">
        <v>2689</v>
      </c>
      <c r="H1243" s="842" t="s">
        <v>134</v>
      </c>
      <c r="I1243" s="883"/>
      <c r="J1243" s="841"/>
      <c r="K1243" s="841"/>
      <c r="L1243" s="843" t="s">
        <v>106</v>
      </c>
      <c r="M1243" s="844" t="s">
        <v>107</v>
      </c>
      <c r="N1243" s="841"/>
      <c r="O1243" s="884" t="s">
        <v>150</v>
      </c>
      <c r="P1243" s="842" t="s">
        <v>3216</v>
      </c>
      <c r="Q1243" s="843"/>
      <c r="R1243" s="845">
        <v>20130003</v>
      </c>
      <c r="S1243" s="1127" t="s">
        <v>3222</v>
      </c>
      <c r="T1243" s="885" t="s">
        <v>3223</v>
      </c>
      <c r="U1243" s="886">
        <v>2</v>
      </c>
      <c r="V1243" s="842" t="s">
        <v>3</v>
      </c>
      <c r="W1243" s="846">
        <v>2070</v>
      </c>
      <c r="X1243" s="847">
        <f t="shared" si="236"/>
        <v>4140</v>
      </c>
      <c r="Y1243" s="848">
        <f t="shared" si="245"/>
        <v>0.49905314009661833</v>
      </c>
      <c r="Z1243" s="849">
        <v>1036.96</v>
      </c>
      <c r="AA1243" s="854"/>
      <c r="AB1243" s="849">
        <f t="shared" si="237"/>
        <v>2073.92</v>
      </c>
      <c r="AC1243" s="850">
        <f t="shared" si="238"/>
        <v>2073.92</v>
      </c>
      <c r="AD1243" s="887">
        <f t="shared" si="235"/>
        <v>32000</v>
      </c>
      <c r="AE1243" s="888">
        <v>30266.65</v>
      </c>
      <c r="AF1243" s="853">
        <v>0</v>
      </c>
      <c r="AG1243" s="854">
        <f t="shared" si="239"/>
        <v>0</v>
      </c>
      <c r="AH1243" s="853" t="s">
        <v>4262</v>
      </c>
      <c r="AI1243" s="855">
        <f t="shared" si="240"/>
        <v>5021648.8614400011</v>
      </c>
      <c r="AJ1243" s="845" t="s">
        <v>3318</v>
      </c>
      <c r="AK1243" s="857">
        <v>45796</v>
      </c>
      <c r="AL1243" s="843" t="s">
        <v>4263</v>
      </c>
      <c r="AM1243" s="843" t="s">
        <v>4264</v>
      </c>
      <c r="AN1243" s="844" t="s">
        <v>4265</v>
      </c>
      <c r="AO1243" s="844" t="s">
        <v>141</v>
      </c>
      <c r="AP1243" s="841"/>
      <c r="AQ1243" s="841">
        <v>45821</v>
      </c>
      <c r="AR1243" s="841">
        <v>45865</v>
      </c>
      <c r="AS1243" s="842" t="s">
        <v>4266</v>
      </c>
      <c r="AT1243" s="842" t="s">
        <v>1235</v>
      </c>
      <c r="AU1243" s="842" t="s">
        <v>3794</v>
      </c>
      <c r="AV1243" s="845" t="s">
        <v>4273</v>
      </c>
      <c r="AW1243" s="861">
        <v>45867</v>
      </c>
      <c r="AX1243" s="862">
        <v>45873</v>
      </c>
      <c r="AY1243" s="843" t="s">
        <v>4292</v>
      </c>
      <c r="AZ1243" s="842" t="s">
        <v>4269</v>
      </c>
      <c r="BA1243" s="842" t="s">
        <v>120</v>
      </c>
      <c r="BB1243" s="863" t="s">
        <v>121</v>
      </c>
      <c r="BC1243" s="864">
        <v>45867</v>
      </c>
      <c r="BD1243" s="860" t="s">
        <v>4270</v>
      </c>
      <c r="BE1243" s="865" cm="1">
        <f t="array" ref="BE1243">IF(BD1243="","",AC1243/SUMPRODUCT(--(BD1243=$BD$4:$BD$12824),$AC$4:$AC$12824))</f>
        <v>4.6532583039408409E-2</v>
      </c>
      <c r="BF1243" s="458"/>
      <c r="BG1243" s="458"/>
      <c r="BH1243" s="458"/>
      <c r="BI1243" s="458"/>
      <c r="BJ1243" s="458"/>
      <c r="BK1243" s="458"/>
      <c r="BL1243" s="458"/>
      <c r="BM1243" s="458"/>
      <c r="BN1243" s="458"/>
      <c r="BO1243" s="866">
        <f>VLOOKUP(BD1243,$BD$4:$BN$12824,3,0)*BE1243</f>
        <v>1669317.3291690235</v>
      </c>
      <c r="BP1243" s="866"/>
      <c r="BQ1243" s="866"/>
      <c r="BR1243" s="866">
        <f>VLOOKUP(BD1243,$BD$4:$BN$12824,6,0)*BE1243</f>
        <v>746132.86400407436</v>
      </c>
      <c r="BS1243" s="866">
        <f>VLOOKUP(BD1243,$BD$4:$BN$12824,7,0)*BE1243</f>
        <v>62863.286122254867</v>
      </c>
      <c r="BT1243" s="866"/>
      <c r="BU1243" s="866">
        <f>VLOOKUP(BD1243,$BD$4:$BN$12824,9,0)*BE1243</f>
        <v>25127.594841280541</v>
      </c>
      <c r="BV1243" s="867"/>
      <c r="BW1243" s="867">
        <f>VLOOKUP(BD1243,$BD$4:$BN$12824,11,0)*BE1243</f>
        <v>415863.41805219441</v>
      </c>
      <c r="BX1243" s="1146">
        <f t="shared" si="241"/>
        <v>2919304.4921888281</v>
      </c>
      <c r="BY1243" s="867">
        <f t="shared" si="244"/>
        <v>32844957.630094416</v>
      </c>
      <c r="BZ1243" s="867">
        <f t="shared" si="242"/>
        <v>65689915.260188833</v>
      </c>
      <c r="CA1243" s="867">
        <f>_xlfn.MAXIFS($BY$4:$BY$12824,$S$4:$S$12824,$S1243)</f>
        <v>32844957.630094416</v>
      </c>
      <c r="CB1243" s="1032"/>
      <c r="CF1243" s="946">
        <f t="shared" si="243"/>
        <v>62770610.768000007</v>
      </c>
    </row>
    <row r="1244" spans="2:84">
      <c r="B1244" s="839" t="s">
        <v>98</v>
      </c>
      <c r="C1244" s="839" t="s">
        <v>2689</v>
      </c>
      <c r="D1244" s="839" t="s">
        <v>4271</v>
      </c>
      <c r="E1244" s="839" t="s">
        <v>4272</v>
      </c>
      <c r="F1244" s="841">
        <v>45675</v>
      </c>
      <c r="G1244" s="868" t="s">
        <v>2689</v>
      </c>
      <c r="H1244" s="842" t="s">
        <v>134</v>
      </c>
      <c r="I1244" s="883"/>
      <c r="J1244" s="841"/>
      <c r="K1244" s="841"/>
      <c r="L1244" s="843" t="s">
        <v>106</v>
      </c>
      <c r="M1244" s="844" t="s">
        <v>107</v>
      </c>
      <c r="N1244" s="841"/>
      <c r="O1244" s="884" t="s">
        <v>135</v>
      </c>
      <c r="P1244" s="842"/>
      <c r="Q1244" s="843"/>
      <c r="R1244" s="845">
        <v>20165509</v>
      </c>
      <c r="S1244" s="1127" t="s">
        <v>3189</v>
      </c>
      <c r="T1244" s="885" t="s">
        <v>3190</v>
      </c>
      <c r="U1244" s="886">
        <v>1</v>
      </c>
      <c r="V1244" s="842" t="s">
        <v>3</v>
      </c>
      <c r="W1244" s="846">
        <v>885</v>
      </c>
      <c r="X1244" s="847">
        <f t="shared" si="236"/>
        <v>885</v>
      </c>
      <c r="Y1244" s="848">
        <f t="shared" si="245"/>
        <v>0.50299435028248585</v>
      </c>
      <c r="Z1244" s="849">
        <v>439.85</v>
      </c>
      <c r="AA1244" s="854"/>
      <c r="AB1244" s="849">
        <f t="shared" si="237"/>
        <v>439.85</v>
      </c>
      <c r="AC1244" s="850">
        <f t="shared" si="238"/>
        <v>439.85</v>
      </c>
      <c r="AD1244" s="887">
        <f t="shared" si="235"/>
        <v>32000</v>
      </c>
      <c r="AE1244" s="888">
        <v>30266.65</v>
      </c>
      <c r="AF1244" s="853">
        <v>0</v>
      </c>
      <c r="AG1244" s="854">
        <f t="shared" si="239"/>
        <v>0</v>
      </c>
      <c r="AH1244" s="853" t="s">
        <v>4262</v>
      </c>
      <c r="AI1244" s="855">
        <f t="shared" si="240"/>
        <v>1065022.8802</v>
      </c>
      <c r="AJ1244" s="845" t="s">
        <v>3318</v>
      </c>
      <c r="AK1244" s="857">
        <v>45796</v>
      </c>
      <c r="AL1244" s="843" t="s">
        <v>4263</v>
      </c>
      <c r="AM1244" s="843" t="s">
        <v>4264</v>
      </c>
      <c r="AN1244" s="844" t="s">
        <v>4265</v>
      </c>
      <c r="AO1244" s="844" t="s">
        <v>141</v>
      </c>
      <c r="AP1244" s="841"/>
      <c r="AQ1244" s="841">
        <v>45821</v>
      </c>
      <c r="AR1244" s="841">
        <v>45865</v>
      </c>
      <c r="AS1244" s="842" t="s">
        <v>4266</v>
      </c>
      <c r="AT1244" s="842" t="s">
        <v>1235</v>
      </c>
      <c r="AU1244" s="842" t="s">
        <v>3794</v>
      </c>
      <c r="AV1244" s="845" t="s">
        <v>4275</v>
      </c>
      <c r="AW1244" s="861">
        <v>45867</v>
      </c>
      <c r="AX1244" s="862">
        <v>45873</v>
      </c>
      <c r="AY1244" s="843" t="s">
        <v>3191</v>
      </c>
      <c r="AZ1244" s="842" t="s">
        <v>2704</v>
      </c>
      <c r="BA1244" s="842" t="s">
        <v>120</v>
      </c>
      <c r="BB1244" s="863" t="s">
        <v>121</v>
      </c>
      <c r="BC1244" s="864">
        <v>45867</v>
      </c>
      <c r="BD1244" s="860" t="s">
        <v>4270</v>
      </c>
      <c r="BE1244" s="865" cm="1">
        <f t="array" ref="BE1244">IF(BD1244="","",AC1244/SUMPRODUCT(--(BD1244=$BD$4:$BD$12824),$AC$4:$AC$12824))</f>
        <v>9.8689229333261599E-3</v>
      </c>
      <c r="BF1244" s="458"/>
      <c r="BG1244" s="458"/>
      <c r="BH1244" s="458"/>
      <c r="BI1244" s="458"/>
      <c r="BJ1244" s="458"/>
      <c r="BK1244" s="458"/>
      <c r="BL1244" s="458"/>
      <c r="BM1244" s="458"/>
      <c r="BN1244" s="458"/>
      <c r="BO1244" s="866">
        <f>VLOOKUP(BD1244,$BD$4:$BN$12824,3,0)*BE1244</f>
        <v>354039.32033781201</v>
      </c>
      <c r="BP1244" s="866"/>
      <c r="BQ1244" s="866"/>
      <c r="BR1244" s="866">
        <f>VLOOKUP(BD1244,$BD$4:$BN$12824,6,0)*BE1244</f>
        <v>158244.55149291782</v>
      </c>
      <c r="BS1244" s="866">
        <f>VLOOKUP(BD1244,$BD$4:$BN$12824,7,0)*BE1244</f>
        <v>13332.441174622842</v>
      </c>
      <c r="BT1244" s="866"/>
      <c r="BU1244" s="866">
        <f>VLOOKUP(BD1244,$BD$4:$BN$12824,9,0)*BE1244</f>
        <v>5329.2183839961262</v>
      </c>
      <c r="BV1244" s="867"/>
      <c r="BW1244" s="867">
        <f>VLOOKUP(BD1244,$BD$4:$BN$12824,11,0)*BE1244</f>
        <v>88198.929770800096</v>
      </c>
      <c r="BX1244" s="1146">
        <f t="shared" si="241"/>
        <v>619144.46116014884</v>
      </c>
      <c r="BY1244" s="867">
        <f t="shared" si="244"/>
        <v>13931930.463660151</v>
      </c>
      <c r="BZ1244" s="867">
        <f t="shared" si="242"/>
        <v>13931930.463660151</v>
      </c>
      <c r="CA1244" s="867">
        <f>_xlfn.MAXIFS($BY$4:$BY$12824,$S$4:$S$12824,$S1244)</f>
        <v>13931930.463660151</v>
      </c>
      <c r="CB1244" s="1032"/>
      <c r="CF1244" s="946">
        <f t="shared" si="243"/>
        <v>13312786.002500001</v>
      </c>
    </row>
    <row r="1245" spans="2:84">
      <c r="B1245" s="839" t="s">
        <v>98</v>
      </c>
      <c r="C1245" s="839" t="s">
        <v>2689</v>
      </c>
      <c r="D1245" s="839" t="s">
        <v>4271</v>
      </c>
      <c r="E1245" s="839" t="s">
        <v>4272</v>
      </c>
      <c r="F1245" s="841">
        <v>45675</v>
      </c>
      <c r="G1245" s="868" t="s">
        <v>2689</v>
      </c>
      <c r="H1245" s="842" t="s">
        <v>134</v>
      </c>
      <c r="I1245" s="883"/>
      <c r="J1245" s="841"/>
      <c r="K1245" s="841"/>
      <c r="L1245" s="843" t="s">
        <v>106</v>
      </c>
      <c r="M1245" s="844" t="s">
        <v>107</v>
      </c>
      <c r="N1245" s="841"/>
      <c r="O1245" s="884" t="s">
        <v>135</v>
      </c>
      <c r="P1245" s="842"/>
      <c r="Q1245" s="843"/>
      <c r="R1245" s="845">
        <v>20165501</v>
      </c>
      <c r="S1245" s="1127" t="s">
        <v>4293</v>
      </c>
      <c r="T1245" s="885" t="s">
        <v>4294</v>
      </c>
      <c r="U1245" s="886">
        <v>1</v>
      </c>
      <c r="V1245" s="842" t="s">
        <v>3</v>
      </c>
      <c r="W1245" s="846">
        <v>885</v>
      </c>
      <c r="X1245" s="847">
        <f t="shared" si="236"/>
        <v>885</v>
      </c>
      <c r="Y1245" s="848">
        <f t="shared" si="245"/>
        <v>0.50299435028248585</v>
      </c>
      <c r="Z1245" s="849">
        <v>439.85</v>
      </c>
      <c r="AA1245" s="854"/>
      <c r="AB1245" s="849">
        <f t="shared" si="237"/>
        <v>439.85</v>
      </c>
      <c r="AC1245" s="850">
        <f t="shared" si="238"/>
        <v>439.85</v>
      </c>
      <c r="AD1245" s="887">
        <f t="shared" si="235"/>
        <v>32000</v>
      </c>
      <c r="AE1245" s="888">
        <v>30266.65</v>
      </c>
      <c r="AF1245" s="853">
        <v>0</v>
      </c>
      <c r="AG1245" s="854">
        <f t="shared" si="239"/>
        <v>0</v>
      </c>
      <c r="AH1245" s="853" t="s">
        <v>4262</v>
      </c>
      <c r="AI1245" s="855">
        <f t="shared" si="240"/>
        <v>1065022.8802</v>
      </c>
      <c r="AJ1245" s="845" t="s">
        <v>3318</v>
      </c>
      <c r="AK1245" s="857">
        <v>45796</v>
      </c>
      <c r="AL1245" s="843" t="s">
        <v>4263</v>
      </c>
      <c r="AM1245" s="843" t="s">
        <v>4264</v>
      </c>
      <c r="AN1245" s="844" t="s">
        <v>4265</v>
      </c>
      <c r="AO1245" s="844" t="s">
        <v>141</v>
      </c>
      <c r="AP1245" s="841"/>
      <c r="AQ1245" s="841">
        <v>45821</v>
      </c>
      <c r="AR1245" s="841">
        <v>45865</v>
      </c>
      <c r="AS1245" s="842" t="s">
        <v>4266</v>
      </c>
      <c r="AT1245" s="842" t="s">
        <v>1235</v>
      </c>
      <c r="AU1245" s="842" t="s">
        <v>3794</v>
      </c>
      <c r="AV1245" s="845" t="s">
        <v>4273</v>
      </c>
      <c r="AW1245" s="861">
        <v>45867</v>
      </c>
      <c r="AX1245" s="862">
        <v>45873</v>
      </c>
      <c r="AY1245" s="843" t="s">
        <v>4295</v>
      </c>
      <c r="AZ1245" s="842" t="s">
        <v>2704</v>
      </c>
      <c r="BA1245" s="842" t="s">
        <v>120</v>
      </c>
      <c r="BB1245" s="863" t="s">
        <v>121</v>
      </c>
      <c r="BC1245" s="864">
        <v>45867</v>
      </c>
      <c r="BD1245" s="860" t="s">
        <v>4270</v>
      </c>
      <c r="BE1245" s="865" cm="1">
        <f t="array" ref="BE1245">IF(BD1245="","",AC1245/SUMPRODUCT(--(BD1245=$BD$4:$BD$12824),$AC$4:$AC$12824))</f>
        <v>9.8689229333261599E-3</v>
      </c>
      <c r="BF1245" s="458"/>
      <c r="BG1245" s="458"/>
      <c r="BH1245" s="458"/>
      <c r="BI1245" s="458"/>
      <c r="BJ1245" s="458"/>
      <c r="BK1245" s="458"/>
      <c r="BL1245" s="458"/>
      <c r="BM1245" s="458"/>
      <c r="BN1245" s="458"/>
      <c r="BO1245" s="866">
        <f>VLOOKUP(BD1245,$BD$4:$BN$12824,3,0)*BE1245</f>
        <v>354039.32033781201</v>
      </c>
      <c r="BP1245" s="866"/>
      <c r="BQ1245" s="866"/>
      <c r="BR1245" s="866">
        <f>VLOOKUP(BD1245,$BD$4:$BN$12824,6,0)*BE1245</f>
        <v>158244.55149291782</v>
      </c>
      <c r="BS1245" s="866">
        <f>VLOOKUP(BD1245,$BD$4:$BN$12824,7,0)*BE1245</f>
        <v>13332.441174622842</v>
      </c>
      <c r="BT1245" s="866"/>
      <c r="BU1245" s="866">
        <f>VLOOKUP(BD1245,$BD$4:$BN$12824,9,0)*BE1245</f>
        <v>5329.2183839961262</v>
      </c>
      <c r="BV1245" s="867"/>
      <c r="BW1245" s="867">
        <f>VLOOKUP(BD1245,$BD$4:$BN$12824,11,0)*BE1245</f>
        <v>88198.929770800096</v>
      </c>
      <c r="BX1245" s="1146">
        <f t="shared" si="241"/>
        <v>619144.46116014884</v>
      </c>
      <c r="BY1245" s="867">
        <f t="shared" si="244"/>
        <v>13931930.463660151</v>
      </c>
      <c r="BZ1245" s="867">
        <f t="shared" si="242"/>
        <v>13931930.463660151</v>
      </c>
      <c r="CA1245" s="867">
        <f>_xlfn.MAXIFS($BY$4:$BY$12824,$S$4:$S$12824,$S1245)</f>
        <v>13931930.463660151</v>
      </c>
      <c r="CB1245" s="1032"/>
      <c r="CF1245" s="946">
        <f t="shared" si="243"/>
        <v>13312786.002500001</v>
      </c>
    </row>
    <row r="1246" spans="2:84">
      <c r="B1246" s="839" t="s">
        <v>98</v>
      </c>
      <c r="C1246" s="839" t="s">
        <v>2689</v>
      </c>
      <c r="D1246" s="839" t="s">
        <v>4271</v>
      </c>
      <c r="E1246" s="839" t="s">
        <v>4272</v>
      </c>
      <c r="F1246" s="841">
        <v>45675</v>
      </c>
      <c r="G1246" s="868" t="s">
        <v>2689</v>
      </c>
      <c r="H1246" s="842" t="s">
        <v>134</v>
      </c>
      <c r="I1246" s="883"/>
      <c r="J1246" s="841"/>
      <c r="K1246" s="841"/>
      <c r="L1246" s="843" t="s">
        <v>106</v>
      </c>
      <c r="M1246" s="844" t="s">
        <v>107</v>
      </c>
      <c r="N1246" s="841"/>
      <c r="O1246" s="884" t="s">
        <v>135</v>
      </c>
      <c r="P1246" s="842"/>
      <c r="Q1246" s="843"/>
      <c r="R1246" s="845">
        <v>20165502</v>
      </c>
      <c r="S1246" s="1127" t="s">
        <v>4296</v>
      </c>
      <c r="T1246" s="885" t="s">
        <v>4297</v>
      </c>
      <c r="U1246" s="886">
        <v>1</v>
      </c>
      <c r="V1246" s="842" t="s">
        <v>3</v>
      </c>
      <c r="W1246" s="846">
        <v>885</v>
      </c>
      <c r="X1246" s="847">
        <f t="shared" si="236"/>
        <v>885</v>
      </c>
      <c r="Y1246" s="848">
        <f t="shared" si="245"/>
        <v>0.50299435028248585</v>
      </c>
      <c r="Z1246" s="849">
        <v>439.85</v>
      </c>
      <c r="AA1246" s="854"/>
      <c r="AB1246" s="849">
        <f t="shared" si="237"/>
        <v>439.85</v>
      </c>
      <c r="AC1246" s="850">
        <f t="shared" si="238"/>
        <v>439.85</v>
      </c>
      <c r="AD1246" s="887">
        <f t="shared" si="235"/>
        <v>32000</v>
      </c>
      <c r="AE1246" s="888">
        <v>30266.65</v>
      </c>
      <c r="AF1246" s="853">
        <v>0</v>
      </c>
      <c r="AG1246" s="854">
        <f t="shared" si="239"/>
        <v>0</v>
      </c>
      <c r="AH1246" s="853" t="s">
        <v>4262</v>
      </c>
      <c r="AI1246" s="855">
        <f t="shared" si="240"/>
        <v>1065022.8802</v>
      </c>
      <c r="AJ1246" s="845" t="s">
        <v>3318</v>
      </c>
      <c r="AK1246" s="857">
        <v>45796</v>
      </c>
      <c r="AL1246" s="843" t="s">
        <v>4263</v>
      </c>
      <c r="AM1246" s="843" t="s">
        <v>4264</v>
      </c>
      <c r="AN1246" s="844" t="s">
        <v>4265</v>
      </c>
      <c r="AO1246" s="844" t="s">
        <v>141</v>
      </c>
      <c r="AP1246" s="841"/>
      <c r="AQ1246" s="841">
        <v>45821</v>
      </c>
      <c r="AR1246" s="841">
        <v>45865</v>
      </c>
      <c r="AS1246" s="842" t="s">
        <v>4266</v>
      </c>
      <c r="AT1246" s="842" t="s">
        <v>1235</v>
      </c>
      <c r="AU1246" s="842" t="s">
        <v>3794</v>
      </c>
      <c r="AV1246" s="845" t="s">
        <v>4273</v>
      </c>
      <c r="AW1246" s="861">
        <v>45867</v>
      </c>
      <c r="AX1246" s="862">
        <v>45873</v>
      </c>
      <c r="AY1246" s="843" t="s">
        <v>4298</v>
      </c>
      <c r="AZ1246" s="842" t="s">
        <v>2704</v>
      </c>
      <c r="BA1246" s="842" t="s">
        <v>120</v>
      </c>
      <c r="BB1246" s="863" t="s">
        <v>121</v>
      </c>
      <c r="BC1246" s="864">
        <v>45867</v>
      </c>
      <c r="BD1246" s="860" t="s">
        <v>4270</v>
      </c>
      <c r="BE1246" s="865" cm="1">
        <f t="array" ref="BE1246">IF(BD1246="","",AC1246/SUMPRODUCT(--(BD1246=$BD$4:$BD$12824),$AC$4:$AC$12824))</f>
        <v>9.8689229333261599E-3</v>
      </c>
      <c r="BF1246" s="458"/>
      <c r="BG1246" s="458"/>
      <c r="BH1246" s="458"/>
      <c r="BI1246" s="458"/>
      <c r="BJ1246" s="458"/>
      <c r="BK1246" s="458"/>
      <c r="BL1246" s="458"/>
      <c r="BM1246" s="458"/>
      <c r="BN1246" s="458"/>
      <c r="BO1246" s="866">
        <f>VLOOKUP(BD1246,$BD$4:$BN$12824,3,0)*BE1246</f>
        <v>354039.32033781201</v>
      </c>
      <c r="BP1246" s="866"/>
      <c r="BQ1246" s="866"/>
      <c r="BR1246" s="866">
        <f>VLOOKUP(BD1246,$BD$4:$BN$12824,6,0)*BE1246</f>
        <v>158244.55149291782</v>
      </c>
      <c r="BS1246" s="866">
        <f>VLOOKUP(BD1246,$BD$4:$BN$12824,7,0)*BE1246</f>
        <v>13332.441174622842</v>
      </c>
      <c r="BT1246" s="866"/>
      <c r="BU1246" s="866">
        <f>VLOOKUP(BD1246,$BD$4:$BN$12824,9,0)*BE1246</f>
        <v>5329.2183839961262</v>
      </c>
      <c r="BV1246" s="867"/>
      <c r="BW1246" s="867">
        <f>VLOOKUP(BD1246,$BD$4:$BN$12824,11,0)*BE1246</f>
        <v>88198.929770800096</v>
      </c>
      <c r="BX1246" s="1146">
        <f t="shared" si="241"/>
        <v>619144.46116014884</v>
      </c>
      <c r="BY1246" s="867">
        <f t="shared" si="244"/>
        <v>13931930.463660151</v>
      </c>
      <c r="BZ1246" s="867">
        <f t="shared" si="242"/>
        <v>13931930.463660151</v>
      </c>
      <c r="CA1246" s="867">
        <f>_xlfn.MAXIFS($BY$4:$BY$12824,$S$4:$S$12824,$S1246)</f>
        <v>13931930.463660151</v>
      </c>
      <c r="CB1246" s="1032"/>
      <c r="CF1246" s="946">
        <f t="shared" si="243"/>
        <v>13312786.002500001</v>
      </c>
    </row>
    <row r="1247" spans="2:84">
      <c r="B1247" s="839" t="s">
        <v>98</v>
      </c>
      <c r="C1247" s="839" t="s">
        <v>2689</v>
      </c>
      <c r="D1247" s="839" t="s">
        <v>4271</v>
      </c>
      <c r="E1247" s="839" t="s">
        <v>4272</v>
      </c>
      <c r="F1247" s="841">
        <v>45675</v>
      </c>
      <c r="G1247" s="868" t="s">
        <v>2689</v>
      </c>
      <c r="H1247" s="842" t="s">
        <v>134</v>
      </c>
      <c r="I1247" s="883"/>
      <c r="J1247" s="841"/>
      <c r="K1247" s="841"/>
      <c r="L1247" s="843" t="s">
        <v>106</v>
      </c>
      <c r="M1247" s="844" t="s">
        <v>107</v>
      </c>
      <c r="N1247" s="841"/>
      <c r="O1247" s="884" t="s">
        <v>135</v>
      </c>
      <c r="P1247" s="842" t="s">
        <v>1476</v>
      </c>
      <c r="Q1247" s="843"/>
      <c r="R1247" s="845">
        <v>20125010</v>
      </c>
      <c r="S1247" s="1127" t="s">
        <v>4299</v>
      </c>
      <c r="T1247" s="885" t="s">
        <v>4300</v>
      </c>
      <c r="U1247" s="886">
        <v>5</v>
      </c>
      <c r="V1247" s="842" t="s">
        <v>3</v>
      </c>
      <c r="W1247" s="846">
        <v>329</v>
      </c>
      <c r="X1247" s="847">
        <f t="shared" si="236"/>
        <v>1645</v>
      </c>
      <c r="Y1247" s="848">
        <f t="shared" si="245"/>
        <v>0.50854103343465051</v>
      </c>
      <c r="Z1247" s="849">
        <v>161.69</v>
      </c>
      <c r="AA1247" s="854"/>
      <c r="AB1247" s="849">
        <f t="shared" si="237"/>
        <v>808.45</v>
      </c>
      <c r="AC1247" s="850">
        <f t="shared" si="238"/>
        <v>808.45</v>
      </c>
      <c r="AD1247" s="887">
        <f t="shared" si="235"/>
        <v>32000</v>
      </c>
      <c r="AE1247" s="888">
        <v>30266.65</v>
      </c>
      <c r="AF1247" s="853">
        <v>0</v>
      </c>
      <c r="AG1247" s="854">
        <f t="shared" si="239"/>
        <v>0</v>
      </c>
      <c r="AH1247" s="853" t="s">
        <v>4262</v>
      </c>
      <c r="AI1247" s="855">
        <f t="shared" si="240"/>
        <v>1957525.8554000002</v>
      </c>
      <c r="AJ1247" s="845" t="s">
        <v>3318</v>
      </c>
      <c r="AK1247" s="857">
        <v>45796</v>
      </c>
      <c r="AL1247" s="843" t="s">
        <v>4263</v>
      </c>
      <c r="AM1247" s="843" t="s">
        <v>4264</v>
      </c>
      <c r="AN1247" s="844" t="s">
        <v>4265</v>
      </c>
      <c r="AO1247" s="844" t="s">
        <v>141</v>
      </c>
      <c r="AP1247" s="841"/>
      <c r="AQ1247" s="841">
        <v>45821</v>
      </c>
      <c r="AR1247" s="841">
        <v>45865</v>
      </c>
      <c r="AS1247" s="842" t="s">
        <v>4266</v>
      </c>
      <c r="AT1247" s="842" t="s">
        <v>1235</v>
      </c>
      <c r="AU1247" s="842" t="s">
        <v>3794</v>
      </c>
      <c r="AV1247" s="845" t="s">
        <v>4273</v>
      </c>
      <c r="AW1247" s="861">
        <v>45867</v>
      </c>
      <c r="AX1247" s="862">
        <v>45873</v>
      </c>
      <c r="AY1247" s="843" t="s">
        <v>4301</v>
      </c>
      <c r="AZ1247" s="842" t="s">
        <v>3080</v>
      </c>
      <c r="BA1247" s="842" t="s">
        <v>120</v>
      </c>
      <c r="BB1247" s="863" t="s">
        <v>121</v>
      </c>
      <c r="BC1247" s="864">
        <v>45867</v>
      </c>
      <c r="BD1247" s="860" t="s">
        <v>4270</v>
      </c>
      <c r="BE1247" s="865" cm="1">
        <f t="array" ref="BE1247">IF(BD1247="","",AC1247/SUMPRODUCT(--(BD1247=$BD$4:$BD$12824),$AC$4:$AC$12824))</f>
        <v>1.8139208242463418E-2</v>
      </c>
      <c r="BF1247" s="458"/>
      <c r="BG1247" s="458"/>
      <c r="BH1247" s="458"/>
      <c r="BI1247" s="458"/>
      <c r="BJ1247" s="458"/>
      <c r="BK1247" s="458"/>
      <c r="BL1247" s="458"/>
      <c r="BM1247" s="458"/>
      <c r="BN1247" s="458"/>
      <c r="BO1247" s="866">
        <f>VLOOKUP(BD1247,$BD$4:$BN$12824,3,0)*BE1247</f>
        <v>650728.85876345146</v>
      </c>
      <c r="BP1247" s="866"/>
      <c r="BQ1247" s="866"/>
      <c r="BR1247" s="866">
        <f>VLOOKUP(BD1247,$BD$4:$BN$12824,6,0)*BE1247</f>
        <v>290855.53632931545</v>
      </c>
      <c r="BS1247" s="866">
        <f>VLOOKUP(BD1247,$BD$4:$BN$12824,7,0)*BE1247</f>
        <v>24505.199653572439</v>
      </c>
      <c r="BT1247" s="866"/>
      <c r="BU1247" s="866">
        <f>VLOOKUP(BD1247,$BD$4:$BN$12824,9,0)*BE1247</f>
        <v>9795.1724509302458</v>
      </c>
      <c r="BV1247" s="867"/>
      <c r="BW1247" s="867">
        <f>VLOOKUP(BD1247,$BD$4:$BN$12824,11,0)*BE1247</f>
        <v>162110.77588542306</v>
      </c>
      <c r="BX1247" s="1146">
        <f t="shared" si="241"/>
        <v>1137995.5430826927</v>
      </c>
      <c r="BY1247" s="867">
        <f t="shared" si="244"/>
        <v>5121413.7471165387</v>
      </c>
      <c r="BZ1247" s="867">
        <f t="shared" si="242"/>
        <v>25607068.735582694</v>
      </c>
      <c r="CA1247" s="867">
        <f>_xlfn.MAXIFS($BY$4:$BY$12824,$S$4:$S$12824,$S1247)</f>
        <v>5121413.7471165387</v>
      </c>
      <c r="CB1247" s="1032"/>
      <c r="CF1247" s="946">
        <f t="shared" si="243"/>
        <v>24469073.192500003</v>
      </c>
    </row>
    <row r="1248" spans="2:84">
      <c r="B1248" s="839" t="s">
        <v>98</v>
      </c>
      <c r="C1248" s="839" t="s">
        <v>2689</v>
      </c>
      <c r="D1248" s="839" t="s">
        <v>4271</v>
      </c>
      <c r="E1248" s="839" t="s">
        <v>4272</v>
      </c>
      <c r="F1248" s="841">
        <v>45675</v>
      </c>
      <c r="G1248" s="868" t="s">
        <v>2689</v>
      </c>
      <c r="H1248" s="842" t="s">
        <v>134</v>
      </c>
      <c r="I1248" s="883"/>
      <c r="J1248" s="841"/>
      <c r="K1248" s="841"/>
      <c r="L1248" s="843" t="s">
        <v>106</v>
      </c>
      <c r="M1248" s="844" t="s">
        <v>107</v>
      </c>
      <c r="N1248" s="841"/>
      <c r="O1248" s="884" t="s">
        <v>135</v>
      </c>
      <c r="P1248" s="842" t="s">
        <v>1476</v>
      </c>
      <c r="Q1248" s="843"/>
      <c r="R1248" s="845">
        <v>20125011</v>
      </c>
      <c r="S1248" s="1127" t="s">
        <v>4302</v>
      </c>
      <c r="T1248" s="885" t="s">
        <v>4303</v>
      </c>
      <c r="U1248" s="886">
        <v>5</v>
      </c>
      <c r="V1248" s="842" t="s">
        <v>3</v>
      </c>
      <c r="W1248" s="846">
        <v>329</v>
      </c>
      <c r="X1248" s="847">
        <f t="shared" si="236"/>
        <v>1645</v>
      </c>
      <c r="Y1248" s="848">
        <f t="shared" si="245"/>
        <v>0.50854103343465051</v>
      </c>
      <c r="Z1248" s="849">
        <v>161.69</v>
      </c>
      <c r="AA1248" s="854"/>
      <c r="AB1248" s="849">
        <f t="shared" si="237"/>
        <v>808.45</v>
      </c>
      <c r="AC1248" s="850">
        <f t="shared" si="238"/>
        <v>808.45</v>
      </c>
      <c r="AD1248" s="887">
        <f t="shared" si="235"/>
        <v>32000</v>
      </c>
      <c r="AE1248" s="888">
        <v>30266.65</v>
      </c>
      <c r="AF1248" s="853">
        <v>0</v>
      </c>
      <c r="AG1248" s="854">
        <f t="shared" si="239"/>
        <v>0</v>
      </c>
      <c r="AH1248" s="853" t="s">
        <v>4262</v>
      </c>
      <c r="AI1248" s="855">
        <f t="shared" si="240"/>
        <v>1957525.8554000002</v>
      </c>
      <c r="AJ1248" s="845" t="s">
        <v>3318</v>
      </c>
      <c r="AK1248" s="857">
        <v>45796</v>
      </c>
      <c r="AL1248" s="843" t="s">
        <v>4263</v>
      </c>
      <c r="AM1248" s="843" t="s">
        <v>4264</v>
      </c>
      <c r="AN1248" s="844" t="s">
        <v>4265</v>
      </c>
      <c r="AO1248" s="844" t="s">
        <v>141</v>
      </c>
      <c r="AP1248" s="841"/>
      <c r="AQ1248" s="841">
        <v>45821</v>
      </c>
      <c r="AR1248" s="841">
        <v>45865</v>
      </c>
      <c r="AS1248" s="842" t="s">
        <v>4266</v>
      </c>
      <c r="AT1248" s="842" t="s">
        <v>1235</v>
      </c>
      <c r="AU1248" s="842" t="s">
        <v>3794</v>
      </c>
      <c r="AV1248" s="845" t="s">
        <v>4275</v>
      </c>
      <c r="AW1248" s="861">
        <v>45867</v>
      </c>
      <c r="AX1248" s="862">
        <v>45873</v>
      </c>
      <c r="AY1248" s="843" t="s">
        <v>4304</v>
      </c>
      <c r="AZ1248" s="842" t="s">
        <v>3080</v>
      </c>
      <c r="BA1248" s="842" t="s">
        <v>120</v>
      </c>
      <c r="BB1248" s="863" t="s">
        <v>121</v>
      </c>
      <c r="BC1248" s="864">
        <v>45867</v>
      </c>
      <c r="BD1248" s="860" t="s">
        <v>4270</v>
      </c>
      <c r="BE1248" s="865" cm="1">
        <f t="array" ref="BE1248">IF(BD1248="","",AC1248/SUMPRODUCT(--(BD1248=$BD$4:$BD$12824),$AC$4:$AC$12824))</f>
        <v>1.8139208242463418E-2</v>
      </c>
      <c r="BF1248" s="458"/>
      <c r="BG1248" s="458"/>
      <c r="BH1248" s="458"/>
      <c r="BI1248" s="458"/>
      <c r="BJ1248" s="458"/>
      <c r="BK1248" s="458"/>
      <c r="BL1248" s="458"/>
      <c r="BM1248" s="458"/>
      <c r="BN1248" s="458"/>
      <c r="BO1248" s="866">
        <f>VLOOKUP(BD1248,$BD$4:$BN$12824,3,0)*BE1248</f>
        <v>650728.85876345146</v>
      </c>
      <c r="BP1248" s="866"/>
      <c r="BQ1248" s="866"/>
      <c r="BR1248" s="866">
        <f>VLOOKUP(BD1248,$BD$4:$BN$12824,6,0)*BE1248</f>
        <v>290855.53632931545</v>
      </c>
      <c r="BS1248" s="866">
        <f>VLOOKUP(BD1248,$BD$4:$BN$12824,7,0)*BE1248</f>
        <v>24505.199653572439</v>
      </c>
      <c r="BT1248" s="866"/>
      <c r="BU1248" s="866">
        <f>VLOOKUP(BD1248,$BD$4:$BN$12824,9,0)*BE1248</f>
        <v>9795.1724509302458</v>
      </c>
      <c r="BV1248" s="867"/>
      <c r="BW1248" s="867">
        <f>VLOOKUP(BD1248,$BD$4:$BN$12824,11,0)*BE1248</f>
        <v>162110.77588542306</v>
      </c>
      <c r="BX1248" s="1146">
        <f t="shared" si="241"/>
        <v>1137995.5430826927</v>
      </c>
      <c r="BY1248" s="867">
        <f t="shared" si="244"/>
        <v>5121413.7471165387</v>
      </c>
      <c r="BZ1248" s="867">
        <f t="shared" si="242"/>
        <v>25607068.735582694</v>
      </c>
      <c r="CA1248" s="867">
        <f>_xlfn.MAXIFS($BY$4:$BY$12824,$S$4:$S$12824,$S1248)</f>
        <v>5121413.7471165387</v>
      </c>
      <c r="CB1248" s="1032"/>
      <c r="CF1248" s="946">
        <f t="shared" si="243"/>
        <v>24469073.192500003</v>
      </c>
    </row>
    <row r="1249" spans="2:84">
      <c r="B1249" s="839" t="s">
        <v>98</v>
      </c>
      <c r="C1249" s="839" t="s">
        <v>2689</v>
      </c>
      <c r="D1249" s="839" t="s">
        <v>4271</v>
      </c>
      <c r="E1249" s="839" t="s">
        <v>4272</v>
      </c>
      <c r="F1249" s="841">
        <v>45675</v>
      </c>
      <c r="G1249" s="868" t="s">
        <v>2689</v>
      </c>
      <c r="H1249" s="842" t="s">
        <v>134</v>
      </c>
      <c r="I1249" s="883"/>
      <c r="J1249" s="841"/>
      <c r="K1249" s="841"/>
      <c r="L1249" s="843" t="s">
        <v>106</v>
      </c>
      <c r="M1249" s="844" t="s">
        <v>107</v>
      </c>
      <c r="N1249" s="841"/>
      <c r="O1249" s="884" t="s">
        <v>135</v>
      </c>
      <c r="P1249" s="842" t="s">
        <v>1476</v>
      </c>
      <c r="Q1249" s="843"/>
      <c r="R1249" s="845">
        <v>20125012</v>
      </c>
      <c r="S1249" s="1127" t="s">
        <v>4305</v>
      </c>
      <c r="T1249" s="885" t="s">
        <v>4306</v>
      </c>
      <c r="U1249" s="886">
        <v>5</v>
      </c>
      <c r="V1249" s="842" t="s">
        <v>3</v>
      </c>
      <c r="W1249" s="846">
        <v>329</v>
      </c>
      <c r="X1249" s="847">
        <f t="shared" si="236"/>
        <v>1645</v>
      </c>
      <c r="Y1249" s="848">
        <f t="shared" si="245"/>
        <v>0.50854103343465051</v>
      </c>
      <c r="Z1249" s="849">
        <v>161.69</v>
      </c>
      <c r="AA1249" s="854"/>
      <c r="AB1249" s="849">
        <f t="shared" si="237"/>
        <v>808.45</v>
      </c>
      <c r="AC1249" s="850">
        <f t="shared" si="238"/>
        <v>808.45</v>
      </c>
      <c r="AD1249" s="887">
        <f t="shared" si="235"/>
        <v>32000</v>
      </c>
      <c r="AE1249" s="888">
        <v>30266.65</v>
      </c>
      <c r="AF1249" s="853">
        <v>0</v>
      </c>
      <c r="AG1249" s="854">
        <f t="shared" si="239"/>
        <v>0</v>
      </c>
      <c r="AH1249" s="853" t="s">
        <v>4262</v>
      </c>
      <c r="AI1249" s="855">
        <f t="shared" si="240"/>
        <v>1957525.8554000002</v>
      </c>
      <c r="AJ1249" s="845" t="s">
        <v>3318</v>
      </c>
      <c r="AK1249" s="857">
        <v>45796</v>
      </c>
      <c r="AL1249" s="843" t="s">
        <v>4263</v>
      </c>
      <c r="AM1249" s="843" t="s">
        <v>4264</v>
      </c>
      <c r="AN1249" s="844" t="s">
        <v>4265</v>
      </c>
      <c r="AO1249" s="844" t="s">
        <v>141</v>
      </c>
      <c r="AP1249" s="841"/>
      <c r="AQ1249" s="841">
        <v>45821</v>
      </c>
      <c r="AR1249" s="841">
        <v>45865</v>
      </c>
      <c r="AS1249" s="842" t="s">
        <v>4266</v>
      </c>
      <c r="AT1249" s="842" t="s">
        <v>1235</v>
      </c>
      <c r="AU1249" s="842" t="s">
        <v>3794</v>
      </c>
      <c r="AV1249" s="845" t="s">
        <v>4275</v>
      </c>
      <c r="AW1249" s="861">
        <v>45867</v>
      </c>
      <c r="AX1249" s="862">
        <v>45873</v>
      </c>
      <c r="AY1249" s="843" t="s">
        <v>4307</v>
      </c>
      <c r="AZ1249" s="842" t="s">
        <v>3080</v>
      </c>
      <c r="BA1249" s="842" t="s">
        <v>120</v>
      </c>
      <c r="BB1249" s="863" t="s">
        <v>121</v>
      </c>
      <c r="BC1249" s="864">
        <v>45867</v>
      </c>
      <c r="BD1249" s="860" t="s">
        <v>4270</v>
      </c>
      <c r="BE1249" s="865" cm="1">
        <f t="array" ref="BE1249">IF(BD1249="","",AC1249/SUMPRODUCT(--(BD1249=$BD$4:$BD$12824),$AC$4:$AC$12824))</f>
        <v>1.8139208242463418E-2</v>
      </c>
      <c r="BF1249" s="458"/>
      <c r="BG1249" s="458"/>
      <c r="BH1249" s="458"/>
      <c r="BI1249" s="458"/>
      <c r="BJ1249" s="458"/>
      <c r="BK1249" s="458"/>
      <c r="BL1249" s="458"/>
      <c r="BM1249" s="458"/>
      <c r="BN1249" s="458"/>
      <c r="BO1249" s="866">
        <f>VLOOKUP(BD1249,$BD$4:$BN$12824,3,0)*BE1249</f>
        <v>650728.85876345146</v>
      </c>
      <c r="BP1249" s="866"/>
      <c r="BQ1249" s="866"/>
      <c r="BR1249" s="866">
        <f>VLOOKUP(BD1249,$BD$4:$BN$12824,6,0)*BE1249</f>
        <v>290855.53632931545</v>
      </c>
      <c r="BS1249" s="866">
        <f>VLOOKUP(BD1249,$BD$4:$BN$12824,7,0)*BE1249</f>
        <v>24505.199653572439</v>
      </c>
      <c r="BT1249" s="866"/>
      <c r="BU1249" s="866">
        <f>VLOOKUP(BD1249,$BD$4:$BN$12824,9,0)*BE1249</f>
        <v>9795.1724509302458</v>
      </c>
      <c r="BV1249" s="867"/>
      <c r="BW1249" s="867">
        <f>VLOOKUP(BD1249,$BD$4:$BN$12824,11,0)*BE1249</f>
        <v>162110.77588542306</v>
      </c>
      <c r="BX1249" s="1146">
        <f t="shared" si="241"/>
        <v>1137995.5430826927</v>
      </c>
      <c r="BY1249" s="867">
        <f t="shared" si="244"/>
        <v>5121413.7471165387</v>
      </c>
      <c r="BZ1249" s="867">
        <f t="shared" si="242"/>
        <v>25607068.735582694</v>
      </c>
      <c r="CA1249" s="867">
        <f>_xlfn.MAXIFS($BY$4:$BY$12824,$S$4:$S$12824,$S1249)</f>
        <v>5121413.7471165387</v>
      </c>
      <c r="CB1249" s="1032"/>
      <c r="CF1249" s="946">
        <f t="shared" si="243"/>
        <v>24469073.192500003</v>
      </c>
    </row>
    <row r="1250" spans="2:84">
      <c r="B1250" s="839" t="s">
        <v>98</v>
      </c>
      <c r="C1250" s="839" t="s">
        <v>2689</v>
      </c>
      <c r="D1250" s="839" t="s">
        <v>4271</v>
      </c>
      <c r="E1250" s="839" t="s">
        <v>4272</v>
      </c>
      <c r="F1250" s="841">
        <v>45675</v>
      </c>
      <c r="G1250" s="868" t="s">
        <v>2689</v>
      </c>
      <c r="H1250" s="842" t="s">
        <v>134</v>
      </c>
      <c r="I1250" s="883"/>
      <c r="J1250" s="841"/>
      <c r="K1250" s="841"/>
      <c r="L1250" s="843" t="s">
        <v>106</v>
      </c>
      <c r="M1250" s="844" t="s">
        <v>107</v>
      </c>
      <c r="N1250" s="841"/>
      <c r="O1250" s="884" t="s">
        <v>135</v>
      </c>
      <c r="P1250" s="842" t="s">
        <v>186</v>
      </c>
      <c r="Q1250" s="843"/>
      <c r="R1250" s="845">
        <v>21512503</v>
      </c>
      <c r="S1250" s="1127" t="s">
        <v>4308</v>
      </c>
      <c r="T1250" s="885" t="s">
        <v>4309</v>
      </c>
      <c r="U1250" s="886">
        <v>5</v>
      </c>
      <c r="V1250" s="842" t="s">
        <v>3</v>
      </c>
      <c r="W1250" s="846">
        <v>255</v>
      </c>
      <c r="X1250" s="847">
        <f t="shared" si="236"/>
        <v>1275</v>
      </c>
      <c r="Y1250" s="848">
        <f t="shared" si="245"/>
        <v>0.50854901960784316</v>
      </c>
      <c r="Z1250" s="849">
        <v>125.32</v>
      </c>
      <c r="AA1250" s="854"/>
      <c r="AB1250" s="849">
        <f t="shared" si="237"/>
        <v>626.59999999999991</v>
      </c>
      <c r="AC1250" s="850">
        <f t="shared" si="238"/>
        <v>626.59999999999991</v>
      </c>
      <c r="AD1250" s="887">
        <f t="shared" si="235"/>
        <v>32000</v>
      </c>
      <c r="AE1250" s="888">
        <v>30266.65</v>
      </c>
      <c r="AF1250" s="853">
        <v>4.4999999999999998E-2</v>
      </c>
      <c r="AG1250" s="854">
        <f t="shared" si="239"/>
        <v>876979.44406470063</v>
      </c>
      <c r="AH1250" s="853" t="s">
        <v>4262</v>
      </c>
      <c r="AI1250" s="855">
        <f t="shared" si="240"/>
        <v>1587364.9867251758</v>
      </c>
      <c r="AJ1250" s="845" t="s">
        <v>3318</v>
      </c>
      <c r="AK1250" s="857">
        <v>45796</v>
      </c>
      <c r="AL1250" s="843" t="s">
        <v>4263</v>
      </c>
      <c r="AM1250" s="843" t="s">
        <v>4264</v>
      </c>
      <c r="AN1250" s="844" t="s">
        <v>4265</v>
      </c>
      <c r="AO1250" s="844" t="s">
        <v>141</v>
      </c>
      <c r="AP1250" s="841"/>
      <c r="AQ1250" s="841">
        <v>45821</v>
      </c>
      <c r="AR1250" s="841">
        <v>45865</v>
      </c>
      <c r="AS1250" s="842" t="s">
        <v>4266</v>
      </c>
      <c r="AT1250" s="842" t="s">
        <v>1235</v>
      </c>
      <c r="AU1250" s="842" t="s">
        <v>3794</v>
      </c>
      <c r="AV1250" s="845" t="s">
        <v>4273</v>
      </c>
      <c r="AW1250" s="861">
        <v>45867</v>
      </c>
      <c r="AX1250" s="862">
        <v>45873</v>
      </c>
      <c r="AY1250" s="843" t="s">
        <v>4310</v>
      </c>
      <c r="AZ1250" s="842" t="s">
        <v>2270</v>
      </c>
      <c r="BA1250" s="842" t="s">
        <v>120</v>
      </c>
      <c r="BB1250" s="863" t="s">
        <v>121</v>
      </c>
      <c r="BC1250" s="864">
        <v>45867</v>
      </c>
      <c r="BD1250" s="860" t="s">
        <v>4270</v>
      </c>
      <c r="BE1250" s="865" cm="1">
        <f t="array" ref="BE1250">IF(BD1250="","",AC1250/SUMPRODUCT(--(BD1250=$BD$4:$BD$12824),$AC$4:$AC$12824))</f>
        <v>1.4059036285147597E-2</v>
      </c>
      <c r="BF1250" s="458"/>
      <c r="BG1250" s="458"/>
      <c r="BH1250" s="458"/>
      <c r="BI1250" s="458"/>
      <c r="BJ1250" s="458"/>
      <c r="BK1250" s="458"/>
      <c r="BL1250" s="458"/>
      <c r="BM1250" s="458"/>
      <c r="BN1250" s="458"/>
      <c r="BO1250" s="866">
        <f>VLOOKUP(BD1250,$BD$4:$BN$12824,3,0)*BE1250</f>
        <v>504356.11713919049</v>
      </c>
      <c r="BP1250" s="866"/>
      <c r="BQ1250" s="866"/>
      <c r="BR1250" s="866">
        <f>VLOOKUP(BD1250,$BD$4:$BN$12824,6,0)*BE1250</f>
        <v>225431.47883474431</v>
      </c>
      <c r="BS1250" s="866">
        <f>VLOOKUP(BD1250,$BD$4:$BN$12824,7,0)*BE1250</f>
        <v>18993.083187492717</v>
      </c>
      <c r="BT1250" s="866"/>
      <c r="BU1250" s="866">
        <f>VLOOKUP(BD1250,$BD$4:$BN$12824,9,0)*BE1250</f>
        <v>7591.8795939797028</v>
      </c>
      <c r="BV1250" s="867"/>
      <c r="BW1250" s="867">
        <f>VLOOKUP(BD1250,$BD$4:$BN$12824,11,0)*BE1250</f>
        <v>125646.12798541167</v>
      </c>
      <c r="BX1250" s="1146">
        <f t="shared" si="241"/>
        <v>882018.68674081878</v>
      </c>
      <c r="BY1250" s="867">
        <f t="shared" si="244"/>
        <v>4144816.2041611029</v>
      </c>
      <c r="BZ1250" s="867">
        <f t="shared" si="242"/>
        <v>20724081.020805515</v>
      </c>
      <c r="CA1250" s="867">
        <f>_xlfn.MAXIFS($BY$4:$BY$12824,$S$4:$S$12824,$S1250)</f>
        <v>4144816.2041611029</v>
      </c>
      <c r="CB1250" s="1032"/>
      <c r="CF1250" s="946">
        <f t="shared" si="243"/>
        <v>18965082.889999997</v>
      </c>
    </row>
    <row r="1251" spans="2:84">
      <c r="B1251" s="839" t="s">
        <v>98</v>
      </c>
      <c r="C1251" s="839" t="s">
        <v>2689</v>
      </c>
      <c r="D1251" s="839" t="s">
        <v>4271</v>
      </c>
      <c r="E1251" s="839" t="s">
        <v>4272</v>
      </c>
      <c r="F1251" s="841">
        <v>45675</v>
      </c>
      <c r="G1251" s="868" t="s">
        <v>2689</v>
      </c>
      <c r="H1251" s="842" t="s">
        <v>134</v>
      </c>
      <c r="I1251" s="883"/>
      <c r="J1251" s="841"/>
      <c r="K1251" s="841"/>
      <c r="L1251" s="843" t="s">
        <v>106</v>
      </c>
      <c r="M1251" s="844" t="s">
        <v>107</v>
      </c>
      <c r="N1251" s="841"/>
      <c r="O1251" s="884" t="s">
        <v>135</v>
      </c>
      <c r="P1251" s="842" t="s">
        <v>186</v>
      </c>
      <c r="Q1251" s="843"/>
      <c r="R1251" s="845">
        <v>21512403</v>
      </c>
      <c r="S1251" s="1127" t="s">
        <v>4311</v>
      </c>
      <c r="T1251" s="885" t="s">
        <v>4312</v>
      </c>
      <c r="U1251" s="886">
        <v>5</v>
      </c>
      <c r="V1251" s="842" t="s">
        <v>3</v>
      </c>
      <c r="W1251" s="846">
        <v>319</v>
      </c>
      <c r="X1251" s="847">
        <f t="shared" si="236"/>
        <v>1595</v>
      </c>
      <c r="Y1251" s="848">
        <f t="shared" si="245"/>
        <v>0.50855799373040744</v>
      </c>
      <c r="Z1251" s="849">
        <v>156.77000000000001</v>
      </c>
      <c r="AA1251" s="854"/>
      <c r="AB1251" s="849">
        <f t="shared" si="237"/>
        <v>783.85</v>
      </c>
      <c r="AC1251" s="850">
        <f t="shared" si="238"/>
        <v>783.85</v>
      </c>
      <c r="AD1251" s="887">
        <f t="shared" si="235"/>
        <v>32000</v>
      </c>
      <c r="AE1251" s="888">
        <v>30266.65</v>
      </c>
      <c r="AF1251" s="853">
        <v>4.4999999999999998E-2</v>
      </c>
      <c r="AG1251" s="854">
        <f t="shared" si="239"/>
        <v>1097064.0555858854</v>
      </c>
      <c r="AH1251" s="853" t="s">
        <v>4262</v>
      </c>
      <c r="AI1251" s="855">
        <f t="shared" si="240"/>
        <v>1985726.2126468713</v>
      </c>
      <c r="AJ1251" s="845" t="s">
        <v>3318</v>
      </c>
      <c r="AK1251" s="857">
        <v>45796</v>
      </c>
      <c r="AL1251" s="843" t="s">
        <v>4263</v>
      </c>
      <c r="AM1251" s="843" t="s">
        <v>4264</v>
      </c>
      <c r="AN1251" s="844" t="s">
        <v>4265</v>
      </c>
      <c r="AO1251" s="844" t="s">
        <v>141</v>
      </c>
      <c r="AP1251" s="841"/>
      <c r="AQ1251" s="841">
        <v>45821</v>
      </c>
      <c r="AR1251" s="841">
        <v>45865</v>
      </c>
      <c r="AS1251" s="842" t="s">
        <v>4266</v>
      </c>
      <c r="AT1251" s="842" t="s">
        <v>1235</v>
      </c>
      <c r="AU1251" s="842" t="s">
        <v>3794</v>
      </c>
      <c r="AV1251" s="845" t="s">
        <v>4275</v>
      </c>
      <c r="AW1251" s="861">
        <v>45867</v>
      </c>
      <c r="AX1251" s="862">
        <v>45873</v>
      </c>
      <c r="AY1251" s="843" t="s">
        <v>4313</v>
      </c>
      <c r="AZ1251" s="842" t="s">
        <v>2270</v>
      </c>
      <c r="BA1251" s="842" t="s">
        <v>120</v>
      </c>
      <c r="BB1251" s="863" t="s">
        <v>121</v>
      </c>
      <c r="BC1251" s="864">
        <v>45867</v>
      </c>
      <c r="BD1251" s="860" t="s">
        <v>4270</v>
      </c>
      <c r="BE1251" s="865" cm="1">
        <f t="array" ref="BE1251">IF(BD1251="","",AC1251/SUMPRODUCT(--(BD1251=$BD$4:$BD$12824),$AC$4:$AC$12824))</f>
        <v>1.7587257568006616E-2</v>
      </c>
      <c r="BF1251" s="458"/>
      <c r="BG1251" s="458"/>
      <c r="BH1251" s="458"/>
      <c r="BI1251" s="458"/>
      <c r="BJ1251" s="458"/>
      <c r="BK1251" s="458"/>
      <c r="BL1251" s="458"/>
      <c r="BM1251" s="458"/>
      <c r="BN1251" s="458"/>
      <c r="BO1251" s="866">
        <f>VLOOKUP(BD1251,$BD$4:$BN$12824,3,0)*BE1251</f>
        <v>630928.09195588017</v>
      </c>
      <c r="BP1251" s="866"/>
      <c r="BQ1251" s="866"/>
      <c r="BR1251" s="866">
        <f>VLOOKUP(BD1251,$BD$4:$BN$12824,6,0)*BE1251</f>
        <v>282005.21015738003</v>
      </c>
      <c r="BS1251" s="866">
        <f>VLOOKUP(BD1251,$BD$4:$BN$12824,7,0)*BE1251</f>
        <v>23759.540786013673</v>
      </c>
      <c r="BT1251" s="866"/>
      <c r="BU1251" s="866">
        <f>VLOOKUP(BD1251,$BD$4:$BN$12824,9,0)*BE1251</f>
        <v>9497.1190867235728</v>
      </c>
      <c r="BV1251" s="867"/>
      <c r="BW1251" s="867">
        <f>VLOOKUP(BD1251,$BD$4:$BN$12824,11,0)*BE1251</f>
        <v>157177.97226518506</v>
      </c>
      <c r="BX1251" s="1146">
        <f t="shared" si="241"/>
        <v>1103367.9342511825</v>
      </c>
      <c r="BY1251" s="867">
        <f t="shared" si="244"/>
        <v>5184989.1184674148</v>
      </c>
      <c r="BZ1251" s="867">
        <f t="shared" si="242"/>
        <v>25924945.592337072</v>
      </c>
      <c r="CA1251" s="867">
        <f>_xlfn.MAXIFS($BY$4:$BY$12824,$S$4:$S$12824,$S1251)</f>
        <v>5184989.1184674148</v>
      </c>
      <c r="CB1251" s="1032"/>
      <c r="CF1251" s="946">
        <f t="shared" si="243"/>
        <v>23724513.602500003</v>
      </c>
    </row>
    <row r="1252" spans="2:84">
      <c r="B1252" s="839" t="s">
        <v>98</v>
      </c>
      <c r="C1252" s="839" t="s">
        <v>2689</v>
      </c>
      <c r="D1252" s="839" t="s">
        <v>4271</v>
      </c>
      <c r="E1252" s="839" t="s">
        <v>4272</v>
      </c>
      <c r="F1252" s="841">
        <v>45675</v>
      </c>
      <c r="G1252" s="868" t="s">
        <v>2689</v>
      </c>
      <c r="H1252" s="842" t="s">
        <v>134</v>
      </c>
      <c r="I1252" s="883"/>
      <c r="J1252" s="841"/>
      <c r="K1252" s="841"/>
      <c r="L1252" s="843" t="s">
        <v>106</v>
      </c>
      <c r="M1252" s="844" t="s">
        <v>107</v>
      </c>
      <c r="N1252" s="841"/>
      <c r="O1252" s="884" t="s">
        <v>135</v>
      </c>
      <c r="P1252" s="842" t="s">
        <v>186</v>
      </c>
      <c r="Q1252" s="843"/>
      <c r="R1252" s="845">
        <v>21512405</v>
      </c>
      <c r="S1252" s="1127" t="s">
        <v>4314</v>
      </c>
      <c r="T1252" s="885" t="s">
        <v>4315</v>
      </c>
      <c r="U1252" s="886">
        <v>5</v>
      </c>
      <c r="V1252" s="842" t="s">
        <v>3</v>
      </c>
      <c r="W1252" s="846">
        <v>319</v>
      </c>
      <c r="X1252" s="847">
        <f t="shared" si="236"/>
        <v>1595</v>
      </c>
      <c r="Y1252" s="848">
        <f t="shared" si="245"/>
        <v>0.50855799373040744</v>
      </c>
      <c r="Z1252" s="849">
        <v>156.77000000000001</v>
      </c>
      <c r="AA1252" s="854"/>
      <c r="AB1252" s="849">
        <f t="shared" si="237"/>
        <v>783.85</v>
      </c>
      <c r="AC1252" s="850">
        <f t="shared" si="238"/>
        <v>783.85</v>
      </c>
      <c r="AD1252" s="887">
        <f t="shared" si="235"/>
        <v>32000</v>
      </c>
      <c r="AE1252" s="888">
        <v>30266.65</v>
      </c>
      <c r="AF1252" s="853">
        <v>4.4999999999999998E-2</v>
      </c>
      <c r="AG1252" s="854">
        <f t="shared" si="239"/>
        <v>1097064.0555858854</v>
      </c>
      <c r="AH1252" s="853" t="s">
        <v>4262</v>
      </c>
      <c r="AI1252" s="855">
        <f t="shared" si="240"/>
        <v>1985726.2126468713</v>
      </c>
      <c r="AJ1252" s="845" t="s">
        <v>3318</v>
      </c>
      <c r="AK1252" s="857">
        <v>45796</v>
      </c>
      <c r="AL1252" s="843" t="s">
        <v>4263</v>
      </c>
      <c r="AM1252" s="843" t="s">
        <v>4264</v>
      </c>
      <c r="AN1252" s="844" t="s">
        <v>4265</v>
      </c>
      <c r="AO1252" s="844" t="s">
        <v>141</v>
      </c>
      <c r="AP1252" s="841"/>
      <c r="AQ1252" s="841">
        <v>45821</v>
      </c>
      <c r="AR1252" s="841">
        <v>45865</v>
      </c>
      <c r="AS1252" s="842" t="s">
        <v>4266</v>
      </c>
      <c r="AT1252" s="842" t="s">
        <v>1235</v>
      </c>
      <c r="AU1252" s="842" t="s">
        <v>3794</v>
      </c>
      <c r="AV1252" s="845" t="s">
        <v>4275</v>
      </c>
      <c r="AW1252" s="861">
        <v>45867</v>
      </c>
      <c r="AX1252" s="862">
        <v>45873</v>
      </c>
      <c r="AY1252" s="843" t="s">
        <v>4316</v>
      </c>
      <c r="AZ1252" s="842" t="s">
        <v>2270</v>
      </c>
      <c r="BA1252" s="842" t="s">
        <v>120</v>
      </c>
      <c r="BB1252" s="863" t="s">
        <v>121</v>
      </c>
      <c r="BC1252" s="864">
        <v>45867</v>
      </c>
      <c r="BD1252" s="860" t="s">
        <v>4270</v>
      </c>
      <c r="BE1252" s="865" cm="1">
        <f t="array" ref="BE1252">IF(BD1252="","",AC1252/SUMPRODUCT(--(BD1252=$BD$4:$BD$12824),$AC$4:$AC$12824))</f>
        <v>1.7587257568006616E-2</v>
      </c>
      <c r="BF1252" s="458"/>
      <c r="BG1252" s="458"/>
      <c r="BH1252" s="458"/>
      <c r="BI1252" s="458"/>
      <c r="BJ1252" s="458"/>
      <c r="BK1252" s="458"/>
      <c r="BL1252" s="458"/>
      <c r="BM1252" s="458"/>
      <c r="BN1252" s="458"/>
      <c r="BO1252" s="866">
        <f>VLOOKUP(BD1252,$BD$4:$BN$12824,3,0)*BE1252</f>
        <v>630928.09195588017</v>
      </c>
      <c r="BP1252" s="866"/>
      <c r="BQ1252" s="866"/>
      <c r="BR1252" s="866">
        <f>VLOOKUP(BD1252,$BD$4:$BN$12824,6,0)*BE1252</f>
        <v>282005.21015738003</v>
      </c>
      <c r="BS1252" s="866">
        <f>VLOOKUP(BD1252,$BD$4:$BN$12824,7,0)*BE1252</f>
        <v>23759.540786013673</v>
      </c>
      <c r="BT1252" s="866"/>
      <c r="BU1252" s="866">
        <f>VLOOKUP(BD1252,$BD$4:$BN$12824,9,0)*BE1252</f>
        <v>9497.1190867235728</v>
      </c>
      <c r="BV1252" s="867"/>
      <c r="BW1252" s="867">
        <f>VLOOKUP(BD1252,$BD$4:$BN$12824,11,0)*BE1252</f>
        <v>157177.97226518506</v>
      </c>
      <c r="BX1252" s="1146">
        <f t="shared" si="241"/>
        <v>1103367.9342511825</v>
      </c>
      <c r="BY1252" s="867">
        <f t="shared" si="244"/>
        <v>5184989.1184674148</v>
      </c>
      <c r="BZ1252" s="867">
        <f t="shared" si="242"/>
        <v>25924945.592337072</v>
      </c>
      <c r="CA1252" s="867">
        <f>_xlfn.MAXIFS($BY$4:$BY$12824,$S$4:$S$12824,$S1252)</f>
        <v>5184989.1184674148</v>
      </c>
      <c r="CB1252" s="1032"/>
      <c r="CF1252" s="946">
        <f t="shared" si="243"/>
        <v>23724513.602500003</v>
      </c>
    </row>
    <row r="1253" spans="2:84">
      <c r="B1253" s="839" t="s">
        <v>98</v>
      </c>
      <c r="C1253" s="839" t="s">
        <v>2689</v>
      </c>
      <c r="D1253" s="839" t="s">
        <v>4271</v>
      </c>
      <c r="E1253" s="839" t="s">
        <v>4272</v>
      </c>
      <c r="F1253" s="841">
        <v>45675</v>
      </c>
      <c r="G1253" s="868" t="s">
        <v>2689</v>
      </c>
      <c r="H1253" s="842" t="s">
        <v>134</v>
      </c>
      <c r="I1253" s="883"/>
      <c r="J1253" s="841"/>
      <c r="K1253" s="841"/>
      <c r="L1253" s="843" t="s">
        <v>106</v>
      </c>
      <c r="M1253" s="844" t="s">
        <v>107</v>
      </c>
      <c r="N1253" s="841"/>
      <c r="O1253" s="884" t="s">
        <v>135</v>
      </c>
      <c r="P1253" s="842" t="s">
        <v>186</v>
      </c>
      <c r="Q1253" s="843"/>
      <c r="R1253" s="845">
        <v>21512505</v>
      </c>
      <c r="S1253" s="1127" t="s">
        <v>4317</v>
      </c>
      <c r="T1253" s="885" t="s">
        <v>4318</v>
      </c>
      <c r="U1253" s="886">
        <v>5</v>
      </c>
      <c r="V1253" s="842" t="s">
        <v>3</v>
      </c>
      <c r="W1253" s="846">
        <v>255</v>
      </c>
      <c r="X1253" s="847">
        <f t="shared" si="236"/>
        <v>1275</v>
      </c>
      <c r="Y1253" s="848">
        <f t="shared" si="245"/>
        <v>0.50854901960784316</v>
      </c>
      <c r="Z1253" s="849">
        <v>125.32</v>
      </c>
      <c r="AA1253" s="854"/>
      <c r="AB1253" s="849">
        <f t="shared" si="237"/>
        <v>626.59999999999991</v>
      </c>
      <c r="AC1253" s="850">
        <f t="shared" si="238"/>
        <v>626.59999999999991</v>
      </c>
      <c r="AD1253" s="887">
        <f t="shared" si="235"/>
        <v>32000</v>
      </c>
      <c r="AE1253" s="888">
        <v>30266.65</v>
      </c>
      <c r="AF1253" s="853">
        <v>4.4999999999999998E-2</v>
      </c>
      <c r="AG1253" s="854">
        <f t="shared" si="239"/>
        <v>876979.44406470063</v>
      </c>
      <c r="AH1253" s="853" t="s">
        <v>4262</v>
      </c>
      <c r="AI1253" s="855">
        <f t="shared" si="240"/>
        <v>1587364.9867251758</v>
      </c>
      <c r="AJ1253" s="845" t="s">
        <v>3318</v>
      </c>
      <c r="AK1253" s="857">
        <v>45796</v>
      </c>
      <c r="AL1253" s="843" t="s">
        <v>4263</v>
      </c>
      <c r="AM1253" s="843" t="s">
        <v>4264</v>
      </c>
      <c r="AN1253" s="844" t="s">
        <v>4265</v>
      </c>
      <c r="AO1253" s="844" t="s">
        <v>141</v>
      </c>
      <c r="AP1253" s="841"/>
      <c r="AQ1253" s="841">
        <v>45821</v>
      </c>
      <c r="AR1253" s="841">
        <v>45865</v>
      </c>
      <c r="AS1253" s="842" t="s">
        <v>4266</v>
      </c>
      <c r="AT1253" s="842" t="s">
        <v>1235</v>
      </c>
      <c r="AU1253" s="842" t="s">
        <v>3794</v>
      </c>
      <c r="AV1253" s="845" t="s">
        <v>4273</v>
      </c>
      <c r="AW1253" s="861">
        <v>45867</v>
      </c>
      <c r="AX1253" s="862">
        <v>45873</v>
      </c>
      <c r="AY1253" s="843" t="s">
        <v>4319</v>
      </c>
      <c r="AZ1253" s="842" t="s">
        <v>2270</v>
      </c>
      <c r="BA1253" s="842" t="s">
        <v>120</v>
      </c>
      <c r="BB1253" s="863" t="s">
        <v>121</v>
      </c>
      <c r="BC1253" s="864">
        <v>45867</v>
      </c>
      <c r="BD1253" s="860" t="s">
        <v>4270</v>
      </c>
      <c r="BE1253" s="865" cm="1">
        <f t="array" ref="BE1253">IF(BD1253="","",AC1253/SUMPRODUCT(--(BD1253=$BD$4:$BD$12824),$AC$4:$AC$12824))</f>
        <v>1.4059036285147597E-2</v>
      </c>
      <c r="BF1253" s="458"/>
      <c r="BG1253" s="458"/>
      <c r="BH1253" s="458"/>
      <c r="BI1253" s="458"/>
      <c r="BJ1253" s="458"/>
      <c r="BK1253" s="458"/>
      <c r="BL1253" s="458"/>
      <c r="BM1253" s="458"/>
      <c r="BN1253" s="458"/>
      <c r="BO1253" s="866">
        <f>VLOOKUP(BD1253,$BD$4:$BN$12824,3,0)*BE1253</f>
        <v>504356.11713919049</v>
      </c>
      <c r="BP1253" s="866"/>
      <c r="BQ1253" s="866"/>
      <c r="BR1253" s="866">
        <f>VLOOKUP(BD1253,$BD$4:$BN$12824,6,0)*BE1253</f>
        <v>225431.47883474431</v>
      </c>
      <c r="BS1253" s="866">
        <f>VLOOKUP(BD1253,$BD$4:$BN$12824,7,0)*BE1253</f>
        <v>18993.083187492717</v>
      </c>
      <c r="BT1253" s="866"/>
      <c r="BU1253" s="866">
        <f>VLOOKUP(BD1253,$BD$4:$BN$12824,9,0)*BE1253</f>
        <v>7591.8795939797028</v>
      </c>
      <c r="BV1253" s="867"/>
      <c r="BW1253" s="867">
        <f>VLOOKUP(BD1253,$BD$4:$BN$12824,11,0)*BE1253</f>
        <v>125646.12798541167</v>
      </c>
      <c r="BX1253" s="1146">
        <f t="shared" si="241"/>
        <v>882018.68674081878</v>
      </c>
      <c r="BY1253" s="867">
        <f t="shared" si="244"/>
        <v>4144816.2041611029</v>
      </c>
      <c r="BZ1253" s="867">
        <f t="shared" si="242"/>
        <v>20724081.020805515</v>
      </c>
      <c r="CA1253" s="867">
        <f>_xlfn.MAXIFS($BY$4:$BY$12824,$S$4:$S$12824,$S1253)</f>
        <v>4144816.2041611029</v>
      </c>
      <c r="CB1253" s="1032"/>
      <c r="CF1253" s="946">
        <f t="shared" si="243"/>
        <v>18965082.889999997</v>
      </c>
    </row>
    <row r="1254" spans="2:84">
      <c r="B1254" s="839" t="s">
        <v>98</v>
      </c>
      <c r="C1254" s="839" t="s">
        <v>2689</v>
      </c>
      <c r="D1254" s="839" t="s">
        <v>4271</v>
      </c>
      <c r="E1254" s="839" t="s">
        <v>4272</v>
      </c>
      <c r="F1254" s="841">
        <v>45675</v>
      </c>
      <c r="G1254" s="868" t="s">
        <v>2689</v>
      </c>
      <c r="H1254" s="842" t="s">
        <v>134</v>
      </c>
      <c r="I1254" s="883"/>
      <c r="J1254" s="841"/>
      <c r="K1254" s="841"/>
      <c r="L1254" s="843" t="s">
        <v>106</v>
      </c>
      <c r="M1254" s="844" t="s">
        <v>107</v>
      </c>
      <c r="N1254" s="841"/>
      <c r="O1254" s="884" t="s">
        <v>135</v>
      </c>
      <c r="P1254" s="842"/>
      <c r="Q1254" s="843"/>
      <c r="R1254" s="845">
        <v>20316007</v>
      </c>
      <c r="S1254" s="1127" t="s">
        <v>4320</v>
      </c>
      <c r="T1254" s="885" t="s">
        <v>4321</v>
      </c>
      <c r="U1254" s="886">
        <v>10</v>
      </c>
      <c r="V1254" s="842" t="s">
        <v>3</v>
      </c>
      <c r="W1254" s="846">
        <v>12</v>
      </c>
      <c r="X1254" s="847">
        <f t="shared" si="236"/>
        <v>120</v>
      </c>
      <c r="Y1254" s="848">
        <f t="shared" si="245"/>
        <v>0.38583333333333331</v>
      </c>
      <c r="Z1254" s="849">
        <v>7.37</v>
      </c>
      <c r="AA1254" s="854"/>
      <c r="AB1254" s="849">
        <f t="shared" si="237"/>
        <v>73.7</v>
      </c>
      <c r="AC1254" s="850">
        <f t="shared" si="238"/>
        <v>73.7</v>
      </c>
      <c r="AD1254" s="887">
        <f t="shared" si="235"/>
        <v>32000</v>
      </c>
      <c r="AE1254" s="888">
        <v>30266.65</v>
      </c>
      <c r="AF1254" s="853">
        <v>0</v>
      </c>
      <c r="AG1254" s="854">
        <f t="shared" si="239"/>
        <v>0</v>
      </c>
      <c r="AH1254" s="853" t="s">
        <v>4322</v>
      </c>
      <c r="AI1254" s="855">
        <f t="shared" si="240"/>
        <v>223065.21050000002</v>
      </c>
      <c r="AJ1254" s="845" t="s">
        <v>3318</v>
      </c>
      <c r="AK1254" s="857">
        <v>45796</v>
      </c>
      <c r="AL1254" s="843" t="s">
        <v>4263</v>
      </c>
      <c r="AM1254" s="843" t="s">
        <v>4264</v>
      </c>
      <c r="AN1254" s="844" t="s">
        <v>4265</v>
      </c>
      <c r="AO1254" s="844" t="s">
        <v>141</v>
      </c>
      <c r="AP1254" s="841"/>
      <c r="AQ1254" s="841">
        <v>45821</v>
      </c>
      <c r="AR1254" s="841">
        <v>45865</v>
      </c>
      <c r="AS1254" s="842" t="s">
        <v>4266</v>
      </c>
      <c r="AT1254" s="842" t="s">
        <v>1235</v>
      </c>
      <c r="AU1254" s="842" t="s">
        <v>3794</v>
      </c>
      <c r="AV1254" s="845" t="s">
        <v>4273</v>
      </c>
      <c r="AW1254" s="861">
        <v>45867</v>
      </c>
      <c r="AX1254" s="862">
        <v>45873</v>
      </c>
      <c r="AY1254" s="843" t="s">
        <v>4323</v>
      </c>
      <c r="AZ1254" s="842" t="s">
        <v>4324</v>
      </c>
      <c r="BA1254" s="842" t="s">
        <v>120</v>
      </c>
      <c r="BB1254" s="863" t="s">
        <v>121</v>
      </c>
      <c r="BC1254" s="864">
        <v>45867</v>
      </c>
      <c r="BD1254" s="860" t="s">
        <v>4270</v>
      </c>
      <c r="BE1254" s="865" cm="1">
        <f t="array" ref="BE1254">IF(BD1254="","",AC1254/SUMPRODUCT(--(BD1254=$BD$4:$BD$12824),$AC$4:$AC$12824))</f>
        <v>1.6536083214417142E-3</v>
      </c>
      <c r="BF1254" s="458"/>
      <c r="BG1254" s="458"/>
      <c r="BH1254" s="458"/>
      <c r="BI1254" s="458"/>
      <c r="BJ1254" s="458"/>
      <c r="BK1254" s="458"/>
      <c r="BL1254" s="458"/>
      <c r="BM1254" s="458"/>
      <c r="BN1254" s="458"/>
      <c r="BO1254" s="866">
        <f>VLOOKUP(BD1254,$BD$4:$BN$12824,3,0)*BE1254</f>
        <v>59321.809500731484</v>
      </c>
      <c r="BP1254" s="866"/>
      <c r="BQ1254" s="866"/>
      <c r="BR1254" s="866">
        <f>VLOOKUP(BD1254,$BD$4:$BN$12824,6,0)*BE1254</f>
        <v>26515.001580147873</v>
      </c>
      <c r="BS1254" s="866">
        <f>VLOOKUP(BD1254,$BD$4:$BN$12824,7,0)*BE1254</f>
        <v>2233.9454690683265</v>
      </c>
      <c r="BT1254" s="866"/>
      <c r="BU1254" s="866">
        <f>VLOOKUP(BD1254,$BD$4:$BN$12824,9,0)*BE1254</f>
        <v>892.9484935785257</v>
      </c>
      <c r="BV1254" s="867"/>
      <c r="BW1254" s="867">
        <f>VLOOKUP(BD1254,$BD$4:$BN$12824,11,0)*BE1254</f>
        <v>14778.358813477245</v>
      </c>
      <c r="BX1254" s="1146">
        <f t="shared" si="241"/>
        <v>103742.06385700345</v>
      </c>
      <c r="BY1254" s="867">
        <f t="shared" si="244"/>
        <v>233439.41688570037</v>
      </c>
      <c r="BZ1254" s="867">
        <f t="shared" si="242"/>
        <v>2334394.1688570036</v>
      </c>
      <c r="CA1254" s="867">
        <f>_xlfn.MAXIFS($BY$4:$BY$12824,$S$4:$S$12824,$S1254)</f>
        <v>233439.41688570037</v>
      </c>
      <c r="CB1254" s="1032"/>
      <c r="CF1254" s="946">
        <f t="shared" si="243"/>
        <v>2230652.105</v>
      </c>
    </row>
    <row r="1255" spans="2:84">
      <c r="B1255" s="839" t="s">
        <v>98</v>
      </c>
      <c r="C1255" s="839" t="s">
        <v>2689</v>
      </c>
      <c r="D1255" s="839" t="s">
        <v>4271</v>
      </c>
      <c r="E1255" s="839" t="s">
        <v>4272</v>
      </c>
      <c r="F1255" s="841">
        <v>45675</v>
      </c>
      <c r="G1255" s="868" t="s">
        <v>2689</v>
      </c>
      <c r="H1255" s="842" t="s">
        <v>134</v>
      </c>
      <c r="I1255" s="883"/>
      <c r="J1255" s="841"/>
      <c r="K1255" s="841"/>
      <c r="L1255" s="843" t="s">
        <v>106</v>
      </c>
      <c r="M1255" s="844" t="s">
        <v>107</v>
      </c>
      <c r="N1255" s="841"/>
      <c r="O1255" s="884" t="s">
        <v>135</v>
      </c>
      <c r="P1255" s="842"/>
      <c r="Q1255" s="843"/>
      <c r="R1255" s="845">
        <v>20316006</v>
      </c>
      <c r="S1255" s="1127" t="s">
        <v>4325</v>
      </c>
      <c r="T1255" s="885" t="s">
        <v>4326</v>
      </c>
      <c r="U1255" s="886">
        <v>10</v>
      </c>
      <c r="V1255" s="842" t="s">
        <v>3</v>
      </c>
      <c r="W1255" s="846">
        <v>12</v>
      </c>
      <c r="X1255" s="847">
        <f t="shared" si="236"/>
        <v>120</v>
      </c>
      <c r="Y1255" s="848">
        <f t="shared" si="245"/>
        <v>0.38583333333333331</v>
      </c>
      <c r="Z1255" s="849">
        <v>7.37</v>
      </c>
      <c r="AA1255" s="854"/>
      <c r="AB1255" s="849">
        <f t="shared" si="237"/>
        <v>73.7</v>
      </c>
      <c r="AC1255" s="850">
        <f t="shared" si="238"/>
        <v>73.7</v>
      </c>
      <c r="AD1255" s="887">
        <f t="shared" si="235"/>
        <v>32000</v>
      </c>
      <c r="AE1255" s="888">
        <v>30266.65</v>
      </c>
      <c r="AF1255" s="853">
        <v>0</v>
      </c>
      <c r="AG1255" s="854">
        <f t="shared" si="239"/>
        <v>0</v>
      </c>
      <c r="AH1255" s="853" t="s">
        <v>4322</v>
      </c>
      <c r="AI1255" s="855">
        <f t="shared" si="240"/>
        <v>223065.21050000002</v>
      </c>
      <c r="AJ1255" s="845" t="s">
        <v>3318</v>
      </c>
      <c r="AK1255" s="857">
        <v>45796</v>
      </c>
      <c r="AL1255" s="843" t="s">
        <v>4263</v>
      </c>
      <c r="AM1255" s="843" t="s">
        <v>4264</v>
      </c>
      <c r="AN1255" s="844" t="s">
        <v>4265</v>
      </c>
      <c r="AO1255" s="844" t="s">
        <v>141</v>
      </c>
      <c r="AP1255" s="841"/>
      <c r="AQ1255" s="841">
        <v>45821</v>
      </c>
      <c r="AR1255" s="841">
        <v>45865</v>
      </c>
      <c r="AS1255" s="842" t="s">
        <v>4266</v>
      </c>
      <c r="AT1255" s="842" t="s">
        <v>1235</v>
      </c>
      <c r="AU1255" s="842" t="s">
        <v>3794</v>
      </c>
      <c r="AV1255" s="845" t="s">
        <v>4273</v>
      </c>
      <c r="AW1255" s="861">
        <v>45867</v>
      </c>
      <c r="AX1255" s="862">
        <v>45873</v>
      </c>
      <c r="AY1255" s="843" t="s">
        <v>4327</v>
      </c>
      <c r="AZ1255" s="842" t="s">
        <v>4324</v>
      </c>
      <c r="BA1255" s="842" t="s">
        <v>120</v>
      </c>
      <c r="BB1255" s="863" t="s">
        <v>121</v>
      </c>
      <c r="BC1255" s="864">
        <v>45867</v>
      </c>
      <c r="BD1255" s="860" t="s">
        <v>4270</v>
      </c>
      <c r="BE1255" s="865" cm="1">
        <f t="array" ref="BE1255">IF(BD1255="","",AC1255/SUMPRODUCT(--(BD1255=$BD$4:$BD$12824),$AC$4:$AC$12824))</f>
        <v>1.6536083214417142E-3</v>
      </c>
      <c r="BF1255" s="458"/>
      <c r="BG1255" s="458"/>
      <c r="BH1255" s="458"/>
      <c r="BI1255" s="458"/>
      <c r="BJ1255" s="458"/>
      <c r="BK1255" s="458"/>
      <c r="BL1255" s="458"/>
      <c r="BM1255" s="458"/>
      <c r="BN1255" s="458"/>
      <c r="BO1255" s="866">
        <f>VLOOKUP(BD1255,$BD$4:$BN$12824,3,0)*BE1255</f>
        <v>59321.809500731484</v>
      </c>
      <c r="BP1255" s="866"/>
      <c r="BQ1255" s="866"/>
      <c r="BR1255" s="866">
        <f>VLOOKUP(BD1255,$BD$4:$BN$12824,6,0)*BE1255</f>
        <v>26515.001580147873</v>
      </c>
      <c r="BS1255" s="866">
        <f>VLOOKUP(BD1255,$BD$4:$BN$12824,7,0)*BE1255</f>
        <v>2233.9454690683265</v>
      </c>
      <c r="BT1255" s="866"/>
      <c r="BU1255" s="866">
        <f>VLOOKUP(BD1255,$BD$4:$BN$12824,9,0)*BE1255</f>
        <v>892.9484935785257</v>
      </c>
      <c r="BV1255" s="867"/>
      <c r="BW1255" s="867">
        <f>VLOOKUP(BD1255,$BD$4:$BN$12824,11,0)*BE1255</f>
        <v>14778.358813477245</v>
      </c>
      <c r="BX1255" s="1146">
        <f t="shared" si="241"/>
        <v>103742.06385700345</v>
      </c>
      <c r="BY1255" s="867">
        <f t="shared" si="244"/>
        <v>233439.41688570037</v>
      </c>
      <c r="BZ1255" s="867">
        <f t="shared" si="242"/>
        <v>2334394.1688570036</v>
      </c>
      <c r="CA1255" s="867">
        <f>_xlfn.MAXIFS($BY$4:$BY$12824,$S$4:$S$12824,$S1255)</f>
        <v>233439.41688570037</v>
      </c>
      <c r="CB1255" s="1032"/>
      <c r="CF1255" s="946">
        <f t="shared" si="243"/>
        <v>2230652.105</v>
      </c>
    </row>
    <row r="1256" spans="2:84">
      <c r="B1256" s="839" t="s">
        <v>98</v>
      </c>
      <c r="C1256" s="839" t="s">
        <v>2689</v>
      </c>
      <c r="D1256" s="839" t="s">
        <v>4271</v>
      </c>
      <c r="E1256" s="839" t="s">
        <v>4272</v>
      </c>
      <c r="F1256" s="841">
        <v>45675</v>
      </c>
      <c r="G1256" s="868" t="s">
        <v>2689</v>
      </c>
      <c r="H1256" s="842" t="s">
        <v>134</v>
      </c>
      <c r="I1256" s="883"/>
      <c r="J1256" s="841"/>
      <c r="K1256" s="841"/>
      <c r="L1256" s="843" t="s">
        <v>106</v>
      </c>
      <c r="M1256" s="844" t="s">
        <v>107</v>
      </c>
      <c r="N1256" s="841"/>
      <c r="O1256" s="884" t="s">
        <v>135</v>
      </c>
      <c r="P1256" s="842"/>
      <c r="Q1256" s="843"/>
      <c r="R1256" s="845">
        <v>20316002</v>
      </c>
      <c r="S1256" s="1127" t="s">
        <v>4328</v>
      </c>
      <c r="T1256" s="885" t="s">
        <v>4329</v>
      </c>
      <c r="U1256" s="886">
        <v>10</v>
      </c>
      <c r="V1256" s="842" t="s">
        <v>3</v>
      </c>
      <c r="W1256" s="846">
        <v>12</v>
      </c>
      <c r="X1256" s="847">
        <f t="shared" si="236"/>
        <v>120</v>
      </c>
      <c r="Y1256" s="848">
        <f t="shared" si="245"/>
        <v>0.38583333333333331</v>
      </c>
      <c r="Z1256" s="849">
        <v>7.37</v>
      </c>
      <c r="AA1256" s="854"/>
      <c r="AB1256" s="849">
        <f t="shared" si="237"/>
        <v>73.7</v>
      </c>
      <c r="AC1256" s="850">
        <f t="shared" si="238"/>
        <v>73.7</v>
      </c>
      <c r="AD1256" s="887">
        <f t="shared" si="235"/>
        <v>32000</v>
      </c>
      <c r="AE1256" s="888">
        <v>30266.65</v>
      </c>
      <c r="AF1256" s="853">
        <v>0</v>
      </c>
      <c r="AG1256" s="854">
        <f t="shared" si="239"/>
        <v>0</v>
      </c>
      <c r="AH1256" s="853" t="s">
        <v>4322</v>
      </c>
      <c r="AI1256" s="855">
        <f t="shared" si="240"/>
        <v>223065.21050000002</v>
      </c>
      <c r="AJ1256" s="845" t="s">
        <v>3318</v>
      </c>
      <c r="AK1256" s="857">
        <v>45796</v>
      </c>
      <c r="AL1256" s="843" t="s">
        <v>4263</v>
      </c>
      <c r="AM1256" s="843" t="s">
        <v>4264</v>
      </c>
      <c r="AN1256" s="844" t="s">
        <v>4265</v>
      </c>
      <c r="AO1256" s="844" t="s">
        <v>141</v>
      </c>
      <c r="AP1256" s="841"/>
      <c r="AQ1256" s="841">
        <v>45821</v>
      </c>
      <c r="AR1256" s="841">
        <v>45865</v>
      </c>
      <c r="AS1256" s="842" t="s">
        <v>4266</v>
      </c>
      <c r="AT1256" s="842" t="s">
        <v>1235</v>
      </c>
      <c r="AU1256" s="842" t="s">
        <v>3794</v>
      </c>
      <c r="AV1256" s="845" t="s">
        <v>4273</v>
      </c>
      <c r="AW1256" s="861">
        <v>45867</v>
      </c>
      <c r="AX1256" s="862">
        <v>45873</v>
      </c>
      <c r="AY1256" s="843" t="s">
        <v>4330</v>
      </c>
      <c r="AZ1256" s="842" t="s">
        <v>4324</v>
      </c>
      <c r="BA1256" s="842" t="s">
        <v>120</v>
      </c>
      <c r="BB1256" s="863" t="s">
        <v>121</v>
      </c>
      <c r="BC1256" s="864">
        <v>45867</v>
      </c>
      <c r="BD1256" s="860" t="s">
        <v>4270</v>
      </c>
      <c r="BE1256" s="865" cm="1">
        <f t="array" ref="BE1256">IF(BD1256="","",AC1256/SUMPRODUCT(--(BD1256=$BD$4:$BD$12824),$AC$4:$AC$12824))</f>
        <v>1.6536083214417142E-3</v>
      </c>
      <c r="BF1256" s="458"/>
      <c r="BG1256" s="458"/>
      <c r="BH1256" s="458"/>
      <c r="BI1256" s="458"/>
      <c r="BJ1256" s="458"/>
      <c r="BK1256" s="458"/>
      <c r="BL1256" s="458"/>
      <c r="BM1256" s="458"/>
      <c r="BN1256" s="458"/>
      <c r="BO1256" s="866">
        <f>VLOOKUP(BD1256,$BD$4:$BN$12824,3,0)*BE1256</f>
        <v>59321.809500731484</v>
      </c>
      <c r="BP1256" s="866"/>
      <c r="BQ1256" s="866"/>
      <c r="BR1256" s="866">
        <f>VLOOKUP(BD1256,$BD$4:$BN$12824,6,0)*BE1256</f>
        <v>26515.001580147873</v>
      </c>
      <c r="BS1256" s="866">
        <f>VLOOKUP(BD1256,$BD$4:$BN$12824,7,0)*BE1256</f>
        <v>2233.9454690683265</v>
      </c>
      <c r="BT1256" s="866"/>
      <c r="BU1256" s="866">
        <f>VLOOKUP(BD1256,$BD$4:$BN$12824,9,0)*BE1256</f>
        <v>892.9484935785257</v>
      </c>
      <c r="BV1256" s="867"/>
      <c r="BW1256" s="867">
        <f>VLOOKUP(BD1256,$BD$4:$BN$12824,11,0)*BE1256</f>
        <v>14778.358813477245</v>
      </c>
      <c r="BX1256" s="1146">
        <f t="shared" si="241"/>
        <v>103742.06385700345</v>
      </c>
      <c r="BY1256" s="867">
        <f t="shared" si="244"/>
        <v>233439.41688570037</v>
      </c>
      <c r="BZ1256" s="867">
        <f t="shared" si="242"/>
        <v>2334394.1688570036</v>
      </c>
      <c r="CA1256" s="867">
        <f>_xlfn.MAXIFS($BY$4:$BY$12824,$S$4:$S$12824,$S1256)</f>
        <v>233439.41688570037</v>
      </c>
      <c r="CB1256" s="1032"/>
      <c r="CF1256" s="946">
        <f t="shared" si="243"/>
        <v>2230652.105</v>
      </c>
    </row>
    <row r="1257" spans="2:84">
      <c r="B1257" s="839" t="s">
        <v>98</v>
      </c>
      <c r="C1257" s="839" t="s">
        <v>2689</v>
      </c>
      <c r="D1257" s="839" t="s">
        <v>4271</v>
      </c>
      <c r="E1257" s="839" t="s">
        <v>4272</v>
      </c>
      <c r="F1257" s="841">
        <v>45675</v>
      </c>
      <c r="G1257" s="868" t="s">
        <v>2689</v>
      </c>
      <c r="H1257" s="842" t="s">
        <v>134</v>
      </c>
      <c r="I1257" s="883"/>
      <c r="J1257" s="841"/>
      <c r="K1257" s="841"/>
      <c r="L1257" s="843" t="s">
        <v>106</v>
      </c>
      <c r="M1257" s="844" t="s">
        <v>107</v>
      </c>
      <c r="N1257" s="841"/>
      <c r="O1257" s="884" t="s">
        <v>135</v>
      </c>
      <c r="P1257" s="842"/>
      <c r="Q1257" s="843"/>
      <c r="R1257" s="845">
        <v>20316004</v>
      </c>
      <c r="S1257" s="1127" t="s">
        <v>4331</v>
      </c>
      <c r="T1257" s="885" t="s">
        <v>4332</v>
      </c>
      <c r="U1257" s="886">
        <v>10</v>
      </c>
      <c r="V1257" s="842" t="s">
        <v>3</v>
      </c>
      <c r="W1257" s="846">
        <v>12</v>
      </c>
      <c r="X1257" s="847">
        <f t="shared" si="236"/>
        <v>120</v>
      </c>
      <c r="Y1257" s="848">
        <f t="shared" si="245"/>
        <v>0.38583333333333331</v>
      </c>
      <c r="Z1257" s="849">
        <v>7.37</v>
      </c>
      <c r="AA1257" s="854"/>
      <c r="AB1257" s="849">
        <f t="shared" si="237"/>
        <v>73.7</v>
      </c>
      <c r="AC1257" s="850">
        <f t="shared" si="238"/>
        <v>73.7</v>
      </c>
      <c r="AD1257" s="887">
        <f t="shared" si="235"/>
        <v>32000</v>
      </c>
      <c r="AE1257" s="888">
        <v>30266.65</v>
      </c>
      <c r="AF1257" s="853">
        <v>0</v>
      </c>
      <c r="AG1257" s="854">
        <f t="shared" si="239"/>
        <v>0</v>
      </c>
      <c r="AH1257" s="853" t="s">
        <v>4322</v>
      </c>
      <c r="AI1257" s="855">
        <f t="shared" si="240"/>
        <v>223065.21050000002</v>
      </c>
      <c r="AJ1257" s="845" t="s">
        <v>3318</v>
      </c>
      <c r="AK1257" s="857">
        <v>45796</v>
      </c>
      <c r="AL1257" s="843" t="s">
        <v>4263</v>
      </c>
      <c r="AM1257" s="843" t="s">
        <v>4264</v>
      </c>
      <c r="AN1257" s="844" t="s">
        <v>4265</v>
      </c>
      <c r="AO1257" s="844" t="s">
        <v>141</v>
      </c>
      <c r="AP1257" s="841"/>
      <c r="AQ1257" s="841">
        <v>45821</v>
      </c>
      <c r="AR1257" s="841">
        <v>45865</v>
      </c>
      <c r="AS1257" s="842" t="s">
        <v>4266</v>
      </c>
      <c r="AT1257" s="842" t="s">
        <v>1235</v>
      </c>
      <c r="AU1257" s="842" t="s">
        <v>3794</v>
      </c>
      <c r="AV1257" s="845" t="s">
        <v>4273</v>
      </c>
      <c r="AW1257" s="861">
        <v>45867</v>
      </c>
      <c r="AX1257" s="862">
        <v>45873</v>
      </c>
      <c r="AY1257" s="843" t="s">
        <v>4333</v>
      </c>
      <c r="AZ1257" s="842" t="s">
        <v>4324</v>
      </c>
      <c r="BA1257" s="842" t="s">
        <v>120</v>
      </c>
      <c r="BB1257" s="863" t="s">
        <v>121</v>
      </c>
      <c r="BC1257" s="864">
        <v>45867</v>
      </c>
      <c r="BD1257" s="860" t="s">
        <v>4270</v>
      </c>
      <c r="BE1257" s="865" cm="1">
        <f t="array" ref="BE1257">IF(BD1257="","",AC1257/SUMPRODUCT(--(BD1257=$BD$4:$BD$12824),$AC$4:$AC$12824))</f>
        <v>1.6536083214417142E-3</v>
      </c>
      <c r="BF1257" s="458"/>
      <c r="BG1257" s="458"/>
      <c r="BH1257" s="458"/>
      <c r="BI1257" s="458"/>
      <c r="BJ1257" s="458"/>
      <c r="BK1257" s="458"/>
      <c r="BL1257" s="458"/>
      <c r="BM1257" s="458"/>
      <c r="BN1257" s="458"/>
      <c r="BO1257" s="866">
        <f>VLOOKUP(BD1257,$BD$4:$BN$12824,3,0)*BE1257</f>
        <v>59321.809500731484</v>
      </c>
      <c r="BP1257" s="866"/>
      <c r="BQ1257" s="866"/>
      <c r="BR1257" s="866">
        <f>VLOOKUP(BD1257,$BD$4:$BN$12824,6,0)*BE1257</f>
        <v>26515.001580147873</v>
      </c>
      <c r="BS1257" s="866">
        <f>VLOOKUP(BD1257,$BD$4:$BN$12824,7,0)*BE1257</f>
        <v>2233.9454690683265</v>
      </c>
      <c r="BT1257" s="866"/>
      <c r="BU1257" s="866">
        <f>VLOOKUP(BD1257,$BD$4:$BN$12824,9,0)*BE1257</f>
        <v>892.9484935785257</v>
      </c>
      <c r="BV1257" s="867"/>
      <c r="BW1257" s="867">
        <f>VLOOKUP(BD1257,$BD$4:$BN$12824,11,0)*BE1257</f>
        <v>14778.358813477245</v>
      </c>
      <c r="BX1257" s="1146">
        <f t="shared" si="241"/>
        <v>103742.06385700345</v>
      </c>
      <c r="BY1257" s="867">
        <f t="shared" si="244"/>
        <v>233439.41688570037</v>
      </c>
      <c r="BZ1257" s="867">
        <f t="shared" si="242"/>
        <v>2334394.1688570036</v>
      </c>
      <c r="CA1257" s="867">
        <f>_xlfn.MAXIFS($BY$4:$BY$12824,$S$4:$S$12824,$S1257)</f>
        <v>233439.41688570037</v>
      </c>
      <c r="CB1257" s="1032"/>
      <c r="CF1257" s="946">
        <f t="shared" si="243"/>
        <v>2230652.105</v>
      </c>
    </row>
    <row r="1258" spans="2:84">
      <c r="B1258" s="839" t="s">
        <v>98</v>
      </c>
      <c r="C1258" s="839" t="s">
        <v>2689</v>
      </c>
      <c r="D1258" s="839" t="s">
        <v>4271</v>
      </c>
      <c r="E1258" s="839" t="s">
        <v>4272</v>
      </c>
      <c r="F1258" s="841">
        <v>45675</v>
      </c>
      <c r="G1258" s="868" t="s">
        <v>2689</v>
      </c>
      <c r="H1258" s="842" t="s">
        <v>134</v>
      </c>
      <c r="I1258" s="883"/>
      <c r="J1258" s="841"/>
      <c r="K1258" s="841"/>
      <c r="L1258" s="843" t="s">
        <v>106</v>
      </c>
      <c r="M1258" s="844" t="s">
        <v>107</v>
      </c>
      <c r="N1258" s="841"/>
      <c r="O1258" s="884" t="s">
        <v>135</v>
      </c>
      <c r="P1258" s="842"/>
      <c r="Q1258" s="843"/>
      <c r="R1258" s="845">
        <v>20316001</v>
      </c>
      <c r="S1258" s="1127" t="s">
        <v>4334</v>
      </c>
      <c r="T1258" s="885" t="s">
        <v>4335</v>
      </c>
      <c r="U1258" s="886">
        <v>10</v>
      </c>
      <c r="V1258" s="842" t="s">
        <v>3</v>
      </c>
      <c r="W1258" s="846">
        <v>12</v>
      </c>
      <c r="X1258" s="847">
        <f t="shared" si="236"/>
        <v>120</v>
      </c>
      <c r="Y1258" s="848">
        <f t="shared" si="245"/>
        <v>0.38583333333333331</v>
      </c>
      <c r="Z1258" s="849">
        <v>7.37</v>
      </c>
      <c r="AA1258" s="854"/>
      <c r="AB1258" s="849">
        <f t="shared" si="237"/>
        <v>73.7</v>
      </c>
      <c r="AC1258" s="850">
        <f t="shared" si="238"/>
        <v>73.7</v>
      </c>
      <c r="AD1258" s="887">
        <f t="shared" si="235"/>
        <v>32000</v>
      </c>
      <c r="AE1258" s="888">
        <v>30266.65</v>
      </c>
      <c r="AF1258" s="853">
        <v>0</v>
      </c>
      <c r="AG1258" s="854">
        <f t="shared" si="239"/>
        <v>0</v>
      </c>
      <c r="AH1258" s="853" t="s">
        <v>4322</v>
      </c>
      <c r="AI1258" s="855">
        <f t="shared" si="240"/>
        <v>223065.21050000002</v>
      </c>
      <c r="AJ1258" s="845" t="s">
        <v>3318</v>
      </c>
      <c r="AK1258" s="857">
        <v>45796</v>
      </c>
      <c r="AL1258" s="843" t="s">
        <v>4263</v>
      </c>
      <c r="AM1258" s="843" t="s">
        <v>4264</v>
      </c>
      <c r="AN1258" s="844" t="s">
        <v>4265</v>
      </c>
      <c r="AO1258" s="844" t="s">
        <v>141</v>
      </c>
      <c r="AP1258" s="841"/>
      <c r="AQ1258" s="841">
        <v>45821</v>
      </c>
      <c r="AR1258" s="841">
        <v>45865</v>
      </c>
      <c r="AS1258" s="842" t="s">
        <v>4266</v>
      </c>
      <c r="AT1258" s="842" t="s">
        <v>1235</v>
      </c>
      <c r="AU1258" s="842" t="s">
        <v>3794</v>
      </c>
      <c r="AV1258" s="845" t="s">
        <v>4273</v>
      </c>
      <c r="AW1258" s="861">
        <v>45867</v>
      </c>
      <c r="AX1258" s="862">
        <v>45873</v>
      </c>
      <c r="AY1258" s="843" t="s">
        <v>4336</v>
      </c>
      <c r="AZ1258" s="842" t="s">
        <v>4324</v>
      </c>
      <c r="BA1258" s="842" t="s">
        <v>120</v>
      </c>
      <c r="BB1258" s="863" t="s">
        <v>121</v>
      </c>
      <c r="BC1258" s="864">
        <v>45867</v>
      </c>
      <c r="BD1258" s="860" t="s">
        <v>4270</v>
      </c>
      <c r="BE1258" s="865" cm="1">
        <f t="array" ref="BE1258">IF(BD1258="","",AC1258/SUMPRODUCT(--(BD1258=$BD$4:$BD$12824),$AC$4:$AC$12824))</f>
        <v>1.6536083214417142E-3</v>
      </c>
      <c r="BF1258" s="458"/>
      <c r="BG1258" s="458"/>
      <c r="BH1258" s="458"/>
      <c r="BI1258" s="458"/>
      <c r="BJ1258" s="458"/>
      <c r="BK1258" s="458"/>
      <c r="BL1258" s="458"/>
      <c r="BM1258" s="458"/>
      <c r="BN1258" s="458"/>
      <c r="BO1258" s="866">
        <f>VLOOKUP(BD1258,$BD$4:$BN$12824,3,0)*BE1258</f>
        <v>59321.809500731484</v>
      </c>
      <c r="BP1258" s="866"/>
      <c r="BQ1258" s="866"/>
      <c r="BR1258" s="866">
        <f>VLOOKUP(BD1258,$BD$4:$BN$12824,6,0)*BE1258</f>
        <v>26515.001580147873</v>
      </c>
      <c r="BS1258" s="866">
        <f>VLOOKUP(BD1258,$BD$4:$BN$12824,7,0)*BE1258</f>
        <v>2233.9454690683265</v>
      </c>
      <c r="BT1258" s="866"/>
      <c r="BU1258" s="866">
        <f>VLOOKUP(BD1258,$BD$4:$BN$12824,9,0)*BE1258</f>
        <v>892.9484935785257</v>
      </c>
      <c r="BV1258" s="867"/>
      <c r="BW1258" s="867">
        <f>VLOOKUP(BD1258,$BD$4:$BN$12824,11,0)*BE1258</f>
        <v>14778.358813477245</v>
      </c>
      <c r="BX1258" s="1146">
        <f t="shared" si="241"/>
        <v>103742.06385700345</v>
      </c>
      <c r="BY1258" s="867">
        <f t="shared" si="244"/>
        <v>233439.41688570037</v>
      </c>
      <c r="BZ1258" s="867">
        <f t="shared" si="242"/>
        <v>2334394.1688570036</v>
      </c>
      <c r="CA1258" s="867">
        <f>_xlfn.MAXIFS($BY$4:$BY$12824,$S$4:$S$12824,$S1258)</f>
        <v>233439.41688570037</v>
      </c>
      <c r="CB1258" s="1032"/>
      <c r="CF1258" s="946">
        <f t="shared" si="243"/>
        <v>2230652.105</v>
      </c>
    </row>
    <row r="1259" spans="2:84">
      <c r="B1259" s="839" t="s">
        <v>98</v>
      </c>
      <c r="C1259" s="839" t="s">
        <v>2689</v>
      </c>
      <c r="D1259" s="839" t="s">
        <v>4271</v>
      </c>
      <c r="E1259" s="839" t="s">
        <v>4272</v>
      </c>
      <c r="F1259" s="841">
        <v>45675</v>
      </c>
      <c r="G1259" s="868" t="s">
        <v>2689</v>
      </c>
      <c r="H1259" s="842" t="s">
        <v>134</v>
      </c>
      <c r="I1259" s="883"/>
      <c r="J1259" s="841"/>
      <c r="K1259" s="841"/>
      <c r="L1259" s="843" t="s">
        <v>106</v>
      </c>
      <c r="M1259" s="844" t="s">
        <v>107</v>
      </c>
      <c r="N1259" s="841"/>
      <c r="O1259" s="884" t="s">
        <v>135</v>
      </c>
      <c r="P1259" s="842"/>
      <c r="Q1259" s="843"/>
      <c r="R1259" s="845">
        <v>20316003</v>
      </c>
      <c r="S1259" s="1127" t="s">
        <v>4337</v>
      </c>
      <c r="T1259" s="885" t="s">
        <v>4338</v>
      </c>
      <c r="U1259" s="886">
        <v>10</v>
      </c>
      <c r="V1259" s="842" t="s">
        <v>3</v>
      </c>
      <c r="W1259" s="846">
        <v>12</v>
      </c>
      <c r="X1259" s="847">
        <f t="shared" si="236"/>
        <v>120</v>
      </c>
      <c r="Y1259" s="848">
        <f t="shared" ref="Y1259:Y1290" si="246">(W1259-Z1259)/W1259</f>
        <v>0.38583333333333331</v>
      </c>
      <c r="Z1259" s="849">
        <v>7.37</v>
      </c>
      <c r="AA1259" s="854"/>
      <c r="AB1259" s="849">
        <f t="shared" si="237"/>
        <v>73.7</v>
      </c>
      <c r="AC1259" s="850">
        <f t="shared" si="238"/>
        <v>73.7</v>
      </c>
      <c r="AD1259" s="887">
        <f t="shared" si="235"/>
        <v>32000</v>
      </c>
      <c r="AE1259" s="888">
        <v>30266.65</v>
      </c>
      <c r="AF1259" s="853">
        <v>0</v>
      </c>
      <c r="AG1259" s="854">
        <f t="shared" si="239"/>
        <v>0</v>
      </c>
      <c r="AH1259" s="853" t="s">
        <v>4322</v>
      </c>
      <c r="AI1259" s="855">
        <f t="shared" si="240"/>
        <v>223065.21050000002</v>
      </c>
      <c r="AJ1259" s="845" t="s">
        <v>3318</v>
      </c>
      <c r="AK1259" s="857">
        <v>45796</v>
      </c>
      <c r="AL1259" s="843" t="s">
        <v>4263</v>
      </c>
      <c r="AM1259" s="843" t="s">
        <v>4264</v>
      </c>
      <c r="AN1259" s="844" t="s">
        <v>4265</v>
      </c>
      <c r="AO1259" s="844" t="s">
        <v>141</v>
      </c>
      <c r="AP1259" s="841"/>
      <c r="AQ1259" s="841">
        <v>45821</v>
      </c>
      <c r="AR1259" s="841">
        <v>45865</v>
      </c>
      <c r="AS1259" s="842" t="s">
        <v>4266</v>
      </c>
      <c r="AT1259" s="842" t="s">
        <v>1235</v>
      </c>
      <c r="AU1259" s="842" t="s">
        <v>3794</v>
      </c>
      <c r="AV1259" s="845" t="s">
        <v>4273</v>
      </c>
      <c r="AW1259" s="861">
        <v>45867</v>
      </c>
      <c r="AX1259" s="862">
        <v>45873</v>
      </c>
      <c r="AY1259" s="843" t="s">
        <v>4339</v>
      </c>
      <c r="AZ1259" s="842" t="s">
        <v>4324</v>
      </c>
      <c r="BA1259" s="842" t="s">
        <v>120</v>
      </c>
      <c r="BB1259" s="863" t="s">
        <v>121</v>
      </c>
      <c r="BC1259" s="864">
        <v>45867</v>
      </c>
      <c r="BD1259" s="860" t="s">
        <v>4270</v>
      </c>
      <c r="BE1259" s="865" cm="1">
        <f t="array" ref="BE1259">IF(BD1259="","",AC1259/SUMPRODUCT(--(BD1259=$BD$4:$BD$12824),$AC$4:$AC$12824))</f>
        <v>1.6536083214417142E-3</v>
      </c>
      <c r="BF1259" s="458"/>
      <c r="BG1259" s="458"/>
      <c r="BH1259" s="458"/>
      <c r="BI1259" s="458"/>
      <c r="BJ1259" s="458"/>
      <c r="BK1259" s="458"/>
      <c r="BL1259" s="458"/>
      <c r="BM1259" s="458"/>
      <c r="BN1259" s="458"/>
      <c r="BO1259" s="866">
        <f>VLOOKUP(BD1259,$BD$4:$BN$12824,3,0)*BE1259</f>
        <v>59321.809500731484</v>
      </c>
      <c r="BP1259" s="866"/>
      <c r="BQ1259" s="866"/>
      <c r="BR1259" s="866">
        <f>VLOOKUP(BD1259,$BD$4:$BN$12824,6,0)*BE1259</f>
        <v>26515.001580147873</v>
      </c>
      <c r="BS1259" s="866">
        <f>VLOOKUP(BD1259,$BD$4:$BN$12824,7,0)*BE1259</f>
        <v>2233.9454690683265</v>
      </c>
      <c r="BT1259" s="866"/>
      <c r="BU1259" s="866">
        <f>VLOOKUP(BD1259,$BD$4:$BN$12824,9,0)*BE1259</f>
        <v>892.9484935785257</v>
      </c>
      <c r="BV1259" s="867"/>
      <c r="BW1259" s="867">
        <f>VLOOKUP(BD1259,$BD$4:$BN$12824,11,0)*BE1259</f>
        <v>14778.358813477245</v>
      </c>
      <c r="BX1259" s="1146">
        <f t="shared" si="241"/>
        <v>103742.06385700345</v>
      </c>
      <c r="BY1259" s="867">
        <f t="shared" si="244"/>
        <v>233439.41688570037</v>
      </c>
      <c r="BZ1259" s="867">
        <f t="shared" si="242"/>
        <v>2334394.1688570036</v>
      </c>
      <c r="CA1259" s="867">
        <f>_xlfn.MAXIFS($BY$4:$BY$12824,$S$4:$S$12824,$S1259)</f>
        <v>233439.41688570037</v>
      </c>
      <c r="CB1259" s="1032"/>
      <c r="CF1259" s="946">
        <f t="shared" si="243"/>
        <v>2230652.105</v>
      </c>
    </row>
    <row r="1260" spans="2:84">
      <c r="B1260" s="839" t="s">
        <v>98</v>
      </c>
      <c r="C1260" s="839" t="s">
        <v>2689</v>
      </c>
      <c r="D1260" s="839" t="s">
        <v>4271</v>
      </c>
      <c r="E1260" s="839" t="s">
        <v>4272</v>
      </c>
      <c r="F1260" s="841">
        <v>45675</v>
      </c>
      <c r="G1260" s="868" t="s">
        <v>2689</v>
      </c>
      <c r="H1260" s="842" t="s">
        <v>134</v>
      </c>
      <c r="I1260" s="883"/>
      <c r="J1260" s="841"/>
      <c r="K1260" s="841"/>
      <c r="L1260" s="843" t="s">
        <v>106</v>
      </c>
      <c r="M1260" s="844" t="s">
        <v>107</v>
      </c>
      <c r="N1260" s="841"/>
      <c r="O1260" s="884" t="s">
        <v>135</v>
      </c>
      <c r="P1260" s="842"/>
      <c r="Q1260" s="843"/>
      <c r="R1260" s="845">
        <v>20316008</v>
      </c>
      <c r="S1260" s="1127" t="s">
        <v>4340</v>
      </c>
      <c r="T1260" s="885" t="s">
        <v>4341</v>
      </c>
      <c r="U1260" s="886">
        <v>10</v>
      </c>
      <c r="V1260" s="842" t="s">
        <v>3</v>
      </c>
      <c r="W1260" s="846">
        <v>12</v>
      </c>
      <c r="X1260" s="847">
        <f t="shared" si="236"/>
        <v>120</v>
      </c>
      <c r="Y1260" s="848">
        <f t="shared" si="246"/>
        <v>0.38583333333333331</v>
      </c>
      <c r="Z1260" s="849">
        <v>7.37</v>
      </c>
      <c r="AA1260" s="854"/>
      <c r="AB1260" s="849">
        <f t="shared" si="237"/>
        <v>73.7</v>
      </c>
      <c r="AC1260" s="850">
        <f t="shared" si="238"/>
        <v>73.7</v>
      </c>
      <c r="AD1260" s="887">
        <f t="shared" si="235"/>
        <v>32000</v>
      </c>
      <c r="AE1260" s="888">
        <v>30266.65</v>
      </c>
      <c r="AF1260" s="853">
        <v>0</v>
      </c>
      <c r="AG1260" s="854">
        <f t="shared" si="239"/>
        <v>0</v>
      </c>
      <c r="AH1260" s="853" t="s">
        <v>4322</v>
      </c>
      <c r="AI1260" s="855">
        <f t="shared" si="240"/>
        <v>223065.21050000002</v>
      </c>
      <c r="AJ1260" s="845" t="s">
        <v>3318</v>
      </c>
      <c r="AK1260" s="857">
        <v>45796</v>
      </c>
      <c r="AL1260" s="843" t="s">
        <v>4263</v>
      </c>
      <c r="AM1260" s="843" t="s">
        <v>4264</v>
      </c>
      <c r="AN1260" s="844" t="s">
        <v>4265</v>
      </c>
      <c r="AO1260" s="844" t="s">
        <v>141</v>
      </c>
      <c r="AP1260" s="841"/>
      <c r="AQ1260" s="841">
        <v>45821</v>
      </c>
      <c r="AR1260" s="841">
        <v>45865</v>
      </c>
      <c r="AS1260" s="842" t="s">
        <v>4266</v>
      </c>
      <c r="AT1260" s="842" t="s">
        <v>1235</v>
      </c>
      <c r="AU1260" s="842" t="s">
        <v>3794</v>
      </c>
      <c r="AV1260" s="845" t="s">
        <v>4273</v>
      </c>
      <c r="AW1260" s="861">
        <v>45867</v>
      </c>
      <c r="AX1260" s="862">
        <v>45873</v>
      </c>
      <c r="AY1260" s="843" t="s">
        <v>4342</v>
      </c>
      <c r="AZ1260" s="842" t="s">
        <v>4324</v>
      </c>
      <c r="BA1260" s="842" t="s">
        <v>120</v>
      </c>
      <c r="BB1260" s="863" t="s">
        <v>121</v>
      </c>
      <c r="BC1260" s="864">
        <v>45867</v>
      </c>
      <c r="BD1260" s="860" t="s">
        <v>4270</v>
      </c>
      <c r="BE1260" s="865" cm="1">
        <f t="array" ref="BE1260">IF(BD1260="","",AC1260/SUMPRODUCT(--(BD1260=$BD$4:$BD$12824),$AC$4:$AC$12824))</f>
        <v>1.6536083214417142E-3</v>
      </c>
      <c r="BF1260" s="458"/>
      <c r="BG1260" s="458"/>
      <c r="BH1260" s="458"/>
      <c r="BI1260" s="458"/>
      <c r="BJ1260" s="458"/>
      <c r="BK1260" s="458"/>
      <c r="BL1260" s="458"/>
      <c r="BM1260" s="458"/>
      <c r="BN1260" s="458"/>
      <c r="BO1260" s="866">
        <f>VLOOKUP(BD1260,$BD$4:$BN$12824,3,0)*BE1260</f>
        <v>59321.809500731484</v>
      </c>
      <c r="BP1260" s="866"/>
      <c r="BQ1260" s="866"/>
      <c r="BR1260" s="866">
        <f>VLOOKUP(BD1260,$BD$4:$BN$12824,6,0)*BE1260</f>
        <v>26515.001580147873</v>
      </c>
      <c r="BS1260" s="866">
        <f>VLOOKUP(BD1260,$BD$4:$BN$12824,7,0)*BE1260</f>
        <v>2233.9454690683265</v>
      </c>
      <c r="BT1260" s="866"/>
      <c r="BU1260" s="866">
        <f>VLOOKUP(BD1260,$BD$4:$BN$12824,9,0)*BE1260</f>
        <v>892.9484935785257</v>
      </c>
      <c r="BV1260" s="867"/>
      <c r="BW1260" s="867">
        <f>VLOOKUP(BD1260,$BD$4:$BN$12824,11,0)*BE1260</f>
        <v>14778.358813477245</v>
      </c>
      <c r="BX1260" s="1146">
        <f t="shared" si="241"/>
        <v>103742.06385700345</v>
      </c>
      <c r="BY1260" s="867">
        <f t="shared" si="244"/>
        <v>233439.41688570037</v>
      </c>
      <c r="BZ1260" s="867">
        <f t="shared" si="242"/>
        <v>2334394.1688570036</v>
      </c>
      <c r="CA1260" s="867">
        <f>_xlfn.MAXIFS($BY$4:$BY$12824,$S$4:$S$12824,$S1260)</f>
        <v>233439.41688570037</v>
      </c>
      <c r="CB1260" s="1032"/>
      <c r="CF1260" s="946">
        <f t="shared" si="243"/>
        <v>2230652.105</v>
      </c>
    </row>
    <row r="1261" spans="2:84">
      <c r="B1261" s="839" t="s">
        <v>98</v>
      </c>
      <c r="C1261" s="839" t="s">
        <v>2689</v>
      </c>
      <c r="D1261" s="839" t="s">
        <v>4271</v>
      </c>
      <c r="E1261" s="839" t="s">
        <v>4272</v>
      </c>
      <c r="F1261" s="841">
        <v>45675</v>
      </c>
      <c r="G1261" s="868" t="s">
        <v>2689</v>
      </c>
      <c r="H1261" s="842" t="s">
        <v>134</v>
      </c>
      <c r="I1261" s="883"/>
      <c r="J1261" s="841"/>
      <c r="K1261" s="841"/>
      <c r="L1261" s="843" t="s">
        <v>106</v>
      </c>
      <c r="M1261" s="844" t="s">
        <v>107</v>
      </c>
      <c r="N1261" s="841"/>
      <c r="O1261" s="884" t="s">
        <v>135</v>
      </c>
      <c r="P1261" s="842"/>
      <c r="Q1261" s="843"/>
      <c r="R1261" s="845">
        <v>20316009</v>
      </c>
      <c r="S1261" s="1127" t="s">
        <v>4343</v>
      </c>
      <c r="T1261" s="885" t="s">
        <v>4344</v>
      </c>
      <c r="U1261" s="886">
        <v>10</v>
      </c>
      <c r="V1261" s="842" t="s">
        <v>3</v>
      </c>
      <c r="W1261" s="846">
        <v>12</v>
      </c>
      <c r="X1261" s="847">
        <f t="shared" si="236"/>
        <v>120</v>
      </c>
      <c r="Y1261" s="848">
        <f t="shared" si="246"/>
        <v>0.38583333333333331</v>
      </c>
      <c r="Z1261" s="849">
        <v>7.37</v>
      </c>
      <c r="AA1261" s="854"/>
      <c r="AB1261" s="849">
        <f t="shared" si="237"/>
        <v>73.7</v>
      </c>
      <c r="AC1261" s="850">
        <f t="shared" si="238"/>
        <v>73.7</v>
      </c>
      <c r="AD1261" s="887">
        <f t="shared" si="235"/>
        <v>32000</v>
      </c>
      <c r="AE1261" s="888">
        <v>30266.65</v>
      </c>
      <c r="AF1261" s="853">
        <v>0</v>
      </c>
      <c r="AG1261" s="854">
        <f t="shared" si="239"/>
        <v>0</v>
      </c>
      <c r="AH1261" s="853" t="s">
        <v>4322</v>
      </c>
      <c r="AI1261" s="855">
        <f t="shared" si="240"/>
        <v>223065.21050000002</v>
      </c>
      <c r="AJ1261" s="845" t="s">
        <v>3318</v>
      </c>
      <c r="AK1261" s="857">
        <v>45796</v>
      </c>
      <c r="AL1261" s="843" t="s">
        <v>4263</v>
      </c>
      <c r="AM1261" s="843" t="s">
        <v>4264</v>
      </c>
      <c r="AN1261" s="844" t="s">
        <v>4265</v>
      </c>
      <c r="AO1261" s="844" t="s">
        <v>141</v>
      </c>
      <c r="AP1261" s="841"/>
      <c r="AQ1261" s="841">
        <v>45821</v>
      </c>
      <c r="AR1261" s="841">
        <v>45865</v>
      </c>
      <c r="AS1261" s="842" t="s">
        <v>4266</v>
      </c>
      <c r="AT1261" s="842" t="s">
        <v>1235</v>
      </c>
      <c r="AU1261" s="842" t="s">
        <v>3794</v>
      </c>
      <c r="AV1261" s="845" t="s">
        <v>4273</v>
      </c>
      <c r="AW1261" s="861">
        <v>45867</v>
      </c>
      <c r="AX1261" s="862">
        <v>45873</v>
      </c>
      <c r="AY1261" s="843" t="s">
        <v>4345</v>
      </c>
      <c r="AZ1261" s="842" t="s">
        <v>4324</v>
      </c>
      <c r="BA1261" s="842" t="s">
        <v>120</v>
      </c>
      <c r="BB1261" s="863" t="s">
        <v>121</v>
      </c>
      <c r="BC1261" s="864">
        <v>45867</v>
      </c>
      <c r="BD1261" s="860" t="s">
        <v>4270</v>
      </c>
      <c r="BE1261" s="865" cm="1">
        <f t="array" ref="BE1261">IF(BD1261="","",AC1261/SUMPRODUCT(--(BD1261=$BD$4:$BD$12824),$AC$4:$AC$12824))</f>
        <v>1.6536083214417142E-3</v>
      </c>
      <c r="BF1261" s="458"/>
      <c r="BG1261" s="458"/>
      <c r="BH1261" s="458"/>
      <c r="BI1261" s="458"/>
      <c r="BJ1261" s="458"/>
      <c r="BK1261" s="458"/>
      <c r="BL1261" s="458"/>
      <c r="BM1261" s="458"/>
      <c r="BN1261" s="458"/>
      <c r="BO1261" s="866">
        <f>VLOOKUP(BD1261,$BD$4:$BN$12824,3,0)*BE1261</f>
        <v>59321.809500731484</v>
      </c>
      <c r="BP1261" s="866"/>
      <c r="BQ1261" s="866"/>
      <c r="BR1261" s="866">
        <f>VLOOKUP(BD1261,$BD$4:$BN$12824,6,0)*BE1261</f>
        <v>26515.001580147873</v>
      </c>
      <c r="BS1261" s="866">
        <f>VLOOKUP(BD1261,$BD$4:$BN$12824,7,0)*BE1261</f>
        <v>2233.9454690683265</v>
      </c>
      <c r="BT1261" s="866"/>
      <c r="BU1261" s="866">
        <f>VLOOKUP(BD1261,$BD$4:$BN$12824,9,0)*BE1261</f>
        <v>892.9484935785257</v>
      </c>
      <c r="BV1261" s="867"/>
      <c r="BW1261" s="867">
        <f>VLOOKUP(BD1261,$BD$4:$BN$12824,11,0)*BE1261</f>
        <v>14778.358813477245</v>
      </c>
      <c r="BX1261" s="1146">
        <f t="shared" si="241"/>
        <v>103742.06385700345</v>
      </c>
      <c r="BY1261" s="867">
        <f t="shared" si="244"/>
        <v>233439.41688570037</v>
      </c>
      <c r="BZ1261" s="867">
        <f t="shared" si="242"/>
        <v>2334394.1688570036</v>
      </c>
      <c r="CA1261" s="867">
        <f>_xlfn.MAXIFS($BY$4:$BY$12824,$S$4:$S$12824,$S1261)</f>
        <v>233439.41688570037</v>
      </c>
      <c r="CB1261" s="1032"/>
      <c r="CF1261" s="946">
        <f t="shared" si="243"/>
        <v>2230652.105</v>
      </c>
    </row>
    <row r="1262" spans="2:84">
      <c r="B1262" s="839" t="s">
        <v>98</v>
      </c>
      <c r="C1262" s="839" t="s">
        <v>2689</v>
      </c>
      <c r="D1262" s="839" t="s">
        <v>4271</v>
      </c>
      <c r="E1262" s="839" t="s">
        <v>4272</v>
      </c>
      <c r="F1262" s="841">
        <v>45675</v>
      </c>
      <c r="G1262" s="868" t="s">
        <v>2689</v>
      </c>
      <c r="H1262" s="842" t="s">
        <v>134</v>
      </c>
      <c r="I1262" s="883"/>
      <c r="J1262" s="841"/>
      <c r="K1262" s="841"/>
      <c r="L1262" s="843" t="s">
        <v>106</v>
      </c>
      <c r="M1262" s="844" t="s">
        <v>107</v>
      </c>
      <c r="N1262" s="841"/>
      <c r="O1262" s="884" t="s">
        <v>135</v>
      </c>
      <c r="P1262" s="842"/>
      <c r="Q1262" s="843"/>
      <c r="R1262" s="845">
        <v>20339401</v>
      </c>
      <c r="S1262" s="1127" t="s">
        <v>4346</v>
      </c>
      <c r="T1262" s="885" t="s">
        <v>4347</v>
      </c>
      <c r="U1262" s="886">
        <v>5</v>
      </c>
      <c r="V1262" s="842" t="s">
        <v>3</v>
      </c>
      <c r="W1262" s="846">
        <v>125</v>
      </c>
      <c r="X1262" s="847">
        <f t="shared" si="236"/>
        <v>625</v>
      </c>
      <c r="Y1262" s="848">
        <f t="shared" si="246"/>
        <v>0.50856000000000001</v>
      </c>
      <c r="Z1262" s="849">
        <v>61.43</v>
      </c>
      <c r="AA1262" s="854"/>
      <c r="AB1262" s="849">
        <f t="shared" si="237"/>
        <v>307.14999999999998</v>
      </c>
      <c r="AC1262" s="850">
        <f t="shared" si="238"/>
        <v>307.14999999999998</v>
      </c>
      <c r="AD1262" s="887">
        <f t="shared" si="235"/>
        <v>32000</v>
      </c>
      <c r="AE1262" s="888">
        <v>30266.65</v>
      </c>
      <c r="AF1262" s="853">
        <v>0.05</v>
      </c>
      <c r="AG1262" s="854">
        <f t="shared" si="239"/>
        <v>477646.97706222796</v>
      </c>
      <c r="AH1262" s="853" t="s">
        <v>4262</v>
      </c>
      <c r="AI1262" s="855">
        <f t="shared" si="240"/>
        <v>781923.88196497818</v>
      </c>
      <c r="AJ1262" s="845" t="s">
        <v>3318</v>
      </c>
      <c r="AK1262" s="857">
        <v>45796</v>
      </c>
      <c r="AL1262" s="843" t="s">
        <v>4263</v>
      </c>
      <c r="AM1262" s="843" t="s">
        <v>4264</v>
      </c>
      <c r="AN1262" s="844" t="s">
        <v>4265</v>
      </c>
      <c r="AO1262" s="844" t="s">
        <v>141</v>
      </c>
      <c r="AP1262" s="841"/>
      <c r="AQ1262" s="841">
        <v>45821</v>
      </c>
      <c r="AR1262" s="841">
        <v>45865</v>
      </c>
      <c r="AS1262" s="842" t="s">
        <v>4266</v>
      </c>
      <c r="AT1262" s="842" t="s">
        <v>1235</v>
      </c>
      <c r="AU1262" s="842" t="s">
        <v>3794</v>
      </c>
      <c r="AV1262" s="845" t="s">
        <v>4273</v>
      </c>
      <c r="AW1262" s="861">
        <v>45867</v>
      </c>
      <c r="AX1262" s="862">
        <v>45873</v>
      </c>
      <c r="AY1262" s="843" t="s">
        <v>4348</v>
      </c>
      <c r="AZ1262" s="842" t="s">
        <v>4349</v>
      </c>
      <c r="BA1262" s="842" t="s">
        <v>120</v>
      </c>
      <c r="BB1262" s="863" t="s">
        <v>121</v>
      </c>
      <c r="BC1262" s="864">
        <v>45867</v>
      </c>
      <c r="BD1262" s="860" t="s">
        <v>4270</v>
      </c>
      <c r="BE1262" s="865" cm="1">
        <f t="array" ref="BE1262">IF(BD1262="","",AC1262/SUMPRODUCT(--(BD1262=$BD$4:$BD$12824),$AC$4:$AC$12824))</f>
        <v>6.8915304739595989E-3</v>
      </c>
      <c r="BF1262" s="458"/>
      <c r="BG1262" s="458"/>
      <c r="BH1262" s="458"/>
      <c r="BI1262" s="458"/>
      <c r="BJ1262" s="458"/>
      <c r="BK1262" s="458"/>
      <c r="BL1262" s="458"/>
      <c r="BM1262" s="458"/>
      <c r="BN1262" s="458"/>
      <c r="BO1262" s="866">
        <f>VLOOKUP(BD1262,$BD$4:$BN$12824,3,0)*BE1262</f>
        <v>247227.86686770248</v>
      </c>
      <c r="BP1262" s="866"/>
      <c r="BQ1262" s="866"/>
      <c r="BR1262" s="866">
        <f>VLOOKUP(BD1262,$BD$4:$BN$12824,6,0)*BE1262</f>
        <v>110503.15787438831</v>
      </c>
      <c r="BS1262" s="866">
        <f>VLOOKUP(BD1262,$BD$4:$BN$12824,7,0)*BE1262</f>
        <v>9310.1268768566679</v>
      </c>
      <c r="BT1262" s="866"/>
      <c r="BU1262" s="866">
        <f>VLOOKUP(BD1262,$BD$4:$BN$12824,9,0)*BE1262</f>
        <v>3721.4264559381836</v>
      </c>
      <c r="BV1262" s="867"/>
      <c r="BW1262" s="867">
        <f>VLOOKUP(BD1262,$BD$4:$BN$12824,11,0)*BE1262</f>
        <v>61589.863087646343</v>
      </c>
      <c r="BX1262" s="1146">
        <f t="shared" si="241"/>
        <v>432352.44116253196</v>
      </c>
      <c r="BY1262" s="867">
        <f t="shared" si="244"/>
        <v>2041280.1931449517</v>
      </c>
      <c r="BZ1262" s="867">
        <f t="shared" si="242"/>
        <v>10206400.965724759</v>
      </c>
      <c r="CA1262" s="867">
        <f>_xlfn.MAXIFS($BY$4:$BY$12824,$S$4:$S$12824,$S1262)</f>
        <v>2041280.1931449517</v>
      </c>
      <c r="CB1262" s="1032"/>
      <c r="CF1262" s="946">
        <f t="shared" si="243"/>
        <v>9296401.5474999994</v>
      </c>
    </row>
    <row r="1263" spans="2:84">
      <c r="B1263" s="839" t="s">
        <v>98</v>
      </c>
      <c r="C1263" s="839" t="s">
        <v>2689</v>
      </c>
      <c r="D1263" s="839" t="s">
        <v>4271</v>
      </c>
      <c r="E1263" s="839" t="s">
        <v>4272</v>
      </c>
      <c r="F1263" s="841">
        <v>45675</v>
      </c>
      <c r="G1263" s="868" t="s">
        <v>2689</v>
      </c>
      <c r="H1263" s="842" t="s">
        <v>134</v>
      </c>
      <c r="I1263" s="883"/>
      <c r="J1263" s="841"/>
      <c r="K1263" s="841"/>
      <c r="L1263" s="843" t="s">
        <v>106</v>
      </c>
      <c r="M1263" s="844" t="s">
        <v>107</v>
      </c>
      <c r="N1263" s="841"/>
      <c r="O1263" s="884" t="s">
        <v>135</v>
      </c>
      <c r="P1263" s="842"/>
      <c r="Q1263" s="843"/>
      <c r="R1263" s="845">
        <v>20339402</v>
      </c>
      <c r="S1263" s="1127" t="s">
        <v>4350</v>
      </c>
      <c r="T1263" s="885" t="s">
        <v>4351</v>
      </c>
      <c r="U1263" s="886">
        <v>5</v>
      </c>
      <c r="V1263" s="842" t="s">
        <v>3</v>
      </c>
      <c r="W1263" s="846">
        <v>125</v>
      </c>
      <c r="X1263" s="847">
        <f t="shared" si="236"/>
        <v>625</v>
      </c>
      <c r="Y1263" s="848">
        <f t="shared" si="246"/>
        <v>0.50856000000000001</v>
      </c>
      <c r="Z1263" s="849">
        <v>61.43</v>
      </c>
      <c r="AA1263" s="854"/>
      <c r="AB1263" s="849">
        <f t="shared" si="237"/>
        <v>307.14999999999998</v>
      </c>
      <c r="AC1263" s="850">
        <f t="shared" si="238"/>
        <v>307.14999999999998</v>
      </c>
      <c r="AD1263" s="887">
        <f t="shared" si="235"/>
        <v>32000</v>
      </c>
      <c r="AE1263" s="888">
        <v>30266.65</v>
      </c>
      <c r="AF1263" s="853">
        <v>0.05</v>
      </c>
      <c r="AG1263" s="854">
        <f t="shared" si="239"/>
        <v>477646.97706222796</v>
      </c>
      <c r="AH1263" s="853" t="s">
        <v>4262</v>
      </c>
      <c r="AI1263" s="855">
        <f t="shared" si="240"/>
        <v>781923.88196497818</v>
      </c>
      <c r="AJ1263" s="845" t="s">
        <v>3318</v>
      </c>
      <c r="AK1263" s="857">
        <v>45796</v>
      </c>
      <c r="AL1263" s="843" t="s">
        <v>4263</v>
      </c>
      <c r="AM1263" s="843" t="s">
        <v>4264</v>
      </c>
      <c r="AN1263" s="844" t="s">
        <v>4265</v>
      </c>
      <c r="AO1263" s="844" t="s">
        <v>141</v>
      </c>
      <c r="AP1263" s="841"/>
      <c r="AQ1263" s="841">
        <v>45821</v>
      </c>
      <c r="AR1263" s="841">
        <v>45865</v>
      </c>
      <c r="AS1263" s="842" t="s">
        <v>4266</v>
      </c>
      <c r="AT1263" s="842" t="s">
        <v>1235</v>
      </c>
      <c r="AU1263" s="842" t="s">
        <v>3794</v>
      </c>
      <c r="AV1263" s="845" t="s">
        <v>4275</v>
      </c>
      <c r="AW1263" s="861">
        <v>45867</v>
      </c>
      <c r="AX1263" s="862">
        <v>45873</v>
      </c>
      <c r="AY1263" s="843" t="s">
        <v>4352</v>
      </c>
      <c r="AZ1263" s="842" t="s">
        <v>4349</v>
      </c>
      <c r="BA1263" s="842" t="s">
        <v>120</v>
      </c>
      <c r="BB1263" s="863" t="s">
        <v>121</v>
      </c>
      <c r="BC1263" s="864">
        <v>45867</v>
      </c>
      <c r="BD1263" s="860" t="s">
        <v>4270</v>
      </c>
      <c r="BE1263" s="865" cm="1">
        <f t="array" ref="BE1263">IF(BD1263="","",AC1263/SUMPRODUCT(--(BD1263=$BD$4:$BD$12824),$AC$4:$AC$12824))</f>
        <v>6.8915304739595989E-3</v>
      </c>
      <c r="BF1263" s="458"/>
      <c r="BG1263" s="458"/>
      <c r="BH1263" s="458"/>
      <c r="BI1263" s="458"/>
      <c r="BJ1263" s="458"/>
      <c r="BK1263" s="458"/>
      <c r="BL1263" s="458"/>
      <c r="BM1263" s="458"/>
      <c r="BN1263" s="458"/>
      <c r="BO1263" s="866">
        <f>VLOOKUP(BD1263,$BD$4:$BN$12824,3,0)*BE1263</f>
        <v>247227.86686770248</v>
      </c>
      <c r="BP1263" s="866"/>
      <c r="BQ1263" s="866"/>
      <c r="BR1263" s="866">
        <f>VLOOKUP(BD1263,$BD$4:$BN$12824,6,0)*BE1263</f>
        <v>110503.15787438831</v>
      </c>
      <c r="BS1263" s="866">
        <f>VLOOKUP(BD1263,$BD$4:$BN$12824,7,0)*BE1263</f>
        <v>9310.1268768566679</v>
      </c>
      <c r="BT1263" s="866"/>
      <c r="BU1263" s="866">
        <f>VLOOKUP(BD1263,$BD$4:$BN$12824,9,0)*BE1263</f>
        <v>3721.4264559381836</v>
      </c>
      <c r="BV1263" s="867"/>
      <c r="BW1263" s="867">
        <f>VLOOKUP(BD1263,$BD$4:$BN$12824,11,0)*BE1263</f>
        <v>61589.863087646343</v>
      </c>
      <c r="BX1263" s="1146">
        <f t="shared" si="241"/>
        <v>432352.44116253196</v>
      </c>
      <c r="BY1263" s="867">
        <f t="shared" si="244"/>
        <v>2041280.1931449517</v>
      </c>
      <c r="BZ1263" s="867">
        <f t="shared" si="242"/>
        <v>10206400.965724759</v>
      </c>
      <c r="CA1263" s="867">
        <f>_xlfn.MAXIFS($BY$4:$BY$12824,$S$4:$S$12824,$S1263)</f>
        <v>2041280.1931449517</v>
      </c>
      <c r="CB1263" s="1032"/>
      <c r="CF1263" s="946">
        <f t="shared" si="243"/>
        <v>9296401.5474999994</v>
      </c>
    </row>
    <row r="1264" spans="2:84">
      <c r="B1264" s="839" t="s">
        <v>98</v>
      </c>
      <c r="C1264" s="839" t="s">
        <v>2689</v>
      </c>
      <c r="D1264" s="839" t="s">
        <v>4271</v>
      </c>
      <c r="E1264" s="839" t="s">
        <v>4272</v>
      </c>
      <c r="F1264" s="841">
        <v>45675</v>
      </c>
      <c r="G1264" s="868" t="s">
        <v>2689</v>
      </c>
      <c r="H1264" s="842" t="s">
        <v>134</v>
      </c>
      <c r="I1264" s="883"/>
      <c r="J1264" s="841"/>
      <c r="K1264" s="841"/>
      <c r="L1264" s="843" t="s">
        <v>106</v>
      </c>
      <c r="M1264" s="844" t="s">
        <v>107</v>
      </c>
      <c r="N1264" s="841"/>
      <c r="O1264" s="884" t="s">
        <v>135</v>
      </c>
      <c r="P1264" s="842"/>
      <c r="Q1264" s="843"/>
      <c r="R1264" s="845">
        <v>20224201</v>
      </c>
      <c r="S1264" s="1127" t="s">
        <v>4353</v>
      </c>
      <c r="T1264" s="885" t="s">
        <v>4354</v>
      </c>
      <c r="U1264" s="886">
        <v>2</v>
      </c>
      <c r="V1264" s="842" t="s">
        <v>3</v>
      </c>
      <c r="W1264" s="846">
        <v>245</v>
      </c>
      <c r="X1264" s="847">
        <f t="shared" si="236"/>
        <v>490</v>
      </c>
      <c r="Y1264" s="848">
        <f t="shared" si="246"/>
        <v>0.50053061224489792</v>
      </c>
      <c r="Z1264" s="849">
        <v>122.37</v>
      </c>
      <c r="AA1264" s="854"/>
      <c r="AB1264" s="849">
        <f t="shared" si="237"/>
        <v>244.74</v>
      </c>
      <c r="AC1264" s="850">
        <f t="shared" si="238"/>
        <v>244.74</v>
      </c>
      <c r="AD1264" s="887">
        <f t="shared" si="235"/>
        <v>32000</v>
      </c>
      <c r="AE1264" s="888">
        <v>30266.65</v>
      </c>
      <c r="AF1264" s="853">
        <v>0.05</v>
      </c>
      <c r="AG1264" s="854">
        <f t="shared" si="239"/>
        <v>380593.58999254339</v>
      </c>
      <c r="AH1264" s="853" t="s">
        <v>4262</v>
      </c>
      <c r="AI1264" s="855">
        <f t="shared" si="240"/>
        <v>623044.28087940358</v>
      </c>
      <c r="AJ1264" s="845" t="s">
        <v>3318</v>
      </c>
      <c r="AK1264" s="857">
        <v>45796</v>
      </c>
      <c r="AL1264" s="843" t="s">
        <v>4263</v>
      </c>
      <c r="AM1264" s="843" t="s">
        <v>4264</v>
      </c>
      <c r="AN1264" s="844" t="s">
        <v>4265</v>
      </c>
      <c r="AO1264" s="844" t="s">
        <v>141</v>
      </c>
      <c r="AP1264" s="841"/>
      <c r="AQ1264" s="841">
        <v>45821</v>
      </c>
      <c r="AR1264" s="841">
        <v>45865</v>
      </c>
      <c r="AS1264" s="842" t="s">
        <v>4266</v>
      </c>
      <c r="AT1264" s="842" t="s">
        <v>1235</v>
      </c>
      <c r="AU1264" s="842" t="s">
        <v>3794</v>
      </c>
      <c r="AV1264" s="845" t="s">
        <v>4273</v>
      </c>
      <c r="AW1264" s="861">
        <v>45867</v>
      </c>
      <c r="AX1264" s="862">
        <v>45873</v>
      </c>
      <c r="AY1264" s="843" t="s">
        <v>4355</v>
      </c>
      <c r="AZ1264" s="842" t="s">
        <v>4349</v>
      </c>
      <c r="BA1264" s="842" t="s">
        <v>120</v>
      </c>
      <c r="BB1264" s="863" t="s">
        <v>121</v>
      </c>
      <c r="BC1264" s="864">
        <v>45867</v>
      </c>
      <c r="BD1264" s="860" t="s">
        <v>4270</v>
      </c>
      <c r="BE1264" s="865" cm="1">
        <f t="array" ref="BE1264">IF(BD1264="","",AC1264/SUMPRODUCT(--(BD1264=$BD$4:$BD$12824),$AC$4:$AC$12824))</f>
        <v>5.4912361002665546E-3</v>
      </c>
      <c r="BF1264" s="458"/>
      <c r="BG1264" s="458"/>
      <c r="BH1264" s="458"/>
      <c r="BI1264" s="458"/>
      <c r="BJ1264" s="458"/>
      <c r="BK1264" s="458"/>
      <c r="BL1264" s="458"/>
      <c r="BM1264" s="458"/>
      <c r="BN1264" s="458"/>
      <c r="BO1264" s="866">
        <f>VLOOKUP(BD1264,$BD$4:$BN$12824,3,0)*BE1264</f>
        <v>196993.48245873844</v>
      </c>
      <c r="BP1264" s="866"/>
      <c r="BQ1264" s="866"/>
      <c r="BR1264" s="866">
        <f>VLOOKUP(BD1264,$BD$4:$BN$12824,6,0)*BE1264</f>
        <v>88049.952330059561</v>
      </c>
      <c r="BS1264" s="866">
        <f>VLOOKUP(BD1264,$BD$4:$BN$12824,7,0)*BE1264</f>
        <v>7418.3963921273025</v>
      </c>
      <c r="BT1264" s="866"/>
      <c r="BU1264" s="866">
        <f>VLOOKUP(BD1264,$BD$4:$BN$12824,9,0)*BE1264</f>
        <v>2965.2674941439395</v>
      </c>
      <c r="BV1264" s="867"/>
      <c r="BW1264" s="867">
        <f>VLOOKUP(BD1264,$BD$4:$BN$12824,11,0)*BE1264</f>
        <v>49075.380407197023</v>
      </c>
      <c r="BX1264" s="1146">
        <f t="shared" si="241"/>
        <v>344502.47908226622</v>
      </c>
      <c r="BY1264" s="867">
        <f t="shared" si="244"/>
        <v>4066277.9950374053</v>
      </c>
      <c r="BZ1264" s="867">
        <f t="shared" si="242"/>
        <v>8132555.9900748106</v>
      </c>
      <c r="CA1264" s="867">
        <f>_xlfn.MAXIFS($BY$4:$BY$12824,$S$4:$S$12824,$S1264)</f>
        <v>4066277.9950374053</v>
      </c>
      <c r="CB1264" s="1032"/>
      <c r="CF1264" s="946">
        <f t="shared" si="243"/>
        <v>7407459.921000001</v>
      </c>
    </row>
    <row r="1265" spans="2:84">
      <c r="B1265" s="839" t="s">
        <v>98</v>
      </c>
      <c r="C1265" s="839" t="s">
        <v>2689</v>
      </c>
      <c r="D1265" s="839" t="s">
        <v>4271</v>
      </c>
      <c r="E1265" s="839" t="s">
        <v>4272</v>
      </c>
      <c r="F1265" s="841">
        <v>45675</v>
      </c>
      <c r="G1265" s="868" t="s">
        <v>2689</v>
      </c>
      <c r="H1265" s="842" t="s">
        <v>134</v>
      </c>
      <c r="I1265" s="883"/>
      <c r="J1265" s="841"/>
      <c r="K1265" s="841"/>
      <c r="L1265" s="843" t="s">
        <v>106</v>
      </c>
      <c r="M1265" s="844" t="s">
        <v>107</v>
      </c>
      <c r="N1265" s="841"/>
      <c r="O1265" s="884" t="s">
        <v>135</v>
      </c>
      <c r="P1265" s="842"/>
      <c r="Q1265" s="843"/>
      <c r="R1265" s="845">
        <v>20200101</v>
      </c>
      <c r="S1265" s="1127" t="s">
        <v>4356</v>
      </c>
      <c r="T1265" s="885" t="s">
        <v>4357</v>
      </c>
      <c r="U1265" s="886">
        <v>2</v>
      </c>
      <c r="V1265" s="842" t="s">
        <v>3</v>
      </c>
      <c r="W1265" s="846">
        <v>245</v>
      </c>
      <c r="X1265" s="847">
        <f t="shared" si="236"/>
        <v>490</v>
      </c>
      <c r="Y1265" s="848">
        <f t="shared" si="246"/>
        <v>0.50053061224489792</v>
      </c>
      <c r="Z1265" s="849">
        <v>122.37</v>
      </c>
      <c r="AA1265" s="854"/>
      <c r="AB1265" s="849">
        <f t="shared" si="237"/>
        <v>244.74</v>
      </c>
      <c r="AC1265" s="850">
        <f t="shared" si="238"/>
        <v>244.74</v>
      </c>
      <c r="AD1265" s="887">
        <f t="shared" si="235"/>
        <v>32000</v>
      </c>
      <c r="AE1265" s="888">
        <v>30266.65</v>
      </c>
      <c r="AF1265" s="853">
        <v>0.05</v>
      </c>
      <c r="AG1265" s="854">
        <f t="shared" si="239"/>
        <v>380593.58999254339</v>
      </c>
      <c r="AH1265" s="853" t="s">
        <v>4262</v>
      </c>
      <c r="AI1265" s="855">
        <f t="shared" si="240"/>
        <v>623044.28087940358</v>
      </c>
      <c r="AJ1265" s="845" t="s">
        <v>3318</v>
      </c>
      <c r="AK1265" s="857">
        <v>45796</v>
      </c>
      <c r="AL1265" s="843" t="s">
        <v>4263</v>
      </c>
      <c r="AM1265" s="843" t="s">
        <v>4264</v>
      </c>
      <c r="AN1265" s="844" t="s">
        <v>4265</v>
      </c>
      <c r="AO1265" s="844" t="s">
        <v>141</v>
      </c>
      <c r="AP1265" s="841"/>
      <c r="AQ1265" s="841">
        <v>45821</v>
      </c>
      <c r="AR1265" s="841">
        <v>45865</v>
      </c>
      <c r="AS1265" s="842" t="s">
        <v>4266</v>
      </c>
      <c r="AT1265" s="842" t="s">
        <v>1235</v>
      </c>
      <c r="AU1265" s="842" t="s">
        <v>3794</v>
      </c>
      <c r="AV1265" s="845" t="s">
        <v>4275</v>
      </c>
      <c r="AW1265" s="861">
        <v>45867</v>
      </c>
      <c r="AX1265" s="862">
        <v>45873</v>
      </c>
      <c r="AY1265" s="843" t="s">
        <v>4358</v>
      </c>
      <c r="AZ1265" s="842" t="s">
        <v>4349</v>
      </c>
      <c r="BA1265" s="842" t="s">
        <v>120</v>
      </c>
      <c r="BB1265" s="863" t="s">
        <v>121</v>
      </c>
      <c r="BC1265" s="864">
        <v>45867</v>
      </c>
      <c r="BD1265" s="860" t="s">
        <v>4270</v>
      </c>
      <c r="BE1265" s="865" cm="1">
        <f t="array" ref="BE1265">IF(BD1265="","",AC1265/SUMPRODUCT(--(BD1265=$BD$4:$BD$12824),$AC$4:$AC$12824))</f>
        <v>5.4912361002665546E-3</v>
      </c>
      <c r="BF1265" s="458"/>
      <c r="BG1265" s="458"/>
      <c r="BH1265" s="458"/>
      <c r="BI1265" s="458"/>
      <c r="BJ1265" s="458"/>
      <c r="BK1265" s="458"/>
      <c r="BL1265" s="458"/>
      <c r="BM1265" s="458"/>
      <c r="BN1265" s="458"/>
      <c r="BO1265" s="866">
        <f>VLOOKUP(BD1265,$BD$4:$BN$12824,3,0)*BE1265</f>
        <v>196993.48245873844</v>
      </c>
      <c r="BP1265" s="866"/>
      <c r="BQ1265" s="866"/>
      <c r="BR1265" s="866">
        <f>VLOOKUP(BD1265,$BD$4:$BN$12824,6,0)*BE1265</f>
        <v>88049.952330059561</v>
      </c>
      <c r="BS1265" s="866">
        <f>VLOOKUP(BD1265,$BD$4:$BN$12824,7,0)*BE1265</f>
        <v>7418.3963921273025</v>
      </c>
      <c r="BT1265" s="866"/>
      <c r="BU1265" s="866">
        <f>VLOOKUP(BD1265,$BD$4:$BN$12824,9,0)*BE1265</f>
        <v>2965.2674941439395</v>
      </c>
      <c r="BV1265" s="867"/>
      <c r="BW1265" s="867">
        <f>VLOOKUP(BD1265,$BD$4:$BN$12824,11,0)*BE1265</f>
        <v>49075.380407197023</v>
      </c>
      <c r="BX1265" s="1146">
        <f t="shared" si="241"/>
        <v>344502.47908226622</v>
      </c>
      <c r="BY1265" s="867">
        <f t="shared" si="244"/>
        <v>4066277.9950374053</v>
      </c>
      <c r="BZ1265" s="867">
        <f t="shared" si="242"/>
        <v>8132555.9900748106</v>
      </c>
      <c r="CA1265" s="867">
        <f>_xlfn.MAXIFS($BY$4:$BY$12824,$S$4:$S$12824,$S1265)</f>
        <v>4066277.9950374053</v>
      </c>
      <c r="CB1265" s="1032"/>
      <c r="CF1265" s="946">
        <f t="shared" si="243"/>
        <v>7407459.921000001</v>
      </c>
    </row>
    <row r="1266" spans="2:84">
      <c r="B1266" s="839" t="s">
        <v>98</v>
      </c>
      <c r="C1266" s="839" t="s">
        <v>2689</v>
      </c>
      <c r="D1266" s="839" t="s">
        <v>4271</v>
      </c>
      <c r="E1266" s="839" t="s">
        <v>4272</v>
      </c>
      <c r="F1266" s="841">
        <v>45675</v>
      </c>
      <c r="G1266" s="868" t="s">
        <v>2689</v>
      </c>
      <c r="H1266" s="842" t="s">
        <v>134</v>
      </c>
      <c r="I1266" s="883"/>
      <c r="J1266" s="841"/>
      <c r="K1266" s="841"/>
      <c r="L1266" s="843" t="s">
        <v>106</v>
      </c>
      <c r="M1266" s="844" t="s">
        <v>107</v>
      </c>
      <c r="N1266" s="841"/>
      <c r="O1266" s="884" t="s">
        <v>135</v>
      </c>
      <c r="P1266" s="842"/>
      <c r="Q1266" s="843"/>
      <c r="R1266" s="845">
        <v>20204101</v>
      </c>
      <c r="S1266" s="1127" t="s">
        <v>4359</v>
      </c>
      <c r="T1266" s="885" t="s">
        <v>4360</v>
      </c>
      <c r="U1266" s="886">
        <v>2</v>
      </c>
      <c r="V1266" s="842" t="s">
        <v>3</v>
      </c>
      <c r="W1266" s="846">
        <v>245</v>
      </c>
      <c r="X1266" s="847">
        <f t="shared" si="236"/>
        <v>490</v>
      </c>
      <c r="Y1266" s="848">
        <f t="shared" si="246"/>
        <v>0.50053061224489792</v>
      </c>
      <c r="Z1266" s="849">
        <v>122.37</v>
      </c>
      <c r="AA1266" s="854"/>
      <c r="AB1266" s="849">
        <f t="shared" si="237"/>
        <v>244.74</v>
      </c>
      <c r="AC1266" s="850">
        <f t="shared" si="238"/>
        <v>244.74</v>
      </c>
      <c r="AD1266" s="887">
        <f t="shared" si="235"/>
        <v>32000</v>
      </c>
      <c r="AE1266" s="888">
        <v>30266.65</v>
      </c>
      <c r="AF1266" s="853">
        <v>0</v>
      </c>
      <c r="AG1266" s="854">
        <f t="shared" si="239"/>
        <v>0</v>
      </c>
      <c r="AH1266" s="853" t="s">
        <v>4322</v>
      </c>
      <c r="AI1266" s="855">
        <f t="shared" si="240"/>
        <v>740745.99210000015</v>
      </c>
      <c r="AJ1266" s="845" t="s">
        <v>3318</v>
      </c>
      <c r="AK1266" s="857">
        <v>45796</v>
      </c>
      <c r="AL1266" s="843" t="s">
        <v>4263</v>
      </c>
      <c r="AM1266" s="843" t="s">
        <v>4264</v>
      </c>
      <c r="AN1266" s="844" t="s">
        <v>4265</v>
      </c>
      <c r="AO1266" s="844" t="s">
        <v>141</v>
      </c>
      <c r="AP1266" s="841"/>
      <c r="AQ1266" s="841">
        <v>45821</v>
      </c>
      <c r="AR1266" s="841">
        <v>45865</v>
      </c>
      <c r="AS1266" s="842" t="s">
        <v>4266</v>
      </c>
      <c r="AT1266" s="842" t="s">
        <v>1235</v>
      </c>
      <c r="AU1266" s="842" t="s">
        <v>3794</v>
      </c>
      <c r="AV1266" s="845" t="s">
        <v>4273</v>
      </c>
      <c r="AW1266" s="861">
        <v>45867</v>
      </c>
      <c r="AX1266" s="862">
        <v>45873</v>
      </c>
      <c r="AY1266" s="843" t="s">
        <v>4361</v>
      </c>
      <c r="AZ1266" s="842" t="s">
        <v>4324</v>
      </c>
      <c r="BA1266" s="842" t="s">
        <v>120</v>
      </c>
      <c r="BB1266" s="863" t="s">
        <v>121</v>
      </c>
      <c r="BC1266" s="864">
        <v>45867</v>
      </c>
      <c r="BD1266" s="860" t="s">
        <v>4270</v>
      </c>
      <c r="BE1266" s="865" cm="1">
        <f t="array" ref="BE1266">IF(BD1266="","",AC1266/SUMPRODUCT(--(BD1266=$BD$4:$BD$12824),$AC$4:$AC$12824))</f>
        <v>5.4912361002665546E-3</v>
      </c>
      <c r="BF1266" s="458"/>
      <c r="BG1266" s="458"/>
      <c r="BH1266" s="458"/>
      <c r="BI1266" s="458"/>
      <c r="BJ1266" s="458"/>
      <c r="BK1266" s="458"/>
      <c r="BL1266" s="458"/>
      <c r="BM1266" s="458"/>
      <c r="BN1266" s="458"/>
      <c r="BO1266" s="866">
        <f>VLOOKUP(BD1266,$BD$4:$BN$12824,3,0)*BE1266</f>
        <v>196993.48245873844</v>
      </c>
      <c r="BP1266" s="866"/>
      <c r="BQ1266" s="866"/>
      <c r="BR1266" s="866">
        <f>VLOOKUP(BD1266,$BD$4:$BN$12824,6,0)*BE1266</f>
        <v>88049.952330059561</v>
      </c>
      <c r="BS1266" s="866">
        <f>VLOOKUP(BD1266,$BD$4:$BN$12824,7,0)*BE1266</f>
        <v>7418.3963921273025</v>
      </c>
      <c r="BT1266" s="866"/>
      <c r="BU1266" s="866">
        <f>VLOOKUP(BD1266,$BD$4:$BN$12824,9,0)*BE1266</f>
        <v>2965.2674941439395</v>
      </c>
      <c r="BV1266" s="867"/>
      <c r="BW1266" s="867">
        <f>VLOOKUP(BD1266,$BD$4:$BN$12824,11,0)*BE1266</f>
        <v>49075.380407197023</v>
      </c>
      <c r="BX1266" s="1146">
        <f t="shared" si="241"/>
        <v>344502.47908226622</v>
      </c>
      <c r="BY1266" s="867">
        <f t="shared" si="244"/>
        <v>3875981.2000411334</v>
      </c>
      <c r="BZ1266" s="867">
        <f t="shared" si="242"/>
        <v>7751962.4000822669</v>
      </c>
      <c r="CA1266" s="867">
        <f>_xlfn.MAXIFS($BY$4:$BY$12824,$S$4:$S$12824,$S1266)</f>
        <v>3875981.2000411334</v>
      </c>
      <c r="CB1266" s="1032"/>
      <c r="CF1266" s="946">
        <f t="shared" si="243"/>
        <v>7407459.921000001</v>
      </c>
    </row>
    <row r="1267" spans="2:84">
      <c r="B1267" s="839" t="s">
        <v>98</v>
      </c>
      <c r="C1267" s="839" t="s">
        <v>2689</v>
      </c>
      <c r="D1267" s="839" t="s">
        <v>4271</v>
      </c>
      <c r="E1267" s="839" t="s">
        <v>4272</v>
      </c>
      <c r="F1267" s="841">
        <v>45675</v>
      </c>
      <c r="G1267" s="868" t="s">
        <v>2689</v>
      </c>
      <c r="H1267" s="842" t="s">
        <v>134</v>
      </c>
      <c r="I1267" s="883"/>
      <c r="J1267" s="841"/>
      <c r="K1267" s="841"/>
      <c r="L1267" s="843" t="s">
        <v>106</v>
      </c>
      <c r="M1267" s="844" t="s">
        <v>107</v>
      </c>
      <c r="N1267" s="841"/>
      <c r="O1267" s="884" t="s">
        <v>135</v>
      </c>
      <c r="P1267" s="842"/>
      <c r="Q1267" s="843"/>
      <c r="R1267" s="845">
        <v>20253101</v>
      </c>
      <c r="S1267" s="1127" t="s">
        <v>4362</v>
      </c>
      <c r="T1267" s="885" t="s">
        <v>4363</v>
      </c>
      <c r="U1267" s="886">
        <v>2</v>
      </c>
      <c r="V1267" s="842" t="s">
        <v>3</v>
      </c>
      <c r="W1267" s="846">
        <v>189</v>
      </c>
      <c r="X1267" s="847">
        <f t="shared" si="236"/>
        <v>378</v>
      </c>
      <c r="Y1267" s="848">
        <f t="shared" si="246"/>
        <v>0.49296296296296299</v>
      </c>
      <c r="Z1267" s="849">
        <v>95.83</v>
      </c>
      <c r="AA1267" s="854"/>
      <c r="AB1267" s="849">
        <f t="shared" si="237"/>
        <v>191.66</v>
      </c>
      <c r="AC1267" s="850">
        <f t="shared" si="238"/>
        <v>191.66</v>
      </c>
      <c r="AD1267" s="887">
        <f t="shared" si="235"/>
        <v>32000</v>
      </c>
      <c r="AE1267" s="888">
        <v>30266.65</v>
      </c>
      <c r="AF1267" s="853">
        <v>0</v>
      </c>
      <c r="AG1267" s="854">
        <f t="shared" si="239"/>
        <v>0</v>
      </c>
      <c r="AH1267" s="853" t="s">
        <v>4322</v>
      </c>
      <c r="AI1267" s="855">
        <f t="shared" si="240"/>
        <v>580090.61390000011</v>
      </c>
      <c r="AJ1267" s="845" t="s">
        <v>3318</v>
      </c>
      <c r="AK1267" s="857">
        <v>45796</v>
      </c>
      <c r="AL1267" s="843" t="s">
        <v>4263</v>
      </c>
      <c r="AM1267" s="843" t="s">
        <v>4264</v>
      </c>
      <c r="AN1267" s="844" t="s">
        <v>4265</v>
      </c>
      <c r="AO1267" s="844" t="s">
        <v>141</v>
      </c>
      <c r="AP1267" s="841"/>
      <c r="AQ1267" s="841">
        <v>45821</v>
      </c>
      <c r="AR1267" s="841">
        <v>45865</v>
      </c>
      <c r="AS1267" s="842" t="s">
        <v>4266</v>
      </c>
      <c r="AT1267" s="842" t="s">
        <v>1235</v>
      </c>
      <c r="AU1267" s="842" t="s">
        <v>3794</v>
      </c>
      <c r="AV1267" s="845" t="s">
        <v>4275</v>
      </c>
      <c r="AW1267" s="861">
        <v>45867</v>
      </c>
      <c r="AX1267" s="862">
        <v>45873</v>
      </c>
      <c r="AY1267" s="843" t="s">
        <v>4364</v>
      </c>
      <c r="AZ1267" s="842" t="s">
        <v>4324</v>
      </c>
      <c r="BA1267" s="842" t="s">
        <v>120</v>
      </c>
      <c r="BB1267" s="863" t="s">
        <v>121</v>
      </c>
      <c r="BC1267" s="864">
        <v>45867</v>
      </c>
      <c r="BD1267" s="860" t="s">
        <v>4270</v>
      </c>
      <c r="BE1267" s="865" cm="1">
        <f t="array" ref="BE1267">IF(BD1267="","",AC1267/SUMPRODUCT(--(BD1267=$BD$4:$BD$12824),$AC$4:$AC$12824))</f>
        <v>4.3002791165199306E-3</v>
      </c>
      <c r="BF1267" s="458"/>
      <c r="BG1267" s="458"/>
      <c r="BH1267" s="458"/>
      <c r="BI1267" s="458"/>
      <c r="BJ1267" s="458"/>
      <c r="BK1267" s="458"/>
      <c r="BL1267" s="458"/>
      <c r="BM1267" s="458"/>
      <c r="BN1267" s="458"/>
      <c r="BO1267" s="866">
        <f>VLOOKUP(BD1267,$BD$4:$BN$12824,3,0)*BE1267</f>
        <v>154268.90107069464</v>
      </c>
      <c r="BP1267" s="866"/>
      <c r="BQ1267" s="866"/>
      <c r="BR1267" s="866">
        <f>VLOOKUP(BD1267,$BD$4:$BN$12824,6,0)*BE1267</f>
        <v>68953.394882647772</v>
      </c>
      <c r="BS1267" s="866">
        <f>VLOOKUP(BD1267,$BD$4:$BN$12824,7,0)*BE1267</f>
        <v>5809.4706730208336</v>
      </c>
      <c r="BT1267" s="866"/>
      <c r="BU1267" s="866">
        <f>VLOOKUP(BD1267,$BD$4:$BN$12824,9,0)*BE1267</f>
        <v>2322.1507229207627</v>
      </c>
      <c r="BV1267" s="867"/>
      <c r="BW1267" s="867">
        <f>VLOOKUP(BD1267,$BD$4:$BN$12824,11,0)*BE1267</f>
        <v>38431.753733935526</v>
      </c>
      <c r="BX1267" s="1146">
        <f t="shared" si="241"/>
        <v>269785.67108321952</v>
      </c>
      <c r="BY1267" s="867">
        <f t="shared" si="244"/>
        <v>3035345.9050416099</v>
      </c>
      <c r="BZ1267" s="867">
        <f t="shared" si="242"/>
        <v>6070691.8100832198</v>
      </c>
      <c r="CA1267" s="867">
        <f>_xlfn.MAXIFS($BY$4:$BY$12824,$S$4:$S$12824,$S1267)</f>
        <v>3035345.9050416099</v>
      </c>
      <c r="CB1267" s="1032"/>
      <c r="CF1267" s="946">
        <f t="shared" si="243"/>
        <v>5800906.1390000004</v>
      </c>
    </row>
    <row r="1268" spans="2:84">
      <c r="B1268" s="839" t="s">
        <v>98</v>
      </c>
      <c r="C1268" s="839" t="s">
        <v>2689</v>
      </c>
      <c r="D1268" s="839" t="s">
        <v>4271</v>
      </c>
      <c r="E1268" s="839" t="s">
        <v>4272</v>
      </c>
      <c r="F1268" s="841">
        <v>45675</v>
      </c>
      <c r="G1268" s="868" t="s">
        <v>2689</v>
      </c>
      <c r="H1268" s="842" t="s">
        <v>134</v>
      </c>
      <c r="I1268" s="883"/>
      <c r="J1268" s="841"/>
      <c r="K1268" s="841"/>
      <c r="L1268" s="843" t="s">
        <v>106</v>
      </c>
      <c r="M1268" s="844" t="s">
        <v>107</v>
      </c>
      <c r="N1268" s="841"/>
      <c r="O1268" s="884" t="s">
        <v>135</v>
      </c>
      <c r="P1268" s="842"/>
      <c r="Q1268" s="843"/>
      <c r="R1268" s="845">
        <v>20205101</v>
      </c>
      <c r="S1268" s="1127" t="s">
        <v>4365</v>
      </c>
      <c r="T1268" s="885" t="s">
        <v>4366</v>
      </c>
      <c r="U1268" s="886">
        <v>2</v>
      </c>
      <c r="V1268" s="842" t="s">
        <v>3</v>
      </c>
      <c r="W1268" s="846">
        <v>245</v>
      </c>
      <c r="X1268" s="847">
        <f t="shared" si="236"/>
        <v>490</v>
      </c>
      <c r="Y1268" s="848">
        <f t="shared" si="246"/>
        <v>0.50053061224489792</v>
      </c>
      <c r="Z1268" s="849">
        <v>122.37</v>
      </c>
      <c r="AA1268" s="854"/>
      <c r="AB1268" s="849">
        <f t="shared" si="237"/>
        <v>244.74</v>
      </c>
      <c r="AC1268" s="850">
        <f t="shared" si="238"/>
        <v>244.74</v>
      </c>
      <c r="AD1268" s="887">
        <f t="shared" si="235"/>
        <v>32000</v>
      </c>
      <c r="AE1268" s="888">
        <v>30266.65</v>
      </c>
      <c r="AF1268" s="853">
        <v>0</v>
      </c>
      <c r="AG1268" s="854">
        <f t="shared" si="239"/>
        <v>0</v>
      </c>
      <c r="AH1268" s="853" t="s">
        <v>4322</v>
      </c>
      <c r="AI1268" s="855">
        <f t="shared" si="240"/>
        <v>740745.99210000015</v>
      </c>
      <c r="AJ1268" s="845" t="s">
        <v>3318</v>
      </c>
      <c r="AK1268" s="857">
        <v>45796</v>
      </c>
      <c r="AL1268" s="843" t="s">
        <v>4263</v>
      </c>
      <c r="AM1268" s="843" t="s">
        <v>4264</v>
      </c>
      <c r="AN1268" s="844" t="s">
        <v>4265</v>
      </c>
      <c r="AO1268" s="844" t="s">
        <v>141</v>
      </c>
      <c r="AP1268" s="841"/>
      <c r="AQ1268" s="841">
        <v>45821</v>
      </c>
      <c r="AR1268" s="841">
        <v>45865</v>
      </c>
      <c r="AS1268" s="842" t="s">
        <v>4266</v>
      </c>
      <c r="AT1268" s="842" t="s">
        <v>1235</v>
      </c>
      <c r="AU1268" s="842" t="s">
        <v>3794</v>
      </c>
      <c r="AV1268" s="845" t="s">
        <v>4273</v>
      </c>
      <c r="AW1268" s="861">
        <v>45867</v>
      </c>
      <c r="AX1268" s="862">
        <v>45873</v>
      </c>
      <c r="AY1268" s="843" t="s">
        <v>4367</v>
      </c>
      <c r="AZ1268" s="842" t="s">
        <v>4324</v>
      </c>
      <c r="BA1268" s="842" t="s">
        <v>120</v>
      </c>
      <c r="BB1268" s="863" t="s">
        <v>121</v>
      </c>
      <c r="BC1268" s="864">
        <v>45867</v>
      </c>
      <c r="BD1268" s="860" t="s">
        <v>4270</v>
      </c>
      <c r="BE1268" s="865" cm="1">
        <f t="array" ref="BE1268">IF(BD1268="","",AC1268/SUMPRODUCT(--(BD1268=$BD$4:$BD$12824),$AC$4:$AC$12824))</f>
        <v>5.4912361002665546E-3</v>
      </c>
      <c r="BF1268" s="458"/>
      <c r="BG1268" s="458"/>
      <c r="BH1268" s="458"/>
      <c r="BI1268" s="458"/>
      <c r="BJ1268" s="458"/>
      <c r="BK1268" s="458"/>
      <c r="BL1268" s="458"/>
      <c r="BM1268" s="458"/>
      <c r="BN1268" s="458"/>
      <c r="BO1268" s="866">
        <f>VLOOKUP(BD1268,$BD$4:$BN$12824,3,0)*BE1268</f>
        <v>196993.48245873844</v>
      </c>
      <c r="BP1268" s="866"/>
      <c r="BQ1268" s="866"/>
      <c r="BR1268" s="866">
        <f>VLOOKUP(BD1268,$BD$4:$BN$12824,6,0)*BE1268</f>
        <v>88049.952330059561</v>
      </c>
      <c r="BS1268" s="866">
        <f>VLOOKUP(BD1268,$BD$4:$BN$12824,7,0)*BE1268</f>
        <v>7418.3963921273025</v>
      </c>
      <c r="BT1268" s="866"/>
      <c r="BU1268" s="866">
        <f>VLOOKUP(BD1268,$BD$4:$BN$12824,9,0)*BE1268</f>
        <v>2965.2674941439395</v>
      </c>
      <c r="BV1268" s="867"/>
      <c r="BW1268" s="867">
        <f>VLOOKUP(BD1268,$BD$4:$BN$12824,11,0)*BE1268</f>
        <v>49075.380407197023</v>
      </c>
      <c r="BX1268" s="1146">
        <f t="shared" si="241"/>
        <v>344502.47908226622</v>
      </c>
      <c r="BY1268" s="867">
        <f t="shared" si="244"/>
        <v>3875981.2000411334</v>
      </c>
      <c r="BZ1268" s="867">
        <f t="shared" si="242"/>
        <v>7751962.4000822669</v>
      </c>
      <c r="CA1268" s="867">
        <f>_xlfn.MAXIFS($BY$4:$BY$12824,$S$4:$S$12824,$S1268)</f>
        <v>3875981.2000411334</v>
      </c>
      <c r="CB1268" s="1032"/>
      <c r="CF1268" s="946">
        <f t="shared" si="243"/>
        <v>7407459.921000001</v>
      </c>
    </row>
    <row r="1269" spans="2:84">
      <c r="B1269" s="839" t="s">
        <v>98</v>
      </c>
      <c r="C1269" s="839" t="s">
        <v>2689</v>
      </c>
      <c r="D1269" s="839" t="s">
        <v>4271</v>
      </c>
      <c r="E1269" s="839" t="s">
        <v>4272</v>
      </c>
      <c r="F1269" s="841">
        <v>45675</v>
      </c>
      <c r="G1269" s="868" t="s">
        <v>2689</v>
      </c>
      <c r="H1269" s="842" t="s">
        <v>134</v>
      </c>
      <c r="I1269" s="883"/>
      <c r="J1269" s="841"/>
      <c r="K1269" s="841"/>
      <c r="L1269" s="843" t="s">
        <v>106</v>
      </c>
      <c r="M1269" s="844" t="s">
        <v>107</v>
      </c>
      <c r="N1269" s="841"/>
      <c r="O1269" s="884" t="s">
        <v>135</v>
      </c>
      <c r="P1269" s="842"/>
      <c r="Q1269" s="843"/>
      <c r="R1269" s="845">
        <v>20251401</v>
      </c>
      <c r="S1269" s="1127" t="s">
        <v>4368</v>
      </c>
      <c r="T1269" s="885" t="s">
        <v>4369</v>
      </c>
      <c r="U1269" s="886">
        <v>1</v>
      </c>
      <c r="V1269" s="842" t="s">
        <v>3</v>
      </c>
      <c r="W1269" s="846">
        <v>445</v>
      </c>
      <c r="X1269" s="847">
        <f t="shared" si="236"/>
        <v>445</v>
      </c>
      <c r="Y1269" s="848">
        <f t="shared" si="246"/>
        <v>0.50413483146067417</v>
      </c>
      <c r="Z1269" s="849">
        <v>220.66</v>
      </c>
      <c r="AA1269" s="854"/>
      <c r="AB1269" s="849">
        <f t="shared" si="237"/>
        <v>220.66</v>
      </c>
      <c r="AC1269" s="850">
        <f t="shared" si="238"/>
        <v>220.66</v>
      </c>
      <c r="AD1269" s="887">
        <f t="shared" si="235"/>
        <v>32000</v>
      </c>
      <c r="AE1269" s="888">
        <v>30266.65</v>
      </c>
      <c r="AF1269" s="853">
        <v>0</v>
      </c>
      <c r="AG1269" s="854">
        <f t="shared" si="239"/>
        <v>0</v>
      </c>
      <c r="AH1269" s="853" t="s">
        <v>4322</v>
      </c>
      <c r="AI1269" s="855">
        <f t="shared" si="240"/>
        <v>667863.89890000003</v>
      </c>
      <c r="AJ1269" s="845" t="s">
        <v>3318</v>
      </c>
      <c r="AK1269" s="857">
        <v>45796</v>
      </c>
      <c r="AL1269" s="843" t="s">
        <v>4263</v>
      </c>
      <c r="AM1269" s="843" t="s">
        <v>4264</v>
      </c>
      <c r="AN1269" s="844" t="s">
        <v>4265</v>
      </c>
      <c r="AO1269" s="844" t="s">
        <v>141</v>
      </c>
      <c r="AP1269" s="841"/>
      <c r="AQ1269" s="841">
        <v>45821</v>
      </c>
      <c r="AR1269" s="841">
        <v>45865</v>
      </c>
      <c r="AS1269" s="842" t="s">
        <v>4266</v>
      </c>
      <c r="AT1269" s="842" t="s">
        <v>1235</v>
      </c>
      <c r="AU1269" s="842" t="s">
        <v>3794</v>
      </c>
      <c r="AV1269" s="845" t="s">
        <v>4273</v>
      </c>
      <c r="AW1269" s="861">
        <v>45867</v>
      </c>
      <c r="AX1269" s="862">
        <v>45873</v>
      </c>
      <c r="AY1269" s="843" t="s">
        <v>4370</v>
      </c>
      <c r="AZ1269" s="842" t="s">
        <v>4324</v>
      </c>
      <c r="BA1269" s="842" t="s">
        <v>120</v>
      </c>
      <c r="BB1269" s="863" t="s">
        <v>121</v>
      </c>
      <c r="BC1269" s="864">
        <v>45867</v>
      </c>
      <c r="BD1269" s="860" t="s">
        <v>4270</v>
      </c>
      <c r="BE1269" s="865" cm="1">
        <f t="array" ref="BE1269">IF(BD1269="","",AC1269/SUMPRODUCT(--(BD1269=$BD$4:$BD$12824),$AC$4:$AC$12824))</f>
        <v>4.9509526758389228E-3</v>
      </c>
      <c r="BF1269" s="458"/>
      <c r="BG1269" s="458"/>
      <c r="BH1269" s="458"/>
      <c r="BI1269" s="458"/>
      <c r="BJ1269" s="458"/>
      <c r="BK1269" s="458"/>
      <c r="BL1269" s="458"/>
      <c r="BM1269" s="458"/>
      <c r="BN1269" s="458"/>
      <c r="BO1269" s="866">
        <f>VLOOKUP(BD1269,$BD$4:$BN$12824,3,0)*BE1269</f>
        <v>177611.26844547366</v>
      </c>
      <c r="BP1269" s="866"/>
      <c r="BQ1269" s="866"/>
      <c r="BR1269" s="866">
        <f>VLOOKUP(BD1269,$BD$4:$BN$12824,6,0)*BE1269</f>
        <v>79386.706223547211</v>
      </c>
      <c r="BS1269" s="866">
        <f>VLOOKUP(BD1269,$BD$4:$BN$12824,7,0)*BE1269</f>
        <v>6688.4994193299444</v>
      </c>
      <c r="BT1269" s="866"/>
      <c r="BU1269" s="866">
        <f>VLOOKUP(BD1269,$BD$4:$BN$12824,9,0)*BE1269</f>
        <v>2673.5144449530185</v>
      </c>
      <c r="BV1269" s="867"/>
      <c r="BW1269" s="867">
        <f>VLOOKUP(BD1269,$BD$4:$BN$12824,11,0)*BE1269</f>
        <v>44246.847432590075</v>
      </c>
      <c r="BX1269" s="1146">
        <f t="shared" si="241"/>
        <v>310606.83596589387</v>
      </c>
      <c r="BY1269" s="867">
        <f t="shared" si="244"/>
        <v>6989245.8249658942</v>
      </c>
      <c r="BZ1269" s="867">
        <f t="shared" si="242"/>
        <v>6989245.8249658942</v>
      </c>
      <c r="CA1269" s="867">
        <f>_xlfn.MAXIFS($BY$4:$BY$12824,$S$4:$S$12824,$S1269)</f>
        <v>6989245.8249658942</v>
      </c>
      <c r="CB1269" s="1032"/>
      <c r="CF1269" s="946">
        <f t="shared" si="243"/>
        <v>6678638.9890000001</v>
      </c>
    </row>
    <row r="1270" spans="2:84">
      <c r="B1270" s="839" t="s">
        <v>98</v>
      </c>
      <c r="C1270" s="839" t="s">
        <v>2689</v>
      </c>
      <c r="D1270" s="839" t="s">
        <v>4271</v>
      </c>
      <c r="E1270" s="839" t="s">
        <v>4272</v>
      </c>
      <c r="F1270" s="841">
        <v>45675</v>
      </c>
      <c r="G1270" s="868" t="s">
        <v>2689</v>
      </c>
      <c r="H1270" s="842" t="s">
        <v>134</v>
      </c>
      <c r="I1270" s="883"/>
      <c r="J1270" s="841"/>
      <c r="K1270" s="841"/>
      <c r="L1270" s="843" t="s">
        <v>106</v>
      </c>
      <c r="M1270" s="844" t="s">
        <v>107</v>
      </c>
      <c r="N1270" s="841"/>
      <c r="O1270" s="884" t="s">
        <v>135</v>
      </c>
      <c r="P1270" s="842"/>
      <c r="Q1270" s="843"/>
      <c r="R1270" s="845">
        <v>20252701</v>
      </c>
      <c r="S1270" s="1127" t="s">
        <v>4371</v>
      </c>
      <c r="T1270" s="885" t="s">
        <v>4372</v>
      </c>
      <c r="U1270" s="886">
        <v>2</v>
      </c>
      <c r="V1270" s="842" t="s">
        <v>3</v>
      </c>
      <c r="W1270" s="846">
        <v>245</v>
      </c>
      <c r="X1270" s="847">
        <f t="shared" si="236"/>
        <v>490</v>
      </c>
      <c r="Y1270" s="848">
        <f t="shared" si="246"/>
        <v>0.50053061224489792</v>
      </c>
      <c r="Z1270" s="849">
        <v>122.37</v>
      </c>
      <c r="AA1270" s="854"/>
      <c r="AB1270" s="849">
        <f t="shared" si="237"/>
        <v>244.74</v>
      </c>
      <c r="AC1270" s="850">
        <f t="shared" si="238"/>
        <v>244.74</v>
      </c>
      <c r="AD1270" s="887">
        <f t="shared" si="235"/>
        <v>32000</v>
      </c>
      <c r="AE1270" s="888">
        <v>30266.65</v>
      </c>
      <c r="AF1270" s="853">
        <v>0.05</v>
      </c>
      <c r="AG1270" s="854">
        <f t="shared" si="239"/>
        <v>380593.58999254339</v>
      </c>
      <c r="AH1270" s="853" t="s">
        <v>4262</v>
      </c>
      <c r="AI1270" s="855">
        <f t="shared" si="240"/>
        <v>623044.28087940358</v>
      </c>
      <c r="AJ1270" s="845" t="s">
        <v>3318</v>
      </c>
      <c r="AK1270" s="857">
        <v>45796</v>
      </c>
      <c r="AL1270" s="843" t="s">
        <v>4263</v>
      </c>
      <c r="AM1270" s="843" t="s">
        <v>4264</v>
      </c>
      <c r="AN1270" s="844" t="s">
        <v>4265</v>
      </c>
      <c r="AO1270" s="844" t="s">
        <v>141</v>
      </c>
      <c r="AP1270" s="841"/>
      <c r="AQ1270" s="841">
        <v>45821</v>
      </c>
      <c r="AR1270" s="841">
        <v>45865</v>
      </c>
      <c r="AS1270" s="842" t="s">
        <v>4266</v>
      </c>
      <c r="AT1270" s="842" t="s">
        <v>1235</v>
      </c>
      <c r="AU1270" s="842" t="s">
        <v>3794</v>
      </c>
      <c r="AV1270" s="845" t="s">
        <v>4273</v>
      </c>
      <c r="AW1270" s="861">
        <v>45867</v>
      </c>
      <c r="AX1270" s="862">
        <v>45873</v>
      </c>
      <c r="AY1270" s="843" t="s">
        <v>4373</v>
      </c>
      <c r="AZ1270" s="842" t="s">
        <v>4349</v>
      </c>
      <c r="BA1270" s="842" t="s">
        <v>120</v>
      </c>
      <c r="BB1270" s="863" t="s">
        <v>121</v>
      </c>
      <c r="BC1270" s="864">
        <v>45867</v>
      </c>
      <c r="BD1270" s="860" t="s">
        <v>4270</v>
      </c>
      <c r="BE1270" s="865" cm="1">
        <f t="array" ref="BE1270">IF(BD1270="","",AC1270/SUMPRODUCT(--(BD1270=$BD$4:$BD$12824),$AC$4:$AC$12824))</f>
        <v>5.4912361002665546E-3</v>
      </c>
      <c r="BF1270" s="458"/>
      <c r="BG1270" s="458"/>
      <c r="BH1270" s="458"/>
      <c r="BI1270" s="458"/>
      <c r="BJ1270" s="458"/>
      <c r="BK1270" s="458"/>
      <c r="BL1270" s="458"/>
      <c r="BM1270" s="458"/>
      <c r="BN1270" s="458"/>
      <c r="BO1270" s="866">
        <f>VLOOKUP(BD1270,$BD$4:$BN$12824,3,0)*BE1270</f>
        <v>196993.48245873844</v>
      </c>
      <c r="BP1270" s="866"/>
      <c r="BQ1270" s="866"/>
      <c r="BR1270" s="866">
        <f>VLOOKUP(BD1270,$BD$4:$BN$12824,6,0)*BE1270</f>
        <v>88049.952330059561</v>
      </c>
      <c r="BS1270" s="866">
        <f>VLOOKUP(BD1270,$BD$4:$BN$12824,7,0)*BE1270</f>
        <v>7418.3963921273025</v>
      </c>
      <c r="BT1270" s="866"/>
      <c r="BU1270" s="866">
        <f>VLOOKUP(BD1270,$BD$4:$BN$12824,9,0)*BE1270</f>
        <v>2965.2674941439395</v>
      </c>
      <c r="BV1270" s="867"/>
      <c r="BW1270" s="867">
        <f>VLOOKUP(BD1270,$BD$4:$BN$12824,11,0)*BE1270</f>
        <v>49075.380407197023</v>
      </c>
      <c r="BX1270" s="1146">
        <f t="shared" si="241"/>
        <v>344502.47908226622</v>
      </c>
      <c r="BY1270" s="867">
        <f t="shared" si="244"/>
        <v>4066277.9950374053</v>
      </c>
      <c r="BZ1270" s="867">
        <f t="shared" si="242"/>
        <v>8132555.9900748106</v>
      </c>
      <c r="CA1270" s="867">
        <f>_xlfn.MAXIFS($BY$4:$BY$12824,$S$4:$S$12824,$S1270)</f>
        <v>4066277.9950374053</v>
      </c>
      <c r="CB1270" s="1032"/>
      <c r="CF1270" s="946">
        <f t="shared" si="243"/>
        <v>7407459.921000001</v>
      </c>
    </row>
    <row r="1271" spans="2:84">
      <c r="B1271" s="839" t="s">
        <v>98</v>
      </c>
      <c r="C1271" s="839" t="s">
        <v>2689</v>
      </c>
      <c r="D1271" s="839" t="s">
        <v>4271</v>
      </c>
      <c r="E1271" s="839" t="s">
        <v>4272</v>
      </c>
      <c r="F1271" s="841">
        <v>45675</v>
      </c>
      <c r="G1271" s="868" t="s">
        <v>2689</v>
      </c>
      <c r="H1271" s="842" t="s">
        <v>134</v>
      </c>
      <c r="I1271" s="883"/>
      <c r="J1271" s="841"/>
      <c r="K1271" s="841"/>
      <c r="L1271" s="843" t="s">
        <v>106</v>
      </c>
      <c r="M1271" s="844" t="s">
        <v>107</v>
      </c>
      <c r="N1271" s="841"/>
      <c r="O1271" s="884" t="s">
        <v>135</v>
      </c>
      <c r="P1271" s="842"/>
      <c r="Q1271" s="843"/>
      <c r="R1271" s="845">
        <v>20208401</v>
      </c>
      <c r="S1271" s="1127" t="s">
        <v>4374</v>
      </c>
      <c r="T1271" s="885" t="s">
        <v>4375</v>
      </c>
      <c r="U1271" s="886">
        <v>2</v>
      </c>
      <c r="V1271" s="842" t="s">
        <v>3</v>
      </c>
      <c r="W1271" s="846">
        <v>235</v>
      </c>
      <c r="X1271" s="847">
        <f t="shared" si="236"/>
        <v>470</v>
      </c>
      <c r="Y1271" s="848">
        <f t="shared" si="246"/>
        <v>0.50017021276595752</v>
      </c>
      <c r="Z1271" s="849">
        <v>117.46</v>
      </c>
      <c r="AA1271" s="854"/>
      <c r="AB1271" s="849">
        <f t="shared" si="237"/>
        <v>234.92</v>
      </c>
      <c r="AC1271" s="850">
        <f t="shared" si="238"/>
        <v>234.92</v>
      </c>
      <c r="AD1271" s="887">
        <f t="shared" si="235"/>
        <v>32000</v>
      </c>
      <c r="AE1271" s="888">
        <v>30266.65</v>
      </c>
      <c r="AF1271" s="853">
        <v>0.05</v>
      </c>
      <c r="AG1271" s="854">
        <f t="shared" si="239"/>
        <v>365322.57154959661</v>
      </c>
      <c r="AH1271" s="853" t="s">
        <v>4262</v>
      </c>
      <c r="AI1271" s="855">
        <f t="shared" si="240"/>
        <v>598045.11916396767</v>
      </c>
      <c r="AJ1271" s="845" t="s">
        <v>3318</v>
      </c>
      <c r="AK1271" s="857">
        <v>45796</v>
      </c>
      <c r="AL1271" s="843" t="s">
        <v>4263</v>
      </c>
      <c r="AM1271" s="843" t="s">
        <v>4264</v>
      </c>
      <c r="AN1271" s="844" t="s">
        <v>4265</v>
      </c>
      <c r="AO1271" s="844" t="s">
        <v>141</v>
      </c>
      <c r="AP1271" s="841"/>
      <c r="AQ1271" s="841">
        <v>45821</v>
      </c>
      <c r="AR1271" s="841">
        <v>45865</v>
      </c>
      <c r="AS1271" s="842" t="s">
        <v>4266</v>
      </c>
      <c r="AT1271" s="842" t="s">
        <v>1235</v>
      </c>
      <c r="AU1271" s="842" t="s">
        <v>3794</v>
      </c>
      <c r="AV1271" s="845" t="s">
        <v>4273</v>
      </c>
      <c r="AW1271" s="861">
        <v>45867</v>
      </c>
      <c r="AX1271" s="862">
        <v>45873</v>
      </c>
      <c r="AY1271" s="843" t="s">
        <v>4376</v>
      </c>
      <c r="AZ1271" s="842" t="s">
        <v>4349</v>
      </c>
      <c r="BA1271" s="842" t="s">
        <v>120</v>
      </c>
      <c r="BB1271" s="863" t="s">
        <v>121</v>
      </c>
      <c r="BC1271" s="864">
        <v>45867</v>
      </c>
      <c r="BD1271" s="860" t="s">
        <v>4270</v>
      </c>
      <c r="BE1271" s="865" cm="1">
        <f t="array" ref="BE1271">IF(BD1271="","",AC1271/SUMPRODUCT(--(BD1271=$BD$4:$BD$12824),$AC$4:$AC$12824))</f>
        <v>5.270904570869572E-3</v>
      </c>
      <c r="BF1271" s="458"/>
      <c r="BG1271" s="458"/>
      <c r="BH1271" s="458"/>
      <c r="BI1271" s="458"/>
      <c r="BJ1271" s="458"/>
      <c r="BK1271" s="458"/>
      <c r="BL1271" s="458"/>
      <c r="BM1271" s="458"/>
      <c r="BN1271" s="458"/>
      <c r="BO1271" s="866">
        <f>VLOOKUP(BD1271,$BD$4:$BN$12824,3,0)*BE1271</f>
        <v>189089.27392010635</v>
      </c>
      <c r="BP1271" s="866"/>
      <c r="BQ1271" s="866"/>
      <c r="BR1271" s="866">
        <f>VLOOKUP(BD1271,$BD$4:$BN$12824,6,0)*BE1271</f>
        <v>84517.017248417062</v>
      </c>
      <c r="BS1271" s="866">
        <f>VLOOKUP(BD1271,$BD$4:$BN$12824,7,0)*BE1271</f>
        <v>7120.7390718253901</v>
      </c>
      <c r="BT1271" s="866"/>
      <c r="BU1271" s="866">
        <f>VLOOKUP(BD1271,$BD$4:$BN$12824,9,0)*BE1271</f>
        <v>2846.288468269569</v>
      </c>
      <c r="BV1271" s="867"/>
      <c r="BW1271" s="867">
        <f>VLOOKUP(BD1271,$BD$4:$BN$12824,11,0)*BE1271</f>
        <v>47106.269368549176</v>
      </c>
      <c r="BX1271" s="1146">
        <f t="shared" si="241"/>
        <v>330679.58807716757</v>
      </c>
      <c r="BY1271" s="867">
        <f t="shared" si="244"/>
        <v>3903121.7888133819</v>
      </c>
      <c r="BZ1271" s="867">
        <f t="shared" si="242"/>
        <v>7806243.5776267638</v>
      </c>
      <c r="CA1271" s="867">
        <f>_xlfn.MAXIFS($BY$4:$BY$12824,$S$4:$S$12824,$S1271)</f>
        <v>3903121.7888133819</v>
      </c>
      <c r="CB1271" s="1032"/>
      <c r="CF1271" s="946">
        <f t="shared" si="243"/>
        <v>7110241.4179999996</v>
      </c>
    </row>
    <row r="1272" spans="2:84">
      <c r="B1272" s="839" t="s">
        <v>98</v>
      </c>
      <c r="C1272" s="839" t="s">
        <v>2689</v>
      </c>
      <c r="D1272" s="839" t="s">
        <v>4271</v>
      </c>
      <c r="E1272" s="839" t="s">
        <v>4272</v>
      </c>
      <c r="F1272" s="841">
        <v>45675</v>
      </c>
      <c r="G1272" s="868" t="s">
        <v>2689</v>
      </c>
      <c r="H1272" s="842" t="s">
        <v>134</v>
      </c>
      <c r="I1272" s="883"/>
      <c r="J1272" s="841"/>
      <c r="K1272" s="841"/>
      <c r="L1272" s="843" t="s">
        <v>106</v>
      </c>
      <c r="M1272" s="844" t="s">
        <v>107</v>
      </c>
      <c r="N1272" s="841"/>
      <c r="O1272" s="884" t="s">
        <v>135</v>
      </c>
      <c r="P1272" s="842"/>
      <c r="Q1272" s="843"/>
      <c r="R1272" s="845">
        <v>20208401</v>
      </c>
      <c r="S1272" s="1127" t="s">
        <v>4374</v>
      </c>
      <c r="T1272" s="885" t="s">
        <v>4375</v>
      </c>
      <c r="U1272" s="886">
        <v>2</v>
      </c>
      <c r="V1272" s="842" t="s">
        <v>3</v>
      </c>
      <c r="W1272" s="846">
        <v>235</v>
      </c>
      <c r="X1272" s="847">
        <f t="shared" si="236"/>
        <v>470</v>
      </c>
      <c r="Y1272" s="848">
        <f t="shared" si="246"/>
        <v>0.50017021276595752</v>
      </c>
      <c r="Z1272" s="849">
        <v>117.46</v>
      </c>
      <c r="AA1272" s="854"/>
      <c r="AB1272" s="849">
        <f t="shared" si="237"/>
        <v>234.92</v>
      </c>
      <c r="AC1272" s="850">
        <f t="shared" si="238"/>
        <v>234.92</v>
      </c>
      <c r="AD1272" s="887">
        <f t="shared" si="235"/>
        <v>32000</v>
      </c>
      <c r="AE1272" s="888">
        <v>30266.65</v>
      </c>
      <c r="AF1272" s="853">
        <v>0.05</v>
      </c>
      <c r="AG1272" s="854">
        <f t="shared" si="239"/>
        <v>365322.57154959661</v>
      </c>
      <c r="AH1272" s="853" t="s">
        <v>4262</v>
      </c>
      <c r="AI1272" s="855">
        <f t="shared" si="240"/>
        <v>598045.11916396767</v>
      </c>
      <c r="AJ1272" s="845" t="s">
        <v>3318</v>
      </c>
      <c r="AK1272" s="857">
        <v>45796</v>
      </c>
      <c r="AL1272" s="843" t="s">
        <v>4263</v>
      </c>
      <c r="AM1272" s="843" t="s">
        <v>4264</v>
      </c>
      <c r="AN1272" s="844" t="s">
        <v>4265</v>
      </c>
      <c r="AO1272" s="844" t="s">
        <v>141</v>
      </c>
      <c r="AP1272" s="841"/>
      <c r="AQ1272" s="841">
        <v>45821</v>
      </c>
      <c r="AR1272" s="841">
        <v>45865</v>
      </c>
      <c r="AS1272" s="842" t="s">
        <v>4266</v>
      </c>
      <c r="AT1272" s="842" t="s">
        <v>1235</v>
      </c>
      <c r="AU1272" s="842" t="s">
        <v>3794</v>
      </c>
      <c r="AV1272" s="845" t="s">
        <v>4273</v>
      </c>
      <c r="AW1272" s="861">
        <v>45867</v>
      </c>
      <c r="AX1272" s="862">
        <v>45873</v>
      </c>
      <c r="AY1272" s="843" t="s">
        <v>4376</v>
      </c>
      <c r="AZ1272" s="842" t="s">
        <v>4349</v>
      </c>
      <c r="BA1272" s="842" t="s">
        <v>120</v>
      </c>
      <c r="BB1272" s="863" t="s">
        <v>121</v>
      </c>
      <c r="BC1272" s="864">
        <v>45867</v>
      </c>
      <c r="BD1272" s="860" t="s">
        <v>4270</v>
      </c>
      <c r="BE1272" s="865" cm="1">
        <f t="array" ref="BE1272">IF(BD1272="","",AC1272/SUMPRODUCT(--(BD1272=$BD$4:$BD$12824),$AC$4:$AC$12824))</f>
        <v>5.270904570869572E-3</v>
      </c>
      <c r="BF1272" s="458"/>
      <c r="BG1272" s="458"/>
      <c r="BH1272" s="458"/>
      <c r="BI1272" s="458"/>
      <c r="BJ1272" s="458"/>
      <c r="BK1272" s="458"/>
      <c r="BL1272" s="458"/>
      <c r="BM1272" s="458"/>
      <c r="BN1272" s="458"/>
      <c r="BO1272" s="866">
        <f>VLOOKUP(BD1272,$BD$4:$BN$12824,3,0)*BE1272</f>
        <v>189089.27392010635</v>
      </c>
      <c r="BP1272" s="866"/>
      <c r="BQ1272" s="866"/>
      <c r="BR1272" s="866">
        <f>VLOOKUP(BD1272,$BD$4:$BN$12824,6,0)*BE1272</f>
        <v>84517.017248417062</v>
      </c>
      <c r="BS1272" s="866">
        <f>VLOOKUP(BD1272,$BD$4:$BN$12824,7,0)*BE1272</f>
        <v>7120.7390718253901</v>
      </c>
      <c r="BT1272" s="866"/>
      <c r="BU1272" s="866">
        <f>VLOOKUP(BD1272,$BD$4:$BN$12824,9,0)*BE1272</f>
        <v>2846.288468269569</v>
      </c>
      <c r="BV1272" s="867"/>
      <c r="BW1272" s="867">
        <f>VLOOKUP(BD1272,$BD$4:$BN$12824,11,0)*BE1272</f>
        <v>47106.269368549176</v>
      </c>
      <c r="BX1272" s="1146">
        <f t="shared" si="241"/>
        <v>330679.58807716757</v>
      </c>
      <c r="BY1272" s="867">
        <f t="shared" si="244"/>
        <v>3903121.7888133819</v>
      </c>
      <c r="BZ1272" s="867">
        <f t="shared" si="242"/>
        <v>7806243.5776267638</v>
      </c>
      <c r="CA1272" s="867">
        <f>_xlfn.MAXIFS($BY$4:$BY$12824,$S$4:$S$12824,$S1272)</f>
        <v>3903121.7888133819</v>
      </c>
      <c r="CB1272" s="1032"/>
      <c r="CF1272" s="946">
        <f t="shared" si="243"/>
        <v>7110241.4179999996</v>
      </c>
    </row>
    <row r="1273" spans="2:84">
      <c r="B1273" s="839" t="s">
        <v>98</v>
      </c>
      <c r="C1273" s="839" t="s">
        <v>2689</v>
      </c>
      <c r="D1273" s="839" t="s">
        <v>4271</v>
      </c>
      <c r="E1273" s="839" t="s">
        <v>4272</v>
      </c>
      <c r="F1273" s="841">
        <v>45675</v>
      </c>
      <c r="G1273" s="868" t="s">
        <v>2689</v>
      </c>
      <c r="H1273" s="842" t="s">
        <v>134</v>
      </c>
      <c r="I1273" s="883"/>
      <c r="J1273" s="841"/>
      <c r="K1273" s="841"/>
      <c r="L1273" s="843" t="s">
        <v>106</v>
      </c>
      <c r="M1273" s="844" t="s">
        <v>107</v>
      </c>
      <c r="N1273" s="841"/>
      <c r="O1273" s="884" t="s">
        <v>135</v>
      </c>
      <c r="P1273" s="842"/>
      <c r="Q1273" s="843"/>
      <c r="R1273" s="845">
        <v>20207101</v>
      </c>
      <c r="S1273" s="1127" t="s">
        <v>4377</v>
      </c>
      <c r="T1273" s="885" t="s">
        <v>4378</v>
      </c>
      <c r="U1273" s="886">
        <v>2</v>
      </c>
      <c r="V1273" s="842" t="s">
        <v>3</v>
      </c>
      <c r="W1273" s="846">
        <v>169</v>
      </c>
      <c r="X1273" s="847">
        <f t="shared" si="236"/>
        <v>338</v>
      </c>
      <c r="Y1273" s="848">
        <f t="shared" si="246"/>
        <v>0.49106508875739641</v>
      </c>
      <c r="Z1273" s="849">
        <v>86.01</v>
      </c>
      <c r="AA1273" s="854"/>
      <c r="AB1273" s="849">
        <f t="shared" si="237"/>
        <v>172.02</v>
      </c>
      <c r="AC1273" s="850">
        <f t="shared" si="238"/>
        <v>172.02</v>
      </c>
      <c r="AD1273" s="887">
        <f t="shared" ref="AD1273:AD1336" si="247">IF(V1273=$AD$2,$AE$2,$AE$3)</f>
        <v>32000</v>
      </c>
      <c r="AE1273" s="888">
        <v>30266.65</v>
      </c>
      <c r="AF1273" s="853">
        <v>0.05</v>
      </c>
      <c r="AG1273" s="854">
        <f t="shared" si="239"/>
        <v>267507.18865129241</v>
      </c>
      <c r="AH1273" s="853" t="s">
        <v>4262</v>
      </c>
      <c r="AI1273" s="855">
        <f t="shared" si="240"/>
        <v>437918.10573210346</v>
      </c>
      <c r="AJ1273" s="845" t="s">
        <v>3318</v>
      </c>
      <c r="AK1273" s="857">
        <v>45796</v>
      </c>
      <c r="AL1273" s="843" t="s">
        <v>4263</v>
      </c>
      <c r="AM1273" s="843" t="s">
        <v>4264</v>
      </c>
      <c r="AN1273" s="844" t="s">
        <v>4265</v>
      </c>
      <c r="AO1273" s="844" t="s">
        <v>141</v>
      </c>
      <c r="AP1273" s="841"/>
      <c r="AQ1273" s="841">
        <v>45821</v>
      </c>
      <c r="AR1273" s="841">
        <v>45865</v>
      </c>
      <c r="AS1273" s="842" t="s">
        <v>4266</v>
      </c>
      <c r="AT1273" s="842" t="s">
        <v>1235</v>
      </c>
      <c r="AU1273" s="842" t="s">
        <v>3794</v>
      </c>
      <c r="AV1273" s="845" t="s">
        <v>4273</v>
      </c>
      <c r="AW1273" s="861">
        <v>45867</v>
      </c>
      <c r="AX1273" s="862">
        <v>45873</v>
      </c>
      <c r="AY1273" s="843" t="s">
        <v>4379</v>
      </c>
      <c r="AZ1273" s="842" t="s">
        <v>4349</v>
      </c>
      <c r="BA1273" s="842" t="s">
        <v>120</v>
      </c>
      <c r="BB1273" s="863" t="s">
        <v>121</v>
      </c>
      <c r="BC1273" s="864">
        <v>45867</v>
      </c>
      <c r="BD1273" s="860" t="s">
        <v>4270</v>
      </c>
      <c r="BE1273" s="865" cm="1">
        <f t="array" ref="BE1273">IF(BD1273="","",AC1273/SUMPRODUCT(--(BD1273=$BD$4:$BD$12824),$AC$4:$AC$12824))</f>
        <v>3.8596160577259657E-3</v>
      </c>
      <c r="BF1273" s="458"/>
      <c r="BG1273" s="458"/>
      <c r="BH1273" s="458"/>
      <c r="BI1273" s="458"/>
      <c r="BJ1273" s="458"/>
      <c r="BK1273" s="458"/>
      <c r="BL1273" s="458"/>
      <c r="BM1273" s="458"/>
      <c r="BN1273" s="458"/>
      <c r="BO1273" s="866">
        <f>VLOOKUP(BD1273,$BD$4:$BN$12824,3,0)*BE1273</f>
        <v>138460.48399343053</v>
      </c>
      <c r="BP1273" s="866"/>
      <c r="BQ1273" s="866"/>
      <c r="BR1273" s="866">
        <f>VLOOKUP(BD1273,$BD$4:$BN$12824,6,0)*BE1273</f>
        <v>61887.524719362787</v>
      </c>
      <c r="BS1273" s="866">
        <f>VLOOKUP(BD1273,$BD$4:$BN$12824,7,0)*BE1273</f>
        <v>5214.1560324170086</v>
      </c>
      <c r="BT1273" s="866"/>
      <c r="BU1273" s="866">
        <f>VLOOKUP(BD1273,$BD$4:$BN$12824,9,0)*BE1273</f>
        <v>2084.1926711720216</v>
      </c>
      <c r="BV1273" s="867"/>
      <c r="BW1273" s="867">
        <f>VLOOKUP(BD1273,$BD$4:$BN$12824,11,0)*BE1273</f>
        <v>34493.531656639832</v>
      </c>
      <c r="BX1273" s="1146">
        <f t="shared" si="241"/>
        <v>242139.88907302218</v>
      </c>
      <c r="BY1273" s="867">
        <f t="shared" si="244"/>
        <v>2858058.1053621573</v>
      </c>
      <c r="BZ1273" s="867">
        <f t="shared" si="242"/>
        <v>5716116.2107243147</v>
      </c>
      <c r="CA1273" s="867">
        <f>_xlfn.MAXIFS($BY$4:$BY$12824,$S$4:$S$12824,$S1273)</f>
        <v>2858058.1053621573</v>
      </c>
      <c r="CB1273" s="1032"/>
      <c r="CF1273" s="946">
        <f t="shared" si="243"/>
        <v>5206469.1330000004</v>
      </c>
    </row>
    <row r="1274" spans="2:84">
      <c r="B1274" s="839" t="s">
        <v>98</v>
      </c>
      <c r="C1274" s="839" t="s">
        <v>2689</v>
      </c>
      <c r="D1274" s="839" t="s">
        <v>4271</v>
      </c>
      <c r="E1274" s="839" t="s">
        <v>4272</v>
      </c>
      <c r="F1274" s="841">
        <v>45675</v>
      </c>
      <c r="G1274" s="868" t="s">
        <v>2689</v>
      </c>
      <c r="H1274" s="842" t="s">
        <v>134</v>
      </c>
      <c r="I1274" s="883"/>
      <c r="J1274" s="841"/>
      <c r="K1274" s="841"/>
      <c r="L1274" s="843" t="s">
        <v>106</v>
      </c>
      <c r="M1274" s="844" t="s">
        <v>107</v>
      </c>
      <c r="N1274" s="841"/>
      <c r="O1274" s="884" t="s">
        <v>135</v>
      </c>
      <c r="P1274" s="842"/>
      <c r="Q1274" s="843"/>
      <c r="R1274" s="845">
        <v>20218101</v>
      </c>
      <c r="S1274" s="1127" t="s">
        <v>4380</v>
      </c>
      <c r="T1274" s="885" t="s">
        <v>4381</v>
      </c>
      <c r="U1274" s="886">
        <v>2</v>
      </c>
      <c r="V1274" s="842" t="s">
        <v>3</v>
      </c>
      <c r="W1274" s="846">
        <v>205</v>
      </c>
      <c r="X1274" s="847">
        <f t="shared" si="236"/>
        <v>410</v>
      </c>
      <c r="Y1274" s="848">
        <f t="shared" si="246"/>
        <v>0.49892682926829268</v>
      </c>
      <c r="Z1274" s="849">
        <v>102.72</v>
      </c>
      <c r="AA1274" s="854"/>
      <c r="AB1274" s="849">
        <f t="shared" si="237"/>
        <v>205.44</v>
      </c>
      <c r="AC1274" s="850">
        <f t="shared" si="238"/>
        <v>205.44</v>
      </c>
      <c r="AD1274" s="887">
        <f t="shared" si="247"/>
        <v>32000</v>
      </c>
      <c r="AE1274" s="888">
        <v>30266.65</v>
      </c>
      <c r="AF1274" s="853">
        <v>0.05</v>
      </c>
      <c r="AG1274" s="854">
        <f t="shared" si="239"/>
        <v>319478.41435020062</v>
      </c>
      <c r="AH1274" s="853" t="s">
        <v>4262</v>
      </c>
      <c r="AI1274" s="855">
        <f t="shared" si="240"/>
        <v>522996.7192280161</v>
      </c>
      <c r="AJ1274" s="845" t="s">
        <v>3318</v>
      </c>
      <c r="AK1274" s="857">
        <v>45796</v>
      </c>
      <c r="AL1274" s="843" t="s">
        <v>4263</v>
      </c>
      <c r="AM1274" s="843" t="s">
        <v>4264</v>
      </c>
      <c r="AN1274" s="844" t="s">
        <v>4265</v>
      </c>
      <c r="AO1274" s="844" t="s">
        <v>141</v>
      </c>
      <c r="AP1274" s="841"/>
      <c r="AQ1274" s="841">
        <v>45821</v>
      </c>
      <c r="AR1274" s="841">
        <v>45865</v>
      </c>
      <c r="AS1274" s="842" t="s">
        <v>4266</v>
      </c>
      <c r="AT1274" s="842" t="s">
        <v>1235</v>
      </c>
      <c r="AU1274" s="842" t="s">
        <v>3794</v>
      </c>
      <c r="AV1274" s="845" t="s">
        <v>4275</v>
      </c>
      <c r="AW1274" s="861">
        <v>45867</v>
      </c>
      <c r="AX1274" s="862">
        <v>45873</v>
      </c>
      <c r="AY1274" s="843" t="s">
        <v>4382</v>
      </c>
      <c r="AZ1274" s="842" t="s">
        <v>4349</v>
      </c>
      <c r="BA1274" s="842" t="s">
        <v>120</v>
      </c>
      <c r="BB1274" s="863" t="s">
        <v>121</v>
      </c>
      <c r="BC1274" s="864">
        <v>45867</v>
      </c>
      <c r="BD1274" s="860" t="s">
        <v>4270</v>
      </c>
      <c r="BE1274" s="865" cm="1">
        <f t="array" ref="BE1274">IF(BD1274="","",AC1274/SUMPRODUCT(--(BD1274=$BD$4:$BD$12824),$AC$4:$AC$12824))</f>
        <v>4.6094612422928867E-3</v>
      </c>
      <c r="BF1274" s="458"/>
      <c r="BG1274" s="458"/>
      <c r="BH1274" s="458"/>
      <c r="BI1274" s="458"/>
      <c r="BJ1274" s="458"/>
      <c r="BK1274" s="458"/>
      <c r="BL1274" s="458"/>
      <c r="BM1274" s="458"/>
      <c r="BN1274" s="458"/>
      <c r="BO1274" s="866">
        <f>VLOOKUP(BD1274,$BD$4:$BN$12824,3,0)*BE1274</f>
        <v>165360.55011981379</v>
      </c>
      <c r="BP1274" s="866"/>
      <c r="BQ1274" s="866"/>
      <c r="BR1274" s="866">
        <f>VLOOKUP(BD1274,$BD$4:$BN$12824,6,0)*BE1274</f>
        <v>73911.016616357927</v>
      </c>
      <c r="BS1274" s="866">
        <f>VLOOKUP(BD1274,$BD$4:$BN$12824,7,0)*BE1274</f>
        <v>6227.1608841980596</v>
      </c>
      <c r="BT1274" s="866"/>
      <c r="BU1274" s="866">
        <f>VLOOKUP(BD1274,$BD$4:$BN$12824,9,0)*BE1274</f>
        <v>2489.1090708381589</v>
      </c>
      <c r="BV1274" s="867"/>
      <c r="BW1274" s="867">
        <f>VLOOKUP(BD1274,$BD$4:$BN$12824,11,0)*BE1274</f>
        <v>41194.925843158278</v>
      </c>
      <c r="BX1274" s="1146">
        <f t="shared" si="241"/>
        <v>289182.76253436622</v>
      </c>
      <c r="BY1274" s="867">
        <f t="shared" si="244"/>
        <v>3413320.8764422834</v>
      </c>
      <c r="BZ1274" s="867">
        <f t="shared" si="242"/>
        <v>6826641.7528845668</v>
      </c>
      <c r="CA1274" s="867">
        <f>_xlfn.MAXIFS($BY$4:$BY$12824,$S$4:$S$12824,$S1274)</f>
        <v>3413320.8764422834</v>
      </c>
      <c r="CB1274" s="1032"/>
      <c r="CF1274" s="946">
        <f t="shared" si="243"/>
        <v>6217980.5760000004</v>
      </c>
    </row>
    <row r="1275" spans="2:84">
      <c r="B1275" s="839" t="s">
        <v>98</v>
      </c>
      <c r="C1275" s="839" t="s">
        <v>2689</v>
      </c>
      <c r="D1275" s="839" t="s">
        <v>4271</v>
      </c>
      <c r="E1275" s="839" t="s">
        <v>4272</v>
      </c>
      <c r="F1275" s="841">
        <v>45675</v>
      </c>
      <c r="G1275" s="868" t="s">
        <v>2689</v>
      </c>
      <c r="H1275" s="842" t="s">
        <v>134</v>
      </c>
      <c r="I1275" s="883"/>
      <c r="J1275" s="841"/>
      <c r="K1275" s="841"/>
      <c r="L1275" s="843" t="s">
        <v>106</v>
      </c>
      <c r="M1275" s="844" t="s">
        <v>107</v>
      </c>
      <c r="N1275" s="841"/>
      <c r="O1275" s="884" t="s">
        <v>135</v>
      </c>
      <c r="P1275" s="842"/>
      <c r="Q1275" s="843"/>
      <c r="R1275" s="845">
        <v>20240101</v>
      </c>
      <c r="S1275" s="1127" t="s">
        <v>4383</v>
      </c>
      <c r="T1275" s="885" t="s">
        <v>4384</v>
      </c>
      <c r="U1275" s="886">
        <v>2</v>
      </c>
      <c r="V1275" s="842" t="s">
        <v>3</v>
      </c>
      <c r="W1275" s="846">
        <v>285</v>
      </c>
      <c r="X1275" s="847">
        <f t="shared" si="236"/>
        <v>570</v>
      </c>
      <c r="Y1275" s="848">
        <f t="shared" si="246"/>
        <v>0.50164912280701757</v>
      </c>
      <c r="Z1275" s="849">
        <v>142.03</v>
      </c>
      <c r="AA1275" s="854"/>
      <c r="AB1275" s="849">
        <f t="shared" si="237"/>
        <v>284.06</v>
      </c>
      <c r="AC1275" s="850">
        <f t="shared" si="238"/>
        <v>284.06</v>
      </c>
      <c r="AD1275" s="887">
        <f t="shared" si="247"/>
        <v>32000</v>
      </c>
      <c r="AE1275" s="888">
        <v>30266.65</v>
      </c>
      <c r="AF1275" s="853">
        <v>0</v>
      </c>
      <c r="AG1275" s="854">
        <f t="shared" si="239"/>
        <v>0</v>
      </c>
      <c r="AH1275" s="853" t="s">
        <v>4262</v>
      </c>
      <c r="AI1275" s="855">
        <f t="shared" si="240"/>
        <v>687803.56792000018</v>
      </c>
      <c r="AJ1275" s="845" t="s">
        <v>3318</v>
      </c>
      <c r="AK1275" s="857">
        <v>45796</v>
      </c>
      <c r="AL1275" s="843" t="s">
        <v>4263</v>
      </c>
      <c r="AM1275" s="843" t="s">
        <v>4264</v>
      </c>
      <c r="AN1275" s="844" t="s">
        <v>4265</v>
      </c>
      <c r="AO1275" s="844" t="s">
        <v>141</v>
      </c>
      <c r="AP1275" s="841"/>
      <c r="AQ1275" s="841">
        <v>45821</v>
      </c>
      <c r="AR1275" s="841">
        <v>45865</v>
      </c>
      <c r="AS1275" s="842" t="s">
        <v>4266</v>
      </c>
      <c r="AT1275" s="842" t="s">
        <v>1235</v>
      </c>
      <c r="AU1275" s="842" t="s">
        <v>3794</v>
      </c>
      <c r="AV1275" s="845" t="s">
        <v>4273</v>
      </c>
      <c r="AW1275" s="861">
        <v>45867</v>
      </c>
      <c r="AX1275" s="862">
        <v>45873</v>
      </c>
      <c r="AY1275" s="843" t="s">
        <v>4385</v>
      </c>
      <c r="AZ1275" s="842" t="s">
        <v>3314</v>
      </c>
      <c r="BA1275" s="842" t="s">
        <v>120</v>
      </c>
      <c r="BB1275" s="863" t="s">
        <v>121</v>
      </c>
      <c r="BC1275" s="864">
        <v>45867</v>
      </c>
      <c r="BD1275" s="860" t="s">
        <v>4270</v>
      </c>
      <c r="BE1275" s="865" cm="1">
        <f t="array" ref="BE1275">IF(BD1275="","",AC1275/SUMPRODUCT(--(BD1275=$BD$4:$BD$12824),$AC$4:$AC$12824))</f>
        <v>6.3734596986259606E-3</v>
      </c>
      <c r="BF1275" s="458"/>
      <c r="BG1275" s="458"/>
      <c r="BH1275" s="458"/>
      <c r="BI1275" s="458"/>
      <c r="BJ1275" s="458"/>
      <c r="BK1275" s="458"/>
      <c r="BL1275" s="458"/>
      <c r="BM1275" s="458"/>
      <c r="BN1275" s="458"/>
      <c r="BO1275" s="866">
        <f>VLOOKUP(BD1275,$BD$4:$BN$12824,3,0)*BE1275</f>
        <v>228642.5129820595</v>
      </c>
      <c r="BP1275" s="866"/>
      <c r="BQ1275" s="866"/>
      <c r="BR1275" s="866">
        <f>VLOOKUP(BD1275,$BD$4:$BN$12824,6,0)*BE1275</f>
        <v>102196.08343089288</v>
      </c>
      <c r="BS1275" s="866">
        <f>VLOOKUP(BD1275,$BD$4:$BN$12824,7,0)*BE1275</f>
        <v>8610.2381267781384</v>
      </c>
      <c r="BT1275" s="866"/>
      <c r="BU1275" s="866">
        <f>VLOOKUP(BD1275,$BD$4:$BN$12824,9,0)*BE1275</f>
        <v>3441.668237258019</v>
      </c>
      <c r="BV1275" s="867"/>
      <c r="BW1275" s="867">
        <f>VLOOKUP(BD1275,$BD$4:$BN$12824,11,0)*BE1275</f>
        <v>56959.845380683124</v>
      </c>
      <c r="BX1275" s="1146">
        <f t="shared" si="241"/>
        <v>399850.34815767175</v>
      </c>
      <c r="BY1275" s="867">
        <f t="shared" si="244"/>
        <v>4498697.4735788368</v>
      </c>
      <c r="BZ1275" s="867">
        <f t="shared" si="242"/>
        <v>8997394.9471576735</v>
      </c>
      <c r="CA1275" s="867">
        <f>_xlfn.MAXIFS($BY$4:$BY$12824,$S$4:$S$12824,$S1275)</f>
        <v>4498697.4735788368</v>
      </c>
      <c r="CB1275" s="1032"/>
      <c r="CF1275" s="946">
        <f t="shared" si="243"/>
        <v>8597544.5990000013</v>
      </c>
    </row>
    <row r="1276" spans="2:84">
      <c r="B1276" s="839" t="s">
        <v>98</v>
      </c>
      <c r="C1276" s="839" t="s">
        <v>2689</v>
      </c>
      <c r="D1276" s="839" t="s">
        <v>4271</v>
      </c>
      <c r="E1276" s="839" t="s">
        <v>4272</v>
      </c>
      <c r="F1276" s="841">
        <v>45675</v>
      </c>
      <c r="G1276" s="868" t="s">
        <v>2689</v>
      </c>
      <c r="H1276" s="842" t="s">
        <v>134</v>
      </c>
      <c r="I1276" s="883"/>
      <c r="J1276" s="841"/>
      <c r="K1276" s="841"/>
      <c r="L1276" s="843" t="s">
        <v>106</v>
      </c>
      <c r="M1276" s="844" t="s">
        <v>107</v>
      </c>
      <c r="N1276" s="841"/>
      <c r="O1276" s="884" t="s">
        <v>135</v>
      </c>
      <c r="P1276" s="842"/>
      <c r="Q1276" s="843"/>
      <c r="R1276" s="845">
        <v>20210105</v>
      </c>
      <c r="S1276" s="1127" t="s">
        <v>4386</v>
      </c>
      <c r="T1276" s="885" t="s">
        <v>4387</v>
      </c>
      <c r="U1276" s="886">
        <v>2</v>
      </c>
      <c r="V1276" s="842" t="s">
        <v>3</v>
      </c>
      <c r="W1276" s="846">
        <v>189</v>
      </c>
      <c r="X1276" s="847">
        <f t="shared" si="236"/>
        <v>378</v>
      </c>
      <c r="Y1276" s="848">
        <f t="shared" si="246"/>
        <v>0.49296296296296299</v>
      </c>
      <c r="Z1276" s="849">
        <v>95.83</v>
      </c>
      <c r="AA1276" s="854"/>
      <c r="AB1276" s="849">
        <f t="shared" si="237"/>
        <v>191.66</v>
      </c>
      <c r="AC1276" s="850">
        <f t="shared" si="238"/>
        <v>191.66</v>
      </c>
      <c r="AD1276" s="887">
        <f t="shared" si="247"/>
        <v>32000</v>
      </c>
      <c r="AE1276" s="888">
        <v>30266.65</v>
      </c>
      <c r="AF1276" s="853">
        <v>0</v>
      </c>
      <c r="AG1276" s="854">
        <f t="shared" si="239"/>
        <v>0</v>
      </c>
      <c r="AH1276" s="853" t="s">
        <v>4262</v>
      </c>
      <c r="AI1276" s="855">
        <f t="shared" si="240"/>
        <v>464072.49112000002</v>
      </c>
      <c r="AJ1276" s="845" t="s">
        <v>3318</v>
      </c>
      <c r="AK1276" s="857">
        <v>45796</v>
      </c>
      <c r="AL1276" s="843" t="s">
        <v>4263</v>
      </c>
      <c r="AM1276" s="843" t="s">
        <v>4264</v>
      </c>
      <c r="AN1276" s="844" t="s">
        <v>4265</v>
      </c>
      <c r="AO1276" s="844" t="s">
        <v>141</v>
      </c>
      <c r="AP1276" s="841"/>
      <c r="AQ1276" s="841">
        <v>45821</v>
      </c>
      <c r="AR1276" s="841">
        <v>45865</v>
      </c>
      <c r="AS1276" s="842" t="s">
        <v>4266</v>
      </c>
      <c r="AT1276" s="842" t="s">
        <v>1235</v>
      </c>
      <c r="AU1276" s="842" t="s">
        <v>3794</v>
      </c>
      <c r="AV1276" s="845" t="s">
        <v>4273</v>
      </c>
      <c r="AW1276" s="861">
        <v>45867</v>
      </c>
      <c r="AX1276" s="862">
        <v>45873</v>
      </c>
      <c r="AY1276" s="843" t="s">
        <v>4388</v>
      </c>
      <c r="AZ1276" s="842" t="s">
        <v>3314</v>
      </c>
      <c r="BA1276" s="842" t="s">
        <v>120</v>
      </c>
      <c r="BB1276" s="863" t="s">
        <v>121</v>
      </c>
      <c r="BC1276" s="864">
        <v>45867</v>
      </c>
      <c r="BD1276" s="860" t="s">
        <v>4270</v>
      </c>
      <c r="BE1276" s="865" cm="1">
        <f t="array" ref="BE1276">IF(BD1276="","",AC1276/SUMPRODUCT(--(BD1276=$BD$4:$BD$12824),$AC$4:$AC$12824))</f>
        <v>4.3002791165199306E-3</v>
      </c>
      <c r="BF1276" s="458"/>
      <c r="BG1276" s="458"/>
      <c r="BH1276" s="458"/>
      <c r="BI1276" s="458"/>
      <c r="BJ1276" s="458"/>
      <c r="BK1276" s="458"/>
      <c r="BL1276" s="458"/>
      <c r="BM1276" s="458"/>
      <c r="BN1276" s="458"/>
      <c r="BO1276" s="866">
        <f>VLOOKUP(BD1276,$BD$4:$BN$12824,3,0)*BE1276</f>
        <v>154268.90107069464</v>
      </c>
      <c r="BP1276" s="866"/>
      <c r="BQ1276" s="866"/>
      <c r="BR1276" s="866">
        <f>VLOOKUP(BD1276,$BD$4:$BN$12824,6,0)*BE1276</f>
        <v>68953.394882647772</v>
      </c>
      <c r="BS1276" s="866">
        <f>VLOOKUP(BD1276,$BD$4:$BN$12824,7,0)*BE1276</f>
        <v>5809.4706730208336</v>
      </c>
      <c r="BT1276" s="866"/>
      <c r="BU1276" s="866">
        <f>VLOOKUP(BD1276,$BD$4:$BN$12824,9,0)*BE1276</f>
        <v>2322.1507229207627</v>
      </c>
      <c r="BV1276" s="867"/>
      <c r="BW1276" s="867">
        <f>VLOOKUP(BD1276,$BD$4:$BN$12824,11,0)*BE1276</f>
        <v>38431.753733935526</v>
      </c>
      <c r="BX1276" s="1146">
        <f t="shared" si="241"/>
        <v>269785.67108321952</v>
      </c>
      <c r="BY1276" s="867">
        <f t="shared" si="244"/>
        <v>3035345.9050416099</v>
      </c>
      <c r="BZ1276" s="867">
        <f t="shared" si="242"/>
        <v>6070691.8100832198</v>
      </c>
      <c r="CA1276" s="867">
        <f>_xlfn.MAXIFS($BY$4:$BY$12824,$S$4:$S$12824,$S1276)</f>
        <v>3035345.9050416099</v>
      </c>
      <c r="CB1276" s="1032"/>
      <c r="CF1276" s="946">
        <f t="shared" si="243"/>
        <v>5800906.1390000004</v>
      </c>
    </row>
    <row r="1277" spans="2:84">
      <c r="B1277" s="839" t="s">
        <v>98</v>
      </c>
      <c r="C1277" s="839" t="s">
        <v>2689</v>
      </c>
      <c r="D1277" s="839" t="s">
        <v>4271</v>
      </c>
      <c r="E1277" s="839" t="s">
        <v>4272</v>
      </c>
      <c r="F1277" s="841">
        <v>45675</v>
      </c>
      <c r="G1277" s="868" t="s">
        <v>2689</v>
      </c>
      <c r="H1277" s="842" t="s">
        <v>134</v>
      </c>
      <c r="I1277" s="883"/>
      <c r="J1277" s="841"/>
      <c r="K1277" s="841"/>
      <c r="L1277" s="843" t="s">
        <v>106</v>
      </c>
      <c r="M1277" s="844" t="s">
        <v>107</v>
      </c>
      <c r="N1277" s="841"/>
      <c r="O1277" s="884" t="s">
        <v>135</v>
      </c>
      <c r="P1277" s="842"/>
      <c r="Q1277" s="843"/>
      <c r="R1277" s="845">
        <v>20225101</v>
      </c>
      <c r="S1277" s="1127" t="s">
        <v>4389</v>
      </c>
      <c r="T1277" s="885" t="s">
        <v>4390</v>
      </c>
      <c r="U1277" s="886">
        <v>1</v>
      </c>
      <c r="V1277" s="842" t="s">
        <v>3</v>
      </c>
      <c r="W1277" s="846">
        <v>289</v>
      </c>
      <c r="X1277" s="847">
        <f t="shared" si="236"/>
        <v>289</v>
      </c>
      <c r="Y1277" s="848">
        <f t="shared" si="246"/>
        <v>0.4983391003460208</v>
      </c>
      <c r="Z1277" s="849">
        <v>144.97999999999999</v>
      </c>
      <c r="AA1277" s="854"/>
      <c r="AB1277" s="849">
        <f t="shared" si="237"/>
        <v>144.97999999999999</v>
      </c>
      <c r="AC1277" s="850">
        <f t="shared" si="238"/>
        <v>144.97999999999999</v>
      </c>
      <c r="AD1277" s="887">
        <f t="shared" si="247"/>
        <v>32000</v>
      </c>
      <c r="AE1277" s="888">
        <v>30266.65</v>
      </c>
      <c r="AF1277" s="853">
        <v>0</v>
      </c>
      <c r="AG1277" s="854">
        <f t="shared" si="239"/>
        <v>0</v>
      </c>
      <c r="AH1277" s="853" t="s">
        <v>4322</v>
      </c>
      <c r="AI1277" s="855">
        <f t="shared" si="240"/>
        <v>438805.89170000004</v>
      </c>
      <c r="AJ1277" s="845" t="s">
        <v>3318</v>
      </c>
      <c r="AK1277" s="857">
        <v>45796</v>
      </c>
      <c r="AL1277" s="843" t="s">
        <v>4263</v>
      </c>
      <c r="AM1277" s="843" t="s">
        <v>4264</v>
      </c>
      <c r="AN1277" s="844" t="s">
        <v>4265</v>
      </c>
      <c r="AO1277" s="844" t="s">
        <v>141</v>
      </c>
      <c r="AP1277" s="841"/>
      <c r="AQ1277" s="841">
        <v>45821</v>
      </c>
      <c r="AR1277" s="841">
        <v>45865</v>
      </c>
      <c r="AS1277" s="842" t="s">
        <v>4266</v>
      </c>
      <c r="AT1277" s="842" t="s">
        <v>1235</v>
      </c>
      <c r="AU1277" s="842" t="s">
        <v>3794</v>
      </c>
      <c r="AV1277" s="845" t="s">
        <v>4273</v>
      </c>
      <c r="AW1277" s="861">
        <v>45867</v>
      </c>
      <c r="AX1277" s="862">
        <v>45873</v>
      </c>
      <c r="AY1277" s="843" t="s">
        <v>4391</v>
      </c>
      <c r="AZ1277" s="842" t="s">
        <v>4324</v>
      </c>
      <c r="BA1277" s="842" t="s">
        <v>120</v>
      </c>
      <c r="BB1277" s="863" t="s">
        <v>121</v>
      </c>
      <c r="BC1277" s="864">
        <v>45867</v>
      </c>
      <c r="BD1277" s="860" t="s">
        <v>4270</v>
      </c>
      <c r="BE1277" s="865" cm="1">
        <f t="array" ref="BE1277">IF(BD1277="","",AC1277/SUMPRODUCT(--(BD1277=$BD$4:$BD$12824),$AC$4:$AC$12824))</f>
        <v>3.2529190562092221E-3</v>
      </c>
      <c r="BF1277" s="458"/>
      <c r="BG1277" s="458"/>
      <c r="BH1277" s="458"/>
      <c r="BI1277" s="458"/>
      <c r="BJ1277" s="458"/>
      <c r="BK1277" s="458"/>
      <c r="BL1277" s="458"/>
      <c r="BM1277" s="458"/>
      <c r="BN1277" s="458"/>
      <c r="BO1277" s="866">
        <f>VLOOKUP(BD1277,$BD$4:$BN$12824,3,0)*BE1277</f>
        <v>116695.73868949863</v>
      </c>
      <c r="BP1277" s="866"/>
      <c r="BQ1277" s="866"/>
      <c r="BR1277" s="866">
        <f>VLOOKUP(BD1277,$BD$4:$BN$12824,6,0)*BE1277</f>
        <v>52159.36131736551</v>
      </c>
      <c r="BS1277" s="866">
        <f>VLOOKUP(BD1277,$BD$4:$BN$12824,7,0)*BE1277</f>
        <v>4394.5375048239612</v>
      </c>
      <c r="BT1277" s="866"/>
      <c r="BU1277" s="866">
        <f>VLOOKUP(BD1277,$BD$4:$BN$12824,9,0)*BE1277</f>
        <v>1756.5762903529799</v>
      </c>
      <c r="BV1277" s="867"/>
      <c r="BW1277" s="867">
        <f>VLOOKUP(BD1277,$BD$4:$BN$12824,11,0)*BE1277</f>
        <v>29071.458083825382</v>
      </c>
      <c r="BX1277" s="1146">
        <f t="shared" si="241"/>
        <v>204077.67188586647</v>
      </c>
      <c r="BY1277" s="867">
        <f t="shared" si="244"/>
        <v>4592136.588885867</v>
      </c>
      <c r="BZ1277" s="867">
        <f t="shared" si="242"/>
        <v>4592136.588885867</v>
      </c>
      <c r="CA1277" s="867">
        <f>_xlfn.MAXIFS($BY$4:$BY$12824,$S$4:$S$12824,$S1277)</f>
        <v>4592136.588885867</v>
      </c>
      <c r="CB1277" s="1032"/>
      <c r="CF1277" s="946">
        <f t="shared" si="243"/>
        <v>4388058.9170000004</v>
      </c>
    </row>
    <row r="1278" spans="2:84">
      <c r="B1278" s="839" t="s">
        <v>98</v>
      </c>
      <c r="C1278" s="839" t="s">
        <v>2689</v>
      </c>
      <c r="D1278" s="839" t="s">
        <v>4271</v>
      </c>
      <c r="E1278" s="839" t="s">
        <v>4272</v>
      </c>
      <c r="F1278" s="841">
        <v>45675</v>
      </c>
      <c r="G1278" s="868" t="s">
        <v>2689</v>
      </c>
      <c r="H1278" s="842" t="s">
        <v>134</v>
      </c>
      <c r="I1278" s="883"/>
      <c r="J1278" s="841"/>
      <c r="K1278" s="841"/>
      <c r="L1278" s="843" t="s">
        <v>106</v>
      </c>
      <c r="M1278" s="844" t="s">
        <v>107</v>
      </c>
      <c r="N1278" s="841"/>
      <c r="O1278" s="884" t="s">
        <v>135</v>
      </c>
      <c r="P1278" s="842"/>
      <c r="Q1278" s="843"/>
      <c r="R1278" s="845">
        <v>20211005</v>
      </c>
      <c r="S1278" s="1127" t="s">
        <v>4392</v>
      </c>
      <c r="T1278" s="885" t="s">
        <v>4393</v>
      </c>
      <c r="U1278" s="886">
        <v>2</v>
      </c>
      <c r="V1278" s="842" t="s">
        <v>3</v>
      </c>
      <c r="W1278" s="846">
        <v>175</v>
      </c>
      <c r="X1278" s="847">
        <f t="shared" si="236"/>
        <v>350</v>
      </c>
      <c r="Y1278" s="848">
        <f t="shared" si="246"/>
        <v>0.49731428571428571</v>
      </c>
      <c r="Z1278" s="849">
        <v>87.97</v>
      </c>
      <c r="AA1278" s="854"/>
      <c r="AB1278" s="849">
        <f t="shared" si="237"/>
        <v>175.94</v>
      </c>
      <c r="AC1278" s="850">
        <f t="shared" si="238"/>
        <v>175.94</v>
      </c>
      <c r="AD1278" s="887">
        <f t="shared" si="247"/>
        <v>32000</v>
      </c>
      <c r="AE1278" s="888">
        <v>30266.65</v>
      </c>
      <c r="AF1278" s="853">
        <v>0</v>
      </c>
      <c r="AG1278" s="854">
        <f t="shared" si="239"/>
        <v>0</v>
      </c>
      <c r="AH1278" s="853" t="s">
        <v>4262</v>
      </c>
      <c r="AI1278" s="855">
        <f t="shared" si="240"/>
        <v>426009.15208000003</v>
      </c>
      <c r="AJ1278" s="845" t="s">
        <v>3318</v>
      </c>
      <c r="AK1278" s="857">
        <v>45796</v>
      </c>
      <c r="AL1278" s="843" t="s">
        <v>4263</v>
      </c>
      <c r="AM1278" s="843" t="s">
        <v>4264</v>
      </c>
      <c r="AN1278" s="844" t="s">
        <v>4265</v>
      </c>
      <c r="AO1278" s="844" t="s">
        <v>141</v>
      </c>
      <c r="AP1278" s="841"/>
      <c r="AQ1278" s="841">
        <v>45821</v>
      </c>
      <c r="AR1278" s="841">
        <v>45865</v>
      </c>
      <c r="AS1278" s="842" t="s">
        <v>4266</v>
      </c>
      <c r="AT1278" s="842" t="s">
        <v>1235</v>
      </c>
      <c r="AU1278" s="842" t="s">
        <v>3794</v>
      </c>
      <c r="AV1278" s="845" t="s">
        <v>4273</v>
      </c>
      <c r="AW1278" s="861">
        <v>45867</v>
      </c>
      <c r="AX1278" s="862">
        <v>45873</v>
      </c>
      <c r="AY1278" s="843" t="s">
        <v>4394</v>
      </c>
      <c r="AZ1278" s="842" t="s">
        <v>3314</v>
      </c>
      <c r="BA1278" s="842" t="s">
        <v>120</v>
      </c>
      <c r="BB1278" s="863" t="s">
        <v>121</v>
      </c>
      <c r="BC1278" s="864">
        <v>45867</v>
      </c>
      <c r="BD1278" s="860" t="s">
        <v>4270</v>
      </c>
      <c r="BE1278" s="865" cm="1">
        <f t="array" ref="BE1278">IF(BD1278="","",AC1278/SUMPRODUCT(--(BD1278=$BD$4:$BD$12824),$AC$4:$AC$12824))</f>
        <v>3.9475691733304634E-3</v>
      </c>
      <c r="BF1278" s="458"/>
      <c r="BG1278" s="458"/>
      <c r="BH1278" s="458"/>
      <c r="BI1278" s="458"/>
      <c r="BJ1278" s="458"/>
      <c r="BK1278" s="458"/>
      <c r="BL1278" s="458"/>
      <c r="BM1278" s="458"/>
      <c r="BN1278" s="458"/>
      <c r="BO1278" s="866">
        <f>VLOOKUP(BD1278,$BD$4:$BN$12824,3,0)*BE1278</f>
        <v>141615.72813512478</v>
      </c>
      <c r="BP1278" s="866"/>
      <c r="BQ1278" s="866"/>
      <c r="BR1278" s="866">
        <f>VLOOKUP(BD1278,$BD$4:$BN$12824,6,0)*BE1278</f>
        <v>63297.820597167112</v>
      </c>
      <c r="BS1278" s="866">
        <f>VLOOKUP(BD1278,$BD$4:$BN$12824,7,0)*BE1278</f>
        <v>5332.9764698491363</v>
      </c>
      <c r="BT1278" s="866"/>
      <c r="BU1278" s="866">
        <f>VLOOKUP(BD1278,$BD$4:$BN$12824,9,0)*BE1278</f>
        <v>2131.68735359845</v>
      </c>
      <c r="BV1278" s="867"/>
      <c r="BW1278" s="867">
        <f>VLOOKUP(BD1278,$BD$4:$BN$12824,11,0)*BE1278</f>
        <v>35279.571908320031</v>
      </c>
      <c r="BX1278" s="1146">
        <f t="shared" si="241"/>
        <v>247657.78446405954</v>
      </c>
      <c r="BY1278" s="867">
        <f t="shared" si="244"/>
        <v>2786386.09273203</v>
      </c>
      <c r="BZ1278" s="867">
        <f t="shared" si="242"/>
        <v>5572772.1854640599</v>
      </c>
      <c r="CA1278" s="867">
        <f>_xlfn.MAXIFS($BY$4:$BY$12824,$S$4:$S$12824,$S1278)</f>
        <v>2786386.09273203</v>
      </c>
      <c r="CB1278" s="1032"/>
      <c r="CF1278" s="946">
        <f t="shared" si="243"/>
        <v>5325114.4010000005</v>
      </c>
    </row>
    <row r="1279" spans="2:84">
      <c r="B1279" s="839" t="s">
        <v>98</v>
      </c>
      <c r="C1279" s="839" t="s">
        <v>2689</v>
      </c>
      <c r="D1279" s="839" t="s">
        <v>4271</v>
      </c>
      <c r="E1279" s="839" t="s">
        <v>4272</v>
      </c>
      <c r="F1279" s="841">
        <v>45675</v>
      </c>
      <c r="G1279" s="868" t="s">
        <v>2689</v>
      </c>
      <c r="H1279" s="842" t="s">
        <v>134</v>
      </c>
      <c r="I1279" s="883"/>
      <c r="J1279" s="841"/>
      <c r="K1279" s="841"/>
      <c r="L1279" s="843" t="s">
        <v>106</v>
      </c>
      <c r="M1279" s="844" t="s">
        <v>107</v>
      </c>
      <c r="N1279" s="841"/>
      <c r="O1279" s="884" t="s">
        <v>135</v>
      </c>
      <c r="P1279" s="842"/>
      <c r="Q1279" s="843"/>
      <c r="R1279" s="845">
        <v>20251901</v>
      </c>
      <c r="S1279" s="1127" t="s">
        <v>4395</v>
      </c>
      <c r="T1279" s="885" t="s">
        <v>4396</v>
      </c>
      <c r="U1279" s="886">
        <v>2</v>
      </c>
      <c r="V1279" s="842" t="s">
        <v>3</v>
      </c>
      <c r="W1279" s="846">
        <v>225</v>
      </c>
      <c r="X1279" s="847">
        <f t="shared" si="236"/>
        <v>450</v>
      </c>
      <c r="Y1279" s="848">
        <f t="shared" si="246"/>
        <v>0.49982222222222217</v>
      </c>
      <c r="Z1279" s="849">
        <v>112.54</v>
      </c>
      <c r="AA1279" s="854"/>
      <c r="AB1279" s="849">
        <f t="shared" si="237"/>
        <v>225.08</v>
      </c>
      <c r="AC1279" s="850">
        <f t="shared" si="238"/>
        <v>225.08</v>
      </c>
      <c r="AD1279" s="887">
        <f t="shared" si="247"/>
        <v>32000</v>
      </c>
      <c r="AE1279" s="888">
        <v>30266.65</v>
      </c>
      <c r="AF1279" s="853">
        <v>0</v>
      </c>
      <c r="AG1279" s="854">
        <f t="shared" si="239"/>
        <v>0</v>
      </c>
      <c r="AH1279" s="853" t="s">
        <v>4262</v>
      </c>
      <c r="AI1279" s="855">
        <f t="shared" si="240"/>
        <v>544993.40656000003</v>
      </c>
      <c r="AJ1279" s="845" t="s">
        <v>3318</v>
      </c>
      <c r="AK1279" s="857">
        <v>45796</v>
      </c>
      <c r="AL1279" s="843" t="s">
        <v>4263</v>
      </c>
      <c r="AM1279" s="843" t="s">
        <v>4264</v>
      </c>
      <c r="AN1279" s="844" t="s">
        <v>4265</v>
      </c>
      <c r="AO1279" s="844" t="s">
        <v>141</v>
      </c>
      <c r="AP1279" s="841"/>
      <c r="AQ1279" s="841">
        <v>45821</v>
      </c>
      <c r="AR1279" s="841">
        <v>45865</v>
      </c>
      <c r="AS1279" s="842" t="s">
        <v>4266</v>
      </c>
      <c r="AT1279" s="842" t="s">
        <v>1235</v>
      </c>
      <c r="AU1279" s="842" t="s">
        <v>3794</v>
      </c>
      <c r="AV1279" s="845" t="s">
        <v>4273</v>
      </c>
      <c r="AW1279" s="861">
        <v>45867</v>
      </c>
      <c r="AX1279" s="862">
        <v>45873</v>
      </c>
      <c r="AY1279" s="843" t="s">
        <v>4397</v>
      </c>
      <c r="AZ1279" s="842" t="s">
        <v>3314</v>
      </c>
      <c r="BA1279" s="842" t="s">
        <v>120</v>
      </c>
      <c r="BB1279" s="863" t="s">
        <v>121</v>
      </c>
      <c r="BC1279" s="864">
        <v>45867</v>
      </c>
      <c r="BD1279" s="860" t="s">
        <v>4270</v>
      </c>
      <c r="BE1279" s="865" cm="1">
        <f t="array" ref="BE1279">IF(BD1279="","",AC1279/SUMPRODUCT(--(BD1279=$BD$4:$BD$12824),$AC$4:$AC$12824))</f>
        <v>5.0501243010868521E-3</v>
      </c>
      <c r="BF1279" s="458"/>
      <c r="BG1279" s="458"/>
      <c r="BH1279" s="458"/>
      <c r="BI1279" s="458"/>
      <c r="BJ1279" s="458"/>
      <c r="BK1279" s="458"/>
      <c r="BL1279" s="458"/>
      <c r="BM1279" s="458"/>
      <c r="BN1279" s="458"/>
      <c r="BO1279" s="866">
        <f>VLOOKUP(BD1279,$BD$4:$BN$12824,3,0)*BE1279</f>
        <v>181168.9671970779</v>
      </c>
      <c r="BP1279" s="866"/>
      <c r="BQ1279" s="866"/>
      <c r="BR1279" s="866">
        <f>VLOOKUP(BD1279,$BD$4:$BN$12824,6,0)*BE1279</f>
        <v>80976.886779642911</v>
      </c>
      <c r="BS1279" s="866">
        <f>VLOOKUP(BD1279,$BD$4:$BN$12824,7,0)*BE1279</f>
        <v>6822.4755248018846</v>
      </c>
      <c r="BT1279" s="866"/>
      <c r="BU1279" s="866">
        <f>VLOOKUP(BD1279,$BD$4:$BN$12824,9,0)*BE1279</f>
        <v>2727.0671225869</v>
      </c>
      <c r="BV1279" s="867"/>
      <c r="BW1279" s="867">
        <f>VLOOKUP(BD1279,$BD$4:$BN$12824,11,0)*BE1279</f>
        <v>45133.147920453979</v>
      </c>
      <c r="BX1279" s="1146">
        <f t="shared" si="241"/>
        <v>316828.54454456357</v>
      </c>
      <c r="BY1279" s="867">
        <f t="shared" si="244"/>
        <v>3564623.063272282</v>
      </c>
      <c r="BZ1279" s="867">
        <f t="shared" si="242"/>
        <v>7129246.126544564</v>
      </c>
      <c r="CA1279" s="867">
        <f>_xlfn.MAXIFS($BY$4:$BY$12824,$S$4:$S$12824,$S1279)</f>
        <v>3564623.063272282</v>
      </c>
      <c r="CB1279" s="1032"/>
      <c r="CF1279" s="946">
        <f t="shared" si="243"/>
        <v>6812417.5820000004</v>
      </c>
    </row>
    <row r="1280" spans="2:84">
      <c r="B1280" s="839" t="s">
        <v>98</v>
      </c>
      <c r="C1280" s="839" t="s">
        <v>2689</v>
      </c>
      <c r="D1280" s="839" t="s">
        <v>4271</v>
      </c>
      <c r="E1280" s="839" t="s">
        <v>4272</v>
      </c>
      <c r="F1280" s="841">
        <v>45675</v>
      </c>
      <c r="G1280" s="868" t="s">
        <v>2689</v>
      </c>
      <c r="H1280" s="842" t="s">
        <v>134</v>
      </c>
      <c r="I1280" s="883"/>
      <c r="J1280" s="841"/>
      <c r="K1280" s="841"/>
      <c r="L1280" s="843" t="s">
        <v>106</v>
      </c>
      <c r="M1280" s="844" t="s">
        <v>107</v>
      </c>
      <c r="N1280" s="841"/>
      <c r="O1280" s="884" t="s">
        <v>135</v>
      </c>
      <c r="P1280" s="842"/>
      <c r="Q1280" s="843"/>
      <c r="R1280" s="845">
        <v>20241101</v>
      </c>
      <c r="S1280" s="1127" t="s">
        <v>4398</v>
      </c>
      <c r="T1280" s="885" t="s">
        <v>4399</v>
      </c>
      <c r="U1280" s="886">
        <v>1</v>
      </c>
      <c r="V1280" s="842" t="s">
        <v>3</v>
      </c>
      <c r="W1280" s="846">
        <v>635</v>
      </c>
      <c r="X1280" s="847">
        <f t="shared" si="236"/>
        <v>635</v>
      </c>
      <c r="Y1280" s="848">
        <f t="shared" si="246"/>
        <v>0.5008188976377953</v>
      </c>
      <c r="Z1280" s="849">
        <v>316.98</v>
      </c>
      <c r="AA1280" s="854"/>
      <c r="AB1280" s="849">
        <f t="shared" si="237"/>
        <v>316.98</v>
      </c>
      <c r="AC1280" s="850">
        <f t="shared" si="238"/>
        <v>316.98</v>
      </c>
      <c r="AD1280" s="887">
        <f t="shared" si="247"/>
        <v>32000</v>
      </c>
      <c r="AE1280" s="888">
        <v>30266.65</v>
      </c>
      <c r="AF1280" s="853">
        <v>0.05</v>
      </c>
      <c r="AG1280" s="854">
        <f t="shared" si="239"/>
        <v>492933.54644045263</v>
      </c>
      <c r="AH1280" s="853" t="s">
        <v>4262</v>
      </c>
      <c r="AI1280" s="855">
        <f t="shared" si="240"/>
        <v>806948.50107523624</v>
      </c>
      <c r="AJ1280" s="845" t="s">
        <v>3318</v>
      </c>
      <c r="AK1280" s="857">
        <v>45796</v>
      </c>
      <c r="AL1280" s="843" t="s">
        <v>4263</v>
      </c>
      <c r="AM1280" s="843" t="s">
        <v>4264</v>
      </c>
      <c r="AN1280" s="844" t="s">
        <v>4265</v>
      </c>
      <c r="AO1280" s="844" t="s">
        <v>141</v>
      </c>
      <c r="AP1280" s="841"/>
      <c r="AQ1280" s="841">
        <v>45821</v>
      </c>
      <c r="AR1280" s="841">
        <v>45865</v>
      </c>
      <c r="AS1280" s="842" t="s">
        <v>4266</v>
      </c>
      <c r="AT1280" s="842" t="s">
        <v>1235</v>
      </c>
      <c r="AU1280" s="842" t="s">
        <v>3794</v>
      </c>
      <c r="AV1280" s="845" t="s">
        <v>4273</v>
      </c>
      <c r="AW1280" s="861">
        <v>45867</v>
      </c>
      <c r="AX1280" s="862">
        <v>45873</v>
      </c>
      <c r="AY1280" s="843" t="s">
        <v>4400</v>
      </c>
      <c r="AZ1280" s="842" t="s">
        <v>4349</v>
      </c>
      <c r="BA1280" s="842" t="s">
        <v>120</v>
      </c>
      <c r="BB1280" s="863" t="s">
        <v>121</v>
      </c>
      <c r="BC1280" s="864">
        <v>45867</v>
      </c>
      <c r="BD1280" s="860" t="s">
        <v>4270</v>
      </c>
      <c r="BE1280" s="865" cm="1">
        <f t="array" ref="BE1280">IF(BD1280="","",AC1280/SUMPRODUCT(--(BD1280=$BD$4:$BD$12824),$AC$4:$AC$12824))</f>
        <v>7.112086373549451E-3</v>
      </c>
      <c r="BF1280" s="458"/>
      <c r="BG1280" s="458"/>
      <c r="BH1280" s="458"/>
      <c r="BI1280" s="458"/>
      <c r="BJ1280" s="458"/>
      <c r="BK1280" s="458"/>
      <c r="BL1280" s="458"/>
      <c r="BM1280" s="458"/>
      <c r="BN1280" s="458"/>
      <c r="BO1280" s="866">
        <f>VLOOKUP(BD1280,$BD$4:$BN$12824,3,0)*BE1280</f>
        <v>255140.12449853276</v>
      </c>
      <c r="BP1280" s="866"/>
      <c r="BQ1280" s="866"/>
      <c r="BR1280" s="866">
        <f>VLOOKUP(BD1280,$BD$4:$BN$12824,6,0)*BE1280</f>
        <v>114039.69064959664</v>
      </c>
      <c r="BS1280" s="866">
        <f>VLOOKUP(BD1280,$BD$4:$BN$12824,7,0)*BE1280</f>
        <v>9608.0873105193787</v>
      </c>
      <c r="BT1280" s="866"/>
      <c r="BU1280" s="866">
        <f>VLOOKUP(BD1280,$BD$4:$BN$12824,9,0)*BE1280</f>
        <v>3840.5266417167036</v>
      </c>
      <c r="BV1280" s="867"/>
      <c r="BW1280" s="867">
        <f>VLOOKUP(BD1280,$BD$4:$BN$12824,11,0)*BE1280</f>
        <v>63560.979331017872</v>
      </c>
      <c r="BX1280" s="1146">
        <f t="shared" si="241"/>
        <v>446189.40843138337</v>
      </c>
      <c r="BY1280" s="867">
        <f t="shared" si="244"/>
        <v>10533045.671871835</v>
      </c>
      <c r="BZ1280" s="867">
        <f t="shared" si="242"/>
        <v>10533045.671871835</v>
      </c>
      <c r="CA1280" s="867">
        <f>_xlfn.MAXIFS($BY$4:$BY$12824,$S$4:$S$12824,$S1280)</f>
        <v>10533045.671871835</v>
      </c>
      <c r="CB1280" s="1032"/>
      <c r="CF1280" s="946">
        <f t="shared" si="243"/>
        <v>9593922.7170000002</v>
      </c>
    </row>
    <row r="1281" spans="2:84">
      <c r="B1281" s="839" t="s">
        <v>98</v>
      </c>
      <c r="C1281" s="839" t="s">
        <v>2689</v>
      </c>
      <c r="D1281" s="839" t="s">
        <v>4271</v>
      </c>
      <c r="E1281" s="839" t="s">
        <v>4272</v>
      </c>
      <c r="F1281" s="841">
        <v>45675</v>
      </c>
      <c r="G1281" s="868" t="s">
        <v>2689</v>
      </c>
      <c r="H1281" s="842" t="s">
        <v>134</v>
      </c>
      <c r="I1281" s="883"/>
      <c r="J1281" s="841"/>
      <c r="K1281" s="841"/>
      <c r="L1281" s="843" t="s">
        <v>106</v>
      </c>
      <c r="M1281" s="844" t="s">
        <v>107</v>
      </c>
      <c r="N1281" s="841"/>
      <c r="O1281" s="884" t="s">
        <v>135</v>
      </c>
      <c r="P1281" s="842"/>
      <c r="Q1281" s="843"/>
      <c r="R1281" s="845">
        <v>20212101</v>
      </c>
      <c r="S1281" s="1127" t="s">
        <v>4401</v>
      </c>
      <c r="T1281" s="885" t="s">
        <v>4402</v>
      </c>
      <c r="U1281" s="886">
        <v>2</v>
      </c>
      <c r="V1281" s="842" t="s">
        <v>3</v>
      </c>
      <c r="W1281" s="846">
        <v>269</v>
      </c>
      <c r="X1281" s="847">
        <f t="shared" si="236"/>
        <v>538</v>
      </c>
      <c r="Y1281" s="848">
        <f t="shared" si="246"/>
        <v>0.49758364312267656</v>
      </c>
      <c r="Z1281" s="849">
        <v>135.15</v>
      </c>
      <c r="AA1281" s="854"/>
      <c r="AB1281" s="849">
        <f t="shared" si="237"/>
        <v>270.3</v>
      </c>
      <c r="AC1281" s="850">
        <f t="shared" si="238"/>
        <v>270.3</v>
      </c>
      <c r="AD1281" s="887">
        <f t="shared" si="247"/>
        <v>32000</v>
      </c>
      <c r="AE1281" s="888">
        <v>30266.65</v>
      </c>
      <c r="AF1281" s="853">
        <v>0</v>
      </c>
      <c r="AG1281" s="854">
        <f t="shared" si="239"/>
        <v>0</v>
      </c>
      <c r="AH1281" s="853" t="s">
        <v>4322</v>
      </c>
      <c r="AI1281" s="855">
        <f t="shared" si="240"/>
        <v>818107.5495000002</v>
      </c>
      <c r="AJ1281" s="845" t="s">
        <v>3318</v>
      </c>
      <c r="AK1281" s="857">
        <v>45796</v>
      </c>
      <c r="AL1281" s="843" t="s">
        <v>4263</v>
      </c>
      <c r="AM1281" s="843" t="s">
        <v>4264</v>
      </c>
      <c r="AN1281" s="844" t="s">
        <v>4265</v>
      </c>
      <c r="AO1281" s="844" t="s">
        <v>141</v>
      </c>
      <c r="AP1281" s="841"/>
      <c r="AQ1281" s="841">
        <v>45821</v>
      </c>
      <c r="AR1281" s="841">
        <v>45865</v>
      </c>
      <c r="AS1281" s="842" t="s">
        <v>4266</v>
      </c>
      <c r="AT1281" s="842" t="s">
        <v>1235</v>
      </c>
      <c r="AU1281" s="842" t="s">
        <v>3794</v>
      </c>
      <c r="AV1281" s="845" t="s">
        <v>4273</v>
      </c>
      <c r="AW1281" s="861">
        <v>45867</v>
      </c>
      <c r="AX1281" s="862">
        <v>45873</v>
      </c>
      <c r="AY1281" s="843" t="s">
        <v>4403</v>
      </c>
      <c r="AZ1281" s="842" t="s">
        <v>4324</v>
      </c>
      <c r="BA1281" s="842" t="s">
        <v>120</v>
      </c>
      <c r="BB1281" s="863" t="s">
        <v>121</v>
      </c>
      <c r="BC1281" s="864">
        <v>45867</v>
      </c>
      <c r="BD1281" s="860" t="s">
        <v>4270</v>
      </c>
      <c r="BE1281" s="865" cm="1">
        <f t="array" ref="BE1281">IF(BD1281="","",AC1281/SUMPRODUCT(--(BD1281=$BD$4:$BD$12824),$AC$4:$AC$12824))</f>
        <v>6.0647263132387426E-3</v>
      </c>
      <c r="BF1281" s="458"/>
      <c r="BG1281" s="458"/>
      <c r="BH1281" s="458"/>
      <c r="BI1281" s="458"/>
      <c r="BJ1281" s="458"/>
      <c r="BK1281" s="458"/>
      <c r="BL1281" s="458"/>
      <c r="BM1281" s="458"/>
      <c r="BN1281" s="458"/>
      <c r="BO1281" s="866">
        <f>VLOOKUP(BD1281,$BD$4:$BN$12824,3,0)*BE1281</f>
        <v>217566.96211733678</v>
      </c>
      <c r="BP1281" s="866"/>
      <c r="BQ1281" s="866"/>
      <c r="BR1281" s="866">
        <f>VLOOKUP(BD1281,$BD$4:$BN$12824,6,0)*BE1281</f>
        <v>97245.657084314385</v>
      </c>
      <c r="BS1281" s="866">
        <f>VLOOKUP(BD1281,$BD$4:$BN$12824,7,0)*BE1281</f>
        <v>8193.1541423225062</v>
      </c>
      <c r="BT1281" s="866"/>
      <c r="BU1281" s="866">
        <f>VLOOKUP(BD1281,$BD$4:$BN$12824,9,0)*BE1281</f>
        <v>3274.9522091489212</v>
      </c>
      <c r="BV1281" s="867"/>
      <c r="BW1281" s="867">
        <f>VLOOKUP(BD1281,$BD$4:$BN$12824,11,0)*BE1281</f>
        <v>54200.683680907729</v>
      </c>
      <c r="BX1281" s="1146">
        <f t="shared" si="241"/>
        <v>380481.40923403029</v>
      </c>
      <c r="BY1281" s="867">
        <f t="shared" si="244"/>
        <v>4280778.4521170156</v>
      </c>
      <c r="BZ1281" s="867">
        <f t="shared" si="242"/>
        <v>8561556.9042340312</v>
      </c>
      <c r="CA1281" s="867">
        <f>_xlfn.MAXIFS($BY$4:$BY$12824,$S$4:$S$12824,$S1281)</f>
        <v>4280778.4521170156</v>
      </c>
      <c r="CB1281" s="1032"/>
      <c r="CF1281" s="946">
        <f t="shared" si="243"/>
        <v>8181075.495000001</v>
      </c>
    </row>
    <row r="1282" spans="2:84">
      <c r="B1282" s="839" t="s">
        <v>98</v>
      </c>
      <c r="C1282" s="839" t="s">
        <v>2689</v>
      </c>
      <c r="D1282" s="839" t="s">
        <v>4271</v>
      </c>
      <c r="E1282" s="839" t="s">
        <v>4272</v>
      </c>
      <c r="F1282" s="841">
        <v>45675</v>
      </c>
      <c r="G1282" s="868" t="s">
        <v>2689</v>
      </c>
      <c r="H1282" s="842" t="s">
        <v>134</v>
      </c>
      <c r="I1282" s="883"/>
      <c r="J1282" s="841"/>
      <c r="K1282" s="841"/>
      <c r="L1282" s="843" t="s">
        <v>106</v>
      </c>
      <c r="M1282" s="844" t="s">
        <v>107</v>
      </c>
      <c r="N1282" s="841"/>
      <c r="O1282" s="884" t="s">
        <v>135</v>
      </c>
      <c r="P1282" s="842"/>
      <c r="Q1282" s="843"/>
      <c r="R1282" s="845">
        <v>20220101</v>
      </c>
      <c r="S1282" s="1127" t="s">
        <v>4404</v>
      </c>
      <c r="T1282" s="885" t="s">
        <v>4405</v>
      </c>
      <c r="U1282" s="886">
        <v>2</v>
      </c>
      <c r="V1282" s="842" t="s">
        <v>3</v>
      </c>
      <c r="W1282" s="846">
        <v>235</v>
      </c>
      <c r="X1282" s="847">
        <f t="shared" ref="X1282:X1345" si="248">W1282*U1282</f>
        <v>470</v>
      </c>
      <c r="Y1282" s="848">
        <f t="shared" si="246"/>
        <v>0.50017021276595752</v>
      </c>
      <c r="Z1282" s="849">
        <v>117.46</v>
      </c>
      <c r="AA1282" s="854"/>
      <c r="AB1282" s="849">
        <f t="shared" ref="AB1282:AB1345" si="249">IF(AA1282="F.O.C", 0, Z1282*U1282)</f>
        <v>234.92</v>
      </c>
      <c r="AC1282" s="850">
        <f t="shared" ref="AC1282:AC1345" si="250">Z1282*U1282</f>
        <v>234.92</v>
      </c>
      <c r="AD1282" s="887">
        <f t="shared" si="247"/>
        <v>32000</v>
      </c>
      <c r="AE1282" s="888">
        <v>30266.65</v>
      </c>
      <c r="AF1282" s="853">
        <v>0.05</v>
      </c>
      <c r="AG1282" s="854">
        <f t="shared" ref="AG1282:AG1345" si="251">(AC1282*AE1282+BO1282+BP1282+BQ1282+BS1282)*AF1282</f>
        <v>365322.57154959661</v>
      </c>
      <c r="AH1282" s="853" t="s">
        <v>4262</v>
      </c>
      <c r="AI1282" s="855">
        <f t="shared" ref="AI1282:AI1345" si="252">(AC1282*AE1282+AG1282+BF1282+BG1282+BH1282+BJ1282)*AH1282</f>
        <v>598045.11916396767</v>
      </c>
      <c r="AJ1282" s="845" t="s">
        <v>3318</v>
      </c>
      <c r="AK1282" s="857">
        <v>45796</v>
      </c>
      <c r="AL1282" s="843" t="s">
        <v>4263</v>
      </c>
      <c r="AM1282" s="843" t="s">
        <v>4264</v>
      </c>
      <c r="AN1282" s="844" t="s">
        <v>4265</v>
      </c>
      <c r="AO1282" s="844" t="s">
        <v>141</v>
      </c>
      <c r="AP1282" s="841"/>
      <c r="AQ1282" s="841">
        <v>45821</v>
      </c>
      <c r="AR1282" s="841">
        <v>45865</v>
      </c>
      <c r="AS1282" s="842" t="s">
        <v>4266</v>
      </c>
      <c r="AT1282" s="842" t="s">
        <v>1235</v>
      </c>
      <c r="AU1282" s="842" t="s">
        <v>3794</v>
      </c>
      <c r="AV1282" s="845" t="s">
        <v>4273</v>
      </c>
      <c r="AW1282" s="861">
        <v>45867</v>
      </c>
      <c r="AX1282" s="862">
        <v>45873</v>
      </c>
      <c r="AY1282" s="843" t="s">
        <v>4406</v>
      </c>
      <c r="AZ1282" s="842" t="s">
        <v>4349</v>
      </c>
      <c r="BA1282" s="842" t="s">
        <v>120</v>
      </c>
      <c r="BB1282" s="863" t="s">
        <v>121</v>
      </c>
      <c r="BC1282" s="864">
        <v>45867</v>
      </c>
      <c r="BD1282" s="860" t="s">
        <v>4270</v>
      </c>
      <c r="BE1282" s="865" cm="1">
        <f t="array" ref="BE1282">IF(BD1282="","",AC1282/SUMPRODUCT(--(BD1282=$BD$4:$BD$12824),$AC$4:$AC$12824))</f>
        <v>5.270904570869572E-3</v>
      </c>
      <c r="BF1282" s="458"/>
      <c r="BG1282" s="458"/>
      <c r="BH1282" s="458"/>
      <c r="BI1282" s="458"/>
      <c r="BJ1282" s="458"/>
      <c r="BK1282" s="458"/>
      <c r="BL1282" s="458"/>
      <c r="BM1282" s="458"/>
      <c r="BN1282" s="458"/>
      <c r="BO1282" s="866">
        <f>VLOOKUP(BD1282,$BD$4:$BN$12824,3,0)*BE1282</f>
        <v>189089.27392010635</v>
      </c>
      <c r="BP1282" s="866"/>
      <c r="BQ1282" s="866"/>
      <c r="BR1282" s="866">
        <f>VLOOKUP(BD1282,$BD$4:$BN$12824,6,0)*BE1282</f>
        <v>84517.017248417062</v>
      </c>
      <c r="BS1282" s="866">
        <f>VLOOKUP(BD1282,$BD$4:$BN$12824,7,0)*BE1282</f>
        <v>7120.7390718253901</v>
      </c>
      <c r="BT1282" s="866"/>
      <c r="BU1282" s="866">
        <f>VLOOKUP(BD1282,$BD$4:$BN$12824,9,0)*BE1282</f>
        <v>2846.288468269569</v>
      </c>
      <c r="BV1282" s="867"/>
      <c r="BW1282" s="867">
        <f>VLOOKUP(BD1282,$BD$4:$BN$12824,11,0)*BE1282</f>
        <v>47106.269368549176</v>
      </c>
      <c r="BX1282" s="1146">
        <f t="shared" ref="BX1282:BX1345" si="253">SUM(BO1282:BW1282)</f>
        <v>330679.58807716757</v>
      </c>
      <c r="BY1282" s="867">
        <f t="shared" si="244"/>
        <v>3903121.7888133819</v>
      </c>
      <c r="BZ1282" s="867">
        <f t="shared" ref="BZ1282:BZ1345" si="254">BY1282*U1282</f>
        <v>7806243.5776267638</v>
      </c>
      <c r="CA1282" s="867">
        <f>_xlfn.MAXIFS($BY$4:$BY$12824,$S$4:$S$12824,$S1282)</f>
        <v>3903121.7888133819</v>
      </c>
      <c r="CB1282" s="1032"/>
      <c r="CF1282" s="946">
        <f t="shared" si="243"/>
        <v>7110241.4179999996</v>
      </c>
    </row>
    <row r="1283" spans="2:84">
      <c r="B1283" s="839" t="s">
        <v>98</v>
      </c>
      <c r="C1283" s="839" t="s">
        <v>2689</v>
      </c>
      <c r="D1283" s="839" t="s">
        <v>4271</v>
      </c>
      <c r="E1283" s="839" t="s">
        <v>4272</v>
      </c>
      <c r="F1283" s="841">
        <v>45675</v>
      </c>
      <c r="G1283" s="868" t="s">
        <v>2689</v>
      </c>
      <c r="H1283" s="842" t="s">
        <v>134</v>
      </c>
      <c r="I1283" s="883"/>
      <c r="J1283" s="841"/>
      <c r="K1283" s="841"/>
      <c r="L1283" s="843" t="s">
        <v>106</v>
      </c>
      <c r="M1283" s="844" t="s">
        <v>107</v>
      </c>
      <c r="N1283" s="841"/>
      <c r="O1283" s="884" t="s">
        <v>135</v>
      </c>
      <c r="P1283" s="842"/>
      <c r="Q1283" s="843"/>
      <c r="R1283" s="845">
        <v>20256201</v>
      </c>
      <c r="S1283" s="1127" t="s">
        <v>4407</v>
      </c>
      <c r="T1283" s="885" t="s">
        <v>4408</v>
      </c>
      <c r="U1283" s="886">
        <v>1</v>
      </c>
      <c r="V1283" s="842" t="s">
        <v>3</v>
      </c>
      <c r="W1283" s="846">
        <v>385</v>
      </c>
      <c r="X1283" s="847">
        <f t="shared" si="248"/>
        <v>385</v>
      </c>
      <c r="Y1283" s="848">
        <f t="shared" si="246"/>
        <v>0.50345454545454549</v>
      </c>
      <c r="Z1283" s="849">
        <v>191.17</v>
      </c>
      <c r="AA1283" s="854"/>
      <c r="AB1283" s="849">
        <f t="shared" si="249"/>
        <v>191.17</v>
      </c>
      <c r="AC1283" s="850">
        <f t="shared" si="250"/>
        <v>191.17</v>
      </c>
      <c r="AD1283" s="887">
        <f t="shared" si="247"/>
        <v>32000</v>
      </c>
      <c r="AE1283" s="888">
        <v>30266.65</v>
      </c>
      <c r="AF1283" s="853">
        <v>0</v>
      </c>
      <c r="AG1283" s="854">
        <f t="shared" si="251"/>
        <v>0</v>
      </c>
      <c r="AH1283" s="853" t="s">
        <v>4262</v>
      </c>
      <c r="AI1283" s="855">
        <f t="shared" si="252"/>
        <v>462886.03843999997</v>
      </c>
      <c r="AJ1283" s="845" t="s">
        <v>3318</v>
      </c>
      <c r="AK1283" s="857">
        <v>45796</v>
      </c>
      <c r="AL1283" s="843" t="s">
        <v>4263</v>
      </c>
      <c r="AM1283" s="843" t="s">
        <v>4264</v>
      </c>
      <c r="AN1283" s="844" t="s">
        <v>4265</v>
      </c>
      <c r="AO1283" s="844" t="s">
        <v>141</v>
      </c>
      <c r="AP1283" s="841"/>
      <c r="AQ1283" s="841">
        <v>45821</v>
      </c>
      <c r="AR1283" s="841">
        <v>45865</v>
      </c>
      <c r="AS1283" s="842" t="s">
        <v>4266</v>
      </c>
      <c r="AT1283" s="842" t="s">
        <v>1235</v>
      </c>
      <c r="AU1283" s="842" t="s">
        <v>3794</v>
      </c>
      <c r="AV1283" s="845" t="s">
        <v>4273</v>
      </c>
      <c r="AW1283" s="861">
        <v>45867</v>
      </c>
      <c r="AX1283" s="862">
        <v>45873</v>
      </c>
      <c r="AY1283" s="843" t="s">
        <v>4409</v>
      </c>
      <c r="AZ1283" s="842" t="s">
        <v>3314</v>
      </c>
      <c r="BA1283" s="842" t="s">
        <v>120</v>
      </c>
      <c r="BB1283" s="863" t="s">
        <v>121</v>
      </c>
      <c r="BC1283" s="864">
        <v>45867</v>
      </c>
      <c r="BD1283" s="860" t="s">
        <v>4270</v>
      </c>
      <c r="BE1283" s="865" cm="1">
        <f t="array" ref="BE1283">IF(BD1283="","",AC1283/SUMPRODUCT(--(BD1283=$BD$4:$BD$12824),$AC$4:$AC$12824))</f>
        <v>4.2892849770693681E-3</v>
      </c>
      <c r="BF1283" s="458"/>
      <c r="BG1283" s="458"/>
      <c r="BH1283" s="458"/>
      <c r="BI1283" s="458"/>
      <c r="BJ1283" s="458"/>
      <c r="BK1283" s="458"/>
      <c r="BL1283" s="458"/>
      <c r="BM1283" s="458"/>
      <c r="BN1283" s="458"/>
      <c r="BO1283" s="866">
        <f>VLOOKUP(BD1283,$BD$4:$BN$12824,3,0)*BE1283</f>
        <v>153874.49555298284</v>
      </c>
      <c r="BP1283" s="866"/>
      <c r="BQ1283" s="866"/>
      <c r="BR1283" s="866">
        <f>VLOOKUP(BD1283,$BD$4:$BN$12824,6,0)*BE1283</f>
        <v>68777.107897922222</v>
      </c>
      <c r="BS1283" s="866">
        <f>VLOOKUP(BD1283,$BD$4:$BN$12824,7,0)*BE1283</f>
        <v>5794.6181183418166</v>
      </c>
      <c r="BT1283" s="866"/>
      <c r="BU1283" s="866">
        <f>VLOOKUP(BD1283,$BD$4:$BN$12824,9,0)*BE1283</f>
        <v>2316.2138876174586</v>
      </c>
      <c r="BV1283" s="867"/>
      <c r="BW1283" s="867">
        <f>VLOOKUP(BD1283,$BD$4:$BN$12824,11,0)*BE1283</f>
        <v>38333.498702475503</v>
      </c>
      <c r="BX1283" s="1146">
        <f t="shared" si="253"/>
        <v>269095.93415933981</v>
      </c>
      <c r="BY1283" s="867">
        <f t="shared" si="244"/>
        <v>6055171.414659339</v>
      </c>
      <c r="BZ1283" s="867">
        <f t="shared" si="254"/>
        <v>6055171.414659339</v>
      </c>
      <c r="CA1283" s="867">
        <f>_xlfn.MAXIFS($BY$4:$BY$12824,$S$4:$S$12824,$S1283)</f>
        <v>6055171.414659339</v>
      </c>
      <c r="CB1283" s="1032"/>
      <c r="CF1283" s="946">
        <f t="shared" si="243"/>
        <v>5786075.4804999996</v>
      </c>
    </row>
    <row r="1284" spans="2:84">
      <c r="B1284" s="839" t="s">
        <v>98</v>
      </c>
      <c r="C1284" s="839" t="s">
        <v>2689</v>
      </c>
      <c r="D1284" s="839" t="s">
        <v>4271</v>
      </c>
      <c r="E1284" s="839" t="s">
        <v>4272</v>
      </c>
      <c r="F1284" s="841">
        <v>45675</v>
      </c>
      <c r="G1284" s="868" t="s">
        <v>2689</v>
      </c>
      <c r="H1284" s="842" t="s">
        <v>134</v>
      </c>
      <c r="I1284" s="883"/>
      <c r="J1284" s="841"/>
      <c r="K1284" s="841"/>
      <c r="L1284" s="843" t="s">
        <v>106</v>
      </c>
      <c r="M1284" s="844" t="s">
        <v>107</v>
      </c>
      <c r="N1284" s="841"/>
      <c r="O1284" s="884" t="s">
        <v>135</v>
      </c>
      <c r="P1284" s="842"/>
      <c r="Q1284" s="843"/>
      <c r="R1284" s="845">
        <v>20230101</v>
      </c>
      <c r="S1284" s="1127" t="s">
        <v>4410</v>
      </c>
      <c r="T1284" s="885" t="s">
        <v>4411</v>
      </c>
      <c r="U1284" s="886">
        <v>2</v>
      </c>
      <c r="V1284" s="842" t="s">
        <v>3</v>
      </c>
      <c r="W1284" s="846">
        <v>155</v>
      </c>
      <c r="X1284" s="847">
        <f t="shared" si="248"/>
        <v>310</v>
      </c>
      <c r="Y1284" s="848">
        <f t="shared" si="246"/>
        <v>0.49587096774193545</v>
      </c>
      <c r="Z1284" s="849">
        <v>78.14</v>
      </c>
      <c r="AA1284" s="854"/>
      <c r="AB1284" s="849">
        <f t="shared" si="249"/>
        <v>156.28</v>
      </c>
      <c r="AC1284" s="850">
        <f t="shared" si="250"/>
        <v>156.28</v>
      </c>
      <c r="AD1284" s="887">
        <f t="shared" si="247"/>
        <v>32000</v>
      </c>
      <c r="AE1284" s="888">
        <v>30266.65</v>
      </c>
      <c r="AF1284" s="853">
        <v>0.05</v>
      </c>
      <c r="AG1284" s="854">
        <f t="shared" si="251"/>
        <v>243030.01652379939</v>
      </c>
      <c r="AH1284" s="853" t="s">
        <v>4262</v>
      </c>
      <c r="AI1284" s="855">
        <f t="shared" si="252"/>
        <v>397848.16628190398</v>
      </c>
      <c r="AJ1284" s="845" t="s">
        <v>3318</v>
      </c>
      <c r="AK1284" s="857">
        <v>45796</v>
      </c>
      <c r="AL1284" s="843" t="s">
        <v>4263</v>
      </c>
      <c r="AM1284" s="843" t="s">
        <v>4264</v>
      </c>
      <c r="AN1284" s="844" t="s">
        <v>4265</v>
      </c>
      <c r="AO1284" s="844" t="s">
        <v>141</v>
      </c>
      <c r="AP1284" s="841"/>
      <c r="AQ1284" s="841">
        <v>45821</v>
      </c>
      <c r="AR1284" s="841">
        <v>45865</v>
      </c>
      <c r="AS1284" s="842" t="s">
        <v>4266</v>
      </c>
      <c r="AT1284" s="842" t="s">
        <v>1235</v>
      </c>
      <c r="AU1284" s="842" t="s">
        <v>3794</v>
      </c>
      <c r="AV1284" s="845" t="s">
        <v>4273</v>
      </c>
      <c r="AW1284" s="861">
        <v>45867</v>
      </c>
      <c r="AX1284" s="862">
        <v>45873</v>
      </c>
      <c r="AY1284" s="843" t="s">
        <v>4412</v>
      </c>
      <c r="AZ1284" s="842" t="s">
        <v>4349</v>
      </c>
      <c r="BA1284" s="842" t="s">
        <v>120</v>
      </c>
      <c r="BB1284" s="863" t="s">
        <v>121</v>
      </c>
      <c r="BC1284" s="864">
        <v>45867</v>
      </c>
      <c r="BD1284" s="860" t="s">
        <v>4270</v>
      </c>
      <c r="BE1284" s="865" cm="1">
        <f t="array" ref="BE1284">IF(BD1284="","",AC1284/SUMPRODUCT(--(BD1284=$BD$4:$BD$12824),$AC$4:$AC$12824))</f>
        <v>3.5064573741507609E-3</v>
      </c>
      <c r="BF1284" s="458"/>
      <c r="BG1284" s="458"/>
      <c r="BH1284" s="458"/>
      <c r="BI1284" s="458"/>
      <c r="BJ1284" s="458"/>
      <c r="BK1284" s="458"/>
      <c r="BL1284" s="458"/>
      <c r="BM1284" s="458"/>
      <c r="BN1284" s="458"/>
      <c r="BO1284" s="866">
        <f>VLOOKUP(BD1284,$BD$4:$BN$12824,3,0)*BE1284</f>
        <v>125791.21287346426</v>
      </c>
      <c r="BP1284" s="866"/>
      <c r="BQ1284" s="866"/>
      <c r="BR1284" s="866">
        <f>VLOOKUP(BD1284,$BD$4:$BN$12824,6,0)*BE1284</f>
        <v>56224.75504675047</v>
      </c>
      <c r="BS1284" s="866">
        <f>VLOOKUP(BD1284,$BD$4:$BN$12824,7,0)*BE1284</f>
        <v>4737.0556025237183</v>
      </c>
      <c r="BT1284" s="866"/>
      <c r="BU1284" s="866">
        <f>VLOOKUP(BD1284,$BD$4:$BN$12824,9,0)*BE1284</f>
        <v>1893.4869820414108</v>
      </c>
      <c r="BV1284" s="867"/>
      <c r="BW1284" s="867">
        <f>VLOOKUP(BD1284,$BD$4:$BN$12824,11,0)*BE1284</f>
        <v>31337.339421576988</v>
      </c>
      <c r="BX1284" s="1146">
        <f t="shared" si="253"/>
        <v>219983.84992635687</v>
      </c>
      <c r="BY1284" s="867">
        <f t="shared" si="244"/>
        <v>2596542.9642250785</v>
      </c>
      <c r="BZ1284" s="867">
        <f t="shared" si="254"/>
        <v>5193085.9284501569</v>
      </c>
      <c r="CA1284" s="867">
        <f>_xlfn.MAXIFS($BY$4:$BY$12824,$S$4:$S$12824,$S1284)</f>
        <v>2596542.9642250785</v>
      </c>
      <c r="CB1284" s="1032"/>
      <c r="CF1284" s="946">
        <f t="shared" ref="CF1284:CF1347" si="255">AC1284*AE1284</f>
        <v>4730072.0619999999</v>
      </c>
    </row>
    <row r="1285" spans="2:84">
      <c r="B1285" s="839" t="s">
        <v>98</v>
      </c>
      <c r="C1285" s="839" t="s">
        <v>2689</v>
      </c>
      <c r="D1285" s="839" t="s">
        <v>4271</v>
      </c>
      <c r="E1285" s="839" t="s">
        <v>4272</v>
      </c>
      <c r="F1285" s="841">
        <v>45675</v>
      </c>
      <c r="G1285" s="868" t="s">
        <v>2689</v>
      </c>
      <c r="H1285" s="842" t="s">
        <v>134</v>
      </c>
      <c r="I1285" s="883"/>
      <c r="J1285" s="841"/>
      <c r="K1285" s="841"/>
      <c r="L1285" s="843" t="s">
        <v>106</v>
      </c>
      <c r="M1285" s="844" t="s">
        <v>107</v>
      </c>
      <c r="N1285" s="841"/>
      <c r="O1285" s="884" t="s">
        <v>135</v>
      </c>
      <c r="P1285" s="842"/>
      <c r="Q1285" s="843"/>
      <c r="R1285" s="845">
        <v>20238101</v>
      </c>
      <c r="S1285" s="1127" t="s">
        <v>4413</v>
      </c>
      <c r="T1285" s="885" t="s">
        <v>4414</v>
      </c>
      <c r="U1285" s="886">
        <v>1</v>
      </c>
      <c r="V1285" s="842" t="s">
        <v>3</v>
      </c>
      <c r="W1285" s="846">
        <v>339</v>
      </c>
      <c r="X1285" s="847">
        <f t="shared" si="248"/>
        <v>339</v>
      </c>
      <c r="Y1285" s="848">
        <f t="shared" si="246"/>
        <v>0.50855457227138645</v>
      </c>
      <c r="Z1285" s="849">
        <v>166.6</v>
      </c>
      <c r="AA1285" s="854"/>
      <c r="AB1285" s="849">
        <f t="shared" si="249"/>
        <v>166.6</v>
      </c>
      <c r="AC1285" s="850">
        <f t="shared" si="250"/>
        <v>166.6</v>
      </c>
      <c r="AD1285" s="887">
        <f t="shared" si="247"/>
        <v>32000</v>
      </c>
      <c r="AE1285" s="888">
        <v>30266.65</v>
      </c>
      <c r="AF1285" s="853">
        <v>0</v>
      </c>
      <c r="AG1285" s="854">
        <f t="shared" si="251"/>
        <v>0</v>
      </c>
      <c r="AH1285" s="853" t="s">
        <v>4322</v>
      </c>
      <c r="AI1285" s="855">
        <f t="shared" si="252"/>
        <v>504242.38899999997</v>
      </c>
      <c r="AJ1285" s="845" t="s">
        <v>3318</v>
      </c>
      <c r="AK1285" s="857">
        <v>45796</v>
      </c>
      <c r="AL1285" s="843" t="s">
        <v>4263</v>
      </c>
      <c r="AM1285" s="843" t="s">
        <v>4264</v>
      </c>
      <c r="AN1285" s="844" t="s">
        <v>4265</v>
      </c>
      <c r="AO1285" s="844" t="s">
        <v>141</v>
      </c>
      <c r="AP1285" s="841"/>
      <c r="AQ1285" s="841">
        <v>45821</v>
      </c>
      <c r="AR1285" s="841">
        <v>45865</v>
      </c>
      <c r="AS1285" s="842" t="s">
        <v>4266</v>
      </c>
      <c r="AT1285" s="842" t="s">
        <v>1235</v>
      </c>
      <c r="AU1285" s="842" t="s">
        <v>3794</v>
      </c>
      <c r="AV1285" s="845" t="s">
        <v>4267</v>
      </c>
      <c r="AW1285" s="861">
        <v>45867</v>
      </c>
      <c r="AX1285" s="862">
        <v>45873</v>
      </c>
      <c r="AY1285" s="843" t="s">
        <v>4415</v>
      </c>
      <c r="AZ1285" s="842" t="s">
        <v>4416</v>
      </c>
      <c r="BA1285" s="842" t="s">
        <v>120</v>
      </c>
      <c r="BB1285" s="863" t="s">
        <v>121</v>
      </c>
      <c r="BC1285" s="864">
        <v>45867</v>
      </c>
      <c r="BD1285" s="860" t="s">
        <v>4270</v>
      </c>
      <c r="BE1285" s="865" cm="1">
        <f t="array" ref="BE1285">IF(BD1285="","",AC1285/SUMPRODUCT(--(BD1285=$BD$4:$BD$12824),$AC$4:$AC$12824))</f>
        <v>3.7380074131911742E-3</v>
      </c>
      <c r="BF1285" s="458"/>
      <c r="BG1285" s="458"/>
      <c r="BH1285" s="458"/>
      <c r="BI1285" s="458"/>
      <c r="BJ1285" s="458"/>
      <c r="BK1285" s="458"/>
      <c r="BL1285" s="458"/>
      <c r="BM1285" s="458"/>
      <c r="BN1285" s="458"/>
      <c r="BO1285" s="866">
        <f>VLOOKUP(BD1285,$BD$4:$BN$12824,3,0)*BE1285</f>
        <v>134097.8760220063</v>
      </c>
      <c r="BP1285" s="866"/>
      <c r="BQ1285" s="866"/>
      <c r="BR1285" s="866">
        <f>VLOOKUP(BD1285,$BD$4:$BN$12824,6,0)*BE1285</f>
        <v>59937.57480668433</v>
      </c>
      <c r="BS1285" s="866">
        <f>VLOOKUP(BD1285,$BD$4:$BN$12824,7,0)*BE1285</f>
        <v>5049.8685908654434</v>
      </c>
      <c r="BT1285" s="866"/>
      <c r="BU1285" s="866">
        <f>VLOOKUP(BD1285,$BD$4:$BN$12824,9,0)*BE1285</f>
        <v>2018.524003123234</v>
      </c>
      <c r="BV1285" s="867"/>
      <c r="BW1285" s="867">
        <f>VLOOKUP(BD1285,$BD$4:$BN$12824,11,0)*BE1285</f>
        <v>33406.710696408532</v>
      </c>
      <c r="BX1285" s="1146">
        <f t="shared" si="253"/>
        <v>234510.55411908781</v>
      </c>
      <c r="BY1285" s="867">
        <f t="shared" si="244"/>
        <v>5276934.4441190874</v>
      </c>
      <c r="BZ1285" s="867">
        <f t="shared" si="254"/>
        <v>5276934.4441190874</v>
      </c>
      <c r="CA1285" s="867">
        <f>_xlfn.MAXIFS($BY$4:$BY$12824,$S$4:$S$12824,$S1285)</f>
        <v>5276934.4441190874</v>
      </c>
      <c r="CB1285" s="1032"/>
      <c r="CF1285" s="946">
        <f t="shared" si="255"/>
        <v>5042423.8899999997</v>
      </c>
    </row>
    <row r="1286" spans="2:84">
      <c r="B1286" s="839" t="s">
        <v>98</v>
      </c>
      <c r="C1286" s="839" t="s">
        <v>2689</v>
      </c>
      <c r="D1286" s="839" t="s">
        <v>4271</v>
      </c>
      <c r="E1286" s="839" t="s">
        <v>4272</v>
      </c>
      <c r="F1286" s="841">
        <v>45675</v>
      </c>
      <c r="G1286" s="868" t="s">
        <v>2689</v>
      </c>
      <c r="H1286" s="842" t="s">
        <v>134</v>
      </c>
      <c r="I1286" s="883"/>
      <c r="J1286" s="841"/>
      <c r="K1286" s="841"/>
      <c r="L1286" s="843" t="s">
        <v>106</v>
      </c>
      <c r="M1286" s="844" t="s">
        <v>107</v>
      </c>
      <c r="N1286" s="841"/>
      <c r="O1286" s="884" t="s">
        <v>135</v>
      </c>
      <c r="P1286" s="842"/>
      <c r="Q1286" s="843"/>
      <c r="R1286" s="845">
        <v>20251801</v>
      </c>
      <c r="S1286" s="1127" t="s">
        <v>4417</v>
      </c>
      <c r="T1286" s="885" t="s">
        <v>4418</v>
      </c>
      <c r="U1286" s="886">
        <v>2</v>
      </c>
      <c r="V1286" s="842" t="s">
        <v>3</v>
      </c>
      <c r="W1286" s="846">
        <v>245</v>
      </c>
      <c r="X1286" s="847">
        <f t="shared" si="248"/>
        <v>490</v>
      </c>
      <c r="Y1286" s="848">
        <f t="shared" si="246"/>
        <v>0.50053061224489792</v>
      </c>
      <c r="Z1286" s="849">
        <v>122.37</v>
      </c>
      <c r="AA1286" s="854"/>
      <c r="AB1286" s="849">
        <f t="shared" si="249"/>
        <v>244.74</v>
      </c>
      <c r="AC1286" s="850">
        <f t="shared" si="250"/>
        <v>244.74</v>
      </c>
      <c r="AD1286" s="887">
        <f t="shared" si="247"/>
        <v>32000</v>
      </c>
      <c r="AE1286" s="888">
        <v>30266.65</v>
      </c>
      <c r="AF1286" s="853">
        <v>0</v>
      </c>
      <c r="AG1286" s="854">
        <f t="shared" si="251"/>
        <v>0</v>
      </c>
      <c r="AH1286" s="853" t="s">
        <v>4262</v>
      </c>
      <c r="AI1286" s="855">
        <f t="shared" si="252"/>
        <v>592596.79368000012</v>
      </c>
      <c r="AJ1286" s="845" t="s">
        <v>3318</v>
      </c>
      <c r="AK1286" s="857">
        <v>45796</v>
      </c>
      <c r="AL1286" s="843" t="s">
        <v>4263</v>
      </c>
      <c r="AM1286" s="843" t="s">
        <v>4264</v>
      </c>
      <c r="AN1286" s="844" t="s">
        <v>4265</v>
      </c>
      <c r="AO1286" s="844" t="s">
        <v>141</v>
      </c>
      <c r="AP1286" s="841"/>
      <c r="AQ1286" s="841">
        <v>45821</v>
      </c>
      <c r="AR1286" s="841">
        <v>45865</v>
      </c>
      <c r="AS1286" s="842" t="s">
        <v>4266</v>
      </c>
      <c r="AT1286" s="842" t="s">
        <v>1235</v>
      </c>
      <c r="AU1286" s="842" t="s">
        <v>3794</v>
      </c>
      <c r="AV1286" s="845" t="s">
        <v>4267</v>
      </c>
      <c r="AW1286" s="861">
        <v>45867</v>
      </c>
      <c r="AX1286" s="862">
        <v>45873</v>
      </c>
      <c r="AY1286" s="843" t="s">
        <v>4419</v>
      </c>
      <c r="AZ1286" s="842">
        <v>20130002</v>
      </c>
      <c r="BA1286" s="842" t="s">
        <v>120</v>
      </c>
      <c r="BB1286" s="863" t="s">
        <v>121</v>
      </c>
      <c r="BC1286" s="864">
        <v>45867</v>
      </c>
      <c r="BD1286" s="860" t="s">
        <v>4270</v>
      </c>
      <c r="BE1286" s="865" cm="1">
        <f t="array" ref="BE1286">IF(BD1286="","",AC1286/SUMPRODUCT(--(BD1286=$BD$4:$BD$12824),$AC$4:$AC$12824))</f>
        <v>5.4912361002665546E-3</v>
      </c>
      <c r="BF1286" s="458"/>
      <c r="BG1286" s="458"/>
      <c r="BH1286" s="458"/>
      <c r="BI1286" s="458"/>
      <c r="BJ1286" s="458"/>
      <c r="BK1286" s="458"/>
      <c r="BL1286" s="458"/>
      <c r="BM1286" s="458"/>
      <c r="BN1286" s="458"/>
      <c r="BO1286" s="866">
        <f>VLOOKUP(BD1286,$BD$4:$BN$12824,3,0)*BE1286</f>
        <v>196993.48245873844</v>
      </c>
      <c r="BP1286" s="866"/>
      <c r="BQ1286" s="866"/>
      <c r="BR1286" s="866">
        <f>VLOOKUP(BD1286,$BD$4:$BN$12824,6,0)*BE1286</f>
        <v>88049.952330059561</v>
      </c>
      <c r="BS1286" s="866">
        <f>VLOOKUP(BD1286,$BD$4:$BN$12824,7,0)*BE1286</f>
        <v>7418.3963921273025</v>
      </c>
      <c r="BT1286" s="866"/>
      <c r="BU1286" s="866">
        <f>VLOOKUP(BD1286,$BD$4:$BN$12824,9,0)*BE1286</f>
        <v>2965.2674941439395</v>
      </c>
      <c r="BV1286" s="867"/>
      <c r="BW1286" s="867">
        <f>VLOOKUP(BD1286,$BD$4:$BN$12824,11,0)*BE1286</f>
        <v>49075.380407197023</v>
      </c>
      <c r="BX1286" s="1146">
        <f t="shared" si="253"/>
        <v>344502.47908226622</v>
      </c>
      <c r="BY1286" s="867">
        <f t="shared" ref="BY1286:BY1349" si="256">(AB1286*AE1286+AG1286+BX1286)/U1286</f>
        <v>3875981.2000411334</v>
      </c>
      <c r="BZ1286" s="867">
        <f t="shared" si="254"/>
        <v>7751962.4000822669</v>
      </c>
      <c r="CA1286" s="867">
        <f>_xlfn.MAXIFS($BY$4:$BY$12824,$S$4:$S$12824,$S1286)</f>
        <v>3875981.2000411334</v>
      </c>
      <c r="CB1286" s="1032"/>
      <c r="CF1286" s="946">
        <f t="shared" si="255"/>
        <v>7407459.921000001</v>
      </c>
    </row>
    <row r="1287" spans="2:84">
      <c r="B1287" s="839" t="s">
        <v>98</v>
      </c>
      <c r="C1287" s="839" t="s">
        <v>2689</v>
      </c>
      <c r="D1287" s="839" t="s">
        <v>4271</v>
      </c>
      <c r="E1287" s="839" t="s">
        <v>4272</v>
      </c>
      <c r="F1287" s="841">
        <v>45675</v>
      </c>
      <c r="G1287" s="868" t="s">
        <v>2689</v>
      </c>
      <c r="H1287" s="842" t="s">
        <v>134</v>
      </c>
      <c r="I1287" s="883"/>
      <c r="J1287" s="841"/>
      <c r="K1287" s="841"/>
      <c r="L1287" s="843" t="s">
        <v>106</v>
      </c>
      <c r="M1287" s="844" t="s">
        <v>107</v>
      </c>
      <c r="N1287" s="841"/>
      <c r="O1287" s="884" t="s">
        <v>135</v>
      </c>
      <c r="P1287" s="842"/>
      <c r="Q1287" s="843"/>
      <c r="R1287" s="845">
        <v>20257501</v>
      </c>
      <c r="S1287" s="1127" t="s">
        <v>4420</v>
      </c>
      <c r="T1287" s="885" t="s">
        <v>4421</v>
      </c>
      <c r="U1287" s="886">
        <v>1</v>
      </c>
      <c r="V1287" s="842" t="s">
        <v>3</v>
      </c>
      <c r="W1287" s="846">
        <v>535</v>
      </c>
      <c r="X1287" s="847">
        <f t="shared" si="248"/>
        <v>535</v>
      </c>
      <c r="Y1287" s="848">
        <f t="shared" si="246"/>
        <v>0.49904672897196262</v>
      </c>
      <c r="Z1287" s="849">
        <v>268.01</v>
      </c>
      <c r="AA1287" s="854"/>
      <c r="AB1287" s="849">
        <f t="shared" si="249"/>
        <v>268.01</v>
      </c>
      <c r="AC1287" s="850">
        <f t="shared" si="250"/>
        <v>268.01</v>
      </c>
      <c r="AD1287" s="887">
        <f t="shared" si="247"/>
        <v>32000</v>
      </c>
      <c r="AE1287" s="888">
        <v>30266.65</v>
      </c>
      <c r="AF1287" s="853">
        <v>0</v>
      </c>
      <c r="AG1287" s="854">
        <f t="shared" si="251"/>
        <v>0</v>
      </c>
      <c r="AH1287" s="853" t="s">
        <v>4262</v>
      </c>
      <c r="AI1287" s="855">
        <f t="shared" si="252"/>
        <v>648941.18932</v>
      </c>
      <c r="AJ1287" s="845" t="s">
        <v>3318</v>
      </c>
      <c r="AK1287" s="857">
        <v>45796</v>
      </c>
      <c r="AL1287" s="843" t="s">
        <v>4263</v>
      </c>
      <c r="AM1287" s="843" t="s">
        <v>4264</v>
      </c>
      <c r="AN1287" s="844" t="s">
        <v>4265</v>
      </c>
      <c r="AO1287" s="844" t="s">
        <v>141</v>
      </c>
      <c r="AP1287" s="841"/>
      <c r="AQ1287" s="841">
        <v>45821</v>
      </c>
      <c r="AR1287" s="841">
        <v>45865</v>
      </c>
      <c r="AS1287" s="842" t="s">
        <v>4266</v>
      </c>
      <c r="AT1287" s="842" t="s">
        <v>1235</v>
      </c>
      <c r="AU1287" s="842" t="s">
        <v>3794</v>
      </c>
      <c r="AV1287" s="845" t="s">
        <v>4267</v>
      </c>
      <c r="AW1287" s="861">
        <v>45867</v>
      </c>
      <c r="AX1287" s="862">
        <v>45873</v>
      </c>
      <c r="AY1287" s="843" t="s">
        <v>4422</v>
      </c>
      <c r="AZ1287" s="842" t="s">
        <v>3314</v>
      </c>
      <c r="BA1287" s="842" t="s">
        <v>120</v>
      </c>
      <c r="BB1287" s="863" t="s">
        <v>121</v>
      </c>
      <c r="BC1287" s="864">
        <v>45867</v>
      </c>
      <c r="BD1287" s="860" t="s">
        <v>4270</v>
      </c>
      <c r="BE1287" s="865" cm="1">
        <f t="array" ref="BE1287">IF(BD1287="","",AC1287/SUMPRODUCT(--(BD1287=$BD$4:$BD$12824),$AC$4:$AC$12824))</f>
        <v>6.0133455390718286E-3</v>
      </c>
      <c r="BF1287" s="458"/>
      <c r="BG1287" s="458"/>
      <c r="BH1287" s="458"/>
      <c r="BI1287" s="458"/>
      <c r="BJ1287" s="458"/>
      <c r="BK1287" s="458"/>
      <c r="BL1287" s="458"/>
      <c r="BM1287" s="458"/>
      <c r="BN1287" s="458"/>
      <c r="BO1287" s="866">
        <f>VLOOKUP(BD1287,$BD$4:$BN$12824,3,0)*BE1287</f>
        <v>215723.72000394904</v>
      </c>
      <c r="BP1287" s="866"/>
      <c r="BQ1287" s="866"/>
      <c r="BR1287" s="866">
        <f>VLOOKUP(BD1287,$BD$4:$BN$12824,6,0)*BE1287</f>
        <v>96421.785257739903</v>
      </c>
      <c r="BS1287" s="866">
        <f>VLOOKUP(BD1287,$BD$4:$BN$12824,7,0)*BE1287</f>
        <v>8123.7411827001652</v>
      </c>
      <c r="BT1287" s="866"/>
      <c r="BU1287" s="866">
        <f>VLOOKUP(BD1287,$BD$4:$BN$12824,9,0)*BE1287</f>
        <v>3247.2065910987876</v>
      </c>
      <c r="BV1287" s="867"/>
      <c r="BW1287" s="867">
        <f>VLOOKUP(BD1287,$BD$4:$BN$12824,11,0)*BE1287</f>
        <v>53741.491799186384</v>
      </c>
      <c r="BX1287" s="1146">
        <f t="shared" si="253"/>
        <v>377257.9448346743</v>
      </c>
      <c r="BY1287" s="867">
        <f t="shared" si="256"/>
        <v>8489022.8113346752</v>
      </c>
      <c r="BZ1287" s="867">
        <f t="shared" si="254"/>
        <v>8489022.8113346752</v>
      </c>
      <c r="CA1287" s="867">
        <f>_xlfn.MAXIFS($BY$4:$BY$12824,$S$4:$S$12824,$S1287)</f>
        <v>8489022.8113346752</v>
      </c>
      <c r="CB1287" s="1032"/>
      <c r="CF1287" s="946">
        <f t="shared" si="255"/>
        <v>8111764.8665000005</v>
      </c>
    </row>
    <row r="1288" spans="2:84">
      <c r="B1288" s="839" t="s">
        <v>98</v>
      </c>
      <c r="C1288" s="839" t="s">
        <v>2689</v>
      </c>
      <c r="D1288" s="839" t="s">
        <v>4271</v>
      </c>
      <c r="E1288" s="839" t="s">
        <v>4272</v>
      </c>
      <c r="F1288" s="841">
        <v>45675</v>
      </c>
      <c r="G1288" s="868" t="s">
        <v>2689</v>
      </c>
      <c r="H1288" s="842" t="s">
        <v>134</v>
      </c>
      <c r="I1288" s="883"/>
      <c r="J1288" s="841"/>
      <c r="K1288" s="841"/>
      <c r="L1288" s="843" t="s">
        <v>106</v>
      </c>
      <c r="M1288" s="844" t="s">
        <v>107</v>
      </c>
      <c r="N1288" s="841"/>
      <c r="O1288" s="884" t="s">
        <v>135</v>
      </c>
      <c r="P1288" s="842"/>
      <c r="Q1288" s="843"/>
      <c r="R1288" s="845">
        <v>20203101</v>
      </c>
      <c r="S1288" s="1127" t="s">
        <v>4423</v>
      </c>
      <c r="T1288" s="885" t="s">
        <v>4424</v>
      </c>
      <c r="U1288" s="886">
        <v>2</v>
      </c>
      <c r="V1288" s="842" t="s">
        <v>3</v>
      </c>
      <c r="W1288" s="846">
        <v>215</v>
      </c>
      <c r="X1288" s="847">
        <f t="shared" si="248"/>
        <v>430</v>
      </c>
      <c r="Y1288" s="848">
        <f t="shared" si="246"/>
        <v>0.49939534883720932</v>
      </c>
      <c r="Z1288" s="849">
        <v>107.63</v>
      </c>
      <c r="AA1288" s="854"/>
      <c r="AB1288" s="849">
        <f t="shared" si="249"/>
        <v>215.26</v>
      </c>
      <c r="AC1288" s="850">
        <f t="shared" si="250"/>
        <v>215.26</v>
      </c>
      <c r="AD1288" s="887">
        <f t="shared" si="247"/>
        <v>32000</v>
      </c>
      <c r="AE1288" s="888">
        <v>30266.65</v>
      </c>
      <c r="AF1288" s="853">
        <v>0.05</v>
      </c>
      <c r="AG1288" s="854">
        <f t="shared" si="251"/>
        <v>334749.43279314728</v>
      </c>
      <c r="AH1288" s="853" t="s">
        <v>4262</v>
      </c>
      <c r="AI1288" s="855">
        <f t="shared" si="252"/>
        <v>547995.88094345178</v>
      </c>
      <c r="AJ1288" s="845" t="s">
        <v>3318</v>
      </c>
      <c r="AK1288" s="857">
        <v>45796</v>
      </c>
      <c r="AL1288" s="843" t="s">
        <v>4263</v>
      </c>
      <c r="AM1288" s="843" t="s">
        <v>4264</v>
      </c>
      <c r="AN1288" s="844" t="s">
        <v>4265</v>
      </c>
      <c r="AO1288" s="844" t="s">
        <v>141</v>
      </c>
      <c r="AP1288" s="841"/>
      <c r="AQ1288" s="841">
        <v>45821</v>
      </c>
      <c r="AR1288" s="841">
        <v>45865</v>
      </c>
      <c r="AS1288" s="842" t="s">
        <v>4266</v>
      </c>
      <c r="AT1288" s="842" t="s">
        <v>1235</v>
      </c>
      <c r="AU1288" s="842" t="s">
        <v>3794</v>
      </c>
      <c r="AV1288" s="845" t="s">
        <v>4267</v>
      </c>
      <c r="AW1288" s="861">
        <v>45867</v>
      </c>
      <c r="AX1288" s="862">
        <v>45873</v>
      </c>
      <c r="AY1288" s="843" t="s">
        <v>4425</v>
      </c>
      <c r="AZ1288" s="842" t="s">
        <v>4349</v>
      </c>
      <c r="BA1288" s="842" t="s">
        <v>120</v>
      </c>
      <c r="BB1288" s="863" t="s">
        <v>121</v>
      </c>
      <c r="BC1288" s="864">
        <v>45867</v>
      </c>
      <c r="BD1288" s="860" t="s">
        <v>4270</v>
      </c>
      <c r="BE1288" s="865" cm="1">
        <f t="array" ref="BE1288">IF(BD1288="","",AC1288/SUMPRODUCT(--(BD1288=$BD$4:$BD$12824),$AC$4:$AC$12824))</f>
        <v>4.8297927716898694E-3</v>
      </c>
      <c r="BF1288" s="458"/>
      <c r="BG1288" s="458"/>
      <c r="BH1288" s="458"/>
      <c r="BI1288" s="458"/>
      <c r="BJ1288" s="458"/>
      <c r="BK1288" s="458"/>
      <c r="BL1288" s="458"/>
      <c r="BM1288" s="458"/>
      <c r="BN1288" s="458"/>
      <c r="BO1288" s="866">
        <f>VLOOKUP(BD1288,$BD$4:$BN$12824,3,0)*BE1288</f>
        <v>173264.75865844585</v>
      </c>
      <c r="BP1288" s="866"/>
      <c r="BQ1288" s="866"/>
      <c r="BR1288" s="866">
        <f>VLOOKUP(BD1288,$BD$4:$BN$12824,6,0)*BE1288</f>
        <v>77443.951698000426</v>
      </c>
      <c r="BS1288" s="866">
        <f>VLOOKUP(BD1288,$BD$4:$BN$12824,7,0)*BE1288</f>
        <v>6524.8182044999721</v>
      </c>
      <c r="BT1288" s="866"/>
      <c r="BU1288" s="866">
        <f>VLOOKUP(BD1288,$BD$4:$BN$12824,9,0)*BE1288</f>
        <v>2608.0880967125295</v>
      </c>
      <c r="BV1288" s="867"/>
      <c r="BW1288" s="867">
        <f>VLOOKUP(BD1288,$BD$4:$BN$12824,11,0)*BE1288</f>
        <v>43164.036881806132</v>
      </c>
      <c r="BX1288" s="1146">
        <f t="shared" si="253"/>
        <v>303005.65353946493</v>
      </c>
      <c r="BY1288" s="867">
        <f t="shared" si="256"/>
        <v>3576477.0826663058</v>
      </c>
      <c r="BZ1288" s="867">
        <f t="shared" si="254"/>
        <v>7152954.1653326117</v>
      </c>
      <c r="CA1288" s="867">
        <f>_xlfn.MAXIFS($BY$4:$BY$12824,$S$4:$S$12824,$S1288)</f>
        <v>3576477.0826663058</v>
      </c>
      <c r="CB1288" s="1032"/>
      <c r="CF1288" s="946">
        <f t="shared" si="255"/>
        <v>6515199.0789999999</v>
      </c>
    </row>
    <row r="1289" spans="2:84">
      <c r="B1289" s="839" t="s">
        <v>98</v>
      </c>
      <c r="C1289" s="839" t="s">
        <v>2689</v>
      </c>
      <c r="D1289" s="839" t="s">
        <v>4271</v>
      </c>
      <c r="E1289" s="839" t="s">
        <v>4272</v>
      </c>
      <c r="F1289" s="841">
        <v>45675</v>
      </c>
      <c r="G1289" s="868" t="s">
        <v>2689</v>
      </c>
      <c r="H1289" s="842" t="s">
        <v>134</v>
      </c>
      <c r="I1289" s="883"/>
      <c r="J1289" s="841"/>
      <c r="K1289" s="841"/>
      <c r="L1289" s="843" t="s">
        <v>106</v>
      </c>
      <c r="M1289" s="844" t="s">
        <v>107</v>
      </c>
      <c r="N1289" s="841"/>
      <c r="O1289" s="884" t="s">
        <v>135</v>
      </c>
      <c r="P1289" s="842"/>
      <c r="Q1289" s="843"/>
      <c r="R1289" s="845">
        <v>20250701</v>
      </c>
      <c r="S1289" s="1127" t="s">
        <v>4426</v>
      </c>
      <c r="T1289" s="885" t="s">
        <v>4427</v>
      </c>
      <c r="U1289" s="886">
        <v>2</v>
      </c>
      <c r="V1289" s="842" t="s">
        <v>3</v>
      </c>
      <c r="W1289" s="846">
        <v>339</v>
      </c>
      <c r="X1289" s="847">
        <f t="shared" si="248"/>
        <v>678</v>
      </c>
      <c r="Y1289" s="848">
        <f t="shared" si="246"/>
        <v>0.50855457227138645</v>
      </c>
      <c r="Z1289" s="849">
        <v>166.6</v>
      </c>
      <c r="AA1289" s="854"/>
      <c r="AB1289" s="849">
        <f t="shared" si="249"/>
        <v>333.2</v>
      </c>
      <c r="AC1289" s="850">
        <f t="shared" si="250"/>
        <v>333.2</v>
      </c>
      <c r="AD1289" s="887">
        <f t="shared" si="247"/>
        <v>32000</v>
      </c>
      <c r="AE1289" s="888">
        <v>30266.65</v>
      </c>
      <c r="AF1289" s="853">
        <v>0.05</v>
      </c>
      <c r="AG1289" s="854">
        <f t="shared" si="251"/>
        <v>518157.16346128716</v>
      </c>
      <c r="AH1289" s="853" t="s">
        <v>4262</v>
      </c>
      <c r="AI1289" s="855">
        <f t="shared" si="252"/>
        <v>848240.39547690284</v>
      </c>
      <c r="AJ1289" s="845" t="s">
        <v>3318</v>
      </c>
      <c r="AK1289" s="857">
        <v>45796</v>
      </c>
      <c r="AL1289" s="843" t="s">
        <v>4263</v>
      </c>
      <c r="AM1289" s="843" t="s">
        <v>4264</v>
      </c>
      <c r="AN1289" s="844" t="s">
        <v>4265</v>
      </c>
      <c r="AO1289" s="844" t="s">
        <v>141</v>
      </c>
      <c r="AP1289" s="841"/>
      <c r="AQ1289" s="841">
        <v>45821</v>
      </c>
      <c r="AR1289" s="841">
        <v>45865</v>
      </c>
      <c r="AS1289" s="842" t="s">
        <v>4266</v>
      </c>
      <c r="AT1289" s="842" t="s">
        <v>1235</v>
      </c>
      <c r="AU1289" s="842" t="s">
        <v>3794</v>
      </c>
      <c r="AV1289" s="845" t="s">
        <v>4267</v>
      </c>
      <c r="AW1289" s="861">
        <v>45867</v>
      </c>
      <c r="AX1289" s="862">
        <v>45873</v>
      </c>
      <c r="AY1289" s="843" t="s">
        <v>4428</v>
      </c>
      <c r="AZ1289" s="842" t="s">
        <v>4349</v>
      </c>
      <c r="BA1289" s="842" t="s">
        <v>120</v>
      </c>
      <c r="BB1289" s="863" t="s">
        <v>121</v>
      </c>
      <c r="BC1289" s="864">
        <v>45867</v>
      </c>
      <c r="BD1289" s="860" t="s">
        <v>4270</v>
      </c>
      <c r="BE1289" s="865" cm="1">
        <f t="array" ref="BE1289">IF(BD1289="","",AC1289/SUMPRODUCT(--(BD1289=$BD$4:$BD$12824),$AC$4:$AC$12824))</f>
        <v>7.4760148263823484E-3</v>
      </c>
      <c r="BF1289" s="458"/>
      <c r="BG1289" s="458"/>
      <c r="BH1289" s="458"/>
      <c r="BI1289" s="458"/>
      <c r="BJ1289" s="458"/>
      <c r="BK1289" s="458"/>
      <c r="BL1289" s="458"/>
      <c r="BM1289" s="458"/>
      <c r="BN1289" s="458"/>
      <c r="BO1289" s="866">
        <f>VLOOKUP(BD1289,$BD$4:$BN$12824,3,0)*BE1289</f>
        <v>268195.7520440126</v>
      </c>
      <c r="BP1289" s="866"/>
      <c r="BQ1289" s="866"/>
      <c r="BR1289" s="866">
        <f>VLOOKUP(BD1289,$BD$4:$BN$12824,6,0)*BE1289</f>
        <v>119875.14961336866</v>
      </c>
      <c r="BS1289" s="866">
        <f>VLOOKUP(BD1289,$BD$4:$BN$12824,7,0)*BE1289</f>
        <v>10099.737181730887</v>
      </c>
      <c r="BT1289" s="866"/>
      <c r="BU1289" s="866">
        <f>VLOOKUP(BD1289,$BD$4:$BN$12824,9,0)*BE1289</f>
        <v>4037.048006246468</v>
      </c>
      <c r="BV1289" s="867"/>
      <c r="BW1289" s="867">
        <f>VLOOKUP(BD1289,$BD$4:$BN$12824,11,0)*BE1289</f>
        <v>66813.421392817065</v>
      </c>
      <c r="BX1289" s="1146">
        <f t="shared" si="253"/>
        <v>469021.10823817563</v>
      </c>
      <c r="BY1289" s="867">
        <f t="shared" si="256"/>
        <v>5536013.0258497307</v>
      </c>
      <c r="BZ1289" s="867">
        <f t="shared" si="254"/>
        <v>11072026.051699461</v>
      </c>
      <c r="CA1289" s="867">
        <f>_xlfn.MAXIFS($BY$4:$BY$12824,$S$4:$S$12824,$S1289)</f>
        <v>5536013.0258497307</v>
      </c>
      <c r="CB1289" s="1032"/>
      <c r="CF1289" s="946">
        <f t="shared" si="255"/>
        <v>10084847.779999999</v>
      </c>
    </row>
    <row r="1290" spans="2:84">
      <c r="B1290" s="839" t="s">
        <v>98</v>
      </c>
      <c r="C1290" s="839" t="s">
        <v>2689</v>
      </c>
      <c r="D1290" s="839" t="s">
        <v>4271</v>
      </c>
      <c r="E1290" s="839" t="s">
        <v>4272</v>
      </c>
      <c r="F1290" s="841">
        <v>45675</v>
      </c>
      <c r="G1290" s="868" t="s">
        <v>2689</v>
      </c>
      <c r="H1290" s="842" t="s">
        <v>134</v>
      </c>
      <c r="I1290" s="883"/>
      <c r="J1290" s="841"/>
      <c r="K1290" s="841"/>
      <c r="L1290" s="843" t="s">
        <v>106</v>
      </c>
      <c r="M1290" s="844" t="s">
        <v>107</v>
      </c>
      <c r="N1290" s="841"/>
      <c r="O1290" s="884" t="s">
        <v>135</v>
      </c>
      <c r="P1290" s="842"/>
      <c r="Q1290" s="843"/>
      <c r="R1290" s="845">
        <v>20219101</v>
      </c>
      <c r="S1290" s="1127" t="s">
        <v>4429</v>
      </c>
      <c r="T1290" s="885" t="s">
        <v>4430</v>
      </c>
      <c r="U1290" s="886">
        <v>2</v>
      </c>
      <c r="V1290" s="842" t="s">
        <v>3</v>
      </c>
      <c r="W1290" s="846">
        <v>245</v>
      </c>
      <c r="X1290" s="847">
        <f t="shared" si="248"/>
        <v>490</v>
      </c>
      <c r="Y1290" s="848">
        <f t="shared" si="246"/>
        <v>0.50053061224489792</v>
      </c>
      <c r="Z1290" s="849">
        <v>122.37</v>
      </c>
      <c r="AA1290" s="854"/>
      <c r="AB1290" s="849">
        <f t="shared" si="249"/>
        <v>244.74</v>
      </c>
      <c r="AC1290" s="850">
        <f t="shared" si="250"/>
        <v>244.74</v>
      </c>
      <c r="AD1290" s="887">
        <f t="shared" si="247"/>
        <v>32000</v>
      </c>
      <c r="AE1290" s="888">
        <v>30266.65</v>
      </c>
      <c r="AF1290" s="853">
        <v>0</v>
      </c>
      <c r="AG1290" s="854">
        <f t="shared" si="251"/>
        <v>0</v>
      </c>
      <c r="AH1290" s="853" t="s">
        <v>4322</v>
      </c>
      <c r="AI1290" s="855">
        <f t="shared" si="252"/>
        <v>740745.99210000015</v>
      </c>
      <c r="AJ1290" s="845" t="s">
        <v>3318</v>
      </c>
      <c r="AK1290" s="857">
        <v>45796</v>
      </c>
      <c r="AL1290" s="843" t="s">
        <v>4263</v>
      </c>
      <c r="AM1290" s="843" t="s">
        <v>4264</v>
      </c>
      <c r="AN1290" s="844" t="s">
        <v>4265</v>
      </c>
      <c r="AO1290" s="844" t="s">
        <v>141</v>
      </c>
      <c r="AP1290" s="841"/>
      <c r="AQ1290" s="841">
        <v>45821</v>
      </c>
      <c r="AR1290" s="841">
        <v>45865</v>
      </c>
      <c r="AS1290" s="842" t="s">
        <v>4266</v>
      </c>
      <c r="AT1290" s="842" t="s">
        <v>1235</v>
      </c>
      <c r="AU1290" s="842" t="s">
        <v>3794</v>
      </c>
      <c r="AV1290" s="845" t="s">
        <v>4267</v>
      </c>
      <c r="AW1290" s="861">
        <v>45867</v>
      </c>
      <c r="AX1290" s="862">
        <v>45873</v>
      </c>
      <c r="AY1290" s="843" t="s">
        <v>4431</v>
      </c>
      <c r="AZ1290" s="842" t="s">
        <v>4324</v>
      </c>
      <c r="BA1290" s="842" t="s">
        <v>120</v>
      </c>
      <c r="BB1290" s="863" t="s">
        <v>121</v>
      </c>
      <c r="BC1290" s="864">
        <v>45867</v>
      </c>
      <c r="BD1290" s="860" t="s">
        <v>4270</v>
      </c>
      <c r="BE1290" s="865" cm="1">
        <f t="array" ref="BE1290">IF(BD1290="","",AC1290/SUMPRODUCT(--(BD1290=$BD$4:$BD$12824),$AC$4:$AC$12824))</f>
        <v>5.4912361002665546E-3</v>
      </c>
      <c r="BF1290" s="458"/>
      <c r="BG1290" s="458"/>
      <c r="BH1290" s="458"/>
      <c r="BI1290" s="458"/>
      <c r="BJ1290" s="458"/>
      <c r="BK1290" s="458"/>
      <c r="BL1290" s="458"/>
      <c r="BM1290" s="458"/>
      <c r="BN1290" s="458"/>
      <c r="BO1290" s="866">
        <f>VLOOKUP(BD1290,$BD$4:$BN$12824,3,0)*BE1290</f>
        <v>196993.48245873844</v>
      </c>
      <c r="BP1290" s="866"/>
      <c r="BQ1290" s="866"/>
      <c r="BR1290" s="866">
        <f>VLOOKUP(BD1290,$BD$4:$BN$12824,6,0)*BE1290</f>
        <v>88049.952330059561</v>
      </c>
      <c r="BS1290" s="866">
        <f>VLOOKUP(BD1290,$BD$4:$BN$12824,7,0)*BE1290</f>
        <v>7418.3963921273025</v>
      </c>
      <c r="BT1290" s="866"/>
      <c r="BU1290" s="866">
        <f>VLOOKUP(BD1290,$BD$4:$BN$12824,9,0)*BE1290</f>
        <v>2965.2674941439395</v>
      </c>
      <c r="BV1290" s="867"/>
      <c r="BW1290" s="867">
        <f>VLOOKUP(BD1290,$BD$4:$BN$12824,11,0)*BE1290</f>
        <v>49075.380407197023</v>
      </c>
      <c r="BX1290" s="1146">
        <f t="shared" si="253"/>
        <v>344502.47908226622</v>
      </c>
      <c r="BY1290" s="867">
        <f t="shared" si="256"/>
        <v>3875981.2000411334</v>
      </c>
      <c r="BZ1290" s="867">
        <f t="shared" si="254"/>
        <v>7751962.4000822669</v>
      </c>
      <c r="CA1290" s="867">
        <f>_xlfn.MAXIFS($BY$4:$BY$12824,$S$4:$S$12824,$S1290)</f>
        <v>3875981.2000411334</v>
      </c>
      <c r="CB1290" s="1032"/>
      <c r="CF1290" s="946">
        <f t="shared" si="255"/>
        <v>7407459.921000001</v>
      </c>
    </row>
    <row r="1291" spans="2:84">
      <c r="B1291" s="839" t="s">
        <v>98</v>
      </c>
      <c r="C1291" s="839" t="s">
        <v>2689</v>
      </c>
      <c r="D1291" s="839" t="s">
        <v>4271</v>
      </c>
      <c r="E1291" s="839" t="s">
        <v>4272</v>
      </c>
      <c r="F1291" s="841">
        <v>45675</v>
      </c>
      <c r="G1291" s="868" t="s">
        <v>2689</v>
      </c>
      <c r="H1291" s="842" t="s">
        <v>134</v>
      </c>
      <c r="I1291" s="883"/>
      <c r="J1291" s="841"/>
      <c r="K1291" s="841"/>
      <c r="L1291" s="843" t="s">
        <v>106</v>
      </c>
      <c r="M1291" s="844" t="s">
        <v>107</v>
      </c>
      <c r="N1291" s="841"/>
      <c r="O1291" s="884" t="s">
        <v>135</v>
      </c>
      <c r="P1291" s="842"/>
      <c r="Q1291" s="843"/>
      <c r="R1291" s="845">
        <v>20251301</v>
      </c>
      <c r="S1291" s="1127" t="s">
        <v>4432</v>
      </c>
      <c r="T1291" s="885" t="s">
        <v>4433</v>
      </c>
      <c r="U1291" s="886">
        <v>2</v>
      </c>
      <c r="V1291" s="842" t="s">
        <v>3</v>
      </c>
      <c r="W1291" s="846">
        <v>185</v>
      </c>
      <c r="X1291" s="847">
        <f t="shared" si="248"/>
        <v>370</v>
      </c>
      <c r="Y1291" s="848">
        <f t="shared" ref="Y1291:Y1299" si="257">(W1291-Z1291)/W1291</f>
        <v>0.49789189189189187</v>
      </c>
      <c r="Z1291" s="849">
        <v>92.89</v>
      </c>
      <c r="AA1291" s="854"/>
      <c r="AB1291" s="849">
        <f t="shared" si="249"/>
        <v>185.78</v>
      </c>
      <c r="AC1291" s="850">
        <f t="shared" si="250"/>
        <v>185.78</v>
      </c>
      <c r="AD1291" s="887">
        <f t="shared" si="247"/>
        <v>32000</v>
      </c>
      <c r="AE1291" s="888">
        <v>30266.65</v>
      </c>
      <c r="AF1291" s="853">
        <v>0.05</v>
      </c>
      <c r="AG1291" s="854">
        <f t="shared" si="251"/>
        <v>288905.27559375134</v>
      </c>
      <c r="AH1291" s="853" t="s">
        <v>4262</v>
      </c>
      <c r="AI1291" s="855">
        <f t="shared" si="252"/>
        <v>472947.48100750014</v>
      </c>
      <c r="AJ1291" s="845" t="s">
        <v>3318</v>
      </c>
      <c r="AK1291" s="857">
        <v>45796</v>
      </c>
      <c r="AL1291" s="843" t="s">
        <v>4263</v>
      </c>
      <c r="AM1291" s="843" t="s">
        <v>4264</v>
      </c>
      <c r="AN1291" s="844" t="s">
        <v>4265</v>
      </c>
      <c r="AO1291" s="844" t="s">
        <v>141</v>
      </c>
      <c r="AP1291" s="841"/>
      <c r="AQ1291" s="841">
        <v>45821</v>
      </c>
      <c r="AR1291" s="841">
        <v>45865</v>
      </c>
      <c r="AS1291" s="842" t="s">
        <v>4266</v>
      </c>
      <c r="AT1291" s="842" t="s">
        <v>1235</v>
      </c>
      <c r="AU1291" s="842" t="s">
        <v>3794</v>
      </c>
      <c r="AV1291" s="845" t="s">
        <v>4267</v>
      </c>
      <c r="AW1291" s="861">
        <v>45867</v>
      </c>
      <c r="AX1291" s="862">
        <v>45873</v>
      </c>
      <c r="AY1291" s="843" t="s">
        <v>4434</v>
      </c>
      <c r="AZ1291" s="842" t="s">
        <v>4349</v>
      </c>
      <c r="BA1291" s="842" t="s">
        <v>120</v>
      </c>
      <c r="BB1291" s="863" t="s">
        <v>121</v>
      </c>
      <c r="BC1291" s="864">
        <v>45867</v>
      </c>
      <c r="BD1291" s="860" t="s">
        <v>4270</v>
      </c>
      <c r="BE1291" s="865" cm="1">
        <f t="array" ref="BE1291">IF(BD1291="","",AC1291/SUMPRODUCT(--(BD1291=$BD$4:$BD$12824),$AC$4:$AC$12824))</f>
        <v>4.1683494431131833E-3</v>
      </c>
      <c r="BF1291" s="458"/>
      <c r="BG1291" s="458"/>
      <c r="BH1291" s="458"/>
      <c r="BI1291" s="458"/>
      <c r="BJ1291" s="458"/>
      <c r="BK1291" s="458"/>
      <c r="BL1291" s="458"/>
      <c r="BM1291" s="458"/>
      <c r="BN1291" s="458"/>
      <c r="BO1291" s="866">
        <f>VLOOKUP(BD1291,$BD$4:$BN$12824,3,0)*BE1291</f>
        <v>149536.03485815323</v>
      </c>
      <c r="BP1291" s="866"/>
      <c r="BQ1291" s="866"/>
      <c r="BR1291" s="866">
        <f>VLOOKUP(BD1291,$BD$4:$BN$12824,6,0)*BE1291</f>
        <v>66837.951065941263</v>
      </c>
      <c r="BS1291" s="866">
        <f>VLOOKUP(BD1291,$BD$4:$BN$12824,7,0)*BE1291</f>
        <v>5631.2400168726408</v>
      </c>
      <c r="BT1291" s="866"/>
      <c r="BU1291" s="866">
        <f>VLOOKUP(BD1291,$BD$4:$BN$12824,9,0)*BE1291</f>
        <v>2250.908699281119</v>
      </c>
      <c r="BV1291" s="867"/>
      <c r="BW1291" s="867">
        <f>VLOOKUP(BD1291,$BD$4:$BN$12824,11,0)*BE1291</f>
        <v>37252.693356415228</v>
      </c>
      <c r="BX1291" s="1146">
        <f t="shared" si="253"/>
        <v>261508.82799666349</v>
      </c>
      <c r="BY1291" s="867">
        <f t="shared" si="256"/>
        <v>3086676.1702952078</v>
      </c>
      <c r="BZ1291" s="867">
        <f t="shared" si="254"/>
        <v>6173352.3405904155</v>
      </c>
      <c r="CA1291" s="867">
        <f>_xlfn.MAXIFS($BY$4:$BY$12824,$S$4:$S$12824,$S1291)</f>
        <v>3086676.1702952078</v>
      </c>
      <c r="CB1291" s="1032"/>
      <c r="CF1291" s="946">
        <f t="shared" si="255"/>
        <v>5622938.2370000007</v>
      </c>
    </row>
    <row r="1292" spans="2:84">
      <c r="B1292" s="839" t="s">
        <v>98</v>
      </c>
      <c r="C1292" s="839" t="s">
        <v>2689</v>
      </c>
      <c r="D1292" s="839" t="s">
        <v>4271</v>
      </c>
      <c r="E1292" s="839" t="s">
        <v>4272</v>
      </c>
      <c r="F1292" s="841">
        <v>45675</v>
      </c>
      <c r="G1292" s="868" t="s">
        <v>2689</v>
      </c>
      <c r="H1292" s="842" t="s">
        <v>134</v>
      </c>
      <c r="I1292" s="883"/>
      <c r="J1292" s="841"/>
      <c r="K1292" s="841"/>
      <c r="L1292" s="843" t="s">
        <v>106</v>
      </c>
      <c r="M1292" s="844" t="s">
        <v>107</v>
      </c>
      <c r="N1292" s="841"/>
      <c r="O1292" s="884" t="s">
        <v>135</v>
      </c>
      <c r="P1292" s="842"/>
      <c r="Q1292" s="843"/>
      <c r="R1292" s="845">
        <v>20253001</v>
      </c>
      <c r="S1292" s="1127" t="s">
        <v>4435</v>
      </c>
      <c r="T1292" s="885" t="s">
        <v>4436</v>
      </c>
      <c r="U1292" s="886">
        <v>2</v>
      </c>
      <c r="V1292" s="842" t="s">
        <v>3</v>
      </c>
      <c r="W1292" s="846">
        <v>239</v>
      </c>
      <c r="X1292" s="847">
        <f t="shared" si="248"/>
        <v>478</v>
      </c>
      <c r="Y1292" s="848">
        <f t="shared" si="257"/>
        <v>0.49619246861924687</v>
      </c>
      <c r="Z1292" s="849">
        <v>120.41</v>
      </c>
      <c r="AA1292" s="854"/>
      <c r="AB1292" s="849">
        <f t="shared" si="249"/>
        <v>240.82</v>
      </c>
      <c r="AC1292" s="850">
        <f t="shared" si="250"/>
        <v>240.82</v>
      </c>
      <c r="AD1292" s="887">
        <f t="shared" si="247"/>
        <v>32000</v>
      </c>
      <c r="AE1292" s="888">
        <v>30266.65</v>
      </c>
      <c r="AF1292" s="853">
        <v>0</v>
      </c>
      <c r="AG1292" s="854">
        <f t="shared" si="251"/>
        <v>0</v>
      </c>
      <c r="AH1292" s="853" t="s">
        <v>4262</v>
      </c>
      <c r="AI1292" s="855">
        <f t="shared" si="252"/>
        <v>583105.17223999999</v>
      </c>
      <c r="AJ1292" s="845" t="s">
        <v>3318</v>
      </c>
      <c r="AK1292" s="857">
        <v>45796</v>
      </c>
      <c r="AL1292" s="843" t="s">
        <v>4263</v>
      </c>
      <c r="AM1292" s="843" t="s">
        <v>4264</v>
      </c>
      <c r="AN1292" s="844" t="s">
        <v>4265</v>
      </c>
      <c r="AO1292" s="844" t="s">
        <v>141</v>
      </c>
      <c r="AP1292" s="841"/>
      <c r="AQ1292" s="841">
        <v>45821</v>
      </c>
      <c r="AR1292" s="841">
        <v>45865</v>
      </c>
      <c r="AS1292" s="842" t="s">
        <v>4266</v>
      </c>
      <c r="AT1292" s="842" t="s">
        <v>1235</v>
      </c>
      <c r="AU1292" s="842" t="s">
        <v>3794</v>
      </c>
      <c r="AV1292" s="845" t="s">
        <v>4267</v>
      </c>
      <c r="AW1292" s="861">
        <v>45867</v>
      </c>
      <c r="AX1292" s="862">
        <v>45873</v>
      </c>
      <c r="AY1292" s="843" t="s">
        <v>4437</v>
      </c>
      <c r="AZ1292" s="842" t="s">
        <v>3314</v>
      </c>
      <c r="BA1292" s="842" t="s">
        <v>120</v>
      </c>
      <c r="BB1292" s="863" t="s">
        <v>121</v>
      </c>
      <c r="BC1292" s="864">
        <v>45867</v>
      </c>
      <c r="BD1292" s="860" t="s">
        <v>4270</v>
      </c>
      <c r="BE1292" s="865" cm="1">
        <f t="array" ref="BE1292">IF(BD1292="","",AC1292/SUMPRODUCT(--(BD1292=$BD$4:$BD$12824),$AC$4:$AC$12824))</f>
        <v>5.4032829846620565E-3</v>
      </c>
      <c r="BF1292" s="458"/>
      <c r="BG1292" s="458"/>
      <c r="BH1292" s="458"/>
      <c r="BI1292" s="458"/>
      <c r="BJ1292" s="458"/>
      <c r="BK1292" s="458"/>
      <c r="BL1292" s="458"/>
      <c r="BM1292" s="458"/>
      <c r="BN1292" s="458"/>
      <c r="BO1292" s="866">
        <f>VLOOKUP(BD1292,$BD$4:$BN$12824,3,0)*BE1292</f>
        <v>193838.23831704416</v>
      </c>
      <c r="BP1292" s="866"/>
      <c r="BQ1292" s="866"/>
      <c r="BR1292" s="866">
        <f>VLOOKUP(BD1292,$BD$4:$BN$12824,6,0)*BE1292</f>
        <v>86639.656452255222</v>
      </c>
      <c r="BS1292" s="866">
        <f>VLOOKUP(BD1292,$BD$4:$BN$12824,7,0)*BE1292</f>
        <v>7299.5759546951749</v>
      </c>
      <c r="BT1292" s="866"/>
      <c r="BU1292" s="866">
        <f>VLOOKUP(BD1292,$BD$4:$BN$12824,9,0)*BE1292</f>
        <v>2917.7728117175106</v>
      </c>
      <c r="BV1292" s="867"/>
      <c r="BW1292" s="867">
        <f>VLOOKUP(BD1292,$BD$4:$BN$12824,11,0)*BE1292</f>
        <v>48289.340155516824</v>
      </c>
      <c r="BX1292" s="1146">
        <f t="shared" si="253"/>
        <v>338984.58369122888</v>
      </c>
      <c r="BY1292" s="867">
        <f t="shared" si="256"/>
        <v>3813899.6183456145</v>
      </c>
      <c r="BZ1292" s="867">
        <f t="shared" si="254"/>
        <v>7627799.236691229</v>
      </c>
      <c r="CA1292" s="867">
        <f>_xlfn.MAXIFS($BY$4:$BY$12824,$S$4:$S$12824,$S1292)</f>
        <v>3813899.6183456145</v>
      </c>
      <c r="CB1292" s="1032"/>
      <c r="CF1292" s="946">
        <f t="shared" si="255"/>
        <v>7288814.6529999999</v>
      </c>
    </row>
    <row r="1293" spans="2:84">
      <c r="B1293" s="839" t="s">
        <v>98</v>
      </c>
      <c r="C1293" s="839" t="s">
        <v>2689</v>
      </c>
      <c r="D1293" s="839" t="s">
        <v>4271</v>
      </c>
      <c r="E1293" s="839" t="s">
        <v>4272</v>
      </c>
      <c r="F1293" s="841">
        <v>45675</v>
      </c>
      <c r="G1293" s="868" t="s">
        <v>2689</v>
      </c>
      <c r="H1293" s="842" t="s">
        <v>134</v>
      </c>
      <c r="I1293" s="883"/>
      <c r="J1293" s="841"/>
      <c r="K1293" s="841"/>
      <c r="L1293" s="843" t="s">
        <v>106</v>
      </c>
      <c r="M1293" s="844" t="s">
        <v>107</v>
      </c>
      <c r="N1293" s="841"/>
      <c r="O1293" s="884" t="s">
        <v>135</v>
      </c>
      <c r="P1293" s="842"/>
      <c r="Q1293" s="843"/>
      <c r="R1293" s="845">
        <v>20222101</v>
      </c>
      <c r="S1293" s="1127" t="s">
        <v>4438</v>
      </c>
      <c r="T1293" s="885" t="s">
        <v>4439</v>
      </c>
      <c r="U1293" s="886">
        <v>2</v>
      </c>
      <c r="V1293" s="842" t="s">
        <v>3</v>
      </c>
      <c r="W1293" s="846">
        <v>289</v>
      </c>
      <c r="X1293" s="847">
        <f t="shared" si="248"/>
        <v>578</v>
      </c>
      <c r="Y1293" s="848">
        <f t="shared" si="257"/>
        <v>0.4983391003460208</v>
      </c>
      <c r="Z1293" s="849">
        <v>144.97999999999999</v>
      </c>
      <c r="AA1293" s="854"/>
      <c r="AB1293" s="849">
        <f t="shared" si="249"/>
        <v>289.95999999999998</v>
      </c>
      <c r="AC1293" s="850">
        <f t="shared" si="250"/>
        <v>289.95999999999998</v>
      </c>
      <c r="AD1293" s="887">
        <f t="shared" si="247"/>
        <v>32000</v>
      </c>
      <c r="AE1293" s="888">
        <v>30266.65</v>
      </c>
      <c r="AF1293" s="853">
        <v>0</v>
      </c>
      <c r="AG1293" s="854">
        <f t="shared" si="251"/>
        <v>0</v>
      </c>
      <c r="AH1293" s="853" t="s">
        <v>4322</v>
      </c>
      <c r="AI1293" s="855">
        <f t="shared" si="252"/>
        <v>877611.78340000007</v>
      </c>
      <c r="AJ1293" s="845" t="s">
        <v>3318</v>
      </c>
      <c r="AK1293" s="857">
        <v>45796</v>
      </c>
      <c r="AL1293" s="843" t="s">
        <v>4263</v>
      </c>
      <c r="AM1293" s="843" t="s">
        <v>4264</v>
      </c>
      <c r="AN1293" s="844" t="s">
        <v>4265</v>
      </c>
      <c r="AO1293" s="844" t="s">
        <v>141</v>
      </c>
      <c r="AP1293" s="841"/>
      <c r="AQ1293" s="841">
        <v>45821</v>
      </c>
      <c r="AR1293" s="841">
        <v>45865</v>
      </c>
      <c r="AS1293" s="842" t="s">
        <v>4266</v>
      </c>
      <c r="AT1293" s="842" t="s">
        <v>1235</v>
      </c>
      <c r="AU1293" s="842" t="s">
        <v>3794</v>
      </c>
      <c r="AV1293" s="845" t="s">
        <v>4267</v>
      </c>
      <c r="AW1293" s="861">
        <v>45867</v>
      </c>
      <c r="AX1293" s="862">
        <v>45873</v>
      </c>
      <c r="AY1293" s="843" t="s">
        <v>4440</v>
      </c>
      <c r="AZ1293" s="842" t="s">
        <v>4324</v>
      </c>
      <c r="BA1293" s="842" t="s">
        <v>120</v>
      </c>
      <c r="BB1293" s="863" t="s">
        <v>121</v>
      </c>
      <c r="BC1293" s="864">
        <v>45867</v>
      </c>
      <c r="BD1293" s="860" t="s">
        <v>4270</v>
      </c>
      <c r="BE1293" s="865" cm="1">
        <f t="array" ref="BE1293">IF(BD1293="","",AC1293/SUMPRODUCT(--(BD1293=$BD$4:$BD$12824),$AC$4:$AC$12824))</f>
        <v>6.5058381124184442E-3</v>
      </c>
      <c r="BF1293" s="458"/>
      <c r="BG1293" s="458"/>
      <c r="BH1293" s="458"/>
      <c r="BI1293" s="458"/>
      <c r="BJ1293" s="458"/>
      <c r="BK1293" s="458"/>
      <c r="BL1293" s="458"/>
      <c r="BM1293" s="458"/>
      <c r="BN1293" s="458"/>
      <c r="BO1293" s="866">
        <f>VLOOKUP(BD1293,$BD$4:$BN$12824,3,0)*BE1293</f>
        <v>233391.47737899725</v>
      </c>
      <c r="BP1293" s="866"/>
      <c r="BQ1293" s="866"/>
      <c r="BR1293" s="866">
        <f>VLOOKUP(BD1293,$BD$4:$BN$12824,6,0)*BE1293</f>
        <v>104318.72263473102</v>
      </c>
      <c r="BS1293" s="866">
        <f>VLOOKUP(BD1293,$BD$4:$BN$12824,7,0)*BE1293</f>
        <v>8789.0750096479223</v>
      </c>
      <c r="BT1293" s="866"/>
      <c r="BU1293" s="866">
        <f>VLOOKUP(BD1293,$BD$4:$BN$12824,9,0)*BE1293</f>
        <v>3513.1525807059597</v>
      </c>
      <c r="BV1293" s="867"/>
      <c r="BW1293" s="867">
        <f>VLOOKUP(BD1293,$BD$4:$BN$12824,11,0)*BE1293</f>
        <v>58142.916167650765</v>
      </c>
      <c r="BX1293" s="1146">
        <f t="shared" si="253"/>
        <v>408155.34377173294</v>
      </c>
      <c r="BY1293" s="867">
        <f t="shared" si="256"/>
        <v>4592136.588885867</v>
      </c>
      <c r="BZ1293" s="867">
        <f t="shared" si="254"/>
        <v>9184273.1777717341</v>
      </c>
      <c r="CA1293" s="867">
        <f>_xlfn.MAXIFS($BY$4:$BY$12824,$S$4:$S$12824,$S1293)</f>
        <v>4592136.588885867</v>
      </c>
      <c r="CB1293" s="1032"/>
      <c r="CF1293" s="946">
        <f t="shared" si="255"/>
        <v>8776117.8340000007</v>
      </c>
    </row>
    <row r="1294" spans="2:84">
      <c r="B1294" s="839" t="s">
        <v>98</v>
      </c>
      <c r="C1294" s="839" t="s">
        <v>2689</v>
      </c>
      <c r="D1294" s="839" t="s">
        <v>4271</v>
      </c>
      <c r="E1294" s="839" t="s">
        <v>4272</v>
      </c>
      <c r="F1294" s="841">
        <v>45675</v>
      </c>
      <c r="G1294" s="868" t="s">
        <v>2689</v>
      </c>
      <c r="H1294" s="842" t="s">
        <v>134</v>
      </c>
      <c r="I1294" s="883"/>
      <c r="J1294" s="841"/>
      <c r="K1294" s="841"/>
      <c r="L1294" s="843" t="s">
        <v>106</v>
      </c>
      <c r="M1294" s="844" t="s">
        <v>107</v>
      </c>
      <c r="N1294" s="841"/>
      <c r="O1294" s="884" t="s">
        <v>135</v>
      </c>
      <c r="P1294" s="842" t="s">
        <v>4441</v>
      </c>
      <c r="Q1294" s="843"/>
      <c r="R1294" s="845" t="s">
        <v>4442</v>
      </c>
      <c r="S1294" s="1127" t="s">
        <v>3279</v>
      </c>
      <c r="T1294" s="885" t="s">
        <v>4443</v>
      </c>
      <c r="U1294" s="886">
        <v>10</v>
      </c>
      <c r="V1294" s="842" t="s">
        <v>3</v>
      </c>
      <c r="W1294" s="846">
        <v>147</v>
      </c>
      <c r="X1294" s="847">
        <f t="shared" si="248"/>
        <v>1470</v>
      </c>
      <c r="Y1294" s="848">
        <f t="shared" si="257"/>
        <v>0.50857142857142856</v>
      </c>
      <c r="Z1294" s="849">
        <v>72.239999999999995</v>
      </c>
      <c r="AA1294" s="854" t="s">
        <v>4444</v>
      </c>
      <c r="AB1294" s="849">
        <f t="shared" si="249"/>
        <v>722.4</v>
      </c>
      <c r="AC1294" s="850">
        <f t="shared" si="250"/>
        <v>722.4</v>
      </c>
      <c r="AD1294" s="887">
        <f t="shared" si="247"/>
        <v>32000</v>
      </c>
      <c r="AE1294" s="888">
        <v>30266.65</v>
      </c>
      <c r="AF1294" s="853">
        <v>0</v>
      </c>
      <c r="AG1294" s="854">
        <f t="shared" si="251"/>
        <v>0</v>
      </c>
      <c r="AH1294" s="853">
        <v>0</v>
      </c>
      <c r="AI1294" s="855">
        <f t="shared" si="252"/>
        <v>0</v>
      </c>
      <c r="AJ1294" s="845" t="s">
        <v>3318</v>
      </c>
      <c r="AK1294" s="857">
        <v>45796</v>
      </c>
      <c r="AL1294" s="843" t="s">
        <v>4263</v>
      </c>
      <c r="AM1294" s="843" t="s">
        <v>4264</v>
      </c>
      <c r="AN1294" s="844" t="s">
        <v>4265</v>
      </c>
      <c r="AO1294" s="844" t="s">
        <v>141</v>
      </c>
      <c r="AP1294" s="841"/>
      <c r="AQ1294" s="841">
        <v>45821</v>
      </c>
      <c r="AR1294" s="841">
        <v>45865</v>
      </c>
      <c r="AS1294" s="842" t="s">
        <v>4266</v>
      </c>
      <c r="AT1294" s="842" t="s">
        <v>1235</v>
      </c>
      <c r="AU1294" s="842" t="s">
        <v>3794</v>
      </c>
      <c r="AV1294" s="845" t="s">
        <v>4445</v>
      </c>
      <c r="AW1294" s="861">
        <v>45867</v>
      </c>
      <c r="AX1294" s="862">
        <v>45873</v>
      </c>
      <c r="AY1294" s="843"/>
      <c r="AZ1294" s="842"/>
      <c r="BA1294" s="842" t="s">
        <v>120</v>
      </c>
      <c r="BB1294" s="863" t="s">
        <v>121</v>
      </c>
      <c r="BC1294" s="864">
        <v>45867</v>
      </c>
      <c r="BD1294" s="860" t="s">
        <v>4270</v>
      </c>
      <c r="BE1294" s="865" cm="1">
        <f t="array" ref="BE1294">IF(BD1294="","",AC1294/SUMPRODUCT(--(BD1294=$BD$4:$BD$12824),$AC$4:$AC$12824))</f>
        <v>1.6208502732828957E-2</v>
      </c>
      <c r="BF1294" s="458"/>
      <c r="BG1294" s="458"/>
      <c r="BH1294" s="458"/>
      <c r="BI1294" s="458"/>
      <c r="BJ1294" s="458"/>
      <c r="BK1294" s="458"/>
      <c r="BL1294" s="458"/>
      <c r="BM1294" s="458"/>
      <c r="BN1294" s="458"/>
      <c r="BO1294" s="866">
        <f>VLOOKUP(BD1294,$BD$4:$BN$12824,3,0)*BE1294</f>
        <v>581466.42039794324</v>
      </c>
      <c r="BP1294" s="866"/>
      <c r="BQ1294" s="866"/>
      <c r="BR1294" s="866">
        <f>VLOOKUP(BD1294,$BD$4:$BN$12824,6,0)*BE1294</f>
        <v>259897.3831953707</v>
      </c>
      <c r="BS1294" s="866">
        <f>VLOOKUP(BD1294,$BD$4:$BN$12824,7,0)*BE1294</f>
        <v>21896.909183920747</v>
      </c>
      <c r="BT1294" s="866"/>
      <c r="BU1294" s="866">
        <f>VLOOKUP(BD1294,$BD$4:$BN$12824,9,0)*BE1294</f>
        <v>8752.5914757276369</v>
      </c>
      <c r="BV1294" s="867"/>
      <c r="BW1294" s="867">
        <f>VLOOKUP(BD1294,$BD$4:$BN$12824,11,0)*BE1294</f>
        <v>144855.98923820842</v>
      </c>
      <c r="BX1294" s="1146">
        <f t="shared" si="253"/>
        <v>1016869.2934911706</v>
      </c>
      <c r="BY1294" s="867">
        <f t="shared" si="256"/>
        <v>2288149.7253491171</v>
      </c>
      <c r="BZ1294" s="867">
        <f t="shared" si="254"/>
        <v>22881497.253491171</v>
      </c>
      <c r="CA1294" s="867">
        <f>_xlfn.MAXIFS($BY$4:$BY$12824,$S$4:$S$12824,$S1294)</f>
        <v>2288149.7253491171</v>
      </c>
      <c r="CB1294" s="1032"/>
      <c r="CF1294" s="946">
        <f t="shared" si="255"/>
        <v>21864627.960000001</v>
      </c>
    </row>
    <row r="1295" spans="2:84">
      <c r="B1295" s="839" t="s">
        <v>98</v>
      </c>
      <c r="C1295" s="839" t="s">
        <v>2689</v>
      </c>
      <c r="D1295" s="839" t="s">
        <v>4271</v>
      </c>
      <c r="E1295" s="839" t="s">
        <v>4272</v>
      </c>
      <c r="F1295" s="841">
        <v>45675</v>
      </c>
      <c r="G1295" s="868" t="s">
        <v>2689</v>
      </c>
      <c r="H1295" s="842" t="s">
        <v>134</v>
      </c>
      <c r="I1295" s="883"/>
      <c r="J1295" s="841"/>
      <c r="K1295" s="841"/>
      <c r="L1295" s="843" t="s">
        <v>106</v>
      </c>
      <c r="M1295" s="844" t="s">
        <v>107</v>
      </c>
      <c r="N1295" s="841"/>
      <c r="O1295" s="884" t="s">
        <v>135</v>
      </c>
      <c r="P1295" s="842" t="s">
        <v>4441</v>
      </c>
      <c r="Q1295" s="843"/>
      <c r="R1295" s="845" t="s">
        <v>4446</v>
      </c>
      <c r="S1295" s="1127" t="s">
        <v>4447</v>
      </c>
      <c r="T1295" s="885" t="s">
        <v>4448</v>
      </c>
      <c r="U1295" s="886">
        <v>10</v>
      </c>
      <c r="V1295" s="842" t="s">
        <v>3</v>
      </c>
      <c r="W1295" s="846">
        <v>27</v>
      </c>
      <c r="X1295" s="847">
        <f t="shared" si="248"/>
        <v>270</v>
      </c>
      <c r="Y1295" s="848">
        <f t="shared" si="257"/>
        <v>0.50851851851851848</v>
      </c>
      <c r="Z1295" s="849">
        <v>13.27</v>
      </c>
      <c r="AA1295" s="854" t="s">
        <v>4444</v>
      </c>
      <c r="AB1295" s="849">
        <f t="shared" si="249"/>
        <v>132.69999999999999</v>
      </c>
      <c r="AC1295" s="850">
        <f t="shared" si="250"/>
        <v>132.69999999999999</v>
      </c>
      <c r="AD1295" s="887">
        <f t="shared" si="247"/>
        <v>32000</v>
      </c>
      <c r="AE1295" s="888">
        <v>30266.65</v>
      </c>
      <c r="AF1295" s="853">
        <v>0</v>
      </c>
      <c r="AG1295" s="854">
        <f t="shared" si="251"/>
        <v>0</v>
      </c>
      <c r="AH1295" s="853">
        <v>0</v>
      </c>
      <c r="AI1295" s="855">
        <f t="shared" si="252"/>
        <v>0</v>
      </c>
      <c r="AJ1295" s="845" t="s">
        <v>3318</v>
      </c>
      <c r="AK1295" s="857">
        <v>45796</v>
      </c>
      <c r="AL1295" s="843" t="s">
        <v>4263</v>
      </c>
      <c r="AM1295" s="843" t="s">
        <v>4264</v>
      </c>
      <c r="AN1295" s="844" t="s">
        <v>4265</v>
      </c>
      <c r="AO1295" s="844" t="s">
        <v>141</v>
      </c>
      <c r="AP1295" s="841"/>
      <c r="AQ1295" s="841">
        <v>45821</v>
      </c>
      <c r="AR1295" s="841">
        <v>45865</v>
      </c>
      <c r="AS1295" s="842" t="s">
        <v>4266</v>
      </c>
      <c r="AT1295" s="842" t="s">
        <v>1235</v>
      </c>
      <c r="AU1295" s="842" t="s">
        <v>3794</v>
      </c>
      <c r="AV1295" s="845" t="s">
        <v>4445</v>
      </c>
      <c r="AW1295" s="861">
        <v>45867</v>
      </c>
      <c r="AX1295" s="862">
        <v>45873</v>
      </c>
      <c r="AY1295" s="843"/>
      <c r="AZ1295" s="842"/>
      <c r="BA1295" s="842" t="s">
        <v>120</v>
      </c>
      <c r="BB1295" s="863" t="s">
        <v>121</v>
      </c>
      <c r="BC1295" s="864">
        <v>45867</v>
      </c>
      <c r="BD1295" s="860" t="s">
        <v>4270</v>
      </c>
      <c r="BE1295" s="865" cm="1">
        <f t="array" ref="BE1295">IF(BD1295="","",AC1295/SUMPRODUCT(--(BD1295=$BD$4:$BD$12824),$AC$4:$AC$12824))</f>
        <v>2.9773924593665593E-3</v>
      </c>
      <c r="BF1295" s="458"/>
      <c r="BG1295" s="458"/>
      <c r="BH1295" s="458"/>
      <c r="BI1295" s="458"/>
      <c r="BJ1295" s="458"/>
      <c r="BK1295" s="458"/>
      <c r="BL1295" s="458"/>
      <c r="BM1295" s="458"/>
      <c r="BN1295" s="458"/>
      <c r="BO1295" s="866">
        <f>VLOOKUP(BD1295,$BD$4:$BN$12824,3,0)*BE1295</f>
        <v>106811.45347010945</v>
      </c>
      <c r="BP1295" s="866"/>
      <c r="BQ1295" s="866"/>
      <c r="BR1295" s="866">
        <f>VLOOKUP(BD1295,$BD$4:$BN$12824,6,0)*BE1295</f>
        <v>47741.393618529473</v>
      </c>
      <c r="BS1295" s="866">
        <f>VLOOKUP(BD1295,$BD$4:$BN$12824,7,0)*BE1295</f>
        <v>4022.3142977661719</v>
      </c>
      <c r="BT1295" s="866"/>
      <c r="BU1295" s="866">
        <f>VLOOKUP(BD1295,$BD$4:$BN$12824,9,0)*BE1295</f>
        <v>1607.791928057942</v>
      </c>
      <c r="BV1295" s="867"/>
      <c r="BW1295" s="867">
        <f>VLOOKUP(BD1295,$BD$4:$BN$12824,11,0)*BE1295</f>
        <v>26609.066683153731</v>
      </c>
      <c r="BX1295" s="1146">
        <f t="shared" si="253"/>
        <v>186792.01999761676</v>
      </c>
      <c r="BY1295" s="867">
        <f t="shared" si="256"/>
        <v>420317.64749976172</v>
      </c>
      <c r="BZ1295" s="867">
        <f t="shared" si="254"/>
        <v>4203176.4749976173</v>
      </c>
      <c r="CA1295" s="867">
        <f>_xlfn.MAXIFS($BY$4:$BY$12824,$S$4:$S$12824,$S1295)</f>
        <v>420317.64749976172</v>
      </c>
      <c r="CB1295" s="1032"/>
      <c r="CF1295" s="946">
        <f t="shared" si="255"/>
        <v>4016384.4550000001</v>
      </c>
    </row>
    <row r="1296" spans="2:84">
      <c r="B1296" s="839" t="s">
        <v>98</v>
      </c>
      <c r="C1296" s="839" t="s">
        <v>2689</v>
      </c>
      <c r="D1296" s="839" t="s">
        <v>4271</v>
      </c>
      <c r="E1296" s="839" t="s">
        <v>4272</v>
      </c>
      <c r="F1296" s="841">
        <v>45675</v>
      </c>
      <c r="G1296" s="868" t="s">
        <v>2689</v>
      </c>
      <c r="H1296" s="842" t="s">
        <v>134</v>
      </c>
      <c r="I1296" s="883"/>
      <c r="J1296" s="841"/>
      <c r="K1296" s="841"/>
      <c r="L1296" s="843" t="s">
        <v>106</v>
      </c>
      <c r="M1296" s="844" t="s">
        <v>107</v>
      </c>
      <c r="N1296" s="841"/>
      <c r="O1296" s="884" t="s">
        <v>135</v>
      </c>
      <c r="P1296" s="842" t="s">
        <v>4441</v>
      </c>
      <c r="Q1296" s="843"/>
      <c r="R1296" s="845"/>
      <c r="S1296" s="1127" t="s">
        <v>3287</v>
      </c>
      <c r="T1296" s="885" t="s">
        <v>4449</v>
      </c>
      <c r="U1296" s="886">
        <v>10</v>
      </c>
      <c r="V1296" s="842" t="s">
        <v>3</v>
      </c>
      <c r="W1296" s="846">
        <v>27</v>
      </c>
      <c r="X1296" s="847">
        <f t="shared" si="248"/>
        <v>270</v>
      </c>
      <c r="Y1296" s="848">
        <f t="shared" si="257"/>
        <v>0.41740740740740739</v>
      </c>
      <c r="Z1296" s="849">
        <v>15.73</v>
      </c>
      <c r="AA1296" s="854" t="s">
        <v>4444</v>
      </c>
      <c r="AB1296" s="849">
        <f t="shared" si="249"/>
        <v>157.30000000000001</v>
      </c>
      <c r="AC1296" s="850">
        <f t="shared" si="250"/>
        <v>157.30000000000001</v>
      </c>
      <c r="AD1296" s="887">
        <f t="shared" si="247"/>
        <v>32000</v>
      </c>
      <c r="AE1296" s="888">
        <v>30266.65</v>
      </c>
      <c r="AF1296" s="853">
        <v>0</v>
      </c>
      <c r="AG1296" s="854">
        <f t="shared" si="251"/>
        <v>0</v>
      </c>
      <c r="AH1296" s="853">
        <v>0</v>
      </c>
      <c r="AI1296" s="855">
        <f t="shared" si="252"/>
        <v>0</v>
      </c>
      <c r="AJ1296" s="845" t="s">
        <v>3318</v>
      </c>
      <c r="AK1296" s="857">
        <v>45796</v>
      </c>
      <c r="AL1296" s="843" t="s">
        <v>4263</v>
      </c>
      <c r="AM1296" s="843" t="s">
        <v>4264</v>
      </c>
      <c r="AN1296" s="844" t="s">
        <v>4265</v>
      </c>
      <c r="AO1296" s="844" t="s">
        <v>141</v>
      </c>
      <c r="AP1296" s="841"/>
      <c r="AQ1296" s="841">
        <v>45821</v>
      </c>
      <c r="AR1296" s="841">
        <v>45865</v>
      </c>
      <c r="AS1296" s="842" t="s">
        <v>4266</v>
      </c>
      <c r="AT1296" s="842" t="s">
        <v>1235</v>
      </c>
      <c r="AU1296" s="842" t="s">
        <v>3794</v>
      </c>
      <c r="AV1296" s="845" t="s">
        <v>4445</v>
      </c>
      <c r="AW1296" s="861">
        <v>45867</v>
      </c>
      <c r="AX1296" s="862">
        <v>45873</v>
      </c>
      <c r="AY1296" s="843"/>
      <c r="AZ1296" s="842"/>
      <c r="BA1296" s="842" t="s">
        <v>120</v>
      </c>
      <c r="BB1296" s="863" t="s">
        <v>121</v>
      </c>
      <c r="BC1296" s="864">
        <v>45867</v>
      </c>
      <c r="BD1296" s="860" t="s">
        <v>4270</v>
      </c>
      <c r="BE1296" s="865" cm="1">
        <f t="array" ref="BE1296">IF(BD1296="","",AC1296/SUMPRODUCT(--(BD1296=$BD$4:$BD$12824),$AC$4:$AC$12824))</f>
        <v>3.5293431338233598E-3</v>
      </c>
      <c r="BF1296" s="458"/>
      <c r="BG1296" s="458"/>
      <c r="BH1296" s="458"/>
      <c r="BI1296" s="458"/>
      <c r="BJ1296" s="458"/>
      <c r="BK1296" s="458"/>
      <c r="BL1296" s="458"/>
      <c r="BM1296" s="458"/>
      <c r="BN1296" s="458"/>
      <c r="BO1296" s="866">
        <f>VLOOKUP(BD1296,$BD$4:$BN$12824,3,0)*BE1296</f>
        <v>126612.22027768062</v>
      </c>
      <c r="BP1296" s="866"/>
      <c r="BQ1296" s="866"/>
      <c r="BR1296" s="866">
        <f>VLOOKUP(BD1296,$BD$4:$BN$12824,6,0)*BE1296</f>
        <v>56591.719790464864</v>
      </c>
      <c r="BS1296" s="866">
        <f>VLOOKUP(BD1296,$BD$4:$BN$12824,7,0)*BE1296</f>
        <v>4767.9731653249355</v>
      </c>
      <c r="BT1296" s="866"/>
      <c r="BU1296" s="866">
        <f>VLOOKUP(BD1296,$BD$4:$BN$12824,9,0)*BE1296</f>
        <v>1905.8452922646143</v>
      </c>
      <c r="BV1296" s="867"/>
      <c r="BW1296" s="867">
        <f>VLOOKUP(BD1296,$BD$4:$BN$12824,11,0)*BE1296</f>
        <v>31541.87030339173</v>
      </c>
      <c r="BX1296" s="1146">
        <f t="shared" si="253"/>
        <v>221419.6288291268</v>
      </c>
      <c r="BY1296" s="867">
        <f t="shared" si="256"/>
        <v>498236.36738291278</v>
      </c>
      <c r="BZ1296" s="867">
        <f t="shared" si="254"/>
        <v>4982363.673829128</v>
      </c>
      <c r="CA1296" s="867">
        <f>_xlfn.MAXIFS($BY$4:$BY$12824,$S$4:$S$12824,$S1296)</f>
        <v>498236.36738291278</v>
      </c>
      <c r="CB1296" s="1032"/>
      <c r="CF1296" s="946">
        <f t="shared" si="255"/>
        <v>4760944.0450000009</v>
      </c>
    </row>
    <row r="1297" spans="2:84">
      <c r="B1297" s="839" t="s">
        <v>98</v>
      </c>
      <c r="C1297" s="839" t="s">
        <v>2689</v>
      </c>
      <c r="D1297" s="839" t="s">
        <v>4271</v>
      </c>
      <c r="E1297" s="839" t="s">
        <v>4272</v>
      </c>
      <c r="F1297" s="841">
        <v>45675</v>
      </c>
      <c r="G1297" s="868" t="s">
        <v>2689</v>
      </c>
      <c r="H1297" s="842" t="s">
        <v>134</v>
      </c>
      <c r="I1297" s="883"/>
      <c r="J1297" s="841"/>
      <c r="K1297" s="841"/>
      <c r="L1297" s="843" t="s">
        <v>106</v>
      </c>
      <c r="M1297" s="844" t="s">
        <v>107</v>
      </c>
      <c r="N1297" s="841"/>
      <c r="O1297" s="884" t="s">
        <v>135</v>
      </c>
      <c r="P1297" s="842" t="s">
        <v>4441</v>
      </c>
      <c r="Q1297" s="843"/>
      <c r="R1297" s="845" t="s">
        <v>4450</v>
      </c>
      <c r="S1297" s="1127" t="s">
        <v>3299</v>
      </c>
      <c r="T1297" s="885" t="s">
        <v>4451</v>
      </c>
      <c r="U1297" s="886">
        <v>10</v>
      </c>
      <c r="V1297" s="842" t="s">
        <v>3</v>
      </c>
      <c r="W1297" s="846">
        <v>37</v>
      </c>
      <c r="X1297" s="847">
        <f t="shared" si="248"/>
        <v>370</v>
      </c>
      <c r="Y1297" s="848">
        <f t="shared" si="257"/>
        <v>0.50864864864864867</v>
      </c>
      <c r="Z1297" s="849">
        <v>18.18</v>
      </c>
      <c r="AA1297" s="854" t="s">
        <v>4444</v>
      </c>
      <c r="AB1297" s="849">
        <f t="shared" si="249"/>
        <v>181.8</v>
      </c>
      <c r="AC1297" s="850">
        <f t="shared" si="250"/>
        <v>181.8</v>
      </c>
      <c r="AD1297" s="887">
        <f t="shared" si="247"/>
        <v>32000</v>
      </c>
      <c r="AE1297" s="888">
        <v>30266.65</v>
      </c>
      <c r="AF1297" s="853">
        <v>0</v>
      </c>
      <c r="AG1297" s="854">
        <f t="shared" si="251"/>
        <v>0</v>
      </c>
      <c r="AH1297" s="853">
        <v>0</v>
      </c>
      <c r="AI1297" s="855">
        <f t="shared" si="252"/>
        <v>0</v>
      </c>
      <c r="AJ1297" s="845" t="s">
        <v>3318</v>
      </c>
      <c r="AK1297" s="857">
        <v>45796</v>
      </c>
      <c r="AL1297" s="843" t="s">
        <v>4263</v>
      </c>
      <c r="AM1297" s="843" t="s">
        <v>4264</v>
      </c>
      <c r="AN1297" s="844" t="s">
        <v>4265</v>
      </c>
      <c r="AO1297" s="844" t="s">
        <v>141</v>
      </c>
      <c r="AP1297" s="841"/>
      <c r="AQ1297" s="841">
        <v>45821</v>
      </c>
      <c r="AR1297" s="841">
        <v>45865</v>
      </c>
      <c r="AS1297" s="842" t="s">
        <v>4266</v>
      </c>
      <c r="AT1297" s="842" t="s">
        <v>1235</v>
      </c>
      <c r="AU1297" s="842" t="s">
        <v>3794</v>
      </c>
      <c r="AV1297" s="845" t="s">
        <v>4445</v>
      </c>
      <c r="AW1297" s="861">
        <v>45867</v>
      </c>
      <c r="AX1297" s="862">
        <v>45873</v>
      </c>
      <c r="AY1297" s="843"/>
      <c r="AZ1297" s="842"/>
      <c r="BA1297" s="842" t="s">
        <v>120</v>
      </c>
      <c r="BB1297" s="863" t="s">
        <v>121</v>
      </c>
      <c r="BC1297" s="864">
        <v>45867</v>
      </c>
      <c r="BD1297" s="860" t="s">
        <v>4270</v>
      </c>
      <c r="BE1297" s="865" cm="1">
        <f t="array" ref="BE1297">IF(BD1297="","",AC1297/SUMPRODUCT(--(BD1297=$BD$4:$BD$12824),$AC$4:$AC$12824))</f>
        <v>4.0790501063514744E-3</v>
      </c>
      <c r="BF1297" s="458"/>
      <c r="BG1297" s="458"/>
      <c r="BH1297" s="458"/>
      <c r="BI1297" s="458"/>
      <c r="BJ1297" s="458"/>
      <c r="BK1297" s="458"/>
      <c r="BL1297" s="458"/>
      <c r="BM1297" s="458"/>
      <c r="BN1297" s="458"/>
      <c r="BO1297" s="866">
        <f>VLOOKUP(BD1297,$BD$4:$BN$12824,3,0)*BE1297</f>
        <v>146332.4961632698</v>
      </c>
      <c r="BP1297" s="866"/>
      <c r="BQ1297" s="866"/>
      <c r="BR1297" s="866">
        <f>VLOOKUP(BD1297,$BD$4:$BN$12824,6,0)*BE1297</f>
        <v>65406.069026741978</v>
      </c>
      <c r="BS1297" s="866">
        <f>VLOOKUP(BD1297,$BD$4:$BN$12824,7,0)*BE1297</f>
        <v>5510.600899275737</v>
      </c>
      <c r="BT1297" s="866"/>
      <c r="BU1297" s="866">
        <f>VLOOKUP(BD1297,$BD$4:$BN$12824,9,0)*BE1297</f>
        <v>2202.6870574297964</v>
      </c>
      <c r="BV1297" s="867"/>
      <c r="BW1297" s="867">
        <f>VLOOKUP(BD1297,$BD$4:$BN$12824,11,0)*BE1297</f>
        <v>36454.621876392994</v>
      </c>
      <c r="BX1297" s="1146">
        <f t="shared" si="253"/>
        <v>255906.47502311034</v>
      </c>
      <c r="BY1297" s="867">
        <f t="shared" si="256"/>
        <v>575838.34450231108</v>
      </c>
      <c r="BZ1297" s="867">
        <f t="shared" si="254"/>
        <v>5758383.4450231111</v>
      </c>
      <c r="CA1297" s="867">
        <f>_xlfn.MAXIFS($BY$4:$BY$12824,$S$4:$S$12824,$S1297)</f>
        <v>575838.34450231108</v>
      </c>
      <c r="CB1297" s="1032"/>
      <c r="CF1297" s="946">
        <f t="shared" si="255"/>
        <v>5502476.9700000007</v>
      </c>
    </row>
    <row r="1298" spans="2:84">
      <c r="B1298" s="839" t="s">
        <v>98</v>
      </c>
      <c r="C1298" s="839" t="s">
        <v>2689</v>
      </c>
      <c r="D1298" s="839" t="s">
        <v>4271</v>
      </c>
      <c r="E1298" s="839" t="s">
        <v>4272</v>
      </c>
      <c r="F1298" s="841">
        <v>45675</v>
      </c>
      <c r="G1298" s="868" t="s">
        <v>2689</v>
      </c>
      <c r="H1298" s="842" t="s">
        <v>134</v>
      </c>
      <c r="I1298" s="883"/>
      <c r="J1298" s="841"/>
      <c r="K1298" s="841"/>
      <c r="L1298" s="843" t="s">
        <v>106</v>
      </c>
      <c r="M1298" s="844" t="s">
        <v>107</v>
      </c>
      <c r="N1298" s="841"/>
      <c r="O1298" s="884" t="s">
        <v>135</v>
      </c>
      <c r="P1298" s="842" t="s">
        <v>4441</v>
      </c>
      <c r="Q1298" s="843"/>
      <c r="R1298" s="845" t="s">
        <v>4452</v>
      </c>
      <c r="S1298" s="1127" t="s">
        <v>3303</v>
      </c>
      <c r="T1298" s="885" t="s">
        <v>4453</v>
      </c>
      <c r="U1298" s="886">
        <v>10</v>
      </c>
      <c r="V1298" s="842" t="s">
        <v>3</v>
      </c>
      <c r="W1298" s="846">
        <v>46</v>
      </c>
      <c r="X1298" s="847">
        <f t="shared" si="248"/>
        <v>460</v>
      </c>
      <c r="Y1298" s="848">
        <f t="shared" si="257"/>
        <v>0.50847826086956527</v>
      </c>
      <c r="Z1298" s="849">
        <v>22.61</v>
      </c>
      <c r="AA1298" s="854" t="s">
        <v>4444</v>
      </c>
      <c r="AB1298" s="849">
        <f t="shared" si="249"/>
        <v>226.1</v>
      </c>
      <c r="AC1298" s="850">
        <f t="shared" si="250"/>
        <v>226.1</v>
      </c>
      <c r="AD1298" s="887">
        <f t="shared" si="247"/>
        <v>32000</v>
      </c>
      <c r="AE1298" s="888">
        <v>30266.65</v>
      </c>
      <c r="AF1298" s="853">
        <v>0</v>
      </c>
      <c r="AG1298" s="854">
        <f t="shared" si="251"/>
        <v>0</v>
      </c>
      <c r="AH1298" s="853">
        <v>0</v>
      </c>
      <c r="AI1298" s="855">
        <f t="shared" si="252"/>
        <v>0</v>
      </c>
      <c r="AJ1298" s="845" t="s">
        <v>3318</v>
      </c>
      <c r="AK1298" s="857">
        <v>45796</v>
      </c>
      <c r="AL1298" s="843" t="s">
        <v>4263</v>
      </c>
      <c r="AM1298" s="843" t="s">
        <v>4264</v>
      </c>
      <c r="AN1298" s="844" t="s">
        <v>4265</v>
      </c>
      <c r="AO1298" s="844" t="s">
        <v>141</v>
      </c>
      <c r="AP1298" s="841"/>
      <c r="AQ1298" s="841">
        <v>45821</v>
      </c>
      <c r="AR1298" s="841">
        <v>45865</v>
      </c>
      <c r="AS1298" s="842" t="s">
        <v>4266</v>
      </c>
      <c r="AT1298" s="842" t="s">
        <v>1235</v>
      </c>
      <c r="AU1298" s="842" t="s">
        <v>3794</v>
      </c>
      <c r="AV1298" s="845" t="s">
        <v>4445</v>
      </c>
      <c r="AW1298" s="861">
        <v>45867</v>
      </c>
      <c r="AX1298" s="862">
        <v>45873</v>
      </c>
      <c r="AY1298" s="843"/>
      <c r="AZ1298" s="842"/>
      <c r="BA1298" s="842" t="s">
        <v>120</v>
      </c>
      <c r="BB1298" s="863" t="s">
        <v>121</v>
      </c>
      <c r="BC1298" s="864">
        <v>45867</v>
      </c>
      <c r="BD1298" s="860" t="s">
        <v>4270</v>
      </c>
      <c r="BE1298" s="865" cm="1">
        <f t="array" ref="BE1298">IF(BD1298="","",AC1298/SUMPRODUCT(--(BD1298=$BD$4:$BD$12824),$AC$4:$AC$12824))</f>
        <v>5.0730100607594506E-3</v>
      </c>
      <c r="BF1298" s="458"/>
      <c r="BG1298" s="458"/>
      <c r="BH1298" s="458"/>
      <c r="BI1298" s="458"/>
      <c r="BJ1298" s="458"/>
      <c r="BK1298" s="458"/>
      <c r="BL1298" s="458"/>
      <c r="BM1298" s="458"/>
      <c r="BN1298" s="458"/>
      <c r="BO1298" s="866">
        <f>VLOOKUP(BD1298,$BD$4:$BN$12824,3,0)*BE1298</f>
        <v>181989.97460129426</v>
      </c>
      <c r="BP1298" s="866"/>
      <c r="BQ1298" s="866"/>
      <c r="BR1298" s="866">
        <f>VLOOKUP(BD1298,$BD$4:$BN$12824,6,0)*BE1298</f>
        <v>81343.851523357298</v>
      </c>
      <c r="BS1298" s="866">
        <f>VLOOKUP(BD1298,$BD$4:$BN$12824,7,0)*BE1298</f>
        <v>6853.3930876031018</v>
      </c>
      <c r="BT1298" s="866"/>
      <c r="BU1298" s="866">
        <f>VLOOKUP(BD1298,$BD$4:$BN$12824,9,0)*BE1298</f>
        <v>2739.4254328101033</v>
      </c>
      <c r="BV1298" s="867"/>
      <c r="BW1298" s="867">
        <f>VLOOKUP(BD1298,$BD$4:$BN$12824,11,0)*BE1298</f>
        <v>45337.678802268718</v>
      </c>
      <c r="BX1298" s="1146">
        <f t="shared" si="253"/>
        <v>318264.32344733347</v>
      </c>
      <c r="BY1298" s="867">
        <f t="shared" si="256"/>
        <v>716155.38884473336</v>
      </c>
      <c r="BZ1298" s="867">
        <f t="shared" si="254"/>
        <v>7161553.8884473331</v>
      </c>
      <c r="CA1298" s="867">
        <f>_xlfn.MAXIFS($BY$4:$BY$12824,$S$4:$S$12824,$S1298)</f>
        <v>716155.38884473336</v>
      </c>
      <c r="CB1298" s="1032"/>
      <c r="CF1298" s="946">
        <f t="shared" si="255"/>
        <v>6843289.5650000004</v>
      </c>
    </row>
    <row r="1299" spans="2:84">
      <c r="B1299" s="839" t="s">
        <v>98</v>
      </c>
      <c r="C1299" s="839" t="s">
        <v>2689</v>
      </c>
      <c r="D1299" s="839" t="s">
        <v>4271</v>
      </c>
      <c r="E1299" s="839" t="s">
        <v>4272</v>
      </c>
      <c r="F1299" s="841">
        <v>45675</v>
      </c>
      <c r="G1299" s="868" t="s">
        <v>2689</v>
      </c>
      <c r="H1299" s="842" t="s">
        <v>102</v>
      </c>
      <c r="I1299" s="883" t="s">
        <v>3724</v>
      </c>
      <c r="J1299" s="841">
        <v>45749</v>
      </c>
      <c r="K1299" s="841">
        <v>45754</v>
      </c>
      <c r="L1299" s="843" t="s">
        <v>106</v>
      </c>
      <c r="M1299" s="844" t="s">
        <v>107</v>
      </c>
      <c r="N1299" s="841"/>
      <c r="O1299" s="884" t="s">
        <v>135</v>
      </c>
      <c r="P1299" s="842" t="s">
        <v>4441</v>
      </c>
      <c r="Q1299" s="843"/>
      <c r="R1299" s="845">
        <v>20125302</v>
      </c>
      <c r="S1299" s="1127" t="s">
        <v>4454</v>
      </c>
      <c r="T1299" s="885" t="s">
        <v>4455</v>
      </c>
      <c r="U1299" s="886">
        <v>1</v>
      </c>
      <c r="V1299" s="842" t="s">
        <v>3</v>
      </c>
      <c r="W1299" s="846">
        <v>349</v>
      </c>
      <c r="X1299" s="847">
        <f t="shared" si="248"/>
        <v>349</v>
      </c>
      <c r="Y1299" s="848">
        <f t="shared" si="257"/>
        <v>0.5</v>
      </c>
      <c r="Z1299" s="849">
        <v>174.5</v>
      </c>
      <c r="AA1299" s="854"/>
      <c r="AB1299" s="849">
        <f t="shared" si="249"/>
        <v>174.5</v>
      </c>
      <c r="AC1299" s="850">
        <f t="shared" si="250"/>
        <v>174.5</v>
      </c>
      <c r="AD1299" s="887">
        <f t="shared" si="247"/>
        <v>32000</v>
      </c>
      <c r="AE1299" s="888">
        <v>30266.65</v>
      </c>
      <c r="AF1299" s="853">
        <v>0</v>
      </c>
      <c r="AG1299" s="854">
        <f t="shared" si="251"/>
        <v>0</v>
      </c>
      <c r="AH1299" s="853" t="s">
        <v>4262</v>
      </c>
      <c r="AI1299" s="855">
        <f t="shared" si="252"/>
        <v>422522.43400000001</v>
      </c>
      <c r="AJ1299" s="845" t="s">
        <v>3318</v>
      </c>
      <c r="AK1299" s="857">
        <v>45796</v>
      </c>
      <c r="AL1299" s="843" t="s">
        <v>4263</v>
      </c>
      <c r="AM1299" s="843" t="s">
        <v>4264</v>
      </c>
      <c r="AN1299" s="844" t="s">
        <v>4265</v>
      </c>
      <c r="AO1299" s="844" t="s">
        <v>141</v>
      </c>
      <c r="AP1299" s="841"/>
      <c r="AQ1299" s="841">
        <v>45821</v>
      </c>
      <c r="AR1299" s="841">
        <v>45865</v>
      </c>
      <c r="AS1299" s="842" t="s">
        <v>4266</v>
      </c>
      <c r="AT1299" s="842" t="s">
        <v>1235</v>
      </c>
      <c r="AU1299" s="842" t="s">
        <v>3794</v>
      </c>
      <c r="AV1299" s="845" t="s">
        <v>4445</v>
      </c>
      <c r="AW1299" s="861">
        <v>45867</v>
      </c>
      <c r="AX1299" s="862">
        <v>45873</v>
      </c>
      <c r="AY1299" s="843" t="s">
        <v>4456</v>
      </c>
      <c r="AZ1299" s="842" t="s">
        <v>3080</v>
      </c>
      <c r="BA1299" s="842" t="s">
        <v>120</v>
      </c>
      <c r="BB1299" s="863" t="s">
        <v>121</v>
      </c>
      <c r="BC1299" s="864">
        <v>45867</v>
      </c>
      <c r="BD1299" s="860" t="s">
        <v>4270</v>
      </c>
      <c r="BE1299" s="865" cm="1">
        <f t="array" ref="BE1299">IF(BD1299="","",AC1299/SUMPRODUCT(--(BD1299=$BD$4:$BD$12824),$AC$4:$AC$12824))</f>
        <v>3.9152598655573826E-3</v>
      </c>
      <c r="BF1299" s="458"/>
      <c r="BG1299" s="458"/>
      <c r="BH1299" s="458"/>
      <c r="BI1299" s="458"/>
      <c r="BJ1299" s="458"/>
      <c r="BK1299" s="458"/>
      <c r="BL1299" s="458"/>
      <c r="BM1299" s="458"/>
      <c r="BN1299" s="458"/>
      <c r="BO1299" s="866">
        <f>VLOOKUP(BD1299,$BD$4:$BN$12824,3,0)*BE1299</f>
        <v>140456.65885858404</v>
      </c>
      <c r="BP1299" s="866"/>
      <c r="BQ1299" s="866"/>
      <c r="BR1299" s="866">
        <f>VLOOKUP(BD1299,$BD$4:$BN$12824,6,0)*BE1299</f>
        <v>62779.752723687976</v>
      </c>
      <c r="BS1299" s="866">
        <f>VLOOKUP(BD1299,$BD$4:$BN$12824,7,0)*BE1299</f>
        <v>5289.3281458944775</v>
      </c>
      <c r="BT1299" s="866"/>
      <c r="BU1299" s="866">
        <f>VLOOKUP(BD1299,$BD$4:$BN$12824,9,0)*BE1299</f>
        <v>2114.2403274009866</v>
      </c>
      <c r="BV1299" s="867"/>
      <c r="BW1299" s="867">
        <f>VLOOKUP(BD1299,$BD$4:$BN$12824,11,0)*BE1299</f>
        <v>34990.82242811098</v>
      </c>
      <c r="BX1299" s="1146">
        <f t="shared" si="253"/>
        <v>245630.80248367848</v>
      </c>
      <c r="BY1299" s="867">
        <f t="shared" si="256"/>
        <v>5527161.2274836786</v>
      </c>
      <c r="BZ1299" s="867">
        <f t="shared" si="254"/>
        <v>5527161.2274836786</v>
      </c>
      <c r="CA1299" s="867">
        <f>_xlfn.MAXIFS($BY$4:$BY$12824,$S$4:$S$12824,$S1299)</f>
        <v>5527161.2274836786</v>
      </c>
      <c r="CB1299" s="1032"/>
      <c r="CF1299" s="946">
        <f t="shared" si="255"/>
        <v>5281530.4249999998</v>
      </c>
    </row>
    <row r="1300" spans="2:84">
      <c r="B1300" s="839" t="s">
        <v>98</v>
      </c>
      <c r="C1300" s="839" t="s">
        <v>273</v>
      </c>
      <c r="D1300" s="839" t="s">
        <v>4457</v>
      </c>
      <c r="E1300" s="839" t="s">
        <v>4458</v>
      </c>
      <c r="F1300" s="841">
        <v>45832</v>
      </c>
      <c r="G1300" s="868" t="s">
        <v>273</v>
      </c>
      <c r="H1300" s="842" t="s">
        <v>102</v>
      </c>
      <c r="I1300" s="883" t="s">
        <v>4459</v>
      </c>
      <c r="J1300" s="841">
        <v>45818</v>
      </c>
      <c r="K1300" s="841">
        <v>45915</v>
      </c>
      <c r="L1300" s="843" t="s">
        <v>106</v>
      </c>
      <c r="M1300" s="844" t="s">
        <v>275</v>
      </c>
      <c r="N1300" s="841"/>
      <c r="O1300" s="884" t="s">
        <v>150</v>
      </c>
      <c r="P1300" s="842" t="s">
        <v>276</v>
      </c>
      <c r="Q1300" s="843"/>
      <c r="R1300" s="845">
        <v>11208.22</v>
      </c>
      <c r="S1300" s="1127" t="s">
        <v>4460</v>
      </c>
      <c r="T1300" s="885" t="s">
        <v>4461</v>
      </c>
      <c r="U1300" s="886">
        <v>1</v>
      </c>
      <c r="V1300" s="842" t="s">
        <v>3</v>
      </c>
      <c r="W1300" s="846" t="s">
        <v>4462</v>
      </c>
      <c r="X1300" s="847">
        <f t="shared" si="248"/>
        <v>33.75</v>
      </c>
      <c r="Y1300" s="853">
        <v>0.5</v>
      </c>
      <c r="Z1300" s="849">
        <v>16.88</v>
      </c>
      <c r="AA1300" s="849"/>
      <c r="AB1300" s="849">
        <f t="shared" si="249"/>
        <v>16.88</v>
      </c>
      <c r="AC1300" s="850">
        <f t="shared" si="250"/>
        <v>16.88</v>
      </c>
      <c r="AD1300" s="851">
        <f t="shared" si="247"/>
        <v>32000</v>
      </c>
      <c r="AE1300" s="852">
        <v>30266.65</v>
      </c>
      <c r="AF1300" s="853">
        <v>0.1</v>
      </c>
      <c r="AG1300" s="854">
        <f t="shared" si="251"/>
        <v>60164.002359322949</v>
      </c>
      <c r="AH1300" s="853">
        <v>0.08</v>
      </c>
      <c r="AI1300" s="855">
        <f t="shared" si="252"/>
        <v>1561980.724348746</v>
      </c>
      <c r="AJ1300" s="845" t="s">
        <v>4463</v>
      </c>
      <c r="AK1300" s="857">
        <v>45863</v>
      </c>
      <c r="AL1300" s="843" t="s">
        <v>4464</v>
      </c>
      <c r="AM1300" s="843"/>
      <c r="AN1300" s="844"/>
      <c r="AO1300" s="844" t="s">
        <v>116</v>
      </c>
      <c r="AP1300" s="841"/>
      <c r="AQ1300" s="841">
        <v>45867</v>
      </c>
      <c r="AR1300" s="841">
        <v>45870</v>
      </c>
      <c r="AS1300" s="842" t="s">
        <v>4465</v>
      </c>
      <c r="AT1300" s="842" t="s">
        <v>4466</v>
      </c>
      <c r="AU1300" s="842" t="s">
        <v>1565</v>
      </c>
      <c r="AV1300" s="845" t="s">
        <v>4467</v>
      </c>
      <c r="AW1300" s="861">
        <v>45871</v>
      </c>
      <c r="AX1300" s="862">
        <v>45872</v>
      </c>
      <c r="AY1300" s="843"/>
      <c r="AZ1300" s="842"/>
      <c r="BA1300" s="842" t="s">
        <v>120</v>
      </c>
      <c r="BB1300" s="863" t="s">
        <v>121</v>
      </c>
      <c r="BC1300" s="864">
        <v>45873</v>
      </c>
      <c r="BD1300" s="860" t="s">
        <v>4468</v>
      </c>
      <c r="BE1300" s="865" cm="1">
        <f t="array" ref="BE1300">IF(BD1300="","",AC1300/SUMPRODUCT(--(BD1300=$BD$4:$BD$12824),$AC$4:$AC$12824))</f>
        <v>4.7874030040386617E-3</v>
      </c>
      <c r="BF1300" s="458" cm="1">
        <f t="array" ref="BF1300">SUM(_xlfn._xlws.FILTER( INDEX(Cost!$B$3:$BK$77,MATCH(LDL!$BD1300, Cost!$F$3:$F$77, 0),0),Cost!$B$3:$BK$3 = BF$3))</f>
        <v>18953694</v>
      </c>
      <c r="BG1300" s="458"/>
      <c r="BH1300" s="458"/>
      <c r="BI1300" s="458" cm="1">
        <f t="array" ref="BI1300">SUM(_xlfn._xlws.FILTER( INDEX(Cost!$B$3:$BK$77,MATCH(LDL!$BD1300, Cost!$F$3:$F$77, 0),0),Cost!$B$3:$BK$3 = BI$3))/1.08</f>
        <v>789850</v>
      </c>
      <c r="BJ1300" s="458" cm="1">
        <f t="array" ref="BJ1300">SUM(_xlfn._xlws.FILTER( INDEX(Cost!$B$3:$BK$77,MATCH(LDL!$BD1300, Cost!$F$3:$F$77, 0),0),Cost!$B$3:$BK$3 = BJ$3))</f>
        <v>0</v>
      </c>
      <c r="BK1300" s="458"/>
      <c r="BL1300" s="458" cm="1">
        <f t="array" ref="BL1300">SUM(_xlfn._xlws.FILTER( INDEX(Cost!$B$3:$BK$77,MATCH(LDL!$BD1300, Cost!$F$3:$F$77, 0),0),Cost!$B$3:$BK$3 = BL$3))</f>
        <v>20000</v>
      </c>
      <c r="BM1300" s="458"/>
      <c r="BN1300" s="458" cm="1">
        <f t="array" ref="BN1300">SUM(_xlfn._xlws.FILTER( INDEX(Cost!$B$3:$BK$77,MATCH(LDL!$BD1300, Cost!$F$3:$F$77, 0),0),Cost!$B$3:$BK$3 = BN$3))/1.08</f>
        <v>0</v>
      </c>
      <c r="BO1300" s="866">
        <f>VLOOKUP(BD1300,$BD$4:$BN$12824,3,0)*BE1300</f>
        <v>90738.971593229566</v>
      </c>
      <c r="BP1300" s="866"/>
      <c r="BQ1300" s="866"/>
      <c r="BR1300" s="866">
        <f>VLOOKUP(BD1300,$BD$4:$BN$12824,6,0)*BE1300</f>
        <v>3781.3302627399371</v>
      </c>
      <c r="BS1300" s="866">
        <f>VLOOKUP(BD1300,$BD$4:$BN$12824,7,0)*BE1300</f>
        <v>0</v>
      </c>
      <c r="BT1300" s="866"/>
      <c r="BU1300" s="866">
        <f>VLOOKUP(BD1300,$BD$4:$BN$12824,9,0)*BE1300</f>
        <v>95.748060080773229</v>
      </c>
      <c r="BV1300" s="867"/>
      <c r="BW1300" s="867">
        <f>VLOOKUP(BD1300,$BD$4:$BN$12824,11,0)*BE1300</f>
        <v>0</v>
      </c>
      <c r="BX1300" s="1146">
        <f t="shared" si="253"/>
        <v>94616.04991605028</v>
      </c>
      <c r="BY1300" s="867">
        <f t="shared" si="256"/>
        <v>665681.10427537316</v>
      </c>
      <c r="BZ1300" s="867">
        <f t="shared" si="254"/>
        <v>665681.10427537316</v>
      </c>
      <c r="CA1300" s="867">
        <f>_xlfn.MAXIFS($BY$4:$BY$12824,$S$4:$S$12824,$S1300)</f>
        <v>665681.10427537316</v>
      </c>
      <c r="CB1300" s="1032"/>
      <c r="CF1300" s="946">
        <f t="shared" si="255"/>
        <v>510901.05199999997</v>
      </c>
    </row>
    <row r="1301" spans="2:84">
      <c r="B1301" s="839" t="s">
        <v>98</v>
      </c>
      <c r="C1301" s="839" t="s">
        <v>273</v>
      </c>
      <c r="D1301" s="839" t="s">
        <v>4457</v>
      </c>
      <c r="E1301" s="839" t="s">
        <v>4458</v>
      </c>
      <c r="F1301" s="841">
        <v>45832</v>
      </c>
      <c r="G1301" s="868" t="s">
        <v>273</v>
      </c>
      <c r="H1301" s="842" t="s">
        <v>102</v>
      </c>
      <c r="I1301" s="883" t="s">
        <v>4459</v>
      </c>
      <c r="J1301" s="841">
        <v>45818</v>
      </c>
      <c r="K1301" s="841">
        <v>45915</v>
      </c>
      <c r="L1301" s="843" t="s">
        <v>106</v>
      </c>
      <c r="M1301" s="844" t="s">
        <v>275</v>
      </c>
      <c r="N1301" s="841"/>
      <c r="O1301" s="884" t="s">
        <v>150</v>
      </c>
      <c r="P1301" s="842" t="s">
        <v>276</v>
      </c>
      <c r="Q1301" s="843"/>
      <c r="R1301" s="845">
        <v>11208.31</v>
      </c>
      <c r="S1301" s="1127" t="s">
        <v>4469</v>
      </c>
      <c r="T1301" s="885" t="s">
        <v>4470</v>
      </c>
      <c r="U1301" s="886">
        <v>1</v>
      </c>
      <c r="V1301" s="842" t="s">
        <v>3</v>
      </c>
      <c r="W1301" s="846" t="s">
        <v>4462</v>
      </c>
      <c r="X1301" s="847">
        <f t="shared" si="248"/>
        <v>33.75</v>
      </c>
      <c r="Y1301" s="853">
        <v>0.5</v>
      </c>
      <c r="Z1301" s="849">
        <v>16.88</v>
      </c>
      <c r="AA1301" s="849"/>
      <c r="AB1301" s="849">
        <f t="shared" si="249"/>
        <v>16.88</v>
      </c>
      <c r="AC1301" s="850">
        <f t="shared" si="250"/>
        <v>16.88</v>
      </c>
      <c r="AD1301" s="851">
        <f t="shared" si="247"/>
        <v>32000</v>
      </c>
      <c r="AE1301" s="852">
        <v>30266.65</v>
      </c>
      <c r="AF1301" s="853">
        <v>0.1</v>
      </c>
      <c r="AG1301" s="854">
        <f t="shared" si="251"/>
        <v>60164.002359322949</v>
      </c>
      <c r="AH1301" s="853">
        <v>0.08</v>
      </c>
      <c r="AI1301" s="855">
        <f t="shared" si="252"/>
        <v>45685.204348745829</v>
      </c>
      <c r="AJ1301" s="845" t="s">
        <v>4463</v>
      </c>
      <c r="AK1301" s="857">
        <v>45863</v>
      </c>
      <c r="AL1301" s="843" t="s">
        <v>4464</v>
      </c>
      <c r="AM1301" s="843"/>
      <c r="AN1301" s="844"/>
      <c r="AO1301" s="844" t="s">
        <v>116</v>
      </c>
      <c r="AP1301" s="841"/>
      <c r="AQ1301" s="841">
        <v>45867</v>
      </c>
      <c r="AR1301" s="841">
        <v>45870</v>
      </c>
      <c r="AS1301" s="842" t="s">
        <v>4465</v>
      </c>
      <c r="AT1301" s="842" t="s">
        <v>4466</v>
      </c>
      <c r="AU1301" s="842" t="s">
        <v>1565</v>
      </c>
      <c r="AV1301" s="845" t="s">
        <v>4467</v>
      </c>
      <c r="AW1301" s="861">
        <v>45871</v>
      </c>
      <c r="AX1301" s="862">
        <v>45872</v>
      </c>
      <c r="AY1301" s="843"/>
      <c r="AZ1301" s="842"/>
      <c r="BA1301" s="842" t="s">
        <v>120</v>
      </c>
      <c r="BB1301" s="863" t="s">
        <v>121</v>
      </c>
      <c r="BC1301" s="864">
        <v>45873</v>
      </c>
      <c r="BD1301" s="860" t="s">
        <v>4468</v>
      </c>
      <c r="BE1301" s="865" cm="1">
        <f t="array" ref="BE1301">IF(BD1301="","",AC1301/SUMPRODUCT(--(BD1301=$BD$4:$BD$12824),$AC$4:$AC$12824))</f>
        <v>4.7874030040386617E-3</v>
      </c>
      <c r="BF1301" s="458"/>
      <c r="BG1301" s="458"/>
      <c r="BH1301" s="458"/>
      <c r="BI1301" s="458"/>
      <c r="BJ1301" s="458"/>
      <c r="BK1301" s="458"/>
      <c r="BL1301" s="458"/>
      <c r="BM1301" s="458"/>
      <c r="BN1301" s="458"/>
      <c r="BO1301" s="866">
        <f>VLOOKUP(BD1301,$BD$4:$BN$12824,3,0)*BE1301</f>
        <v>90738.971593229566</v>
      </c>
      <c r="BP1301" s="866"/>
      <c r="BQ1301" s="866"/>
      <c r="BR1301" s="866">
        <f>VLOOKUP(BD1301,$BD$4:$BN$12824,6,0)*BE1301</f>
        <v>3781.3302627399371</v>
      </c>
      <c r="BS1301" s="866">
        <f>VLOOKUP(BD1301,$BD$4:$BN$12824,7,0)*BE1301</f>
        <v>0</v>
      </c>
      <c r="BT1301" s="866"/>
      <c r="BU1301" s="866">
        <f>VLOOKUP(BD1301,$BD$4:$BN$12824,9,0)*BE1301</f>
        <v>95.748060080773229</v>
      </c>
      <c r="BV1301" s="867"/>
      <c r="BW1301" s="867">
        <f>VLOOKUP(BD1301,$BD$4:$BN$12824,11,0)*BE1301</f>
        <v>0</v>
      </c>
      <c r="BX1301" s="1146">
        <f t="shared" si="253"/>
        <v>94616.04991605028</v>
      </c>
      <c r="BY1301" s="867">
        <f t="shared" si="256"/>
        <v>665681.10427537316</v>
      </c>
      <c r="BZ1301" s="867">
        <f t="shared" si="254"/>
        <v>665681.10427537316</v>
      </c>
      <c r="CA1301" s="867">
        <f>_xlfn.MAXIFS($BY$4:$BY$12824,$S$4:$S$12824,$S1301)</f>
        <v>665681.10427537316</v>
      </c>
      <c r="CB1301" s="1032"/>
      <c r="CF1301" s="946">
        <f t="shared" si="255"/>
        <v>510901.05199999997</v>
      </c>
    </row>
    <row r="1302" spans="2:84">
      <c r="B1302" s="839" t="s">
        <v>98</v>
      </c>
      <c r="C1302" s="839" t="s">
        <v>273</v>
      </c>
      <c r="D1302" s="839" t="s">
        <v>4457</v>
      </c>
      <c r="E1302" s="839" t="s">
        <v>4458</v>
      </c>
      <c r="F1302" s="841">
        <v>45832</v>
      </c>
      <c r="G1302" s="868" t="s">
        <v>273</v>
      </c>
      <c r="H1302" s="842" t="s">
        <v>102</v>
      </c>
      <c r="I1302" s="883" t="s">
        <v>4459</v>
      </c>
      <c r="J1302" s="841">
        <v>45818</v>
      </c>
      <c r="K1302" s="841">
        <v>45915</v>
      </c>
      <c r="L1302" s="843" t="s">
        <v>106</v>
      </c>
      <c r="M1302" s="844" t="s">
        <v>275</v>
      </c>
      <c r="N1302" s="841"/>
      <c r="O1302" s="884" t="s">
        <v>150</v>
      </c>
      <c r="P1302" s="842" t="s">
        <v>276</v>
      </c>
      <c r="Q1302" s="843"/>
      <c r="R1302" s="845">
        <v>13518.31</v>
      </c>
      <c r="S1302" s="1127" t="s">
        <v>4471</v>
      </c>
      <c r="T1302" s="885" t="s">
        <v>4472</v>
      </c>
      <c r="U1302" s="886">
        <v>1</v>
      </c>
      <c r="V1302" s="842" t="s">
        <v>3</v>
      </c>
      <c r="W1302" s="846" t="s">
        <v>4473</v>
      </c>
      <c r="X1302" s="847">
        <f t="shared" si="248"/>
        <v>52.84</v>
      </c>
      <c r="Y1302" s="853">
        <v>0.5</v>
      </c>
      <c r="Z1302" s="849">
        <v>27.490000000000002</v>
      </c>
      <c r="AA1302" s="849"/>
      <c r="AB1302" s="849">
        <f t="shared" si="249"/>
        <v>27.490000000000002</v>
      </c>
      <c r="AC1302" s="850">
        <f t="shared" si="250"/>
        <v>27.490000000000002</v>
      </c>
      <c r="AD1302" s="851">
        <f t="shared" si="247"/>
        <v>32000</v>
      </c>
      <c r="AE1302" s="852">
        <v>30266.65</v>
      </c>
      <c r="AF1302" s="853">
        <v>0.1</v>
      </c>
      <c r="AG1302" s="854">
        <f t="shared" si="251"/>
        <v>97980.356922854757</v>
      </c>
      <c r="AH1302" s="853">
        <v>0.08</v>
      </c>
      <c r="AI1302" s="855">
        <f t="shared" si="252"/>
        <v>74400.845233828397</v>
      </c>
      <c r="AJ1302" s="845" t="s">
        <v>4463</v>
      </c>
      <c r="AK1302" s="857">
        <v>45863</v>
      </c>
      <c r="AL1302" s="843" t="s">
        <v>4464</v>
      </c>
      <c r="AM1302" s="843"/>
      <c r="AN1302" s="844"/>
      <c r="AO1302" s="844" t="s">
        <v>116</v>
      </c>
      <c r="AP1302" s="841"/>
      <c r="AQ1302" s="841">
        <v>45867</v>
      </c>
      <c r="AR1302" s="841">
        <v>45870</v>
      </c>
      <c r="AS1302" s="842" t="s">
        <v>4465</v>
      </c>
      <c r="AT1302" s="842" t="s">
        <v>4466</v>
      </c>
      <c r="AU1302" s="842" t="s">
        <v>1565</v>
      </c>
      <c r="AV1302" s="845" t="s">
        <v>4467</v>
      </c>
      <c r="AW1302" s="861">
        <v>45871</v>
      </c>
      <c r="AX1302" s="862">
        <v>45872</v>
      </c>
      <c r="AY1302" s="843"/>
      <c r="AZ1302" s="842"/>
      <c r="BA1302" s="842" t="s">
        <v>120</v>
      </c>
      <c r="BB1302" s="863" t="s">
        <v>121</v>
      </c>
      <c r="BC1302" s="864">
        <v>45873</v>
      </c>
      <c r="BD1302" s="860" t="s">
        <v>4468</v>
      </c>
      <c r="BE1302" s="865" cm="1">
        <f t="array" ref="BE1302">IF(BD1302="","",AC1302/SUMPRODUCT(--(BD1302=$BD$4:$BD$12824),$AC$4:$AC$12824))</f>
        <v>7.7965467168852392E-3</v>
      </c>
      <c r="BF1302" s="458"/>
      <c r="BG1302" s="458"/>
      <c r="BH1302" s="458"/>
      <c r="BI1302" s="458"/>
      <c r="BJ1302" s="458"/>
      <c r="BK1302" s="458"/>
      <c r="BL1302" s="458"/>
      <c r="BM1302" s="458"/>
      <c r="BN1302" s="458"/>
      <c r="BO1302" s="866">
        <f>VLOOKUP(BD1302,$BD$4:$BN$12824,3,0)*BE1302</f>
        <v>147773.36072854747</v>
      </c>
      <c r="BP1302" s="866"/>
      <c r="BQ1302" s="866"/>
      <c r="BR1302" s="866">
        <f>VLOOKUP(BD1302,$BD$4:$BN$12824,6,0)*BE1302</f>
        <v>6158.1024243318061</v>
      </c>
      <c r="BS1302" s="866">
        <f>VLOOKUP(BD1302,$BD$4:$BN$12824,7,0)*BE1302</f>
        <v>0</v>
      </c>
      <c r="BT1302" s="866"/>
      <c r="BU1302" s="866">
        <f>VLOOKUP(BD1302,$BD$4:$BN$12824,9,0)*BE1302</f>
        <v>155.9309343377048</v>
      </c>
      <c r="BV1302" s="867"/>
      <c r="BW1302" s="867">
        <f>VLOOKUP(BD1302,$BD$4:$BN$12824,11,0)*BE1302</f>
        <v>0</v>
      </c>
      <c r="BX1302" s="1146">
        <f t="shared" si="253"/>
        <v>154087.39408721696</v>
      </c>
      <c r="BY1302" s="867">
        <f t="shared" si="256"/>
        <v>1084097.9595100719</v>
      </c>
      <c r="BZ1302" s="867">
        <f t="shared" si="254"/>
        <v>1084097.9595100719</v>
      </c>
      <c r="CA1302" s="867">
        <f>_xlfn.MAXIFS($BY$4:$BY$12824,$S$4:$S$12824,$S1302)</f>
        <v>1084097.9595100719</v>
      </c>
      <c r="CB1302" s="1032"/>
      <c r="CF1302" s="946">
        <f t="shared" si="255"/>
        <v>832030.20850000007</v>
      </c>
    </row>
    <row r="1303" spans="2:84">
      <c r="B1303" s="839" t="s">
        <v>98</v>
      </c>
      <c r="C1303" s="839" t="s">
        <v>273</v>
      </c>
      <c r="D1303" s="839" t="s">
        <v>4457</v>
      </c>
      <c r="E1303" s="839" t="s">
        <v>4458</v>
      </c>
      <c r="F1303" s="841">
        <v>45832</v>
      </c>
      <c r="G1303" s="868" t="s">
        <v>273</v>
      </c>
      <c r="H1303" s="842" t="s">
        <v>102</v>
      </c>
      <c r="I1303" s="883" t="s">
        <v>4459</v>
      </c>
      <c r="J1303" s="841">
        <v>45818</v>
      </c>
      <c r="K1303" s="841">
        <v>45915</v>
      </c>
      <c r="L1303" s="843" t="s">
        <v>106</v>
      </c>
      <c r="M1303" s="844" t="s">
        <v>275</v>
      </c>
      <c r="N1303" s="841"/>
      <c r="O1303" s="884" t="s">
        <v>150</v>
      </c>
      <c r="P1303" s="842" t="s">
        <v>276</v>
      </c>
      <c r="Q1303" s="843"/>
      <c r="R1303" s="845">
        <v>13607.31</v>
      </c>
      <c r="S1303" s="1127" t="s">
        <v>4474</v>
      </c>
      <c r="T1303" s="885" t="s">
        <v>4475</v>
      </c>
      <c r="U1303" s="886">
        <v>1</v>
      </c>
      <c r="V1303" s="842" t="s">
        <v>3</v>
      </c>
      <c r="W1303" s="846" t="s">
        <v>4462</v>
      </c>
      <c r="X1303" s="847">
        <f t="shared" si="248"/>
        <v>33.75</v>
      </c>
      <c r="Y1303" s="853">
        <v>0.5</v>
      </c>
      <c r="Z1303" s="849">
        <v>16.88</v>
      </c>
      <c r="AA1303" s="849"/>
      <c r="AB1303" s="849">
        <f t="shared" si="249"/>
        <v>16.88</v>
      </c>
      <c r="AC1303" s="850">
        <f t="shared" si="250"/>
        <v>16.88</v>
      </c>
      <c r="AD1303" s="851">
        <f t="shared" si="247"/>
        <v>32000</v>
      </c>
      <c r="AE1303" s="852">
        <v>30266.65</v>
      </c>
      <c r="AF1303" s="853">
        <v>0.1</v>
      </c>
      <c r="AG1303" s="854">
        <f t="shared" si="251"/>
        <v>60164.002359322949</v>
      </c>
      <c r="AH1303" s="853">
        <v>0.08</v>
      </c>
      <c r="AI1303" s="855">
        <f t="shared" si="252"/>
        <v>45685.204348745829</v>
      </c>
      <c r="AJ1303" s="845" t="s">
        <v>4463</v>
      </c>
      <c r="AK1303" s="857">
        <v>45863</v>
      </c>
      <c r="AL1303" s="843" t="s">
        <v>4464</v>
      </c>
      <c r="AM1303" s="843"/>
      <c r="AN1303" s="844"/>
      <c r="AO1303" s="844" t="s">
        <v>116</v>
      </c>
      <c r="AP1303" s="841"/>
      <c r="AQ1303" s="841">
        <v>45867</v>
      </c>
      <c r="AR1303" s="841">
        <v>45870</v>
      </c>
      <c r="AS1303" s="842" t="s">
        <v>4465</v>
      </c>
      <c r="AT1303" s="842" t="s">
        <v>4466</v>
      </c>
      <c r="AU1303" s="842" t="s">
        <v>1565</v>
      </c>
      <c r="AV1303" s="845" t="s">
        <v>4467</v>
      </c>
      <c r="AW1303" s="861">
        <v>45871</v>
      </c>
      <c r="AX1303" s="862">
        <v>45872</v>
      </c>
      <c r="AY1303" s="843"/>
      <c r="AZ1303" s="842"/>
      <c r="BA1303" s="842" t="s">
        <v>120</v>
      </c>
      <c r="BB1303" s="863" t="s">
        <v>121</v>
      </c>
      <c r="BC1303" s="864">
        <v>45873</v>
      </c>
      <c r="BD1303" s="860" t="s">
        <v>4468</v>
      </c>
      <c r="BE1303" s="865" cm="1">
        <f t="array" ref="BE1303">IF(BD1303="","",AC1303/SUMPRODUCT(--(BD1303=$BD$4:$BD$12824),$AC$4:$AC$12824))</f>
        <v>4.7874030040386617E-3</v>
      </c>
      <c r="BF1303" s="458"/>
      <c r="BG1303" s="458"/>
      <c r="BH1303" s="458"/>
      <c r="BI1303" s="458"/>
      <c r="BJ1303" s="458"/>
      <c r="BK1303" s="458"/>
      <c r="BL1303" s="458"/>
      <c r="BM1303" s="458"/>
      <c r="BN1303" s="458"/>
      <c r="BO1303" s="866">
        <f>VLOOKUP(BD1303,$BD$4:$BN$12824,3,0)*BE1303</f>
        <v>90738.971593229566</v>
      </c>
      <c r="BP1303" s="866"/>
      <c r="BQ1303" s="866"/>
      <c r="BR1303" s="866">
        <f>VLOOKUP(BD1303,$BD$4:$BN$12824,6,0)*BE1303</f>
        <v>3781.3302627399371</v>
      </c>
      <c r="BS1303" s="866">
        <f>VLOOKUP(BD1303,$BD$4:$BN$12824,7,0)*BE1303</f>
        <v>0</v>
      </c>
      <c r="BT1303" s="866"/>
      <c r="BU1303" s="866">
        <f>VLOOKUP(BD1303,$BD$4:$BN$12824,9,0)*BE1303</f>
        <v>95.748060080773229</v>
      </c>
      <c r="BV1303" s="867"/>
      <c r="BW1303" s="867">
        <f>VLOOKUP(BD1303,$BD$4:$BN$12824,11,0)*BE1303</f>
        <v>0</v>
      </c>
      <c r="BX1303" s="1146">
        <f t="shared" si="253"/>
        <v>94616.04991605028</v>
      </c>
      <c r="BY1303" s="867">
        <f t="shared" si="256"/>
        <v>665681.10427537316</v>
      </c>
      <c r="BZ1303" s="867">
        <f t="shared" si="254"/>
        <v>665681.10427537316</v>
      </c>
      <c r="CA1303" s="867">
        <f>_xlfn.MAXIFS($BY$4:$BY$12824,$S$4:$S$12824,$S1303)</f>
        <v>665681.10427537316</v>
      </c>
      <c r="CB1303" s="1032"/>
      <c r="CF1303" s="946">
        <f t="shared" si="255"/>
        <v>510901.05199999997</v>
      </c>
    </row>
    <row r="1304" spans="2:84">
      <c r="B1304" s="839" t="s">
        <v>98</v>
      </c>
      <c r="C1304" s="839" t="s">
        <v>273</v>
      </c>
      <c r="D1304" s="839" t="s">
        <v>4457</v>
      </c>
      <c r="E1304" s="839" t="s">
        <v>4458</v>
      </c>
      <c r="F1304" s="841">
        <v>45832</v>
      </c>
      <c r="G1304" s="868" t="s">
        <v>273</v>
      </c>
      <c r="H1304" s="842" t="s">
        <v>102</v>
      </c>
      <c r="I1304" s="883" t="s">
        <v>4459</v>
      </c>
      <c r="J1304" s="841">
        <v>45818</v>
      </c>
      <c r="K1304" s="841">
        <v>45915</v>
      </c>
      <c r="L1304" s="843" t="s">
        <v>106</v>
      </c>
      <c r="M1304" s="844" t="s">
        <v>275</v>
      </c>
      <c r="N1304" s="841"/>
      <c r="O1304" s="884" t="s">
        <v>150</v>
      </c>
      <c r="P1304" s="842" t="s">
        <v>276</v>
      </c>
      <c r="Q1304" s="843"/>
      <c r="R1304" s="845">
        <v>14108.31</v>
      </c>
      <c r="S1304" s="1127" t="s">
        <v>4476</v>
      </c>
      <c r="T1304" s="885" t="s">
        <v>4477</v>
      </c>
      <c r="U1304" s="886">
        <v>1</v>
      </c>
      <c r="V1304" s="842" t="s">
        <v>3</v>
      </c>
      <c r="W1304" s="846" t="s">
        <v>4478</v>
      </c>
      <c r="X1304" s="847">
        <f t="shared" si="248"/>
        <v>4.96</v>
      </c>
      <c r="Y1304" s="853">
        <v>0.5</v>
      </c>
      <c r="Z1304" s="849">
        <v>2.48</v>
      </c>
      <c r="AA1304" s="849"/>
      <c r="AB1304" s="849">
        <f t="shared" si="249"/>
        <v>2.48</v>
      </c>
      <c r="AC1304" s="850">
        <f t="shared" si="250"/>
        <v>2.48</v>
      </c>
      <c r="AD1304" s="851">
        <f t="shared" si="247"/>
        <v>32000</v>
      </c>
      <c r="AE1304" s="852">
        <v>30266.65</v>
      </c>
      <c r="AF1304" s="853">
        <v>0.1</v>
      </c>
      <c r="AG1304" s="854">
        <f t="shared" si="251"/>
        <v>8839.2610101374958</v>
      </c>
      <c r="AH1304" s="853">
        <v>0.08</v>
      </c>
      <c r="AI1304" s="855">
        <f t="shared" si="252"/>
        <v>6712.0442408109993</v>
      </c>
      <c r="AJ1304" s="845" t="s">
        <v>4463</v>
      </c>
      <c r="AK1304" s="857">
        <v>45863</v>
      </c>
      <c r="AL1304" s="843" t="s">
        <v>4464</v>
      </c>
      <c r="AM1304" s="843"/>
      <c r="AN1304" s="844"/>
      <c r="AO1304" s="844" t="s">
        <v>116</v>
      </c>
      <c r="AP1304" s="841"/>
      <c r="AQ1304" s="841">
        <v>45867</v>
      </c>
      <c r="AR1304" s="841">
        <v>45870</v>
      </c>
      <c r="AS1304" s="842" t="s">
        <v>4465</v>
      </c>
      <c r="AT1304" s="842" t="s">
        <v>4466</v>
      </c>
      <c r="AU1304" s="842" t="s">
        <v>1565</v>
      </c>
      <c r="AV1304" s="845" t="s">
        <v>4467</v>
      </c>
      <c r="AW1304" s="861">
        <v>45871</v>
      </c>
      <c r="AX1304" s="862">
        <v>45872</v>
      </c>
      <c r="AY1304" s="843"/>
      <c r="AZ1304" s="842"/>
      <c r="BA1304" s="842" t="s">
        <v>120</v>
      </c>
      <c r="BB1304" s="863" t="s">
        <v>121</v>
      </c>
      <c r="BC1304" s="864">
        <v>45873</v>
      </c>
      <c r="BD1304" s="860" t="s">
        <v>4468</v>
      </c>
      <c r="BE1304" s="865" cm="1">
        <f t="array" ref="BE1304">IF(BD1304="","",AC1304/SUMPRODUCT(--(BD1304=$BD$4:$BD$12824),$AC$4:$AC$12824))</f>
        <v>7.033625266597087E-4</v>
      </c>
      <c r="BF1304" s="458"/>
      <c r="BG1304" s="458"/>
      <c r="BH1304" s="458"/>
      <c r="BI1304" s="458"/>
      <c r="BJ1304" s="458"/>
      <c r="BK1304" s="458"/>
      <c r="BL1304" s="458"/>
      <c r="BM1304" s="458"/>
      <c r="BN1304" s="458"/>
      <c r="BO1304" s="866">
        <f>VLOOKUP(BD1304,$BD$4:$BN$12824,3,0)*BE1304</f>
        <v>13331.318101374962</v>
      </c>
      <c r="BP1304" s="866"/>
      <c r="BQ1304" s="866"/>
      <c r="BR1304" s="866">
        <f>VLOOKUP(BD1304,$BD$4:$BN$12824,6,0)*BE1304</f>
        <v>555.55089168217091</v>
      </c>
      <c r="BS1304" s="866">
        <f>VLOOKUP(BD1304,$BD$4:$BN$12824,7,0)*BE1304</f>
        <v>0</v>
      </c>
      <c r="BT1304" s="866"/>
      <c r="BU1304" s="866">
        <f>VLOOKUP(BD1304,$BD$4:$BN$12824,9,0)*BE1304</f>
        <v>14.067250533194175</v>
      </c>
      <c r="BV1304" s="867"/>
      <c r="BW1304" s="867">
        <f>VLOOKUP(BD1304,$BD$4:$BN$12824,11,0)*BE1304</f>
        <v>0</v>
      </c>
      <c r="BX1304" s="1146">
        <f t="shared" si="253"/>
        <v>13900.936243590328</v>
      </c>
      <c r="BY1304" s="867">
        <f t="shared" si="256"/>
        <v>97801.489253727821</v>
      </c>
      <c r="BZ1304" s="867">
        <f t="shared" si="254"/>
        <v>97801.489253727821</v>
      </c>
      <c r="CA1304" s="867">
        <f>_xlfn.MAXIFS($BY$4:$BY$12824,$S$4:$S$12824,$S1304)</f>
        <v>97801.489253727821</v>
      </c>
      <c r="CB1304" s="1032"/>
      <c r="CF1304" s="946">
        <f t="shared" si="255"/>
        <v>75061.292000000001</v>
      </c>
    </row>
    <row r="1305" spans="2:84">
      <c r="B1305" s="839" t="s">
        <v>98</v>
      </c>
      <c r="C1305" s="839" t="s">
        <v>273</v>
      </c>
      <c r="D1305" s="839" t="s">
        <v>4457</v>
      </c>
      <c r="E1305" s="839" t="s">
        <v>4458</v>
      </c>
      <c r="F1305" s="841">
        <v>45832</v>
      </c>
      <c r="G1305" s="868" t="s">
        <v>273</v>
      </c>
      <c r="H1305" s="842" t="s">
        <v>102</v>
      </c>
      <c r="I1305" s="883" t="s">
        <v>4459</v>
      </c>
      <c r="J1305" s="841">
        <v>45818</v>
      </c>
      <c r="K1305" s="841">
        <v>45915</v>
      </c>
      <c r="L1305" s="843" t="s">
        <v>106</v>
      </c>
      <c r="M1305" s="844" t="s">
        <v>275</v>
      </c>
      <c r="N1305" s="841"/>
      <c r="O1305" s="884" t="s">
        <v>150</v>
      </c>
      <c r="P1305" s="842" t="s">
        <v>276</v>
      </c>
      <c r="Q1305" s="843"/>
      <c r="R1305" s="845">
        <v>14109.31</v>
      </c>
      <c r="S1305" s="1127" t="s">
        <v>4479</v>
      </c>
      <c r="T1305" s="885" t="s">
        <v>4480</v>
      </c>
      <c r="U1305" s="886">
        <v>1</v>
      </c>
      <c r="V1305" s="842" t="s">
        <v>3</v>
      </c>
      <c r="W1305" s="846" t="s">
        <v>4478</v>
      </c>
      <c r="X1305" s="847">
        <f t="shared" si="248"/>
        <v>4.96</v>
      </c>
      <c r="Y1305" s="853">
        <v>0.5</v>
      </c>
      <c r="Z1305" s="849">
        <v>2.48</v>
      </c>
      <c r="AA1305" s="849"/>
      <c r="AB1305" s="849">
        <f t="shared" si="249"/>
        <v>2.48</v>
      </c>
      <c r="AC1305" s="850">
        <f t="shared" si="250"/>
        <v>2.48</v>
      </c>
      <c r="AD1305" s="851">
        <f t="shared" si="247"/>
        <v>32000</v>
      </c>
      <c r="AE1305" s="852">
        <v>30266.65</v>
      </c>
      <c r="AF1305" s="853">
        <v>0.1</v>
      </c>
      <c r="AG1305" s="854">
        <f t="shared" si="251"/>
        <v>8839.2610101374958</v>
      </c>
      <c r="AH1305" s="853">
        <v>0.08</v>
      </c>
      <c r="AI1305" s="855">
        <f t="shared" si="252"/>
        <v>6712.0442408109993</v>
      </c>
      <c r="AJ1305" s="845" t="s">
        <v>4463</v>
      </c>
      <c r="AK1305" s="857">
        <v>45863</v>
      </c>
      <c r="AL1305" s="843" t="s">
        <v>4464</v>
      </c>
      <c r="AM1305" s="843"/>
      <c r="AN1305" s="844"/>
      <c r="AO1305" s="844" t="s">
        <v>116</v>
      </c>
      <c r="AP1305" s="841"/>
      <c r="AQ1305" s="841">
        <v>45867</v>
      </c>
      <c r="AR1305" s="841">
        <v>45870</v>
      </c>
      <c r="AS1305" s="842" t="s">
        <v>4465</v>
      </c>
      <c r="AT1305" s="842" t="s">
        <v>4466</v>
      </c>
      <c r="AU1305" s="842" t="s">
        <v>1565</v>
      </c>
      <c r="AV1305" s="845" t="s">
        <v>4467</v>
      </c>
      <c r="AW1305" s="861">
        <v>45871</v>
      </c>
      <c r="AX1305" s="862">
        <v>45872</v>
      </c>
      <c r="AY1305" s="843"/>
      <c r="AZ1305" s="842"/>
      <c r="BA1305" s="842" t="s">
        <v>120</v>
      </c>
      <c r="BB1305" s="863" t="s">
        <v>121</v>
      </c>
      <c r="BC1305" s="864">
        <v>45873</v>
      </c>
      <c r="BD1305" s="860" t="s">
        <v>4468</v>
      </c>
      <c r="BE1305" s="865" cm="1">
        <f t="array" ref="BE1305">IF(BD1305="","",AC1305/SUMPRODUCT(--(BD1305=$BD$4:$BD$12824),$AC$4:$AC$12824))</f>
        <v>7.033625266597087E-4</v>
      </c>
      <c r="BF1305" s="458"/>
      <c r="BG1305" s="458"/>
      <c r="BH1305" s="458"/>
      <c r="BI1305" s="458"/>
      <c r="BJ1305" s="458"/>
      <c r="BK1305" s="458"/>
      <c r="BL1305" s="458"/>
      <c r="BM1305" s="458"/>
      <c r="BN1305" s="458"/>
      <c r="BO1305" s="866">
        <f>VLOOKUP(BD1305,$BD$4:$BN$12824,3,0)*BE1305</f>
        <v>13331.318101374962</v>
      </c>
      <c r="BP1305" s="866"/>
      <c r="BQ1305" s="866"/>
      <c r="BR1305" s="866">
        <f>VLOOKUP(BD1305,$BD$4:$BN$12824,6,0)*BE1305</f>
        <v>555.55089168217091</v>
      </c>
      <c r="BS1305" s="866">
        <f>VLOOKUP(BD1305,$BD$4:$BN$12824,7,0)*BE1305</f>
        <v>0</v>
      </c>
      <c r="BT1305" s="866"/>
      <c r="BU1305" s="866">
        <f>VLOOKUP(BD1305,$BD$4:$BN$12824,9,0)*BE1305</f>
        <v>14.067250533194175</v>
      </c>
      <c r="BV1305" s="867"/>
      <c r="BW1305" s="867">
        <f>VLOOKUP(BD1305,$BD$4:$BN$12824,11,0)*BE1305</f>
        <v>0</v>
      </c>
      <c r="BX1305" s="1146">
        <f t="shared" si="253"/>
        <v>13900.936243590328</v>
      </c>
      <c r="BY1305" s="867">
        <f t="shared" si="256"/>
        <v>97801.489253727821</v>
      </c>
      <c r="BZ1305" s="867">
        <f t="shared" si="254"/>
        <v>97801.489253727821</v>
      </c>
      <c r="CA1305" s="867">
        <f>_xlfn.MAXIFS($BY$4:$BY$12824,$S$4:$S$12824,$S1305)</f>
        <v>97801.489253727821</v>
      </c>
      <c r="CB1305" s="1032"/>
      <c r="CF1305" s="946">
        <f t="shared" si="255"/>
        <v>75061.292000000001</v>
      </c>
    </row>
    <row r="1306" spans="2:84">
      <c r="B1306" s="839" t="s">
        <v>98</v>
      </c>
      <c r="C1306" s="839" t="s">
        <v>273</v>
      </c>
      <c r="D1306" s="839" t="s">
        <v>4457</v>
      </c>
      <c r="E1306" s="839" t="s">
        <v>4458</v>
      </c>
      <c r="F1306" s="841">
        <v>45832</v>
      </c>
      <c r="G1306" s="868" t="s">
        <v>273</v>
      </c>
      <c r="H1306" s="842" t="s">
        <v>102</v>
      </c>
      <c r="I1306" s="883" t="s">
        <v>4459</v>
      </c>
      <c r="J1306" s="841">
        <v>45818</v>
      </c>
      <c r="K1306" s="841">
        <v>45915</v>
      </c>
      <c r="L1306" s="843" t="s">
        <v>106</v>
      </c>
      <c r="M1306" s="844" t="s">
        <v>275</v>
      </c>
      <c r="N1306" s="841"/>
      <c r="O1306" s="884" t="s">
        <v>150</v>
      </c>
      <c r="P1306" s="842" t="s">
        <v>276</v>
      </c>
      <c r="Q1306" s="843"/>
      <c r="R1306" s="845">
        <v>16189.31</v>
      </c>
      <c r="S1306" s="1127" t="s">
        <v>4481</v>
      </c>
      <c r="T1306" s="885" t="s">
        <v>4482</v>
      </c>
      <c r="U1306" s="886">
        <v>1</v>
      </c>
      <c r="V1306" s="842" t="s">
        <v>3</v>
      </c>
      <c r="W1306" s="846" t="s">
        <v>4483</v>
      </c>
      <c r="X1306" s="847">
        <f t="shared" si="248"/>
        <v>32.24</v>
      </c>
      <c r="Y1306" s="853">
        <v>0.5</v>
      </c>
      <c r="Z1306" s="849">
        <v>16.12</v>
      </c>
      <c r="AA1306" s="849"/>
      <c r="AB1306" s="849">
        <f t="shared" si="249"/>
        <v>16.12</v>
      </c>
      <c r="AC1306" s="850">
        <f t="shared" si="250"/>
        <v>16.12</v>
      </c>
      <c r="AD1306" s="851">
        <f t="shared" si="247"/>
        <v>32000</v>
      </c>
      <c r="AE1306" s="852">
        <v>30266.65</v>
      </c>
      <c r="AF1306" s="853">
        <v>0.1</v>
      </c>
      <c r="AG1306" s="854">
        <f t="shared" si="251"/>
        <v>57455.196565893741</v>
      </c>
      <c r="AH1306" s="853">
        <v>0.08</v>
      </c>
      <c r="AI1306" s="855">
        <f t="shared" si="252"/>
        <v>43628.287565271501</v>
      </c>
      <c r="AJ1306" s="845" t="s">
        <v>4463</v>
      </c>
      <c r="AK1306" s="857">
        <v>45863</v>
      </c>
      <c r="AL1306" s="843" t="s">
        <v>4464</v>
      </c>
      <c r="AM1306" s="843"/>
      <c r="AN1306" s="844"/>
      <c r="AO1306" s="844" t="s">
        <v>116</v>
      </c>
      <c r="AP1306" s="841"/>
      <c r="AQ1306" s="841">
        <v>45867</v>
      </c>
      <c r="AR1306" s="841">
        <v>45870</v>
      </c>
      <c r="AS1306" s="842" t="s">
        <v>4465</v>
      </c>
      <c r="AT1306" s="842" t="s">
        <v>4466</v>
      </c>
      <c r="AU1306" s="842" t="s">
        <v>1565</v>
      </c>
      <c r="AV1306" s="845" t="s">
        <v>4467</v>
      </c>
      <c r="AW1306" s="861">
        <v>45871</v>
      </c>
      <c r="AX1306" s="862">
        <v>45872</v>
      </c>
      <c r="AY1306" s="843"/>
      <c r="AZ1306" s="842"/>
      <c r="BA1306" s="842" t="s">
        <v>120</v>
      </c>
      <c r="BB1306" s="863" t="s">
        <v>121</v>
      </c>
      <c r="BC1306" s="864">
        <v>45873</v>
      </c>
      <c r="BD1306" s="860" t="s">
        <v>4468</v>
      </c>
      <c r="BE1306" s="865" cm="1">
        <f t="array" ref="BE1306">IF(BD1306="","",AC1306/SUMPRODUCT(--(BD1306=$BD$4:$BD$12824),$AC$4:$AC$12824))</f>
        <v>4.5718564232881068E-3</v>
      </c>
      <c r="BF1306" s="458"/>
      <c r="BG1306" s="458"/>
      <c r="BH1306" s="458"/>
      <c r="BI1306" s="458"/>
      <c r="BJ1306" s="458"/>
      <c r="BK1306" s="458"/>
      <c r="BL1306" s="458"/>
      <c r="BM1306" s="458"/>
      <c r="BN1306" s="458"/>
      <c r="BO1306" s="866">
        <f>VLOOKUP(BD1306,$BD$4:$BN$12824,3,0)*BE1306</f>
        <v>86653.567658937245</v>
      </c>
      <c r="BP1306" s="866"/>
      <c r="BQ1306" s="866"/>
      <c r="BR1306" s="866">
        <f>VLOOKUP(BD1306,$BD$4:$BN$12824,6,0)*BE1306</f>
        <v>3611.0807959341114</v>
      </c>
      <c r="BS1306" s="866">
        <f>VLOOKUP(BD1306,$BD$4:$BN$12824,7,0)*BE1306</f>
        <v>0</v>
      </c>
      <c r="BT1306" s="866"/>
      <c r="BU1306" s="866">
        <f>VLOOKUP(BD1306,$BD$4:$BN$12824,9,0)*BE1306</f>
        <v>91.437128465762143</v>
      </c>
      <c r="BV1306" s="867"/>
      <c r="BW1306" s="867">
        <f>VLOOKUP(BD1306,$BD$4:$BN$12824,11,0)*BE1306</f>
        <v>0</v>
      </c>
      <c r="BX1306" s="1146">
        <f t="shared" si="253"/>
        <v>90356.085583337132</v>
      </c>
      <c r="BY1306" s="867">
        <f t="shared" si="256"/>
        <v>635709.68014923087</v>
      </c>
      <c r="BZ1306" s="867">
        <f t="shared" si="254"/>
        <v>635709.68014923087</v>
      </c>
      <c r="CA1306" s="867">
        <f>_xlfn.MAXIFS($BY$4:$BY$12824,$S$4:$S$12824,$S1306)</f>
        <v>635709.68014923087</v>
      </c>
      <c r="CB1306" s="1032"/>
      <c r="CF1306" s="946">
        <f t="shared" si="255"/>
        <v>487898.39800000004</v>
      </c>
    </row>
    <row r="1307" spans="2:84">
      <c r="B1307" s="839" t="s">
        <v>98</v>
      </c>
      <c r="C1307" s="839" t="s">
        <v>273</v>
      </c>
      <c r="D1307" s="839" t="s">
        <v>4457</v>
      </c>
      <c r="E1307" s="839" t="s">
        <v>4458</v>
      </c>
      <c r="F1307" s="841">
        <v>45832</v>
      </c>
      <c r="G1307" s="868" t="s">
        <v>273</v>
      </c>
      <c r="H1307" s="842" t="s">
        <v>102</v>
      </c>
      <c r="I1307" s="883" t="s">
        <v>4459</v>
      </c>
      <c r="J1307" s="841">
        <v>45818</v>
      </c>
      <c r="K1307" s="841">
        <v>45915</v>
      </c>
      <c r="L1307" s="843" t="s">
        <v>106</v>
      </c>
      <c r="M1307" s="844" t="s">
        <v>275</v>
      </c>
      <c r="N1307" s="841"/>
      <c r="O1307" s="884" t="s">
        <v>150</v>
      </c>
      <c r="P1307" s="842" t="s">
        <v>276</v>
      </c>
      <c r="Q1307" s="843"/>
      <c r="R1307" s="845">
        <v>16787.310000000001</v>
      </c>
      <c r="S1307" s="1127" t="s">
        <v>4484</v>
      </c>
      <c r="T1307" s="885" t="s">
        <v>4485</v>
      </c>
      <c r="U1307" s="886">
        <v>2</v>
      </c>
      <c r="V1307" s="842" t="s">
        <v>3</v>
      </c>
      <c r="W1307" s="846" t="s">
        <v>4486</v>
      </c>
      <c r="X1307" s="847">
        <f t="shared" si="248"/>
        <v>43.56</v>
      </c>
      <c r="Y1307" s="853">
        <v>0.5</v>
      </c>
      <c r="Z1307" s="849">
        <v>10.89</v>
      </c>
      <c r="AA1307" s="849"/>
      <c r="AB1307" s="849">
        <f t="shared" si="249"/>
        <v>21.78</v>
      </c>
      <c r="AC1307" s="850">
        <f t="shared" si="250"/>
        <v>21.78</v>
      </c>
      <c r="AD1307" s="851">
        <f t="shared" si="247"/>
        <v>32000</v>
      </c>
      <c r="AE1307" s="852">
        <v>30266.65</v>
      </c>
      <c r="AF1307" s="853">
        <v>0.1</v>
      </c>
      <c r="AG1307" s="854">
        <f t="shared" si="251"/>
        <v>77628.671290643033</v>
      </c>
      <c r="AH1307" s="853">
        <v>0.08</v>
      </c>
      <c r="AI1307" s="855">
        <f t="shared" si="252"/>
        <v>58946.904663251451</v>
      </c>
      <c r="AJ1307" s="845" t="s">
        <v>4463</v>
      </c>
      <c r="AK1307" s="857">
        <v>45863</v>
      </c>
      <c r="AL1307" s="843" t="s">
        <v>4464</v>
      </c>
      <c r="AM1307" s="843"/>
      <c r="AN1307" s="844"/>
      <c r="AO1307" s="844" t="s">
        <v>116</v>
      </c>
      <c r="AP1307" s="841"/>
      <c r="AQ1307" s="841">
        <v>45867</v>
      </c>
      <c r="AR1307" s="841">
        <v>45870</v>
      </c>
      <c r="AS1307" s="842" t="s">
        <v>4465</v>
      </c>
      <c r="AT1307" s="842" t="s">
        <v>4466</v>
      </c>
      <c r="AU1307" s="842" t="s">
        <v>1565</v>
      </c>
      <c r="AV1307" s="845" t="s">
        <v>4467</v>
      </c>
      <c r="AW1307" s="861">
        <v>45871</v>
      </c>
      <c r="AX1307" s="862">
        <v>45872</v>
      </c>
      <c r="AY1307" s="843"/>
      <c r="AZ1307" s="842"/>
      <c r="BA1307" s="842" t="s">
        <v>120</v>
      </c>
      <c r="BB1307" s="863" t="s">
        <v>121</v>
      </c>
      <c r="BC1307" s="864">
        <v>45873</v>
      </c>
      <c r="BD1307" s="860" t="s">
        <v>4468</v>
      </c>
      <c r="BE1307" s="865" cm="1">
        <f t="array" ref="BE1307">IF(BD1307="","",AC1307/SUMPRODUCT(--(BD1307=$BD$4:$BD$12824),$AC$4:$AC$12824))</f>
        <v>6.1771112220356675E-3</v>
      </c>
      <c r="BF1307" s="458"/>
      <c r="BG1307" s="458"/>
      <c r="BH1307" s="458"/>
      <c r="BI1307" s="458"/>
      <c r="BJ1307" s="458"/>
      <c r="BK1307" s="458"/>
      <c r="BL1307" s="458"/>
      <c r="BM1307" s="458"/>
      <c r="BN1307" s="458"/>
      <c r="BO1307" s="866">
        <f>VLOOKUP(BD1307,$BD$4:$BN$12824,3,0)*BE1307</f>
        <v>117079.07590643009</v>
      </c>
      <c r="BP1307" s="866"/>
      <c r="BQ1307" s="866"/>
      <c r="BR1307" s="866">
        <f>VLOOKUP(BD1307,$BD$4:$BN$12824,6,0)*BE1307</f>
        <v>4878.9912987248717</v>
      </c>
      <c r="BS1307" s="866">
        <f>VLOOKUP(BD1307,$BD$4:$BN$12824,7,0)*BE1307</f>
        <v>0</v>
      </c>
      <c r="BT1307" s="866"/>
      <c r="BU1307" s="866">
        <f>VLOOKUP(BD1307,$BD$4:$BN$12824,9,0)*BE1307</f>
        <v>123.54222444071335</v>
      </c>
      <c r="BV1307" s="867"/>
      <c r="BW1307" s="867">
        <f>VLOOKUP(BD1307,$BD$4:$BN$12824,11,0)*BE1307</f>
        <v>0</v>
      </c>
      <c r="BX1307" s="1146">
        <f t="shared" si="253"/>
        <v>122081.60942959567</v>
      </c>
      <c r="BY1307" s="867">
        <f t="shared" si="256"/>
        <v>429458.9588601194</v>
      </c>
      <c r="BZ1307" s="867">
        <f t="shared" si="254"/>
        <v>858917.91772023879</v>
      </c>
      <c r="CA1307" s="867">
        <f>_xlfn.MAXIFS($BY$4:$BY$12824,$S$4:$S$12824,$S1307)</f>
        <v>429458.9588601194</v>
      </c>
      <c r="CB1307" s="1032"/>
      <c r="CF1307" s="946">
        <f t="shared" si="255"/>
        <v>659207.6370000001</v>
      </c>
    </row>
    <row r="1308" spans="2:84">
      <c r="B1308" s="839" t="s">
        <v>98</v>
      </c>
      <c r="C1308" s="839" t="s">
        <v>273</v>
      </c>
      <c r="D1308" s="839" t="s">
        <v>4457</v>
      </c>
      <c r="E1308" s="839" t="s">
        <v>4458</v>
      </c>
      <c r="F1308" s="841">
        <v>45832</v>
      </c>
      <c r="G1308" s="868" t="s">
        <v>273</v>
      </c>
      <c r="H1308" s="842" t="s">
        <v>102</v>
      </c>
      <c r="I1308" s="883" t="s">
        <v>4459</v>
      </c>
      <c r="J1308" s="841">
        <v>45818</v>
      </c>
      <c r="K1308" s="841">
        <v>45915</v>
      </c>
      <c r="L1308" s="843" t="s">
        <v>106</v>
      </c>
      <c r="M1308" s="844" t="s">
        <v>275</v>
      </c>
      <c r="N1308" s="841"/>
      <c r="O1308" s="884" t="s">
        <v>150</v>
      </c>
      <c r="P1308" s="842" t="s">
        <v>276</v>
      </c>
      <c r="Q1308" s="843"/>
      <c r="R1308" s="845">
        <v>16796.310000000001</v>
      </c>
      <c r="S1308" s="1127" t="s">
        <v>4487</v>
      </c>
      <c r="T1308" s="885" t="s">
        <v>4488</v>
      </c>
      <c r="U1308" s="886">
        <v>2</v>
      </c>
      <c r="V1308" s="842" t="s">
        <v>3</v>
      </c>
      <c r="W1308" s="846" t="s">
        <v>4489</v>
      </c>
      <c r="X1308" s="847">
        <f t="shared" si="248"/>
        <v>52.42</v>
      </c>
      <c r="Y1308" s="853">
        <v>0.5</v>
      </c>
      <c r="Z1308" s="849">
        <v>13.11</v>
      </c>
      <c r="AA1308" s="849"/>
      <c r="AB1308" s="849">
        <f t="shared" si="249"/>
        <v>26.22</v>
      </c>
      <c r="AC1308" s="850">
        <f t="shared" si="250"/>
        <v>26.22</v>
      </c>
      <c r="AD1308" s="851">
        <f t="shared" si="247"/>
        <v>32000</v>
      </c>
      <c r="AE1308" s="852">
        <v>30266.65</v>
      </c>
      <c r="AF1308" s="853">
        <v>0.1</v>
      </c>
      <c r="AG1308" s="854">
        <f t="shared" si="251"/>
        <v>93453.799873308526</v>
      </c>
      <c r="AH1308" s="853">
        <v>0.08</v>
      </c>
      <c r="AI1308" s="855">
        <f t="shared" si="252"/>
        <v>70963.629029864678</v>
      </c>
      <c r="AJ1308" s="845" t="s">
        <v>4463</v>
      </c>
      <c r="AK1308" s="857">
        <v>45863</v>
      </c>
      <c r="AL1308" s="843" t="s">
        <v>4464</v>
      </c>
      <c r="AM1308" s="843"/>
      <c r="AN1308" s="844"/>
      <c r="AO1308" s="844" t="s">
        <v>116</v>
      </c>
      <c r="AP1308" s="841"/>
      <c r="AQ1308" s="841">
        <v>45867</v>
      </c>
      <c r="AR1308" s="841">
        <v>45870</v>
      </c>
      <c r="AS1308" s="842" t="s">
        <v>4465</v>
      </c>
      <c r="AT1308" s="842" t="s">
        <v>4466</v>
      </c>
      <c r="AU1308" s="842" t="s">
        <v>1565</v>
      </c>
      <c r="AV1308" s="845" t="s">
        <v>4467</v>
      </c>
      <c r="AW1308" s="861">
        <v>45871</v>
      </c>
      <c r="AX1308" s="862">
        <v>45872</v>
      </c>
      <c r="AY1308" s="843"/>
      <c r="AZ1308" s="842"/>
      <c r="BA1308" s="842" t="s">
        <v>120</v>
      </c>
      <c r="BB1308" s="863" t="s">
        <v>121</v>
      </c>
      <c r="BC1308" s="864">
        <v>45873</v>
      </c>
      <c r="BD1308" s="860" t="s">
        <v>4468</v>
      </c>
      <c r="BE1308" s="865" cm="1">
        <f t="array" ref="BE1308">IF(BD1308="","",AC1308/SUMPRODUCT(--(BD1308=$BD$4:$BD$12824),$AC$4:$AC$12824))</f>
        <v>7.4363570358941776E-3</v>
      </c>
      <c r="BF1308" s="458"/>
      <c r="BG1308" s="458"/>
      <c r="BH1308" s="458"/>
      <c r="BI1308" s="458"/>
      <c r="BJ1308" s="458"/>
      <c r="BK1308" s="458"/>
      <c r="BL1308" s="458"/>
      <c r="BM1308" s="458"/>
      <c r="BN1308" s="458"/>
      <c r="BO1308" s="866">
        <f>VLOOKUP(BD1308,$BD$4:$BN$12824,3,0)*BE1308</f>
        <v>140946.43573308527</v>
      </c>
      <c r="BP1308" s="866"/>
      <c r="BQ1308" s="866"/>
      <c r="BR1308" s="866">
        <f>VLOOKUP(BD1308,$BD$4:$BN$12824,6,0)*BE1308</f>
        <v>5873.6066048010161</v>
      </c>
      <c r="BS1308" s="866">
        <f>VLOOKUP(BD1308,$BD$4:$BN$12824,7,0)*BE1308</f>
        <v>0</v>
      </c>
      <c r="BT1308" s="866"/>
      <c r="BU1308" s="866">
        <f>VLOOKUP(BD1308,$BD$4:$BN$12824,9,0)*BE1308</f>
        <v>148.72714071788354</v>
      </c>
      <c r="BV1308" s="867"/>
      <c r="BW1308" s="867">
        <f>VLOOKUP(BD1308,$BD$4:$BN$12824,11,0)*BE1308</f>
        <v>0</v>
      </c>
      <c r="BX1308" s="1146">
        <f t="shared" si="253"/>
        <v>146968.76947860417</v>
      </c>
      <c r="BY1308" s="867">
        <f t="shared" si="256"/>
        <v>517007.06617595634</v>
      </c>
      <c r="BZ1308" s="867">
        <f t="shared" si="254"/>
        <v>1034014.1323519127</v>
      </c>
      <c r="CA1308" s="867">
        <f>_xlfn.MAXIFS($BY$4:$BY$12824,$S$4:$S$12824,$S1308)</f>
        <v>517007.06617595634</v>
      </c>
      <c r="CB1308" s="1032"/>
      <c r="CF1308" s="946">
        <f t="shared" si="255"/>
        <v>793591.56299999997</v>
      </c>
    </row>
    <row r="1309" spans="2:84">
      <c r="B1309" s="839" t="s">
        <v>98</v>
      </c>
      <c r="C1309" s="839" t="s">
        <v>273</v>
      </c>
      <c r="D1309" s="839" t="s">
        <v>4457</v>
      </c>
      <c r="E1309" s="839" t="s">
        <v>4458</v>
      </c>
      <c r="F1309" s="841">
        <v>45832</v>
      </c>
      <c r="G1309" s="868" t="s">
        <v>273</v>
      </c>
      <c r="H1309" s="842" t="s">
        <v>102</v>
      </c>
      <c r="I1309" s="883" t="s">
        <v>4459</v>
      </c>
      <c r="J1309" s="841">
        <v>45818</v>
      </c>
      <c r="K1309" s="841">
        <v>45915</v>
      </c>
      <c r="L1309" s="843" t="s">
        <v>106</v>
      </c>
      <c r="M1309" s="844" t="s">
        <v>275</v>
      </c>
      <c r="N1309" s="841"/>
      <c r="O1309" s="884" t="s">
        <v>150</v>
      </c>
      <c r="P1309" s="842" t="s">
        <v>276</v>
      </c>
      <c r="Q1309" s="843"/>
      <c r="R1309" s="845">
        <v>16850.310000000001</v>
      </c>
      <c r="S1309" s="1127" t="s">
        <v>4490</v>
      </c>
      <c r="T1309" s="885" t="s">
        <v>4491</v>
      </c>
      <c r="U1309" s="886">
        <v>1</v>
      </c>
      <c r="V1309" s="842" t="s">
        <v>3</v>
      </c>
      <c r="W1309" s="846" t="s">
        <v>4492</v>
      </c>
      <c r="X1309" s="847">
        <f t="shared" si="248"/>
        <v>76.489999999999995</v>
      </c>
      <c r="Y1309" s="853">
        <v>0.5</v>
      </c>
      <c r="Z1309" s="849">
        <v>38.25</v>
      </c>
      <c r="AA1309" s="849"/>
      <c r="AB1309" s="849">
        <f t="shared" si="249"/>
        <v>38.25</v>
      </c>
      <c r="AC1309" s="850">
        <f t="shared" si="250"/>
        <v>38.25</v>
      </c>
      <c r="AD1309" s="851">
        <f t="shared" si="247"/>
        <v>32000</v>
      </c>
      <c r="AE1309" s="852">
        <v>30266.65</v>
      </c>
      <c r="AF1309" s="853">
        <v>0.1</v>
      </c>
      <c r="AG1309" s="854">
        <f t="shared" si="251"/>
        <v>136331.34420877389</v>
      </c>
      <c r="AH1309" s="853">
        <v>0.08</v>
      </c>
      <c r="AI1309" s="855">
        <f t="shared" si="252"/>
        <v>103522.45653670192</v>
      </c>
      <c r="AJ1309" s="845" t="s">
        <v>4463</v>
      </c>
      <c r="AK1309" s="857">
        <v>45863</v>
      </c>
      <c r="AL1309" s="843" t="s">
        <v>4464</v>
      </c>
      <c r="AM1309" s="843"/>
      <c r="AN1309" s="844"/>
      <c r="AO1309" s="844" t="s">
        <v>116</v>
      </c>
      <c r="AP1309" s="841"/>
      <c r="AQ1309" s="841">
        <v>45867</v>
      </c>
      <c r="AR1309" s="841">
        <v>45870</v>
      </c>
      <c r="AS1309" s="842" t="s">
        <v>4465</v>
      </c>
      <c r="AT1309" s="842" t="s">
        <v>4466</v>
      </c>
      <c r="AU1309" s="842" t="s">
        <v>1565</v>
      </c>
      <c r="AV1309" s="845" t="s">
        <v>4467</v>
      </c>
      <c r="AW1309" s="861">
        <v>45871</v>
      </c>
      <c r="AX1309" s="862">
        <v>45872</v>
      </c>
      <c r="AY1309" s="843"/>
      <c r="AZ1309" s="842"/>
      <c r="BA1309" s="842" t="s">
        <v>120</v>
      </c>
      <c r="BB1309" s="863" t="s">
        <v>121</v>
      </c>
      <c r="BC1309" s="864">
        <v>45873</v>
      </c>
      <c r="BD1309" s="860" t="s">
        <v>4468</v>
      </c>
      <c r="BE1309" s="865" cm="1">
        <f t="array" ref="BE1309">IF(BD1309="","",AC1309/SUMPRODUCT(--(BD1309=$BD$4:$BD$12824),$AC$4:$AC$12824))</f>
        <v>1.0848232518037845E-2</v>
      </c>
      <c r="BF1309" s="458"/>
      <c r="BG1309" s="458"/>
      <c r="BH1309" s="458"/>
      <c r="BI1309" s="458"/>
      <c r="BJ1309" s="458"/>
      <c r="BK1309" s="458"/>
      <c r="BL1309" s="458"/>
      <c r="BM1309" s="458"/>
      <c r="BN1309" s="458"/>
      <c r="BO1309" s="866">
        <f>VLOOKUP(BD1309,$BD$4:$BN$12824,3,0)*BE1309</f>
        <v>205614.07958773879</v>
      </c>
      <c r="BP1309" s="866"/>
      <c r="BQ1309" s="866"/>
      <c r="BR1309" s="866">
        <f>VLOOKUP(BD1309,$BD$4:$BN$12824,6,0)*BE1309</f>
        <v>8568.4764543721922</v>
      </c>
      <c r="BS1309" s="866">
        <f>VLOOKUP(BD1309,$BD$4:$BN$12824,7,0)*BE1309</f>
        <v>0</v>
      </c>
      <c r="BT1309" s="866"/>
      <c r="BU1309" s="866">
        <f>VLOOKUP(BD1309,$BD$4:$BN$12824,9,0)*BE1309</f>
        <v>216.96465036075688</v>
      </c>
      <c r="BV1309" s="867"/>
      <c r="BW1309" s="867">
        <f>VLOOKUP(BD1309,$BD$4:$BN$12824,11,0)*BE1309</f>
        <v>0</v>
      </c>
      <c r="BX1309" s="1146">
        <f t="shared" si="253"/>
        <v>214399.52069247173</v>
      </c>
      <c r="BY1309" s="867">
        <f t="shared" si="256"/>
        <v>1508430.2274012456</v>
      </c>
      <c r="BZ1309" s="867">
        <f t="shared" si="254"/>
        <v>1508430.2274012456</v>
      </c>
      <c r="CA1309" s="867">
        <f>_xlfn.MAXIFS($BY$4:$BY$12824,$S$4:$S$12824,$S1309)</f>
        <v>1508430.2274012456</v>
      </c>
      <c r="CB1309" s="1032"/>
      <c r="CF1309" s="946">
        <f t="shared" si="255"/>
        <v>1157699.3625</v>
      </c>
    </row>
    <row r="1310" spans="2:84">
      <c r="B1310" s="839" t="s">
        <v>98</v>
      </c>
      <c r="C1310" s="839" t="s">
        <v>273</v>
      </c>
      <c r="D1310" s="839" t="s">
        <v>4457</v>
      </c>
      <c r="E1310" s="839" t="s">
        <v>4458</v>
      </c>
      <c r="F1310" s="841">
        <v>45832</v>
      </c>
      <c r="G1310" s="868" t="s">
        <v>273</v>
      </c>
      <c r="H1310" s="842" t="s">
        <v>102</v>
      </c>
      <c r="I1310" s="883" t="s">
        <v>4459</v>
      </c>
      <c r="J1310" s="841">
        <v>45818</v>
      </c>
      <c r="K1310" s="841">
        <v>45915</v>
      </c>
      <c r="L1310" s="843" t="s">
        <v>106</v>
      </c>
      <c r="M1310" s="844" t="s">
        <v>275</v>
      </c>
      <c r="N1310" s="841"/>
      <c r="O1310" s="884" t="s">
        <v>150</v>
      </c>
      <c r="P1310" s="842" t="s">
        <v>276</v>
      </c>
      <c r="Q1310" s="843"/>
      <c r="R1310" s="845">
        <v>18453</v>
      </c>
      <c r="S1310" s="1127" t="s">
        <v>4029</v>
      </c>
      <c r="T1310" s="885" t="s">
        <v>4030</v>
      </c>
      <c r="U1310" s="886">
        <v>1</v>
      </c>
      <c r="V1310" s="842" t="s">
        <v>3</v>
      </c>
      <c r="W1310" s="846" t="s">
        <v>4493</v>
      </c>
      <c r="X1310" s="847">
        <f t="shared" si="248"/>
        <v>31.08</v>
      </c>
      <c r="Y1310" s="853">
        <v>0.5</v>
      </c>
      <c r="Z1310" s="849">
        <v>15.54</v>
      </c>
      <c r="AA1310" s="849"/>
      <c r="AB1310" s="849">
        <f t="shared" si="249"/>
        <v>15.54</v>
      </c>
      <c r="AC1310" s="850">
        <f t="shared" si="250"/>
        <v>15.54</v>
      </c>
      <c r="AD1310" s="851">
        <f t="shared" si="247"/>
        <v>32000</v>
      </c>
      <c r="AE1310" s="852">
        <v>30266.65</v>
      </c>
      <c r="AF1310" s="853">
        <v>0.1</v>
      </c>
      <c r="AG1310" s="854">
        <f t="shared" si="251"/>
        <v>55387.950039329313</v>
      </c>
      <c r="AH1310" s="853">
        <v>0.08</v>
      </c>
      <c r="AI1310" s="855">
        <f t="shared" si="252"/>
        <v>42058.535283146346</v>
      </c>
      <c r="AJ1310" s="845" t="s">
        <v>4463</v>
      </c>
      <c r="AK1310" s="857">
        <v>45863</v>
      </c>
      <c r="AL1310" s="843" t="s">
        <v>4464</v>
      </c>
      <c r="AM1310" s="843"/>
      <c r="AN1310" s="844"/>
      <c r="AO1310" s="844" t="s">
        <v>116</v>
      </c>
      <c r="AP1310" s="841"/>
      <c r="AQ1310" s="841">
        <v>45867</v>
      </c>
      <c r="AR1310" s="841">
        <v>45870</v>
      </c>
      <c r="AS1310" s="842" t="s">
        <v>4465</v>
      </c>
      <c r="AT1310" s="842" t="s">
        <v>4466</v>
      </c>
      <c r="AU1310" s="842" t="s">
        <v>1565</v>
      </c>
      <c r="AV1310" s="845" t="s">
        <v>4467</v>
      </c>
      <c r="AW1310" s="861">
        <v>45871</v>
      </c>
      <c r="AX1310" s="862">
        <v>45872</v>
      </c>
      <c r="AY1310" s="843"/>
      <c r="AZ1310" s="842"/>
      <c r="BA1310" s="842" t="s">
        <v>120</v>
      </c>
      <c r="BB1310" s="863" t="s">
        <v>121</v>
      </c>
      <c r="BC1310" s="864">
        <v>45873</v>
      </c>
      <c r="BD1310" s="860" t="s">
        <v>4468</v>
      </c>
      <c r="BE1310" s="865" cm="1">
        <f t="array" ref="BE1310">IF(BD1310="","",AC1310/SUMPRODUCT(--(BD1310=$BD$4:$BD$12824),$AC$4:$AC$12824))</f>
        <v>4.4073603485047875E-3</v>
      </c>
      <c r="BF1310" s="458"/>
      <c r="BG1310" s="458"/>
      <c r="BH1310" s="458"/>
      <c r="BI1310" s="458"/>
      <c r="BJ1310" s="458"/>
      <c r="BK1310" s="458"/>
      <c r="BL1310" s="458"/>
      <c r="BM1310" s="458"/>
      <c r="BN1310" s="458"/>
      <c r="BO1310" s="866">
        <f>VLOOKUP(BD1310,$BD$4:$BN$12824,3,0)*BE1310</f>
        <v>83535.759393293105</v>
      </c>
      <c r="BP1310" s="866"/>
      <c r="BQ1310" s="866"/>
      <c r="BR1310" s="866">
        <f>VLOOKUP(BD1310,$BD$4:$BN$12824,6,0)*BE1310</f>
        <v>3481.1535712665063</v>
      </c>
      <c r="BS1310" s="866">
        <f>VLOOKUP(BD1310,$BD$4:$BN$12824,7,0)*BE1310</f>
        <v>0</v>
      </c>
      <c r="BT1310" s="866"/>
      <c r="BU1310" s="866">
        <f>VLOOKUP(BD1310,$BD$4:$BN$12824,9,0)*BE1310</f>
        <v>88.147206970095752</v>
      </c>
      <c r="BV1310" s="867"/>
      <c r="BW1310" s="867">
        <f>VLOOKUP(BD1310,$BD$4:$BN$12824,11,0)*BE1310</f>
        <v>0</v>
      </c>
      <c r="BX1310" s="1146">
        <f t="shared" si="253"/>
        <v>87105.060171529709</v>
      </c>
      <c r="BY1310" s="867">
        <f t="shared" si="256"/>
        <v>612836.75121085905</v>
      </c>
      <c r="BZ1310" s="867">
        <f t="shared" si="254"/>
        <v>612836.75121085905</v>
      </c>
      <c r="CA1310" s="867">
        <f>_xlfn.MAXIFS($BY$4:$BY$12824,$S$4:$S$12824,$S1310)</f>
        <v>682993.65396080317</v>
      </c>
      <c r="CB1310" s="1032"/>
      <c r="CF1310" s="946">
        <f t="shared" si="255"/>
        <v>470343.74099999998</v>
      </c>
    </row>
    <row r="1311" spans="2:84">
      <c r="B1311" s="839" t="s">
        <v>98</v>
      </c>
      <c r="C1311" s="839" t="s">
        <v>273</v>
      </c>
      <c r="D1311" s="839" t="s">
        <v>4457</v>
      </c>
      <c r="E1311" s="839" t="s">
        <v>4458</v>
      </c>
      <c r="F1311" s="841">
        <v>45832</v>
      </c>
      <c r="G1311" s="868" t="s">
        <v>273</v>
      </c>
      <c r="H1311" s="842" t="s">
        <v>102</v>
      </c>
      <c r="I1311" s="883" t="s">
        <v>4459</v>
      </c>
      <c r="J1311" s="841">
        <v>45818</v>
      </c>
      <c r="K1311" s="841">
        <v>45915</v>
      </c>
      <c r="L1311" s="843" t="s">
        <v>106</v>
      </c>
      <c r="M1311" s="844" t="s">
        <v>275</v>
      </c>
      <c r="N1311" s="841"/>
      <c r="O1311" s="884" t="s">
        <v>150</v>
      </c>
      <c r="P1311" s="842" t="s">
        <v>276</v>
      </c>
      <c r="Q1311" s="843"/>
      <c r="R1311" s="845">
        <v>18454</v>
      </c>
      <c r="S1311" s="1127" t="s">
        <v>4031</v>
      </c>
      <c r="T1311" s="885" t="s">
        <v>4032</v>
      </c>
      <c r="U1311" s="886">
        <v>1</v>
      </c>
      <c r="V1311" s="842" t="s">
        <v>3</v>
      </c>
      <c r="W1311" s="846" t="s">
        <v>4493</v>
      </c>
      <c r="X1311" s="847">
        <f t="shared" si="248"/>
        <v>31.08</v>
      </c>
      <c r="Y1311" s="853">
        <v>0.5</v>
      </c>
      <c r="Z1311" s="849">
        <v>15.54</v>
      </c>
      <c r="AA1311" s="849"/>
      <c r="AB1311" s="849">
        <f t="shared" si="249"/>
        <v>15.54</v>
      </c>
      <c r="AC1311" s="850">
        <f t="shared" si="250"/>
        <v>15.54</v>
      </c>
      <c r="AD1311" s="851">
        <f t="shared" si="247"/>
        <v>32000</v>
      </c>
      <c r="AE1311" s="852">
        <v>30266.65</v>
      </c>
      <c r="AF1311" s="853">
        <v>0.1</v>
      </c>
      <c r="AG1311" s="854">
        <f t="shared" si="251"/>
        <v>55387.950039329313</v>
      </c>
      <c r="AH1311" s="853">
        <v>0.08</v>
      </c>
      <c r="AI1311" s="855">
        <f t="shared" si="252"/>
        <v>42058.535283146346</v>
      </c>
      <c r="AJ1311" s="845" t="s">
        <v>4463</v>
      </c>
      <c r="AK1311" s="857">
        <v>45863</v>
      </c>
      <c r="AL1311" s="843" t="s">
        <v>4464</v>
      </c>
      <c r="AM1311" s="843"/>
      <c r="AN1311" s="844"/>
      <c r="AO1311" s="844" t="s">
        <v>116</v>
      </c>
      <c r="AP1311" s="841"/>
      <c r="AQ1311" s="841">
        <v>45867</v>
      </c>
      <c r="AR1311" s="841">
        <v>45870</v>
      </c>
      <c r="AS1311" s="842" t="s">
        <v>4465</v>
      </c>
      <c r="AT1311" s="842" t="s">
        <v>4466</v>
      </c>
      <c r="AU1311" s="842" t="s">
        <v>1565</v>
      </c>
      <c r="AV1311" s="845" t="s">
        <v>4467</v>
      </c>
      <c r="AW1311" s="861">
        <v>45871</v>
      </c>
      <c r="AX1311" s="862">
        <v>45872</v>
      </c>
      <c r="AY1311" s="843"/>
      <c r="AZ1311" s="842"/>
      <c r="BA1311" s="842" t="s">
        <v>120</v>
      </c>
      <c r="BB1311" s="863" t="s">
        <v>121</v>
      </c>
      <c r="BC1311" s="864">
        <v>45873</v>
      </c>
      <c r="BD1311" s="860" t="s">
        <v>4468</v>
      </c>
      <c r="BE1311" s="865" cm="1">
        <f t="array" ref="BE1311">IF(BD1311="","",AC1311/SUMPRODUCT(--(BD1311=$BD$4:$BD$12824),$AC$4:$AC$12824))</f>
        <v>4.4073603485047875E-3</v>
      </c>
      <c r="BF1311" s="458"/>
      <c r="BG1311" s="458"/>
      <c r="BH1311" s="458"/>
      <c r="BI1311" s="458"/>
      <c r="BJ1311" s="458"/>
      <c r="BK1311" s="458"/>
      <c r="BL1311" s="458"/>
      <c r="BM1311" s="458"/>
      <c r="BN1311" s="458"/>
      <c r="BO1311" s="866">
        <f>VLOOKUP(BD1311,$BD$4:$BN$12824,3,0)*BE1311</f>
        <v>83535.759393293105</v>
      </c>
      <c r="BP1311" s="866"/>
      <c r="BQ1311" s="866"/>
      <c r="BR1311" s="866">
        <f>VLOOKUP(BD1311,$BD$4:$BN$12824,6,0)*BE1311</f>
        <v>3481.1535712665063</v>
      </c>
      <c r="BS1311" s="866">
        <f>VLOOKUP(BD1311,$BD$4:$BN$12824,7,0)*BE1311</f>
        <v>0</v>
      </c>
      <c r="BT1311" s="866"/>
      <c r="BU1311" s="866">
        <f>VLOOKUP(BD1311,$BD$4:$BN$12824,9,0)*BE1311</f>
        <v>88.147206970095752</v>
      </c>
      <c r="BV1311" s="867"/>
      <c r="BW1311" s="867">
        <f>VLOOKUP(BD1311,$BD$4:$BN$12824,11,0)*BE1311</f>
        <v>0</v>
      </c>
      <c r="BX1311" s="1146">
        <f t="shared" si="253"/>
        <v>87105.060171529709</v>
      </c>
      <c r="BY1311" s="867">
        <f t="shared" si="256"/>
        <v>612836.75121085905</v>
      </c>
      <c r="BZ1311" s="867">
        <f t="shared" si="254"/>
        <v>612836.75121085905</v>
      </c>
      <c r="CA1311" s="867">
        <f>_xlfn.MAXIFS($BY$4:$BY$12824,$S$4:$S$12824,$S1311)</f>
        <v>682993.65396080317</v>
      </c>
      <c r="CB1311" s="1032"/>
      <c r="CF1311" s="946">
        <f t="shared" si="255"/>
        <v>470343.74099999998</v>
      </c>
    </row>
    <row r="1312" spans="2:84">
      <c r="B1312" s="839" t="s">
        <v>98</v>
      </c>
      <c r="C1312" s="839" t="s">
        <v>273</v>
      </c>
      <c r="D1312" s="839" t="s">
        <v>4457</v>
      </c>
      <c r="E1312" s="839" t="s">
        <v>4458</v>
      </c>
      <c r="F1312" s="841">
        <v>45832</v>
      </c>
      <c r="G1312" s="868" t="s">
        <v>273</v>
      </c>
      <c r="H1312" s="842" t="s">
        <v>102</v>
      </c>
      <c r="I1312" s="883" t="s">
        <v>4459</v>
      </c>
      <c r="J1312" s="841">
        <v>45818</v>
      </c>
      <c r="K1312" s="841">
        <v>45915</v>
      </c>
      <c r="L1312" s="843" t="s">
        <v>106</v>
      </c>
      <c r="M1312" s="844" t="s">
        <v>275</v>
      </c>
      <c r="N1312" s="841"/>
      <c r="O1312" s="884" t="s">
        <v>150</v>
      </c>
      <c r="P1312" s="842" t="s">
        <v>276</v>
      </c>
      <c r="Q1312" s="843"/>
      <c r="R1312" s="845">
        <v>18475</v>
      </c>
      <c r="S1312" s="1127" t="s">
        <v>2486</v>
      </c>
      <c r="T1312" s="885" t="s">
        <v>2487</v>
      </c>
      <c r="U1312" s="886">
        <v>1</v>
      </c>
      <c r="V1312" s="842" t="s">
        <v>3</v>
      </c>
      <c r="W1312" s="846" t="s">
        <v>4494</v>
      </c>
      <c r="X1312" s="847">
        <f t="shared" si="248"/>
        <v>36.53</v>
      </c>
      <c r="Y1312" s="853">
        <v>0.5</v>
      </c>
      <c r="Z1312" s="849">
        <v>18.27</v>
      </c>
      <c r="AA1312" s="849"/>
      <c r="AB1312" s="849">
        <f t="shared" si="249"/>
        <v>18.27</v>
      </c>
      <c r="AC1312" s="850">
        <f t="shared" si="250"/>
        <v>18.27</v>
      </c>
      <c r="AD1312" s="851">
        <f t="shared" si="247"/>
        <v>32000</v>
      </c>
      <c r="AE1312" s="852">
        <v>30266.65</v>
      </c>
      <c r="AF1312" s="853">
        <v>0.1</v>
      </c>
      <c r="AG1312" s="854">
        <f t="shared" si="251"/>
        <v>65118.26558677906</v>
      </c>
      <c r="AH1312" s="853">
        <v>0.08</v>
      </c>
      <c r="AI1312" s="855">
        <f t="shared" si="252"/>
        <v>49447.196886942329</v>
      </c>
      <c r="AJ1312" s="845" t="s">
        <v>4463</v>
      </c>
      <c r="AK1312" s="857">
        <v>45863</v>
      </c>
      <c r="AL1312" s="843" t="s">
        <v>4464</v>
      </c>
      <c r="AM1312" s="843"/>
      <c r="AN1312" s="844"/>
      <c r="AO1312" s="844" t="s">
        <v>116</v>
      </c>
      <c r="AP1312" s="841"/>
      <c r="AQ1312" s="841">
        <v>45867</v>
      </c>
      <c r="AR1312" s="841">
        <v>45870</v>
      </c>
      <c r="AS1312" s="842" t="s">
        <v>4465</v>
      </c>
      <c r="AT1312" s="842" t="s">
        <v>4466</v>
      </c>
      <c r="AU1312" s="842" t="s">
        <v>1565</v>
      </c>
      <c r="AV1312" s="845" t="s">
        <v>4467</v>
      </c>
      <c r="AW1312" s="861">
        <v>45871</v>
      </c>
      <c r="AX1312" s="862">
        <v>45872</v>
      </c>
      <c r="AY1312" s="843"/>
      <c r="AZ1312" s="842"/>
      <c r="BA1312" s="842" t="s">
        <v>120</v>
      </c>
      <c r="BB1312" s="863" t="s">
        <v>121</v>
      </c>
      <c r="BC1312" s="864">
        <v>45873</v>
      </c>
      <c r="BD1312" s="860" t="s">
        <v>4468</v>
      </c>
      <c r="BE1312" s="865" cm="1">
        <f t="array" ref="BE1312">IF(BD1312="","",AC1312/SUMPRODUCT(--(BD1312=$BD$4:$BD$12824),$AC$4:$AC$12824))</f>
        <v>5.181626355674547E-3</v>
      </c>
      <c r="BF1312" s="458"/>
      <c r="BG1312" s="458"/>
      <c r="BH1312" s="458"/>
      <c r="BI1312" s="458"/>
      <c r="BJ1312" s="458"/>
      <c r="BK1312" s="458"/>
      <c r="BL1312" s="458"/>
      <c r="BM1312" s="458"/>
      <c r="BN1312" s="458"/>
      <c r="BO1312" s="866">
        <f>VLOOKUP(BD1312,$BD$4:$BN$12824,3,0)*BE1312</f>
        <v>98210.960367790525</v>
      </c>
      <c r="BP1312" s="866"/>
      <c r="BQ1312" s="866"/>
      <c r="BR1312" s="866">
        <f>VLOOKUP(BD1312,$BD$4:$BN$12824,6,0)*BE1312</f>
        <v>4092.707577029541</v>
      </c>
      <c r="BS1312" s="866">
        <f>VLOOKUP(BD1312,$BD$4:$BN$12824,7,0)*BE1312</f>
        <v>0</v>
      </c>
      <c r="BT1312" s="866"/>
      <c r="BU1312" s="866">
        <f>VLOOKUP(BD1312,$BD$4:$BN$12824,9,0)*BE1312</f>
        <v>103.63252711349094</v>
      </c>
      <c r="BV1312" s="867"/>
      <c r="BW1312" s="867">
        <f>VLOOKUP(BD1312,$BD$4:$BN$12824,11,0)*BE1312</f>
        <v>0</v>
      </c>
      <c r="BX1312" s="1146">
        <f t="shared" si="253"/>
        <v>102407.30047193354</v>
      </c>
      <c r="BY1312" s="867">
        <f t="shared" si="256"/>
        <v>720497.26155871269</v>
      </c>
      <c r="BZ1312" s="867">
        <f t="shared" si="254"/>
        <v>720497.26155871269</v>
      </c>
      <c r="CA1312" s="867">
        <f>_xlfn.MAXIFS($BY$4:$BY$12824,$S$4:$S$12824,$S1312)</f>
        <v>771355.30743954785</v>
      </c>
      <c r="CB1312" s="1032"/>
      <c r="CF1312" s="946">
        <f t="shared" si="255"/>
        <v>552971.69550000003</v>
      </c>
    </row>
    <row r="1313" spans="2:84">
      <c r="B1313" s="839" t="s">
        <v>98</v>
      </c>
      <c r="C1313" s="839" t="s">
        <v>273</v>
      </c>
      <c r="D1313" s="839" t="s">
        <v>4457</v>
      </c>
      <c r="E1313" s="839" t="s">
        <v>4458</v>
      </c>
      <c r="F1313" s="841">
        <v>45832</v>
      </c>
      <c r="G1313" s="868" t="s">
        <v>273</v>
      </c>
      <c r="H1313" s="842" t="s">
        <v>102</v>
      </c>
      <c r="I1313" s="883" t="s">
        <v>4459</v>
      </c>
      <c r="J1313" s="841">
        <v>45818</v>
      </c>
      <c r="K1313" s="841">
        <v>45915</v>
      </c>
      <c r="L1313" s="843" t="s">
        <v>106</v>
      </c>
      <c r="M1313" s="844" t="s">
        <v>275</v>
      </c>
      <c r="N1313" s="841"/>
      <c r="O1313" s="884" t="s">
        <v>150</v>
      </c>
      <c r="P1313" s="842" t="s">
        <v>276</v>
      </c>
      <c r="Q1313" s="843"/>
      <c r="R1313" s="845">
        <v>18476</v>
      </c>
      <c r="S1313" s="1127" t="s">
        <v>4033</v>
      </c>
      <c r="T1313" s="885" t="s">
        <v>4034</v>
      </c>
      <c r="U1313" s="886">
        <v>1</v>
      </c>
      <c r="V1313" s="842" t="s">
        <v>3</v>
      </c>
      <c r="W1313" s="846" t="s">
        <v>4495</v>
      </c>
      <c r="X1313" s="847">
        <f t="shared" si="248"/>
        <v>21.63</v>
      </c>
      <c r="Y1313" s="853">
        <v>0.5</v>
      </c>
      <c r="Z1313" s="849">
        <v>10.82</v>
      </c>
      <c r="AA1313" s="849"/>
      <c r="AB1313" s="849">
        <f t="shared" si="249"/>
        <v>10.82</v>
      </c>
      <c r="AC1313" s="850">
        <f t="shared" si="250"/>
        <v>10.82</v>
      </c>
      <c r="AD1313" s="851">
        <f t="shared" si="247"/>
        <v>32000</v>
      </c>
      <c r="AE1313" s="852">
        <v>30266.65</v>
      </c>
      <c r="AF1313" s="853">
        <v>0.1</v>
      </c>
      <c r="AG1313" s="854">
        <f t="shared" si="251"/>
        <v>38564.840374874082</v>
      </c>
      <c r="AH1313" s="853">
        <v>0.08</v>
      </c>
      <c r="AI1313" s="855">
        <f t="shared" si="252"/>
        <v>29283.999469989929</v>
      </c>
      <c r="AJ1313" s="845" t="s">
        <v>4463</v>
      </c>
      <c r="AK1313" s="857">
        <v>45863</v>
      </c>
      <c r="AL1313" s="843" t="s">
        <v>4464</v>
      </c>
      <c r="AM1313" s="843"/>
      <c r="AN1313" s="844"/>
      <c r="AO1313" s="844" t="s">
        <v>116</v>
      </c>
      <c r="AP1313" s="841"/>
      <c r="AQ1313" s="841">
        <v>45867</v>
      </c>
      <c r="AR1313" s="841">
        <v>45870</v>
      </c>
      <c r="AS1313" s="842" t="s">
        <v>4465</v>
      </c>
      <c r="AT1313" s="842" t="s">
        <v>4466</v>
      </c>
      <c r="AU1313" s="842" t="s">
        <v>1565</v>
      </c>
      <c r="AV1313" s="845" t="s">
        <v>4467</v>
      </c>
      <c r="AW1313" s="861">
        <v>45871</v>
      </c>
      <c r="AX1313" s="862">
        <v>45872</v>
      </c>
      <c r="AY1313" s="843"/>
      <c r="AZ1313" s="842"/>
      <c r="BA1313" s="842" t="s">
        <v>120</v>
      </c>
      <c r="BB1313" s="863" t="s">
        <v>121</v>
      </c>
      <c r="BC1313" s="864">
        <v>45873</v>
      </c>
      <c r="BD1313" s="860" t="s">
        <v>4468</v>
      </c>
      <c r="BE1313" s="865" cm="1">
        <f t="array" ref="BE1313">IF(BD1313="","",AC1313/SUMPRODUCT(--(BD1313=$BD$4:$BD$12824),$AC$4:$AC$12824))</f>
        <v>3.0687026364750194E-3</v>
      </c>
      <c r="BF1313" s="458"/>
      <c r="BG1313" s="458"/>
      <c r="BH1313" s="458"/>
      <c r="BI1313" s="458"/>
      <c r="BJ1313" s="458"/>
      <c r="BK1313" s="458"/>
      <c r="BL1313" s="458"/>
      <c r="BM1313" s="458"/>
      <c r="BN1313" s="458"/>
      <c r="BO1313" s="866">
        <f>VLOOKUP(BD1313,$BD$4:$BN$12824,3,0)*BE1313</f>
        <v>58163.250748740757</v>
      </c>
      <c r="BP1313" s="866"/>
      <c r="BQ1313" s="866"/>
      <c r="BR1313" s="866">
        <f>VLOOKUP(BD1313,$BD$4:$BN$12824,6,0)*BE1313</f>
        <v>2423.8147774197942</v>
      </c>
      <c r="BS1313" s="866">
        <f>VLOOKUP(BD1313,$BD$4:$BN$12824,7,0)*BE1313</f>
        <v>0</v>
      </c>
      <c r="BT1313" s="866"/>
      <c r="BU1313" s="866">
        <f>VLOOKUP(BD1313,$BD$4:$BN$12824,9,0)*BE1313</f>
        <v>61.374052729500384</v>
      </c>
      <c r="BV1313" s="867"/>
      <c r="BW1313" s="867">
        <f>VLOOKUP(BD1313,$BD$4:$BN$12824,11,0)*BE1313</f>
        <v>0</v>
      </c>
      <c r="BX1313" s="1146">
        <f t="shared" si="253"/>
        <v>60648.439578890051</v>
      </c>
      <c r="BY1313" s="867">
        <f t="shared" si="256"/>
        <v>426698.43295376416</v>
      </c>
      <c r="BZ1313" s="867">
        <f t="shared" si="254"/>
        <v>426698.43295376416</v>
      </c>
      <c r="CA1313" s="867">
        <f>_xlfn.MAXIFS($BY$4:$BY$12824,$S$4:$S$12824,$S1313)</f>
        <v>475294.63742508896</v>
      </c>
      <c r="CB1313" s="1032"/>
      <c r="CF1313" s="946">
        <f t="shared" si="255"/>
        <v>327485.15300000005</v>
      </c>
    </row>
    <row r="1314" spans="2:84">
      <c r="B1314" s="839" t="s">
        <v>98</v>
      </c>
      <c r="C1314" s="839" t="s">
        <v>273</v>
      </c>
      <c r="D1314" s="839" t="s">
        <v>4457</v>
      </c>
      <c r="E1314" s="839" t="s">
        <v>4458</v>
      </c>
      <c r="F1314" s="841">
        <v>45832</v>
      </c>
      <c r="G1314" s="868" t="s">
        <v>273</v>
      </c>
      <c r="H1314" s="842" t="s">
        <v>102</v>
      </c>
      <c r="I1314" s="883" t="s">
        <v>4459</v>
      </c>
      <c r="J1314" s="841">
        <v>45818</v>
      </c>
      <c r="K1314" s="841">
        <v>45915</v>
      </c>
      <c r="L1314" s="843" t="s">
        <v>106</v>
      </c>
      <c r="M1314" s="844" t="s">
        <v>275</v>
      </c>
      <c r="N1314" s="841"/>
      <c r="O1314" s="884" t="s">
        <v>150</v>
      </c>
      <c r="P1314" s="842" t="s">
        <v>276</v>
      </c>
      <c r="Q1314" s="843"/>
      <c r="R1314" s="845">
        <v>11217.31</v>
      </c>
      <c r="S1314" s="1127" t="s">
        <v>4496</v>
      </c>
      <c r="T1314" s="885" t="s">
        <v>4497</v>
      </c>
      <c r="U1314" s="886">
        <v>3</v>
      </c>
      <c r="V1314" s="842" t="s">
        <v>3</v>
      </c>
      <c r="W1314" s="846" t="s">
        <v>4498</v>
      </c>
      <c r="X1314" s="847">
        <f t="shared" si="248"/>
        <v>87.6</v>
      </c>
      <c r="Y1314" s="853">
        <v>0.5</v>
      </c>
      <c r="Z1314" s="849">
        <v>14.6</v>
      </c>
      <c r="AA1314" s="849"/>
      <c r="AB1314" s="849">
        <f t="shared" si="249"/>
        <v>43.8</v>
      </c>
      <c r="AC1314" s="850">
        <f t="shared" si="250"/>
        <v>43.8</v>
      </c>
      <c r="AD1314" s="851">
        <f t="shared" si="247"/>
        <v>32000</v>
      </c>
      <c r="AE1314" s="852">
        <v>30266.65</v>
      </c>
      <c r="AF1314" s="853">
        <v>0.1</v>
      </c>
      <c r="AG1314" s="854">
        <f t="shared" si="251"/>
        <v>156112.75493710578</v>
      </c>
      <c r="AH1314" s="853">
        <v>0.08</v>
      </c>
      <c r="AI1314" s="855">
        <f t="shared" si="252"/>
        <v>118543.36199496847</v>
      </c>
      <c r="AJ1314" s="845" t="s">
        <v>4463</v>
      </c>
      <c r="AK1314" s="857">
        <v>45863</v>
      </c>
      <c r="AL1314" s="843" t="s">
        <v>4464</v>
      </c>
      <c r="AM1314" s="843"/>
      <c r="AN1314" s="844"/>
      <c r="AO1314" s="844" t="s">
        <v>116</v>
      </c>
      <c r="AP1314" s="841"/>
      <c r="AQ1314" s="841">
        <v>45867</v>
      </c>
      <c r="AR1314" s="841">
        <v>45870</v>
      </c>
      <c r="AS1314" s="842" t="s">
        <v>4465</v>
      </c>
      <c r="AT1314" s="842" t="s">
        <v>4466</v>
      </c>
      <c r="AU1314" s="842" t="s">
        <v>1565</v>
      </c>
      <c r="AV1314" s="845" t="s">
        <v>4467</v>
      </c>
      <c r="AW1314" s="861">
        <v>45871</v>
      </c>
      <c r="AX1314" s="862">
        <v>45872</v>
      </c>
      <c r="AY1314" s="843"/>
      <c r="AZ1314" s="842"/>
      <c r="BA1314" s="842" t="s">
        <v>120</v>
      </c>
      <c r="BB1314" s="863" t="s">
        <v>121</v>
      </c>
      <c r="BC1314" s="864">
        <v>45873</v>
      </c>
      <c r="BD1314" s="860" t="s">
        <v>4468</v>
      </c>
      <c r="BE1314" s="865" cm="1">
        <f t="array" ref="BE1314">IF(BD1314="","",AC1314/SUMPRODUCT(--(BD1314=$BD$4:$BD$12824),$AC$4:$AC$12824))</f>
        <v>1.2422289785360982E-2</v>
      </c>
      <c r="BF1314" s="458"/>
      <c r="BG1314" s="458"/>
      <c r="BH1314" s="458"/>
      <c r="BI1314" s="458"/>
      <c r="BJ1314" s="458"/>
      <c r="BK1314" s="458"/>
      <c r="BL1314" s="458"/>
      <c r="BM1314" s="458"/>
      <c r="BN1314" s="458"/>
      <c r="BO1314" s="866">
        <f>VLOOKUP(BD1314,$BD$4:$BN$12824,3,0)*BE1314</f>
        <v>235448.27937105775</v>
      </c>
      <c r="BP1314" s="866"/>
      <c r="BQ1314" s="866"/>
      <c r="BR1314" s="866">
        <f>VLOOKUP(BD1314,$BD$4:$BN$12824,6,0)*BE1314</f>
        <v>9811.7455869673722</v>
      </c>
      <c r="BS1314" s="866">
        <f>VLOOKUP(BD1314,$BD$4:$BN$12824,7,0)*BE1314</f>
        <v>0</v>
      </c>
      <c r="BT1314" s="866"/>
      <c r="BU1314" s="866">
        <f>VLOOKUP(BD1314,$BD$4:$BN$12824,9,0)*BE1314</f>
        <v>248.44579570721965</v>
      </c>
      <c r="BV1314" s="867"/>
      <c r="BW1314" s="867">
        <f>VLOOKUP(BD1314,$BD$4:$BN$12824,11,0)*BE1314</f>
        <v>0</v>
      </c>
      <c r="BX1314" s="1146">
        <f t="shared" si="253"/>
        <v>245508.47075373237</v>
      </c>
      <c r="BY1314" s="867">
        <f t="shared" si="256"/>
        <v>575766.83189694607</v>
      </c>
      <c r="BZ1314" s="867">
        <f t="shared" si="254"/>
        <v>1727300.4956908382</v>
      </c>
      <c r="CA1314" s="867">
        <f>_xlfn.MAXIFS($BY$4:$BY$12824,$S$4:$S$12824,$S1314)</f>
        <v>575766.83189694607</v>
      </c>
      <c r="CB1314" s="1032"/>
      <c r="CF1314" s="946">
        <f t="shared" si="255"/>
        <v>1325679.27</v>
      </c>
    </row>
    <row r="1315" spans="2:84">
      <c r="B1315" s="839" t="s">
        <v>98</v>
      </c>
      <c r="C1315" s="839" t="s">
        <v>273</v>
      </c>
      <c r="D1315" s="839" t="s">
        <v>4457</v>
      </c>
      <c r="E1315" s="839" t="s">
        <v>4458</v>
      </c>
      <c r="F1315" s="841">
        <v>45832</v>
      </c>
      <c r="G1315" s="868" t="s">
        <v>273</v>
      </c>
      <c r="H1315" s="842" t="s">
        <v>102</v>
      </c>
      <c r="I1315" s="883" t="s">
        <v>4459</v>
      </c>
      <c r="J1315" s="841">
        <v>45818</v>
      </c>
      <c r="K1315" s="841">
        <v>45915</v>
      </c>
      <c r="L1315" s="843" t="s">
        <v>106</v>
      </c>
      <c r="M1315" s="844" t="s">
        <v>275</v>
      </c>
      <c r="N1315" s="841"/>
      <c r="O1315" s="884" t="s">
        <v>150</v>
      </c>
      <c r="P1315" s="842" t="s">
        <v>276</v>
      </c>
      <c r="Q1315" s="843"/>
      <c r="R1315" s="845">
        <v>11219.31</v>
      </c>
      <c r="S1315" s="1127" t="s">
        <v>4499</v>
      </c>
      <c r="T1315" s="885" t="s">
        <v>4500</v>
      </c>
      <c r="U1315" s="886">
        <v>3</v>
      </c>
      <c r="V1315" s="842" t="s">
        <v>3</v>
      </c>
      <c r="W1315" s="846" t="s">
        <v>4501</v>
      </c>
      <c r="X1315" s="847">
        <f t="shared" si="248"/>
        <v>85.17</v>
      </c>
      <c r="Y1315" s="853">
        <v>0.5</v>
      </c>
      <c r="Z1315" s="849">
        <v>14.2</v>
      </c>
      <c r="AA1315" s="849"/>
      <c r="AB1315" s="849">
        <f t="shared" si="249"/>
        <v>42.599999999999994</v>
      </c>
      <c r="AC1315" s="850">
        <f t="shared" si="250"/>
        <v>42.599999999999994</v>
      </c>
      <c r="AD1315" s="851">
        <f t="shared" si="247"/>
        <v>32000</v>
      </c>
      <c r="AE1315" s="852">
        <v>30266.65</v>
      </c>
      <c r="AF1315" s="853">
        <v>0.1</v>
      </c>
      <c r="AG1315" s="854">
        <f t="shared" si="251"/>
        <v>151835.69315800696</v>
      </c>
      <c r="AH1315" s="853">
        <v>0.08</v>
      </c>
      <c r="AI1315" s="855">
        <f t="shared" si="252"/>
        <v>115295.59865264055</v>
      </c>
      <c r="AJ1315" s="845" t="s">
        <v>4463</v>
      </c>
      <c r="AK1315" s="857">
        <v>45863</v>
      </c>
      <c r="AL1315" s="843" t="s">
        <v>4464</v>
      </c>
      <c r="AM1315" s="843"/>
      <c r="AN1315" s="844"/>
      <c r="AO1315" s="844" t="s">
        <v>116</v>
      </c>
      <c r="AP1315" s="841"/>
      <c r="AQ1315" s="841">
        <v>45867</v>
      </c>
      <c r="AR1315" s="841">
        <v>45870</v>
      </c>
      <c r="AS1315" s="842" t="s">
        <v>4465</v>
      </c>
      <c r="AT1315" s="842" t="s">
        <v>4466</v>
      </c>
      <c r="AU1315" s="842" t="s">
        <v>1565</v>
      </c>
      <c r="AV1315" s="845" t="s">
        <v>4467</v>
      </c>
      <c r="AW1315" s="861">
        <v>45871</v>
      </c>
      <c r="AX1315" s="862">
        <v>45872</v>
      </c>
      <c r="AY1315" s="843"/>
      <c r="AZ1315" s="842"/>
      <c r="BA1315" s="842" t="s">
        <v>120</v>
      </c>
      <c r="BB1315" s="863" t="s">
        <v>121</v>
      </c>
      <c r="BC1315" s="864">
        <v>45873</v>
      </c>
      <c r="BD1315" s="860" t="s">
        <v>4468</v>
      </c>
      <c r="BE1315" s="865" cm="1">
        <f t="array" ref="BE1315">IF(BD1315="","",AC1315/SUMPRODUCT(--(BD1315=$BD$4:$BD$12824),$AC$4:$AC$12824))</f>
        <v>1.2081953078912735E-2</v>
      </c>
      <c r="BF1315" s="458"/>
      <c r="BG1315" s="458"/>
      <c r="BH1315" s="458"/>
      <c r="BI1315" s="458"/>
      <c r="BJ1315" s="458"/>
      <c r="BK1315" s="458"/>
      <c r="BL1315" s="458"/>
      <c r="BM1315" s="458"/>
      <c r="BN1315" s="458"/>
      <c r="BO1315" s="866">
        <f>VLOOKUP(BD1315,$BD$4:$BN$12824,3,0)*BE1315</f>
        <v>228997.64158006985</v>
      </c>
      <c r="BP1315" s="866"/>
      <c r="BQ1315" s="866"/>
      <c r="BR1315" s="866">
        <f>VLOOKUP(BD1315,$BD$4:$BN$12824,6,0)*BE1315</f>
        <v>9542.9306393792231</v>
      </c>
      <c r="BS1315" s="866">
        <f>VLOOKUP(BD1315,$BD$4:$BN$12824,7,0)*BE1315</f>
        <v>0</v>
      </c>
      <c r="BT1315" s="866"/>
      <c r="BU1315" s="866">
        <f>VLOOKUP(BD1315,$BD$4:$BN$12824,9,0)*BE1315</f>
        <v>241.63906157825471</v>
      </c>
      <c r="BV1315" s="867"/>
      <c r="BW1315" s="867">
        <f>VLOOKUP(BD1315,$BD$4:$BN$12824,11,0)*BE1315</f>
        <v>0</v>
      </c>
      <c r="BX1315" s="1146">
        <f t="shared" si="253"/>
        <v>238782.21128102732</v>
      </c>
      <c r="BY1315" s="867">
        <f t="shared" si="256"/>
        <v>559992.3981463447</v>
      </c>
      <c r="BZ1315" s="867">
        <f t="shared" si="254"/>
        <v>1679977.194439034</v>
      </c>
      <c r="CA1315" s="867">
        <f>_xlfn.MAXIFS($BY$4:$BY$12824,$S$4:$S$12824,$S1315)</f>
        <v>559992.3981463447</v>
      </c>
      <c r="CB1315" s="1032"/>
      <c r="CF1315" s="946">
        <f t="shared" si="255"/>
        <v>1289359.2899999998</v>
      </c>
    </row>
    <row r="1316" spans="2:84">
      <c r="B1316" s="839" t="s">
        <v>98</v>
      </c>
      <c r="C1316" s="839" t="s">
        <v>273</v>
      </c>
      <c r="D1316" s="839" t="s">
        <v>4457</v>
      </c>
      <c r="E1316" s="839" t="s">
        <v>4458</v>
      </c>
      <c r="F1316" s="841">
        <v>45832</v>
      </c>
      <c r="G1316" s="868" t="s">
        <v>273</v>
      </c>
      <c r="H1316" s="842" t="s">
        <v>102</v>
      </c>
      <c r="I1316" s="883" t="s">
        <v>4459</v>
      </c>
      <c r="J1316" s="841">
        <v>45818</v>
      </c>
      <c r="K1316" s="841">
        <v>45915</v>
      </c>
      <c r="L1316" s="843" t="s">
        <v>106</v>
      </c>
      <c r="M1316" s="844" t="s">
        <v>275</v>
      </c>
      <c r="N1316" s="841"/>
      <c r="O1316" s="884" t="s">
        <v>150</v>
      </c>
      <c r="P1316" s="842" t="s">
        <v>276</v>
      </c>
      <c r="Q1316" s="843"/>
      <c r="R1316" s="845">
        <v>11139.22</v>
      </c>
      <c r="S1316" s="1127" t="s">
        <v>4502</v>
      </c>
      <c r="T1316" s="885" t="s">
        <v>4503</v>
      </c>
      <c r="U1316" s="886">
        <v>2</v>
      </c>
      <c r="V1316" s="842" t="s">
        <v>3</v>
      </c>
      <c r="W1316" s="846" t="s">
        <v>4504</v>
      </c>
      <c r="X1316" s="847">
        <f t="shared" si="248"/>
        <v>91.02</v>
      </c>
      <c r="Y1316" s="853">
        <v>0.5</v>
      </c>
      <c r="Z1316" s="849">
        <v>22.76</v>
      </c>
      <c r="AA1316" s="849"/>
      <c r="AB1316" s="849">
        <f t="shared" si="249"/>
        <v>45.52</v>
      </c>
      <c r="AC1316" s="850">
        <f t="shared" si="250"/>
        <v>45.52</v>
      </c>
      <c r="AD1316" s="851">
        <f t="shared" si="247"/>
        <v>32000</v>
      </c>
      <c r="AE1316" s="852">
        <v>30266.65</v>
      </c>
      <c r="AF1316" s="853">
        <v>0.1</v>
      </c>
      <c r="AG1316" s="854">
        <f t="shared" si="251"/>
        <v>162243.21015381406</v>
      </c>
      <c r="AH1316" s="853">
        <v>0.08</v>
      </c>
      <c r="AI1316" s="855">
        <f t="shared" si="252"/>
        <v>123198.48945230513</v>
      </c>
      <c r="AJ1316" s="845" t="s">
        <v>4463</v>
      </c>
      <c r="AK1316" s="857">
        <v>45863</v>
      </c>
      <c r="AL1316" s="843" t="s">
        <v>4464</v>
      </c>
      <c r="AM1316" s="843"/>
      <c r="AN1316" s="844"/>
      <c r="AO1316" s="844" t="s">
        <v>116</v>
      </c>
      <c r="AP1316" s="841"/>
      <c r="AQ1316" s="841">
        <v>45867</v>
      </c>
      <c r="AR1316" s="841">
        <v>45870</v>
      </c>
      <c r="AS1316" s="842" t="s">
        <v>4465</v>
      </c>
      <c r="AT1316" s="842" t="s">
        <v>4466</v>
      </c>
      <c r="AU1316" s="842" t="s">
        <v>1565</v>
      </c>
      <c r="AV1316" s="845" t="s">
        <v>4467</v>
      </c>
      <c r="AW1316" s="861">
        <v>45871</v>
      </c>
      <c r="AX1316" s="862">
        <v>45872</v>
      </c>
      <c r="AY1316" s="843"/>
      <c r="AZ1316" s="842"/>
      <c r="BA1316" s="842" t="s">
        <v>120</v>
      </c>
      <c r="BB1316" s="863" t="s">
        <v>121</v>
      </c>
      <c r="BC1316" s="864">
        <v>45873</v>
      </c>
      <c r="BD1316" s="860" t="s">
        <v>4468</v>
      </c>
      <c r="BE1316" s="865" cm="1">
        <f t="array" ref="BE1316">IF(BD1316="","",AC1316/SUMPRODUCT(--(BD1316=$BD$4:$BD$12824),$AC$4:$AC$12824))</f>
        <v>1.2910105731270138E-2</v>
      </c>
      <c r="BF1316" s="458"/>
      <c r="BG1316" s="458"/>
      <c r="BH1316" s="458"/>
      <c r="BI1316" s="458"/>
      <c r="BJ1316" s="458"/>
      <c r="BK1316" s="458"/>
      <c r="BL1316" s="458"/>
      <c r="BM1316" s="458"/>
      <c r="BN1316" s="458"/>
      <c r="BO1316" s="866">
        <f>VLOOKUP(BD1316,$BD$4:$BN$12824,3,0)*BE1316</f>
        <v>244694.19353814042</v>
      </c>
      <c r="BP1316" s="866"/>
      <c r="BQ1316" s="866"/>
      <c r="BR1316" s="866">
        <f>VLOOKUP(BD1316,$BD$4:$BN$12824,6,0)*BE1316</f>
        <v>10197.047011843719</v>
      </c>
      <c r="BS1316" s="866">
        <f>VLOOKUP(BD1316,$BD$4:$BN$12824,7,0)*BE1316</f>
        <v>0</v>
      </c>
      <c r="BT1316" s="866"/>
      <c r="BU1316" s="866">
        <f>VLOOKUP(BD1316,$BD$4:$BN$12824,9,0)*BE1316</f>
        <v>258.20211462540277</v>
      </c>
      <c r="BV1316" s="867"/>
      <c r="BW1316" s="867">
        <f>VLOOKUP(BD1316,$BD$4:$BN$12824,11,0)*BE1316</f>
        <v>0</v>
      </c>
      <c r="BX1316" s="1146">
        <f t="shared" si="253"/>
        <v>255149.44266460952</v>
      </c>
      <c r="BY1316" s="867">
        <f t="shared" si="256"/>
        <v>897565.28040921187</v>
      </c>
      <c r="BZ1316" s="867">
        <f t="shared" si="254"/>
        <v>1795130.5608184237</v>
      </c>
      <c r="CA1316" s="867">
        <f>_xlfn.MAXIFS($BY$4:$BY$12824,$S$4:$S$12824,$S1316)</f>
        <v>1273269.5654891112</v>
      </c>
      <c r="CB1316" s="1032"/>
      <c r="CF1316" s="946">
        <f t="shared" si="255"/>
        <v>1377737.9080000001</v>
      </c>
    </row>
    <row r="1317" spans="2:84">
      <c r="B1317" s="839" t="s">
        <v>98</v>
      </c>
      <c r="C1317" s="839" t="s">
        <v>273</v>
      </c>
      <c r="D1317" s="839" t="s">
        <v>4457</v>
      </c>
      <c r="E1317" s="839" t="s">
        <v>4458</v>
      </c>
      <c r="F1317" s="841">
        <v>45832</v>
      </c>
      <c r="G1317" s="868" t="s">
        <v>273</v>
      </c>
      <c r="H1317" s="842" t="s">
        <v>102</v>
      </c>
      <c r="I1317" s="883" t="s">
        <v>4459</v>
      </c>
      <c r="J1317" s="841">
        <v>45818</v>
      </c>
      <c r="K1317" s="841">
        <v>45915</v>
      </c>
      <c r="L1317" s="843" t="s">
        <v>106</v>
      </c>
      <c r="M1317" s="844" t="s">
        <v>275</v>
      </c>
      <c r="N1317" s="841"/>
      <c r="O1317" s="884" t="s">
        <v>150</v>
      </c>
      <c r="P1317" s="842" t="s">
        <v>276</v>
      </c>
      <c r="Q1317" s="843"/>
      <c r="R1317" s="845">
        <v>11140</v>
      </c>
      <c r="S1317" s="1127" t="s">
        <v>4505</v>
      </c>
      <c r="T1317" s="885" t="s">
        <v>4506</v>
      </c>
      <c r="U1317" s="886">
        <v>2</v>
      </c>
      <c r="V1317" s="842" t="s">
        <v>3</v>
      </c>
      <c r="W1317" s="846" t="s">
        <v>4507</v>
      </c>
      <c r="X1317" s="847">
        <f t="shared" si="248"/>
        <v>43.74</v>
      </c>
      <c r="Y1317" s="853">
        <v>0.5</v>
      </c>
      <c r="Z1317" s="849">
        <v>10.94</v>
      </c>
      <c r="AA1317" s="849"/>
      <c r="AB1317" s="849">
        <f t="shared" si="249"/>
        <v>21.88</v>
      </c>
      <c r="AC1317" s="850">
        <f t="shared" si="250"/>
        <v>21.88</v>
      </c>
      <c r="AD1317" s="851">
        <f t="shared" si="247"/>
        <v>32000</v>
      </c>
      <c r="AE1317" s="852">
        <v>30266.65</v>
      </c>
      <c r="AF1317" s="853">
        <v>0.1</v>
      </c>
      <c r="AG1317" s="854">
        <f t="shared" si="251"/>
        <v>77985.09310556791</v>
      </c>
      <c r="AH1317" s="853">
        <v>0.08</v>
      </c>
      <c r="AI1317" s="855">
        <f t="shared" si="252"/>
        <v>59217.551608445443</v>
      </c>
      <c r="AJ1317" s="845" t="s">
        <v>4463</v>
      </c>
      <c r="AK1317" s="857">
        <v>45863</v>
      </c>
      <c r="AL1317" s="843" t="s">
        <v>4464</v>
      </c>
      <c r="AM1317" s="843"/>
      <c r="AN1317" s="844"/>
      <c r="AO1317" s="844" t="s">
        <v>116</v>
      </c>
      <c r="AP1317" s="841"/>
      <c r="AQ1317" s="841">
        <v>45867</v>
      </c>
      <c r="AR1317" s="841">
        <v>45870</v>
      </c>
      <c r="AS1317" s="842" t="s">
        <v>4465</v>
      </c>
      <c r="AT1317" s="842" t="s">
        <v>4466</v>
      </c>
      <c r="AU1317" s="842" t="s">
        <v>1565</v>
      </c>
      <c r="AV1317" s="845" t="s">
        <v>4467</v>
      </c>
      <c r="AW1317" s="861">
        <v>45871</v>
      </c>
      <c r="AX1317" s="862">
        <v>45872</v>
      </c>
      <c r="AY1317" s="843"/>
      <c r="AZ1317" s="842"/>
      <c r="BA1317" s="842" t="s">
        <v>120</v>
      </c>
      <c r="BB1317" s="863" t="s">
        <v>121</v>
      </c>
      <c r="BC1317" s="864">
        <v>45873</v>
      </c>
      <c r="BD1317" s="860" t="s">
        <v>4468</v>
      </c>
      <c r="BE1317" s="865" cm="1">
        <f t="array" ref="BE1317">IF(BD1317="","",AC1317/SUMPRODUCT(--(BD1317=$BD$4:$BD$12824),$AC$4:$AC$12824))</f>
        <v>6.205472614239687E-3</v>
      </c>
      <c r="BF1317" s="458"/>
      <c r="BG1317" s="458"/>
      <c r="BH1317" s="458"/>
      <c r="BI1317" s="458"/>
      <c r="BJ1317" s="458"/>
      <c r="BK1317" s="458"/>
      <c r="BL1317" s="458"/>
      <c r="BM1317" s="458"/>
      <c r="BN1317" s="458"/>
      <c r="BO1317" s="866">
        <f>VLOOKUP(BD1317,$BD$4:$BN$12824,3,0)*BE1317</f>
        <v>117616.62905567906</v>
      </c>
      <c r="BP1317" s="866"/>
      <c r="BQ1317" s="866"/>
      <c r="BR1317" s="866">
        <f>VLOOKUP(BD1317,$BD$4:$BN$12824,6,0)*BE1317</f>
        <v>4901.392544357217</v>
      </c>
      <c r="BS1317" s="866">
        <f>VLOOKUP(BD1317,$BD$4:$BN$12824,7,0)*BE1317</f>
        <v>0</v>
      </c>
      <c r="BT1317" s="866"/>
      <c r="BU1317" s="866">
        <f>VLOOKUP(BD1317,$BD$4:$BN$12824,9,0)*BE1317</f>
        <v>124.10945228479373</v>
      </c>
      <c r="BV1317" s="867"/>
      <c r="BW1317" s="867">
        <f>VLOOKUP(BD1317,$BD$4:$BN$12824,11,0)*BE1317</f>
        <v>0</v>
      </c>
      <c r="BX1317" s="1146">
        <f t="shared" si="253"/>
        <v>122642.13105232109</v>
      </c>
      <c r="BY1317" s="867">
        <f t="shared" si="256"/>
        <v>431430.76307894452</v>
      </c>
      <c r="BZ1317" s="867">
        <f t="shared" si="254"/>
        <v>862861.52615788905</v>
      </c>
      <c r="CA1317" s="867">
        <f>_xlfn.MAXIFS($BY$4:$BY$12824,$S$4:$S$12824,$S1317)</f>
        <v>431430.76307894452</v>
      </c>
      <c r="CB1317" s="1032"/>
      <c r="CF1317" s="946">
        <f t="shared" si="255"/>
        <v>662234.30200000003</v>
      </c>
    </row>
    <row r="1318" spans="2:84">
      <c r="B1318" s="839" t="s">
        <v>98</v>
      </c>
      <c r="C1318" s="839" t="s">
        <v>273</v>
      </c>
      <c r="D1318" s="839" t="s">
        <v>4457</v>
      </c>
      <c r="E1318" s="839" t="s">
        <v>4458</v>
      </c>
      <c r="F1318" s="841">
        <v>45832</v>
      </c>
      <c r="G1318" s="868" t="s">
        <v>273</v>
      </c>
      <c r="H1318" s="842" t="s">
        <v>102</v>
      </c>
      <c r="I1318" s="883" t="s">
        <v>4459</v>
      </c>
      <c r="J1318" s="841">
        <v>45818</v>
      </c>
      <c r="K1318" s="841">
        <v>45915</v>
      </c>
      <c r="L1318" s="843" t="s">
        <v>106</v>
      </c>
      <c r="M1318" s="844" t="s">
        <v>275</v>
      </c>
      <c r="N1318" s="841"/>
      <c r="O1318" s="884" t="s">
        <v>150</v>
      </c>
      <c r="P1318" s="842" t="s">
        <v>276</v>
      </c>
      <c r="Q1318" s="843"/>
      <c r="R1318" s="845">
        <v>15168</v>
      </c>
      <c r="S1318" s="1127" t="s">
        <v>4007</v>
      </c>
      <c r="T1318" s="885" t="s">
        <v>4008</v>
      </c>
      <c r="U1318" s="886">
        <v>4</v>
      </c>
      <c r="V1318" s="842" t="s">
        <v>3</v>
      </c>
      <c r="W1318" s="846" t="s">
        <v>4508</v>
      </c>
      <c r="X1318" s="847">
        <f t="shared" si="248"/>
        <v>14.68</v>
      </c>
      <c r="Y1318" s="853">
        <v>0.5</v>
      </c>
      <c r="Z1318" s="849">
        <v>1.84</v>
      </c>
      <c r="AA1318" s="849"/>
      <c r="AB1318" s="849">
        <f t="shared" si="249"/>
        <v>7.36</v>
      </c>
      <c r="AC1318" s="850">
        <f t="shared" si="250"/>
        <v>7.36</v>
      </c>
      <c r="AD1318" s="851">
        <f t="shared" si="247"/>
        <v>32000</v>
      </c>
      <c r="AE1318" s="852">
        <v>30266.65</v>
      </c>
      <c r="AF1318" s="853">
        <v>0.1</v>
      </c>
      <c r="AG1318" s="854">
        <f t="shared" si="251"/>
        <v>26232.645578472573</v>
      </c>
      <c r="AH1318" s="853">
        <v>0.08</v>
      </c>
      <c r="AI1318" s="855">
        <f t="shared" si="252"/>
        <v>19919.61516627781</v>
      </c>
      <c r="AJ1318" s="845" t="s">
        <v>4463</v>
      </c>
      <c r="AK1318" s="857">
        <v>45863</v>
      </c>
      <c r="AL1318" s="843" t="s">
        <v>4464</v>
      </c>
      <c r="AM1318" s="843"/>
      <c r="AN1318" s="844"/>
      <c r="AO1318" s="844" t="s">
        <v>116</v>
      </c>
      <c r="AP1318" s="841"/>
      <c r="AQ1318" s="841">
        <v>45867</v>
      </c>
      <c r="AR1318" s="841">
        <v>45870</v>
      </c>
      <c r="AS1318" s="842" t="s">
        <v>4465</v>
      </c>
      <c r="AT1318" s="842" t="s">
        <v>4466</v>
      </c>
      <c r="AU1318" s="842" t="s">
        <v>1565</v>
      </c>
      <c r="AV1318" s="845" t="s">
        <v>4467</v>
      </c>
      <c r="AW1318" s="861">
        <v>45871</v>
      </c>
      <c r="AX1318" s="862">
        <v>45872</v>
      </c>
      <c r="AY1318" s="843"/>
      <c r="AZ1318" s="842"/>
      <c r="BA1318" s="842" t="s">
        <v>120</v>
      </c>
      <c r="BB1318" s="863" t="s">
        <v>121</v>
      </c>
      <c r="BC1318" s="864">
        <v>45873</v>
      </c>
      <c r="BD1318" s="860" t="s">
        <v>4468</v>
      </c>
      <c r="BE1318" s="865" cm="1">
        <f t="array" ref="BE1318">IF(BD1318="","",AC1318/SUMPRODUCT(--(BD1318=$BD$4:$BD$12824),$AC$4:$AC$12824))</f>
        <v>2.0873984662159095E-3</v>
      </c>
      <c r="BF1318" s="458"/>
      <c r="BG1318" s="458"/>
      <c r="BH1318" s="458"/>
      <c r="BI1318" s="458"/>
      <c r="BJ1318" s="458"/>
      <c r="BK1318" s="458"/>
      <c r="BL1318" s="458"/>
      <c r="BM1318" s="458"/>
      <c r="BN1318" s="458"/>
      <c r="BO1318" s="866">
        <f>VLOOKUP(BD1318,$BD$4:$BN$12824,3,0)*BE1318</f>
        <v>39563.911784725686</v>
      </c>
      <c r="BP1318" s="866"/>
      <c r="BQ1318" s="866"/>
      <c r="BR1318" s="866">
        <f>VLOOKUP(BD1318,$BD$4:$BN$12824,6,0)*BE1318</f>
        <v>1648.731678540636</v>
      </c>
      <c r="BS1318" s="866">
        <f>VLOOKUP(BD1318,$BD$4:$BN$12824,7,0)*BE1318</f>
        <v>0</v>
      </c>
      <c r="BT1318" s="866"/>
      <c r="BU1318" s="866">
        <f>VLOOKUP(BD1318,$BD$4:$BN$12824,9,0)*BE1318</f>
        <v>41.747969324318191</v>
      </c>
      <c r="BV1318" s="867"/>
      <c r="BW1318" s="867">
        <f>VLOOKUP(BD1318,$BD$4:$BN$12824,11,0)*BE1318</f>
        <v>0</v>
      </c>
      <c r="BX1318" s="1146">
        <f t="shared" si="253"/>
        <v>41254.391432590637</v>
      </c>
      <c r="BY1318" s="867">
        <f t="shared" si="256"/>
        <v>72562.395252765811</v>
      </c>
      <c r="BZ1318" s="867">
        <f t="shared" si="254"/>
        <v>290249.58101106324</v>
      </c>
      <c r="CA1318" s="867">
        <f>_xlfn.MAXIFS($BY$4:$BY$12824,$S$4:$S$12824,$S1318)</f>
        <v>72562.395252765811</v>
      </c>
      <c r="CB1318" s="1032"/>
      <c r="CF1318" s="946">
        <f t="shared" si="255"/>
        <v>222762.54400000002</v>
      </c>
    </row>
    <row r="1319" spans="2:84">
      <c r="B1319" s="839" t="s">
        <v>98</v>
      </c>
      <c r="C1319" s="839" t="s">
        <v>273</v>
      </c>
      <c r="D1319" s="839" t="s">
        <v>4457</v>
      </c>
      <c r="E1319" s="839" t="s">
        <v>4458</v>
      </c>
      <c r="F1319" s="841">
        <v>45832</v>
      </c>
      <c r="G1319" s="868" t="s">
        <v>273</v>
      </c>
      <c r="H1319" s="842" t="s">
        <v>102</v>
      </c>
      <c r="I1319" s="883" t="s">
        <v>4459</v>
      </c>
      <c r="J1319" s="841">
        <v>45818</v>
      </c>
      <c r="K1319" s="841">
        <v>45915</v>
      </c>
      <c r="L1319" s="843" t="s">
        <v>106</v>
      </c>
      <c r="M1319" s="844" t="s">
        <v>275</v>
      </c>
      <c r="N1319" s="841"/>
      <c r="O1319" s="884" t="s">
        <v>150</v>
      </c>
      <c r="P1319" s="842" t="s">
        <v>276</v>
      </c>
      <c r="Q1319" s="843"/>
      <c r="R1319" s="845">
        <v>10738</v>
      </c>
      <c r="S1319" s="1127" t="s">
        <v>4509</v>
      </c>
      <c r="T1319" s="885" t="s">
        <v>4510</v>
      </c>
      <c r="U1319" s="886">
        <v>8</v>
      </c>
      <c r="V1319" s="842" t="s">
        <v>3</v>
      </c>
      <c r="W1319" s="846" t="s">
        <v>4511</v>
      </c>
      <c r="X1319" s="847">
        <f t="shared" si="248"/>
        <v>95.76</v>
      </c>
      <c r="Y1319" s="853">
        <v>0.5</v>
      </c>
      <c r="Z1319" s="849">
        <v>5.99</v>
      </c>
      <c r="AA1319" s="849"/>
      <c r="AB1319" s="849">
        <f t="shared" si="249"/>
        <v>47.92</v>
      </c>
      <c r="AC1319" s="850">
        <f t="shared" si="250"/>
        <v>47.92</v>
      </c>
      <c r="AD1319" s="851">
        <f t="shared" si="247"/>
        <v>32000</v>
      </c>
      <c r="AE1319" s="852">
        <v>30266.65</v>
      </c>
      <c r="AF1319" s="853">
        <v>0.1</v>
      </c>
      <c r="AG1319" s="854">
        <f t="shared" si="251"/>
        <v>170797.33371201163</v>
      </c>
      <c r="AH1319" s="853">
        <v>0.08</v>
      </c>
      <c r="AI1319" s="855">
        <f t="shared" si="252"/>
        <v>129694.01613696093</v>
      </c>
      <c r="AJ1319" s="845" t="s">
        <v>4463</v>
      </c>
      <c r="AK1319" s="857">
        <v>45863</v>
      </c>
      <c r="AL1319" s="843" t="s">
        <v>4464</v>
      </c>
      <c r="AM1319" s="843"/>
      <c r="AN1319" s="844"/>
      <c r="AO1319" s="844" t="s">
        <v>116</v>
      </c>
      <c r="AP1319" s="841"/>
      <c r="AQ1319" s="841">
        <v>45867</v>
      </c>
      <c r="AR1319" s="841">
        <v>45870</v>
      </c>
      <c r="AS1319" s="842" t="s">
        <v>4465</v>
      </c>
      <c r="AT1319" s="842" t="s">
        <v>4466</v>
      </c>
      <c r="AU1319" s="842" t="s">
        <v>1565</v>
      </c>
      <c r="AV1319" s="845" t="s">
        <v>4467</v>
      </c>
      <c r="AW1319" s="861">
        <v>45871</v>
      </c>
      <c r="AX1319" s="862">
        <v>45872</v>
      </c>
      <c r="AY1319" s="843"/>
      <c r="AZ1319" s="842"/>
      <c r="BA1319" s="842" t="s">
        <v>120</v>
      </c>
      <c r="BB1319" s="863" t="s">
        <v>121</v>
      </c>
      <c r="BC1319" s="864">
        <v>45873</v>
      </c>
      <c r="BD1319" s="860" t="s">
        <v>4468</v>
      </c>
      <c r="BE1319" s="865" cm="1">
        <f t="array" ref="BE1319">IF(BD1319="","",AC1319/SUMPRODUCT(--(BD1319=$BD$4:$BD$12824),$AC$4:$AC$12824))</f>
        <v>1.3590779144166629E-2</v>
      </c>
      <c r="BF1319" s="458"/>
      <c r="BG1319" s="458"/>
      <c r="BH1319" s="458"/>
      <c r="BI1319" s="458"/>
      <c r="BJ1319" s="458"/>
      <c r="BK1319" s="458"/>
      <c r="BL1319" s="458"/>
      <c r="BM1319" s="458"/>
      <c r="BN1319" s="458"/>
      <c r="BO1319" s="866">
        <f>VLOOKUP(BD1319,$BD$4:$BN$12824,3,0)*BE1319</f>
        <v>257595.46912011618</v>
      </c>
      <c r="BP1319" s="866"/>
      <c r="BQ1319" s="866"/>
      <c r="BR1319" s="866">
        <f>VLOOKUP(BD1319,$BD$4:$BN$12824,6,0)*BE1319</f>
        <v>10734.676907020012</v>
      </c>
      <c r="BS1319" s="866">
        <f>VLOOKUP(BD1319,$BD$4:$BN$12824,7,0)*BE1319</f>
        <v>0</v>
      </c>
      <c r="BT1319" s="866"/>
      <c r="BU1319" s="866">
        <f>VLOOKUP(BD1319,$BD$4:$BN$12824,9,0)*BE1319</f>
        <v>271.81558288333258</v>
      </c>
      <c r="BV1319" s="867"/>
      <c r="BW1319" s="867">
        <f>VLOOKUP(BD1319,$BD$4:$BN$12824,11,0)*BE1319</f>
        <v>0</v>
      </c>
      <c r="BX1319" s="1146">
        <f t="shared" si="253"/>
        <v>268601.9616100195</v>
      </c>
      <c r="BY1319" s="867">
        <f t="shared" si="256"/>
        <v>236222.14541525388</v>
      </c>
      <c r="BZ1319" s="867">
        <f t="shared" si="254"/>
        <v>1889777.163322031</v>
      </c>
      <c r="CA1319" s="867">
        <f>_xlfn.MAXIFS($BY$4:$BY$12824,$S$4:$S$12824,$S1319)</f>
        <v>236222.14541525388</v>
      </c>
      <c r="CB1319" s="1032"/>
      <c r="CF1319" s="946">
        <f t="shared" si="255"/>
        <v>1450377.868</v>
      </c>
    </row>
    <row r="1320" spans="2:84">
      <c r="B1320" s="839" t="s">
        <v>98</v>
      </c>
      <c r="C1320" s="839" t="s">
        <v>273</v>
      </c>
      <c r="D1320" s="839" t="s">
        <v>4457</v>
      </c>
      <c r="E1320" s="839" t="s">
        <v>4512</v>
      </c>
      <c r="F1320" s="841">
        <v>45832</v>
      </c>
      <c r="G1320" s="868" t="s">
        <v>273</v>
      </c>
      <c r="H1320" s="842" t="s">
        <v>134</v>
      </c>
      <c r="I1320" s="883" t="s">
        <v>134</v>
      </c>
      <c r="J1320" s="841"/>
      <c r="K1320" s="841"/>
      <c r="L1320" s="843" t="s">
        <v>106</v>
      </c>
      <c r="M1320" s="844" t="s">
        <v>275</v>
      </c>
      <c r="N1320" s="841"/>
      <c r="O1320" s="884" t="s">
        <v>150</v>
      </c>
      <c r="P1320" s="842" t="s">
        <v>276</v>
      </c>
      <c r="Q1320" s="843"/>
      <c r="R1320" s="845" t="s">
        <v>1112</v>
      </c>
      <c r="S1320" s="1127" t="s">
        <v>1113</v>
      </c>
      <c r="T1320" s="885" t="s">
        <v>1114</v>
      </c>
      <c r="U1320" s="886">
        <v>44</v>
      </c>
      <c r="V1320" s="842" t="s">
        <v>3</v>
      </c>
      <c r="W1320" s="846" t="s">
        <v>4513</v>
      </c>
      <c r="X1320" s="847">
        <f t="shared" si="248"/>
        <v>490.6</v>
      </c>
      <c r="Y1320" s="853">
        <v>0.5</v>
      </c>
      <c r="Z1320" s="849">
        <v>5.3</v>
      </c>
      <c r="AA1320" s="849"/>
      <c r="AB1320" s="849">
        <f t="shared" si="249"/>
        <v>233.2</v>
      </c>
      <c r="AC1320" s="850">
        <f t="shared" si="250"/>
        <v>233.2</v>
      </c>
      <c r="AD1320" s="851">
        <f t="shared" si="247"/>
        <v>32000</v>
      </c>
      <c r="AE1320" s="852">
        <v>30266.65</v>
      </c>
      <c r="AF1320" s="853">
        <v>0.1</v>
      </c>
      <c r="AG1320" s="854">
        <f t="shared" si="251"/>
        <v>831175.67240486469</v>
      </c>
      <c r="AH1320" s="853">
        <v>0.08</v>
      </c>
      <c r="AI1320" s="855">
        <f t="shared" si="252"/>
        <v>631148.67619238922</v>
      </c>
      <c r="AJ1320" s="845" t="s">
        <v>4463</v>
      </c>
      <c r="AK1320" s="857">
        <v>45863</v>
      </c>
      <c r="AL1320" s="843" t="s">
        <v>4464</v>
      </c>
      <c r="AM1320" s="843"/>
      <c r="AN1320" s="844"/>
      <c r="AO1320" s="844" t="s">
        <v>116</v>
      </c>
      <c r="AP1320" s="841"/>
      <c r="AQ1320" s="841">
        <v>45867</v>
      </c>
      <c r="AR1320" s="841">
        <v>45870</v>
      </c>
      <c r="AS1320" s="842" t="s">
        <v>4465</v>
      </c>
      <c r="AT1320" s="842" t="s">
        <v>4466</v>
      </c>
      <c r="AU1320" s="842" t="s">
        <v>1565</v>
      </c>
      <c r="AV1320" s="845" t="s">
        <v>4467</v>
      </c>
      <c r="AW1320" s="861">
        <v>45871</v>
      </c>
      <c r="AX1320" s="862">
        <v>45872</v>
      </c>
      <c r="AY1320" s="843"/>
      <c r="AZ1320" s="842"/>
      <c r="BA1320" s="842" t="s">
        <v>120</v>
      </c>
      <c r="BB1320" s="863" t="s">
        <v>121</v>
      </c>
      <c r="BC1320" s="864">
        <v>45873</v>
      </c>
      <c r="BD1320" s="860" t="s">
        <v>4468</v>
      </c>
      <c r="BE1320" s="865" cm="1">
        <f t="array" ref="BE1320">IF(BD1320="","",AC1320/SUMPRODUCT(--(BD1320=$BD$4:$BD$12824),$AC$4:$AC$12824))</f>
        <v>6.6138766619775829E-2</v>
      </c>
      <c r="BF1320" s="458"/>
      <c r="BG1320" s="458"/>
      <c r="BH1320" s="458"/>
      <c r="BI1320" s="458"/>
      <c r="BJ1320" s="458"/>
      <c r="BK1320" s="458"/>
      <c r="BL1320" s="458"/>
      <c r="BM1320" s="458"/>
      <c r="BN1320" s="458"/>
      <c r="BO1320" s="866">
        <f>VLOOKUP(BD1320,$BD$4:$BN$12824,3,0)*BE1320</f>
        <v>1253573.9440486454</v>
      </c>
      <c r="BP1320" s="866"/>
      <c r="BQ1320" s="866"/>
      <c r="BR1320" s="866">
        <f>VLOOKUP(BD1320,$BD$4:$BN$12824,6,0)*BE1320</f>
        <v>52239.704814629942</v>
      </c>
      <c r="BS1320" s="866">
        <f>VLOOKUP(BD1320,$BD$4:$BN$12824,7,0)*BE1320</f>
        <v>0</v>
      </c>
      <c r="BT1320" s="866"/>
      <c r="BU1320" s="866">
        <f>VLOOKUP(BD1320,$BD$4:$BN$12824,9,0)*BE1320</f>
        <v>1322.7753323955167</v>
      </c>
      <c r="BV1320" s="867"/>
      <c r="BW1320" s="867">
        <f>VLOOKUP(BD1320,$BD$4:$BN$12824,11,0)*BE1320</f>
        <v>0</v>
      </c>
      <c r="BX1320" s="1146">
        <f t="shared" si="253"/>
        <v>1307136.4241956708</v>
      </c>
      <c r="BY1320" s="867">
        <f t="shared" si="256"/>
        <v>209011.24719546671</v>
      </c>
      <c r="BZ1320" s="867">
        <f t="shared" si="254"/>
        <v>9196494.8766005356</v>
      </c>
      <c r="CA1320" s="867">
        <f>_xlfn.MAXIFS($BY$4:$BY$12824,$S$4:$S$12824,$S1320)</f>
        <v>209011.24719546674</v>
      </c>
      <c r="CB1320" s="1032"/>
      <c r="CF1320" s="946">
        <f t="shared" si="255"/>
        <v>7058182.7800000003</v>
      </c>
    </row>
    <row r="1321" spans="2:84">
      <c r="B1321" s="839" t="s">
        <v>98</v>
      </c>
      <c r="C1321" s="839" t="s">
        <v>273</v>
      </c>
      <c r="D1321" s="839" t="s">
        <v>4457</v>
      </c>
      <c r="E1321" s="839" t="s">
        <v>4512</v>
      </c>
      <c r="F1321" s="841">
        <v>45832</v>
      </c>
      <c r="G1321" s="868" t="s">
        <v>273</v>
      </c>
      <c r="H1321" s="842" t="s">
        <v>134</v>
      </c>
      <c r="I1321" s="883" t="s">
        <v>134</v>
      </c>
      <c r="J1321" s="841"/>
      <c r="K1321" s="841"/>
      <c r="L1321" s="843" t="s">
        <v>106</v>
      </c>
      <c r="M1321" s="844" t="s">
        <v>275</v>
      </c>
      <c r="N1321" s="841"/>
      <c r="O1321" s="884" t="s">
        <v>150</v>
      </c>
      <c r="P1321" s="842" t="s">
        <v>276</v>
      </c>
      <c r="Q1321" s="843"/>
      <c r="R1321" s="845" t="s">
        <v>4514</v>
      </c>
      <c r="S1321" s="1127" t="s">
        <v>4515</v>
      </c>
      <c r="T1321" s="885" t="s">
        <v>4516</v>
      </c>
      <c r="U1321" s="886">
        <v>270</v>
      </c>
      <c r="V1321" s="842" t="s">
        <v>3</v>
      </c>
      <c r="W1321" s="846" t="s">
        <v>4517</v>
      </c>
      <c r="X1321" s="847">
        <f t="shared" si="248"/>
        <v>1252.8</v>
      </c>
      <c r="Y1321" s="853">
        <v>0.5</v>
      </c>
      <c r="Z1321" s="849">
        <v>2.2000000000000002</v>
      </c>
      <c r="AA1321" s="849"/>
      <c r="AB1321" s="849">
        <f t="shared" si="249"/>
        <v>594</v>
      </c>
      <c r="AC1321" s="850">
        <f t="shared" si="250"/>
        <v>594</v>
      </c>
      <c r="AD1321" s="851">
        <f t="shared" si="247"/>
        <v>32000</v>
      </c>
      <c r="AE1321" s="852">
        <v>30266.65</v>
      </c>
      <c r="AF1321" s="853">
        <v>0.1</v>
      </c>
      <c r="AG1321" s="854">
        <f t="shared" si="251"/>
        <v>2117145.5806539003</v>
      </c>
      <c r="AH1321" s="853">
        <v>0.08</v>
      </c>
      <c r="AI1321" s="855">
        <f t="shared" si="252"/>
        <v>1607642.854452312</v>
      </c>
      <c r="AJ1321" s="845" t="s">
        <v>4463</v>
      </c>
      <c r="AK1321" s="857">
        <v>45863</v>
      </c>
      <c r="AL1321" s="843" t="s">
        <v>4464</v>
      </c>
      <c r="AM1321" s="843"/>
      <c r="AN1321" s="844"/>
      <c r="AO1321" s="844" t="s">
        <v>116</v>
      </c>
      <c r="AP1321" s="841"/>
      <c r="AQ1321" s="841">
        <v>45867</v>
      </c>
      <c r="AR1321" s="841">
        <v>45870</v>
      </c>
      <c r="AS1321" s="842" t="s">
        <v>4465</v>
      </c>
      <c r="AT1321" s="842" t="s">
        <v>4466</v>
      </c>
      <c r="AU1321" s="842" t="s">
        <v>1565</v>
      </c>
      <c r="AV1321" s="845" t="s">
        <v>4467</v>
      </c>
      <c r="AW1321" s="861">
        <v>45871</v>
      </c>
      <c r="AX1321" s="862">
        <v>45872</v>
      </c>
      <c r="AY1321" s="843"/>
      <c r="AZ1321" s="842"/>
      <c r="BA1321" s="842" t="s">
        <v>120</v>
      </c>
      <c r="BB1321" s="863" t="s">
        <v>121</v>
      </c>
      <c r="BC1321" s="864">
        <v>45873</v>
      </c>
      <c r="BD1321" s="860" t="s">
        <v>4468</v>
      </c>
      <c r="BE1321" s="865" cm="1">
        <f t="array" ref="BE1321">IF(BD1321="","",AC1321/SUMPRODUCT(--(BD1321=$BD$4:$BD$12824),$AC$4:$AC$12824))</f>
        <v>0.16846666969188184</v>
      </c>
      <c r="BF1321" s="458"/>
      <c r="BG1321" s="458"/>
      <c r="BH1321" s="458"/>
      <c r="BI1321" s="458"/>
      <c r="BJ1321" s="458"/>
      <c r="BK1321" s="458"/>
      <c r="BL1321" s="458"/>
      <c r="BM1321" s="458"/>
      <c r="BN1321" s="458"/>
      <c r="BO1321" s="866">
        <f>VLOOKUP(BD1321,$BD$4:$BN$12824,3,0)*BE1321</f>
        <v>3193065.7065390027</v>
      </c>
      <c r="BP1321" s="866"/>
      <c r="BQ1321" s="866"/>
      <c r="BR1321" s="866">
        <f>VLOOKUP(BD1321,$BD$4:$BN$12824,6,0)*BE1321</f>
        <v>133063.39905613288</v>
      </c>
      <c r="BS1321" s="866">
        <f>VLOOKUP(BD1321,$BD$4:$BN$12824,7,0)*BE1321</f>
        <v>0</v>
      </c>
      <c r="BT1321" s="866"/>
      <c r="BU1321" s="866">
        <f>VLOOKUP(BD1321,$BD$4:$BN$12824,9,0)*BE1321</f>
        <v>3369.3333938376368</v>
      </c>
      <c r="BV1321" s="867"/>
      <c r="BW1321" s="867">
        <f>VLOOKUP(BD1321,$BD$4:$BN$12824,11,0)*BE1321</f>
        <v>0</v>
      </c>
      <c r="BX1321" s="1146">
        <f t="shared" si="253"/>
        <v>3329498.4389889734</v>
      </c>
      <c r="BY1321" s="867">
        <f t="shared" si="256"/>
        <v>86759.385628306933</v>
      </c>
      <c r="BZ1321" s="867">
        <f t="shared" si="254"/>
        <v>23425034.119642872</v>
      </c>
      <c r="CA1321" s="867">
        <f>_xlfn.MAXIFS($BY$4:$BY$12824,$S$4:$S$12824,$S1321)</f>
        <v>86759.385628306947</v>
      </c>
      <c r="CB1321" s="1032"/>
      <c r="CF1321" s="946">
        <f t="shared" si="255"/>
        <v>17978390.100000001</v>
      </c>
    </row>
    <row r="1322" spans="2:84">
      <c r="B1322" s="839" t="s">
        <v>98</v>
      </c>
      <c r="C1322" s="839" t="s">
        <v>273</v>
      </c>
      <c r="D1322" s="839" t="s">
        <v>4457</v>
      </c>
      <c r="E1322" s="839" t="s">
        <v>4512</v>
      </c>
      <c r="F1322" s="841">
        <v>45832</v>
      </c>
      <c r="G1322" s="868" t="s">
        <v>273</v>
      </c>
      <c r="H1322" s="842" t="s">
        <v>134</v>
      </c>
      <c r="I1322" s="883" t="s">
        <v>134</v>
      </c>
      <c r="J1322" s="841"/>
      <c r="K1322" s="841"/>
      <c r="L1322" s="843" t="s">
        <v>106</v>
      </c>
      <c r="M1322" s="844" t="s">
        <v>275</v>
      </c>
      <c r="N1322" s="841"/>
      <c r="O1322" s="884" t="s">
        <v>150</v>
      </c>
      <c r="P1322" s="842" t="s">
        <v>276</v>
      </c>
      <c r="Q1322" s="843"/>
      <c r="R1322" s="845" t="s">
        <v>4518</v>
      </c>
      <c r="S1322" s="1127" t="s">
        <v>4519</v>
      </c>
      <c r="T1322" s="885" t="s">
        <v>4520</v>
      </c>
      <c r="U1322" s="886">
        <v>280</v>
      </c>
      <c r="V1322" s="842" t="s">
        <v>3</v>
      </c>
      <c r="W1322" s="846" t="s">
        <v>4521</v>
      </c>
      <c r="X1322" s="847">
        <f t="shared" si="248"/>
        <v>397.59999999999997</v>
      </c>
      <c r="Y1322" s="853">
        <v>0.5</v>
      </c>
      <c r="Z1322" s="849">
        <v>0.67</v>
      </c>
      <c r="AA1322" s="849"/>
      <c r="AB1322" s="849">
        <f t="shared" si="249"/>
        <v>187.60000000000002</v>
      </c>
      <c r="AC1322" s="850">
        <f t="shared" si="250"/>
        <v>187.60000000000002</v>
      </c>
      <c r="AD1322" s="851">
        <f t="shared" si="247"/>
        <v>32000</v>
      </c>
      <c r="AE1322" s="852">
        <v>30266.65</v>
      </c>
      <c r="AF1322" s="853">
        <v>0.1</v>
      </c>
      <c r="AG1322" s="854">
        <f t="shared" si="251"/>
        <v>668647.32479911076</v>
      </c>
      <c r="AH1322" s="853">
        <v>0.08</v>
      </c>
      <c r="AI1322" s="855">
        <f t="shared" si="252"/>
        <v>507733.66918392899</v>
      </c>
      <c r="AJ1322" s="845" t="s">
        <v>4463</v>
      </c>
      <c r="AK1322" s="857">
        <v>45863</v>
      </c>
      <c r="AL1322" s="843" t="s">
        <v>4464</v>
      </c>
      <c r="AM1322" s="843"/>
      <c r="AN1322" s="844"/>
      <c r="AO1322" s="844" t="s">
        <v>116</v>
      </c>
      <c r="AP1322" s="841"/>
      <c r="AQ1322" s="841">
        <v>45867</v>
      </c>
      <c r="AR1322" s="841">
        <v>45870</v>
      </c>
      <c r="AS1322" s="842" t="s">
        <v>4465</v>
      </c>
      <c r="AT1322" s="842" t="s">
        <v>4466</v>
      </c>
      <c r="AU1322" s="842" t="s">
        <v>1565</v>
      </c>
      <c r="AV1322" s="845" t="s">
        <v>4467</v>
      </c>
      <c r="AW1322" s="861">
        <v>45871</v>
      </c>
      <c r="AX1322" s="862">
        <v>45872</v>
      </c>
      <c r="AY1322" s="843"/>
      <c r="AZ1322" s="842"/>
      <c r="BA1322" s="842" t="s">
        <v>120</v>
      </c>
      <c r="BB1322" s="863" t="s">
        <v>121</v>
      </c>
      <c r="BC1322" s="864">
        <v>45873</v>
      </c>
      <c r="BD1322" s="860" t="s">
        <v>4468</v>
      </c>
      <c r="BE1322" s="865" cm="1">
        <f t="array" ref="BE1322">IF(BD1322="","",AC1322/SUMPRODUCT(--(BD1322=$BD$4:$BD$12824),$AC$4:$AC$12824))</f>
        <v>5.3205971774742483E-2</v>
      </c>
      <c r="BF1322" s="458"/>
      <c r="BG1322" s="458"/>
      <c r="BH1322" s="458"/>
      <c r="BI1322" s="458"/>
      <c r="BJ1322" s="458"/>
      <c r="BK1322" s="458"/>
      <c r="BL1322" s="458"/>
      <c r="BM1322" s="458"/>
      <c r="BN1322" s="458"/>
      <c r="BO1322" s="866">
        <f>VLOOKUP(BD1322,$BD$4:$BN$12824,3,0)*BE1322</f>
        <v>1008449.707991106</v>
      </c>
      <c r="BP1322" s="866"/>
      <c r="BQ1322" s="866"/>
      <c r="BR1322" s="866">
        <f>VLOOKUP(BD1322,$BD$4:$BN$12824,6,0)*BE1322</f>
        <v>42024.736806280351</v>
      </c>
      <c r="BS1322" s="866">
        <f>VLOOKUP(BD1322,$BD$4:$BN$12824,7,0)*BE1322</f>
        <v>0</v>
      </c>
      <c r="BT1322" s="866"/>
      <c r="BU1322" s="866">
        <f>VLOOKUP(BD1322,$BD$4:$BN$12824,9,0)*BE1322</f>
        <v>1064.1194354948498</v>
      </c>
      <c r="BV1322" s="867"/>
      <c r="BW1322" s="867">
        <f>VLOOKUP(BD1322,$BD$4:$BN$12824,11,0)*BE1322</f>
        <v>0</v>
      </c>
      <c r="BX1322" s="1146">
        <f t="shared" si="253"/>
        <v>1051538.5642328812</v>
      </c>
      <c r="BY1322" s="867">
        <f t="shared" si="256"/>
        <v>26422.176532257119</v>
      </c>
      <c r="BZ1322" s="867">
        <f t="shared" si="254"/>
        <v>7398209.4290319933</v>
      </c>
      <c r="CA1322" s="867">
        <f>_xlfn.MAXIFS($BY$4:$BY$12824,$S$4:$S$12824,$S1322)</f>
        <v>27999.619907317239</v>
      </c>
      <c r="CB1322" s="1032"/>
      <c r="CF1322" s="946">
        <f t="shared" si="255"/>
        <v>5678023.540000001</v>
      </c>
    </row>
    <row r="1323" spans="2:84">
      <c r="B1323" s="839" t="s">
        <v>98</v>
      </c>
      <c r="C1323" s="839" t="s">
        <v>273</v>
      </c>
      <c r="D1323" s="839" t="s">
        <v>4457</v>
      </c>
      <c r="E1323" s="839" t="s">
        <v>4522</v>
      </c>
      <c r="F1323" s="841">
        <v>45832</v>
      </c>
      <c r="G1323" s="868" t="s">
        <v>273</v>
      </c>
      <c r="H1323" s="842" t="s">
        <v>102</v>
      </c>
      <c r="I1323" s="883" t="s">
        <v>4523</v>
      </c>
      <c r="J1323" s="841">
        <v>45831</v>
      </c>
      <c r="K1323" s="841">
        <v>45923</v>
      </c>
      <c r="L1323" s="843" t="s">
        <v>106</v>
      </c>
      <c r="M1323" s="844" t="s">
        <v>275</v>
      </c>
      <c r="N1323" s="841"/>
      <c r="O1323" s="884" t="s">
        <v>150</v>
      </c>
      <c r="P1323" s="842" t="s">
        <v>276</v>
      </c>
      <c r="Q1323" s="843"/>
      <c r="R1323" s="845">
        <v>10738</v>
      </c>
      <c r="S1323" s="1127" t="s">
        <v>4509</v>
      </c>
      <c r="T1323" s="885" t="s">
        <v>4510</v>
      </c>
      <c r="U1323" s="886">
        <v>8</v>
      </c>
      <c r="V1323" s="842" t="s">
        <v>3</v>
      </c>
      <c r="W1323" s="846" t="s">
        <v>4511</v>
      </c>
      <c r="X1323" s="847">
        <f t="shared" si="248"/>
        <v>95.76</v>
      </c>
      <c r="Y1323" s="853">
        <v>0.5</v>
      </c>
      <c r="Z1323" s="849">
        <v>5.99</v>
      </c>
      <c r="AA1323" s="849"/>
      <c r="AB1323" s="849">
        <f t="shared" si="249"/>
        <v>47.92</v>
      </c>
      <c r="AC1323" s="850">
        <f t="shared" si="250"/>
        <v>47.92</v>
      </c>
      <c r="AD1323" s="851">
        <f t="shared" si="247"/>
        <v>32000</v>
      </c>
      <c r="AE1323" s="852">
        <v>30266.65</v>
      </c>
      <c r="AF1323" s="853">
        <v>0.1</v>
      </c>
      <c r="AG1323" s="854">
        <f t="shared" si="251"/>
        <v>170797.33371201163</v>
      </c>
      <c r="AH1323" s="853">
        <v>0.08</v>
      </c>
      <c r="AI1323" s="855">
        <f t="shared" si="252"/>
        <v>129694.01613696093</v>
      </c>
      <c r="AJ1323" s="845" t="s">
        <v>4463</v>
      </c>
      <c r="AK1323" s="857">
        <v>45863</v>
      </c>
      <c r="AL1323" s="843" t="s">
        <v>4464</v>
      </c>
      <c r="AM1323" s="843"/>
      <c r="AN1323" s="844"/>
      <c r="AO1323" s="844" t="s">
        <v>116</v>
      </c>
      <c r="AP1323" s="841"/>
      <c r="AQ1323" s="841">
        <v>45867</v>
      </c>
      <c r="AR1323" s="841">
        <v>45870</v>
      </c>
      <c r="AS1323" s="842" t="s">
        <v>4465</v>
      </c>
      <c r="AT1323" s="842" t="s">
        <v>4466</v>
      </c>
      <c r="AU1323" s="842" t="s">
        <v>1565</v>
      </c>
      <c r="AV1323" s="845" t="s">
        <v>4467</v>
      </c>
      <c r="AW1323" s="861">
        <v>45871</v>
      </c>
      <c r="AX1323" s="862">
        <v>45872</v>
      </c>
      <c r="AY1323" s="843"/>
      <c r="AZ1323" s="842"/>
      <c r="BA1323" s="842" t="s">
        <v>120</v>
      </c>
      <c r="BB1323" s="863" t="s">
        <v>121</v>
      </c>
      <c r="BC1323" s="864">
        <v>45873</v>
      </c>
      <c r="BD1323" s="860" t="s">
        <v>4468</v>
      </c>
      <c r="BE1323" s="865" cm="1">
        <f t="array" ref="BE1323">IF(BD1323="","",AC1323/SUMPRODUCT(--(BD1323=$BD$4:$BD$12824),$AC$4:$AC$12824))</f>
        <v>1.3590779144166629E-2</v>
      </c>
      <c r="BF1323" s="458"/>
      <c r="BG1323" s="458"/>
      <c r="BH1323" s="458"/>
      <c r="BI1323" s="458"/>
      <c r="BJ1323" s="458"/>
      <c r="BK1323" s="458"/>
      <c r="BL1323" s="458"/>
      <c r="BM1323" s="458"/>
      <c r="BN1323" s="458"/>
      <c r="BO1323" s="866">
        <f>VLOOKUP(BD1323,$BD$4:$BN$12824,3,0)*BE1323</f>
        <v>257595.46912011618</v>
      </c>
      <c r="BP1323" s="866"/>
      <c r="BQ1323" s="866"/>
      <c r="BR1323" s="866">
        <f>VLOOKUP(BD1323,$BD$4:$BN$12824,6,0)*BE1323</f>
        <v>10734.676907020012</v>
      </c>
      <c r="BS1323" s="866">
        <f>VLOOKUP(BD1323,$BD$4:$BN$12824,7,0)*BE1323</f>
        <v>0</v>
      </c>
      <c r="BT1323" s="866"/>
      <c r="BU1323" s="866">
        <f>VLOOKUP(BD1323,$BD$4:$BN$12824,9,0)*BE1323</f>
        <v>271.81558288333258</v>
      </c>
      <c r="BV1323" s="867"/>
      <c r="BW1323" s="867">
        <f>VLOOKUP(BD1323,$BD$4:$BN$12824,11,0)*BE1323</f>
        <v>0</v>
      </c>
      <c r="BX1323" s="1146">
        <f t="shared" si="253"/>
        <v>268601.9616100195</v>
      </c>
      <c r="BY1323" s="867">
        <f t="shared" si="256"/>
        <v>236222.14541525388</v>
      </c>
      <c r="BZ1323" s="867">
        <f t="shared" si="254"/>
        <v>1889777.163322031</v>
      </c>
      <c r="CA1323" s="867">
        <f>_xlfn.MAXIFS($BY$4:$BY$12824,$S$4:$S$12824,$S1323)</f>
        <v>236222.14541525388</v>
      </c>
      <c r="CB1323" s="1032"/>
      <c r="CF1323" s="946">
        <f t="shared" si="255"/>
        <v>1450377.868</v>
      </c>
    </row>
    <row r="1324" spans="2:84">
      <c r="B1324" s="839" t="s">
        <v>98</v>
      </c>
      <c r="C1324" s="839" t="s">
        <v>273</v>
      </c>
      <c r="D1324" s="839" t="s">
        <v>4457</v>
      </c>
      <c r="E1324" s="839" t="s">
        <v>4522</v>
      </c>
      <c r="F1324" s="841">
        <v>45832</v>
      </c>
      <c r="G1324" s="868" t="s">
        <v>273</v>
      </c>
      <c r="H1324" s="842" t="s">
        <v>102</v>
      </c>
      <c r="I1324" s="883" t="s">
        <v>4523</v>
      </c>
      <c r="J1324" s="841">
        <v>45831</v>
      </c>
      <c r="K1324" s="841">
        <v>45923</v>
      </c>
      <c r="L1324" s="843" t="s">
        <v>106</v>
      </c>
      <c r="M1324" s="844" t="s">
        <v>275</v>
      </c>
      <c r="N1324" s="841"/>
      <c r="O1324" s="884" t="s">
        <v>150</v>
      </c>
      <c r="P1324" s="842" t="s">
        <v>276</v>
      </c>
      <c r="Q1324" s="843"/>
      <c r="R1324" s="845">
        <v>11067.29</v>
      </c>
      <c r="S1324" s="1127" t="s">
        <v>4524</v>
      </c>
      <c r="T1324" s="885" t="s">
        <v>4525</v>
      </c>
      <c r="U1324" s="886">
        <v>3</v>
      </c>
      <c r="V1324" s="842" t="s">
        <v>3</v>
      </c>
      <c r="W1324" s="846" t="s">
        <v>4526</v>
      </c>
      <c r="X1324" s="847">
        <f t="shared" si="248"/>
        <v>262.46999999999997</v>
      </c>
      <c r="Y1324" s="853">
        <v>0.5</v>
      </c>
      <c r="Z1324" s="849">
        <v>43.75</v>
      </c>
      <c r="AA1324" s="849"/>
      <c r="AB1324" s="849">
        <f t="shared" si="249"/>
        <v>131.25</v>
      </c>
      <c r="AC1324" s="850">
        <f t="shared" si="250"/>
        <v>131.25</v>
      </c>
      <c r="AD1324" s="851">
        <f t="shared" si="247"/>
        <v>32000</v>
      </c>
      <c r="AE1324" s="852">
        <v>30266.65</v>
      </c>
      <c r="AF1324" s="853">
        <v>0.1</v>
      </c>
      <c r="AG1324" s="854">
        <f t="shared" si="251"/>
        <v>467803.63208893</v>
      </c>
      <c r="AH1324" s="853">
        <v>0.08</v>
      </c>
      <c r="AI1324" s="855">
        <f t="shared" si="252"/>
        <v>355224.11556711444</v>
      </c>
      <c r="AJ1324" s="845" t="s">
        <v>4463</v>
      </c>
      <c r="AK1324" s="857">
        <v>45863</v>
      </c>
      <c r="AL1324" s="843" t="s">
        <v>4464</v>
      </c>
      <c r="AM1324" s="843"/>
      <c r="AN1324" s="844"/>
      <c r="AO1324" s="844" t="s">
        <v>116</v>
      </c>
      <c r="AP1324" s="841"/>
      <c r="AQ1324" s="841">
        <v>45867</v>
      </c>
      <c r="AR1324" s="841">
        <v>45870</v>
      </c>
      <c r="AS1324" s="842" t="s">
        <v>4465</v>
      </c>
      <c r="AT1324" s="842" t="s">
        <v>4466</v>
      </c>
      <c r="AU1324" s="842" t="s">
        <v>1565</v>
      </c>
      <c r="AV1324" s="845" t="s">
        <v>4467</v>
      </c>
      <c r="AW1324" s="861">
        <v>45871</v>
      </c>
      <c r="AX1324" s="862">
        <v>45872</v>
      </c>
      <c r="AY1324" s="843"/>
      <c r="AZ1324" s="842"/>
      <c r="BA1324" s="842" t="s">
        <v>120</v>
      </c>
      <c r="BB1324" s="863" t="s">
        <v>121</v>
      </c>
      <c r="BC1324" s="864">
        <v>45873</v>
      </c>
      <c r="BD1324" s="860" t="s">
        <v>4468</v>
      </c>
      <c r="BE1324" s="865" cm="1">
        <f t="array" ref="BE1324">IF(BD1324="","",AC1324/SUMPRODUCT(--(BD1324=$BD$4:$BD$12824),$AC$4:$AC$12824))</f>
        <v>3.722432726777692E-2</v>
      </c>
      <c r="BF1324" s="458"/>
      <c r="BG1324" s="458"/>
      <c r="BH1324" s="458"/>
      <c r="BI1324" s="458"/>
      <c r="BJ1324" s="458"/>
      <c r="BK1324" s="458"/>
      <c r="BL1324" s="458"/>
      <c r="BM1324" s="458"/>
      <c r="BN1324" s="458"/>
      <c r="BO1324" s="866">
        <f>VLOOKUP(BD1324,$BD$4:$BN$12824,3,0)*BE1324</f>
        <v>705538.50838929985</v>
      </c>
      <c r="BP1324" s="866"/>
      <c r="BQ1324" s="866"/>
      <c r="BR1324" s="866">
        <f>VLOOKUP(BD1324,$BD$4:$BN$12824,6,0)*BE1324</f>
        <v>29401.6348924536</v>
      </c>
      <c r="BS1324" s="866">
        <f>VLOOKUP(BD1324,$BD$4:$BN$12824,7,0)*BE1324</f>
        <v>0</v>
      </c>
      <c r="BT1324" s="866"/>
      <c r="BU1324" s="866">
        <f>VLOOKUP(BD1324,$BD$4:$BN$12824,9,0)*BE1324</f>
        <v>744.4865453555384</v>
      </c>
      <c r="BV1324" s="867"/>
      <c r="BW1324" s="867">
        <f>VLOOKUP(BD1324,$BD$4:$BN$12824,11,0)*BE1324</f>
        <v>0</v>
      </c>
      <c r="BX1324" s="1146">
        <f t="shared" si="253"/>
        <v>735684.62982710893</v>
      </c>
      <c r="BY1324" s="867">
        <f t="shared" si="256"/>
        <v>1725328.6914720132</v>
      </c>
      <c r="BZ1324" s="867">
        <f t="shared" si="254"/>
        <v>5175986.0744160395</v>
      </c>
      <c r="CA1324" s="867">
        <f>_xlfn.MAXIFS($BY$4:$BY$12824,$S$4:$S$12824,$S1324)</f>
        <v>1725328.6914720132</v>
      </c>
      <c r="CB1324" s="1032"/>
      <c r="CF1324" s="946">
        <f t="shared" si="255"/>
        <v>3972497.8125</v>
      </c>
    </row>
    <row r="1325" spans="2:84">
      <c r="B1325" s="839" t="s">
        <v>98</v>
      </c>
      <c r="C1325" s="839" t="s">
        <v>273</v>
      </c>
      <c r="D1325" s="839" t="s">
        <v>4457</v>
      </c>
      <c r="E1325" s="839" t="s">
        <v>4522</v>
      </c>
      <c r="F1325" s="841">
        <v>45832</v>
      </c>
      <c r="G1325" s="868" t="s">
        <v>273</v>
      </c>
      <c r="H1325" s="842" t="s">
        <v>102</v>
      </c>
      <c r="I1325" s="883" t="s">
        <v>4523</v>
      </c>
      <c r="J1325" s="841">
        <v>45831</v>
      </c>
      <c r="K1325" s="841">
        <v>45923</v>
      </c>
      <c r="L1325" s="843" t="s">
        <v>106</v>
      </c>
      <c r="M1325" s="844" t="s">
        <v>275</v>
      </c>
      <c r="N1325" s="841"/>
      <c r="O1325" s="884" t="s">
        <v>150</v>
      </c>
      <c r="P1325" s="842" t="s">
        <v>276</v>
      </c>
      <c r="Q1325" s="843"/>
      <c r="R1325" s="845">
        <v>11203.29</v>
      </c>
      <c r="S1325" s="1127" t="s">
        <v>4527</v>
      </c>
      <c r="T1325" s="885" t="s">
        <v>4528</v>
      </c>
      <c r="U1325" s="886">
        <v>1</v>
      </c>
      <c r="V1325" s="842" t="s">
        <v>3</v>
      </c>
      <c r="W1325" s="846" t="s">
        <v>4529</v>
      </c>
      <c r="X1325" s="847">
        <f t="shared" si="248"/>
        <v>51.95</v>
      </c>
      <c r="Y1325" s="853">
        <v>0.5</v>
      </c>
      <c r="Z1325" s="849">
        <v>25.66</v>
      </c>
      <c r="AA1325" s="849"/>
      <c r="AB1325" s="849">
        <f t="shared" si="249"/>
        <v>25.66</v>
      </c>
      <c r="AC1325" s="850">
        <f t="shared" si="250"/>
        <v>25.66</v>
      </c>
      <c r="AD1325" s="851">
        <f t="shared" si="247"/>
        <v>32000</v>
      </c>
      <c r="AE1325" s="852">
        <v>30266.65</v>
      </c>
      <c r="AF1325" s="853">
        <v>0.1</v>
      </c>
      <c r="AG1325" s="854">
        <f t="shared" si="251"/>
        <v>91457.837709729094</v>
      </c>
      <c r="AH1325" s="853">
        <v>0.08</v>
      </c>
      <c r="AI1325" s="855">
        <f t="shared" si="252"/>
        <v>69448.006136778335</v>
      </c>
      <c r="AJ1325" s="845" t="s">
        <v>4463</v>
      </c>
      <c r="AK1325" s="857">
        <v>45863</v>
      </c>
      <c r="AL1325" s="843" t="s">
        <v>4464</v>
      </c>
      <c r="AM1325" s="843"/>
      <c r="AN1325" s="844"/>
      <c r="AO1325" s="844" t="s">
        <v>116</v>
      </c>
      <c r="AP1325" s="841"/>
      <c r="AQ1325" s="841">
        <v>45867</v>
      </c>
      <c r="AR1325" s="841">
        <v>45870</v>
      </c>
      <c r="AS1325" s="842" t="s">
        <v>4465</v>
      </c>
      <c r="AT1325" s="842" t="s">
        <v>4466</v>
      </c>
      <c r="AU1325" s="842" t="s">
        <v>1565</v>
      </c>
      <c r="AV1325" s="845" t="s">
        <v>4467</v>
      </c>
      <c r="AW1325" s="861">
        <v>45871</v>
      </c>
      <c r="AX1325" s="862">
        <v>45872</v>
      </c>
      <c r="AY1325" s="843"/>
      <c r="AZ1325" s="842"/>
      <c r="BA1325" s="842" t="s">
        <v>120</v>
      </c>
      <c r="BB1325" s="863" t="s">
        <v>121</v>
      </c>
      <c r="BC1325" s="864">
        <v>45873</v>
      </c>
      <c r="BD1325" s="860" t="s">
        <v>4468</v>
      </c>
      <c r="BE1325" s="865" cm="1">
        <f t="array" ref="BE1325">IF(BD1325="","",AC1325/SUMPRODUCT(--(BD1325=$BD$4:$BD$12824),$AC$4:$AC$12824))</f>
        <v>7.2775332395516633E-3</v>
      </c>
      <c r="BF1325" s="458"/>
      <c r="BG1325" s="458"/>
      <c r="BH1325" s="458"/>
      <c r="BI1325" s="458"/>
      <c r="BJ1325" s="458"/>
      <c r="BK1325" s="458"/>
      <c r="BL1325" s="458"/>
      <c r="BM1325" s="458"/>
      <c r="BN1325" s="458"/>
      <c r="BO1325" s="866">
        <f>VLOOKUP(BD1325,$BD$4:$BN$12824,3,0)*BE1325</f>
        <v>137936.13809729091</v>
      </c>
      <c r="BP1325" s="866"/>
      <c r="BQ1325" s="866"/>
      <c r="BR1325" s="866">
        <f>VLOOKUP(BD1325,$BD$4:$BN$12824,6,0)*BE1325</f>
        <v>5748.1596292598815</v>
      </c>
      <c r="BS1325" s="866">
        <f>VLOOKUP(BD1325,$BD$4:$BN$12824,7,0)*BE1325</f>
        <v>0</v>
      </c>
      <c r="BT1325" s="866"/>
      <c r="BU1325" s="866">
        <f>VLOOKUP(BD1325,$BD$4:$BN$12824,9,0)*BE1325</f>
        <v>145.55066479103326</v>
      </c>
      <c r="BV1325" s="867"/>
      <c r="BW1325" s="867">
        <f>VLOOKUP(BD1325,$BD$4:$BN$12824,11,0)*BE1325</f>
        <v>0</v>
      </c>
      <c r="BX1325" s="1146">
        <f t="shared" si="253"/>
        <v>143829.8483913418</v>
      </c>
      <c r="BY1325" s="867">
        <f t="shared" si="256"/>
        <v>1011929.9251010709</v>
      </c>
      <c r="BZ1325" s="867">
        <f t="shared" si="254"/>
        <v>1011929.9251010709</v>
      </c>
      <c r="CA1325" s="867">
        <f>_xlfn.MAXIFS($BY$4:$BY$12824,$S$4:$S$12824,$S1325)</f>
        <v>1011929.9251010709</v>
      </c>
      <c r="CB1325" s="1032"/>
      <c r="CF1325" s="946">
        <f t="shared" si="255"/>
        <v>776642.23900000006</v>
      </c>
    </row>
    <row r="1326" spans="2:84">
      <c r="B1326" s="839" t="s">
        <v>98</v>
      </c>
      <c r="C1326" s="839" t="s">
        <v>273</v>
      </c>
      <c r="D1326" s="839" t="s">
        <v>4457</v>
      </c>
      <c r="E1326" s="839" t="s">
        <v>4522</v>
      </c>
      <c r="F1326" s="841">
        <v>45832</v>
      </c>
      <c r="G1326" s="868" t="s">
        <v>273</v>
      </c>
      <c r="H1326" s="842" t="s">
        <v>102</v>
      </c>
      <c r="I1326" s="883" t="s">
        <v>4523</v>
      </c>
      <c r="J1326" s="841">
        <v>45831</v>
      </c>
      <c r="K1326" s="841">
        <v>45923</v>
      </c>
      <c r="L1326" s="843" t="s">
        <v>106</v>
      </c>
      <c r="M1326" s="844" t="s">
        <v>275</v>
      </c>
      <c r="N1326" s="841"/>
      <c r="O1326" s="884" t="s">
        <v>150</v>
      </c>
      <c r="P1326" s="842" t="s">
        <v>276</v>
      </c>
      <c r="Q1326" s="843"/>
      <c r="R1326" s="845">
        <v>11207.29</v>
      </c>
      <c r="S1326" s="1127" t="s">
        <v>4530</v>
      </c>
      <c r="T1326" s="885" t="s">
        <v>4531</v>
      </c>
      <c r="U1326" s="886">
        <v>1</v>
      </c>
      <c r="V1326" s="842" t="s">
        <v>3</v>
      </c>
      <c r="W1326" s="846" t="s">
        <v>4532</v>
      </c>
      <c r="X1326" s="847">
        <f t="shared" si="248"/>
        <v>42.81</v>
      </c>
      <c r="Y1326" s="853">
        <v>0.5</v>
      </c>
      <c r="Z1326" s="849">
        <v>21.41</v>
      </c>
      <c r="AA1326" s="849"/>
      <c r="AB1326" s="849">
        <f t="shared" si="249"/>
        <v>21.41</v>
      </c>
      <c r="AC1326" s="850">
        <f t="shared" si="250"/>
        <v>21.41</v>
      </c>
      <c r="AD1326" s="851">
        <f t="shared" si="247"/>
        <v>32000</v>
      </c>
      <c r="AE1326" s="852">
        <v>30266.65</v>
      </c>
      <c r="AF1326" s="853">
        <v>0.1</v>
      </c>
      <c r="AG1326" s="854">
        <f t="shared" si="251"/>
        <v>76309.910575420887</v>
      </c>
      <c r="AH1326" s="853">
        <v>0.08</v>
      </c>
      <c r="AI1326" s="855">
        <f t="shared" si="252"/>
        <v>57945.510966033675</v>
      </c>
      <c r="AJ1326" s="845" t="s">
        <v>4463</v>
      </c>
      <c r="AK1326" s="857">
        <v>45863</v>
      </c>
      <c r="AL1326" s="843" t="s">
        <v>4464</v>
      </c>
      <c r="AM1326" s="843"/>
      <c r="AN1326" s="844"/>
      <c r="AO1326" s="844" t="s">
        <v>116</v>
      </c>
      <c r="AP1326" s="841"/>
      <c r="AQ1326" s="841">
        <v>45867</v>
      </c>
      <c r="AR1326" s="841">
        <v>45870</v>
      </c>
      <c r="AS1326" s="842" t="s">
        <v>4465</v>
      </c>
      <c r="AT1326" s="842" t="s">
        <v>4466</v>
      </c>
      <c r="AU1326" s="842" t="s">
        <v>1565</v>
      </c>
      <c r="AV1326" s="845" t="s">
        <v>4467</v>
      </c>
      <c r="AW1326" s="861">
        <v>45871</v>
      </c>
      <c r="AX1326" s="862">
        <v>45872</v>
      </c>
      <c r="AY1326" s="843"/>
      <c r="AZ1326" s="842"/>
      <c r="BA1326" s="842" t="s">
        <v>120</v>
      </c>
      <c r="BB1326" s="863" t="s">
        <v>121</v>
      </c>
      <c r="BC1326" s="864">
        <v>45873</v>
      </c>
      <c r="BD1326" s="860" t="s">
        <v>4468</v>
      </c>
      <c r="BE1326" s="865" cm="1">
        <f t="array" ref="BE1326">IF(BD1326="","",AC1326/SUMPRODUCT(--(BD1326=$BD$4:$BD$12824),$AC$4:$AC$12824))</f>
        <v>6.0721740708807913E-3</v>
      </c>
      <c r="BF1326" s="458"/>
      <c r="BG1326" s="458"/>
      <c r="BH1326" s="458"/>
      <c r="BI1326" s="458"/>
      <c r="BJ1326" s="458"/>
      <c r="BK1326" s="458"/>
      <c r="BL1326" s="458"/>
      <c r="BM1326" s="458"/>
      <c r="BN1326" s="458"/>
      <c r="BO1326" s="866">
        <f>VLOOKUP(BD1326,$BD$4:$BN$12824,3,0)*BE1326</f>
        <v>115090.12925420883</v>
      </c>
      <c r="BP1326" s="866"/>
      <c r="BQ1326" s="866"/>
      <c r="BR1326" s="866">
        <f>VLOOKUP(BD1326,$BD$4:$BN$12824,6,0)*BE1326</f>
        <v>4796.1066898851932</v>
      </c>
      <c r="BS1326" s="866">
        <f>VLOOKUP(BD1326,$BD$4:$BN$12824,7,0)*BE1326</f>
        <v>0</v>
      </c>
      <c r="BT1326" s="866"/>
      <c r="BU1326" s="866">
        <f>VLOOKUP(BD1326,$BD$4:$BN$12824,9,0)*BE1326</f>
        <v>121.44348141761583</v>
      </c>
      <c r="BV1326" s="867"/>
      <c r="BW1326" s="867">
        <f>VLOOKUP(BD1326,$BD$4:$BN$12824,11,0)*BE1326</f>
        <v>0</v>
      </c>
      <c r="BX1326" s="1146">
        <f t="shared" si="253"/>
        <v>120007.67942551164</v>
      </c>
      <c r="BY1326" s="867">
        <f t="shared" si="256"/>
        <v>844326.56650093256</v>
      </c>
      <c r="BZ1326" s="867">
        <f t="shared" si="254"/>
        <v>844326.56650093256</v>
      </c>
      <c r="CA1326" s="867">
        <f>_xlfn.MAXIFS($BY$4:$BY$12824,$S$4:$S$12824,$S1326)</f>
        <v>844326.56650093256</v>
      </c>
      <c r="CB1326" s="1032"/>
      <c r="CF1326" s="946">
        <f t="shared" si="255"/>
        <v>648008.97649999999</v>
      </c>
    </row>
    <row r="1327" spans="2:84">
      <c r="B1327" s="839" t="s">
        <v>98</v>
      </c>
      <c r="C1327" s="839" t="s">
        <v>273</v>
      </c>
      <c r="D1327" s="839" t="s">
        <v>4457</v>
      </c>
      <c r="E1327" s="839" t="s">
        <v>4522</v>
      </c>
      <c r="F1327" s="841">
        <v>45832</v>
      </c>
      <c r="G1327" s="868" t="s">
        <v>273</v>
      </c>
      <c r="H1327" s="842" t="s">
        <v>102</v>
      </c>
      <c r="I1327" s="883" t="s">
        <v>4523</v>
      </c>
      <c r="J1327" s="841">
        <v>45831</v>
      </c>
      <c r="K1327" s="841">
        <v>45923</v>
      </c>
      <c r="L1327" s="843" t="s">
        <v>106</v>
      </c>
      <c r="M1327" s="844" t="s">
        <v>275</v>
      </c>
      <c r="N1327" s="841"/>
      <c r="O1327" s="884" t="s">
        <v>150</v>
      </c>
      <c r="P1327" s="842" t="s">
        <v>276</v>
      </c>
      <c r="Q1327" s="843"/>
      <c r="R1327" s="845">
        <v>11208.29</v>
      </c>
      <c r="S1327" s="1127" t="s">
        <v>4533</v>
      </c>
      <c r="T1327" s="885" t="s">
        <v>4534</v>
      </c>
      <c r="U1327" s="886">
        <v>2</v>
      </c>
      <c r="V1327" s="842" t="s">
        <v>3</v>
      </c>
      <c r="W1327" s="846" t="s">
        <v>4462</v>
      </c>
      <c r="X1327" s="847">
        <f t="shared" si="248"/>
        <v>67.5</v>
      </c>
      <c r="Y1327" s="853">
        <v>0.5</v>
      </c>
      <c r="Z1327" s="849">
        <v>16.88</v>
      </c>
      <c r="AA1327" s="849"/>
      <c r="AB1327" s="849">
        <f t="shared" si="249"/>
        <v>33.76</v>
      </c>
      <c r="AC1327" s="850">
        <f t="shared" si="250"/>
        <v>33.76</v>
      </c>
      <c r="AD1327" s="851">
        <f t="shared" si="247"/>
        <v>32000</v>
      </c>
      <c r="AE1327" s="852">
        <v>30266.65</v>
      </c>
      <c r="AF1327" s="853">
        <v>0.1</v>
      </c>
      <c r="AG1327" s="854">
        <f t="shared" si="251"/>
        <v>120328.0047186459</v>
      </c>
      <c r="AH1327" s="853">
        <v>0.08</v>
      </c>
      <c r="AI1327" s="855">
        <f t="shared" si="252"/>
        <v>91370.408697491657</v>
      </c>
      <c r="AJ1327" s="845" t="s">
        <v>4463</v>
      </c>
      <c r="AK1327" s="857">
        <v>45863</v>
      </c>
      <c r="AL1327" s="843" t="s">
        <v>4464</v>
      </c>
      <c r="AM1327" s="843"/>
      <c r="AN1327" s="844"/>
      <c r="AO1327" s="844" t="s">
        <v>116</v>
      </c>
      <c r="AP1327" s="841"/>
      <c r="AQ1327" s="841">
        <v>45867</v>
      </c>
      <c r="AR1327" s="841">
        <v>45870</v>
      </c>
      <c r="AS1327" s="842" t="s">
        <v>4465</v>
      </c>
      <c r="AT1327" s="842" t="s">
        <v>4466</v>
      </c>
      <c r="AU1327" s="842" t="s">
        <v>1565</v>
      </c>
      <c r="AV1327" s="845" t="s">
        <v>4467</v>
      </c>
      <c r="AW1327" s="861">
        <v>45871</v>
      </c>
      <c r="AX1327" s="862">
        <v>45872</v>
      </c>
      <c r="AY1327" s="843"/>
      <c r="AZ1327" s="842"/>
      <c r="BA1327" s="842" t="s">
        <v>120</v>
      </c>
      <c r="BB1327" s="863" t="s">
        <v>121</v>
      </c>
      <c r="BC1327" s="864">
        <v>45873</v>
      </c>
      <c r="BD1327" s="860" t="s">
        <v>4468</v>
      </c>
      <c r="BE1327" s="865" cm="1">
        <f t="array" ref="BE1327">IF(BD1327="","",AC1327/SUMPRODUCT(--(BD1327=$BD$4:$BD$12824),$AC$4:$AC$12824))</f>
        <v>9.5748060080773235E-3</v>
      </c>
      <c r="BF1327" s="458"/>
      <c r="BG1327" s="458"/>
      <c r="BH1327" s="458"/>
      <c r="BI1327" s="458"/>
      <c r="BJ1327" s="458"/>
      <c r="BK1327" s="458"/>
      <c r="BL1327" s="458"/>
      <c r="BM1327" s="458"/>
      <c r="BN1327" s="458"/>
      <c r="BO1327" s="866">
        <f>VLOOKUP(BD1327,$BD$4:$BN$12824,3,0)*BE1327</f>
        <v>181477.94318645913</v>
      </c>
      <c r="BP1327" s="866"/>
      <c r="BQ1327" s="866"/>
      <c r="BR1327" s="866">
        <f>VLOOKUP(BD1327,$BD$4:$BN$12824,6,0)*BE1327</f>
        <v>7562.6605254798742</v>
      </c>
      <c r="BS1327" s="866">
        <f>VLOOKUP(BD1327,$BD$4:$BN$12824,7,0)*BE1327</f>
        <v>0</v>
      </c>
      <c r="BT1327" s="866"/>
      <c r="BU1327" s="866">
        <f>VLOOKUP(BD1327,$BD$4:$BN$12824,9,0)*BE1327</f>
        <v>191.49612016154646</v>
      </c>
      <c r="BV1327" s="867"/>
      <c r="BW1327" s="867">
        <f>VLOOKUP(BD1327,$BD$4:$BN$12824,11,0)*BE1327</f>
        <v>0</v>
      </c>
      <c r="BX1327" s="1146">
        <f t="shared" si="253"/>
        <v>189232.09983210056</v>
      </c>
      <c r="BY1327" s="867">
        <f t="shared" si="256"/>
        <v>665681.10427537316</v>
      </c>
      <c r="BZ1327" s="867">
        <f t="shared" si="254"/>
        <v>1331362.2085507463</v>
      </c>
      <c r="CA1327" s="867">
        <f>_xlfn.MAXIFS($BY$4:$BY$12824,$S$4:$S$12824,$S1327)</f>
        <v>665681.10427537316</v>
      </c>
      <c r="CB1327" s="1032"/>
      <c r="CF1327" s="946">
        <f t="shared" si="255"/>
        <v>1021802.1039999999</v>
      </c>
    </row>
    <row r="1328" spans="2:84">
      <c r="B1328" s="839" t="s">
        <v>98</v>
      </c>
      <c r="C1328" s="839" t="s">
        <v>273</v>
      </c>
      <c r="D1328" s="839" t="s">
        <v>4457</v>
      </c>
      <c r="E1328" s="839" t="s">
        <v>4522</v>
      </c>
      <c r="F1328" s="841">
        <v>45832</v>
      </c>
      <c r="G1328" s="868" t="s">
        <v>273</v>
      </c>
      <c r="H1328" s="842" t="s">
        <v>102</v>
      </c>
      <c r="I1328" s="883" t="s">
        <v>4523</v>
      </c>
      <c r="J1328" s="841">
        <v>45831</v>
      </c>
      <c r="K1328" s="841">
        <v>45923</v>
      </c>
      <c r="L1328" s="843" t="s">
        <v>106</v>
      </c>
      <c r="M1328" s="844" t="s">
        <v>275</v>
      </c>
      <c r="N1328" s="841"/>
      <c r="O1328" s="884" t="s">
        <v>150</v>
      </c>
      <c r="P1328" s="842" t="s">
        <v>276</v>
      </c>
      <c r="Q1328" s="843"/>
      <c r="R1328" s="845">
        <v>11213.29</v>
      </c>
      <c r="S1328" s="1127" t="s">
        <v>4535</v>
      </c>
      <c r="T1328" s="885" t="s">
        <v>4536</v>
      </c>
      <c r="U1328" s="886">
        <v>1</v>
      </c>
      <c r="V1328" s="842" t="s">
        <v>3</v>
      </c>
      <c r="W1328" s="846" t="s">
        <v>4532</v>
      </c>
      <c r="X1328" s="847">
        <f t="shared" si="248"/>
        <v>42.81</v>
      </c>
      <c r="Y1328" s="853">
        <v>0.5</v>
      </c>
      <c r="Z1328" s="849">
        <v>21.41</v>
      </c>
      <c r="AA1328" s="849"/>
      <c r="AB1328" s="849">
        <f t="shared" si="249"/>
        <v>21.41</v>
      </c>
      <c r="AC1328" s="850">
        <f t="shared" si="250"/>
        <v>21.41</v>
      </c>
      <c r="AD1328" s="851">
        <f t="shared" si="247"/>
        <v>32000</v>
      </c>
      <c r="AE1328" s="852">
        <v>30266.65</v>
      </c>
      <c r="AF1328" s="853">
        <v>0.1</v>
      </c>
      <c r="AG1328" s="854">
        <f t="shared" si="251"/>
        <v>76309.910575420887</v>
      </c>
      <c r="AH1328" s="853">
        <v>0.08</v>
      </c>
      <c r="AI1328" s="855">
        <f t="shared" si="252"/>
        <v>57945.510966033675</v>
      </c>
      <c r="AJ1328" s="845" t="s">
        <v>4463</v>
      </c>
      <c r="AK1328" s="857">
        <v>45863</v>
      </c>
      <c r="AL1328" s="843" t="s">
        <v>4464</v>
      </c>
      <c r="AM1328" s="843"/>
      <c r="AN1328" s="844"/>
      <c r="AO1328" s="844" t="s">
        <v>116</v>
      </c>
      <c r="AP1328" s="841"/>
      <c r="AQ1328" s="841">
        <v>45867</v>
      </c>
      <c r="AR1328" s="841">
        <v>45870</v>
      </c>
      <c r="AS1328" s="842" t="s">
        <v>4465</v>
      </c>
      <c r="AT1328" s="842" t="s">
        <v>4466</v>
      </c>
      <c r="AU1328" s="842" t="s">
        <v>1565</v>
      </c>
      <c r="AV1328" s="845" t="s">
        <v>4467</v>
      </c>
      <c r="AW1328" s="861">
        <v>45871</v>
      </c>
      <c r="AX1328" s="862">
        <v>45872</v>
      </c>
      <c r="AY1328" s="843"/>
      <c r="AZ1328" s="842"/>
      <c r="BA1328" s="842" t="s">
        <v>120</v>
      </c>
      <c r="BB1328" s="863" t="s">
        <v>121</v>
      </c>
      <c r="BC1328" s="864">
        <v>45873</v>
      </c>
      <c r="BD1328" s="860" t="s">
        <v>4468</v>
      </c>
      <c r="BE1328" s="865" cm="1">
        <f t="array" ref="BE1328">IF(BD1328="","",AC1328/SUMPRODUCT(--(BD1328=$BD$4:$BD$12824),$AC$4:$AC$12824))</f>
        <v>6.0721740708807913E-3</v>
      </c>
      <c r="BF1328" s="458"/>
      <c r="BG1328" s="458"/>
      <c r="BH1328" s="458"/>
      <c r="BI1328" s="458"/>
      <c r="BJ1328" s="458"/>
      <c r="BK1328" s="458"/>
      <c r="BL1328" s="458"/>
      <c r="BM1328" s="458"/>
      <c r="BN1328" s="458"/>
      <c r="BO1328" s="866">
        <f>VLOOKUP(BD1328,$BD$4:$BN$12824,3,0)*BE1328</f>
        <v>115090.12925420883</v>
      </c>
      <c r="BP1328" s="866"/>
      <c r="BQ1328" s="866"/>
      <c r="BR1328" s="866">
        <f>VLOOKUP(BD1328,$BD$4:$BN$12824,6,0)*BE1328</f>
        <v>4796.1066898851932</v>
      </c>
      <c r="BS1328" s="866">
        <f>VLOOKUP(BD1328,$BD$4:$BN$12824,7,0)*BE1328</f>
        <v>0</v>
      </c>
      <c r="BT1328" s="866"/>
      <c r="BU1328" s="866">
        <f>VLOOKUP(BD1328,$BD$4:$BN$12824,9,0)*BE1328</f>
        <v>121.44348141761583</v>
      </c>
      <c r="BV1328" s="867"/>
      <c r="BW1328" s="867">
        <f>VLOOKUP(BD1328,$BD$4:$BN$12824,11,0)*BE1328</f>
        <v>0</v>
      </c>
      <c r="BX1328" s="1146">
        <f t="shared" si="253"/>
        <v>120007.67942551164</v>
      </c>
      <c r="BY1328" s="867">
        <f t="shared" si="256"/>
        <v>844326.56650093256</v>
      </c>
      <c r="BZ1328" s="867">
        <f t="shared" si="254"/>
        <v>844326.56650093256</v>
      </c>
      <c r="CA1328" s="867">
        <f>_xlfn.MAXIFS($BY$4:$BY$12824,$S$4:$S$12824,$S1328)</f>
        <v>844326.56650093256</v>
      </c>
      <c r="CB1328" s="1032"/>
      <c r="CF1328" s="946">
        <f t="shared" si="255"/>
        <v>648008.97649999999</v>
      </c>
    </row>
    <row r="1329" spans="2:84">
      <c r="B1329" s="839" t="s">
        <v>98</v>
      </c>
      <c r="C1329" s="839" t="s">
        <v>273</v>
      </c>
      <c r="D1329" s="839" t="s">
        <v>4457</v>
      </c>
      <c r="E1329" s="839" t="s">
        <v>4522</v>
      </c>
      <c r="F1329" s="841">
        <v>45832</v>
      </c>
      <c r="G1329" s="868" t="s">
        <v>273</v>
      </c>
      <c r="H1329" s="842" t="s">
        <v>102</v>
      </c>
      <c r="I1329" s="883" t="s">
        <v>4523</v>
      </c>
      <c r="J1329" s="841">
        <v>45831</v>
      </c>
      <c r="K1329" s="841">
        <v>45923</v>
      </c>
      <c r="L1329" s="843" t="s">
        <v>106</v>
      </c>
      <c r="M1329" s="844" t="s">
        <v>275</v>
      </c>
      <c r="N1329" s="841"/>
      <c r="O1329" s="884" t="s">
        <v>150</v>
      </c>
      <c r="P1329" s="842" t="s">
        <v>276</v>
      </c>
      <c r="Q1329" s="843"/>
      <c r="R1329" s="845">
        <v>11214.29</v>
      </c>
      <c r="S1329" s="1127" t="s">
        <v>4537</v>
      </c>
      <c r="T1329" s="885" t="s">
        <v>4538</v>
      </c>
      <c r="U1329" s="886">
        <v>2</v>
      </c>
      <c r="V1329" s="842" t="s">
        <v>3</v>
      </c>
      <c r="W1329" s="846" t="s">
        <v>4462</v>
      </c>
      <c r="X1329" s="847">
        <f t="shared" si="248"/>
        <v>67.5</v>
      </c>
      <c r="Y1329" s="853">
        <v>0.5</v>
      </c>
      <c r="Z1329" s="849">
        <v>16.88</v>
      </c>
      <c r="AA1329" s="849"/>
      <c r="AB1329" s="849">
        <f t="shared" si="249"/>
        <v>33.76</v>
      </c>
      <c r="AC1329" s="850">
        <f t="shared" si="250"/>
        <v>33.76</v>
      </c>
      <c r="AD1329" s="851">
        <f t="shared" si="247"/>
        <v>32000</v>
      </c>
      <c r="AE1329" s="852">
        <v>30266.65</v>
      </c>
      <c r="AF1329" s="853">
        <v>0.1</v>
      </c>
      <c r="AG1329" s="854">
        <f t="shared" si="251"/>
        <v>120328.0047186459</v>
      </c>
      <c r="AH1329" s="853">
        <v>0.08</v>
      </c>
      <c r="AI1329" s="855">
        <f t="shared" si="252"/>
        <v>91370.408697491657</v>
      </c>
      <c r="AJ1329" s="845" t="s">
        <v>4463</v>
      </c>
      <c r="AK1329" s="857">
        <v>45863</v>
      </c>
      <c r="AL1329" s="843" t="s">
        <v>4464</v>
      </c>
      <c r="AM1329" s="843"/>
      <c r="AN1329" s="844"/>
      <c r="AO1329" s="844" t="s">
        <v>116</v>
      </c>
      <c r="AP1329" s="841"/>
      <c r="AQ1329" s="841">
        <v>45867</v>
      </c>
      <c r="AR1329" s="841">
        <v>45870</v>
      </c>
      <c r="AS1329" s="842" t="s">
        <v>4465</v>
      </c>
      <c r="AT1329" s="842" t="s">
        <v>4466</v>
      </c>
      <c r="AU1329" s="842" t="s">
        <v>1565</v>
      </c>
      <c r="AV1329" s="845" t="s">
        <v>4467</v>
      </c>
      <c r="AW1329" s="861">
        <v>45871</v>
      </c>
      <c r="AX1329" s="862">
        <v>45872</v>
      </c>
      <c r="AY1329" s="843"/>
      <c r="AZ1329" s="842"/>
      <c r="BA1329" s="842" t="s">
        <v>120</v>
      </c>
      <c r="BB1329" s="863" t="s">
        <v>121</v>
      </c>
      <c r="BC1329" s="864">
        <v>45873</v>
      </c>
      <c r="BD1329" s="860" t="s">
        <v>4468</v>
      </c>
      <c r="BE1329" s="865" cm="1">
        <f t="array" ref="BE1329">IF(BD1329="","",AC1329/SUMPRODUCT(--(BD1329=$BD$4:$BD$12824),$AC$4:$AC$12824))</f>
        <v>9.5748060080773235E-3</v>
      </c>
      <c r="BF1329" s="458"/>
      <c r="BG1329" s="458"/>
      <c r="BH1329" s="458"/>
      <c r="BI1329" s="458"/>
      <c r="BJ1329" s="458"/>
      <c r="BK1329" s="458"/>
      <c r="BL1329" s="458"/>
      <c r="BM1329" s="458"/>
      <c r="BN1329" s="458"/>
      <c r="BO1329" s="866">
        <f>VLOOKUP(BD1329,$BD$4:$BN$12824,3,0)*BE1329</f>
        <v>181477.94318645913</v>
      </c>
      <c r="BP1329" s="866"/>
      <c r="BQ1329" s="866"/>
      <c r="BR1329" s="866">
        <f>VLOOKUP(BD1329,$BD$4:$BN$12824,6,0)*BE1329</f>
        <v>7562.6605254798742</v>
      </c>
      <c r="BS1329" s="866">
        <f>VLOOKUP(BD1329,$BD$4:$BN$12824,7,0)*BE1329</f>
        <v>0</v>
      </c>
      <c r="BT1329" s="866"/>
      <c r="BU1329" s="866">
        <f>VLOOKUP(BD1329,$BD$4:$BN$12824,9,0)*BE1329</f>
        <v>191.49612016154646</v>
      </c>
      <c r="BV1329" s="867"/>
      <c r="BW1329" s="867">
        <f>VLOOKUP(BD1329,$BD$4:$BN$12824,11,0)*BE1329</f>
        <v>0</v>
      </c>
      <c r="BX1329" s="1146">
        <f t="shared" si="253"/>
        <v>189232.09983210056</v>
      </c>
      <c r="BY1329" s="867">
        <f t="shared" si="256"/>
        <v>665681.10427537316</v>
      </c>
      <c r="BZ1329" s="867">
        <f t="shared" si="254"/>
        <v>1331362.2085507463</v>
      </c>
      <c r="CA1329" s="867">
        <f>_xlfn.MAXIFS($BY$4:$BY$12824,$S$4:$S$12824,$S1329)</f>
        <v>665681.10427537316</v>
      </c>
      <c r="CB1329" s="1032"/>
      <c r="CF1329" s="946">
        <f t="shared" si="255"/>
        <v>1021802.1039999999</v>
      </c>
    </row>
    <row r="1330" spans="2:84">
      <c r="B1330" s="839" t="s">
        <v>98</v>
      </c>
      <c r="C1330" s="839" t="s">
        <v>273</v>
      </c>
      <c r="D1330" s="839" t="s">
        <v>4457</v>
      </c>
      <c r="E1330" s="839" t="s">
        <v>4522</v>
      </c>
      <c r="F1330" s="841">
        <v>45832</v>
      </c>
      <c r="G1330" s="868" t="s">
        <v>273</v>
      </c>
      <c r="H1330" s="842" t="s">
        <v>102</v>
      </c>
      <c r="I1330" s="883" t="s">
        <v>4523</v>
      </c>
      <c r="J1330" s="841">
        <v>45831</v>
      </c>
      <c r="K1330" s="841">
        <v>45923</v>
      </c>
      <c r="L1330" s="843" t="s">
        <v>106</v>
      </c>
      <c r="M1330" s="844" t="s">
        <v>275</v>
      </c>
      <c r="N1330" s="841"/>
      <c r="O1330" s="884" t="s">
        <v>150</v>
      </c>
      <c r="P1330" s="842" t="s">
        <v>276</v>
      </c>
      <c r="Q1330" s="843"/>
      <c r="R1330" s="845">
        <v>12451</v>
      </c>
      <c r="S1330" s="1127" t="s">
        <v>4519</v>
      </c>
      <c r="T1330" s="885" t="s">
        <v>4520</v>
      </c>
      <c r="U1330" s="886">
        <v>56</v>
      </c>
      <c r="V1330" s="842" t="s">
        <v>3</v>
      </c>
      <c r="W1330" s="846" t="s">
        <v>4521</v>
      </c>
      <c r="X1330" s="847">
        <f t="shared" si="248"/>
        <v>79.52</v>
      </c>
      <c r="Y1330" s="853">
        <v>0.5</v>
      </c>
      <c r="Z1330" s="849">
        <v>0.71</v>
      </c>
      <c r="AA1330" s="849"/>
      <c r="AB1330" s="849">
        <f t="shared" si="249"/>
        <v>39.76</v>
      </c>
      <c r="AC1330" s="850">
        <f t="shared" si="250"/>
        <v>39.76</v>
      </c>
      <c r="AD1330" s="851">
        <f t="shared" si="247"/>
        <v>32000</v>
      </c>
      <c r="AE1330" s="852">
        <v>30266.65</v>
      </c>
      <c r="AF1330" s="853">
        <v>0.1</v>
      </c>
      <c r="AG1330" s="854">
        <f t="shared" si="251"/>
        <v>141713.31361413986</v>
      </c>
      <c r="AH1330" s="853">
        <v>0.08</v>
      </c>
      <c r="AI1330" s="855">
        <f t="shared" si="252"/>
        <v>107609.22540913118</v>
      </c>
      <c r="AJ1330" s="845" t="s">
        <v>4463</v>
      </c>
      <c r="AK1330" s="857">
        <v>45863</v>
      </c>
      <c r="AL1330" s="843" t="s">
        <v>4464</v>
      </c>
      <c r="AM1330" s="843"/>
      <c r="AN1330" s="844"/>
      <c r="AO1330" s="844" t="s">
        <v>116</v>
      </c>
      <c r="AP1330" s="841"/>
      <c r="AQ1330" s="841">
        <v>45867</v>
      </c>
      <c r="AR1330" s="841">
        <v>45870</v>
      </c>
      <c r="AS1330" s="842" t="s">
        <v>4465</v>
      </c>
      <c r="AT1330" s="842" t="s">
        <v>4466</v>
      </c>
      <c r="AU1330" s="842" t="s">
        <v>1565</v>
      </c>
      <c r="AV1330" s="845" t="s">
        <v>4467</v>
      </c>
      <c r="AW1330" s="861">
        <v>45871</v>
      </c>
      <c r="AX1330" s="862">
        <v>45872</v>
      </c>
      <c r="AY1330" s="843"/>
      <c r="AZ1330" s="842"/>
      <c r="BA1330" s="842" t="s">
        <v>120</v>
      </c>
      <c r="BB1330" s="863" t="s">
        <v>121</v>
      </c>
      <c r="BC1330" s="864">
        <v>45873</v>
      </c>
      <c r="BD1330" s="860" t="s">
        <v>4468</v>
      </c>
      <c r="BE1330" s="865" cm="1">
        <f t="array" ref="BE1330">IF(BD1330="","",AC1330/SUMPRODUCT(--(BD1330=$BD$4:$BD$12824),$AC$4:$AC$12824))</f>
        <v>1.1276489540318554E-2</v>
      </c>
      <c r="BF1330" s="458"/>
      <c r="BG1330" s="458"/>
      <c r="BH1330" s="458"/>
      <c r="BI1330" s="458"/>
      <c r="BJ1330" s="458"/>
      <c r="BK1330" s="458"/>
      <c r="BL1330" s="458"/>
      <c r="BM1330" s="458"/>
      <c r="BN1330" s="458"/>
      <c r="BO1330" s="866">
        <f>VLOOKUP(BD1330,$BD$4:$BN$12824,3,0)*BE1330</f>
        <v>213731.13214139856</v>
      </c>
      <c r="BP1330" s="866"/>
      <c r="BQ1330" s="866"/>
      <c r="BR1330" s="866">
        <f>VLOOKUP(BD1330,$BD$4:$BN$12824,6,0)*BE1330</f>
        <v>8906.7352634206109</v>
      </c>
      <c r="BS1330" s="866">
        <f>VLOOKUP(BD1330,$BD$4:$BN$12824,7,0)*BE1330</f>
        <v>0</v>
      </c>
      <c r="BT1330" s="866"/>
      <c r="BU1330" s="866">
        <f>VLOOKUP(BD1330,$BD$4:$BN$12824,9,0)*BE1330</f>
        <v>225.5297908063711</v>
      </c>
      <c r="BV1330" s="867"/>
      <c r="BW1330" s="867">
        <f>VLOOKUP(BD1330,$BD$4:$BN$12824,11,0)*BE1330</f>
        <v>0</v>
      </c>
      <c r="BX1330" s="1146">
        <f t="shared" si="253"/>
        <v>222863.39719562556</v>
      </c>
      <c r="BY1330" s="867">
        <f t="shared" si="256"/>
        <v>27999.619907317239</v>
      </c>
      <c r="BZ1330" s="867">
        <f t="shared" si="254"/>
        <v>1567978.7148097653</v>
      </c>
      <c r="CA1330" s="867">
        <f>_xlfn.MAXIFS($BY$4:$BY$12824,$S$4:$S$12824,$S1330)</f>
        <v>27999.619907317239</v>
      </c>
      <c r="CB1330" s="1032"/>
      <c r="CF1330" s="946">
        <f t="shared" si="255"/>
        <v>1203402.004</v>
      </c>
    </row>
    <row r="1331" spans="2:84">
      <c r="B1331" s="839" t="s">
        <v>98</v>
      </c>
      <c r="C1331" s="839" t="s">
        <v>273</v>
      </c>
      <c r="D1331" s="839" t="s">
        <v>4457</v>
      </c>
      <c r="E1331" s="839" t="s">
        <v>4522</v>
      </c>
      <c r="F1331" s="841">
        <v>45832</v>
      </c>
      <c r="G1331" s="868" t="s">
        <v>273</v>
      </c>
      <c r="H1331" s="842" t="s">
        <v>102</v>
      </c>
      <c r="I1331" s="883" t="s">
        <v>4523</v>
      </c>
      <c r="J1331" s="841">
        <v>45831</v>
      </c>
      <c r="K1331" s="841">
        <v>45923</v>
      </c>
      <c r="L1331" s="843" t="s">
        <v>106</v>
      </c>
      <c r="M1331" s="844" t="s">
        <v>275</v>
      </c>
      <c r="N1331" s="841"/>
      <c r="O1331" s="884" t="s">
        <v>150</v>
      </c>
      <c r="P1331" s="842" t="s">
        <v>276</v>
      </c>
      <c r="Q1331" s="843"/>
      <c r="R1331" s="845">
        <v>14110.29</v>
      </c>
      <c r="S1331" s="1127" t="s">
        <v>4539</v>
      </c>
      <c r="T1331" s="885" t="s">
        <v>4540</v>
      </c>
      <c r="U1331" s="886">
        <v>3</v>
      </c>
      <c r="V1331" s="842" t="s">
        <v>3</v>
      </c>
      <c r="W1331" s="846" t="s">
        <v>4541</v>
      </c>
      <c r="X1331" s="847">
        <f t="shared" si="248"/>
        <v>16.14</v>
      </c>
      <c r="Y1331" s="853">
        <v>0.5</v>
      </c>
      <c r="Z1331" s="849">
        <v>2.69</v>
      </c>
      <c r="AA1331" s="849"/>
      <c r="AB1331" s="849">
        <f t="shared" si="249"/>
        <v>8.07</v>
      </c>
      <c r="AC1331" s="850">
        <f t="shared" si="250"/>
        <v>8.07</v>
      </c>
      <c r="AD1331" s="851">
        <f t="shared" si="247"/>
        <v>32000</v>
      </c>
      <c r="AE1331" s="852">
        <v>30266.65</v>
      </c>
      <c r="AF1331" s="853">
        <v>0.1</v>
      </c>
      <c r="AG1331" s="854">
        <f t="shared" si="251"/>
        <v>28763.240464439354</v>
      </c>
      <c r="AH1331" s="853">
        <v>0.08</v>
      </c>
      <c r="AI1331" s="855">
        <f t="shared" si="252"/>
        <v>21841.208477155149</v>
      </c>
      <c r="AJ1331" s="845" t="s">
        <v>4463</v>
      </c>
      <c r="AK1331" s="857">
        <v>45863</v>
      </c>
      <c r="AL1331" s="843" t="s">
        <v>4464</v>
      </c>
      <c r="AM1331" s="843"/>
      <c r="AN1331" s="844"/>
      <c r="AO1331" s="844" t="s">
        <v>116</v>
      </c>
      <c r="AP1331" s="841"/>
      <c r="AQ1331" s="841">
        <v>45867</v>
      </c>
      <c r="AR1331" s="841">
        <v>45870</v>
      </c>
      <c r="AS1331" s="842" t="s">
        <v>4465</v>
      </c>
      <c r="AT1331" s="842" t="s">
        <v>4466</v>
      </c>
      <c r="AU1331" s="842" t="s">
        <v>1565</v>
      </c>
      <c r="AV1331" s="845" t="s">
        <v>4467</v>
      </c>
      <c r="AW1331" s="861">
        <v>45871</v>
      </c>
      <c r="AX1331" s="862">
        <v>45872</v>
      </c>
      <c r="AY1331" s="843"/>
      <c r="AZ1331" s="842"/>
      <c r="BA1331" s="842" t="s">
        <v>120</v>
      </c>
      <c r="BB1331" s="863" t="s">
        <v>121</v>
      </c>
      <c r="BC1331" s="864">
        <v>45873</v>
      </c>
      <c r="BD1331" s="860" t="s">
        <v>4468</v>
      </c>
      <c r="BE1331" s="865" cm="1">
        <f t="array" ref="BE1331">IF(BD1331="","",AC1331/SUMPRODUCT(--(BD1331=$BD$4:$BD$12824),$AC$4:$AC$12824))</f>
        <v>2.2887643508644551E-3</v>
      </c>
      <c r="BF1331" s="458"/>
      <c r="BG1331" s="458"/>
      <c r="BH1331" s="458"/>
      <c r="BI1331" s="458"/>
      <c r="BJ1331" s="458"/>
      <c r="BK1331" s="458"/>
      <c r="BL1331" s="458"/>
      <c r="BM1331" s="458"/>
      <c r="BN1331" s="458"/>
      <c r="BO1331" s="866">
        <f>VLOOKUP(BD1331,$BD$4:$BN$12824,3,0)*BE1331</f>
        <v>43380.539144393515</v>
      </c>
      <c r="BP1331" s="866"/>
      <c r="BQ1331" s="866"/>
      <c r="BR1331" s="866">
        <f>VLOOKUP(BD1331,$BD$4:$BN$12824,6,0)*BE1331</f>
        <v>1807.7805225302898</v>
      </c>
      <c r="BS1331" s="866">
        <f>VLOOKUP(BD1331,$BD$4:$BN$12824,7,0)*BE1331</f>
        <v>0</v>
      </c>
      <c r="BT1331" s="866"/>
      <c r="BU1331" s="866">
        <f>VLOOKUP(BD1331,$BD$4:$BN$12824,9,0)*BE1331</f>
        <v>45.775287017289102</v>
      </c>
      <c r="BV1331" s="867"/>
      <c r="BW1331" s="867">
        <f>VLOOKUP(BD1331,$BD$4:$BN$12824,11,0)*BE1331</f>
        <v>0</v>
      </c>
      <c r="BX1331" s="1146">
        <f t="shared" si="253"/>
        <v>45234.094953941094</v>
      </c>
      <c r="BY1331" s="867">
        <f t="shared" si="256"/>
        <v>106083.06697279347</v>
      </c>
      <c r="BZ1331" s="867">
        <f t="shared" si="254"/>
        <v>318249.2009183804</v>
      </c>
      <c r="CA1331" s="867">
        <f>_xlfn.MAXIFS($BY$4:$BY$12824,$S$4:$S$12824,$S1331)</f>
        <v>106083.06697279347</v>
      </c>
      <c r="CB1331" s="1032"/>
      <c r="CF1331" s="946">
        <f t="shared" si="255"/>
        <v>244251.86550000001</v>
      </c>
    </row>
    <row r="1332" spans="2:84">
      <c r="B1332" s="839" t="s">
        <v>98</v>
      </c>
      <c r="C1332" s="839" t="s">
        <v>273</v>
      </c>
      <c r="D1332" s="839" t="s">
        <v>4457</v>
      </c>
      <c r="E1332" s="839" t="s">
        <v>4522</v>
      </c>
      <c r="F1332" s="841">
        <v>45832</v>
      </c>
      <c r="G1332" s="868" t="s">
        <v>273</v>
      </c>
      <c r="H1332" s="842" t="s">
        <v>102</v>
      </c>
      <c r="I1332" s="883" t="s">
        <v>4523</v>
      </c>
      <c r="J1332" s="841">
        <v>45831</v>
      </c>
      <c r="K1332" s="841">
        <v>45923</v>
      </c>
      <c r="L1332" s="843" t="s">
        <v>106</v>
      </c>
      <c r="M1332" s="844" t="s">
        <v>275</v>
      </c>
      <c r="N1332" s="841"/>
      <c r="O1332" s="884" t="s">
        <v>150</v>
      </c>
      <c r="P1332" s="842" t="s">
        <v>276</v>
      </c>
      <c r="Q1332" s="843"/>
      <c r="R1332" s="845">
        <v>14111.29</v>
      </c>
      <c r="S1332" s="1127" t="s">
        <v>4542</v>
      </c>
      <c r="T1332" s="885" t="s">
        <v>4543</v>
      </c>
      <c r="U1332" s="886">
        <v>3</v>
      </c>
      <c r="V1332" s="842" t="s">
        <v>3</v>
      </c>
      <c r="W1332" s="846" t="s">
        <v>4541</v>
      </c>
      <c r="X1332" s="847">
        <f t="shared" si="248"/>
        <v>16.14</v>
      </c>
      <c r="Y1332" s="853">
        <v>0.5</v>
      </c>
      <c r="Z1332" s="849">
        <v>2.69</v>
      </c>
      <c r="AA1332" s="849"/>
      <c r="AB1332" s="849">
        <f t="shared" si="249"/>
        <v>8.07</v>
      </c>
      <c r="AC1332" s="850">
        <f t="shared" si="250"/>
        <v>8.07</v>
      </c>
      <c r="AD1332" s="851">
        <f t="shared" si="247"/>
        <v>32000</v>
      </c>
      <c r="AE1332" s="852">
        <v>30266.65</v>
      </c>
      <c r="AF1332" s="853">
        <v>0.1</v>
      </c>
      <c r="AG1332" s="854">
        <f t="shared" si="251"/>
        <v>28763.240464439354</v>
      </c>
      <c r="AH1332" s="853">
        <v>0.08</v>
      </c>
      <c r="AI1332" s="855">
        <f t="shared" si="252"/>
        <v>21841.208477155149</v>
      </c>
      <c r="AJ1332" s="845" t="s">
        <v>4463</v>
      </c>
      <c r="AK1332" s="857">
        <v>45863</v>
      </c>
      <c r="AL1332" s="843" t="s">
        <v>4464</v>
      </c>
      <c r="AM1332" s="843"/>
      <c r="AN1332" s="844"/>
      <c r="AO1332" s="844" t="s">
        <v>116</v>
      </c>
      <c r="AP1332" s="841"/>
      <c r="AQ1332" s="841">
        <v>45867</v>
      </c>
      <c r="AR1332" s="841">
        <v>45870</v>
      </c>
      <c r="AS1332" s="842" t="s">
        <v>4465</v>
      </c>
      <c r="AT1332" s="842" t="s">
        <v>4466</v>
      </c>
      <c r="AU1332" s="842" t="s">
        <v>1565</v>
      </c>
      <c r="AV1332" s="845" t="s">
        <v>4467</v>
      </c>
      <c r="AW1332" s="861">
        <v>45871</v>
      </c>
      <c r="AX1332" s="862">
        <v>45872</v>
      </c>
      <c r="AY1332" s="843"/>
      <c r="AZ1332" s="842"/>
      <c r="BA1332" s="842" t="s">
        <v>120</v>
      </c>
      <c r="BB1332" s="863" t="s">
        <v>121</v>
      </c>
      <c r="BC1332" s="864">
        <v>45873</v>
      </c>
      <c r="BD1332" s="860" t="s">
        <v>4468</v>
      </c>
      <c r="BE1332" s="865" cm="1">
        <f t="array" ref="BE1332">IF(BD1332="","",AC1332/SUMPRODUCT(--(BD1332=$BD$4:$BD$12824),$AC$4:$AC$12824))</f>
        <v>2.2887643508644551E-3</v>
      </c>
      <c r="BF1332" s="458"/>
      <c r="BG1332" s="458"/>
      <c r="BH1332" s="458"/>
      <c r="BI1332" s="458"/>
      <c r="BJ1332" s="458"/>
      <c r="BK1332" s="458"/>
      <c r="BL1332" s="458"/>
      <c r="BM1332" s="458"/>
      <c r="BN1332" s="458"/>
      <c r="BO1332" s="866">
        <f>VLOOKUP(BD1332,$BD$4:$BN$12824,3,0)*BE1332</f>
        <v>43380.539144393515</v>
      </c>
      <c r="BP1332" s="866"/>
      <c r="BQ1332" s="866"/>
      <c r="BR1332" s="866">
        <f>VLOOKUP(BD1332,$BD$4:$BN$12824,6,0)*BE1332</f>
        <v>1807.7805225302898</v>
      </c>
      <c r="BS1332" s="866">
        <f>VLOOKUP(BD1332,$BD$4:$BN$12824,7,0)*BE1332</f>
        <v>0</v>
      </c>
      <c r="BT1332" s="866"/>
      <c r="BU1332" s="866">
        <f>VLOOKUP(BD1332,$BD$4:$BN$12824,9,0)*BE1332</f>
        <v>45.775287017289102</v>
      </c>
      <c r="BV1332" s="867"/>
      <c r="BW1332" s="867">
        <f>VLOOKUP(BD1332,$BD$4:$BN$12824,11,0)*BE1332</f>
        <v>0</v>
      </c>
      <c r="BX1332" s="1146">
        <f t="shared" si="253"/>
        <v>45234.094953941094</v>
      </c>
      <c r="BY1332" s="867">
        <f t="shared" si="256"/>
        <v>106083.06697279347</v>
      </c>
      <c r="BZ1332" s="867">
        <f t="shared" si="254"/>
        <v>318249.2009183804</v>
      </c>
      <c r="CA1332" s="867">
        <f>_xlfn.MAXIFS($BY$4:$BY$12824,$S$4:$S$12824,$S1332)</f>
        <v>106083.06697279347</v>
      </c>
      <c r="CB1332" s="1032"/>
      <c r="CF1332" s="946">
        <f t="shared" si="255"/>
        <v>244251.86550000001</v>
      </c>
    </row>
    <row r="1333" spans="2:84">
      <c r="B1333" s="839" t="s">
        <v>98</v>
      </c>
      <c r="C1333" s="839" t="s">
        <v>273</v>
      </c>
      <c r="D1333" s="839" t="s">
        <v>4457</v>
      </c>
      <c r="E1333" s="839" t="s">
        <v>4522</v>
      </c>
      <c r="F1333" s="841">
        <v>45832</v>
      </c>
      <c r="G1333" s="868" t="s">
        <v>273</v>
      </c>
      <c r="H1333" s="842" t="s">
        <v>102</v>
      </c>
      <c r="I1333" s="883" t="s">
        <v>4523</v>
      </c>
      <c r="J1333" s="841">
        <v>45831</v>
      </c>
      <c r="K1333" s="841">
        <v>45923</v>
      </c>
      <c r="L1333" s="843" t="s">
        <v>106</v>
      </c>
      <c r="M1333" s="844" t="s">
        <v>275</v>
      </c>
      <c r="N1333" s="841"/>
      <c r="O1333" s="884" t="s">
        <v>150</v>
      </c>
      <c r="P1333" s="842" t="s">
        <v>276</v>
      </c>
      <c r="Q1333" s="843"/>
      <c r="R1333" s="845">
        <v>14263.29</v>
      </c>
      <c r="S1333" s="1127" t="s">
        <v>4544</v>
      </c>
      <c r="T1333" s="885" t="s">
        <v>4545</v>
      </c>
      <c r="U1333" s="886">
        <v>1</v>
      </c>
      <c r="V1333" s="842" t="s">
        <v>3</v>
      </c>
      <c r="W1333" s="846" t="s">
        <v>4546</v>
      </c>
      <c r="X1333" s="847">
        <f t="shared" si="248"/>
        <v>83.76</v>
      </c>
      <c r="Y1333" s="853">
        <v>0.5</v>
      </c>
      <c r="Z1333" s="849">
        <v>41.88</v>
      </c>
      <c r="AA1333" s="849"/>
      <c r="AB1333" s="849">
        <f t="shared" si="249"/>
        <v>41.88</v>
      </c>
      <c r="AC1333" s="850">
        <f t="shared" si="250"/>
        <v>41.88</v>
      </c>
      <c r="AD1333" s="851">
        <f t="shared" si="247"/>
        <v>32000</v>
      </c>
      <c r="AE1333" s="852">
        <v>30266.65</v>
      </c>
      <c r="AF1333" s="853">
        <v>0.1</v>
      </c>
      <c r="AG1333" s="854">
        <f t="shared" si="251"/>
        <v>149269.45609054773</v>
      </c>
      <c r="AH1333" s="853">
        <v>0.08</v>
      </c>
      <c r="AI1333" s="855">
        <f t="shared" si="252"/>
        <v>113346.94064724383</v>
      </c>
      <c r="AJ1333" s="845" t="s">
        <v>4463</v>
      </c>
      <c r="AK1333" s="857">
        <v>45863</v>
      </c>
      <c r="AL1333" s="843" t="s">
        <v>4464</v>
      </c>
      <c r="AM1333" s="843"/>
      <c r="AN1333" s="844"/>
      <c r="AO1333" s="844" t="s">
        <v>116</v>
      </c>
      <c r="AP1333" s="841"/>
      <c r="AQ1333" s="841">
        <v>45867</v>
      </c>
      <c r="AR1333" s="841">
        <v>45870</v>
      </c>
      <c r="AS1333" s="842" t="s">
        <v>4465</v>
      </c>
      <c r="AT1333" s="842" t="s">
        <v>4466</v>
      </c>
      <c r="AU1333" s="842" t="s">
        <v>1565</v>
      </c>
      <c r="AV1333" s="845" t="s">
        <v>4467</v>
      </c>
      <c r="AW1333" s="861">
        <v>45871</v>
      </c>
      <c r="AX1333" s="862">
        <v>45872</v>
      </c>
      <c r="AY1333" s="843"/>
      <c r="AZ1333" s="842"/>
      <c r="BA1333" s="842" t="s">
        <v>120</v>
      </c>
      <c r="BB1333" s="863" t="s">
        <v>121</v>
      </c>
      <c r="BC1333" s="864">
        <v>45873</v>
      </c>
      <c r="BD1333" s="860" t="s">
        <v>4468</v>
      </c>
      <c r="BE1333" s="865" cm="1">
        <f t="array" ref="BE1333">IF(BD1333="","",AC1333/SUMPRODUCT(--(BD1333=$BD$4:$BD$12824),$AC$4:$AC$12824))</f>
        <v>1.1877751055043791E-2</v>
      </c>
      <c r="BF1333" s="458"/>
      <c r="BG1333" s="458"/>
      <c r="BH1333" s="458"/>
      <c r="BI1333" s="458"/>
      <c r="BJ1333" s="458"/>
      <c r="BK1333" s="458"/>
      <c r="BL1333" s="458"/>
      <c r="BM1333" s="458"/>
      <c r="BN1333" s="458"/>
      <c r="BO1333" s="866">
        <f>VLOOKUP(BD1333,$BD$4:$BN$12824,3,0)*BE1333</f>
        <v>225127.25890547718</v>
      </c>
      <c r="BP1333" s="866"/>
      <c r="BQ1333" s="866"/>
      <c r="BR1333" s="866">
        <f>VLOOKUP(BD1333,$BD$4:$BN$12824,6,0)*BE1333</f>
        <v>9381.6416708263387</v>
      </c>
      <c r="BS1333" s="866">
        <f>VLOOKUP(BD1333,$BD$4:$BN$12824,7,0)*BE1333</f>
        <v>0</v>
      </c>
      <c r="BT1333" s="866"/>
      <c r="BU1333" s="866">
        <f>VLOOKUP(BD1333,$BD$4:$BN$12824,9,0)*BE1333</f>
        <v>237.55502110087582</v>
      </c>
      <c r="BV1333" s="867"/>
      <c r="BW1333" s="867">
        <f>VLOOKUP(BD1333,$BD$4:$BN$12824,11,0)*BE1333</f>
        <v>0</v>
      </c>
      <c r="BX1333" s="1146">
        <f t="shared" si="253"/>
        <v>234746.45559740439</v>
      </c>
      <c r="BY1333" s="867">
        <f t="shared" si="256"/>
        <v>1651583.2136879521</v>
      </c>
      <c r="BZ1333" s="867">
        <f t="shared" si="254"/>
        <v>1651583.2136879521</v>
      </c>
      <c r="CA1333" s="867">
        <f>_xlfn.MAXIFS($BY$4:$BY$12824,$S$4:$S$12824,$S1333)</f>
        <v>1651583.2136879521</v>
      </c>
      <c r="CB1333" s="1032"/>
      <c r="CF1333" s="946">
        <f t="shared" si="255"/>
        <v>1267567.3020000001</v>
      </c>
    </row>
    <row r="1334" spans="2:84">
      <c r="B1334" s="839" t="s">
        <v>98</v>
      </c>
      <c r="C1334" s="839" t="s">
        <v>273</v>
      </c>
      <c r="D1334" s="839" t="s">
        <v>4457</v>
      </c>
      <c r="E1334" s="839" t="s">
        <v>4522</v>
      </c>
      <c r="F1334" s="841">
        <v>45832</v>
      </c>
      <c r="G1334" s="868" t="s">
        <v>273</v>
      </c>
      <c r="H1334" s="842" t="s">
        <v>102</v>
      </c>
      <c r="I1334" s="883" t="s">
        <v>4523</v>
      </c>
      <c r="J1334" s="841">
        <v>45831</v>
      </c>
      <c r="K1334" s="841">
        <v>45923</v>
      </c>
      <c r="L1334" s="843" t="s">
        <v>106</v>
      </c>
      <c r="M1334" s="844" t="s">
        <v>275</v>
      </c>
      <c r="N1334" s="841"/>
      <c r="O1334" s="884" t="s">
        <v>150</v>
      </c>
      <c r="P1334" s="842" t="s">
        <v>276</v>
      </c>
      <c r="Q1334" s="843"/>
      <c r="R1334" s="845">
        <v>14264.29</v>
      </c>
      <c r="S1334" s="1127" t="s">
        <v>4547</v>
      </c>
      <c r="T1334" s="885" t="s">
        <v>4548</v>
      </c>
      <c r="U1334" s="886">
        <v>1</v>
      </c>
      <c r="V1334" s="842" t="s">
        <v>3</v>
      </c>
      <c r="W1334" s="846" t="s">
        <v>4546</v>
      </c>
      <c r="X1334" s="847">
        <f t="shared" si="248"/>
        <v>83.76</v>
      </c>
      <c r="Y1334" s="853">
        <v>0.5</v>
      </c>
      <c r="Z1334" s="849">
        <v>41.88</v>
      </c>
      <c r="AA1334" s="849"/>
      <c r="AB1334" s="849">
        <f t="shared" si="249"/>
        <v>41.88</v>
      </c>
      <c r="AC1334" s="850">
        <f t="shared" si="250"/>
        <v>41.88</v>
      </c>
      <c r="AD1334" s="851">
        <f t="shared" si="247"/>
        <v>32000</v>
      </c>
      <c r="AE1334" s="852">
        <v>30266.65</v>
      </c>
      <c r="AF1334" s="853">
        <v>0.1</v>
      </c>
      <c r="AG1334" s="854">
        <f t="shared" si="251"/>
        <v>149269.45609054773</v>
      </c>
      <c r="AH1334" s="853">
        <v>0.08</v>
      </c>
      <c r="AI1334" s="855">
        <f t="shared" si="252"/>
        <v>113346.94064724383</v>
      </c>
      <c r="AJ1334" s="845" t="s">
        <v>4463</v>
      </c>
      <c r="AK1334" s="857">
        <v>45863</v>
      </c>
      <c r="AL1334" s="843" t="s">
        <v>4464</v>
      </c>
      <c r="AM1334" s="843"/>
      <c r="AN1334" s="844"/>
      <c r="AO1334" s="844" t="s">
        <v>116</v>
      </c>
      <c r="AP1334" s="841"/>
      <c r="AQ1334" s="841">
        <v>45867</v>
      </c>
      <c r="AR1334" s="841">
        <v>45870</v>
      </c>
      <c r="AS1334" s="842" t="s">
        <v>4465</v>
      </c>
      <c r="AT1334" s="842" t="s">
        <v>4466</v>
      </c>
      <c r="AU1334" s="842" t="s">
        <v>1565</v>
      </c>
      <c r="AV1334" s="845" t="s">
        <v>4467</v>
      </c>
      <c r="AW1334" s="861">
        <v>45871</v>
      </c>
      <c r="AX1334" s="862">
        <v>45872</v>
      </c>
      <c r="AY1334" s="843"/>
      <c r="AZ1334" s="842"/>
      <c r="BA1334" s="842" t="s">
        <v>120</v>
      </c>
      <c r="BB1334" s="863" t="s">
        <v>121</v>
      </c>
      <c r="BC1334" s="864">
        <v>45873</v>
      </c>
      <c r="BD1334" s="860" t="s">
        <v>4468</v>
      </c>
      <c r="BE1334" s="865" cm="1">
        <f t="array" ref="BE1334">IF(BD1334="","",AC1334/SUMPRODUCT(--(BD1334=$BD$4:$BD$12824),$AC$4:$AC$12824))</f>
        <v>1.1877751055043791E-2</v>
      </c>
      <c r="BF1334" s="458"/>
      <c r="BG1334" s="458"/>
      <c r="BH1334" s="458"/>
      <c r="BI1334" s="458"/>
      <c r="BJ1334" s="458"/>
      <c r="BK1334" s="458"/>
      <c r="BL1334" s="458"/>
      <c r="BM1334" s="458"/>
      <c r="BN1334" s="458"/>
      <c r="BO1334" s="866">
        <f>VLOOKUP(BD1334,$BD$4:$BN$12824,3,0)*BE1334</f>
        <v>225127.25890547718</v>
      </c>
      <c r="BP1334" s="866"/>
      <c r="BQ1334" s="866"/>
      <c r="BR1334" s="866">
        <f>VLOOKUP(BD1334,$BD$4:$BN$12824,6,0)*BE1334</f>
        <v>9381.6416708263387</v>
      </c>
      <c r="BS1334" s="866">
        <f>VLOOKUP(BD1334,$BD$4:$BN$12824,7,0)*BE1334</f>
        <v>0</v>
      </c>
      <c r="BT1334" s="866"/>
      <c r="BU1334" s="866">
        <f>VLOOKUP(BD1334,$BD$4:$BN$12824,9,0)*BE1334</f>
        <v>237.55502110087582</v>
      </c>
      <c r="BV1334" s="867"/>
      <c r="BW1334" s="867">
        <f>VLOOKUP(BD1334,$BD$4:$BN$12824,11,0)*BE1334</f>
        <v>0</v>
      </c>
      <c r="BX1334" s="1146">
        <f t="shared" si="253"/>
        <v>234746.45559740439</v>
      </c>
      <c r="BY1334" s="867">
        <f t="shared" si="256"/>
        <v>1651583.2136879521</v>
      </c>
      <c r="BZ1334" s="867">
        <f t="shared" si="254"/>
        <v>1651583.2136879521</v>
      </c>
      <c r="CA1334" s="867">
        <f>_xlfn.MAXIFS($BY$4:$BY$12824,$S$4:$S$12824,$S1334)</f>
        <v>1651583.2136879521</v>
      </c>
      <c r="CB1334" s="1032"/>
      <c r="CF1334" s="946">
        <f t="shared" si="255"/>
        <v>1267567.3020000001</v>
      </c>
    </row>
    <row r="1335" spans="2:84">
      <c r="B1335" s="839" t="s">
        <v>98</v>
      </c>
      <c r="C1335" s="839" t="s">
        <v>273</v>
      </c>
      <c r="D1335" s="839" t="s">
        <v>4457</v>
      </c>
      <c r="E1335" s="839" t="s">
        <v>4522</v>
      </c>
      <c r="F1335" s="841">
        <v>45832</v>
      </c>
      <c r="G1335" s="868" t="s">
        <v>273</v>
      </c>
      <c r="H1335" s="842" t="s">
        <v>102</v>
      </c>
      <c r="I1335" s="883" t="s">
        <v>4523</v>
      </c>
      <c r="J1335" s="841">
        <v>45831</v>
      </c>
      <c r="K1335" s="841">
        <v>45923</v>
      </c>
      <c r="L1335" s="843" t="s">
        <v>106</v>
      </c>
      <c r="M1335" s="844" t="s">
        <v>275</v>
      </c>
      <c r="N1335" s="841"/>
      <c r="O1335" s="884" t="s">
        <v>150</v>
      </c>
      <c r="P1335" s="842" t="s">
        <v>276</v>
      </c>
      <c r="Q1335" s="843"/>
      <c r="R1335" s="845">
        <v>15193.29</v>
      </c>
      <c r="S1335" s="1127" t="s">
        <v>4549</v>
      </c>
      <c r="T1335" s="885" t="s">
        <v>4550</v>
      </c>
      <c r="U1335" s="886">
        <v>3</v>
      </c>
      <c r="V1335" s="842" t="s">
        <v>3</v>
      </c>
      <c r="W1335" s="846" t="s">
        <v>4529</v>
      </c>
      <c r="X1335" s="847">
        <f t="shared" si="248"/>
        <v>155.85000000000002</v>
      </c>
      <c r="Y1335" s="853">
        <v>0.5</v>
      </c>
      <c r="Z1335" s="849">
        <v>25.98</v>
      </c>
      <c r="AA1335" s="849"/>
      <c r="AB1335" s="849">
        <f t="shared" si="249"/>
        <v>77.94</v>
      </c>
      <c r="AC1335" s="850">
        <f t="shared" si="250"/>
        <v>77.94</v>
      </c>
      <c r="AD1335" s="851">
        <f t="shared" si="247"/>
        <v>32000</v>
      </c>
      <c r="AE1335" s="852">
        <v>30266.65</v>
      </c>
      <c r="AF1335" s="853">
        <v>0.1</v>
      </c>
      <c r="AG1335" s="854">
        <f t="shared" si="251"/>
        <v>277795.16255246632</v>
      </c>
      <c r="AH1335" s="853">
        <v>0.08</v>
      </c>
      <c r="AI1335" s="855">
        <f t="shared" si="252"/>
        <v>210942.22908419729</v>
      </c>
      <c r="AJ1335" s="845" t="s">
        <v>4463</v>
      </c>
      <c r="AK1335" s="857">
        <v>45863</v>
      </c>
      <c r="AL1335" s="843" t="s">
        <v>4464</v>
      </c>
      <c r="AM1335" s="843"/>
      <c r="AN1335" s="844"/>
      <c r="AO1335" s="844" t="s">
        <v>116</v>
      </c>
      <c r="AP1335" s="841"/>
      <c r="AQ1335" s="841">
        <v>45867</v>
      </c>
      <c r="AR1335" s="841">
        <v>45870</v>
      </c>
      <c r="AS1335" s="842" t="s">
        <v>4465</v>
      </c>
      <c r="AT1335" s="842" t="s">
        <v>4466</v>
      </c>
      <c r="AU1335" s="842" t="s">
        <v>1565</v>
      </c>
      <c r="AV1335" s="845" t="s">
        <v>4467</v>
      </c>
      <c r="AW1335" s="861">
        <v>45871</v>
      </c>
      <c r="AX1335" s="862">
        <v>45872</v>
      </c>
      <c r="AY1335" s="843"/>
      <c r="AZ1335" s="842"/>
      <c r="BA1335" s="842" t="s">
        <v>120</v>
      </c>
      <c r="BB1335" s="863" t="s">
        <v>121</v>
      </c>
      <c r="BC1335" s="864">
        <v>45873</v>
      </c>
      <c r="BD1335" s="860" t="s">
        <v>4468</v>
      </c>
      <c r="BE1335" s="865" cm="1">
        <f t="array" ref="BE1335">IF(BD1335="","",AC1335/SUMPRODUCT(--(BD1335=$BD$4:$BD$12824),$AC$4:$AC$12824))</f>
        <v>2.2104869083813584E-2</v>
      </c>
      <c r="BF1335" s="458"/>
      <c r="BG1335" s="458"/>
      <c r="BH1335" s="458"/>
      <c r="BI1335" s="458"/>
      <c r="BJ1335" s="458"/>
      <c r="BK1335" s="458"/>
      <c r="BL1335" s="458"/>
      <c r="BM1335" s="458"/>
      <c r="BN1335" s="458"/>
      <c r="BO1335" s="866">
        <f>VLOOKUP(BD1335,$BD$4:$BN$12824,3,0)*BE1335</f>
        <v>418968.92452466302</v>
      </c>
      <c r="BP1335" s="866"/>
      <c r="BQ1335" s="866"/>
      <c r="BR1335" s="866">
        <f>VLOOKUP(BD1335,$BD$4:$BN$12824,6,0)*BE1335</f>
        <v>17459.53084585016</v>
      </c>
      <c r="BS1335" s="866">
        <f>VLOOKUP(BD1335,$BD$4:$BN$12824,7,0)*BE1335</f>
        <v>0</v>
      </c>
      <c r="BT1335" s="866"/>
      <c r="BU1335" s="866">
        <f>VLOOKUP(BD1335,$BD$4:$BN$12824,9,0)*BE1335</f>
        <v>442.09738167627165</v>
      </c>
      <c r="BV1335" s="867"/>
      <c r="BW1335" s="867">
        <f>VLOOKUP(BD1335,$BD$4:$BN$12824,11,0)*BE1335</f>
        <v>0</v>
      </c>
      <c r="BX1335" s="1146">
        <f t="shared" si="253"/>
        <v>436870.55275218945</v>
      </c>
      <c r="BY1335" s="867">
        <f t="shared" si="256"/>
        <v>1024549.4721015518</v>
      </c>
      <c r="BZ1335" s="867">
        <f t="shared" si="254"/>
        <v>3073648.4163046554</v>
      </c>
      <c r="CA1335" s="867">
        <f>_xlfn.MAXIFS($BY$4:$BY$12824,$S$4:$S$12824,$S1335)</f>
        <v>1024549.4721015518</v>
      </c>
      <c r="CB1335" s="1032"/>
      <c r="CF1335" s="946">
        <f t="shared" si="255"/>
        <v>2358982.7009999999</v>
      </c>
    </row>
    <row r="1336" spans="2:84">
      <c r="B1336" s="839" t="s">
        <v>98</v>
      </c>
      <c r="C1336" s="839" t="s">
        <v>273</v>
      </c>
      <c r="D1336" s="839" t="s">
        <v>4457</v>
      </c>
      <c r="E1336" s="839" t="s">
        <v>4522</v>
      </c>
      <c r="F1336" s="841">
        <v>45832</v>
      </c>
      <c r="G1336" s="868" t="s">
        <v>273</v>
      </c>
      <c r="H1336" s="842" t="s">
        <v>102</v>
      </c>
      <c r="I1336" s="883" t="s">
        <v>4523</v>
      </c>
      <c r="J1336" s="841">
        <v>45831</v>
      </c>
      <c r="K1336" s="841">
        <v>45923</v>
      </c>
      <c r="L1336" s="843" t="s">
        <v>106</v>
      </c>
      <c r="M1336" s="844" t="s">
        <v>275</v>
      </c>
      <c r="N1336" s="841"/>
      <c r="O1336" s="884" t="s">
        <v>150</v>
      </c>
      <c r="P1336" s="842" t="s">
        <v>276</v>
      </c>
      <c r="Q1336" s="843"/>
      <c r="R1336" s="845">
        <v>15399</v>
      </c>
      <c r="S1336" s="1127" t="s">
        <v>4551</v>
      </c>
      <c r="T1336" s="885" t="s">
        <v>4552</v>
      </c>
      <c r="U1336" s="886">
        <v>2</v>
      </c>
      <c r="V1336" s="842" t="s">
        <v>3</v>
      </c>
      <c r="W1336" s="846" t="s">
        <v>4553</v>
      </c>
      <c r="X1336" s="847">
        <f t="shared" si="248"/>
        <v>12.9</v>
      </c>
      <c r="Y1336" s="853">
        <v>0.5</v>
      </c>
      <c r="Z1336" s="849">
        <v>3.23</v>
      </c>
      <c r="AA1336" s="849"/>
      <c r="AB1336" s="849">
        <f t="shared" si="249"/>
        <v>6.46</v>
      </c>
      <c r="AC1336" s="850">
        <f t="shared" si="250"/>
        <v>6.46</v>
      </c>
      <c r="AD1336" s="851">
        <f t="shared" si="247"/>
        <v>32000</v>
      </c>
      <c r="AE1336" s="852">
        <v>30266.65</v>
      </c>
      <c r="AF1336" s="853">
        <v>0.1</v>
      </c>
      <c r="AG1336" s="854">
        <f t="shared" si="251"/>
        <v>23024.849244148481</v>
      </c>
      <c r="AH1336" s="853">
        <v>0.08</v>
      </c>
      <c r="AI1336" s="855">
        <f t="shared" si="252"/>
        <v>17483.792659531879</v>
      </c>
      <c r="AJ1336" s="845" t="s">
        <v>4463</v>
      </c>
      <c r="AK1336" s="857">
        <v>45863</v>
      </c>
      <c r="AL1336" s="843" t="s">
        <v>4464</v>
      </c>
      <c r="AM1336" s="843"/>
      <c r="AN1336" s="844"/>
      <c r="AO1336" s="844" t="s">
        <v>116</v>
      </c>
      <c r="AP1336" s="841"/>
      <c r="AQ1336" s="841">
        <v>45867</v>
      </c>
      <c r="AR1336" s="841">
        <v>45870</v>
      </c>
      <c r="AS1336" s="842" t="s">
        <v>4465</v>
      </c>
      <c r="AT1336" s="842" t="s">
        <v>4466</v>
      </c>
      <c r="AU1336" s="842" t="s">
        <v>1565</v>
      </c>
      <c r="AV1336" s="845" t="s">
        <v>4467</v>
      </c>
      <c r="AW1336" s="861">
        <v>45871</v>
      </c>
      <c r="AX1336" s="862">
        <v>45872</v>
      </c>
      <c r="AY1336" s="843"/>
      <c r="AZ1336" s="842"/>
      <c r="BA1336" s="842" t="s">
        <v>120</v>
      </c>
      <c r="BB1336" s="863" t="s">
        <v>121</v>
      </c>
      <c r="BC1336" s="864">
        <v>45873</v>
      </c>
      <c r="BD1336" s="860" t="s">
        <v>4468</v>
      </c>
      <c r="BE1336" s="865" cm="1">
        <f t="array" ref="BE1336">IF(BD1336="","",AC1336/SUMPRODUCT(--(BD1336=$BD$4:$BD$12824),$AC$4:$AC$12824))</f>
        <v>1.8321459363797249E-3</v>
      </c>
      <c r="BF1336" s="458"/>
      <c r="BG1336" s="458"/>
      <c r="BH1336" s="458"/>
      <c r="BI1336" s="458"/>
      <c r="BJ1336" s="458"/>
      <c r="BK1336" s="458"/>
      <c r="BL1336" s="458"/>
      <c r="BM1336" s="458"/>
      <c r="BN1336" s="458"/>
      <c r="BO1336" s="866">
        <f>VLOOKUP(BD1336,$BD$4:$BN$12824,3,0)*BE1336</f>
        <v>34725.933441484776</v>
      </c>
      <c r="BP1336" s="866"/>
      <c r="BQ1336" s="866"/>
      <c r="BR1336" s="866">
        <f>VLOOKUP(BD1336,$BD$4:$BN$12824,6,0)*BE1336</f>
        <v>1447.1204678495258</v>
      </c>
      <c r="BS1336" s="866">
        <f>VLOOKUP(BD1336,$BD$4:$BN$12824,7,0)*BE1336</f>
        <v>0</v>
      </c>
      <c r="BT1336" s="866"/>
      <c r="BU1336" s="866">
        <f>VLOOKUP(BD1336,$BD$4:$BN$12824,9,0)*BE1336</f>
        <v>36.642918727594498</v>
      </c>
      <c r="BV1336" s="867"/>
      <c r="BW1336" s="867">
        <f>VLOOKUP(BD1336,$BD$4:$BN$12824,11,0)*BE1336</f>
        <v>0</v>
      </c>
      <c r="BX1336" s="1146">
        <f t="shared" si="253"/>
        <v>36209.696828061897</v>
      </c>
      <c r="BY1336" s="867">
        <f t="shared" si="256"/>
        <v>127378.55253610518</v>
      </c>
      <c r="BZ1336" s="867">
        <f t="shared" si="254"/>
        <v>254757.10507221037</v>
      </c>
      <c r="CA1336" s="867">
        <f>_xlfn.MAXIFS($BY$4:$BY$12824,$S$4:$S$12824,$S1336)</f>
        <v>127378.55253610518</v>
      </c>
      <c r="CB1336" s="1032"/>
      <c r="CF1336" s="946">
        <f t="shared" si="255"/>
        <v>195522.55900000001</v>
      </c>
    </row>
    <row r="1337" spans="2:84">
      <c r="B1337" s="839" t="s">
        <v>98</v>
      </c>
      <c r="C1337" s="839" t="s">
        <v>273</v>
      </c>
      <c r="D1337" s="839" t="s">
        <v>4457</v>
      </c>
      <c r="E1337" s="839" t="s">
        <v>4522</v>
      </c>
      <c r="F1337" s="841">
        <v>45832</v>
      </c>
      <c r="G1337" s="868" t="s">
        <v>273</v>
      </c>
      <c r="H1337" s="842" t="s">
        <v>102</v>
      </c>
      <c r="I1337" s="883" t="s">
        <v>4523</v>
      </c>
      <c r="J1337" s="841">
        <v>45831</v>
      </c>
      <c r="K1337" s="841">
        <v>45923</v>
      </c>
      <c r="L1337" s="843" t="s">
        <v>106</v>
      </c>
      <c r="M1337" s="844" t="s">
        <v>275</v>
      </c>
      <c r="N1337" s="841"/>
      <c r="O1337" s="884" t="s">
        <v>150</v>
      </c>
      <c r="P1337" s="842" t="s">
        <v>276</v>
      </c>
      <c r="Q1337" s="843"/>
      <c r="R1337" s="845">
        <v>16189.29</v>
      </c>
      <c r="S1337" s="1127" t="s">
        <v>4554</v>
      </c>
      <c r="T1337" s="885" t="s">
        <v>4555</v>
      </c>
      <c r="U1337" s="886">
        <v>2</v>
      </c>
      <c r="V1337" s="842" t="s">
        <v>3</v>
      </c>
      <c r="W1337" s="846" t="s">
        <v>4483</v>
      </c>
      <c r="X1337" s="847">
        <f t="shared" si="248"/>
        <v>64.48</v>
      </c>
      <c r="Y1337" s="853">
        <v>0.5</v>
      </c>
      <c r="Z1337" s="849">
        <v>16.12</v>
      </c>
      <c r="AA1337" s="849"/>
      <c r="AB1337" s="849">
        <f t="shared" si="249"/>
        <v>32.24</v>
      </c>
      <c r="AC1337" s="850">
        <f t="shared" si="250"/>
        <v>32.24</v>
      </c>
      <c r="AD1337" s="851">
        <f t="shared" ref="AD1337:AD1400" si="258">IF(V1337=$AD$2,$AE$2,$AE$3)</f>
        <v>32000</v>
      </c>
      <c r="AE1337" s="852">
        <v>30266.65</v>
      </c>
      <c r="AF1337" s="853">
        <v>0.1</v>
      </c>
      <c r="AG1337" s="854">
        <f t="shared" si="251"/>
        <v>114910.39313178748</v>
      </c>
      <c r="AH1337" s="853">
        <v>0.08</v>
      </c>
      <c r="AI1337" s="855">
        <f t="shared" si="252"/>
        <v>87256.575130543002</v>
      </c>
      <c r="AJ1337" s="845" t="s">
        <v>4463</v>
      </c>
      <c r="AK1337" s="857">
        <v>45863</v>
      </c>
      <c r="AL1337" s="843" t="s">
        <v>4464</v>
      </c>
      <c r="AM1337" s="843"/>
      <c r="AN1337" s="844"/>
      <c r="AO1337" s="844" t="s">
        <v>116</v>
      </c>
      <c r="AP1337" s="841"/>
      <c r="AQ1337" s="841">
        <v>45867</v>
      </c>
      <c r="AR1337" s="841">
        <v>45870</v>
      </c>
      <c r="AS1337" s="842" t="s">
        <v>4465</v>
      </c>
      <c r="AT1337" s="842" t="s">
        <v>4466</v>
      </c>
      <c r="AU1337" s="842" t="s">
        <v>1565</v>
      </c>
      <c r="AV1337" s="845" t="s">
        <v>4467</v>
      </c>
      <c r="AW1337" s="861">
        <v>45871</v>
      </c>
      <c r="AX1337" s="862">
        <v>45872</v>
      </c>
      <c r="AY1337" s="843"/>
      <c r="AZ1337" s="842"/>
      <c r="BA1337" s="842" t="s">
        <v>120</v>
      </c>
      <c r="BB1337" s="863" t="s">
        <v>121</v>
      </c>
      <c r="BC1337" s="864">
        <v>45873</v>
      </c>
      <c r="BD1337" s="860" t="s">
        <v>4468</v>
      </c>
      <c r="BE1337" s="865" cm="1">
        <f t="array" ref="BE1337">IF(BD1337="","",AC1337/SUMPRODUCT(--(BD1337=$BD$4:$BD$12824),$AC$4:$AC$12824))</f>
        <v>9.1437128465762137E-3</v>
      </c>
      <c r="BF1337" s="458"/>
      <c r="BG1337" s="458"/>
      <c r="BH1337" s="458"/>
      <c r="BI1337" s="458"/>
      <c r="BJ1337" s="458"/>
      <c r="BK1337" s="458"/>
      <c r="BL1337" s="458"/>
      <c r="BM1337" s="458"/>
      <c r="BN1337" s="458"/>
      <c r="BO1337" s="866">
        <f>VLOOKUP(BD1337,$BD$4:$BN$12824,3,0)*BE1337</f>
        <v>173307.13531787449</v>
      </c>
      <c r="BP1337" s="866"/>
      <c r="BQ1337" s="866"/>
      <c r="BR1337" s="866">
        <f>VLOOKUP(BD1337,$BD$4:$BN$12824,6,0)*BE1337</f>
        <v>7222.1615918682228</v>
      </c>
      <c r="BS1337" s="866">
        <f>VLOOKUP(BD1337,$BD$4:$BN$12824,7,0)*BE1337</f>
        <v>0</v>
      </c>
      <c r="BT1337" s="866"/>
      <c r="BU1337" s="866">
        <f>VLOOKUP(BD1337,$BD$4:$BN$12824,9,0)*BE1337</f>
        <v>182.87425693152429</v>
      </c>
      <c r="BV1337" s="867"/>
      <c r="BW1337" s="867">
        <f>VLOOKUP(BD1337,$BD$4:$BN$12824,11,0)*BE1337</f>
        <v>0</v>
      </c>
      <c r="BX1337" s="1146">
        <f t="shared" si="253"/>
        <v>180712.17116667426</v>
      </c>
      <c r="BY1337" s="867">
        <f t="shared" si="256"/>
        <v>635709.68014923087</v>
      </c>
      <c r="BZ1337" s="867">
        <f t="shared" si="254"/>
        <v>1271419.3602984617</v>
      </c>
      <c r="CA1337" s="867">
        <f>_xlfn.MAXIFS($BY$4:$BY$12824,$S$4:$S$12824,$S1337)</f>
        <v>635709.68014923087</v>
      </c>
      <c r="CB1337" s="1032"/>
      <c r="CF1337" s="946">
        <f t="shared" si="255"/>
        <v>975796.79600000009</v>
      </c>
    </row>
    <row r="1338" spans="2:84">
      <c r="B1338" s="839" t="s">
        <v>98</v>
      </c>
      <c r="C1338" s="839" t="s">
        <v>273</v>
      </c>
      <c r="D1338" s="839" t="s">
        <v>4457</v>
      </c>
      <c r="E1338" s="839" t="s">
        <v>4522</v>
      </c>
      <c r="F1338" s="841">
        <v>45832</v>
      </c>
      <c r="G1338" s="868" t="s">
        <v>273</v>
      </c>
      <c r="H1338" s="842" t="s">
        <v>102</v>
      </c>
      <c r="I1338" s="883" t="s">
        <v>4523</v>
      </c>
      <c r="J1338" s="841">
        <v>45831</v>
      </c>
      <c r="K1338" s="841">
        <v>45923</v>
      </c>
      <c r="L1338" s="843" t="s">
        <v>106</v>
      </c>
      <c r="M1338" s="844" t="s">
        <v>275</v>
      </c>
      <c r="N1338" s="841"/>
      <c r="O1338" s="884" t="s">
        <v>150</v>
      </c>
      <c r="P1338" s="842" t="s">
        <v>276</v>
      </c>
      <c r="Q1338" s="843"/>
      <c r="R1338" s="845">
        <v>16190.29</v>
      </c>
      <c r="S1338" s="1127" t="s">
        <v>4556</v>
      </c>
      <c r="T1338" s="885" t="s">
        <v>4557</v>
      </c>
      <c r="U1338" s="886">
        <v>1</v>
      </c>
      <c r="V1338" s="842" t="s">
        <v>3</v>
      </c>
      <c r="W1338" s="846" t="s">
        <v>4558</v>
      </c>
      <c r="X1338" s="847">
        <f t="shared" si="248"/>
        <v>41.7</v>
      </c>
      <c r="Y1338" s="853">
        <v>0.5</v>
      </c>
      <c r="Z1338" s="849">
        <v>20.85</v>
      </c>
      <c r="AA1338" s="849"/>
      <c r="AB1338" s="849">
        <f t="shared" si="249"/>
        <v>20.85</v>
      </c>
      <c r="AC1338" s="850">
        <f t="shared" si="250"/>
        <v>20.85</v>
      </c>
      <c r="AD1338" s="851">
        <f t="shared" si="258"/>
        <v>32000</v>
      </c>
      <c r="AE1338" s="852">
        <v>30266.65</v>
      </c>
      <c r="AF1338" s="853">
        <v>0.1</v>
      </c>
      <c r="AG1338" s="854">
        <f t="shared" si="251"/>
        <v>74313.948411841455</v>
      </c>
      <c r="AH1338" s="853">
        <v>0.08</v>
      </c>
      <c r="AI1338" s="855">
        <f t="shared" si="252"/>
        <v>56429.888072947324</v>
      </c>
      <c r="AJ1338" s="845" t="s">
        <v>4463</v>
      </c>
      <c r="AK1338" s="857">
        <v>45863</v>
      </c>
      <c r="AL1338" s="843" t="s">
        <v>4464</v>
      </c>
      <c r="AM1338" s="843"/>
      <c r="AN1338" s="844"/>
      <c r="AO1338" s="844" t="s">
        <v>116</v>
      </c>
      <c r="AP1338" s="841"/>
      <c r="AQ1338" s="841">
        <v>45867</v>
      </c>
      <c r="AR1338" s="841">
        <v>45870</v>
      </c>
      <c r="AS1338" s="842" t="s">
        <v>4465</v>
      </c>
      <c r="AT1338" s="842" t="s">
        <v>4466</v>
      </c>
      <c r="AU1338" s="842" t="s">
        <v>1565</v>
      </c>
      <c r="AV1338" s="845" t="s">
        <v>4467</v>
      </c>
      <c r="AW1338" s="861">
        <v>45871</v>
      </c>
      <c r="AX1338" s="862">
        <v>45872</v>
      </c>
      <c r="AY1338" s="843"/>
      <c r="AZ1338" s="842"/>
      <c r="BA1338" s="842" t="s">
        <v>120</v>
      </c>
      <c r="BB1338" s="863" t="s">
        <v>121</v>
      </c>
      <c r="BC1338" s="864">
        <v>45873</v>
      </c>
      <c r="BD1338" s="860" t="s">
        <v>4468</v>
      </c>
      <c r="BE1338" s="865" cm="1">
        <f t="array" ref="BE1338">IF(BD1338="","",AC1338/SUMPRODUCT(--(BD1338=$BD$4:$BD$12824),$AC$4:$AC$12824))</f>
        <v>5.913350274538277E-3</v>
      </c>
      <c r="BF1338" s="458"/>
      <c r="BG1338" s="458"/>
      <c r="BH1338" s="458"/>
      <c r="BI1338" s="458"/>
      <c r="BJ1338" s="458"/>
      <c r="BK1338" s="458"/>
      <c r="BL1338" s="458"/>
      <c r="BM1338" s="458"/>
      <c r="BN1338" s="458"/>
      <c r="BO1338" s="866">
        <f>VLOOKUP(BD1338,$BD$4:$BN$12824,3,0)*BE1338</f>
        <v>112079.83161841449</v>
      </c>
      <c r="BP1338" s="866"/>
      <c r="BQ1338" s="866"/>
      <c r="BR1338" s="866">
        <f>VLOOKUP(BD1338,$BD$4:$BN$12824,6,0)*BE1338</f>
        <v>4670.6597143440586</v>
      </c>
      <c r="BS1338" s="866">
        <f>VLOOKUP(BD1338,$BD$4:$BN$12824,7,0)*BE1338</f>
        <v>0</v>
      </c>
      <c r="BT1338" s="866"/>
      <c r="BU1338" s="866">
        <f>VLOOKUP(BD1338,$BD$4:$BN$12824,9,0)*BE1338</f>
        <v>118.26700549076554</v>
      </c>
      <c r="BV1338" s="867"/>
      <c r="BW1338" s="867">
        <f>VLOOKUP(BD1338,$BD$4:$BN$12824,11,0)*BE1338</f>
        <v>0</v>
      </c>
      <c r="BX1338" s="1146">
        <f t="shared" si="253"/>
        <v>116868.75833824932</v>
      </c>
      <c r="BY1338" s="867">
        <f t="shared" si="256"/>
        <v>822242.35925009078</v>
      </c>
      <c r="BZ1338" s="867">
        <f t="shared" si="254"/>
        <v>822242.35925009078</v>
      </c>
      <c r="CA1338" s="867">
        <f>_xlfn.MAXIFS($BY$4:$BY$12824,$S$4:$S$12824,$S1338)</f>
        <v>822242.35925009078</v>
      </c>
      <c r="CB1338" s="1032"/>
      <c r="CF1338" s="946">
        <f t="shared" si="255"/>
        <v>631059.65250000008</v>
      </c>
    </row>
    <row r="1339" spans="2:84">
      <c r="B1339" s="839" t="s">
        <v>98</v>
      </c>
      <c r="C1339" s="839" t="s">
        <v>273</v>
      </c>
      <c r="D1339" s="839" t="s">
        <v>4457</v>
      </c>
      <c r="E1339" s="839" t="s">
        <v>4522</v>
      </c>
      <c r="F1339" s="841">
        <v>45832</v>
      </c>
      <c r="G1339" s="868" t="s">
        <v>273</v>
      </c>
      <c r="H1339" s="842" t="s">
        <v>102</v>
      </c>
      <c r="I1339" s="883" t="s">
        <v>4523</v>
      </c>
      <c r="J1339" s="841">
        <v>45831</v>
      </c>
      <c r="K1339" s="841">
        <v>45923</v>
      </c>
      <c r="L1339" s="843" t="s">
        <v>106</v>
      </c>
      <c r="M1339" s="844" t="s">
        <v>275</v>
      </c>
      <c r="N1339" s="841"/>
      <c r="O1339" s="884" t="s">
        <v>150</v>
      </c>
      <c r="P1339" s="842" t="s">
        <v>276</v>
      </c>
      <c r="Q1339" s="843"/>
      <c r="R1339" s="845">
        <v>16788.29</v>
      </c>
      <c r="S1339" s="1127" t="s">
        <v>4559</v>
      </c>
      <c r="T1339" s="885" t="s">
        <v>4560</v>
      </c>
      <c r="U1339" s="886">
        <v>2</v>
      </c>
      <c r="V1339" s="842" t="s">
        <v>3</v>
      </c>
      <c r="W1339" s="846" t="s">
        <v>4561</v>
      </c>
      <c r="X1339" s="847">
        <f t="shared" si="248"/>
        <v>59.12</v>
      </c>
      <c r="Y1339" s="853">
        <v>0.5</v>
      </c>
      <c r="Z1339" s="849">
        <v>14.78</v>
      </c>
      <c r="AA1339" s="849"/>
      <c r="AB1339" s="849">
        <f t="shared" si="249"/>
        <v>29.56</v>
      </c>
      <c r="AC1339" s="850">
        <f t="shared" si="250"/>
        <v>29.56</v>
      </c>
      <c r="AD1339" s="851">
        <f t="shared" si="258"/>
        <v>32000</v>
      </c>
      <c r="AE1339" s="852">
        <v>30266.65</v>
      </c>
      <c r="AF1339" s="853">
        <v>0.1</v>
      </c>
      <c r="AG1339" s="854">
        <f t="shared" si="251"/>
        <v>105358.28849180015</v>
      </c>
      <c r="AH1339" s="853">
        <v>0.08</v>
      </c>
      <c r="AI1339" s="855">
        <f t="shared" si="252"/>
        <v>80003.236999344022</v>
      </c>
      <c r="AJ1339" s="845" t="s">
        <v>4463</v>
      </c>
      <c r="AK1339" s="857">
        <v>45863</v>
      </c>
      <c r="AL1339" s="843" t="s">
        <v>4464</v>
      </c>
      <c r="AM1339" s="843"/>
      <c r="AN1339" s="844"/>
      <c r="AO1339" s="844" t="s">
        <v>116</v>
      </c>
      <c r="AP1339" s="841"/>
      <c r="AQ1339" s="841">
        <v>45867</v>
      </c>
      <c r="AR1339" s="841">
        <v>45870</v>
      </c>
      <c r="AS1339" s="842" t="s">
        <v>4465</v>
      </c>
      <c r="AT1339" s="842" t="s">
        <v>4466</v>
      </c>
      <c r="AU1339" s="842" t="s">
        <v>1565</v>
      </c>
      <c r="AV1339" s="845" t="s">
        <v>4467</v>
      </c>
      <c r="AW1339" s="861">
        <v>45871</v>
      </c>
      <c r="AX1339" s="862">
        <v>45872</v>
      </c>
      <c r="AY1339" s="843"/>
      <c r="AZ1339" s="842"/>
      <c r="BA1339" s="842" t="s">
        <v>120</v>
      </c>
      <c r="BB1339" s="863" t="s">
        <v>121</v>
      </c>
      <c r="BC1339" s="864">
        <v>45873</v>
      </c>
      <c r="BD1339" s="860" t="s">
        <v>4468</v>
      </c>
      <c r="BE1339" s="865" cm="1">
        <f t="array" ref="BE1339">IF(BD1339="","",AC1339/SUMPRODUCT(--(BD1339=$BD$4:$BD$12824),$AC$4:$AC$12824))</f>
        <v>8.3836275355084634E-3</v>
      </c>
      <c r="BF1339" s="458"/>
      <c r="BG1339" s="458"/>
      <c r="BH1339" s="458"/>
      <c r="BI1339" s="458"/>
      <c r="BJ1339" s="458"/>
      <c r="BK1339" s="458"/>
      <c r="BL1339" s="458"/>
      <c r="BM1339" s="458"/>
      <c r="BN1339" s="458"/>
      <c r="BO1339" s="866">
        <f>VLOOKUP(BD1339,$BD$4:$BN$12824,3,0)*BE1339</f>
        <v>158900.71091800154</v>
      </c>
      <c r="BP1339" s="866"/>
      <c r="BQ1339" s="866"/>
      <c r="BR1339" s="866">
        <f>VLOOKUP(BD1339,$BD$4:$BN$12824,6,0)*BE1339</f>
        <v>6621.8082089213594</v>
      </c>
      <c r="BS1339" s="866">
        <f>VLOOKUP(BD1339,$BD$4:$BN$12824,7,0)*BE1339</f>
        <v>0</v>
      </c>
      <c r="BT1339" s="866"/>
      <c r="BU1339" s="866">
        <f>VLOOKUP(BD1339,$BD$4:$BN$12824,9,0)*BE1339</f>
        <v>167.67255071016928</v>
      </c>
      <c r="BV1339" s="867"/>
      <c r="BW1339" s="867">
        <f>VLOOKUP(BD1339,$BD$4:$BN$12824,11,0)*BE1339</f>
        <v>0</v>
      </c>
      <c r="BX1339" s="1146">
        <f t="shared" si="253"/>
        <v>165690.19167763309</v>
      </c>
      <c r="BY1339" s="867">
        <f t="shared" si="256"/>
        <v>582865.32708471664</v>
      </c>
      <c r="BZ1339" s="867">
        <f t="shared" si="254"/>
        <v>1165730.6541694333</v>
      </c>
      <c r="CA1339" s="867">
        <f>_xlfn.MAXIFS($BY$4:$BY$12824,$S$4:$S$12824,$S1339)</f>
        <v>582865.32708471664</v>
      </c>
      <c r="CB1339" s="1032"/>
      <c r="CF1339" s="946">
        <f t="shared" si="255"/>
        <v>894682.174</v>
      </c>
    </row>
    <row r="1340" spans="2:84">
      <c r="B1340" s="839" t="s">
        <v>98</v>
      </c>
      <c r="C1340" s="839" t="s">
        <v>273</v>
      </c>
      <c r="D1340" s="839" t="s">
        <v>4457</v>
      </c>
      <c r="E1340" s="839" t="s">
        <v>4522</v>
      </c>
      <c r="F1340" s="841">
        <v>45832</v>
      </c>
      <c r="G1340" s="868" t="s">
        <v>273</v>
      </c>
      <c r="H1340" s="842" t="s">
        <v>102</v>
      </c>
      <c r="I1340" s="883" t="s">
        <v>4523</v>
      </c>
      <c r="J1340" s="841">
        <v>45831</v>
      </c>
      <c r="K1340" s="841">
        <v>45923</v>
      </c>
      <c r="L1340" s="843" t="s">
        <v>106</v>
      </c>
      <c r="M1340" s="844" t="s">
        <v>275</v>
      </c>
      <c r="N1340" s="841"/>
      <c r="O1340" s="884" t="s">
        <v>150</v>
      </c>
      <c r="P1340" s="842" t="s">
        <v>276</v>
      </c>
      <c r="Q1340" s="843"/>
      <c r="R1340" s="845">
        <v>16789.29</v>
      </c>
      <c r="S1340" s="1127" t="s">
        <v>4562</v>
      </c>
      <c r="T1340" s="885" t="s">
        <v>4563</v>
      </c>
      <c r="U1340" s="886">
        <v>2</v>
      </c>
      <c r="V1340" s="842" t="s">
        <v>3</v>
      </c>
      <c r="W1340" s="846" t="s">
        <v>4561</v>
      </c>
      <c r="X1340" s="847">
        <f t="shared" si="248"/>
        <v>59.12</v>
      </c>
      <c r="Y1340" s="853">
        <v>0.5</v>
      </c>
      <c r="Z1340" s="849">
        <v>14.78</v>
      </c>
      <c r="AA1340" s="849"/>
      <c r="AB1340" s="849">
        <f t="shared" si="249"/>
        <v>29.56</v>
      </c>
      <c r="AC1340" s="850">
        <f t="shared" si="250"/>
        <v>29.56</v>
      </c>
      <c r="AD1340" s="851">
        <f t="shared" si="258"/>
        <v>32000</v>
      </c>
      <c r="AE1340" s="852">
        <v>30266.65</v>
      </c>
      <c r="AF1340" s="853">
        <v>0.1</v>
      </c>
      <c r="AG1340" s="854">
        <f t="shared" si="251"/>
        <v>105358.28849180015</v>
      </c>
      <c r="AH1340" s="853">
        <v>0.08</v>
      </c>
      <c r="AI1340" s="855">
        <f t="shared" si="252"/>
        <v>80003.236999344022</v>
      </c>
      <c r="AJ1340" s="845" t="s">
        <v>4463</v>
      </c>
      <c r="AK1340" s="857">
        <v>45863</v>
      </c>
      <c r="AL1340" s="843" t="s">
        <v>4464</v>
      </c>
      <c r="AM1340" s="843"/>
      <c r="AN1340" s="844"/>
      <c r="AO1340" s="844" t="s">
        <v>116</v>
      </c>
      <c r="AP1340" s="841"/>
      <c r="AQ1340" s="841">
        <v>45867</v>
      </c>
      <c r="AR1340" s="841">
        <v>45870</v>
      </c>
      <c r="AS1340" s="842" t="s">
        <v>4465</v>
      </c>
      <c r="AT1340" s="842" t="s">
        <v>4466</v>
      </c>
      <c r="AU1340" s="842" t="s">
        <v>1565</v>
      </c>
      <c r="AV1340" s="845" t="s">
        <v>4467</v>
      </c>
      <c r="AW1340" s="861">
        <v>45871</v>
      </c>
      <c r="AX1340" s="862">
        <v>45872</v>
      </c>
      <c r="AY1340" s="843"/>
      <c r="AZ1340" s="842"/>
      <c r="BA1340" s="842" t="s">
        <v>120</v>
      </c>
      <c r="BB1340" s="863" t="s">
        <v>121</v>
      </c>
      <c r="BC1340" s="864">
        <v>45873</v>
      </c>
      <c r="BD1340" s="860" t="s">
        <v>4468</v>
      </c>
      <c r="BE1340" s="865" cm="1">
        <f t="array" ref="BE1340">IF(BD1340="","",AC1340/SUMPRODUCT(--(BD1340=$BD$4:$BD$12824),$AC$4:$AC$12824))</f>
        <v>8.3836275355084634E-3</v>
      </c>
      <c r="BF1340" s="458"/>
      <c r="BG1340" s="458"/>
      <c r="BH1340" s="458"/>
      <c r="BI1340" s="458"/>
      <c r="BJ1340" s="458"/>
      <c r="BK1340" s="458"/>
      <c r="BL1340" s="458"/>
      <c r="BM1340" s="458"/>
      <c r="BN1340" s="458"/>
      <c r="BO1340" s="866">
        <f>VLOOKUP(BD1340,$BD$4:$BN$12824,3,0)*BE1340</f>
        <v>158900.71091800154</v>
      </c>
      <c r="BP1340" s="866"/>
      <c r="BQ1340" s="866"/>
      <c r="BR1340" s="866">
        <f>VLOOKUP(BD1340,$BD$4:$BN$12824,6,0)*BE1340</f>
        <v>6621.8082089213594</v>
      </c>
      <c r="BS1340" s="866">
        <f>VLOOKUP(BD1340,$BD$4:$BN$12824,7,0)*BE1340</f>
        <v>0</v>
      </c>
      <c r="BT1340" s="866"/>
      <c r="BU1340" s="866">
        <f>VLOOKUP(BD1340,$BD$4:$BN$12824,9,0)*BE1340</f>
        <v>167.67255071016928</v>
      </c>
      <c r="BV1340" s="867"/>
      <c r="BW1340" s="867">
        <f>VLOOKUP(BD1340,$BD$4:$BN$12824,11,0)*BE1340</f>
        <v>0</v>
      </c>
      <c r="BX1340" s="1146">
        <f t="shared" si="253"/>
        <v>165690.19167763309</v>
      </c>
      <c r="BY1340" s="867">
        <f t="shared" si="256"/>
        <v>582865.32708471664</v>
      </c>
      <c r="BZ1340" s="867">
        <f t="shared" si="254"/>
        <v>1165730.6541694333</v>
      </c>
      <c r="CA1340" s="867">
        <f>_xlfn.MAXIFS($BY$4:$BY$12824,$S$4:$S$12824,$S1340)</f>
        <v>582865.32708471664</v>
      </c>
      <c r="CB1340" s="1032"/>
      <c r="CF1340" s="946">
        <f t="shared" si="255"/>
        <v>894682.174</v>
      </c>
    </row>
    <row r="1341" spans="2:84">
      <c r="B1341" s="839" t="s">
        <v>98</v>
      </c>
      <c r="C1341" s="839" t="s">
        <v>273</v>
      </c>
      <c r="D1341" s="839" t="s">
        <v>4457</v>
      </c>
      <c r="E1341" s="839" t="s">
        <v>4522</v>
      </c>
      <c r="F1341" s="841">
        <v>45832</v>
      </c>
      <c r="G1341" s="868" t="s">
        <v>273</v>
      </c>
      <c r="H1341" s="842" t="s">
        <v>102</v>
      </c>
      <c r="I1341" s="883" t="s">
        <v>4523</v>
      </c>
      <c r="J1341" s="841">
        <v>45831</v>
      </c>
      <c r="K1341" s="841">
        <v>45923</v>
      </c>
      <c r="L1341" s="843" t="s">
        <v>106</v>
      </c>
      <c r="M1341" s="844" t="s">
        <v>275</v>
      </c>
      <c r="N1341" s="841"/>
      <c r="O1341" s="884" t="s">
        <v>150</v>
      </c>
      <c r="P1341" s="842" t="s">
        <v>276</v>
      </c>
      <c r="Q1341" s="843"/>
      <c r="R1341" s="845">
        <v>16791.29</v>
      </c>
      <c r="S1341" s="1127" t="s">
        <v>4564</v>
      </c>
      <c r="T1341" s="885" t="s">
        <v>4565</v>
      </c>
      <c r="U1341" s="886">
        <v>2</v>
      </c>
      <c r="V1341" s="842" t="s">
        <v>3</v>
      </c>
      <c r="W1341" s="846" t="s">
        <v>4566</v>
      </c>
      <c r="X1341" s="847">
        <f t="shared" si="248"/>
        <v>56.82</v>
      </c>
      <c r="Y1341" s="853">
        <v>0.5</v>
      </c>
      <c r="Z1341" s="849">
        <v>14.21</v>
      </c>
      <c r="AA1341" s="849"/>
      <c r="AB1341" s="849">
        <f t="shared" si="249"/>
        <v>28.42</v>
      </c>
      <c r="AC1341" s="850">
        <f t="shared" si="250"/>
        <v>28.42</v>
      </c>
      <c r="AD1341" s="851">
        <f t="shared" si="258"/>
        <v>32000</v>
      </c>
      <c r="AE1341" s="852">
        <v>30266.65</v>
      </c>
      <c r="AF1341" s="853">
        <v>0.1</v>
      </c>
      <c r="AG1341" s="854">
        <f t="shared" si="251"/>
        <v>101295.07980165632</v>
      </c>
      <c r="AH1341" s="853">
        <v>0.08</v>
      </c>
      <c r="AI1341" s="855">
        <f t="shared" si="252"/>
        <v>76917.861824132517</v>
      </c>
      <c r="AJ1341" s="845" t="s">
        <v>4463</v>
      </c>
      <c r="AK1341" s="857">
        <v>45863</v>
      </c>
      <c r="AL1341" s="843" t="s">
        <v>4464</v>
      </c>
      <c r="AM1341" s="843"/>
      <c r="AN1341" s="844"/>
      <c r="AO1341" s="844" t="s">
        <v>116</v>
      </c>
      <c r="AP1341" s="841"/>
      <c r="AQ1341" s="841">
        <v>45867</v>
      </c>
      <c r="AR1341" s="841">
        <v>45870</v>
      </c>
      <c r="AS1341" s="842" t="s">
        <v>4465</v>
      </c>
      <c r="AT1341" s="842" t="s">
        <v>4466</v>
      </c>
      <c r="AU1341" s="842" t="s">
        <v>1565</v>
      </c>
      <c r="AV1341" s="845" t="s">
        <v>4467</v>
      </c>
      <c r="AW1341" s="861">
        <v>45871</v>
      </c>
      <c r="AX1341" s="862">
        <v>45872</v>
      </c>
      <c r="AY1341" s="843"/>
      <c r="AZ1341" s="842"/>
      <c r="BA1341" s="842" t="s">
        <v>120</v>
      </c>
      <c r="BB1341" s="863" t="s">
        <v>121</v>
      </c>
      <c r="BC1341" s="864">
        <v>45873</v>
      </c>
      <c r="BD1341" s="860" t="s">
        <v>4468</v>
      </c>
      <c r="BE1341" s="865" cm="1">
        <f t="array" ref="BE1341">IF(BD1341="","",AC1341/SUMPRODUCT(--(BD1341=$BD$4:$BD$12824),$AC$4:$AC$12824))</f>
        <v>8.0603076643826297E-3</v>
      </c>
      <c r="BF1341" s="458"/>
      <c r="BG1341" s="458"/>
      <c r="BH1341" s="458"/>
      <c r="BI1341" s="458"/>
      <c r="BJ1341" s="458"/>
      <c r="BK1341" s="458"/>
      <c r="BL1341" s="458"/>
      <c r="BM1341" s="458"/>
      <c r="BN1341" s="458"/>
      <c r="BO1341" s="866">
        <f>VLOOKUP(BD1341,$BD$4:$BN$12824,3,0)*BE1341</f>
        <v>152772.60501656306</v>
      </c>
      <c r="BP1341" s="866"/>
      <c r="BQ1341" s="866"/>
      <c r="BR1341" s="866">
        <f>VLOOKUP(BD1341,$BD$4:$BN$12824,6,0)*BE1341</f>
        <v>6366.4340087126202</v>
      </c>
      <c r="BS1341" s="866">
        <f>VLOOKUP(BD1341,$BD$4:$BN$12824,7,0)*BE1341</f>
        <v>0</v>
      </c>
      <c r="BT1341" s="866"/>
      <c r="BU1341" s="866">
        <f>VLOOKUP(BD1341,$BD$4:$BN$12824,9,0)*BE1341</f>
        <v>161.2061532876526</v>
      </c>
      <c r="BV1341" s="867"/>
      <c r="BW1341" s="867">
        <f>VLOOKUP(BD1341,$BD$4:$BN$12824,11,0)*BE1341</f>
        <v>0</v>
      </c>
      <c r="BX1341" s="1146">
        <f t="shared" si="253"/>
        <v>159300.24517856332</v>
      </c>
      <c r="BY1341" s="867">
        <f t="shared" si="256"/>
        <v>560386.7589901099</v>
      </c>
      <c r="BZ1341" s="867">
        <f t="shared" si="254"/>
        <v>1120773.5179802198</v>
      </c>
      <c r="CA1341" s="867">
        <f>_xlfn.MAXIFS($BY$4:$BY$12824,$S$4:$S$12824,$S1341)</f>
        <v>560386.7589901099</v>
      </c>
      <c r="CB1341" s="1032"/>
      <c r="CF1341" s="946">
        <f t="shared" si="255"/>
        <v>860178.19300000009</v>
      </c>
    </row>
    <row r="1342" spans="2:84">
      <c r="B1342" s="839" t="s">
        <v>98</v>
      </c>
      <c r="C1342" s="839" t="s">
        <v>273</v>
      </c>
      <c r="D1342" s="839" t="s">
        <v>4457</v>
      </c>
      <c r="E1342" s="839" t="s">
        <v>4522</v>
      </c>
      <c r="F1342" s="841">
        <v>45832</v>
      </c>
      <c r="G1342" s="868" t="s">
        <v>273</v>
      </c>
      <c r="H1342" s="842" t="s">
        <v>102</v>
      </c>
      <c r="I1342" s="883" t="s">
        <v>4523</v>
      </c>
      <c r="J1342" s="841">
        <v>45831</v>
      </c>
      <c r="K1342" s="841">
        <v>45923</v>
      </c>
      <c r="L1342" s="843" t="s">
        <v>106</v>
      </c>
      <c r="M1342" s="844" t="s">
        <v>275</v>
      </c>
      <c r="N1342" s="841"/>
      <c r="O1342" s="884" t="s">
        <v>150</v>
      </c>
      <c r="P1342" s="842" t="s">
        <v>276</v>
      </c>
      <c r="Q1342" s="843"/>
      <c r="R1342" s="845">
        <v>16792.29</v>
      </c>
      <c r="S1342" s="1127" t="s">
        <v>4567</v>
      </c>
      <c r="T1342" s="885" t="s">
        <v>4568</v>
      </c>
      <c r="U1342" s="886">
        <v>2</v>
      </c>
      <c r="V1342" s="842" t="s">
        <v>3</v>
      </c>
      <c r="W1342" s="846" t="s">
        <v>4569</v>
      </c>
      <c r="X1342" s="847">
        <f t="shared" si="248"/>
        <v>56.9</v>
      </c>
      <c r="Y1342" s="853">
        <v>0.5</v>
      </c>
      <c r="Z1342" s="849">
        <v>14.23</v>
      </c>
      <c r="AA1342" s="849"/>
      <c r="AB1342" s="849">
        <f t="shared" si="249"/>
        <v>28.46</v>
      </c>
      <c r="AC1342" s="850">
        <f t="shared" si="250"/>
        <v>28.46</v>
      </c>
      <c r="AD1342" s="851">
        <f t="shared" si="258"/>
        <v>32000</v>
      </c>
      <c r="AE1342" s="852">
        <v>30266.65</v>
      </c>
      <c r="AF1342" s="853">
        <v>0.1</v>
      </c>
      <c r="AG1342" s="854">
        <f t="shared" si="251"/>
        <v>101437.64852762628</v>
      </c>
      <c r="AH1342" s="853">
        <v>0.08</v>
      </c>
      <c r="AI1342" s="855">
        <f t="shared" si="252"/>
        <v>77026.120602210111</v>
      </c>
      <c r="AJ1342" s="845" t="s">
        <v>4463</v>
      </c>
      <c r="AK1342" s="857">
        <v>45863</v>
      </c>
      <c r="AL1342" s="843" t="s">
        <v>4464</v>
      </c>
      <c r="AM1342" s="843"/>
      <c r="AN1342" s="844"/>
      <c r="AO1342" s="844" t="s">
        <v>116</v>
      </c>
      <c r="AP1342" s="841"/>
      <c r="AQ1342" s="841">
        <v>45867</v>
      </c>
      <c r="AR1342" s="841">
        <v>45870</v>
      </c>
      <c r="AS1342" s="842" t="s">
        <v>4465</v>
      </c>
      <c r="AT1342" s="842" t="s">
        <v>4466</v>
      </c>
      <c r="AU1342" s="842" t="s">
        <v>1565</v>
      </c>
      <c r="AV1342" s="845" t="s">
        <v>4467</v>
      </c>
      <c r="AW1342" s="861">
        <v>45871</v>
      </c>
      <c r="AX1342" s="862">
        <v>45872</v>
      </c>
      <c r="AY1342" s="843"/>
      <c r="AZ1342" s="842"/>
      <c r="BA1342" s="842" t="s">
        <v>120</v>
      </c>
      <c r="BB1342" s="863" t="s">
        <v>121</v>
      </c>
      <c r="BC1342" s="864">
        <v>45873</v>
      </c>
      <c r="BD1342" s="860" t="s">
        <v>4468</v>
      </c>
      <c r="BE1342" s="865" cm="1">
        <f t="array" ref="BE1342">IF(BD1342="","",AC1342/SUMPRODUCT(--(BD1342=$BD$4:$BD$12824),$AC$4:$AC$12824))</f>
        <v>8.0716522212642382E-3</v>
      </c>
      <c r="BF1342" s="458"/>
      <c r="BG1342" s="458"/>
      <c r="BH1342" s="458"/>
      <c r="BI1342" s="458"/>
      <c r="BJ1342" s="458"/>
      <c r="BK1342" s="458"/>
      <c r="BL1342" s="458"/>
      <c r="BM1342" s="458"/>
      <c r="BN1342" s="458"/>
      <c r="BO1342" s="866">
        <f>VLOOKUP(BD1342,$BD$4:$BN$12824,3,0)*BE1342</f>
        <v>152987.62627626266</v>
      </c>
      <c r="BP1342" s="866"/>
      <c r="BQ1342" s="866"/>
      <c r="BR1342" s="866">
        <f>VLOOKUP(BD1342,$BD$4:$BN$12824,6,0)*BE1342</f>
        <v>6375.3945069655583</v>
      </c>
      <c r="BS1342" s="866">
        <f>VLOOKUP(BD1342,$BD$4:$BN$12824,7,0)*BE1342</f>
        <v>0</v>
      </c>
      <c r="BT1342" s="866"/>
      <c r="BU1342" s="866">
        <f>VLOOKUP(BD1342,$BD$4:$BN$12824,9,0)*BE1342</f>
        <v>161.43304442528478</v>
      </c>
      <c r="BV1342" s="867"/>
      <c r="BW1342" s="867">
        <f>VLOOKUP(BD1342,$BD$4:$BN$12824,11,0)*BE1342</f>
        <v>0</v>
      </c>
      <c r="BX1342" s="1146">
        <f t="shared" si="253"/>
        <v>159524.45382765352</v>
      </c>
      <c r="BY1342" s="867">
        <f t="shared" si="256"/>
        <v>561175.48067763995</v>
      </c>
      <c r="BZ1342" s="867">
        <f t="shared" si="254"/>
        <v>1122350.9613552799</v>
      </c>
      <c r="CA1342" s="867">
        <f>_xlfn.MAXIFS($BY$4:$BY$12824,$S$4:$S$12824,$S1342)</f>
        <v>561175.48067763995</v>
      </c>
      <c r="CB1342" s="1032"/>
      <c r="CF1342" s="946">
        <f t="shared" si="255"/>
        <v>861388.85900000005</v>
      </c>
    </row>
    <row r="1343" spans="2:84">
      <c r="B1343" s="839" t="s">
        <v>98</v>
      </c>
      <c r="C1343" s="839" t="s">
        <v>273</v>
      </c>
      <c r="D1343" s="839" t="s">
        <v>4457</v>
      </c>
      <c r="E1343" s="839" t="s">
        <v>4522</v>
      </c>
      <c r="F1343" s="841">
        <v>45832</v>
      </c>
      <c r="G1343" s="868" t="s">
        <v>273</v>
      </c>
      <c r="H1343" s="842" t="s">
        <v>102</v>
      </c>
      <c r="I1343" s="883" t="s">
        <v>4523</v>
      </c>
      <c r="J1343" s="841">
        <v>45831</v>
      </c>
      <c r="K1343" s="841">
        <v>45923</v>
      </c>
      <c r="L1343" s="843" t="s">
        <v>106</v>
      </c>
      <c r="M1343" s="844" t="s">
        <v>275</v>
      </c>
      <c r="N1343" s="841"/>
      <c r="O1343" s="884" t="s">
        <v>150</v>
      </c>
      <c r="P1343" s="842" t="s">
        <v>276</v>
      </c>
      <c r="Q1343" s="843"/>
      <c r="R1343" s="845">
        <v>18459</v>
      </c>
      <c r="S1343" s="1127" t="s">
        <v>2482</v>
      </c>
      <c r="T1343" s="885" t="s">
        <v>2483</v>
      </c>
      <c r="U1343" s="886">
        <v>3</v>
      </c>
      <c r="V1343" s="842" t="s">
        <v>3</v>
      </c>
      <c r="W1343" s="846" t="s">
        <v>4570</v>
      </c>
      <c r="X1343" s="847">
        <f t="shared" si="248"/>
        <v>114.78</v>
      </c>
      <c r="Y1343" s="853">
        <v>0.5</v>
      </c>
      <c r="Z1343" s="849">
        <v>19.13</v>
      </c>
      <c r="AA1343" s="849"/>
      <c r="AB1343" s="849">
        <f t="shared" si="249"/>
        <v>57.39</v>
      </c>
      <c r="AC1343" s="850">
        <f t="shared" si="250"/>
        <v>57.39</v>
      </c>
      <c r="AD1343" s="851">
        <f t="shared" si="258"/>
        <v>32000</v>
      </c>
      <c r="AE1343" s="852">
        <v>30266.65</v>
      </c>
      <c r="AF1343" s="853">
        <v>0.1</v>
      </c>
      <c r="AG1343" s="854">
        <f t="shared" si="251"/>
        <v>204550.47958539959</v>
      </c>
      <c r="AH1343" s="853">
        <v>0.08</v>
      </c>
      <c r="AI1343" s="855">
        <f t="shared" si="252"/>
        <v>155324.28184683199</v>
      </c>
      <c r="AJ1343" s="845" t="s">
        <v>4463</v>
      </c>
      <c r="AK1343" s="857">
        <v>45863</v>
      </c>
      <c r="AL1343" s="843" t="s">
        <v>4464</v>
      </c>
      <c r="AM1343" s="843"/>
      <c r="AN1343" s="844"/>
      <c r="AO1343" s="844" t="s">
        <v>116</v>
      </c>
      <c r="AP1343" s="841"/>
      <c r="AQ1343" s="841">
        <v>45867</v>
      </c>
      <c r="AR1343" s="841">
        <v>45870</v>
      </c>
      <c r="AS1343" s="842" t="s">
        <v>4465</v>
      </c>
      <c r="AT1343" s="842" t="s">
        <v>4466</v>
      </c>
      <c r="AU1343" s="842" t="s">
        <v>1565</v>
      </c>
      <c r="AV1343" s="845" t="s">
        <v>4467</v>
      </c>
      <c r="AW1343" s="861">
        <v>45871</v>
      </c>
      <c r="AX1343" s="862">
        <v>45872</v>
      </c>
      <c r="AY1343" s="843"/>
      <c r="AZ1343" s="842"/>
      <c r="BA1343" s="842" t="s">
        <v>120</v>
      </c>
      <c r="BB1343" s="863" t="s">
        <v>121</v>
      </c>
      <c r="BC1343" s="864">
        <v>45873</v>
      </c>
      <c r="BD1343" s="860" t="s">
        <v>4468</v>
      </c>
      <c r="BE1343" s="865" cm="1">
        <f t="array" ref="BE1343">IF(BD1343="","",AC1343/SUMPRODUCT(--(BD1343=$BD$4:$BD$12824),$AC$4:$AC$12824))</f>
        <v>1.6276602985887369E-2</v>
      </c>
      <c r="BF1343" s="458"/>
      <c r="BG1343" s="458"/>
      <c r="BH1343" s="458"/>
      <c r="BI1343" s="458"/>
      <c r="BJ1343" s="458"/>
      <c r="BK1343" s="458"/>
      <c r="BL1343" s="458"/>
      <c r="BM1343" s="458"/>
      <c r="BN1343" s="458"/>
      <c r="BO1343" s="866">
        <f>VLOOKUP(BD1343,$BD$4:$BN$12824,3,0)*BE1343</f>
        <v>308501.75235399551</v>
      </c>
      <c r="BP1343" s="866"/>
      <c r="BQ1343" s="866"/>
      <c r="BR1343" s="866">
        <f>VLOOKUP(BD1343,$BD$4:$BN$12824,6,0)*BE1343</f>
        <v>12856.074868403139</v>
      </c>
      <c r="BS1343" s="866">
        <f>VLOOKUP(BD1343,$BD$4:$BN$12824,7,0)*BE1343</f>
        <v>0</v>
      </c>
      <c r="BT1343" s="866"/>
      <c r="BU1343" s="866">
        <f>VLOOKUP(BD1343,$BD$4:$BN$12824,9,0)*BE1343</f>
        <v>325.53205971774742</v>
      </c>
      <c r="BV1343" s="867"/>
      <c r="BW1343" s="867">
        <f>VLOOKUP(BD1343,$BD$4:$BN$12824,11,0)*BE1343</f>
        <v>0</v>
      </c>
      <c r="BX1343" s="1146">
        <f t="shared" si="253"/>
        <v>321683.35928211641</v>
      </c>
      <c r="BY1343" s="867">
        <f t="shared" si="256"/>
        <v>754412.29412250535</v>
      </c>
      <c r="BZ1343" s="867">
        <f t="shared" si="254"/>
        <v>2263236.8823675159</v>
      </c>
      <c r="CA1343" s="867">
        <f>_xlfn.MAXIFS($BY$4:$BY$12824,$S$4:$S$12824,$S1343)</f>
        <v>807931.91994159145</v>
      </c>
      <c r="CB1343" s="1032"/>
      <c r="CF1343" s="946">
        <f t="shared" si="255"/>
        <v>1737003.0435000001</v>
      </c>
    </row>
    <row r="1344" spans="2:84">
      <c r="B1344" s="839" t="s">
        <v>98</v>
      </c>
      <c r="C1344" s="839" t="s">
        <v>273</v>
      </c>
      <c r="D1344" s="839" t="s">
        <v>4457</v>
      </c>
      <c r="E1344" s="839" t="s">
        <v>4522</v>
      </c>
      <c r="F1344" s="841">
        <v>45832</v>
      </c>
      <c r="G1344" s="868" t="s">
        <v>273</v>
      </c>
      <c r="H1344" s="842" t="s">
        <v>102</v>
      </c>
      <c r="I1344" s="883" t="s">
        <v>4523</v>
      </c>
      <c r="J1344" s="841">
        <v>45831</v>
      </c>
      <c r="K1344" s="841">
        <v>45923</v>
      </c>
      <c r="L1344" s="843" t="s">
        <v>106</v>
      </c>
      <c r="M1344" s="844" t="s">
        <v>275</v>
      </c>
      <c r="N1344" s="841"/>
      <c r="O1344" s="884" t="s">
        <v>150</v>
      </c>
      <c r="P1344" s="842" t="s">
        <v>276</v>
      </c>
      <c r="Q1344" s="843"/>
      <c r="R1344" s="845">
        <v>18460</v>
      </c>
      <c r="S1344" s="1127" t="s">
        <v>2484</v>
      </c>
      <c r="T1344" s="885" t="s">
        <v>2485</v>
      </c>
      <c r="U1344" s="886">
        <v>3</v>
      </c>
      <c r="V1344" s="842" t="s">
        <v>3</v>
      </c>
      <c r="W1344" s="846" t="s">
        <v>4570</v>
      </c>
      <c r="X1344" s="847">
        <f t="shared" si="248"/>
        <v>114.78</v>
      </c>
      <c r="Y1344" s="853">
        <v>0.5</v>
      </c>
      <c r="Z1344" s="849">
        <v>19.13</v>
      </c>
      <c r="AA1344" s="849"/>
      <c r="AB1344" s="849">
        <f t="shared" si="249"/>
        <v>57.39</v>
      </c>
      <c r="AC1344" s="850">
        <f t="shared" si="250"/>
        <v>57.39</v>
      </c>
      <c r="AD1344" s="851">
        <f t="shared" si="258"/>
        <v>32000</v>
      </c>
      <c r="AE1344" s="852">
        <v>30266.65</v>
      </c>
      <c r="AF1344" s="853">
        <v>0.1</v>
      </c>
      <c r="AG1344" s="854">
        <f t="shared" si="251"/>
        <v>204550.47958539959</v>
      </c>
      <c r="AH1344" s="853">
        <v>0.08</v>
      </c>
      <c r="AI1344" s="855">
        <f t="shared" si="252"/>
        <v>155324.28184683199</v>
      </c>
      <c r="AJ1344" s="845" t="s">
        <v>4463</v>
      </c>
      <c r="AK1344" s="857">
        <v>45863</v>
      </c>
      <c r="AL1344" s="843" t="s">
        <v>4464</v>
      </c>
      <c r="AM1344" s="843"/>
      <c r="AN1344" s="844"/>
      <c r="AO1344" s="844" t="s">
        <v>116</v>
      </c>
      <c r="AP1344" s="841"/>
      <c r="AQ1344" s="841">
        <v>45867</v>
      </c>
      <c r="AR1344" s="841">
        <v>45870</v>
      </c>
      <c r="AS1344" s="842" t="s">
        <v>4465</v>
      </c>
      <c r="AT1344" s="842" t="s">
        <v>4466</v>
      </c>
      <c r="AU1344" s="842" t="s">
        <v>1565</v>
      </c>
      <c r="AV1344" s="845" t="s">
        <v>4467</v>
      </c>
      <c r="AW1344" s="861">
        <v>45871</v>
      </c>
      <c r="AX1344" s="862">
        <v>45872</v>
      </c>
      <c r="AY1344" s="843"/>
      <c r="AZ1344" s="842"/>
      <c r="BA1344" s="842" t="s">
        <v>120</v>
      </c>
      <c r="BB1344" s="863" t="s">
        <v>121</v>
      </c>
      <c r="BC1344" s="864">
        <v>45873</v>
      </c>
      <c r="BD1344" s="860" t="s">
        <v>4468</v>
      </c>
      <c r="BE1344" s="865" cm="1">
        <f t="array" ref="BE1344">IF(BD1344="","",AC1344/SUMPRODUCT(--(BD1344=$BD$4:$BD$12824),$AC$4:$AC$12824))</f>
        <v>1.6276602985887369E-2</v>
      </c>
      <c r="BF1344" s="458"/>
      <c r="BG1344" s="458"/>
      <c r="BH1344" s="458"/>
      <c r="BI1344" s="458"/>
      <c r="BJ1344" s="458"/>
      <c r="BK1344" s="458"/>
      <c r="BL1344" s="458"/>
      <c r="BM1344" s="458"/>
      <c r="BN1344" s="458"/>
      <c r="BO1344" s="866">
        <f>VLOOKUP(BD1344,$BD$4:$BN$12824,3,0)*BE1344</f>
        <v>308501.75235399551</v>
      </c>
      <c r="BP1344" s="866"/>
      <c r="BQ1344" s="866"/>
      <c r="BR1344" s="866">
        <f>VLOOKUP(BD1344,$BD$4:$BN$12824,6,0)*BE1344</f>
        <v>12856.074868403139</v>
      </c>
      <c r="BS1344" s="866">
        <f>VLOOKUP(BD1344,$BD$4:$BN$12824,7,0)*BE1344</f>
        <v>0</v>
      </c>
      <c r="BT1344" s="866"/>
      <c r="BU1344" s="866">
        <f>VLOOKUP(BD1344,$BD$4:$BN$12824,9,0)*BE1344</f>
        <v>325.53205971774742</v>
      </c>
      <c r="BV1344" s="867"/>
      <c r="BW1344" s="867">
        <f>VLOOKUP(BD1344,$BD$4:$BN$12824,11,0)*BE1344</f>
        <v>0</v>
      </c>
      <c r="BX1344" s="1146">
        <f t="shared" si="253"/>
        <v>321683.35928211641</v>
      </c>
      <c r="BY1344" s="867">
        <f t="shared" si="256"/>
        <v>754412.29412250535</v>
      </c>
      <c r="BZ1344" s="867">
        <f t="shared" si="254"/>
        <v>2263236.8823675159</v>
      </c>
      <c r="CA1344" s="867">
        <f>_xlfn.MAXIFS($BY$4:$BY$12824,$S$4:$S$12824,$S1344)</f>
        <v>807931.91994159145</v>
      </c>
      <c r="CB1344" s="1032"/>
      <c r="CF1344" s="946">
        <f t="shared" si="255"/>
        <v>1737003.0435000001</v>
      </c>
    </row>
    <row r="1345" spans="2:84">
      <c r="B1345" s="839" t="s">
        <v>98</v>
      </c>
      <c r="C1345" s="839" t="s">
        <v>273</v>
      </c>
      <c r="D1345" s="839" t="s">
        <v>4457</v>
      </c>
      <c r="E1345" s="839" t="s">
        <v>4522</v>
      </c>
      <c r="F1345" s="841">
        <v>45832</v>
      </c>
      <c r="G1345" s="868" t="s">
        <v>273</v>
      </c>
      <c r="H1345" s="842" t="s">
        <v>102</v>
      </c>
      <c r="I1345" s="883" t="s">
        <v>4523</v>
      </c>
      <c r="J1345" s="841">
        <v>45831</v>
      </c>
      <c r="K1345" s="841">
        <v>45923</v>
      </c>
      <c r="L1345" s="843" t="s">
        <v>106</v>
      </c>
      <c r="M1345" s="844" t="s">
        <v>275</v>
      </c>
      <c r="N1345" s="841"/>
      <c r="O1345" s="884" t="s">
        <v>150</v>
      </c>
      <c r="P1345" s="842" t="s">
        <v>276</v>
      </c>
      <c r="Q1345" s="843"/>
      <c r="R1345" s="845">
        <v>18463</v>
      </c>
      <c r="S1345" s="1127" t="s">
        <v>4571</v>
      </c>
      <c r="T1345" s="885" t="s">
        <v>4572</v>
      </c>
      <c r="U1345" s="886">
        <v>8</v>
      </c>
      <c r="V1345" s="842" t="s">
        <v>3</v>
      </c>
      <c r="W1345" s="846" t="s">
        <v>4573</v>
      </c>
      <c r="X1345" s="847">
        <f t="shared" si="248"/>
        <v>7.04</v>
      </c>
      <c r="Y1345" s="853">
        <v>0.5</v>
      </c>
      <c r="Z1345" s="849">
        <v>0.44</v>
      </c>
      <c r="AA1345" s="849"/>
      <c r="AB1345" s="849">
        <f t="shared" si="249"/>
        <v>3.52</v>
      </c>
      <c r="AC1345" s="850">
        <f t="shared" si="250"/>
        <v>3.52</v>
      </c>
      <c r="AD1345" s="851">
        <f t="shared" si="258"/>
        <v>32000</v>
      </c>
      <c r="AE1345" s="852">
        <v>30266.65</v>
      </c>
      <c r="AF1345" s="853">
        <v>0.1</v>
      </c>
      <c r="AG1345" s="854">
        <f t="shared" si="251"/>
        <v>12546.047885356447</v>
      </c>
      <c r="AH1345" s="853">
        <v>0.08</v>
      </c>
      <c r="AI1345" s="855">
        <f t="shared" si="252"/>
        <v>9526.7724708285168</v>
      </c>
      <c r="AJ1345" s="845" t="s">
        <v>4463</v>
      </c>
      <c r="AK1345" s="857">
        <v>45863</v>
      </c>
      <c r="AL1345" s="843" t="s">
        <v>4464</v>
      </c>
      <c r="AM1345" s="843"/>
      <c r="AN1345" s="844"/>
      <c r="AO1345" s="844" t="s">
        <v>116</v>
      </c>
      <c r="AP1345" s="841"/>
      <c r="AQ1345" s="841">
        <v>45867</v>
      </c>
      <c r="AR1345" s="841">
        <v>45870</v>
      </c>
      <c r="AS1345" s="842" t="s">
        <v>4465</v>
      </c>
      <c r="AT1345" s="842" t="s">
        <v>4466</v>
      </c>
      <c r="AU1345" s="842" t="s">
        <v>1565</v>
      </c>
      <c r="AV1345" s="845" t="s">
        <v>4467</v>
      </c>
      <c r="AW1345" s="861">
        <v>45871</v>
      </c>
      <c r="AX1345" s="862">
        <v>45872</v>
      </c>
      <c r="AY1345" s="843"/>
      <c r="AZ1345" s="842"/>
      <c r="BA1345" s="842" t="s">
        <v>120</v>
      </c>
      <c r="BB1345" s="863" t="s">
        <v>121</v>
      </c>
      <c r="BC1345" s="864">
        <v>45873</v>
      </c>
      <c r="BD1345" s="860" t="s">
        <v>4468</v>
      </c>
      <c r="BE1345" s="865" cm="1">
        <f t="array" ref="BE1345">IF(BD1345="","",AC1345/SUMPRODUCT(--(BD1345=$BD$4:$BD$12824),$AC$4:$AC$12824))</f>
        <v>9.9832100558152194E-4</v>
      </c>
      <c r="BF1345" s="458"/>
      <c r="BG1345" s="458"/>
      <c r="BH1345" s="458"/>
      <c r="BI1345" s="458"/>
      <c r="BJ1345" s="458"/>
      <c r="BK1345" s="458"/>
      <c r="BL1345" s="458"/>
      <c r="BM1345" s="458"/>
      <c r="BN1345" s="458"/>
      <c r="BO1345" s="866">
        <f>VLOOKUP(BD1345,$BD$4:$BN$12824,3,0)*BE1345</f>
        <v>18921.870853564458</v>
      </c>
      <c r="BP1345" s="866"/>
      <c r="BQ1345" s="866"/>
      <c r="BR1345" s="866">
        <f>VLOOKUP(BD1345,$BD$4:$BN$12824,6,0)*BE1345</f>
        <v>788.52384625856507</v>
      </c>
      <c r="BS1345" s="866">
        <f>VLOOKUP(BD1345,$BD$4:$BN$12824,7,0)*BE1345</f>
        <v>0</v>
      </c>
      <c r="BT1345" s="866"/>
      <c r="BU1345" s="866">
        <f>VLOOKUP(BD1345,$BD$4:$BN$12824,9,0)*BE1345</f>
        <v>19.966420111630438</v>
      </c>
      <c r="BV1345" s="867"/>
      <c r="BW1345" s="867">
        <f>VLOOKUP(BD1345,$BD$4:$BN$12824,11,0)*BE1345</f>
        <v>0</v>
      </c>
      <c r="BX1345" s="1146">
        <f t="shared" si="253"/>
        <v>19730.361119934656</v>
      </c>
      <c r="BY1345" s="867">
        <f t="shared" si="256"/>
        <v>17351.877125661387</v>
      </c>
      <c r="BZ1345" s="867">
        <f t="shared" si="254"/>
        <v>138815.0170052911</v>
      </c>
      <c r="CA1345" s="867">
        <f>_xlfn.MAXIFS($BY$4:$BY$12824,$S$4:$S$12824,$S1345)</f>
        <v>19390.987020969184</v>
      </c>
      <c r="CB1345" s="1032"/>
      <c r="CF1345" s="946">
        <f t="shared" si="255"/>
        <v>106538.60800000001</v>
      </c>
    </row>
    <row r="1346" spans="2:84">
      <c r="B1346" s="839" t="s">
        <v>98</v>
      </c>
      <c r="C1346" s="839" t="s">
        <v>273</v>
      </c>
      <c r="D1346" s="839" t="s">
        <v>4457</v>
      </c>
      <c r="E1346" s="839" t="s">
        <v>4522</v>
      </c>
      <c r="F1346" s="841">
        <v>45832</v>
      </c>
      <c r="G1346" s="868" t="s">
        <v>273</v>
      </c>
      <c r="H1346" s="842" t="s">
        <v>102</v>
      </c>
      <c r="I1346" s="883" t="s">
        <v>4523</v>
      </c>
      <c r="J1346" s="841">
        <v>45831</v>
      </c>
      <c r="K1346" s="841">
        <v>45923</v>
      </c>
      <c r="L1346" s="843" t="s">
        <v>106</v>
      </c>
      <c r="M1346" s="844" t="s">
        <v>275</v>
      </c>
      <c r="N1346" s="841"/>
      <c r="O1346" s="884" t="s">
        <v>150</v>
      </c>
      <c r="P1346" s="842" t="s">
        <v>276</v>
      </c>
      <c r="Q1346" s="843"/>
      <c r="R1346" s="845">
        <v>18475</v>
      </c>
      <c r="S1346" s="1127" t="s">
        <v>2486</v>
      </c>
      <c r="T1346" s="885" t="s">
        <v>2487</v>
      </c>
      <c r="U1346" s="886">
        <v>3</v>
      </c>
      <c r="V1346" s="842" t="s">
        <v>3</v>
      </c>
      <c r="W1346" s="846" t="s">
        <v>4494</v>
      </c>
      <c r="X1346" s="847">
        <f t="shared" ref="X1346:X1354" si="259">W1346*U1346</f>
        <v>109.59</v>
      </c>
      <c r="Y1346" s="853">
        <v>0.5</v>
      </c>
      <c r="Z1346" s="849">
        <v>18.27</v>
      </c>
      <c r="AA1346" s="849"/>
      <c r="AB1346" s="849">
        <f t="shared" ref="AB1346:AB1409" si="260">IF(AA1346="F.O.C", 0, Z1346*U1346)</f>
        <v>54.81</v>
      </c>
      <c r="AC1346" s="850">
        <f t="shared" ref="AC1346:AC1409" si="261">Z1346*U1346</f>
        <v>54.81</v>
      </c>
      <c r="AD1346" s="851">
        <f t="shared" si="258"/>
        <v>32000</v>
      </c>
      <c r="AE1346" s="852">
        <v>30266.65</v>
      </c>
      <c r="AF1346" s="853">
        <v>0.1</v>
      </c>
      <c r="AG1346" s="854">
        <f t="shared" ref="AG1346:AG1409" si="262">(AC1346*AE1346+BO1346+BP1346+BQ1346+BS1346)*AF1346</f>
        <v>195354.79676033719</v>
      </c>
      <c r="AH1346" s="853">
        <v>0.08</v>
      </c>
      <c r="AI1346" s="855">
        <f t="shared" ref="AI1346:AI1409" si="263">(AC1346*AE1346+AG1346+BF1346+BG1346+BH1346+BJ1346)*AH1346</f>
        <v>148341.590660827</v>
      </c>
      <c r="AJ1346" s="845" t="s">
        <v>4463</v>
      </c>
      <c r="AK1346" s="857">
        <v>45863</v>
      </c>
      <c r="AL1346" s="843" t="s">
        <v>4464</v>
      </c>
      <c r="AM1346" s="843"/>
      <c r="AN1346" s="844"/>
      <c r="AO1346" s="844" t="s">
        <v>116</v>
      </c>
      <c r="AP1346" s="841"/>
      <c r="AQ1346" s="841">
        <v>45867</v>
      </c>
      <c r="AR1346" s="841">
        <v>45870</v>
      </c>
      <c r="AS1346" s="842" t="s">
        <v>4465</v>
      </c>
      <c r="AT1346" s="842" t="s">
        <v>4466</v>
      </c>
      <c r="AU1346" s="842" t="s">
        <v>1565</v>
      </c>
      <c r="AV1346" s="845" t="s">
        <v>4467</v>
      </c>
      <c r="AW1346" s="861">
        <v>45871</v>
      </c>
      <c r="AX1346" s="862">
        <v>45872</v>
      </c>
      <c r="AY1346" s="843"/>
      <c r="AZ1346" s="842"/>
      <c r="BA1346" s="842" t="s">
        <v>120</v>
      </c>
      <c r="BB1346" s="863" t="s">
        <v>121</v>
      </c>
      <c r="BC1346" s="864">
        <v>45873</v>
      </c>
      <c r="BD1346" s="860" t="s">
        <v>4468</v>
      </c>
      <c r="BE1346" s="865" cm="1">
        <f t="array" ref="BE1346">IF(BD1346="","",AC1346/SUMPRODUCT(--(BD1346=$BD$4:$BD$12824),$AC$4:$AC$12824))</f>
        <v>1.5544879067023643E-2</v>
      </c>
      <c r="BF1346" s="458"/>
      <c r="BG1346" s="458"/>
      <c r="BH1346" s="458"/>
      <c r="BI1346" s="458"/>
      <c r="BJ1346" s="458"/>
      <c r="BK1346" s="458"/>
      <c r="BL1346" s="458"/>
      <c r="BM1346" s="458"/>
      <c r="BN1346" s="458"/>
      <c r="BO1346" s="866">
        <f>VLOOKUP(BD1346,$BD$4:$BN$12824,3,0)*BE1346</f>
        <v>294632.88110337162</v>
      </c>
      <c r="BP1346" s="866"/>
      <c r="BQ1346" s="866"/>
      <c r="BR1346" s="866">
        <f>VLOOKUP(BD1346,$BD$4:$BN$12824,6,0)*BE1346</f>
        <v>12278.122731088624</v>
      </c>
      <c r="BS1346" s="866">
        <f>VLOOKUP(BD1346,$BD$4:$BN$12824,7,0)*BE1346</f>
        <v>0</v>
      </c>
      <c r="BT1346" s="866"/>
      <c r="BU1346" s="866">
        <f>VLOOKUP(BD1346,$BD$4:$BN$12824,9,0)*BE1346</f>
        <v>310.89758134047287</v>
      </c>
      <c r="BV1346" s="867"/>
      <c r="BW1346" s="867">
        <f>VLOOKUP(BD1346,$BD$4:$BN$12824,11,0)*BE1346</f>
        <v>0</v>
      </c>
      <c r="BX1346" s="1146">
        <f t="shared" ref="BX1346:BX1409" si="264">SUM(BO1346:BW1346)</f>
        <v>307221.90141580068</v>
      </c>
      <c r="BY1346" s="867">
        <f t="shared" si="256"/>
        <v>720497.26155871281</v>
      </c>
      <c r="BZ1346" s="867">
        <f t="shared" ref="BZ1346:BZ1409" si="265">BY1346*U1346</f>
        <v>2161491.7846761383</v>
      </c>
      <c r="CA1346" s="867">
        <f>_xlfn.MAXIFS($BY$4:$BY$12824,$S$4:$S$12824,$S1346)</f>
        <v>771355.30743954785</v>
      </c>
      <c r="CB1346" s="1032"/>
      <c r="CF1346" s="946">
        <f t="shared" si="255"/>
        <v>1658915.0865000002</v>
      </c>
    </row>
    <row r="1347" spans="2:84">
      <c r="B1347" s="839" t="s">
        <v>98</v>
      </c>
      <c r="C1347" s="839" t="s">
        <v>273</v>
      </c>
      <c r="D1347" s="839" t="s">
        <v>4457</v>
      </c>
      <c r="E1347" s="839" t="s">
        <v>4522</v>
      </c>
      <c r="F1347" s="841">
        <v>45832</v>
      </c>
      <c r="G1347" s="868" t="s">
        <v>273</v>
      </c>
      <c r="H1347" s="842" t="s">
        <v>102</v>
      </c>
      <c r="I1347" s="883" t="s">
        <v>4523</v>
      </c>
      <c r="J1347" s="841">
        <v>45831</v>
      </c>
      <c r="K1347" s="841">
        <v>45923</v>
      </c>
      <c r="L1347" s="843" t="s">
        <v>106</v>
      </c>
      <c r="M1347" s="844" t="s">
        <v>275</v>
      </c>
      <c r="N1347" s="841"/>
      <c r="O1347" s="884" t="s">
        <v>150</v>
      </c>
      <c r="P1347" s="842" t="s">
        <v>276</v>
      </c>
      <c r="Q1347" s="843"/>
      <c r="R1347" s="845">
        <v>18477</v>
      </c>
      <c r="S1347" s="1127" t="s">
        <v>2488</v>
      </c>
      <c r="T1347" s="885" t="s">
        <v>2489</v>
      </c>
      <c r="U1347" s="886">
        <v>3</v>
      </c>
      <c r="V1347" s="842" t="s">
        <v>3</v>
      </c>
      <c r="W1347" s="846" t="s">
        <v>4495</v>
      </c>
      <c r="X1347" s="847">
        <f t="shared" si="259"/>
        <v>64.89</v>
      </c>
      <c r="Y1347" s="853">
        <v>0.5</v>
      </c>
      <c r="Z1347" s="849">
        <v>10.82</v>
      </c>
      <c r="AA1347" s="849"/>
      <c r="AB1347" s="849">
        <f t="shared" si="260"/>
        <v>32.46</v>
      </c>
      <c r="AC1347" s="850">
        <f t="shared" si="261"/>
        <v>32.46</v>
      </c>
      <c r="AD1347" s="851">
        <f t="shared" si="258"/>
        <v>32000</v>
      </c>
      <c r="AE1347" s="852">
        <v>30266.65</v>
      </c>
      <c r="AF1347" s="853">
        <v>0.1</v>
      </c>
      <c r="AG1347" s="854">
        <f t="shared" si="262"/>
        <v>115694.52112462223</v>
      </c>
      <c r="AH1347" s="853">
        <v>0.08</v>
      </c>
      <c r="AI1347" s="855">
        <f t="shared" si="263"/>
        <v>87851.99840996979</v>
      </c>
      <c r="AJ1347" s="845" t="s">
        <v>4463</v>
      </c>
      <c r="AK1347" s="857">
        <v>45863</v>
      </c>
      <c r="AL1347" s="843" t="s">
        <v>4464</v>
      </c>
      <c r="AM1347" s="843"/>
      <c r="AN1347" s="844"/>
      <c r="AO1347" s="844" t="s">
        <v>116</v>
      </c>
      <c r="AP1347" s="841"/>
      <c r="AQ1347" s="841">
        <v>45867</v>
      </c>
      <c r="AR1347" s="841">
        <v>45870</v>
      </c>
      <c r="AS1347" s="842" t="s">
        <v>4465</v>
      </c>
      <c r="AT1347" s="842" t="s">
        <v>4466</v>
      </c>
      <c r="AU1347" s="842" t="s">
        <v>1565</v>
      </c>
      <c r="AV1347" s="845" t="s">
        <v>4467</v>
      </c>
      <c r="AW1347" s="861">
        <v>45871</v>
      </c>
      <c r="AX1347" s="862">
        <v>45872</v>
      </c>
      <c r="AY1347" s="843"/>
      <c r="AZ1347" s="842"/>
      <c r="BA1347" s="842" t="s">
        <v>120</v>
      </c>
      <c r="BB1347" s="863" t="s">
        <v>121</v>
      </c>
      <c r="BC1347" s="864">
        <v>45873</v>
      </c>
      <c r="BD1347" s="860" t="s">
        <v>4468</v>
      </c>
      <c r="BE1347" s="865" cm="1">
        <f t="array" ref="BE1347">IF(BD1347="","",AC1347/SUMPRODUCT(--(BD1347=$BD$4:$BD$12824),$AC$4:$AC$12824))</f>
        <v>9.2061079094250577E-3</v>
      </c>
      <c r="BF1347" s="458"/>
      <c r="BG1347" s="458"/>
      <c r="BH1347" s="458"/>
      <c r="BI1347" s="458"/>
      <c r="BJ1347" s="458"/>
      <c r="BK1347" s="458"/>
      <c r="BL1347" s="458"/>
      <c r="BM1347" s="458"/>
      <c r="BN1347" s="458"/>
      <c r="BO1347" s="866">
        <f>VLOOKUP(BD1347,$BD$4:$BN$12824,3,0)*BE1347</f>
        <v>174489.75224622226</v>
      </c>
      <c r="BP1347" s="866"/>
      <c r="BQ1347" s="866"/>
      <c r="BR1347" s="866">
        <f>VLOOKUP(BD1347,$BD$4:$BN$12824,6,0)*BE1347</f>
        <v>7271.4443322593816</v>
      </c>
      <c r="BS1347" s="866">
        <f>VLOOKUP(BD1347,$BD$4:$BN$12824,7,0)*BE1347</f>
        <v>0</v>
      </c>
      <c r="BT1347" s="866"/>
      <c r="BU1347" s="866">
        <f>VLOOKUP(BD1347,$BD$4:$BN$12824,9,0)*BE1347</f>
        <v>184.12215818850115</v>
      </c>
      <c r="BV1347" s="867"/>
      <c r="BW1347" s="867">
        <f>VLOOKUP(BD1347,$BD$4:$BN$12824,11,0)*BE1347</f>
        <v>0</v>
      </c>
      <c r="BX1347" s="1146">
        <f t="shared" si="264"/>
        <v>181945.31873667013</v>
      </c>
      <c r="BY1347" s="867">
        <f t="shared" si="256"/>
        <v>426698.43295376416</v>
      </c>
      <c r="BZ1347" s="867">
        <f t="shared" si="265"/>
        <v>1280095.2988612924</v>
      </c>
      <c r="CA1347" s="867">
        <f>_xlfn.MAXIFS($BY$4:$BY$12824,$S$4:$S$12824,$S1347)</f>
        <v>456666.58212610718</v>
      </c>
      <c r="CB1347" s="1032"/>
      <c r="CF1347" s="946">
        <f t="shared" si="255"/>
        <v>982455.45900000003</v>
      </c>
    </row>
    <row r="1348" spans="2:84">
      <c r="B1348" s="839" t="s">
        <v>98</v>
      </c>
      <c r="C1348" s="839" t="s">
        <v>273</v>
      </c>
      <c r="D1348" s="839" t="s">
        <v>4457</v>
      </c>
      <c r="E1348" s="839" t="s">
        <v>4522</v>
      </c>
      <c r="F1348" s="841">
        <v>45832</v>
      </c>
      <c r="G1348" s="868" t="s">
        <v>273</v>
      </c>
      <c r="H1348" s="842" t="s">
        <v>102</v>
      </c>
      <c r="I1348" s="883" t="s">
        <v>4523</v>
      </c>
      <c r="J1348" s="841">
        <v>45831</v>
      </c>
      <c r="K1348" s="841">
        <v>45923</v>
      </c>
      <c r="L1348" s="843" t="s">
        <v>106</v>
      </c>
      <c r="M1348" s="844" t="s">
        <v>275</v>
      </c>
      <c r="N1348" s="841"/>
      <c r="O1348" s="884" t="s">
        <v>150</v>
      </c>
      <c r="P1348" s="842" t="s">
        <v>276</v>
      </c>
      <c r="Q1348" s="843"/>
      <c r="R1348" s="845">
        <v>15397</v>
      </c>
      <c r="S1348" s="1127" t="s">
        <v>4574</v>
      </c>
      <c r="T1348" s="885" t="s">
        <v>4575</v>
      </c>
      <c r="U1348" s="886">
        <v>2</v>
      </c>
      <c r="V1348" s="842" t="s">
        <v>3</v>
      </c>
      <c r="W1348" s="846" t="s">
        <v>4553</v>
      </c>
      <c r="X1348" s="847">
        <f t="shared" si="259"/>
        <v>12.9</v>
      </c>
      <c r="Y1348" s="853">
        <v>0.5</v>
      </c>
      <c r="Z1348" s="849">
        <v>3.23</v>
      </c>
      <c r="AA1348" s="849"/>
      <c r="AB1348" s="849">
        <f t="shared" si="260"/>
        <v>6.46</v>
      </c>
      <c r="AC1348" s="850">
        <f t="shared" si="261"/>
        <v>6.46</v>
      </c>
      <c r="AD1348" s="851">
        <f t="shared" si="258"/>
        <v>32000</v>
      </c>
      <c r="AE1348" s="852">
        <v>30266.65</v>
      </c>
      <c r="AF1348" s="853">
        <v>0.1</v>
      </c>
      <c r="AG1348" s="854">
        <f t="shared" si="262"/>
        <v>23024.849244148481</v>
      </c>
      <c r="AH1348" s="853">
        <v>0.08</v>
      </c>
      <c r="AI1348" s="855">
        <f t="shared" si="263"/>
        <v>17483.792659531879</v>
      </c>
      <c r="AJ1348" s="845" t="s">
        <v>4463</v>
      </c>
      <c r="AK1348" s="857">
        <v>45863</v>
      </c>
      <c r="AL1348" s="843" t="s">
        <v>4464</v>
      </c>
      <c r="AM1348" s="843"/>
      <c r="AN1348" s="844"/>
      <c r="AO1348" s="844" t="s">
        <v>116</v>
      </c>
      <c r="AP1348" s="841"/>
      <c r="AQ1348" s="841">
        <v>45867</v>
      </c>
      <c r="AR1348" s="841">
        <v>45870</v>
      </c>
      <c r="AS1348" s="842" t="s">
        <v>4465</v>
      </c>
      <c r="AT1348" s="842" t="s">
        <v>4466</v>
      </c>
      <c r="AU1348" s="842" t="s">
        <v>1565</v>
      </c>
      <c r="AV1348" s="845" t="s">
        <v>4467</v>
      </c>
      <c r="AW1348" s="861">
        <v>45871</v>
      </c>
      <c r="AX1348" s="862">
        <v>45872</v>
      </c>
      <c r="AY1348" s="843"/>
      <c r="AZ1348" s="842"/>
      <c r="BA1348" s="842" t="s">
        <v>120</v>
      </c>
      <c r="BB1348" s="863" t="s">
        <v>121</v>
      </c>
      <c r="BC1348" s="864">
        <v>45873</v>
      </c>
      <c r="BD1348" s="860" t="s">
        <v>4468</v>
      </c>
      <c r="BE1348" s="865" cm="1">
        <f t="array" ref="BE1348">IF(BD1348="","",AC1348/SUMPRODUCT(--(BD1348=$BD$4:$BD$12824),$AC$4:$AC$12824))</f>
        <v>1.8321459363797249E-3</v>
      </c>
      <c r="BF1348" s="458"/>
      <c r="BG1348" s="458"/>
      <c r="BH1348" s="458"/>
      <c r="BI1348" s="458"/>
      <c r="BJ1348" s="458"/>
      <c r="BK1348" s="458"/>
      <c r="BL1348" s="458"/>
      <c r="BM1348" s="458"/>
      <c r="BN1348" s="458"/>
      <c r="BO1348" s="866">
        <f>VLOOKUP(BD1348,$BD$4:$BN$12824,3,0)*BE1348</f>
        <v>34725.933441484776</v>
      </c>
      <c r="BP1348" s="866"/>
      <c r="BQ1348" s="866"/>
      <c r="BR1348" s="866">
        <f>VLOOKUP(BD1348,$BD$4:$BN$12824,6,0)*BE1348</f>
        <v>1447.1204678495258</v>
      </c>
      <c r="BS1348" s="866">
        <f>VLOOKUP(BD1348,$BD$4:$BN$12824,7,0)*BE1348</f>
        <v>0</v>
      </c>
      <c r="BT1348" s="866"/>
      <c r="BU1348" s="866">
        <f>VLOOKUP(BD1348,$BD$4:$BN$12824,9,0)*BE1348</f>
        <v>36.642918727594498</v>
      </c>
      <c r="BV1348" s="867"/>
      <c r="BW1348" s="867">
        <f>VLOOKUP(BD1348,$BD$4:$BN$12824,11,0)*BE1348</f>
        <v>0</v>
      </c>
      <c r="BX1348" s="1146">
        <f t="shared" si="264"/>
        <v>36209.696828061897</v>
      </c>
      <c r="BY1348" s="867">
        <f t="shared" si="256"/>
        <v>127378.55253610518</v>
      </c>
      <c r="BZ1348" s="867">
        <f t="shared" si="265"/>
        <v>254757.10507221037</v>
      </c>
      <c r="CA1348" s="867">
        <f>_xlfn.MAXIFS($BY$4:$BY$12824,$S$4:$S$12824,$S1348)</f>
        <v>127378.55253610518</v>
      </c>
      <c r="CB1348" s="1032"/>
      <c r="CF1348" s="946">
        <f t="shared" ref="CF1348:CF1411" si="266">AC1348*AE1348</f>
        <v>195522.55900000001</v>
      </c>
    </row>
    <row r="1349" spans="2:84">
      <c r="B1349" s="839" t="s">
        <v>98</v>
      </c>
      <c r="C1349" s="839" t="s">
        <v>273</v>
      </c>
      <c r="D1349" s="839" t="s">
        <v>4457</v>
      </c>
      <c r="E1349" s="839" t="s">
        <v>4522</v>
      </c>
      <c r="F1349" s="841">
        <v>45832</v>
      </c>
      <c r="G1349" s="868" t="s">
        <v>273</v>
      </c>
      <c r="H1349" s="842" t="s">
        <v>102</v>
      </c>
      <c r="I1349" s="883" t="s">
        <v>4523</v>
      </c>
      <c r="J1349" s="841">
        <v>45831</v>
      </c>
      <c r="K1349" s="841">
        <v>45923</v>
      </c>
      <c r="L1349" s="843" t="s">
        <v>106</v>
      </c>
      <c r="M1349" s="844" t="s">
        <v>275</v>
      </c>
      <c r="N1349" s="841"/>
      <c r="O1349" s="884" t="s">
        <v>150</v>
      </c>
      <c r="P1349" s="842" t="s">
        <v>276</v>
      </c>
      <c r="Q1349" s="843"/>
      <c r="R1349" s="845">
        <v>16790.29</v>
      </c>
      <c r="S1349" s="1127" t="s">
        <v>4576</v>
      </c>
      <c r="T1349" s="885" t="s">
        <v>4577</v>
      </c>
      <c r="U1349" s="886">
        <v>2</v>
      </c>
      <c r="V1349" s="842" t="s">
        <v>3</v>
      </c>
      <c r="W1349" s="846" t="s">
        <v>4561</v>
      </c>
      <c r="X1349" s="847">
        <f t="shared" si="259"/>
        <v>59.12</v>
      </c>
      <c r="Y1349" s="853">
        <v>0.5</v>
      </c>
      <c r="Z1349" s="849">
        <v>14.78</v>
      </c>
      <c r="AA1349" s="849"/>
      <c r="AB1349" s="849">
        <f t="shared" si="260"/>
        <v>29.56</v>
      </c>
      <c r="AC1349" s="850">
        <f t="shared" si="261"/>
        <v>29.56</v>
      </c>
      <c r="AD1349" s="851">
        <f t="shared" si="258"/>
        <v>32000</v>
      </c>
      <c r="AE1349" s="852">
        <v>30266.65</v>
      </c>
      <c r="AF1349" s="853">
        <v>0.1</v>
      </c>
      <c r="AG1349" s="854">
        <f t="shared" si="262"/>
        <v>105358.28849180015</v>
      </c>
      <c r="AH1349" s="853">
        <v>0.08</v>
      </c>
      <c r="AI1349" s="855">
        <f t="shared" si="263"/>
        <v>80003.236999344022</v>
      </c>
      <c r="AJ1349" s="845" t="s">
        <v>4463</v>
      </c>
      <c r="AK1349" s="857">
        <v>45863</v>
      </c>
      <c r="AL1349" s="843" t="s">
        <v>4464</v>
      </c>
      <c r="AM1349" s="843"/>
      <c r="AN1349" s="844"/>
      <c r="AO1349" s="844" t="s">
        <v>116</v>
      </c>
      <c r="AP1349" s="841"/>
      <c r="AQ1349" s="841">
        <v>45867</v>
      </c>
      <c r="AR1349" s="841">
        <v>45870</v>
      </c>
      <c r="AS1349" s="842" t="s">
        <v>4465</v>
      </c>
      <c r="AT1349" s="842" t="s">
        <v>4466</v>
      </c>
      <c r="AU1349" s="842" t="s">
        <v>1565</v>
      </c>
      <c r="AV1349" s="845" t="s">
        <v>4467</v>
      </c>
      <c r="AW1349" s="861">
        <v>45871</v>
      </c>
      <c r="AX1349" s="862">
        <v>45872</v>
      </c>
      <c r="AY1349" s="843"/>
      <c r="AZ1349" s="842"/>
      <c r="BA1349" s="842" t="s">
        <v>120</v>
      </c>
      <c r="BB1349" s="863" t="s">
        <v>121</v>
      </c>
      <c r="BC1349" s="864">
        <v>45873</v>
      </c>
      <c r="BD1349" s="860" t="s">
        <v>4468</v>
      </c>
      <c r="BE1349" s="865" cm="1">
        <f t="array" ref="BE1349">IF(BD1349="","",AC1349/SUMPRODUCT(--(BD1349=$BD$4:$BD$12824),$AC$4:$AC$12824))</f>
        <v>8.3836275355084634E-3</v>
      </c>
      <c r="BF1349" s="458"/>
      <c r="BG1349" s="458"/>
      <c r="BH1349" s="458"/>
      <c r="BI1349" s="458"/>
      <c r="BJ1349" s="458"/>
      <c r="BK1349" s="458"/>
      <c r="BL1349" s="458"/>
      <c r="BM1349" s="458"/>
      <c r="BN1349" s="458"/>
      <c r="BO1349" s="866">
        <f>VLOOKUP(BD1349,$BD$4:$BN$12824,3,0)*BE1349</f>
        <v>158900.71091800154</v>
      </c>
      <c r="BP1349" s="866"/>
      <c r="BQ1349" s="866"/>
      <c r="BR1349" s="866">
        <f>VLOOKUP(BD1349,$BD$4:$BN$12824,6,0)*BE1349</f>
        <v>6621.8082089213594</v>
      </c>
      <c r="BS1349" s="866">
        <f>VLOOKUP(BD1349,$BD$4:$BN$12824,7,0)*BE1349</f>
        <v>0</v>
      </c>
      <c r="BT1349" s="866"/>
      <c r="BU1349" s="866">
        <f>VLOOKUP(BD1349,$BD$4:$BN$12824,9,0)*BE1349</f>
        <v>167.67255071016928</v>
      </c>
      <c r="BV1349" s="867"/>
      <c r="BW1349" s="867">
        <f>VLOOKUP(BD1349,$BD$4:$BN$12824,11,0)*BE1349</f>
        <v>0</v>
      </c>
      <c r="BX1349" s="1146">
        <f t="shared" si="264"/>
        <v>165690.19167763309</v>
      </c>
      <c r="BY1349" s="867">
        <f t="shared" si="256"/>
        <v>582865.32708471664</v>
      </c>
      <c r="BZ1349" s="867">
        <f t="shared" si="265"/>
        <v>1165730.6541694333</v>
      </c>
      <c r="CA1349" s="867">
        <f>_xlfn.MAXIFS($BY$4:$BY$12824,$S$4:$S$12824,$S1349)</f>
        <v>582865.32708471664</v>
      </c>
      <c r="CB1349" s="1032"/>
      <c r="CF1349" s="946">
        <f t="shared" si="266"/>
        <v>894682.174</v>
      </c>
    </row>
    <row r="1350" spans="2:84">
      <c r="B1350" s="839" t="s">
        <v>98</v>
      </c>
      <c r="C1350" s="839" t="s">
        <v>273</v>
      </c>
      <c r="D1350" s="839" t="s">
        <v>4457</v>
      </c>
      <c r="E1350" s="839" t="s">
        <v>4522</v>
      </c>
      <c r="F1350" s="841">
        <v>45832</v>
      </c>
      <c r="G1350" s="868" t="s">
        <v>273</v>
      </c>
      <c r="H1350" s="842" t="s">
        <v>102</v>
      </c>
      <c r="I1350" s="883" t="s">
        <v>4523</v>
      </c>
      <c r="J1350" s="841">
        <v>45831</v>
      </c>
      <c r="K1350" s="841">
        <v>45923</v>
      </c>
      <c r="L1350" s="843" t="s">
        <v>106</v>
      </c>
      <c r="M1350" s="844" t="s">
        <v>275</v>
      </c>
      <c r="N1350" s="841"/>
      <c r="O1350" s="884" t="s">
        <v>150</v>
      </c>
      <c r="P1350" s="842" t="s">
        <v>276</v>
      </c>
      <c r="Q1350" s="843"/>
      <c r="R1350" s="845">
        <v>16793.29</v>
      </c>
      <c r="S1350" s="1127" t="s">
        <v>4578</v>
      </c>
      <c r="T1350" s="885" t="s">
        <v>4579</v>
      </c>
      <c r="U1350" s="886">
        <v>2</v>
      </c>
      <c r="V1350" s="842" t="s">
        <v>3</v>
      </c>
      <c r="W1350" s="846" t="s">
        <v>4489</v>
      </c>
      <c r="X1350" s="847">
        <f t="shared" si="259"/>
        <v>52.42</v>
      </c>
      <c r="Y1350" s="853">
        <v>0.5</v>
      </c>
      <c r="Z1350" s="849">
        <v>13.11</v>
      </c>
      <c r="AA1350" s="849"/>
      <c r="AB1350" s="849">
        <f t="shared" si="260"/>
        <v>26.22</v>
      </c>
      <c r="AC1350" s="850">
        <f t="shared" si="261"/>
        <v>26.22</v>
      </c>
      <c r="AD1350" s="851">
        <f t="shared" si="258"/>
        <v>32000</v>
      </c>
      <c r="AE1350" s="852">
        <v>30266.65</v>
      </c>
      <c r="AF1350" s="853">
        <v>0.1</v>
      </c>
      <c r="AG1350" s="854">
        <f t="shared" si="262"/>
        <v>93453.799873308526</v>
      </c>
      <c r="AH1350" s="853">
        <v>0.08</v>
      </c>
      <c r="AI1350" s="855">
        <f t="shared" si="263"/>
        <v>70963.629029864678</v>
      </c>
      <c r="AJ1350" s="845" t="s">
        <v>4463</v>
      </c>
      <c r="AK1350" s="857">
        <v>45863</v>
      </c>
      <c r="AL1350" s="843" t="s">
        <v>4464</v>
      </c>
      <c r="AM1350" s="843"/>
      <c r="AN1350" s="844"/>
      <c r="AO1350" s="844" t="s">
        <v>116</v>
      </c>
      <c r="AP1350" s="841"/>
      <c r="AQ1350" s="841">
        <v>45867</v>
      </c>
      <c r="AR1350" s="841">
        <v>45870</v>
      </c>
      <c r="AS1350" s="842" t="s">
        <v>4465</v>
      </c>
      <c r="AT1350" s="842" t="s">
        <v>4466</v>
      </c>
      <c r="AU1350" s="842" t="s">
        <v>1565</v>
      </c>
      <c r="AV1350" s="845" t="s">
        <v>4467</v>
      </c>
      <c r="AW1350" s="861">
        <v>45871</v>
      </c>
      <c r="AX1350" s="862">
        <v>45872</v>
      </c>
      <c r="AY1350" s="843"/>
      <c r="AZ1350" s="842"/>
      <c r="BA1350" s="842" t="s">
        <v>120</v>
      </c>
      <c r="BB1350" s="863" t="s">
        <v>121</v>
      </c>
      <c r="BC1350" s="864">
        <v>45873</v>
      </c>
      <c r="BD1350" s="860" t="s">
        <v>4468</v>
      </c>
      <c r="BE1350" s="865" cm="1">
        <f t="array" ref="BE1350">IF(BD1350="","",AC1350/SUMPRODUCT(--(BD1350=$BD$4:$BD$12824),$AC$4:$AC$12824))</f>
        <v>7.4363570358941776E-3</v>
      </c>
      <c r="BF1350" s="458"/>
      <c r="BG1350" s="458"/>
      <c r="BH1350" s="458"/>
      <c r="BI1350" s="458"/>
      <c r="BJ1350" s="458"/>
      <c r="BK1350" s="458"/>
      <c r="BL1350" s="458"/>
      <c r="BM1350" s="458"/>
      <c r="BN1350" s="458"/>
      <c r="BO1350" s="866">
        <f>VLOOKUP(BD1350,$BD$4:$BN$12824,3,0)*BE1350</f>
        <v>140946.43573308527</v>
      </c>
      <c r="BP1350" s="866"/>
      <c r="BQ1350" s="866"/>
      <c r="BR1350" s="866">
        <f>VLOOKUP(BD1350,$BD$4:$BN$12824,6,0)*BE1350</f>
        <v>5873.6066048010161</v>
      </c>
      <c r="BS1350" s="866">
        <f>VLOOKUP(BD1350,$BD$4:$BN$12824,7,0)*BE1350</f>
        <v>0</v>
      </c>
      <c r="BT1350" s="866"/>
      <c r="BU1350" s="866">
        <f>VLOOKUP(BD1350,$BD$4:$BN$12824,9,0)*BE1350</f>
        <v>148.72714071788354</v>
      </c>
      <c r="BV1350" s="867"/>
      <c r="BW1350" s="867">
        <f>VLOOKUP(BD1350,$BD$4:$BN$12824,11,0)*BE1350</f>
        <v>0</v>
      </c>
      <c r="BX1350" s="1146">
        <f t="shared" si="264"/>
        <v>146968.76947860417</v>
      </c>
      <c r="BY1350" s="867">
        <f t="shared" ref="BY1350:BY1413" si="267">(AB1350*AE1350+AG1350+BX1350)/U1350</f>
        <v>517007.06617595634</v>
      </c>
      <c r="BZ1350" s="867">
        <f t="shared" si="265"/>
        <v>1034014.1323519127</v>
      </c>
      <c r="CA1350" s="867">
        <f>_xlfn.MAXIFS($BY$4:$BY$12824,$S$4:$S$12824,$S1350)</f>
        <v>517007.06617595634</v>
      </c>
      <c r="CB1350" s="1032"/>
      <c r="CF1350" s="946">
        <f t="shared" si="266"/>
        <v>793591.56299999997</v>
      </c>
    </row>
    <row r="1351" spans="2:84">
      <c r="B1351" s="839" t="s">
        <v>98</v>
      </c>
      <c r="C1351" s="839" t="s">
        <v>273</v>
      </c>
      <c r="D1351" s="839" t="s">
        <v>4457</v>
      </c>
      <c r="E1351" s="839" t="s">
        <v>4522</v>
      </c>
      <c r="F1351" s="841">
        <v>45832</v>
      </c>
      <c r="G1351" s="868" t="s">
        <v>273</v>
      </c>
      <c r="H1351" s="842" t="s">
        <v>102</v>
      </c>
      <c r="I1351" s="883" t="s">
        <v>4523</v>
      </c>
      <c r="J1351" s="841">
        <v>45831</v>
      </c>
      <c r="K1351" s="841">
        <v>45923</v>
      </c>
      <c r="L1351" s="843" t="s">
        <v>106</v>
      </c>
      <c r="M1351" s="844" t="s">
        <v>275</v>
      </c>
      <c r="N1351" s="841"/>
      <c r="O1351" s="884" t="s">
        <v>150</v>
      </c>
      <c r="P1351" s="842" t="s">
        <v>276</v>
      </c>
      <c r="Q1351" s="843"/>
      <c r="R1351" s="845">
        <v>16853.29</v>
      </c>
      <c r="S1351" s="1127" t="s">
        <v>4580</v>
      </c>
      <c r="T1351" s="885" t="s">
        <v>4581</v>
      </c>
      <c r="U1351" s="886">
        <v>1</v>
      </c>
      <c r="V1351" s="842" t="s">
        <v>3</v>
      </c>
      <c r="W1351" s="846" t="s">
        <v>4546</v>
      </c>
      <c r="X1351" s="847">
        <f t="shared" si="259"/>
        <v>83.76</v>
      </c>
      <c r="Y1351" s="853">
        <v>0.5</v>
      </c>
      <c r="Z1351" s="849">
        <v>41.88</v>
      </c>
      <c r="AA1351" s="849"/>
      <c r="AB1351" s="849">
        <f t="shared" si="260"/>
        <v>41.88</v>
      </c>
      <c r="AC1351" s="850">
        <f t="shared" si="261"/>
        <v>41.88</v>
      </c>
      <c r="AD1351" s="851">
        <f t="shared" si="258"/>
        <v>32000</v>
      </c>
      <c r="AE1351" s="852">
        <v>30266.65</v>
      </c>
      <c r="AF1351" s="853">
        <v>0.1</v>
      </c>
      <c r="AG1351" s="854">
        <f t="shared" si="262"/>
        <v>149269.45609054773</v>
      </c>
      <c r="AH1351" s="853">
        <v>0.08</v>
      </c>
      <c r="AI1351" s="855">
        <f t="shared" si="263"/>
        <v>113346.94064724383</v>
      </c>
      <c r="AJ1351" s="845" t="s">
        <v>4463</v>
      </c>
      <c r="AK1351" s="857">
        <v>45863</v>
      </c>
      <c r="AL1351" s="843" t="s">
        <v>4464</v>
      </c>
      <c r="AM1351" s="843"/>
      <c r="AN1351" s="844"/>
      <c r="AO1351" s="844" t="s">
        <v>116</v>
      </c>
      <c r="AP1351" s="841"/>
      <c r="AQ1351" s="841">
        <v>45867</v>
      </c>
      <c r="AR1351" s="841">
        <v>45870</v>
      </c>
      <c r="AS1351" s="842" t="s">
        <v>4465</v>
      </c>
      <c r="AT1351" s="842" t="s">
        <v>4466</v>
      </c>
      <c r="AU1351" s="842" t="s">
        <v>1565</v>
      </c>
      <c r="AV1351" s="845" t="s">
        <v>4467</v>
      </c>
      <c r="AW1351" s="861">
        <v>45871</v>
      </c>
      <c r="AX1351" s="862">
        <v>45872</v>
      </c>
      <c r="AY1351" s="843"/>
      <c r="AZ1351" s="842"/>
      <c r="BA1351" s="842" t="s">
        <v>120</v>
      </c>
      <c r="BB1351" s="863" t="s">
        <v>121</v>
      </c>
      <c r="BC1351" s="864">
        <v>45873</v>
      </c>
      <c r="BD1351" s="860" t="s">
        <v>4468</v>
      </c>
      <c r="BE1351" s="865" cm="1">
        <f t="array" ref="BE1351">IF(BD1351="","",AC1351/SUMPRODUCT(--(BD1351=$BD$4:$BD$12824),$AC$4:$AC$12824))</f>
        <v>1.1877751055043791E-2</v>
      </c>
      <c r="BF1351" s="458"/>
      <c r="BG1351" s="458"/>
      <c r="BH1351" s="458"/>
      <c r="BI1351" s="458"/>
      <c r="BJ1351" s="458"/>
      <c r="BK1351" s="458"/>
      <c r="BL1351" s="458"/>
      <c r="BM1351" s="458"/>
      <c r="BN1351" s="458"/>
      <c r="BO1351" s="866">
        <f>VLOOKUP(BD1351,$BD$4:$BN$12824,3,0)*BE1351</f>
        <v>225127.25890547718</v>
      </c>
      <c r="BP1351" s="866"/>
      <c r="BQ1351" s="866"/>
      <c r="BR1351" s="866">
        <f>VLOOKUP(BD1351,$BD$4:$BN$12824,6,0)*BE1351</f>
        <v>9381.6416708263387</v>
      </c>
      <c r="BS1351" s="866">
        <f>VLOOKUP(BD1351,$BD$4:$BN$12824,7,0)*BE1351</f>
        <v>0</v>
      </c>
      <c r="BT1351" s="866"/>
      <c r="BU1351" s="866">
        <f>VLOOKUP(BD1351,$BD$4:$BN$12824,9,0)*BE1351</f>
        <v>237.55502110087582</v>
      </c>
      <c r="BV1351" s="867"/>
      <c r="BW1351" s="867">
        <f>VLOOKUP(BD1351,$BD$4:$BN$12824,11,0)*BE1351</f>
        <v>0</v>
      </c>
      <c r="BX1351" s="1146">
        <f t="shared" si="264"/>
        <v>234746.45559740439</v>
      </c>
      <c r="BY1351" s="867">
        <f t="shared" si="267"/>
        <v>1651583.2136879521</v>
      </c>
      <c r="BZ1351" s="867">
        <f t="shared" si="265"/>
        <v>1651583.2136879521</v>
      </c>
      <c r="CA1351" s="867">
        <f>_xlfn.MAXIFS($BY$4:$BY$12824,$S$4:$S$12824,$S1351)</f>
        <v>1651583.2136879521</v>
      </c>
      <c r="CB1351" s="1032"/>
      <c r="CF1351" s="946">
        <f t="shared" si="266"/>
        <v>1267567.3020000001</v>
      </c>
    </row>
    <row r="1352" spans="2:84">
      <c r="B1352" s="839" t="s">
        <v>98</v>
      </c>
      <c r="C1352" s="839" t="s">
        <v>273</v>
      </c>
      <c r="D1352" s="839" t="s">
        <v>4457</v>
      </c>
      <c r="E1352" s="839" t="s">
        <v>4512</v>
      </c>
      <c r="F1352" s="841">
        <v>45723</v>
      </c>
      <c r="G1352" s="868" t="s">
        <v>273</v>
      </c>
      <c r="H1352" s="842" t="s">
        <v>134</v>
      </c>
      <c r="I1352" s="883" t="s">
        <v>134</v>
      </c>
      <c r="J1352" s="841"/>
      <c r="K1352" s="841"/>
      <c r="L1352" s="843" t="s">
        <v>106</v>
      </c>
      <c r="M1352" s="844" t="s">
        <v>275</v>
      </c>
      <c r="N1352" s="841"/>
      <c r="O1352" s="884" t="s">
        <v>150</v>
      </c>
      <c r="P1352" s="842" t="s">
        <v>276</v>
      </c>
      <c r="Q1352" s="843"/>
      <c r="R1352" s="845" t="s">
        <v>1112</v>
      </c>
      <c r="S1352" s="1127" t="s">
        <v>1113</v>
      </c>
      <c r="T1352" s="885" t="s">
        <v>1114</v>
      </c>
      <c r="U1352" s="886">
        <v>60</v>
      </c>
      <c r="V1352" s="842" t="s">
        <v>3</v>
      </c>
      <c r="W1352" s="846" t="s">
        <v>4513</v>
      </c>
      <c r="X1352" s="847">
        <f t="shared" si="259"/>
        <v>669</v>
      </c>
      <c r="Y1352" s="853" t="s">
        <v>4582</v>
      </c>
      <c r="Z1352" s="849">
        <v>5.3</v>
      </c>
      <c r="AA1352" s="849"/>
      <c r="AB1352" s="849">
        <f t="shared" si="260"/>
        <v>318</v>
      </c>
      <c r="AC1352" s="850">
        <f t="shared" si="261"/>
        <v>318</v>
      </c>
      <c r="AD1352" s="851">
        <f t="shared" si="258"/>
        <v>32000</v>
      </c>
      <c r="AE1352" s="852">
        <v>30266.65</v>
      </c>
      <c r="AF1352" s="853">
        <v>0.1</v>
      </c>
      <c r="AG1352" s="854">
        <f t="shared" si="262"/>
        <v>1133421.3714611791</v>
      </c>
      <c r="AH1352" s="853">
        <v>0.08</v>
      </c>
      <c r="AI1352" s="855">
        <f t="shared" si="263"/>
        <v>860657.28571689443</v>
      </c>
      <c r="AJ1352" s="845" t="s">
        <v>4463</v>
      </c>
      <c r="AK1352" s="857">
        <v>45863</v>
      </c>
      <c r="AL1352" s="843" t="s">
        <v>4464</v>
      </c>
      <c r="AM1352" s="843"/>
      <c r="AN1352" s="844"/>
      <c r="AO1352" s="844" t="s">
        <v>116</v>
      </c>
      <c r="AP1352" s="841"/>
      <c r="AQ1352" s="841">
        <v>45867</v>
      </c>
      <c r="AR1352" s="841">
        <v>45870</v>
      </c>
      <c r="AS1352" s="842" t="s">
        <v>4465</v>
      </c>
      <c r="AT1352" s="842" t="s">
        <v>4466</v>
      </c>
      <c r="AU1352" s="842" t="s">
        <v>1565</v>
      </c>
      <c r="AV1352" s="845" t="s">
        <v>4467</v>
      </c>
      <c r="AW1352" s="861">
        <v>45871</v>
      </c>
      <c r="AX1352" s="862">
        <v>45872</v>
      </c>
      <c r="AY1352" s="843"/>
      <c r="AZ1352" s="842"/>
      <c r="BA1352" s="842" t="s">
        <v>120</v>
      </c>
      <c r="BB1352" s="863" t="s">
        <v>121</v>
      </c>
      <c r="BC1352" s="864">
        <v>45873</v>
      </c>
      <c r="BD1352" s="860" t="s">
        <v>4468</v>
      </c>
      <c r="BE1352" s="865" cm="1">
        <f t="array" ref="BE1352">IF(BD1352="","",AC1352/SUMPRODUCT(--(BD1352=$BD$4:$BD$12824),$AC$4:$AC$12824))</f>
        <v>9.0189227208785222E-2</v>
      </c>
      <c r="BF1352" s="458"/>
      <c r="BG1352" s="458"/>
      <c r="BH1352" s="458"/>
      <c r="BI1352" s="458"/>
      <c r="BJ1352" s="458"/>
      <c r="BK1352" s="458"/>
      <c r="BL1352" s="458"/>
      <c r="BM1352" s="458"/>
      <c r="BN1352" s="458"/>
      <c r="BO1352" s="866">
        <f>VLOOKUP(BD1352,$BD$4:$BN$12824,3,0)*BE1352</f>
        <v>1709419.0146117893</v>
      </c>
      <c r="BP1352" s="866"/>
      <c r="BQ1352" s="866"/>
      <c r="BR1352" s="866">
        <f>VLOOKUP(BD1352,$BD$4:$BN$12824,6,0)*BE1352</f>
        <v>71235.961110859003</v>
      </c>
      <c r="BS1352" s="866">
        <f>VLOOKUP(BD1352,$BD$4:$BN$12824,7,0)*BE1352</f>
        <v>0</v>
      </c>
      <c r="BT1352" s="866"/>
      <c r="BU1352" s="866">
        <f>VLOOKUP(BD1352,$BD$4:$BN$12824,9,0)*BE1352</f>
        <v>1803.7845441757045</v>
      </c>
      <c r="BV1352" s="867"/>
      <c r="BW1352" s="867">
        <f>VLOOKUP(BD1352,$BD$4:$BN$12824,11,0)*BE1352</f>
        <v>0</v>
      </c>
      <c r="BX1352" s="1146">
        <f t="shared" si="264"/>
        <v>1782458.7602668239</v>
      </c>
      <c r="BY1352" s="867">
        <f t="shared" si="267"/>
        <v>209011.24719546674</v>
      </c>
      <c r="BZ1352" s="867">
        <f t="shared" si="265"/>
        <v>12540674.831728004</v>
      </c>
      <c r="CA1352" s="867">
        <f>_xlfn.MAXIFS($BY$4:$BY$12824,$S$4:$S$12824,$S1352)</f>
        <v>209011.24719546674</v>
      </c>
      <c r="CB1352" s="1032"/>
      <c r="CF1352" s="946">
        <f t="shared" si="266"/>
        <v>9624794.7000000011</v>
      </c>
    </row>
    <row r="1353" spans="2:84">
      <c r="B1353" s="839" t="s">
        <v>98</v>
      </c>
      <c r="C1353" s="839" t="s">
        <v>273</v>
      </c>
      <c r="D1353" s="839" t="s">
        <v>4457</v>
      </c>
      <c r="E1353" s="839" t="s">
        <v>4512</v>
      </c>
      <c r="F1353" s="841">
        <v>45723</v>
      </c>
      <c r="G1353" s="868" t="s">
        <v>273</v>
      </c>
      <c r="H1353" s="842" t="s">
        <v>134</v>
      </c>
      <c r="I1353" s="883" t="s">
        <v>134</v>
      </c>
      <c r="J1353" s="841"/>
      <c r="K1353" s="841"/>
      <c r="L1353" s="843" t="s">
        <v>106</v>
      </c>
      <c r="M1353" s="844" t="s">
        <v>275</v>
      </c>
      <c r="N1353" s="841"/>
      <c r="O1353" s="884" t="s">
        <v>150</v>
      </c>
      <c r="P1353" s="842" t="s">
        <v>276</v>
      </c>
      <c r="Q1353" s="843"/>
      <c r="R1353" s="845" t="s">
        <v>4514</v>
      </c>
      <c r="S1353" s="1127" t="s">
        <v>4515</v>
      </c>
      <c r="T1353" s="885" t="s">
        <v>4516</v>
      </c>
      <c r="U1353" s="886">
        <v>230</v>
      </c>
      <c r="V1353" s="842" t="s">
        <v>3</v>
      </c>
      <c r="W1353" s="846" t="s">
        <v>4517</v>
      </c>
      <c r="X1353" s="847">
        <f t="shared" si="259"/>
        <v>1067.1999999999998</v>
      </c>
      <c r="Y1353" s="853" t="s">
        <v>4582</v>
      </c>
      <c r="Z1353" s="849">
        <v>2.2000000000000002</v>
      </c>
      <c r="AA1353" s="849"/>
      <c r="AB1353" s="849">
        <f t="shared" si="260"/>
        <v>506.00000000000006</v>
      </c>
      <c r="AC1353" s="850">
        <f t="shared" si="261"/>
        <v>506.00000000000006</v>
      </c>
      <c r="AD1353" s="851">
        <f t="shared" si="258"/>
        <v>32000</v>
      </c>
      <c r="AE1353" s="852">
        <v>30266.65</v>
      </c>
      <c r="AF1353" s="853">
        <v>0.1</v>
      </c>
      <c r="AG1353" s="854">
        <f t="shared" si="262"/>
        <v>1803494.3835199894</v>
      </c>
      <c r="AH1353" s="853">
        <v>0.08</v>
      </c>
      <c r="AI1353" s="855">
        <f t="shared" si="263"/>
        <v>1369473.5426815993</v>
      </c>
      <c r="AJ1353" s="845" t="s">
        <v>4463</v>
      </c>
      <c r="AK1353" s="857">
        <v>45863</v>
      </c>
      <c r="AL1353" s="843" t="s">
        <v>4464</v>
      </c>
      <c r="AM1353" s="843"/>
      <c r="AN1353" s="844"/>
      <c r="AO1353" s="844" t="s">
        <v>116</v>
      </c>
      <c r="AP1353" s="841"/>
      <c r="AQ1353" s="841">
        <v>45867</v>
      </c>
      <c r="AR1353" s="841">
        <v>45870</v>
      </c>
      <c r="AS1353" s="842" t="s">
        <v>4465</v>
      </c>
      <c r="AT1353" s="842" t="s">
        <v>4466</v>
      </c>
      <c r="AU1353" s="842" t="s">
        <v>1565</v>
      </c>
      <c r="AV1353" s="845" t="s">
        <v>4467</v>
      </c>
      <c r="AW1353" s="861">
        <v>45871</v>
      </c>
      <c r="AX1353" s="862">
        <v>45872</v>
      </c>
      <c r="AY1353" s="843"/>
      <c r="AZ1353" s="842"/>
      <c r="BA1353" s="842" t="s">
        <v>120</v>
      </c>
      <c r="BB1353" s="863" t="s">
        <v>121</v>
      </c>
      <c r="BC1353" s="864">
        <v>45873</v>
      </c>
      <c r="BD1353" s="860" t="s">
        <v>4468</v>
      </c>
      <c r="BE1353" s="865" cm="1">
        <f t="array" ref="BE1353">IF(BD1353="","",AC1353/SUMPRODUCT(--(BD1353=$BD$4:$BD$12824),$AC$4:$AC$12824))</f>
        <v>0.1435086445523438</v>
      </c>
      <c r="BF1353" s="458"/>
      <c r="BG1353" s="458"/>
      <c r="BH1353" s="458"/>
      <c r="BI1353" s="458"/>
      <c r="BJ1353" s="458"/>
      <c r="BK1353" s="458"/>
      <c r="BL1353" s="458"/>
      <c r="BM1353" s="458"/>
      <c r="BN1353" s="458"/>
      <c r="BO1353" s="866">
        <f>VLOOKUP(BD1353,$BD$4:$BN$12824,3,0)*BE1353</f>
        <v>2720018.9351998912</v>
      </c>
      <c r="BP1353" s="866"/>
      <c r="BQ1353" s="866"/>
      <c r="BR1353" s="866">
        <f>VLOOKUP(BD1353,$BD$4:$BN$12824,6,0)*BE1353</f>
        <v>113350.30289966875</v>
      </c>
      <c r="BS1353" s="866">
        <f>VLOOKUP(BD1353,$BD$4:$BN$12824,7,0)*BE1353</f>
        <v>0</v>
      </c>
      <c r="BT1353" s="866"/>
      <c r="BU1353" s="866">
        <f>VLOOKUP(BD1353,$BD$4:$BN$12824,9,0)*BE1353</f>
        <v>2870.172891046876</v>
      </c>
      <c r="BV1353" s="867"/>
      <c r="BW1353" s="867">
        <f>VLOOKUP(BD1353,$BD$4:$BN$12824,11,0)*BE1353</f>
        <v>0</v>
      </c>
      <c r="BX1353" s="1146">
        <f t="shared" si="264"/>
        <v>2836239.410990607</v>
      </c>
      <c r="BY1353" s="867">
        <f t="shared" si="267"/>
        <v>86759.385628306947</v>
      </c>
      <c r="BZ1353" s="867">
        <f t="shared" si="265"/>
        <v>19954658.694510598</v>
      </c>
      <c r="CA1353" s="867">
        <f>_xlfn.MAXIFS($BY$4:$BY$12824,$S$4:$S$12824,$S1353)</f>
        <v>86759.385628306947</v>
      </c>
      <c r="CB1353" s="1032"/>
      <c r="CF1353" s="946">
        <f t="shared" si="266"/>
        <v>15314924.900000002</v>
      </c>
    </row>
    <row r="1354" spans="2:84">
      <c r="B1354" s="839" t="s">
        <v>98</v>
      </c>
      <c r="C1354" s="839" t="s">
        <v>273</v>
      </c>
      <c r="D1354" s="839" t="s">
        <v>4457</v>
      </c>
      <c r="E1354" s="839" t="s">
        <v>4512</v>
      </c>
      <c r="F1354" s="841">
        <v>45723</v>
      </c>
      <c r="G1354" s="868" t="s">
        <v>273</v>
      </c>
      <c r="H1354" s="842" t="s">
        <v>134</v>
      </c>
      <c r="I1354" s="883" t="s">
        <v>134</v>
      </c>
      <c r="J1354" s="841"/>
      <c r="K1354" s="841"/>
      <c r="L1354" s="843" t="s">
        <v>106</v>
      </c>
      <c r="M1354" s="844" t="s">
        <v>275</v>
      </c>
      <c r="N1354" s="841"/>
      <c r="O1354" s="884" t="s">
        <v>150</v>
      </c>
      <c r="P1354" s="842" t="s">
        <v>276</v>
      </c>
      <c r="Q1354" s="843"/>
      <c r="R1354" s="845" t="s">
        <v>4518</v>
      </c>
      <c r="S1354" s="1127" t="s">
        <v>4519</v>
      </c>
      <c r="T1354" s="885" t="s">
        <v>4520</v>
      </c>
      <c r="U1354" s="886">
        <v>320</v>
      </c>
      <c r="V1354" s="842" t="s">
        <v>3</v>
      </c>
      <c r="W1354" s="846" t="s">
        <v>4521</v>
      </c>
      <c r="X1354" s="847">
        <f t="shared" si="259"/>
        <v>454.4</v>
      </c>
      <c r="Y1354" s="853" t="s">
        <v>4582</v>
      </c>
      <c r="Z1354" s="849">
        <v>0.67</v>
      </c>
      <c r="AA1354" s="849"/>
      <c r="AB1354" s="849">
        <f t="shared" si="260"/>
        <v>214.4</v>
      </c>
      <c r="AC1354" s="850">
        <f t="shared" si="261"/>
        <v>214.4</v>
      </c>
      <c r="AD1354" s="851">
        <f t="shared" si="258"/>
        <v>32000</v>
      </c>
      <c r="AE1354" s="852">
        <v>30266.65</v>
      </c>
      <c r="AF1354" s="853">
        <v>0.1</v>
      </c>
      <c r="AG1354" s="854">
        <f t="shared" si="262"/>
        <v>764168.37119898363</v>
      </c>
      <c r="AH1354" s="853">
        <v>0.08</v>
      </c>
      <c r="AI1354" s="855">
        <f t="shared" si="263"/>
        <v>580267.05049591872</v>
      </c>
      <c r="AJ1354" s="845" t="s">
        <v>4463</v>
      </c>
      <c r="AK1354" s="857">
        <v>45863</v>
      </c>
      <c r="AL1354" s="843" t="s">
        <v>4464</v>
      </c>
      <c r="AM1354" s="843"/>
      <c r="AN1354" s="844"/>
      <c r="AO1354" s="844" t="s">
        <v>116</v>
      </c>
      <c r="AP1354" s="841"/>
      <c r="AQ1354" s="841">
        <v>45867</v>
      </c>
      <c r="AR1354" s="841">
        <v>45870</v>
      </c>
      <c r="AS1354" s="842" t="s">
        <v>4465</v>
      </c>
      <c r="AT1354" s="842" t="s">
        <v>4466</v>
      </c>
      <c r="AU1354" s="842" t="s">
        <v>1565</v>
      </c>
      <c r="AV1354" s="845" t="s">
        <v>4467</v>
      </c>
      <c r="AW1354" s="861">
        <v>45871</v>
      </c>
      <c r="AX1354" s="862">
        <v>45872</v>
      </c>
      <c r="AY1354" s="843"/>
      <c r="AZ1354" s="842"/>
      <c r="BA1354" s="842" t="s">
        <v>120</v>
      </c>
      <c r="BB1354" s="863" t="s">
        <v>121</v>
      </c>
      <c r="BC1354" s="864">
        <v>45873</v>
      </c>
      <c r="BD1354" s="860" t="s">
        <v>4468</v>
      </c>
      <c r="BE1354" s="865" cm="1">
        <f t="array" ref="BE1354">IF(BD1354="","",AC1354/SUMPRODUCT(--(BD1354=$BD$4:$BD$12824),$AC$4:$AC$12824))</f>
        <v>6.0806824885419976E-2</v>
      </c>
      <c r="BF1354" s="458"/>
      <c r="BG1354" s="458"/>
      <c r="BH1354" s="458"/>
      <c r="BI1354" s="458"/>
      <c r="BJ1354" s="458"/>
      <c r="BK1354" s="458"/>
      <c r="BL1354" s="458"/>
      <c r="BM1354" s="458"/>
      <c r="BN1354" s="458"/>
      <c r="BO1354" s="866">
        <f>VLOOKUP(BD1354,$BD$4:$BN$12824,3,0)*BE1354</f>
        <v>1152513.9519898354</v>
      </c>
      <c r="BP1354" s="866"/>
      <c r="BQ1354" s="866"/>
      <c r="BR1354" s="866">
        <f>VLOOKUP(BD1354,$BD$4:$BN$12824,6,0)*BE1354</f>
        <v>48028.270635748966</v>
      </c>
      <c r="BS1354" s="866">
        <f>VLOOKUP(BD1354,$BD$4:$BN$12824,7,0)*BE1354</f>
        <v>0</v>
      </c>
      <c r="BT1354" s="866"/>
      <c r="BU1354" s="866">
        <f>VLOOKUP(BD1354,$BD$4:$BN$12824,9,0)*BE1354</f>
        <v>1216.1364977083995</v>
      </c>
      <c r="BV1354" s="867"/>
      <c r="BW1354" s="867">
        <f>VLOOKUP(BD1354,$BD$4:$BN$12824,11,0)*BE1354</f>
        <v>0</v>
      </c>
      <c r="BX1354" s="1146">
        <f t="shared" si="264"/>
        <v>1201758.3591232928</v>
      </c>
      <c r="BY1354" s="867">
        <f t="shared" si="267"/>
        <v>26422.176532257115</v>
      </c>
      <c r="BZ1354" s="867">
        <f t="shared" si="265"/>
        <v>8455096.4903222769</v>
      </c>
      <c r="CA1354" s="867">
        <f>_xlfn.MAXIFS($BY$4:$BY$12824,$S$4:$S$12824,$S1354)</f>
        <v>27999.619907317239</v>
      </c>
      <c r="CB1354" s="1032"/>
      <c r="CF1354" s="946">
        <f t="shared" si="266"/>
        <v>6489169.7600000007</v>
      </c>
    </row>
    <row r="1355" spans="2:84">
      <c r="B1355" s="839" t="s">
        <v>98</v>
      </c>
      <c r="C1355" s="839" t="s">
        <v>4583</v>
      </c>
      <c r="D1355" s="839" t="s">
        <v>4584</v>
      </c>
      <c r="E1355" s="839" t="s">
        <v>4584</v>
      </c>
      <c r="F1355" s="841">
        <v>45731</v>
      </c>
      <c r="G1355" s="868" t="s">
        <v>4585</v>
      </c>
      <c r="H1355" s="842" t="s">
        <v>102</v>
      </c>
      <c r="I1355" s="883" t="s">
        <v>4586</v>
      </c>
      <c r="J1355" s="841">
        <v>45730</v>
      </c>
      <c r="K1355" s="841">
        <v>45866</v>
      </c>
      <c r="L1355" s="843" t="s">
        <v>4587</v>
      </c>
      <c r="M1355" s="844" t="s">
        <v>107</v>
      </c>
      <c r="N1355" s="841"/>
      <c r="O1355" s="884" t="s">
        <v>3459</v>
      </c>
      <c r="P1355" s="842" t="s">
        <v>4588</v>
      </c>
      <c r="Q1355" s="843"/>
      <c r="R1355" s="845" t="s">
        <v>4589</v>
      </c>
      <c r="S1355" s="1128" t="s">
        <v>4589</v>
      </c>
      <c r="T1355" s="885" t="s">
        <v>4590</v>
      </c>
      <c r="U1355" s="886">
        <v>14</v>
      </c>
      <c r="V1355" s="842" t="s">
        <v>3</v>
      </c>
      <c r="W1355" s="846"/>
      <c r="X1355" s="847"/>
      <c r="Y1355" s="853"/>
      <c r="Z1355" s="849">
        <v>289</v>
      </c>
      <c r="AA1355" s="849"/>
      <c r="AB1355" s="849">
        <f t="shared" si="260"/>
        <v>4046</v>
      </c>
      <c r="AC1355" s="850">
        <f t="shared" si="261"/>
        <v>4046</v>
      </c>
      <c r="AD1355" s="851">
        <f t="shared" si="258"/>
        <v>32000</v>
      </c>
      <c r="AE1355" s="852">
        <v>29508.41</v>
      </c>
      <c r="AF1355" s="853">
        <v>0</v>
      </c>
      <c r="AG1355" s="854">
        <f t="shared" si="262"/>
        <v>0</v>
      </c>
      <c r="AH1355" s="853">
        <v>0.08</v>
      </c>
      <c r="AI1355" s="855">
        <f t="shared" si="263"/>
        <v>11408995.908800002</v>
      </c>
      <c r="AJ1355" s="845" t="s">
        <v>4591</v>
      </c>
      <c r="AK1355" s="857" t="s">
        <v>4592</v>
      </c>
      <c r="AL1355" s="843" t="s">
        <v>4593</v>
      </c>
      <c r="AM1355" s="843"/>
      <c r="AN1355" s="844"/>
      <c r="AO1355" s="844" t="s">
        <v>116</v>
      </c>
      <c r="AP1355" s="841"/>
      <c r="AQ1355" s="841">
        <v>45849</v>
      </c>
      <c r="AR1355" s="841"/>
      <c r="AS1355" s="843" t="s">
        <v>4594</v>
      </c>
      <c r="AT1355" s="842" t="s">
        <v>4466</v>
      </c>
      <c r="AU1355" s="842" t="s">
        <v>4595</v>
      </c>
      <c r="AV1355" s="845" t="s">
        <v>4596</v>
      </c>
      <c r="AW1355" s="861">
        <v>45874</v>
      </c>
      <c r="AX1355" s="862">
        <v>45878</v>
      </c>
      <c r="AY1355" s="843" t="s">
        <v>4597</v>
      </c>
      <c r="AZ1355" s="842">
        <v>94059950</v>
      </c>
      <c r="BA1355" s="842" t="s">
        <v>120</v>
      </c>
      <c r="BB1355" s="863" t="s">
        <v>121</v>
      </c>
      <c r="BC1355" s="864">
        <v>45878</v>
      </c>
      <c r="BD1355" s="860" t="s">
        <v>4598</v>
      </c>
      <c r="BE1355" s="865" cm="1">
        <f t="array" ref="BE1355">IF(BD1355="","",AC1355/SUMPRODUCT(--(BD1355=$BD$4:$BD$12824),$AC$4:$AC$12824))</f>
        <v>0.15531192900026106</v>
      </c>
      <c r="BF1355" s="458" cm="1">
        <f t="array" ref="BF1355">SUM(_xlfn._xlws.FILTER( INDEX(Cost!$B$3:$BK$77,MATCH(LDL!$BD1355, Cost!$F$3:$F$77, 0),0),Cost!$B$3:$BK$3 = BF$3))</f>
        <v>23221422</v>
      </c>
      <c r="BG1355" s="458"/>
      <c r="BH1355" s="458"/>
      <c r="BI1355" s="458" cm="1">
        <f t="array" ref="BI1355">SUM(_xlfn._xlws.FILTER( INDEX(Cost!$B$3:$BK$77,MATCH(LDL!$BD1355, Cost!$F$3:$F$77, 0),0),Cost!$B$3:$BK$3 = BI$3))/1.08</f>
        <v>2077876.0370370371</v>
      </c>
      <c r="BJ1355" s="458" cm="1">
        <f t="array" ref="BJ1355">SUM(_xlfn._xlws.FILTER( INDEX(Cost!$B$3:$BK$77,MATCH(LDL!$BD1355, Cost!$F$3:$F$77, 0),0),Cost!$B$3:$BK$3 = BJ$3))</f>
        <v>0</v>
      </c>
      <c r="BK1355" s="458"/>
      <c r="BL1355" s="458" cm="1">
        <f t="array" ref="BL1355">SUM(_xlfn._xlws.FILTER( INDEX(Cost!$B$3:$BK$77,MATCH(LDL!$BD1355, Cost!$F$3:$F$77, 0),0),Cost!$B$3:$BK$3 = BL$3))</f>
        <v>20000</v>
      </c>
      <c r="BM1355" s="458"/>
      <c r="BN1355" s="458" cm="1">
        <f t="array" ref="BN1355">SUM(_xlfn._xlws.FILTER( INDEX(Cost!$B$3:$BK$77,MATCH(LDL!$BD1355, Cost!$F$3:$F$77, 0),0),Cost!$B$3:$BK$3 = BN$3))/1.08</f>
        <v>6063700</v>
      </c>
      <c r="BO1355" s="866">
        <f>VLOOKUP(BD1355,$BD$4:$BN$12824,3,0)*BE1355</f>
        <v>3606563.8449491002</v>
      </c>
      <c r="BP1355" s="866"/>
      <c r="BQ1355" s="866"/>
      <c r="BR1355" s="866">
        <f>VLOOKUP(BD1355,$BD$4:$BN$12824,6,0)*BE1355</f>
        <v>322718.93553564011</v>
      </c>
      <c r="BS1355" s="866">
        <f>VLOOKUP(BD1355,$BD$4:$BN$12824,7,0)*BE1355</f>
        <v>0</v>
      </c>
      <c r="BT1355" s="866"/>
      <c r="BU1355" s="866">
        <f>VLOOKUP(BD1355,$BD$4:$BN$12824,9,0)*BE1355</f>
        <v>3106.2385800052211</v>
      </c>
      <c r="BV1355" s="867"/>
      <c r="BW1355" s="867">
        <f>VLOOKUP(BD1355,$BD$4:$BN$12824,11,0)*BE1355</f>
        <v>941764.94387888291</v>
      </c>
      <c r="BX1355" s="1146">
        <f t="shared" si="264"/>
        <v>4874153.9629436284</v>
      </c>
      <c r="BY1355" s="867">
        <f t="shared" si="267"/>
        <v>8876084.3444959726</v>
      </c>
      <c r="BZ1355" s="867">
        <f t="shared" si="265"/>
        <v>124265180.82294361</v>
      </c>
      <c r="CA1355" s="867">
        <f>_xlfn.MAXIFS($BY$4:$BY$12824,$S$4:$S$12824,$S1355)</f>
        <v>8876084.3444959726</v>
      </c>
      <c r="CB1355" s="1032"/>
      <c r="CF1355" s="946">
        <f t="shared" si="266"/>
        <v>119391026.86</v>
      </c>
    </row>
    <row r="1356" spans="2:84">
      <c r="B1356" s="839" t="s">
        <v>98</v>
      </c>
      <c r="C1356" s="839" t="s">
        <v>4583</v>
      </c>
      <c r="D1356" s="839" t="s">
        <v>4584</v>
      </c>
      <c r="E1356" s="839" t="s">
        <v>4584</v>
      </c>
      <c r="F1356" s="841">
        <v>45731</v>
      </c>
      <c r="G1356" s="868" t="s">
        <v>4585</v>
      </c>
      <c r="H1356" s="842" t="s">
        <v>102</v>
      </c>
      <c r="I1356" s="883" t="s">
        <v>4586</v>
      </c>
      <c r="J1356" s="841">
        <v>45730</v>
      </c>
      <c r="K1356" s="841">
        <v>45866</v>
      </c>
      <c r="L1356" s="843" t="s">
        <v>4587</v>
      </c>
      <c r="M1356" s="844" t="s">
        <v>107</v>
      </c>
      <c r="N1356" s="841"/>
      <c r="O1356" s="884" t="s">
        <v>3459</v>
      </c>
      <c r="P1356" s="842" t="s">
        <v>4588</v>
      </c>
      <c r="Q1356" s="843"/>
      <c r="R1356" s="845" t="s">
        <v>4599</v>
      </c>
      <c r="S1356" s="1128" t="s">
        <v>4599</v>
      </c>
      <c r="T1356" s="885" t="s">
        <v>4600</v>
      </c>
      <c r="U1356" s="886">
        <v>14</v>
      </c>
      <c r="V1356" s="842" t="s">
        <v>3</v>
      </c>
      <c r="W1356" s="846"/>
      <c r="X1356" s="847"/>
      <c r="Y1356" s="853"/>
      <c r="Z1356" s="849">
        <v>268.59999999999997</v>
      </c>
      <c r="AA1356" s="849"/>
      <c r="AB1356" s="849">
        <f t="shared" si="260"/>
        <v>3760.3999999999996</v>
      </c>
      <c r="AC1356" s="850">
        <f t="shared" si="261"/>
        <v>3760.3999999999996</v>
      </c>
      <c r="AD1356" s="851">
        <f t="shared" si="258"/>
        <v>32000</v>
      </c>
      <c r="AE1356" s="852">
        <v>29508.41</v>
      </c>
      <c r="AF1356" s="853">
        <v>0</v>
      </c>
      <c r="AG1356" s="854">
        <f t="shared" si="262"/>
        <v>0</v>
      </c>
      <c r="AH1356" s="853">
        <v>0.08</v>
      </c>
      <c r="AI1356" s="855">
        <f t="shared" si="263"/>
        <v>8877073.9971199986</v>
      </c>
      <c r="AJ1356" s="845" t="s">
        <v>4591</v>
      </c>
      <c r="AK1356" s="857" t="s">
        <v>4592</v>
      </c>
      <c r="AL1356" s="843" t="s">
        <v>4593</v>
      </c>
      <c r="AM1356" s="843"/>
      <c r="AN1356" s="844"/>
      <c r="AO1356" s="844" t="s">
        <v>116</v>
      </c>
      <c r="AP1356" s="841"/>
      <c r="AQ1356" s="841">
        <v>45849</v>
      </c>
      <c r="AR1356" s="841"/>
      <c r="AS1356" s="843" t="s">
        <v>4594</v>
      </c>
      <c r="AT1356" s="842" t="s">
        <v>4466</v>
      </c>
      <c r="AU1356" s="842" t="s">
        <v>4595</v>
      </c>
      <c r="AV1356" s="845" t="s">
        <v>4596</v>
      </c>
      <c r="AW1356" s="861">
        <v>45874</v>
      </c>
      <c r="AX1356" s="862">
        <v>45878</v>
      </c>
      <c r="AY1356" s="843" t="s">
        <v>4601</v>
      </c>
      <c r="AZ1356" s="842">
        <v>85444942</v>
      </c>
      <c r="BA1356" s="842" t="s">
        <v>120</v>
      </c>
      <c r="BB1356" s="863" t="s">
        <v>121</v>
      </c>
      <c r="BC1356" s="864">
        <v>45878</v>
      </c>
      <c r="BD1356" s="860" t="s">
        <v>4598</v>
      </c>
      <c r="BE1356" s="865" cm="1">
        <f t="array" ref="BE1356">IF(BD1356="","",AC1356/SUMPRODUCT(--(BD1356=$BD$4:$BD$12824),$AC$4:$AC$12824))</f>
        <v>0.14434873401200732</v>
      </c>
      <c r="BF1356" s="458"/>
      <c r="BG1356" s="458"/>
      <c r="BH1356" s="458"/>
      <c r="BI1356" s="458"/>
      <c r="BJ1356" s="458"/>
      <c r="BK1356" s="458"/>
      <c r="BL1356" s="458"/>
      <c r="BM1356" s="458"/>
      <c r="BN1356" s="458"/>
      <c r="BO1356" s="866">
        <f>VLOOKUP(BD1356,$BD$4:$BN$12824,3,0)*BE1356</f>
        <v>3351982.8676585751</v>
      </c>
      <c r="BP1356" s="866"/>
      <c r="BQ1356" s="866"/>
      <c r="BR1356" s="866">
        <f>VLOOKUP(BD1356,$BD$4:$BN$12824,6,0)*BE1356</f>
        <v>299938.77538018313</v>
      </c>
      <c r="BS1356" s="866">
        <f>VLOOKUP(BD1356,$BD$4:$BN$12824,7,0)*BE1356</f>
        <v>0</v>
      </c>
      <c r="BT1356" s="866"/>
      <c r="BU1356" s="866">
        <f>VLOOKUP(BD1356,$BD$4:$BN$12824,9,0)*BE1356</f>
        <v>2886.9746802401464</v>
      </c>
      <c r="BV1356" s="867"/>
      <c r="BW1356" s="867">
        <f>VLOOKUP(BD1356,$BD$4:$BN$12824,11,0)*BE1356</f>
        <v>875287.4184286088</v>
      </c>
      <c r="BX1356" s="1146">
        <f t="shared" si="264"/>
        <v>4530096.0361476075</v>
      </c>
      <c r="BY1356" s="867">
        <f t="shared" si="267"/>
        <v>8249537.2142962571</v>
      </c>
      <c r="BZ1356" s="867">
        <f t="shared" si="265"/>
        <v>115493521.0001476</v>
      </c>
      <c r="CA1356" s="867">
        <f>_xlfn.MAXIFS($BY$4:$BY$12824,$S$4:$S$12824,$S1356)</f>
        <v>8249537.2142962571</v>
      </c>
      <c r="CB1356" s="1032"/>
      <c r="CF1356" s="946">
        <f t="shared" si="266"/>
        <v>110963424.96399999</v>
      </c>
    </row>
    <row r="1357" spans="2:84">
      <c r="B1357" s="839" t="s">
        <v>98</v>
      </c>
      <c r="C1357" s="839" t="s">
        <v>4583</v>
      </c>
      <c r="D1357" s="839" t="s">
        <v>4584</v>
      </c>
      <c r="E1357" s="839" t="s">
        <v>4584</v>
      </c>
      <c r="F1357" s="841">
        <v>45731</v>
      </c>
      <c r="G1357" s="868" t="s">
        <v>4585</v>
      </c>
      <c r="H1357" s="842" t="s">
        <v>102</v>
      </c>
      <c r="I1357" s="883" t="s">
        <v>4586</v>
      </c>
      <c r="J1357" s="841">
        <v>45730</v>
      </c>
      <c r="K1357" s="841">
        <v>45866</v>
      </c>
      <c r="L1357" s="843" t="s">
        <v>4587</v>
      </c>
      <c r="M1357" s="844" t="s">
        <v>107</v>
      </c>
      <c r="N1357" s="841"/>
      <c r="O1357" s="884" t="s">
        <v>3459</v>
      </c>
      <c r="P1357" s="842" t="s">
        <v>4588</v>
      </c>
      <c r="Q1357" s="843"/>
      <c r="R1357" s="845" t="s">
        <v>4602</v>
      </c>
      <c r="S1357" s="1128" t="s">
        <v>4602</v>
      </c>
      <c r="T1357" s="885" t="s">
        <v>4603</v>
      </c>
      <c r="U1357" s="886">
        <v>14</v>
      </c>
      <c r="V1357" s="842" t="s">
        <v>3</v>
      </c>
      <c r="W1357" s="846"/>
      <c r="X1357" s="847"/>
      <c r="Y1357" s="853"/>
      <c r="Z1357" s="849">
        <v>16.149999999999999</v>
      </c>
      <c r="AA1357" s="849"/>
      <c r="AB1357" s="849">
        <f t="shared" si="260"/>
        <v>226.09999999999997</v>
      </c>
      <c r="AC1357" s="850">
        <f t="shared" si="261"/>
        <v>226.09999999999997</v>
      </c>
      <c r="AD1357" s="851">
        <f t="shared" si="258"/>
        <v>32000</v>
      </c>
      <c r="AE1357" s="852">
        <v>29508.41</v>
      </c>
      <c r="AF1357" s="853">
        <v>0</v>
      </c>
      <c r="AG1357" s="854">
        <f t="shared" si="262"/>
        <v>0</v>
      </c>
      <c r="AH1357" s="853">
        <v>0.08</v>
      </c>
      <c r="AI1357" s="855">
        <f t="shared" si="263"/>
        <v>533748.12007999991</v>
      </c>
      <c r="AJ1357" s="845" t="s">
        <v>4591</v>
      </c>
      <c r="AK1357" s="857" t="s">
        <v>4592</v>
      </c>
      <c r="AL1357" s="843" t="s">
        <v>4593</v>
      </c>
      <c r="AM1357" s="843"/>
      <c r="AN1357" s="844"/>
      <c r="AO1357" s="844" t="s">
        <v>116</v>
      </c>
      <c r="AP1357" s="841"/>
      <c r="AQ1357" s="841">
        <v>45849</v>
      </c>
      <c r="AR1357" s="841"/>
      <c r="AS1357" s="843" t="s">
        <v>4594</v>
      </c>
      <c r="AT1357" s="842" t="s">
        <v>4466</v>
      </c>
      <c r="AU1357" s="842" t="s">
        <v>4595</v>
      </c>
      <c r="AV1357" s="845" t="s">
        <v>4596</v>
      </c>
      <c r="AW1357" s="861">
        <v>45874</v>
      </c>
      <c r="AX1357" s="862">
        <v>45878</v>
      </c>
      <c r="AY1357" s="843" t="s">
        <v>4601</v>
      </c>
      <c r="AZ1357" s="842">
        <v>85444942</v>
      </c>
      <c r="BA1357" s="842" t="s">
        <v>120</v>
      </c>
      <c r="BB1357" s="863" t="s">
        <v>121</v>
      </c>
      <c r="BC1357" s="864">
        <v>45878</v>
      </c>
      <c r="BD1357" s="860" t="s">
        <v>4598</v>
      </c>
      <c r="BE1357" s="865" cm="1">
        <f t="array" ref="BE1357">IF(BD1357="","",AC1357/SUMPRODUCT(--(BD1357=$BD$4:$BD$12824),$AC$4:$AC$12824))</f>
        <v>8.6791960323675289E-3</v>
      </c>
      <c r="BF1357" s="458"/>
      <c r="BG1357" s="458"/>
      <c r="BH1357" s="458"/>
      <c r="BI1357" s="458"/>
      <c r="BJ1357" s="458"/>
      <c r="BK1357" s="458"/>
      <c r="BL1357" s="458"/>
      <c r="BM1357" s="458"/>
      <c r="BN1357" s="458"/>
      <c r="BO1357" s="866">
        <f>VLOOKUP(BD1357,$BD$4:$BN$12824,3,0)*BE1357</f>
        <v>201543.27368833206</v>
      </c>
      <c r="BP1357" s="866"/>
      <c r="BQ1357" s="866"/>
      <c r="BR1357" s="866">
        <f>VLOOKUP(BD1357,$BD$4:$BN$12824,6,0)*BE1357</f>
        <v>18034.293456403419</v>
      </c>
      <c r="BS1357" s="866">
        <f>VLOOKUP(BD1357,$BD$4:$BN$12824,7,0)*BE1357</f>
        <v>0</v>
      </c>
      <c r="BT1357" s="866"/>
      <c r="BU1357" s="866">
        <f>VLOOKUP(BD1357,$BD$4:$BN$12824,9,0)*BE1357</f>
        <v>173.58392064735057</v>
      </c>
      <c r="BV1357" s="867"/>
      <c r="BW1357" s="867">
        <f>VLOOKUP(BD1357,$BD$4:$BN$12824,11,0)*BE1357</f>
        <v>52628.040981466984</v>
      </c>
      <c r="BX1357" s="1146">
        <f t="shared" si="264"/>
        <v>272379.19204684981</v>
      </c>
      <c r="BY1357" s="867">
        <f t="shared" si="267"/>
        <v>496016.47807477496</v>
      </c>
      <c r="BZ1357" s="867">
        <f t="shared" si="265"/>
        <v>6944230.6930468492</v>
      </c>
      <c r="CA1357" s="867">
        <f>_xlfn.MAXIFS($BY$4:$BY$12824,$S$4:$S$12824,$S1357)</f>
        <v>496016.47807477496</v>
      </c>
      <c r="CB1357" s="1032"/>
      <c r="CF1357" s="946">
        <f t="shared" si="266"/>
        <v>6671851.5009999992</v>
      </c>
    </row>
    <row r="1358" spans="2:84">
      <c r="B1358" s="839" t="s">
        <v>98</v>
      </c>
      <c r="C1358" s="839" t="s">
        <v>4583</v>
      </c>
      <c r="D1358" s="839" t="s">
        <v>4584</v>
      </c>
      <c r="E1358" s="839" t="s">
        <v>4584</v>
      </c>
      <c r="F1358" s="841">
        <v>45731</v>
      </c>
      <c r="G1358" s="868" t="s">
        <v>4585</v>
      </c>
      <c r="H1358" s="842" t="s">
        <v>102</v>
      </c>
      <c r="I1358" s="883" t="s">
        <v>4586</v>
      </c>
      <c r="J1358" s="841">
        <v>45730</v>
      </c>
      <c r="K1358" s="841">
        <v>45866</v>
      </c>
      <c r="L1358" s="843" t="s">
        <v>4587</v>
      </c>
      <c r="M1358" s="844" t="s">
        <v>107</v>
      </c>
      <c r="N1358" s="841"/>
      <c r="O1358" s="884" t="s">
        <v>3459</v>
      </c>
      <c r="P1358" s="842" t="s">
        <v>4588</v>
      </c>
      <c r="Q1358" s="843"/>
      <c r="R1358" s="845" t="s">
        <v>4604</v>
      </c>
      <c r="S1358" s="1128" t="s">
        <v>4604</v>
      </c>
      <c r="T1358" s="885" t="s">
        <v>4605</v>
      </c>
      <c r="U1358" s="886">
        <v>7</v>
      </c>
      <c r="V1358" s="842" t="s">
        <v>3</v>
      </c>
      <c r="W1358" s="846"/>
      <c r="X1358" s="847"/>
      <c r="Y1358" s="853"/>
      <c r="Z1358" s="849">
        <v>424.15</v>
      </c>
      <c r="AA1358" s="849"/>
      <c r="AB1358" s="849">
        <f t="shared" si="260"/>
        <v>2969.0499999999997</v>
      </c>
      <c r="AC1358" s="850">
        <f t="shared" si="261"/>
        <v>2969.0499999999997</v>
      </c>
      <c r="AD1358" s="851">
        <f t="shared" si="258"/>
        <v>32000</v>
      </c>
      <c r="AE1358" s="852">
        <v>29508.41</v>
      </c>
      <c r="AF1358" s="853">
        <v>0</v>
      </c>
      <c r="AG1358" s="854">
        <f t="shared" si="262"/>
        <v>0</v>
      </c>
      <c r="AH1358" s="853">
        <v>0.08</v>
      </c>
      <c r="AI1358" s="855">
        <f t="shared" si="263"/>
        <v>7008955.5768399993</v>
      </c>
      <c r="AJ1358" s="845" t="s">
        <v>4591</v>
      </c>
      <c r="AK1358" s="857" t="s">
        <v>4592</v>
      </c>
      <c r="AL1358" s="843" t="s">
        <v>4593</v>
      </c>
      <c r="AM1358" s="843"/>
      <c r="AN1358" s="844"/>
      <c r="AO1358" s="844" t="s">
        <v>116</v>
      </c>
      <c r="AP1358" s="841"/>
      <c r="AQ1358" s="841">
        <v>45849</v>
      </c>
      <c r="AR1358" s="841"/>
      <c r="AS1358" s="843" t="s">
        <v>4594</v>
      </c>
      <c r="AT1358" s="842" t="s">
        <v>4466</v>
      </c>
      <c r="AU1358" s="842" t="s">
        <v>4595</v>
      </c>
      <c r="AV1358" s="845" t="s">
        <v>4596</v>
      </c>
      <c r="AW1358" s="861">
        <v>45874</v>
      </c>
      <c r="AX1358" s="862">
        <v>45878</v>
      </c>
      <c r="AY1358" s="843" t="s">
        <v>4606</v>
      </c>
      <c r="AZ1358" s="842">
        <v>94059950</v>
      </c>
      <c r="BA1358" s="842" t="s">
        <v>120</v>
      </c>
      <c r="BB1358" s="863" t="s">
        <v>121</v>
      </c>
      <c r="BC1358" s="864">
        <v>45878</v>
      </c>
      <c r="BD1358" s="860" t="s">
        <v>4598</v>
      </c>
      <c r="BE1358" s="865" cm="1">
        <f t="array" ref="BE1358">IF(BD1358="","",AC1358/SUMPRODUCT(--(BD1358=$BD$4:$BD$12824),$AC$4:$AC$12824))</f>
        <v>0.11397154789872097</v>
      </c>
      <c r="BF1358" s="458"/>
      <c r="BG1358" s="458"/>
      <c r="BH1358" s="458"/>
      <c r="BI1358" s="458"/>
      <c r="BJ1358" s="458"/>
      <c r="BK1358" s="458"/>
      <c r="BL1358" s="458"/>
      <c r="BM1358" s="458"/>
      <c r="BN1358" s="458"/>
      <c r="BO1358" s="866">
        <f>VLOOKUP(BD1358,$BD$4:$BN$12824,3,0)*BE1358</f>
        <v>2646581.4097494129</v>
      </c>
      <c r="BP1358" s="866"/>
      <c r="BQ1358" s="866"/>
      <c r="BR1358" s="866">
        <f>VLOOKUP(BD1358,$BD$4:$BN$12824,6,0)*BE1358</f>
        <v>236818.74828277118</v>
      </c>
      <c r="BS1358" s="866">
        <f>VLOOKUP(BD1358,$BD$4:$BN$12824,7,0)*BE1358</f>
        <v>0</v>
      </c>
      <c r="BT1358" s="866"/>
      <c r="BU1358" s="866">
        <f>VLOOKUP(BD1358,$BD$4:$BN$12824,9,0)*BE1358</f>
        <v>2279.4309579744195</v>
      </c>
      <c r="BV1358" s="867"/>
      <c r="BW1358" s="867">
        <f>VLOOKUP(BD1358,$BD$4:$BN$12824,11,0)*BE1358</f>
        <v>691089.27499347436</v>
      </c>
      <c r="BX1358" s="1146">
        <f t="shared" si="264"/>
        <v>3576768.863983633</v>
      </c>
      <c r="BY1358" s="867">
        <f t="shared" si="267"/>
        <v>13026959.082069088</v>
      </c>
      <c r="BZ1358" s="867">
        <f t="shared" si="265"/>
        <v>91188713.574483618</v>
      </c>
      <c r="CA1358" s="867">
        <f>_xlfn.MAXIFS($BY$4:$BY$12824,$S$4:$S$12824,$S1358)</f>
        <v>13026959.082069088</v>
      </c>
      <c r="CB1358" s="1032"/>
      <c r="CF1358" s="946">
        <f t="shared" si="266"/>
        <v>87611944.710499987</v>
      </c>
    </row>
    <row r="1359" spans="2:84">
      <c r="B1359" s="839" t="s">
        <v>98</v>
      </c>
      <c r="C1359" s="839" t="s">
        <v>4583</v>
      </c>
      <c r="D1359" s="839" t="s">
        <v>4584</v>
      </c>
      <c r="E1359" s="839" t="s">
        <v>4584</v>
      </c>
      <c r="F1359" s="841">
        <v>45731</v>
      </c>
      <c r="G1359" s="868" t="s">
        <v>4585</v>
      </c>
      <c r="H1359" s="842" t="s">
        <v>102</v>
      </c>
      <c r="I1359" s="883" t="s">
        <v>4586</v>
      </c>
      <c r="J1359" s="841">
        <v>45730</v>
      </c>
      <c r="K1359" s="841">
        <v>45866</v>
      </c>
      <c r="L1359" s="843" t="s">
        <v>4587</v>
      </c>
      <c r="M1359" s="844" t="s">
        <v>107</v>
      </c>
      <c r="N1359" s="841"/>
      <c r="O1359" s="884" t="s">
        <v>3459</v>
      </c>
      <c r="P1359" s="842" t="s">
        <v>4588</v>
      </c>
      <c r="Q1359" s="843"/>
      <c r="R1359" s="845" t="s">
        <v>4607</v>
      </c>
      <c r="S1359" s="1128" t="s">
        <v>4607</v>
      </c>
      <c r="T1359" s="885" t="s">
        <v>4608</v>
      </c>
      <c r="U1359" s="886">
        <v>1</v>
      </c>
      <c r="V1359" s="842" t="s">
        <v>3</v>
      </c>
      <c r="W1359" s="846"/>
      <c r="X1359" s="847"/>
      <c r="Y1359" s="853"/>
      <c r="Z1359" s="849">
        <v>1080.3499999999999</v>
      </c>
      <c r="AA1359" s="849"/>
      <c r="AB1359" s="849">
        <f t="shared" si="260"/>
        <v>1080.3499999999999</v>
      </c>
      <c r="AC1359" s="850">
        <f t="shared" si="261"/>
        <v>1080.3499999999999</v>
      </c>
      <c r="AD1359" s="851">
        <f t="shared" si="258"/>
        <v>32000</v>
      </c>
      <c r="AE1359" s="852">
        <v>29508.41</v>
      </c>
      <c r="AF1359" s="853">
        <v>0</v>
      </c>
      <c r="AG1359" s="854">
        <f t="shared" si="262"/>
        <v>0</v>
      </c>
      <c r="AH1359" s="853">
        <v>0.08</v>
      </c>
      <c r="AI1359" s="855">
        <f t="shared" si="263"/>
        <v>2550352.8594800001</v>
      </c>
      <c r="AJ1359" s="845" t="s">
        <v>4591</v>
      </c>
      <c r="AK1359" s="857" t="s">
        <v>4592</v>
      </c>
      <c r="AL1359" s="843" t="s">
        <v>4593</v>
      </c>
      <c r="AM1359" s="843"/>
      <c r="AN1359" s="844"/>
      <c r="AO1359" s="844" t="s">
        <v>116</v>
      </c>
      <c r="AP1359" s="841"/>
      <c r="AQ1359" s="841">
        <v>45849</v>
      </c>
      <c r="AR1359" s="841"/>
      <c r="AS1359" s="843" t="s">
        <v>4594</v>
      </c>
      <c r="AT1359" s="842" t="s">
        <v>4466</v>
      </c>
      <c r="AU1359" s="842" t="s">
        <v>4595</v>
      </c>
      <c r="AV1359" s="845" t="s">
        <v>4596</v>
      </c>
      <c r="AW1359" s="861">
        <v>45874</v>
      </c>
      <c r="AX1359" s="862">
        <v>45878</v>
      </c>
      <c r="AY1359" s="843" t="s">
        <v>4609</v>
      </c>
      <c r="AZ1359" s="842">
        <v>94059950</v>
      </c>
      <c r="BA1359" s="842" t="s">
        <v>120</v>
      </c>
      <c r="BB1359" s="863" t="s">
        <v>121</v>
      </c>
      <c r="BC1359" s="864">
        <v>45878</v>
      </c>
      <c r="BD1359" s="860" t="s">
        <v>4598</v>
      </c>
      <c r="BE1359" s="865" cm="1">
        <f t="array" ref="BE1359">IF(BD1359="","",AC1359/SUMPRODUCT(--(BD1359=$BD$4:$BD$12824),$AC$4:$AC$12824))</f>
        <v>4.1470895327590712E-2</v>
      </c>
      <c r="BF1359" s="458"/>
      <c r="BG1359" s="458"/>
      <c r="BH1359" s="458"/>
      <c r="BI1359" s="458"/>
      <c r="BJ1359" s="458"/>
      <c r="BK1359" s="458"/>
      <c r="BL1359" s="458"/>
      <c r="BM1359" s="458"/>
      <c r="BN1359" s="458"/>
      <c r="BO1359" s="866">
        <f>VLOOKUP(BD1359,$BD$4:$BN$12824,3,0)*BE1359</f>
        <v>963013.16111981217</v>
      </c>
      <c r="BP1359" s="866"/>
      <c r="BQ1359" s="866"/>
      <c r="BR1359" s="866">
        <f>VLOOKUP(BD1359,$BD$4:$BN$12824,6,0)*BE1359</f>
        <v>86171.379635671969</v>
      </c>
      <c r="BS1359" s="866">
        <f>VLOOKUP(BD1359,$BD$4:$BN$12824,7,0)*BE1359</f>
        <v>0</v>
      </c>
      <c r="BT1359" s="866"/>
      <c r="BU1359" s="866">
        <f>VLOOKUP(BD1359,$BD$4:$BN$12824,9,0)*BE1359</f>
        <v>829.41790655181421</v>
      </c>
      <c r="BV1359" s="867"/>
      <c r="BW1359" s="867">
        <f>VLOOKUP(BD1359,$BD$4:$BN$12824,11,0)*BE1359</f>
        <v>251467.0679979118</v>
      </c>
      <c r="BX1359" s="1146">
        <f t="shared" si="264"/>
        <v>1301481.0266599478</v>
      </c>
      <c r="BY1359" s="867">
        <f t="shared" si="267"/>
        <v>33180891.770159945</v>
      </c>
      <c r="BZ1359" s="867">
        <f t="shared" si="265"/>
        <v>33180891.770159945</v>
      </c>
      <c r="CA1359" s="867">
        <f>_xlfn.MAXIFS($BY$4:$BY$12824,$S$4:$S$12824,$S1359)</f>
        <v>33180891.770159945</v>
      </c>
      <c r="CB1359" s="1032"/>
      <c r="CF1359" s="946">
        <f t="shared" si="266"/>
        <v>31879410.743499998</v>
      </c>
    </row>
    <row r="1360" spans="2:84">
      <c r="B1360" s="839" t="s">
        <v>98</v>
      </c>
      <c r="C1360" s="839" t="s">
        <v>4583</v>
      </c>
      <c r="D1360" s="839" t="s">
        <v>4584</v>
      </c>
      <c r="E1360" s="839" t="s">
        <v>4584</v>
      </c>
      <c r="F1360" s="841">
        <v>45731</v>
      </c>
      <c r="G1360" s="868" t="s">
        <v>4585</v>
      </c>
      <c r="H1360" s="842" t="s">
        <v>102</v>
      </c>
      <c r="I1360" s="883" t="s">
        <v>4586</v>
      </c>
      <c r="J1360" s="841">
        <v>45730</v>
      </c>
      <c r="K1360" s="841">
        <v>45866</v>
      </c>
      <c r="L1360" s="843" t="s">
        <v>4587</v>
      </c>
      <c r="M1360" s="844" t="s">
        <v>107</v>
      </c>
      <c r="N1360" s="841"/>
      <c r="O1360" s="884" t="s">
        <v>3459</v>
      </c>
      <c r="P1360" s="842" t="s">
        <v>4588</v>
      </c>
      <c r="Q1360" s="843"/>
      <c r="R1360" s="845" t="s">
        <v>4610</v>
      </c>
      <c r="S1360" s="1128" t="s">
        <v>4610</v>
      </c>
      <c r="T1360" s="885" t="s">
        <v>4611</v>
      </c>
      <c r="U1360" s="886">
        <v>1</v>
      </c>
      <c r="V1360" s="842" t="s">
        <v>3</v>
      </c>
      <c r="W1360" s="846"/>
      <c r="X1360" s="847"/>
      <c r="Y1360" s="853"/>
      <c r="Z1360" s="849">
        <v>1167.8999999999999</v>
      </c>
      <c r="AA1360" s="849"/>
      <c r="AB1360" s="849">
        <f t="shared" si="260"/>
        <v>1167.8999999999999</v>
      </c>
      <c r="AC1360" s="850">
        <f t="shared" si="261"/>
        <v>1167.8999999999999</v>
      </c>
      <c r="AD1360" s="851">
        <f t="shared" si="258"/>
        <v>32000</v>
      </c>
      <c r="AE1360" s="852">
        <v>29508.41</v>
      </c>
      <c r="AF1360" s="853">
        <v>0</v>
      </c>
      <c r="AG1360" s="854">
        <f t="shared" si="262"/>
        <v>0</v>
      </c>
      <c r="AH1360" s="853">
        <v>0.08</v>
      </c>
      <c r="AI1360" s="855">
        <f t="shared" si="263"/>
        <v>2757029.7631199998</v>
      </c>
      <c r="AJ1360" s="845" t="s">
        <v>4591</v>
      </c>
      <c r="AK1360" s="857" t="s">
        <v>4592</v>
      </c>
      <c r="AL1360" s="843" t="s">
        <v>4593</v>
      </c>
      <c r="AM1360" s="843"/>
      <c r="AN1360" s="844"/>
      <c r="AO1360" s="844" t="s">
        <v>116</v>
      </c>
      <c r="AP1360" s="841"/>
      <c r="AQ1360" s="841">
        <v>45849</v>
      </c>
      <c r="AR1360" s="841"/>
      <c r="AS1360" s="843" t="s">
        <v>4594</v>
      </c>
      <c r="AT1360" s="842" t="s">
        <v>4466</v>
      </c>
      <c r="AU1360" s="842" t="s">
        <v>4595</v>
      </c>
      <c r="AV1360" s="845" t="s">
        <v>4596</v>
      </c>
      <c r="AW1360" s="861">
        <v>45874</v>
      </c>
      <c r="AX1360" s="862">
        <v>45878</v>
      </c>
      <c r="AY1360" s="843" t="s">
        <v>4612</v>
      </c>
      <c r="AZ1360" s="842">
        <v>94059950</v>
      </c>
      <c r="BA1360" s="842" t="s">
        <v>120</v>
      </c>
      <c r="BB1360" s="863" t="s">
        <v>121</v>
      </c>
      <c r="BC1360" s="864">
        <v>45878</v>
      </c>
      <c r="BD1360" s="860" t="s">
        <v>4598</v>
      </c>
      <c r="BE1360" s="865" cm="1">
        <f t="array" ref="BE1360">IF(BD1360="","",AC1360/SUMPRODUCT(--(BD1360=$BD$4:$BD$12824),$AC$4:$AC$12824))</f>
        <v>4.4831636648394679E-2</v>
      </c>
      <c r="BF1360" s="458"/>
      <c r="BG1360" s="458"/>
      <c r="BH1360" s="458"/>
      <c r="BI1360" s="458"/>
      <c r="BJ1360" s="458"/>
      <c r="BK1360" s="458"/>
      <c r="BL1360" s="458"/>
      <c r="BM1360" s="458"/>
      <c r="BN1360" s="458"/>
      <c r="BO1360" s="866">
        <f>VLOOKUP(BD1360,$BD$4:$BN$12824,3,0)*BE1360</f>
        <v>1041054.3535630385</v>
      </c>
      <c r="BP1360" s="866"/>
      <c r="BQ1360" s="866"/>
      <c r="BR1360" s="866">
        <f>VLOOKUP(BD1360,$BD$4:$BN$12824,6,0)*BE1360</f>
        <v>93154.583492850725</v>
      </c>
      <c r="BS1360" s="866">
        <f>VLOOKUP(BD1360,$BD$4:$BN$12824,7,0)*BE1360</f>
        <v>0</v>
      </c>
      <c r="BT1360" s="866"/>
      <c r="BU1360" s="866">
        <f>VLOOKUP(BD1360,$BD$4:$BN$12824,9,0)*BE1360</f>
        <v>896.63273296789362</v>
      </c>
      <c r="BV1360" s="867"/>
      <c r="BW1360" s="867">
        <f>VLOOKUP(BD1360,$BD$4:$BN$12824,11,0)*BE1360</f>
        <v>271845.59514487081</v>
      </c>
      <c r="BX1360" s="1146">
        <f t="shared" si="264"/>
        <v>1406951.1649337281</v>
      </c>
      <c r="BY1360" s="867">
        <f t="shared" si="267"/>
        <v>35869823.203933723</v>
      </c>
      <c r="BZ1360" s="867">
        <f t="shared" si="265"/>
        <v>35869823.203933723</v>
      </c>
      <c r="CA1360" s="867">
        <f>_xlfn.MAXIFS($BY$4:$BY$12824,$S$4:$S$12824,$S1360)</f>
        <v>35869823.203933723</v>
      </c>
      <c r="CB1360" s="1032"/>
      <c r="CF1360" s="946">
        <f t="shared" si="266"/>
        <v>34462872.038999997</v>
      </c>
    </row>
    <row r="1361" spans="2:84">
      <c r="B1361" s="839" t="s">
        <v>98</v>
      </c>
      <c r="C1361" s="839" t="s">
        <v>4583</v>
      </c>
      <c r="D1361" s="839" t="s">
        <v>4584</v>
      </c>
      <c r="E1361" s="839" t="s">
        <v>4584</v>
      </c>
      <c r="F1361" s="841">
        <v>45731</v>
      </c>
      <c r="G1361" s="868" t="s">
        <v>4585</v>
      </c>
      <c r="H1361" s="842" t="s">
        <v>102</v>
      </c>
      <c r="I1361" s="883" t="s">
        <v>4586</v>
      </c>
      <c r="J1361" s="841">
        <v>45730</v>
      </c>
      <c r="K1361" s="841">
        <v>45866</v>
      </c>
      <c r="L1361" s="843" t="s">
        <v>4587</v>
      </c>
      <c r="M1361" s="844" t="s">
        <v>107</v>
      </c>
      <c r="N1361" s="841"/>
      <c r="O1361" s="884" t="s">
        <v>3459</v>
      </c>
      <c r="P1361" s="842" t="s">
        <v>4588</v>
      </c>
      <c r="Q1361" s="843"/>
      <c r="R1361" s="845" t="s">
        <v>4613</v>
      </c>
      <c r="S1361" s="1128" t="s">
        <v>4613</v>
      </c>
      <c r="T1361" s="885" t="s">
        <v>4614</v>
      </c>
      <c r="U1361" s="886">
        <v>1</v>
      </c>
      <c r="V1361" s="842" t="s">
        <v>3</v>
      </c>
      <c r="W1361" s="846"/>
      <c r="X1361" s="847"/>
      <c r="Y1361" s="853"/>
      <c r="Z1361" s="849">
        <v>59.5</v>
      </c>
      <c r="AA1361" s="849"/>
      <c r="AB1361" s="849">
        <f t="shared" si="260"/>
        <v>59.5</v>
      </c>
      <c r="AC1361" s="850">
        <f t="shared" si="261"/>
        <v>59.5</v>
      </c>
      <c r="AD1361" s="851">
        <f t="shared" si="258"/>
        <v>32000</v>
      </c>
      <c r="AE1361" s="852">
        <v>29508.41</v>
      </c>
      <c r="AF1361" s="853">
        <v>0</v>
      </c>
      <c r="AG1361" s="854">
        <f t="shared" si="262"/>
        <v>0</v>
      </c>
      <c r="AH1361" s="853">
        <v>0.08</v>
      </c>
      <c r="AI1361" s="855">
        <f t="shared" si="263"/>
        <v>140460.03160000002</v>
      </c>
      <c r="AJ1361" s="845" t="s">
        <v>4591</v>
      </c>
      <c r="AK1361" s="857" t="s">
        <v>4592</v>
      </c>
      <c r="AL1361" s="843" t="s">
        <v>4593</v>
      </c>
      <c r="AM1361" s="843"/>
      <c r="AN1361" s="844"/>
      <c r="AO1361" s="844" t="s">
        <v>116</v>
      </c>
      <c r="AP1361" s="841"/>
      <c r="AQ1361" s="841">
        <v>45849</v>
      </c>
      <c r="AR1361" s="841"/>
      <c r="AS1361" s="843" t="s">
        <v>4594</v>
      </c>
      <c r="AT1361" s="842" t="s">
        <v>4466</v>
      </c>
      <c r="AU1361" s="842" t="s">
        <v>4595</v>
      </c>
      <c r="AV1361" s="845" t="s">
        <v>4596</v>
      </c>
      <c r="AW1361" s="861">
        <v>45874</v>
      </c>
      <c r="AX1361" s="862">
        <v>45878</v>
      </c>
      <c r="AY1361" s="843" t="s">
        <v>4615</v>
      </c>
      <c r="AZ1361" s="842">
        <v>85044030</v>
      </c>
      <c r="BA1361" s="842" t="s">
        <v>120</v>
      </c>
      <c r="BB1361" s="863" t="s">
        <v>121</v>
      </c>
      <c r="BC1361" s="864">
        <v>45878</v>
      </c>
      <c r="BD1361" s="860" t="s">
        <v>4598</v>
      </c>
      <c r="BE1361" s="865" cm="1">
        <f t="array" ref="BE1361">IF(BD1361="","",AC1361/SUMPRODUCT(--(BD1361=$BD$4:$BD$12824),$AC$4:$AC$12824))</f>
        <v>2.283998955886192E-3</v>
      </c>
      <c r="BF1361" s="458"/>
      <c r="BG1361" s="458"/>
      <c r="BH1361" s="458"/>
      <c r="BI1361" s="458"/>
      <c r="BJ1361" s="458"/>
      <c r="BK1361" s="458"/>
      <c r="BL1361" s="458"/>
      <c r="BM1361" s="458"/>
      <c r="BN1361" s="458"/>
      <c r="BO1361" s="866">
        <f>VLOOKUP(BD1361,$BD$4:$BN$12824,3,0)*BE1361</f>
        <v>53037.703602192647</v>
      </c>
      <c r="BP1361" s="866"/>
      <c r="BQ1361" s="866"/>
      <c r="BR1361" s="866">
        <f>VLOOKUP(BD1361,$BD$4:$BN$12824,6,0)*BE1361</f>
        <v>4745.8666990535312</v>
      </c>
      <c r="BS1361" s="866">
        <f>VLOOKUP(BD1361,$BD$4:$BN$12824,7,0)*BE1361</f>
        <v>0</v>
      </c>
      <c r="BT1361" s="866"/>
      <c r="BU1361" s="866">
        <f>VLOOKUP(BD1361,$BD$4:$BN$12824,9,0)*BE1361</f>
        <v>45.679979117723839</v>
      </c>
      <c r="BV1361" s="867"/>
      <c r="BW1361" s="867">
        <f>VLOOKUP(BD1361,$BD$4:$BN$12824,11,0)*BE1361</f>
        <v>13849.484468807103</v>
      </c>
      <c r="BX1361" s="1146">
        <f t="shared" si="264"/>
        <v>71678.73474917101</v>
      </c>
      <c r="BY1361" s="867">
        <f t="shared" si="267"/>
        <v>1827429.129749171</v>
      </c>
      <c r="BZ1361" s="867">
        <f t="shared" si="265"/>
        <v>1827429.129749171</v>
      </c>
      <c r="CA1361" s="867">
        <f>_xlfn.MAXIFS($BY$4:$BY$12824,$S$4:$S$12824,$S1361)</f>
        <v>1827429.129749171</v>
      </c>
      <c r="CB1361" s="1032"/>
      <c r="CF1361" s="946">
        <f t="shared" si="266"/>
        <v>1755750.395</v>
      </c>
    </row>
    <row r="1362" spans="2:84">
      <c r="B1362" s="839" t="s">
        <v>98</v>
      </c>
      <c r="C1362" s="839" t="s">
        <v>4583</v>
      </c>
      <c r="D1362" s="839" t="s">
        <v>4584</v>
      </c>
      <c r="E1362" s="839" t="s">
        <v>4584</v>
      </c>
      <c r="F1362" s="841">
        <v>45731</v>
      </c>
      <c r="G1362" s="868" t="s">
        <v>4585</v>
      </c>
      <c r="H1362" s="842" t="s">
        <v>102</v>
      </c>
      <c r="I1362" s="883" t="s">
        <v>4586</v>
      </c>
      <c r="J1362" s="841">
        <v>45730</v>
      </c>
      <c r="K1362" s="841">
        <v>45866</v>
      </c>
      <c r="L1362" s="843" t="s">
        <v>4587</v>
      </c>
      <c r="M1362" s="844" t="s">
        <v>107</v>
      </c>
      <c r="N1362" s="841"/>
      <c r="O1362" s="884" t="s">
        <v>3459</v>
      </c>
      <c r="P1362" s="842" t="s">
        <v>4588</v>
      </c>
      <c r="Q1362" s="843"/>
      <c r="R1362" s="845" t="s">
        <v>4616</v>
      </c>
      <c r="S1362" s="1128" t="s">
        <v>4616</v>
      </c>
      <c r="T1362" s="885" t="s">
        <v>4617</v>
      </c>
      <c r="U1362" s="886">
        <v>2</v>
      </c>
      <c r="V1362" s="842" t="s">
        <v>3</v>
      </c>
      <c r="W1362" s="846"/>
      <c r="X1362" s="847"/>
      <c r="Y1362" s="853"/>
      <c r="Z1362" s="849">
        <v>1105.8499999999999</v>
      </c>
      <c r="AA1362" s="849"/>
      <c r="AB1362" s="849">
        <f t="shared" si="260"/>
        <v>2211.6999999999998</v>
      </c>
      <c r="AC1362" s="850">
        <f t="shared" si="261"/>
        <v>2211.6999999999998</v>
      </c>
      <c r="AD1362" s="851">
        <f t="shared" si="258"/>
        <v>32000</v>
      </c>
      <c r="AE1362" s="852">
        <v>29508.41</v>
      </c>
      <c r="AF1362" s="853">
        <v>0</v>
      </c>
      <c r="AG1362" s="854">
        <f t="shared" si="262"/>
        <v>0</v>
      </c>
      <c r="AH1362" s="853">
        <v>0.08</v>
      </c>
      <c r="AI1362" s="855">
        <f t="shared" si="263"/>
        <v>5221100.0317599997</v>
      </c>
      <c r="AJ1362" s="845" t="s">
        <v>4591</v>
      </c>
      <c r="AK1362" s="857" t="s">
        <v>4592</v>
      </c>
      <c r="AL1362" s="843" t="s">
        <v>4593</v>
      </c>
      <c r="AM1362" s="843"/>
      <c r="AN1362" s="844"/>
      <c r="AO1362" s="844" t="s">
        <v>116</v>
      </c>
      <c r="AP1362" s="841"/>
      <c r="AQ1362" s="841">
        <v>45849</v>
      </c>
      <c r="AR1362" s="841"/>
      <c r="AS1362" s="843" t="s">
        <v>4594</v>
      </c>
      <c r="AT1362" s="842" t="s">
        <v>4466</v>
      </c>
      <c r="AU1362" s="842" t="s">
        <v>4595</v>
      </c>
      <c r="AV1362" s="845" t="s">
        <v>4596</v>
      </c>
      <c r="AW1362" s="861">
        <v>45874</v>
      </c>
      <c r="AX1362" s="862">
        <v>45878</v>
      </c>
      <c r="AY1362" s="843" t="s">
        <v>4618</v>
      </c>
      <c r="AZ1362" s="842">
        <v>94059950</v>
      </c>
      <c r="BA1362" s="842" t="s">
        <v>120</v>
      </c>
      <c r="BB1362" s="863" t="s">
        <v>121</v>
      </c>
      <c r="BC1362" s="864">
        <v>45878</v>
      </c>
      <c r="BD1362" s="860" t="s">
        <v>4598</v>
      </c>
      <c r="BE1362" s="865" cm="1">
        <f t="array" ref="BE1362">IF(BD1362="","",AC1362/SUMPRODUCT(--(BD1362=$BD$4:$BD$12824),$AC$4:$AC$12824))</f>
        <v>8.4899504045941016E-2</v>
      </c>
      <c r="BF1362" s="458"/>
      <c r="BG1362" s="458"/>
      <c r="BH1362" s="458"/>
      <c r="BI1362" s="458"/>
      <c r="BJ1362" s="458"/>
      <c r="BK1362" s="458"/>
      <c r="BL1362" s="458"/>
      <c r="BM1362" s="458"/>
      <c r="BN1362" s="458"/>
      <c r="BO1362" s="866">
        <f>VLOOKUP(BD1362,$BD$4:$BN$12824,3,0)*BE1362</f>
        <v>1971487.2110415038</v>
      </c>
      <c r="BP1362" s="866"/>
      <c r="BQ1362" s="866"/>
      <c r="BR1362" s="866">
        <f>VLOOKUP(BD1362,$BD$4:$BN$12824,6,0)*BE1362</f>
        <v>176410.64501338982</v>
      </c>
      <c r="BS1362" s="866">
        <f>VLOOKUP(BD1362,$BD$4:$BN$12824,7,0)*BE1362</f>
        <v>0</v>
      </c>
      <c r="BT1362" s="866"/>
      <c r="BU1362" s="866">
        <f>VLOOKUP(BD1362,$BD$4:$BN$12824,9,0)*BE1362</f>
        <v>1697.9900809188202</v>
      </c>
      <c r="BV1362" s="867"/>
      <c r="BW1362" s="867">
        <f>VLOOKUP(BD1362,$BD$4:$BN$12824,11,0)*BE1362</f>
        <v>514805.12268337252</v>
      </c>
      <c r="BX1362" s="1146">
        <f t="shared" si="264"/>
        <v>2664400.9688191847</v>
      </c>
      <c r="BY1362" s="867">
        <f t="shared" si="267"/>
        <v>33964075.682909586</v>
      </c>
      <c r="BZ1362" s="867">
        <f t="shared" si="265"/>
        <v>67928151.365819171</v>
      </c>
      <c r="CA1362" s="867">
        <f>_xlfn.MAXIFS($BY$4:$BY$12824,$S$4:$S$12824,$S1362)</f>
        <v>33964075.682909586</v>
      </c>
      <c r="CB1362" s="1032"/>
      <c r="CF1362" s="946">
        <f t="shared" si="266"/>
        <v>65263750.396999992</v>
      </c>
    </row>
    <row r="1363" spans="2:84">
      <c r="B1363" s="839" t="s">
        <v>98</v>
      </c>
      <c r="C1363" s="839" t="s">
        <v>4583</v>
      </c>
      <c r="D1363" s="839" t="s">
        <v>4584</v>
      </c>
      <c r="E1363" s="839" t="s">
        <v>4584</v>
      </c>
      <c r="F1363" s="841">
        <v>45731</v>
      </c>
      <c r="G1363" s="868" t="s">
        <v>4585</v>
      </c>
      <c r="H1363" s="842" t="s">
        <v>102</v>
      </c>
      <c r="I1363" s="883" t="s">
        <v>4586</v>
      </c>
      <c r="J1363" s="841">
        <v>45730</v>
      </c>
      <c r="K1363" s="841">
        <v>45866</v>
      </c>
      <c r="L1363" s="843" t="s">
        <v>4587</v>
      </c>
      <c r="M1363" s="844" t="s">
        <v>107</v>
      </c>
      <c r="N1363" s="841"/>
      <c r="O1363" s="884" t="s">
        <v>3459</v>
      </c>
      <c r="P1363" s="842" t="s">
        <v>4619</v>
      </c>
      <c r="Q1363" s="843"/>
      <c r="R1363" s="845" t="s">
        <v>4620</v>
      </c>
      <c r="S1363" s="1128" t="s">
        <v>4620</v>
      </c>
      <c r="T1363" s="885" t="s">
        <v>4621</v>
      </c>
      <c r="U1363" s="886">
        <v>1</v>
      </c>
      <c r="V1363" s="842" t="s">
        <v>3</v>
      </c>
      <c r="W1363" s="846"/>
      <c r="X1363" s="847"/>
      <c r="Y1363" s="853"/>
      <c r="Z1363" s="849">
        <v>1230.8</v>
      </c>
      <c r="AA1363" s="849"/>
      <c r="AB1363" s="849">
        <f t="shared" si="260"/>
        <v>1230.8</v>
      </c>
      <c r="AC1363" s="850">
        <f t="shared" si="261"/>
        <v>1230.8</v>
      </c>
      <c r="AD1363" s="851">
        <f t="shared" si="258"/>
        <v>32000</v>
      </c>
      <c r="AE1363" s="852">
        <v>29508.41</v>
      </c>
      <c r="AF1363" s="853">
        <v>0</v>
      </c>
      <c r="AG1363" s="854">
        <f t="shared" si="262"/>
        <v>0</v>
      </c>
      <c r="AH1363" s="853">
        <v>0.08</v>
      </c>
      <c r="AI1363" s="855">
        <f t="shared" si="263"/>
        <v>2905516.0822399999</v>
      </c>
      <c r="AJ1363" s="845" t="s">
        <v>4591</v>
      </c>
      <c r="AK1363" s="857" t="s">
        <v>4592</v>
      </c>
      <c r="AL1363" s="843" t="s">
        <v>4593</v>
      </c>
      <c r="AM1363" s="843"/>
      <c r="AN1363" s="844"/>
      <c r="AO1363" s="844" t="s">
        <v>116</v>
      </c>
      <c r="AP1363" s="841"/>
      <c r="AQ1363" s="841">
        <v>45849</v>
      </c>
      <c r="AR1363" s="841"/>
      <c r="AS1363" s="843" t="s">
        <v>4594</v>
      </c>
      <c r="AT1363" s="842" t="s">
        <v>4466</v>
      </c>
      <c r="AU1363" s="842" t="s">
        <v>4595</v>
      </c>
      <c r="AV1363" s="845" t="s">
        <v>4596</v>
      </c>
      <c r="AW1363" s="861">
        <v>45874</v>
      </c>
      <c r="AX1363" s="862">
        <v>45878</v>
      </c>
      <c r="AY1363" s="843" t="s">
        <v>4622</v>
      </c>
      <c r="AZ1363" s="842">
        <v>94059950</v>
      </c>
      <c r="BA1363" s="842" t="s">
        <v>120</v>
      </c>
      <c r="BB1363" s="863" t="s">
        <v>121</v>
      </c>
      <c r="BC1363" s="864">
        <v>45878</v>
      </c>
      <c r="BD1363" s="860" t="s">
        <v>4598</v>
      </c>
      <c r="BE1363" s="865" cm="1">
        <f t="array" ref="BE1363">IF(BD1363="","",AC1363/SUMPRODUCT(--(BD1363=$BD$4:$BD$12824),$AC$4:$AC$12824))</f>
        <v>4.7246149830331513E-2</v>
      </c>
      <c r="BF1363" s="458"/>
      <c r="BG1363" s="458"/>
      <c r="BH1363" s="458"/>
      <c r="BI1363" s="458"/>
      <c r="BJ1363" s="458"/>
      <c r="BK1363" s="458"/>
      <c r="BL1363" s="458"/>
      <c r="BM1363" s="458"/>
      <c r="BN1363" s="458"/>
      <c r="BO1363" s="866">
        <f>VLOOKUP(BD1363,$BD$4:$BN$12824,3,0)*BE1363</f>
        <v>1097122.7830853565</v>
      </c>
      <c r="BP1363" s="866"/>
      <c r="BQ1363" s="866"/>
      <c r="BR1363" s="866">
        <f>VLOOKUP(BD1363,$BD$4:$BN$12824,6,0)*BE1363</f>
        <v>98171.642574707323</v>
      </c>
      <c r="BS1363" s="866">
        <f>VLOOKUP(BD1363,$BD$4:$BN$12824,7,0)*BE1363</f>
        <v>0</v>
      </c>
      <c r="BT1363" s="866"/>
      <c r="BU1363" s="866">
        <f>VLOOKUP(BD1363,$BD$4:$BN$12824,9,0)*BE1363</f>
        <v>944.92299660663025</v>
      </c>
      <c r="BV1363" s="867"/>
      <c r="BW1363" s="867">
        <f>VLOOKUP(BD1363,$BD$4:$BN$12824,11,0)*BE1363</f>
        <v>286486.4787261812</v>
      </c>
      <c r="BX1363" s="1146">
        <f t="shared" si="264"/>
        <v>1482725.8273828516</v>
      </c>
      <c r="BY1363" s="867">
        <f t="shared" si="267"/>
        <v>37801676.855382852</v>
      </c>
      <c r="BZ1363" s="867">
        <f t="shared" si="265"/>
        <v>37801676.855382852</v>
      </c>
      <c r="CA1363" s="867">
        <f>_xlfn.MAXIFS($BY$4:$BY$12824,$S$4:$S$12824,$S1363)</f>
        <v>37801676.855382852</v>
      </c>
      <c r="CB1363" s="1032"/>
      <c r="CF1363" s="946">
        <f t="shared" si="266"/>
        <v>36318951.027999997</v>
      </c>
    </row>
    <row r="1364" spans="2:84">
      <c r="B1364" s="839" t="s">
        <v>98</v>
      </c>
      <c r="C1364" s="839" t="s">
        <v>4583</v>
      </c>
      <c r="D1364" s="839" t="s">
        <v>4584</v>
      </c>
      <c r="E1364" s="839" t="s">
        <v>4584</v>
      </c>
      <c r="F1364" s="841">
        <v>45731</v>
      </c>
      <c r="G1364" s="868" t="s">
        <v>4585</v>
      </c>
      <c r="H1364" s="842" t="s">
        <v>102</v>
      </c>
      <c r="I1364" s="883" t="s">
        <v>4586</v>
      </c>
      <c r="J1364" s="841">
        <v>45730</v>
      </c>
      <c r="K1364" s="841">
        <v>45866</v>
      </c>
      <c r="L1364" s="843" t="s">
        <v>4587</v>
      </c>
      <c r="M1364" s="844" t="s">
        <v>107</v>
      </c>
      <c r="N1364" s="841"/>
      <c r="O1364" s="884" t="s">
        <v>3459</v>
      </c>
      <c r="P1364" s="842" t="s">
        <v>4619</v>
      </c>
      <c r="Q1364" s="843"/>
      <c r="R1364" s="845" t="s">
        <v>4623</v>
      </c>
      <c r="S1364" s="1128" t="s">
        <v>4623</v>
      </c>
      <c r="T1364" s="885" t="s">
        <v>4624</v>
      </c>
      <c r="U1364" s="886">
        <v>1</v>
      </c>
      <c r="V1364" s="842" t="s">
        <v>3</v>
      </c>
      <c r="W1364" s="846"/>
      <c r="X1364" s="847"/>
      <c r="Y1364" s="853"/>
      <c r="Z1364" s="849">
        <v>306.84999999999997</v>
      </c>
      <c r="AA1364" s="849"/>
      <c r="AB1364" s="849">
        <f t="shared" si="260"/>
        <v>306.84999999999997</v>
      </c>
      <c r="AC1364" s="850">
        <f t="shared" si="261"/>
        <v>306.84999999999997</v>
      </c>
      <c r="AD1364" s="851">
        <f t="shared" si="258"/>
        <v>32000</v>
      </c>
      <c r="AE1364" s="852">
        <v>29508.41</v>
      </c>
      <c r="AF1364" s="853">
        <v>0</v>
      </c>
      <c r="AG1364" s="854">
        <f t="shared" si="262"/>
        <v>0</v>
      </c>
      <c r="AH1364" s="853">
        <v>0.08</v>
      </c>
      <c r="AI1364" s="855">
        <f t="shared" si="263"/>
        <v>724372.44867999991</v>
      </c>
      <c r="AJ1364" s="845" t="s">
        <v>4591</v>
      </c>
      <c r="AK1364" s="857" t="s">
        <v>4592</v>
      </c>
      <c r="AL1364" s="843" t="s">
        <v>4593</v>
      </c>
      <c r="AM1364" s="843"/>
      <c r="AN1364" s="844"/>
      <c r="AO1364" s="844" t="s">
        <v>116</v>
      </c>
      <c r="AP1364" s="841"/>
      <c r="AQ1364" s="841">
        <v>45849</v>
      </c>
      <c r="AR1364" s="841"/>
      <c r="AS1364" s="843" t="s">
        <v>4594</v>
      </c>
      <c r="AT1364" s="842" t="s">
        <v>4466</v>
      </c>
      <c r="AU1364" s="842" t="s">
        <v>4595</v>
      </c>
      <c r="AV1364" s="845" t="s">
        <v>4596</v>
      </c>
      <c r="AW1364" s="861">
        <v>45874</v>
      </c>
      <c r="AX1364" s="862">
        <v>45878</v>
      </c>
      <c r="AY1364" s="843" t="s">
        <v>4625</v>
      </c>
      <c r="AZ1364" s="842">
        <v>94059950</v>
      </c>
      <c r="BA1364" s="842" t="s">
        <v>120</v>
      </c>
      <c r="BB1364" s="863" t="s">
        <v>121</v>
      </c>
      <c r="BC1364" s="864">
        <v>45878</v>
      </c>
      <c r="BD1364" s="860" t="s">
        <v>4598</v>
      </c>
      <c r="BE1364" s="865" cm="1">
        <f t="array" ref="BE1364">IF(BD1364="","",AC1364/SUMPRODUCT(--(BD1364=$BD$4:$BD$12824),$AC$4:$AC$12824))</f>
        <v>1.1778908901070218E-2</v>
      </c>
      <c r="BF1364" s="458"/>
      <c r="BG1364" s="458"/>
      <c r="BH1364" s="458"/>
      <c r="BI1364" s="458"/>
      <c r="BJ1364" s="458"/>
      <c r="BK1364" s="458"/>
      <c r="BL1364" s="458"/>
      <c r="BM1364" s="458"/>
      <c r="BN1364" s="458"/>
      <c r="BO1364" s="866">
        <f>VLOOKUP(BD1364,$BD$4:$BN$12824,3,0)*BE1364</f>
        <v>273523.01429130777</v>
      </c>
      <c r="BP1364" s="866"/>
      <c r="BQ1364" s="866"/>
      <c r="BR1364" s="866">
        <f>VLOOKUP(BD1364,$BD$4:$BN$12824,6,0)*BE1364</f>
        <v>24475.112547976067</v>
      </c>
      <c r="BS1364" s="866">
        <f>VLOOKUP(BD1364,$BD$4:$BN$12824,7,0)*BE1364</f>
        <v>0</v>
      </c>
      <c r="BT1364" s="866"/>
      <c r="BU1364" s="866">
        <f>VLOOKUP(BD1364,$BD$4:$BN$12824,9,0)*BE1364</f>
        <v>235.57817802140437</v>
      </c>
      <c r="BV1364" s="867"/>
      <c r="BW1364" s="867">
        <f>VLOOKUP(BD1364,$BD$4:$BN$12824,11,0)*BE1364</f>
        <v>71423.769903419481</v>
      </c>
      <c r="BX1364" s="1146">
        <f t="shared" si="264"/>
        <v>369657.47492072475</v>
      </c>
      <c r="BY1364" s="867">
        <f t="shared" si="267"/>
        <v>9424313.0834207237</v>
      </c>
      <c r="BZ1364" s="867">
        <f t="shared" si="265"/>
        <v>9424313.0834207237</v>
      </c>
      <c r="CA1364" s="867">
        <f>_xlfn.MAXIFS($BY$4:$BY$12824,$S$4:$S$12824,$S1364)</f>
        <v>9424313.0834207237</v>
      </c>
      <c r="CB1364" s="1032"/>
      <c r="CF1364" s="946">
        <f t="shared" si="266"/>
        <v>9054655.6084999982</v>
      </c>
    </row>
    <row r="1365" spans="2:84">
      <c r="B1365" s="839" t="s">
        <v>98</v>
      </c>
      <c r="C1365" s="839" t="s">
        <v>4583</v>
      </c>
      <c r="D1365" s="839" t="s">
        <v>4584</v>
      </c>
      <c r="E1365" s="839" t="s">
        <v>4584</v>
      </c>
      <c r="F1365" s="841">
        <v>45731</v>
      </c>
      <c r="G1365" s="868" t="s">
        <v>4585</v>
      </c>
      <c r="H1365" s="842" t="s">
        <v>102</v>
      </c>
      <c r="I1365" s="883" t="s">
        <v>4586</v>
      </c>
      <c r="J1365" s="841">
        <v>45730</v>
      </c>
      <c r="K1365" s="841">
        <v>45866</v>
      </c>
      <c r="L1365" s="843" t="s">
        <v>4587</v>
      </c>
      <c r="M1365" s="844" t="s">
        <v>107</v>
      </c>
      <c r="N1365" s="841"/>
      <c r="O1365" s="884" t="s">
        <v>3459</v>
      </c>
      <c r="P1365" s="842" t="s">
        <v>4619</v>
      </c>
      <c r="Q1365" s="843"/>
      <c r="R1365" s="845" t="s">
        <v>4626</v>
      </c>
      <c r="S1365" s="1128" t="s">
        <v>4626</v>
      </c>
      <c r="T1365" s="885" t="s">
        <v>4627</v>
      </c>
      <c r="U1365" s="886">
        <v>3</v>
      </c>
      <c r="V1365" s="842" t="s">
        <v>3</v>
      </c>
      <c r="W1365" s="846"/>
      <c r="X1365" s="847"/>
      <c r="Y1365" s="853"/>
      <c r="Z1365" s="849">
        <v>2010.25</v>
      </c>
      <c r="AA1365" s="849"/>
      <c r="AB1365" s="849">
        <f t="shared" si="260"/>
        <v>6030.75</v>
      </c>
      <c r="AC1365" s="850">
        <f t="shared" si="261"/>
        <v>6030.75</v>
      </c>
      <c r="AD1365" s="851">
        <f t="shared" si="258"/>
        <v>32000</v>
      </c>
      <c r="AE1365" s="852">
        <v>29508.41</v>
      </c>
      <c r="AF1365" s="853">
        <v>0</v>
      </c>
      <c r="AG1365" s="854">
        <f t="shared" si="262"/>
        <v>0</v>
      </c>
      <c r="AH1365" s="853">
        <v>0.08</v>
      </c>
      <c r="AI1365" s="855">
        <f t="shared" si="263"/>
        <v>14236627.488599999</v>
      </c>
      <c r="AJ1365" s="845" t="s">
        <v>4591</v>
      </c>
      <c r="AK1365" s="857" t="s">
        <v>4592</v>
      </c>
      <c r="AL1365" s="843" t="s">
        <v>4593</v>
      </c>
      <c r="AM1365" s="843"/>
      <c r="AN1365" s="844"/>
      <c r="AO1365" s="844" t="s">
        <v>116</v>
      </c>
      <c r="AP1365" s="841"/>
      <c r="AQ1365" s="841">
        <v>45849</v>
      </c>
      <c r="AR1365" s="841"/>
      <c r="AS1365" s="843" t="s">
        <v>4594</v>
      </c>
      <c r="AT1365" s="842" t="s">
        <v>4466</v>
      </c>
      <c r="AU1365" s="842" t="s">
        <v>4595</v>
      </c>
      <c r="AV1365" s="845" t="s">
        <v>4596</v>
      </c>
      <c r="AW1365" s="861">
        <v>45874</v>
      </c>
      <c r="AX1365" s="862">
        <v>45878</v>
      </c>
      <c r="AY1365" s="843" t="s">
        <v>4628</v>
      </c>
      <c r="AZ1365" s="842">
        <v>94059950</v>
      </c>
      <c r="BA1365" s="842" t="s">
        <v>120</v>
      </c>
      <c r="BB1365" s="863" t="s">
        <v>121</v>
      </c>
      <c r="BC1365" s="864">
        <v>45878</v>
      </c>
      <c r="BD1365" s="860" t="s">
        <v>4598</v>
      </c>
      <c r="BE1365" s="865" cm="1">
        <f t="array" ref="BE1365">IF(BD1365="","",AC1365/SUMPRODUCT(--(BD1365=$BD$4:$BD$12824),$AC$4:$AC$12824))</f>
        <v>0.2314996084573219</v>
      </c>
      <c r="BF1365" s="458"/>
      <c r="BG1365" s="458"/>
      <c r="BH1365" s="458"/>
      <c r="BI1365" s="458"/>
      <c r="BJ1365" s="458"/>
      <c r="BK1365" s="458"/>
      <c r="BL1365" s="458"/>
      <c r="BM1365" s="458"/>
      <c r="BN1365" s="458"/>
      <c r="BO1365" s="866">
        <f>VLOOKUP(BD1365,$BD$4:$BN$12824,3,0)*BE1365</f>
        <v>5375750.100822241</v>
      </c>
      <c r="BP1365" s="866"/>
      <c r="BQ1365" s="866"/>
      <c r="BR1365" s="866">
        <f>VLOOKUP(BD1365,$BD$4:$BN$12824,6,0)*BE1365</f>
        <v>481027.48899692576</v>
      </c>
      <c r="BS1365" s="866">
        <f>VLOOKUP(BD1365,$BD$4:$BN$12824,7,0)*BE1365</f>
        <v>0</v>
      </c>
      <c r="BT1365" s="866"/>
      <c r="BU1365" s="866">
        <f>VLOOKUP(BD1365,$BD$4:$BN$12824,9,0)*BE1365</f>
        <v>4629.9921691464378</v>
      </c>
      <c r="BV1365" s="867"/>
      <c r="BW1365" s="867">
        <f>VLOOKUP(BD1365,$BD$4:$BN$12824,11,0)*BE1365</f>
        <v>1403744.1758026627</v>
      </c>
      <c r="BX1365" s="1146">
        <f t="shared" si="264"/>
        <v>7265151.7577909762</v>
      </c>
      <c r="BY1365" s="867">
        <f t="shared" si="267"/>
        <v>61740998.45509699</v>
      </c>
      <c r="BZ1365" s="867">
        <f t="shared" si="265"/>
        <v>185222995.36529097</v>
      </c>
      <c r="CA1365" s="867">
        <f>_xlfn.MAXIFS($BY$4:$BY$12824,$S$4:$S$12824,$S1365)</f>
        <v>61740998.45509699</v>
      </c>
      <c r="CB1365" s="1032"/>
      <c r="CF1365" s="946">
        <f t="shared" si="266"/>
        <v>177957843.60749999</v>
      </c>
    </row>
    <row r="1366" spans="2:84">
      <c r="B1366" s="839" t="s">
        <v>98</v>
      </c>
      <c r="C1366" s="839" t="s">
        <v>4583</v>
      </c>
      <c r="D1366" s="839" t="s">
        <v>4584</v>
      </c>
      <c r="E1366" s="839" t="s">
        <v>4584</v>
      </c>
      <c r="F1366" s="841">
        <v>45731</v>
      </c>
      <c r="G1366" s="868" t="s">
        <v>4585</v>
      </c>
      <c r="H1366" s="842" t="s">
        <v>102</v>
      </c>
      <c r="I1366" s="883" t="s">
        <v>4586</v>
      </c>
      <c r="J1366" s="841">
        <v>45730</v>
      </c>
      <c r="K1366" s="841">
        <v>45866</v>
      </c>
      <c r="L1366" s="843" t="s">
        <v>4587</v>
      </c>
      <c r="M1366" s="844" t="s">
        <v>107</v>
      </c>
      <c r="N1366" s="841"/>
      <c r="O1366" s="884" t="s">
        <v>3459</v>
      </c>
      <c r="P1366" s="842" t="s">
        <v>4588</v>
      </c>
      <c r="Q1366" s="843"/>
      <c r="R1366" s="845" t="s">
        <v>4613</v>
      </c>
      <c r="S1366" s="1128" t="s">
        <v>4613</v>
      </c>
      <c r="T1366" s="885" t="s">
        <v>4614</v>
      </c>
      <c r="U1366" s="886">
        <v>3</v>
      </c>
      <c r="V1366" s="842" t="s">
        <v>3</v>
      </c>
      <c r="W1366" s="846"/>
      <c r="X1366" s="847"/>
      <c r="Y1366" s="853"/>
      <c r="Z1366" s="849">
        <v>59.5</v>
      </c>
      <c r="AA1366" s="849"/>
      <c r="AB1366" s="849">
        <f t="shared" si="260"/>
        <v>178.5</v>
      </c>
      <c r="AC1366" s="850">
        <f t="shared" si="261"/>
        <v>178.5</v>
      </c>
      <c r="AD1366" s="851">
        <f t="shared" si="258"/>
        <v>32000</v>
      </c>
      <c r="AE1366" s="852">
        <v>29508.41</v>
      </c>
      <c r="AF1366" s="853">
        <v>0</v>
      </c>
      <c r="AG1366" s="854">
        <f t="shared" si="262"/>
        <v>0</v>
      </c>
      <c r="AH1366" s="853">
        <v>0.08</v>
      </c>
      <c r="AI1366" s="855">
        <f t="shared" si="263"/>
        <v>421380.09479999996</v>
      </c>
      <c r="AJ1366" s="845" t="s">
        <v>4591</v>
      </c>
      <c r="AK1366" s="857" t="s">
        <v>4592</v>
      </c>
      <c r="AL1366" s="843" t="s">
        <v>4593</v>
      </c>
      <c r="AM1366" s="843"/>
      <c r="AN1366" s="844"/>
      <c r="AO1366" s="844" t="s">
        <v>116</v>
      </c>
      <c r="AP1366" s="841"/>
      <c r="AQ1366" s="841">
        <v>45849</v>
      </c>
      <c r="AR1366" s="841"/>
      <c r="AS1366" s="843" t="s">
        <v>4594</v>
      </c>
      <c r="AT1366" s="842" t="s">
        <v>4466</v>
      </c>
      <c r="AU1366" s="842" t="s">
        <v>4595</v>
      </c>
      <c r="AV1366" s="845" t="s">
        <v>4596</v>
      </c>
      <c r="AW1366" s="861">
        <v>45874</v>
      </c>
      <c r="AX1366" s="862">
        <v>45878</v>
      </c>
      <c r="AY1366" s="843" t="s">
        <v>4629</v>
      </c>
      <c r="AZ1366" s="842">
        <v>85044030</v>
      </c>
      <c r="BA1366" s="842" t="s">
        <v>120</v>
      </c>
      <c r="BB1366" s="863" t="s">
        <v>121</v>
      </c>
      <c r="BC1366" s="864">
        <v>45878</v>
      </c>
      <c r="BD1366" s="860" t="s">
        <v>4598</v>
      </c>
      <c r="BE1366" s="865" cm="1">
        <f t="array" ref="BE1366">IF(BD1366="","",AC1366/SUMPRODUCT(--(BD1366=$BD$4:$BD$12824),$AC$4:$AC$12824))</f>
        <v>6.851996867658576E-3</v>
      </c>
      <c r="BF1366" s="458"/>
      <c r="BG1366" s="458"/>
      <c r="BH1366" s="458"/>
      <c r="BI1366" s="458"/>
      <c r="BJ1366" s="458"/>
      <c r="BK1366" s="458"/>
      <c r="BL1366" s="458"/>
      <c r="BM1366" s="458"/>
      <c r="BN1366" s="458"/>
      <c r="BO1366" s="866">
        <f>VLOOKUP(BD1366,$BD$4:$BN$12824,3,0)*BE1366</f>
        <v>159113.11080657796</v>
      </c>
      <c r="BP1366" s="866"/>
      <c r="BQ1366" s="866"/>
      <c r="BR1366" s="866">
        <f>VLOOKUP(BD1366,$BD$4:$BN$12824,6,0)*BE1366</f>
        <v>14237.600097160594</v>
      </c>
      <c r="BS1366" s="866">
        <f>VLOOKUP(BD1366,$BD$4:$BN$12824,7,0)*BE1366</f>
        <v>0</v>
      </c>
      <c r="BT1366" s="866"/>
      <c r="BU1366" s="866">
        <f>VLOOKUP(BD1366,$BD$4:$BN$12824,9,0)*BE1366</f>
        <v>137.03993735317152</v>
      </c>
      <c r="BV1366" s="867"/>
      <c r="BW1366" s="867">
        <f>VLOOKUP(BD1366,$BD$4:$BN$12824,11,0)*BE1366</f>
        <v>41548.453406421308</v>
      </c>
      <c r="BX1366" s="1146">
        <f t="shared" si="264"/>
        <v>215036.20424751303</v>
      </c>
      <c r="BY1366" s="867">
        <f t="shared" si="267"/>
        <v>1827429.1297491707</v>
      </c>
      <c r="BZ1366" s="867">
        <f t="shared" si="265"/>
        <v>5482287.3892475124</v>
      </c>
      <c r="CA1366" s="867">
        <f>_xlfn.MAXIFS($BY$4:$BY$12824,$S$4:$S$12824,$S1366)</f>
        <v>1827429.129749171</v>
      </c>
      <c r="CB1366" s="1032"/>
      <c r="CF1366" s="946">
        <f t="shared" si="266"/>
        <v>5267251.1849999996</v>
      </c>
    </row>
    <row r="1367" spans="2:84">
      <c r="B1367" s="839" t="s">
        <v>98</v>
      </c>
      <c r="C1367" s="839" t="s">
        <v>4583</v>
      </c>
      <c r="D1367" s="839" t="s">
        <v>4584</v>
      </c>
      <c r="E1367" s="839" t="s">
        <v>4584</v>
      </c>
      <c r="F1367" s="841">
        <v>45731</v>
      </c>
      <c r="G1367" s="868" t="s">
        <v>4585</v>
      </c>
      <c r="H1367" s="842" t="s">
        <v>102</v>
      </c>
      <c r="I1367" s="883" t="s">
        <v>4586</v>
      </c>
      <c r="J1367" s="841">
        <v>45730</v>
      </c>
      <c r="K1367" s="841">
        <v>45866</v>
      </c>
      <c r="L1367" s="843" t="s">
        <v>4587</v>
      </c>
      <c r="M1367" s="844" t="s">
        <v>107</v>
      </c>
      <c r="N1367" s="841"/>
      <c r="O1367" s="884" t="s">
        <v>3459</v>
      </c>
      <c r="P1367" s="842" t="s">
        <v>4588</v>
      </c>
      <c r="Q1367" s="843"/>
      <c r="R1367" s="845" t="s">
        <v>4630</v>
      </c>
      <c r="S1367" s="1128" t="s">
        <v>4630</v>
      </c>
      <c r="T1367" s="885" t="s">
        <v>4631</v>
      </c>
      <c r="U1367" s="886">
        <v>1</v>
      </c>
      <c r="V1367" s="842" t="s">
        <v>3</v>
      </c>
      <c r="W1367" s="846"/>
      <c r="X1367" s="847"/>
      <c r="Y1367" s="853"/>
      <c r="Z1367" s="849">
        <v>1315.8</v>
      </c>
      <c r="AA1367" s="849"/>
      <c r="AB1367" s="849">
        <f t="shared" si="260"/>
        <v>1315.8</v>
      </c>
      <c r="AC1367" s="850">
        <f t="shared" si="261"/>
        <v>1315.8</v>
      </c>
      <c r="AD1367" s="851">
        <f t="shared" si="258"/>
        <v>32000</v>
      </c>
      <c r="AE1367" s="852">
        <v>29508.41</v>
      </c>
      <c r="AF1367" s="853">
        <v>0</v>
      </c>
      <c r="AG1367" s="854">
        <f t="shared" si="262"/>
        <v>0</v>
      </c>
      <c r="AH1367" s="853">
        <v>0.08</v>
      </c>
      <c r="AI1367" s="855">
        <f t="shared" si="263"/>
        <v>3106173.27024</v>
      </c>
      <c r="AJ1367" s="845" t="s">
        <v>4591</v>
      </c>
      <c r="AK1367" s="857" t="s">
        <v>4592</v>
      </c>
      <c r="AL1367" s="843" t="s">
        <v>4593</v>
      </c>
      <c r="AM1367" s="843"/>
      <c r="AN1367" s="844"/>
      <c r="AO1367" s="844" t="s">
        <v>116</v>
      </c>
      <c r="AP1367" s="841"/>
      <c r="AQ1367" s="841">
        <v>45849</v>
      </c>
      <c r="AR1367" s="841"/>
      <c r="AS1367" s="843" t="s">
        <v>4594</v>
      </c>
      <c r="AT1367" s="842" t="s">
        <v>4466</v>
      </c>
      <c r="AU1367" s="842" t="s">
        <v>4595</v>
      </c>
      <c r="AV1367" s="845" t="s">
        <v>4596</v>
      </c>
      <c r="AW1367" s="861">
        <v>45874</v>
      </c>
      <c r="AX1367" s="862">
        <v>45878</v>
      </c>
      <c r="AY1367" s="843" t="s">
        <v>4632</v>
      </c>
      <c r="AZ1367" s="842">
        <v>94059950</v>
      </c>
      <c r="BA1367" s="842" t="s">
        <v>120</v>
      </c>
      <c r="BB1367" s="863" t="s">
        <v>121</v>
      </c>
      <c r="BC1367" s="864">
        <v>45878</v>
      </c>
      <c r="BD1367" s="860" t="s">
        <v>4598</v>
      </c>
      <c r="BE1367" s="865" cm="1">
        <f t="array" ref="BE1367">IF(BD1367="","",AC1367/SUMPRODUCT(--(BD1367=$BD$4:$BD$12824),$AC$4:$AC$12824))</f>
        <v>5.0509005481597501E-2</v>
      </c>
      <c r="BF1367" s="458"/>
      <c r="BG1367" s="458"/>
      <c r="BH1367" s="458"/>
      <c r="BI1367" s="458"/>
      <c r="BJ1367" s="458"/>
      <c r="BK1367" s="458"/>
      <c r="BL1367" s="458"/>
      <c r="BM1367" s="458"/>
      <c r="BN1367" s="458"/>
      <c r="BO1367" s="866">
        <f>VLOOKUP(BD1367,$BD$4:$BN$12824,3,0)*BE1367</f>
        <v>1172890.9310884888</v>
      </c>
      <c r="BP1367" s="866"/>
      <c r="BQ1367" s="866"/>
      <c r="BR1367" s="866">
        <f>VLOOKUP(BD1367,$BD$4:$BN$12824,6,0)*BE1367</f>
        <v>104951.45214478379</v>
      </c>
      <c r="BS1367" s="866">
        <f>VLOOKUP(BD1367,$BD$4:$BN$12824,7,0)*BE1367</f>
        <v>0</v>
      </c>
      <c r="BT1367" s="866"/>
      <c r="BU1367" s="866">
        <f>VLOOKUP(BD1367,$BD$4:$BN$12824,9,0)*BE1367</f>
        <v>1010.18010963195</v>
      </c>
      <c r="BV1367" s="867"/>
      <c r="BW1367" s="867">
        <f>VLOOKUP(BD1367,$BD$4:$BN$12824,11,0)*BE1367</f>
        <v>306271.45653876278</v>
      </c>
      <c r="BX1367" s="1146">
        <f t="shared" si="264"/>
        <v>1585124.0198816671</v>
      </c>
      <c r="BY1367" s="867">
        <f t="shared" si="267"/>
        <v>40412289.897881664</v>
      </c>
      <c r="BZ1367" s="867">
        <f t="shared" si="265"/>
        <v>40412289.897881664</v>
      </c>
      <c r="CA1367" s="867">
        <f>_xlfn.MAXIFS($BY$4:$BY$12824,$S$4:$S$12824,$S1367)</f>
        <v>40412289.897881664</v>
      </c>
      <c r="CB1367" s="1032"/>
      <c r="CF1367" s="946">
        <f t="shared" si="266"/>
        <v>38827165.877999999</v>
      </c>
    </row>
    <row r="1368" spans="2:84">
      <c r="B1368" s="839" t="s">
        <v>98</v>
      </c>
      <c r="C1368" s="839" t="s">
        <v>4583</v>
      </c>
      <c r="D1368" s="839" t="s">
        <v>4584</v>
      </c>
      <c r="E1368" s="839" t="s">
        <v>4584</v>
      </c>
      <c r="F1368" s="841">
        <v>45731</v>
      </c>
      <c r="G1368" s="868" t="s">
        <v>4585</v>
      </c>
      <c r="H1368" s="842" t="s">
        <v>102</v>
      </c>
      <c r="I1368" s="883" t="s">
        <v>4586</v>
      </c>
      <c r="J1368" s="841">
        <v>45730</v>
      </c>
      <c r="K1368" s="841">
        <v>45866</v>
      </c>
      <c r="L1368" s="843" t="s">
        <v>4587</v>
      </c>
      <c r="M1368" s="844" t="s">
        <v>107</v>
      </c>
      <c r="N1368" s="841"/>
      <c r="O1368" s="884" t="s">
        <v>3459</v>
      </c>
      <c r="P1368" s="842" t="s">
        <v>4588</v>
      </c>
      <c r="Q1368" s="843"/>
      <c r="R1368" s="845" t="s">
        <v>4633</v>
      </c>
      <c r="S1368" s="1128" t="s">
        <v>4633</v>
      </c>
      <c r="T1368" s="885" t="s">
        <v>4634</v>
      </c>
      <c r="U1368" s="886">
        <v>1</v>
      </c>
      <c r="V1368" s="842" t="s">
        <v>3</v>
      </c>
      <c r="W1368" s="846"/>
      <c r="X1368" s="847"/>
      <c r="Y1368" s="853"/>
      <c r="Z1368" s="849">
        <v>165.75</v>
      </c>
      <c r="AA1368" s="849"/>
      <c r="AB1368" s="849">
        <f t="shared" si="260"/>
        <v>165.75</v>
      </c>
      <c r="AC1368" s="850">
        <f t="shared" si="261"/>
        <v>165.75</v>
      </c>
      <c r="AD1368" s="851">
        <f t="shared" si="258"/>
        <v>32000</v>
      </c>
      <c r="AE1368" s="852">
        <v>29508.41</v>
      </c>
      <c r="AF1368" s="853">
        <v>0</v>
      </c>
      <c r="AG1368" s="854">
        <f t="shared" si="262"/>
        <v>0</v>
      </c>
      <c r="AH1368" s="853">
        <v>0.08</v>
      </c>
      <c r="AI1368" s="855">
        <f t="shared" si="263"/>
        <v>391281.51659999997</v>
      </c>
      <c r="AJ1368" s="845" t="s">
        <v>4591</v>
      </c>
      <c r="AK1368" s="857" t="s">
        <v>4592</v>
      </c>
      <c r="AL1368" s="843" t="s">
        <v>4593</v>
      </c>
      <c r="AM1368" s="843"/>
      <c r="AN1368" s="844"/>
      <c r="AO1368" s="844" t="s">
        <v>116</v>
      </c>
      <c r="AP1368" s="841"/>
      <c r="AQ1368" s="841">
        <v>45849</v>
      </c>
      <c r="AR1368" s="841"/>
      <c r="AS1368" s="843" t="s">
        <v>4594</v>
      </c>
      <c r="AT1368" s="842" t="s">
        <v>4466</v>
      </c>
      <c r="AU1368" s="842" t="s">
        <v>4595</v>
      </c>
      <c r="AV1368" s="845" t="s">
        <v>4596</v>
      </c>
      <c r="AW1368" s="861">
        <v>45874</v>
      </c>
      <c r="AX1368" s="862">
        <v>45878</v>
      </c>
      <c r="AY1368" s="843" t="s">
        <v>4635</v>
      </c>
      <c r="AZ1368" s="842">
        <v>85044030</v>
      </c>
      <c r="BA1368" s="842" t="s">
        <v>120</v>
      </c>
      <c r="BB1368" s="863" t="s">
        <v>121</v>
      </c>
      <c r="BC1368" s="864">
        <v>45878</v>
      </c>
      <c r="BD1368" s="860" t="s">
        <v>4598</v>
      </c>
      <c r="BE1368" s="865" cm="1">
        <f t="array" ref="BE1368">IF(BD1368="","",AC1368/SUMPRODUCT(--(BD1368=$BD$4:$BD$12824),$AC$4:$AC$12824))</f>
        <v>6.3625685199686774E-3</v>
      </c>
      <c r="BF1368" s="458"/>
      <c r="BG1368" s="458"/>
      <c r="BH1368" s="458"/>
      <c r="BI1368" s="458"/>
      <c r="BJ1368" s="458"/>
      <c r="BK1368" s="458"/>
      <c r="BL1368" s="458"/>
      <c r="BM1368" s="458"/>
      <c r="BN1368" s="458"/>
      <c r="BO1368" s="866">
        <f>VLOOKUP(BD1368,$BD$4:$BN$12824,3,0)*BE1368</f>
        <v>147747.88860610808</v>
      </c>
      <c r="BP1368" s="866"/>
      <c r="BQ1368" s="866"/>
      <c r="BR1368" s="866">
        <f>VLOOKUP(BD1368,$BD$4:$BN$12824,6,0)*BE1368</f>
        <v>13220.628661649122</v>
      </c>
      <c r="BS1368" s="866">
        <f>VLOOKUP(BD1368,$BD$4:$BN$12824,7,0)*BE1368</f>
        <v>0</v>
      </c>
      <c r="BT1368" s="866"/>
      <c r="BU1368" s="866">
        <f>VLOOKUP(BD1368,$BD$4:$BN$12824,9,0)*BE1368</f>
        <v>127.25137039937354</v>
      </c>
      <c r="BV1368" s="867"/>
      <c r="BW1368" s="867">
        <f>VLOOKUP(BD1368,$BD$4:$BN$12824,11,0)*BE1368</f>
        <v>38580.706734534069</v>
      </c>
      <c r="BX1368" s="1146">
        <f t="shared" si="264"/>
        <v>199676.47537269065</v>
      </c>
      <c r="BY1368" s="867">
        <f t="shared" si="267"/>
        <v>5090695.4328726903</v>
      </c>
      <c r="BZ1368" s="867">
        <f t="shared" si="265"/>
        <v>5090695.4328726903</v>
      </c>
      <c r="CA1368" s="867">
        <f>_xlfn.MAXIFS($BY$4:$BY$12824,$S$4:$S$12824,$S1368)</f>
        <v>5090695.4328726903</v>
      </c>
      <c r="CB1368" s="1032"/>
      <c r="CF1368" s="946">
        <f t="shared" si="266"/>
        <v>4891018.9574999996</v>
      </c>
    </row>
    <row r="1369" spans="2:84">
      <c r="B1369" s="839" t="s">
        <v>98</v>
      </c>
      <c r="C1369" s="839" t="s">
        <v>4583</v>
      </c>
      <c r="D1369" s="839" t="s">
        <v>4584</v>
      </c>
      <c r="E1369" s="839" t="s">
        <v>4584</v>
      </c>
      <c r="F1369" s="841">
        <v>45731</v>
      </c>
      <c r="G1369" s="868" t="s">
        <v>4585</v>
      </c>
      <c r="H1369" s="842" t="s">
        <v>102</v>
      </c>
      <c r="I1369" s="883" t="s">
        <v>4586</v>
      </c>
      <c r="J1369" s="841">
        <v>45730</v>
      </c>
      <c r="K1369" s="841">
        <v>45866</v>
      </c>
      <c r="L1369" s="843" t="s">
        <v>4587</v>
      </c>
      <c r="M1369" s="844" t="s">
        <v>107</v>
      </c>
      <c r="N1369" s="841"/>
      <c r="O1369" s="884" t="s">
        <v>3459</v>
      </c>
      <c r="P1369" s="842" t="s">
        <v>4588</v>
      </c>
      <c r="Q1369" s="843"/>
      <c r="R1369" s="845" t="s">
        <v>4636</v>
      </c>
      <c r="S1369" s="1128" t="s">
        <v>4636</v>
      </c>
      <c r="T1369" s="885" t="s">
        <v>4637</v>
      </c>
      <c r="U1369" s="886">
        <v>1</v>
      </c>
      <c r="V1369" s="842" t="s">
        <v>3</v>
      </c>
      <c r="W1369" s="846"/>
      <c r="X1369" s="847"/>
      <c r="Y1369" s="853"/>
      <c r="Z1369" s="849">
        <v>1301.3499999999999</v>
      </c>
      <c r="AA1369" s="849"/>
      <c r="AB1369" s="849">
        <f t="shared" si="260"/>
        <v>1301.3499999999999</v>
      </c>
      <c r="AC1369" s="850">
        <f t="shared" si="261"/>
        <v>1301.3499999999999</v>
      </c>
      <c r="AD1369" s="851">
        <f t="shared" si="258"/>
        <v>32000</v>
      </c>
      <c r="AE1369" s="852">
        <v>29508.41</v>
      </c>
      <c r="AF1369" s="853">
        <v>0</v>
      </c>
      <c r="AG1369" s="854">
        <f t="shared" si="262"/>
        <v>0</v>
      </c>
      <c r="AH1369" s="853">
        <v>0.08</v>
      </c>
      <c r="AI1369" s="855">
        <f t="shared" si="263"/>
        <v>3072061.5482799998</v>
      </c>
      <c r="AJ1369" s="845" t="s">
        <v>4591</v>
      </c>
      <c r="AK1369" s="857" t="s">
        <v>4592</v>
      </c>
      <c r="AL1369" s="843" t="s">
        <v>4593</v>
      </c>
      <c r="AM1369" s="843"/>
      <c r="AN1369" s="844"/>
      <c r="AO1369" s="844" t="s">
        <v>116</v>
      </c>
      <c r="AP1369" s="841"/>
      <c r="AQ1369" s="841">
        <v>45849</v>
      </c>
      <c r="AR1369" s="841"/>
      <c r="AS1369" s="843" t="s">
        <v>4594</v>
      </c>
      <c r="AT1369" s="842" t="s">
        <v>4466</v>
      </c>
      <c r="AU1369" s="842" t="s">
        <v>4595</v>
      </c>
      <c r="AV1369" s="845" t="s">
        <v>4596</v>
      </c>
      <c r="AW1369" s="861">
        <v>45874</v>
      </c>
      <c r="AX1369" s="862">
        <v>45878</v>
      </c>
      <c r="AY1369" s="843" t="s">
        <v>4638</v>
      </c>
      <c r="AZ1369" s="842">
        <v>94059950</v>
      </c>
      <c r="BA1369" s="842" t="s">
        <v>120</v>
      </c>
      <c r="BB1369" s="863" t="s">
        <v>121</v>
      </c>
      <c r="BC1369" s="864">
        <v>45878</v>
      </c>
      <c r="BD1369" s="860" t="s">
        <v>4598</v>
      </c>
      <c r="BE1369" s="865" cm="1">
        <f t="array" ref="BE1369">IF(BD1369="","",AC1369/SUMPRODUCT(--(BD1369=$BD$4:$BD$12824),$AC$4:$AC$12824))</f>
        <v>4.9954320020882279E-2</v>
      </c>
      <c r="BF1369" s="458"/>
      <c r="BG1369" s="458"/>
      <c r="BH1369" s="458"/>
      <c r="BI1369" s="458"/>
      <c r="BJ1369" s="458"/>
      <c r="BK1369" s="458"/>
      <c r="BL1369" s="458"/>
      <c r="BM1369" s="458"/>
      <c r="BN1369" s="458"/>
      <c r="BO1369" s="866">
        <f>VLOOKUP(BD1369,$BD$4:$BN$12824,3,0)*BE1369</f>
        <v>1160010.3459279563</v>
      </c>
      <c r="BP1369" s="866"/>
      <c r="BQ1369" s="866"/>
      <c r="BR1369" s="866">
        <f>VLOOKUP(BD1369,$BD$4:$BN$12824,6,0)*BE1369</f>
        <v>103798.88451787079</v>
      </c>
      <c r="BS1369" s="866">
        <f>VLOOKUP(BD1369,$BD$4:$BN$12824,7,0)*BE1369</f>
        <v>0</v>
      </c>
      <c r="BT1369" s="866"/>
      <c r="BU1369" s="866">
        <f>VLOOKUP(BD1369,$BD$4:$BN$12824,9,0)*BE1369</f>
        <v>999.08640041764556</v>
      </c>
      <c r="BV1369" s="867"/>
      <c r="BW1369" s="867">
        <f>VLOOKUP(BD1369,$BD$4:$BN$12824,11,0)*BE1369</f>
        <v>302908.01031062385</v>
      </c>
      <c r="BX1369" s="1146">
        <f t="shared" si="264"/>
        <v>1567716.3271568685</v>
      </c>
      <c r="BY1369" s="867">
        <f t="shared" si="267"/>
        <v>39968485.680656865</v>
      </c>
      <c r="BZ1369" s="867">
        <f t="shared" si="265"/>
        <v>39968485.680656865</v>
      </c>
      <c r="CA1369" s="867">
        <f>_xlfn.MAXIFS($BY$4:$BY$12824,$S$4:$S$12824,$S1369)</f>
        <v>39968485.680656865</v>
      </c>
      <c r="CB1369" s="1032"/>
      <c r="CF1369" s="946">
        <f t="shared" si="266"/>
        <v>38400769.353499994</v>
      </c>
    </row>
    <row r="1370" spans="2:84">
      <c r="B1370" s="839" t="s">
        <v>98</v>
      </c>
      <c r="C1370" s="839" t="s">
        <v>273</v>
      </c>
      <c r="D1370" s="839" t="s">
        <v>4041</v>
      </c>
      <c r="E1370" s="839" t="s">
        <v>4041</v>
      </c>
      <c r="F1370" s="841">
        <v>45731</v>
      </c>
      <c r="G1370" s="868" t="s">
        <v>273</v>
      </c>
      <c r="H1370" s="842" t="s">
        <v>134</v>
      </c>
      <c r="I1370" s="883" t="s">
        <v>4042</v>
      </c>
      <c r="J1370" s="841"/>
      <c r="K1370" s="841"/>
      <c r="L1370" s="843" t="s">
        <v>106</v>
      </c>
      <c r="M1370" s="844" t="s">
        <v>275</v>
      </c>
      <c r="N1370" s="841"/>
      <c r="O1370" s="884" t="s">
        <v>150</v>
      </c>
      <c r="P1370" s="842" t="s">
        <v>4018</v>
      </c>
      <c r="Q1370" s="843"/>
      <c r="R1370" s="845" t="s">
        <v>4639</v>
      </c>
      <c r="S1370" s="1127" t="s">
        <v>4639</v>
      </c>
      <c r="T1370" s="885" t="s">
        <v>4640</v>
      </c>
      <c r="U1370" s="886">
        <v>1</v>
      </c>
      <c r="V1370" s="842" t="s">
        <v>3</v>
      </c>
      <c r="W1370" s="846">
        <v>15164.64</v>
      </c>
      <c r="X1370" s="847">
        <f t="shared" ref="X1370:X1401" si="268">W1370*U1370</f>
        <v>15164.64</v>
      </c>
      <c r="Y1370" s="848">
        <v>0.56999999999999995</v>
      </c>
      <c r="Z1370" s="849">
        <v>6520.81</v>
      </c>
      <c r="AA1370" s="849"/>
      <c r="AB1370" s="849">
        <f t="shared" si="260"/>
        <v>6520.81</v>
      </c>
      <c r="AC1370" s="850">
        <f t="shared" si="261"/>
        <v>6520.81</v>
      </c>
      <c r="AD1370" s="851">
        <f t="shared" si="258"/>
        <v>32000</v>
      </c>
      <c r="AE1370" s="852">
        <v>30078.06</v>
      </c>
      <c r="AF1370" s="853">
        <v>0.1</v>
      </c>
      <c r="AG1370" s="854">
        <f t="shared" si="262"/>
        <v>20406884.658021882</v>
      </c>
      <c r="AH1370" s="853">
        <v>0.1</v>
      </c>
      <c r="AI1370" s="855">
        <f t="shared" si="263"/>
        <v>23063523.808662191</v>
      </c>
      <c r="AJ1370" s="845" t="s">
        <v>4641</v>
      </c>
      <c r="AK1370" s="857">
        <v>45820</v>
      </c>
      <c r="AL1370" s="843" t="s">
        <v>4642</v>
      </c>
      <c r="AM1370" s="843" t="s">
        <v>4643</v>
      </c>
      <c r="AN1370" s="844" t="s">
        <v>3951</v>
      </c>
      <c r="AO1370" s="844" t="s">
        <v>141</v>
      </c>
      <c r="AP1370" s="841"/>
      <c r="AQ1370" s="841">
        <v>45832</v>
      </c>
      <c r="AR1370" s="841">
        <v>45876</v>
      </c>
      <c r="AS1370" s="842" t="s">
        <v>1284</v>
      </c>
      <c r="AT1370" s="842" t="s">
        <v>1743</v>
      </c>
      <c r="AU1370" s="842" t="s">
        <v>1210</v>
      </c>
      <c r="AV1370" s="845" t="s">
        <v>4644</v>
      </c>
      <c r="AW1370" s="861">
        <v>45883</v>
      </c>
      <c r="AX1370" s="862">
        <v>45884</v>
      </c>
      <c r="AY1370" s="843"/>
      <c r="AZ1370" s="842"/>
      <c r="BA1370" s="842" t="s">
        <v>120</v>
      </c>
      <c r="BB1370" s="863" t="s">
        <v>121</v>
      </c>
      <c r="BC1370" s="864">
        <v>45885</v>
      </c>
      <c r="BD1370" s="860" t="s">
        <v>4645</v>
      </c>
      <c r="BE1370" s="865" cm="1">
        <f t="array" ref="BE1370">IF(BD1370="","",AC1370/SUMPRODUCT(--(BD1370=$BD$4:$BD$12824),$AC$4:$AC$12824))</f>
        <v>0.5630017874813108</v>
      </c>
      <c r="BF1370" s="458" cm="1">
        <f t="array" ref="BF1370">SUM(_xlfn._xlws.FILTER( INDEX(Cost!$B$3:$BK$77,MATCH(LDL!$BD1370, Cost!$F$3:$F$77, 0),0),Cost!$B$3:$BK$3 = BF$3))</f>
        <v>13757654</v>
      </c>
      <c r="BG1370" s="458"/>
      <c r="BH1370" s="458"/>
      <c r="BI1370" s="458" cm="1">
        <f t="array" ref="BI1370">SUM(_xlfn._xlws.FILTER( INDEX(Cost!$B$3:$BK$77,MATCH(LDL!$BD1370, Cost!$F$3:$F$77, 0),0),Cost!$B$3:$BK$3 = BI$3))/1.08</f>
        <v>4118286.111111111</v>
      </c>
      <c r="BJ1370" s="458" cm="1">
        <f t="array" ref="BJ1370">SUM(_xlfn._xlws.FILTER( INDEX(Cost!$B$3:$BK$77,MATCH(LDL!$BD1370, Cost!$F$3:$F$77, 0),0),Cost!$B$3:$BK$3 = BJ$3))</f>
        <v>337385</v>
      </c>
      <c r="BK1370" s="458"/>
      <c r="BL1370" s="458" cm="1">
        <f t="array" ref="BL1370">SUM(_xlfn._xlws.FILTER( INDEX(Cost!$B$3:$BK$77,MATCH(LDL!$BD1370, Cost!$F$3:$F$77, 0),0),Cost!$B$3:$BK$3 = BL$3))</f>
        <v>32195</v>
      </c>
      <c r="BM1370" s="458"/>
      <c r="BN1370" s="458" cm="1">
        <f t="array" ref="BN1370">SUM(_xlfn._xlws.FILTER( INDEX(Cost!$B$3:$BK$77,MATCH(LDL!$BD1370, Cost!$F$3:$F$77, 0),0),Cost!$B$3:$BK$3 = BN$3))/1.08</f>
        <v>0</v>
      </c>
      <c r="BO1370" s="866">
        <f>VLOOKUP(BD1370,$BD$4:$BN$12824,3,0)*BE1370</f>
        <v>7745583.7935494054</v>
      </c>
      <c r="BP1370" s="866"/>
      <c r="BQ1370" s="866"/>
      <c r="BR1370" s="866">
        <f>VLOOKUP(BD1370,$BD$4:$BN$12824,6,0)*BE1370</f>
        <v>2318602.4419150115</v>
      </c>
      <c r="BS1370" s="866">
        <f>VLOOKUP(BD1370,$BD$4:$BN$12824,7,0)*BE1370</f>
        <v>189948.35806938205</v>
      </c>
      <c r="BT1370" s="866"/>
      <c r="BU1370" s="866">
        <f>VLOOKUP(BD1370,$BD$4:$BN$12824,9,0)*BE1370</f>
        <v>18125.842547960801</v>
      </c>
      <c r="BV1370" s="867"/>
      <c r="BW1370" s="867">
        <f>VLOOKUP(BD1370,$BD$4:$BN$12824,11,0)*BE1370</f>
        <v>0</v>
      </c>
      <c r="BX1370" s="1146">
        <f t="shared" si="264"/>
        <v>10272260.43608176</v>
      </c>
      <c r="BY1370" s="867">
        <f t="shared" si="267"/>
        <v>226812459.52270365</v>
      </c>
      <c r="BZ1370" s="867">
        <f t="shared" si="265"/>
        <v>226812459.52270365</v>
      </c>
      <c r="CA1370" s="867">
        <f>_xlfn.MAXIFS($BY$4:$BY$12824,$S$4:$S$12824,$S1370)</f>
        <v>226812459.52270365</v>
      </c>
      <c r="CB1370" s="1032"/>
      <c r="CF1370" s="946">
        <f t="shared" si="266"/>
        <v>196133314.42860001</v>
      </c>
    </row>
    <row r="1371" spans="2:84">
      <c r="B1371" s="839" t="s">
        <v>98</v>
      </c>
      <c r="C1371" s="839" t="s">
        <v>273</v>
      </c>
      <c r="D1371" s="839" t="s">
        <v>4041</v>
      </c>
      <c r="E1371" s="839" t="s">
        <v>4041</v>
      </c>
      <c r="F1371" s="841">
        <v>45731</v>
      </c>
      <c r="G1371" s="868" t="s">
        <v>273</v>
      </c>
      <c r="H1371" s="842" t="s">
        <v>134</v>
      </c>
      <c r="I1371" s="883" t="s">
        <v>4042</v>
      </c>
      <c r="J1371" s="841"/>
      <c r="K1371" s="841"/>
      <c r="L1371" s="843" t="s">
        <v>106</v>
      </c>
      <c r="M1371" s="844" t="s">
        <v>275</v>
      </c>
      <c r="N1371" s="841"/>
      <c r="O1371" s="884" t="s">
        <v>150</v>
      </c>
      <c r="P1371" s="842" t="s">
        <v>4018</v>
      </c>
      <c r="Q1371" s="843"/>
      <c r="R1371" s="845" t="s">
        <v>4646</v>
      </c>
      <c r="S1371" s="1127" t="s">
        <v>4646</v>
      </c>
      <c r="T1371" s="885" t="s">
        <v>4647</v>
      </c>
      <c r="U1371" s="886">
        <v>1</v>
      </c>
      <c r="V1371" s="842" t="s">
        <v>3</v>
      </c>
      <c r="W1371" s="846">
        <v>4170.84</v>
      </c>
      <c r="X1371" s="847">
        <f t="shared" si="268"/>
        <v>4170.84</v>
      </c>
      <c r="Y1371" s="848">
        <v>0.56999999999999995</v>
      </c>
      <c r="Z1371" s="849">
        <v>1793.46</v>
      </c>
      <c r="AA1371" s="849"/>
      <c r="AB1371" s="849">
        <f t="shared" si="260"/>
        <v>1793.46</v>
      </c>
      <c r="AC1371" s="850">
        <f t="shared" si="261"/>
        <v>1793.46</v>
      </c>
      <c r="AD1371" s="851">
        <f t="shared" si="258"/>
        <v>32000</v>
      </c>
      <c r="AE1371" s="852">
        <v>30078.06</v>
      </c>
      <c r="AF1371" s="853">
        <v>0.1</v>
      </c>
      <c r="AG1371" s="854">
        <f t="shared" si="262"/>
        <v>5612635.7551862299</v>
      </c>
      <c r="AH1371" s="853">
        <v>0.1</v>
      </c>
      <c r="AI1371" s="855">
        <f t="shared" si="263"/>
        <v>5955643.3242786238</v>
      </c>
      <c r="AJ1371" s="845" t="s">
        <v>4641</v>
      </c>
      <c r="AK1371" s="857">
        <v>45820</v>
      </c>
      <c r="AL1371" s="843" t="s">
        <v>4642</v>
      </c>
      <c r="AM1371" s="843" t="s">
        <v>4643</v>
      </c>
      <c r="AN1371" s="844" t="s">
        <v>3951</v>
      </c>
      <c r="AO1371" s="844" t="s">
        <v>141</v>
      </c>
      <c r="AP1371" s="841"/>
      <c r="AQ1371" s="841">
        <v>45832</v>
      </c>
      <c r="AR1371" s="841">
        <v>45876</v>
      </c>
      <c r="AS1371" s="842" t="s">
        <v>1284</v>
      </c>
      <c r="AT1371" s="842" t="s">
        <v>1743</v>
      </c>
      <c r="AU1371" s="842" t="s">
        <v>1210</v>
      </c>
      <c r="AV1371" s="845" t="s">
        <v>4644</v>
      </c>
      <c r="AW1371" s="861">
        <v>45883</v>
      </c>
      <c r="AX1371" s="862">
        <v>45884</v>
      </c>
      <c r="AY1371" s="843"/>
      <c r="AZ1371" s="842"/>
      <c r="BA1371" s="842" t="s">
        <v>120</v>
      </c>
      <c r="BB1371" s="863" t="s">
        <v>121</v>
      </c>
      <c r="BC1371" s="864">
        <v>45885</v>
      </c>
      <c r="BD1371" s="860" t="s">
        <v>4645</v>
      </c>
      <c r="BE1371" s="865" cm="1">
        <f t="array" ref="BE1371">IF(BD1371="","",AC1371/SUMPRODUCT(--(BD1371=$BD$4:$BD$12824),$AC$4:$AC$12824))</f>
        <v>0.15484597554233778</v>
      </c>
      <c r="BF1371" s="458"/>
      <c r="BG1371" s="458"/>
      <c r="BH1371" s="458"/>
      <c r="BI1371" s="458"/>
      <c r="BJ1371" s="458"/>
      <c r="BK1371" s="458"/>
      <c r="BL1371" s="458"/>
      <c r="BM1371" s="458"/>
      <c r="BN1371" s="458"/>
      <c r="BO1371" s="866">
        <f>VLOOKUP(BD1371,$BD$4:$BN$12824,3,0)*BE1371</f>
        <v>2130317.3548039454</v>
      </c>
      <c r="BP1371" s="866"/>
      <c r="BQ1371" s="866"/>
      <c r="BR1371" s="866">
        <f>VLOOKUP(BD1371,$BD$4:$BN$12824,6,0)*BE1371</f>
        <v>637700.03043746052</v>
      </c>
      <c r="BS1371" s="866">
        <f>VLOOKUP(BD1371,$BD$4:$BN$12824,7,0)*BE1371</f>
        <v>52242.70945835163</v>
      </c>
      <c r="BT1371" s="866"/>
      <c r="BU1371" s="866">
        <f>VLOOKUP(BD1371,$BD$4:$BN$12824,9,0)*BE1371</f>
        <v>4985.2661825855648</v>
      </c>
      <c r="BV1371" s="867"/>
      <c r="BW1371" s="867">
        <f>VLOOKUP(BD1371,$BD$4:$BN$12824,11,0)*BE1371</f>
        <v>0</v>
      </c>
      <c r="BX1371" s="1146">
        <f t="shared" si="264"/>
        <v>2825245.3608823433</v>
      </c>
      <c r="BY1371" s="867">
        <f t="shared" si="267"/>
        <v>62381678.603668578</v>
      </c>
      <c r="BZ1371" s="867">
        <f t="shared" si="265"/>
        <v>62381678.603668578</v>
      </c>
      <c r="CA1371" s="867">
        <f>_xlfn.MAXIFS($BY$4:$BY$12824,$S$4:$S$12824,$S1371)</f>
        <v>62381678.603668578</v>
      </c>
      <c r="CB1371" s="1032"/>
      <c r="CF1371" s="946">
        <f t="shared" si="266"/>
        <v>53943797.487600006</v>
      </c>
    </row>
    <row r="1372" spans="2:84">
      <c r="B1372" s="839" t="s">
        <v>98</v>
      </c>
      <c r="C1372" s="839" t="s">
        <v>273</v>
      </c>
      <c r="D1372" s="839" t="s">
        <v>4041</v>
      </c>
      <c r="E1372" s="839" t="s">
        <v>4041</v>
      </c>
      <c r="F1372" s="841">
        <v>45731</v>
      </c>
      <c r="G1372" s="868" t="s">
        <v>273</v>
      </c>
      <c r="H1372" s="842" t="s">
        <v>134</v>
      </c>
      <c r="I1372" s="883" t="s">
        <v>4042</v>
      </c>
      <c r="J1372" s="841"/>
      <c r="K1372" s="841"/>
      <c r="L1372" s="843" t="s">
        <v>106</v>
      </c>
      <c r="M1372" s="844" t="s">
        <v>275</v>
      </c>
      <c r="N1372" s="841"/>
      <c r="O1372" s="884" t="s">
        <v>150</v>
      </c>
      <c r="P1372" s="842" t="s">
        <v>4018</v>
      </c>
      <c r="Q1372" s="843"/>
      <c r="R1372" s="845" t="s">
        <v>4648</v>
      </c>
      <c r="S1372" s="1127" t="s">
        <v>4648</v>
      </c>
      <c r="T1372" s="885" t="s">
        <v>4649</v>
      </c>
      <c r="U1372" s="886">
        <v>2</v>
      </c>
      <c r="V1372" s="842" t="s">
        <v>3</v>
      </c>
      <c r="W1372" s="846">
        <v>499.79</v>
      </c>
      <c r="X1372" s="847">
        <f t="shared" si="268"/>
        <v>999.58</v>
      </c>
      <c r="Y1372" s="848">
        <v>0</v>
      </c>
      <c r="Z1372" s="849">
        <v>499.79</v>
      </c>
      <c r="AA1372" s="849"/>
      <c r="AB1372" s="849">
        <f t="shared" si="260"/>
        <v>999.58</v>
      </c>
      <c r="AC1372" s="850">
        <f t="shared" si="261"/>
        <v>999.58</v>
      </c>
      <c r="AD1372" s="851">
        <f t="shared" si="258"/>
        <v>32000</v>
      </c>
      <c r="AE1372" s="852">
        <v>30078.06</v>
      </c>
      <c r="AF1372" s="853">
        <v>0.1</v>
      </c>
      <c r="AG1372" s="854">
        <f t="shared" si="262"/>
        <v>3128187.1065811627</v>
      </c>
      <c r="AH1372" s="853">
        <v>0.1</v>
      </c>
      <c r="AI1372" s="855">
        <f t="shared" si="263"/>
        <v>3319361.432138117</v>
      </c>
      <c r="AJ1372" s="845" t="s">
        <v>4641</v>
      </c>
      <c r="AK1372" s="857">
        <v>45820</v>
      </c>
      <c r="AL1372" s="843" t="s">
        <v>4642</v>
      </c>
      <c r="AM1372" s="843" t="s">
        <v>4643</v>
      </c>
      <c r="AN1372" s="844" t="s">
        <v>3951</v>
      </c>
      <c r="AO1372" s="844" t="s">
        <v>141</v>
      </c>
      <c r="AP1372" s="841"/>
      <c r="AQ1372" s="841">
        <v>45832</v>
      </c>
      <c r="AR1372" s="841">
        <v>45876</v>
      </c>
      <c r="AS1372" s="842" t="s">
        <v>1284</v>
      </c>
      <c r="AT1372" s="842" t="s">
        <v>1743</v>
      </c>
      <c r="AU1372" s="842" t="s">
        <v>1210</v>
      </c>
      <c r="AV1372" s="845" t="s">
        <v>4644</v>
      </c>
      <c r="AW1372" s="861">
        <v>45883</v>
      </c>
      <c r="AX1372" s="862">
        <v>45884</v>
      </c>
      <c r="AY1372" s="843"/>
      <c r="AZ1372" s="842"/>
      <c r="BA1372" s="842" t="s">
        <v>120</v>
      </c>
      <c r="BB1372" s="863" t="s">
        <v>121</v>
      </c>
      <c r="BC1372" s="864">
        <v>45885</v>
      </c>
      <c r="BD1372" s="860" t="s">
        <v>4645</v>
      </c>
      <c r="BE1372" s="865" cm="1">
        <f t="array" ref="BE1372">IF(BD1372="","",AC1372/SUMPRODUCT(--(BD1372=$BD$4:$BD$12824),$AC$4:$AC$12824))</f>
        <v>8.6302978729723548E-2</v>
      </c>
      <c r="BF1372" s="458"/>
      <c r="BG1372" s="458"/>
      <c r="BH1372" s="458"/>
      <c r="BI1372" s="458"/>
      <c r="BJ1372" s="458"/>
      <c r="BK1372" s="458"/>
      <c r="BL1372" s="458"/>
      <c r="BM1372" s="458"/>
      <c r="BN1372" s="458"/>
      <c r="BO1372" s="866">
        <f>VLOOKUP(BD1372,$BD$4:$BN$12824,3,0)*BE1372</f>
        <v>1187326.520532896</v>
      </c>
      <c r="BP1372" s="866"/>
      <c r="BQ1372" s="866"/>
      <c r="BR1372" s="866">
        <f>VLOOKUP(BD1372,$BD$4:$BN$12824,6,0)*BE1372</f>
        <v>355420.35865013814</v>
      </c>
      <c r="BS1372" s="866">
        <f>VLOOKUP(BD1372,$BD$4:$BN$12824,7,0)*BE1372</f>
        <v>29117.330478727778</v>
      </c>
      <c r="BT1372" s="866"/>
      <c r="BU1372" s="866">
        <f>VLOOKUP(BD1372,$BD$4:$BN$12824,9,0)*BE1372</f>
        <v>2778.5244002034497</v>
      </c>
      <c r="BV1372" s="867"/>
      <c r="BW1372" s="867">
        <f>VLOOKUP(BD1372,$BD$4:$BN$12824,11,0)*BE1372</f>
        <v>0</v>
      </c>
      <c r="BX1372" s="1146">
        <f t="shared" si="264"/>
        <v>1574642.7340619655</v>
      </c>
      <c r="BY1372" s="867">
        <f t="shared" si="267"/>
        <v>17384128.527721565</v>
      </c>
      <c r="BZ1372" s="867">
        <f t="shared" si="265"/>
        <v>34768257.05544313</v>
      </c>
      <c r="CA1372" s="867">
        <f>_xlfn.MAXIFS($BY$4:$BY$12824,$S$4:$S$12824,$S1372)</f>
        <v>17384128.527721565</v>
      </c>
      <c r="CB1372" s="1032"/>
      <c r="CF1372" s="946">
        <f t="shared" si="266"/>
        <v>30065427.214800004</v>
      </c>
    </row>
    <row r="1373" spans="2:84">
      <c r="B1373" s="839" t="s">
        <v>98</v>
      </c>
      <c r="C1373" s="839" t="s">
        <v>273</v>
      </c>
      <c r="D1373" s="839" t="s">
        <v>4041</v>
      </c>
      <c r="E1373" s="839" t="s">
        <v>4041</v>
      </c>
      <c r="F1373" s="841">
        <v>45731</v>
      </c>
      <c r="G1373" s="868" t="s">
        <v>273</v>
      </c>
      <c r="H1373" s="842" t="s">
        <v>134</v>
      </c>
      <c r="I1373" s="883" t="s">
        <v>4042</v>
      </c>
      <c r="J1373" s="841"/>
      <c r="K1373" s="841"/>
      <c r="L1373" s="843" t="s">
        <v>106</v>
      </c>
      <c r="M1373" s="844" t="s">
        <v>275</v>
      </c>
      <c r="N1373" s="841"/>
      <c r="O1373" s="884" t="s">
        <v>150</v>
      </c>
      <c r="P1373" s="842" t="s">
        <v>4018</v>
      </c>
      <c r="Q1373" s="843"/>
      <c r="R1373" s="845" t="s">
        <v>4650</v>
      </c>
      <c r="S1373" s="1127" t="s">
        <v>4650</v>
      </c>
      <c r="T1373" s="885" t="s">
        <v>4651</v>
      </c>
      <c r="U1373" s="886">
        <v>4</v>
      </c>
      <c r="V1373" s="842" t="s">
        <v>3</v>
      </c>
      <c r="W1373" s="846">
        <v>159.93</v>
      </c>
      <c r="X1373" s="847">
        <f t="shared" si="268"/>
        <v>639.72</v>
      </c>
      <c r="Y1373" s="848">
        <v>0.5</v>
      </c>
      <c r="Z1373" s="849">
        <v>79.97</v>
      </c>
      <c r="AA1373" s="849"/>
      <c r="AB1373" s="849">
        <f t="shared" si="260"/>
        <v>319.88</v>
      </c>
      <c r="AC1373" s="850">
        <f t="shared" si="261"/>
        <v>319.88</v>
      </c>
      <c r="AD1373" s="851">
        <f t="shared" si="258"/>
        <v>32000</v>
      </c>
      <c r="AE1373" s="852">
        <v>30078.06</v>
      </c>
      <c r="AF1373" s="853">
        <v>0.1</v>
      </c>
      <c r="AG1373" s="854">
        <f t="shared" si="262"/>
        <v>1001064.9389275321</v>
      </c>
      <c r="AH1373" s="853">
        <v>0.1</v>
      </c>
      <c r="AI1373" s="855">
        <f t="shared" si="263"/>
        <v>1062243.4771727533</v>
      </c>
      <c r="AJ1373" s="845" t="s">
        <v>4641</v>
      </c>
      <c r="AK1373" s="857">
        <v>45820</v>
      </c>
      <c r="AL1373" s="843" t="s">
        <v>4642</v>
      </c>
      <c r="AM1373" s="843" t="s">
        <v>4643</v>
      </c>
      <c r="AN1373" s="844" t="s">
        <v>3951</v>
      </c>
      <c r="AO1373" s="844" t="s">
        <v>141</v>
      </c>
      <c r="AP1373" s="841"/>
      <c r="AQ1373" s="841">
        <v>45832</v>
      </c>
      <c r="AR1373" s="841">
        <v>45876</v>
      </c>
      <c r="AS1373" s="842" t="s">
        <v>1284</v>
      </c>
      <c r="AT1373" s="842" t="s">
        <v>1743</v>
      </c>
      <c r="AU1373" s="842" t="s">
        <v>1210</v>
      </c>
      <c r="AV1373" s="845" t="s">
        <v>4644</v>
      </c>
      <c r="AW1373" s="861">
        <v>45883</v>
      </c>
      <c r="AX1373" s="862">
        <v>45884</v>
      </c>
      <c r="AY1373" s="843"/>
      <c r="AZ1373" s="842"/>
      <c r="BA1373" s="842" t="s">
        <v>120</v>
      </c>
      <c r="BB1373" s="863" t="s">
        <v>121</v>
      </c>
      <c r="BC1373" s="864">
        <v>45885</v>
      </c>
      <c r="BD1373" s="860" t="s">
        <v>4645</v>
      </c>
      <c r="BE1373" s="865" cm="1">
        <f t="array" ref="BE1373">IF(BD1373="","",AC1373/SUMPRODUCT(--(BD1373=$BD$4:$BD$12824),$AC$4:$AC$12824))</f>
        <v>2.7618196478584975E-2</v>
      </c>
      <c r="BF1373" s="458"/>
      <c r="BG1373" s="458"/>
      <c r="BH1373" s="458"/>
      <c r="BI1373" s="458"/>
      <c r="BJ1373" s="458"/>
      <c r="BK1373" s="458"/>
      <c r="BL1373" s="458"/>
      <c r="BM1373" s="458"/>
      <c r="BN1373" s="458"/>
      <c r="BO1373" s="866">
        <f>VLOOKUP(BD1373,$BD$4:$BN$12824,3,0)*BE1373</f>
        <v>379961.5912563905</v>
      </c>
      <c r="BP1373" s="866"/>
      <c r="BQ1373" s="866"/>
      <c r="BR1373" s="866">
        <f>VLOOKUP(BD1373,$BD$4:$BN$12824,6,0)*BE1373</f>
        <v>113739.63497169429</v>
      </c>
      <c r="BS1373" s="866">
        <f>VLOOKUP(BD1373,$BD$4:$BN$12824,7,0)*BE1373</f>
        <v>9317.9652189273911</v>
      </c>
      <c r="BT1373" s="866"/>
      <c r="BU1373" s="866">
        <f>VLOOKUP(BD1373,$BD$4:$BN$12824,9,0)*BE1373</f>
        <v>889.16783562804324</v>
      </c>
      <c r="BV1373" s="867"/>
      <c r="BW1373" s="867">
        <f>VLOOKUP(BD1373,$BD$4:$BN$12824,11,0)*BE1373</f>
        <v>0</v>
      </c>
      <c r="BX1373" s="1146">
        <f t="shared" si="264"/>
        <v>503908.35928264016</v>
      </c>
      <c r="BY1373" s="867">
        <f t="shared" si="267"/>
        <v>2781585.7827525432</v>
      </c>
      <c r="BZ1373" s="867">
        <f t="shared" si="265"/>
        <v>11126343.131010173</v>
      </c>
      <c r="CA1373" s="867">
        <f>_xlfn.MAXIFS($BY$4:$BY$12824,$S$4:$S$12824,$S1373)</f>
        <v>2781585.7827525432</v>
      </c>
      <c r="CB1373" s="1032"/>
      <c r="CF1373" s="946">
        <f t="shared" si="266"/>
        <v>9621369.8328000009</v>
      </c>
    </row>
    <row r="1374" spans="2:84">
      <c r="B1374" s="839" t="s">
        <v>98</v>
      </c>
      <c r="C1374" s="839" t="s">
        <v>273</v>
      </c>
      <c r="D1374" s="839" t="s">
        <v>4041</v>
      </c>
      <c r="E1374" s="839" t="s">
        <v>4041</v>
      </c>
      <c r="F1374" s="841">
        <v>45731</v>
      </c>
      <c r="G1374" s="868" t="s">
        <v>273</v>
      </c>
      <c r="H1374" s="842" t="s">
        <v>134</v>
      </c>
      <c r="I1374" s="883" t="s">
        <v>4042</v>
      </c>
      <c r="J1374" s="841"/>
      <c r="K1374" s="841"/>
      <c r="L1374" s="843" t="s">
        <v>106</v>
      </c>
      <c r="M1374" s="844" t="s">
        <v>275</v>
      </c>
      <c r="N1374" s="841"/>
      <c r="O1374" s="884" t="s">
        <v>150</v>
      </c>
      <c r="P1374" s="842" t="s">
        <v>4018</v>
      </c>
      <c r="Q1374" s="843"/>
      <c r="R1374" s="845" t="s">
        <v>4652</v>
      </c>
      <c r="S1374" s="1127" t="s">
        <v>4652</v>
      </c>
      <c r="T1374" s="885" t="s">
        <v>4653</v>
      </c>
      <c r="U1374" s="886">
        <v>4</v>
      </c>
      <c r="V1374" s="842" t="s">
        <v>3</v>
      </c>
      <c r="W1374" s="846">
        <v>159.93</v>
      </c>
      <c r="X1374" s="847">
        <f t="shared" si="268"/>
        <v>639.72</v>
      </c>
      <c r="Y1374" s="848">
        <v>0.5</v>
      </c>
      <c r="Z1374" s="849">
        <v>79.97</v>
      </c>
      <c r="AA1374" s="849"/>
      <c r="AB1374" s="849">
        <f t="shared" si="260"/>
        <v>319.88</v>
      </c>
      <c r="AC1374" s="850">
        <f t="shared" si="261"/>
        <v>319.88</v>
      </c>
      <c r="AD1374" s="851">
        <f t="shared" si="258"/>
        <v>32000</v>
      </c>
      <c r="AE1374" s="852">
        <v>30078.06</v>
      </c>
      <c r="AF1374" s="853">
        <v>0.1</v>
      </c>
      <c r="AG1374" s="854">
        <f t="shared" si="262"/>
        <v>1001064.9389275321</v>
      </c>
      <c r="AH1374" s="853">
        <v>0.1</v>
      </c>
      <c r="AI1374" s="855">
        <f t="shared" si="263"/>
        <v>1062243.4771727533</v>
      </c>
      <c r="AJ1374" s="845" t="s">
        <v>4641</v>
      </c>
      <c r="AK1374" s="857">
        <v>45820</v>
      </c>
      <c r="AL1374" s="843" t="s">
        <v>4642</v>
      </c>
      <c r="AM1374" s="843" t="s">
        <v>4643</v>
      </c>
      <c r="AN1374" s="844" t="s">
        <v>3951</v>
      </c>
      <c r="AO1374" s="844" t="s">
        <v>141</v>
      </c>
      <c r="AP1374" s="841"/>
      <c r="AQ1374" s="841">
        <v>45832</v>
      </c>
      <c r="AR1374" s="841">
        <v>45876</v>
      </c>
      <c r="AS1374" s="842" t="s">
        <v>1284</v>
      </c>
      <c r="AT1374" s="842" t="s">
        <v>1743</v>
      </c>
      <c r="AU1374" s="842" t="s">
        <v>1210</v>
      </c>
      <c r="AV1374" s="845" t="s">
        <v>4644</v>
      </c>
      <c r="AW1374" s="861">
        <v>45883</v>
      </c>
      <c r="AX1374" s="862">
        <v>45884</v>
      </c>
      <c r="AY1374" s="843"/>
      <c r="AZ1374" s="842"/>
      <c r="BA1374" s="842" t="s">
        <v>120</v>
      </c>
      <c r="BB1374" s="863" t="s">
        <v>121</v>
      </c>
      <c r="BC1374" s="864">
        <v>45885</v>
      </c>
      <c r="BD1374" s="860" t="s">
        <v>4645</v>
      </c>
      <c r="BE1374" s="865" cm="1">
        <f t="array" ref="BE1374">IF(BD1374="","",AC1374/SUMPRODUCT(--(BD1374=$BD$4:$BD$12824),$AC$4:$AC$12824))</f>
        <v>2.7618196478584975E-2</v>
      </c>
      <c r="BF1374" s="458"/>
      <c r="BG1374" s="458"/>
      <c r="BH1374" s="458"/>
      <c r="BI1374" s="458"/>
      <c r="BJ1374" s="458"/>
      <c r="BK1374" s="458"/>
      <c r="BL1374" s="458"/>
      <c r="BM1374" s="458"/>
      <c r="BN1374" s="458"/>
      <c r="BO1374" s="866">
        <f>VLOOKUP(BD1374,$BD$4:$BN$12824,3,0)*BE1374</f>
        <v>379961.5912563905</v>
      </c>
      <c r="BP1374" s="866"/>
      <c r="BQ1374" s="866"/>
      <c r="BR1374" s="866">
        <f>VLOOKUP(BD1374,$BD$4:$BN$12824,6,0)*BE1374</f>
        <v>113739.63497169429</v>
      </c>
      <c r="BS1374" s="866">
        <f>VLOOKUP(BD1374,$BD$4:$BN$12824,7,0)*BE1374</f>
        <v>9317.9652189273911</v>
      </c>
      <c r="BT1374" s="866"/>
      <c r="BU1374" s="866">
        <f>VLOOKUP(BD1374,$BD$4:$BN$12824,9,0)*BE1374</f>
        <v>889.16783562804324</v>
      </c>
      <c r="BV1374" s="867"/>
      <c r="BW1374" s="867">
        <f>VLOOKUP(BD1374,$BD$4:$BN$12824,11,0)*BE1374</f>
        <v>0</v>
      </c>
      <c r="BX1374" s="1146">
        <f t="shared" si="264"/>
        <v>503908.35928264016</v>
      </c>
      <c r="BY1374" s="867">
        <f t="shared" si="267"/>
        <v>2781585.7827525432</v>
      </c>
      <c r="BZ1374" s="867">
        <f t="shared" si="265"/>
        <v>11126343.131010173</v>
      </c>
      <c r="CA1374" s="867">
        <f>_xlfn.MAXIFS($BY$4:$BY$12824,$S$4:$S$12824,$S1374)</f>
        <v>2781585.7827525432</v>
      </c>
      <c r="CB1374" s="1032"/>
      <c r="CF1374" s="946">
        <f t="shared" si="266"/>
        <v>9621369.8328000009</v>
      </c>
    </row>
    <row r="1375" spans="2:84">
      <c r="B1375" s="839" t="s">
        <v>98</v>
      </c>
      <c r="C1375" s="839" t="s">
        <v>273</v>
      </c>
      <c r="D1375" s="839" t="s">
        <v>4041</v>
      </c>
      <c r="E1375" s="839" t="s">
        <v>4041</v>
      </c>
      <c r="F1375" s="841">
        <v>45731</v>
      </c>
      <c r="G1375" s="868" t="s">
        <v>273</v>
      </c>
      <c r="H1375" s="842" t="s">
        <v>134</v>
      </c>
      <c r="I1375" s="883" t="s">
        <v>4042</v>
      </c>
      <c r="J1375" s="841"/>
      <c r="K1375" s="841"/>
      <c r="L1375" s="843" t="s">
        <v>106</v>
      </c>
      <c r="M1375" s="844" t="s">
        <v>275</v>
      </c>
      <c r="N1375" s="841"/>
      <c r="O1375" s="884" t="s">
        <v>150</v>
      </c>
      <c r="P1375" s="842" t="s">
        <v>4018</v>
      </c>
      <c r="Q1375" s="843"/>
      <c r="R1375" s="845" t="s">
        <v>4654</v>
      </c>
      <c r="S1375" s="1127" t="s">
        <v>4654</v>
      </c>
      <c r="T1375" s="885" t="s">
        <v>4655</v>
      </c>
      <c r="U1375" s="886">
        <v>4</v>
      </c>
      <c r="V1375" s="842" t="s">
        <v>3</v>
      </c>
      <c r="W1375" s="846">
        <v>159.93</v>
      </c>
      <c r="X1375" s="847">
        <f t="shared" si="268"/>
        <v>639.72</v>
      </c>
      <c r="Y1375" s="848">
        <v>0.5</v>
      </c>
      <c r="Z1375" s="849">
        <v>79.97</v>
      </c>
      <c r="AA1375" s="849"/>
      <c r="AB1375" s="849">
        <f t="shared" si="260"/>
        <v>319.88</v>
      </c>
      <c r="AC1375" s="850">
        <f t="shared" si="261"/>
        <v>319.88</v>
      </c>
      <c r="AD1375" s="851">
        <f t="shared" si="258"/>
        <v>32000</v>
      </c>
      <c r="AE1375" s="852">
        <v>30078.06</v>
      </c>
      <c r="AF1375" s="853">
        <v>0.1</v>
      </c>
      <c r="AG1375" s="854">
        <f t="shared" si="262"/>
        <v>1001064.9389275321</v>
      </c>
      <c r="AH1375" s="853">
        <v>0.1</v>
      </c>
      <c r="AI1375" s="855">
        <f t="shared" si="263"/>
        <v>1062243.4771727533</v>
      </c>
      <c r="AJ1375" s="845" t="s">
        <v>4641</v>
      </c>
      <c r="AK1375" s="857">
        <v>45820</v>
      </c>
      <c r="AL1375" s="843" t="s">
        <v>4642</v>
      </c>
      <c r="AM1375" s="843" t="s">
        <v>4643</v>
      </c>
      <c r="AN1375" s="844" t="s">
        <v>3951</v>
      </c>
      <c r="AO1375" s="844" t="s">
        <v>141</v>
      </c>
      <c r="AP1375" s="841"/>
      <c r="AQ1375" s="841">
        <v>45832</v>
      </c>
      <c r="AR1375" s="841">
        <v>45876</v>
      </c>
      <c r="AS1375" s="842" t="s">
        <v>1284</v>
      </c>
      <c r="AT1375" s="842" t="s">
        <v>1743</v>
      </c>
      <c r="AU1375" s="842" t="s">
        <v>1210</v>
      </c>
      <c r="AV1375" s="845" t="s">
        <v>4644</v>
      </c>
      <c r="AW1375" s="861">
        <v>45883</v>
      </c>
      <c r="AX1375" s="862">
        <v>45884</v>
      </c>
      <c r="AY1375" s="843"/>
      <c r="AZ1375" s="842"/>
      <c r="BA1375" s="842" t="s">
        <v>120</v>
      </c>
      <c r="BB1375" s="863" t="s">
        <v>121</v>
      </c>
      <c r="BC1375" s="864">
        <v>45885</v>
      </c>
      <c r="BD1375" s="860" t="s">
        <v>4645</v>
      </c>
      <c r="BE1375" s="865" cm="1">
        <f t="array" ref="BE1375">IF(BD1375="","",AC1375/SUMPRODUCT(--(BD1375=$BD$4:$BD$12824),$AC$4:$AC$12824))</f>
        <v>2.7618196478584975E-2</v>
      </c>
      <c r="BF1375" s="458"/>
      <c r="BG1375" s="458"/>
      <c r="BH1375" s="458"/>
      <c r="BI1375" s="458"/>
      <c r="BJ1375" s="458"/>
      <c r="BK1375" s="458"/>
      <c r="BL1375" s="458"/>
      <c r="BM1375" s="458"/>
      <c r="BN1375" s="458"/>
      <c r="BO1375" s="866">
        <f>VLOOKUP(BD1375,$BD$4:$BN$12824,3,0)*BE1375</f>
        <v>379961.5912563905</v>
      </c>
      <c r="BP1375" s="866"/>
      <c r="BQ1375" s="866"/>
      <c r="BR1375" s="866">
        <f>VLOOKUP(BD1375,$BD$4:$BN$12824,6,0)*BE1375</f>
        <v>113739.63497169429</v>
      </c>
      <c r="BS1375" s="866">
        <f>VLOOKUP(BD1375,$BD$4:$BN$12824,7,0)*BE1375</f>
        <v>9317.9652189273911</v>
      </c>
      <c r="BT1375" s="866"/>
      <c r="BU1375" s="866">
        <f>VLOOKUP(BD1375,$BD$4:$BN$12824,9,0)*BE1375</f>
        <v>889.16783562804324</v>
      </c>
      <c r="BV1375" s="867"/>
      <c r="BW1375" s="867">
        <f>VLOOKUP(BD1375,$BD$4:$BN$12824,11,0)*BE1375</f>
        <v>0</v>
      </c>
      <c r="BX1375" s="1146">
        <f t="shared" si="264"/>
        <v>503908.35928264016</v>
      </c>
      <c r="BY1375" s="867">
        <f t="shared" si="267"/>
        <v>2781585.7827525432</v>
      </c>
      <c r="BZ1375" s="867">
        <f t="shared" si="265"/>
        <v>11126343.131010173</v>
      </c>
      <c r="CA1375" s="867">
        <f>_xlfn.MAXIFS($BY$4:$BY$12824,$S$4:$S$12824,$S1375)</f>
        <v>2781585.7827525432</v>
      </c>
      <c r="CB1375" s="1032"/>
      <c r="CF1375" s="946">
        <f t="shared" si="266"/>
        <v>9621369.8328000009</v>
      </c>
    </row>
    <row r="1376" spans="2:84">
      <c r="B1376" s="839" t="s">
        <v>98</v>
      </c>
      <c r="C1376" s="839" t="s">
        <v>273</v>
      </c>
      <c r="D1376" s="839" t="s">
        <v>4041</v>
      </c>
      <c r="E1376" s="839" t="s">
        <v>4041</v>
      </c>
      <c r="F1376" s="841">
        <v>45731</v>
      </c>
      <c r="G1376" s="868" t="s">
        <v>273</v>
      </c>
      <c r="H1376" s="842" t="s">
        <v>134</v>
      </c>
      <c r="I1376" s="883" t="s">
        <v>4042</v>
      </c>
      <c r="J1376" s="841"/>
      <c r="K1376" s="841"/>
      <c r="L1376" s="843" t="s">
        <v>106</v>
      </c>
      <c r="M1376" s="844" t="s">
        <v>275</v>
      </c>
      <c r="N1376" s="841"/>
      <c r="O1376" s="884" t="s">
        <v>150</v>
      </c>
      <c r="P1376" s="842" t="s">
        <v>4018</v>
      </c>
      <c r="Q1376" s="843"/>
      <c r="R1376" s="845" t="s">
        <v>4656</v>
      </c>
      <c r="S1376" s="1127" t="s">
        <v>4656</v>
      </c>
      <c r="T1376" s="885" t="s">
        <v>4657</v>
      </c>
      <c r="U1376" s="886">
        <v>4</v>
      </c>
      <c r="V1376" s="842" t="s">
        <v>3</v>
      </c>
      <c r="W1376" s="846">
        <v>159.93</v>
      </c>
      <c r="X1376" s="847">
        <f t="shared" si="268"/>
        <v>639.72</v>
      </c>
      <c r="Y1376" s="848">
        <v>0.5</v>
      </c>
      <c r="Z1376" s="849">
        <v>79.97</v>
      </c>
      <c r="AA1376" s="849"/>
      <c r="AB1376" s="849">
        <f t="shared" si="260"/>
        <v>319.88</v>
      </c>
      <c r="AC1376" s="850">
        <f t="shared" si="261"/>
        <v>319.88</v>
      </c>
      <c r="AD1376" s="851">
        <f t="shared" si="258"/>
        <v>32000</v>
      </c>
      <c r="AE1376" s="852">
        <v>30078.06</v>
      </c>
      <c r="AF1376" s="853">
        <v>0.1</v>
      </c>
      <c r="AG1376" s="854">
        <f t="shared" si="262"/>
        <v>1001064.9389275321</v>
      </c>
      <c r="AH1376" s="853">
        <v>0.1</v>
      </c>
      <c r="AI1376" s="855">
        <f t="shared" si="263"/>
        <v>1062243.4771727533</v>
      </c>
      <c r="AJ1376" s="845" t="s">
        <v>4641</v>
      </c>
      <c r="AK1376" s="857">
        <v>45820</v>
      </c>
      <c r="AL1376" s="843" t="s">
        <v>4642</v>
      </c>
      <c r="AM1376" s="843" t="s">
        <v>4643</v>
      </c>
      <c r="AN1376" s="844" t="s">
        <v>3951</v>
      </c>
      <c r="AO1376" s="844" t="s">
        <v>141</v>
      </c>
      <c r="AP1376" s="841"/>
      <c r="AQ1376" s="841">
        <v>45832</v>
      </c>
      <c r="AR1376" s="841">
        <v>45876</v>
      </c>
      <c r="AS1376" s="842" t="s">
        <v>1284</v>
      </c>
      <c r="AT1376" s="842" t="s">
        <v>1743</v>
      </c>
      <c r="AU1376" s="842" t="s">
        <v>1210</v>
      </c>
      <c r="AV1376" s="845" t="s">
        <v>4644</v>
      </c>
      <c r="AW1376" s="861">
        <v>45883</v>
      </c>
      <c r="AX1376" s="862">
        <v>45884</v>
      </c>
      <c r="AY1376" s="843"/>
      <c r="AZ1376" s="842"/>
      <c r="BA1376" s="842" t="s">
        <v>120</v>
      </c>
      <c r="BB1376" s="863" t="s">
        <v>121</v>
      </c>
      <c r="BC1376" s="864">
        <v>45885</v>
      </c>
      <c r="BD1376" s="860" t="s">
        <v>4645</v>
      </c>
      <c r="BE1376" s="865" cm="1">
        <f t="array" ref="BE1376">IF(BD1376="","",AC1376/SUMPRODUCT(--(BD1376=$BD$4:$BD$12824),$AC$4:$AC$12824))</f>
        <v>2.7618196478584975E-2</v>
      </c>
      <c r="BF1376" s="458"/>
      <c r="BG1376" s="458"/>
      <c r="BH1376" s="458"/>
      <c r="BI1376" s="458"/>
      <c r="BJ1376" s="458"/>
      <c r="BK1376" s="458"/>
      <c r="BL1376" s="458"/>
      <c r="BM1376" s="458"/>
      <c r="BN1376" s="458"/>
      <c r="BO1376" s="866">
        <f>VLOOKUP(BD1376,$BD$4:$BN$12824,3,0)*BE1376</f>
        <v>379961.5912563905</v>
      </c>
      <c r="BP1376" s="866"/>
      <c r="BQ1376" s="866"/>
      <c r="BR1376" s="866">
        <f>VLOOKUP(BD1376,$BD$4:$BN$12824,6,0)*BE1376</f>
        <v>113739.63497169429</v>
      </c>
      <c r="BS1376" s="866">
        <f>VLOOKUP(BD1376,$BD$4:$BN$12824,7,0)*BE1376</f>
        <v>9317.9652189273911</v>
      </c>
      <c r="BT1376" s="866"/>
      <c r="BU1376" s="866">
        <f>VLOOKUP(BD1376,$BD$4:$BN$12824,9,0)*BE1376</f>
        <v>889.16783562804324</v>
      </c>
      <c r="BV1376" s="867"/>
      <c r="BW1376" s="867">
        <f>VLOOKUP(BD1376,$BD$4:$BN$12824,11,0)*BE1376</f>
        <v>0</v>
      </c>
      <c r="BX1376" s="1146">
        <f t="shared" si="264"/>
        <v>503908.35928264016</v>
      </c>
      <c r="BY1376" s="867">
        <f t="shared" si="267"/>
        <v>2781585.7827525432</v>
      </c>
      <c r="BZ1376" s="867">
        <f t="shared" si="265"/>
        <v>11126343.131010173</v>
      </c>
      <c r="CA1376" s="867">
        <f>_xlfn.MAXIFS($BY$4:$BY$12824,$S$4:$S$12824,$S1376)</f>
        <v>2781585.7827525432</v>
      </c>
      <c r="CB1376" s="1032"/>
      <c r="CF1376" s="946">
        <f t="shared" si="266"/>
        <v>9621369.8328000009</v>
      </c>
    </row>
    <row r="1377" spans="2:84">
      <c r="B1377" s="839" t="s">
        <v>98</v>
      </c>
      <c r="C1377" s="839" t="s">
        <v>273</v>
      </c>
      <c r="D1377" s="839" t="s">
        <v>4041</v>
      </c>
      <c r="E1377" s="839" t="s">
        <v>4041</v>
      </c>
      <c r="F1377" s="841">
        <v>45731</v>
      </c>
      <c r="G1377" s="868" t="s">
        <v>273</v>
      </c>
      <c r="H1377" s="842" t="s">
        <v>102</v>
      </c>
      <c r="I1377" s="883" t="s">
        <v>4658</v>
      </c>
      <c r="J1377" s="841">
        <v>45873</v>
      </c>
      <c r="K1377" s="841">
        <v>45879</v>
      </c>
      <c r="L1377" s="843" t="s">
        <v>106</v>
      </c>
      <c r="M1377" s="844" t="s">
        <v>275</v>
      </c>
      <c r="N1377" s="841"/>
      <c r="O1377" s="884" t="s">
        <v>150</v>
      </c>
      <c r="P1377" s="842" t="s">
        <v>4018</v>
      </c>
      <c r="Q1377" s="843"/>
      <c r="R1377" s="845">
        <v>11213.24</v>
      </c>
      <c r="S1377" s="1127" t="s">
        <v>4659</v>
      </c>
      <c r="T1377" s="885" t="s">
        <v>4660</v>
      </c>
      <c r="U1377" s="886">
        <v>4</v>
      </c>
      <c r="V1377" s="842" t="s">
        <v>3</v>
      </c>
      <c r="W1377" s="846">
        <v>42.81</v>
      </c>
      <c r="X1377" s="847">
        <f t="shared" si="268"/>
        <v>171.24</v>
      </c>
      <c r="Y1377" s="853">
        <v>0.5</v>
      </c>
      <c r="Z1377" s="847">
        <v>21.405000000000001</v>
      </c>
      <c r="AA1377" s="849"/>
      <c r="AB1377" s="849">
        <f t="shared" si="260"/>
        <v>85.62</v>
      </c>
      <c r="AC1377" s="850">
        <f t="shared" si="261"/>
        <v>85.62</v>
      </c>
      <c r="AD1377" s="851">
        <f t="shared" si="258"/>
        <v>32000</v>
      </c>
      <c r="AE1377" s="852">
        <v>30078.06</v>
      </c>
      <c r="AF1377" s="853">
        <v>0.1</v>
      </c>
      <c r="AG1377" s="854">
        <f t="shared" si="262"/>
        <v>267947.91819111939</v>
      </c>
      <c r="AH1377" s="853">
        <v>0.1</v>
      </c>
      <c r="AI1377" s="855">
        <f t="shared" si="263"/>
        <v>284323.14153911197</v>
      </c>
      <c r="AJ1377" s="845" t="s">
        <v>4641</v>
      </c>
      <c r="AK1377" s="857">
        <v>45820</v>
      </c>
      <c r="AL1377" s="843" t="s">
        <v>4642</v>
      </c>
      <c r="AM1377" s="843" t="s">
        <v>4643</v>
      </c>
      <c r="AN1377" s="844" t="s">
        <v>3951</v>
      </c>
      <c r="AO1377" s="844" t="s">
        <v>141</v>
      </c>
      <c r="AP1377" s="841"/>
      <c r="AQ1377" s="841">
        <v>45832</v>
      </c>
      <c r="AR1377" s="841">
        <v>45876</v>
      </c>
      <c r="AS1377" s="842" t="s">
        <v>1284</v>
      </c>
      <c r="AT1377" s="842" t="s">
        <v>1743</v>
      </c>
      <c r="AU1377" s="842" t="s">
        <v>1210</v>
      </c>
      <c r="AV1377" s="845" t="s">
        <v>4644</v>
      </c>
      <c r="AW1377" s="861">
        <v>45883</v>
      </c>
      <c r="AX1377" s="862">
        <v>45884</v>
      </c>
      <c r="AY1377" s="843"/>
      <c r="AZ1377" s="842"/>
      <c r="BA1377" s="842" t="s">
        <v>120</v>
      </c>
      <c r="BB1377" s="863" t="s">
        <v>121</v>
      </c>
      <c r="BC1377" s="864">
        <v>45885</v>
      </c>
      <c r="BD1377" s="860" t="s">
        <v>4645</v>
      </c>
      <c r="BE1377" s="865" cm="1">
        <f t="array" ref="BE1377">IF(BD1377="","",AC1377/SUMPRODUCT(--(BD1377=$BD$4:$BD$12824),$AC$4:$AC$12824))</f>
        <v>7.3923658324885752E-3</v>
      </c>
      <c r="BF1377" s="458"/>
      <c r="BG1377" s="458"/>
      <c r="BH1377" s="458"/>
      <c r="BI1377" s="458"/>
      <c r="BJ1377" s="458"/>
      <c r="BK1377" s="458"/>
      <c r="BL1377" s="458"/>
      <c r="BM1377" s="458"/>
      <c r="BN1377" s="458"/>
      <c r="BO1377" s="866">
        <f>VLOOKUP(BD1377,$BD$4:$BN$12824,3,0)*BE1377</f>
        <v>101701.61136479977</v>
      </c>
      <c r="BP1377" s="866"/>
      <c r="BQ1377" s="866"/>
      <c r="BR1377" s="866">
        <f>VLOOKUP(BD1377,$BD$4:$BN$12824,6,0)*BE1377</f>
        <v>30443.877536190026</v>
      </c>
      <c r="BS1377" s="866">
        <f>VLOOKUP(BD1377,$BD$4:$BN$12824,7,0)*BE1377</f>
        <v>2494.0733463941579</v>
      </c>
      <c r="BT1377" s="866"/>
      <c r="BU1377" s="866">
        <f>VLOOKUP(BD1377,$BD$4:$BN$12824,9,0)*BE1377</f>
        <v>237.99721797696967</v>
      </c>
      <c r="BV1377" s="867"/>
      <c r="BW1377" s="867">
        <f>VLOOKUP(BD1377,$BD$4:$BN$12824,11,0)*BE1377</f>
        <v>0</v>
      </c>
      <c r="BX1377" s="1146">
        <f t="shared" si="264"/>
        <v>134877.55946536092</v>
      </c>
      <c r="BY1377" s="867">
        <f t="shared" si="267"/>
        <v>744527.24371412012</v>
      </c>
      <c r="BZ1377" s="867">
        <f t="shared" si="265"/>
        <v>2978108.9748564805</v>
      </c>
      <c r="CA1377" s="867">
        <f>_xlfn.MAXIFS($BY$4:$BY$12824,$S$4:$S$12824,$S1377)</f>
        <v>744527.24371412012</v>
      </c>
      <c r="CB1377" s="1032"/>
      <c r="CF1377" s="946">
        <f t="shared" si="266"/>
        <v>2575283.4972000001</v>
      </c>
    </row>
    <row r="1378" spans="2:84">
      <c r="B1378" s="839" t="s">
        <v>98</v>
      </c>
      <c r="C1378" s="839" t="s">
        <v>273</v>
      </c>
      <c r="D1378" s="839" t="s">
        <v>4041</v>
      </c>
      <c r="E1378" s="839" t="s">
        <v>4041</v>
      </c>
      <c r="F1378" s="841">
        <v>45731</v>
      </c>
      <c r="G1378" s="868" t="s">
        <v>273</v>
      </c>
      <c r="H1378" s="842" t="s">
        <v>102</v>
      </c>
      <c r="I1378" s="883" t="s">
        <v>4658</v>
      </c>
      <c r="J1378" s="841">
        <v>45873</v>
      </c>
      <c r="K1378" s="841">
        <v>45879</v>
      </c>
      <c r="L1378" s="843" t="s">
        <v>106</v>
      </c>
      <c r="M1378" s="844" t="s">
        <v>275</v>
      </c>
      <c r="N1378" s="841"/>
      <c r="O1378" s="884" t="s">
        <v>150</v>
      </c>
      <c r="P1378" s="842" t="s">
        <v>4018</v>
      </c>
      <c r="Q1378" s="843"/>
      <c r="R1378" s="845">
        <v>11217.24</v>
      </c>
      <c r="S1378" s="1127" t="s">
        <v>4661</v>
      </c>
      <c r="T1378" s="885" t="s">
        <v>4662</v>
      </c>
      <c r="U1378" s="886">
        <v>4</v>
      </c>
      <c r="V1378" s="842" t="s">
        <v>3</v>
      </c>
      <c r="W1378" s="846">
        <v>29.2</v>
      </c>
      <c r="X1378" s="847">
        <f t="shared" si="268"/>
        <v>116.8</v>
      </c>
      <c r="Y1378" s="853">
        <v>0.5</v>
      </c>
      <c r="Z1378" s="847">
        <v>14.6</v>
      </c>
      <c r="AA1378" s="849"/>
      <c r="AB1378" s="849">
        <f t="shared" si="260"/>
        <v>58.4</v>
      </c>
      <c r="AC1378" s="850">
        <f t="shared" si="261"/>
        <v>58.4</v>
      </c>
      <c r="AD1378" s="851">
        <f t="shared" si="258"/>
        <v>32000</v>
      </c>
      <c r="AE1378" s="852">
        <v>30078.06</v>
      </c>
      <c r="AF1378" s="853">
        <v>0.1</v>
      </c>
      <c r="AG1378" s="854">
        <f t="shared" si="262"/>
        <v>182762.8874370635</v>
      </c>
      <c r="AH1378" s="853">
        <v>0.1</v>
      </c>
      <c r="AI1378" s="855">
        <f t="shared" si="263"/>
        <v>193932.15914370638</v>
      </c>
      <c r="AJ1378" s="845" t="s">
        <v>4641</v>
      </c>
      <c r="AK1378" s="857">
        <v>45820</v>
      </c>
      <c r="AL1378" s="843" t="s">
        <v>4642</v>
      </c>
      <c r="AM1378" s="843" t="s">
        <v>4643</v>
      </c>
      <c r="AN1378" s="844" t="s">
        <v>3951</v>
      </c>
      <c r="AO1378" s="844" t="s">
        <v>141</v>
      </c>
      <c r="AP1378" s="841"/>
      <c r="AQ1378" s="841">
        <v>45832</v>
      </c>
      <c r="AR1378" s="841">
        <v>45876</v>
      </c>
      <c r="AS1378" s="842" t="s">
        <v>1284</v>
      </c>
      <c r="AT1378" s="842" t="s">
        <v>1743</v>
      </c>
      <c r="AU1378" s="842" t="s">
        <v>1210</v>
      </c>
      <c r="AV1378" s="845" t="s">
        <v>4644</v>
      </c>
      <c r="AW1378" s="861">
        <v>45883</v>
      </c>
      <c r="AX1378" s="862">
        <v>45884</v>
      </c>
      <c r="AY1378" s="843"/>
      <c r="AZ1378" s="842"/>
      <c r="BA1378" s="842" t="s">
        <v>120</v>
      </c>
      <c r="BB1378" s="863" t="s">
        <v>121</v>
      </c>
      <c r="BC1378" s="864">
        <v>45885</v>
      </c>
      <c r="BD1378" s="860" t="s">
        <v>4645</v>
      </c>
      <c r="BE1378" s="865" cm="1">
        <f t="array" ref="BE1378">IF(BD1378="","",AC1378/SUMPRODUCT(--(BD1378=$BD$4:$BD$12824),$AC$4:$AC$12824))</f>
        <v>5.0422116867242794E-3</v>
      </c>
      <c r="BF1378" s="458"/>
      <c r="BG1378" s="458"/>
      <c r="BH1378" s="458"/>
      <c r="BI1378" s="458"/>
      <c r="BJ1378" s="458"/>
      <c r="BK1378" s="458"/>
      <c r="BL1378" s="458"/>
      <c r="BM1378" s="458"/>
      <c r="BN1378" s="458"/>
      <c r="BO1378" s="866">
        <f>VLOOKUP(BD1378,$BD$4:$BN$12824,3,0)*BE1378</f>
        <v>69369.003780709027</v>
      </c>
      <c r="BP1378" s="866"/>
      <c r="BQ1378" s="866"/>
      <c r="BR1378" s="866">
        <f>VLOOKUP(BD1378,$BD$4:$BN$12824,6,0)*BE1378</f>
        <v>20765.270358718728</v>
      </c>
      <c r="BS1378" s="866">
        <f>VLOOKUP(BD1378,$BD$4:$BN$12824,7,0)*BE1378</f>
        <v>1701.166589925471</v>
      </c>
      <c r="BT1378" s="866"/>
      <c r="BU1378" s="866">
        <f>VLOOKUP(BD1378,$BD$4:$BN$12824,9,0)*BE1378</f>
        <v>162.33400525408817</v>
      </c>
      <c r="BV1378" s="867"/>
      <c r="BW1378" s="867">
        <f>VLOOKUP(BD1378,$BD$4:$BN$12824,11,0)*BE1378</f>
        <v>0</v>
      </c>
      <c r="BX1378" s="1146">
        <f t="shared" si="264"/>
        <v>91997.774734607316</v>
      </c>
      <c r="BY1378" s="867">
        <f t="shared" si="267"/>
        <v>507829.84154291777</v>
      </c>
      <c r="BZ1378" s="867">
        <f t="shared" si="265"/>
        <v>2031319.3661716711</v>
      </c>
      <c r="CA1378" s="867">
        <f>_xlfn.MAXIFS($BY$4:$BY$12824,$S$4:$S$12824,$S1378)</f>
        <v>507829.84154291777</v>
      </c>
      <c r="CB1378" s="1032"/>
      <c r="CF1378" s="946">
        <f t="shared" si="266"/>
        <v>1756558.7040000001</v>
      </c>
    </row>
    <row r="1379" spans="2:84">
      <c r="B1379" s="839" t="s">
        <v>98</v>
      </c>
      <c r="C1379" s="839" t="s">
        <v>273</v>
      </c>
      <c r="D1379" s="839" t="s">
        <v>4041</v>
      </c>
      <c r="E1379" s="839" t="s">
        <v>4041</v>
      </c>
      <c r="F1379" s="841">
        <v>45731</v>
      </c>
      <c r="G1379" s="868" t="s">
        <v>273</v>
      </c>
      <c r="H1379" s="842" t="s">
        <v>102</v>
      </c>
      <c r="I1379" s="883" t="s">
        <v>4658</v>
      </c>
      <c r="J1379" s="841">
        <v>45873</v>
      </c>
      <c r="K1379" s="841">
        <v>45879</v>
      </c>
      <c r="L1379" s="843" t="s">
        <v>106</v>
      </c>
      <c r="M1379" s="844" t="s">
        <v>275</v>
      </c>
      <c r="N1379" s="841"/>
      <c r="O1379" s="884" t="s">
        <v>150</v>
      </c>
      <c r="P1379" s="842" t="s">
        <v>4018</v>
      </c>
      <c r="Q1379" s="843"/>
      <c r="R1379" s="845">
        <v>11218.24</v>
      </c>
      <c r="S1379" s="1127" t="s">
        <v>4663</v>
      </c>
      <c r="T1379" s="885" t="s">
        <v>4664</v>
      </c>
      <c r="U1379" s="886">
        <v>3</v>
      </c>
      <c r="V1379" s="842" t="s">
        <v>3</v>
      </c>
      <c r="W1379" s="846">
        <v>29.2</v>
      </c>
      <c r="X1379" s="847">
        <f t="shared" si="268"/>
        <v>87.6</v>
      </c>
      <c r="Y1379" s="853">
        <v>0.5</v>
      </c>
      <c r="Z1379" s="847">
        <v>14.6</v>
      </c>
      <c r="AA1379" s="849"/>
      <c r="AB1379" s="849">
        <f t="shared" si="260"/>
        <v>43.8</v>
      </c>
      <c r="AC1379" s="850">
        <f t="shared" si="261"/>
        <v>43.8</v>
      </c>
      <c r="AD1379" s="851">
        <f t="shared" si="258"/>
        <v>32000</v>
      </c>
      <c r="AE1379" s="852">
        <v>30078.06</v>
      </c>
      <c r="AF1379" s="853">
        <v>0.1</v>
      </c>
      <c r="AG1379" s="854">
        <f t="shared" si="262"/>
        <v>137072.16557779757</v>
      </c>
      <c r="AH1379" s="853">
        <v>0.1</v>
      </c>
      <c r="AI1379" s="855">
        <f t="shared" si="263"/>
        <v>145449.11935777977</v>
      </c>
      <c r="AJ1379" s="845" t="s">
        <v>4641</v>
      </c>
      <c r="AK1379" s="857">
        <v>45820</v>
      </c>
      <c r="AL1379" s="843" t="s">
        <v>4642</v>
      </c>
      <c r="AM1379" s="843" t="s">
        <v>4643</v>
      </c>
      <c r="AN1379" s="844" t="s">
        <v>3951</v>
      </c>
      <c r="AO1379" s="844" t="s">
        <v>141</v>
      </c>
      <c r="AP1379" s="841"/>
      <c r="AQ1379" s="841">
        <v>45832</v>
      </c>
      <c r="AR1379" s="841">
        <v>45876</v>
      </c>
      <c r="AS1379" s="842" t="s">
        <v>1284</v>
      </c>
      <c r="AT1379" s="842" t="s">
        <v>1743</v>
      </c>
      <c r="AU1379" s="842" t="s">
        <v>1210</v>
      </c>
      <c r="AV1379" s="845" t="s">
        <v>4644</v>
      </c>
      <c r="AW1379" s="861">
        <v>45883</v>
      </c>
      <c r="AX1379" s="862">
        <v>45884</v>
      </c>
      <c r="AY1379" s="843"/>
      <c r="AZ1379" s="842"/>
      <c r="BA1379" s="842" t="s">
        <v>120</v>
      </c>
      <c r="BB1379" s="863" t="s">
        <v>121</v>
      </c>
      <c r="BC1379" s="864">
        <v>45885</v>
      </c>
      <c r="BD1379" s="860" t="s">
        <v>4645</v>
      </c>
      <c r="BE1379" s="865" cm="1">
        <f t="array" ref="BE1379">IF(BD1379="","",AC1379/SUMPRODUCT(--(BD1379=$BD$4:$BD$12824),$AC$4:$AC$12824))</f>
        <v>3.7816587650432091E-3</v>
      </c>
      <c r="BF1379" s="458"/>
      <c r="BG1379" s="458"/>
      <c r="BH1379" s="458"/>
      <c r="BI1379" s="458"/>
      <c r="BJ1379" s="458"/>
      <c r="BK1379" s="458"/>
      <c r="BL1379" s="458"/>
      <c r="BM1379" s="458"/>
      <c r="BN1379" s="458"/>
      <c r="BO1379" s="866">
        <f>VLOOKUP(BD1379,$BD$4:$BN$12824,3,0)*BE1379</f>
        <v>52026.75283553177</v>
      </c>
      <c r="BP1379" s="866"/>
      <c r="BQ1379" s="866"/>
      <c r="BR1379" s="866">
        <f>VLOOKUP(BD1379,$BD$4:$BN$12824,6,0)*BE1379</f>
        <v>15573.952769039044</v>
      </c>
      <c r="BS1379" s="866">
        <f>VLOOKUP(BD1379,$BD$4:$BN$12824,7,0)*BE1379</f>
        <v>1275.8749424441032</v>
      </c>
      <c r="BT1379" s="866"/>
      <c r="BU1379" s="866">
        <f>VLOOKUP(BD1379,$BD$4:$BN$12824,9,0)*BE1379</f>
        <v>121.75050394056612</v>
      </c>
      <c r="BV1379" s="867"/>
      <c r="BW1379" s="867">
        <f>VLOOKUP(BD1379,$BD$4:$BN$12824,11,0)*BE1379</f>
        <v>0</v>
      </c>
      <c r="BX1379" s="1146">
        <f t="shared" si="264"/>
        <v>68998.331050955487</v>
      </c>
      <c r="BY1379" s="867">
        <f t="shared" si="267"/>
        <v>507829.84154291771</v>
      </c>
      <c r="BZ1379" s="867">
        <f t="shared" si="265"/>
        <v>1523489.5246287531</v>
      </c>
      <c r="CA1379" s="867">
        <f>_xlfn.MAXIFS($BY$4:$BY$12824,$S$4:$S$12824,$S1379)</f>
        <v>507829.84154291771</v>
      </c>
      <c r="CB1379" s="1032"/>
      <c r="CF1379" s="946">
        <f t="shared" si="266"/>
        <v>1317419.0279999999</v>
      </c>
    </row>
    <row r="1380" spans="2:84">
      <c r="B1380" s="839" t="s">
        <v>98</v>
      </c>
      <c r="C1380" s="839" t="s">
        <v>273</v>
      </c>
      <c r="D1380" s="839" t="s">
        <v>4041</v>
      </c>
      <c r="E1380" s="839" t="s">
        <v>4041</v>
      </c>
      <c r="F1380" s="841">
        <v>45731</v>
      </c>
      <c r="G1380" s="868" t="s">
        <v>273</v>
      </c>
      <c r="H1380" s="842" t="s">
        <v>102</v>
      </c>
      <c r="I1380" s="883" t="s">
        <v>4658</v>
      </c>
      <c r="J1380" s="841">
        <v>45873</v>
      </c>
      <c r="K1380" s="841">
        <v>45879</v>
      </c>
      <c r="L1380" s="843" t="s">
        <v>106</v>
      </c>
      <c r="M1380" s="844" t="s">
        <v>275</v>
      </c>
      <c r="N1380" s="841"/>
      <c r="O1380" s="884" t="s">
        <v>150</v>
      </c>
      <c r="P1380" s="842" t="s">
        <v>4018</v>
      </c>
      <c r="Q1380" s="843"/>
      <c r="R1380" s="845">
        <v>11360.24</v>
      </c>
      <c r="S1380" s="1127" t="s">
        <v>4665</v>
      </c>
      <c r="T1380" s="885" t="s">
        <v>4666</v>
      </c>
      <c r="U1380" s="886">
        <v>2</v>
      </c>
      <c r="V1380" s="842" t="s">
        <v>3</v>
      </c>
      <c r="W1380" s="846">
        <v>42.81</v>
      </c>
      <c r="X1380" s="847">
        <f t="shared" si="268"/>
        <v>85.62</v>
      </c>
      <c r="Y1380" s="853">
        <v>0.5</v>
      </c>
      <c r="Z1380" s="847">
        <v>21.405000000000001</v>
      </c>
      <c r="AA1380" s="849"/>
      <c r="AB1380" s="849">
        <f t="shared" si="260"/>
        <v>42.81</v>
      </c>
      <c r="AC1380" s="850">
        <f t="shared" si="261"/>
        <v>42.81</v>
      </c>
      <c r="AD1380" s="851">
        <f t="shared" si="258"/>
        <v>32000</v>
      </c>
      <c r="AE1380" s="852">
        <v>30078.06</v>
      </c>
      <c r="AF1380" s="853">
        <v>0.1</v>
      </c>
      <c r="AG1380" s="854">
        <f t="shared" si="262"/>
        <v>133973.95909555969</v>
      </c>
      <c r="AH1380" s="853">
        <v>0.1</v>
      </c>
      <c r="AI1380" s="855">
        <f t="shared" si="263"/>
        <v>142161.57076955598</v>
      </c>
      <c r="AJ1380" s="845" t="s">
        <v>4641</v>
      </c>
      <c r="AK1380" s="857">
        <v>45820</v>
      </c>
      <c r="AL1380" s="843" t="s">
        <v>4642</v>
      </c>
      <c r="AM1380" s="843" t="s">
        <v>4643</v>
      </c>
      <c r="AN1380" s="844" t="s">
        <v>3951</v>
      </c>
      <c r="AO1380" s="844" t="s">
        <v>141</v>
      </c>
      <c r="AP1380" s="841"/>
      <c r="AQ1380" s="841">
        <v>45832</v>
      </c>
      <c r="AR1380" s="841">
        <v>45876</v>
      </c>
      <c r="AS1380" s="842" t="s">
        <v>1284</v>
      </c>
      <c r="AT1380" s="842" t="s">
        <v>1743</v>
      </c>
      <c r="AU1380" s="842" t="s">
        <v>1210</v>
      </c>
      <c r="AV1380" s="845" t="s">
        <v>4644</v>
      </c>
      <c r="AW1380" s="861">
        <v>45883</v>
      </c>
      <c r="AX1380" s="862">
        <v>45884</v>
      </c>
      <c r="AY1380" s="843"/>
      <c r="AZ1380" s="842"/>
      <c r="BA1380" s="842" t="s">
        <v>120</v>
      </c>
      <c r="BB1380" s="863" t="s">
        <v>121</v>
      </c>
      <c r="BC1380" s="864">
        <v>45885</v>
      </c>
      <c r="BD1380" s="860" t="s">
        <v>4645</v>
      </c>
      <c r="BE1380" s="865" cm="1">
        <f t="array" ref="BE1380">IF(BD1380="","",AC1380/SUMPRODUCT(--(BD1380=$BD$4:$BD$12824),$AC$4:$AC$12824))</f>
        <v>3.6961829162442876E-3</v>
      </c>
      <c r="BF1380" s="458"/>
      <c r="BG1380" s="458"/>
      <c r="BH1380" s="458"/>
      <c r="BI1380" s="458"/>
      <c r="BJ1380" s="458"/>
      <c r="BK1380" s="458"/>
      <c r="BL1380" s="458"/>
      <c r="BM1380" s="458"/>
      <c r="BN1380" s="458"/>
      <c r="BO1380" s="866">
        <f>VLOOKUP(BD1380,$BD$4:$BN$12824,3,0)*BE1380</f>
        <v>50850.805682399885</v>
      </c>
      <c r="BP1380" s="866"/>
      <c r="BQ1380" s="866"/>
      <c r="BR1380" s="866">
        <f>VLOOKUP(BD1380,$BD$4:$BN$12824,6,0)*BE1380</f>
        <v>15221.938768095013</v>
      </c>
      <c r="BS1380" s="866">
        <f>VLOOKUP(BD1380,$BD$4:$BN$12824,7,0)*BE1380</f>
        <v>1247.0366731970789</v>
      </c>
      <c r="BT1380" s="866"/>
      <c r="BU1380" s="866">
        <f>VLOOKUP(BD1380,$BD$4:$BN$12824,9,0)*BE1380</f>
        <v>118.99860898848483</v>
      </c>
      <c r="BV1380" s="867"/>
      <c r="BW1380" s="867">
        <f>VLOOKUP(BD1380,$BD$4:$BN$12824,11,0)*BE1380</f>
        <v>0</v>
      </c>
      <c r="BX1380" s="1146">
        <f t="shared" si="264"/>
        <v>67438.779732680458</v>
      </c>
      <c r="BY1380" s="867">
        <f t="shared" si="267"/>
        <v>744527.24371412012</v>
      </c>
      <c r="BZ1380" s="867">
        <f t="shared" si="265"/>
        <v>1489054.4874282402</v>
      </c>
      <c r="CA1380" s="867">
        <f>_xlfn.MAXIFS($BY$4:$BY$12824,$S$4:$S$12824,$S1380)</f>
        <v>744527.24371412012</v>
      </c>
      <c r="CB1380" s="1032"/>
      <c r="CF1380" s="946">
        <f t="shared" si="266"/>
        <v>1287641.7486</v>
      </c>
    </row>
    <row r="1381" spans="2:84">
      <c r="B1381" s="839" t="s">
        <v>98</v>
      </c>
      <c r="C1381" s="839" t="s">
        <v>273</v>
      </c>
      <c r="D1381" s="839" t="s">
        <v>4041</v>
      </c>
      <c r="E1381" s="839" t="s">
        <v>4041</v>
      </c>
      <c r="F1381" s="841">
        <v>45731</v>
      </c>
      <c r="G1381" s="868" t="s">
        <v>273</v>
      </c>
      <c r="H1381" s="842" t="s">
        <v>102</v>
      </c>
      <c r="I1381" s="883" t="s">
        <v>4658</v>
      </c>
      <c r="J1381" s="841">
        <v>45873</v>
      </c>
      <c r="K1381" s="841">
        <v>45879</v>
      </c>
      <c r="L1381" s="843" t="s">
        <v>106</v>
      </c>
      <c r="M1381" s="844" t="s">
        <v>275</v>
      </c>
      <c r="N1381" s="841"/>
      <c r="O1381" s="884" t="s">
        <v>150</v>
      </c>
      <c r="P1381" s="842" t="s">
        <v>4018</v>
      </c>
      <c r="Q1381" s="843"/>
      <c r="R1381" s="845">
        <v>14108.24</v>
      </c>
      <c r="S1381" s="1127" t="s">
        <v>4021</v>
      </c>
      <c r="T1381" s="885" t="s">
        <v>4022</v>
      </c>
      <c r="U1381" s="886">
        <v>3</v>
      </c>
      <c r="V1381" s="842" t="s">
        <v>3</v>
      </c>
      <c r="W1381" s="846">
        <v>4.96</v>
      </c>
      <c r="X1381" s="847">
        <f t="shared" si="268"/>
        <v>14.879999999999999</v>
      </c>
      <c r="Y1381" s="853">
        <v>0.5</v>
      </c>
      <c r="Z1381" s="847">
        <v>2.48</v>
      </c>
      <c r="AA1381" s="849"/>
      <c r="AB1381" s="849">
        <f t="shared" si="260"/>
        <v>7.4399999999999995</v>
      </c>
      <c r="AC1381" s="850">
        <f t="shared" si="261"/>
        <v>7.4399999999999995</v>
      </c>
      <c r="AD1381" s="851">
        <f t="shared" si="258"/>
        <v>32000</v>
      </c>
      <c r="AE1381" s="852">
        <v>30078.06</v>
      </c>
      <c r="AF1381" s="853">
        <v>0.1</v>
      </c>
      <c r="AG1381" s="854">
        <f t="shared" si="262"/>
        <v>23283.491139242331</v>
      </c>
      <c r="AH1381" s="853">
        <v>0.1</v>
      </c>
      <c r="AI1381" s="855">
        <f t="shared" si="263"/>
        <v>24706.425753924235</v>
      </c>
      <c r="AJ1381" s="845" t="s">
        <v>4641</v>
      </c>
      <c r="AK1381" s="857">
        <v>45820</v>
      </c>
      <c r="AL1381" s="843" t="s">
        <v>4642</v>
      </c>
      <c r="AM1381" s="843" t="s">
        <v>4643</v>
      </c>
      <c r="AN1381" s="844" t="s">
        <v>3951</v>
      </c>
      <c r="AO1381" s="844" t="s">
        <v>141</v>
      </c>
      <c r="AP1381" s="841"/>
      <c r="AQ1381" s="841">
        <v>45832</v>
      </c>
      <c r="AR1381" s="841">
        <v>45876</v>
      </c>
      <c r="AS1381" s="842" t="s">
        <v>1284</v>
      </c>
      <c r="AT1381" s="842" t="s">
        <v>1743</v>
      </c>
      <c r="AU1381" s="842" t="s">
        <v>1210</v>
      </c>
      <c r="AV1381" s="845" t="s">
        <v>4644</v>
      </c>
      <c r="AW1381" s="861">
        <v>45883</v>
      </c>
      <c r="AX1381" s="862">
        <v>45884</v>
      </c>
      <c r="AY1381" s="843"/>
      <c r="AZ1381" s="842"/>
      <c r="BA1381" s="842" t="s">
        <v>120</v>
      </c>
      <c r="BB1381" s="863" t="s">
        <v>121</v>
      </c>
      <c r="BC1381" s="864">
        <v>45885</v>
      </c>
      <c r="BD1381" s="860" t="s">
        <v>4645</v>
      </c>
      <c r="BE1381" s="865" cm="1">
        <f t="array" ref="BE1381">IF(BD1381="","",AC1381/SUMPRODUCT(--(BD1381=$BD$4:$BD$12824),$AC$4:$AC$12824))</f>
        <v>6.4236395461007942E-4</v>
      </c>
      <c r="BF1381" s="458"/>
      <c r="BG1381" s="458"/>
      <c r="BH1381" s="458"/>
      <c r="BI1381" s="458"/>
      <c r="BJ1381" s="458"/>
      <c r="BK1381" s="458"/>
      <c r="BL1381" s="458"/>
      <c r="BM1381" s="458"/>
      <c r="BN1381" s="458"/>
      <c r="BO1381" s="866">
        <f>VLOOKUP(BD1381,$BD$4:$BN$12824,3,0)*BE1381</f>
        <v>8837.421029597177</v>
      </c>
      <c r="BP1381" s="866"/>
      <c r="BQ1381" s="866"/>
      <c r="BR1381" s="866">
        <f>VLOOKUP(BD1381,$BD$4:$BN$12824,6,0)*BE1381</f>
        <v>2645.4385525490984</v>
      </c>
      <c r="BS1381" s="866">
        <f>VLOOKUP(BD1381,$BD$4:$BN$12824,7,0)*BE1381</f>
        <v>216.72396282612164</v>
      </c>
      <c r="BT1381" s="866"/>
      <c r="BU1381" s="866">
        <f>VLOOKUP(BD1381,$BD$4:$BN$12824,9,0)*BE1381</f>
        <v>20.680907518671507</v>
      </c>
      <c r="BV1381" s="867"/>
      <c r="BW1381" s="867">
        <f>VLOOKUP(BD1381,$BD$4:$BN$12824,11,0)*BE1381</f>
        <v>0</v>
      </c>
      <c r="BX1381" s="1146">
        <f t="shared" si="264"/>
        <v>11720.264452491068</v>
      </c>
      <c r="BY1381" s="867">
        <f t="shared" si="267"/>
        <v>86261.507330577806</v>
      </c>
      <c r="BZ1381" s="867">
        <f t="shared" si="265"/>
        <v>258784.5219917334</v>
      </c>
      <c r="CA1381" s="867">
        <f>_xlfn.MAXIFS($BY$4:$BY$12824,$S$4:$S$12824,$S1381)</f>
        <v>97385.845927534101</v>
      </c>
      <c r="CB1381" s="1032"/>
      <c r="CF1381" s="946">
        <f t="shared" si="266"/>
        <v>223780.76639999999</v>
      </c>
    </row>
    <row r="1382" spans="2:84">
      <c r="B1382" s="839" t="s">
        <v>98</v>
      </c>
      <c r="C1382" s="839" t="s">
        <v>273</v>
      </c>
      <c r="D1382" s="839" t="s">
        <v>4041</v>
      </c>
      <c r="E1382" s="839" t="s">
        <v>4041</v>
      </c>
      <c r="F1382" s="841">
        <v>45731</v>
      </c>
      <c r="G1382" s="868" t="s">
        <v>273</v>
      </c>
      <c r="H1382" s="842" t="s">
        <v>102</v>
      </c>
      <c r="I1382" s="883" t="s">
        <v>4658</v>
      </c>
      <c r="J1382" s="841">
        <v>45873</v>
      </c>
      <c r="K1382" s="841">
        <v>45879</v>
      </c>
      <c r="L1382" s="843" t="s">
        <v>106</v>
      </c>
      <c r="M1382" s="844" t="s">
        <v>275</v>
      </c>
      <c r="N1382" s="841"/>
      <c r="O1382" s="884" t="s">
        <v>150</v>
      </c>
      <c r="P1382" s="842" t="s">
        <v>4018</v>
      </c>
      <c r="Q1382" s="843"/>
      <c r="R1382" s="845">
        <v>14109.24</v>
      </c>
      <c r="S1382" s="1127" t="s">
        <v>4023</v>
      </c>
      <c r="T1382" s="885" t="s">
        <v>4024</v>
      </c>
      <c r="U1382" s="886">
        <v>3</v>
      </c>
      <c r="V1382" s="842" t="s">
        <v>3</v>
      </c>
      <c r="W1382" s="846">
        <v>4.96</v>
      </c>
      <c r="X1382" s="847">
        <f t="shared" si="268"/>
        <v>14.879999999999999</v>
      </c>
      <c r="Y1382" s="853">
        <v>0.5</v>
      </c>
      <c r="Z1382" s="847">
        <v>2.48</v>
      </c>
      <c r="AA1382" s="849"/>
      <c r="AB1382" s="849">
        <f t="shared" si="260"/>
        <v>7.4399999999999995</v>
      </c>
      <c r="AC1382" s="850">
        <f t="shared" si="261"/>
        <v>7.4399999999999995</v>
      </c>
      <c r="AD1382" s="851">
        <f t="shared" si="258"/>
        <v>32000</v>
      </c>
      <c r="AE1382" s="852">
        <v>30078.06</v>
      </c>
      <c r="AF1382" s="853">
        <v>0.1</v>
      </c>
      <c r="AG1382" s="854">
        <f t="shared" si="262"/>
        <v>23283.491139242331</v>
      </c>
      <c r="AH1382" s="853">
        <v>0.1</v>
      </c>
      <c r="AI1382" s="855">
        <f t="shared" si="263"/>
        <v>24706.425753924235</v>
      </c>
      <c r="AJ1382" s="845" t="s">
        <v>4641</v>
      </c>
      <c r="AK1382" s="857">
        <v>45820</v>
      </c>
      <c r="AL1382" s="843" t="s">
        <v>4642</v>
      </c>
      <c r="AM1382" s="843" t="s">
        <v>4643</v>
      </c>
      <c r="AN1382" s="844" t="s">
        <v>3951</v>
      </c>
      <c r="AO1382" s="844" t="s">
        <v>141</v>
      </c>
      <c r="AP1382" s="841"/>
      <c r="AQ1382" s="841">
        <v>45832</v>
      </c>
      <c r="AR1382" s="841">
        <v>45876</v>
      </c>
      <c r="AS1382" s="842" t="s">
        <v>1284</v>
      </c>
      <c r="AT1382" s="842" t="s">
        <v>1743</v>
      </c>
      <c r="AU1382" s="842" t="s">
        <v>1210</v>
      </c>
      <c r="AV1382" s="845" t="s">
        <v>4644</v>
      </c>
      <c r="AW1382" s="861">
        <v>45883</v>
      </c>
      <c r="AX1382" s="862">
        <v>45884</v>
      </c>
      <c r="AY1382" s="843"/>
      <c r="AZ1382" s="842"/>
      <c r="BA1382" s="842" t="s">
        <v>120</v>
      </c>
      <c r="BB1382" s="863" t="s">
        <v>121</v>
      </c>
      <c r="BC1382" s="864">
        <v>45885</v>
      </c>
      <c r="BD1382" s="860" t="s">
        <v>4645</v>
      </c>
      <c r="BE1382" s="865" cm="1">
        <f t="array" ref="BE1382">IF(BD1382="","",AC1382/SUMPRODUCT(--(BD1382=$BD$4:$BD$12824),$AC$4:$AC$12824))</f>
        <v>6.4236395461007942E-4</v>
      </c>
      <c r="BF1382" s="458"/>
      <c r="BG1382" s="458"/>
      <c r="BH1382" s="458"/>
      <c r="BI1382" s="458"/>
      <c r="BJ1382" s="458"/>
      <c r="BK1382" s="458"/>
      <c r="BL1382" s="458"/>
      <c r="BM1382" s="458"/>
      <c r="BN1382" s="458"/>
      <c r="BO1382" s="866">
        <f>VLOOKUP(BD1382,$BD$4:$BN$12824,3,0)*BE1382</f>
        <v>8837.421029597177</v>
      </c>
      <c r="BP1382" s="866"/>
      <c r="BQ1382" s="866"/>
      <c r="BR1382" s="866">
        <f>VLOOKUP(BD1382,$BD$4:$BN$12824,6,0)*BE1382</f>
        <v>2645.4385525490984</v>
      </c>
      <c r="BS1382" s="866">
        <f>VLOOKUP(BD1382,$BD$4:$BN$12824,7,0)*BE1382</f>
        <v>216.72396282612164</v>
      </c>
      <c r="BT1382" s="866"/>
      <c r="BU1382" s="866">
        <f>VLOOKUP(BD1382,$BD$4:$BN$12824,9,0)*BE1382</f>
        <v>20.680907518671507</v>
      </c>
      <c r="BV1382" s="867"/>
      <c r="BW1382" s="867">
        <f>VLOOKUP(BD1382,$BD$4:$BN$12824,11,0)*BE1382</f>
        <v>0</v>
      </c>
      <c r="BX1382" s="1146">
        <f t="shared" si="264"/>
        <v>11720.264452491068</v>
      </c>
      <c r="BY1382" s="867">
        <f t="shared" si="267"/>
        <v>86261.507330577806</v>
      </c>
      <c r="BZ1382" s="867">
        <f t="shared" si="265"/>
        <v>258784.5219917334</v>
      </c>
      <c r="CA1382" s="867">
        <f>_xlfn.MAXIFS($BY$4:$BY$12824,$S$4:$S$12824,$S1382)</f>
        <v>86261.507330577806</v>
      </c>
      <c r="CB1382" s="1032"/>
      <c r="CF1382" s="946">
        <f t="shared" si="266"/>
        <v>223780.76639999999</v>
      </c>
    </row>
    <row r="1383" spans="2:84">
      <c r="B1383" s="839" t="s">
        <v>98</v>
      </c>
      <c r="C1383" s="839" t="s">
        <v>273</v>
      </c>
      <c r="D1383" s="839" t="s">
        <v>4041</v>
      </c>
      <c r="E1383" s="839" t="s">
        <v>4041</v>
      </c>
      <c r="F1383" s="841">
        <v>45731</v>
      </c>
      <c r="G1383" s="868" t="s">
        <v>273</v>
      </c>
      <c r="H1383" s="842" t="s">
        <v>102</v>
      </c>
      <c r="I1383" s="883" t="s">
        <v>4658</v>
      </c>
      <c r="J1383" s="841">
        <v>45873</v>
      </c>
      <c r="K1383" s="841">
        <v>45879</v>
      </c>
      <c r="L1383" s="843" t="s">
        <v>106</v>
      </c>
      <c r="M1383" s="844" t="s">
        <v>275</v>
      </c>
      <c r="N1383" s="841"/>
      <c r="O1383" s="884" t="s">
        <v>150</v>
      </c>
      <c r="P1383" s="842" t="s">
        <v>4018</v>
      </c>
      <c r="Q1383" s="843"/>
      <c r="R1383" s="845">
        <v>14264.24</v>
      </c>
      <c r="S1383" s="1127" t="s">
        <v>4667</v>
      </c>
      <c r="T1383" s="885" t="s">
        <v>4668</v>
      </c>
      <c r="U1383" s="886">
        <v>3</v>
      </c>
      <c r="V1383" s="842" t="s">
        <v>3</v>
      </c>
      <c r="W1383" s="846">
        <v>83.76</v>
      </c>
      <c r="X1383" s="847">
        <f t="shared" si="268"/>
        <v>251.28000000000003</v>
      </c>
      <c r="Y1383" s="853">
        <v>0.5</v>
      </c>
      <c r="Z1383" s="847">
        <v>41.88</v>
      </c>
      <c r="AA1383" s="849"/>
      <c r="AB1383" s="849">
        <f t="shared" si="260"/>
        <v>125.64000000000001</v>
      </c>
      <c r="AC1383" s="850">
        <f t="shared" si="261"/>
        <v>125.64000000000001</v>
      </c>
      <c r="AD1383" s="851">
        <f t="shared" si="258"/>
        <v>32000</v>
      </c>
      <c r="AE1383" s="852">
        <v>30078.06</v>
      </c>
      <c r="AF1383" s="853">
        <v>0.1</v>
      </c>
      <c r="AG1383" s="854">
        <f t="shared" si="262"/>
        <v>393190.56810946332</v>
      </c>
      <c r="AH1383" s="853">
        <v>0.1</v>
      </c>
      <c r="AI1383" s="855">
        <f t="shared" si="263"/>
        <v>417219.80265094643</v>
      </c>
      <c r="AJ1383" s="845" t="s">
        <v>4641</v>
      </c>
      <c r="AK1383" s="857">
        <v>45820</v>
      </c>
      <c r="AL1383" s="843" t="s">
        <v>4642</v>
      </c>
      <c r="AM1383" s="843" t="s">
        <v>4643</v>
      </c>
      <c r="AN1383" s="844" t="s">
        <v>3951</v>
      </c>
      <c r="AO1383" s="844" t="s">
        <v>141</v>
      </c>
      <c r="AP1383" s="841"/>
      <c r="AQ1383" s="841">
        <v>45832</v>
      </c>
      <c r="AR1383" s="841">
        <v>45876</v>
      </c>
      <c r="AS1383" s="842" t="s">
        <v>1284</v>
      </c>
      <c r="AT1383" s="842" t="s">
        <v>1743</v>
      </c>
      <c r="AU1383" s="842" t="s">
        <v>1210</v>
      </c>
      <c r="AV1383" s="845" t="s">
        <v>4644</v>
      </c>
      <c r="AW1383" s="861">
        <v>45883</v>
      </c>
      <c r="AX1383" s="862">
        <v>45884</v>
      </c>
      <c r="AY1383" s="843"/>
      <c r="AZ1383" s="842"/>
      <c r="BA1383" s="842" t="s">
        <v>120</v>
      </c>
      <c r="BB1383" s="863" t="s">
        <v>121</v>
      </c>
      <c r="BC1383" s="864">
        <v>45885</v>
      </c>
      <c r="BD1383" s="860" t="s">
        <v>4645</v>
      </c>
      <c r="BE1383" s="865" cm="1">
        <f t="array" ref="BE1383">IF(BD1383="","",AC1383/SUMPRODUCT(--(BD1383=$BD$4:$BD$12824),$AC$4:$AC$12824))</f>
        <v>1.0847662265754085E-2</v>
      </c>
      <c r="BF1383" s="458"/>
      <c r="BG1383" s="458"/>
      <c r="BH1383" s="458"/>
      <c r="BI1383" s="458"/>
      <c r="BJ1383" s="458"/>
      <c r="BK1383" s="458"/>
      <c r="BL1383" s="458"/>
      <c r="BM1383" s="458"/>
      <c r="BN1383" s="458"/>
      <c r="BO1383" s="866">
        <f>VLOOKUP(BD1383,$BD$4:$BN$12824,3,0)*BE1383</f>
        <v>149238.38416110075</v>
      </c>
      <c r="BP1383" s="866"/>
      <c r="BQ1383" s="866"/>
      <c r="BR1383" s="866">
        <f>VLOOKUP(BD1383,$BD$4:$BN$12824,6,0)*BE1383</f>
        <v>44673.776847079134</v>
      </c>
      <c r="BS1383" s="866">
        <f>VLOOKUP(BD1383,$BD$4:$BN$12824,7,0)*BE1383</f>
        <v>3659.838533531442</v>
      </c>
      <c r="BT1383" s="866"/>
      <c r="BU1383" s="866">
        <f>VLOOKUP(BD1383,$BD$4:$BN$12824,9,0)*BE1383</f>
        <v>349.24048664595273</v>
      </c>
      <c r="BV1383" s="867"/>
      <c r="BW1383" s="867">
        <f>VLOOKUP(BD1383,$BD$4:$BN$12824,11,0)*BE1383</f>
        <v>0</v>
      </c>
      <c r="BX1383" s="1146">
        <f t="shared" si="264"/>
        <v>197921.24002835728</v>
      </c>
      <c r="BY1383" s="867">
        <f t="shared" si="267"/>
        <v>1456706.422179274</v>
      </c>
      <c r="BZ1383" s="867">
        <f t="shared" si="265"/>
        <v>4370119.2665378219</v>
      </c>
      <c r="CA1383" s="867">
        <f>_xlfn.MAXIFS($BY$4:$BY$12824,$S$4:$S$12824,$S1383)</f>
        <v>1456706.422179274</v>
      </c>
      <c r="CB1383" s="1032"/>
      <c r="CF1383" s="946">
        <f t="shared" si="266"/>
        <v>3779007.4584000008</v>
      </c>
    </row>
    <row r="1384" spans="2:84">
      <c r="B1384" s="839" t="s">
        <v>98</v>
      </c>
      <c r="C1384" s="839" t="s">
        <v>273</v>
      </c>
      <c r="D1384" s="839" t="s">
        <v>4041</v>
      </c>
      <c r="E1384" s="839" t="s">
        <v>4041</v>
      </c>
      <c r="F1384" s="841">
        <v>45731</v>
      </c>
      <c r="G1384" s="868" t="s">
        <v>273</v>
      </c>
      <c r="H1384" s="842" t="s">
        <v>102</v>
      </c>
      <c r="I1384" s="883" t="s">
        <v>4658</v>
      </c>
      <c r="J1384" s="841">
        <v>45873</v>
      </c>
      <c r="K1384" s="841">
        <v>45879</v>
      </c>
      <c r="L1384" s="843" t="s">
        <v>106</v>
      </c>
      <c r="M1384" s="844" t="s">
        <v>275</v>
      </c>
      <c r="N1384" s="841"/>
      <c r="O1384" s="884" t="s">
        <v>150</v>
      </c>
      <c r="P1384" s="842" t="s">
        <v>4018</v>
      </c>
      <c r="Q1384" s="843"/>
      <c r="R1384" s="845">
        <v>15399</v>
      </c>
      <c r="S1384" s="1127" t="s">
        <v>4551</v>
      </c>
      <c r="T1384" s="885" t="s">
        <v>4552</v>
      </c>
      <c r="U1384" s="886">
        <v>2</v>
      </c>
      <c r="V1384" s="842" t="s">
        <v>3</v>
      </c>
      <c r="W1384" s="846">
        <v>6.45</v>
      </c>
      <c r="X1384" s="847">
        <f t="shared" si="268"/>
        <v>12.9</v>
      </c>
      <c r="Y1384" s="853">
        <v>0.5</v>
      </c>
      <c r="Z1384" s="847">
        <v>3.2250000000000001</v>
      </c>
      <c r="AA1384" s="849"/>
      <c r="AB1384" s="849">
        <f t="shared" si="260"/>
        <v>6.45</v>
      </c>
      <c r="AC1384" s="850">
        <f t="shared" si="261"/>
        <v>6.45</v>
      </c>
      <c r="AD1384" s="851">
        <f t="shared" si="258"/>
        <v>32000</v>
      </c>
      <c r="AE1384" s="852">
        <v>30078.06</v>
      </c>
      <c r="AF1384" s="853">
        <v>0.1</v>
      </c>
      <c r="AG1384" s="854">
        <f t="shared" si="262"/>
        <v>20185.284657004442</v>
      </c>
      <c r="AH1384" s="853">
        <v>0.1</v>
      </c>
      <c r="AI1384" s="855">
        <f t="shared" si="263"/>
        <v>21418.877165700447</v>
      </c>
      <c r="AJ1384" s="845" t="s">
        <v>4641</v>
      </c>
      <c r="AK1384" s="857">
        <v>45820</v>
      </c>
      <c r="AL1384" s="843" t="s">
        <v>4642</v>
      </c>
      <c r="AM1384" s="843" t="s">
        <v>4643</v>
      </c>
      <c r="AN1384" s="844" t="s">
        <v>3951</v>
      </c>
      <c r="AO1384" s="844" t="s">
        <v>141</v>
      </c>
      <c r="AP1384" s="841"/>
      <c r="AQ1384" s="841">
        <v>45832</v>
      </c>
      <c r="AR1384" s="841">
        <v>45876</v>
      </c>
      <c r="AS1384" s="842" t="s">
        <v>1284</v>
      </c>
      <c r="AT1384" s="842" t="s">
        <v>1743</v>
      </c>
      <c r="AU1384" s="842" t="s">
        <v>1210</v>
      </c>
      <c r="AV1384" s="845" t="s">
        <v>4644</v>
      </c>
      <c r="AW1384" s="861">
        <v>45883</v>
      </c>
      <c r="AX1384" s="862">
        <v>45884</v>
      </c>
      <c r="AY1384" s="843"/>
      <c r="AZ1384" s="842"/>
      <c r="BA1384" s="842" t="s">
        <v>120</v>
      </c>
      <c r="BB1384" s="863" t="s">
        <v>121</v>
      </c>
      <c r="BC1384" s="864">
        <v>45885</v>
      </c>
      <c r="BD1384" s="860" t="s">
        <v>4645</v>
      </c>
      <c r="BE1384" s="865" cm="1">
        <f t="array" ref="BE1384">IF(BD1384="","",AC1384/SUMPRODUCT(--(BD1384=$BD$4:$BD$12824),$AC$4:$AC$12824))</f>
        <v>5.5688810581115754E-4</v>
      </c>
      <c r="BF1384" s="458"/>
      <c r="BG1384" s="458"/>
      <c r="BH1384" s="458"/>
      <c r="BI1384" s="458"/>
      <c r="BJ1384" s="458"/>
      <c r="BK1384" s="458"/>
      <c r="BL1384" s="458"/>
      <c r="BM1384" s="458"/>
      <c r="BN1384" s="458"/>
      <c r="BO1384" s="866">
        <f>VLOOKUP(BD1384,$BD$4:$BN$12824,3,0)*BE1384</f>
        <v>7661.4738764652948</v>
      </c>
      <c r="BP1384" s="866"/>
      <c r="BQ1384" s="866"/>
      <c r="BR1384" s="866">
        <f>VLOOKUP(BD1384,$BD$4:$BN$12824,6,0)*BE1384</f>
        <v>2293.4245516050651</v>
      </c>
      <c r="BS1384" s="866">
        <f>VLOOKUP(BD1384,$BD$4:$BN$12824,7,0)*BE1384</f>
        <v>187.88569357909739</v>
      </c>
      <c r="BT1384" s="866"/>
      <c r="BU1384" s="866">
        <f>VLOOKUP(BD1384,$BD$4:$BN$12824,9,0)*BE1384</f>
        <v>17.929012566590217</v>
      </c>
      <c r="BV1384" s="867"/>
      <c r="BW1384" s="867">
        <f>VLOOKUP(BD1384,$BD$4:$BN$12824,11,0)*BE1384</f>
        <v>0</v>
      </c>
      <c r="BX1384" s="1146">
        <f t="shared" si="264"/>
        <v>10160.713134216046</v>
      </c>
      <c r="BY1384" s="867">
        <f t="shared" si="267"/>
        <v>112174.74239561026</v>
      </c>
      <c r="BZ1384" s="867">
        <f t="shared" si="265"/>
        <v>224349.48479122052</v>
      </c>
      <c r="CA1384" s="867">
        <f>_xlfn.MAXIFS($BY$4:$BY$12824,$S$4:$S$12824,$S1384)</f>
        <v>127378.55253610518</v>
      </c>
      <c r="CB1384" s="1032"/>
      <c r="CF1384" s="946">
        <f t="shared" si="266"/>
        <v>194003.48700000002</v>
      </c>
    </row>
    <row r="1385" spans="2:84">
      <c r="B1385" s="839" t="s">
        <v>98</v>
      </c>
      <c r="C1385" s="839" t="s">
        <v>273</v>
      </c>
      <c r="D1385" s="839" t="s">
        <v>4041</v>
      </c>
      <c r="E1385" s="839" t="s">
        <v>4041</v>
      </c>
      <c r="F1385" s="841">
        <v>45731</v>
      </c>
      <c r="G1385" s="868" t="s">
        <v>273</v>
      </c>
      <c r="H1385" s="842" t="s">
        <v>102</v>
      </c>
      <c r="I1385" s="883" t="s">
        <v>4658</v>
      </c>
      <c r="J1385" s="841">
        <v>45873</v>
      </c>
      <c r="K1385" s="841">
        <v>45879</v>
      </c>
      <c r="L1385" s="843" t="s">
        <v>106</v>
      </c>
      <c r="M1385" s="844" t="s">
        <v>275</v>
      </c>
      <c r="N1385" s="841"/>
      <c r="O1385" s="884" t="s">
        <v>150</v>
      </c>
      <c r="P1385" s="842" t="s">
        <v>4018</v>
      </c>
      <c r="Q1385" s="843"/>
      <c r="R1385" s="845">
        <v>16785.240000000002</v>
      </c>
      <c r="S1385" s="1127" t="s">
        <v>4669</v>
      </c>
      <c r="T1385" s="885" t="s">
        <v>4670</v>
      </c>
      <c r="U1385" s="886">
        <v>2</v>
      </c>
      <c r="V1385" s="842" t="s">
        <v>3</v>
      </c>
      <c r="W1385" s="846">
        <v>21.78</v>
      </c>
      <c r="X1385" s="847">
        <f t="shared" si="268"/>
        <v>43.56</v>
      </c>
      <c r="Y1385" s="853">
        <v>0.5</v>
      </c>
      <c r="Z1385" s="847">
        <v>10.89</v>
      </c>
      <c r="AA1385" s="849"/>
      <c r="AB1385" s="849">
        <f t="shared" si="260"/>
        <v>21.78</v>
      </c>
      <c r="AC1385" s="850">
        <f t="shared" si="261"/>
        <v>21.78</v>
      </c>
      <c r="AD1385" s="851">
        <f t="shared" si="258"/>
        <v>32000</v>
      </c>
      <c r="AE1385" s="852">
        <v>30078.06</v>
      </c>
      <c r="AF1385" s="853">
        <v>0.1</v>
      </c>
      <c r="AG1385" s="854">
        <f t="shared" si="262"/>
        <v>68160.542609233613</v>
      </c>
      <c r="AH1385" s="853">
        <v>0.1</v>
      </c>
      <c r="AI1385" s="855">
        <f t="shared" si="263"/>
        <v>72326.068940923375</v>
      </c>
      <c r="AJ1385" s="845" t="s">
        <v>4641</v>
      </c>
      <c r="AK1385" s="857">
        <v>45820</v>
      </c>
      <c r="AL1385" s="843" t="s">
        <v>4642</v>
      </c>
      <c r="AM1385" s="843" t="s">
        <v>4643</v>
      </c>
      <c r="AN1385" s="844" t="s">
        <v>3951</v>
      </c>
      <c r="AO1385" s="844" t="s">
        <v>141</v>
      </c>
      <c r="AP1385" s="841"/>
      <c r="AQ1385" s="841">
        <v>45832</v>
      </c>
      <c r="AR1385" s="841">
        <v>45876</v>
      </c>
      <c r="AS1385" s="842" t="s">
        <v>1284</v>
      </c>
      <c r="AT1385" s="842" t="s">
        <v>1743</v>
      </c>
      <c r="AU1385" s="842" t="s">
        <v>1210</v>
      </c>
      <c r="AV1385" s="845" t="s">
        <v>4644</v>
      </c>
      <c r="AW1385" s="861">
        <v>45883</v>
      </c>
      <c r="AX1385" s="862">
        <v>45884</v>
      </c>
      <c r="AY1385" s="843"/>
      <c r="AZ1385" s="842"/>
      <c r="BA1385" s="842" t="s">
        <v>120</v>
      </c>
      <c r="BB1385" s="863" t="s">
        <v>121</v>
      </c>
      <c r="BC1385" s="864">
        <v>45885</v>
      </c>
      <c r="BD1385" s="860" t="s">
        <v>4645</v>
      </c>
      <c r="BE1385" s="865" cm="1">
        <f t="array" ref="BE1385">IF(BD1385="","",AC1385/SUMPRODUCT(--(BD1385=$BD$4:$BD$12824),$AC$4:$AC$12824))</f>
        <v>1.8804686735762811E-3</v>
      </c>
      <c r="BF1385" s="458"/>
      <c r="BG1385" s="458"/>
      <c r="BH1385" s="458"/>
      <c r="BI1385" s="458"/>
      <c r="BJ1385" s="458"/>
      <c r="BK1385" s="458"/>
      <c r="BL1385" s="458"/>
      <c r="BM1385" s="458"/>
      <c r="BN1385" s="458"/>
      <c r="BO1385" s="866">
        <f>VLOOKUP(BD1385,$BD$4:$BN$12824,3,0)*BE1385</f>
        <v>25870.837368901419</v>
      </c>
      <c r="BP1385" s="866"/>
      <c r="BQ1385" s="866"/>
      <c r="BR1385" s="866">
        <f>VLOOKUP(BD1385,$BD$4:$BN$12824,6,0)*BE1385</f>
        <v>7744.3080207687317</v>
      </c>
      <c r="BS1385" s="866">
        <f>VLOOKUP(BD1385,$BD$4:$BN$12824,7,0)*BE1385</f>
        <v>634.44192343453358</v>
      </c>
      <c r="BT1385" s="866"/>
      <c r="BU1385" s="866">
        <f>VLOOKUP(BD1385,$BD$4:$BN$12824,9,0)*BE1385</f>
        <v>60.541688945788366</v>
      </c>
      <c r="BV1385" s="867"/>
      <c r="BW1385" s="867">
        <f>VLOOKUP(BD1385,$BD$4:$BN$12824,11,0)*BE1385</f>
        <v>0</v>
      </c>
      <c r="BX1385" s="1146">
        <f t="shared" si="264"/>
        <v>34310.129002050475</v>
      </c>
      <c r="BY1385" s="867">
        <f t="shared" si="267"/>
        <v>378785.40920564212</v>
      </c>
      <c r="BZ1385" s="867">
        <f t="shared" si="265"/>
        <v>757570.81841128424</v>
      </c>
      <c r="CA1385" s="867">
        <f>_xlfn.MAXIFS($BY$4:$BY$12824,$S$4:$S$12824,$S1385)</f>
        <v>378785.40920564212</v>
      </c>
      <c r="CB1385" s="1032"/>
      <c r="CF1385" s="946">
        <f t="shared" si="266"/>
        <v>655100.1468000001</v>
      </c>
    </row>
    <row r="1386" spans="2:84">
      <c r="B1386" s="839" t="s">
        <v>98</v>
      </c>
      <c r="C1386" s="839" t="s">
        <v>273</v>
      </c>
      <c r="D1386" s="839" t="s">
        <v>4041</v>
      </c>
      <c r="E1386" s="839" t="s">
        <v>4041</v>
      </c>
      <c r="F1386" s="841">
        <v>45731</v>
      </c>
      <c r="G1386" s="868" t="s">
        <v>273</v>
      </c>
      <c r="H1386" s="842" t="s">
        <v>102</v>
      </c>
      <c r="I1386" s="883" t="s">
        <v>4658</v>
      </c>
      <c r="J1386" s="841">
        <v>45873</v>
      </c>
      <c r="K1386" s="841">
        <v>45879</v>
      </c>
      <c r="L1386" s="843" t="s">
        <v>106</v>
      </c>
      <c r="M1386" s="844" t="s">
        <v>275</v>
      </c>
      <c r="N1386" s="841"/>
      <c r="O1386" s="884" t="s">
        <v>150</v>
      </c>
      <c r="P1386" s="842" t="s">
        <v>4018</v>
      </c>
      <c r="Q1386" s="843"/>
      <c r="R1386" s="845">
        <v>16791.240000000002</v>
      </c>
      <c r="S1386" s="1127" t="s">
        <v>4671</v>
      </c>
      <c r="T1386" s="885" t="s">
        <v>4672</v>
      </c>
      <c r="U1386" s="886">
        <v>2</v>
      </c>
      <c r="V1386" s="842" t="s">
        <v>3</v>
      </c>
      <c r="W1386" s="846">
        <v>28.41</v>
      </c>
      <c r="X1386" s="847">
        <f t="shared" si="268"/>
        <v>56.82</v>
      </c>
      <c r="Y1386" s="853">
        <v>0.5</v>
      </c>
      <c r="Z1386" s="847">
        <v>14.205</v>
      </c>
      <c r="AA1386" s="849"/>
      <c r="AB1386" s="849">
        <f t="shared" si="260"/>
        <v>28.41</v>
      </c>
      <c r="AC1386" s="850">
        <f t="shared" si="261"/>
        <v>28.41</v>
      </c>
      <c r="AD1386" s="851">
        <f t="shared" si="258"/>
        <v>32000</v>
      </c>
      <c r="AE1386" s="852">
        <v>30078.06</v>
      </c>
      <c r="AF1386" s="853">
        <v>0.1</v>
      </c>
      <c r="AG1386" s="854">
        <f t="shared" si="262"/>
        <v>88909.137535735848</v>
      </c>
      <c r="AH1386" s="853">
        <v>0.1</v>
      </c>
      <c r="AI1386" s="855">
        <f t="shared" si="263"/>
        <v>94342.6822135736</v>
      </c>
      <c r="AJ1386" s="845" t="s">
        <v>4641</v>
      </c>
      <c r="AK1386" s="857">
        <v>45820</v>
      </c>
      <c r="AL1386" s="843" t="s">
        <v>4642</v>
      </c>
      <c r="AM1386" s="843" t="s">
        <v>4643</v>
      </c>
      <c r="AN1386" s="844" t="s">
        <v>3951</v>
      </c>
      <c r="AO1386" s="844" t="s">
        <v>141</v>
      </c>
      <c r="AP1386" s="841"/>
      <c r="AQ1386" s="841">
        <v>45832</v>
      </c>
      <c r="AR1386" s="841">
        <v>45876</v>
      </c>
      <c r="AS1386" s="842" t="s">
        <v>1284</v>
      </c>
      <c r="AT1386" s="842" t="s">
        <v>1743</v>
      </c>
      <c r="AU1386" s="842" t="s">
        <v>1210</v>
      </c>
      <c r="AV1386" s="845" t="s">
        <v>4644</v>
      </c>
      <c r="AW1386" s="861">
        <v>45883</v>
      </c>
      <c r="AX1386" s="862">
        <v>45884</v>
      </c>
      <c r="AY1386" s="843"/>
      <c r="AZ1386" s="842"/>
      <c r="BA1386" s="842" t="s">
        <v>120</v>
      </c>
      <c r="BB1386" s="863" t="s">
        <v>121</v>
      </c>
      <c r="BC1386" s="864">
        <v>45885</v>
      </c>
      <c r="BD1386" s="860" t="s">
        <v>4645</v>
      </c>
      <c r="BE1386" s="865" cm="1">
        <f t="array" ref="BE1386">IF(BD1386="","",AC1386/SUMPRODUCT(--(BD1386=$BD$4:$BD$12824),$AC$4:$AC$12824))</f>
        <v>2.4528978428054243E-3</v>
      </c>
      <c r="BF1386" s="458"/>
      <c r="BG1386" s="458"/>
      <c r="BH1386" s="458"/>
      <c r="BI1386" s="458"/>
      <c r="BJ1386" s="458"/>
      <c r="BK1386" s="458"/>
      <c r="BL1386" s="458"/>
      <c r="BM1386" s="458"/>
      <c r="BN1386" s="458"/>
      <c r="BO1386" s="866">
        <f>VLOOKUP(BD1386,$BD$4:$BN$12824,3,0)*BE1386</f>
        <v>33746.119818663414</v>
      </c>
      <c r="BP1386" s="866"/>
      <c r="BQ1386" s="866"/>
      <c r="BR1386" s="866">
        <f>VLOOKUP(BD1386,$BD$4:$BN$12824,6,0)*BE1386</f>
        <v>10101.735117999984</v>
      </c>
      <c r="BS1386" s="866">
        <f>VLOOKUP(BD1386,$BD$4:$BN$12824,7,0)*BE1386</f>
        <v>827.57093869490802</v>
      </c>
      <c r="BT1386" s="866"/>
      <c r="BU1386" s="866">
        <f>VLOOKUP(BD1386,$BD$4:$BN$12824,9,0)*BE1386</f>
        <v>78.971046049120631</v>
      </c>
      <c r="BV1386" s="867"/>
      <c r="BW1386" s="867">
        <f>VLOOKUP(BD1386,$BD$4:$BN$12824,11,0)*BE1386</f>
        <v>0</v>
      </c>
      <c r="BX1386" s="1146">
        <f t="shared" si="264"/>
        <v>44754.396921407424</v>
      </c>
      <c r="BY1386" s="867">
        <f t="shared" si="267"/>
        <v>494090.60952857166</v>
      </c>
      <c r="BZ1386" s="867">
        <f t="shared" si="265"/>
        <v>988181.21905714332</v>
      </c>
      <c r="CA1386" s="867">
        <f>_xlfn.MAXIFS($BY$4:$BY$12824,$S$4:$S$12824,$S1386)</f>
        <v>494090.60952857166</v>
      </c>
      <c r="CB1386" s="1032"/>
      <c r="CF1386" s="946">
        <f t="shared" si="266"/>
        <v>854517.68460000004</v>
      </c>
    </row>
    <row r="1387" spans="2:84">
      <c r="B1387" s="839" t="s">
        <v>98</v>
      </c>
      <c r="C1387" s="839" t="s">
        <v>273</v>
      </c>
      <c r="D1387" s="839" t="s">
        <v>4041</v>
      </c>
      <c r="E1387" s="839" t="s">
        <v>4041</v>
      </c>
      <c r="F1387" s="841">
        <v>45731</v>
      </c>
      <c r="G1387" s="868" t="s">
        <v>273</v>
      </c>
      <c r="H1387" s="842" t="s">
        <v>102</v>
      </c>
      <c r="I1387" s="883" t="s">
        <v>4658</v>
      </c>
      <c r="J1387" s="841">
        <v>45873</v>
      </c>
      <c r="K1387" s="841">
        <v>45879</v>
      </c>
      <c r="L1387" s="843" t="s">
        <v>106</v>
      </c>
      <c r="M1387" s="844" t="s">
        <v>275</v>
      </c>
      <c r="N1387" s="841"/>
      <c r="O1387" s="884" t="s">
        <v>150</v>
      </c>
      <c r="P1387" s="842" t="s">
        <v>4018</v>
      </c>
      <c r="Q1387" s="843"/>
      <c r="R1387" s="845">
        <v>18453</v>
      </c>
      <c r="S1387" s="1127" t="s">
        <v>4029</v>
      </c>
      <c r="T1387" s="885" t="s">
        <v>4030</v>
      </c>
      <c r="U1387" s="886">
        <v>3</v>
      </c>
      <c r="V1387" s="842" t="s">
        <v>3</v>
      </c>
      <c r="W1387" s="846">
        <v>31.08</v>
      </c>
      <c r="X1387" s="847">
        <f t="shared" si="268"/>
        <v>93.24</v>
      </c>
      <c r="Y1387" s="853">
        <v>0.5</v>
      </c>
      <c r="Z1387" s="847">
        <v>15.54</v>
      </c>
      <c r="AA1387" s="849"/>
      <c r="AB1387" s="849">
        <f t="shared" si="260"/>
        <v>46.62</v>
      </c>
      <c r="AC1387" s="850">
        <f t="shared" si="261"/>
        <v>46.62</v>
      </c>
      <c r="AD1387" s="851">
        <f t="shared" si="258"/>
        <v>32000</v>
      </c>
      <c r="AE1387" s="852">
        <v>30078.06</v>
      </c>
      <c r="AF1387" s="853">
        <v>0.1</v>
      </c>
      <c r="AG1387" s="854">
        <f t="shared" si="262"/>
        <v>145897.35979992978</v>
      </c>
      <c r="AH1387" s="853">
        <v>0.1</v>
      </c>
      <c r="AI1387" s="855">
        <f t="shared" si="263"/>
        <v>154813.65169999297</v>
      </c>
      <c r="AJ1387" s="845" t="s">
        <v>4641</v>
      </c>
      <c r="AK1387" s="857">
        <v>45820</v>
      </c>
      <c r="AL1387" s="843" t="s">
        <v>4642</v>
      </c>
      <c r="AM1387" s="843" t="s">
        <v>4643</v>
      </c>
      <c r="AN1387" s="844" t="s">
        <v>3951</v>
      </c>
      <c r="AO1387" s="844" t="s">
        <v>141</v>
      </c>
      <c r="AP1387" s="841"/>
      <c r="AQ1387" s="841">
        <v>45832</v>
      </c>
      <c r="AR1387" s="841">
        <v>45876</v>
      </c>
      <c r="AS1387" s="842" t="s">
        <v>1284</v>
      </c>
      <c r="AT1387" s="842" t="s">
        <v>1743</v>
      </c>
      <c r="AU1387" s="842" t="s">
        <v>1210</v>
      </c>
      <c r="AV1387" s="845" t="s">
        <v>4644</v>
      </c>
      <c r="AW1387" s="861">
        <v>45883</v>
      </c>
      <c r="AX1387" s="862">
        <v>45884</v>
      </c>
      <c r="AY1387" s="843"/>
      <c r="AZ1387" s="842"/>
      <c r="BA1387" s="842" t="s">
        <v>120</v>
      </c>
      <c r="BB1387" s="863" t="s">
        <v>121</v>
      </c>
      <c r="BC1387" s="864">
        <v>45885</v>
      </c>
      <c r="BD1387" s="860" t="s">
        <v>4645</v>
      </c>
      <c r="BE1387" s="865" cm="1">
        <f t="array" ref="BE1387">IF(BD1387="","",AC1387/SUMPRODUCT(--(BD1387=$BD$4:$BD$12824),$AC$4:$AC$12824))</f>
        <v>4.0251354252583199E-3</v>
      </c>
      <c r="BF1387" s="458"/>
      <c r="BG1387" s="458"/>
      <c r="BH1387" s="458"/>
      <c r="BI1387" s="458"/>
      <c r="BJ1387" s="458"/>
      <c r="BK1387" s="458"/>
      <c r="BL1387" s="458"/>
      <c r="BM1387" s="458"/>
      <c r="BN1387" s="458"/>
      <c r="BO1387" s="866">
        <f>VLOOKUP(BD1387,$BD$4:$BN$12824,3,0)*BE1387</f>
        <v>55376.420483846829</v>
      </c>
      <c r="BP1387" s="866"/>
      <c r="BQ1387" s="866"/>
      <c r="BR1387" s="866">
        <f>VLOOKUP(BD1387,$BD$4:$BN$12824,6,0)*BE1387</f>
        <v>16576.659317182653</v>
      </c>
      <c r="BS1387" s="866">
        <f>VLOOKUP(BD1387,$BD$4:$BN$12824,7,0)*BE1387</f>
        <v>1358.0203154507783</v>
      </c>
      <c r="BT1387" s="866"/>
      <c r="BU1387" s="866">
        <f>VLOOKUP(BD1387,$BD$4:$BN$12824,9,0)*BE1387</f>
        <v>129.58923501619159</v>
      </c>
      <c r="BV1387" s="867"/>
      <c r="BW1387" s="867">
        <f>VLOOKUP(BD1387,$BD$4:$BN$12824,11,0)*BE1387</f>
        <v>0</v>
      </c>
      <c r="BX1387" s="1146">
        <f t="shared" si="264"/>
        <v>73440.689351496447</v>
      </c>
      <c r="BY1387" s="867">
        <f t="shared" si="267"/>
        <v>540525.73545047536</v>
      </c>
      <c r="BZ1387" s="867">
        <f t="shared" si="265"/>
        <v>1621577.206351426</v>
      </c>
      <c r="CA1387" s="867">
        <f>_xlfn.MAXIFS($BY$4:$BY$12824,$S$4:$S$12824,$S1387)</f>
        <v>682993.65396080317</v>
      </c>
      <c r="CB1387" s="1032"/>
      <c r="CF1387" s="946">
        <f t="shared" si="266"/>
        <v>1402239.1572</v>
      </c>
    </row>
    <row r="1388" spans="2:84">
      <c r="B1388" s="839" t="s">
        <v>98</v>
      </c>
      <c r="C1388" s="839" t="s">
        <v>273</v>
      </c>
      <c r="D1388" s="839" t="s">
        <v>4041</v>
      </c>
      <c r="E1388" s="839" t="s">
        <v>4041</v>
      </c>
      <c r="F1388" s="841">
        <v>45731</v>
      </c>
      <c r="G1388" s="868" t="s">
        <v>273</v>
      </c>
      <c r="H1388" s="842" t="s">
        <v>102</v>
      </c>
      <c r="I1388" s="883" t="s">
        <v>4658</v>
      </c>
      <c r="J1388" s="841">
        <v>45873</v>
      </c>
      <c r="K1388" s="841">
        <v>45879</v>
      </c>
      <c r="L1388" s="843" t="s">
        <v>106</v>
      </c>
      <c r="M1388" s="844" t="s">
        <v>275</v>
      </c>
      <c r="N1388" s="841"/>
      <c r="O1388" s="884" t="s">
        <v>150</v>
      </c>
      <c r="P1388" s="842" t="s">
        <v>4018</v>
      </c>
      <c r="Q1388" s="843"/>
      <c r="R1388" s="845">
        <v>18454</v>
      </c>
      <c r="S1388" s="1127" t="s">
        <v>4031</v>
      </c>
      <c r="T1388" s="885" t="s">
        <v>4032</v>
      </c>
      <c r="U1388" s="886">
        <v>3</v>
      </c>
      <c r="V1388" s="842" t="s">
        <v>3</v>
      </c>
      <c r="W1388" s="846">
        <v>31.08</v>
      </c>
      <c r="X1388" s="847">
        <f t="shared" si="268"/>
        <v>93.24</v>
      </c>
      <c r="Y1388" s="853">
        <v>0.5</v>
      </c>
      <c r="Z1388" s="847">
        <v>15.54</v>
      </c>
      <c r="AA1388" s="849"/>
      <c r="AB1388" s="849">
        <f t="shared" si="260"/>
        <v>46.62</v>
      </c>
      <c r="AC1388" s="850">
        <f t="shared" si="261"/>
        <v>46.62</v>
      </c>
      <c r="AD1388" s="851">
        <f t="shared" si="258"/>
        <v>32000</v>
      </c>
      <c r="AE1388" s="852">
        <v>30078.06</v>
      </c>
      <c r="AF1388" s="853">
        <v>0.1</v>
      </c>
      <c r="AG1388" s="854">
        <f t="shared" si="262"/>
        <v>145897.35979992978</v>
      </c>
      <c r="AH1388" s="853">
        <v>0.1</v>
      </c>
      <c r="AI1388" s="855">
        <f t="shared" si="263"/>
        <v>154813.65169999297</v>
      </c>
      <c r="AJ1388" s="845" t="s">
        <v>4641</v>
      </c>
      <c r="AK1388" s="857">
        <v>45820</v>
      </c>
      <c r="AL1388" s="843" t="s">
        <v>4642</v>
      </c>
      <c r="AM1388" s="843" t="s">
        <v>4643</v>
      </c>
      <c r="AN1388" s="844" t="s">
        <v>3951</v>
      </c>
      <c r="AO1388" s="844" t="s">
        <v>141</v>
      </c>
      <c r="AP1388" s="841"/>
      <c r="AQ1388" s="841">
        <v>45832</v>
      </c>
      <c r="AR1388" s="841">
        <v>45876</v>
      </c>
      <c r="AS1388" s="842" t="s">
        <v>1284</v>
      </c>
      <c r="AT1388" s="842" t="s">
        <v>1743</v>
      </c>
      <c r="AU1388" s="842" t="s">
        <v>1210</v>
      </c>
      <c r="AV1388" s="845" t="s">
        <v>4644</v>
      </c>
      <c r="AW1388" s="861">
        <v>45883</v>
      </c>
      <c r="AX1388" s="862">
        <v>45884</v>
      </c>
      <c r="AY1388" s="843"/>
      <c r="AZ1388" s="842"/>
      <c r="BA1388" s="842" t="s">
        <v>120</v>
      </c>
      <c r="BB1388" s="863" t="s">
        <v>121</v>
      </c>
      <c r="BC1388" s="864">
        <v>45885</v>
      </c>
      <c r="BD1388" s="860" t="s">
        <v>4645</v>
      </c>
      <c r="BE1388" s="865" cm="1">
        <f t="array" ref="BE1388">IF(BD1388="","",AC1388/SUMPRODUCT(--(BD1388=$BD$4:$BD$12824),$AC$4:$AC$12824))</f>
        <v>4.0251354252583199E-3</v>
      </c>
      <c r="BF1388" s="458"/>
      <c r="BG1388" s="458"/>
      <c r="BH1388" s="458"/>
      <c r="BI1388" s="458"/>
      <c r="BJ1388" s="458"/>
      <c r="BK1388" s="458"/>
      <c r="BL1388" s="458"/>
      <c r="BM1388" s="458"/>
      <c r="BN1388" s="458"/>
      <c r="BO1388" s="866">
        <f>VLOOKUP(BD1388,$BD$4:$BN$12824,3,0)*BE1388</f>
        <v>55376.420483846829</v>
      </c>
      <c r="BP1388" s="866"/>
      <c r="BQ1388" s="866"/>
      <c r="BR1388" s="866">
        <f>VLOOKUP(BD1388,$BD$4:$BN$12824,6,0)*BE1388</f>
        <v>16576.659317182653</v>
      </c>
      <c r="BS1388" s="866">
        <f>VLOOKUP(BD1388,$BD$4:$BN$12824,7,0)*BE1388</f>
        <v>1358.0203154507783</v>
      </c>
      <c r="BT1388" s="866"/>
      <c r="BU1388" s="866">
        <f>VLOOKUP(BD1388,$BD$4:$BN$12824,9,0)*BE1388</f>
        <v>129.58923501619159</v>
      </c>
      <c r="BV1388" s="867"/>
      <c r="BW1388" s="867">
        <f>VLOOKUP(BD1388,$BD$4:$BN$12824,11,0)*BE1388</f>
        <v>0</v>
      </c>
      <c r="BX1388" s="1146">
        <f t="shared" si="264"/>
        <v>73440.689351496447</v>
      </c>
      <c r="BY1388" s="867">
        <f t="shared" si="267"/>
        <v>540525.73545047536</v>
      </c>
      <c r="BZ1388" s="867">
        <f t="shared" si="265"/>
        <v>1621577.206351426</v>
      </c>
      <c r="CA1388" s="867">
        <f>_xlfn.MAXIFS($BY$4:$BY$12824,$S$4:$S$12824,$S1388)</f>
        <v>682993.65396080317</v>
      </c>
      <c r="CB1388" s="1032"/>
      <c r="CF1388" s="946">
        <f t="shared" si="266"/>
        <v>1402239.1572</v>
      </c>
    </row>
    <row r="1389" spans="2:84">
      <c r="B1389" s="839" t="s">
        <v>98</v>
      </c>
      <c r="C1389" s="839" t="s">
        <v>273</v>
      </c>
      <c r="D1389" s="839" t="s">
        <v>4041</v>
      </c>
      <c r="E1389" s="839" t="s">
        <v>4041</v>
      </c>
      <c r="F1389" s="841">
        <v>45731</v>
      </c>
      <c r="G1389" s="868" t="s">
        <v>273</v>
      </c>
      <c r="H1389" s="842" t="s">
        <v>102</v>
      </c>
      <c r="I1389" s="883" t="s">
        <v>4658</v>
      </c>
      <c r="J1389" s="841">
        <v>45873</v>
      </c>
      <c r="K1389" s="841">
        <v>45879</v>
      </c>
      <c r="L1389" s="843" t="s">
        <v>106</v>
      </c>
      <c r="M1389" s="844" t="s">
        <v>275</v>
      </c>
      <c r="N1389" s="841"/>
      <c r="O1389" s="884" t="s">
        <v>150</v>
      </c>
      <c r="P1389" s="842" t="s">
        <v>4018</v>
      </c>
      <c r="Q1389" s="843"/>
      <c r="R1389" s="845">
        <v>18463</v>
      </c>
      <c r="S1389" s="1127" t="s">
        <v>4571</v>
      </c>
      <c r="T1389" s="885" t="s">
        <v>4572</v>
      </c>
      <c r="U1389" s="886">
        <v>4</v>
      </c>
      <c r="V1389" s="842" t="s">
        <v>3</v>
      </c>
      <c r="W1389" s="846">
        <v>0.88</v>
      </c>
      <c r="X1389" s="847">
        <f t="shared" si="268"/>
        <v>3.52</v>
      </c>
      <c r="Y1389" s="853">
        <v>0.5</v>
      </c>
      <c r="Z1389" s="847">
        <v>0.44</v>
      </c>
      <c r="AA1389" s="849"/>
      <c r="AB1389" s="849">
        <f t="shared" si="260"/>
        <v>1.76</v>
      </c>
      <c r="AC1389" s="850">
        <f t="shared" si="261"/>
        <v>1.76</v>
      </c>
      <c r="AD1389" s="851">
        <f t="shared" si="258"/>
        <v>32000</v>
      </c>
      <c r="AE1389" s="852">
        <v>30078.06</v>
      </c>
      <c r="AF1389" s="853">
        <v>0.1</v>
      </c>
      <c r="AG1389" s="854">
        <f t="shared" si="262"/>
        <v>5507.9226350895842</v>
      </c>
      <c r="AH1389" s="853">
        <v>0.1</v>
      </c>
      <c r="AI1389" s="855">
        <f t="shared" si="263"/>
        <v>5844.5308235089587</v>
      </c>
      <c r="AJ1389" s="845" t="s">
        <v>4641</v>
      </c>
      <c r="AK1389" s="857">
        <v>45820</v>
      </c>
      <c r="AL1389" s="843" t="s">
        <v>4642</v>
      </c>
      <c r="AM1389" s="843" t="s">
        <v>4643</v>
      </c>
      <c r="AN1389" s="844" t="s">
        <v>3951</v>
      </c>
      <c r="AO1389" s="844" t="s">
        <v>141</v>
      </c>
      <c r="AP1389" s="841"/>
      <c r="AQ1389" s="841">
        <v>45832</v>
      </c>
      <c r="AR1389" s="841">
        <v>45876</v>
      </c>
      <c r="AS1389" s="842" t="s">
        <v>1284</v>
      </c>
      <c r="AT1389" s="842" t="s">
        <v>1743</v>
      </c>
      <c r="AU1389" s="842" t="s">
        <v>1210</v>
      </c>
      <c r="AV1389" s="845" t="s">
        <v>4644</v>
      </c>
      <c r="AW1389" s="861">
        <v>45883</v>
      </c>
      <c r="AX1389" s="862">
        <v>45884</v>
      </c>
      <c r="AY1389" s="843"/>
      <c r="AZ1389" s="842"/>
      <c r="BA1389" s="842" t="s">
        <v>120</v>
      </c>
      <c r="BB1389" s="863" t="s">
        <v>121</v>
      </c>
      <c r="BC1389" s="864">
        <v>45885</v>
      </c>
      <c r="BD1389" s="860" t="s">
        <v>4645</v>
      </c>
      <c r="BE1389" s="865" cm="1">
        <f t="array" ref="BE1389">IF(BD1389="","",AC1389/SUMPRODUCT(--(BD1389=$BD$4:$BD$12824),$AC$4:$AC$12824))</f>
        <v>1.5195706453141662E-4</v>
      </c>
      <c r="BF1389" s="458"/>
      <c r="BG1389" s="458"/>
      <c r="BH1389" s="458"/>
      <c r="BI1389" s="458"/>
      <c r="BJ1389" s="458"/>
      <c r="BK1389" s="458"/>
      <c r="BL1389" s="458"/>
      <c r="BM1389" s="458"/>
      <c r="BN1389" s="458"/>
      <c r="BO1389" s="866">
        <f>VLOOKUP(BD1389,$BD$4:$BN$12824,3,0)*BE1389</f>
        <v>2090.572716678902</v>
      </c>
      <c r="BP1389" s="866"/>
      <c r="BQ1389" s="866"/>
      <c r="BR1389" s="866">
        <f>VLOOKUP(BD1389,$BD$4:$BN$12824,6,0)*BE1389</f>
        <v>625.80266834494796</v>
      </c>
      <c r="BS1389" s="866">
        <f>VLOOKUP(BD1389,$BD$4:$BN$12824,7,0)*BE1389</f>
        <v>51.268034216931994</v>
      </c>
      <c r="BT1389" s="866"/>
      <c r="BU1389" s="866">
        <f>VLOOKUP(BD1389,$BD$4:$BN$12824,9,0)*BE1389</f>
        <v>4.8922576925889585</v>
      </c>
      <c r="BV1389" s="867"/>
      <c r="BW1389" s="867">
        <f>VLOOKUP(BD1389,$BD$4:$BN$12824,11,0)*BE1389</f>
        <v>0</v>
      </c>
      <c r="BX1389" s="1146">
        <f t="shared" si="264"/>
        <v>2772.5356769333707</v>
      </c>
      <c r="BY1389" s="867">
        <f t="shared" si="267"/>
        <v>15304.46097800574</v>
      </c>
      <c r="BZ1389" s="867">
        <f t="shared" si="265"/>
        <v>61217.84391202296</v>
      </c>
      <c r="CA1389" s="867">
        <f>_xlfn.MAXIFS($BY$4:$BY$12824,$S$4:$S$12824,$S1389)</f>
        <v>19390.987020969184</v>
      </c>
      <c r="CB1389" s="1032"/>
      <c r="CF1389" s="946">
        <f t="shared" si="266"/>
        <v>52937.385600000001</v>
      </c>
    </row>
    <row r="1390" spans="2:84">
      <c r="B1390" s="839" t="s">
        <v>98</v>
      </c>
      <c r="C1390" s="839" t="s">
        <v>273</v>
      </c>
      <c r="D1390" s="839" t="s">
        <v>4041</v>
      </c>
      <c r="E1390" s="839" t="s">
        <v>4041</v>
      </c>
      <c r="F1390" s="841">
        <v>45731</v>
      </c>
      <c r="G1390" s="868" t="s">
        <v>273</v>
      </c>
      <c r="H1390" s="842" t="s">
        <v>102</v>
      </c>
      <c r="I1390" s="883" t="s">
        <v>4658</v>
      </c>
      <c r="J1390" s="841">
        <v>45873</v>
      </c>
      <c r="K1390" s="841">
        <v>45879</v>
      </c>
      <c r="L1390" s="843" t="s">
        <v>106</v>
      </c>
      <c r="M1390" s="844" t="s">
        <v>275</v>
      </c>
      <c r="N1390" s="841"/>
      <c r="O1390" s="884" t="s">
        <v>150</v>
      </c>
      <c r="P1390" s="842" t="s">
        <v>4018</v>
      </c>
      <c r="Q1390" s="843"/>
      <c r="R1390" s="845">
        <v>18475</v>
      </c>
      <c r="S1390" s="1127" t="s">
        <v>2486</v>
      </c>
      <c r="T1390" s="885" t="s">
        <v>2487</v>
      </c>
      <c r="U1390" s="886">
        <v>2</v>
      </c>
      <c r="V1390" s="842" t="s">
        <v>3</v>
      </c>
      <c r="W1390" s="846">
        <v>36.53</v>
      </c>
      <c r="X1390" s="847">
        <f t="shared" si="268"/>
        <v>73.06</v>
      </c>
      <c r="Y1390" s="853">
        <v>0.5</v>
      </c>
      <c r="Z1390" s="847">
        <v>18.265000000000001</v>
      </c>
      <c r="AA1390" s="849"/>
      <c r="AB1390" s="849">
        <f t="shared" si="260"/>
        <v>36.53</v>
      </c>
      <c r="AC1390" s="850">
        <f t="shared" si="261"/>
        <v>36.53</v>
      </c>
      <c r="AD1390" s="851">
        <f t="shared" si="258"/>
        <v>32000</v>
      </c>
      <c r="AE1390" s="852">
        <v>30078.06</v>
      </c>
      <c r="AF1390" s="853">
        <v>0.1</v>
      </c>
      <c r="AG1390" s="854">
        <f t="shared" si="262"/>
        <v>114320.68969308095</v>
      </c>
      <c r="AH1390" s="853">
        <v>0.1</v>
      </c>
      <c r="AI1390" s="855">
        <f t="shared" si="263"/>
        <v>121307.2221493081</v>
      </c>
      <c r="AJ1390" s="845" t="s">
        <v>4641</v>
      </c>
      <c r="AK1390" s="857">
        <v>45820</v>
      </c>
      <c r="AL1390" s="843" t="s">
        <v>4642</v>
      </c>
      <c r="AM1390" s="843" t="s">
        <v>4643</v>
      </c>
      <c r="AN1390" s="844" t="s">
        <v>3951</v>
      </c>
      <c r="AO1390" s="844" t="s">
        <v>141</v>
      </c>
      <c r="AP1390" s="841"/>
      <c r="AQ1390" s="841">
        <v>45832</v>
      </c>
      <c r="AR1390" s="841">
        <v>45876</v>
      </c>
      <c r="AS1390" s="842" t="s">
        <v>1284</v>
      </c>
      <c r="AT1390" s="842" t="s">
        <v>1743</v>
      </c>
      <c r="AU1390" s="842" t="s">
        <v>1210</v>
      </c>
      <c r="AV1390" s="845" t="s">
        <v>4644</v>
      </c>
      <c r="AW1390" s="861">
        <v>45883</v>
      </c>
      <c r="AX1390" s="862">
        <v>45884</v>
      </c>
      <c r="AY1390" s="843"/>
      <c r="AZ1390" s="842"/>
      <c r="BA1390" s="842" t="s">
        <v>120</v>
      </c>
      <c r="BB1390" s="863" t="s">
        <v>121</v>
      </c>
      <c r="BC1390" s="864">
        <v>45885</v>
      </c>
      <c r="BD1390" s="860" t="s">
        <v>4645</v>
      </c>
      <c r="BE1390" s="865" cm="1">
        <f t="array" ref="BE1390">IF(BD1390="","",AC1390/SUMPRODUCT(--(BD1390=$BD$4:$BD$12824),$AC$4:$AC$12824))</f>
        <v>3.1539724814390055E-3</v>
      </c>
      <c r="BF1390" s="458"/>
      <c r="BG1390" s="458"/>
      <c r="BH1390" s="458"/>
      <c r="BI1390" s="458"/>
      <c r="BJ1390" s="458"/>
      <c r="BK1390" s="458"/>
      <c r="BL1390" s="458"/>
      <c r="BM1390" s="458"/>
      <c r="BN1390" s="458"/>
      <c r="BO1390" s="866">
        <f>VLOOKUP(BD1390,$BD$4:$BN$12824,3,0)*BE1390</f>
        <v>43391.262125159257</v>
      </c>
      <c r="BP1390" s="866"/>
      <c r="BQ1390" s="866"/>
      <c r="BR1390" s="866">
        <f>VLOOKUP(BD1390,$BD$4:$BN$12824,6,0)*BE1390</f>
        <v>12988.961065136902</v>
      </c>
      <c r="BS1390" s="866">
        <f>VLOOKUP(BD1390,$BD$4:$BN$12824,7,0)*BE1390</f>
        <v>1064.1030056502989</v>
      </c>
      <c r="BT1390" s="866"/>
      <c r="BU1390" s="866">
        <f>VLOOKUP(BD1390,$BD$4:$BN$12824,9,0)*BE1390</f>
        <v>101.54214403992879</v>
      </c>
      <c r="BV1390" s="867"/>
      <c r="BW1390" s="867">
        <f>VLOOKUP(BD1390,$BD$4:$BN$12824,11,0)*BE1390</f>
        <v>0</v>
      </c>
      <c r="BX1390" s="1146">
        <f t="shared" si="264"/>
        <v>57545.868339986388</v>
      </c>
      <c r="BY1390" s="867">
        <f t="shared" si="267"/>
        <v>635309.04491653363</v>
      </c>
      <c r="BZ1390" s="867">
        <f t="shared" si="265"/>
        <v>1270618.0898330673</v>
      </c>
      <c r="CA1390" s="867">
        <f>_xlfn.MAXIFS($BY$4:$BY$12824,$S$4:$S$12824,$S1390)</f>
        <v>771355.30743954785</v>
      </c>
      <c r="CB1390" s="1032"/>
      <c r="CF1390" s="946">
        <f t="shared" si="266"/>
        <v>1098751.5318</v>
      </c>
    </row>
    <row r="1391" spans="2:84">
      <c r="B1391" s="839" t="s">
        <v>98</v>
      </c>
      <c r="C1391" s="839" t="s">
        <v>273</v>
      </c>
      <c r="D1391" s="839" t="s">
        <v>4041</v>
      </c>
      <c r="E1391" s="839" t="s">
        <v>4041</v>
      </c>
      <c r="F1391" s="841">
        <v>45731</v>
      </c>
      <c r="G1391" s="868" t="s">
        <v>273</v>
      </c>
      <c r="H1391" s="842" t="s">
        <v>102</v>
      </c>
      <c r="I1391" s="883" t="s">
        <v>4658</v>
      </c>
      <c r="J1391" s="841">
        <v>45873</v>
      </c>
      <c r="K1391" s="841">
        <v>45879</v>
      </c>
      <c r="L1391" s="843" t="s">
        <v>106</v>
      </c>
      <c r="M1391" s="844" t="s">
        <v>275</v>
      </c>
      <c r="N1391" s="841"/>
      <c r="O1391" s="884" t="s">
        <v>150</v>
      </c>
      <c r="P1391" s="842" t="s">
        <v>4018</v>
      </c>
      <c r="Q1391" s="843"/>
      <c r="R1391" s="845">
        <v>18476</v>
      </c>
      <c r="S1391" s="1127" t="s">
        <v>4033</v>
      </c>
      <c r="T1391" s="885" t="s">
        <v>4034</v>
      </c>
      <c r="U1391" s="886">
        <v>3</v>
      </c>
      <c r="V1391" s="842" t="s">
        <v>3</v>
      </c>
      <c r="W1391" s="846">
        <v>21.63</v>
      </c>
      <c r="X1391" s="847">
        <f t="shared" si="268"/>
        <v>64.89</v>
      </c>
      <c r="Y1391" s="853">
        <v>0.5</v>
      </c>
      <c r="Z1391" s="847">
        <v>10.815</v>
      </c>
      <c r="AA1391" s="849"/>
      <c r="AB1391" s="849">
        <f t="shared" si="260"/>
        <v>32.445</v>
      </c>
      <c r="AC1391" s="850">
        <f t="shared" si="261"/>
        <v>32.445</v>
      </c>
      <c r="AD1391" s="851">
        <f t="shared" si="258"/>
        <v>32000</v>
      </c>
      <c r="AE1391" s="852">
        <v>30078.06</v>
      </c>
      <c r="AF1391" s="853">
        <v>0.1</v>
      </c>
      <c r="AG1391" s="854">
        <f t="shared" si="262"/>
        <v>101536.67607697815</v>
      </c>
      <c r="AH1391" s="853">
        <v>0.1</v>
      </c>
      <c r="AI1391" s="855">
        <f t="shared" si="263"/>
        <v>107741.93327769783</v>
      </c>
      <c r="AJ1391" s="845" t="s">
        <v>4641</v>
      </c>
      <c r="AK1391" s="857">
        <v>45820</v>
      </c>
      <c r="AL1391" s="843" t="s">
        <v>4642</v>
      </c>
      <c r="AM1391" s="843" t="s">
        <v>4643</v>
      </c>
      <c r="AN1391" s="844" t="s">
        <v>3951</v>
      </c>
      <c r="AO1391" s="844" t="s">
        <v>141</v>
      </c>
      <c r="AP1391" s="841"/>
      <c r="AQ1391" s="841">
        <v>45832</v>
      </c>
      <c r="AR1391" s="841">
        <v>45876</v>
      </c>
      <c r="AS1391" s="842" t="s">
        <v>1284</v>
      </c>
      <c r="AT1391" s="842" t="s">
        <v>1743</v>
      </c>
      <c r="AU1391" s="842" t="s">
        <v>1210</v>
      </c>
      <c r="AV1391" s="845" t="s">
        <v>4644</v>
      </c>
      <c r="AW1391" s="861">
        <v>45883</v>
      </c>
      <c r="AX1391" s="862">
        <v>45884</v>
      </c>
      <c r="AY1391" s="843"/>
      <c r="AZ1391" s="842"/>
      <c r="BA1391" s="842" t="s">
        <v>120</v>
      </c>
      <c r="BB1391" s="863" t="s">
        <v>121</v>
      </c>
      <c r="BC1391" s="864">
        <v>45885</v>
      </c>
      <c r="BD1391" s="860" t="s">
        <v>4645</v>
      </c>
      <c r="BE1391" s="865" cm="1">
        <f t="array" ref="BE1391">IF(BD1391="","",AC1391/SUMPRODUCT(--(BD1391=$BD$4:$BD$12824),$AC$4:$AC$12824))</f>
        <v>2.801276681091939E-3</v>
      </c>
      <c r="BF1391" s="458"/>
      <c r="BG1391" s="458"/>
      <c r="BH1391" s="458"/>
      <c r="BI1391" s="458"/>
      <c r="BJ1391" s="458"/>
      <c r="BK1391" s="458"/>
      <c r="BL1391" s="458"/>
      <c r="BM1391" s="458"/>
      <c r="BN1391" s="458"/>
      <c r="BO1391" s="866">
        <f>VLOOKUP(BD1391,$BD$4:$BN$12824,3,0)*BE1391</f>
        <v>38538.995336731241</v>
      </c>
      <c r="BP1391" s="866"/>
      <c r="BQ1391" s="866"/>
      <c r="BR1391" s="866">
        <f>VLOOKUP(BD1391,$BD$4:$BN$12824,6,0)*BE1391</f>
        <v>11536.458849120361</v>
      </c>
      <c r="BS1391" s="866">
        <f>VLOOKUP(BD1391,$BD$4:$BN$12824,7,0)*BE1391</f>
        <v>945.1087330502038</v>
      </c>
      <c r="BT1391" s="866"/>
      <c r="BU1391" s="866">
        <f>VLOOKUP(BD1391,$BD$4:$BN$12824,9,0)*BE1391</f>
        <v>90.187102747754977</v>
      </c>
      <c r="BV1391" s="867"/>
      <c r="BW1391" s="867">
        <f>VLOOKUP(BD1391,$BD$4:$BN$12824,11,0)*BE1391</f>
        <v>0</v>
      </c>
      <c r="BX1391" s="1146">
        <f t="shared" si="264"/>
        <v>51110.750021649561</v>
      </c>
      <c r="BY1391" s="867">
        <f t="shared" si="267"/>
        <v>376176.6942662092</v>
      </c>
      <c r="BZ1391" s="867">
        <f t="shared" si="265"/>
        <v>1128530.0827986277</v>
      </c>
      <c r="CA1391" s="867">
        <f>_xlfn.MAXIFS($BY$4:$BY$12824,$S$4:$S$12824,$S1391)</f>
        <v>475294.63742508896</v>
      </c>
      <c r="CB1391" s="1032"/>
      <c r="CF1391" s="946">
        <f t="shared" si="266"/>
        <v>975882.65670000005</v>
      </c>
    </row>
    <row r="1392" spans="2:84">
      <c r="B1392" s="839" t="s">
        <v>98</v>
      </c>
      <c r="C1392" s="839" t="s">
        <v>273</v>
      </c>
      <c r="D1392" s="839" t="s">
        <v>4041</v>
      </c>
      <c r="E1392" s="839" t="s">
        <v>4041</v>
      </c>
      <c r="F1392" s="841">
        <v>45731</v>
      </c>
      <c r="G1392" s="868" t="s">
        <v>273</v>
      </c>
      <c r="H1392" s="842" t="s">
        <v>102</v>
      </c>
      <c r="I1392" s="883" t="s">
        <v>4673</v>
      </c>
      <c r="J1392" s="841">
        <v>45771</v>
      </c>
      <c r="K1392" s="841">
        <v>45954</v>
      </c>
      <c r="L1392" s="843" t="s">
        <v>106</v>
      </c>
      <c r="M1392" s="844" t="s">
        <v>275</v>
      </c>
      <c r="N1392" s="841"/>
      <c r="O1392" s="884" t="s">
        <v>150</v>
      </c>
      <c r="P1392" s="842" t="s">
        <v>4018</v>
      </c>
      <c r="Q1392" s="843"/>
      <c r="R1392" s="845">
        <v>14266.24</v>
      </c>
      <c r="S1392" s="1127" t="s">
        <v>2390</v>
      </c>
      <c r="T1392" s="885" t="s">
        <v>4674</v>
      </c>
      <c r="U1392" s="886">
        <v>1</v>
      </c>
      <c r="V1392" s="842" t="s">
        <v>3</v>
      </c>
      <c r="W1392" s="846" t="s">
        <v>4492</v>
      </c>
      <c r="X1392" s="895">
        <f t="shared" si="268"/>
        <v>76.489999999999995</v>
      </c>
      <c r="Y1392" s="853">
        <v>0.5</v>
      </c>
      <c r="Z1392" s="896">
        <v>38.244</v>
      </c>
      <c r="AA1392" s="849"/>
      <c r="AB1392" s="849">
        <f t="shared" si="260"/>
        <v>38.244</v>
      </c>
      <c r="AC1392" s="850">
        <f t="shared" si="261"/>
        <v>38.244</v>
      </c>
      <c r="AD1392" s="851">
        <f t="shared" si="258"/>
        <v>32000</v>
      </c>
      <c r="AE1392" s="852">
        <v>30078.06</v>
      </c>
      <c r="AF1392" s="853">
        <v>0.1</v>
      </c>
      <c r="AG1392" s="854">
        <f t="shared" si="262"/>
        <v>119684.65525929889</v>
      </c>
      <c r="AH1392" s="853">
        <v>0.1</v>
      </c>
      <c r="AI1392" s="855">
        <f t="shared" si="263"/>
        <v>126998.9981899299</v>
      </c>
      <c r="AJ1392" s="845" t="s">
        <v>4641</v>
      </c>
      <c r="AK1392" s="857">
        <v>45820</v>
      </c>
      <c r="AL1392" s="843" t="s">
        <v>4642</v>
      </c>
      <c r="AM1392" s="843" t="s">
        <v>4643</v>
      </c>
      <c r="AN1392" s="844" t="s">
        <v>3951</v>
      </c>
      <c r="AO1392" s="844" t="s">
        <v>141</v>
      </c>
      <c r="AP1392" s="841"/>
      <c r="AQ1392" s="841">
        <v>45832</v>
      </c>
      <c r="AR1392" s="841">
        <v>45876</v>
      </c>
      <c r="AS1392" s="842" t="s">
        <v>1284</v>
      </c>
      <c r="AT1392" s="842" t="s">
        <v>1743</v>
      </c>
      <c r="AU1392" s="842" t="s">
        <v>1210</v>
      </c>
      <c r="AV1392" s="845" t="s">
        <v>4644</v>
      </c>
      <c r="AW1392" s="861">
        <v>45883</v>
      </c>
      <c r="AX1392" s="862">
        <v>45884</v>
      </c>
      <c r="AY1392" s="843"/>
      <c r="AZ1392" s="842"/>
      <c r="BA1392" s="842" t="s">
        <v>120</v>
      </c>
      <c r="BB1392" s="863" t="s">
        <v>121</v>
      </c>
      <c r="BC1392" s="864">
        <v>45885</v>
      </c>
      <c r="BD1392" s="860" t="s">
        <v>4645</v>
      </c>
      <c r="BE1392" s="865" cm="1">
        <f t="array" ref="BE1392">IF(BD1392="","",AC1392/SUMPRODUCT(--(BD1392=$BD$4:$BD$12824),$AC$4:$AC$12824))</f>
        <v>3.3019579408747148E-3</v>
      </c>
      <c r="BF1392" s="458"/>
      <c r="BG1392" s="458"/>
      <c r="BH1392" s="458"/>
      <c r="BI1392" s="458"/>
      <c r="BJ1392" s="458"/>
      <c r="BK1392" s="458"/>
      <c r="BL1392" s="458"/>
      <c r="BM1392" s="458"/>
      <c r="BN1392" s="458"/>
      <c r="BO1392" s="866">
        <f>VLOOKUP(BD1392,$BD$4:$BN$12824,3,0)*BE1392</f>
        <v>45427.194873106782</v>
      </c>
      <c r="BP1392" s="866"/>
      <c r="BQ1392" s="866"/>
      <c r="BR1392" s="866">
        <f>VLOOKUP(BD1392,$BD$4:$BN$12824,6,0)*BE1392</f>
        <v>13598.407527377381</v>
      </c>
      <c r="BS1392" s="866">
        <f>VLOOKUP(BD1392,$BD$4:$BN$12824,7,0)*BE1392</f>
        <v>1114.0310798820158</v>
      </c>
      <c r="BT1392" s="866"/>
      <c r="BU1392" s="866">
        <f>VLOOKUP(BD1392,$BD$4:$BN$12824,9,0)*BE1392</f>
        <v>106.30653590646145</v>
      </c>
      <c r="BV1392" s="867"/>
      <c r="BW1392" s="867">
        <f>VLOOKUP(BD1392,$BD$4:$BN$12824,11,0)*BE1392</f>
        <v>0</v>
      </c>
      <c r="BX1392" s="1146">
        <f t="shared" si="264"/>
        <v>60245.940016272638</v>
      </c>
      <c r="BY1392" s="867">
        <f t="shared" si="267"/>
        <v>1330235.9219155717</v>
      </c>
      <c r="BZ1392" s="867">
        <f t="shared" si="265"/>
        <v>1330235.9219155717</v>
      </c>
      <c r="CA1392" s="867">
        <f>_xlfn.MAXIFS($BY$4:$BY$12824,$S$4:$S$12824,$S1392)</f>
        <v>1680552.2084839954</v>
      </c>
      <c r="CB1392" s="1032"/>
      <c r="CF1392" s="946">
        <f t="shared" si="266"/>
        <v>1150305.3266400001</v>
      </c>
    </row>
    <row r="1393" spans="2:84">
      <c r="B1393" s="839" t="s">
        <v>98</v>
      </c>
      <c r="C1393" s="839" t="s">
        <v>273</v>
      </c>
      <c r="D1393" s="839" t="s">
        <v>4041</v>
      </c>
      <c r="E1393" s="839" t="s">
        <v>4041</v>
      </c>
      <c r="F1393" s="841">
        <v>45731</v>
      </c>
      <c r="G1393" s="868" t="s">
        <v>273</v>
      </c>
      <c r="H1393" s="842" t="s">
        <v>102</v>
      </c>
      <c r="I1393" s="883" t="s">
        <v>4673</v>
      </c>
      <c r="J1393" s="841">
        <v>45771</v>
      </c>
      <c r="K1393" s="841">
        <v>45954</v>
      </c>
      <c r="L1393" s="843" t="s">
        <v>106</v>
      </c>
      <c r="M1393" s="844" t="s">
        <v>275</v>
      </c>
      <c r="N1393" s="841"/>
      <c r="O1393" s="884" t="s">
        <v>150</v>
      </c>
      <c r="P1393" s="842" t="s">
        <v>4018</v>
      </c>
      <c r="Q1393" s="843"/>
      <c r="R1393" s="845">
        <v>15082</v>
      </c>
      <c r="S1393" s="1127" t="s">
        <v>4675</v>
      </c>
      <c r="T1393" s="885" t="s">
        <v>4676</v>
      </c>
      <c r="U1393" s="886">
        <v>16</v>
      </c>
      <c r="V1393" s="842" t="s">
        <v>3</v>
      </c>
      <c r="W1393" s="846" t="s">
        <v>4677</v>
      </c>
      <c r="X1393" s="847">
        <f t="shared" si="268"/>
        <v>189.28</v>
      </c>
      <c r="Y1393" s="853">
        <v>0.5</v>
      </c>
      <c r="Z1393" s="896">
        <v>5.915</v>
      </c>
      <c r="AA1393" s="849"/>
      <c r="AB1393" s="849">
        <f t="shared" si="260"/>
        <v>94.64</v>
      </c>
      <c r="AC1393" s="850">
        <f t="shared" si="261"/>
        <v>94.64</v>
      </c>
      <c r="AD1393" s="851">
        <f t="shared" si="258"/>
        <v>32000</v>
      </c>
      <c r="AE1393" s="852">
        <v>30078.06</v>
      </c>
      <c r="AF1393" s="853">
        <v>0.1</v>
      </c>
      <c r="AG1393" s="854">
        <f t="shared" si="262"/>
        <v>296176.0216959535</v>
      </c>
      <c r="AH1393" s="853">
        <v>0.1</v>
      </c>
      <c r="AI1393" s="855">
        <f t="shared" si="263"/>
        <v>314276.36200959532</v>
      </c>
      <c r="AJ1393" s="845" t="s">
        <v>4641</v>
      </c>
      <c r="AK1393" s="857">
        <v>45820</v>
      </c>
      <c r="AL1393" s="843" t="s">
        <v>4642</v>
      </c>
      <c r="AM1393" s="843" t="s">
        <v>4643</v>
      </c>
      <c r="AN1393" s="844" t="s">
        <v>3951</v>
      </c>
      <c r="AO1393" s="844" t="s">
        <v>141</v>
      </c>
      <c r="AP1393" s="841"/>
      <c r="AQ1393" s="841">
        <v>45832</v>
      </c>
      <c r="AR1393" s="841">
        <v>45876</v>
      </c>
      <c r="AS1393" s="842" t="s">
        <v>1284</v>
      </c>
      <c r="AT1393" s="842" t="s">
        <v>1743</v>
      </c>
      <c r="AU1393" s="842" t="s">
        <v>1210</v>
      </c>
      <c r="AV1393" s="845" t="s">
        <v>4644</v>
      </c>
      <c r="AW1393" s="861">
        <v>45883</v>
      </c>
      <c r="AX1393" s="862">
        <v>45884</v>
      </c>
      <c r="AY1393" s="843"/>
      <c r="AZ1393" s="842"/>
      <c r="BA1393" s="842" t="s">
        <v>120</v>
      </c>
      <c r="BB1393" s="863" t="s">
        <v>121</v>
      </c>
      <c r="BC1393" s="864">
        <v>45885</v>
      </c>
      <c r="BD1393" s="860" t="s">
        <v>4645</v>
      </c>
      <c r="BE1393" s="865" cm="1">
        <f t="array" ref="BE1393">IF(BD1393="","",AC1393/SUMPRODUCT(--(BD1393=$BD$4:$BD$12824),$AC$4:$AC$12824))</f>
        <v>8.1711457882120853E-3</v>
      </c>
      <c r="BF1393" s="458"/>
      <c r="BG1393" s="458"/>
      <c r="BH1393" s="458"/>
      <c r="BI1393" s="458"/>
      <c r="BJ1393" s="458"/>
      <c r="BK1393" s="458"/>
      <c r="BL1393" s="458"/>
      <c r="BM1393" s="458"/>
      <c r="BN1393" s="458"/>
      <c r="BO1393" s="866">
        <f>VLOOKUP(BD1393,$BD$4:$BN$12824,3,0)*BE1393</f>
        <v>112415.79653777916</v>
      </c>
      <c r="BP1393" s="866"/>
      <c r="BQ1393" s="866"/>
      <c r="BR1393" s="866">
        <f>VLOOKUP(BD1393,$BD$4:$BN$12824,6,0)*BE1393</f>
        <v>33651.116211457884</v>
      </c>
      <c r="BS1393" s="866">
        <f>VLOOKUP(BD1393,$BD$4:$BN$12824,7,0)*BE1393</f>
        <v>2756.8220217559342</v>
      </c>
      <c r="BT1393" s="866"/>
      <c r="BU1393" s="866">
        <f>VLOOKUP(BD1393,$BD$4:$BN$12824,9,0)*BE1393</f>
        <v>263.07003865148806</v>
      </c>
      <c r="BV1393" s="867"/>
      <c r="BW1393" s="867">
        <f>VLOOKUP(BD1393,$BD$4:$BN$12824,11,0)*BE1393</f>
        <v>0</v>
      </c>
      <c r="BX1393" s="1146">
        <f t="shared" si="264"/>
        <v>149086.80480964447</v>
      </c>
      <c r="BY1393" s="867">
        <f t="shared" si="267"/>
        <v>205740.65155659986</v>
      </c>
      <c r="BZ1393" s="867">
        <f t="shared" si="265"/>
        <v>3291850.4249055977</v>
      </c>
      <c r="CA1393" s="867">
        <f>_xlfn.MAXIFS($BY$4:$BY$12824,$S$4:$S$12824,$S1393)</f>
        <v>205740.65155659986</v>
      </c>
      <c r="CB1393" s="1032"/>
      <c r="CF1393" s="946">
        <f t="shared" si="266"/>
        <v>2846587.5984</v>
      </c>
    </row>
    <row r="1394" spans="2:84">
      <c r="B1394" s="839" t="s">
        <v>98</v>
      </c>
      <c r="C1394" s="839" t="s">
        <v>273</v>
      </c>
      <c r="D1394" s="839" t="s">
        <v>4041</v>
      </c>
      <c r="E1394" s="839" t="s">
        <v>4041</v>
      </c>
      <c r="F1394" s="841">
        <v>45731</v>
      </c>
      <c r="G1394" s="868" t="s">
        <v>273</v>
      </c>
      <c r="H1394" s="842" t="s">
        <v>102</v>
      </c>
      <c r="I1394" s="883" t="s">
        <v>4673</v>
      </c>
      <c r="J1394" s="841">
        <v>45771</v>
      </c>
      <c r="K1394" s="841">
        <v>45954</v>
      </c>
      <c r="L1394" s="843" t="s">
        <v>106</v>
      </c>
      <c r="M1394" s="844" t="s">
        <v>275</v>
      </c>
      <c r="N1394" s="841"/>
      <c r="O1394" s="884" t="s">
        <v>150</v>
      </c>
      <c r="P1394" s="842" t="s">
        <v>4018</v>
      </c>
      <c r="Q1394" s="843"/>
      <c r="R1394" s="845">
        <v>16658.240000000002</v>
      </c>
      <c r="S1394" s="1127" t="s">
        <v>4678</v>
      </c>
      <c r="T1394" s="885" t="s">
        <v>4679</v>
      </c>
      <c r="U1394" s="886">
        <v>2</v>
      </c>
      <c r="V1394" s="842" t="s">
        <v>3</v>
      </c>
      <c r="W1394" s="846" t="s">
        <v>4680</v>
      </c>
      <c r="X1394" s="847">
        <f t="shared" si="268"/>
        <v>123.82</v>
      </c>
      <c r="Y1394" s="853">
        <v>0.5</v>
      </c>
      <c r="Z1394" s="896">
        <v>30.954999999999998</v>
      </c>
      <c r="AA1394" s="849"/>
      <c r="AB1394" s="849">
        <f t="shared" si="260"/>
        <v>61.91</v>
      </c>
      <c r="AC1394" s="850">
        <f t="shared" si="261"/>
        <v>61.91</v>
      </c>
      <c r="AD1394" s="851">
        <f t="shared" si="258"/>
        <v>32000</v>
      </c>
      <c r="AE1394" s="852">
        <v>30078.06</v>
      </c>
      <c r="AF1394" s="853">
        <v>0.1</v>
      </c>
      <c r="AG1394" s="854">
        <f t="shared" si="262"/>
        <v>193747.43769227053</v>
      </c>
      <c r="AH1394" s="853">
        <v>0.1</v>
      </c>
      <c r="AI1394" s="855">
        <f t="shared" si="263"/>
        <v>205588.01322922707</v>
      </c>
      <c r="AJ1394" s="845" t="s">
        <v>4641</v>
      </c>
      <c r="AK1394" s="857">
        <v>45820</v>
      </c>
      <c r="AL1394" s="843" t="s">
        <v>4642</v>
      </c>
      <c r="AM1394" s="843" t="s">
        <v>4643</v>
      </c>
      <c r="AN1394" s="844" t="s">
        <v>3951</v>
      </c>
      <c r="AO1394" s="844" t="s">
        <v>141</v>
      </c>
      <c r="AP1394" s="841"/>
      <c r="AQ1394" s="841">
        <v>45832</v>
      </c>
      <c r="AR1394" s="841">
        <v>45876</v>
      </c>
      <c r="AS1394" s="842" t="s">
        <v>1284</v>
      </c>
      <c r="AT1394" s="842" t="s">
        <v>1743</v>
      </c>
      <c r="AU1394" s="842" t="s">
        <v>1210</v>
      </c>
      <c r="AV1394" s="845" t="s">
        <v>4644</v>
      </c>
      <c r="AW1394" s="861">
        <v>45883</v>
      </c>
      <c r="AX1394" s="862">
        <v>45884</v>
      </c>
      <c r="AY1394" s="843"/>
      <c r="AZ1394" s="842"/>
      <c r="BA1394" s="842" t="s">
        <v>120</v>
      </c>
      <c r="BB1394" s="863" t="s">
        <v>121</v>
      </c>
      <c r="BC1394" s="864">
        <v>45885</v>
      </c>
      <c r="BD1394" s="860" t="s">
        <v>4645</v>
      </c>
      <c r="BE1394" s="865" cm="1">
        <f t="array" ref="BE1394">IF(BD1394="","",AC1394/SUMPRODUCT(--(BD1394=$BD$4:$BD$12824),$AC$4:$AC$12824))</f>
        <v>5.3452624233750017E-3</v>
      </c>
      <c r="BF1394" s="458"/>
      <c r="BG1394" s="458"/>
      <c r="BH1394" s="458"/>
      <c r="BI1394" s="458"/>
      <c r="BJ1394" s="458"/>
      <c r="BK1394" s="458"/>
      <c r="BL1394" s="458"/>
      <c r="BM1394" s="458"/>
      <c r="BN1394" s="458"/>
      <c r="BO1394" s="866">
        <f>VLOOKUP(BD1394,$BD$4:$BN$12824,3,0)*BE1394</f>
        <v>73538.270959994785</v>
      </c>
      <c r="BP1394" s="866"/>
      <c r="BQ1394" s="866"/>
      <c r="BR1394" s="866">
        <f>VLOOKUP(BD1394,$BD$4:$BN$12824,6,0)*BE1394</f>
        <v>22013.31999842939</v>
      </c>
      <c r="BS1394" s="866">
        <f>VLOOKUP(BD1394,$BD$4:$BN$12824,7,0)*BE1394</f>
        <v>1803.411362710375</v>
      </c>
      <c r="BT1394" s="866"/>
      <c r="BU1394" s="866">
        <f>VLOOKUP(BD1394,$BD$4:$BN$12824,9,0)*BE1394</f>
        <v>172.09072372055817</v>
      </c>
      <c r="BV1394" s="867"/>
      <c r="BW1394" s="867">
        <f>VLOOKUP(BD1394,$BD$4:$BN$12824,11,0)*BE1394</f>
        <v>0</v>
      </c>
      <c r="BX1394" s="1146">
        <f t="shared" si="264"/>
        <v>97527.093044855108</v>
      </c>
      <c r="BY1394" s="867">
        <f t="shared" si="267"/>
        <v>1076703.6126685629</v>
      </c>
      <c r="BZ1394" s="867">
        <f t="shared" si="265"/>
        <v>2153407.2253371258</v>
      </c>
      <c r="CA1394" s="867">
        <f>_xlfn.MAXIFS($BY$4:$BY$12824,$S$4:$S$12824,$S1394)</f>
        <v>1076703.6126685629</v>
      </c>
      <c r="CB1394" s="1032"/>
      <c r="CF1394" s="946">
        <f t="shared" si="266"/>
        <v>1862132.6946</v>
      </c>
    </row>
    <row r="1395" spans="2:84">
      <c r="B1395" s="839" t="s">
        <v>98</v>
      </c>
      <c r="C1395" s="839" t="s">
        <v>273</v>
      </c>
      <c r="D1395" s="839" t="s">
        <v>4041</v>
      </c>
      <c r="E1395" s="839" t="s">
        <v>4041</v>
      </c>
      <c r="F1395" s="841">
        <v>45731</v>
      </c>
      <c r="G1395" s="868" t="s">
        <v>273</v>
      </c>
      <c r="H1395" s="842" t="s">
        <v>102</v>
      </c>
      <c r="I1395" s="883" t="s">
        <v>4673</v>
      </c>
      <c r="J1395" s="841">
        <v>45771</v>
      </c>
      <c r="K1395" s="841">
        <v>45954</v>
      </c>
      <c r="L1395" s="843" t="s">
        <v>106</v>
      </c>
      <c r="M1395" s="844" t="s">
        <v>275</v>
      </c>
      <c r="N1395" s="841"/>
      <c r="O1395" s="884" t="s">
        <v>150</v>
      </c>
      <c r="P1395" s="842" t="s">
        <v>4018</v>
      </c>
      <c r="Q1395" s="843"/>
      <c r="R1395" s="845">
        <v>16661.240000000002</v>
      </c>
      <c r="S1395" s="1127" t="s">
        <v>4681</v>
      </c>
      <c r="T1395" s="885" t="s">
        <v>4682</v>
      </c>
      <c r="U1395" s="886">
        <v>1</v>
      </c>
      <c r="V1395" s="842" t="s">
        <v>3</v>
      </c>
      <c r="W1395" s="846" t="s">
        <v>4683</v>
      </c>
      <c r="X1395" s="847">
        <f t="shared" si="268"/>
        <v>111.38</v>
      </c>
      <c r="Y1395" s="853">
        <v>0.5</v>
      </c>
      <c r="Z1395" s="896">
        <v>55.69</v>
      </c>
      <c r="AA1395" s="849"/>
      <c r="AB1395" s="849">
        <f t="shared" si="260"/>
        <v>55.69</v>
      </c>
      <c r="AC1395" s="850">
        <f t="shared" si="261"/>
        <v>55.69</v>
      </c>
      <c r="AD1395" s="851">
        <f t="shared" si="258"/>
        <v>32000</v>
      </c>
      <c r="AE1395" s="852">
        <v>30078.06</v>
      </c>
      <c r="AF1395" s="853">
        <v>0.1</v>
      </c>
      <c r="AG1395" s="854">
        <f t="shared" si="262"/>
        <v>174281.93837962439</v>
      </c>
      <c r="AH1395" s="853">
        <v>0.1</v>
      </c>
      <c r="AI1395" s="855">
        <f t="shared" si="263"/>
        <v>184932.90997796247</v>
      </c>
      <c r="AJ1395" s="845" t="s">
        <v>4641</v>
      </c>
      <c r="AK1395" s="857">
        <v>45820</v>
      </c>
      <c r="AL1395" s="843" t="s">
        <v>4642</v>
      </c>
      <c r="AM1395" s="843" t="s">
        <v>4643</v>
      </c>
      <c r="AN1395" s="844" t="s">
        <v>3951</v>
      </c>
      <c r="AO1395" s="844" t="s">
        <v>141</v>
      </c>
      <c r="AP1395" s="841"/>
      <c r="AQ1395" s="841">
        <v>45832</v>
      </c>
      <c r="AR1395" s="841">
        <v>45876</v>
      </c>
      <c r="AS1395" s="842" t="s">
        <v>1284</v>
      </c>
      <c r="AT1395" s="842" t="s">
        <v>1743</v>
      </c>
      <c r="AU1395" s="842" t="s">
        <v>1210</v>
      </c>
      <c r="AV1395" s="845" t="s">
        <v>4644</v>
      </c>
      <c r="AW1395" s="861">
        <v>45883</v>
      </c>
      <c r="AX1395" s="862">
        <v>45884</v>
      </c>
      <c r="AY1395" s="843"/>
      <c r="AZ1395" s="842"/>
      <c r="BA1395" s="842" t="s">
        <v>120</v>
      </c>
      <c r="BB1395" s="863" t="s">
        <v>121</v>
      </c>
      <c r="BC1395" s="864">
        <v>45885</v>
      </c>
      <c r="BD1395" s="860" t="s">
        <v>4645</v>
      </c>
      <c r="BE1395" s="865" cm="1">
        <f t="array" ref="BE1395">IF(BD1395="","",AC1395/SUMPRODUCT(--(BD1395=$BD$4:$BD$12824),$AC$4:$AC$12824))</f>
        <v>4.8082323430423818E-3</v>
      </c>
      <c r="BF1395" s="458"/>
      <c r="BG1395" s="458"/>
      <c r="BH1395" s="458"/>
      <c r="BI1395" s="458"/>
      <c r="BJ1395" s="458"/>
      <c r="BK1395" s="458"/>
      <c r="BL1395" s="458"/>
      <c r="BM1395" s="458"/>
      <c r="BN1395" s="458"/>
      <c r="BO1395" s="866">
        <f>VLOOKUP(BD1395,$BD$4:$BN$12824,3,0)*BE1395</f>
        <v>66149.996927186396</v>
      </c>
      <c r="BP1395" s="866"/>
      <c r="BQ1395" s="866"/>
      <c r="BR1395" s="866">
        <f>VLOOKUP(BD1395,$BD$4:$BN$12824,6,0)*BE1395</f>
        <v>19801.676477346675</v>
      </c>
      <c r="BS1395" s="866">
        <f>VLOOKUP(BD1395,$BD$4:$BN$12824,7,0)*BE1395</f>
        <v>1622.2254690573541</v>
      </c>
      <c r="BT1395" s="866"/>
      <c r="BU1395" s="866">
        <f>VLOOKUP(BD1395,$BD$4:$BN$12824,9,0)*BE1395</f>
        <v>154.8010402842495</v>
      </c>
      <c r="BV1395" s="867"/>
      <c r="BW1395" s="867">
        <f>VLOOKUP(BD1395,$BD$4:$BN$12824,11,0)*BE1395</f>
        <v>0</v>
      </c>
      <c r="BX1395" s="1146">
        <f t="shared" si="264"/>
        <v>87728.699913874676</v>
      </c>
      <c r="BY1395" s="867">
        <f t="shared" si="267"/>
        <v>1937057.7996934992</v>
      </c>
      <c r="BZ1395" s="867">
        <f t="shared" si="265"/>
        <v>1937057.7996934992</v>
      </c>
      <c r="CA1395" s="867">
        <f>_xlfn.MAXIFS($BY$4:$BY$12824,$S$4:$S$12824,$S1395)</f>
        <v>1937057.7996934992</v>
      </c>
      <c r="CB1395" s="1032"/>
      <c r="CF1395" s="946">
        <f t="shared" si="266"/>
        <v>1675047.1614000001</v>
      </c>
    </row>
    <row r="1396" spans="2:84">
      <c r="B1396" s="839" t="s">
        <v>98</v>
      </c>
      <c r="C1396" s="839" t="s">
        <v>273</v>
      </c>
      <c r="D1396" s="839" t="s">
        <v>4041</v>
      </c>
      <c r="E1396" s="839" t="s">
        <v>4041</v>
      </c>
      <c r="F1396" s="841">
        <v>45731</v>
      </c>
      <c r="G1396" s="868" t="s">
        <v>273</v>
      </c>
      <c r="H1396" s="842" t="s">
        <v>102</v>
      </c>
      <c r="I1396" s="883" t="s">
        <v>4673</v>
      </c>
      <c r="J1396" s="841">
        <v>45771</v>
      </c>
      <c r="K1396" s="841">
        <v>45954</v>
      </c>
      <c r="L1396" s="843" t="s">
        <v>106</v>
      </c>
      <c r="M1396" s="844" t="s">
        <v>275</v>
      </c>
      <c r="N1396" s="841"/>
      <c r="O1396" s="884" t="s">
        <v>150</v>
      </c>
      <c r="P1396" s="842" t="s">
        <v>4018</v>
      </c>
      <c r="Q1396" s="843"/>
      <c r="R1396" s="845">
        <v>18443</v>
      </c>
      <c r="S1396" s="1127" t="s">
        <v>2480</v>
      </c>
      <c r="T1396" s="885" t="s">
        <v>2481</v>
      </c>
      <c r="U1396" s="886">
        <v>4</v>
      </c>
      <c r="V1396" s="842" t="s">
        <v>3</v>
      </c>
      <c r="W1396" s="846" t="s">
        <v>4684</v>
      </c>
      <c r="X1396" s="847">
        <f t="shared" si="268"/>
        <v>74.680000000000007</v>
      </c>
      <c r="Y1396" s="853">
        <v>0.5</v>
      </c>
      <c r="Z1396" s="896">
        <v>9.3350000000000009</v>
      </c>
      <c r="AA1396" s="849"/>
      <c r="AB1396" s="849">
        <f t="shared" si="260"/>
        <v>37.340000000000003</v>
      </c>
      <c r="AC1396" s="850">
        <f t="shared" si="261"/>
        <v>37.340000000000003</v>
      </c>
      <c r="AD1396" s="851">
        <f t="shared" si="258"/>
        <v>32000</v>
      </c>
      <c r="AE1396" s="852">
        <v>30078.06</v>
      </c>
      <c r="AF1396" s="853">
        <v>0.1</v>
      </c>
      <c r="AG1396" s="854">
        <f t="shared" si="262"/>
        <v>116855.58590582106</v>
      </c>
      <c r="AH1396" s="853">
        <v>0.1</v>
      </c>
      <c r="AI1396" s="855">
        <f t="shared" si="263"/>
        <v>123997.03463058214</v>
      </c>
      <c r="AJ1396" s="845" t="s">
        <v>4641</v>
      </c>
      <c r="AK1396" s="857">
        <v>45820</v>
      </c>
      <c r="AL1396" s="843" t="s">
        <v>4642</v>
      </c>
      <c r="AM1396" s="843" t="s">
        <v>4643</v>
      </c>
      <c r="AN1396" s="844" t="s">
        <v>3951</v>
      </c>
      <c r="AO1396" s="844" t="s">
        <v>141</v>
      </c>
      <c r="AP1396" s="841"/>
      <c r="AQ1396" s="841">
        <v>45832</v>
      </c>
      <c r="AR1396" s="841">
        <v>45876</v>
      </c>
      <c r="AS1396" s="842" t="s">
        <v>1284</v>
      </c>
      <c r="AT1396" s="842" t="s">
        <v>1743</v>
      </c>
      <c r="AU1396" s="842" t="s">
        <v>1210</v>
      </c>
      <c r="AV1396" s="845" t="s">
        <v>4644</v>
      </c>
      <c r="AW1396" s="861">
        <v>45883</v>
      </c>
      <c r="AX1396" s="862">
        <v>45884</v>
      </c>
      <c r="AY1396" s="843"/>
      <c r="AZ1396" s="842"/>
      <c r="BA1396" s="842" t="s">
        <v>120</v>
      </c>
      <c r="BB1396" s="863" t="s">
        <v>121</v>
      </c>
      <c r="BC1396" s="864">
        <v>45885</v>
      </c>
      <c r="BD1396" s="860" t="s">
        <v>4645</v>
      </c>
      <c r="BE1396" s="865" cm="1">
        <f t="array" ref="BE1396">IF(BD1396="","",AC1396/SUMPRODUCT(--(BD1396=$BD$4:$BD$12824),$AC$4:$AC$12824))</f>
        <v>3.2239072668199418E-3</v>
      </c>
      <c r="BF1396" s="458"/>
      <c r="BG1396" s="458"/>
      <c r="BH1396" s="458"/>
      <c r="BI1396" s="458"/>
      <c r="BJ1396" s="458"/>
      <c r="BK1396" s="458"/>
      <c r="BL1396" s="458"/>
      <c r="BM1396" s="458"/>
      <c r="BN1396" s="458"/>
      <c r="BO1396" s="866">
        <f>VLOOKUP(BD1396,$BD$4:$BN$12824,3,0)*BE1396</f>
        <v>44353.400704994441</v>
      </c>
      <c r="BP1396" s="866"/>
      <c r="BQ1396" s="866"/>
      <c r="BR1396" s="866">
        <f>VLOOKUP(BD1396,$BD$4:$BN$12824,6,0)*BE1396</f>
        <v>13276.972520454749</v>
      </c>
      <c r="BS1396" s="866">
        <f>VLOOKUP(BD1396,$BD$4:$BN$12824,7,0)*BE1396</f>
        <v>1087.697953216046</v>
      </c>
      <c r="BT1396" s="866"/>
      <c r="BU1396" s="866">
        <f>VLOOKUP(BD1396,$BD$4:$BN$12824,9,0)*BE1396</f>
        <v>103.79369445526802</v>
      </c>
      <c r="BV1396" s="867"/>
      <c r="BW1396" s="867">
        <f>VLOOKUP(BD1396,$BD$4:$BN$12824,11,0)*BE1396</f>
        <v>0</v>
      </c>
      <c r="BX1396" s="1146">
        <f t="shared" si="264"/>
        <v>58821.86487312051</v>
      </c>
      <c r="BY1396" s="867">
        <f t="shared" si="267"/>
        <v>324698.05279473547</v>
      </c>
      <c r="BZ1396" s="867">
        <f t="shared" si="265"/>
        <v>1298792.2111789419</v>
      </c>
      <c r="CA1396" s="867">
        <f>_xlfn.MAXIFS($BY$4:$BY$12824,$S$4:$S$12824,$S1396)</f>
        <v>394118.41045101476</v>
      </c>
      <c r="CB1396" s="1032"/>
      <c r="CF1396" s="946">
        <f t="shared" si="266"/>
        <v>1123114.7604000003</v>
      </c>
    </row>
    <row r="1397" spans="2:84">
      <c r="B1397" s="839" t="s">
        <v>98</v>
      </c>
      <c r="C1397" s="839" t="s">
        <v>273</v>
      </c>
      <c r="D1397" s="839" t="s">
        <v>4041</v>
      </c>
      <c r="E1397" s="839" t="s">
        <v>4041</v>
      </c>
      <c r="F1397" s="841">
        <v>45731</v>
      </c>
      <c r="G1397" s="868" t="s">
        <v>273</v>
      </c>
      <c r="H1397" s="842" t="s">
        <v>102</v>
      </c>
      <c r="I1397" s="883" t="s">
        <v>4673</v>
      </c>
      <c r="J1397" s="841">
        <v>45771</v>
      </c>
      <c r="K1397" s="841">
        <v>45954</v>
      </c>
      <c r="L1397" s="843" t="s">
        <v>106</v>
      </c>
      <c r="M1397" s="844" t="s">
        <v>275</v>
      </c>
      <c r="N1397" s="841"/>
      <c r="O1397" s="884" t="s">
        <v>150</v>
      </c>
      <c r="P1397" s="842" t="s">
        <v>4018</v>
      </c>
      <c r="Q1397" s="843"/>
      <c r="R1397" s="845">
        <v>18644</v>
      </c>
      <c r="S1397" s="1127" t="s">
        <v>4685</v>
      </c>
      <c r="T1397" s="885" t="s">
        <v>4686</v>
      </c>
      <c r="U1397" s="886">
        <v>4</v>
      </c>
      <c r="V1397" s="842" t="s">
        <v>3</v>
      </c>
      <c r="W1397" s="846" t="s">
        <v>4687</v>
      </c>
      <c r="X1397" s="847">
        <f t="shared" si="268"/>
        <v>218.52</v>
      </c>
      <c r="Y1397" s="853">
        <v>0.5</v>
      </c>
      <c r="Z1397" s="896">
        <v>27.315000000000001</v>
      </c>
      <c r="AA1397" s="849"/>
      <c r="AB1397" s="849">
        <f t="shared" si="260"/>
        <v>109.26</v>
      </c>
      <c r="AC1397" s="850">
        <f t="shared" si="261"/>
        <v>109.26</v>
      </c>
      <c r="AD1397" s="851">
        <f t="shared" si="258"/>
        <v>32000</v>
      </c>
      <c r="AE1397" s="852">
        <v>30078.06</v>
      </c>
      <c r="AF1397" s="853">
        <v>0.1</v>
      </c>
      <c r="AG1397" s="854">
        <f t="shared" si="262"/>
        <v>341929.33358516358</v>
      </c>
      <c r="AH1397" s="853">
        <v>0.1</v>
      </c>
      <c r="AI1397" s="855">
        <f t="shared" si="263"/>
        <v>362825.81691851642</v>
      </c>
      <c r="AJ1397" s="845" t="s">
        <v>4641</v>
      </c>
      <c r="AK1397" s="857">
        <v>45820</v>
      </c>
      <c r="AL1397" s="843" t="s">
        <v>4642</v>
      </c>
      <c r="AM1397" s="843" t="s">
        <v>4643</v>
      </c>
      <c r="AN1397" s="844" t="s">
        <v>3951</v>
      </c>
      <c r="AO1397" s="844" t="s">
        <v>141</v>
      </c>
      <c r="AP1397" s="841"/>
      <c r="AQ1397" s="841">
        <v>45832</v>
      </c>
      <c r="AR1397" s="841">
        <v>45876</v>
      </c>
      <c r="AS1397" s="842" t="s">
        <v>1284</v>
      </c>
      <c r="AT1397" s="842" t="s">
        <v>1743</v>
      </c>
      <c r="AU1397" s="842" t="s">
        <v>1210</v>
      </c>
      <c r="AV1397" s="845" t="s">
        <v>4644</v>
      </c>
      <c r="AW1397" s="861">
        <v>45883</v>
      </c>
      <c r="AX1397" s="862">
        <v>45884</v>
      </c>
      <c r="AY1397" s="843"/>
      <c r="AZ1397" s="842"/>
      <c r="BA1397" s="842" t="s">
        <v>120</v>
      </c>
      <c r="BB1397" s="863" t="s">
        <v>121</v>
      </c>
      <c r="BC1397" s="864">
        <v>45885</v>
      </c>
      <c r="BD1397" s="860" t="s">
        <v>4645</v>
      </c>
      <c r="BE1397" s="865" cm="1">
        <f t="array" ref="BE1397">IF(BD1397="","",AC1397/SUMPRODUCT(--(BD1397=$BD$4:$BD$12824),$AC$4:$AC$12824))</f>
        <v>9.4334254947173769E-3</v>
      </c>
      <c r="BF1397" s="458"/>
      <c r="BG1397" s="458"/>
      <c r="BH1397" s="458"/>
      <c r="BI1397" s="458"/>
      <c r="BJ1397" s="458"/>
      <c r="BK1397" s="458"/>
      <c r="BL1397" s="458"/>
      <c r="BM1397" s="458"/>
      <c r="BN1397" s="458"/>
      <c r="BO1397" s="866">
        <f>VLOOKUP(BD1397,$BD$4:$BN$12824,3,0)*BE1397</f>
        <v>129781.8039911005</v>
      </c>
      <c r="BP1397" s="866"/>
      <c r="BQ1397" s="866"/>
      <c r="BR1397" s="866">
        <f>VLOOKUP(BD1397,$BD$4:$BN$12824,6,0)*BE1397</f>
        <v>38849.545195096034</v>
      </c>
      <c r="BS1397" s="866">
        <f>VLOOKUP(BD1397,$BD$4:$BN$12824,7,0)*BE1397</f>
        <v>3182.6962605352223</v>
      </c>
      <c r="BT1397" s="866"/>
      <c r="BU1397" s="866">
        <f>VLOOKUP(BD1397,$BD$4:$BN$12824,9,0)*BE1397</f>
        <v>303.70913380242592</v>
      </c>
      <c r="BV1397" s="867"/>
      <c r="BW1397" s="867">
        <f>VLOOKUP(BD1397,$BD$4:$BN$12824,11,0)*BE1397</f>
        <v>0</v>
      </c>
      <c r="BX1397" s="1146">
        <f t="shared" si="264"/>
        <v>172117.75458053418</v>
      </c>
      <c r="BY1397" s="867">
        <f t="shared" si="267"/>
        <v>950093.9809414245</v>
      </c>
      <c r="BZ1397" s="867">
        <f t="shared" si="265"/>
        <v>3800375.923765698</v>
      </c>
      <c r="CA1397" s="867">
        <f>_xlfn.MAXIFS($BY$4:$BY$12824,$S$4:$S$12824,$S1397)</f>
        <v>950093.9809414245</v>
      </c>
      <c r="CB1397" s="1032"/>
      <c r="CF1397" s="946">
        <f t="shared" si="266"/>
        <v>3286328.8356000003</v>
      </c>
    </row>
    <row r="1398" spans="2:84">
      <c r="B1398" s="839" t="s">
        <v>98</v>
      </c>
      <c r="C1398" s="839" t="s">
        <v>381</v>
      </c>
      <c r="D1398" s="839" t="s">
        <v>4688</v>
      </c>
      <c r="E1398" s="839" t="s">
        <v>4688</v>
      </c>
      <c r="F1398" s="841">
        <v>45737</v>
      </c>
      <c r="G1398" s="840" t="s">
        <v>383</v>
      </c>
      <c r="H1398" s="842" t="s">
        <v>102</v>
      </c>
      <c r="I1398" s="883" t="s">
        <v>4689</v>
      </c>
      <c r="J1398" s="841">
        <v>45714</v>
      </c>
      <c r="K1398" s="841">
        <v>45930</v>
      </c>
      <c r="L1398" s="843" t="s">
        <v>106</v>
      </c>
      <c r="M1398" s="844" t="s">
        <v>107</v>
      </c>
      <c r="N1398" s="841"/>
      <c r="O1398" s="884" t="s">
        <v>150</v>
      </c>
      <c r="P1398" s="842" t="s">
        <v>4690</v>
      </c>
      <c r="Q1398" s="843"/>
      <c r="R1398" s="845" t="s">
        <v>4691</v>
      </c>
      <c r="S1398" s="1127" t="s">
        <v>4692</v>
      </c>
      <c r="T1398" s="885" t="s">
        <v>4693</v>
      </c>
      <c r="U1398" s="886">
        <v>1</v>
      </c>
      <c r="V1398" s="842" t="s">
        <v>3</v>
      </c>
      <c r="W1398" s="846">
        <v>15124.999999999998</v>
      </c>
      <c r="X1398" s="847">
        <f t="shared" si="268"/>
        <v>15124.999999999998</v>
      </c>
      <c r="Y1398" s="848">
        <v>0.45</v>
      </c>
      <c r="Z1398" s="849">
        <v>8318.75</v>
      </c>
      <c r="AA1398" s="849"/>
      <c r="AB1398" s="849">
        <f t="shared" si="260"/>
        <v>8318.75</v>
      </c>
      <c r="AC1398" s="850">
        <f t="shared" si="261"/>
        <v>8318.75</v>
      </c>
      <c r="AD1398" s="851">
        <f t="shared" si="258"/>
        <v>32000</v>
      </c>
      <c r="AE1398" s="852">
        <v>28500</v>
      </c>
      <c r="AF1398" s="853">
        <v>0</v>
      </c>
      <c r="AG1398" s="854">
        <f t="shared" si="262"/>
        <v>0</v>
      </c>
      <c r="AH1398" s="853">
        <v>0.08</v>
      </c>
      <c r="AI1398" s="855">
        <f t="shared" si="263"/>
        <v>19631642</v>
      </c>
      <c r="AJ1398" s="845" t="s">
        <v>4694</v>
      </c>
      <c r="AK1398" s="857">
        <v>45818</v>
      </c>
      <c r="AL1398" s="843" t="s">
        <v>4695</v>
      </c>
      <c r="AM1398" s="843"/>
      <c r="AN1398" s="844" t="s">
        <v>3951</v>
      </c>
      <c r="AO1398" s="844" t="s">
        <v>141</v>
      </c>
      <c r="AP1398" s="841"/>
      <c r="AQ1398" s="842" t="s">
        <v>4696</v>
      </c>
      <c r="AR1398" s="841">
        <v>45865</v>
      </c>
      <c r="AS1398" s="842" t="s">
        <v>4697</v>
      </c>
      <c r="AT1398" s="842" t="s">
        <v>1187</v>
      </c>
      <c r="AU1398" s="842" t="s">
        <v>1147</v>
      </c>
      <c r="AV1398" s="845" t="s">
        <v>4698</v>
      </c>
      <c r="AW1398" s="861">
        <v>45883</v>
      </c>
      <c r="AX1398" s="862">
        <v>45883</v>
      </c>
      <c r="AY1398" s="843" t="s">
        <v>4699</v>
      </c>
      <c r="AZ1398" s="897" t="s">
        <v>4700</v>
      </c>
      <c r="BA1398" s="842" t="s">
        <v>120</v>
      </c>
      <c r="BB1398" s="863" t="s">
        <v>121</v>
      </c>
      <c r="BC1398" s="864">
        <v>45883</v>
      </c>
      <c r="BD1398" s="860" t="s">
        <v>4701</v>
      </c>
      <c r="BE1398" s="865" cm="1">
        <f t="array" ref="BE1398">IF(BD1398="","",AC1398/SUMPRODUCT(--(BD1398=$BD$4:$BD$12824),$AC$4:$AC$12824))</f>
        <v>1</v>
      </c>
      <c r="BF1398" s="458" cm="1">
        <f t="array" ref="BF1398">SUM(_xlfn._xlws.FILTER( INDEX(Cost!$B$3:$BK$77,MATCH(LDL!$BD1398, Cost!$F$3:$F$77, 0),0),Cost!$B$3:$BK$3 = BF$3))</f>
        <v>8061150</v>
      </c>
      <c r="BG1398" s="458"/>
      <c r="BH1398" s="458"/>
      <c r="BI1398" s="458" cm="1">
        <f t="array" ref="BI1398">SUM(_xlfn._xlws.FILTER( INDEX(Cost!$B$3:$BK$77,MATCH(LDL!$BD1398, Cost!$F$3:$F$77, 0),0),Cost!$B$3:$BK$3 = BI$3))/1.08</f>
        <v>3575449.9999999995</v>
      </c>
      <c r="BJ1398" s="458" cm="1">
        <f t="array" ref="BJ1398">SUM(_xlfn._xlws.FILTER( INDEX(Cost!$B$3:$BK$77,MATCH(LDL!$BD1398, Cost!$F$3:$F$77, 0),0),Cost!$B$3:$BK$3 = BJ$3))</f>
        <v>250000</v>
      </c>
      <c r="BK1398" s="458"/>
      <c r="BL1398" s="458" cm="1">
        <f t="array" ref="BL1398">SUM(_xlfn._xlws.FILTER( INDEX(Cost!$B$3:$BK$77,MATCH(LDL!$BD1398, Cost!$F$3:$F$77, 0),0),Cost!$B$3:$BK$3 = BL$3))</f>
        <v>23675</v>
      </c>
      <c r="BM1398" s="458"/>
      <c r="BN1398" s="458" cm="1">
        <f t="array" ref="BN1398">SUM(_xlfn._xlws.FILTER( INDEX(Cost!$B$3:$BK$77,MATCH(LDL!$BD1398, Cost!$F$3:$F$77, 0),0),Cost!$B$3:$BK$3 = BN$3))/1.08</f>
        <v>600000</v>
      </c>
      <c r="BO1398" s="866">
        <f>VLOOKUP(BD1398,$BD$4:$BN$12824,3,0)*BE1398</f>
        <v>8061150</v>
      </c>
      <c r="BP1398" s="866"/>
      <c r="BQ1398" s="866"/>
      <c r="BR1398" s="866">
        <f>VLOOKUP(BD1398,$BD$4:$BN$12824,6,0)*BE1398</f>
        <v>3575449.9999999995</v>
      </c>
      <c r="BS1398" s="866">
        <f>VLOOKUP(BD1398,$BD$4:$BN$12824,7,0)*BE1398</f>
        <v>250000</v>
      </c>
      <c r="BT1398" s="866"/>
      <c r="BU1398" s="866">
        <f>VLOOKUP(BD1398,$BD$4:$BN$12824,9,0)*BE1398</f>
        <v>23675</v>
      </c>
      <c r="BV1398" s="867"/>
      <c r="BW1398" s="867">
        <f>VLOOKUP(BD1398,$BD$4:$BN$12824,11,0)*BE1398</f>
        <v>600000</v>
      </c>
      <c r="BX1398" s="1146">
        <f t="shared" si="264"/>
        <v>12510275</v>
      </c>
      <c r="BY1398" s="867">
        <f t="shared" si="267"/>
        <v>249594650</v>
      </c>
      <c r="BZ1398" s="867">
        <f t="shared" si="265"/>
        <v>249594650</v>
      </c>
      <c r="CA1398" s="867">
        <f>_xlfn.MAXIFS($BY$4:$BY$12824,$S$4:$S$12824,$S1398)</f>
        <v>249594650</v>
      </c>
      <c r="CB1398" s="1032"/>
      <c r="CF1398" s="946">
        <f t="shared" si="266"/>
        <v>237084375</v>
      </c>
    </row>
    <row r="1399" spans="2:84">
      <c r="B1399" s="839" t="s">
        <v>98</v>
      </c>
      <c r="C1399" s="839" t="s">
        <v>3783</v>
      </c>
      <c r="D1399" s="839" t="s">
        <v>4702</v>
      </c>
      <c r="E1399" s="839" t="s">
        <v>4702</v>
      </c>
      <c r="F1399" s="841">
        <v>45727</v>
      </c>
      <c r="G1399" s="868" t="s">
        <v>3786</v>
      </c>
      <c r="H1399" s="842" t="s">
        <v>102</v>
      </c>
      <c r="I1399" s="883" t="s">
        <v>4689</v>
      </c>
      <c r="J1399" s="841">
        <v>45964</v>
      </c>
      <c r="K1399" s="841" t="s">
        <v>4703</v>
      </c>
      <c r="L1399" s="843" t="s">
        <v>4587</v>
      </c>
      <c r="M1399" s="844" t="s">
        <v>107</v>
      </c>
      <c r="N1399" s="841"/>
      <c r="O1399" s="884" t="s">
        <v>150</v>
      </c>
      <c r="P1399" s="842" t="s">
        <v>4704</v>
      </c>
      <c r="Q1399" s="843"/>
      <c r="R1399" s="845" t="s">
        <v>4705</v>
      </c>
      <c r="S1399" s="1127" t="s">
        <v>3877</v>
      </c>
      <c r="T1399" s="885" t="s">
        <v>4706</v>
      </c>
      <c r="U1399" s="886">
        <v>2</v>
      </c>
      <c r="V1399" s="842" t="s">
        <v>3</v>
      </c>
      <c r="W1399" s="846">
        <v>1260</v>
      </c>
      <c r="X1399" s="847">
        <f t="shared" si="268"/>
        <v>2520</v>
      </c>
      <c r="Y1399" s="898">
        <v>0.52500000000000002</v>
      </c>
      <c r="Z1399" s="849">
        <v>598.5</v>
      </c>
      <c r="AA1399" s="849"/>
      <c r="AB1399" s="849">
        <f t="shared" si="260"/>
        <v>1197</v>
      </c>
      <c r="AC1399" s="850">
        <f t="shared" si="261"/>
        <v>1197</v>
      </c>
      <c r="AD1399" s="851">
        <f t="shared" si="258"/>
        <v>32000</v>
      </c>
      <c r="AE1399" s="852">
        <v>30196.35</v>
      </c>
      <c r="AF1399" s="853">
        <v>0.25</v>
      </c>
      <c r="AG1399" s="854">
        <f t="shared" si="262"/>
        <v>9430213.4217672404</v>
      </c>
      <c r="AH1399" s="853">
        <v>0.08</v>
      </c>
      <c r="AI1399" s="855">
        <f t="shared" si="263"/>
        <v>4159129.549741379</v>
      </c>
      <c r="AJ1399" s="845" t="s">
        <v>4707</v>
      </c>
      <c r="AK1399" s="857">
        <v>45821</v>
      </c>
      <c r="AL1399" s="843" t="s">
        <v>4708</v>
      </c>
      <c r="AM1399" s="843" t="s">
        <v>4709</v>
      </c>
      <c r="AN1399" s="844" t="s">
        <v>3951</v>
      </c>
      <c r="AO1399" s="844" t="s">
        <v>141</v>
      </c>
      <c r="AP1399" s="841"/>
      <c r="AQ1399" s="841">
        <v>45838</v>
      </c>
      <c r="AR1399" s="841">
        <v>45890</v>
      </c>
      <c r="AS1399" s="842" t="s">
        <v>1284</v>
      </c>
      <c r="AT1399" s="842" t="s">
        <v>1235</v>
      </c>
      <c r="AU1399" s="842" t="s">
        <v>4595</v>
      </c>
      <c r="AV1399" s="845" t="s">
        <v>4710</v>
      </c>
      <c r="AW1399" s="861">
        <v>45889</v>
      </c>
      <c r="AX1399" s="862">
        <v>45897</v>
      </c>
      <c r="AY1399" s="843" t="s">
        <v>4711</v>
      </c>
      <c r="AZ1399" s="842">
        <v>94017990</v>
      </c>
      <c r="BA1399" s="842" t="s">
        <v>120</v>
      </c>
      <c r="BB1399" s="863" t="s">
        <v>121</v>
      </c>
      <c r="BC1399" s="864">
        <v>45898</v>
      </c>
      <c r="BD1399" s="860" t="s">
        <v>4712</v>
      </c>
      <c r="BE1399" s="865" cm="1">
        <f t="array" ref="BE1399">IF(BD1399="","",AC1399/SUMPRODUCT(--(BD1399=$BD$4:$BD$12824),$AC$4:$AC$12824))</f>
        <v>0.24568965517241378</v>
      </c>
      <c r="BF1399" s="458" cm="1">
        <f t="array" ref="BF1399">SUM(_xlfn._xlws.FILTER( INDEX(Cost!$B$3:$BK$77,MATCH(LDL!$BD1399, Cost!$F$3:$F$77, 0),0),Cost!$B$3:$BK$3 = BF$3))</f>
        <v>6163875</v>
      </c>
      <c r="BG1399" s="458"/>
      <c r="BH1399" s="458"/>
      <c r="BI1399" s="458" cm="1">
        <f t="array" ref="BI1399">SUM(_xlfn._xlws.FILTER( INDEX(Cost!$B$3:$BK$77,MATCH(LDL!$BD1399, Cost!$F$3:$F$77, 0),0),Cost!$B$3:$BK$3 = BI$3))/1.08</f>
        <v>5960965.7407407407</v>
      </c>
      <c r="BJ1399" s="458" cm="1">
        <f t="array" ref="BJ1399">SUM(_xlfn._xlws.FILTER( INDEX(Cost!$B$3:$BK$77,MATCH(LDL!$BD1399, Cost!$F$3:$F$77, 0),0),Cost!$B$3:$BK$3 = BJ$3))</f>
        <v>250000</v>
      </c>
      <c r="BK1399" s="458"/>
      <c r="BL1399" s="458" cm="1">
        <f t="array" ref="BL1399">SUM(_xlfn._xlws.FILTER( INDEX(Cost!$B$3:$BK$77,MATCH(LDL!$BD1399, Cost!$F$3:$F$77, 0),0),Cost!$B$3:$BK$3 = BL$3))</f>
        <v>21350</v>
      </c>
      <c r="BM1399" s="458"/>
      <c r="BN1399" s="458" cm="1">
        <f t="array" ref="BN1399">SUM(_xlfn._xlws.FILTER( INDEX(Cost!$B$3:$BK$77,MATCH(LDL!$BD1399, Cost!$F$3:$F$77, 0),0),Cost!$B$3:$BK$3 = BN$3))/1.08</f>
        <v>600000</v>
      </c>
      <c r="BO1399" s="866">
        <f>VLOOKUP(BD1399,$BD$4:$BN$12824,3,0)*BE1399</f>
        <v>1514400.323275862</v>
      </c>
      <c r="BP1399" s="866"/>
      <c r="BQ1399" s="866"/>
      <c r="BR1399" s="866">
        <f>VLOOKUP(BD1399,$BD$4:$BN$12824,6,0)*BE1399</f>
        <v>1464547.6173371647</v>
      </c>
      <c r="BS1399" s="866">
        <f>VLOOKUP(BD1399,$BD$4:$BN$12824,7,0)*BE1399</f>
        <v>61422.413793103449</v>
      </c>
      <c r="BT1399" s="866"/>
      <c r="BU1399" s="866">
        <f>VLOOKUP(BD1399,$BD$4:$BN$12824,9,0)*BE1399</f>
        <v>5245.4741379310344</v>
      </c>
      <c r="BV1399" s="867"/>
      <c r="BW1399" s="867">
        <f>VLOOKUP(BD1399,$BD$4:$BN$12824,11,0)*BE1399</f>
        <v>147413.79310344826</v>
      </c>
      <c r="BX1399" s="1146">
        <f t="shared" si="264"/>
        <v>3193029.6216475093</v>
      </c>
      <c r="BY1399" s="867">
        <f t="shared" si="267"/>
        <v>24384136.996707372</v>
      </c>
      <c r="BZ1399" s="867">
        <f t="shared" si="265"/>
        <v>48768273.993414745</v>
      </c>
      <c r="CA1399" s="867">
        <f>_xlfn.MAXIFS($BY$4:$BY$12824,$S$4:$S$12824,$S1399)</f>
        <v>24384136.996707372</v>
      </c>
      <c r="CB1399" s="1032"/>
      <c r="CF1399" s="946">
        <f t="shared" si="266"/>
        <v>36145030.949999996</v>
      </c>
    </row>
    <row r="1400" spans="2:84">
      <c r="B1400" s="839" t="s">
        <v>98</v>
      </c>
      <c r="C1400" s="839" t="s">
        <v>3783</v>
      </c>
      <c r="D1400" s="839" t="s">
        <v>4702</v>
      </c>
      <c r="E1400" s="839" t="s">
        <v>4702</v>
      </c>
      <c r="F1400" s="841">
        <v>45727</v>
      </c>
      <c r="G1400" s="868" t="s">
        <v>3786</v>
      </c>
      <c r="H1400" s="842" t="s">
        <v>102</v>
      </c>
      <c r="I1400" s="883" t="s">
        <v>4689</v>
      </c>
      <c r="J1400" s="841">
        <v>45964</v>
      </c>
      <c r="K1400" s="841" t="s">
        <v>4703</v>
      </c>
      <c r="L1400" s="843" t="s">
        <v>4587</v>
      </c>
      <c r="M1400" s="844" t="s">
        <v>107</v>
      </c>
      <c r="N1400" s="841"/>
      <c r="O1400" s="884" t="s">
        <v>150</v>
      </c>
      <c r="P1400" s="842" t="s">
        <v>4713</v>
      </c>
      <c r="Q1400" s="843"/>
      <c r="R1400" s="845" t="s">
        <v>4714</v>
      </c>
      <c r="S1400" s="1127" t="s">
        <v>4715</v>
      </c>
      <c r="T1400" s="885" t="s">
        <v>4716</v>
      </c>
      <c r="U1400" s="886">
        <v>1</v>
      </c>
      <c r="V1400" s="842" t="s">
        <v>3</v>
      </c>
      <c r="W1400" s="846">
        <v>660</v>
      </c>
      <c r="X1400" s="847">
        <f t="shared" si="268"/>
        <v>660</v>
      </c>
      <c r="Y1400" s="898">
        <v>0.52500000000000002</v>
      </c>
      <c r="Z1400" s="849">
        <v>313.5</v>
      </c>
      <c r="AA1400" s="849"/>
      <c r="AB1400" s="849">
        <f t="shared" si="260"/>
        <v>313.5</v>
      </c>
      <c r="AC1400" s="850">
        <f t="shared" si="261"/>
        <v>313.5</v>
      </c>
      <c r="AD1400" s="851">
        <f t="shared" si="258"/>
        <v>32000</v>
      </c>
      <c r="AE1400" s="852">
        <v>30196.35</v>
      </c>
      <c r="AF1400" s="853">
        <v>0</v>
      </c>
      <c r="AG1400" s="854">
        <f t="shared" si="262"/>
        <v>0</v>
      </c>
      <c r="AH1400" s="853">
        <v>0.08</v>
      </c>
      <c r="AI1400" s="855">
        <f t="shared" si="263"/>
        <v>757324.45799999998</v>
      </c>
      <c r="AJ1400" s="845" t="s">
        <v>4707</v>
      </c>
      <c r="AK1400" s="857">
        <v>45821</v>
      </c>
      <c r="AL1400" s="843" t="s">
        <v>4708</v>
      </c>
      <c r="AM1400" s="843" t="s">
        <v>4709</v>
      </c>
      <c r="AN1400" s="844" t="s">
        <v>3951</v>
      </c>
      <c r="AO1400" s="844" t="s">
        <v>141</v>
      </c>
      <c r="AP1400" s="841"/>
      <c r="AQ1400" s="841">
        <v>45838</v>
      </c>
      <c r="AR1400" s="841">
        <v>45890</v>
      </c>
      <c r="AS1400" s="842" t="s">
        <v>1284</v>
      </c>
      <c r="AT1400" s="842" t="s">
        <v>1235</v>
      </c>
      <c r="AU1400" s="842" t="s">
        <v>4595</v>
      </c>
      <c r="AV1400" s="845" t="s">
        <v>4710</v>
      </c>
      <c r="AW1400" s="861">
        <v>45889</v>
      </c>
      <c r="AX1400" s="862">
        <v>45897</v>
      </c>
      <c r="AY1400" s="843" t="s">
        <v>4717</v>
      </c>
      <c r="AZ1400" s="842">
        <v>94033000</v>
      </c>
      <c r="BA1400" s="842" t="s">
        <v>120</v>
      </c>
      <c r="BB1400" s="863" t="s">
        <v>121</v>
      </c>
      <c r="BC1400" s="864">
        <v>45898</v>
      </c>
      <c r="BD1400" s="860" t="s">
        <v>4712</v>
      </c>
      <c r="BE1400" s="865" cm="1">
        <f t="array" ref="BE1400">IF(BD1400="","",AC1400/SUMPRODUCT(--(BD1400=$BD$4:$BD$12824),$AC$4:$AC$12824))</f>
        <v>6.4347290640394086E-2</v>
      </c>
      <c r="BF1400" s="458"/>
      <c r="BG1400" s="458"/>
      <c r="BH1400" s="458"/>
      <c r="BI1400" s="458"/>
      <c r="BJ1400" s="458"/>
      <c r="BK1400" s="458"/>
      <c r="BL1400" s="458"/>
      <c r="BM1400" s="458"/>
      <c r="BN1400" s="458"/>
      <c r="BO1400" s="866">
        <f>VLOOKUP(BD1400,$BD$4:$BN$12824,3,0)*BE1400</f>
        <v>396628.65609605907</v>
      </c>
      <c r="BP1400" s="866"/>
      <c r="BQ1400" s="866"/>
      <c r="BR1400" s="866">
        <f>VLOOKUP(BD1400,$BD$4:$BN$12824,6,0)*BE1400</f>
        <v>383571.99501687649</v>
      </c>
      <c r="BS1400" s="866">
        <f>VLOOKUP(BD1400,$BD$4:$BN$12824,7,0)*BE1400</f>
        <v>16086.822660098522</v>
      </c>
      <c r="BT1400" s="866"/>
      <c r="BU1400" s="866">
        <f>VLOOKUP(BD1400,$BD$4:$BN$12824,9,0)*BE1400</f>
        <v>1373.8146551724137</v>
      </c>
      <c r="BV1400" s="867"/>
      <c r="BW1400" s="867">
        <f>VLOOKUP(BD1400,$BD$4:$BN$12824,11,0)*BE1400</f>
        <v>38608.374384236449</v>
      </c>
      <c r="BX1400" s="1146">
        <f t="shared" si="264"/>
        <v>836269.66281244287</v>
      </c>
      <c r="BY1400" s="867">
        <f t="shared" si="267"/>
        <v>10302825.387812443</v>
      </c>
      <c r="BZ1400" s="867">
        <f t="shared" si="265"/>
        <v>10302825.387812443</v>
      </c>
      <c r="CA1400" s="867">
        <f>_xlfn.MAXIFS($BY$4:$BY$12824,$S$4:$S$12824,$S1400)</f>
        <v>10302825.387812443</v>
      </c>
      <c r="CB1400" s="1032"/>
      <c r="CF1400" s="946">
        <f t="shared" si="266"/>
        <v>9466555.7249999996</v>
      </c>
    </row>
    <row r="1401" spans="2:84">
      <c r="B1401" s="839" t="s">
        <v>98</v>
      </c>
      <c r="C1401" s="839" t="s">
        <v>3783</v>
      </c>
      <c r="D1401" s="839" t="s">
        <v>4702</v>
      </c>
      <c r="E1401" s="839" t="s">
        <v>4702</v>
      </c>
      <c r="F1401" s="841">
        <v>45727</v>
      </c>
      <c r="G1401" s="868" t="s">
        <v>3786</v>
      </c>
      <c r="H1401" s="842" t="s">
        <v>102</v>
      </c>
      <c r="I1401" s="883" t="s">
        <v>4689</v>
      </c>
      <c r="J1401" s="841">
        <v>45964</v>
      </c>
      <c r="K1401" s="841" t="s">
        <v>4703</v>
      </c>
      <c r="L1401" s="843" t="s">
        <v>4587</v>
      </c>
      <c r="M1401" s="844" t="s">
        <v>107</v>
      </c>
      <c r="N1401" s="841"/>
      <c r="O1401" s="884" t="s">
        <v>150</v>
      </c>
      <c r="P1401" s="842" t="s">
        <v>4713</v>
      </c>
      <c r="Q1401" s="843"/>
      <c r="R1401" s="845" t="s">
        <v>4718</v>
      </c>
      <c r="S1401" s="1127" t="s">
        <v>4719</v>
      </c>
      <c r="T1401" s="885" t="s">
        <v>4720</v>
      </c>
      <c r="U1401" s="886">
        <v>1</v>
      </c>
      <c r="V1401" s="842" t="s">
        <v>3</v>
      </c>
      <c r="W1401" s="846">
        <v>1100</v>
      </c>
      <c r="X1401" s="847">
        <f t="shared" si="268"/>
        <v>1100</v>
      </c>
      <c r="Y1401" s="898">
        <v>0.52500000000000002</v>
      </c>
      <c r="Z1401" s="849">
        <v>522.5</v>
      </c>
      <c r="AA1401" s="849"/>
      <c r="AB1401" s="849">
        <f t="shared" si="260"/>
        <v>522.5</v>
      </c>
      <c r="AC1401" s="850">
        <f t="shared" si="261"/>
        <v>522.5</v>
      </c>
      <c r="AD1401" s="851">
        <f t="shared" ref="AD1401:AD1464" si="269">IF(V1401=$AD$2,$AE$2,$AE$3)</f>
        <v>32000</v>
      </c>
      <c r="AE1401" s="852">
        <v>30196.35</v>
      </c>
      <c r="AF1401" s="853">
        <v>0</v>
      </c>
      <c r="AG1401" s="854">
        <f t="shared" si="262"/>
        <v>0</v>
      </c>
      <c r="AH1401" s="853">
        <v>0.08</v>
      </c>
      <c r="AI1401" s="855">
        <f t="shared" si="263"/>
        <v>1262207.43</v>
      </c>
      <c r="AJ1401" s="845" t="s">
        <v>4707</v>
      </c>
      <c r="AK1401" s="857">
        <v>45821</v>
      </c>
      <c r="AL1401" s="843" t="s">
        <v>4708</v>
      </c>
      <c r="AM1401" s="843" t="s">
        <v>4709</v>
      </c>
      <c r="AN1401" s="844" t="s">
        <v>3951</v>
      </c>
      <c r="AO1401" s="844" t="s">
        <v>141</v>
      </c>
      <c r="AP1401" s="841"/>
      <c r="AQ1401" s="841">
        <v>45838</v>
      </c>
      <c r="AR1401" s="841">
        <v>45890</v>
      </c>
      <c r="AS1401" s="842" t="s">
        <v>1284</v>
      </c>
      <c r="AT1401" s="842" t="s">
        <v>1235</v>
      </c>
      <c r="AU1401" s="842" t="s">
        <v>4595</v>
      </c>
      <c r="AV1401" s="845" t="s">
        <v>4710</v>
      </c>
      <c r="AW1401" s="861">
        <v>45889</v>
      </c>
      <c r="AX1401" s="862">
        <v>45897</v>
      </c>
      <c r="AY1401" s="843" t="s">
        <v>4721</v>
      </c>
      <c r="AZ1401" s="842">
        <v>94033000</v>
      </c>
      <c r="BA1401" s="842" t="s">
        <v>120</v>
      </c>
      <c r="BB1401" s="863" t="s">
        <v>121</v>
      </c>
      <c r="BC1401" s="864">
        <v>45898</v>
      </c>
      <c r="BD1401" s="860" t="s">
        <v>4712</v>
      </c>
      <c r="BE1401" s="865" cm="1">
        <f t="array" ref="BE1401">IF(BD1401="","",AC1401/SUMPRODUCT(--(BD1401=$BD$4:$BD$12824),$AC$4:$AC$12824))</f>
        <v>0.10724548440065682</v>
      </c>
      <c r="BF1401" s="458"/>
      <c r="BG1401" s="458"/>
      <c r="BH1401" s="458"/>
      <c r="BI1401" s="458"/>
      <c r="BJ1401" s="458"/>
      <c r="BK1401" s="458"/>
      <c r="BL1401" s="458"/>
      <c r="BM1401" s="458"/>
      <c r="BN1401" s="458"/>
      <c r="BO1401" s="866">
        <f>VLOOKUP(BD1401,$BD$4:$BN$12824,3,0)*BE1401</f>
        <v>661047.76016009855</v>
      </c>
      <c r="BP1401" s="866"/>
      <c r="BQ1401" s="866"/>
      <c r="BR1401" s="866">
        <f>VLOOKUP(BD1401,$BD$4:$BN$12824,6,0)*BE1401</f>
        <v>639286.65836146078</v>
      </c>
      <c r="BS1401" s="866">
        <f>VLOOKUP(BD1401,$BD$4:$BN$12824,7,0)*BE1401</f>
        <v>26811.371100164204</v>
      </c>
      <c r="BT1401" s="866"/>
      <c r="BU1401" s="866">
        <f>VLOOKUP(BD1401,$BD$4:$BN$12824,9,0)*BE1401</f>
        <v>2289.6910919540228</v>
      </c>
      <c r="BV1401" s="867"/>
      <c r="BW1401" s="867">
        <f>VLOOKUP(BD1401,$BD$4:$BN$12824,11,0)*BE1401</f>
        <v>64347.290640394087</v>
      </c>
      <c r="BX1401" s="1146">
        <f t="shared" si="264"/>
        <v>1393782.7713540718</v>
      </c>
      <c r="BY1401" s="867">
        <f t="shared" si="267"/>
        <v>17171375.646354072</v>
      </c>
      <c r="BZ1401" s="867">
        <f t="shared" si="265"/>
        <v>17171375.646354072</v>
      </c>
      <c r="CA1401" s="867">
        <f>_xlfn.MAXIFS($BY$4:$BY$12824,$S$4:$S$12824,$S1401)</f>
        <v>17171375.646354072</v>
      </c>
      <c r="CB1401" s="1032"/>
      <c r="CF1401" s="946">
        <f t="shared" si="266"/>
        <v>15777592.875</v>
      </c>
    </row>
    <row r="1402" spans="2:84">
      <c r="B1402" s="839" t="s">
        <v>98</v>
      </c>
      <c r="C1402" s="839" t="s">
        <v>3783</v>
      </c>
      <c r="D1402" s="839" t="s">
        <v>4722</v>
      </c>
      <c r="E1402" s="839" t="s">
        <v>4722</v>
      </c>
      <c r="F1402" s="841">
        <v>45741</v>
      </c>
      <c r="G1402" s="868" t="s">
        <v>3786</v>
      </c>
      <c r="H1402" s="842" t="s">
        <v>134</v>
      </c>
      <c r="I1402" s="883"/>
      <c r="J1402" s="841"/>
      <c r="K1402" s="841"/>
      <c r="L1402" s="843" t="s">
        <v>4587</v>
      </c>
      <c r="M1402" s="844" t="s">
        <v>107</v>
      </c>
      <c r="N1402" s="841"/>
      <c r="O1402" s="884" t="s">
        <v>150</v>
      </c>
      <c r="P1402" s="842" t="s">
        <v>151</v>
      </c>
      <c r="Q1402" s="843"/>
      <c r="R1402" s="845" t="s">
        <v>3801</v>
      </c>
      <c r="S1402" s="1127" t="s">
        <v>3802</v>
      </c>
      <c r="T1402" s="885" t="s">
        <v>3803</v>
      </c>
      <c r="U1402" s="886">
        <v>4</v>
      </c>
      <c r="V1402" s="842" t="s">
        <v>3</v>
      </c>
      <c r="W1402" s="846">
        <v>1670</v>
      </c>
      <c r="X1402" s="847">
        <f t="shared" ref="X1402:X1433" si="270">W1402*U1402</f>
        <v>6680</v>
      </c>
      <c r="Y1402" s="848" t="s">
        <v>4723</v>
      </c>
      <c r="Z1402" s="849">
        <v>709.75</v>
      </c>
      <c r="AA1402" s="849"/>
      <c r="AB1402" s="849">
        <f t="shared" si="260"/>
        <v>2839</v>
      </c>
      <c r="AC1402" s="850">
        <f t="shared" si="261"/>
        <v>2839</v>
      </c>
      <c r="AD1402" s="851">
        <f t="shared" si="269"/>
        <v>32000</v>
      </c>
      <c r="AE1402" s="852">
        <v>30196.35</v>
      </c>
      <c r="AF1402" s="853">
        <v>0.25</v>
      </c>
      <c r="AG1402" s="854">
        <f t="shared" si="262"/>
        <v>22366228.825728651</v>
      </c>
      <c r="AH1402" s="853">
        <v>0.08</v>
      </c>
      <c r="AI1402" s="855">
        <f t="shared" si="263"/>
        <v>8647493.3180582915</v>
      </c>
      <c r="AJ1402" s="845" t="s">
        <v>4707</v>
      </c>
      <c r="AK1402" s="857">
        <v>45821</v>
      </c>
      <c r="AL1402" s="843" t="s">
        <v>4708</v>
      </c>
      <c r="AM1402" s="843" t="s">
        <v>4709</v>
      </c>
      <c r="AN1402" s="844" t="s">
        <v>3951</v>
      </c>
      <c r="AO1402" s="844" t="s">
        <v>141</v>
      </c>
      <c r="AP1402" s="841"/>
      <c r="AQ1402" s="841">
        <v>45838</v>
      </c>
      <c r="AR1402" s="841">
        <v>45890</v>
      </c>
      <c r="AS1402" s="842" t="s">
        <v>1284</v>
      </c>
      <c r="AT1402" s="842" t="s">
        <v>1235</v>
      </c>
      <c r="AU1402" s="842" t="s">
        <v>4595</v>
      </c>
      <c r="AV1402" s="845" t="s">
        <v>4710</v>
      </c>
      <c r="AW1402" s="861">
        <v>45889</v>
      </c>
      <c r="AX1402" s="862">
        <v>45897</v>
      </c>
      <c r="AY1402" s="843" t="s">
        <v>4724</v>
      </c>
      <c r="AZ1402" s="842">
        <v>94013900</v>
      </c>
      <c r="BA1402" s="842" t="s">
        <v>120</v>
      </c>
      <c r="BB1402" s="863" t="s">
        <v>121</v>
      </c>
      <c r="BC1402" s="864">
        <v>45898</v>
      </c>
      <c r="BD1402" s="860" t="s">
        <v>4712</v>
      </c>
      <c r="BE1402" s="865" cm="1">
        <f t="array" ref="BE1402">IF(BD1402="","",AC1402/SUMPRODUCT(--(BD1402=$BD$4:$BD$12824),$AC$4:$AC$12824))</f>
        <v>0.58271756978653533</v>
      </c>
      <c r="BF1402" s="458"/>
      <c r="BG1402" s="458"/>
      <c r="BH1402" s="458"/>
      <c r="BI1402" s="458"/>
      <c r="BJ1402" s="458"/>
      <c r="BK1402" s="458"/>
      <c r="BL1402" s="458"/>
      <c r="BM1402" s="458"/>
      <c r="BN1402" s="458"/>
      <c r="BO1402" s="866">
        <f>VLOOKUP(BD1402,$BD$4:$BN$12824,3,0)*BE1402</f>
        <v>3591798.2604679805</v>
      </c>
      <c r="BP1402" s="866"/>
      <c r="BQ1402" s="866"/>
      <c r="BR1402" s="866">
        <f>VLOOKUP(BD1402,$BD$4:$BN$12824,6,0)*BE1402</f>
        <v>3473559.4700252386</v>
      </c>
      <c r="BS1402" s="866">
        <f>VLOOKUP(BD1402,$BD$4:$BN$12824,7,0)*BE1402</f>
        <v>145679.39244663384</v>
      </c>
      <c r="BT1402" s="866"/>
      <c r="BU1402" s="866">
        <f>VLOOKUP(BD1402,$BD$4:$BN$12824,9,0)*BE1402</f>
        <v>12441.020114942528</v>
      </c>
      <c r="BV1402" s="867"/>
      <c r="BW1402" s="867">
        <f>VLOOKUP(BD1402,$BD$4:$BN$12824,11,0)*BE1402</f>
        <v>349630.54187192122</v>
      </c>
      <c r="BX1402" s="1146">
        <f t="shared" si="264"/>
        <v>7573108.6849267166</v>
      </c>
      <c r="BY1402" s="867">
        <f t="shared" si="267"/>
        <v>28916693.790163841</v>
      </c>
      <c r="BZ1402" s="867">
        <f t="shared" si="265"/>
        <v>115666775.16065536</v>
      </c>
      <c r="CA1402" s="867">
        <f>_xlfn.MAXIFS($BY$4:$BY$12824,$S$4:$S$12824,$S1402)</f>
        <v>35621241.8125</v>
      </c>
      <c r="CB1402" s="944">
        <v>86490000</v>
      </c>
      <c r="CC1402" s="1062">
        <f>CB1402*75%</f>
        <v>64867500</v>
      </c>
      <c r="CD1402" s="997">
        <f>(CC1402/1.1-BY1402-CC1402*25%)*80%/CC1402</f>
        <v>0.17064799174058748</v>
      </c>
      <c r="CE1402" s="997"/>
      <c r="CF1402" s="946">
        <f t="shared" si="266"/>
        <v>85727437.649999991</v>
      </c>
    </row>
    <row r="1403" spans="2:84">
      <c r="B1403" s="839" t="s">
        <v>98</v>
      </c>
      <c r="C1403" s="839" t="s">
        <v>4175</v>
      </c>
      <c r="D1403" s="839" t="s">
        <v>4176</v>
      </c>
      <c r="E1403" s="839" t="s">
        <v>4176</v>
      </c>
      <c r="F1403" s="841">
        <v>45654</v>
      </c>
      <c r="G1403" s="840" t="s">
        <v>4177</v>
      </c>
      <c r="H1403" s="842" t="s">
        <v>134</v>
      </c>
      <c r="I1403" s="883"/>
      <c r="J1403" s="841"/>
      <c r="K1403" s="841"/>
      <c r="L1403" s="843" t="s">
        <v>106</v>
      </c>
      <c r="M1403" s="844" t="s">
        <v>535</v>
      </c>
      <c r="N1403" s="841"/>
      <c r="O1403" s="884" t="s">
        <v>108</v>
      </c>
      <c r="P1403" s="842" t="s">
        <v>2088</v>
      </c>
      <c r="Q1403" s="843"/>
      <c r="R1403" s="845" t="s">
        <v>4725</v>
      </c>
      <c r="S1403" s="1127" t="s">
        <v>4726</v>
      </c>
      <c r="T1403" s="885" t="s">
        <v>4727</v>
      </c>
      <c r="U1403" s="886">
        <v>2</v>
      </c>
      <c r="V1403" s="842" t="s">
        <v>3</v>
      </c>
      <c r="W1403" s="846">
        <v>820</v>
      </c>
      <c r="X1403" s="847">
        <f t="shared" si="270"/>
        <v>1640</v>
      </c>
      <c r="Y1403" s="848" t="s">
        <v>4181</v>
      </c>
      <c r="Z1403" s="849">
        <v>405.9</v>
      </c>
      <c r="AA1403" s="849"/>
      <c r="AB1403" s="849">
        <f t="shared" si="260"/>
        <v>811.8</v>
      </c>
      <c r="AC1403" s="850">
        <f t="shared" si="261"/>
        <v>811.8</v>
      </c>
      <c r="AD1403" s="851">
        <f t="shared" si="269"/>
        <v>32000</v>
      </c>
      <c r="AE1403" s="852">
        <v>30326.95</v>
      </c>
      <c r="AF1403" s="853">
        <v>0</v>
      </c>
      <c r="AG1403" s="854">
        <f t="shared" si="262"/>
        <v>0</v>
      </c>
      <c r="AH1403" s="853">
        <v>0.1</v>
      </c>
      <c r="AI1403" s="855">
        <f t="shared" si="263"/>
        <v>2461941.801</v>
      </c>
      <c r="AJ1403" s="845" t="s">
        <v>4728</v>
      </c>
      <c r="AK1403" s="857">
        <v>45754</v>
      </c>
      <c r="AL1403" s="843" t="s">
        <v>4729</v>
      </c>
      <c r="AM1403" s="843" t="s">
        <v>4730</v>
      </c>
      <c r="AN1403" s="844" t="s">
        <v>3951</v>
      </c>
      <c r="AO1403" s="844" t="s">
        <v>141</v>
      </c>
      <c r="AP1403" s="841">
        <v>45825</v>
      </c>
      <c r="AQ1403" s="842"/>
      <c r="AR1403" s="841">
        <v>45877</v>
      </c>
      <c r="AS1403" s="842" t="s">
        <v>4731</v>
      </c>
      <c r="AT1403" s="842" t="s">
        <v>4732</v>
      </c>
      <c r="AU1403" s="842" t="s">
        <v>4733</v>
      </c>
      <c r="AV1403" s="845" t="s">
        <v>4734</v>
      </c>
      <c r="AW1403" s="861">
        <v>45895</v>
      </c>
      <c r="AX1403" s="862">
        <v>45897</v>
      </c>
      <c r="AY1403" s="843" t="s">
        <v>4735</v>
      </c>
      <c r="AZ1403" s="842">
        <v>94051199</v>
      </c>
      <c r="BA1403" s="842" t="s">
        <v>120</v>
      </c>
      <c r="BB1403" s="863" t="s">
        <v>121</v>
      </c>
      <c r="BC1403" s="864">
        <v>45899</v>
      </c>
      <c r="BD1403" s="860" t="s">
        <v>4736</v>
      </c>
      <c r="BE1403" s="865" cm="1">
        <f t="array" ref="BE1403">IF(BD1403="","",AC1403/SUMPRODUCT(--(BD1403=$BD$4:$BD$12824),$AC$4:$AC$12824))</f>
        <v>0.34856011781830049</v>
      </c>
      <c r="BF1403" s="458" cm="1">
        <f t="array" ref="BF1403">SUM(_xlfn._xlws.FILTER( INDEX(Cost!$B$3:$BK$77,MATCH(LDL!$BD1403, Cost!$F$3:$F$77, 0),0),Cost!$B$3:$BK$3 = BF$3))</f>
        <v>0</v>
      </c>
      <c r="BG1403" s="458"/>
      <c r="BH1403" s="458"/>
      <c r="BI1403" s="458" cm="1">
        <f t="array" ref="BI1403">SUM(_xlfn._xlws.FILTER( INDEX(Cost!$B$3:$BK$77,MATCH(LDL!$BD1403, Cost!$F$3:$F$77, 0),0),Cost!$B$3:$BK$3 = BI$3))/1.08</f>
        <v>0</v>
      </c>
      <c r="BJ1403" s="458" cm="1">
        <f t="array" ref="BJ1403">SUM(_xlfn._xlws.FILTER( INDEX(Cost!$B$3:$BK$77,MATCH(LDL!$BD1403, Cost!$F$3:$F$77, 0),0),Cost!$B$3:$BK$3 = BJ$3))</f>
        <v>0</v>
      </c>
      <c r="BK1403" s="458"/>
      <c r="BL1403" s="458" cm="1">
        <f t="array" ref="BL1403">SUM(_xlfn._xlws.FILTER( INDEX(Cost!$B$3:$BK$77,MATCH(LDL!$BD1403, Cost!$F$3:$F$77, 0),0),Cost!$B$3:$BK$3 = BL$3))</f>
        <v>0</v>
      </c>
      <c r="BM1403" s="458"/>
      <c r="BN1403" s="458" cm="1">
        <f t="array" ref="BN1403">SUM(_xlfn._xlws.FILTER( INDEX(Cost!$B$3:$BK$77,MATCH(LDL!$BD1403, Cost!$F$3:$F$77, 0),0),Cost!$B$3:$BK$3 = BN$3))/1.08</f>
        <v>0</v>
      </c>
      <c r="BO1403" s="866">
        <f>VLOOKUP(BD1403,$BD$4:$BN$12824,3,0)*BE1403</f>
        <v>0</v>
      </c>
      <c r="BP1403" s="866"/>
      <c r="BQ1403" s="866"/>
      <c r="BR1403" s="866">
        <f>VLOOKUP(BD1403,$BD$4:$BN$12824,6,0)*BE1403</f>
        <v>0</v>
      </c>
      <c r="BS1403" s="866">
        <f>VLOOKUP(BD1403,$BD$4:$BN$12824,7,0)*BE1403</f>
        <v>0</v>
      </c>
      <c r="BT1403" s="866"/>
      <c r="BU1403" s="866">
        <f>VLOOKUP(BD1403,$BD$4:$BN$12824,9,0)*BE1403</f>
        <v>0</v>
      </c>
      <c r="BV1403" s="867"/>
      <c r="BW1403" s="867">
        <f>VLOOKUP(BD1403,$BD$4:$BN$12824,11,0)*BE1403</f>
        <v>0</v>
      </c>
      <c r="BX1403" s="1146">
        <f t="shared" si="264"/>
        <v>0</v>
      </c>
      <c r="BY1403" s="867">
        <f t="shared" si="267"/>
        <v>12309709.004999999</v>
      </c>
      <c r="BZ1403" s="867">
        <f t="shared" si="265"/>
        <v>24619418.009999998</v>
      </c>
      <c r="CA1403" s="867">
        <f>_xlfn.MAXIFS($BY$4:$BY$12824,$S$4:$S$12824,$S1403)</f>
        <v>12309709.004999999</v>
      </c>
      <c r="CB1403" s="1032"/>
      <c r="CF1403" s="946">
        <f t="shared" si="266"/>
        <v>24619418.009999998</v>
      </c>
    </row>
    <row r="1404" spans="2:84">
      <c r="B1404" s="839" t="s">
        <v>98</v>
      </c>
      <c r="C1404" s="839" t="s">
        <v>4175</v>
      </c>
      <c r="D1404" s="839" t="s">
        <v>4176</v>
      </c>
      <c r="E1404" s="839" t="s">
        <v>4176</v>
      </c>
      <c r="F1404" s="841">
        <v>45654</v>
      </c>
      <c r="G1404" s="840" t="s">
        <v>4177</v>
      </c>
      <c r="H1404" s="842" t="s">
        <v>134</v>
      </c>
      <c r="I1404" s="883"/>
      <c r="J1404" s="841"/>
      <c r="K1404" s="841"/>
      <c r="L1404" s="843" t="s">
        <v>106</v>
      </c>
      <c r="M1404" s="844" t="s">
        <v>535</v>
      </c>
      <c r="N1404" s="841"/>
      <c r="O1404" s="884" t="s">
        <v>108</v>
      </c>
      <c r="P1404" s="842" t="s">
        <v>160</v>
      </c>
      <c r="Q1404" s="843"/>
      <c r="R1404" s="845" t="s">
        <v>4737</v>
      </c>
      <c r="S1404" s="1127" t="s">
        <v>4738</v>
      </c>
      <c r="T1404" s="885" t="s">
        <v>4739</v>
      </c>
      <c r="U1404" s="886">
        <v>3</v>
      </c>
      <c r="V1404" s="842" t="s">
        <v>3</v>
      </c>
      <c r="W1404" s="846">
        <v>415</v>
      </c>
      <c r="X1404" s="847">
        <f t="shared" si="270"/>
        <v>1245</v>
      </c>
      <c r="Y1404" s="848" t="s">
        <v>4181</v>
      </c>
      <c r="Z1404" s="849">
        <v>205.43</v>
      </c>
      <c r="AA1404" s="849"/>
      <c r="AB1404" s="849">
        <f t="shared" si="260"/>
        <v>616.29</v>
      </c>
      <c r="AC1404" s="850">
        <f t="shared" si="261"/>
        <v>616.29</v>
      </c>
      <c r="AD1404" s="851">
        <f t="shared" si="269"/>
        <v>32000</v>
      </c>
      <c r="AE1404" s="852">
        <v>30326.95</v>
      </c>
      <c r="AF1404" s="853">
        <v>0</v>
      </c>
      <c r="AG1404" s="854">
        <f t="shared" si="262"/>
        <v>0</v>
      </c>
      <c r="AH1404" s="853">
        <v>0.1</v>
      </c>
      <c r="AI1404" s="855">
        <f t="shared" si="263"/>
        <v>1869019.6015499998</v>
      </c>
      <c r="AJ1404" s="845" t="s">
        <v>4728</v>
      </c>
      <c r="AK1404" s="857">
        <v>45754</v>
      </c>
      <c r="AL1404" s="843" t="s">
        <v>4729</v>
      </c>
      <c r="AM1404" s="843" t="s">
        <v>4730</v>
      </c>
      <c r="AN1404" s="844" t="s">
        <v>3951</v>
      </c>
      <c r="AO1404" s="844" t="s">
        <v>141</v>
      </c>
      <c r="AP1404" s="841">
        <v>45825</v>
      </c>
      <c r="AQ1404" s="842"/>
      <c r="AR1404" s="841">
        <v>45877</v>
      </c>
      <c r="AS1404" s="842" t="s">
        <v>4731</v>
      </c>
      <c r="AT1404" s="842" t="s">
        <v>4732</v>
      </c>
      <c r="AU1404" s="842" t="s">
        <v>4733</v>
      </c>
      <c r="AV1404" s="845" t="s">
        <v>4734</v>
      </c>
      <c r="AW1404" s="861">
        <v>45895</v>
      </c>
      <c r="AX1404" s="862">
        <v>45897</v>
      </c>
      <c r="AY1404" s="843" t="s">
        <v>4740</v>
      </c>
      <c r="AZ1404" s="842">
        <v>94052190</v>
      </c>
      <c r="BA1404" s="842" t="s">
        <v>120</v>
      </c>
      <c r="BB1404" s="863" t="s">
        <v>121</v>
      </c>
      <c r="BC1404" s="864">
        <v>45899</v>
      </c>
      <c r="BD1404" s="860" t="s">
        <v>4736</v>
      </c>
      <c r="BE1404" s="865" cm="1">
        <f t="array" ref="BE1404">IF(BD1404="","",AC1404/SUMPRODUCT(--(BD1404=$BD$4:$BD$12824),$AC$4:$AC$12824))</f>
        <v>0.26461457872658339</v>
      </c>
      <c r="BF1404" s="458"/>
      <c r="BG1404" s="458"/>
      <c r="BH1404" s="458"/>
      <c r="BI1404" s="458"/>
      <c r="BJ1404" s="458"/>
      <c r="BK1404" s="458"/>
      <c r="BL1404" s="458"/>
      <c r="BM1404" s="458"/>
      <c r="BN1404" s="458"/>
      <c r="BO1404" s="866">
        <f>VLOOKUP(BD1404,$BD$4:$BN$12824,3,0)*BE1404</f>
        <v>0</v>
      </c>
      <c r="BP1404" s="866"/>
      <c r="BQ1404" s="866"/>
      <c r="BR1404" s="866">
        <f>VLOOKUP(BD1404,$BD$4:$BN$12824,6,0)*BE1404</f>
        <v>0</v>
      </c>
      <c r="BS1404" s="866">
        <f>VLOOKUP(BD1404,$BD$4:$BN$12824,7,0)*BE1404</f>
        <v>0</v>
      </c>
      <c r="BT1404" s="866"/>
      <c r="BU1404" s="866">
        <f>VLOOKUP(BD1404,$BD$4:$BN$12824,9,0)*BE1404</f>
        <v>0</v>
      </c>
      <c r="BV1404" s="867"/>
      <c r="BW1404" s="867">
        <f>VLOOKUP(BD1404,$BD$4:$BN$12824,11,0)*BE1404</f>
        <v>0</v>
      </c>
      <c r="BX1404" s="1146">
        <f t="shared" si="264"/>
        <v>0</v>
      </c>
      <c r="BY1404" s="867">
        <f t="shared" si="267"/>
        <v>6230065.3384999996</v>
      </c>
      <c r="BZ1404" s="867">
        <f t="shared" si="265"/>
        <v>18690196.015499998</v>
      </c>
      <c r="CA1404" s="867">
        <f>_xlfn.MAXIFS($BY$4:$BY$12824,$S$4:$S$12824,$S1404)</f>
        <v>6230065.3384999996</v>
      </c>
      <c r="CB1404" s="1032"/>
      <c r="CF1404" s="946">
        <f t="shared" si="266"/>
        <v>18690196.015499998</v>
      </c>
    </row>
    <row r="1405" spans="2:84">
      <c r="B1405" s="839" t="s">
        <v>98</v>
      </c>
      <c r="C1405" s="839" t="s">
        <v>4175</v>
      </c>
      <c r="D1405" s="839" t="s">
        <v>4176</v>
      </c>
      <c r="E1405" s="839" t="s">
        <v>4176</v>
      </c>
      <c r="F1405" s="841">
        <v>45654</v>
      </c>
      <c r="G1405" s="840" t="s">
        <v>4177</v>
      </c>
      <c r="H1405" s="842" t="s">
        <v>134</v>
      </c>
      <c r="I1405" s="883"/>
      <c r="J1405" s="841"/>
      <c r="K1405" s="841"/>
      <c r="L1405" s="843" t="s">
        <v>106</v>
      </c>
      <c r="M1405" s="844" t="s">
        <v>535</v>
      </c>
      <c r="N1405" s="841"/>
      <c r="O1405" s="884" t="s">
        <v>108</v>
      </c>
      <c r="P1405" s="842" t="s">
        <v>2088</v>
      </c>
      <c r="Q1405" s="843"/>
      <c r="R1405" s="845" t="s">
        <v>4741</v>
      </c>
      <c r="S1405" s="1127" t="s">
        <v>4742</v>
      </c>
      <c r="T1405" s="885" t="s">
        <v>4743</v>
      </c>
      <c r="U1405" s="886">
        <v>4</v>
      </c>
      <c r="V1405" s="842" t="s">
        <v>3</v>
      </c>
      <c r="W1405" s="846">
        <v>455</v>
      </c>
      <c r="X1405" s="847">
        <f t="shared" si="270"/>
        <v>1820</v>
      </c>
      <c r="Y1405" s="848" t="s">
        <v>4181</v>
      </c>
      <c r="Z1405" s="849">
        <v>225.23</v>
      </c>
      <c r="AA1405" s="849"/>
      <c r="AB1405" s="849">
        <f t="shared" si="260"/>
        <v>900.92</v>
      </c>
      <c r="AC1405" s="850">
        <f t="shared" si="261"/>
        <v>900.92</v>
      </c>
      <c r="AD1405" s="851">
        <f t="shared" si="269"/>
        <v>32000</v>
      </c>
      <c r="AE1405" s="852">
        <v>30326.95</v>
      </c>
      <c r="AF1405" s="853">
        <v>0</v>
      </c>
      <c r="AG1405" s="854">
        <f t="shared" si="262"/>
        <v>0</v>
      </c>
      <c r="AH1405" s="853">
        <v>0.1</v>
      </c>
      <c r="AI1405" s="855">
        <f t="shared" si="263"/>
        <v>2732215.5794000002</v>
      </c>
      <c r="AJ1405" s="845" t="s">
        <v>4728</v>
      </c>
      <c r="AK1405" s="857">
        <v>45754</v>
      </c>
      <c r="AL1405" s="843" t="s">
        <v>4729</v>
      </c>
      <c r="AM1405" s="843" t="s">
        <v>4730</v>
      </c>
      <c r="AN1405" s="844" t="s">
        <v>3951</v>
      </c>
      <c r="AO1405" s="844" t="s">
        <v>141</v>
      </c>
      <c r="AP1405" s="841">
        <v>45825</v>
      </c>
      <c r="AQ1405" s="842"/>
      <c r="AR1405" s="841">
        <v>45877</v>
      </c>
      <c r="AS1405" s="842" t="s">
        <v>4731</v>
      </c>
      <c r="AT1405" s="842" t="s">
        <v>4732</v>
      </c>
      <c r="AU1405" s="842" t="s">
        <v>4733</v>
      </c>
      <c r="AV1405" s="845" t="s">
        <v>4734</v>
      </c>
      <c r="AW1405" s="861">
        <v>45895</v>
      </c>
      <c r="AX1405" s="862">
        <v>45897</v>
      </c>
      <c r="AY1405" s="843" t="s">
        <v>4744</v>
      </c>
      <c r="AZ1405" s="842">
        <v>94051199</v>
      </c>
      <c r="BA1405" s="842" t="s">
        <v>120</v>
      </c>
      <c r="BB1405" s="863" t="s">
        <v>121</v>
      </c>
      <c r="BC1405" s="864">
        <v>45899</v>
      </c>
      <c r="BD1405" s="860" t="s">
        <v>4736</v>
      </c>
      <c r="BE1405" s="865" cm="1">
        <f t="array" ref="BE1405">IF(BD1405="","",AC1405/SUMPRODUCT(--(BD1405=$BD$4:$BD$12824),$AC$4:$AC$12824))</f>
        <v>0.38682530345511612</v>
      </c>
      <c r="BF1405" s="458"/>
      <c r="BG1405" s="458"/>
      <c r="BH1405" s="458"/>
      <c r="BI1405" s="458"/>
      <c r="BJ1405" s="458"/>
      <c r="BK1405" s="458"/>
      <c r="BL1405" s="458"/>
      <c r="BM1405" s="458"/>
      <c r="BN1405" s="458"/>
      <c r="BO1405" s="866">
        <f>VLOOKUP(BD1405,$BD$4:$BN$12824,3,0)*BE1405</f>
        <v>0</v>
      </c>
      <c r="BP1405" s="866"/>
      <c r="BQ1405" s="866"/>
      <c r="BR1405" s="866">
        <f>VLOOKUP(BD1405,$BD$4:$BN$12824,6,0)*BE1405</f>
        <v>0</v>
      </c>
      <c r="BS1405" s="866">
        <f>VLOOKUP(BD1405,$BD$4:$BN$12824,7,0)*BE1405</f>
        <v>0</v>
      </c>
      <c r="BT1405" s="866"/>
      <c r="BU1405" s="866">
        <f>VLOOKUP(BD1405,$BD$4:$BN$12824,9,0)*BE1405</f>
        <v>0</v>
      </c>
      <c r="BV1405" s="867"/>
      <c r="BW1405" s="867">
        <f>VLOOKUP(BD1405,$BD$4:$BN$12824,11,0)*BE1405</f>
        <v>0</v>
      </c>
      <c r="BX1405" s="1146">
        <f t="shared" si="264"/>
        <v>0</v>
      </c>
      <c r="BY1405" s="867">
        <f t="shared" si="267"/>
        <v>6830538.9484999999</v>
      </c>
      <c r="BZ1405" s="867">
        <f t="shared" si="265"/>
        <v>27322155.794</v>
      </c>
      <c r="CA1405" s="867">
        <f>_xlfn.MAXIFS($BY$4:$BY$12824,$S$4:$S$12824,$S1405)</f>
        <v>6830538.9484999999</v>
      </c>
      <c r="CB1405" s="1032"/>
      <c r="CF1405" s="946">
        <f t="shared" si="266"/>
        <v>27322155.794</v>
      </c>
    </row>
    <row r="1406" spans="2:84">
      <c r="B1406" s="839" t="s">
        <v>98</v>
      </c>
      <c r="C1406" s="840" t="s">
        <v>99</v>
      </c>
      <c r="D1406" s="839" t="s">
        <v>4745</v>
      </c>
      <c r="E1406" s="839" t="s">
        <v>4745</v>
      </c>
      <c r="F1406" s="841">
        <v>45870</v>
      </c>
      <c r="G1406" s="868" t="s">
        <v>4746</v>
      </c>
      <c r="H1406" s="842" t="s">
        <v>102</v>
      </c>
      <c r="I1406" s="883" t="s">
        <v>4747</v>
      </c>
      <c r="J1406" s="841">
        <v>45859</v>
      </c>
      <c r="K1406" s="841"/>
      <c r="L1406" s="843" t="s">
        <v>4748</v>
      </c>
      <c r="M1406" s="844" t="s">
        <v>107</v>
      </c>
      <c r="N1406" s="841"/>
      <c r="O1406" s="884" t="s">
        <v>108</v>
      </c>
      <c r="P1406" s="842" t="s">
        <v>2088</v>
      </c>
      <c r="Q1406" s="843" t="s">
        <v>4749</v>
      </c>
      <c r="R1406" s="845">
        <v>5743142806</v>
      </c>
      <c r="S1406" s="1128" t="s">
        <v>4750</v>
      </c>
      <c r="T1406" s="885" t="s">
        <v>4751</v>
      </c>
      <c r="U1406" s="886">
        <v>2</v>
      </c>
      <c r="V1406" s="842" t="s">
        <v>3</v>
      </c>
      <c r="W1406" s="846">
        <v>1260</v>
      </c>
      <c r="X1406" s="847">
        <f t="shared" si="270"/>
        <v>2520</v>
      </c>
      <c r="Y1406" s="853">
        <v>0.5</v>
      </c>
      <c r="Z1406" s="849">
        <v>630</v>
      </c>
      <c r="AA1406" s="849"/>
      <c r="AB1406" s="849">
        <f t="shared" si="260"/>
        <v>1260</v>
      </c>
      <c r="AC1406" s="850">
        <f t="shared" si="261"/>
        <v>1260</v>
      </c>
      <c r="AD1406" s="851">
        <f t="shared" si="269"/>
        <v>32000</v>
      </c>
      <c r="AE1406" s="852">
        <v>30326.95</v>
      </c>
      <c r="AF1406" s="853">
        <v>0</v>
      </c>
      <c r="AG1406" s="854">
        <f t="shared" si="262"/>
        <v>0</v>
      </c>
      <c r="AH1406" s="853">
        <v>0.08</v>
      </c>
      <c r="AI1406" s="855">
        <f t="shared" si="263"/>
        <v>3967868.56</v>
      </c>
      <c r="AJ1406" s="856" t="s">
        <v>4752</v>
      </c>
      <c r="AK1406" s="857">
        <v>45882</v>
      </c>
      <c r="AL1406" s="843" t="s">
        <v>4753</v>
      </c>
      <c r="AM1406" s="843"/>
      <c r="AN1406" s="844"/>
      <c r="AO1406" s="844" t="s">
        <v>116</v>
      </c>
      <c r="AP1406" s="841">
        <v>45888</v>
      </c>
      <c r="AQ1406" s="841">
        <v>45888</v>
      </c>
      <c r="AR1406" s="841">
        <v>45891</v>
      </c>
      <c r="AS1406" s="842" t="s">
        <v>1601</v>
      </c>
      <c r="AT1406" s="842" t="s">
        <v>4466</v>
      </c>
      <c r="AU1406" s="842" t="s">
        <v>1565</v>
      </c>
      <c r="AV1406" s="845" t="s">
        <v>4754</v>
      </c>
      <c r="AW1406" s="861">
        <v>45895</v>
      </c>
      <c r="AX1406" s="862">
        <v>45904</v>
      </c>
      <c r="AY1406" s="843" t="s">
        <v>4755</v>
      </c>
      <c r="AZ1406" s="842">
        <v>94051999</v>
      </c>
      <c r="BA1406" s="842" t="s">
        <v>120</v>
      </c>
      <c r="BB1406" s="863" t="s">
        <v>121</v>
      </c>
      <c r="BC1406" s="864">
        <v>45905</v>
      </c>
      <c r="BD1406" s="860" t="s">
        <v>4756</v>
      </c>
      <c r="BE1406" s="865" cm="1">
        <f t="array" ref="BE1406">IF(BD1406="","",AC1406/SUMPRODUCT(--(BD1406=$BD$4:$BD$12824),$AC$4:$AC$12824))</f>
        <v>1</v>
      </c>
      <c r="BF1406" s="458" cm="1">
        <f t="array" ref="BF1406">SUM(_xlfn._xlws.FILTER( INDEX(Cost!$B$3:$BK$77,MATCH(LDL!$BD1406, Cost!$F$3:$F$77, 0),0),Cost!$B$3:$BK$3 = BF$3))</f>
        <v>11386400</v>
      </c>
      <c r="BG1406" s="458"/>
      <c r="BH1406" s="458"/>
      <c r="BI1406" s="458" cm="1">
        <f t="array" ref="BI1406">SUM(_xlfn._xlws.FILTER( INDEX(Cost!$B$3:$BK$77,MATCH(LDL!$BD1406, Cost!$F$3:$F$77, 0),0),Cost!$B$3:$BK$3 = BI$3))/1.08</f>
        <v>979599.99999999988</v>
      </c>
      <c r="BJ1406" s="458" cm="1">
        <f t="array" ref="BJ1406">SUM(_xlfn._xlws.FILTER( INDEX(Cost!$B$3:$BK$77,MATCH(LDL!$BD1406, Cost!$F$3:$F$77, 0),0),Cost!$B$3:$BK$3 = BJ$3))</f>
        <v>0</v>
      </c>
      <c r="BK1406" s="458"/>
      <c r="BL1406" s="458" cm="1">
        <f t="array" ref="BL1406">SUM(_xlfn._xlws.FILTER( INDEX(Cost!$B$3:$BK$77,MATCH(LDL!$BD1406, Cost!$F$3:$F$77, 0),0),Cost!$B$3:$BK$3 = BL$3))</f>
        <v>20000</v>
      </c>
      <c r="BM1406" s="458"/>
      <c r="BN1406" s="458" cm="1">
        <f t="array" ref="BN1406">SUM(_xlfn._xlws.FILTER( INDEX(Cost!$B$3:$BK$77,MATCH(LDL!$BD1406, Cost!$F$3:$F$77, 0),0),Cost!$B$3:$BK$3 = BN$3))/1.08</f>
        <v>600000</v>
      </c>
      <c r="BO1406" s="866">
        <f>VLOOKUP(BD1406,$BD$4:$BN$12824,3,0)*BE1406</f>
        <v>11386400</v>
      </c>
      <c r="BP1406" s="866"/>
      <c r="BQ1406" s="866"/>
      <c r="BR1406" s="866">
        <f>VLOOKUP(BD1406,$BD$4:$BN$12824,6,0)*BE1406</f>
        <v>979599.99999999988</v>
      </c>
      <c r="BS1406" s="866">
        <f>VLOOKUP(BD1406,$BD$4:$BN$12824,7,0)*BE1406</f>
        <v>0</v>
      </c>
      <c r="BT1406" s="866"/>
      <c r="BU1406" s="866">
        <f>VLOOKUP(BD1406,$BD$4:$BN$12824,9,0)*BE1406</f>
        <v>20000</v>
      </c>
      <c r="BV1406" s="867"/>
      <c r="BW1406" s="867">
        <f>VLOOKUP(BD1406,$BD$4:$BN$12824,11,0)*BE1406</f>
        <v>600000</v>
      </c>
      <c r="BX1406" s="1146">
        <f t="shared" si="264"/>
        <v>12986000</v>
      </c>
      <c r="BY1406" s="867">
        <f t="shared" si="267"/>
        <v>25598978.5</v>
      </c>
      <c r="BZ1406" s="867">
        <f t="shared" si="265"/>
        <v>51197957</v>
      </c>
      <c r="CA1406" s="867">
        <f>_xlfn.MAXIFS($BY$4:$BY$12824,$S$4:$S$12824,$S1406)</f>
        <v>25598978.5</v>
      </c>
      <c r="CB1406" s="1032"/>
      <c r="CF1406" s="946">
        <f t="shared" si="266"/>
        <v>38211957</v>
      </c>
    </row>
    <row r="1407" spans="2:84">
      <c r="B1407" s="839" t="s">
        <v>98</v>
      </c>
      <c r="C1407" s="839" t="s">
        <v>4757</v>
      </c>
      <c r="D1407" s="839" t="s">
        <v>4758</v>
      </c>
      <c r="E1407" s="839" t="s">
        <v>4758</v>
      </c>
      <c r="F1407" s="841" t="s">
        <v>4759</v>
      </c>
      <c r="G1407" s="868" t="s">
        <v>4757</v>
      </c>
      <c r="H1407" s="842" t="s">
        <v>102</v>
      </c>
      <c r="I1407" s="883" t="s">
        <v>4760</v>
      </c>
      <c r="J1407" s="841" t="s">
        <v>4759</v>
      </c>
      <c r="K1407" s="841">
        <v>45886</v>
      </c>
      <c r="L1407" s="843" t="s">
        <v>106</v>
      </c>
      <c r="M1407" s="844" t="s">
        <v>4761</v>
      </c>
      <c r="N1407" s="841"/>
      <c r="O1407" s="884"/>
      <c r="P1407" s="842"/>
      <c r="Q1407" s="843"/>
      <c r="R1407" s="845">
        <v>5443703</v>
      </c>
      <c r="S1407" s="1127" t="s">
        <v>4762</v>
      </c>
      <c r="T1407" s="885" t="s">
        <v>4763</v>
      </c>
      <c r="U1407" s="886">
        <v>1</v>
      </c>
      <c r="V1407" s="842" t="s">
        <v>3</v>
      </c>
      <c r="W1407" s="846">
        <v>105</v>
      </c>
      <c r="X1407" s="847">
        <f t="shared" si="270"/>
        <v>105</v>
      </c>
      <c r="Y1407" s="853">
        <v>0</v>
      </c>
      <c r="Z1407" s="849">
        <v>105</v>
      </c>
      <c r="AA1407" s="849"/>
      <c r="AB1407" s="849">
        <f t="shared" si="260"/>
        <v>105</v>
      </c>
      <c r="AC1407" s="850">
        <f t="shared" si="261"/>
        <v>105</v>
      </c>
      <c r="AD1407" s="851">
        <f t="shared" si="269"/>
        <v>32000</v>
      </c>
      <c r="AE1407" s="852"/>
      <c r="AF1407" s="853"/>
      <c r="AG1407" s="854">
        <f t="shared" si="262"/>
        <v>0</v>
      </c>
      <c r="AH1407" s="853"/>
      <c r="AI1407" s="855">
        <f t="shared" si="263"/>
        <v>0</v>
      </c>
      <c r="AJ1407" s="845"/>
      <c r="AK1407" s="857"/>
      <c r="AL1407" s="843"/>
      <c r="AM1407" s="843"/>
      <c r="AN1407" s="844"/>
      <c r="AO1407" s="844"/>
      <c r="AP1407" s="841"/>
      <c r="AQ1407" s="842"/>
      <c r="AR1407" s="841"/>
      <c r="AS1407" s="842"/>
      <c r="AT1407" s="842"/>
      <c r="AU1407" s="842"/>
      <c r="AV1407" s="845" t="s">
        <v>4764</v>
      </c>
      <c r="AW1407" s="861">
        <v>45903</v>
      </c>
      <c r="AX1407" s="862">
        <v>45904</v>
      </c>
      <c r="AY1407" s="843" t="s">
        <v>4765</v>
      </c>
      <c r="AZ1407" s="842">
        <v>85044030</v>
      </c>
      <c r="BA1407" s="842" t="s">
        <v>120</v>
      </c>
      <c r="BB1407" s="863" t="s">
        <v>121</v>
      </c>
      <c r="BC1407" s="864">
        <v>45906</v>
      </c>
      <c r="BD1407" s="860" t="s">
        <v>4766</v>
      </c>
      <c r="BE1407" s="865" cm="1">
        <f t="array" ref="BE1407">IF(BD1407="","",AC1407/SUMPRODUCT(--(BD1407=$BD$4:$BD$12824),$AC$4:$AC$12824))</f>
        <v>1</v>
      </c>
      <c r="BF1407" s="458" cm="1">
        <f t="array" ref="BF1407">SUM(_xlfn._xlws.FILTER( INDEX(Cost!$B$3:$BK$77,MATCH(LDL!$BD1407, Cost!$F$3:$F$77, 0),0),Cost!$B$3:$BK$3 = BF$3))</f>
        <v>0</v>
      </c>
      <c r="BG1407" s="458"/>
      <c r="BH1407" s="458"/>
      <c r="BI1407" s="458" cm="1">
        <f t="array" ref="BI1407">SUM(_xlfn._xlws.FILTER( INDEX(Cost!$B$3:$BK$77,MATCH(LDL!$BD1407, Cost!$F$3:$F$77, 0),0),Cost!$B$3:$BK$3 = BI$3))/1.08</f>
        <v>0</v>
      </c>
      <c r="BJ1407" s="458" cm="1">
        <f t="array" ref="BJ1407">SUM(_xlfn._xlws.FILTER( INDEX(Cost!$B$3:$BK$77,MATCH(LDL!$BD1407, Cost!$F$3:$F$77, 0),0),Cost!$B$3:$BK$3 = BJ$3))</f>
        <v>0</v>
      </c>
      <c r="BK1407" s="458"/>
      <c r="BL1407" s="458" cm="1">
        <f t="array" ref="BL1407">SUM(_xlfn._xlws.FILTER( INDEX(Cost!$B$3:$BK$77,MATCH(LDL!$BD1407, Cost!$F$3:$F$77, 0),0),Cost!$B$3:$BK$3 = BL$3))</f>
        <v>0</v>
      </c>
      <c r="BM1407" s="458"/>
      <c r="BN1407" s="458" cm="1">
        <f t="array" ref="BN1407">SUM(_xlfn._xlws.FILTER( INDEX(Cost!$B$3:$BK$77,MATCH(LDL!$BD1407, Cost!$F$3:$F$77, 0),0),Cost!$B$3:$BK$3 = BN$3))/1.08</f>
        <v>0</v>
      </c>
      <c r="BO1407" s="866">
        <f>VLOOKUP(BD1407,$BD$4:$BN$12824,3,0)*BE1407</f>
        <v>0</v>
      </c>
      <c r="BP1407" s="866"/>
      <c r="BQ1407" s="866"/>
      <c r="BR1407" s="866">
        <f>VLOOKUP(BD1407,$BD$4:$BN$12824,6,0)*BE1407</f>
        <v>0</v>
      </c>
      <c r="BS1407" s="866">
        <f>VLOOKUP(BD1407,$BD$4:$BN$12824,7,0)*BE1407</f>
        <v>0</v>
      </c>
      <c r="BT1407" s="866"/>
      <c r="BU1407" s="866">
        <f>VLOOKUP(BD1407,$BD$4:$BN$12824,9,0)*BE1407</f>
        <v>0</v>
      </c>
      <c r="BV1407" s="867"/>
      <c r="BW1407" s="867">
        <f>VLOOKUP(BD1407,$BD$4:$BN$12824,11,0)*BE1407</f>
        <v>0</v>
      </c>
      <c r="BX1407" s="1146">
        <f t="shared" si="264"/>
        <v>0</v>
      </c>
      <c r="BY1407" s="867">
        <f t="shared" si="267"/>
        <v>0</v>
      </c>
      <c r="BZ1407" s="867">
        <f t="shared" si="265"/>
        <v>0</v>
      </c>
      <c r="CA1407" s="867">
        <f>_xlfn.MAXIFS($BY$4:$BY$12824,$S$4:$S$12824,$S1407)</f>
        <v>0</v>
      </c>
      <c r="CB1407" s="1032"/>
      <c r="CF1407" s="946">
        <f t="shared" si="266"/>
        <v>0</v>
      </c>
    </row>
    <row r="1408" spans="2:84">
      <c r="B1408" s="839" t="s">
        <v>98</v>
      </c>
      <c r="C1408" s="839" t="s">
        <v>254</v>
      </c>
      <c r="D1408" s="839" t="s">
        <v>4767</v>
      </c>
      <c r="E1408" s="839" t="s">
        <v>4767</v>
      </c>
      <c r="F1408" s="841">
        <v>45883</v>
      </c>
      <c r="G1408" s="868" t="s">
        <v>254</v>
      </c>
      <c r="H1408" s="842" t="s">
        <v>102</v>
      </c>
      <c r="I1408" s="883" t="s">
        <v>4768</v>
      </c>
      <c r="J1408" s="841">
        <v>45878</v>
      </c>
      <c r="K1408" s="841">
        <v>45911</v>
      </c>
      <c r="L1408" s="843" t="s">
        <v>106</v>
      </c>
      <c r="M1408" s="844" t="s">
        <v>107</v>
      </c>
      <c r="N1408" s="841"/>
      <c r="O1408" s="884" t="s">
        <v>108</v>
      </c>
      <c r="P1408" s="842" t="s">
        <v>2088</v>
      </c>
      <c r="Q1408" s="843"/>
      <c r="R1408" s="845" t="s">
        <v>4099</v>
      </c>
      <c r="S1408" s="1128" t="s">
        <v>4100</v>
      </c>
      <c r="T1408" s="885" t="s">
        <v>4769</v>
      </c>
      <c r="U1408" s="886">
        <v>8</v>
      </c>
      <c r="V1408" s="842" t="s">
        <v>3</v>
      </c>
      <c r="W1408" s="846">
        <v>189</v>
      </c>
      <c r="X1408" s="847">
        <f t="shared" si="270"/>
        <v>1512</v>
      </c>
      <c r="Y1408" s="853">
        <v>0.51</v>
      </c>
      <c r="Z1408" s="849">
        <v>92.61</v>
      </c>
      <c r="AA1408" s="849"/>
      <c r="AB1408" s="849">
        <f t="shared" si="260"/>
        <v>740.88</v>
      </c>
      <c r="AC1408" s="850">
        <f t="shared" si="261"/>
        <v>740.88</v>
      </c>
      <c r="AD1408" s="851">
        <f t="shared" si="269"/>
        <v>32000</v>
      </c>
      <c r="AE1408" s="852">
        <v>30260.23</v>
      </c>
      <c r="AF1408" s="853">
        <v>0</v>
      </c>
      <c r="AG1408" s="854">
        <f t="shared" si="262"/>
        <v>0</v>
      </c>
      <c r="AH1408" s="853">
        <v>0.08</v>
      </c>
      <c r="AI1408" s="855">
        <f t="shared" si="263"/>
        <v>2471859.136192</v>
      </c>
      <c r="AJ1408" s="856" t="s">
        <v>4770</v>
      </c>
      <c r="AK1408" s="857">
        <v>45895</v>
      </c>
      <c r="AL1408" s="843" t="s">
        <v>4771</v>
      </c>
      <c r="AM1408" s="843"/>
      <c r="AN1408" s="844"/>
      <c r="AO1408" s="844" t="s">
        <v>116</v>
      </c>
      <c r="AP1408" s="841"/>
      <c r="AQ1408" s="841">
        <v>45905</v>
      </c>
      <c r="AR1408" s="841">
        <v>45906</v>
      </c>
      <c r="AS1408" s="842" t="s">
        <v>4772</v>
      </c>
      <c r="AT1408" s="842" t="s">
        <v>4466</v>
      </c>
      <c r="AU1408" s="842" t="s">
        <v>1090</v>
      </c>
      <c r="AV1408" s="845" t="s">
        <v>4773</v>
      </c>
      <c r="AW1408" s="861">
        <v>45908</v>
      </c>
      <c r="AX1408" s="862">
        <v>45909</v>
      </c>
      <c r="AY1408" s="843" t="s">
        <v>4774</v>
      </c>
      <c r="AZ1408" s="842">
        <v>94051999</v>
      </c>
      <c r="BA1408" s="842" t="s">
        <v>120</v>
      </c>
      <c r="BB1408" s="863" t="s">
        <v>4775</v>
      </c>
      <c r="BC1408" s="864">
        <v>45910</v>
      </c>
      <c r="BD1408" s="860" t="s">
        <v>4776</v>
      </c>
      <c r="BE1408" s="865" cm="1">
        <f t="array" ref="BE1408">IF(BD1408="","",AC1408/SUMPRODUCT(--(BD1408=$BD$4:$BD$12824),$AC$4:$AC$12824))</f>
        <v>1</v>
      </c>
      <c r="BF1408" s="458" cm="1">
        <f t="array" ref="BF1408">SUM(_xlfn._xlws.FILTER( INDEX(Cost!$B$3:$BK$77,MATCH(LDL!$BD1408, Cost!$F$3:$F$77, 0),0),Cost!$B$3:$BK$3 = BF$3))</f>
        <v>8479040</v>
      </c>
      <c r="BG1408" s="458"/>
      <c r="BH1408" s="458"/>
      <c r="BI1408" s="458" cm="1">
        <f t="array" ref="BI1408">SUM(_xlfn._xlws.FILTER( INDEX(Cost!$B$3:$BK$77,MATCH(LDL!$BD1408, Cost!$F$3:$F$77, 0),0),Cost!$B$3:$BK$3 = BI$3))/1.08</f>
        <v>945939.81481481472</v>
      </c>
      <c r="BJ1408" s="458" cm="1">
        <f t="array" ref="BJ1408">SUM(_xlfn._xlws.FILTER( INDEX(Cost!$B$3:$BK$77,MATCH(LDL!$BD1408, Cost!$F$3:$F$77, 0),0),Cost!$B$3:$BK$3 = BJ$3))</f>
        <v>0</v>
      </c>
      <c r="BK1408" s="458"/>
      <c r="BL1408" s="458" cm="1">
        <f t="array" ref="BL1408">SUM(_xlfn._xlws.FILTER( INDEX(Cost!$B$3:$BK$77,MATCH(LDL!$BD1408, Cost!$F$3:$F$77, 0),0),Cost!$B$3:$BK$3 = BL$3))</f>
        <v>20000</v>
      </c>
      <c r="BM1408" s="458"/>
      <c r="BN1408" s="458" cm="1">
        <f t="array" ref="BN1408">SUM(_xlfn._xlws.FILTER( INDEX(Cost!$B$3:$BK$77,MATCH(LDL!$BD1408, Cost!$F$3:$F$77, 0),0),Cost!$B$3:$BK$3 = BN$3))/1.08</f>
        <v>600000</v>
      </c>
      <c r="BO1408" s="866">
        <f>VLOOKUP(BD1408,$BD$4:$BN$12824,3,0)*BE1408</f>
        <v>8479040</v>
      </c>
      <c r="BP1408" s="866"/>
      <c r="BQ1408" s="866"/>
      <c r="BR1408" s="866">
        <f>VLOOKUP(BD1408,$BD$4:$BN$12824,6,0)*BE1408</f>
        <v>945939.81481481472</v>
      </c>
      <c r="BS1408" s="866">
        <f>VLOOKUP(BD1408,$BD$4:$BN$12824,7,0)*BE1408</f>
        <v>0</v>
      </c>
      <c r="BT1408" s="866"/>
      <c r="BU1408" s="866">
        <f>VLOOKUP(BD1408,$BD$4:$BN$12824,9,0)*BE1408</f>
        <v>20000</v>
      </c>
      <c r="BV1408" s="867"/>
      <c r="BW1408" s="867">
        <f>VLOOKUP(BD1408,$BD$4:$BN$12824,11,0)*BE1408</f>
        <v>600000</v>
      </c>
      <c r="BX1408" s="1146">
        <f t="shared" si="264"/>
        <v>10044979.814814815</v>
      </c>
      <c r="BY1408" s="867">
        <f t="shared" si="267"/>
        <v>4058022.3771518515</v>
      </c>
      <c r="BZ1408" s="867">
        <f t="shared" si="265"/>
        <v>32464179.017214812</v>
      </c>
      <c r="CA1408" s="867">
        <f>_xlfn.MAXIFS($BY$4:$BY$12824,$S$4:$S$12824,$S1408)</f>
        <v>4058022.3771518515</v>
      </c>
      <c r="CB1408" s="1032"/>
      <c r="CF1408" s="946">
        <f t="shared" si="266"/>
        <v>22419199.202399999</v>
      </c>
    </row>
    <row r="1409" spans="2:84">
      <c r="B1409" s="839" t="s">
        <v>98</v>
      </c>
      <c r="C1409" s="839" t="s">
        <v>4583</v>
      </c>
      <c r="D1409" s="839" t="s">
        <v>4584</v>
      </c>
      <c r="E1409" s="839" t="s">
        <v>4584</v>
      </c>
      <c r="F1409" s="841">
        <v>45731</v>
      </c>
      <c r="G1409" s="868" t="s">
        <v>4585</v>
      </c>
      <c r="H1409" s="842" t="s">
        <v>102</v>
      </c>
      <c r="I1409" s="883" t="s">
        <v>4586</v>
      </c>
      <c r="J1409" s="841">
        <v>45730</v>
      </c>
      <c r="K1409" s="841">
        <v>45866</v>
      </c>
      <c r="L1409" s="843" t="s">
        <v>4587</v>
      </c>
      <c r="M1409" s="844" t="s">
        <v>107</v>
      </c>
      <c r="N1409" s="841"/>
      <c r="O1409" s="884" t="s">
        <v>3459</v>
      </c>
      <c r="P1409" s="842" t="s">
        <v>4588</v>
      </c>
      <c r="Q1409" s="843"/>
      <c r="R1409" s="845" t="s">
        <v>4777</v>
      </c>
      <c r="S1409" s="1128" t="s">
        <v>4777</v>
      </c>
      <c r="T1409" s="885" t="s">
        <v>4778</v>
      </c>
      <c r="U1409" s="886">
        <v>1</v>
      </c>
      <c r="V1409" s="842" t="s">
        <v>3</v>
      </c>
      <c r="W1409" s="846">
        <v>2917.9999999999995</v>
      </c>
      <c r="X1409" s="847">
        <f t="shared" si="270"/>
        <v>2917.9999999999995</v>
      </c>
      <c r="Y1409" s="853">
        <v>0.15</v>
      </c>
      <c r="Z1409" s="849">
        <v>2480.2999999999997</v>
      </c>
      <c r="AA1409" s="849"/>
      <c r="AB1409" s="849">
        <f t="shared" si="260"/>
        <v>2480.2999999999997</v>
      </c>
      <c r="AC1409" s="850">
        <f t="shared" si="261"/>
        <v>2480.2999999999997</v>
      </c>
      <c r="AD1409" s="851">
        <f t="shared" si="269"/>
        <v>32000</v>
      </c>
      <c r="AE1409" s="852">
        <v>30260.23</v>
      </c>
      <c r="AF1409" s="853">
        <v>0</v>
      </c>
      <c r="AG1409" s="854">
        <f t="shared" si="262"/>
        <v>0</v>
      </c>
      <c r="AH1409" s="853">
        <v>0.08</v>
      </c>
      <c r="AI1409" s="855">
        <f t="shared" si="263"/>
        <v>7082444.5975200003</v>
      </c>
      <c r="AJ1409" s="845" t="s">
        <v>4779</v>
      </c>
      <c r="AK1409" s="857" t="s">
        <v>4592</v>
      </c>
      <c r="AL1409" s="899" t="s">
        <v>4780</v>
      </c>
      <c r="AM1409" s="843"/>
      <c r="AN1409" s="844"/>
      <c r="AO1409" s="844" t="s">
        <v>116</v>
      </c>
      <c r="AP1409" s="841"/>
      <c r="AQ1409" s="841">
        <v>45849</v>
      </c>
      <c r="AR1409" s="841">
        <v>45908</v>
      </c>
      <c r="AS1409" s="843" t="s">
        <v>4594</v>
      </c>
      <c r="AT1409" s="842" t="s">
        <v>4466</v>
      </c>
      <c r="AU1409" s="842" t="s">
        <v>4595</v>
      </c>
      <c r="AV1409" s="845" t="s">
        <v>4781</v>
      </c>
      <c r="AW1409" s="861">
        <v>45908</v>
      </c>
      <c r="AX1409" s="862">
        <v>45909</v>
      </c>
      <c r="AY1409" s="843" t="s">
        <v>4782</v>
      </c>
      <c r="AZ1409" s="842">
        <v>94059950</v>
      </c>
      <c r="BA1409" s="842" t="s">
        <v>120</v>
      </c>
      <c r="BB1409" s="863" t="s">
        <v>121</v>
      </c>
      <c r="BC1409" s="864">
        <v>45910</v>
      </c>
      <c r="BD1409" s="860" t="s">
        <v>4783</v>
      </c>
      <c r="BE1409" s="865" cm="1">
        <f t="array" ref="BE1409">IF(BD1409="","",AC1409/SUMPRODUCT(--(BD1409=$BD$4:$BD$12824),$AC$4:$AC$12824))</f>
        <v>1</v>
      </c>
      <c r="BF1409" s="458" cm="1">
        <f t="array" ref="BF1409">SUM(_xlfn._xlws.FILTER( INDEX(Cost!$B$3:$BK$77,MATCH(LDL!$BD1409, Cost!$F$3:$F$77, 0),0),Cost!$B$3:$BK$3 = BF$3))</f>
        <v>13476109</v>
      </c>
      <c r="BG1409" s="458"/>
      <c r="BH1409" s="458"/>
      <c r="BI1409" s="458" cm="1">
        <f t="array" ref="BI1409">SUM(_xlfn._xlws.FILTER( INDEX(Cost!$B$3:$BK$77,MATCH(LDL!$BD1409, Cost!$F$3:$F$77, 0),0),Cost!$B$3:$BK$3 = BI$3))/1.08</f>
        <v>0</v>
      </c>
      <c r="BJ1409" s="458" cm="1">
        <f t="array" ref="BJ1409">SUM(_xlfn._xlws.FILTER( INDEX(Cost!$B$3:$BK$77,MATCH(LDL!$BD1409, Cost!$F$3:$F$77, 0),0),Cost!$B$3:$BK$3 = BJ$3))</f>
        <v>0</v>
      </c>
      <c r="BK1409" s="458"/>
      <c r="BL1409" s="458" cm="1">
        <f t="array" ref="BL1409">SUM(_xlfn._xlws.FILTER( INDEX(Cost!$B$3:$BK$77,MATCH(LDL!$BD1409, Cost!$F$3:$F$77, 0),0),Cost!$B$3:$BK$3 = BL$3))</f>
        <v>20000</v>
      </c>
      <c r="BM1409" s="458"/>
      <c r="BN1409" s="458" cm="1">
        <f t="array" ref="BN1409">SUM(_xlfn._xlws.FILTER( INDEX(Cost!$B$3:$BK$77,MATCH(LDL!$BD1409, Cost!$F$3:$F$77, 0),0),Cost!$B$3:$BK$3 = BN$3))/1.08</f>
        <v>0</v>
      </c>
      <c r="BO1409" s="866">
        <f>VLOOKUP(BD1409,$BD$4:$BN$12824,3,0)*BE1409</f>
        <v>13476109</v>
      </c>
      <c r="BP1409" s="866"/>
      <c r="BQ1409" s="866"/>
      <c r="BR1409" s="866">
        <f>VLOOKUP(BD1409,$BD$4:$BN$12824,6,0)*BE1409</f>
        <v>0</v>
      </c>
      <c r="BS1409" s="866">
        <f>VLOOKUP(BD1409,$BD$4:$BN$12824,7,0)*BE1409</f>
        <v>0</v>
      </c>
      <c r="BT1409" s="866"/>
      <c r="BU1409" s="866">
        <f>VLOOKUP(BD1409,$BD$4:$BN$12824,9,0)*BE1409</f>
        <v>20000</v>
      </c>
      <c r="BV1409" s="867"/>
      <c r="BW1409" s="867">
        <f>VLOOKUP(BD1409,$BD$4:$BN$12824,11,0)*BE1409</f>
        <v>0</v>
      </c>
      <c r="BX1409" s="1146">
        <f t="shared" si="264"/>
        <v>13496109</v>
      </c>
      <c r="BY1409" s="867">
        <f t="shared" si="267"/>
        <v>88550557.468999997</v>
      </c>
      <c r="BZ1409" s="867">
        <f t="shared" si="265"/>
        <v>88550557.468999997</v>
      </c>
      <c r="CA1409" s="867">
        <f>_xlfn.MAXIFS($BY$4:$BY$12824,$S$4:$S$12824,$S1409)</f>
        <v>88550557.468999997</v>
      </c>
      <c r="CB1409" s="1032"/>
      <c r="CF1409" s="946">
        <f t="shared" si="266"/>
        <v>75054448.468999997</v>
      </c>
    </row>
    <row r="1410" spans="2:84">
      <c r="B1410" s="839" t="s">
        <v>98</v>
      </c>
      <c r="C1410" s="840" t="s">
        <v>99</v>
      </c>
      <c r="D1410" s="839" t="s">
        <v>4784</v>
      </c>
      <c r="E1410" s="839" t="s">
        <v>4785</v>
      </c>
      <c r="F1410" s="841">
        <v>45675</v>
      </c>
      <c r="G1410" s="868" t="s">
        <v>4786</v>
      </c>
      <c r="H1410" s="883" t="s">
        <v>4787</v>
      </c>
      <c r="I1410" s="883"/>
      <c r="J1410" s="841"/>
      <c r="K1410" s="841"/>
      <c r="L1410" s="843" t="s">
        <v>106</v>
      </c>
      <c r="M1410" s="844" t="s">
        <v>107</v>
      </c>
      <c r="N1410" s="841"/>
      <c r="O1410" s="884" t="s">
        <v>108</v>
      </c>
      <c r="P1410" s="842" t="s">
        <v>160</v>
      </c>
      <c r="Q1410" s="843" t="s">
        <v>4788</v>
      </c>
      <c r="R1410" s="845" t="s">
        <v>4789</v>
      </c>
      <c r="S1410" s="1127" t="s">
        <v>4790</v>
      </c>
      <c r="T1410" s="885" t="s">
        <v>4791</v>
      </c>
      <c r="U1410" s="886">
        <v>5</v>
      </c>
      <c r="V1410" s="842" t="s">
        <v>3</v>
      </c>
      <c r="W1410" s="846">
        <v>510</v>
      </c>
      <c r="X1410" s="847">
        <f t="shared" si="270"/>
        <v>2550</v>
      </c>
      <c r="Y1410" s="848" t="s">
        <v>4792</v>
      </c>
      <c r="Z1410" s="849">
        <v>229.5</v>
      </c>
      <c r="AA1410" s="849"/>
      <c r="AB1410" s="849">
        <f t="shared" ref="AB1410:AB1473" si="271">IF(AA1410="F.O.C", 0, Z1410*U1410)</f>
        <v>1147.5</v>
      </c>
      <c r="AC1410" s="850">
        <f t="shared" ref="AC1410:AC1473" si="272">Z1410*U1410</f>
        <v>1147.5</v>
      </c>
      <c r="AD1410" s="851">
        <f t="shared" si="269"/>
        <v>32000</v>
      </c>
      <c r="AE1410" s="852">
        <v>30660.35</v>
      </c>
      <c r="AF1410" s="853">
        <v>0</v>
      </c>
      <c r="AG1410" s="854">
        <f t="shared" ref="AG1410:AG1473" si="273">(AC1410*AE1410+BO1410+BP1410+BQ1410+BS1410)*AF1410</f>
        <v>0</v>
      </c>
      <c r="AH1410" s="853">
        <v>0.08</v>
      </c>
      <c r="AI1410" s="855">
        <f t="shared" ref="AI1410:AI1473" si="274">(AC1410*AE1410+AG1410+BF1410+BG1410+BH1410+BJ1410)*AH1410</f>
        <v>4670895.7663636366</v>
      </c>
      <c r="AJ1410" s="845" t="s">
        <v>4793</v>
      </c>
      <c r="AK1410" s="857">
        <v>45842</v>
      </c>
      <c r="AL1410" s="843" t="s">
        <v>4794</v>
      </c>
      <c r="AM1410" s="843"/>
      <c r="AN1410" s="844" t="s">
        <v>3951</v>
      </c>
      <c r="AO1410" s="844" t="s">
        <v>141</v>
      </c>
      <c r="AP1410" s="841"/>
      <c r="AQ1410" s="841">
        <v>45876</v>
      </c>
      <c r="AR1410" s="841">
        <v>45920</v>
      </c>
      <c r="AS1410" s="842" t="s">
        <v>4697</v>
      </c>
      <c r="AT1410" s="842" t="s">
        <v>4795</v>
      </c>
      <c r="AU1410" s="842" t="s">
        <v>1311</v>
      </c>
      <c r="AV1410" s="856" t="s">
        <v>4796</v>
      </c>
      <c r="AW1410" s="861">
        <v>45923</v>
      </c>
      <c r="AX1410" s="862">
        <v>45925</v>
      </c>
      <c r="AY1410" s="843" t="s">
        <v>4797</v>
      </c>
      <c r="AZ1410" s="900" t="s">
        <v>4798</v>
      </c>
      <c r="BA1410" s="842" t="s">
        <v>120</v>
      </c>
      <c r="BB1410" s="863" t="s">
        <v>121</v>
      </c>
      <c r="BC1410" s="864">
        <v>45926</v>
      </c>
      <c r="BD1410" s="860" t="s">
        <v>4799</v>
      </c>
      <c r="BE1410" s="865" cm="1">
        <f t="array" ref="BE1410">IF(BD1410="","",AC1410/SUMPRODUCT(--(BD1410=$BD$4:$BD$12824),$AC$4:$AC$12824))</f>
        <v>4.2840902515012984E-2</v>
      </c>
      <c r="BF1410" s="458" cm="1">
        <f t="array" ref="BF1410">SUM(_xlfn._xlws.FILTER( INDEX(Cost!$B$3:$BK$77,MATCH(LDL!$BD1410, Cost!$F$3:$F$77, 0),0),Cost!$B$3:$BK$3 = BF$3))</f>
        <v>22478250</v>
      </c>
      <c r="BG1410" s="458"/>
      <c r="BH1410" s="458"/>
      <c r="BI1410" s="458" cm="1">
        <f t="array" ref="BI1410">SUM(_xlfn._xlws.FILTER( INDEX(Cost!$B$3:$BK$77,MATCH(LDL!$BD1410, Cost!$F$3:$F$77, 0),0),Cost!$B$3:$BK$3 = BI$3))/1.08</f>
        <v>1447207.4074074074</v>
      </c>
      <c r="BJ1410" s="458" cm="1">
        <f t="array" ref="BJ1410">SUM(_xlfn._xlws.FILTER( INDEX(Cost!$B$3:$BK$77,MATCH(LDL!$BD1410, Cost!$F$3:$F$77, 0),0),Cost!$B$3:$BK$3 = BJ$3))</f>
        <v>725195.45454545447</v>
      </c>
      <c r="BK1410" s="458"/>
      <c r="BL1410" s="458" cm="1">
        <f t="array" ref="BL1410">SUM(_xlfn._xlws.FILTER( INDEX(Cost!$B$3:$BK$77,MATCH(LDL!$BD1410, Cost!$F$3:$F$77, 0),0),Cost!$B$3:$BK$3 = BL$3))</f>
        <v>26119</v>
      </c>
      <c r="BM1410" s="458"/>
      <c r="BN1410" s="458" cm="1">
        <f t="array" ref="BN1410">SUM(_xlfn._xlws.FILTER( INDEX(Cost!$B$3:$BK$77,MATCH(LDL!$BD1410, Cost!$F$3:$F$77, 0),0),Cost!$B$3:$BK$3 = BN$3))/1.08</f>
        <v>1988888.8888888888</v>
      </c>
      <c r="BO1410" s="866">
        <f>VLOOKUP(BD1410,$BD$4:$BN$12824,3,0)*BE1410</f>
        <v>962988.51695809059</v>
      </c>
      <c r="BP1410" s="866"/>
      <c r="BQ1410" s="866"/>
      <c r="BR1410" s="866">
        <f>VLOOKUP(BD1410,$BD$4:$BN$12824,6,0)*BE1410</f>
        <v>61999.671459745419</v>
      </c>
      <c r="BS1410" s="866">
        <f>VLOOKUP(BD1410,$BD$4:$BN$12824,7,0)*BE1410</f>
        <v>31068.027772512345</v>
      </c>
      <c r="BT1410" s="866"/>
      <c r="BU1410" s="866">
        <f>VLOOKUP(BD1410,$BD$4:$BN$12824,9,0)*BE1410</f>
        <v>1118.961532789624</v>
      </c>
      <c r="BV1410" s="867"/>
      <c r="BW1410" s="867">
        <f>VLOOKUP(BD1410,$BD$4:$BN$12824,11,0)*BE1410</f>
        <v>85205.795002081373</v>
      </c>
      <c r="BX1410" s="1146">
        <f t="shared" ref="BX1410:BX1473" si="275">SUM(BO1410:BW1410)</f>
        <v>1142380.9727252193</v>
      </c>
      <c r="BY1410" s="867">
        <f t="shared" si="267"/>
        <v>7265026.5195450438</v>
      </c>
      <c r="BZ1410" s="867">
        <f t="shared" ref="BZ1410:BZ1473" si="276">BY1410*U1410</f>
        <v>36325132.59772522</v>
      </c>
      <c r="CA1410" s="867">
        <f>_xlfn.MAXIFS($BY$4:$BY$12824,$S$4:$S$12824,$S1410)</f>
        <v>7265026.5195450438</v>
      </c>
      <c r="CB1410" s="1032"/>
      <c r="CF1410" s="946">
        <f t="shared" si="266"/>
        <v>35182751.625</v>
      </c>
    </row>
    <row r="1411" spans="2:84">
      <c r="B1411" s="839" t="s">
        <v>98</v>
      </c>
      <c r="C1411" s="840" t="s">
        <v>99</v>
      </c>
      <c r="D1411" s="839" t="s">
        <v>4784</v>
      </c>
      <c r="E1411" s="839" t="s">
        <v>4785</v>
      </c>
      <c r="F1411" s="841">
        <v>45675</v>
      </c>
      <c r="G1411" s="868" t="s">
        <v>4786</v>
      </c>
      <c r="H1411" s="883" t="s">
        <v>4787</v>
      </c>
      <c r="I1411" s="883"/>
      <c r="J1411" s="841"/>
      <c r="K1411" s="841"/>
      <c r="L1411" s="843" t="s">
        <v>106</v>
      </c>
      <c r="M1411" s="844" t="s">
        <v>107</v>
      </c>
      <c r="N1411" s="841"/>
      <c r="O1411" s="884" t="s">
        <v>108</v>
      </c>
      <c r="P1411" s="842" t="s">
        <v>160</v>
      </c>
      <c r="Q1411" s="843" t="s">
        <v>4788</v>
      </c>
      <c r="R1411" s="845" t="s">
        <v>4800</v>
      </c>
      <c r="S1411" s="1127" t="s">
        <v>4801</v>
      </c>
      <c r="T1411" s="885" t="s">
        <v>4802</v>
      </c>
      <c r="U1411" s="886">
        <v>5</v>
      </c>
      <c r="V1411" s="842" t="s">
        <v>3</v>
      </c>
      <c r="W1411" s="846">
        <v>510</v>
      </c>
      <c r="X1411" s="847">
        <f t="shared" si="270"/>
        <v>2550</v>
      </c>
      <c r="Y1411" s="848" t="s">
        <v>4792</v>
      </c>
      <c r="Z1411" s="849">
        <v>229.5</v>
      </c>
      <c r="AA1411" s="849"/>
      <c r="AB1411" s="849">
        <f t="shared" si="271"/>
        <v>1147.5</v>
      </c>
      <c r="AC1411" s="850">
        <f t="shared" si="272"/>
        <v>1147.5</v>
      </c>
      <c r="AD1411" s="851">
        <f t="shared" si="269"/>
        <v>32000</v>
      </c>
      <c r="AE1411" s="852">
        <v>30660.35</v>
      </c>
      <c r="AF1411" s="853">
        <v>0.25</v>
      </c>
      <c r="AG1411" s="854">
        <f t="shared" si="273"/>
        <v>9044202.0424326509</v>
      </c>
      <c r="AH1411" s="853">
        <v>0.08</v>
      </c>
      <c r="AI1411" s="855">
        <f t="shared" si="274"/>
        <v>3538156.2933946121</v>
      </c>
      <c r="AJ1411" s="845" t="s">
        <v>4793</v>
      </c>
      <c r="AK1411" s="857">
        <v>45842</v>
      </c>
      <c r="AL1411" s="843" t="s">
        <v>4794</v>
      </c>
      <c r="AM1411" s="843"/>
      <c r="AN1411" s="844" t="s">
        <v>3951</v>
      </c>
      <c r="AO1411" s="844" t="s">
        <v>141</v>
      </c>
      <c r="AP1411" s="841"/>
      <c r="AQ1411" s="841">
        <v>45876</v>
      </c>
      <c r="AR1411" s="841">
        <v>45920</v>
      </c>
      <c r="AS1411" s="842" t="s">
        <v>4697</v>
      </c>
      <c r="AT1411" s="842" t="s">
        <v>4795</v>
      </c>
      <c r="AU1411" s="842" t="s">
        <v>1311</v>
      </c>
      <c r="AV1411" s="856" t="s">
        <v>4796</v>
      </c>
      <c r="AW1411" s="861">
        <v>45923</v>
      </c>
      <c r="AX1411" s="862">
        <v>45925</v>
      </c>
      <c r="AY1411" s="843" t="s">
        <v>4803</v>
      </c>
      <c r="AZ1411" s="900" t="s">
        <v>4798</v>
      </c>
      <c r="BA1411" s="842" t="s">
        <v>120</v>
      </c>
      <c r="BB1411" s="863" t="s">
        <v>121</v>
      </c>
      <c r="BC1411" s="864">
        <v>45926</v>
      </c>
      <c r="BD1411" s="860" t="s">
        <v>4799</v>
      </c>
      <c r="BE1411" s="865" cm="1">
        <f t="array" ref="BE1411">IF(BD1411="","",AC1411/SUMPRODUCT(--(BD1411=$BD$4:$BD$12824),$AC$4:$AC$12824))</f>
        <v>4.2840902515012984E-2</v>
      </c>
      <c r="BF1411" s="458"/>
      <c r="BG1411" s="458"/>
      <c r="BH1411" s="458"/>
      <c r="BI1411" s="458"/>
      <c r="BJ1411" s="458"/>
      <c r="BK1411" s="458"/>
      <c r="BL1411" s="458"/>
      <c r="BM1411" s="458"/>
      <c r="BN1411" s="458"/>
      <c r="BO1411" s="866">
        <f>VLOOKUP(BD1411,$BD$4:$BN$12824,3,0)*BE1411</f>
        <v>962988.51695809059</v>
      </c>
      <c r="BP1411" s="866"/>
      <c r="BQ1411" s="866"/>
      <c r="BR1411" s="866">
        <f>VLOOKUP(BD1411,$BD$4:$BN$12824,6,0)*BE1411</f>
        <v>61999.671459745419</v>
      </c>
      <c r="BS1411" s="866">
        <f>VLOOKUP(BD1411,$BD$4:$BN$12824,7,0)*BE1411</f>
        <v>31068.027772512345</v>
      </c>
      <c r="BT1411" s="866"/>
      <c r="BU1411" s="866">
        <f>VLOOKUP(BD1411,$BD$4:$BN$12824,9,0)*BE1411</f>
        <v>1118.961532789624</v>
      </c>
      <c r="BV1411" s="867"/>
      <c r="BW1411" s="867">
        <f>VLOOKUP(BD1411,$BD$4:$BN$12824,11,0)*BE1411</f>
        <v>85205.795002081373</v>
      </c>
      <c r="BX1411" s="1146">
        <f t="shared" si="275"/>
        <v>1142380.9727252193</v>
      </c>
      <c r="BY1411" s="867">
        <f t="shared" si="267"/>
        <v>9073866.9280315749</v>
      </c>
      <c r="BZ1411" s="867">
        <f t="shared" si="276"/>
        <v>45369334.640157878</v>
      </c>
      <c r="CA1411" s="867">
        <f>_xlfn.MAXIFS($BY$4:$BY$12824,$S$4:$S$12824,$S1411)</f>
        <v>9073866.9280315749</v>
      </c>
      <c r="CB1411" s="1032"/>
      <c r="CF1411" s="946">
        <f t="shared" si="266"/>
        <v>35182751.625</v>
      </c>
    </row>
    <row r="1412" spans="2:84">
      <c r="B1412" s="839" t="s">
        <v>98</v>
      </c>
      <c r="C1412" s="840" t="s">
        <v>99</v>
      </c>
      <c r="D1412" s="839" t="s">
        <v>4784</v>
      </c>
      <c r="E1412" s="839" t="s">
        <v>4785</v>
      </c>
      <c r="F1412" s="841">
        <v>45675</v>
      </c>
      <c r="G1412" s="868" t="s">
        <v>4786</v>
      </c>
      <c r="H1412" s="883" t="s">
        <v>4787</v>
      </c>
      <c r="I1412" s="883"/>
      <c r="J1412" s="841"/>
      <c r="K1412" s="841"/>
      <c r="L1412" s="843" t="s">
        <v>106</v>
      </c>
      <c r="M1412" s="844" t="s">
        <v>107</v>
      </c>
      <c r="N1412" s="841"/>
      <c r="O1412" s="884" t="s">
        <v>108</v>
      </c>
      <c r="P1412" s="842" t="s">
        <v>160</v>
      </c>
      <c r="Q1412" s="843" t="s">
        <v>4788</v>
      </c>
      <c r="R1412" s="845" t="s">
        <v>4804</v>
      </c>
      <c r="S1412" s="1127" t="s">
        <v>4805</v>
      </c>
      <c r="T1412" s="885" t="s">
        <v>4806</v>
      </c>
      <c r="U1412" s="886">
        <v>5</v>
      </c>
      <c r="V1412" s="842" t="s">
        <v>3</v>
      </c>
      <c r="W1412" s="846">
        <v>510</v>
      </c>
      <c r="X1412" s="847">
        <f t="shared" si="270"/>
        <v>2550</v>
      </c>
      <c r="Y1412" s="848" t="s">
        <v>4792</v>
      </c>
      <c r="Z1412" s="849">
        <v>229.5</v>
      </c>
      <c r="AA1412" s="849"/>
      <c r="AB1412" s="849">
        <f t="shared" si="271"/>
        <v>1147.5</v>
      </c>
      <c r="AC1412" s="850">
        <f t="shared" si="272"/>
        <v>1147.5</v>
      </c>
      <c r="AD1412" s="851">
        <f t="shared" si="269"/>
        <v>32000</v>
      </c>
      <c r="AE1412" s="852">
        <v>30660.35</v>
      </c>
      <c r="AF1412" s="853">
        <v>0</v>
      </c>
      <c r="AG1412" s="854">
        <f t="shared" si="273"/>
        <v>0</v>
      </c>
      <c r="AH1412" s="853">
        <v>0.08</v>
      </c>
      <c r="AI1412" s="855">
        <f t="shared" si="274"/>
        <v>2814620.13</v>
      </c>
      <c r="AJ1412" s="845" t="s">
        <v>4793</v>
      </c>
      <c r="AK1412" s="857">
        <v>45842</v>
      </c>
      <c r="AL1412" s="843" t="s">
        <v>4794</v>
      </c>
      <c r="AM1412" s="843"/>
      <c r="AN1412" s="844" t="s">
        <v>3951</v>
      </c>
      <c r="AO1412" s="844" t="s">
        <v>141</v>
      </c>
      <c r="AP1412" s="841"/>
      <c r="AQ1412" s="841">
        <v>45876</v>
      </c>
      <c r="AR1412" s="841">
        <v>45920</v>
      </c>
      <c r="AS1412" s="842" t="s">
        <v>4697</v>
      </c>
      <c r="AT1412" s="842" t="s">
        <v>4795</v>
      </c>
      <c r="AU1412" s="842" t="s">
        <v>1311</v>
      </c>
      <c r="AV1412" s="856" t="s">
        <v>4796</v>
      </c>
      <c r="AW1412" s="861">
        <v>45923</v>
      </c>
      <c r="AX1412" s="862">
        <v>45925</v>
      </c>
      <c r="AY1412" s="843" t="s">
        <v>4807</v>
      </c>
      <c r="AZ1412" s="900" t="s">
        <v>4798</v>
      </c>
      <c r="BA1412" s="842" t="s">
        <v>120</v>
      </c>
      <c r="BB1412" s="863" t="s">
        <v>121</v>
      </c>
      <c r="BC1412" s="864">
        <v>45926</v>
      </c>
      <c r="BD1412" s="860" t="s">
        <v>4799</v>
      </c>
      <c r="BE1412" s="865" cm="1">
        <f t="array" ref="BE1412">IF(BD1412="","",AC1412/SUMPRODUCT(--(BD1412=$BD$4:$BD$12824),$AC$4:$AC$12824))</f>
        <v>4.2840902515012984E-2</v>
      </c>
      <c r="BF1412" s="458"/>
      <c r="BG1412" s="458"/>
      <c r="BH1412" s="458"/>
      <c r="BI1412" s="458"/>
      <c r="BJ1412" s="458"/>
      <c r="BK1412" s="458"/>
      <c r="BL1412" s="458"/>
      <c r="BM1412" s="458"/>
      <c r="BN1412" s="458"/>
      <c r="BO1412" s="866">
        <f>VLOOKUP(BD1412,$BD$4:$BN$12824,3,0)*BE1412</f>
        <v>962988.51695809059</v>
      </c>
      <c r="BP1412" s="866"/>
      <c r="BQ1412" s="866"/>
      <c r="BR1412" s="866">
        <f>VLOOKUP(BD1412,$BD$4:$BN$12824,6,0)*BE1412</f>
        <v>61999.671459745419</v>
      </c>
      <c r="BS1412" s="866">
        <f>VLOOKUP(BD1412,$BD$4:$BN$12824,7,0)*BE1412</f>
        <v>31068.027772512345</v>
      </c>
      <c r="BT1412" s="866"/>
      <c r="BU1412" s="866">
        <f>VLOOKUP(BD1412,$BD$4:$BN$12824,9,0)*BE1412</f>
        <v>1118.961532789624</v>
      </c>
      <c r="BV1412" s="867"/>
      <c r="BW1412" s="867">
        <f>VLOOKUP(BD1412,$BD$4:$BN$12824,11,0)*BE1412</f>
        <v>85205.795002081373</v>
      </c>
      <c r="BX1412" s="1146">
        <f t="shared" si="275"/>
        <v>1142380.9727252193</v>
      </c>
      <c r="BY1412" s="867">
        <f t="shared" si="267"/>
        <v>7265026.5195450438</v>
      </c>
      <c r="BZ1412" s="867">
        <f t="shared" si="276"/>
        <v>36325132.59772522</v>
      </c>
      <c r="CA1412" s="867">
        <f>_xlfn.MAXIFS($BY$4:$BY$12824,$S$4:$S$12824,$S1412)</f>
        <v>7265026.5195450438</v>
      </c>
      <c r="CB1412" s="1032"/>
      <c r="CF1412" s="946">
        <f t="shared" ref="CF1412:CF1475" si="277">AC1412*AE1412</f>
        <v>35182751.625</v>
      </c>
    </row>
    <row r="1413" spans="2:84">
      <c r="B1413" s="839" t="s">
        <v>98</v>
      </c>
      <c r="C1413" s="840" t="s">
        <v>99</v>
      </c>
      <c r="D1413" s="839" t="s">
        <v>4784</v>
      </c>
      <c r="E1413" s="839" t="s">
        <v>4785</v>
      </c>
      <c r="F1413" s="841">
        <v>45675</v>
      </c>
      <c r="G1413" s="868" t="s">
        <v>4786</v>
      </c>
      <c r="H1413" s="883" t="s">
        <v>4787</v>
      </c>
      <c r="I1413" s="883"/>
      <c r="J1413" s="841"/>
      <c r="K1413" s="841"/>
      <c r="L1413" s="843" t="s">
        <v>106</v>
      </c>
      <c r="M1413" s="844" t="s">
        <v>107</v>
      </c>
      <c r="N1413" s="841"/>
      <c r="O1413" s="884" t="s">
        <v>108</v>
      </c>
      <c r="P1413" s="842" t="s">
        <v>3622</v>
      </c>
      <c r="Q1413" s="843" t="s">
        <v>4808</v>
      </c>
      <c r="R1413" s="845" t="s">
        <v>4809</v>
      </c>
      <c r="S1413" s="1127" t="s">
        <v>4810</v>
      </c>
      <c r="T1413" s="885" t="s">
        <v>4811</v>
      </c>
      <c r="U1413" s="886">
        <v>5</v>
      </c>
      <c r="V1413" s="842" t="s">
        <v>3</v>
      </c>
      <c r="W1413" s="846">
        <v>485</v>
      </c>
      <c r="X1413" s="847">
        <f t="shared" si="270"/>
        <v>2425</v>
      </c>
      <c r="Y1413" s="848" t="s">
        <v>4792</v>
      </c>
      <c r="Z1413" s="849">
        <v>218.25</v>
      </c>
      <c r="AA1413" s="849"/>
      <c r="AB1413" s="849">
        <f t="shared" si="271"/>
        <v>1091.25</v>
      </c>
      <c r="AC1413" s="850">
        <f t="shared" si="272"/>
        <v>1091.25</v>
      </c>
      <c r="AD1413" s="851">
        <f t="shared" si="269"/>
        <v>32000</v>
      </c>
      <c r="AE1413" s="852">
        <v>30660.35</v>
      </c>
      <c r="AF1413" s="853">
        <v>0</v>
      </c>
      <c r="AG1413" s="854">
        <f t="shared" si="273"/>
        <v>0</v>
      </c>
      <c r="AH1413" s="853">
        <v>0.08</v>
      </c>
      <c r="AI1413" s="855">
        <f t="shared" si="274"/>
        <v>2676648.5550000002</v>
      </c>
      <c r="AJ1413" s="845" t="s">
        <v>4793</v>
      </c>
      <c r="AK1413" s="857">
        <v>45842</v>
      </c>
      <c r="AL1413" s="843" t="s">
        <v>4794</v>
      </c>
      <c r="AM1413" s="843"/>
      <c r="AN1413" s="844" t="s">
        <v>3951</v>
      </c>
      <c r="AO1413" s="844" t="s">
        <v>141</v>
      </c>
      <c r="AP1413" s="841"/>
      <c r="AQ1413" s="841">
        <v>45876</v>
      </c>
      <c r="AR1413" s="841">
        <v>45920</v>
      </c>
      <c r="AS1413" s="842" t="s">
        <v>4697</v>
      </c>
      <c r="AT1413" s="842" t="s">
        <v>4795</v>
      </c>
      <c r="AU1413" s="842" t="s">
        <v>1311</v>
      </c>
      <c r="AV1413" s="856" t="s">
        <v>4796</v>
      </c>
      <c r="AW1413" s="861">
        <v>45923</v>
      </c>
      <c r="AX1413" s="862">
        <v>45925</v>
      </c>
      <c r="AY1413" s="843" t="s">
        <v>4812</v>
      </c>
      <c r="AZ1413" s="900" t="s">
        <v>4813</v>
      </c>
      <c r="BA1413" s="842" t="s">
        <v>120</v>
      </c>
      <c r="BB1413" s="863" t="s">
        <v>121</v>
      </c>
      <c r="BC1413" s="864">
        <v>45926</v>
      </c>
      <c r="BD1413" s="860" t="s">
        <v>4799</v>
      </c>
      <c r="BE1413" s="865" cm="1">
        <f t="array" ref="BE1413">IF(BD1413="","",AC1413/SUMPRODUCT(--(BD1413=$BD$4:$BD$12824),$AC$4:$AC$12824))</f>
        <v>4.0740858274080971E-2</v>
      </c>
      <c r="BF1413" s="458"/>
      <c r="BG1413" s="458"/>
      <c r="BH1413" s="458"/>
      <c r="BI1413" s="458"/>
      <c r="BJ1413" s="458"/>
      <c r="BK1413" s="458"/>
      <c r="BL1413" s="458"/>
      <c r="BM1413" s="458"/>
      <c r="BN1413" s="458"/>
      <c r="BO1413" s="866">
        <f>VLOOKUP(BD1413,$BD$4:$BN$12824,3,0)*BE1413</f>
        <v>915783.19749936054</v>
      </c>
      <c r="BP1413" s="866"/>
      <c r="BQ1413" s="866"/>
      <c r="BR1413" s="866">
        <f>VLOOKUP(BD1413,$BD$4:$BN$12824,6,0)*BE1413</f>
        <v>58960.471878385346</v>
      </c>
      <c r="BS1413" s="866">
        <f>VLOOKUP(BD1413,$BD$4:$BN$12824,7,0)*BE1413</f>
        <v>29545.085234644088</v>
      </c>
      <c r="BT1413" s="866"/>
      <c r="BU1413" s="866">
        <f>VLOOKUP(BD1413,$BD$4:$BN$12824,9,0)*BE1413</f>
        <v>1064.1104772607209</v>
      </c>
      <c r="BV1413" s="867"/>
      <c r="BW1413" s="867">
        <f>VLOOKUP(BD1413,$BD$4:$BN$12824,11,0)*BE1413</f>
        <v>81029.040345116591</v>
      </c>
      <c r="BX1413" s="1146">
        <f t="shared" si="275"/>
        <v>1086381.9054347672</v>
      </c>
      <c r="BY1413" s="867">
        <f t="shared" si="267"/>
        <v>6908897.7685869532</v>
      </c>
      <c r="BZ1413" s="867">
        <f t="shared" si="276"/>
        <v>34544488.842934765</v>
      </c>
      <c r="CA1413" s="867">
        <f>_xlfn.MAXIFS($BY$4:$BY$12824,$S$4:$S$12824,$S1413)</f>
        <v>6908897.7685869532</v>
      </c>
      <c r="CB1413" s="1032"/>
      <c r="CF1413" s="946">
        <f t="shared" si="277"/>
        <v>33458106.9375</v>
      </c>
    </row>
    <row r="1414" spans="2:84">
      <c r="B1414" s="839" t="s">
        <v>98</v>
      </c>
      <c r="C1414" s="840" t="s">
        <v>99</v>
      </c>
      <c r="D1414" s="839" t="s">
        <v>4784</v>
      </c>
      <c r="E1414" s="839" t="s">
        <v>4785</v>
      </c>
      <c r="F1414" s="841">
        <v>45675</v>
      </c>
      <c r="G1414" s="868" t="s">
        <v>4786</v>
      </c>
      <c r="H1414" s="883" t="s">
        <v>4787</v>
      </c>
      <c r="I1414" s="883"/>
      <c r="J1414" s="841"/>
      <c r="K1414" s="841"/>
      <c r="L1414" s="843" t="s">
        <v>106</v>
      </c>
      <c r="M1414" s="844" t="s">
        <v>107</v>
      </c>
      <c r="N1414" s="841"/>
      <c r="O1414" s="884" t="s">
        <v>108</v>
      </c>
      <c r="P1414" s="842" t="s">
        <v>3622</v>
      </c>
      <c r="Q1414" s="843" t="s">
        <v>4814</v>
      </c>
      <c r="R1414" s="845" t="s">
        <v>4815</v>
      </c>
      <c r="S1414" s="1127" t="s">
        <v>4816</v>
      </c>
      <c r="T1414" s="885" t="s">
        <v>4817</v>
      </c>
      <c r="U1414" s="886">
        <v>5</v>
      </c>
      <c r="V1414" s="842" t="s">
        <v>3</v>
      </c>
      <c r="W1414" s="846">
        <v>595</v>
      </c>
      <c r="X1414" s="847">
        <f t="shared" si="270"/>
        <v>2975</v>
      </c>
      <c r="Y1414" s="848" t="s">
        <v>4792</v>
      </c>
      <c r="Z1414" s="849">
        <v>267.75</v>
      </c>
      <c r="AA1414" s="849"/>
      <c r="AB1414" s="849">
        <f t="shared" si="271"/>
        <v>1338.75</v>
      </c>
      <c r="AC1414" s="850">
        <f t="shared" si="272"/>
        <v>1338.75</v>
      </c>
      <c r="AD1414" s="851">
        <f t="shared" si="269"/>
        <v>32000</v>
      </c>
      <c r="AE1414" s="852">
        <v>30660.35</v>
      </c>
      <c r="AF1414" s="853">
        <v>0</v>
      </c>
      <c r="AG1414" s="854">
        <f t="shared" si="273"/>
        <v>0</v>
      </c>
      <c r="AH1414" s="853">
        <v>0.08</v>
      </c>
      <c r="AI1414" s="855">
        <f t="shared" si="274"/>
        <v>3283723.4849999999</v>
      </c>
      <c r="AJ1414" s="845" t="s">
        <v>4793</v>
      </c>
      <c r="AK1414" s="857">
        <v>45842</v>
      </c>
      <c r="AL1414" s="843" t="s">
        <v>4794</v>
      </c>
      <c r="AM1414" s="843"/>
      <c r="AN1414" s="844" t="s">
        <v>3951</v>
      </c>
      <c r="AO1414" s="844" t="s">
        <v>141</v>
      </c>
      <c r="AP1414" s="841"/>
      <c r="AQ1414" s="841">
        <v>45876</v>
      </c>
      <c r="AR1414" s="841">
        <v>45920</v>
      </c>
      <c r="AS1414" s="842" t="s">
        <v>4697</v>
      </c>
      <c r="AT1414" s="842" t="s">
        <v>4795</v>
      </c>
      <c r="AU1414" s="842" t="s">
        <v>1311</v>
      </c>
      <c r="AV1414" s="856" t="s">
        <v>4796</v>
      </c>
      <c r="AW1414" s="861">
        <v>45923</v>
      </c>
      <c r="AX1414" s="862">
        <v>45925</v>
      </c>
      <c r="AY1414" s="843" t="s">
        <v>4818</v>
      </c>
      <c r="AZ1414" s="900" t="s">
        <v>4813</v>
      </c>
      <c r="BA1414" s="842" t="s">
        <v>120</v>
      </c>
      <c r="BB1414" s="863" t="s">
        <v>121</v>
      </c>
      <c r="BC1414" s="864">
        <v>45926</v>
      </c>
      <c r="BD1414" s="860" t="s">
        <v>4799</v>
      </c>
      <c r="BE1414" s="865" cm="1">
        <f t="array" ref="BE1414">IF(BD1414="","",AC1414/SUMPRODUCT(--(BD1414=$BD$4:$BD$12824),$AC$4:$AC$12824))</f>
        <v>4.9981052934181813E-2</v>
      </c>
      <c r="BF1414" s="458"/>
      <c r="BG1414" s="458"/>
      <c r="BH1414" s="458"/>
      <c r="BI1414" s="458"/>
      <c r="BJ1414" s="458"/>
      <c r="BK1414" s="458"/>
      <c r="BL1414" s="458"/>
      <c r="BM1414" s="458"/>
      <c r="BN1414" s="458"/>
      <c r="BO1414" s="866">
        <f>VLOOKUP(BD1414,$BD$4:$BN$12824,3,0)*BE1414</f>
        <v>1123486.6031177724</v>
      </c>
      <c r="BP1414" s="866"/>
      <c r="BQ1414" s="866"/>
      <c r="BR1414" s="866">
        <f>VLOOKUP(BD1414,$BD$4:$BN$12824,6,0)*BE1414</f>
        <v>72332.950036369657</v>
      </c>
      <c r="BS1414" s="866">
        <f>VLOOKUP(BD1414,$BD$4:$BN$12824,7,0)*BE1414</f>
        <v>36246.032401264398</v>
      </c>
      <c r="BT1414" s="866"/>
      <c r="BU1414" s="866">
        <f>VLOOKUP(BD1414,$BD$4:$BN$12824,9,0)*BE1414</f>
        <v>1305.4551215878948</v>
      </c>
      <c r="BV1414" s="867"/>
      <c r="BW1414" s="867">
        <f>VLOOKUP(BD1414,$BD$4:$BN$12824,11,0)*BE1414</f>
        <v>99406.760835761597</v>
      </c>
      <c r="BX1414" s="1146">
        <f t="shared" si="275"/>
        <v>1332777.8015127562</v>
      </c>
      <c r="BY1414" s="867">
        <f t="shared" ref="BY1414:BY1477" si="278">(AB1414*AE1414+AG1414+BX1414)/U1414</f>
        <v>8475864.2728025503</v>
      </c>
      <c r="BZ1414" s="867">
        <f t="shared" si="276"/>
        <v>42379321.364012748</v>
      </c>
      <c r="CA1414" s="867">
        <f>_xlfn.MAXIFS($BY$4:$BY$12824,$S$4:$S$12824,$S1414)</f>
        <v>8475864.2728025503</v>
      </c>
      <c r="CB1414" s="1032"/>
      <c r="CF1414" s="946">
        <f t="shared" si="277"/>
        <v>41046543.5625</v>
      </c>
    </row>
    <row r="1415" spans="2:84">
      <c r="B1415" s="839" t="s">
        <v>98</v>
      </c>
      <c r="C1415" s="840" t="s">
        <v>99</v>
      </c>
      <c r="D1415" s="839" t="s">
        <v>4784</v>
      </c>
      <c r="E1415" s="839" t="s">
        <v>4785</v>
      </c>
      <c r="F1415" s="841">
        <v>45675</v>
      </c>
      <c r="G1415" s="868" t="s">
        <v>4786</v>
      </c>
      <c r="H1415" s="883" t="s">
        <v>4787</v>
      </c>
      <c r="I1415" s="883"/>
      <c r="J1415" s="841"/>
      <c r="K1415" s="841"/>
      <c r="L1415" s="843" t="s">
        <v>106</v>
      </c>
      <c r="M1415" s="844" t="s">
        <v>107</v>
      </c>
      <c r="N1415" s="841"/>
      <c r="O1415" s="884" t="s">
        <v>108</v>
      </c>
      <c r="P1415" s="842" t="s">
        <v>3622</v>
      </c>
      <c r="Q1415" s="843" t="s">
        <v>4808</v>
      </c>
      <c r="R1415" s="845" t="s">
        <v>4819</v>
      </c>
      <c r="S1415" s="1127" t="s">
        <v>4820</v>
      </c>
      <c r="T1415" s="885" t="s">
        <v>4821</v>
      </c>
      <c r="U1415" s="886">
        <v>5</v>
      </c>
      <c r="V1415" s="842" t="s">
        <v>3</v>
      </c>
      <c r="W1415" s="846">
        <v>485</v>
      </c>
      <c r="X1415" s="847">
        <f t="shared" si="270"/>
        <v>2425</v>
      </c>
      <c r="Y1415" s="848" t="s">
        <v>4792</v>
      </c>
      <c r="Z1415" s="849">
        <v>218.25</v>
      </c>
      <c r="AA1415" s="849"/>
      <c r="AB1415" s="849">
        <f t="shared" si="271"/>
        <v>1091.25</v>
      </c>
      <c r="AC1415" s="850">
        <f t="shared" si="272"/>
        <v>1091.25</v>
      </c>
      <c r="AD1415" s="851">
        <f t="shared" si="269"/>
        <v>32000</v>
      </c>
      <c r="AE1415" s="852">
        <v>30660.35</v>
      </c>
      <c r="AF1415" s="853">
        <v>0</v>
      </c>
      <c r="AG1415" s="854">
        <f t="shared" si="273"/>
        <v>0</v>
      </c>
      <c r="AH1415" s="853">
        <v>0.08</v>
      </c>
      <c r="AI1415" s="855">
        <f t="shared" si="274"/>
        <v>2676648.5550000002</v>
      </c>
      <c r="AJ1415" s="845" t="s">
        <v>4793</v>
      </c>
      <c r="AK1415" s="857">
        <v>45842</v>
      </c>
      <c r="AL1415" s="843" t="s">
        <v>4794</v>
      </c>
      <c r="AM1415" s="843"/>
      <c r="AN1415" s="844" t="s">
        <v>3951</v>
      </c>
      <c r="AO1415" s="844" t="s">
        <v>141</v>
      </c>
      <c r="AP1415" s="841"/>
      <c r="AQ1415" s="841">
        <v>45876</v>
      </c>
      <c r="AR1415" s="841">
        <v>45920</v>
      </c>
      <c r="AS1415" s="842" t="s">
        <v>4697</v>
      </c>
      <c r="AT1415" s="842" t="s">
        <v>4795</v>
      </c>
      <c r="AU1415" s="842" t="s">
        <v>1311</v>
      </c>
      <c r="AV1415" s="856" t="s">
        <v>4796</v>
      </c>
      <c r="AW1415" s="861">
        <v>45923</v>
      </c>
      <c r="AX1415" s="862">
        <v>45925</v>
      </c>
      <c r="AY1415" s="843" t="s">
        <v>4822</v>
      </c>
      <c r="AZ1415" s="900" t="s">
        <v>4813</v>
      </c>
      <c r="BA1415" s="842" t="s">
        <v>120</v>
      </c>
      <c r="BB1415" s="863" t="s">
        <v>121</v>
      </c>
      <c r="BC1415" s="864">
        <v>45926</v>
      </c>
      <c r="BD1415" s="860" t="s">
        <v>4799</v>
      </c>
      <c r="BE1415" s="865" cm="1">
        <f t="array" ref="BE1415">IF(BD1415="","",AC1415/SUMPRODUCT(--(BD1415=$BD$4:$BD$12824),$AC$4:$AC$12824))</f>
        <v>4.0740858274080971E-2</v>
      </c>
      <c r="BF1415" s="458"/>
      <c r="BG1415" s="458"/>
      <c r="BH1415" s="458"/>
      <c r="BI1415" s="458"/>
      <c r="BJ1415" s="458"/>
      <c r="BK1415" s="458"/>
      <c r="BL1415" s="458"/>
      <c r="BM1415" s="458"/>
      <c r="BN1415" s="458"/>
      <c r="BO1415" s="866">
        <f>VLOOKUP(BD1415,$BD$4:$BN$12824,3,0)*BE1415</f>
        <v>915783.19749936054</v>
      </c>
      <c r="BP1415" s="866"/>
      <c r="BQ1415" s="866"/>
      <c r="BR1415" s="866">
        <f>VLOOKUP(BD1415,$BD$4:$BN$12824,6,0)*BE1415</f>
        <v>58960.471878385346</v>
      </c>
      <c r="BS1415" s="866">
        <f>VLOOKUP(BD1415,$BD$4:$BN$12824,7,0)*BE1415</f>
        <v>29545.085234644088</v>
      </c>
      <c r="BT1415" s="866"/>
      <c r="BU1415" s="866">
        <f>VLOOKUP(BD1415,$BD$4:$BN$12824,9,0)*BE1415</f>
        <v>1064.1104772607209</v>
      </c>
      <c r="BV1415" s="867"/>
      <c r="BW1415" s="867">
        <f>VLOOKUP(BD1415,$BD$4:$BN$12824,11,0)*BE1415</f>
        <v>81029.040345116591</v>
      </c>
      <c r="BX1415" s="1146">
        <f t="shared" si="275"/>
        <v>1086381.9054347672</v>
      </c>
      <c r="BY1415" s="867">
        <f t="shared" si="278"/>
        <v>6908897.7685869532</v>
      </c>
      <c r="BZ1415" s="867">
        <f t="shared" si="276"/>
        <v>34544488.842934765</v>
      </c>
      <c r="CA1415" s="867">
        <f>_xlfn.MAXIFS($BY$4:$BY$12824,$S$4:$S$12824,$S1415)</f>
        <v>6908897.7685869532</v>
      </c>
      <c r="CB1415" s="1032"/>
      <c r="CF1415" s="946">
        <f t="shared" si="277"/>
        <v>33458106.9375</v>
      </c>
    </row>
    <row r="1416" spans="2:84">
      <c r="B1416" s="839" t="s">
        <v>98</v>
      </c>
      <c r="C1416" s="840" t="s">
        <v>99</v>
      </c>
      <c r="D1416" s="839" t="s">
        <v>4784</v>
      </c>
      <c r="E1416" s="839" t="s">
        <v>4785</v>
      </c>
      <c r="F1416" s="841">
        <v>45675</v>
      </c>
      <c r="G1416" s="868" t="s">
        <v>4786</v>
      </c>
      <c r="H1416" s="883" t="s">
        <v>4787</v>
      </c>
      <c r="I1416" s="883"/>
      <c r="J1416" s="841"/>
      <c r="K1416" s="841"/>
      <c r="L1416" s="843" t="s">
        <v>106</v>
      </c>
      <c r="M1416" s="844" t="s">
        <v>107</v>
      </c>
      <c r="N1416" s="841"/>
      <c r="O1416" s="884" t="s">
        <v>108</v>
      </c>
      <c r="P1416" s="842" t="s">
        <v>3622</v>
      </c>
      <c r="Q1416" s="843" t="s">
        <v>4814</v>
      </c>
      <c r="R1416" s="845" t="s">
        <v>4823</v>
      </c>
      <c r="S1416" s="1127" t="s">
        <v>4824</v>
      </c>
      <c r="T1416" s="885" t="s">
        <v>4825</v>
      </c>
      <c r="U1416" s="886">
        <v>5</v>
      </c>
      <c r="V1416" s="842" t="s">
        <v>3</v>
      </c>
      <c r="W1416" s="846">
        <v>595</v>
      </c>
      <c r="X1416" s="847">
        <f t="shared" si="270"/>
        <v>2975</v>
      </c>
      <c r="Y1416" s="848" t="s">
        <v>4792</v>
      </c>
      <c r="Z1416" s="849">
        <v>267.75</v>
      </c>
      <c r="AA1416" s="849"/>
      <c r="AB1416" s="849">
        <f t="shared" si="271"/>
        <v>1338.75</v>
      </c>
      <c r="AC1416" s="850">
        <f t="shared" si="272"/>
        <v>1338.75</v>
      </c>
      <c r="AD1416" s="851">
        <f t="shared" si="269"/>
        <v>32000</v>
      </c>
      <c r="AE1416" s="852">
        <v>30660.35</v>
      </c>
      <c r="AF1416" s="853">
        <v>0</v>
      </c>
      <c r="AG1416" s="854">
        <f t="shared" si="273"/>
        <v>0</v>
      </c>
      <c r="AH1416" s="853">
        <v>0.08</v>
      </c>
      <c r="AI1416" s="855">
        <f t="shared" si="274"/>
        <v>3283723.4849999999</v>
      </c>
      <c r="AJ1416" s="845" t="s">
        <v>4793</v>
      </c>
      <c r="AK1416" s="857">
        <v>45842</v>
      </c>
      <c r="AL1416" s="843" t="s">
        <v>4794</v>
      </c>
      <c r="AM1416" s="843"/>
      <c r="AN1416" s="844" t="s">
        <v>3951</v>
      </c>
      <c r="AO1416" s="844" t="s">
        <v>141</v>
      </c>
      <c r="AP1416" s="841"/>
      <c r="AQ1416" s="841">
        <v>45876</v>
      </c>
      <c r="AR1416" s="841">
        <v>45920</v>
      </c>
      <c r="AS1416" s="842" t="s">
        <v>4697</v>
      </c>
      <c r="AT1416" s="842" t="s">
        <v>4795</v>
      </c>
      <c r="AU1416" s="842" t="s">
        <v>1311</v>
      </c>
      <c r="AV1416" s="856" t="s">
        <v>4796</v>
      </c>
      <c r="AW1416" s="861">
        <v>45923</v>
      </c>
      <c r="AX1416" s="862">
        <v>45925</v>
      </c>
      <c r="AY1416" s="843" t="s">
        <v>4826</v>
      </c>
      <c r="AZ1416" s="900" t="s">
        <v>4813</v>
      </c>
      <c r="BA1416" s="842" t="s">
        <v>120</v>
      </c>
      <c r="BB1416" s="863" t="s">
        <v>121</v>
      </c>
      <c r="BC1416" s="864">
        <v>45926</v>
      </c>
      <c r="BD1416" s="860" t="s">
        <v>4799</v>
      </c>
      <c r="BE1416" s="865" cm="1">
        <f t="array" ref="BE1416">IF(BD1416="","",AC1416/SUMPRODUCT(--(BD1416=$BD$4:$BD$12824),$AC$4:$AC$12824))</f>
        <v>4.9981052934181813E-2</v>
      </c>
      <c r="BF1416" s="458"/>
      <c r="BG1416" s="458"/>
      <c r="BH1416" s="458"/>
      <c r="BI1416" s="458"/>
      <c r="BJ1416" s="458"/>
      <c r="BK1416" s="458"/>
      <c r="BL1416" s="458"/>
      <c r="BM1416" s="458"/>
      <c r="BN1416" s="458"/>
      <c r="BO1416" s="866">
        <f>VLOOKUP(BD1416,$BD$4:$BN$12824,3,0)*BE1416</f>
        <v>1123486.6031177724</v>
      </c>
      <c r="BP1416" s="866"/>
      <c r="BQ1416" s="866"/>
      <c r="BR1416" s="866">
        <f>VLOOKUP(BD1416,$BD$4:$BN$12824,6,0)*BE1416</f>
        <v>72332.950036369657</v>
      </c>
      <c r="BS1416" s="866">
        <f>VLOOKUP(BD1416,$BD$4:$BN$12824,7,0)*BE1416</f>
        <v>36246.032401264398</v>
      </c>
      <c r="BT1416" s="866"/>
      <c r="BU1416" s="866">
        <f>VLOOKUP(BD1416,$BD$4:$BN$12824,9,0)*BE1416</f>
        <v>1305.4551215878948</v>
      </c>
      <c r="BV1416" s="867"/>
      <c r="BW1416" s="867">
        <f>VLOOKUP(BD1416,$BD$4:$BN$12824,11,0)*BE1416</f>
        <v>99406.760835761597</v>
      </c>
      <c r="BX1416" s="1146">
        <f t="shared" si="275"/>
        <v>1332777.8015127562</v>
      </c>
      <c r="BY1416" s="867">
        <f t="shared" si="278"/>
        <v>8475864.2728025503</v>
      </c>
      <c r="BZ1416" s="867">
        <f t="shared" si="276"/>
        <v>42379321.364012748</v>
      </c>
      <c r="CA1416" s="867">
        <f>_xlfn.MAXIFS($BY$4:$BY$12824,$S$4:$S$12824,$S1416)</f>
        <v>8475864.2728025503</v>
      </c>
      <c r="CB1416" s="1032"/>
      <c r="CF1416" s="946">
        <f t="shared" si="277"/>
        <v>41046543.5625</v>
      </c>
    </row>
    <row r="1417" spans="2:84">
      <c r="B1417" s="839" t="s">
        <v>98</v>
      </c>
      <c r="C1417" s="840" t="s">
        <v>99</v>
      </c>
      <c r="D1417" s="839" t="s">
        <v>4784</v>
      </c>
      <c r="E1417" s="839" t="s">
        <v>4784</v>
      </c>
      <c r="F1417" s="841">
        <v>45715</v>
      </c>
      <c r="G1417" s="868" t="s">
        <v>4786</v>
      </c>
      <c r="H1417" s="883" t="s">
        <v>4787</v>
      </c>
      <c r="I1417" s="883"/>
      <c r="J1417" s="841"/>
      <c r="K1417" s="841"/>
      <c r="L1417" s="843" t="s">
        <v>106</v>
      </c>
      <c r="M1417" s="844" t="s">
        <v>107</v>
      </c>
      <c r="N1417" s="841"/>
      <c r="O1417" s="884" t="s">
        <v>108</v>
      </c>
      <c r="P1417" s="842" t="s">
        <v>160</v>
      </c>
      <c r="Q1417" s="843" t="s">
        <v>4827</v>
      </c>
      <c r="R1417" s="845" t="s">
        <v>4828</v>
      </c>
      <c r="S1417" s="1127" t="s">
        <v>4829</v>
      </c>
      <c r="T1417" s="885" t="s">
        <v>4830</v>
      </c>
      <c r="U1417" s="886">
        <v>5</v>
      </c>
      <c r="V1417" s="842" t="s">
        <v>3</v>
      </c>
      <c r="W1417" s="846">
        <v>270</v>
      </c>
      <c r="X1417" s="847">
        <f t="shared" si="270"/>
        <v>1350</v>
      </c>
      <c r="Y1417" s="848" t="s">
        <v>4792</v>
      </c>
      <c r="Z1417" s="849">
        <v>121.5</v>
      </c>
      <c r="AA1417" s="849"/>
      <c r="AB1417" s="849">
        <f t="shared" si="271"/>
        <v>607.5</v>
      </c>
      <c r="AC1417" s="850">
        <f t="shared" si="272"/>
        <v>607.5</v>
      </c>
      <c r="AD1417" s="851">
        <f t="shared" si="269"/>
        <v>32000</v>
      </c>
      <c r="AE1417" s="852">
        <v>30660.35</v>
      </c>
      <c r="AF1417" s="853">
        <v>0.25</v>
      </c>
      <c r="AG1417" s="854">
        <f t="shared" si="273"/>
        <v>4788106.9636408146</v>
      </c>
      <c r="AH1417" s="853">
        <v>0.08</v>
      </c>
      <c r="AI1417" s="855">
        <f t="shared" si="274"/>
        <v>1873141.5670912655</v>
      </c>
      <c r="AJ1417" s="845" t="s">
        <v>4793</v>
      </c>
      <c r="AK1417" s="857">
        <v>45842</v>
      </c>
      <c r="AL1417" s="843" t="s">
        <v>4794</v>
      </c>
      <c r="AM1417" s="843"/>
      <c r="AN1417" s="844" t="s">
        <v>3951</v>
      </c>
      <c r="AO1417" s="844" t="s">
        <v>141</v>
      </c>
      <c r="AP1417" s="841"/>
      <c r="AQ1417" s="841">
        <v>45876</v>
      </c>
      <c r="AR1417" s="841">
        <v>45920</v>
      </c>
      <c r="AS1417" s="842" t="s">
        <v>4697</v>
      </c>
      <c r="AT1417" s="842" t="s">
        <v>4795</v>
      </c>
      <c r="AU1417" s="842" t="s">
        <v>1311</v>
      </c>
      <c r="AV1417" s="856" t="s">
        <v>4796</v>
      </c>
      <c r="AW1417" s="861">
        <v>45923</v>
      </c>
      <c r="AX1417" s="862">
        <v>45925</v>
      </c>
      <c r="AY1417" s="843" t="s">
        <v>4831</v>
      </c>
      <c r="AZ1417" s="900" t="s">
        <v>4798</v>
      </c>
      <c r="BA1417" s="842" t="s">
        <v>120</v>
      </c>
      <c r="BB1417" s="863" t="s">
        <v>121</v>
      </c>
      <c r="BC1417" s="864">
        <v>45926</v>
      </c>
      <c r="BD1417" s="860" t="s">
        <v>4799</v>
      </c>
      <c r="BE1417" s="865" cm="1">
        <f t="array" ref="BE1417">IF(BD1417="","",AC1417/SUMPRODUCT(--(BD1417=$BD$4:$BD$12824),$AC$4:$AC$12824))</f>
        <v>2.2680477802065696E-2</v>
      </c>
      <c r="BF1417" s="458"/>
      <c r="BG1417" s="458"/>
      <c r="BH1417" s="458"/>
      <c r="BI1417" s="458"/>
      <c r="BJ1417" s="458"/>
      <c r="BK1417" s="458"/>
      <c r="BL1417" s="458"/>
      <c r="BM1417" s="458"/>
      <c r="BN1417" s="458"/>
      <c r="BO1417" s="866">
        <f>VLOOKUP(BD1417,$BD$4:$BN$12824,3,0)*BE1417</f>
        <v>509817.45015428326</v>
      </c>
      <c r="BP1417" s="866"/>
      <c r="BQ1417" s="866"/>
      <c r="BR1417" s="866">
        <f>VLOOKUP(BD1417,$BD$4:$BN$12824,6,0)*BE1417</f>
        <v>32823.355478688747</v>
      </c>
      <c r="BS1417" s="866">
        <f>VLOOKUP(BD1417,$BD$4:$BN$12824,7,0)*BE1417</f>
        <v>16447.779408977123</v>
      </c>
      <c r="BT1417" s="866">
        <f t="shared" ref="BT1417:BT1431" si="279">25000000*AC1417/SUM($AC$1414:$AC$1428)</f>
        <v>1395493.0742195577</v>
      </c>
      <c r="BU1417" s="866">
        <f>VLOOKUP(BD1417,$BD$4:$BN$12824,9,0)*BE1417</f>
        <v>592.39139971215388</v>
      </c>
      <c r="BV1417" s="867"/>
      <c r="BW1417" s="867">
        <f>VLOOKUP(BD1417,$BD$4:$BN$12824,11,0)*BE1417</f>
        <v>45108.950295219547</v>
      </c>
      <c r="BX1417" s="1146">
        <f t="shared" si="275"/>
        <v>2000283.0009564385</v>
      </c>
      <c r="BY1417" s="867">
        <f t="shared" si="278"/>
        <v>5082910.517919451</v>
      </c>
      <c r="BZ1417" s="867">
        <f t="shared" si="276"/>
        <v>25414552.589597255</v>
      </c>
      <c r="CA1417" s="867">
        <f>_xlfn.MAXIFS($BY$4:$BY$12824,$S$4:$S$12824,$S1417)</f>
        <v>5082910.517919451</v>
      </c>
      <c r="CB1417" s="1032"/>
      <c r="CF1417" s="946">
        <f t="shared" si="277"/>
        <v>18626162.625</v>
      </c>
    </row>
    <row r="1418" spans="2:84">
      <c r="B1418" s="839" t="s">
        <v>98</v>
      </c>
      <c r="C1418" s="840" t="s">
        <v>99</v>
      </c>
      <c r="D1418" s="839" t="s">
        <v>4784</v>
      </c>
      <c r="E1418" s="839" t="s">
        <v>4784</v>
      </c>
      <c r="F1418" s="841">
        <v>45715</v>
      </c>
      <c r="G1418" s="868" t="s">
        <v>4786</v>
      </c>
      <c r="H1418" s="883" t="s">
        <v>4787</v>
      </c>
      <c r="I1418" s="883"/>
      <c r="J1418" s="841"/>
      <c r="K1418" s="841"/>
      <c r="L1418" s="843" t="s">
        <v>106</v>
      </c>
      <c r="M1418" s="844" t="s">
        <v>107</v>
      </c>
      <c r="N1418" s="841"/>
      <c r="O1418" s="884" t="s">
        <v>108</v>
      </c>
      <c r="P1418" s="842" t="s">
        <v>160</v>
      </c>
      <c r="Q1418" s="843" t="s">
        <v>4827</v>
      </c>
      <c r="R1418" s="845" t="s">
        <v>4832</v>
      </c>
      <c r="S1418" s="1127" t="s">
        <v>4833</v>
      </c>
      <c r="T1418" s="885" t="s">
        <v>4834</v>
      </c>
      <c r="U1418" s="886">
        <v>10</v>
      </c>
      <c r="V1418" s="842" t="s">
        <v>3</v>
      </c>
      <c r="W1418" s="846">
        <v>270</v>
      </c>
      <c r="X1418" s="847">
        <f t="shared" si="270"/>
        <v>2700</v>
      </c>
      <c r="Y1418" s="848" t="s">
        <v>4792</v>
      </c>
      <c r="Z1418" s="849">
        <v>121.5</v>
      </c>
      <c r="AA1418" s="849"/>
      <c r="AB1418" s="849">
        <f t="shared" si="271"/>
        <v>1215</v>
      </c>
      <c r="AC1418" s="850">
        <f t="shared" si="272"/>
        <v>1215</v>
      </c>
      <c r="AD1418" s="851">
        <f t="shared" si="269"/>
        <v>32000</v>
      </c>
      <c r="AE1418" s="852">
        <v>30660.35</v>
      </c>
      <c r="AF1418" s="853">
        <v>0.25</v>
      </c>
      <c r="AG1418" s="854">
        <f t="shared" si="273"/>
        <v>9576213.9272816293</v>
      </c>
      <c r="AH1418" s="853">
        <v>0.08</v>
      </c>
      <c r="AI1418" s="855">
        <f t="shared" si="274"/>
        <v>3746283.1341825309</v>
      </c>
      <c r="AJ1418" s="845" t="s">
        <v>4793</v>
      </c>
      <c r="AK1418" s="857">
        <v>45842</v>
      </c>
      <c r="AL1418" s="843" t="s">
        <v>4794</v>
      </c>
      <c r="AM1418" s="843"/>
      <c r="AN1418" s="844" t="s">
        <v>3951</v>
      </c>
      <c r="AO1418" s="844" t="s">
        <v>141</v>
      </c>
      <c r="AP1418" s="841"/>
      <c r="AQ1418" s="841">
        <v>45876</v>
      </c>
      <c r="AR1418" s="841">
        <v>45920</v>
      </c>
      <c r="AS1418" s="842" t="s">
        <v>4697</v>
      </c>
      <c r="AT1418" s="842" t="s">
        <v>4795</v>
      </c>
      <c r="AU1418" s="842" t="s">
        <v>1311</v>
      </c>
      <c r="AV1418" s="856" t="s">
        <v>4796</v>
      </c>
      <c r="AW1418" s="861">
        <v>45923</v>
      </c>
      <c r="AX1418" s="862">
        <v>45925</v>
      </c>
      <c r="AY1418" s="843" t="s">
        <v>4831</v>
      </c>
      <c r="AZ1418" s="900" t="s">
        <v>4798</v>
      </c>
      <c r="BA1418" s="842" t="s">
        <v>120</v>
      </c>
      <c r="BB1418" s="863" t="s">
        <v>121</v>
      </c>
      <c r="BC1418" s="864">
        <v>45926</v>
      </c>
      <c r="BD1418" s="860" t="s">
        <v>4799</v>
      </c>
      <c r="BE1418" s="865" cm="1">
        <f t="array" ref="BE1418">IF(BD1418="","",AC1418/SUMPRODUCT(--(BD1418=$BD$4:$BD$12824),$AC$4:$AC$12824))</f>
        <v>4.5360955604131392E-2</v>
      </c>
      <c r="BF1418" s="458"/>
      <c r="BG1418" s="458"/>
      <c r="BH1418" s="458"/>
      <c r="BI1418" s="458"/>
      <c r="BJ1418" s="458"/>
      <c r="BK1418" s="458"/>
      <c r="BL1418" s="458"/>
      <c r="BM1418" s="458"/>
      <c r="BN1418" s="458"/>
      <c r="BO1418" s="866">
        <f>VLOOKUP(BD1418,$BD$4:$BN$12824,3,0)*BE1418</f>
        <v>1019634.9003085665</v>
      </c>
      <c r="BP1418" s="866"/>
      <c r="BQ1418" s="866"/>
      <c r="BR1418" s="866">
        <f>VLOOKUP(BD1418,$BD$4:$BN$12824,6,0)*BE1418</f>
        <v>65646.710957377494</v>
      </c>
      <c r="BS1418" s="866">
        <f>VLOOKUP(BD1418,$BD$4:$BN$12824,7,0)*BE1418</f>
        <v>32895.558817954246</v>
      </c>
      <c r="BT1418" s="866">
        <f t="shared" si="279"/>
        <v>2790986.1484391154</v>
      </c>
      <c r="BU1418" s="866">
        <f>VLOOKUP(BD1418,$BD$4:$BN$12824,9,0)*BE1418</f>
        <v>1184.7827994243078</v>
      </c>
      <c r="BV1418" s="867"/>
      <c r="BW1418" s="867">
        <f>VLOOKUP(BD1418,$BD$4:$BN$12824,11,0)*BE1418</f>
        <v>90217.900590439094</v>
      </c>
      <c r="BX1418" s="1146">
        <f t="shared" si="275"/>
        <v>4000566.001912877</v>
      </c>
      <c r="BY1418" s="867">
        <f t="shared" si="278"/>
        <v>5082910.517919451</v>
      </c>
      <c r="BZ1418" s="867">
        <f t="shared" si="276"/>
        <v>50829105.17919451</v>
      </c>
      <c r="CA1418" s="867">
        <f>_xlfn.MAXIFS($BY$4:$BY$12824,$S$4:$S$12824,$S1418)</f>
        <v>5082910.517919451</v>
      </c>
      <c r="CB1418" s="1032"/>
      <c r="CF1418" s="946">
        <f t="shared" si="277"/>
        <v>37252325.25</v>
      </c>
    </row>
    <row r="1419" spans="2:84">
      <c r="B1419" s="839" t="s">
        <v>98</v>
      </c>
      <c r="C1419" s="840" t="s">
        <v>99</v>
      </c>
      <c r="D1419" s="839" t="s">
        <v>4784</v>
      </c>
      <c r="E1419" s="839" t="s">
        <v>4784</v>
      </c>
      <c r="F1419" s="841">
        <v>45715</v>
      </c>
      <c r="G1419" s="868" t="s">
        <v>4786</v>
      </c>
      <c r="H1419" s="883" t="s">
        <v>4787</v>
      </c>
      <c r="I1419" s="883"/>
      <c r="J1419" s="841"/>
      <c r="K1419" s="841"/>
      <c r="L1419" s="843" t="s">
        <v>106</v>
      </c>
      <c r="M1419" s="844" t="s">
        <v>107</v>
      </c>
      <c r="N1419" s="841"/>
      <c r="O1419" s="884" t="s">
        <v>108</v>
      </c>
      <c r="P1419" s="842" t="s">
        <v>160</v>
      </c>
      <c r="Q1419" s="843" t="s">
        <v>4827</v>
      </c>
      <c r="R1419" s="845" t="s">
        <v>4832</v>
      </c>
      <c r="S1419" s="1127" t="s">
        <v>4833</v>
      </c>
      <c r="T1419" s="885" t="s">
        <v>4834</v>
      </c>
      <c r="U1419" s="886">
        <v>3</v>
      </c>
      <c r="V1419" s="842" t="s">
        <v>3</v>
      </c>
      <c r="W1419" s="846">
        <v>270</v>
      </c>
      <c r="X1419" s="847">
        <f t="shared" si="270"/>
        <v>810</v>
      </c>
      <c r="Y1419" s="848" t="s">
        <v>4792</v>
      </c>
      <c r="Z1419" s="849">
        <v>121.5</v>
      </c>
      <c r="AA1419" s="849" t="s">
        <v>40</v>
      </c>
      <c r="AB1419" s="849">
        <f t="shared" si="271"/>
        <v>0</v>
      </c>
      <c r="AC1419" s="850">
        <f t="shared" si="272"/>
        <v>364.5</v>
      </c>
      <c r="AD1419" s="851">
        <f t="shared" si="269"/>
        <v>32000</v>
      </c>
      <c r="AE1419" s="852">
        <v>30660.35</v>
      </c>
      <c r="AF1419" s="853">
        <v>0.25</v>
      </c>
      <c r="AG1419" s="854">
        <f t="shared" si="273"/>
        <v>2872864.1781844888</v>
      </c>
      <c r="AH1419" s="853">
        <v>0.08</v>
      </c>
      <c r="AI1419" s="855">
        <f t="shared" si="274"/>
        <v>1123884.940254759</v>
      </c>
      <c r="AJ1419" s="845" t="s">
        <v>4793</v>
      </c>
      <c r="AK1419" s="857">
        <v>45842</v>
      </c>
      <c r="AL1419" s="843" t="s">
        <v>4794</v>
      </c>
      <c r="AM1419" s="843"/>
      <c r="AN1419" s="844" t="s">
        <v>3951</v>
      </c>
      <c r="AO1419" s="844" t="s">
        <v>141</v>
      </c>
      <c r="AP1419" s="841"/>
      <c r="AQ1419" s="841">
        <v>45876</v>
      </c>
      <c r="AR1419" s="841">
        <v>45920</v>
      </c>
      <c r="AS1419" s="842" t="s">
        <v>4697</v>
      </c>
      <c r="AT1419" s="842" t="s">
        <v>4795</v>
      </c>
      <c r="AU1419" s="842" t="s">
        <v>1311</v>
      </c>
      <c r="AV1419" s="856" t="s">
        <v>4796</v>
      </c>
      <c r="AW1419" s="861">
        <v>45923</v>
      </c>
      <c r="AX1419" s="862">
        <v>45925</v>
      </c>
      <c r="AY1419" s="843" t="s">
        <v>4835</v>
      </c>
      <c r="AZ1419" s="900" t="s">
        <v>4798</v>
      </c>
      <c r="BA1419" s="842" t="s">
        <v>120</v>
      </c>
      <c r="BB1419" s="863" t="s">
        <v>121</v>
      </c>
      <c r="BC1419" s="864">
        <v>45926</v>
      </c>
      <c r="BD1419" s="860" t="s">
        <v>4799</v>
      </c>
      <c r="BE1419" s="865" cm="1">
        <f t="array" ref="BE1419">IF(BD1419="","",AC1419/SUMPRODUCT(--(BD1419=$BD$4:$BD$12824),$AC$4:$AC$12824))</f>
        <v>1.3608286681239418E-2</v>
      </c>
      <c r="BF1419" s="458"/>
      <c r="BG1419" s="458"/>
      <c r="BH1419" s="458"/>
      <c r="BI1419" s="458"/>
      <c r="BJ1419" s="458"/>
      <c r="BK1419" s="458"/>
      <c r="BL1419" s="458"/>
      <c r="BM1419" s="458"/>
      <c r="BN1419" s="458"/>
      <c r="BO1419" s="866">
        <f>VLOOKUP(BD1419,$BD$4:$BN$12824,3,0)*BE1419</f>
        <v>305890.47009256994</v>
      </c>
      <c r="BP1419" s="866"/>
      <c r="BQ1419" s="866"/>
      <c r="BR1419" s="866">
        <f>VLOOKUP(BD1419,$BD$4:$BN$12824,6,0)*BE1419</f>
        <v>19694.013287213249</v>
      </c>
      <c r="BS1419" s="866">
        <f>VLOOKUP(BD1419,$BD$4:$BN$12824,7,0)*BE1419</f>
        <v>9868.6676453862747</v>
      </c>
      <c r="BT1419" s="866">
        <f t="shared" si="279"/>
        <v>837295.84453173459</v>
      </c>
      <c r="BU1419" s="866">
        <f>VLOOKUP(BD1419,$BD$4:$BN$12824,9,0)*BE1419</f>
        <v>355.43483982729236</v>
      </c>
      <c r="BV1419" s="867"/>
      <c r="BW1419" s="867">
        <f>VLOOKUP(BD1419,$BD$4:$BN$12824,11,0)*BE1419</f>
        <v>27065.370177131728</v>
      </c>
      <c r="BX1419" s="1146">
        <f t="shared" si="275"/>
        <v>1200169.8005738631</v>
      </c>
      <c r="BY1419" s="867">
        <f t="shared" si="278"/>
        <v>1357677.9929194506</v>
      </c>
      <c r="BZ1419" s="867">
        <f t="shared" si="276"/>
        <v>4073033.9787583519</v>
      </c>
      <c r="CA1419" s="867">
        <f>_xlfn.MAXIFS($BY$4:$BY$12824,$S$4:$S$12824,$S1419)</f>
        <v>5082910.517919451</v>
      </c>
      <c r="CB1419" s="1032"/>
      <c r="CF1419" s="946">
        <f t="shared" si="277"/>
        <v>11175697.574999999</v>
      </c>
    </row>
    <row r="1420" spans="2:84">
      <c r="B1420" s="839" t="s">
        <v>98</v>
      </c>
      <c r="C1420" s="840" t="s">
        <v>99</v>
      </c>
      <c r="D1420" s="839" t="s">
        <v>4784</v>
      </c>
      <c r="E1420" s="839" t="s">
        <v>4784</v>
      </c>
      <c r="F1420" s="841">
        <v>45715</v>
      </c>
      <c r="G1420" s="868" t="s">
        <v>4786</v>
      </c>
      <c r="H1420" s="883" t="s">
        <v>4787</v>
      </c>
      <c r="I1420" s="883"/>
      <c r="J1420" s="841"/>
      <c r="K1420" s="841"/>
      <c r="L1420" s="843" t="s">
        <v>106</v>
      </c>
      <c r="M1420" s="844" t="s">
        <v>107</v>
      </c>
      <c r="N1420" s="841"/>
      <c r="O1420" s="884" t="s">
        <v>108</v>
      </c>
      <c r="P1420" s="842" t="s">
        <v>160</v>
      </c>
      <c r="Q1420" s="843" t="s">
        <v>4827</v>
      </c>
      <c r="R1420" s="845" t="s">
        <v>4836</v>
      </c>
      <c r="S1420" s="1127" t="s">
        <v>4837</v>
      </c>
      <c r="T1420" s="885" t="s">
        <v>4838</v>
      </c>
      <c r="U1420" s="886">
        <v>5</v>
      </c>
      <c r="V1420" s="842" t="s">
        <v>3</v>
      </c>
      <c r="W1420" s="846">
        <v>270</v>
      </c>
      <c r="X1420" s="847">
        <f t="shared" si="270"/>
        <v>1350</v>
      </c>
      <c r="Y1420" s="848" t="s">
        <v>4792</v>
      </c>
      <c r="Z1420" s="849">
        <v>121.5</v>
      </c>
      <c r="AA1420" s="849"/>
      <c r="AB1420" s="849">
        <f t="shared" si="271"/>
        <v>607.5</v>
      </c>
      <c r="AC1420" s="850">
        <f t="shared" si="272"/>
        <v>607.5</v>
      </c>
      <c r="AD1420" s="851">
        <f t="shared" si="269"/>
        <v>32000</v>
      </c>
      <c r="AE1420" s="852">
        <v>30660.35</v>
      </c>
      <c r="AF1420" s="853">
        <v>0.25</v>
      </c>
      <c r="AG1420" s="854">
        <f t="shared" si="273"/>
        <v>4788106.9636408146</v>
      </c>
      <c r="AH1420" s="853">
        <v>0.08</v>
      </c>
      <c r="AI1420" s="855">
        <f t="shared" si="274"/>
        <v>1873141.5670912655</v>
      </c>
      <c r="AJ1420" s="845" t="s">
        <v>4793</v>
      </c>
      <c r="AK1420" s="857">
        <v>45842</v>
      </c>
      <c r="AL1420" s="843" t="s">
        <v>4794</v>
      </c>
      <c r="AM1420" s="843"/>
      <c r="AN1420" s="844" t="s">
        <v>3951</v>
      </c>
      <c r="AO1420" s="844" t="s">
        <v>141</v>
      </c>
      <c r="AP1420" s="841"/>
      <c r="AQ1420" s="841">
        <v>45876</v>
      </c>
      <c r="AR1420" s="841">
        <v>45920</v>
      </c>
      <c r="AS1420" s="842" t="s">
        <v>4697</v>
      </c>
      <c r="AT1420" s="842" t="s">
        <v>4795</v>
      </c>
      <c r="AU1420" s="842" t="s">
        <v>1311</v>
      </c>
      <c r="AV1420" s="856" t="s">
        <v>4796</v>
      </c>
      <c r="AW1420" s="861">
        <v>45923</v>
      </c>
      <c r="AX1420" s="862">
        <v>45925</v>
      </c>
      <c r="AY1420" s="843" t="s">
        <v>4831</v>
      </c>
      <c r="AZ1420" s="900" t="s">
        <v>4798</v>
      </c>
      <c r="BA1420" s="842" t="s">
        <v>120</v>
      </c>
      <c r="BB1420" s="863" t="s">
        <v>121</v>
      </c>
      <c r="BC1420" s="864">
        <v>45926</v>
      </c>
      <c r="BD1420" s="860" t="s">
        <v>4799</v>
      </c>
      <c r="BE1420" s="865" cm="1">
        <f t="array" ref="BE1420">IF(BD1420="","",AC1420/SUMPRODUCT(--(BD1420=$BD$4:$BD$12824),$AC$4:$AC$12824))</f>
        <v>2.2680477802065696E-2</v>
      </c>
      <c r="BF1420" s="458"/>
      <c r="BG1420" s="458"/>
      <c r="BH1420" s="458"/>
      <c r="BI1420" s="458"/>
      <c r="BJ1420" s="458"/>
      <c r="BK1420" s="458"/>
      <c r="BL1420" s="458"/>
      <c r="BM1420" s="458"/>
      <c r="BN1420" s="458"/>
      <c r="BO1420" s="866">
        <f>VLOOKUP(BD1420,$BD$4:$BN$12824,3,0)*BE1420</f>
        <v>509817.45015428326</v>
      </c>
      <c r="BP1420" s="866"/>
      <c r="BQ1420" s="866"/>
      <c r="BR1420" s="866">
        <f>VLOOKUP(BD1420,$BD$4:$BN$12824,6,0)*BE1420</f>
        <v>32823.355478688747</v>
      </c>
      <c r="BS1420" s="866">
        <f>VLOOKUP(BD1420,$BD$4:$BN$12824,7,0)*BE1420</f>
        <v>16447.779408977123</v>
      </c>
      <c r="BT1420" s="866">
        <f t="shared" si="279"/>
        <v>1395493.0742195577</v>
      </c>
      <c r="BU1420" s="866">
        <f>VLOOKUP(BD1420,$BD$4:$BN$12824,9,0)*BE1420</f>
        <v>592.39139971215388</v>
      </c>
      <c r="BV1420" s="867"/>
      <c r="BW1420" s="867">
        <f>VLOOKUP(BD1420,$BD$4:$BN$12824,11,0)*BE1420</f>
        <v>45108.950295219547</v>
      </c>
      <c r="BX1420" s="1146">
        <f t="shared" si="275"/>
        <v>2000283.0009564385</v>
      </c>
      <c r="BY1420" s="867">
        <f t="shared" si="278"/>
        <v>5082910.517919451</v>
      </c>
      <c r="BZ1420" s="867">
        <f t="shared" si="276"/>
        <v>25414552.589597255</v>
      </c>
      <c r="CA1420" s="867">
        <f>_xlfn.MAXIFS($BY$4:$BY$12824,$S$4:$S$12824,$S1420)</f>
        <v>5082910.517919451</v>
      </c>
      <c r="CB1420" s="1032"/>
      <c r="CF1420" s="946">
        <f t="shared" si="277"/>
        <v>18626162.625</v>
      </c>
    </row>
    <row r="1421" spans="2:84">
      <c r="B1421" s="839" t="s">
        <v>98</v>
      </c>
      <c r="C1421" s="840" t="s">
        <v>99</v>
      </c>
      <c r="D1421" s="839" t="s">
        <v>4784</v>
      </c>
      <c r="E1421" s="839" t="s">
        <v>4784</v>
      </c>
      <c r="F1421" s="841">
        <v>45715</v>
      </c>
      <c r="G1421" s="868" t="s">
        <v>4786</v>
      </c>
      <c r="H1421" s="883" t="s">
        <v>4787</v>
      </c>
      <c r="I1421" s="883"/>
      <c r="J1421" s="841"/>
      <c r="K1421" s="841"/>
      <c r="L1421" s="843" t="s">
        <v>106</v>
      </c>
      <c r="M1421" s="844" t="s">
        <v>107</v>
      </c>
      <c r="N1421" s="841"/>
      <c r="O1421" s="884" t="s">
        <v>108</v>
      </c>
      <c r="P1421" s="842" t="s">
        <v>160</v>
      </c>
      <c r="Q1421" s="843" t="s">
        <v>4827</v>
      </c>
      <c r="R1421" s="845" t="s">
        <v>4839</v>
      </c>
      <c r="S1421" s="1127" t="s">
        <v>4840</v>
      </c>
      <c r="T1421" s="885" t="s">
        <v>4841</v>
      </c>
      <c r="U1421" s="886">
        <v>5</v>
      </c>
      <c r="V1421" s="842" t="s">
        <v>3</v>
      </c>
      <c r="W1421" s="846">
        <v>200</v>
      </c>
      <c r="X1421" s="847">
        <f t="shared" si="270"/>
        <v>1000</v>
      </c>
      <c r="Y1421" s="848" t="s">
        <v>4792</v>
      </c>
      <c r="Z1421" s="849">
        <v>90</v>
      </c>
      <c r="AA1421" s="849"/>
      <c r="AB1421" s="849">
        <f t="shared" si="271"/>
        <v>450</v>
      </c>
      <c r="AC1421" s="850">
        <f t="shared" si="272"/>
        <v>450</v>
      </c>
      <c r="AD1421" s="851">
        <f t="shared" si="269"/>
        <v>32000</v>
      </c>
      <c r="AE1421" s="852">
        <v>30660.35</v>
      </c>
      <c r="AF1421" s="853">
        <v>0.25</v>
      </c>
      <c r="AG1421" s="854">
        <f t="shared" si="273"/>
        <v>3546745.898993196</v>
      </c>
      <c r="AH1421" s="853">
        <v>0.08</v>
      </c>
      <c r="AI1421" s="855">
        <f t="shared" si="274"/>
        <v>1387512.2719194556</v>
      </c>
      <c r="AJ1421" s="845" t="s">
        <v>4793</v>
      </c>
      <c r="AK1421" s="857">
        <v>45842</v>
      </c>
      <c r="AL1421" s="843" t="s">
        <v>4794</v>
      </c>
      <c r="AM1421" s="843"/>
      <c r="AN1421" s="844" t="s">
        <v>3951</v>
      </c>
      <c r="AO1421" s="844" t="s">
        <v>141</v>
      </c>
      <c r="AP1421" s="841"/>
      <c r="AQ1421" s="841">
        <v>45876</v>
      </c>
      <c r="AR1421" s="841">
        <v>45920</v>
      </c>
      <c r="AS1421" s="842" t="s">
        <v>4697</v>
      </c>
      <c r="AT1421" s="842" t="s">
        <v>4795</v>
      </c>
      <c r="AU1421" s="842" t="s">
        <v>1311</v>
      </c>
      <c r="AV1421" s="856" t="s">
        <v>4796</v>
      </c>
      <c r="AW1421" s="861">
        <v>45923</v>
      </c>
      <c r="AX1421" s="862">
        <v>45925</v>
      </c>
      <c r="AY1421" s="843" t="s">
        <v>4831</v>
      </c>
      <c r="AZ1421" s="900" t="s">
        <v>4798</v>
      </c>
      <c r="BA1421" s="842" t="s">
        <v>120</v>
      </c>
      <c r="BB1421" s="863" t="s">
        <v>121</v>
      </c>
      <c r="BC1421" s="864">
        <v>45926</v>
      </c>
      <c r="BD1421" s="860" t="s">
        <v>4799</v>
      </c>
      <c r="BE1421" s="865" cm="1">
        <f t="array" ref="BE1421">IF(BD1421="","",AC1421/SUMPRODUCT(--(BD1421=$BD$4:$BD$12824),$AC$4:$AC$12824))</f>
        <v>1.6800353927456071E-2</v>
      </c>
      <c r="BF1421" s="458"/>
      <c r="BG1421" s="458"/>
      <c r="BH1421" s="458"/>
      <c r="BI1421" s="458"/>
      <c r="BJ1421" s="458"/>
      <c r="BK1421" s="458"/>
      <c r="BL1421" s="458"/>
      <c r="BM1421" s="458"/>
      <c r="BN1421" s="458"/>
      <c r="BO1421" s="866">
        <f>VLOOKUP(BD1421,$BD$4:$BN$12824,3,0)*BE1421</f>
        <v>377642.55566983944</v>
      </c>
      <c r="BP1421" s="866"/>
      <c r="BQ1421" s="866"/>
      <c r="BR1421" s="866">
        <f>VLOOKUP(BD1421,$BD$4:$BN$12824,6,0)*BE1421</f>
        <v>24313.596650880554</v>
      </c>
      <c r="BS1421" s="866">
        <f>VLOOKUP(BD1421,$BD$4:$BN$12824,7,0)*BE1421</f>
        <v>12183.540302946016</v>
      </c>
      <c r="BT1421" s="866">
        <f t="shared" si="279"/>
        <v>1033698.5734959686</v>
      </c>
      <c r="BU1421" s="866">
        <f>VLOOKUP(BD1421,$BD$4:$BN$12824,9,0)*BE1421</f>
        <v>438.80844423122511</v>
      </c>
      <c r="BV1421" s="867"/>
      <c r="BW1421" s="867">
        <f>VLOOKUP(BD1421,$BD$4:$BN$12824,11,0)*BE1421</f>
        <v>33414.037255718184</v>
      </c>
      <c r="BX1421" s="1146">
        <f t="shared" si="275"/>
        <v>1481691.1118195839</v>
      </c>
      <c r="BY1421" s="867">
        <f t="shared" si="278"/>
        <v>3765118.9021625556</v>
      </c>
      <c r="BZ1421" s="867">
        <f t="shared" si="276"/>
        <v>18825594.510812778</v>
      </c>
      <c r="CA1421" s="867">
        <f>_xlfn.MAXIFS($BY$4:$BY$12824,$S$4:$S$12824,$S1421)</f>
        <v>3765118.9021625556</v>
      </c>
      <c r="CB1421" s="1032"/>
      <c r="CF1421" s="946">
        <f t="shared" si="277"/>
        <v>13797157.5</v>
      </c>
    </row>
    <row r="1422" spans="2:84">
      <c r="B1422" s="839" t="s">
        <v>98</v>
      </c>
      <c r="C1422" s="840" t="s">
        <v>99</v>
      </c>
      <c r="D1422" s="839" t="s">
        <v>4784</v>
      </c>
      <c r="E1422" s="839" t="s">
        <v>4784</v>
      </c>
      <c r="F1422" s="841">
        <v>45715</v>
      </c>
      <c r="G1422" s="868" t="s">
        <v>4786</v>
      </c>
      <c r="H1422" s="883" t="s">
        <v>4787</v>
      </c>
      <c r="I1422" s="883"/>
      <c r="J1422" s="841"/>
      <c r="K1422" s="841"/>
      <c r="L1422" s="843" t="s">
        <v>106</v>
      </c>
      <c r="M1422" s="844" t="s">
        <v>107</v>
      </c>
      <c r="N1422" s="841"/>
      <c r="O1422" s="884" t="s">
        <v>108</v>
      </c>
      <c r="P1422" s="842" t="s">
        <v>160</v>
      </c>
      <c r="Q1422" s="843" t="s">
        <v>4827</v>
      </c>
      <c r="R1422" s="845" t="s">
        <v>4842</v>
      </c>
      <c r="S1422" s="1127" t="s">
        <v>4843</v>
      </c>
      <c r="T1422" s="885" t="s">
        <v>4844</v>
      </c>
      <c r="U1422" s="886">
        <v>10</v>
      </c>
      <c r="V1422" s="842" t="s">
        <v>3</v>
      </c>
      <c r="W1422" s="846">
        <v>200</v>
      </c>
      <c r="X1422" s="847">
        <f t="shared" si="270"/>
        <v>2000</v>
      </c>
      <c r="Y1422" s="848" t="s">
        <v>4792</v>
      </c>
      <c r="Z1422" s="849">
        <v>90</v>
      </c>
      <c r="AA1422" s="849"/>
      <c r="AB1422" s="849">
        <f t="shared" si="271"/>
        <v>900</v>
      </c>
      <c r="AC1422" s="850">
        <f t="shared" si="272"/>
        <v>900</v>
      </c>
      <c r="AD1422" s="851">
        <f t="shared" si="269"/>
        <v>32000</v>
      </c>
      <c r="AE1422" s="852">
        <v>30660.35</v>
      </c>
      <c r="AF1422" s="853">
        <v>0.25</v>
      </c>
      <c r="AG1422" s="854">
        <f t="shared" si="273"/>
        <v>7093491.7979863919</v>
      </c>
      <c r="AH1422" s="853">
        <v>0.08</v>
      </c>
      <c r="AI1422" s="855">
        <f t="shared" si="274"/>
        <v>2775024.5438389112</v>
      </c>
      <c r="AJ1422" s="845" t="s">
        <v>4793</v>
      </c>
      <c r="AK1422" s="857">
        <v>45842</v>
      </c>
      <c r="AL1422" s="843" t="s">
        <v>4794</v>
      </c>
      <c r="AM1422" s="843"/>
      <c r="AN1422" s="844" t="s">
        <v>3951</v>
      </c>
      <c r="AO1422" s="844" t="s">
        <v>141</v>
      </c>
      <c r="AP1422" s="841"/>
      <c r="AQ1422" s="841">
        <v>45876</v>
      </c>
      <c r="AR1422" s="841">
        <v>45920</v>
      </c>
      <c r="AS1422" s="842" t="s">
        <v>4697</v>
      </c>
      <c r="AT1422" s="842" t="s">
        <v>4795</v>
      </c>
      <c r="AU1422" s="842" t="s">
        <v>1311</v>
      </c>
      <c r="AV1422" s="856" t="s">
        <v>4796</v>
      </c>
      <c r="AW1422" s="861">
        <v>45923</v>
      </c>
      <c r="AX1422" s="862">
        <v>45925</v>
      </c>
      <c r="AY1422" s="843" t="s">
        <v>4831</v>
      </c>
      <c r="AZ1422" s="900" t="s">
        <v>4798</v>
      </c>
      <c r="BA1422" s="842" t="s">
        <v>120</v>
      </c>
      <c r="BB1422" s="863" t="s">
        <v>121</v>
      </c>
      <c r="BC1422" s="864">
        <v>45926</v>
      </c>
      <c r="BD1422" s="860" t="s">
        <v>4799</v>
      </c>
      <c r="BE1422" s="865" cm="1">
        <f t="array" ref="BE1422">IF(BD1422="","",AC1422/SUMPRODUCT(--(BD1422=$BD$4:$BD$12824),$AC$4:$AC$12824))</f>
        <v>3.3600707854912142E-2</v>
      </c>
      <c r="BF1422" s="458"/>
      <c r="BG1422" s="458"/>
      <c r="BH1422" s="458"/>
      <c r="BI1422" s="458"/>
      <c r="BJ1422" s="458"/>
      <c r="BK1422" s="458"/>
      <c r="BL1422" s="458"/>
      <c r="BM1422" s="458"/>
      <c r="BN1422" s="458"/>
      <c r="BO1422" s="866">
        <f>VLOOKUP(BD1422,$BD$4:$BN$12824,3,0)*BE1422</f>
        <v>755285.11133967887</v>
      </c>
      <c r="BP1422" s="866"/>
      <c r="BQ1422" s="866"/>
      <c r="BR1422" s="866">
        <f>VLOOKUP(BD1422,$BD$4:$BN$12824,6,0)*BE1422</f>
        <v>48627.193301761108</v>
      </c>
      <c r="BS1422" s="866">
        <f>VLOOKUP(BD1422,$BD$4:$BN$12824,7,0)*BE1422</f>
        <v>24367.080605892032</v>
      </c>
      <c r="BT1422" s="866">
        <f t="shared" si="279"/>
        <v>2067397.1469919372</v>
      </c>
      <c r="BU1422" s="866">
        <f>VLOOKUP(BD1422,$BD$4:$BN$12824,9,0)*BE1422</f>
        <v>877.61688846245022</v>
      </c>
      <c r="BV1422" s="867"/>
      <c r="BW1422" s="867">
        <f>VLOOKUP(BD1422,$BD$4:$BN$12824,11,0)*BE1422</f>
        <v>66828.074511436367</v>
      </c>
      <c r="BX1422" s="1146">
        <f t="shared" si="275"/>
        <v>2963382.2236391678</v>
      </c>
      <c r="BY1422" s="867">
        <f t="shared" si="278"/>
        <v>3765118.9021625556</v>
      </c>
      <c r="BZ1422" s="867">
        <f t="shared" si="276"/>
        <v>37651189.021625556</v>
      </c>
      <c r="CA1422" s="867">
        <f>_xlfn.MAXIFS($BY$4:$BY$12824,$S$4:$S$12824,$S1422)</f>
        <v>3765118.9021625556</v>
      </c>
      <c r="CB1422" s="1032"/>
      <c r="CF1422" s="946">
        <f t="shared" si="277"/>
        <v>27594315</v>
      </c>
    </row>
    <row r="1423" spans="2:84">
      <c r="B1423" s="839" t="s">
        <v>98</v>
      </c>
      <c r="C1423" s="840" t="s">
        <v>99</v>
      </c>
      <c r="D1423" s="839" t="s">
        <v>4784</v>
      </c>
      <c r="E1423" s="839" t="s">
        <v>4784</v>
      </c>
      <c r="F1423" s="841">
        <v>45715</v>
      </c>
      <c r="G1423" s="868" t="s">
        <v>4786</v>
      </c>
      <c r="H1423" s="883" t="s">
        <v>4787</v>
      </c>
      <c r="I1423" s="883"/>
      <c r="J1423" s="841"/>
      <c r="K1423" s="841"/>
      <c r="L1423" s="843" t="s">
        <v>106</v>
      </c>
      <c r="M1423" s="844" t="s">
        <v>107</v>
      </c>
      <c r="N1423" s="841"/>
      <c r="O1423" s="884" t="s">
        <v>108</v>
      </c>
      <c r="P1423" s="842" t="s">
        <v>160</v>
      </c>
      <c r="Q1423" s="843" t="s">
        <v>4827</v>
      </c>
      <c r="R1423" s="845" t="s">
        <v>4845</v>
      </c>
      <c r="S1423" s="1127" t="s">
        <v>4846</v>
      </c>
      <c r="T1423" s="885" t="s">
        <v>4847</v>
      </c>
      <c r="U1423" s="886">
        <v>10</v>
      </c>
      <c r="V1423" s="842" t="s">
        <v>3</v>
      </c>
      <c r="W1423" s="846">
        <v>200</v>
      </c>
      <c r="X1423" s="847">
        <f t="shared" si="270"/>
        <v>2000</v>
      </c>
      <c r="Y1423" s="848" t="s">
        <v>4792</v>
      </c>
      <c r="Z1423" s="849">
        <v>90</v>
      </c>
      <c r="AA1423" s="849"/>
      <c r="AB1423" s="849">
        <f t="shared" si="271"/>
        <v>900</v>
      </c>
      <c r="AC1423" s="850">
        <f t="shared" si="272"/>
        <v>900</v>
      </c>
      <c r="AD1423" s="851">
        <f t="shared" si="269"/>
        <v>32000</v>
      </c>
      <c r="AE1423" s="852">
        <v>30660.35</v>
      </c>
      <c r="AF1423" s="853">
        <v>0.25</v>
      </c>
      <c r="AG1423" s="854">
        <f t="shared" si="273"/>
        <v>7093491.7979863919</v>
      </c>
      <c r="AH1423" s="853">
        <v>0.08</v>
      </c>
      <c r="AI1423" s="855">
        <f t="shared" si="274"/>
        <v>2775024.5438389112</v>
      </c>
      <c r="AJ1423" s="845" t="s">
        <v>4793</v>
      </c>
      <c r="AK1423" s="857">
        <v>45842</v>
      </c>
      <c r="AL1423" s="843" t="s">
        <v>4794</v>
      </c>
      <c r="AM1423" s="843"/>
      <c r="AN1423" s="844" t="s">
        <v>3951</v>
      </c>
      <c r="AO1423" s="844" t="s">
        <v>141</v>
      </c>
      <c r="AP1423" s="841"/>
      <c r="AQ1423" s="841">
        <v>45876</v>
      </c>
      <c r="AR1423" s="841">
        <v>45920</v>
      </c>
      <c r="AS1423" s="842" t="s">
        <v>4697</v>
      </c>
      <c r="AT1423" s="842" t="s">
        <v>4795</v>
      </c>
      <c r="AU1423" s="842" t="s">
        <v>1311</v>
      </c>
      <c r="AV1423" s="856" t="s">
        <v>4796</v>
      </c>
      <c r="AW1423" s="861">
        <v>45923</v>
      </c>
      <c r="AX1423" s="862">
        <v>45925</v>
      </c>
      <c r="AY1423" s="843" t="s">
        <v>4831</v>
      </c>
      <c r="AZ1423" s="900" t="s">
        <v>4798</v>
      </c>
      <c r="BA1423" s="842" t="s">
        <v>120</v>
      </c>
      <c r="BB1423" s="863" t="s">
        <v>121</v>
      </c>
      <c r="BC1423" s="864">
        <v>45926</v>
      </c>
      <c r="BD1423" s="860" t="s">
        <v>4799</v>
      </c>
      <c r="BE1423" s="865" cm="1">
        <f t="array" ref="BE1423">IF(BD1423="","",AC1423/SUMPRODUCT(--(BD1423=$BD$4:$BD$12824),$AC$4:$AC$12824))</f>
        <v>3.3600707854912142E-2</v>
      </c>
      <c r="BF1423" s="458"/>
      <c r="BG1423" s="458"/>
      <c r="BH1423" s="458"/>
      <c r="BI1423" s="458"/>
      <c r="BJ1423" s="458"/>
      <c r="BK1423" s="458"/>
      <c r="BL1423" s="458"/>
      <c r="BM1423" s="458"/>
      <c r="BN1423" s="458"/>
      <c r="BO1423" s="866">
        <f>VLOOKUP(BD1423,$BD$4:$BN$12824,3,0)*BE1423</f>
        <v>755285.11133967887</v>
      </c>
      <c r="BP1423" s="866"/>
      <c r="BQ1423" s="866"/>
      <c r="BR1423" s="866">
        <f>VLOOKUP(BD1423,$BD$4:$BN$12824,6,0)*BE1423</f>
        <v>48627.193301761108</v>
      </c>
      <c r="BS1423" s="866">
        <f>VLOOKUP(BD1423,$BD$4:$BN$12824,7,0)*BE1423</f>
        <v>24367.080605892032</v>
      </c>
      <c r="BT1423" s="866">
        <f t="shared" si="279"/>
        <v>2067397.1469919372</v>
      </c>
      <c r="BU1423" s="866">
        <f>VLOOKUP(BD1423,$BD$4:$BN$12824,9,0)*BE1423</f>
        <v>877.61688846245022</v>
      </c>
      <c r="BV1423" s="867"/>
      <c r="BW1423" s="867">
        <f>VLOOKUP(BD1423,$BD$4:$BN$12824,11,0)*BE1423</f>
        <v>66828.074511436367</v>
      </c>
      <c r="BX1423" s="1146">
        <f t="shared" si="275"/>
        <v>2963382.2236391678</v>
      </c>
      <c r="BY1423" s="867">
        <f t="shared" si="278"/>
        <v>3765118.9021625556</v>
      </c>
      <c r="BZ1423" s="867">
        <f t="shared" si="276"/>
        <v>37651189.021625556</v>
      </c>
      <c r="CA1423" s="867">
        <f>_xlfn.MAXIFS($BY$4:$BY$12824,$S$4:$S$12824,$S1423)</f>
        <v>3765118.9021625556</v>
      </c>
      <c r="CB1423" s="1032"/>
      <c r="CF1423" s="946">
        <f t="shared" si="277"/>
        <v>27594315</v>
      </c>
    </row>
    <row r="1424" spans="2:84">
      <c r="B1424" s="839" t="s">
        <v>98</v>
      </c>
      <c r="C1424" s="840" t="s">
        <v>99</v>
      </c>
      <c r="D1424" s="839" t="s">
        <v>4784</v>
      </c>
      <c r="E1424" s="839" t="s">
        <v>4784</v>
      </c>
      <c r="F1424" s="841">
        <v>45715</v>
      </c>
      <c r="G1424" s="868" t="s">
        <v>4786</v>
      </c>
      <c r="H1424" s="883" t="s">
        <v>4787</v>
      </c>
      <c r="I1424" s="883"/>
      <c r="J1424" s="841"/>
      <c r="K1424" s="841"/>
      <c r="L1424" s="843" t="s">
        <v>106</v>
      </c>
      <c r="M1424" s="844" t="s">
        <v>107</v>
      </c>
      <c r="N1424" s="841"/>
      <c r="O1424" s="884" t="s">
        <v>108</v>
      </c>
      <c r="P1424" s="842" t="s">
        <v>160</v>
      </c>
      <c r="Q1424" s="843" t="s">
        <v>4827</v>
      </c>
      <c r="R1424" s="845" t="s">
        <v>4845</v>
      </c>
      <c r="S1424" s="1127" t="s">
        <v>4846</v>
      </c>
      <c r="T1424" s="885" t="s">
        <v>4847</v>
      </c>
      <c r="U1424" s="886">
        <v>3</v>
      </c>
      <c r="V1424" s="842" t="s">
        <v>3</v>
      </c>
      <c r="W1424" s="846">
        <v>200</v>
      </c>
      <c r="X1424" s="847">
        <f t="shared" si="270"/>
        <v>600</v>
      </c>
      <c r="Y1424" s="848" t="s">
        <v>4792</v>
      </c>
      <c r="Z1424" s="849">
        <v>90</v>
      </c>
      <c r="AA1424" s="849" t="s">
        <v>40</v>
      </c>
      <c r="AB1424" s="849">
        <f t="shared" si="271"/>
        <v>0</v>
      </c>
      <c r="AC1424" s="850">
        <f t="shared" si="272"/>
        <v>270</v>
      </c>
      <c r="AD1424" s="851">
        <f t="shared" si="269"/>
        <v>32000</v>
      </c>
      <c r="AE1424" s="852">
        <v>30660.35</v>
      </c>
      <c r="AF1424" s="853">
        <v>0.25</v>
      </c>
      <c r="AG1424" s="854">
        <f t="shared" si="273"/>
        <v>2128047.5393959177</v>
      </c>
      <c r="AH1424" s="853">
        <v>0.08</v>
      </c>
      <c r="AI1424" s="855">
        <f t="shared" si="274"/>
        <v>832507.36315167334</v>
      </c>
      <c r="AJ1424" s="845" t="s">
        <v>4793</v>
      </c>
      <c r="AK1424" s="857">
        <v>45842</v>
      </c>
      <c r="AL1424" s="843" t="s">
        <v>4794</v>
      </c>
      <c r="AM1424" s="843"/>
      <c r="AN1424" s="844" t="s">
        <v>3951</v>
      </c>
      <c r="AO1424" s="844" t="s">
        <v>141</v>
      </c>
      <c r="AP1424" s="841"/>
      <c r="AQ1424" s="841">
        <v>45876</v>
      </c>
      <c r="AR1424" s="841">
        <v>45920</v>
      </c>
      <c r="AS1424" s="842" t="s">
        <v>4697</v>
      </c>
      <c r="AT1424" s="842" t="s">
        <v>4795</v>
      </c>
      <c r="AU1424" s="842" t="s">
        <v>1311</v>
      </c>
      <c r="AV1424" s="856" t="s">
        <v>4796</v>
      </c>
      <c r="AW1424" s="861">
        <v>45923</v>
      </c>
      <c r="AX1424" s="862">
        <v>45925</v>
      </c>
      <c r="AY1424" s="843" t="s">
        <v>4835</v>
      </c>
      <c r="AZ1424" s="900" t="s">
        <v>4798</v>
      </c>
      <c r="BA1424" s="842" t="s">
        <v>120</v>
      </c>
      <c r="BB1424" s="863" t="s">
        <v>121</v>
      </c>
      <c r="BC1424" s="864">
        <v>45926</v>
      </c>
      <c r="BD1424" s="860" t="s">
        <v>4799</v>
      </c>
      <c r="BE1424" s="865" cm="1">
        <f t="array" ref="BE1424">IF(BD1424="","",AC1424/SUMPRODUCT(--(BD1424=$BD$4:$BD$12824),$AC$4:$AC$12824))</f>
        <v>1.0080212356473642E-2</v>
      </c>
      <c r="BF1424" s="458"/>
      <c r="BG1424" s="458"/>
      <c r="BH1424" s="458"/>
      <c r="BI1424" s="458"/>
      <c r="BJ1424" s="458"/>
      <c r="BK1424" s="458"/>
      <c r="BL1424" s="458"/>
      <c r="BM1424" s="458"/>
      <c r="BN1424" s="458"/>
      <c r="BO1424" s="866">
        <f>VLOOKUP(BD1424,$BD$4:$BN$12824,3,0)*BE1424</f>
        <v>226585.53340190364</v>
      </c>
      <c r="BP1424" s="866"/>
      <c r="BQ1424" s="866"/>
      <c r="BR1424" s="866">
        <f>VLOOKUP(BD1424,$BD$4:$BN$12824,6,0)*BE1424</f>
        <v>14588.157990528332</v>
      </c>
      <c r="BS1424" s="866">
        <f>VLOOKUP(BD1424,$BD$4:$BN$12824,7,0)*BE1424</f>
        <v>7310.12418176761</v>
      </c>
      <c r="BT1424" s="866">
        <f t="shared" si="279"/>
        <v>620219.14409758116</v>
      </c>
      <c r="BU1424" s="866">
        <f>VLOOKUP(BD1424,$BD$4:$BN$12824,9,0)*BE1424</f>
        <v>263.28506653873507</v>
      </c>
      <c r="BV1424" s="867"/>
      <c r="BW1424" s="867">
        <f>VLOOKUP(BD1424,$BD$4:$BN$12824,11,0)*BE1424</f>
        <v>20048.422353430909</v>
      </c>
      <c r="BX1424" s="1146">
        <f t="shared" si="275"/>
        <v>889014.66709175031</v>
      </c>
      <c r="BY1424" s="867">
        <f t="shared" si="278"/>
        <v>1005687.402162556</v>
      </c>
      <c r="BZ1424" s="867">
        <f t="shared" si="276"/>
        <v>3017062.2064876677</v>
      </c>
      <c r="CA1424" s="867">
        <f>_xlfn.MAXIFS($BY$4:$BY$12824,$S$4:$S$12824,$S1424)</f>
        <v>3765118.9021625556</v>
      </c>
      <c r="CB1424" s="1032"/>
      <c r="CF1424" s="946">
        <f t="shared" si="277"/>
        <v>8278294.5</v>
      </c>
    </row>
    <row r="1425" spans="2:84">
      <c r="B1425" s="839" t="s">
        <v>98</v>
      </c>
      <c r="C1425" s="840" t="s">
        <v>99</v>
      </c>
      <c r="D1425" s="839" t="s">
        <v>4784</v>
      </c>
      <c r="E1425" s="839" t="s">
        <v>4784</v>
      </c>
      <c r="F1425" s="841">
        <v>45715</v>
      </c>
      <c r="G1425" s="868" t="s">
        <v>4786</v>
      </c>
      <c r="H1425" s="883" t="s">
        <v>4787</v>
      </c>
      <c r="I1425" s="883"/>
      <c r="J1425" s="841"/>
      <c r="K1425" s="841"/>
      <c r="L1425" s="843" t="s">
        <v>106</v>
      </c>
      <c r="M1425" s="844" t="s">
        <v>107</v>
      </c>
      <c r="N1425" s="841"/>
      <c r="O1425" s="884" t="s">
        <v>108</v>
      </c>
      <c r="P1425" s="842" t="s">
        <v>160</v>
      </c>
      <c r="Q1425" s="843" t="s">
        <v>4827</v>
      </c>
      <c r="R1425" s="845" t="s">
        <v>4848</v>
      </c>
      <c r="S1425" s="1127" t="s">
        <v>4849</v>
      </c>
      <c r="T1425" s="885" t="s">
        <v>4850</v>
      </c>
      <c r="U1425" s="886">
        <v>5</v>
      </c>
      <c r="V1425" s="842" t="s">
        <v>3</v>
      </c>
      <c r="W1425" s="846">
        <v>200</v>
      </c>
      <c r="X1425" s="847">
        <f t="shared" si="270"/>
        <v>1000</v>
      </c>
      <c r="Y1425" s="848" t="s">
        <v>4792</v>
      </c>
      <c r="Z1425" s="849">
        <v>90</v>
      </c>
      <c r="AA1425" s="849"/>
      <c r="AB1425" s="849">
        <f t="shared" si="271"/>
        <v>450</v>
      </c>
      <c r="AC1425" s="850">
        <f t="shared" si="272"/>
        <v>450</v>
      </c>
      <c r="AD1425" s="851">
        <f t="shared" si="269"/>
        <v>32000</v>
      </c>
      <c r="AE1425" s="852">
        <v>30660.35</v>
      </c>
      <c r="AF1425" s="853">
        <v>0.25</v>
      </c>
      <c r="AG1425" s="854">
        <f t="shared" si="273"/>
        <v>3546745.898993196</v>
      </c>
      <c r="AH1425" s="853">
        <v>0.08</v>
      </c>
      <c r="AI1425" s="855">
        <f t="shared" si="274"/>
        <v>1387512.2719194556</v>
      </c>
      <c r="AJ1425" s="845" t="s">
        <v>4793</v>
      </c>
      <c r="AK1425" s="857">
        <v>45842</v>
      </c>
      <c r="AL1425" s="843" t="s">
        <v>4794</v>
      </c>
      <c r="AM1425" s="843"/>
      <c r="AN1425" s="844" t="s">
        <v>3951</v>
      </c>
      <c r="AO1425" s="844" t="s">
        <v>141</v>
      </c>
      <c r="AP1425" s="841"/>
      <c r="AQ1425" s="841">
        <v>45876</v>
      </c>
      <c r="AR1425" s="841">
        <v>45920</v>
      </c>
      <c r="AS1425" s="842" t="s">
        <v>4697</v>
      </c>
      <c r="AT1425" s="842" t="s">
        <v>4795</v>
      </c>
      <c r="AU1425" s="842" t="s">
        <v>1311</v>
      </c>
      <c r="AV1425" s="856" t="s">
        <v>4796</v>
      </c>
      <c r="AW1425" s="861">
        <v>45923</v>
      </c>
      <c r="AX1425" s="862">
        <v>45925</v>
      </c>
      <c r="AY1425" s="843" t="s">
        <v>4831</v>
      </c>
      <c r="AZ1425" s="900" t="s">
        <v>4798</v>
      </c>
      <c r="BA1425" s="842" t="s">
        <v>120</v>
      </c>
      <c r="BB1425" s="863" t="s">
        <v>121</v>
      </c>
      <c r="BC1425" s="864">
        <v>45926</v>
      </c>
      <c r="BD1425" s="860" t="s">
        <v>4799</v>
      </c>
      <c r="BE1425" s="865" cm="1">
        <f t="array" ref="BE1425">IF(BD1425="","",AC1425/SUMPRODUCT(--(BD1425=$BD$4:$BD$12824),$AC$4:$AC$12824))</f>
        <v>1.6800353927456071E-2</v>
      </c>
      <c r="BF1425" s="458"/>
      <c r="BG1425" s="458"/>
      <c r="BH1425" s="458"/>
      <c r="BI1425" s="458"/>
      <c r="BJ1425" s="458"/>
      <c r="BK1425" s="458"/>
      <c r="BL1425" s="458"/>
      <c r="BM1425" s="458"/>
      <c r="BN1425" s="458"/>
      <c r="BO1425" s="866">
        <f>VLOOKUP(BD1425,$BD$4:$BN$12824,3,0)*BE1425</f>
        <v>377642.55566983944</v>
      </c>
      <c r="BP1425" s="866"/>
      <c r="BQ1425" s="866"/>
      <c r="BR1425" s="866">
        <f>VLOOKUP(BD1425,$BD$4:$BN$12824,6,0)*BE1425</f>
        <v>24313.596650880554</v>
      </c>
      <c r="BS1425" s="866">
        <f>VLOOKUP(BD1425,$BD$4:$BN$12824,7,0)*BE1425</f>
        <v>12183.540302946016</v>
      </c>
      <c r="BT1425" s="866">
        <f t="shared" si="279"/>
        <v>1033698.5734959686</v>
      </c>
      <c r="BU1425" s="866">
        <f>VLOOKUP(BD1425,$BD$4:$BN$12824,9,0)*BE1425</f>
        <v>438.80844423122511</v>
      </c>
      <c r="BV1425" s="867"/>
      <c r="BW1425" s="867">
        <f>VLOOKUP(BD1425,$BD$4:$BN$12824,11,0)*BE1425</f>
        <v>33414.037255718184</v>
      </c>
      <c r="BX1425" s="1146">
        <f t="shared" si="275"/>
        <v>1481691.1118195839</v>
      </c>
      <c r="BY1425" s="867">
        <f t="shared" si="278"/>
        <v>3765118.9021625556</v>
      </c>
      <c r="BZ1425" s="867">
        <f t="shared" si="276"/>
        <v>18825594.510812778</v>
      </c>
      <c r="CA1425" s="867">
        <f>_xlfn.MAXIFS($BY$4:$BY$12824,$S$4:$S$12824,$S1425)</f>
        <v>3765118.9021625556</v>
      </c>
      <c r="CB1425" s="1032"/>
      <c r="CF1425" s="946">
        <f t="shared" si="277"/>
        <v>13797157.5</v>
      </c>
    </row>
    <row r="1426" spans="2:84">
      <c r="B1426" s="839" t="s">
        <v>98</v>
      </c>
      <c r="C1426" s="840" t="s">
        <v>99</v>
      </c>
      <c r="D1426" s="839" t="s">
        <v>4784</v>
      </c>
      <c r="E1426" s="839" t="s">
        <v>4784</v>
      </c>
      <c r="F1426" s="841">
        <v>45715</v>
      </c>
      <c r="G1426" s="868" t="s">
        <v>4786</v>
      </c>
      <c r="H1426" s="883" t="s">
        <v>4787</v>
      </c>
      <c r="I1426" s="883"/>
      <c r="J1426" s="841"/>
      <c r="K1426" s="841"/>
      <c r="L1426" s="843" t="s">
        <v>106</v>
      </c>
      <c r="M1426" s="844" t="s">
        <v>107</v>
      </c>
      <c r="N1426" s="841"/>
      <c r="O1426" s="884" t="s">
        <v>108</v>
      </c>
      <c r="P1426" s="842" t="s">
        <v>160</v>
      </c>
      <c r="Q1426" s="843" t="s">
        <v>4827</v>
      </c>
      <c r="R1426" s="845" t="s">
        <v>4851</v>
      </c>
      <c r="S1426" s="1127" t="s">
        <v>4852</v>
      </c>
      <c r="T1426" s="885" t="s">
        <v>4853</v>
      </c>
      <c r="U1426" s="886">
        <v>5</v>
      </c>
      <c r="V1426" s="842" t="s">
        <v>3</v>
      </c>
      <c r="W1426" s="846">
        <v>200</v>
      </c>
      <c r="X1426" s="847">
        <f t="shared" si="270"/>
        <v>1000</v>
      </c>
      <c r="Y1426" s="848" t="s">
        <v>4792</v>
      </c>
      <c r="Z1426" s="849">
        <v>90</v>
      </c>
      <c r="AA1426" s="849"/>
      <c r="AB1426" s="849">
        <f t="shared" si="271"/>
        <v>450</v>
      </c>
      <c r="AC1426" s="850">
        <f t="shared" si="272"/>
        <v>450</v>
      </c>
      <c r="AD1426" s="851">
        <f t="shared" si="269"/>
        <v>32000</v>
      </c>
      <c r="AE1426" s="852">
        <v>30660.35</v>
      </c>
      <c r="AF1426" s="853">
        <v>0.25</v>
      </c>
      <c r="AG1426" s="854">
        <f t="shared" si="273"/>
        <v>3546745.898993196</v>
      </c>
      <c r="AH1426" s="853">
        <v>0.08</v>
      </c>
      <c r="AI1426" s="855">
        <f t="shared" si="274"/>
        <v>1387512.2719194556</v>
      </c>
      <c r="AJ1426" s="845" t="s">
        <v>4793</v>
      </c>
      <c r="AK1426" s="857">
        <v>45842</v>
      </c>
      <c r="AL1426" s="843" t="s">
        <v>4794</v>
      </c>
      <c r="AM1426" s="843"/>
      <c r="AN1426" s="844" t="s">
        <v>3951</v>
      </c>
      <c r="AO1426" s="844" t="s">
        <v>141</v>
      </c>
      <c r="AP1426" s="841"/>
      <c r="AQ1426" s="841">
        <v>45876</v>
      </c>
      <c r="AR1426" s="841">
        <v>45920</v>
      </c>
      <c r="AS1426" s="842" t="s">
        <v>4697</v>
      </c>
      <c r="AT1426" s="842" t="s">
        <v>4795</v>
      </c>
      <c r="AU1426" s="842" t="s">
        <v>1311</v>
      </c>
      <c r="AV1426" s="856" t="s">
        <v>4796</v>
      </c>
      <c r="AW1426" s="861">
        <v>45923</v>
      </c>
      <c r="AX1426" s="862">
        <v>45925</v>
      </c>
      <c r="AY1426" s="843" t="s">
        <v>4831</v>
      </c>
      <c r="AZ1426" s="900" t="s">
        <v>4798</v>
      </c>
      <c r="BA1426" s="842" t="s">
        <v>120</v>
      </c>
      <c r="BB1426" s="863" t="s">
        <v>121</v>
      </c>
      <c r="BC1426" s="864">
        <v>45926</v>
      </c>
      <c r="BD1426" s="860" t="s">
        <v>4799</v>
      </c>
      <c r="BE1426" s="865" cm="1">
        <f t="array" ref="BE1426">IF(BD1426="","",AC1426/SUMPRODUCT(--(BD1426=$BD$4:$BD$12824),$AC$4:$AC$12824))</f>
        <v>1.6800353927456071E-2</v>
      </c>
      <c r="BF1426" s="458"/>
      <c r="BG1426" s="458"/>
      <c r="BH1426" s="458"/>
      <c r="BI1426" s="458"/>
      <c r="BJ1426" s="458"/>
      <c r="BK1426" s="458"/>
      <c r="BL1426" s="458"/>
      <c r="BM1426" s="458"/>
      <c r="BN1426" s="458"/>
      <c r="BO1426" s="866">
        <f>VLOOKUP(BD1426,$BD$4:$BN$12824,3,0)*BE1426</f>
        <v>377642.55566983944</v>
      </c>
      <c r="BP1426" s="866"/>
      <c r="BQ1426" s="866"/>
      <c r="BR1426" s="866">
        <f>VLOOKUP(BD1426,$BD$4:$BN$12824,6,0)*BE1426</f>
        <v>24313.596650880554</v>
      </c>
      <c r="BS1426" s="866">
        <f>VLOOKUP(BD1426,$BD$4:$BN$12824,7,0)*BE1426</f>
        <v>12183.540302946016</v>
      </c>
      <c r="BT1426" s="866">
        <f t="shared" si="279"/>
        <v>1033698.5734959686</v>
      </c>
      <c r="BU1426" s="866">
        <f>VLOOKUP(BD1426,$BD$4:$BN$12824,9,0)*BE1426</f>
        <v>438.80844423122511</v>
      </c>
      <c r="BV1426" s="867"/>
      <c r="BW1426" s="867">
        <f>VLOOKUP(BD1426,$BD$4:$BN$12824,11,0)*BE1426</f>
        <v>33414.037255718184</v>
      </c>
      <c r="BX1426" s="1146">
        <f t="shared" si="275"/>
        <v>1481691.1118195839</v>
      </c>
      <c r="BY1426" s="867">
        <f t="shared" si="278"/>
        <v>3765118.9021625556</v>
      </c>
      <c r="BZ1426" s="867">
        <f t="shared" si="276"/>
        <v>18825594.510812778</v>
      </c>
      <c r="CA1426" s="867">
        <f>_xlfn.MAXIFS($BY$4:$BY$12824,$S$4:$S$12824,$S1426)</f>
        <v>3765118.9021625556</v>
      </c>
      <c r="CB1426" s="1032"/>
      <c r="CF1426" s="946">
        <f t="shared" si="277"/>
        <v>13797157.5</v>
      </c>
    </row>
    <row r="1427" spans="2:84">
      <c r="B1427" s="839" t="s">
        <v>98</v>
      </c>
      <c r="C1427" s="840" t="s">
        <v>99</v>
      </c>
      <c r="D1427" s="839" t="s">
        <v>4784</v>
      </c>
      <c r="E1427" s="839" t="s">
        <v>4784</v>
      </c>
      <c r="F1427" s="841">
        <v>45715</v>
      </c>
      <c r="G1427" s="868" t="s">
        <v>4786</v>
      </c>
      <c r="H1427" s="883" t="s">
        <v>4787</v>
      </c>
      <c r="I1427" s="883"/>
      <c r="J1427" s="841"/>
      <c r="K1427" s="841"/>
      <c r="L1427" s="843" t="s">
        <v>106</v>
      </c>
      <c r="M1427" s="844" t="s">
        <v>107</v>
      </c>
      <c r="N1427" s="841"/>
      <c r="O1427" s="884" t="s">
        <v>108</v>
      </c>
      <c r="P1427" s="842" t="s">
        <v>160</v>
      </c>
      <c r="Q1427" s="843" t="s">
        <v>4827</v>
      </c>
      <c r="R1427" s="845" t="s">
        <v>4854</v>
      </c>
      <c r="S1427" s="1127" t="s">
        <v>4855</v>
      </c>
      <c r="T1427" s="885" t="s">
        <v>4856</v>
      </c>
      <c r="U1427" s="886">
        <v>5</v>
      </c>
      <c r="V1427" s="842" t="s">
        <v>3</v>
      </c>
      <c r="W1427" s="846">
        <v>200</v>
      </c>
      <c r="X1427" s="847">
        <f t="shared" si="270"/>
        <v>1000</v>
      </c>
      <c r="Y1427" s="848" t="s">
        <v>4792</v>
      </c>
      <c r="Z1427" s="849">
        <v>90</v>
      </c>
      <c r="AA1427" s="849"/>
      <c r="AB1427" s="849">
        <f t="shared" si="271"/>
        <v>450</v>
      </c>
      <c r="AC1427" s="850">
        <f t="shared" si="272"/>
        <v>450</v>
      </c>
      <c r="AD1427" s="851">
        <f t="shared" si="269"/>
        <v>32000</v>
      </c>
      <c r="AE1427" s="852">
        <v>30660.35</v>
      </c>
      <c r="AF1427" s="853">
        <v>0.25</v>
      </c>
      <c r="AG1427" s="854">
        <f t="shared" si="273"/>
        <v>3546745.898993196</v>
      </c>
      <c r="AH1427" s="853">
        <v>0.08</v>
      </c>
      <c r="AI1427" s="855">
        <f t="shared" si="274"/>
        <v>1387512.2719194556</v>
      </c>
      <c r="AJ1427" s="845" t="s">
        <v>4793</v>
      </c>
      <c r="AK1427" s="857">
        <v>45842</v>
      </c>
      <c r="AL1427" s="843" t="s">
        <v>4794</v>
      </c>
      <c r="AM1427" s="843"/>
      <c r="AN1427" s="844" t="s">
        <v>3951</v>
      </c>
      <c r="AO1427" s="844" t="s">
        <v>141</v>
      </c>
      <c r="AP1427" s="841"/>
      <c r="AQ1427" s="841">
        <v>45876</v>
      </c>
      <c r="AR1427" s="841">
        <v>45920</v>
      </c>
      <c r="AS1427" s="842" t="s">
        <v>4697</v>
      </c>
      <c r="AT1427" s="842" t="s">
        <v>4795</v>
      </c>
      <c r="AU1427" s="842" t="s">
        <v>1311</v>
      </c>
      <c r="AV1427" s="856" t="s">
        <v>4796</v>
      </c>
      <c r="AW1427" s="861">
        <v>45923</v>
      </c>
      <c r="AX1427" s="862">
        <v>45925</v>
      </c>
      <c r="AY1427" s="843" t="s">
        <v>4831</v>
      </c>
      <c r="AZ1427" s="900" t="s">
        <v>4798</v>
      </c>
      <c r="BA1427" s="842" t="s">
        <v>120</v>
      </c>
      <c r="BB1427" s="863" t="s">
        <v>121</v>
      </c>
      <c r="BC1427" s="864">
        <v>45926</v>
      </c>
      <c r="BD1427" s="860" t="s">
        <v>4799</v>
      </c>
      <c r="BE1427" s="865" cm="1">
        <f t="array" ref="BE1427">IF(BD1427="","",AC1427/SUMPRODUCT(--(BD1427=$BD$4:$BD$12824),$AC$4:$AC$12824))</f>
        <v>1.6800353927456071E-2</v>
      </c>
      <c r="BF1427" s="458"/>
      <c r="BG1427" s="458"/>
      <c r="BH1427" s="458"/>
      <c r="BI1427" s="458"/>
      <c r="BJ1427" s="458"/>
      <c r="BK1427" s="458"/>
      <c r="BL1427" s="458"/>
      <c r="BM1427" s="458"/>
      <c r="BN1427" s="458"/>
      <c r="BO1427" s="866">
        <f>VLOOKUP(BD1427,$BD$4:$BN$12824,3,0)*BE1427</f>
        <v>377642.55566983944</v>
      </c>
      <c r="BP1427" s="866"/>
      <c r="BQ1427" s="866"/>
      <c r="BR1427" s="866">
        <f>VLOOKUP(BD1427,$BD$4:$BN$12824,6,0)*BE1427</f>
        <v>24313.596650880554</v>
      </c>
      <c r="BS1427" s="866">
        <f>VLOOKUP(BD1427,$BD$4:$BN$12824,7,0)*BE1427</f>
        <v>12183.540302946016</v>
      </c>
      <c r="BT1427" s="866">
        <f t="shared" si="279"/>
        <v>1033698.5734959686</v>
      </c>
      <c r="BU1427" s="866">
        <f>VLOOKUP(BD1427,$BD$4:$BN$12824,9,0)*BE1427</f>
        <v>438.80844423122511</v>
      </c>
      <c r="BV1427" s="867"/>
      <c r="BW1427" s="867">
        <f>VLOOKUP(BD1427,$BD$4:$BN$12824,11,0)*BE1427</f>
        <v>33414.037255718184</v>
      </c>
      <c r="BX1427" s="1146">
        <f t="shared" si="275"/>
        <v>1481691.1118195839</v>
      </c>
      <c r="BY1427" s="867">
        <f t="shared" si="278"/>
        <v>3765118.9021625556</v>
      </c>
      <c r="BZ1427" s="867">
        <f t="shared" si="276"/>
        <v>18825594.510812778</v>
      </c>
      <c r="CA1427" s="867">
        <f>_xlfn.MAXIFS($BY$4:$BY$12824,$S$4:$S$12824,$S1427)</f>
        <v>3765118.9021625556</v>
      </c>
      <c r="CB1427" s="1032"/>
      <c r="CF1427" s="946">
        <f t="shared" si="277"/>
        <v>13797157.5</v>
      </c>
    </row>
    <row r="1428" spans="2:84">
      <c r="B1428" s="839" t="s">
        <v>98</v>
      </c>
      <c r="C1428" s="840" t="s">
        <v>99</v>
      </c>
      <c r="D1428" s="839" t="s">
        <v>4784</v>
      </c>
      <c r="E1428" s="839" t="s">
        <v>4784</v>
      </c>
      <c r="F1428" s="841">
        <v>45715</v>
      </c>
      <c r="G1428" s="868" t="s">
        <v>4786</v>
      </c>
      <c r="H1428" s="883" t="s">
        <v>4787</v>
      </c>
      <c r="I1428" s="883"/>
      <c r="J1428" s="841"/>
      <c r="K1428" s="841"/>
      <c r="L1428" s="843" t="s">
        <v>106</v>
      </c>
      <c r="M1428" s="844" t="s">
        <v>107</v>
      </c>
      <c r="N1428" s="841"/>
      <c r="O1428" s="884" t="s">
        <v>108</v>
      </c>
      <c r="P1428" s="842" t="s">
        <v>160</v>
      </c>
      <c r="Q1428" s="843" t="s">
        <v>4827</v>
      </c>
      <c r="R1428" s="845" t="s">
        <v>4857</v>
      </c>
      <c r="S1428" s="1127" t="s">
        <v>4858</v>
      </c>
      <c r="T1428" s="885" t="s">
        <v>4859</v>
      </c>
      <c r="U1428" s="886">
        <v>5</v>
      </c>
      <c r="V1428" s="842" t="s">
        <v>3</v>
      </c>
      <c r="W1428" s="846">
        <v>200</v>
      </c>
      <c r="X1428" s="847">
        <f t="shared" si="270"/>
        <v>1000</v>
      </c>
      <c r="Y1428" s="848" t="s">
        <v>4792</v>
      </c>
      <c r="Z1428" s="849">
        <v>90</v>
      </c>
      <c r="AA1428" s="849"/>
      <c r="AB1428" s="849">
        <f t="shared" si="271"/>
        <v>450</v>
      </c>
      <c r="AC1428" s="850">
        <f t="shared" si="272"/>
        <v>450</v>
      </c>
      <c r="AD1428" s="851">
        <f t="shared" si="269"/>
        <v>32000</v>
      </c>
      <c r="AE1428" s="852">
        <v>30660.35</v>
      </c>
      <c r="AF1428" s="853">
        <v>0.25</v>
      </c>
      <c r="AG1428" s="854">
        <f t="shared" si="273"/>
        <v>3546745.898993196</v>
      </c>
      <c r="AH1428" s="853">
        <v>0.08</v>
      </c>
      <c r="AI1428" s="855">
        <f t="shared" si="274"/>
        <v>1387512.2719194556</v>
      </c>
      <c r="AJ1428" s="845" t="s">
        <v>4793</v>
      </c>
      <c r="AK1428" s="857">
        <v>45842</v>
      </c>
      <c r="AL1428" s="843" t="s">
        <v>4794</v>
      </c>
      <c r="AM1428" s="843"/>
      <c r="AN1428" s="844" t="s">
        <v>3951</v>
      </c>
      <c r="AO1428" s="844" t="s">
        <v>141</v>
      </c>
      <c r="AP1428" s="841"/>
      <c r="AQ1428" s="841">
        <v>45876</v>
      </c>
      <c r="AR1428" s="841">
        <v>45920</v>
      </c>
      <c r="AS1428" s="842" t="s">
        <v>4697</v>
      </c>
      <c r="AT1428" s="842" t="s">
        <v>4795</v>
      </c>
      <c r="AU1428" s="842" t="s">
        <v>1311</v>
      </c>
      <c r="AV1428" s="856" t="s">
        <v>4796</v>
      </c>
      <c r="AW1428" s="861">
        <v>45923</v>
      </c>
      <c r="AX1428" s="862">
        <v>45925</v>
      </c>
      <c r="AY1428" s="843" t="s">
        <v>4831</v>
      </c>
      <c r="AZ1428" s="900" t="s">
        <v>4798</v>
      </c>
      <c r="BA1428" s="842" t="s">
        <v>120</v>
      </c>
      <c r="BB1428" s="863" t="s">
        <v>121</v>
      </c>
      <c r="BC1428" s="864">
        <v>45926</v>
      </c>
      <c r="BD1428" s="860" t="s">
        <v>4799</v>
      </c>
      <c r="BE1428" s="865" cm="1">
        <f t="array" ref="BE1428">IF(BD1428="","",AC1428/SUMPRODUCT(--(BD1428=$BD$4:$BD$12824),$AC$4:$AC$12824))</f>
        <v>1.6800353927456071E-2</v>
      </c>
      <c r="BF1428" s="458"/>
      <c r="BG1428" s="458"/>
      <c r="BH1428" s="458"/>
      <c r="BI1428" s="458"/>
      <c r="BJ1428" s="458"/>
      <c r="BK1428" s="458"/>
      <c r="BL1428" s="458"/>
      <c r="BM1428" s="458"/>
      <c r="BN1428" s="458"/>
      <c r="BO1428" s="866">
        <f>VLOOKUP(BD1428,$BD$4:$BN$12824,3,0)*BE1428</f>
        <v>377642.55566983944</v>
      </c>
      <c r="BP1428" s="866"/>
      <c r="BQ1428" s="866"/>
      <c r="BR1428" s="866">
        <f>VLOOKUP(BD1428,$BD$4:$BN$12824,6,0)*BE1428</f>
        <v>24313.596650880554</v>
      </c>
      <c r="BS1428" s="866">
        <f>VLOOKUP(BD1428,$BD$4:$BN$12824,7,0)*BE1428</f>
        <v>12183.540302946016</v>
      </c>
      <c r="BT1428" s="866">
        <f t="shared" si="279"/>
        <v>1033698.5734959686</v>
      </c>
      <c r="BU1428" s="866">
        <f>VLOOKUP(BD1428,$BD$4:$BN$12824,9,0)*BE1428</f>
        <v>438.80844423122511</v>
      </c>
      <c r="BV1428" s="867"/>
      <c r="BW1428" s="867">
        <f>VLOOKUP(BD1428,$BD$4:$BN$12824,11,0)*BE1428</f>
        <v>33414.037255718184</v>
      </c>
      <c r="BX1428" s="1146">
        <f t="shared" si="275"/>
        <v>1481691.1118195839</v>
      </c>
      <c r="BY1428" s="867">
        <f t="shared" si="278"/>
        <v>3765118.9021625556</v>
      </c>
      <c r="BZ1428" s="867">
        <f t="shared" si="276"/>
        <v>18825594.510812778</v>
      </c>
      <c r="CA1428" s="867">
        <f>_xlfn.MAXIFS($BY$4:$BY$12824,$S$4:$S$12824,$S1428)</f>
        <v>3765118.9021625556</v>
      </c>
      <c r="CB1428" s="1032"/>
      <c r="CF1428" s="946">
        <f t="shared" si="277"/>
        <v>13797157.5</v>
      </c>
    </row>
    <row r="1429" spans="2:84">
      <c r="B1429" s="839" t="s">
        <v>98</v>
      </c>
      <c r="C1429" s="840" t="s">
        <v>99</v>
      </c>
      <c r="D1429" s="839" t="s">
        <v>4784</v>
      </c>
      <c r="E1429" s="839" t="s">
        <v>4784</v>
      </c>
      <c r="F1429" s="841">
        <v>45715</v>
      </c>
      <c r="G1429" s="868" t="s">
        <v>4786</v>
      </c>
      <c r="H1429" s="883" t="s">
        <v>4787</v>
      </c>
      <c r="I1429" s="883"/>
      <c r="J1429" s="841"/>
      <c r="K1429" s="841"/>
      <c r="L1429" s="843" t="s">
        <v>106</v>
      </c>
      <c r="M1429" s="844" t="s">
        <v>107</v>
      </c>
      <c r="N1429" s="841"/>
      <c r="O1429" s="884" t="s">
        <v>108</v>
      </c>
      <c r="P1429" s="842" t="s">
        <v>160</v>
      </c>
      <c r="Q1429" s="843" t="s">
        <v>4827</v>
      </c>
      <c r="R1429" s="845" t="s">
        <v>4860</v>
      </c>
      <c r="S1429" s="1127" t="s">
        <v>4861</v>
      </c>
      <c r="T1429" s="885" t="s">
        <v>4862</v>
      </c>
      <c r="U1429" s="886">
        <v>5</v>
      </c>
      <c r="V1429" s="842" t="s">
        <v>3</v>
      </c>
      <c r="W1429" s="846">
        <v>200</v>
      </c>
      <c r="X1429" s="847">
        <f t="shared" si="270"/>
        <v>1000</v>
      </c>
      <c r="Y1429" s="848" t="s">
        <v>4792</v>
      </c>
      <c r="Z1429" s="849">
        <v>90</v>
      </c>
      <c r="AA1429" s="849"/>
      <c r="AB1429" s="849">
        <f t="shared" si="271"/>
        <v>450</v>
      </c>
      <c r="AC1429" s="850">
        <f t="shared" si="272"/>
        <v>450</v>
      </c>
      <c r="AD1429" s="851">
        <f t="shared" si="269"/>
        <v>32000</v>
      </c>
      <c r="AE1429" s="852">
        <v>30660.35</v>
      </c>
      <c r="AF1429" s="853">
        <v>0.25</v>
      </c>
      <c r="AG1429" s="854">
        <f t="shared" si="273"/>
        <v>3546745.898993196</v>
      </c>
      <c r="AH1429" s="853">
        <v>0.08</v>
      </c>
      <c r="AI1429" s="855">
        <f t="shared" si="274"/>
        <v>1387512.2719194556</v>
      </c>
      <c r="AJ1429" s="845" t="s">
        <v>4793</v>
      </c>
      <c r="AK1429" s="857">
        <v>45842</v>
      </c>
      <c r="AL1429" s="843" t="s">
        <v>4794</v>
      </c>
      <c r="AM1429" s="843"/>
      <c r="AN1429" s="844" t="s">
        <v>3951</v>
      </c>
      <c r="AO1429" s="844" t="s">
        <v>141</v>
      </c>
      <c r="AP1429" s="841"/>
      <c r="AQ1429" s="841">
        <v>45876</v>
      </c>
      <c r="AR1429" s="841">
        <v>45920</v>
      </c>
      <c r="AS1429" s="842" t="s">
        <v>4697</v>
      </c>
      <c r="AT1429" s="842" t="s">
        <v>4795</v>
      </c>
      <c r="AU1429" s="842" t="s">
        <v>1311</v>
      </c>
      <c r="AV1429" s="856" t="s">
        <v>4796</v>
      </c>
      <c r="AW1429" s="861">
        <v>45923</v>
      </c>
      <c r="AX1429" s="862">
        <v>45925</v>
      </c>
      <c r="AY1429" s="843" t="s">
        <v>4831</v>
      </c>
      <c r="AZ1429" s="900" t="s">
        <v>4798</v>
      </c>
      <c r="BA1429" s="842" t="s">
        <v>120</v>
      </c>
      <c r="BB1429" s="863" t="s">
        <v>121</v>
      </c>
      <c r="BC1429" s="864">
        <v>45926</v>
      </c>
      <c r="BD1429" s="860" t="s">
        <v>4799</v>
      </c>
      <c r="BE1429" s="865" cm="1">
        <f t="array" ref="BE1429">IF(BD1429="","",AC1429/SUMPRODUCT(--(BD1429=$BD$4:$BD$12824),$AC$4:$AC$12824))</f>
        <v>1.6800353927456071E-2</v>
      </c>
      <c r="BF1429" s="458"/>
      <c r="BG1429" s="458"/>
      <c r="BH1429" s="458"/>
      <c r="BI1429" s="458"/>
      <c r="BJ1429" s="458"/>
      <c r="BK1429" s="458"/>
      <c r="BL1429" s="458"/>
      <c r="BM1429" s="458"/>
      <c r="BN1429" s="458"/>
      <c r="BO1429" s="866">
        <f>VLOOKUP(BD1429,$BD$4:$BN$12824,3,0)*BE1429</f>
        <v>377642.55566983944</v>
      </c>
      <c r="BP1429" s="866"/>
      <c r="BQ1429" s="866"/>
      <c r="BR1429" s="866">
        <f>VLOOKUP(BD1429,$BD$4:$BN$12824,6,0)*BE1429</f>
        <v>24313.596650880554</v>
      </c>
      <c r="BS1429" s="866">
        <f>VLOOKUP(BD1429,$BD$4:$BN$12824,7,0)*BE1429</f>
        <v>12183.540302946016</v>
      </c>
      <c r="BT1429" s="866">
        <f t="shared" si="279"/>
        <v>1033698.5734959686</v>
      </c>
      <c r="BU1429" s="866">
        <f>VLOOKUP(BD1429,$BD$4:$BN$12824,9,0)*BE1429</f>
        <v>438.80844423122511</v>
      </c>
      <c r="BV1429" s="867"/>
      <c r="BW1429" s="867">
        <f>VLOOKUP(BD1429,$BD$4:$BN$12824,11,0)*BE1429</f>
        <v>33414.037255718184</v>
      </c>
      <c r="BX1429" s="1146">
        <f t="shared" si="275"/>
        <v>1481691.1118195839</v>
      </c>
      <c r="BY1429" s="867">
        <f t="shared" si="278"/>
        <v>3765118.9021625556</v>
      </c>
      <c r="BZ1429" s="867">
        <f t="shared" si="276"/>
        <v>18825594.510812778</v>
      </c>
      <c r="CA1429" s="867">
        <f>_xlfn.MAXIFS($BY$4:$BY$12824,$S$4:$S$12824,$S1429)</f>
        <v>3765118.9021625556</v>
      </c>
      <c r="CB1429" s="1032"/>
      <c r="CF1429" s="946">
        <f t="shared" si="277"/>
        <v>13797157.5</v>
      </c>
    </row>
    <row r="1430" spans="2:84">
      <c r="B1430" s="839" t="s">
        <v>98</v>
      </c>
      <c r="C1430" s="840" t="s">
        <v>99</v>
      </c>
      <c r="D1430" s="839" t="s">
        <v>4784</v>
      </c>
      <c r="E1430" s="839" t="s">
        <v>4784</v>
      </c>
      <c r="F1430" s="841">
        <v>45715</v>
      </c>
      <c r="G1430" s="868" t="s">
        <v>4786</v>
      </c>
      <c r="H1430" s="883" t="s">
        <v>4787</v>
      </c>
      <c r="I1430" s="883"/>
      <c r="J1430" s="841"/>
      <c r="K1430" s="841"/>
      <c r="L1430" s="843" t="s">
        <v>106</v>
      </c>
      <c r="M1430" s="844" t="s">
        <v>107</v>
      </c>
      <c r="N1430" s="841"/>
      <c r="O1430" s="884" t="s">
        <v>108</v>
      </c>
      <c r="P1430" s="842" t="s">
        <v>160</v>
      </c>
      <c r="Q1430" s="843" t="s">
        <v>4827</v>
      </c>
      <c r="R1430" s="845" t="s">
        <v>4863</v>
      </c>
      <c r="S1430" s="1127" t="s">
        <v>4864</v>
      </c>
      <c r="T1430" s="885" t="s">
        <v>4865</v>
      </c>
      <c r="U1430" s="886">
        <v>5</v>
      </c>
      <c r="V1430" s="842" t="s">
        <v>3</v>
      </c>
      <c r="W1430" s="846">
        <v>200</v>
      </c>
      <c r="X1430" s="847">
        <f t="shared" si="270"/>
        <v>1000</v>
      </c>
      <c r="Y1430" s="848" t="s">
        <v>4792</v>
      </c>
      <c r="Z1430" s="849">
        <v>90</v>
      </c>
      <c r="AA1430" s="849"/>
      <c r="AB1430" s="849">
        <f t="shared" si="271"/>
        <v>450</v>
      </c>
      <c r="AC1430" s="850">
        <f t="shared" si="272"/>
        <v>450</v>
      </c>
      <c r="AD1430" s="851">
        <f t="shared" si="269"/>
        <v>32000</v>
      </c>
      <c r="AE1430" s="852">
        <v>30660.35</v>
      </c>
      <c r="AF1430" s="853">
        <v>0.25</v>
      </c>
      <c r="AG1430" s="854">
        <f t="shared" si="273"/>
        <v>3546745.898993196</v>
      </c>
      <c r="AH1430" s="853">
        <v>0.08</v>
      </c>
      <c r="AI1430" s="855">
        <f t="shared" si="274"/>
        <v>1387512.2719194556</v>
      </c>
      <c r="AJ1430" s="845" t="s">
        <v>4793</v>
      </c>
      <c r="AK1430" s="857">
        <v>45842</v>
      </c>
      <c r="AL1430" s="843" t="s">
        <v>4794</v>
      </c>
      <c r="AM1430" s="843"/>
      <c r="AN1430" s="844" t="s">
        <v>3951</v>
      </c>
      <c r="AO1430" s="844" t="s">
        <v>141</v>
      </c>
      <c r="AP1430" s="841"/>
      <c r="AQ1430" s="841">
        <v>45876</v>
      </c>
      <c r="AR1430" s="841">
        <v>45920</v>
      </c>
      <c r="AS1430" s="842" t="s">
        <v>4697</v>
      </c>
      <c r="AT1430" s="842" t="s">
        <v>4795</v>
      </c>
      <c r="AU1430" s="842" t="s">
        <v>1311</v>
      </c>
      <c r="AV1430" s="856" t="s">
        <v>4796</v>
      </c>
      <c r="AW1430" s="861">
        <v>45923</v>
      </c>
      <c r="AX1430" s="862">
        <v>45925</v>
      </c>
      <c r="AY1430" s="843" t="s">
        <v>4831</v>
      </c>
      <c r="AZ1430" s="900" t="s">
        <v>4798</v>
      </c>
      <c r="BA1430" s="842" t="s">
        <v>120</v>
      </c>
      <c r="BB1430" s="863" t="s">
        <v>121</v>
      </c>
      <c r="BC1430" s="864">
        <v>45926</v>
      </c>
      <c r="BD1430" s="860" t="s">
        <v>4799</v>
      </c>
      <c r="BE1430" s="865" cm="1">
        <f t="array" ref="BE1430">IF(BD1430="","",AC1430/SUMPRODUCT(--(BD1430=$BD$4:$BD$12824),$AC$4:$AC$12824))</f>
        <v>1.6800353927456071E-2</v>
      </c>
      <c r="BF1430" s="458"/>
      <c r="BG1430" s="458"/>
      <c r="BH1430" s="458"/>
      <c r="BI1430" s="458"/>
      <c r="BJ1430" s="458"/>
      <c r="BK1430" s="458"/>
      <c r="BL1430" s="458"/>
      <c r="BM1430" s="458"/>
      <c r="BN1430" s="458"/>
      <c r="BO1430" s="866">
        <f>VLOOKUP(BD1430,$BD$4:$BN$12824,3,0)*BE1430</f>
        <v>377642.55566983944</v>
      </c>
      <c r="BP1430" s="866"/>
      <c r="BQ1430" s="866"/>
      <c r="BR1430" s="866">
        <f>VLOOKUP(BD1430,$BD$4:$BN$12824,6,0)*BE1430</f>
        <v>24313.596650880554</v>
      </c>
      <c r="BS1430" s="866">
        <f>VLOOKUP(BD1430,$BD$4:$BN$12824,7,0)*BE1430</f>
        <v>12183.540302946016</v>
      </c>
      <c r="BT1430" s="866">
        <f t="shared" si="279"/>
        <v>1033698.5734959686</v>
      </c>
      <c r="BU1430" s="866">
        <f>VLOOKUP(BD1430,$BD$4:$BN$12824,9,0)*BE1430</f>
        <v>438.80844423122511</v>
      </c>
      <c r="BV1430" s="867"/>
      <c r="BW1430" s="867">
        <f>VLOOKUP(BD1430,$BD$4:$BN$12824,11,0)*BE1430</f>
        <v>33414.037255718184</v>
      </c>
      <c r="BX1430" s="1146">
        <f t="shared" si="275"/>
        <v>1481691.1118195839</v>
      </c>
      <c r="BY1430" s="867">
        <f t="shared" si="278"/>
        <v>3765118.9021625556</v>
      </c>
      <c r="BZ1430" s="867">
        <f t="shared" si="276"/>
        <v>18825594.510812778</v>
      </c>
      <c r="CA1430" s="867">
        <f>_xlfn.MAXIFS($BY$4:$BY$12824,$S$4:$S$12824,$S1430)</f>
        <v>3765118.9021625556</v>
      </c>
      <c r="CB1430" s="1032"/>
      <c r="CF1430" s="946">
        <f t="shared" si="277"/>
        <v>13797157.5</v>
      </c>
    </row>
    <row r="1431" spans="2:84">
      <c r="B1431" s="839" t="s">
        <v>98</v>
      </c>
      <c r="C1431" s="840" t="s">
        <v>99</v>
      </c>
      <c r="D1431" s="839" t="s">
        <v>4784</v>
      </c>
      <c r="E1431" s="839" t="s">
        <v>4784</v>
      </c>
      <c r="F1431" s="841">
        <v>45715</v>
      </c>
      <c r="G1431" s="868" t="s">
        <v>4786</v>
      </c>
      <c r="H1431" s="883" t="s">
        <v>4787</v>
      </c>
      <c r="I1431" s="883"/>
      <c r="J1431" s="841"/>
      <c r="K1431" s="841"/>
      <c r="L1431" s="843" t="s">
        <v>106</v>
      </c>
      <c r="M1431" s="844" t="s">
        <v>107</v>
      </c>
      <c r="N1431" s="841"/>
      <c r="O1431" s="884" t="s">
        <v>108</v>
      </c>
      <c r="P1431" s="842" t="s">
        <v>160</v>
      </c>
      <c r="Q1431" s="843" t="s">
        <v>4827</v>
      </c>
      <c r="R1431" s="845" t="s">
        <v>4866</v>
      </c>
      <c r="S1431" s="1127" t="s">
        <v>4867</v>
      </c>
      <c r="T1431" s="885" t="s">
        <v>4868</v>
      </c>
      <c r="U1431" s="886">
        <v>10</v>
      </c>
      <c r="V1431" s="842" t="s">
        <v>3</v>
      </c>
      <c r="W1431" s="846">
        <v>200</v>
      </c>
      <c r="X1431" s="847">
        <f t="shared" si="270"/>
        <v>2000</v>
      </c>
      <c r="Y1431" s="848" t="s">
        <v>4792</v>
      </c>
      <c r="Z1431" s="849">
        <v>90</v>
      </c>
      <c r="AA1431" s="849"/>
      <c r="AB1431" s="849">
        <f t="shared" si="271"/>
        <v>900</v>
      </c>
      <c r="AC1431" s="850">
        <f t="shared" si="272"/>
        <v>900</v>
      </c>
      <c r="AD1431" s="851">
        <f t="shared" si="269"/>
        <v>32000</v>
      </c>
      <c r="AE1431" s="852">
        <v>30660.35</v>
      </c>
      <c r="AF1431" s="853">
        <v>0.25</v>
      </c>
      <c r="AG1431" s="854">
        <f t="shared" si="273"/>
        <v>7093491.7979863919</v>
      </c>
      <c r="AH1431" s="853">
        <v>0.08</v>
      </c>
      <c r="AI1431" s="855">
        <f t="shared" si="274"/>
        <v>2775024.5438389112</v>
      </c>
      <c r="AJ1431" s="845" t="s">
        <v>4793</v>
      </c>
      <c r="AK1431" s="857">
        <v>45842</v>
      </c>
      <c r="AL1431" s="843" t="s">
        <v>4794</v>
      </c>
      <c r="AM1431" s="843"/>
      <c r="AN1431" s="844" t="s">
        <v>3951</v>
      </c>
      <c r="AO1431" s="844" t="s">
        <v>141</v>
      </c>
      <c r="AP1431" s="841"/>
      <c r="AQ1431" s="841">
        <v>45876</v>
      </c>
      <c r="AR1431" s="841">
        <v>45920</v>
      </c>
      <c r="AS1431" s="842" t="s">
        <v>4697</v>
      </c>
      <c r="AT1431" s="842" t="s">
        <v>4795</v>
      </c>
      <c r="AU1431" s="842" t="s">
        <v>1311</v>
      </c>
      <c r="AV1431" s="856" t="s">
        <v>4796</v>
      </c>
      <c r="AW1431" s="861">
        <v>45923</v>
      </c>
      <c r="AX1431" s="862">
        <v>45925</v>
      </c>
      <c r="AY1431" s="843" t="s">
        <v>4831</v>
      </c>
      <c r="AZ1431" s="900" t="s">
        <v>4798</v>
      </c>
      <c r="BA1431" s="842" t="s">
        <v>120</v>
      </c>
      <c r="BB1431" s="863" t="s">
        <v>121</v>
      </c>
      <c r="BC1431" s="864">
        <v>45926</v>
      </c>
      <c r="BD1431" s="860" t="s">
        <v>4799</v>
      </c>
      <c r="BE1431" s="865" cm="1">
        <f t="array" ref="BE1431">IF(BD1431="","",AC1431/SUMPRODUCT(--(BD1431=$BD$4:$BD$12824),$AC$4:$AC$12824))</f>
        <v>3.3600707854912142E-2</v>
      </c>
      <c r="BF1431" s="458"/>
      <c r="BG1431" s="458"/>
      <c r="BH1431" s="458"/>
      <c r="BI1431" s="458"/>
      <c r="BJ1431" s="458"/>
      <c r="BK1431" s="458"/>
      <c r="BL1431" s="458"/>
      <c r="BM1431" s="458"/>
      <c r="BN1431" s="458"/>
      <c r="BO1431" s="866">
        <f>VLOOKUP(BD1431,$BD$4:$BN$12824,3,0)*BE1431</f>
        <v>755285.11133967887</v>
      </c>
      <c r="BP1431" s="866"/>
      <c r="BQ1431" s="866"/>
      <c r="BR1431" s="866">
        <f>VLOOKUP(BD1431,$BD$4:$BN$12824,6,0)*BE1431</f>
        <v>48627.193301761108</v>
      </c>
      <c r="BS1431" s="866">
        <f>VLOOKUP(BD1431,$BD$4:$BN$12824,7,0)*BE1431</f>
        <v>24367.080605892032</v>
      </c>
      <c r="BT1431" s="866">
        <f t="shared" si="279"/>
        <v>2067397.1469919372</v>
      </c>
      <c r="BU1431" s="866">
        <f>VLOOKUP(BD1431,$BD$4:$BN$12824,9,0)*BE1431</f>
        <v>877.61688846245022</v>
      </c>
      <c r="BV1431" s="867"/>
      <c r="BW1431" s="867">
        <f>VLOOKUP(BD1431,$BD$4:$BN$12824,11,0)*BE1431</f>
        <v>66828.074511436367</v>
      </c>
      <c r="BX1431" s="1146">
        <f t="shared" si="275"/>
        <v>2963382.2236391678</v>
      </c>
      <c r="BY1431" s="867">
        <f t="shared" si="278"/>
        <v>3765118.9021625556</v>
      </c>
      <c r="BZ1431" s="867">
        <f t="shared" si="276"/>
        <v>37651189.021625556</v>
      </c>
      <c r="CA1431" s="867">
        <f>_xlfn.MAXIFS($BY$4:$BY$12824,$S$4:$S$12824,$S1431)</f>
        <v>3765118.9021625556</v>
      </c>
      <c r="CB1431" s="1032"/>
      <c r="CF1431" s="946">
        <f t="shared" si="277"/>
        <v>27594315</v>
      </c>
    </row>
    <row r="1432" spans="2:84">
      <c r="B1432" s="839" t="s">
        <v>98</v>
      </c>
      <c r="C1432" s="840" t="s">
        <v>99</v>
      </c>
      <c r="D1432" s="839" t="s">
        <v>4784</v>
      </c>
      <c r="E1432" s="839" t="s">
        <v>4784</v>
      </c>
      <c r="F1432" s="841">
        <v>45715</v>
      </c>
      <c r="G1432" s="868" t="s">
        <v>4786</v>
      </c>
      <c r="H1432" s="883" t="s">
        <v>4787</v>
      </c>
      <c r="I1432" s="883"/>
      <c r="J1432" s="841"/>
      <c r="K1432" s="841"/>
      <c r="L1432" s="843" t="s">
        <v>106</v>
      </c>
      <c r="M1432" s="844" t="s">
        <v>107</v>
      </c>
      <c r="N1432" s="841"/>
      <c r="O1432" s="884" t="s">
        <v>108</v>
      </c>
      <c r="P1432" s="842" t="s">
        <v>160</v>
      </c>
      <c r="Q1432" s="843" t="s">
        <v>4869</v>
      </c>
      <c r="R1432" s="845" t="s">
        <v>4870</v>
      </c>
      <c r="S1432" s="1127" t="s">
        <v>4871</v>
      </c>
      <c r="T1432" s="885" t="s">
        <v>4872</v>
      </c>
      <c r="U1432" s="886">
        <v>2</v>
      </c>
      <c r="V1432" s="842" t="s">
        <v>3</v>
      </c>
      <c r="W1432" s="846">
        <v>495</v>
      </c>
      <c r="X1432" s="847">
        <f t="shared" si="270"/>
        <v>990</v>
      </c>
      <c r="Y1432" s="848" t="s">
        <v>4792</v>
      </c>
      <c r="Z1432" s="849">
        <v>222.75</v>
      </c>
      <c r="AA1432" s="849"/>
      <c r="AB1432" s="849">
        <f t="shared" si="271"/>
        <v>445.5</v>
      </c>
      <c r="AC1432" s="850">
        <f t="shared" si="272"/>
        <v>445.5</v>
      </c>
      <c r="AD1432" s="851">
        <f t="shared" si="269"/>
        <v>32000</v>
      </c>
      <c r="AE1432" s="852">
        <v>30660.35</v>
      </c>
      <c r="AF1432" s="853">
        <v>0.25</v>
      </c>
      <c r="AG1432" s="854">
        <f t="shared" si="273"/>
        <v>3511278.4400032642</v>
      </c>
      <c r="AH1432" s="853">
        <v>0.08</v>
      </c>
      <c r="AI1432" s="855">
        <f t="shared" si="274"/>
        <v>1373637.1492002609</v>
      </c>
      <c r="AJ1432" s="845" t="s">
        <v>4793</v>
      </c>
      <c r="AK1432" s="857">
        <v>45842</v>
      </c>
      <c r="AL1432" s="843" t="s">
        <v>4794</v>
      </c>
      <c r="AM1432" s="843"/>
      <c r="AN1432" s="844" t="s">
        <v>3951</v>
      </c>
      <c r="AO1432" s="844" t="s">
        <v>141</v>
      </c>
      <c r="AP1432" s="841"/>
      <c r="AQ1432" s="841">
        <v>45876</v>
      </c>
      <c r="AR1432" s="841">
        <v>45920</v>
      </c>
      <c r="AS1432" s="842" t="s">
        <v>4697</v>
      </c>
      <c r="AT1432" s="842" t="s">
        <v>4795</v>
      </c>
      <c r="AU1432" s="842" t="s">
        <v>1311</v>
      </c>
      <c r="AV1432" s="856" t="s">
        <v>4796</v>
      </c>
      <c r="AW1432" s="861">
        <v>45923</v>
      </c>
      <c r="AX1432" s="862">
        <v>45925</v>
      </c>
      <c r="AY1432" s="843" t="s">
        <v>4873</v>
      </c>
      <c r="AZ1432" s="900" t="s">
        <v>4798</v>
      </c>
      <c r="BA1432" s="842" t="s">
        <v>120</v>
      </c>
      <c r="BB1432" s="863" t="s">
        <v>121</v>
      </c>
      <c r="BC1432" s="864">
        <v>45926</v>
      </c>
      <c r="BD1432" s="860" t="s">
        <v>4799</v>
      </c>
      <c r="BE1432" s="865" cm="1">
        <f t="array" ref="BE1432">IF(BD1432="","",AC1432/SUMPRODUCT(--(BD1432=$BD$4:$BD$12824),$AC$4:$AC$12824))</f>
        <v>1.6632350388181512E-2</v>
      </c>
      <c r="BF1432" s="458"/>
      <c r="BG1432" s="458"/>
      <c r="BH1432" s="458"/>
      <c r="BI1432" s="458"/>
      <c r="BJ1432" s="458"/>
      <c r="BK1432" s="458"/>
      <c r="BL1432" s="458"/>
      <c r="BM1432" s="458"/>
      <c r="BN1432" s="458"/>
      <c r="BO1432" s="866">
        <f>VLOOKUP(BD1432,$BD$4:$BN$12824,3,0)*BE1432</f>
        <v>373866.13011314109</v>
      </c>
      <c r="BP1432" s="866"/>
      <c r="BQ1432" s="866"/>
      <c r="BR1432" s="866">
        <f>VLOOKUP(BD1432,$BD$4:$BN$12824,6,0)*BE1432</f>
        <v>24070.460684371752</v>
      </c>
      <c r="BS1432" s="866">
        <f>VLOOKUP(BD1432,$BD$4:$BN$12824,7,0)*BE1432</f>
        <v>12061.704899916558</v>
      </c>
      <c r="BT1432" s="866"/>
      <c r="BU1432" s="866">
        <f>VLOOKUP(BD1432,$BD$4:$BN$12824,9,0)*BE1432</f>
        <v>434.42035978891289</v>
      </c>
      <c r="BV1432" s="867"/>
      <c r="BW1432" s="867">
        <f>VLOOKUP(BD1432,$BD$4:$BN$12824,11,0)*BE1432</f>
        <v>33079.896883161004</v>
      </c>
      <c r="BX1432" s="1146">
        <f t="shared" si="275"/>
        <v>443512.6129403793</v>
      </c>
      <c r="BY1432" s="867">
        <f t="shared" si="278"/>
        <v>8806988.4889718201</v>
      </c>
      <c r="BZ1432" s="867">
        <f t="shared" si="276"/>
        <v>17613976.97794364</v>
      </c>
      <c r="CA1432" s="867">
        <f>_xlfn.MAXIFS($BY$4:$BY$12824,$S$4:$S$12824,$S1432)</f>
        <v>8806988.4889718201</v>
      </c>
      <c r="CB1432" s="1032"/>
      <c r="CF1432" s="946">
        <f t="shared" si="277"/>
        <v>13659185.924999999</v>
      </c>
    </row>
    <row r="1433" spans="2:84">
      <c r="B1433" s="839" t="s">
        <v>98</v>
      </c>
      <c r="C1433" s="840" t="s">
        <v>99</v>
      </c>
      <c r="D1433" s="839" t="s">
        <v>4784</v>
      </c>
      <c r="E1433" s="839" t="s">
        <v>4784</v>
      </c>
      <c r="F1433" s="841">
        <v>45715</v>
      </c>
      <c r="G1433" s="868" t="s">
        <v>4786</v>
      </c>
      <c r="H1433" s="883" t="s">
        <v>4787</v>
      </c>
      <c r="I1433" s="883"/>
      <c r="J1433" s="841"/>
      <c r="K1433" s="841"/>
      <c r="L1433" s="843" t="s">
        <v>106</v>
      </c>
      <c r="M1433" s="844" t="s">
        <v>107</v>
      </c>
      <c r="N1433" s="841"/>
      <c r="O1433" s="884" t="s">
        <v>108</v>
      </c>
      <c r="P1433" s="842" t="s">
        <v>160</v>
      </c>
      <c r="Q1433" s="843" t="s">
        <v>4869</v>
      </c>
      <c r="R1433" s="845" t="s">
        <v>4874</v>
      </c>
      <c r="S1433" s="1127" t="s">
        <v>4875</v>
      </c>
      <c r="T1433" s="885" t="s">
        <v>4876</v>
      </c>
      <c r="U1433" s="886">
        <v>2</v>
      </c>
      <c r="V1433" s="842" t="s">
        <v>3</v>
      </c>
      <c r="W1433" s="846">
        <v>495</v>
      </c>
      <c r="X1433" s="847">
        <f t="shared" si="270"/>
        <v>990</v>
      </c>
      <c r="Y1433" s="848" t="s">
        <v>4792</v>
      </c>
      <c r="Z1433" s="849">
        <v>222.75</v>
      </c>
      <c r="AA1433" s="849" t="s">
        <v>40</v>
      </c>
      <c r="AB1433" s="849">
        <f t="shared" si="271"/>
        <v>0</v>
      </c>
      <c r="AC1433" s="850">
        <f t="shared" si="272"/>
        <v>445.5</v>
      </c>
      <c r="AD1433" s="851">
        <f t="shared" si="269"/>
        <v>32000</v>
      </c>
      <c r="AE1433" s="852">
        <v>30660.35</v>
      </c>
      <c r="AF1433" s="853">
        <v>0.25</v>
      </c>
      <c r="AG1433" s="854">
        <f t="shared" si="273"/>
        <v>3511278.4400032642</v>
      </c>
      <c r="AH1433" s="853">
        <v>0.08</v>
      </c>
      <c r="AI1433" s="855">
        <f t="shared" si="274"/>
        <v>1373637.1492002609</v>
      </c>
      <c r="AJ1433" s="845" t="s">
        <v>4793</v>
      </c>
      <c r="AK1433" s="857">
        <v>45842</v>
      </c>
      <c r="AL1433" s="843" t="s">
        <v>4794</v>
      </c>
      <c r="AM1433" s="843"/>
      <c r="AN1433" s="844" t="s">
        <v>3951</v>
      </c>
      <c r="AO1433" s="844" t="s">
        <v>141</v>
      </c>
      <c r="AP1433" s="841"/>
      <c r="AQ1433" s="841">
        <v>45876</v>
      </c>
      <c r="AR1433" s="841">
        <v>45920</v>
      </c>
      <c r="AS1433" s="842" t="s">
        <v>4697</v>
      </c>
      <c r="AT1433" s="842" t="s">
        <v>4795</v>
      </c>
      <c r="AU1433" s="842" t="s">
        <v>1311</v>
      </c>
      <c r="AV1433" s="856" t="s">
        <v>4796</v>
      </c>
      <c r="AW1433" s="861">
        <v>45923</v>
      </c>
      <c r="AX1433" s="862">
        <v>45925</v>
      </c>
      <c r="AY1433" s="843" t="s">
        <v>4877</v>
      </c>
      <c r="AZ1433" s="900" t="s">
        <v>4798</v>
      </c>
      <c r="BA1433" s="842" t="s">
        <v>120</v>
      </c>
      <c r="BB1433" s="863" t="s">
        <v>121</v>
      </c>
      <c r="BC1433" s="864">
        <v>45926</v>
      </c>
      <c r="BD1433" s="860" t="s">
        <v>4799</v>
      </c>
      <c r="BE1433" s="865" cm="1">
        <f t="array" ref="BE1433">IF(BD1433="","",AC1433/SUMPRODUCT(--(BD1433=$BD$4:$BD$12824),$AC$4:$AC$12824))</f>
        <v>1.6632350388181512E-2</v>
      </c>
      <c r="BF1433" s="458"/>
      <c r="BG1433" s="458"/>
      <c r="BH1433" s="458"/>
      <c r="BI1433" s="458"/>
      <c r="BJ1433" s="458"/>
      <c r="BK1433" s="458"/>
      <c r="BL1433" s="458"/>
      <c r="BM1433" s="458"/>
      <c r="BN1433" s="458"/>
      <c r="BO1433" s="866">
        <f>VLOOKUP(BD1433,$BD$4:$BN$12824,3,0)*BE1433</f>
        <v>373866.13011314109</v>
      </c>
      <c r="BP1433" s="866"/>
      <c r="BQ1433" s="866"/>
      <c r="BR1433" s="866">
        <f>VLOOKUP(BD1433,$BD$4:$BN$12824,6,0)*BE1433</f>
        <v>24070.460684371752</v>
      </c>
      <c r="BS1433" s="866">
        <f>VLOOKUP(BD1433,$BD$4:$BN$12824,7,0)*BE1433</f>
        <v>12061.704899916558</v>
      </c>
      <c r="BT1433" s="866"/>
      <c r="BU1433" s="866">
        <f>VLOOKUP(BD1433,$BD$4:$BN$12824,9,0)*BE1433</f>
        <v>434.42035978891289</v>
      </c>
      <c r="BV1433" s="867"/>
      <c r="BW1433" s="867">
        <f>VLOOKUP(BD1433,$BD$4:$BN$12824,11,0)*BE1433</f>
        <v>33079.896883161004</v>
      </c>
      <c r="BX1433" s="1146">
        <f t="shared" si="275"/>
        <v>443512.6129403793</v>
      </c>
      <c r="BY1433" s="867">
        <f t="shared" si="278"/>
        <v>1977395.5264718218</v>
      </c>
      <c r="BZ1433" s="867">
        <f t="shared" si="276"/>
        <v>3954791.0529436436</v>
      </c>
      <c r="CA1433" s="867">
        <f>_xlfn.MAXIFS($BY$4:$BY$12824,$S$4:$S$12824,$S1433)</f>
        <v>8806988.4889718201</v>
      </c>
      <c r="CB1433" s="1032"/>
      <c r="CF1433" s="946">
        <f t="shared" si="277"/>
        <v>13659185.924999999</v>
      </c>
    </row>
    <row r="1434" spans="2:84">
      <c r="B1434" s="839" t="s">
        <v>98</v>
      </c>
      <c r="C1434" s="840" t="s">
        <v>99</v>
      </c>
      <c r="D1434" s="839" t="s">
        <v>4784</v>
      </c>
      <c r="E1434" s="839" t="s">
        <v>4784</v>
      </c>
      <c r="F1434" s="841">
        <v>45715</v>
      </c>
      <c r="G1434" s="868" t="s">
        <v>4786</v>
      </c>
      <c r="H1434" s="883" t="s">
        <v>4787</v>
      </c>
      <c r="I1434" s="883"/>
      <c r="J1434" s="841"/>
      <c r="K1434" s="841"/>
      <c r="L1434" s="843" t="s">
        <v>106</v>
      </c>
      <c r="M1434" s="844" t="s">
        <v>107</v>
      </c>
      <c r="N1434" s="841"/>
      <c r="O1434" s="884" t="s">
        <v>108</v>
      </c>
      <c r="P1434" s="842" t="s">
        <v>160</v>
      </c>
      <c r="Q1434" s="843" t="s">
        <v>4869</v>
      </c>
      <c r="R1434" s="845" t="s">
        <v>4874</v>
      </c>
      <c r="S1434" s="1127" t="s">
        <v>4875</v>
      </c>
      <c r="T1434" s="885" t="s">
        <v>4876</v>
      </c>
      <c r="U1434" s="886">
        <v>2</v>
      </c>
      <c r="V1434" s="842" t="s">
        <v>3</v>
      </c>
      <c r="W1434" s="846">
        <v>495</v>
      </c>
      <c r="X1434" s="847">
        <f t="shared" ref="X1434:X1454" si="280">W1434*U1434</f>
        <v>990</v>
      </c>
      <c r="Y1434" s="848" t="s">
        <v>4792</v>
      </c>
      <c r="Z1434" s="849">
        <v>222.75</v>
      </c>
      <c r="AA1434" s="849"/>
      <c r="AB1434" s="849">
        <f t="shared" si="271"/>
        <v>445.5</v>
      </c>
      <c r="AC1434" s="850">
        <f t="shared" si="272"/>
        <v>445.5</v>
      </c>
      <c r="AD1434" s="851">
        <f t="shared" si="269"/>
        <v>32000</v>
      </c>
      <c r="AE1434" s="852">
        <v>30660.35</v>
      </c>
      <c r="AF1434" s="853">
        <v>0.25</v>
      </c>
      <c r="AG1434" s="854">
        <f t="shared" si="273"/>
        <v>3511278.4400032642</v>
      </c>
      <c r="AH1434" s="853">
        <v>0.08</v>
      </c>
      <c r="AI1434" s="855">
        <f t="shared" si="274"/>
        <v>1373637.1492002609</v>
      </c>
      <c r="AJ1434" s="845" t="s">
        <v>4793</v>
      </c>
      <c r="AK1434" s="857">
        <v>45842</v>
      </c>
      <c r="AL1434" s="843" t="s">
        <v>4794</v>
      </c>
      <c r="AM1434" s="843"/>
      <c r="AN1434" s="844" t="s">
        <v>3951</v>
      </c>
      <c r="AO1434" s="844" t="s">
        <v>141</v>
      </c>
      <c r="AP1434" s="841"/>
      <c r="AQ1434" s="841">
        <v>45876</v>
      </c>
      <c r="AR1434" s="841">
        <v>45920</v>
      </c>
      <c r="AS1434" s="842" t="s">
        <v>4697</v>
      </c>
      <c r="AT1434" s="842" t="s">
        <v>4795</v>
      </c>
      <c r="AU1434" s="842" t="s">
        <v>1311</v>
      </c>
      <c r="AV1434" s="856" t="s">
        <v>4796</v>
      </c>
      <c r="AW1434" s="861">
        <v>45923</v>
      </c>
      <c r="AX1434" s="862">
        <v>45925</v>
      </c>
      <c r="AY1434" s="843" t="s">
        <v>4877</v>
      </c>
      <c r="AZ1434" s="900" t="s">
        <v>4798</v>
      </c>
      <c r="BA1434" s="842" t="s">
        <v>120</v>
      </c>
      <c r="BB1434" s="863" t="s">
        <v>121</v>
      </c>
      <c r="BC1434" s="864">
        <v>45926</v>
      </c>
      <c r="BD1434" s="860" t="s">
        <v>4799</v>
      </c>
      <c r="BE1434" s="865" cm="1">
        <f t="array" ref="BE1434">IF(BD1434="","",AC1434/SUMPRODUCT(--(BD1434=$BD$4:$BD$12824),$AC$4:$AC$12824))</f>
        <v>1.6632350388181512E-2</v>
      </c>
      <c r="BF1434" s="458"/>
      <c r="BG1434" s="458"/>
      <c r="BH1434" s="458"/>
      <c r="BI1434" s="458"/>
      <c r="BJ1434" s="458"/>
      <c r="BK1434" s="458"/>
      <c r="BL1434" s="458"/>
      <c r="BM1434" s="458"/>
      <c r="BN1434" s="458"/>
      <c r="BO1434" s="866">
        <f>VLOOKUP(BD1434,$BD$4:$BN$12824,3,0)*BE1434</f>
        <v>373866.13011314109</v>
      </c>
      <c r="BP1434" s="866"/>
      <c r="BQ1434" s="866"/>
      <c r="BR1434" s="866">
        <f>VLOOKUP(BD1434,$BD$4:$BN$12824,6,0)*BE1434</f>
        <v>24070.460684371752</v>
      </c>
      <c r="BS1434" s="866">
        <f>VLOOKUP(BD1434,$BD$4:$BN$12824,7,0)*BE1434</f>
        <v>12061.704899916558</v>
      </c>
      <c r="BT1434" s="866"/>
      <c r="BU1434" s="866">
        <f>VLOOKUP(BD1434,$BD$4:$BN$12824,9,0)*BE1434</f>
        <v>434.42035978891289</v>
      </c>
      <c r="BV1434" s="867"/>
      <c r="BW1434" s="867">
        <f>VLOOKUP(BD1434,$BD$4:$BN$12824,11,0)*BE1434</f>
        <v>33079.896883161004</v>
      </c>
      <c r="BX1434" s="1146">
        <f t="shared" si="275"/>
        <v>443512.6129403793</v>
      </c>
      <c r="BY1434" s="867">
        <f t="shared" si="278"/>
        <v>8806988.4889718201</v>
      </c>
      <c r="BZ1434" s="867">
        <f t="shared" si="276"/>
        <v>17613976.97794364</v>
      </c>
      <c r="CA1434" s="867">
        <f>_xlfn.MAXIFS($BY$4:$BY$12824,$S$4:$S$12824,$S1434)</f>
        <v>8806988.4889718201</v>
      </c>
      <c r="CB1434" s="1032"/>
      <c r="CF1434" s="946">
        <f t="shared" si="277"/>
        <v>13659185.924999999</v>
      </c>
    </row>
    <row r="1435" spans="2:84">
      <c r="B1435" s="839" t="s">
        <v>98</v>
      </c>
      <c r="C1435" s="840" t="s">
        <v>99</v>
      </c>
      <c r="D1435" s="839" t="s">
        <v>4784</v>
      </c>
      <c r="E1435" s="839" t="s">
        <v>4784</v>
      </c>
      <c r="F1435" s="841">
        <v>45715</v>
      </c>
      <c r="G1435" s="868" t="s">
        <v>4786</v>
      </c>
      <c r="H1435" s="883" t="s">
        <v>4787</v>
      </c>
      <c r="I1435" s="883"/>
      <c r="J1435" s="841"/>
      <c r="K1435" s="841"/>
      <c r="L1435" s="843" t="s">
        <v>106</v>
      </c>
      <c r="M1435" s="844" t="s">
        <v>107</v>
      </c>
      <c r="N1435" s="841"/>
      <c r="O1435" s="884" t="s">
        <v>108</v>
      </c>
      <c r="P1435" s="842" t="s">
        <v>160</v>
      </c>
      <c r="Q1435" s="843" t="s">
        <v>4869</v>
      </c>
      <c r="R1435" s="845" t="s">
        <v>4878</v>
      </c>
      <c r="S1435" s="1127" t="s">
        <v>4879</v>
      </c>
      <c r="T1435" s="885" t="s">
        <v>4880</v>
      </c>
      <c r="U1435" s="886">
        <v>2</v>
      </c>
      <c r="V1435" s="842" t="s">
        <v>3</v>
      </c>
      <c r="W1435" s="846">
        <v>495</v>
      </c>
      <c r="X1435" s="847">
        <f t="shared" si="280"/>
        <v>990</v>
      </c>
      <c r="Y1435" s="848" t="s">
        <v>4792</v>
      </c>
      <c r="Z1435" s="849">
        <v>222.75</v>
      </c>
      <c r="AA1435" s="849"/>
      <c r="AB1435" s="849">
        <f t="shared" si="271"/>
        <v>445.5</v>
      </c>
      <c r="AC1435" s="850">
        <f t="shared" si="272"/>
        <v>445.5</v>
      </c>
      <c r="AD1435" s="851">
        <f t="shared" si="269"/>
        <v>32000</v>
      </c>
      <c r="AE1435" s="852">
        <v>30660.35</v>
      </c>
      <c r="AF1435" s="853">
        <v>0.25</v>
      </c>
      <c r="AG1435" s="854">
        <f t="shared" si="273"/>
        <v>3511278.4400032642</v>
      </c>
      <c r="AH1435" s="853">
        <v>0.08</v>
      </c>
      <c r="AI1435" s="855">
        <f t="shared" si="274"/>
        <v>1373637.1492002609</v>
      </c>
      <c r="AJ1435" s="845" t="s">
        <v>4793</v>
      </c>
      <c r="AK1435" s="857">
        <v>45842</v>
      </c>
      <c r="AL1435" s="843" t="s">
        <v>4794</v>
      </c>
      <c r="AM1435" s="843"/>
      <c r="AN1435" s="844" t="s">
        <v>3951</v>
      </c>
      <c r="AO1435" s="844" t="s">
        <v>141</v>
      </c>
      <c r="AP1435" s="841"/>
      <c r="AQ1435" s="841">
        <v>45876</v>
      </c>
      <c r="AR1435" s="841">
        <v>45920</v>
      </c>
      <c r="AS1435" s="842" t="s">
        <v>4697</v>
      </c>
      <c r="AT1435" s="842" t="s">
        <v>4795</v>
      </c>
      <c r="AU1435" s="842" t="s">
        <v>1311</v>
      </c>
      <c r="AV1435" s="856" t="s">
        <v>4796</v>
      </c>
      <c r="AW1435" s="861">
        <v>45923</v>
      </c>
      <c r="AX1435" s="862">
        <v>45925</v>
      </c>
      <c r="AY1435" s="843" t="s">
        <v>4881</v>
      </c>
      <c r="AZ1435" s="900" t="s">
        <v>4798</v>
      </c>
      <c r="BA1435" s="842" t="s">
        <v>120</v>
      </c>
      <c r="BB1435" s="863" t="s">
        <v>121</v>
      </c>
      <c r="BC1435" s="864">
        <v>45926</v>
      </c>
      <c r="BD1435" s="860" t="s">
        <v>4799</v>
      </c>
      <c r="BE1435" s="865" cm="1">
        <f t="array" ref="BE1435">IF(BD1435="","",AC1435/SUMPRODUCT(--(BD1435=$BD$4:$BD$12824),$AC$4:$AC$12824))</f>
        <v>1.6632350388181512E-2</v>
      </c>
      <c r="BF1435" s="458"/>
      <c r="BG1435" s="458"/>
      <c r="BH1435" s="458"/>
      <c r="BI1435" s="458"/>
      <c r="BJ1435" s="458"/>
      <c r="BK1435" s="458"/>
      <c r="BL1435" s="458"/>
      <c r="BM1435" s="458"/>
      <c r="BN1435" s="458"/>
      <c r="BO1435" s="866">
        <f>VLOOKUP(BD1435,$BD$4:$BN$12824,3,0)*BE1435</f>
        <v>373866.13011314109</v>
      </c>
      <c r="BP1435" s="866"/>
      <c r="BQ1435" s="866"/>
      <c r="BR1435" s="866">
        <f>VLOOKUP(BD1435,$BD$4:$BN$12824,6,0)*BE1435</f>
        <v>24070.460684371752</v>
      </c>
      <c r="BS1435" s="866">
        <f>VLOOKUP(BD1435,$BD$4:$BN$12824,7,0)*BE1435</f>
        <v>12061.704899916558</v>
      </c>
      <c r="BT1435" s="866"/>
      <c r="BU1435" s="866">
        <f>VLOOKUP(BD1435,$BD$4:$BN$12824,9,0)*BE1435</f>
        <v>434.42035978891289</v>
      </c>
      <c r="BV1435" s="867"/>
      <c r="BW1435" s="867">
        <f>VLOOKUP(BD1435,$BD$4:$BN$12824,11,0)*BE1435</f>
        <v>33079.896883161004</v>
      </c>
      <c r="BX1435" s="1146">
        <f t="shared" si="275"/>
        <v>443512.6129403793</v>
      </c>
      <c r="BY1435" s="867">
        <f t="shared" si="278"/>
        <v>8806988.4889718201</v>
      </c>
      <c r="BZ1435" s="867">
        <f t="shared" si="276"/>
        <v>17613976.97794364</v>
      </c>
      <c r="CA1435" s="867">
        <f>_xlfn.MAXIFS($BY$4:$BY$12824,$S$4:$S$12824,$S1435)</f>
        <v>8806988.4889718201</v>
      </c>
      <c r="CB1435" s="1032"/>
      <c r="CF1435" s="946">
        <f t="shared" si="277"/>
        <v>13659185.924999999</v>
      </c>
    </row>
    <row r="1436" spans="2:84">
      <c r="B1436" s="839" t="s">
        <v>98</v>
      </c>
      <c r="C1436" s="840" t="s">
        <v>99</v>
      </c>
      <c r="D1436" s="839" t="s">
        <v>4784</v>
      </c>
      <c r="E1436" s="839" t="s">
        <v>4784</v>
      </c>
      <c r="F1436" s="841">
        <v>45715</v>
      </c>
      <c r="G1436" s="868" t="s">
        <v>4786</v>
      </c>
      <c r="H1436" s="883" t="s">
        <v>4787</v>
      </c>
      <c r="I1436" s="883"/>
      <c r="J1436" s="841"/>
      <c r="K1436" s="841"/>
      <c r="L1436" s="843" t="s">
        <v>106</v>
      </c>
      <c r="M1436" s="844" t="s">
        <v>107</v>
      </c>
      <c r="N1436" s="841"/>
      <c r="O1436" s="884" t="s">
        <v>108</v>
      </c>
      <c r="P1436" s="842" t="s">
        <v>160</v>
      </c>
      <c r="Q1436" s="843" t="s">
        <v>4869</v>
      </c>
      <c r="R1436" s="845" t="s">
        <v>4882</v>
      </c>
      <c r="S1436" s="1127" t="s">
        <v>4883</v>
      </c>
      <c r="T1436" s="885" t="s">
        <v>4884</v>
      </c>
      <c r="U1436" s="886">
        <v>2</v>
      </c>
      <c r="V1436" s="842" t="s">
        <v>3</v>
      </c>
      <c r="W1436" s="846">
        <v>585</v>
      </c>
      <c r="X1436" s="847">
        <f t="shared" si="280"/>
        <v>1170</v>
      </c>
      <c r="Y1436" s="848" t="s">
        <v>4792</v>
      </c>
      <c r="Z1436" s="849">
        <v>263.25</v>
      </c>
      <c r="AA1436" s="849"/>
      <c r="AB1436" s="849">
        <f t="shared" si="271"/>
        <v>526.5</v>
      </c>
      <c r="AC1436" s="850">
        <f t="shared" si="272"/>
        <v>526.5</v>
      </c>
      <c r="AD1436" s="851">
        <f t="shared" si="269"/>
        <v>32000</v>
      </c>
      <c r="AE1436" s="852">
        <v>30660.35</v>
      </c>
      <c r="AF1436" s="853">
        <v>0.25</v>
      </c>
      <c r="AG1436" s="854">
        <f t="shared" si="273"/>
        <v>4149692.7018220397</v>
      </c>
      <c r="AH1436" s="853">
        <v>0.08</v>
      </c>
      <c r="AI1436" s="855">
        <f t="shared" si="274"/>
        <v>1623389.3581457629</v>
      </c>
      <c r="AJ1436" s="845" t="s">
        <v>4793</v>
      </c>
      <c r="AK1436" s="857">
        <v>45842</v>
      </c>
      <c r="AL1436" s="843" t="s">
        <v>4794</v>
      </c>
      <c r="AM1436" s="843"/>
      <c r="AN1436" s="844" t="s">
        <v>3951</v>
      </c>
      <c r="AO1436" s="844" t="s">
        <v>141</v>
      </c>
      <c r="AP1436" s="841"/>
      <c r="AQ1436" s="841">
        <v>45876</v>
      </c>
      <c r="AR1436" s="841">
        <v>45920</v>
      </c>
      <c r="AS1436" s="842" t="s">
        <v>4697</v>
      </c>
      <c r="AT1436" s="842" t="s">
        <v>4795</v>
      </c>
      <c r="AU1436" s="842" t="s">
        <v>1311</v>
      </c>
      <c r="AV1436" s="856" t="s">
        <v>4796</v>
      </c>
      <c r="AW1436" s="861">
        <v>45923</v>
      </c>
      <c r="AX1436" s="862">
        <v>45925</v>
      </c>
      <c r="AY1436" s="843" t="s">
        <v>4885</v>
      </c>
      <c r="AZ1436" s="900" t="s">
        <v>4798</v>
      </c>
      <c r="BA1436" s="842" t="s">
        <v>120</v>
      </c>
      <c r="BB1436" s="863" t="s">
        <v>121</v>
      </c>
      <c r="BC1436" s="864">
        <v>45926</v>
      </c>
      <c r="BD1436" s="860" t="s">
        <v>4799</v>
      </c>
      <c r="BE1436" s="865" cm="1">
        <f t="array" ref="BE1436">IF(BD1436="","",AC1436/SUMPRODUCT(--(BD1436=$BD$4:$BD$12824),$AC$4:$AC$12824))</f>
        <v>1.9656414095123604E-2</v>
      </c>
      <c r="BF1436" s="458"/>
      <c r="BG1436" s="458"/>
      <c r="BH1436" s="458"/>
      <c r="BI1436" s="458"/>
      <c r="BJ1436" s="458"/>
      <c r="BK1436" s="458"/>
      <c r="BL1436" s="458"/>
      <c r="BM1436" s="458"/>
      <c r="BN1436" s="458"/>
      <c r="BO1436" s="866">
        <f>VLOOKUP(BD1436,$BD$4:$BN$12824,3,0)*BE1436</f>
        <v>441841.79013371217</v>
      </c>
      <c r="BP1436" s="866"/>
      <c r="BQ1436" s="866"/>
      <c r="BR1436" s="866">
        <f>VLOOKUP(BD1436,$BD$4:$BN$12824,6,0)*BE1436</f>
        <v>28446.908081530251</v>
      </c>
      <c r="BS1436" s="866">
        <f>VLOOKUP(BD1436,$BD$4:$BN$12824,7,0)*BE1436</f>
        <v>14254.74215444684</v>
      </c>
      <c r="BT1436" s="866"/>
      <c r="BU1436" s="866">
        <f>VLOOKUP(BD1436,$BD$4:$BN$12824,9,0)*BE1436</f>
        <v>513.40587975053336</v>
      </c>
      <c r="BV1436" s="867"/>
      <c r="BW1436" s="867">
        <f>VLOOKUP(BD1436,$BD$4:$BN$12824,11,0)*BE1436</f>
        <v>39094.423589190279</v>
      </c>
      <c r="BX1436" s="1146">
        <f t="shared" si="275"/>
        <v>524151.26983863011</v>
      </c>
      <c r="BY1436" s="867">
        <f t="shared" si="278"/>
        <v>10408259.123330334</v>
      </c>
      <c r="BZ1436" s="867">
        <f t="shared" si="276"/>
        <v>20816518.246660668</v>
      </c>
      <c r="CA1436" s="867">
        <f>_xlfn.MAXIFS($BY$4:$BY$12824,$S$4:$S$12824,$S1436)</f>
        <v>10408259.123330334</v>
      </c>
      <c r="CB1436" s="1032"/>
      <c r="CF1436" s="946">
        <f t="shared" si="277"/>
        <v>16142674.274999999</v>
      </c>
    </row>
    <row r="1437" spans="2:84">
      <c r="B1437" s="839" t="s">
        <v>98</v>
      </c>
      <c r="C1437" s="840" t="s">
        <v>99</v>
      </c>
      <c r="D1437" s="839" t="s">
        <v>4784</v>
      </c>
      <c r="E1437" s="839" t="s">
        <v>4784</v>
      </c>
      <c r="F1437" s="841">
        <v>45715</v>
      </c>
      <c r="G1437" s="868" t="s">
        <v>4786</v>
      </c>
      <c r="H1437" s="883" t="s">
        <v>4787</v>
      </c>
      <c r="I1437" s="883"/>
      <c r="J1437" s="841"/>
      <c r="K1437" s="841"/>
      <c r="L1437" s="843" t="s">
        <v>106</v>
      </c>
      <c r="M1437" s="844" t="s">
        <v>107</v>
      </c>
      <c r="N1437" s="841"/>
      <c r="O1437" s="884" t="s">
        <v>108</v>
      </c>
      <c r="P1437" s="842" t="s">
        <v>160</v>
      </c>
      <c r="Q1437" s="843" t="s">
        <v>4869</v>
      </c>
      <c r="R1437" s="845" t="s">
        <v>4882</v>
      </c>
      <c r="S1437" s="1127" t="s">
        <v>4883</v>
      </c>
      <c r="T1437" s="885" t="s">
        <v>4884</v>
      </c>
      <c r="U1437" s="886">
        <v>2</v>
      </c>
      <c r="V1437" s="842" t="s">
        <v>3</v>
      </c>
      <c r="W1437" s="846">
        <v>585</v>
      </c>
      <c r="X1437" s="847">
        <f t="shared" si="280"/>
        <v>1170</v>
      </c>
      <c r="Y1437" s="848" t="s">
        <v>4792</v>
      </c>
      <c r="Z1437" s="849">
        <v>263.25</v>
      </c>
      <c r="AA1437" s="849" t="s">
        <v>40</v>
      </c>
      <c r="AB1437" s="849">
        <f t="shared" si="271"/>
        <v>0</v>
      </c>
      <c r="AC1437" s="850">
        <f t="shared" si="272"/>
        <v>526.5</v>
      </c>
      <c r="AD1437" s="851">
        <f t="shared" si="269"/>
        <v>32000</v>
      </c>
      <c r="AE1437" s="852">
        <v>30660.35</v>
      </c>
      <c r="AF1437" s="853">
        <v>0.25</v>
      </c>
      <c r="AG1437" s="854">
        <f t="shared" si="273"/>
        <v>4149692.7018220397</v>
      </c>
      <c r="AH1437" s="853">
        <v>0.08</v>
      </c>
      <c r="AI1437" s="855">
        <f t="shared" si="274"/>
        <v>1623389.3581457629</v>
      </c>
      <c r="AJ1437" s="845" t="s">
        <v>4793</v>
      </c>
      <c r="AK1437" s="857">
        <v>45842</v>
      </c>
      <c r="AL1437" s="843" t="s">
        <v>4794</v>
      </c>
      <c r="AM1437" s="843"/>
      <c r="AN1437" s="844" t="s">
        <v>3951</v>
      </c>
      <c r="AO1437" s="844" t="s">
        <v>141</v>
      </c>
      <c r="AP1437" s="841"/>
      <c r="AQ1437" s="841">
        <v>45876</v>
      </c>
      <c r="AR1437" s="841">
        <v>45920</v>
      </c>
      <c r="AS1437" s="842" t="s">
        <v>4697</v>
      </c>
      <c r="AT1437" s="842" t="s">
        <v>4795</v>
      </c>
      <c r="AU1437" s="842" t="s">
        <v>1311</v>
      </c>
      <c r="AV1437" s="856" t="s">
        <v>4796</v>
      </c>
      <c r="AW1437" s="861">
        <v>45923</v>
      </c>
      <c r="AX1437" s="862">
        <v>45925</v>
      </c>
      <c r="AY1437" s="843" t="s">
        <v>4885</v>
      </c>
      <c r="AZ1437" s="900" t="s">
        <v>4798</v>
      </c>
      <c r="BA1437" s="842" t="s">
        <v>120</v>
      </c>
      <c r="BB1437" s="863" t="s">
        <v>121</v>
      </c>
      <c r="BC1437" s="864">
        <v>45926</v>
      </c>
      <c r="BD1437" s="860" t="s">
        <v>4799</v>
      </c>
      <c r="BE1437" s="865" cm="1">
        <f t="array" ref="BE1437">IF(BD1437="","",AC1437/SUMPRODUCT(--(BD1437=$BD$4:$BD$12824),$AC$4:$AC$12824))</f>
        <v>1.9656414095123604E-2</v>
      </c>
      <c r="BF1437" s="458"/>
      <c r="BG1437" s="458"/>
      <c r="BH1437" s="458"/>
      <c r="BI1437" s="458"/>
      <c r="BJ1437" s="458"/>
      <c r="BK1437" s="458"/>
      <c r="BL1437" s="458"/>
      <c r="BM1437" s="458"/>
      <c r="BN1437" s="458"/>
      <c r="BO1437" s="866">
        <f>VLOOKUP(BD1437,$BD$4:$BN$12824,3,0)*BE1437</f>
        <v>441841.79013371217</v>
      </c>
      <c r="BP1437" s="866"/>
      <c r="BQ1437" s="866"/>
      <c r="BR1437" s="866">
        <f>VLOOKUP(BD1437,$BD$4:$BN$12824,6,0)*BE1437</f>
        <v>28446.908081530251</v>
      </c>
      <c r="BS1437" s="866">
        <f>VLOOKUP(BD1437,$BD$4:$BN$12824,7,0)*BE1437</f>
        <v>14254.74215444684</v>
      </c>
      <c r="BT1437" s="866"/>
      <c r="BU1437" s="866">
        <f>VLOOKUP(BD1437,$BD$4:$BN$12824,9,0)*BE1437</f>
        <v>513.40587975053336</v>
      </c>
      <c r="BV1437" s="867"/>
      <c r="BW1437" s="867">
        <f>VLOOKUP(BD1437,$BD$4:$BN$12824,11,0)*BE1437</f>
        <v>39094.423589190279</v>
      </c>
      <c r="BX1437" s="1146">
        <f t="shared" si="275"/>
        <v>524151.26983863011</v>
      </c>
      <c r="BY1437" s="867">
        <f t="shared" si="278"/>
        <v>2336921.9858303349</v>
      </c>
      <c r="BZ1437" s="867">
        <f t="shared" si="276"/>
        <v>4673843.9716606699</v>
      </c>
      <c r="CA1437" s="867">
        <f>_xlfn.MAXIFS($BY$4:$BY$12824,$S$4:$S$12824,$S1437)</f>
        <v>10408259.123330334</v>
      </c>
      <c r="CB1437" s="1032"/>
      <c r="CF1437" s="946">
        <f t="shared" si="277"/>
        <v>16142674.274999999</v>
      </c>
    </row>
    <row r="1438" spans="2:84">
      <c r="B1438" s="839" t="s">
        <v>98</v>
      </c>
      <c r="C1438" s="840" t="s">
        <v>99</v>
      </c>
      <c r="D1438" s="839" t="s">
        <v>4784</v>
      </c>
      <c r="E1438" s="839" t="s">
        <v>4784</v>
      </c>
      <c r="F1438" s="841">
        <v>45715</v>
      </c>
      <c r="G1438" s="868" t="s">
        <v>4786</v>
      </c>
      <c r="H1438" s="883" t="s">
        <v>4787</v>
      </c>
      <c r="I1438" s="883"/>
      <c r="J1438" s="841"/>
      <c r="K1438" s="841"/>
      <c r="L1438" s="843" t="s">
        <v>106</v>
      </c>
      <c r="M1438" s="844" t="s">
        <v>107</v>
      </c>
      <c r="N1438" s="841"/>
      <c r="O1438" s="884" t="s">
        <v>108</v>
      </c>
      <c r="P1438" s="842" t="s">
        <v>160</v>
      </c>
      <c r="Q1438" s="843" t="s">
        <v>4869</v>
      </c>
      <c r="R1438" s="845" t="s">
        <v>4886</v>
      </c>
      <c r="S1438" s="1127" t="s">
        <v>4887</v>
      </c>
      <c r="T1438" s="885" t="s">
        <v>4888</v>
      </c>
      <c r="U1438" s="886">
        <v>2</v>
      </c>
      <c r="V1438" s="842" t="s">
        <v>3</v>
      </c>
      <c r="W1438" s="846">
        <v>495</v>
      </c>
      <c r="X1438" s="847">
        <f t="shared" si="280"/>
        <v>990</v>
      </c>
      <c r="Y1438" s="848" t="s">
        <v>4792</v>
      </c>
      <c r="Z1438" s="849">
        <v>222.75</v>
      </c>
      <c r="AA1438" s="849"/>
      <c r="AB1438" s="849">
        <f t="shared" si="271"/>
        <v>445.5</v>
      </c>
      <c r="AC1438" s="850">
        <f t="shared" si="272"/>
        <v>445.5</v>
      </c>
      <c r="AD1438" s="851">
        <f t="shared" si="269"/>
        <v>32000</v>
      </c>
      <c r="AE1438" s="852">
        <v>30660.35</v>
      </c>
      <c r="AF1438" s="853">
        <v>0.25</v>
      </c>
      <c r="AG1438" s="854">
        <f t="shared" si="273"/>
        <v>3511278.4400032642</v>
      </c>
      <c r="AH1438" s="853">
        <v>0.08</v>
      </c>
      <c r="AI1438" s="855">
        <f t="shared" si="274"/>
        <v>1373637.1492002609</v>
      </c>
      <c r="AJ1438" s="845" t="s">
        <v>4793</v>
      </c>
      <c r="AK1438" s="857">
        <v>45842</v>
      </c>
      <c r="AL1438" s="843" t="s">
        <v>4794</v>
      </c>
      <c r="AM1438" s="843"/>
      <c r="AN1438" s="844" t="s">
        <v>3951</v>
      </c>
      <c r="AO1438" s="844" t="s">
        <v>141</v>
      </c>
      <c r="AP1438" s="841"/>
      <c r="AQ1438" s="841">
        <v>45876</v>
      </c>
      <c r="AR1438" s="841">
        <v>45920</v>
      </c>
      <c r="AS1438" s="842" t="s">
        <v>4697</v>
      </c>
      <c r="AT1438" s="842" t="s">
        <v>4795</v>
      </c>
      <c r="AU1438" s="842" t="s">
        <v>1311</v>
      </c>
      <c r="AV1438" s="856" t="s">
        <v>4796</v>
      </c>
      <c r="AW1438" s="861">
        <v>45923</v>
      </c>
      <c r="AX1438" s="862">
        <v>45925</v>
      </c>
      <c r="AY1438" s="843" t="s">
        <v>4889</v>
      </c>
      <c r="AZ1438" s="900" t="s">
        <v>4798</v>
      </c>
      <c r="BA1438" s="842" t="s">
        <v>120</v>
      </c>
      <c r="BB1438" s="863" t="s">
        <v>121</v>
      </c>
      <c r="BC1438" s="864">
        <v>45926</v>
      </c>
      <c r="BD1438" s="860" t="s">
        <v>4799</v>
      </c>
      <c r="BE1438" s="865" cm="1">
        <f t="array" ref="BE1438">IF(BD1438="","",AC1438/SUMPRODUCT(--(BD1438=$BD$4:$BD$12824),$AC$4:$AC$12824))</f>
        <v>1.6632350388181512E-2</v>
      </c>
      <c r="BF1438" s="458"/>
      <c r="BG1438" s="458"/>
      <c r="BH1438" s="458"/>
      <c r="BI1438" s="458"/>
      <c r="BJ1438" s="458"/>
      <c r="BK1438" s="458"/>
      <c r="BL1438" s="458"/>
      <c r="BM1438" s="458"/>
      <c r="BN1438" s="458"/>
      <c r="BO1438" s="866">
        <f>VLOOKUP(BD1438,$BD$4:$BN$12824,3,0)*BE1438</f>
        <v>373866.13011314109</v>
      </c>
      <c r="BP1438" s="866"/>
      <c r="BQ1438" s="866"/>
      <c r="BR1438" s="866">
        <f>VLOOKUP(BD1438,$BD$4:$BN$12824,6,0)*BE1438</f>
        <v>24070.460684371752</v>
      </c>
      <c r="BS1438" s="866">
        <f>VLOOKUP(BD1438,$BD$4:$BN$12824,7,0)*BE1438</f>
        <v>12061.704899916558</v>
      </c>
      <c r="BT1438" s="866"/>
      <c r="BU1438" s="866">
        <f>VLOOKUP(BD1438,$BD$4:$BN$12824,9,0)*BE1438</f>
        <v>434.42035978891289</v>
      </c>
      <c r="BV1438" s="867"/>
      <c r="BW1438" s="867">
        <f>VLOOKUP(BD1438,$BD$4:$BN$12824,11,0)*BE1438</f>
        <v>33079.896883161004</v>
      </c>
      <c r="BX1438" s="1146">
        <f t="shared" si="275"/>
        <v>443512.6129403793</v>
      </c>
      <c r="BY1438" s="867">
        <f t="shared" si="278"/>
        <v>8806988.4889718201</v>
      </c>
      <c r="BZ1438" s="867">
        <f t="shared" si="276"/>
        <v>17613976.97794364</v>
      </c>
      <c r="CA1438" s="867">
        <f>_xlfn.MAXIFS($BY$4:$BY$12824,$S$4:$S$12824,$S1438)</f>
        <v>8806988.4889718201</v>
      </c>
      <c r="CB1438" s="1032"/>
      <c r="CF1438" s="946">
        <f t="shared" si="277"/>
        <v>13659185.924999999</v>
      </c>
    </row>
    <row r="1439" spans="2:84">
      <c r="B1439" s="839" t="s">
        <v>98</v>
      </c>
      <c r="C1439" s="840" t="s">
        <v>99</v>
      </c>
      <c r="D1439" s="839" t="s">
        <v>4784</v>
      </c>
      <c r="E1439" s="839" t="s">
        <v>4784</v>
      </c>
      <c r="F1439" s="841">
        <v>45715</v>
      </c>
      <c r="G1439" s="868" t="s">
        <v>4786</v>
      </c>
      <c r="H1439" s="883" t="s">
        <v>4787</v>
      </c>
      <c r="I1439" s="883"/>
      <c r="J1439" s="841"/>
      <c r="K1439" s="841"/>
      <c r="L1439" s="843" t="s">
        <v>106</v>
      </c>
      <c r="M1439" s="844" t="s">
        <v>107</v>
      </c>
      <c r="N1439" s="841"/>
      <c r="O1439" s="884" t="s">
        <v>108</v>
      </c>
      <c r="P1439" s="842" t="s">
        <v>160</v>
      </c>
      <c r="Q1439" s="843" t="s">
        <v>1266</v>
      </c>
      <c r="R1439" s="845" t="s">
        <v>4890</v>
      </c>
      <c r="S1439" s="1127" t="s">
        <v>4891</v>
      </c>
      <c r="T1439" s="885" t="s">
        <v>4892</v>
      </c>
      <c r="U1439" s="886">
        <v>2</v>
      </c>
      <c r="V1439" s="842" t="s">
        <v>3</v>
      </c>
      <c r="W1439" s="846">
        <v>625</v>
      </c>
      <c r="X1439" s="847">
        <f t="shared" si="280"/>
        <v>1250</v>
      </c>
      <c r="Y1439" s="848" t="s">
        <v>4792</v>
      </c>
      <c r="Z1439" s="849">
        <v>281.25</v>
      </c>
      <c r="AA1439" s="849"/>
      <c r="AB1439" s="849">
        <f t="shared" si="271"/>
        <v>562.5</v>
      </c>
      <c r="AC1439" s="850">
        <f t="shared" si="272"/>
        <v>562.5</v>
      </c>
      <c r="AD1439" s="851">
        <f t="shared" si="269"/>
        <v>32000</v>
      </c>
      <c r="AE1439" s="852">
        <v>30660.35</v>
      </c>
      <c r="AF1439" s="853">
        <v>0.25</v>
      </c>
      <c r="AG1439" s="854">
        <f t="shared" si="273"/>
        <v>4433432.3737414954</v>
      </c>
      <c r="AH1439" s="853">
        <v>0.08</v>
      </c>
      <c r="AI1439" s="855">
        <f t="shared" si="274"/>
        <v>1734390.3398993197</v>
      </c>
      <c r="AJ1439" s="845" t="s">
        <v>4793</v>
      </c>
      <c r="AK1439" s="857">
        <v>45842</v>
      </c>
      <c r="AL1439" s="843" t="s">
        <v>4794</v>
      </c>
      <c r="AM1439" s="843"/>
      <c r="AN1439" s="844" t="s">
        <v>3951</v>
      </c>
      <c r="AO1439" s="844" t="s">
        <v>141</v>
      </c>
      <c r="AP1439" s="841"/>
      <c r="AQ1439" s="841">
        <v>45876</v>
      </c>
      <c r="AR1439" s="841">
        <v>45920</v>
      </c>
      <c r="AS1439" s="842" t="s">
        <v>4697</v>
      </c>
      <c r="AT1439" s="842" t="s">
        <v>4795</v>
      </c>
      <c r="AU1439" s="842" t="s">
        <v>1311</v>
      </c>
      <c r="AV1439" s="856" t="s">
        <v>4796</v>
      </c>
      <c r="AW1439" s="861">
        <v>45923</v>
      </c>
      <c r="AX1439" s="862">
        <v>45925</v>
      </c>
      <c r="AY1439" s="843" t="s">
        <v>4893</v>
      </c>
      <c r="AZ1439" s="900" t="s">
        <v>4798</v>
      </c>
      <c r="BA1439" s="842" t="s">
        <v>120</v>
      </c>
      <c r="BB1439" s="863" t="s">
        <v>121</v>
      </c>
      <c r="BC1439" s="864">
        <v>45926</v>
      </c>
      <c r="BD1439" s="860" t="s">
        <v>4799</v>
      </c>
      <c r="BE1439" s="865" cm="1">
        <f t="array" ref="BE1439">IF(BD1439="","",AC1439/SUMPRODUCT(--(BD1439=$BD$4:$BD$12824),$AC$4:$AC$12824))</f>
        <v>2.1000442409320089E-2</v>
      </c>
      <c r="BF1439" s="458"/>
      <c r="BG1439" s="458"/>
      <c r="BH1439" s="458"/>
      <c r="BI1439" s="458"/>
      <c r="BJ1439" s="458"/>
      <c r="BK1439" s="458"/>
      <c r="BL1439" s="458"/>
      <c r="BM1439" s="458"/>
      <c r="BN1439" s="458"/>
      <c r="BO1439" s="866">
        <f>VLOOKUP(BD1439,$BD$4:$BN$12824,3,0)*BE1439</f>
        <v>472053.19458729931</v>
      </c>
      <c r="BP1439" s="866"/>
      <c r="BQ1439" s="866"/>
      <c r="BR1439" s="866">
        <f>VLOOKUP(BD1439,$BD$4:$BN$12824,6,0)*BE1439</f>
        <v>30391.995813600694</v>
      </c>
      <c r="BS1439" s="866">
        <f>VLOOKUP(BD1439,$BD$4:$BN$12824,7,0)*BE1439</f>
        <v>15229.425378682521</v>
      </c>
      <c r="BT1439" s="866"/>
      <c r="BU1439" s="866">
        <f>VLOOKUP(BD1439,$BD$4:$BN$12824,9,0)*BE1439</f>
        <v>548.51055528903146</v>
      </c>
      <c r="BV1439" s="867"/>
      <c r="BW1439" s="867">
        <f>VLOOKUP(BD1439,$BD$4:$BN$12824,11,0)*BE1439</f>
        <v>41767.546569647733</v>
      </c>
      <c r="BX1439" s="1146">
        <f t="shared" si="275"/>
        <v>559990.67290451936</v>
      </c>
      <c r="BY1439" s="867">
        <f t="shared" si="278"/>
        <v>11119934.960823007</v>
      </c>
      <c r="BZ1439" s="867">
        <f t="shared" si="276"/>
        <v>22239869.921646014</v>
      </c>
      <c r="CA1439" s="867">
        <f>_xlfn.MAXIFS($BY$4:$BY$12824,$S$4:$S$12824,$S1439)</f>
        <v>11119934.960823007</v>
      </c>
      <c r="CB1439" s="1032"/>
      <c r="CF1439" s="946">
        <f t="shared" si="277"/>
        <v>17246446.875</v>
      </c>
    </row>
    <row r="1440" spans="2:84">
      <c r="B1440" s="839" t="s">
        <v>98</v>
      </c>
      <c r="C1440" s="840" t="s">
        <v>99</v>
      </c>
      <c r="D1440" s="839" t="s">
        <v>4784</v>
      </c>
      <c r="E1440" s="839" t="s">
        <v>4784</v>
      </c>
      <c r="F1440" s="841">
        <v>45715</v>
      </c>
      <c r="G1440" s="868" t="s">
        <v>4786</v>
      </c>
      <c r="H1440" s="883" t="s">
        <v>4787</v>
      </c>
      <c r="I1440" s="883"/>
      <c r="J1440" s="841"/>
      <c r="K1440" s="841"/>
      <c r="L1440" s="843" t="s">
        <v>106</v>
      </c>
      <c r="M1440" s="844" t="s">
        <v>107</v>
      </c>
      <c r="N1440" s="841"/>
      <c r="O1440" s="884" t="s">
        <v>108</v>
      </c>
      <c r="P1440" s="842" t="s">
        <v>269</v>
      </c>
      <c r="Q1440" s="843" t="s">
        <v>4894</v>
      </c>
      <c r="R1440" s="845" t="s">
        <v>4895</v>
      </c>
      <c r="S1440" s="1127" t="s">
        <v>4896</v>
      </c>
      <c r="T1440" s="885" t="s">
        <v>4897</v>
      </c>
      <c r="U1440" s="886">
        <v>10</v>
      </c>
      <c r="V1440" s="842" t="s">
        <v>3</v>
      </c>
      <c r="W1440" s="846">
        <v>1050</v>
      </c>
      <c r="X1440" s="847">
        <f t="shared" si="280"/>
        <v>10500</v>
      </c>
      <c r="Y1440" s="848" t="s">
        <v>4792</v>
      </c>
      <c r="Z1440" s="849">
        <v>472.5</v>
      </c>
      <c r="AA1440" s="849"/>
      <c r="AB1440" s="849">
        <f t="shared" si="271"/>
        <v>4725</v>
      </c>
      <c r="AC1440" s="850">
        <f t="shared" si="272"/>
        <v>4725</v>
      </c>
      <c r="AD1440" s="851">
        <f t="shared" si="269"/>
        <v>32000</v>
      </c>
      <c r="AE1440" s="852">
        <v>30660.35</v>
      </c>
      <c r="AF1440" s="853">
        <v>0</v>
      </c>
      <c r="AG1440" s="854">
        <f t="shared" si="273"/>
        <v>0</v>
      </c>
      <c r="AH1440" s="853">
        <v>0.08</v>
      </c>
      <c r="AI1440" s="855">
        <f t="shared" si="274"/>
        <v>11589612.300000001</v>
      </c>
      <c r="AJ1440" s="845" t="s">
        <v>4793</v>
      </c>
      <c r="AK1440" s="857">
        <v>45842</v>
      </c>
      <c r="AL1440" s="843" t="s">
        <v>4794</v>
      </c>
      <c r="AM1440" s="843"/>
      <c r="AN1440" s="844" t="s">
        <v>3951</v>
      </c>
      <c r="AO1440" s="844" t="s">
        <v>141</v>
      </c>
      <c r="AP1440" s="841"/>
      <c r="AQ1440" s="841">
        <v>45876</v>
      </c>
      <c r="AR1440" s="841">
        <v>45920</v>
      </c>
      <c r="AS1440" s="842" t="s">
        <v>4697</v>
      </c>
      <c r="AT1440" s="842" t="s">
        <v>4795</v>
      </c>
      <c r="AU1440" s="842" t="s">
        <v>1311</v>
      </c>
      <c r="AV1440" s="856" t="s">
        <v>4796</v>
      </c>
      <c r="AW1440" s="861">
        <v>45923</v>
      </c>
      <c r="AX1440" s="862">
        <v>45925</v>
      </c>
      <c r="AY1440" s="843" t="s">
        <v>4898</v>
      </c>
      <c r="AZ1440" s="900" t="s">
        <v>4798</v>
      </c>
      <c r="BA1440" s="842" t="s">
        <v>120</v>
      </c>
      <c r="BB1440" s="863" t="s">
        <v>121</v>
      </c>
      <c r="BC1440" s="864">
        <v>45926</v>
      </c>
      <c r="BD1440" s="860" t="s">
        <v>4799</v>
      </c>
      <c r="BE1440" s="865" cm="1">
        <f t="array" ref="BE1440">IF(BD1440="","",AC1440/SUMPRODUCT(--(BD1440=$BD$4:$BD$12824),$AC$4:$AC$12824))</f>
        <v>0.17640371623828874</v>
      </c>
      <c r="BF1440" s="458"/>
      <c r="BG1440" s="458"/>
      <c r="BH1440" s="458"/>
      <c r="BI1440" s="458"/>
      <c r="BJ1440" s="458"/>
      <c r="BK1440" s="458"/>
      <c r="BL1440" s="458"/>
      <c r="BM1440" s="458"/>
      <c r="BN1440" s="458"/>
      <c r="BO1440" s="866">
        <f>VLOOKUP(BD1440,$BD$4:$BN$12824,3,0)*BE1440</f>
        <v>3965246.8345333138</v>
      </c>
      <c r="BP1440" s="866"/>
      <c r="BQ1440" s="866"/>
      <c r="BR1440" s="866">
        <f>VLOOKUP(BD1440,$BD$4:$BN$12824,6,0)*BE1440</f>
        <v>255292.76483424581</v>
      </c>
      <c r="BS1440" s="866">
        <f>VLOOKUP(BD1440,$BD$4:$BN$12824,7,0)*BE1440</f>
        <v>127927.17318093317</v>
      </c>
      <c r="BT1440" s="866"/>
      <c r="BU1440" s="866">
        <f>VLOOKUP(BD1440,$BD$4:$BN$12824,9,0)*BE1440</f>
        <v>4607.4886644278631</v>
      </c>
      <c r="BV1440" s="867"/>
      <c r="BW1440" s="867">
        <f>VLOOKUP(BD1440,$BD$4:$BN$12824,11,0)*BE1440</f>
        <v>350847.39118504093</v>
      </c>
      <c r="BX1440" s="1146">
        <f t="shared" si="275"/>
        <v>4703921.6523979614</v>
      </c>
      <c r="BY1440" s="867">
        <f t="shared" si="278"/>
        <v>14957407.540239796</v>
      </c>
      <c r="BZ1440" s="867">
        <f t="shared" si="276"/>
        <v>149574075.40239796</v>
      </c>
      <c r="CA1440" s="867">
        <f>_xlfn.MAXIFS($BY$4:$BY$12824,$S$4:$S$12824,$S1440)</f>
        <v>14957407.540239796</v>
      </c>
      <c r="CB1440" s="1032"/>
      <c r="CF1440" s="946">
        <f t="shared" si="277"/>
        <v>144870153.75</v>
      </c>
    </row>
    <row r="1441" spans="2:84">
      <c r="B1441" s="839" t="s">
        <v>98</v>
      </c>
      <c r="C1441" s="840" t="s">
        <v>99</v>
      </c>
      <c r="D1441" s="839" t="s">
        <v>4784</v>
      </c>
      <c r="E1441" s="839" t="s">
        <v>4899</v>
      </c>
      <c r="F1441" s="841">
        <v>45796</v>
      </c>
      <c r="G1441" s="868" t="s">
        <v>4786</v>
      </c>
      <c r="H1441" s="842" t="s">
        <v>102</v>
      </c>
      <c r="I1441" s="883" t="s">
        <v>4900</v>
      </c>
      <c r="J1441" s="841">
        <v>45794</v>
      </c>
      <c r="K1441" s="841">
        <v>45960</v>
      </c>
      <c r="L1441" s="843" t="s">
        <v>106</v>
      </c>
      <c r="M1441" s="844" t="s">
        <v>107</v>
      </c>
      <c r="N1441" s="841"/>
      <c r="O1441" s="884" t="s">
        <v>108</v>
      </c>
      <c r="P1441" s="842" t="s">
        <v>3622</v>
      </c>
      <c r="Q1441" s="843" t="s">
        <v>110</v>
      </c>
      <c r="R1441" s="845" t="s">
        <v>4901</v>
      </c>
      <c r="S1441" s="1127" t="s">
        <v>1166</v>
      </c>
      <c r="T1441" s="885" t="s">
        <v>4902</v>
      </c>
      <c r="U1441" s="886">
        <v>2</v>
      </c>
      <c r="V1441" s="842" t="s">
        <v>3</v>
      </c>
      <c r="W1441" s="846">
        <v>1000</v>
      </c>
      <c r="X1441" s="847">
        <f t="shared" si="280"/>
        <v>2000</v>
      </c>
      <c r="Y1441" s="853">
        <v>0.5</v>
      </c>
      <c r="Z1441" s="849">
        <v>500.07499999999999</v>
      </c>
      <c r="AA1441" s="849"/>
      <c r="AB1441" s="849">
        <f t="shared" si="271"/>
        <v>1000.15</v>
      </c>
      <c r="AC1441" s="850">
        <f t="shared" si="272"/>
        <v>1000.15</v>
      </c>
      <c r="AD1441" s="851">
        <f t="shared" si="269"/>
        <v>32000</v>
      </c>
      <c r="AE1441" s="852">
        <v>30660.35</v>
      </c>
      <c r="AF1441" s="853">
        <v>0</v>
      </c>
      <c r="AG1441" s="854">
        <f t="shared" si="273"/>
        <v>0</v>
      </c>
      <c r="AH1441" s="853">
        <v>0.08</v>
      </c>
      <c r="AI1441" s="855">
        <f t="shared" si="274"/>
        <v>2453195.9241999998</v>
      </c>
      <c r="AJ1441" s="845" t="s">
        <v>4793</v>
      </c>
      <c r="AK1441" s="857">
        <v>45842</v>
      </c>
      <c r="AL1441" s="843" t="s">
        <v>4794</v>
      </c>
      <c r="AM1441" s="843"/>
      <c r="AN1441" s="844" t="s">
        <v>3951</v>
      </c>
      <c r="AO1441" s="844" t="s">
        <v>141</v>
      </c>
      <c r="AP1441" s="841"/>
      <c r="AQ1441" s="841">
        <v>45876</v>
      </c>
      <c r="AR1441" s="841">
        <v>45920</v>
      </c>
      <c r="AS1441" s="842" t="s">
        <v>4697</v>
      </c>
      <c r="AT1441" s="842" t="s">
        <v>4795</v>
      </c>
      <c r="AU1441" s="842" t="s">
        <v>1311</v>
      </c>
      <c r="AV1441" s="856" t="s">
        <v>4796</v>
      </c>
      <c r="AW1441" s="861">
        <v>45923</v>
      </c>
      <c r="AX1441" s="862">
        <v>45925</v>
      </c>
      <c r="AY1441" s="843" t="s">
        <v>4903</v>
      </c>
      <c r="AZ1441" s="900" t="s">
        <v>4813</v>
      </c>
      <c r="BA1441" s="842" t="s">
        <v>120</v>
      </c>
      <c r="BB1441" s="863" t="s">
        <v>121</v>
      </c>
      <c r="BC1441" s="864">
        <v>45926</v>
      </c>
      <c r="BD1441" s="860" t="s">
        <v>4799</v>
      </c>
      <c r="BE1441" s="865" cm="1">
        <f t="array" ref="BE1441">IF(BD1441="","",AC1441/SUMPRODUCT(--(BD1441=$BD$4:$BD$12824),$AC$4:$AC$12824))</f>
        <v>3.733971995676709E-2</v>
      </c>
      <c r="BF1441" s="458"/>
      <c r="BG1441" s="458"/>
      <c r="BH1441" s="458"/>
      <c r="BI1441" s="458"/>
      <c r="BJ1441" s="458"/>
      <c r="BK1441" s="458"/>
      <c r="BL1441" s="458"/>
      <c r="BM1441" s="458"/>
      <c r="BN1441" s="458"/>
      <c r="BO1441" s="866">
        <f>VLOOKUP(BD1441,$BD$4:$BN$12824,3,0)*BE1441</f>
        <v>839331.56011819979</v>
      </c>
      <c r="BP1441" s="866"/>
      <c r="BQ1441" s="866"/>
      <c r="BR1441" s="866">
        <f>VLOOKUP(BD1441,$BD$4:$BN$12824,6,0)*BE1441</f>
        <v>54038.319311951527</v>
      </c>
      <c r="BS1441" s="866">
        <f>VLOOKUP(BD1441,$BD$4:$BN$12824,7,0)*BE1441</f>
        <v>27078.595186647686</v>
      </c>
      <c r="BT1441" s="866"/>
      <c r="BU1441" s="866">
        <f>VLOOKUP(BD1441,$BD$4:$BN$12824,9,0)*BE1441</f>
        <v>975.27614555079958</v>
      </c>
      <c r="BV1441" s="867"/>
      <c r="BW1441" s="867">
        <f>VLOOKUP(BD1441,$BD$4:$BN$12824,11,0)*BE1441</f>
        <v>74264.554136236766</v>
      </c>
      <c r="BX1441" s="1146">
        <f t="shared" si="275"/>
        <v>995688.30489858659</v>
      </c>
      <c r="BY1441" s="867">
        <f t="shared" si="278"/>
        <v>15830318.678699292</v>
      </c>
      <c r="BZ1441" s="867">
        <f t="shared" si="276"/>
        <v>31660637.357398584</v>
      </c>
      <c r="CA1441" s="867">
        <f>_xlfn.MAXIFS($BY$4:$BY$12824,$S$4:$S$12824,$S1441)</f>
        <v>15830318.678699292</v>
      </c>
      <c r="CB1441" s="1032"/>
      <c r="CF1441" s="946">
        <f t="shared" si="277"/>
        <v>30664949.052499998</v>
      </c>
    </row>
    <row r="1442" spans="2:84">
      <c r="B1442" s="839" t="s">
        <v>98</v>
      </c>
      <c r="C1442" s="839" t="s">
        <v>951</v>
      </c>
      <c r="D1442" s="839" t="s">
        <v>4904</v>
      </c>
      <c r="E1442" s="839" t="s">
        <v>4904</v>
      </c>
      <c r="F1442" s="841">
        <v>45821</v>
      </c>
      <c r="G1442" s="868" t="s">
        <v>951</v>
      </c>
      <c r="H1442" s="842" t="s">
        <v>134</v>
      </c>
      <c r="I1442" s="883"/>
      <c r="J1442" s="841"/>
      <c r="K1442" s="841"/>
      <c r="L1442" s="843" t="s">
        <v>106</v>
      </c>
      <c r="M1442" s="844" t="s">
        <v>107</v>
      </c>
      <c r="N1442" s="841"/>
      <c r="O1442" s="884" t="s">
        <v>4905</v>
      </c>
      <c r="P1442" s="842" t="s">
        <v>4906</v>
      </c>
      <c r="Q1442" s="843"/>
      <c r="R1442" s="845" t="s">
        <v>4907</v>
      </c>
      <c r="S1442" s="1127" t="s">
        <v>953</v>
      </c>
      <c r="T1442" s="885" t="s">
        <v>3443</v>
      </c>
      <c r="U1442" s="886">
        <v>48</v>
      </c>
      <c r="V1442" s="842" t="s">
        <v>3</v>
      </c>
      <c r="W1442" s="846">
        <v>22.5</v>
      </c>
      <c r="X1442" s="847">
        <f t="shared" si="280"/>
        <v>1080</v>
      </c>
      <c r="Y1442" s="853">
        <v>0.05</v>
      </c>
      <c r="Z1442" s="849">
        <v>21.375</v>
      </c>
      <c r="AA1442" s="849"/>
      <c r="AB1442" s="849">
        <f t="shared" si="271"/>
        <v>1026</v>
      </c>
      <c r="AC1442" s="850">
        <f t="shared" si="272"/>
        <v>1026</v>
      </c>
      <c r="AD1442" s="851">
        <f t="shared" si="269"/>
        <v>32000</v>
      </c>
      <c r="AE1442" s="852">
        <v>30660.35</v>
      </c>
      <c r="AF1442" s="853">
        <v>0.25</v>
      </c>
      <c r="AG1442" s="854">
        <f t="shared" si="273"/>
        <v>8402024.0364134312</v>
      </c>
      <c r="AH1442" s="853">
        <v>0.08</v>
      </c>
      <c r="AI1442" s="855">
        <f t="shared" si="274"/>
        <v>4497461.2690948918</v>
      </c>
      <c r="AJ1442" s="845" t="s">
        <v>4908</v>
      </c>
      <c r="AK1442" s="857">
        <v>45862</v>
      </c>
      <c r="AL1442" s="843" t="s">
        <v>4909</v>
      </c>
      <c r="AM1442" s="843"/>
      <c r="AN1442" s="844" t="s">
        <v>3951</v>
      </c>
      <c r="AO1442" s="844" t="s">
        <v>141</v>
      </c>
      <c r="AP1442" s="841"/>
      <c r="AQ1442" s="841">
        <v>45876</v>
      </c>
      <c r="AR1442" s="841">
        <v>45920</v>
      </c>
      <c r="AS1442" s="841" t="s">
        <v>4697</v>
      </c>
      <c r="AT1442" s="842" t="s">
        <v>1235</v>
      </c>
      <c r="AU1442" s="842" t="s">
        <v>1311</v>
      </c>
      <c r="AV1442" s="856" t="s">
        <v>4910</v>
      </c>
      <c r="AW1442" s="861">
        <v>45923</v>
      </c>
      <c r="AX1442" s="862">
        <v>45924</v>
      </c>
      <c r="AY1442" s="843" t="s">
        <v>4911</v>
      </c>
      <c r="AZ1442" s="842" t="s">
        <v>4324</v>
      </c>
      <c r="BA1442" s="842" t="s">
        <v>120</v>
      </c>
      <c r="BB1442" s="863" t="s">
        <v>121</v>
      </c>
      <c r="BC1442" s="864">
        <v>45926</v>
      </c>
      <c r="BD1442" s="860" t="s">
        <v>4912</v>
      </c>
      <c r="BE1442" s="865" cm="1">
        <f t="array" ref="BE1442">IF(BD1442="","",AC1442/SUMPRODUCT(--(BD1442=$BD$4:$BD$12824),$AC$4:$AC$12824))</f>
        <v>0.13146362839614373</v>
      </c>
      <c r="BF1442" s="458" cm="1">
        <f t="array" ref="BF1442">SUM(_xlfn._xlws.FILTER( INDEX(Cost!$B$3:$BK$77,MATCH(LDL!$BD1442, Cost!$F$3:$F$77, 0),0),Cost!$B$3:$BK$3 = BF$3))</f>
        <v>16131450</v>
      </c>
      <c r="BG1442" s="458"/>
      <c r="BH1442" s="458"/>
      <c r="BI1442" s="458" cm="1">
        <f t="array" ref="BI1442">SUM(_xlfn._xlws.FILTER( INDEX(Cost!$B$3:$BK$77,MATCH(LDL!$BD1442, Cost!$F$3:$F$77, 0),0),Cost!$B$3:$BK$3 = BI$3))/1.08</f>
        <v>396675</v>
      </c>
      <c r="BJ1442" s="458" cm="1">
        <f t="array" ref="BJ1442">SUM(_xlfn._xlws.FILTER( INDEX(Cost!$B$3:$BK$77,MATCH(LDL!$BD1442, Cost!$F$3:$F$77, 0),0),Cost!$B$3:$BK$3 = BJ$3))</f>
        <v>227272.72727272726</v>
      </c>
      <c r="BK1442" s="458"/>
      <c r="BL1442" s="458" cm="1">
        <f t="array" ref="BL1442">SUM(_xlfn._xlws.FILTER( INDEX(Cost!$B$3:$BK$77,MATCH(LDL!$BD1442, Cost!$F$3:$F$77, 0),0),Cost!$B$3:$BK$3 = BL$3))</f>
        <v>22625</v>
      </c>
      <c r="BM1442" s="458"/>
      <c r="BN1442" s="458" cm="1">
        <f t="array" ref="BN1442">SUM(_xlfn._xlws.FILTER( INDEX(Cost!$B$3:$BK$77,MATCH(LDL!$BD1442, Cost!$F$3:$F$77, 0),0),Cost!$B$3:$BK$3 = BN$3))/1.08</f>
        <v>0</v>
      </c>
      <c r="BO1442" s="866">
        <f>VLOOKUP(BD1442,$BD$4:$BN$12824,3,0)*BE1442</f>
        <v>2120698.948290973</v>
      </c>
      <c r="BP1442" s="866"/>
      <c r="BQ1442" s="866"/>
      <c r="BR1442" s="866">
        <f>VLOOKUP(BD1442,$BD$4:$BN$12824,6,0)*BE1442</f>
        <v>52148.334794040311</v>
      </c>
      <c r="BS1442" s="866">
        <f>VLOOKUP(BD1442,$BD$4:$BN$12824,7,0)*BE1442</f>
        <v>29878.097362759938</v>
      </c>
      <c r="BT1442" s="866"/>
      <c r="BU1442" s="866">
        <f>VLOOKUP(BD1442,$BD$4:$BN$12824,9,0)*BE1442</f>
        <v>2974.3645924627517</v>
      </c>
      <c r="BV1442" s="867"/>
      <c r="BW1442" s="867">
        <f>VLOOKUP(BD1442,$BD$4:$BN$12824,11,0)*BE1442</f>
        <v>0</v>
      </c>
      <c r="BX1442" s="1146">
        <f t="shared" si="275"/>
        <v>2205699.745040236</v>
      </c>
      <c r="BY1442" s="867">
        <f t="shared" si="278"/>
        <v>876359.22669695131</v>
      </c>
      <c r="BZ1442" s="867">
        <f t="shared" si="276"/>
        <v>42065242.881453663</v>
      </c>
      <c r="CA1442" s="867">
        <f>_xlfn.MAXIFS($BY$4:$BY$12824,$S$4:$S$12824,$S1442)</f>
        <v>876359.22669695131</v>
      </c>
      <c r="CB1442" s="1032"/>
      <c r="CF1442" s="946">
        <f t="shared" si="277"/>
        <v>31457519.099999998</v>
      </c>
    </row>
    <row r="1443" spans="2:84">
      <c r="B1443" s="839" t="s">
        <v>98</v>
      </c>
      <c r="C1443" s="839" t="s">
        <v>951</v>
      </c>
      <c r="D1443" s="839" t="s">
        <v>4904</v>
      </c>
      <c r="E1443" s="839" t="s">
        <v>4904</v>
      </c>
      <c r="F1443" s="841">
        <v>45821</v>
      </c>
      <c r="G1443" s="868" t="s">
        <v>951</v>
      </c>
      <c r="H1443" s="842" t="s">
        <v>134</v>
      </c>
      <c r="I1443" s="883"/>
      <c r="J1443" s="841"/>
      <c r="K1443" s="841"/>
      <c r="L1443" s="843" t="s">
        <v>106</v>
      </c>
      <c r="M1443" s="844" t="s">
        <v>107</v>
      </c>
      <c r="N1443" s="841"/>
      <c r="O1443" s="884" t="s">
        <v>4905</v>
      </c>
      <c r="P1443" s="842" t="s">
        <v>4906</v>
      </c>
      <c r="Q1443" s="843"/>
      <c r="R1443" s="845" t="s">
        <v>4913</v>
      </c>
      <c r="S1443" s="1127" t="s">
        <v>961</v>
      </c>
      <c r="T1443" s="885" t="s">
        <v>3438</v>
      </c>
      <c r="U1443" s="886">
        <v>48</v>
      </c>
      <c r="V1443" s="842" t="s">
        <v>3</v>
      </c>
      <c r="W1443" s="846">
        <v>64.2</v>
      </c>
      <c r="X1443" s="847">
        <f t="shared" si="280"/>
        <v>3081.6000000000004</v>
      </c>
      <c r="Y1443" s="853">
        <v>0.05</v>
      </c>
      <c r="Z1443" s="849">
        <v>60.99</v>
      </c>
      <c r="AA1443" s="849"/>
      <c r="AB1443" s="849">
        <f t="shared" si="271"/>
        <v>2927.52</v>
      </c>
      <c r="AC1443" s="850">
        <f t="shared" si="272"/>
        <v>2927.52</v>
      </c>
      <c r="AD1443" s="851">
        <f t="shared" si="269"/>
        <v>32000</v>
      </c>
      <c r="AE1443" s="852">
        <v>30660.35</v>
      </c>
      <c r="AF1443" s="853">
        <v>0.25</v>
      </c>
      <c r="AG1443" s="854">
        <f t="shared" si="273"/>
        <v>23973775.25056633</v>
      </c>
      <c r="AH1443" s="853">
        <v>0.08</v>
      </c>
      <c r="AI1443" s="855">
        <f t="shared" si="274"/>
        <v>9098605.0466053076</v>
      </c>
      <c r="AJ1443" s="845" t="s">
        <v>4908</v>
      </c>
      <c r="AK1443" s="857">
        <v>45862</v>
      </c>
      <c r="AL1443" s="843" t="s">
        <v>4909</v>
      </c>
      <c r="AM1443" s="843"/>
      <c r="AN1443" s="844" t="s">
        <v>3951</v>
      </c>
      <c r="AO1443" s="844" t="s">
        <v>141</v>
      </c>
      <c r="AP1443" s="841"/>
      <c r="AQ1443" s="841">
        <v>45876</v>
      </c>
      <c r="AR1443" s="841">
        <v>45920</v>
      </c>
      <c r="AS1443" s="841" t="s">
        <v>4697</v>
      </c>
      <c r="AT1443" s="842" t="s">
        <v>1235</v>
      </c>
      <c r="AU1443" s="842" t="s">
        <v>1311</v>
      </c>
      <c r="AV1443" s="856" t="s">
        <v>4910</v>
      </c>
      <c r="AW1443" s="861">
        <v>45923</v>
      </c>
      <c r="AX1443" s="862">
        <v>45924</v>
      </c>
      <c r="AY1443" s="843" t="s">
        <v>4914</v>
      </c>
      <c r="AZ1443" s="842" t="s">
        <v>4324</v>
      </c>
      <c r="BA1443" s="842" t="s">
        <v>120</v>
      </c>
      <c r="BB1443" s="863" t="s">
        <v>121</v>
      </c>
      <c r="BC1443" s="864">
        <v>45926</v>
      </c>
      <c r="BD1443" s="860" t="s">
        <v>4912</v>
      </c>
      <c r="BE1443" s="865" cm="1">
        <f t="array" ref="BE1443">IF(BD1443="","",AC1443/SUMPRODUCT(--(BD1443=$BD$4:$BD$12824),$AC$4:$AC$12824))</f>
        <v>0.37510955302366344</v>
      </c>
      <c r="BF1443" s="458"/>
      <c r="BG1443" s="458"/>
      <c r="BH1443" s="458"/>
      <c r="BI1443" s="458"/>
      <c r="BJ1443" s="458"/>
      <c r="BK1443" s="458"/>
      <c r="BL1443" s="458"/>
      <c r="BM1443" s="458"/>
      <c r="BN1443" s="458"/>
      <c r="BO1443" s="866">
        <f>VLOOKUP(BD1443,$BD$4:$BN$12824,3,0)*BE1443</f>
        <v>6051060.9991235761</v>
      </c>
      <c r="BP1443" s="866"/>
      <c r="BQ1443" s="866"/>
      <c r="BR1443" s="866">
        <f>VLOOKUP(BD1443,$BD$4:$BN$12824,6,0)*BE1443</f>
        <v>148796.58194566169</v>
      </c>
      <c r="BS1443" s="866">
        <f>VLOOKUP(BD1443,$BD$4:$BN$12824,7,0)*BE1443</f>
        <v>85252.171141741695</v>
      </c>
      <c r="BT1443" s="866"/>
      <c r="BU1443" s="866">
        <f>VLOOKUP(BD1443,$BD$4:$BN$12824,9,0)*BE1443</f>
        <v>8486.8536371603859</v>
      </c>
      <c r="BV1443" s="867"/>
      <c r="BW1443" s="867">
        <f>VLOOKUP(BD1443,$BD$4:$BN$12824,11,0)*BE1443</f>
        <v>0</v>
      </c>
      <c r="BX1443" s="1146">
        <f t="shared" si="275"/>
        <v>6293596.6058481401</v>
      </c>
      <c r="BY1443" s="867">
        <f t="shared" si="278"/>
        <v>2500544.9935086346</v>
      </c>
      <c r="BZ1443" s="867">
        <f t="shared" si="276"/>
        <v>120026159.68841445</v>
      </c>
      <c r="CA1443" s="867">
        <f>_xlfn.MAXIFS($BY$4:$BY$12824,$S$4:$S$12824,$S1443)</f>
        <v>2500544.9935086346</v>
      </c>
      <c r="CB1443" s="1032"/>
      <c r="CF1443" s="946">
        <f t="shared" si="277"/>
        <v>89758787.832000002</v>
      </c>
    </row>
    <row r="1444" spans="2:84">
      <c r="B1444" s="839" t="s">
        <v>98</v>
      </c>
      <c r="C1444" s="839" t="s">
        <v>951</v>
      </c>
      <c r="D1444" s="839" t="s">
        <v>4904</v>
      </c>
      <c r="E1444" s="839" t="s">
        <v>4904</v>
      </c>
      <c r="F1444" s="841">
        <v>45821</v>
      </c>
      <c r="G1444" s="868" t="s">
        <v>951</v>
      </c>
      <c r="H1444" s="842" t="s">
        <v>134</v>
      </c>
      <c r="I1444" s="883"/>
      <c r="J1444" s="841"/>
      <c r="K1444" s="841"/>
      <c r="L1444" s="843" t="s">
        <v>106</v>
      </c>
      <c r="M1444" s="844" t="s">
        <v>107</v>
      </c>
      <c r="N1444" s="841"/>
      <c r="O1444" s="884" t="s">
        <v>4905</v>
      </c>
      <c r="P1444" s="842" t="s">
        <v>4906</v>
      </c>
      <c r="Q1444" s="843"/>
      <c r="R1444" s="845" t="s">
        <v>4915</v>
      </c>
      <c r="S1444" s="1127" t="s">
        <v>4916</v>
      </c>
      <c r="T1444" s="885" t="s">
        <v>4917</v>
      </c>
      <c r="U1444" s="886">
        <v>24</v>
      </c>
      <c r="V1444" s="842" t="s">
        <v>3</v>
      </c>
      <c r="W1444" s="846">
        <v>64.2</v>
      </c>
      <c r="X1444" s="847">
        <f t="shared" si="280"/>
        <v>1540.8000000000002</v>
      </c>
      <c r="Y1444" s="853">
        <v>0.05</v>
      </c>
      <c r="Z1444" s="849">
        <v>60.99</v>
      </c>
      <c r="AA1444" s="849"/>
      <c r="AB1444" s="849">
        <f t="shared" si="271"/>
        <v>1463.76</v>
      </c>
      <c r="AC1444" s="850">
        <f t="shared" si="272"/>
        <v>1463.76</v>
      </c>
      <c r="AD1444" s="851">
        <f t="shared" si="269"/>
        <v>32000</v>
      </c>
      <c r="AE1444" s="852">
        <v>30660.35</v>
      </c>
      <c r="AF1444" s="853">
        <v>0.25</v>
      </c>
      <c r="AG1444" s="854">
        <f t="shared" si="273"/>
        <v>11986887.625283165</v>
      </c>
      <c r="AH1444" s="853">
        <v>0.08</v>
      </c>
      <c r="AI1444" s="855">
        <f t="shared" si="274"/>
        <v>4549302.5233026538</v>
      </c>
      <c r="AJ1444" s="845" t="s">
        <v>4908</v>
      </c>
      <c r="AK1444" s="857">
        <v>45862</v>
      </c>
      <c r="AL1444" s="843" t="s">
        <v>4909</v>
      </c>
      <c r="AM1444" s="843"/>
      <c r="AN1444" s="844" t="s">
        <v>3951</v>
      </c>
      <c r="AO1444" s="844" t="s">
        <v>141</v>
      </c>
      <c r="AP1444" s="841"/>
      <c r="AQ1444" s="841">
        <v>45876</v>
      </c>
      <c r="AR1444" s="841">
        <v>45920</v>
      </c>
      <c r="AS1444" s="841" t="s">
        <v>4697</v>
      </c>
      <c r="AT1444" s="842" t="s">
        <v>1235</v>
      </c>
      <c r="AU1444" s="842" t="s">
        <v>1311</v>
      </c>
      <c r="AV1444" s="856" t="s">
        <v>4910</v>
      </c>
      <c r="AW1444" s="861">
        <v>45923</v>
      </c>
      <c r="AX1444" s="862">
        <v>45924</v>
      </c>
      <c r="AY1444" s="843" t="s">
        <v>4918</v>
      </c>
      <c r="AZ1444" s="842" t="s">
        <v>4324</v>
      </c>
      <c r="BA1444" s="842" t="s">
        <v>120</v>
      </c>
      <c r="BB1444" s="863" t="s">
        <v>121</v>
      </c>
      <c r="BC1444" s="864">
        <v>45926</v>
      </c>
      <c r="BD1444" s="860" t="s">
        <v>4912</v>
      </c>
      <c r="BE1444" s="865" cm="1">
        <f t="array" ref="BE1444">IF(BD1444="","",AC1444/SUMPRODUCT(--(BD1444=$BD$4:$BD$12824),$AC$4:$AC$12824))</f>
        <v>0.18755477651183172</v>
      </c>
      <c r="BF1444" s="458"/>
      <c r="BG1444" s="458"/>
      <c r="BH1444" s="458"/>
      <c r="BI1444" s="458"/>
      <c r="BJ1444" s="458"/>
      <c r="BK1444" s="458"/>
      <c r="BL1444" s="458"/>
      <c r="BM1444" s="458"/>
      <c r="BN1444" s="458"/>
      <c r="BO1444" s="866">
        <f>VLOOKUP(BD1444,$BD$4:$BN$12824,3,0)*BE1444</f>
        <v>3025530.499561788</v>
      </c>
      <c r="BP1444" s="866"/>
      <c r="BQ1444" s="866"/>
      <c r="BR1444" s="866">
        <f>VLOOKUP(BD1444,$BD$4:$BN$12824,6,0)*BE1444</f>
        <v>74398.290972830844</v>
      </c>
      <c r="BS1444" s="866">
        <f>VLOOKUP(BD1444,$BD$4:$BN$12824,7,0)*BE1444</f>
        <v>42626.085570870848</v>
      </c>
      <c r="BT1444" s="866"/>
      <c r="BU1444" s="866">
        <f>VLOOKUP(BD1444,$BD$4:$BN$12824,9,0)*BE1444</f>
        <v>4243.426818580193</v>
      </c>
      <c r="BV1444" s="867"/>
      <c r="BW1444" s="867">
        <f>VLOOKUP(BD1444,$BD$4:$BN$12824,11,0)*BE1444</f>
        <v>0</v>
      </c>
      <c r="BX1444" s="1146">
        <f t="shared" si="275"/>
        <v>3146798.30292407</v>
      </c>
      <c r="BY1444" s="867">
        <f t="shared" si="278"/>
        <v>2500544.9935086346</v>
      </c>
      <c r="BZ1444" s="867">
        <f t="shared" si="276"/>
        <v>60013079.844207227</v>
      </c>
      <c r="CA1444" s="867">
        <f>_xlfn.MAXIFS($BY$4:$BY$12824,$S$4:$S$12824,$S1444)</f>
        <v>2500544.9935086346</v>
      </c>
      <c r="CB1444" s="1032"/>
      <c r="CF1444" s="946">
        <f t="shared" si="277"/>
        <v>44879393.916000001</v>
      </c>
    </row>
    <row r="1445" spans="2:84">
      <c r="B1445" s="839" t="s">
        <v>98</v>
      </c>
      <c r="C1445" s="839" t="s">
        <v>951</v>
      </c>
      <c r="D1445" s="839" t="s">
        <v>4904</v>
      </c>
      <c r="E1445" s="839" t="s">
        <v>4904</v>
      </c>
      <c r="F1445" s="841">
        <v>45821</v>
      </c>
      <c r="G1445" s="868" t="s">
        <v>951</v>
      </c>
      <c r="H1445" s="842" t="s">
        <v>134</v>
      </c>
      <c r="I1445" s="883"/>
      <c r="J1445" s="841"/>
      <c r="K1445" s="841"/>
      <c r="L1445" s="843" t="s">
        <v>106</v>
      </c>
      <c r="M1445" s="844" t="s">
        <v>107</v>
      </c>
      <c r="N1445" s="841"/>
      <c r="O1445" s="884" t="s">
        <v>4905</v>
      </c>
      <c r="P1445" s="842" t="s">
        <v>4906</v>
      </c>
      <c r="Q1445" s="843"/>
      <c r="R1445" s="845" t="s">
        <v>4919</v>
      </c>
      <c r="S1445" s="1127" t="s">
        <v>965</v>
      </c>
      <c r="T1445" s="885" t="s">
        <v>3444</v>
      </c>
      <c r="U1445" s="886">
        <v>16</v>
      </c>
      <c r="V1445" s="842" t="s">
        <v>3</v>
      </c>
      <c r="W1445" s="846">
        <v>33.299999999999997</v>
      </c>
      <c r="X1445" s="847">
        <f t="shared" si="280"/>
        <v>532.79999999999995</v>
      </c>
      <c r="Y1445" s="853">
        <v>0.05</v>
      </c>
      <c r="Z1445" s="849">
        <v>31.635000000000002</v>
      </c>
      <c r="AA1445" s="849"/>
      <c r="AB1445" s="849">
        <f t="shared" si="271"/>
        <v>506.16</v>
      </c>
      <c r="AC1445" s="850">
        <f t="shared" si="272"/>
        <v>506.16</v>
      </c>
      <c r="AD1445" s="851">
        <f t="shared" si="269"/>
        <v>32000</v>
      </c>
      <c r="AE1445" s="852">
        <v>30660.35</v>
      </c>
      <c r="AF1445" s="853">
        <v>0.25</v>
      </c>
      <c r="AG1445" s="854">
        <f t="shared" si="273"/>
        <v>4144998.5246306267</v>
      </c>
      <c r="AH1445" s="853">
        <v>0.08</v>
      </c>
      <c r="AI1445" s="855">
        <f t="shared" si="274"/>
        <v>1573123.3024504501</v>
      </c>
      <c r="AJ1445" s="845" t="s">
        <v>4908</v>
      </c>
      <c r="AK1445" s="857">
        <v>45862</v>
      </c>
      <c r="AL1445" s="843" t="s">
        <v>4909</v>
      </c>
      <c r="AM1445" s="843"/>
      <c r="AN1445" s="844" t="s">
        <v>3951</v>
      </c>
      <c r="AO1445" s="844" t="s">
        <v>141</v>
      </c>
      <c r="AP1445" s="841"/>
      <c r="AQ1445" s="841">
        <v>45876</v>
      </c>
      <c r="AR1445" s="841">
        <v>45920</v>
      </c>
      <c r="AS1445" s="841" t="s">
        <v>4697</v>
      </c>
      <c r="AT1445" s="842" t="s">
        <v>1235</v>
      </c>
      <c r="AU1445" s="842" t="s">
        <v>1311</v>
      </c>
      <c r="AV1445" s="856" t="s">
        <v>4910</v>
      </c>
      <c r="AW1445" s="861">
        <v>45923</v>
      </c>
      <c r="AX1445" s="862">
        <v>45924</v>
      </c>
      <c r="AY1445" s="843" t="s">
        <v>4920</v>
      </c>
      <c r="AZ1445" s="842" t="s">
        <v>4324</v>
      </c>
      <c r="BA1445" s="842" t="s">
        <v>120</v>
      </c>
      <c r="BB1445" s="863" t="s">
        <v>121</v>
      </c>
      <c r="BC1445" s="864">
        <v>45926</v>
      </c>
      <c r="BD1445" s="860" t="s">
        <v>4912</v>
      </c>
      <c r="BE1445" s="865" cm="1">
        <f t="array" ref="BE1445">IF(BD1445="","",AC1445/SUMPRODUCT(--(BD1445=$BD$4:$BD$12824),$AC$4:$AC$12824))</f>
        <v>6.4855390008764252E-2</v>
      </c>
      <c r="BF1445" s="458"/>
      <c r="BG1445" s="458"/>
      <c r="BH1445" s="458"/>
      <c r="BI1445" s="458"/>
      <c r="BJ1445" s="458"/>
      <c r="BK1445" s="458"/>
      <c r="BL1445" s="458"/>
      <c r="BM1445" s="458"/>
      <c r="BN1445" s="458"/>
      <c r="BO1445" s="866">
        <f>VLOOKUP(BD1445,$BD$4:$BN$12824,3,0)*BE1445</f>
        <v>1046211.4811568802</v>
      </c>
      <c r="BP1445" s="866"/>
      <c r="BQ1445" s="866"/>
      <c r="BR1445" s="866">
        <f>VLOOKUP(BD1445,$BD$4:$BN$12824,6,0)*BE1445</f>
        <v>25726.511831726559</v>
      </c>
      <c r="BS1445" s="866">
        <f>VLOOKUP(BD1445,$BD$4:$BN$12824,7,0)*BE1445</f>
        <v>14739.861365628238</v>
      </c>
      <c r="BT1445" s="866"/>
      <c r="BU1445" s="866">
        <f>VLOOKUP(BD1445,$BD$4:$BN$12824,9,0)*BE1445</f>
        <v>1467.3531989482913</v>
      </c>
      <c r="BV1445" s="867"/>
      <c r="BW1445" s="867">
        <f>VLOOKUP(BD1445,$BD$4:$BN$12824,11,0)*BE1445</f>
        <v>0</v>
      </c>
      <c r="BX1445" s="1146">
        <f t="shared" si="275"/>
        <v>1088145.2075531832</v>
      </c>
      <c r="BY1445" s="867">
        <f t="shared" si="278"/>
        <v>1297011.655511488</v>
      </c>
      <c r="BZ1445" s="867">
        <f t="shared" si="276"/>
        <v>20752186.488183808</v>
      </c>
      <c r="CA1445" s="867">
        <f>_xlfn.MAXIFS($BY$4:$BY$12824,$S$4:$S$12824,$S1445)</f>
        <v>1301349.8403092097</v>
      </c>
      <c r="CB1445" s="1032"/>
      <c r="CF1445" s="946">
        <f t="shared" si="277"/>
        <v>15519042.755999999</v>
      </c>
    </row>
    <row r="1446" spans="2:84">
      <c r="B1446" s="839" t="s">
        <v>98</v>
      </c>
      <c r="C1446" s="839" t="s">
        <v>951</v>
      </c>
      <c r="D1446" s="839" t="s">
        <v>4904</v>
      </c>
      <c r="E1446" s="839" t="s">
        <v>4904</v>
      </c>
      <c r="F1446" s="841">
        <v>45821</v>
      </c>
      <c r="G1446" s="868" t="s">
        <v>951</v>
      </c>
      <c r="H1446" s="842" t="s">
        <v>134</v>
      </c>
      <c r="I1446" s="883"/>
      <c r="J1446" s="841"/>
      <c r="K1446" s="841"/>
      <c r="L1446" s="843" t="s">
        <v>106</v>
      </c>
      <c r="M1446" s="844" t="s">
        <v>107</v>
      </c>
      <c r="N1446" s="841"/>
      <c r="O1446" s="884" t="s">
        <v>4905</v>
      </c>
      <c r="P1446" s="842" t="s">
        <v>4906</v>
      </c>
      <c r="Q1446" s="843"/>
      <c r="R1446" s="845" t="s">
        <v>4921</v>
      </c>
      <c r="S1446" s="1127" t="s">
        <v>967</v>
      </c>
      <c r="T1446" s="885" t="s">
        <v>3445</v>
      </c>
      <c r="U1446" s="886">
        <v>12</v>
      </c>
      <c r="V1446" s="842" t="s">
        <v>3</v>
      </c>
      <c r="W1446" s="846">
        <v>12.5</v>
      </c>
      <c r="X1446" s="847">
        <f t="shared" si="280"/>
        <v>150</v>
      </c>
      <c r="Y1446" s="853">
        <v>0.05</v>
      </c>
      <c r="Z1446" s="849">
        <v>11.875</v>
      </c>
      <c r="AA1446" s="849"/>
      <c r="AB1446" s="849">
        <f t="shared" si="271"/>
        <v>142.5</v>
      </c>
      <c r="AC1446" s="850">
        <f t="shared" si="272"/>
        <v>142.5</v>
      </c>
      <c r="AD1446" s="851">
        <f t="shared" si="269"/>
        <v>32000</v>
      </c>
      <c r="AE1446" s="852">
        <v>30660.35</v>
      </c>
      <c r="AF1446" s="853">
        <v>0.25</v>
      </c>
      <c r="AG1446" s="854">
        <f t="shared" si="273"/>
        <v>1166947.782835199</v>
      </c>
      <c r="AH1446" s="853">
        <v>0.08</v>
      </c>
      <c r="AI1446" s="855">
        <f t="shared" si="274"/>
        <v>442883.81262681587</v>
      </c>
      <c r="AJ1446" s="845" t="s">
        <v>4908</v>
      </c>
      <c r="AK1446" s="857">
        <v>45862</v>
      </c>
      <c r="AL1446" s="843" t="s">
        <v>4909</v>
      </c>
      <c r="AM1446" s="843"/>
      <c r="AN1446" s="844" t="s">
        <v>3951</v>
      </c>
      <c r="AO1446" s="844" t="s">
        <v>141</v>
      </c>
      <c r="AP1446" s="841"/>
      <c r="AQ1446" s="841">
        <v>45876</v>
      </c>
      <c r="AR1446" s="841">
        <v>45920</v>
      </c>
      <c r="AS1446" s="841" t="s">
        <v>4697</v>
      </c>
      <c r="AT1446" s="842" t="s">
        <v>1235</v>
      </c>
      <c r="AU1446" s="842" t="s">
        <v>1311</v>
      </c>
      <c r="AV1446" s="856" t="s">
        <v>4910</v>
      </c>
      <c r="AW1446" s="861">
        <v>45923</v>
      </c>
      <c r="AX1446" s="862">
        <v>45924</v>
      </c>
      <c r="AY1446" s="843" t="s">
        <v>4922</v>
      </c>
      <c r="AZ1446" s="842" t="s">
        <v>4324</v>
      </c>
      <c r="BA1446" s="842" t="s">
        <v>120</v>
      </c>
      <c r="BB1446" s="863" t="s">
        <v>121</v>
      </c>
      <c r="BC1446" s="864">
        <v>45926</v>
      </c>
      <c r="BD1446" s="860" t="s">
        <v>4912</v>
      </c>
      <c r="BE1446" s="865" cm="1">
        <f t="array" ref="BE1446">IF(BD1446="","",AC1446/SUMPRODUCT(--(BD1446=$BD$4:$BD$12824),$AC$4:$AC$12824))</f>
        <v>1.8258837277242188E-2</v>
      </c>
      <c r="BF1446" s="458"/>
      <c r="BG1446" s="458"/>
      <c r="BH1446" s="458"/>
      <c r="BI1446" s="458"/>
      <c r="BJ1446" s="458"/>
      <c r="BK1446" s="458"/>
      <c r="BL1446" s="458"/>
      <c r="BM1446" s="458"/>
      <c r="BN1446" s="458"/>
      <c r="BO1446" s="866">
        <f>VLOOKUP(BD1446,$BD$4:$BN$12824,3,0)*BE1446</f>
        <v>294541.52059596847</v>
      </c>
      <c r="BP1446" s="866"/>
      <c r="BQ1446" s="866"/>
      <c r="BR1446" s="866">
        <f>VLOOKUP(BD1446,$BD$4:$BN$12824,6,0)*BE1446</f>
        <v>7242.8242769500448</v>
      </c>
      <c r="BS1446" s="866">
        <f>VLOOKUP(BD1446,$BD$4:$BN$12824,7,0)*BE1446</f>
        <v>4149.7357448277698</v>
      </c>
      <c r="BT1446" s="866"/>
      <c r="BU1446" s="866">
        <f>VLOOKUP(BD1446,$BD$4:$BN$12824,9,0)*BE1446</f>
        <v>413.1061933976045</v>
      </c>
      <c r="BV1446" s="867"/>
      <c r="BW1446" s="867">
        <f>VLOOKUP(BD1446,$BD$4:$BN$12824,11,0)*BE1446</f>
        <v>0</v>
      </c>
      <c r="BX1446" s="1146">
        <f t="shared" si="275"/>
        <v>306347.18681114388</v>
      </c>
      <c r="BY1446" s="867">
        <f t="shared" si="278"/>
        <v>486866.23705386184</v>
      </c>
      <c r="BZ1446" s="867">
        <f t="shared" si="276"/>
        <v>5842394.8446463421</v>
      </c>
      <c r="CA1446" s="867">
        <f>_xlfn.MAXIFS($BY$4:$BY$12824,$S$4:$S$12824,$S1446)</f>
        <v>486866.23705386184</v>
      </c>
      <c r="CB1446" s="1032"/>
      <c r="CF1446" s="946">
        <f t="shared" si="277"/>
        <v>4369099.875</v>
      </c>
    </row>
    <row r="1447" spans="2:84">
      <c r="B1447" s="839" t="s">
        <v>98</v>
      </c>
      <c r="C1447" s="839" t="s">
        <v>951</v>
      </c>
      <c r="D1447" s="839" t="s">
        <v>4904</v>
      </c>
      <c r="E1447" s="839" t="s">
        <v>4904</v>
      </c>
      <c r="F1447" s="841">
        <v>45821</v>
      </c>
      <c r="G1447" s="868" t="s">
        <v>951</v>
      </c>
      <c r="H1447" s="842" t="s">
        <v>134</v>
      </c>
      <c r="I1447" s="883"/>
      <c r="J1447" s="841"/>
      <c r="K1447" s="841"/>
      <c r="L1447" s="843" t="s">
        <v>106</v>
      </c>
      <c r="M1447" s="844" t="s">
        <v>107</v>
      </c>
      <c r="N1447" s="841"/>
      <c r="O1447" s="884" t="s">
        <v>4905</v>
      </c>
      <c r="P1447" s="842" t="s">
        <v>4906</v>
      </c>
      <c r="Q1447" s="843"/>
      <c r="R1447" s="845" t="s">
        <v>4923</v>
      </c>
      <c r="S1447" s="1127" t="s">
        <v>969</v>
      </c>
      <c r="T1447" s="885" t="s">
        <v>3447</v>
      </c>
      <c r="U1447" s="886">
        <v>12</v>
      </c>
      <c r="V1447" s="842" t="s">
        <v>3</v>
      </c>
      <c r="W1447" s="846">
        <v>64.2</v>
      </c>
      <c r="X1447" s="847">
        <f t="shared" si="280"/>
        <v>770.40000000000009</v>
      </c>
      <c r="Y1447" s="853">
        <v>0.05</v>
      </c>
      <c r="Z1447" s="849">
        <v>60.99</v>
      </c>
      <c r="AA1447" s="849"/>
      <c r="AB1447" s="849">
        <f t="shared" si="271"/>
        <v>731.88</v>
      </c>
      <c r="AC1447" s="850">
        <f t="shared" si="272"/>
        <v>731.88</v>
      </c>
      <c r="AD1447" s="851">
        <f t="shared" si="269"/>
        <v>32000</v>
      </c>
      <c r="AE1447" s="852">
        <v>30660.35</v>
      </c>
      <c r="AF1447" s="853">
        <v>0.25</v>
      </c>
      <c r="AG1447" s="854">
        <f t="shared" si="273"/>
        <v>5993443.8126415825</v>
      </c>
      <c r="AH1447" s="853">
        <v>0.08</v>
      </c>
      <c r="AI1447" s="855">
        <f t="shared" si="274"/>
        <v>2274651.2616513269</v>
      </c>
      <c r="AJ1447" s="845" t="s">
        <v>4908</v>
      </c>
      <c r="AK1447" s="857">
        <v>45862</v>
      </c>
      <c r="AL1447" s="843" t="s">
        <v>4909</v>
      </c>
      <c r="AM1447" s="843"/>
      <c r="AN1447" s="844" t="s">
        <v>3951</v>
      </c>
      <c r="AO1447" s="844" t="s">
        <v>141</v>
      </c>
      <c r="AP1447" s="841"/>
      <c r="AQ1447" s="841">
        <v>45876</v>
      </c>
      <c r="AR1447" s="841">
        <v>45920</v>
      </c>
      <c r="AS1447" s="841" t="s">
        <v>4697</v>
      </c>
      <c r="AT1447" s="842" t="s">
        <v>1235</v>
      </c>
      <c r="AU1447" s="842" t="s">
        <v>1311</v>
      </c>
      <c r="AV1447" s="856" t="s">
        <v>4910</v>
      </c>
      <c r="AW1447" s="861">
        <v>45923</v>
      </c>
      <c r="AX1447" s="862">
        <v>45924</v>
      </c>
      <c r="AY1447" s="843" t="s">
        <v>4924</v>
      </c>
      <c r="AZ1447" s="842" t="s">
        <v>4324</v>
      </c>
      <c r="BA1447" s="842" t="s">
        <v>120</v>
      </c>
      <c r="BB1447" s="863" t="s">
        <v>121</v>
      </c>
      <c r="BC1447" s="864">
        <v>45926</v>
      </c>
      <c r="BD1447" s="860" t="s">
        <v>4912</v>
      </c>
      <c r="BE1447" s="865" cm="1">
        <f t="array" ref="BE1447">IF(BD1447="","",AC1447/SUMPRODUCT(--(BD1447=$BD$4:$BD$12824),$AC$4:$AC$12824))</f>
        <v>9.3777388255915861E-2</v>
      </c>
      <c r="BF1447" s="458"/>
      <c r="BG1447" s="458"/>
      <c r="BH1447" s="458"/>
      <c r="BI1447" s="458"/>
      <c r="BJ1447" s="458"/>
      <c r="BK1447" s="458"/>
      <c r="BL1447" s="458"/>
      <c r="BM1447" s="458"/>
      <c r="BN1447" s="458"/>
      <c r="BO1447" s="866">
        <f>VLOOKUP(BD1447,$BD$4:$BN$12824,3,0)*BE1447</f>
        <v>1512765.249780894</v>
      </c>
      <c r="BP1447" s="866"/>
      <c r="BQ1447" s="866"/>
      <c r="BR1447" s="866">
        <f>VLOOKUP(BD1447,$BD$4:$BN$12824,6,0)*BE1447</f>
        <v>37199.145486415422</v>
      </c>
      <c r="BS1447" s="866">
        <f>VLOOKUP(BD1447,$BD$4:$BN$12824,7,0)*BE1447</f>
        <v>21313.042785435424</v>
      </c>
      <c r="BT1447" s="866"/>
      <c r="BU1447" s="866">
        <f>VLOOKUP(BD1447,$BD$4:$BN$12824,9,0)*BE1447</f>
        <v>2121.7134092900965</v>
      </c>
      <c r="BV1447" s="867"/>
      <c r="BW1447" s="867">
        <f>VLOOKUP(BD1447,$BD$4:$BN$12824,11,0)*BE1447</f>
        <v>0</v>
      </c>
      <c r="BX1447" s="1146">
        <f t="shared" si="275"/>
        <v>1573399.151462035</v>
      </c>
      <c r="BY1447" s="867">
        <f t="shared" si="278"/>
        <v>2500544.9935086346</v>
      </c>
      <c r="BZ1447" s="867">
        <f t="shared" si="276"/>
        <v>30006539.922103614</v>
      </c>
      <c r="CA1447" s="867">
        <f>_xlfn.MAXIFS($BY$4:$BY$12824,$S$4:$S$12824,$S1447)</f>
        <v>2500544.9935086346</v>
      </c>
      <c r="CB1447" s="1032"/>
      <c r="CF1447" s="946">
        <f t="shared" si="277"/>
        <v>22439696.958000001</v>
      </c>
    </row>
    <row r="1448" spans="2:84">
      <c r="B1448" s="839" t="s">
        <v>98</v>
      </c>
      <c r="C1448" s="839" t="s">
        <v>951</v>
      </c>
      <c r="D1448" s="839" t="s">
        <v>4904</v>
      </c>
      <c r="E1448" s="839" t="s">
        <v>4904</v>
      </c>
      <c r="F1448" s="841">
        <v>45821</v>
      </c>
      <c r="G1448" s="868" t="s">
        <v>951</v>
      </c>
      <c r="H1448" s="842" t="s">
        <v>134</v>
      </c>
      <c r="I1448" s="883"/>
      <c r="J1448" s="841"/>
      <c r="K1448" s="841"/>
      <c r="L1448" s="843" t="s">
        <v>106</v>
      </c>
      <c r="M1448" s="844" t="s">
        <v>107</v>
      </c>
      <c r="N1448" s="841"/>
      <c r="O1448" s="884" t="s">
        <v>4905</v>
      </c>
      <c r="P1448" s="842" t="s">
        <v>4906</v>
      </c>
      <c r="Q1448" s="843"/>
      <c r="R1448" s="845" t="s">
        <v>4925</v>
      </c>
      <c r="S1448" s="1127" t="s">
        <v>3448</v>
      </c>
      <c r="T1448" s="885" t="s">
        <v>3449</v>
      </c>
      <c r="U1448" s="886">
        <v>48</v>
      </c>
      <c r="V1448" s="842" t="s">
        <v>3</v>
      </c>
      <c r="W1448" s="846">
        <v>7</v>
      </c>
      <c r="X1448" s="847">
        <f t="shared" si="280"/>
        <v>336</v>
      </c>
      <c r="Y1448" s="853">
        <v>0.05</v>
      </c>
      <c r="Z1448" s="849">
        <v>6.65</v>
      </c>
      <c r="AA1448" s="849"/>
      <c r="AB1448" s="849">
        <f t="shared" si="271"/>
        <v>319.20000000000005</v>
      </c>
      <c r="AC1448" s="850">
        <f t="shared" si="272"/>
        <v>319.20000000000005</v>
      </c>
      <c r="AD1448" s="851">
        <f t="shared" si="269"/>
        <v>32000</v>
      </c>
      <c r="AE1448" s="852">
        <v>30660.35</v>
      </c>
      <c r="AF1448" s="853">
        <v>0.2</v>
      </c>
      <c r="AG1448" s="854">
        <f t="shared" si="273"/>
        <v>2091170.4268406772</v>
      </c>
      <c r="AH1448" s="853">
        <v>0.08</v>
      </c>
      <c r="AI1448" s="855">
        <f t="shared" si="274"/>
        <v>950236.33174725436</v>
      </c>
      <c r="AJ1448" s="845" t="s">
        <v>4908</v>
      </c>
      <c r="AK1448" s="857">
        <v>45862</v>
      </c>
      <c r="AL1448" s="843" t="s">
        <v>4909</v>
      </c>
      <c r="AM1448" s="843"/>
      <c r="AN1448" s="844" t="s">
        <v>3951</v>
      </c>
      <c r="AO1448" s="844" t="s">
        <v>141</v>
      </c>
      <c r="AP1448" s="841"/>
      <c r="AQ1448" s="841">
        <v>45876</v>
      </c>
      <c r="AR1448" s="841">
        <v>45920</v>
      </c>
      <c r="AS1448" s="841" t="s">
        <v>4697</v>
      </c>
      <c r="AT1448" s="842" t="s">
        <v>1235</v>
      </c>
      <c r="AU1448" s="842" t="s">
        <v>1311</v>
      </c>
      <c r="AV1448" s="856" t="s">
        <v>4910</v>
      </c>
      <c r="AW1448" s="861">
        <v>45923</v>
      </c>
      <c r="AX1448" s="862">
        <v>45924</v>
      </c>
      <c r="AY1448" s="843" t="s">
        <v>4926</v>
      </c>
      <c r="AZ1448" s="842" t="s">
        <v>4927</v>
      </c>
      <c r="BA1448" s="842" t="s">
        <v>120</v>
      </c>
      <c r="BB1448" s="863" t="s">
        <v>121</v>
      </c>
      <c r="BC1448" s="864">
        <v>45926</v>
      </c>
      <c r="BD1448" s="860" t="s">
        <v>4912</v>
      </c>
      <c r="BE1448" s="865" cm="1">
        <f t="array" ref="BE1448">IF(BD1448="","",AC1448/SUMPRODUCT(--(BD1448=$BD$4:$BD$12824),$AC$4:$AC$12824))</f>
        <v>4.0899795501022504E-2</v>
      </c>
      <c r="BF1448" s="458"/>
      <c r="BG1448" s="458"/>
      <c r="BH1448" s="458"/>
      <c r="BI1448" s="458"/>
      <c r="BJ1448" s="458"/>
      <c r="BK1448" s="458"/>
      <c r="BL1448" s="458"/>
      <c r="BM1448" s="458"/>
      <c r="BN1448" s="458"/>
      <c r="BO1448" s="866">
        <f>VLOOKUP(BD1448,$BD$4:$BN$12824,3,0)*BE1448</f>
        <v>659773.00613496942</v>
      </c>
      <c r="BP1448" s="866"/>
      <c r="BQ1448" s="866"/>
      <c r="BR1448" s="866">
        <f>VLOOKUP(BD1448,$BD$4:$BN$12824,6,0)*BE1448</f>
        <v>16223.926380368102</v>
      </c>
      <c r="BS1448" s="866">
        <f>VLOOKUP(BD1448,$BD$4:$BN$12824,7,0)*BE1448</f>
        <v>9295.4080684142045</v>
      </c>
      <c r="BT1448" s="866"/>
      <c r="BU1448" s="866">
        <f>VLOOKUP(BD1448,$BD$4:$BN$12824,9,0)*BE1448</f>
        <v>925.35787321063412</v>
      </c>
      <c r="BV1448" s="867"/>
      <c r="BW1448" s="867">
        <f>VLOOKUP(BD1448,$BD$4:$BN$12824,11,0)*BE1448</f>
        <v>0</v>
      </c>
      <c r="BX1448" s="1146">
        <f t="shared" si="275"/>
        <v>686217.69845696236</v>
      </c>
      <c r="BY1448" s="867">
        <f t="shared" si="278"/>
        <v>261753.5801103675</v>
      </c>
      <c r="BZ1448" s="867">
        <f t="shared" si="276"/>
        <v>12564171.84529764</v>
      </c>
      <c r="CA1448" s="867">
        <f>_xlfn.MAXIFS($BY$4:$BY$12824,$S$4:$S$12824,$S1448)</f>
        <v>261753.5801103675</v>
      </c>
      <c r="CB1448" s="1032"/>
      <c r="CF1448" s="946">
        <f t="shared" si="277"/>
        <v>9786783.7200000007</v>
      </c>
    </row>
    <row r="1449" spans="2:84">
      <c r="B1449" s="839" t="s">
        <v>98</v>
      </c>
      <c r="C1449" s="839" t="s">
        <v>951</v>
      </c>
      <c r="D1449" s="839" t="s">
        <v>4904</v>
      </c>
      <c r="E1449" s="839" t="s">
        <v>4904</v>
      </c>
      <c r="F1449" s="841">
        <v>45821</v>
      </c>
      <c r="G1449" s="868" t="s">
        <v>951</v>
      </c>
      <c r="H1449" s="842" t="s">
        <v>134</v>
      </c>
      <c r="I1449" s="883"/>
      <c r="J1449" s="841"/>
      <c r="K1449" s="841"/>
      <c r="L1449" s="843" t="s">
        <v>106</v>
      </c>
      <c r="M1449" s="844" t="s">
        <v>107</v>
      </c>
      <c r="N1449" s="841"/>
      <c r="O1449" s="884" t="s">
        <v>4905</v>
      </c>
      <c r="P1449" s="842" t="s">
        <v>4906</v>
      </c>
      <c r="Q1449" s="843"/>
      <c r="R1449" s="845" t="s">
        <v>4928</v>
      </c>
      <c r="S1449" s="1127" t="s">
        <v>975</v>
      </c>
      <c r="T1449" s="885" t="s">
        <v>4929</v>
      </c>
      <c r="U1449" s="886">
        <v>36</v>
      </c>
      <c r="V1449" s="842" t="s">
        <v>3</v>
      </c>
      <c r="W1449" s="846">
        <v>7</v>
      </c>
      <c r="X1449" s="847">
        <f t="shared" si="280"/>
        <v>252</v>
      </c>
      <c r="Y1449" s="853">
        <v>0.05</v>
      </c>
      <c r="Z1449" s="849">
        <v>6.65</v>
      </c>
      <c r="AA1449" s="849"/>
      <c r="AB1449" s="849">
        <f t="shared" si="271"/>
        <v>239.4</v>
      </c>
      <c r="AC1449" s="850">
        <f t="shared" si="272"/>
        <v>239.4</v>
      </c>
      <c r="AD1449" s="851">
        <f t="shared" si="269"/>
        <v>32000</v>
      </c>
      <c r="AE1449" s="852">
        <v>30660.35</v>
      </c>
      <c r="AF1449" s="853">
        <v>0.2</v>
      </c>
      <c r="AG1449" s="854">
        <f t="shared" si="273"/>
        <v>1568377.8201305077</v>
      </c>
      <c r="AH1449" s="853">
        <v>0.08</v>
      </c>
      <c r="AI1449" s="855">
        <f t="shared" si="274"/>
        <v>712677.24881044065</v>
      </c>
      <c r="AJ1449" s="845" t="s">
        <v>4908</v>
      </c>
      <c r="AK1449" s="857">
        <v>45862</v>
      </c>
      <c r="AL1449" s="843" t="s">
        <v>4909</v>
      </c>
      <c r="AM1449" s="843"/>
      <c r="AN1449" s="844" t="s">
        <v>3951</v>
      </c>
      <c r="AO1449" s="844" t="s">
        <v>141</v>
      </c>
      <c r="AP1449" s="841"/>
      <c r="AQ1449" s="841">
        <v>45876</v>
      </c>
      <c r="AR1449" s="841">
        <v>45920</v>
      </c>
      <c r="AS1449" s="841" t="s">
        <v>4697</v>
      </c>
      <c r="AT1449" s="842" t="s">
        <v>1235</v>
      </c>
      <c r="AU1449" s="842" t="s">
        <v>1311</v>
      </c>
      <c r="AV1449" s="856" t="s">
        <v>4910</v>
      </c>
      <c r="AW1449" s="861">
        <v>45923</v>
      </c>
      <c r="AX1449" s="862">
        <v>45924</v>
      </c>
      <c r="AY1449" s="843" t="s">
        <v>4930</v>
      </c>
      <c r="AZ1449" s="842" t="s">
        <v>4927</v>
      </c>
      <c r="BA1449" s="842" t="s">
        <v>120</v>
      </c>
      <c r="BB1449" s="863" t="s">
        <v>121</v>
      </c>
      <c r="BC1449" s="864">
        <v>45926</v>
      </c>
      <c r="BD1449" s="860" t="s">
        <v>4912</v>
      </c>
      <c r="BE1449" s="865" cm="1">
        <f t="array" ref="BE1449">IF(BD1449="","",AC1449/SUMPRODUCT(--(BD1449=$BD$4:$BD$12824),$AC$4:$AC$12824))</f>
        <v>3.0674846625766874E-2</v>
      </c>
      <c r="BF1449" s="458"/>
      <c r="BG1449" s="458"/>
      <c r="BH1449" s="458"/>
      <c r="BI1449" s="458"/>
      <c r="BJ1449" s="458"/>
      <c r="BK1449" s="458"/>
      <c r="BL1449" s="458"/>
      <c r="BM1449" s="458"/>
      <c r="BN1449" s="458"/>
      <c r="BO1449" s="866">
        <f>VLOOKUP(BD1449,$BD$4:$BN$12824,3,0)*BE1449</f>
        <v>494829.75460122706</v>
      </c>
      <c r="BP1449" s="866"/>
      <c r="BQ1449" s="866"/>
      <c r="BR1449" s="866">
        <f>VLOOKUP(BD1449,$BD$4:$BN$12824,6,0)*BE1449</f>
        <v>12167.944785276075</v>
      </c>
      <c r="BS1449" s="866">
        <f>VLOOKUP(BD1449,$BD$4:$BN$12824,7,0)*BE1449</f>
        <v>6971.5560513106529</v>
      </c>
      <c r="BT1449" s="866"/>
      <c r="BU1449" s="866">
        <f>VLOOKUP(BD1449,$BD$4:$BN$12824,9,0)*BE1449</f>
        <v>694.01840490797554</v>
      </c>
      <c r="BV1449" s="867"/>
      <c r="BW1449" s="867">
        <f>VLOOKUP(BD1449,$BD$4:$BN$12824,11,0)*BE1449</f>
        <v>0</v>
      </c>
      <c r="BX1449" s="1146">
        <f t="shared" si="275"/>
        <v>514663.27384272177</v>
      </c>
      <c r="BY1449" s="867">
        <f t="shared" si="278"/>
        <v>261753.5801103675</v>
      </c>
      <c r="BZ1449" s="867">
        <f t="shared" si="276"/>
        <v>9423128.8839732297</v>
      </c>
      <c r="CA1449" s="867">
        <f>_xlfn.MAXIFS($BY$4:$BY$12824,$S$4:$S$12824,$S1449)</f>
        <v>261753.5801103675</v>
      </c>
      <c r="CB1449" s="1032"/>
      <c r="CF1449" s="946">
        <f t="shared" si="277"/>
        <v>7340087.79</v>
      </c>
    </row>
    <row r="1450" spans="2:84">
      <c r="B1450" s="839" t="s">
        <v>98</v>
      </c>
      <c r="C1450" s="839" t="s">
        <v>951</v>
      </c>
      <c r="D1450" s="839" t="s">
        <v>4904</v>
      </c>
      <c r="E1450" s="839" t="s">
        <v>4904</v>
      </c>
      <c r="F1450" s="841">
        <v>45821</v>
      </c>
      <c r="G1450" s="868" t="s">
        <v>951</v>
      </c>
      <c r="H1450" s="842" t="s">
        <v>134</v>
      </c>
      <c r="I1450" s="883"/>
      <c r="J1450" s="841"/>
      <c r="K1450" s="841"/>
      <c r="L1450" s="843" t="s">
        <v>106</v>
      </c>
      <c r="M1450" s="844" t="s">
        <v>107</v>
      </c>
      <c r="N1450" s="841"/>
      <c r="O1450" s="884" t="s">
        <v>4905</v>
      </c>
      <c r="P1450" s="842" t="s">
        <v>4906</v>
      </c>
      <c r="Q1450" s="843"/>
      <c r="R1450" s="845" t="s">
        <v>4931</v>
      </c>
      <c r="S1450" s="1127" t="s">
        <v>973</v>
      </c>
      <c r="T1450" s="885" t="s">
        <v>4932</v>
      </c>
      <c r="U1450" s="886">
        <v>12</v>
      </c>
      <c r="V1450" s="842" t="s">
        <v>3</v>
      </c>
      <c r="W1450" s="846">
        <v>7</v>
      </c>
      <c r="X1450" s="847">
        <f t="shared" si="280"/>
        <v>84</v>
      </c>
      <c r="Y1450" s="853">
        <v>0.05</v>
      </c>
      <c r="Z1450" s="849">
        <v>6.65</v>
      </c>
      <c r="AA1450" s="849"/>
      <c r="AB1450" s="849">
        <f t="shared" si="271"/>
        <v>79.800000000000011</v>
      </c>
      <c r="AC1450" s="850">
        <f t="shared" si="272"/>
        <v>79.800000000000011</v>
      </c>
      <c r="AD1450" s="851">
        <f t="shared" si="269"/>
        <v>32000</v>
      </c>
      <c r="AE1450" s="852">
        <v>30660.35</v>
      </c>
      <c r="AF1450" s="853">
        <v>0.2</v>
      </c>
      <c r="AG1450" s="854">
        <f t="shared" si="273"/>
        <v>522792.60671016929</v>
      </c>
      <c r="AH1450" s="853">
        <v>0.08</v>
      </c>
      <c r="AI1450" s="855">
        <f t="shared" si="274"/>
        <v>237559.08293681359</v>
      </c>
      <c r="AJ1450" s="845" t="s">
        <v>4908</v>
      </c>
      <c r="AK1450" s="857">
        <v>45862</v>
      </c>
      <c r="AL1450" s="843" t="s">
        <v>4909</v>
      </c>
      <c r="AM1450" s="843"/>
      <c r="AN1450" s="844" t="s">
        <v>3951</v>
      </c>
      <c r="AO1450" s="844" t="s">
        <v>141</v>
      </c>
      <c r="AP1450" s="841"/>
      <c r="AQ1450" s="841">
        <v>45876</v>
      </c>
      <c r="AR1450" s="841">
        <v>45920</v>
      </c>
      <c r="AS1450" s="841" t="s">
        <v>4697</v>
      </c>
      <c r="AT1450" s="842" t="s">
        <v>1235</v>
      </c>
      <c r="AU1450" s="842" t="s">
        <v>1311</v>
      </c>
      <c r="AV1450" s="856" t="s">
        <v>4910</v>
      </c>
      <c r="AW1450" s="861">
        <v>45923</v>
      </c>
      <c r="AX1450" s="862">
        <v>45924</v>
      </c>
      <c r="AY1450" s="843" t="s">
        <v>4933</v>
      </c>
      <c r="AZ1450" s="842" t="s">
        <v>4927</v>
      </c>
      <c r="BA1450" s="842" t="s">
        <v>120</v>
      </c>
      <c r="BB1450" s="863" t="s">
        <v>121</v>
      </c>
      <c r="BC1450" s="864">
        <v>45926</v>
      </c>
      <c r="BD1450" s="860" t="s">
        <v>4912</v>
      </c>
      <c r="BE1450" s="865" cm="1">
        <f t="array" ref="BE1450">IF(BD1450="","",AC1450/SUMPRODUCT(--(BD1450=$BD$4:$BD$12824),$AC$4:$AC$12824))</f>
        <v>1.0224948875255626E-2</v>
      </c>
      <c r="BF1450" s="458"/>
      <c r="BG1450" s="458"/>
      <c r="BH1450" s="458"/>
      <c r="BI1450" s="458"/>
      <c r="BJ1450" s="458"/>
      <c r="BK1450" s="458"/>
      <c r="BL1450" s="458"/>
      <c r="BM1450" s="458"/>
      <c r="BN1450" s="458"/>
      <c r="BO1450" s="866">
        <f>VLOOKUP(BD1450,$BD$4:$BN$12824,3,0)*BE1450</f>
        <v>164943.25153374235</v>
      </c>
      <c r="BP1450" s="866"/>
      <c r="BQ1450" s="866"/>
      <c r="BR1450" s="866">
        <f>VLOOKUP(BD1450,$BD$4:$BN$12824,6,0)*BE1450</f>
        <v>4055.9815950920256</v>
      </c>
      <c r="BS1450" s="866">
        <f>VLOOKUP(BD1450,$BD$4:$BN$12824,7,0)*BE1450</f>
        <v>2323.8520171035511</v>
      </c>
      <c r="BT1450" s="866"/>
      <c r="BU1450" s="866">
        <f>VLOOKUP(BD1450,$BD$4:$BN$12824,9,0)*BE1450</f>
        <v>231.33946830265853</v>
      </c>
      <c r="BV1450" s="867"/>
      <c r="BW1450" s="867">
        <f>VLOOKUP(BD1450,$BD$4:$BN$12824,11,0)*BE1450</f>
        <v>0</v>
      </c>
      <c r="BX1450" s="1146">
        <f t="shared" si="275"/>
        <v>171554.42461424059</v>
      </c>
      <c r="BY1450" s="867">
        <f t="shared" si="278"/>
        <v>261753.5801103675</v>
      </c>
      <c r="BZ1450" s="867">
        <f t="shared" si="276"/>
        <v>3141042.96132441</v>
      </c>
      <c r="CA1450" s="867">
        <f>_xlfn.MAXIFS($BY$4:$BY$12824,$S$4:$S$12824,$S1450)</f>
        <v>261753.5801103675</v>
      </c>
      <c r="CB1450" s="1032"/>
      <c r="CF1450" s="946">
        <f t="shared" si="277"/>
        <v>2446695.9300000002</v>
      </c>
    </row>
    <row r="1451" spans="2:84">
      <c r="B1451" s="839" t="s">
        <v>98</v>
      </c>
      <c r="C1451" s="839" t="s">
        <v>951</v>
      </c>
      <c r="D1451" s="839" t="s">
        <v>4904</v>
      </c>
      <c r="E1451" s="839" t="s">
        <v>4904</v>
      </c>
      <c r="F1451" s="841">
        <v>45821</v>
      </c>
      <c r="G1451" s="868" t="s">
        <v>951</v>
      </c>
      <c r="H1451" s="842" t="s">
        <v>134</v>
      </c>
      <c r="I1451" s="883"/>
      <c r="J1451" s="841"/>
      <c r="K1451" s="841"/>
      <c r="L1451" s="843" t="s">
        <v>106</v>
      </c>
      <c r="M1451" s="844" t="s">
        <v>107</v>
      </c>
      <c r="N1451" s="841"/>
      <c r="O1451" s="884" t="s">
        <v>4905</v>
      </c>
      <c r="P1451" s="842" t="s">
        <v>4906</v>
      </c>
      <c r="Q1451" s="843"/>
      <c r="R1451" s="845" t="s">
        <v>4934</v>
      </c>
      <c r="S1451" s="1127" t="s">
        <v>4935</v>
      </c>
      <c r="T1451" s="885" t="s">
        <v>4936</v>
      </c>
      <c r="U1451" s="886">
        <v>12</v>
      </c>
      <c r="V1451" s="842" t="s">
        <v>3</v>
      </c>
      <c r="W1451" s="846">
        <v>7</v>
      </c>
      <c r="X1451" s="847">
        <f t="shared" si="280"/>
        <v>84</v>
      </c>
      <c r="Y1451" s="853">
        <v>0.05</v>
      </c>
      <c r="Z1451" s="849">
        <v>6.65</v>
      </c>
      <c r="AA1451" s="849"/>
      <c r="AB1451" s="849">
        <f t="shared" si="271"/>
        <v>79.800000000000011</v>
      </c>
      <c r="AC1451" s="850">
        <f t="shared" si="272"/>
        <v>79.800000000000011</v>
      </c>
      <c r="AD1451" s="851">
        <f t="shared" si="269"/>
        <v>32000</v>
      </c>
      <c r="AE1451" s="852">
        <v>30660.35</v>
      </c>
      <c r="AF1451" s="853">
        <v>0.2</v>
      </c>
      <c r="AG1451" s="854">
        <f t="shared" si="273"/>
        <v>522792.60671016929</v>
      </c>
      <c r="AH1451" s="853">
        <v>0.08</v>
      </c>
      <c r="AI1451" s="855">
        <f t="shared" si="274"/>
        <v>237559.08293681359</v>
      </c>
      <c r="AJ1451" s="845" t="s">
        <v>4908</v>
      </c>
      <c r="AK1451" s="857">
        <v>45862</v>
      </c>
      <c r="AL1451" s="843" t="s">
        <v>4909</v>
      </c>
      <c r="AM1451" s="843"/>
      <c r="AN1451" s="844" t="s">
        <v>3951</v>
      </c>
      <c r="AO1451" s="844" t="s">
        <v>141</v>
      </c>
      <c r="AP1451" s="841"/>
      <c r="AQ1451" s="841">
        <v>45876</v>
      </c>
      <c r="AR1451" s="841">
        <v>45920</v>
      </c>
      <c r="AS1451" s="841" t="s">
        <v>4697</v>
      </c>
      <c r="AT1451" s="842" t="s">
        <v>1235</v>
      </c>
      <c r="AU1451" s="842" t="s">
        <v>1311</v>
      </c>
      <c r="AV1451" s="856" t="s">
        <v>4910</v>
      </c>
      <c r="AW1451" s="861">
        <v>45923</v>
      </c>
      <c r="AX1451" s="862">
        <v>45924</v>
      </c>
      <c r="AY1451" s="843" t="s">
        <v>4937</v>
      </c>
      <c r="AZ1451" s="842" t="s">
        <v>4927</v>
      </c>
      <c r="BA1451" s="842" t="s">
        <v>120</v>
      </c>
      <c r="BB1451" s="863" t="s">
        <v>121</v>
      </c>
      <c r="BC1451" s="864">
        <v>45926</v>
      </c>
      <c r="BD1451" s="860" t="s">
        <v>4912</v>
      </c>
      <c r="BE1451" s="865" cm="1">
        <f t="array" ref="BE1451">IF(BD1451="","",AC1451/SUMPRODUCT(--(BD1451=$BD$4:$BD$12824),$AC$4:$AC$12824))</f>
        <v>1.0224948875255626E-2</v>
      </c>
      <c r="BF1451" s="458"/>
      <c r="BG1451" s="458"/>
      <c r="BH1451" s="458"/>
      <c r="BI1451" s="458"/>
      <c r="BJ1451" s="458"/>
      <c r="BK1451" s="458"/>
      <c r="BL1451" s="458"/>
      <c r="BM1451" s="458"/>
      <c r="BN1451" s="458"/>
      <c r="BO1451" s="866">
        <f>VLOOKUP(BD1451,$BD$4:$BN$12824,3,0)*BE1451</f>
        <v>164943.25153374235</v>
      </c>
      <c r="BP1451" s="866"/>
      <c r="BQ1451" s="866"/>
      <c r="BR1451" s="866">
        <f>VLOOKUP(BD1451,$BD$4:$BN$12824,6,0)*BE1451</f>
        <v>4055.9815950920256</v>
      </c>
      <c r="BS1451" s="866">
        <f>VLOOKUP(BD1451,$BD$4:$BN$12824,7,0)*BE1451</f>
        <v>2323.8520171035511</v>
      </c>
      <c r="BT1451" s="866"/>
      <c r="BU1451" s="866">
        <f>VLOOKUP(BD1451,$BD$4:$BN$12824,9,0)*BE1451</f>
        <v>231.33946830265853</v>
      </c>
      <c r="BV1451" s="867"/>
      <c r="BW1451" s="867">
        <f>VLOOKUP(BD1451,$BD$4:$BN$12824,11,0)*BE1451</f>
        <v>0</v>
      </c>
      <c r="BX1451" s="1146">
        <f t="shared" si="275"/>
        <v>171554.42461424059</v>
      </c>
      <c r="BY1451" s="867">
        <f t="shared" si="278"/>
        <v>261753.5801103675</v>
      </c>
      <c r="BZ1451" s="867">
        <f t="shared" si="276"/>
        <v>3141042.96132441</v>
      </c>
      <c r="CA1451" s="867">
        <f>_xlfn.MAXIFS($BY$4:$BY$12824,$S$4:$S$12824,$S1451)</f>
        <v>261753.5801103675</v>
      </c>
      <c r="CB1451" s="1032"/>
      <c r="CF1451" s="946">
        <f t="shared" si="277"/>
        <v>2446695.9300000002</v>
      </c>
    </row>
    <row r="1452" spans="2:84">
      <c r="B1452" s="839" t="s">
        <v>98</v>
      </c>
      <c r="C1452" s="839" t="s">
        <v>951</v>
      </c>
      <c r="D1452" s="839" t="s">
        <v>4904</v>
      </c>
      <c r="E1452" s="839" t="s">
        <v>4904</v>
      </c>
      <c r="F1452" s="841">
        <v>45821</v>
      </c>
      <c r="G1452" s="868" t="s">
        <v>951</v>
      </c>
      <c r="H1452" s="842" t="s">
        <v>134</v>
      </c>
      <c r="I1452" s="883"/>
      <c r="J1452" s="841"/>
      <c r="K1452" s="841"/>
      <c r="L1452" s="843" t="s">
        <v>106</v>
      </c>
      <c r="M1452" s="844" t="s">
        <v>107</v>
      </c>
      <c r="N1452" s="841"/>
      <c r="O1452" s="884" t="s">
        <v>4905</v>
      </c>
      <c r="P1452" s="842" t="s">
        <v>4906</v>
      </c>
      <c r="Q1452" s="843"/>
      <c r="R1452" s="845" t="s">
        <v>4938</v>
      </c>
      <c r="S1452" s="1127" t="s">
        <v>4939</v>
      </c>
      <c r="T1452" s="885" t="s">
        <v>4940</v>
      </c>
      <c r="U1452" s="886">
        <v>12</v>
      </c>
      <c r="V1452" s="842" t="s">
        <v>3</v>
      </c>
      <c r="W1452" s="846">
        <v>7</v>
      </c>
      <c r="X1452" s="847">
        <f t="shared" si="280"/>
        <v>84</v>
      </c>
      <c r="Y1452" s="853">
        <v>0.05</v>
      </c>
      <c r="Z1452" s="849">
        <v>6.65</v>
      </c>
      <c r="AA1452" s="849"/>
      <c r="AB1452" s="849">
        <f t="shared" si="271"/>
        <v>79.800000000000011</v>
      </c>
      <c r="AC1452" s="850">
        <f t="shared" si="272"/>
        <v>79.800000000000011</v>
      </c>
      <c r="AD1452" s="851">
        <f t="shared" si="269"/>
        <v>32000</v>
      </c>
      <c r="AE1452" s="852">
        <v>30660.35</v>
      </c>
      <c r="AF1452" s="853">
        <v>0.2</v>
      </c>
      <c r="AG1452" s="854">
        <f t="shared" si="273"/>
        <v>522792.60671016929</v>
      </c>
      <c r="AH1452" s="853">
        <v>0.08</v>
      </c>
      <c r="AI1452" s="855">
        <f t="shared" si="274"/>
        <v>237559.08293681359</v>
      </c>
      <c r="AJ1452" s="845" t="s">
        <v>4908</v>
      </c>
      <c r="AK1452" s="857">
        <v>45862</v>
      </c>
      <c r="AL1452" s="843" t="s">
        <v>4909</v>
      </c>
      <c r="AM1452" s="843"/>
      <c r="AN1452" s="844" t="s">
        <v>3951</v>
      </c>
      <c r="AO1452" s="844" t="s">
        <v>141</v>
      </c>
      <c r="AP1452" s="841"/>
      <c r="AQ1452" s="841">
        <v>45876</v>
      </c>
      <c r="AR1452" s="841">
        <v>45920</v>
      </c>
      <c r="AS1452" s="841" t="s">
        <v>4697</v>
      </c>
      <c r="AT1452" s="842" t="s">
        <v>1235</v>
      </c>
      <c r="AU1452" s="842" t="s">
        <v>1311</v>
      </c>
      <c r="AV1452" s="856" t="s">
        <v>4910</v>
      </c>
      <c r="AW1452" s="861">
        <v>45923</v>
      </c>
      <c r="AX1452" s="862">
        <v>45924</v>
      </c>
      <c r="AY1452" s="843" t="s">
        <v>4941</v>
      </c>
      <c r="AZ1452" s="842" t="s">
        <v>4927</v>
      </c>
      <c r="BA1452" s="842" t="s">
        <v>120</v>
      </c>
      <c r="BB1452" s="863" t="s">
        <v>121</v>
      </c>
      <c r="BC1452" s="864">
        <v>45926</v>
      </c>
      <c r="BD1452" s="860" t="s">
        <v>4912</v>
      </c>
      <c r="BE1452" s="865" cm="1">
        <f t="array" ref="BE1452">IF(BD1452="","",AC1452/SUMPRODUCT(--(BD1452=$BD$4:$BD$12824),$AC$4:$AC$12824))</f>
        <v>1.0224948875255626E-2</v>
      </c>
      <c r="BF1452" s="458"/>
      <c r="BG1452" s="458"/>
      <c r="BH1452" s="458"/>
      <c r="BI1452" s="458"/>
      <c r="BJ1452" s="458"/>
      <c r="BK1452" s="458"/>
      <c r="BL1452" s="458"/>
      <c r="BM1452" s="458"/>
      <c r="BN1452" s="458"/>
      <c r="BO1452" s="866">
        <f>VLOOKUP(BD1452,$BD$4:$BN$12824,3,0)*BE1452</f>
        <v>164943.25153374235</v>
      </c>
      <c r="BP1452" s="866"/>
      <c r="BQ1452" s="866"/>
      <c r="BR1452" s="866">
        <f>VLOOKUP(BD1452,$BD$4:$BN$12824,6,0)*BE1452</f>
        <v>4055.9815950920256</v>
      </c>
      <c r="BS1452" s="866">
        <f>VLOOKUP(BD1452,$BD$4:$BN$12824,7,0)*BE1452</f>
        <v>2323.8520171035511</v>
      </c>
      <c r="BT1452" s="866"/>
      <c r="BU1452" s="866">
        <f>VLOOKUP(BD1452,$BD$4:$BN$12824,9,0)*BE1452</f>
        <v>231.33946830265853</v>
      </c>
      <c r="BV1452" s="867"/>
      <c r="BW1452" s="867">
        <f>VLOOKUP(BD1452,$BD$4:$BN$12824,11,0)*BE1452</f>
        <v>0</v>
      </c>
      <c r="BX1452" s="1146">
        <f t="shared" si="275"/>
        <v>171554.42461424059</v>
      </c>
      <c r="BY1452" s="867">
        <f t="shared" si="278"/>
        <v>261753.5801103675</v>
      </c>
      <c r="BZ1452" s="867">
        <f t="shared" si="276"/>
        <v>3141042.96132441</v>
      </c>
      <c r="CA1452" s="867">
        <f>_xlfn.MAXIFS($BY$4:$BY$12824,$S$4:$S$12824,$S1452)</f>
        <v>261753.5801103675</v>
      </c>
      <c r="CB1452" s="1032"/>
      <c r="CF1452" s="946">
        <f t="shared" si="277"/>
        <v>2446695.9300000002</v>
      </c>
    </row>
    <row r="1453" spans="2:84">
      <c r="B1453" s="839" t="s">
        <v>98</v>
      </c>
      <c r="C1453" s="839" t="s">
        <v>951</v>
      </c>
      <c r="D1453" s="839" t="s">
        <v>4904</v>
      </c>
      <c r="E1453" s="839" t="s">
        <v>4904</v>
      </c>
      <c r="F1453" s="841">
        <v>45821</v>
      </c>
      <c r="G1453" s="868" t="s">
        <v>951</v>
      </c>
      <c r="H1453" s="842" t="s">
        <v>134</v>
      </c>
      <c r="I1453" s="883"/>
      <c r="J1453" s="841"/>
      <c r="K1453" s="841"/>
      <c r="L1453" s="843" t="s">
        <v>106</v>
      </c>
      <c r="M1453" s="844" t="s">
        <v>107</v>
      </c>
      <c r="N1453" s="841"/>
      <c r="O1453" s="884" t="s">
        <v>4905</v>
      </c>
      <c r="P1453" s="842" t="s">
        <v>4906</v>
      </c>
      <c r="Q1453" s="843"/>
      <c r="R1453" s="845" t="s">
        <v>4942</v>
      </c>
      <c r="S1453" s="1127" t="s">
        <v>4943</v>
      </c>
      <c r="T1453" s="885" t="s">
        <v>4944</v>
      </c>
      <c r="U1453" s="886">
        <v>12</v>
      </c>
      <c r="V1453" s="842" t="s">
        <v>3</v>
      </c>
      <c r="W1453" s="846">
        <v>7</v>
      </c>
      <c r="X1453" s="847">
        <f t="shared" si="280"/>
        <v>84</v>
      </c>
      <c r="Y1453" s="853">
        <v>0.05</v>
      </c>
      <c r="Z1453" s="849">
        <v>6.65</v>
      </c>
      <c r="AA1453" s="849"/>
      <c r="AB1453" s="849">
        <f t="shared" si="271"/>
        <v>79.800000000000011</v>
      </c>
      <c r="AC1453" s="850">
        <f t="shared" si="272"/>
        <v>79.800000000000011</v>
      </c>
      <c r="AD1453" s="851">
        <f t="shared" si="269"/>
        <v>32000</v>
      </c>
      <c r="AE1453" s="852">
        <v>30660.35</v>
      </c>
      <c r="AF1453" s="853">
        <v>0.2</v>
      </c>
      <c r="AG1453" s="854">
        <f t="shared" si="273"/>
        <v>522792.60671016929</v>
      </c>
      <c r="AH1453" s="853">
        <v>0.08</v>
      </c>
      <c r="AI1453" s="855">
        <f t="shared" si="274"/>
        <v>237559.08293681359</v>
      </c>
      <c r="AJ1453" s="845" t="s">
        <v>4908</v>
      </c>
      <c r="AK1453" s="857">
        <v>45862</v>
      </c>
      <c r="AL1453" s="843" t="s">
        <v>4909</v>
      </c>
      <c r="AM1453" s="843"/>
      <c r="AN1453" s="844" t="s">
        <v>3951</v>
      </c>
      <c r="AO1453" s="844" t="s">
        <v>141</v>
      </c>
      <c r="AP1453" s="841"/>
      <c r="AQ1453" s="841">
        <v>45876</v>
      </c>
      <c r="AR1453" s="841">
        <v>45920</v>
      </c>
      <c r="AS1453" s="841" t="s">
        <v>4697</v>
      </c>
      <c r="AT1453" s="842" t="s">
        <v>1235</v>
      </c>
      <c r="AU1453" s="842" t="s">
        <v>1311</v>
      </c>
      <c r="AV1453" s="856" t="s">
        <v>4910</v>
      </c>
      <c r="AW1453" s="861">
        <v>45923</v>
      </c>
      <c r="AX1453" s="862">
        <v>45924</v>
      </c>
      <c r="AY1453" s="843" t="s">
        <v>4945</v>
      </c>
      <c r="AZ1453" s="842" t="s">
        <v>4927</v>
      </c>
      <c r="BA1453" s="842" t="s">
        <v>120</v>
      </c>
      <c r="BB1453" s="863" t="s">
        <v>121</v>
      </c>
      <c r="BC1453" s="864">
        <v>45926</v>
      </c>
      <c r="BD1453" s="860" t="s">
        <v>4912</v>
      </c>
      <c r="BE1453" s="865" cm="1">
        <f t="array" ref="BE1453">IF(BD1453="","",AC1453/SUMPRODUCT(--(BD1453=$BD$4:$BD$12824),$AC$4:$AC$12824))</f>
        <v>1.0224948875255626E-2</v>
      </c>
      <c r="BF1453" s="458"/>
      <c r="BG1453" s="458"/>
      <c r="BH1453" s="458"/>
      <c r="BI1453" s="458"/>
      <c r="BJ1453" s="458"/>
      <c r="BK1453" s="458"/>
      <c r="BL1453" s="458"/>
      <c r="BM1453" s="458"/>
      <c r="BN1453" s="458"/>
      <c r="BO1453" s="866">
        <f>VLOOKUP(BD1453,$BD$4:$BN$12824,3,0)*BE1453</f>
        <v>164943.25153374235</v>
      </c>
      <c r="BP1453" s="866"/>
      <c r="BQ1453" s="866"/>
      <c r="BR1453" s="866">
        <f>VLOOKUP(BD1453,$BD$4:$BN$12824,6,0)*BE1453</f>
        <v>4055.9815950920256</v>
      </c>
      <c r="BS1453" s="866">
        <f>VLOOKUP(BD1453,$BD$4:$BN$12824,7,0)*BE1453</f>
        <v>2323.8520171035511</v>
      </c>
      <c r="BT1453" s="866"/>
      <c r="BU1453" s="866">
        <f>VLOOKUP(BD1453,$BD$4:$BN$12824,9,0)*BE1453</f>
        <v>231.33946830265853</v>
      </c>
      <c r="BV1453" s="867"/>
      <c r="BW1453" s="867">
        <f>VLOOKUP(BD1453,$BD$4:$BN$12824,11,0)*BE1453</f>
        <v>0</v>
      </c>
      <c r="BX1453" s="1146">
        <f t="shared" si="275"/>
        <v>171554.42461424059</v>
      </c>
      <c r="BY1453" s="867">
        <f t="shared" si="278"/>
        <v>261753.5801103675</v>
      </c>
      <c r="BZ1453" s="867">
        <f t="shared" si="276"/>
        <v>3141042.96132441</v>
      </c>
      <c r="CA1453" s="867">
        <f>_xlfn.MAXIFS($BY$4:$BY$12824,$S$4:$S$12824,$S1453)</f>
        <v>261753.5801103675</v>
      </c>
      <c r="CB1453" s="1032"/>
      <c r="CF1453" s="946">
        <f t="shared" si="277"/>
        <v>2446695.9300000002</v>
      </c>
    </row>
    <row r="1454" spans="2:84">
      <c r="B1454" s="839" t="s">
        <v>98</v>
      </c>
      <c r="C1454" s="839" t="s">
        <v>951</v>
      </c>
      <c r="D1454" s="839" t="s">
        <v>4904</v>
      </c>
      <c r="E1454" s="839" t="s">
        <v>4904</v>
      </c>
      <c r="F1454" s="841">
        <v>45821</v>
      </c>
      <c r="G1454" s="868" t="s">
        <v>951</v>
      </c>
      <c r="H1454" s="842" t="s">
        <v>134</v>
      </c>
      <c r="I1454" s="883"/>
      <c r="J1454" s="841"/>
      <c r="K1454" s="841"/>
      <c r="L1454" s="843" t="s">
        <v>106</v>
      </c>
      <c r="M1454" s="844" t="s">
        <v>107</v>
      </c>
      <c r="N1454" s="841"/>
      <c r="O1454" s="884" t="s">
        <v>4905</v>
      </c>
      <c r="P1454" s="842" t="s">
        <v>4906</v>
      </c>
      <c r="Q1454" s="843"/>
      <c r="R1454" s="845" t="s">
        <v>4946</v>
      </c>
      <c r="S1454" s="1127" t="s">
        <v>4947</v>
      </c>
      <c r="T1454" s="885" t="s">
        <v>4948</v>
      </c>
      <c r="U1454" s="886">
        <v>12</v>
      </c>
      <c r="V1454" s="842" t="s">
        <v>3</v>
      </c>
      <c r="W1454" s="846">
        <v>11.3</v>
      </c>
      <c r="X1454" s="847">
        <f t="shared" si="280"/>
        <v>135.60000000000002</v>
      </c>
      <c r="Y1454" s="853">
        <v>0.05</v>
      </c>
      <c r="Z1454" s="849">
        <v>10.734999999999999</v>
      </c>
      <c r="AA1454" s="849"/>
      <c r="AB1454" s="849">
        <f t="shared" si="271"/>
        <v>128.82</v>
      </c>
      <c r="AC1454" s="850">
        <f t="shared" si="272"/>
        <v>128.82</v>
      </c>
      <c r="AD1454" s="851">
        <f t="shared" si="269"/>
        <v>32000</v>
      </c>
      <c r="AE1454" s="852">
        <v>30660.35</v>
      </c>
      <c r="AF1454" s="853">
        <v>0.2</v>
      </c>
      <c r="AG1454" s="854">
        <f t="shared" si="273"/>
        <v>843936.63654641609</v>
      </c>
      <c r="AH1454" s="853">
        <v>0.08</v>
      </c>
      <c r="AI1454" s="855">
        <f t="shared" si="274"/>
        <v>383488.23388371326</v>
      </c>
      <c r="AJ1454" s="845" t="s">
        <v>4908</v>
      </c>
      <c r="AK1454" s="857">
        <v>45862</v>
      </c>
      <c r="AL1454" s="843" t="s">
        <v>4909</v>
      </c>
      <c r="AM1454" s="843"/>
      <c r="AN1454" s="844" t="s">
        <v>3951</v>
      </c>
      <c r="AO1454" s="844" t="s">
        <v>141</v>
      </c>
      <c r="AP1454" s="841"/>
      <c r="AQ1454" s="841">
        <v>45876</v>
      </c>
      <c r="AR1454" s="841">
        <v>45920</v>
      </c>
      <c r="AS1454" s="841" t="s">
        <v>4697</v>
      </c>
      <c r="AT1454" s="842" t="s">
        <v>1235</v>
      </c>
      <c r="AU1454" s="842" t="s">
        <v>1311</v>
      </c>
      <c r="AV1454" s="856" t="s">
        <v>4910</v>
      </c>
      <c r="AW1454" s="861">
        <v>45923</v>
      </c>
      <c r="AX1454" s="862">
        <v>45924</v>
      </c>
      <c r="AY1454" s="843" t="s">
        <v>4949</v>
      </c>
      <c r="AZ1454" s="842" t="s">
        <v>4927</v>
      </c>
      <c r="BA1454" s="842" t="s">
        <v>120</v>
      </c>
      <c r="BB1454" s="863" t="s">
        <v>121</v>
      </c>
      <c r="BC1454" s="864">
        <v>45926</v>
      </c>
      <c r="BD1454" s="860" t="s">
        <v>4912</v>
      </c>
      <c r="BE1454" s="865" cm="1">
        <f t="array" ref="BE1454">IF(BD1454="","",AC1454/SUMPRODUCT(--(BD1454=$BD$4:$BD$12824),$AC$4:$AC$12824))</f>
        <v>1.6505988898626936E-2</v>
      </c>
      <c r="BF1454" s="458"/>
      <c r="BG1454" s="458"/>
      <c r="BH1454" s="458"/>
      <c r="BI1454" s="458"/>
      <c r="BJ1454" s="458"/>
      <c r="BK1454" s="458"/>
      <c r="BL1454" s="458"/>
      <c r="BM1454" s="458"/>
      <c r="BN1454" s="458"/>
      <c r="BO1454" s="866">
        <f>VLOOKUP(BD1454,$BD$4:$BN$12824,3,0)*BE1454</f>
        <v>266265.53461875551</v>
      </c>
      <c r="BP1454" s="866"/>
      <c r="BQ1454" s="866"/>
      <c r="BR1454" s="866">
        <f>VLOOKUP(BD1454,$BD$4:$BN$12824,6,0)*BE1454</f>
        <v>6547.5131463628395</v>
      </c>
      <c r="BS1454" s="866">
        <f>VLOOKUP(BD1454,$BD$4:$BN$12824,7,0)*BE1454</f>
        <v>3751.3611133243035</v>
      </c>
      <c r="BT1454" s="866"/>
      <c r="BU1454" s="866">
        <f>VLOOKUP(BD1454,$BD$4:$BN$12824,9,0)*BE1454</f>
        <v>373.4479988314344</v>
      </c>
      <c r="BV1454" s="867"/>
      <c r="BW1454" s="867">
        <f>VLOOKUP(BD1454,$BD$4:$BN$12824,11,0)*BE1454</f>
        <v>0</v>
      </c>
      <c r="BX1454" s="1146">
        <f t="shared" si="275"/>
        <v>276937.85687727411</v>
      </c>
      <c r="BY1454" s="867">
        <f t="shared" si="278"/>
        <v>422545.06503530749</v>
      </c>
      <c r="BZ1454" s="867">
        <f t="shared" si="276"/>
        <v>5070540.7804236896</v>
      </c>
      <c r="CA1454" s="867">
        <f>_xlfn.MAXIFS($BY$4:$BY$12824,$S$4:$S$12824,$S1454)</f>
        <v>422545.06503530749</v>
      </c>
      <c r="CB1454" s="1032"/>
      <c r="CF1454" s="946">
        <f t="shared" si="277"/>
        <v>3949666.2869999995</v>
      </c>
    </row>
    <row r="1455" spans="2:84">
      <c r="B1455" s="839" t="s">
        <v>98</v>
      </c>
      <c r="C1455" s="839" t="s">
        <v>131</v>
      </c>
      <c r="D1455" s="839" t="s">
        <v>4950</v>
      </c>
      <c r="E1455" s="839" t="s">
        <v>4951</v>
      </c>
      <c r="F1455" s="841">
        <v>45856</v>
      </c>
      <c r="G1455" s="868" t="s">
        <v>133</v>
      </c>
      <c r="H1455" s="842" t="s">
        <v>102</v>
      </c>
      <c r="I1455" s="883" t="s">
        <v>4952</v>
      </c>
      <c r="J1455" s="841">
        <v>45856</v>
      </c>
      <c r="K1455" s="841">
        <v>45944</v>
      </c>
      <c r="L1455" s="843" t="s">
        <v>106</v>
      </c>
      <c r="M1455" s="844" t="s">
        <v>417</v>
      </c>
      <c r="N1455" s="841">
        <v>45884</v>
      </c>
      <c r="O1455" s="884" t="s">
        <v>150</v>
      </c>
      <c r="P1455" s="842" t="s">
        <v>4953</v>
      </c>
      <c r="Q1455" s="843"/>
      <c r="R1455" s="845" t="s">
        <v>4954</v>
      </c>
      <c r="S1455" s="1128" t="s">
        <v>4955</v>
      </c>
      <c r="T1455" s="894" t="s">
        <v>4956</v>
      </c>
      <c r="U1455" s="886">
        <v>1</v>
      </c>
      <c r="V1455" s="842" t="s">
        <v>8</v>
      </c>
      <c r="W1455" s="846">
        <v>153</v>
      </c>
      <c r="X1455" s="847">
        <v>153</v>
      </c>
      <c r="Y1455" s="853">
        <v>0.43</v>
      </c>
      <c r="Z1455" s="849">
        <v>87.210000000000008</v>
      </c>
      <c r="AA1455" s="849"/>
      <c r="AB1455" s="849">
        <f t="shared" si="271"/>
        <v>87.210000000000008</v>
      </c>
      <c r="AC1455" s="850">
        <f t="shared" si="272"/>
        <v>87.210000000000008</v>
      </c>
      <c r="AD1455" s="851">
        <f t="shared" si="269"/>
        <v>27000</v>
      </c>
      <c r="AE1455" s="852">
        <v>26202</v>
      </c>
      <c r="AF1455" s="853">
        <v>0</v>
      </c>
      <c r="AG1455" s="854">
        <f t="shared" si="273"/>
        <v>0</v>
      </c>
      <c r="AH1455" s="853">
        <v>0.08</v>
      </c>
      <c r="AI1455" s="855">
        <f t="shared" si="274"/>
        <v>230469.53178181819</v>
      </c>
      <c r="AJ1455" s="845" t="s">
        <v>4950</v>
      </c>
      <c r="AK1455" s="864">
        <v>45901</v>
      </c>
      <c r="AL1455" s="843" t="s">
        <v>4957</v>
      </c>
      <c r="AM1455" s="843" t="s">
        <v>4958</v>
      </c>
      <c r="AN1455" s="844" t="s">
        <v>4959</v>
      </c>
      <c r="AO1455" s="844" t="s">
        <v>141</v>
      </c>
      <c r="AP1455" s="841"/>
      <c r="AQ1455" s="841">
        <v>45914</v>
      </c>
      <c r="AR1455" s="841">
        <v>45921</v>
      </c>
      <c r="AS1455" s="842" t="s">
        <v>1874</v>
      </c>
      <c r="AT1455" s="842" t="s">
        <v>1235</v>
      </c>
      <c r="AU1455" s="842"/>
      <c r="AV1455" s="845" t="s">
        <v>4960</v>
      </c>
      <c r="AW1455" s="861">
        <v>45920</v>
      </c>
      <c r="AX1455" s="862">
        <v>45929</v>
      </c>
      <c r="AY1455" s="843" t="s">
        <v>4961</v>
      </c>
      <c r="AZ1455" s="842" t="s">
        <v>4276</v>
      </c>
      <c r="BA1455" s="842" t="s">
        <v>120</v>
      </c>
      <c r="BB1455" s="863" t="s">
        <v>121</v>
      </c>
      <c r="BC1455" s="864">
        <v>45930</v>
      </c>
      <c r="BD1455" s="860" t="s">
        <v>4962</v>
      </c>
      <c r="BE1455" s="865" cm="1">
        <f t="array" ref="BE1455">IF(BD1455="","",AC1455/SUMPRODUCT(--(BD1455=$BD$4:$BD$12824),$AC$4:$AC$12824))</f>
        <v>3.5319875519814947E-3</v>
      </c>
      <c r="BF1455" s="458" cm="1">
        <f t="array" ref="BF1455">SUM(_xlfn._xlws.FILTER( INDEX(Cost!$B$3:$BK$77,MATCH(LDL!$BD1455, Cost!$F$3:$F$77, 0),0),Cost!$B$3:$BK$3 = BF$3))</f>
        <v>0</v>
      </c>
      <c r="BG1455" s="458"/>
      <c r="BH1455" s="458"/>
      <c r="BI1455" s="458" cm="1">
        <f t="array" ref="BI1455">SUM(_xlfn._xlws.FILTER( INDEX(Cost!$B$3:$BK$77,MATCH(LDL!$BD1455, Cost!$F$3:$F$77, 0),0),Cost!$B$3:$BK$3 = BI$3))/1.08</f>
        <v>8443888.8888888881</v>
      </c>
      <c r="BJ1455" s="458" cm="1">
        <f t="array" ref="BJ1455">SUM(_xlfn._xlws.FILTER( INDEX(Cost!$B$3:$BK$77,MATCH(LDL!$BD1455, Cost!$F$3:$F$77, 0),0),Cost!$B$3:$BK$3 = BJ$3))</f>
        <v>595792.72727272718</v>
      </c>
      <c r="BK1455" s="458"/>
      <c r="BL1455" s="458" cm="1">
        <f t="array" ref="BL1455">SUM(_xlfn._xlws.FILTER( INDEX(Cost!$B$3:$BK$77,MATCH(LDL!$BD1455, Cost!$F$3:$F$77, 0),0),Cost!$B$3:$BK$3 = BL$3))</f>
        <v>270000</v>
      </c>
      <c r="BM1455" s="458"/>
      <c r="BN1455" s="458" cm="1">
        <f t="array" ref="BN1455">SUM(_xlfn._xlws.FILTER( INDEX(Cost!$B$3:$BK$77,MATCH(LDL!$BD1455, Cost!$F$3:$F$77, 0),0),Cost!$B$3:$BK$3 = BN$3))/1.08</f>
        <v>5221296.2962962957</v>
      </c>
      <c r="BO1455" s="866">
        <f>VLOOKUP(BD1455,$BD$4:$BN$12824,3,0)*BE1455</f>
        <v>0</v>
      </c>
      <c r="BP1455" s="866"/>
      <c r="BQ1455" s="866"/>
      <c r="BR1455" s="866">
        <f>VLOOKUP(BD1455,$BD$4:$BN$12824,6,0)*BE1455</f>
        <v>29823.710445870405</v>
      </c>
      <c r="BS1455" s="866">
        <f>VLOOKUP(BD1455,$BD$4:$BN$12824,7,0)*BE1455</f>
        <v>2104.332496288378</v>
      </c>
      <c r="BT1455" s="866"/>
      <c r="BU1455" s="866">
        <f>VLOOKUP(BD1455,$BD$4:$BN$12824,9,0)*BE1455</f>
        <v>953.63663903500355</v>
      </c>
      <c r="BV1455" s="867"/>
      <c r="BW1455" s="867">
        <f>VLOOKUP(BD1455,$BD$4:$BN$12824,11,0)*BE1455</f>
        <v>18441.553523725597</v>
      </c>
      <c r="BX1455" s="1146">
        <f t="shared" si="275"/>
        <v>51323.233104919382</v>
      </c>
      <c r="BY1455" s="867">
        <f t="shared" si="278"/>
        <v>2336399.6531049199</v>
      </c>
      <c r="BZ1455" s="867">
        <f t="shared" si="276"/>
        <v>2336399.6531049199</v>
      </c>
      <c r="CA1455" s="867">
        <f>_xlfn.MAXIFS($BY$4:$BY$12824,$S$4:$S$12824,$S1455)</f>
        <v>2336399.6531049199</v>
      </c>
      <c r="CB1455" s="1032"/>
      <c r="CF1455" s="946">
        <f t="shared" si="277"/>
        <v>2285076.4200000004</v>
      </c>
    </row>
    <row r="1456" spans="2:84">
      <c r="B1456" s="839" t="s">
        <v>98</v>
      </c>
      <c r="C1456" s="839" t="s">
        <v>131</v>
      </c>
      <c r="D1456" s="839" t="s">
        <v>4950</v>
      </c>
      <c r="E1456" s="839" t="s">
        <v>4951</v>
      </c>
      <c r="F1456" s="841">
        <v>45856</v>
      </c>
      <c r="G1456" s="868" t="s">
        <v>133</v>
      </c>
      <c r="H1456" s="842" t="s">
        <v>102</v>
      </c>
      <c r="I1456" s="883" t="s">
        <v>4952</v>
      </c>
      <c r="J1456" s="841">
        <v>45856</v>
      </c>
      <c r="K1456" s="841">
        <v>45944</v>
      </c>
      <c r="L1456" s="843" t="s">
        <v>106</v>
      </c>
      <c r="M1456" s="844" t="s">
        <v>417</v>
      </c>
      <c r="N1456" s="841">
        <v>45884</v>
      </c>
      <c r="O1456" s="884" t="s">
        <v>150</v>
      </c>
      <c r="P1456" s="842" t="s">
        <v>4953</v>
      </c>
      <c r="Q1456" s="843"/>
      <c r="R1456" s="845" t="s">
        <v>4963</v>
      </c>
      <c r="S1456" s="1128" t="s">
        <v>4964</v>
      </c>
      <c r="T1456" s="894" t="s">
        <v>4965</v>
      </c>
      <c r="U1456" s="886">
        <v>4</v>
      </c>
      <c r="V1456" s="842" t="s">
        <v>8</v>
      </c>
      <c r="W1456" s="846">
        <v>336</v>
      </c>
      <c r="X1456" s="847">
        <v>1344</v>
      </c>
      <c r="Y1456" s="853">
        <v>0.43</v>
      </c>
      <c r="Z1456" s="849">
        <v>191.52</v>
      </c>
      <c r="AA1456" s="849"/>
      <c r="AB1456" s="849">
        <f t="shared" si="271"/>
        <v>766.08</v>
      </c>
      <c r="AC1456" s="850">
        <f t="shared" si="272"/>
        <v>766.08</v>
      </c>
      <c r="AD1456" s="851">
        <f t="shared" si="269"/>
        <v>27000</v>
      </c>
      <c r="AE1456" s="852">
        <v>26202</v>
      </c>
      <c r="AF1456" s="853">
        <v>0</v>
      </c>
      <c r="AG1456" s="854">
        <f t="shared" si="273"/>
        <v>0</v>
      </c>
      <c r="AH1456" s="853">
        <v>0.08</v>
      </c>
      <c r="AI1456" s="855">
        <f t="shared" si="274"/>
        <v>1605826.2528000001</v>
      </c>
      <c r="AJ1456" s="845" t="s">
        <v>4950</v>
      </c>
      <c r="AK1456" s="864">
        <v>45901</v>
      </c>
      <c r="AL1456" s="843" t="s">
        <v>4957</v>
      </c>
      <c r="AM1456" s="843" t="s">
        <v>4958</v>
      </c>
      <c r="AN1456" s="844" t="s">
        <v>4959</v>
      </c>
      <c r="AO1456" s="844" t="s">
        <v>141</v>
      </c>
      <c r="AP1456" s="841"/>
      <c r="AQ1456" s="841">
        <v>45914</v>
      </c>
      <c r="AR1456" s="841">
        <v>45921</v>
      </c>
      <c r="AS1456" s="842" t="s">
        <v>1874</v>
      </c>
      <c r="AT1456" s="842" t="s">
        <v>1235</v>
      </c>
      <c r="AU1456" s="842"/>
      <c r="AV1456" s="845" t="s">
        <v>4960</v>
      </c>
      <c r="AW1456" s="861">
        <v>45920</v>
      </c>
      <c r="AX1456" s="862">
        <v>45929</v>
      </c>
      <c r="AY1456" s="843" t="s">
        <v>4966</v>
      </c>
      <c r="AZ1456" s="842" t="s">
        <v>4276</v>
      </c>
      <c r="BA1456" s="842" t="s">
        <v>120</v>
      </c>
      <c r="BB1456" s="863" t="s">
        <v>121</v>
      </c>
      <c r="BC1456" s="864">
        <v>45930</v>
      </c>
      <c r="BD1456" s="860" t="s">
        <v>4962</v>
      </c>
      <c r="BE1456" s="865" cm="1">
        <f t="array" ref="BE1456">IF(BD1456="","",AC1456/SUMPRODUCT(--(BD1456=$BD$4:$BD$12824),$AC$4:$AC$12824))</f>
        <v>3.1026086731131559E-2</v>
      </c>
      <c r="BF1456" s="458"/>
      <c r="BG1456" s="458"/>
      <c r="BH1456" s="458"/>
      <c r="BI1456" s="458"/>
      <c r="BJ1456" s="458"/>
      <c r="BK1456" s="458"/>
      <c r="BL1456" s="458"/>
      <c r="BM1456" s="458"/>
      <c r="BN1456" s="458"/>
      <c r="BO1456" s="866">
        <f>VLOOKUP(BD1456,$BD$4:$BN$12824,3,0)*BE1456</f>
        <v>0</v>
      </c>
      <c r="BP1456" s="866"/>
      <c r="BQ1456" s="866"/>
      <c r="BR1456" s="866">
        <f>VLOOKUP(BD1456,$BD$4:$BN$12824,6,0)*BE1456</f>
        <v>261980.82901470474</v>
      </c>
      <c r="BS1456" s="866">
        <f>VLOOKUP(BD1456,$BD$4:$BN$12824,7,0)*BE1456</f>
        <v>18485.116830141043</v>
      </c>
      <c r="BT1456" s="866"/>
      <c r="BU1456" s="866">
        <f>VLOOKUP(BD1456,$BD$4:$BN$12824,9,0)*BE1456</f>
        <v>8377.0434174055208</v>
      </c>
      <c r="BV1456" s="867"/>
      <c r="BW1456" s="867">
        <f>VLOOKUP(BD1456,$BD$4:$BN$12824,11,0)*BE1456</f>
        <v>161996.39173782486</v>
      </c>
      <c r="BX1456" s="1146">
        <f t="shared" si="275"/>
        <v>450839.38100007619</v>
      </c>
      <c r="BY1456" s="867">
        <f t="shared" si="278"/>
        <v>5130916.8852500189</v>
      </c>
      <c r="BZ1456" s="867">
        <f t="shared" si="276"/>
        <v>20523667.541000076</v>
      </c>
      <c r="CA1456" s="867">
        <f>_xlfn.MAXIFS($BY$4:$BY$12824,$S$4:$S$12824,$S1456)</f>
        <v>5130916.8852500189</v>
      </c>
      <c r="CB1456" s="1032"/>
      <c r="CF1456" s="946">
        <f t="shared" si="277"/>
        <v>20072828.16</v>
      </c>
    </row>
    <row r="1457" spans="2:84">
      <c r="B1457" s="839" t="s">
        <v>98</v>
      </c>
      <c r="C1457" s="839" t="s">
        <v>131</v>
      </c>
      <c r="D1457" s="839" t="s">
        <v>4950</v>
      </c>
      <c r="E1457" s="839" t="s">
        <v>4967</v>
      </c>
      <c r="F1457" s="841">
        <v>45860</v>
      </c>
      <c r="G1457" s="868" t="s">
        <v>133</v>
      </c>
      <c r="H1457" s="842" t="s">
        <v>102</v>
      </c>
      <c r="I1457" s="883" t="s">
        <v>4968</v>
      </c>
      <c r="J1457" s="841">
        <v>45860</v>
      </c>
      <c r="K1457" s="841"/>
      <c r="L1457" s="843" t="s">
        <v>106</v>
      </c>
      <c r="M1457" s="844" t="s">
        <v>417</v>
      </c>
      <c r="N1457" s="841">
        <v>45884</v>
      </c>
      <c r="O1457" s="884" t="s">
        <v>150</v>
      </c>
      <c r="P1457" s="842" t="s">
        <v>4953</v>
      </c>
      <c r="Q1457" s="843"/>
      <c r="R1457" s="845" t="s">
        <v>4969</v>
      </c>
      <c r="S1457" s="1128" t="s">
        <v>4970</v>
      </c>
      <c r="T1457" s="894" t="s">
        <v>4971</v>
      </c>
      <c r="U1457" s="886">
        <v>1</v>
      </c>
      <c r="V1457" s="842" t="s">
        <v>8</v>
      </c>
      <c r="W1457" s="846">
        <v>336</v>
      </c>
      <c r="X1457" s="847">
        <v>336</v>
      </c>
      <c r="Y1457" s="853">
        <v>0.43</v>
      </c>
      <c r="Z1457" s="849">
        <v>191.52</v>
      </c>
      <c r="AA1457" s="849"/>
      <c r="AB1457" s="849">
        <f t="shared" si="271"/>
        <v>191.52</v>
      </c>
      <c r="AC1457" s="850">
        <f t="shared" si="272"/>
        <v>191.52</v>
      </c>
      <c r="AD1457" s="851">
        <f t="shared" si="269"/>
        <v>27000</v>
      </c>
      <c r="AE1457" s="852">
        <v>26202</v>
      </c>
      <c r="AF1457" s="853">
        <v>0</v>
      </c>
      <c r="AG1457" s="854">
        <f t="shared" si="273"/>
        <v>0</v>
      </c>
      <c r="AH1457" s="853">
        <v>0.08</v>
      </c>
      <c r="AI1457" s="855">
        <f t="shared" si="274"/>
        <v>401456.56320000003</v>
      </c>
      <c r="AJ1457" s="845" t="s">
        <v>4950</v>
      </c>
      <c r="AK1457" s="864">
        <v>45901</v>
      </c>
      <c r="AL1457" s="843" t="s">
        <v>4957</v>
      </c>
      <c r="AM1457" s="843" t="s">
        <v>4958</v>
      </c>
      <c r="AN1457" s="844" t="s">
        <v>4959</v>
      </c>
      <c r="AO1457" s="844" t="s">
        <v>141</v>
      </c>
      <c r="AP1457" s="841"/>
      <c r="AQ1457" s="841">
        <v>45914</v>
      </c>
      <c r="AR1457" s="841">
        <v>45921</v>
      </c>
      <c r="AS1457" s="842" t="s">
        <v>1874</v>
      </c>
      <c r="AT1457" s="842" t="s">
        <v>1235</v>
      </c>
      <c r="AU1457" s="842"/>
      <c r="AV1457" s="845" t="s">
        <v>4960</v>
      </c>
      <c r="AW1457" s="861">
        <v>45920</v>
      </c>
      <c r="AX1457" s="862">
        <v>45929</v>
      </c>
      <c r="AY1457" s="843" t="s">
        <v>4972</v>
      </c>
      <c r="AZ1457" s="842" t="s">
        <v>4276</v>
      </c>
      <c r="BA1457" s="842" t="s">
        <v>120</v>
      </c>
      <c r="BB1457" s="863" t="s">
        <v>121</v>
      </c>
      <c r="BC1457" s="864">
        <v>45930</v>
      </c>
      <c r="BD1457" s="860" t="s">
        <v>4962</v>
      </c>
      <c r="BE1457" s="865" cm="1">
        <f t="array" ref="BE1457">IF(BD1457="","",AC1457/SUMPRODUCT(--(BD1457=$BD$4:$BD$12824),$AC$4:$AC$12824))</f>
        <v>7.7565216827828899E-3</v>
      </c>
      <c r="BF1457" s="458"/>
      <c r="BG1457" s="458"/>
      <c r="BH1457" s="458"/>
      <c r="BI1457" s="458"/>
      <c r="BJ1457" s="458"/>
      <c r="BK1457" s="458"/>
      <c r="BL1457" s="458"/>
      <c r="BM1457" s="458"/>
      <c r="BN1457" s="458"/>
      <c r="BO1457" s="866">
        <f>VLOOKUP(BD1457,$BD$4:$BN$12824,3,0)*BE1457</f>
        <v>0</v>
      </c>
      <c r="BP1457" s="866"/>
      <c r="BQ1457" s="866"/>
      <c r="BR1457" s="866">
        <f>VLOOKUP(BD1457,$BD$4:$BN$12824,6,0)*BE1457</f>
        <v>65495.207253676184</v>
      </c>
      <c r="BS1457" s="866">
        <f>VLOOKUP(BD1457,$BD$4:$BN$12824,7,0)*BE1457</f>
        <v>4621.2792075352609</v>
      </c>
      <c r="BT1457" s="866"/>
      <c r="BU1457" s="866">
        <f>VLOOKUP(BD1457,$BD$4:$BN$12824,9,0)*BE1457</f>
        <v>2094.2608543513802</v>
      </c>
      <c r="BV1457" s="867"/>
      <c r="BW1457" s="867">
        <f>VLOOKUP(BD1457,$BD$4:$BN$12824,11,0)*BE1457</f>
        <v>40499.097934456215</v>
      </c>
      <c r="BX1457" s="1146">
        <f t="shared" si="275"/>
        <v>112709.84525001905</v>
      </c>
      <c r="BY1457" s="867">
        <f t="shared" si="278"/>
        <v>5130916.8852500189</v>
      </c>
      <c r="BZ1457" s="867">
        <f t="shared" si="276"/>
        <v>5130916.8852500189</v>
      </c>
      <c r="CA1457" s="867">
        <f>_xlfn.MAXIFS($BY$4:$BY$12824,$S$4:$S$12824,$S1457)</f>
        <v>5130916.8852500189</v>
      </c>
      <c r="CB1457" s="1032"/>
      <c r="CF1457" s="946">
        <f t="shared" si="277"/>
        <v>5018207.04</v>
      </c>
    </row>
    <row r="1458" spans="2:84">
      <c r="B1458" s="839" t="s">
        <v>98</v>
      </c>
      <c r="C1458" s="839" t="s">
        <v>131</v>
      </c>
      <c r="D1458" s="839" t="s">
        <v>4950</v>
      </c>
      <c r="E1458" s="901" t="s">
        <v>4967</v>
      </c>
      <c r="F1458" s="841">
        <v>45860</v>
      </c>
      <c r="G1458" s="868" t="s">
        <v>133</v>
      </c>
      <c r="H1458" s="842" t="s">
        <v>102</v>
      </c>
      <c r="I1458" s="883" t="s">
        <v>4968</v>
      </c>
      <c r="J1458" s="841">
        <v>45860</v>
      </c>
      <c r="K1458" s="841"/>
      <c r="L1458" s="843" t="s">
        <v>106</v>
      </c>
      <c r="M1458" s="844" t="s">
        <v>417</v>
      </c>
      <c r="N1458" s="841">
        <v>45884</v>
      </c>
      <c r="O1458" s="884" t="s">
        <v>135</v>
      </c>
      <c r="P1458" s="842" t="s">
        <v>136</v>
      </c>
      <c r="Q1458" s="843"/>
      <c r="R1458" s="845" t="s">
        <v>4973</v>
      </c>
      <c r="S1458" s="1128" t="s">
        <v>4974</v>
      </c>
      <c r="T1458" s="894" t="s">
        <v>4975</v>
      </c>
      <c r="U1458" s="886">
        <v>1</v>
      </c>
      <c r="V1458" s="842" t="s">
        <v>8</v>
      </c>
      <c r="W1458" s="846">
        <v>73</v>
      </c>
      <c r="X1458" s="847">
        <v>73</v>
      </c>
      <c r="Y1458" s="853">
        <v>0.43</v>
      </c>
      <c r="Z1458" s="849">
        <v>41.610000000000007</v>
      </c>
      <c r="AA1458" s="849"/>
      <c r="AB1458" s="849">
        <f t="shared" si="271"/>
        <v>41.610000000000007</v>
      </c>
      <c r="AC1458" s="850">
        <f t="shared" si="272"/>
        <v>41.610000000000007</v>
      </c>
      <c r="AD1458" s="851">
        <f t="shared" si="269"/>
        <v>27000</v>
      </c>
      <c r="AE1458" s="852">
        <v>26202</v>
      </c>
      <c r="AF1458" s="853">
        <v>0</v>
      </c>
      <c r="AG1458" s="854">
        <f t="shared" si="273"/>
        <v>0</v>
      </c>
      <c r="AH1458" s="853">
        <v>0.08</v>
      </c>
      <c r="AI1458" s="855">
        <f t="shared" si="274"/>
        <v>87221.217600000018</v>
      </c>
      <c r="AJ1458" s="845" t="s">
        <v>4950</v>
      </c>
      <c r="AK1458" s="864">
        <v>45901</v>
      </c>
      <c r="AL1458" s="843" t="s">
        <v>4957</v>
      </c>
      <c r="AM1458" s="843" t="s">
        <v>4958</v>
      </c>
      <c r="AN1458" s="844" t="s">
        <v>4959</v>
      </c>
      <c r="AO1458" s="844" t="s">
        <v>141</v>
      </c>
      <c r="AP1458" s="841"/>
      <c r="AQ1458" s="841">
        <v>45914</v>
      </c>
      <c r="AR1458" s="841">
        <v>45921</v>
      </c>
      <c r="AS1458" s="842" t="s">
        <v>1874</v>
      </c>
      <c r="AT1458" s="842" t="s">
        <v>1235</v>
      </c>
      <c r="AU1458" s="842"/>
      <c r="AV1458" s="845" t="s">
        <v>4960</v>
      </c>
      <c r="AW1458" s="861">
        <v>45920</v>
      </c>
      <c r="AX1458" s="862">
        <v>45929</v>
      </c>
      <c r="AY1458" s="843" t="s">
        <v>4976</v>
      </c>
      <c r="AZ1458" s="842" t="s">
        <v>4977</v>
      </c>
      <c r="BA1458" s="842" t="s">
        <v>120</v>
      </c>
      <c r="BB1458" s="863" t="s">
        <v>121</v>
      </c>
      <c r="BC1458" s="864">
        <v>45930</v>
      </c>
      <c r="BD1458" s="860" t="s">
        <v>4962</v>
      </c>
      <c r="BE1458" s="865" cm="1">
        <f t="array" ref="BE1458">IF(BD1458="","",AC1458/SUMPRODUCT(--(BD1458=$BD$4:$BD$12824),$AC$4:$AC$12824))</f>
        <v>1.6851966751284257E-3</v>
      </c>
      <c r="BF1458" s="458"/>
      <c r="BG1458" s="458"/>
      <c r="BH1458" s="458"/>
      <c r="BI1458" s="458"/>
      <c r="BJ1458" s="458"/>
      <c r="BK1458" s="458"/>
      <c r="BL1458" s="458"/>
      <c r="BM1458" s="458"/>
      <c r="BN1458" s="458"/>
      <c r="BO1458" s="866">
        <f>VLOOKUP(BD1458,$BD$4:$BN$12824,3,0)*BE1458</f>
        <v>0</v>
      </c>
      <c r="BP1458" s="866"/>
      <c r="BQ1458" s="866"/>
      <c r="BR1458" s="866">
        <f>VLOOKUP(BD1458,$BD$4:$BN$12824,6,0)*BE1458</f>
        <v>14229.613480709411</v>
      </c>
      <c r="BS1458" s="866">
        <f>VLOOKUP(BD1458,$BD$4:$BN$12824,7,0)*BE1458</f>
        <v>1004.0279230656968</v>
      </c>
      <c r="BT1458" s="866"/>
      <c r="BU1458" s="866">
        <f>VLOOKUP(BD1458,$BD$4:$BN$12824,9,0)*BE1458</f>
        <v>455.00310228467492</v>
      </c>
      <c r="BV1458" s="867"/>
      <c r="BW1458" s="867">
        <f>VLOOKUP(BD1458,$BD$4:$BN$12824,11,0)*BE1458</f>
        <v>8798.9111583788817</v>
      </c>
      <c r="BX1458" s="1146">
        <f t="shared" si="275"/>
        <v>24487.555664438663</v>
      </c>
      <c r="BY1458" s="867">
        <f t="shared" si="278"/>
        <v>1114752.775664439</v>
      </c>
      <c r="BZ1458" s="867">
        <f t="shared" si="276"/>
        <v>1114752.775664439</v>
      </c>
      <c r="CA1458" s="867">
        <f>_xlfn.MAXIFS($BY$4:$BY$12824,$S$4:$S$12824,$S1458)</f>
        <v>1114752.775664439</v>
      </c>
      <c r="CB1458" s="1032"/>
      <c r="CF1458" s="946">
        <f t="shared" si="277"/>
        <v>1090265.2200000002</v>
      </c>
    </row>
    <row r="1459" spans="2:84">
      <c r="B1459" s="839" t="s">
        <v>98</v>
      </c>
      <c r="C1459" s="839" t="s">
        <v>131</v>
      </c>
      <c r="D1459" s="839" t="s">
        <v>4950</v>
      </c>
      <c r="E1459" s="839" t="s">
        <v>4978</v>
      </c>
      <c r="F1459" s="841">
        <v>45873</v>
      </c>
      <c r="G1459" s="840" t="s">
        <v>155</v>
      </c>
      <c r="H1459" s="842" t="s">
        <v>102</v>
      </c>
      <c r="I1459" s="883" t="s">
        <v>4979</v>
      </c>
      <c r="J1459" s="841">
        <v>45867</v>
      </c>
      <c r="K1459" s="841">
        <v>45959</v>
      </c>
      <c r="L1459" s="843" t="s">
        <v>106</v>
      </c>
      <c r="M1459" s="844" t="s">
        <v>417</v>
      </c>
      <c r="N1459" s="841">
        <v>45884</v>
      </c>
      <c r="O1459" s="884" t="s">
        <v>150</v>
      </c>
      <c r="P1459" s="842" t="s">
        <v>151</v>
      </c>
      <c r="Q1459" s="843"/>
      <c r="R1459" s="856" t="s">
        <v>4980</v>
      </c>
      <c r="S1459" s="1128" t="s">
        <v>4981</v>
      </c>
      <c r="T1459" s="894" t="s">
        <v>4982</v>
      </c>
      <c r="U1459" s="886">
        <v>2</v>
      </c>
      <c r="V1459" s="842" t="s">
        <v>8</v>
      </c>
      <c r="W1459" s="846">
        <v>440</v>
      </c>
      <c r="X1459" s="847">
        <v>880</v>
      </c>
      <c r="Y1459" s="853">
        <v>0.45</v>
      </c>
      <c r="Z1459" s="849">
        <v>242.00000000000003</v>
      </c>
      <c r="AA1459" s="849"/>
      <c r="AB1459" s="849">
        <f t="shared" si="271"/>
        <v>484.00000000000006</v>
      </c>
      <c r="AC1459" s="850">
        <f t="shared" si="272"/>
        <v>484.00000000000006</v>
      </c>
      <c r="AD1459" s="851">
        <f t="shared" si="269"/>
        <v>27000</v>
      </c>
      <c r="AE1459" s="852">
        <v>26202</v>
      </c>
      <c r="AF1459" s="853">
        <v>0</v>
      </c>
      <c r="AG1459" s="854">
        <f t="shared" si="273"/>
        <v>0</v>
      </c>
      <c r="AH1459" s="853">
        <v>0.08</v>
      </c>
      <c r="AI1459" s="855">
        <f t="shared" si="274"/>
        <v>1014541.4400000002</v>
      </c>
      <c r="AJ1459" s="845" t="s">
        <v>4950</v>
      </c>
      <c r="AK1459" s="857">
        <v>45901</v>
      </c>
      <c r="AL1459" s="843" t="s">
        <v>4957</v>
      </c>
      <c r="AM1459" s="843" t="s">
        <v>4958</v>
      </c>
      <c r="AN1459" s="844" t="s">
        <v>4959</v>
      </c>
      <c r="AO1459" s="844" t="s">
        <v>141</v>
      </c>
      <c r="AP1459" s="841"/>
      <c r="AQ1459" s="841">
        <v>45914</v>
      </c>
      <c r="AR1459" s="841">
        <v>45921</v>
      </c>
      <c r="AS1459" s="842" t="s">
        <v>1874</v>
      </c>
      <c r="AT1459" s="842" t="s">
        <v>1235</v>
      </c>
      <c r="AU1459" s="842"/>
      <c r="AV1459" s="845" t="s">
        <v>4960</v>
      </c>
      <c r="AW1459" s="861">
        <v>45920</v>
      </c>
      <c r="AX1459" s="862">
        <v>45929</v>
      </c>
      <c r="AY1459" s="843" t="s">
        <v>4983</v>
      </c>
      <c r="AZ1459" s="842" t="s">
        <v>4276</v>
      </c>
      <c r="BA1459" s="842" t="s">
        <v>120</v>
      </c>
      <c r="BB1459" s="863" t="s">
        <v>121</v>
      </c>
      <c r="BC1459" s="864">
        <v>45930</v>
      </c>
      <c r="BD1459" s="860" t="s">
        <v>4962</v>
      </c>
      <c r="BE1459" s="865" cm="1">
        <f t="array" ref="BE1459">IF(BD1459="","",AC1459/SUMPRODUCT(--(BD1459=$BD$4:$BD$12824),$AC$4:$AC$12824))</f>
        <v>1.9601903166598364E-2</v>
      </c>
      <c r="BF1459" s="458"/>
      <c r="BG1459" s="458"/>
      <c r="BH1459" s="458"/>
      <c r="BI1459" s="458"/>
      <c r="BJ1459" s="458"/>
      <c r="BK1459" s="458"/>
      <c r="BL1459" s="458"/>
      <c r="BM1459" s="458"/>
      <c r="BN1459" s="458"/>
      <c r="BO1459" s="866">
        <f>VLOOKUP(BD1459,$BD$4:$BN$12824,3,0)*BE1459</f>
        <v>0</v>
      </c>
      <c r="BP1459" s="866"/>
      <c r="BQ1459" s="866"/>
      <c r="BR1459" s="866">
        <f>VLOOKUP(BD1459,$BD$4:$BN$12824,6,0)*BE1459</f>
        <v>165516.29234951583</v>
      </c>
      <c r="BS1459" s="866">
        <f>VLOOKUP(BD1459,$BD$4:$BN$12824,7,0)*BE1459</f>
        <v>11678.671347363546</v>
      </c>
      <c r="BT1459" s="866"/>
      <c r="BU1459" s="866">
        <f>VLOOKUP(BD1459,$BD$4:$BN$12824,9,0)*BE1459</f>
        <v>5292.5138549815583</v>
      </c>
      <c r="BV1459" s="867"/>
      <c r="BW1459" s="867">
        <f>VLOOKUP(BD1459,$BD$4:$BN$12824,11,0)*BE1459</f>
        <v>102347.34440411867</v>
      </c>
      <c r="BX1459" s="1146">
        <f t="shared" si="275"/>
        <v>284834.82195597963</v>
      </c>
      <c r="BY1459" s="867">
        <f t="shared" si="278"/>
        <v>6483301.4109779904</v>
      </c>
      <c r="BZ1459" s="867">
        <f t="shared" si="276"/>
        <v>12966602.821955981</v>
      </c>
      <c r="CA1459" s="867">
        <f>_xlfn.MAXIFS($BY$4:$BY$12824,$S$4:$S$12824,$S1459)</f>
        <v>6483301.4109779904</v>
      </c>
      <c r="CB1459" s="1032"/>
      <c r="CF1459" s="946">
        <f t="shared" si="277"/>
        <v>12681768.000000002</v>
      </c>
    </row>
    <row r="1460" spans="2:84">
      <c r="B1460" s="839" t="s">
        <v>98</v>
      </c>
      <c r="C1460" s="839" t="s">
        <v>131</v>
      </c>
      <c r="D1460" s="839" t="s">
        <v>4950</v>
      </c>
      <c r="E1460" s="839" t="s">
        <v>4978</v>
      </c>
      <c r="F1460" s="841">
        <v>45873</v>
      </c>
      <c r="G1460" s="868" t="s">
        <v>133</v>
      </c>
      <c r="H1460" s="842" t="s">
        <v>102</v>
      </c>
      <c r="I1460" s="883" t="s">
        <v>4979</v>
      </c>
      <c r="J1460" s="841">
        <v>45867</v>
      </c>
      <c r="K1460" s="841">
        <v>45959</v>
      </c>
      <c r="L1460" s="843" t="s">
        <v>106</v>
      </c>
      <c r="M1460" s="844" t="s">
        <v>417</v>
      </c>
      <c r="N1460" s="841">
        <v>45884</v>
      </c>
      <c r="O1460" s="884" t="s">
        <v>135</v>
      </c>
      <c r="P1460" s="842" t="s">
        <v>186</v>
      </c>
      <c r="Q1460" s="843"/>
      <c r="R1460" s="845" t="s">
        <v>4984</v>
      </c>
      <c r="S1460" s="1128" t="s">
        <v>4985</v>
      </c>
      <c r="T1460" s="894" t="s">
        <v>4986</v>
      </c>
      <c r="U1460" s="886">
        <v>12</v>
      </c>
      <c r="V1460" s="842" t="s">
        <v>8</v>
      </c>
      <c r="W1460" s="846">
        <v>38</v>
      </c>
      <c r="X1460" s="847">
        <v>456</v>
      </c>
      <c r="Y1460" s="853">
        <v>0.6</v>
      </c>
      <c r="Z1460" s="849">
        <v>15.200000000000001</v>
      </c>
      <c r="AA1460" s="849"/>
      <c r="AB1460" s="849">
        <f t="shared" si="271"/>
        <v>182.4</v>
      </c>
      <c r="AC1460" s="850">
        <f t="shared" si="272"/>
        <v>182.4</v>
      </c>
      <c r="AD1460" s="851">
        <f t="shared" si="269"/>
        <v>27000</v>
      </c>
      <c r="AE1460" s="852">
        <v>26202</v>
      </c>
      <c r="AF1460" s="853">
        <v>0</v>
      </c>
      <c r="AG1460" s="854">
        <f t="shared" si="273"/>
        <v>0</v>
      </c>
      <c r="AH1460" s="853">
        <v>0.08</v>
      </c>
      <c r="AI1460" s="855">
        <f t="shared" si="274"/>
        <v>382339.58399999997</v>
      </c>
      <c r="AJ1460" s="845" t="s">
        <v>4950</v>
      </c>
      <c r="AK1460" s="864">
        <v>45901</v>
      </c>
      <c r="AL1460" s="843" t="s">
        <v>4957</v>
      </c>
      <c r="AM1460" s="843" t="s">
        <v>4958</v>
      </c>
      <c r="AN1460" s="844" t="s">
        <v>4959</v>
      </c>
      <c r="AO1460" s="844" t="s">
        <v>141</v>
      </c>
      <c r="AP1460" s="841"/>
      <c r="AQ1460" s="841">
        <v>45914</v>
      </c>
      <c r="AR1460" s="841">
        <v>45921</v>
      </c>
      <c r="AS1460" s="842" t="s">
        <v>1874</v>
      </c>
      <c r="AT1460" s="842" t="s">
        <v>1235</v>
      </c>
      <c r="AU1460" s="842"/>
      <c r="AV1460" s="845" t="s">
        <v>4960</v>
      </c>
      <c r="AW1460" s="861">
        <v>45920</v>
      </c>
      <c r="AX1460" s="862">
        <v>45929</v>
      </c>
      <c r="AY1460" s="843" t="s">
        <v>4987</v>
      </c>
      <c r="AZ1460" s="842" t="s">
        <v>2270</v>
      </c>
      <c r="BA1460" s="842" t="s">
        <v>120</v>
      </c>
      <c r="BB1460" s="863" t="s">
        <v>121</v>
      </c>
      <c r="BC1460" s="864">
        <v>45930</v>
      </c>
      <c r="BD1460" s="860" t="s">
        <v>4962</v>
      </c>
      <c r="BE1460" s="865" cm="1">
        <f t="array" ref="BE1460">IF(BD1460="","",AC1460/SUMPRODUCT(--(BD1460=$BD$4:$BD$12824),$AC$4:$AC$12824))</f>
        <v>7.3871635074122758E-3</v>
      </c>
      <c r="BF1460" s="458"/>
      <c r="BG1460" s="458"/>
      <c r="BH1460" s="458"/>
      <c r="BI1460" s="458"/>
      <c r="BJ1460" s="458"/>
      <c r="BK1460" s="458"/>
      <c r="BL1460" s="458"/>
      <c r="BM1460" s="458"/>
      <c r="BN1460" s="458"/>
      <c r="BO1460" s="866">
        <f>VLOOKUP(BD1460,$BD$4:$BN$12824,3,0)*BE1460</f>
        <v>0</v>
      </c>
      <c r="BP1460" s="866"/>
      <c r="BQ1460" s="866"/>
      <c r="BR1460" s="866">
        <f>VLOOKUP(BD1460,$BD$4:$BN$12824,6,0)*BE1460</f>
        <v>62376.387860643983</v>
      </c>
      <c r="BS1460" s="866">
        <f>VLOOKUP(BD1460,$BD$4:$BN$12824,7,0)*BE1460</f>
        <v>4401.218292890725</v>
      </c>
      <c r="BT1460" s="866"/>
      <c r="BU1460" s="866">
        <f>VLOOKUP(BD1460,$BD$4:$BN$12824,9,0)*BE1460</f>
        <v>1994.5341470013145</v>
      </c>
      <c r="BV1460" s="867"/>
      <c r="BW1460" s="867">
        <f>VLOOKUP(BD1460,$BD$4:$BN$12824,11,0)*BE1460</f>
        <v>38570.569461386869</v>
      </c>
      <c r="BX1460" s="1146">
        <f t="shared" si="275"/>
        <v>107342.70976192289</v>
      </c>
      <c r="BY1460" s="867">
        <f t="shared" si="278"/>
        <v>407215.62581349356</v>
      </c>
      <c r="BZ1460" s="867">
        <f t="shared" si="276"/>
        <v>4886587.509761923</v>
      </c>
      <c r="CA1460" s="867">
        <f>_xlfn.MAXIFS($BY$4:$BY$12824,$S$4:$S$12824,$S1460)</f>
        <v>407215.62581349356</v>
      </c>
      <c r="CB1460" s="1032"/>
      <c r="CF1460" s="946">
        <f t="shared" si="277"/>
        <v>4779244.8</v>
      </c>
    </row>
    <row r="1461" spans="2:84">
      <c r="B1461" s="839" t="s">
        <v>98</v>
      </c>
      <c r="C1461" s="839" t="s">
        <v>131</v>
      </c>
      <c r="D1461" s="839" t="s">
        <v>4950</v>
      </c>
      <c r="E1461" s="901" t="s">
        <v>4988</v>
      </c>
      <c r="F1461" s="841">
        <v>45863</v>
      </c>
      <c r="G1461" s="840" t="s">
        <v>155</v>
      </c>
      <c r="H1461" s="842" t="s">
        <v>102</v>
      </c>
      <c r="I1461" s="883" t="s">
        <v>4989</v>
      </c>
      <c r="J1461" s="841">
        <v>45863</v>
      </c>
      <c r="K1461" s="841"/>
      <c r="L1461" s="843" t="s">
        <v>106</v>
      </c>
      <c r="M1461" s="844" t="s">
        <v>417</v>
      </c>
      <c r="N1461" s="841">
        <v>45884</v>
      </c>
      <c r="O1461" s="884" t="s">
        <v>108</v>
      </c>
      <c r="P1461" s="842" t="s">
        <v>4990</v>
      </c>
      <c r="Q1461" s="843"/>
      <c r="R1461" s="845" t="s">
        <v>4991</v>
      </c>
      <c r="S1461" s="1128" t="s">
        <v>2075</v>
      </c>
      <c r="T1461" s="894" t="s">
        <v>4992</v>
      </c>
      <c r="U1461" s="886">
        <v>2</v>
      </c>
      <c r="V1461" s="842" t="s">
        <v>8</v>
      </c>
      <c r="W1461" s="846">
        <v>256</v>
      </c>
      <c r="X1461" s="847">
        <v>512</v>
      </c>
      <c r="Y1461" s="853">
        <v>0.45</v>
      </c>
      <c r="Z1461" s="849">
        <v>140.80000000000001</v>
      </c>
      <c r="AA1461" s="849"/>
      <c r="AB1461" s="849">
        <f t="shared" si="271"/>
        <v>281.60000000000002</v>
      </c>
      <c r="AC1461" s="850">
        <f t="shared" si="272"/>
        <v>281.60000000000002</v>
      </c>
      <c r="AD1461" s="851">
        <f t="shared" si="269"/>
        <v>27000</v>
      </c>
      <c r="AE1461" s="852">
        <v>26202</v>
      </c>
      <c r="AF1461" s="853">
        <v>0</v>
      </c>
      <c r="AG1461" s="854">
        <f t="shared" si="273"/>
        <v>0</v>
      </c>
      <c r="AH1461" s="853">
        <v>0.08</v>
      </c>
      <c r="AI1461" s="855">
        <f t="shared" si="274"/>
        <v>590278.65600000008</v>
      </c>
      <c r="AJ1461" s="845" t="s">
        <v>4950</v>
      </c>
      <c r="AK1461" s="857">
        <v>45901</v>
      </c>
      <c r="AL1461" s="843" t="s">
        <v>4957</v>
      </c>
      <c r="AM1461" s="843" t="s">
        <v>4958</v>
      </c>
      <c r="AN1461" s="844" t="s">
        <v>4959</v>
      </c>
      <c r="AO1461" s="844" t="s">
        <v>141</v>
      </c>
      <c r="AP1461" s="841"/>
      <c r="AQ1461" s="841">
        <v>45914</v>
      </c>
      <c r="AR1461" s="841">
        <v>45921</v>
      </c>
      <c r="AS1461" s="842" t="s">
        <v>1874</v>
      </c>
      <c r="AT1461" s="842" t="s">
        <v>1235</v>
      </c>
      <c r="AU1461" s="842"/>
      <c r="AV1461" s="845" t="s">
        <v>4960</v>
      </c>
      <c r="AW1461" s="861">
        <v>45920</v>
      </c>
      <c r="AX1461" s="862">
        <v>45929</v>
      </c>
      <c r="AY1461" s="843" t="s">
        <v>4993</v>
      </c>
      <c r="AZ1461" s="842" t="s">
        <v>4798</v>
      </c>
      <c r="BA1461" s="842" t="s">
        <v>120</v>
      </c>
      <c r="BB1461" s="863" t="s">
        <v>121</v>
      </c>
      <c r="BC1461" s="864">
        <v>45930</v>
      </c>
      <c r="BD1461" s="860" t="s">
        <v>4962</v>
      </c>
      <c r="BE1461" s="865" cm="1">
        <f t="array" ref="BE1461">IF(BD1461="","",AC1461/SUMPRODUCT(--(BD1461=$BD$4:$BD$12824),$AC$4:$AC$12824))</f>
        <v>1.1404743660566321E-2</v>
      </c>
      <c r="BF1461" s="458"/>
      <c r="BG1461" s="458"/>
      <c r="BH1461" s="458"/>
      <c r="BI1461" s="458"/>
      <c r="BJ1461" s="458"/>
      <c r="BK1461" s="458"/>
      <c r="BL1461" s="458"/>
      <c r="BM1461" s="458"/>
      <c r="BN1461" s="458"/>
      <c r="BO1461" s="866">
        <f>VLOOKUP(BD1461,$BD$4:$BN$12824,3,0)*BE1461</f>
        <v>0</v>
      </c>
      <c r="BP1461" s="866"/>
      <c r="BQ1461" s="866"/>
      <c r="BR1461" s="866">
        <f>VLOOKUP(BD1461,$BD$4:$BN$12824,6,0)*BE1461</f>
        <v>96300.38827608194</v>
      </c>
      <c r="BS1461" s="866">
        <f>VLOOKUP(BD1461,$BD$4:$BN$12824,7,0)*BE1461</f>
        <v>6794.8633293751536</v>
      </c>
      <c r="BT1461" s="866"/>
      <c r="BU1461" s="866">
        <f>VLOOKUP(BD1461,$BD$4:$BN$12824,9,0)*BE1461</f>
        <v>3079.2807883529067</v>
      </c>
      <c r="BV1461" s="867"/>
      <c r="BW1461" s="867">
        <f>VLOOKUP(BD1461,$BD$4:$BN$12824,11,0)*BE1461</f>
        <v>59547.545835123587</v>
      </c>
      <c r="BX1461" s="1146">
        <f t="shared" si="275"/>
        <v>165722.07822893356</v>
      </c>
      <c r="BY1461" s="867">
        <f t="shared" si="278"/>
        <v>3772102.639114467</v>
      </c>
      <c r="BZ1461" s="867">
        <f t="shared" si="276"/>
        <v>7544205.2782289339</v>
      </c>
      <c r="CA1461" s="867">
        <f>_xlfn.MAXIFS($BY$4:$BY$12824,$S$4:$S$12824,$S1461)</f>
        <v>3772102.639114467</v>
      </c>
      <c r="CB1461" s="1032"/>
      <c r="CF1461" s="946">
        <f t="shared" si="277"/>
        <v>7378483.2000000002</v>
      </c>
    </row>
    <row r="1462" spans="2:84">
      <c r="B1462" s="839" t="s">
        <v>98</v>
      </c>
      <c r="C1462" s="839" t="s">
        <v>131</v>
      </c>
      <c r="D1462" s="839" t="s">
        <v>4950</v>
      </c>
      <c r="E1462" s="839" t="s">
        <v>4994</v>
      </c>
      <c r="F1462" s="841">
        <v>45883</v>
      </c>
      <c r="G1462" s="868" t="s">
        <v>133</v>
      </c>
      <c r="H1462" s="842" t="s">
        <v>102</v>
      </c>
      <c r="I1462" s="883" t="s">
        <v>4995</v>
      </c>
      <c r="J1462" s="841">
        <v>45888</v>
      </c>
      <c r="K1462" s="841">
        <v>45961</v>
      </c>
      <c r="L1462" s="843" t="s">
        <v>106</v>
      </c>
      <c r="M1462" s="844" t="s">
        <v>417</v>
      </c>
      <c r="N1462" s="841">
        <v>45884</v>
      </c>
      <c r="O1462" s="884" t="s">
        <v>135</v>
      </c>
      <c r="P1462" s="842" t="s">
        <v>186</v>
      </c>
      <c r="Q1462" s="843"/>
      <c r="R1462" s="845" t="s">
        <v>4996</v>
      </c>
      <c r="S1462" s="1127" t="s">
        <v>4997</v>
      </c>
      <c r="T1462" s="885" t="s">
        <v>4998</v>
      </c>
      <c r="U1462" s="886">
        <v>1</v>
      </c>
      <c r="V1462" s="842" t="s">
        <v>8</v>
      </c>
      <c r="W1462" s="846">
        <v>183</v>
      </c>
      <c r="X1462" s="847">
        <v>183</v>
      </c>
      <c r="Y1462" s="853">
        <v>0.43</v>
      </c>
      <c r="Z1462" s="849">
        <v>104.31000000000002</v>
      </c>
      <c r="AA1462" s="849"/>
      <c r="AB1462" s="849">
        <f t="shared" si="271"/>
        <v>104.31000000000002</v>
      </c>
      <c r="AC1462" s="850">
        <f t="shared" si="272"/>
        <v>104.31000000000002</v>
      </c>
      <c r="AD1462" s="851">
        <f t="shared" si="269"/>
        <v>27000</v>
      </c>
      <c r="AE1462" s="852">
        <v>26202</v>
      </c>
      <c r="AF1462" s="853">
        <v>0</v>
      </c>
      <c r="AG1462" s="854">
        <f t="shared" si="273"/>
        <v>0</v>
      </c>
      <c r="AH1462" s="853">
        <v>0.08</v>
      </c>
      <c r="AI1462" s="855">
        <f t="shared" si="274"/>
        <v>218650.44960000005</v>
      </c>
      <c r="AJ1462" s="845" t="s">
        <v>4950</v>
      </c>
      <c r="AK1462" s="864">
        <v>45901</v>
      </c>
      <c r="AL1462" s="843" t="s">
        <v>4957</v>
      </c>
      <c r="AM1462" s="843" t="s">
        <v>4958</v>
      </c>
      <c r="AN1462" s="844" t="s">
        <v>4959</v>
      </c>
      <c r="AO1462" s="844" t="s">
        <v>141</v>
      </c>
      <c r="AP1462" s="841"/>
      <c r="AQ1462" s="841">
        <v>45914</v>
      </c>
      <c r="AR1462" s="841">
        <v>45921</v>
      </c>
      <c r="AS1462" s="842" t="s">
        <v>1874</v>
      </c>
      <c r="AT1462" s="842" t="s">
        <v>1235</v>
      </c>
      <c r="AU1462" s="842"/>
      <c r="AV1462" s="845" t="s">
        <v>4960</v>
      </c>
      <c r="AW1462" s="861">
        <v>45920</v>
      </c>
      <c r="AX1462" s="862">
        <v>45929</v>
      </c>
      <c r="AY1462" s="843" t="s">
        <v>4999</v>
      </c>
      <c r="AZ1462" s="842" t="s">
        <v>3000</v>
      </c>
      <c r="BA1462" s="842" t="s">
        <v>120</v>
      </c>
      <c r="BB1462" s="863" t="s">
        <v>121</v>
      </c>
      <c r="BC1462" s="864">
        <v>45930</v>
      </c>
      <c r="BD1462" s="860" t="s">
        <v>4962</v>
      </c>
      <c r="BE1462" s="865" cm="1">
        <f t="array" ref="BE1462">IF(BD1462="","",AC1462/SUMPRODUCT(--(BD1462=$BD$4:$BD$12824),$AC$4:$AC$12824))</f>
        <v>4.224534130801396E-3</v>
      </c>
      <c r="BF1462" s="458"/>
      <c r="BG1462" s="458"/>
      <c r="BH1462" s="458"/>
      <c r="BI1462" s="458"/>
      <c r="BJ1462" s="458"/>
      <c r="BK1462" s="458"/>
      <c r="BL1462" s="458"/>
      <c r="BM1462" s="458"/>
      <c r="BN1462" s="458"/>
      <c r="BO1462" s="866">
        <f>VLOOKUP(BD1462,$BD$4:$BN$12824,3,0)*BE1462</f>
        <v>0</v>
      </c>
      <c r="BP1462" s="866"/>
      <c r="BQ1462" s="866"/>
      <c r="BR1462" s="866">
        <f>VLOOKUP(BD1462,$BD$4:$BN$12824,6,0)*BE1462</f>
        <v>35671.496807805786</v>
      </c>
      <c r="BS1462" s="866">
        <f>VLOOKUP(BD1462,$BD$4:$BN$12824,7,0)*BE1462</f>
        <v>2516.9467112468838</v>
      </c>
      <c r="BT1462" s="866"/>
      <c r="BU1462" s="866">
        <f>VLOOKUP(BD1462,$BD$4:$BN$12824,9,0)*BE1462</f>
        <v>1140.6242153163769</v>
      </c>
      <c r="BV1462" s="867"/>
      <c r="BW1462" s="867">
        <f>VLOOKUP(BD1462,$BD$4:$BN$12824,11,0)*BE1462</f>
        <v>22057.544410730621</v>
      </c>
      <c r="BX1462" s="1146">
        <f t="shared" si="275"/>
        <v>61386.612145099672</v>
      </c>
      <c r="BY1462" s="867">
        <f t="shared" si="278"/>
        <v>2794517.2321451004</v>
      </c>
      <c r="BZ1462" s="867">
        <f t="shared" si="276"/>
        <v>2794517.2321451004</v>
      </c>
      <c r="CA1462" s="867">
        <f>_xlfn.MAXIFS($BY$4:$BY$12824,$S$4:$S$12824,$S1462)</f>
        <v>2794517.2321451004</v>
      </c>
      <c r="CB1462" s="1032"/>
      <c r="CF1462" s="946">
        <f t="shared" si="277"/>
        <v>2733130.6200000006</v>
      </c>
    </row>
    <row r="1463" spans="2:84">
      <c r="B1463" s="839" t="s">
        <v>98</v>
      </c>
      <c r="C1463" s="839" t="s">
        <v>131</v>
      </c>
      <c r="D1463" s="839" t="s">
        <v>4950</v>
      </c>
      <c r="E1463" s="839" t="s">
        <v>4994</v>
      </c>
      <c r="F1463" s="841">
        <v>45883</v>
      </c>
      <c r="G1463" s="868" t="s">
        <v>133</v>
      </c>
      <c r="H1463" s="842" t="s">
        <v>134</v>
      </c>
      <c r="I1463" s="883"/>
      <c r="J1463" s="841"/>
      <c r="K1463" s="841"/>
      <c r="L1463" s="843" t="s">
        <v>106</v>
      </c>
      <c r="M1463" s="844" t="s">
        <v>417</v>
      </c>
      <c r="N1463" s="841">
        <v>45884</v>
      </c>
      <c r="O1463" s="884" t="s">
        <v>135</v>
      </c>
      <c r="P1463" s="842" t="s">
        <v>1476</v>
      </c>
      <c r="Q1463" s="843"/>
      <c r="R1463" s="845" t="s">
        <v>2217</v>
      </c>
      <c r="S1463" s="1127" t="s">
        <v>2218</v>
      </c>
      <c r="T1463" s="885" t="s">
        <v>5000</v>
      </c>
      <c r="U1463" s="886">
        <v>2</v>
      </c>
      <c r="V1463" s="842" t="s">
        <v>8</v>
      </c>
      <c r="W1463" s="846">
        <v>91</v>
      </c>
      <c r="X1463" s="847">
        <v>182</v>
      </c>
      <c r="Y1463" s="853">
        <v>0.6</v>
      </c>
      <c r="Z1463" s="849">
        <v>36.4</v>
      </c>
      <c r="AA1463" s="849"/>
      <c r="AB1463" s="849">
        <f t="shared" si="271"/>
        <v>72.8</v>
      </c>
      <c r="AC1463" s="850">
        <f t="shared" si="272"/>
        <v>72.8</v>
      </c>
      <c r="AD1463" s="851">
        <f t="shared" si="269"/>
        <v>27000</v>
      </c>
      <c r="AE1463" s="852">
        <v>26202</v>
      </c>
      <c r="AF1463" s="853">
        <v>0</v>
      </c>
      <c r="AG1463" s="854">
        <f t="shared" si="273"/>
        <v>0</v>
      </c>
      <c r="AH1463" s="853">
        <v>0.08</v>
      </c>
      <c r="AI1463" s="855">
        <f t="shared" si="274"/>
        <v>152600.448</v>
      </c>
      <c r="AJ1463" s="845" t="s">
        <v>4950</v>
      </c>
      <c r="AK1463" s="864">
        <v>45901</v>
      </c>
      <c r="AL1463" s="843" t="s">
        <v>4957</v>
      </c>
      <c r="AM1463" s="843" t="s">
        <v>4958</v>
      </c>
      <c r="AN1463" s="844" t="s">
        <v>4959</v>
      </c>
      <c r="AO1463" s="844" t="s">
        <v>141</v>
      </c>
      <c r="AP1463" s="841"/>
      <c r="AQ1463" s="841">
        <v>45914</v>
      </c>
      <c r="AR1463" s="841">
        <v>45921</v>
      </c>
      <c r="AS1463" s="842" t="s">
        <v>1874</v>
      </c>
      <c r="AT1463" s="842" t="s">
        <v>1235</v>
      </c>
      <c r="AU1463" s="842"/>
      <c r="AV1463" s="845" t="s">
        <v>4960</v>
      </c>
      <c r="AW1463" s="861">
        <v>45920</v>
      </c>
      <c r="AX1463" s="862">
        <v>45929</v>
      </c>
      <c r="AY1463" s="843" t="s">
        <v>5001</v>
      </c>
      <c r="AZ1463" s="842" t="s">
        <v>5002</v>
      </c>
      <c r="BA1463" s="842" t="s">
        <v>120</v>
      </c>
      <c r="BB1463" s="863" t="s">
        <v>121</v>
      </c>
      <c r="BC1463" s="864">
        <v>45930</v>
      </c>
      <c r="BD1463" s="860" t="s">
        <v>4962</v>
      </c>
      <c r="BE1463" s="865" cm="1">
        <f t="array" ref="BE1463">IF(BD1463="","",AC1463/SUMPRODUCT(--(BD1463=$BD$4:$BD$12824),$AC$4:$AC$12824))</f>
        <v>2.9483854349759519E-3</v>
      </c>
      <c r="BF1463" s="458"/>
      <c r="BG1463" s="458"/>
      <c r="BH1463" s="458"/>
      <c r="BI1463" s="458"/>
      <c r="BJ1463" s="458"/>
      <c r="BK1463" s="458"/>
      <c r="BL1463" s="458"/>
      <c r="BM1463" s="458"/>
      <c r="BN1463" s="458"/>
      <c r="BO1463" s="866">
        <f>VLOOKUP(BD1463,$BD$4:$BN$12824,3,0)*BE1463</f>
        <v>0</v>
      </c>
      <c r="BP1463" s="866"/>
      <c r="BQ1463" s="866"/>
      <c r="BR1463" s="866">
        <f>VLOOKUP(BD1463,$BD$4:$BN$12824,6,0)*BE1463</f>
        <v>24895.839014555273</v>
      </c>
      <c r="BS1463" s="866">
        <f>VLOOKUP(BD1463,$BD$4:$BN$12824,7,0)*BE1463</f>
        <v>1756.6265993555085</v>
      </c>
      <c r="BT1463" s="866"/>
      <c r="BU1463" s="866">
        <f>VLOOKUP(BD1463,$BD$4:$BN$12824,9,0)*BE1463</f>
        <v>796.06406744350704</v>
      </c>
      <c r="BV1463" s="867"/>
      <c r="BW1463" s="867">
        <f>VLOOKUP(BD1463,$BD$4:$BN$12824,11,0)*BE1463</f>
        <v>15394.393951693881</v>
      </c>
      <c r="BX1463" s="1146">
        <f t="shared" si="275"/>
        <v>42842.923633048165</v>
      </c>
      <c r="BY1463" s="867">
        <f t="shared" si="278"/>
        <v>975174.26181652397</v>
      </c>
      <c r="BZ1463" s="867">
        <f t="shared" si="276"/>
        <v>1950348.5236330479</v>
      </c>
      <c r="CA1463" s="867">
        <f>_xlfn.MAXIFS($BY$4:$BY$12824,$S$4:$S$12824,$S1463)</f>
        <v>975174.26181652397</v>
      </c>
      <c r="CB1463" s="1032"/>
      <c r="CF1463" s="946">
        <f t="shared" si="277"/>
        <v>1907505.5999999999</v>
      </c>
    </row>
    <row r="1464" spans="2:84">
      <c r="B1464" s="839" t="s">
        <v>98</v>
      </c>
      <c r="C1464" s="839" t="s">
        <v>131</v>
      </c>
      <c r="D1464" s="839" t="s">
        <v>4950</v>
      </c>
      <c r="E1464" s="839" t="s">
        <v>4994</v>
      </c>
      <c r="F1464" s="841">
        <v>45883</v>
      </c>
      <c r="G1464" s="868" t="s">
        <v>133</v>
      </c>
      <c r="H1464" s="842" t="s">
        <v>134</v>
      </c>
      <c r="I1464" s="883"/>
      <c r="J1464" s="841"/>
      <c r="K1464" s="841"/>
      <c r="L1464" s="843" t="s">
        <v>106</v>
      </c>
      <c r="M1464" s="844" t="s">
        <v>417</v>
      </c>
      <c r="N1464" s="841">
        <v>45884</v>
      </c>
      <c r="O1464" s="884" t="s">
        <v>135</v>
      </c>
      <c r="P1464" s="842" t="s">
        <v>1476</v>
      </c>
      <c r="Q1464" s="843"/>
      <c r="R1464" s="845" t="s">
        <v>2221</v>
      </c>
      <c r="S1464" s="1127" t="s">
        <v>2222</v>
      </c>
      <c r="T1464" s="885" t="s">
        <v>5003</v>
      </c>
      <c r="U1464" s="886">
        <v>2</v>
      </c>
      <c r="V1464" s="842" t="s">
        <v>8</v>
      </c>
      <c r="W1464" s="846">
        <v>91</v>
      </c>
      <c r="X1464" s="847">
        <v>182</v>
      </c>
      <c r="Y1464" s="853">
        <v>0.6</v>
      </c>
      <c r="Z1464" s="849">
        <v>36.4</v>
      </c>
      <c r="AA1464" s="849"/>
      <c r="AB1464" s="849">
        <f t="shared" si="271"/>
        <v>72.8</v>
      </c>
      <c r="AC1464" s="850">
        <f t="shared" si="272"/>
        <v>72.8</v>
      </c>
      <c r="AD1464" s="851">
        <f t="shared" si="269"/>
        <v>27000</v>
      </c>
      <c r="AE1464" s="852">
        <v>26202</v>
      </c>
      <c r="AF1464" s="853">
        <v>0</v>
      </c>
      <c r="AG1464" s="854">
        <f t="shared" si="273"/>
        <v>0</v>
      </c>
      <c r="AH1464" s="853">
        <v>0.08</v>
      </c>
      <c r="AI1464" s="855">
        <f t="shared" si="274"/>
        <v>152600.448</v>
      </c>
      <c r="AJ1464" s="845" t="s">
        <v>4950</v>
      </c>
      <c r="AK1464" s="864">
        <v>45901</v>
      </c>
      <c r="AL1464" s="843" t="s">
        <v>4957</v>
      </c>
      <c r="AM1464" s="843" t="s">
        <v>4958</v>
      </c>
      <c r="AN1464" s="844" t="s">
        <v>4959</v>
      </c>
      <c r="AO1464" s="844" t="s">
        <v>141</v>
      </c>
      <c r="AP1464" s="841"/>
      <c r="AQ1464" s="841">
        <v>45914</v>
      </c>
      <c r="AR1464" s="841">
        <v>45921</v>
      </c>
      <c r="AS1464" s="842" t="s">
        <v>1874</v>
      </c>
      <c r="AT1464" s="842" t="s">
        <v>1235</v>
      </c>
      <c r="AU1464" s="842"/>
      <c r="AV1464" s="845" t="s">
        <v>4960</v>
      </c>
      <c r="AW1464" s="861">
        <v>45920</v>
      </c>
      <c r="AX1464" s="862">
        <v>45929</v>
      </c>
      <c r="AY1464" s="843" t="s">
        <v>5001</v>
      </c>
      <c r="AZ1464" s="842" t="s">
        <v>5002</v>
      </c>
      <c r="BA1464" s="842" t="s">
        <v>120</v>
      </c>
      <c r="BB1464" s="863" t="s">
        <v>121</v>
      </c>
      <c r="BC1464" s="864">
        <v>45930</v>
      </c>
      <c r="BD1464" s="860" t="s">
        <v>4962</v>
      </c>
      <c r="BE1464" s="865" cm="1">
        <f t="array" ref="BE1464">IF(BD1464="","",AC1464/SUMPRODUCT(--(BD1464=$BD$4:$BD$12824),$AC$4:$AC$12824))</f>
        <v>2.9483854349759519E-3</v>
      </c>
      <c r="BF1464" s="458"/>
      <c r="BG1464" s="458"/>
      <c r="BH1464" s="458"/>
      <c r="BI1464" s="458"/>
      <c r="BJ1464" s="458"/>
      <c r="BK1464" s="458"/>
      <c r="BL1464" s="458"/>
      <c r="BM1464" s="458"/>
      <c r="BN1464" s="458"/>
      <c r="BO1464" s="866">
        <f>VLOOKUP(BD1464,$BD$4:$BN$12824,3,0)*BE1464</f>
        <v>0</v>
      </c>
      <c r="BP1464" s="866"/>
      <c r="BQ1464" s="866"/>
      <c r="BR1464" s="866">
        <f>VLOOKUP(BD1464,$BD$4:$BN$12824,6,0)*BE1464</f>
        <v>24895.839014555273</v>
      </c>
      <c r="BS1464" s="866">
        <f>VLOOKUP(BD1464,$BD$4:$BN$12824,7,0)*BE1464</f>
        <v>1756.6265993555085</v>
      </c>
      <c r="BT1464" s="866"/>
      <c r="BU1464" s="866">
        <f>VLOOKUP(BD1464,$BD$4:$BN$12824,9,0)*BE1464</f>
        <v>796.06406744350704</v>
      </c>
      <c r="BV1464" s="867"/>
      <c r="BW1464" s="867">
        <f>VLOOKUP(BD1464,$BD$4:$BN$12824,11,0)*BE1464</f>
        <v>15394.393951693881</v>
      </c>
      <c r="BX1464" s="1146">
        <f t="shared" si="275"/>
        <v>42842.923633048165</v>
      </c>
      <c r="BY1464" s="867">
        <f t="shared" si="278"/>
        <v>975174.26181652397</v>
      </c>
      <c r="BZ1464" s="867">
        <f t="shared" si="276"/>
        <v>1950348.5236330479</v>
      </c>
      <c r="CA1464" s="867">
        <f>_xlfn.MAXIFS($BY$4:$BY$12824,$S$4:$S$12824,$S1464)</f>
        <v>975174.26181652397</v>
      </c>
      <c r="CB1464" s="1032"/>
      <c r="CF1464" s="946">
        <f t="shared" si="277"/>
        <v>1907505.5999999999</v>
      </c>
    </row>
    <row r="1465" spans="2:84">
      <c r="B1465" s="839" t="s">
        <v>98</v>
      </c>
      <c r="C1465" s="839" t="s">
        <v>131</v>
      </c>
      <c r="D1465" s="839" t="s">
        <v>4950</v>
      </c>
      <c r="E1465" s="839" t="s">
        <v>4994</v>
      </c>
      <c r="F1465" s="841">
        <v>45883</v>
      </c>
      <c r="G1465" s="868" t="s">
        <v>133</v>
      </c>
      <c r="H1465" s="842" t="s">
        <v>134</v>
      </c>
      <c r="I1465" s="883"/>
      <c r="J1465" s="841"/>
      <c r="K1465" s="841"/>
      <c r="L1465" s="843" t="s">
        <v>106</v>
      </c>
      <c r="M1465" s="844" t="s">
        <v>417</v>
      </c>
      <c r="N1465" s="841">
        <v>45884</v>
      </c>
      <c r="O1465" s="884" t="s">
        <v>135</v>
      </c>
      <c r="P1465" s="842" t="s">
        <v>1476</v>
      </c>
      <c r="Q1465" s="843"/>
      <c r="R1465" s="845" t="s">
        <v>2225</v>
      </c>
      <c r="S1465" s="1127" t="s">
        <v>2226</v>
      </c>
      <c r="T1465" s="885" t="s">
        <v>5004</v>
      </c>
      <c r="U1465" s="886">
        <v>2</v>
      </c>
      <c r="V1465" s="842" t="s">
        <v>8</v>
      </c>
      <c r="W1465" s="846">
        <v>91</v>
      </c>
      <c r="X1465" s="847">
        <v>182</v>
      </c>
      <c r="Y1465" s="853">
        <v>0.6</v>
      </c>
      <c r="Z1465" s="849">
        <v>36.4</v>
      </c>
      <c r="AA1465" s="849"/>
      <c r="AB1465" s="849">
        <f t="shared" si="271"/>
        <v>72.8</v>
      </c>
      <c r="AC1465" s="850">
        <f t="shared" si="272"/>
        <v>72.8</v>
      </c>
      <c r="AD1465" s="851">
        <f t="shared" ref="AD1465:AD1528" si="281">IF(V1465=$AD$2,$AE$2,$AE$3)</f>
        <v>27000</v>
      </c>
      <c r="AE1465" s="852">
        <v>26202</v>
      </c>
      <c r="AF1465" s="853">
        <v>0</v>
      </c>
      <c r="AG1465" s="854">
        <f t="shared" si="273"/>
        <v>0</v>
      </c>
      <c r="AH1465" s="853">
        <v>0.08</v>
      </c>
      <c r="AI1465" s="855">
        <f t="shared" si="274"/>
        <v>152600.448</v>
      </c>
      <c r="AJ1465" s="845" t="s">
        <v>4950</v>
      </c>
      <c r="AK1465" s="864">
        <v>45901</v>
      </c>
      <c r="AL1465" s="843" t="s">
        <v>4957</v>
      </c>
      <c r="AM1465" s="843" t="s">
        <v>4958</v>
      </c>
      <c r="AN1465" s="844" t="s">
        <v>4959</v>
      </c>
      <c r="AO1465" s="844" t="s">
        <v>141</v>
      </c>
      <c r="AP1465" s="841"/>
      <c r="AQ1465" s="841">
        <v>45914</v>
      </c>
      <c r="AR1465" s="841">
        <v>45921</v>
      </c>
      <c r="AS1465" s="842" t="s">
        <v>1874</v>
      </c>
      <c r="AT1465" s="842" t="s">
        <v>1235</v>
      </c>
      <c r="AU1465" s="842"/>
      <c r="AV1465" s="845" t="s">
        <v>4960</v>
      </c>
      <c r="AW1465" s="861">
        <v>45920</v>
      </c>
      <c r="AX1465" s="862">
        <v>45929</v>
      </c>
      <c r="AY1465" s="843" t="s">
        <v>5001</v>
      </c>
      <c r="AZ1465" s="842" t="s">
        <v>5002</v>
      </c>
      <c r="BA1465" s="842" t="s">
        <v>120</v>
      </c>
      <c r="BB1465" s="863" t="s">
        <v>121</v>
      </c>
      <c r="BC1465" s="864">
        <v>45930</v>
      </c>
      <c r="BD1465" s="860" t="s">
        <v>4962</v>
      </c>
      <c r="BE1465" s="865" cm="1">
        <f t="array" ref="BE1465">IF(BD1465="","",AC1465/SUMPRODUCT(--(BD1465=$BD$4:$BD$12824),$AC$4:$AC$12824))</f>
        <v>2.9483854349759519E-3</v>
      </c>
      <c r="BF1465" s="458"/>
      <c r="BG1465" s="458"/>
      <c r="BH1465" s="458"/>
      <c r="BI1465" s="458"/>
      <c r="BJ1465" s="458"/>
      <c r="BK1465" s="458"/>
      <c r="BL1465" s="458"/>
      <c r="BM1465" s="458"/>
      <c r="BN1465" s="458"/>
      <c r="BO1465" s="866">
        <f>VLOOKUP(BD1465,$BD$4:$BN$12824,3,0)*BE1465</f>
        <v>0</v>
      </c>
      <c r="BP1465" s="866"/>
      <c r="BQ1465" s="866"/>
      <c r="BR1465" s="866">
        <f>VLOOKUP(BD1465,$BD$4:$BN$12824,6,0)*BE1465</f>
        <v>24895.839014555273</v>
      </c>
      <c r="BS1465" s="866">
        <f>VLOOKUP(BD1465,$BD$4:$BN$12824,7,0)*BE1465</f>
        <v>1756.6265993555085</v>
      </c>
      <c r="BT1465" s="866"/>
      <c r="BU1465" s="866">
        <f>VLOOKUP(BD1465,$BD$4:$BN$12824,9,0)*BE1465</f>
        <v>796.06406744350704</v>
      </c>
      <c r="BV1465" s="867"/>
      <c r="BW1465" s="867">
        <f>VLOOKUP(BD1465,$BD$4:$BN$12824,11,0)*BE1465</f>
        <v>15394.393951693881</v>
      </c>
      <c r="BX1465" s="1146">
        <f t="shared" si="275"/>
        <v>42842.923633048165</v>
      </c>
      <c r="BY1465" s="867">
        <f t="shared" si="278"/>
        <v>975174.26181652397</v>
      </c>
      <c r="BZ1465" s="867">
        <f t="shared" si="276"/>
        <v>1950348.5236330479</v>
      </c>
      <c r="CA1465" s="867">
        <f>_xlfn.MAXIFS($BY$4:$BY$12824,$S$4:$S$12824,$S1465)</f>
        <v>975174.26181652397</v>
      </c>
      <c r="CB1465" s="1032"/>
      <c r="CF1465" s="946">
        <f t="shared" si="277"/>
        <v>1907505.5999999999</v>
      </c>
    </row>
    <row r="1466" spans="2:84">
      <c r="B1466" s="839" t="s">
        <v>98</v>
      </c>
      <c r="C1466" s="839" t="s">
        <v>131</v>
      </c>
      <c r="D1466" s="839" t="s">
        <v>4950</v>
      </c>
      <c r="E1466" s="839" t="s">
        <v>4994</v>
      </c>
      <c r="F1466" s="841">
        <v>45883</v>
      </c>
      <c r="G1466" s="868" t="s">
        <v>133</v>
      </c>
      <c r="H1466" s="842" t="s">
        <v>134</v>
      </c>
      <c r="I1466" s="883"/>
      <c r="J1466" s="841"/>
      <c r="K1466" s="841"/>
      <c r="L1466" s="843" t="s">
        <v>106</v>
      </c>
      <c r="M1466" s="844" t="s">
        <v>417</v>
      </c>
      <c r="N1466" s="841">
        <v>45884</v>
      </c>
      <c r="O1466" s="884" t="s">
        <v>135</v>
      </c>
      <c r="P1466" s="842" t="s">
        <v>1476</v>
      </c>
      <c r="Q1466" s="843"/>
      <c r="R1466" s="845" t="s">
        <v>2229</v>
      </c>
      <c r="S1466" s="1127" t="s">
        <v>2230</v>
      </c>
      <c r="T1466" s="885" t="s">
        <v>5005</v>
      </c>
      <c r="U1466" s="886">
        <v>2</v>
      </c>
      <c r="V1466" s="842" t="s">
        <v>8</v>
      </c>
      <c r="W1466" s="846">
        <v>91</v>
      </c>
      <c r="X1466" s="847">
        <v>182</v>
      </c>
      <c r="Y1466" s="853">
        <v>0.6</v>
      </c>
      <c r="Z1466" s="849">
        <v>36.4</v>
      </c>
      <c r="AA1466" s="849"/>
      <c r="AB1466" s="849">
        <f t="shared" si="271"/>
        <v>72.8</v>
      </c>
      <c r="AC1466" s="850">
        <f t="shared" si="272"/>
        <v>72.8</v>
      </c>
      <c r="AD1466" s="851">
        <f t="shared" si="281"/>
        <v>27000</v>
      </c>
      <c r="AE1466" s="852">
        <v>26202</v>
      </c>
      <c r="AF1466" s="853">
        <v>0</v>
      </c>
      <c r="AG1466" s="854">
        <f t="shared" si="273"/>
        <v>0</v>
      </c>
      <c r="AH1466" s="853">
        <v>0.08</v>
      </c>
      <c r="AI1466" s="855">
        <f t="shared" si="274"/>
        <v>152600.448</v>
      </c>
      <c r="AJ1466" s="845" t="s">
        <v>4950</v>
      </c>
      <c r="AK1466" s="864">
        <v>45901</v>
      </c>
      <c r="AL1466" s="843" t="s">
        <v>4957</v>
      </c>
      <c r="AM1466" s="843" t="s">
        <v>4958</v>
      </c>
      <c r="AN1466" s="844" t="s">
        <v>4959</v>
      </c>
      <c r="AO1466" s="844" t="s">
        <v>141</v>
      </c>
      <c r="AP1466" s="841"/>
      <c r="AQ1466" s="841">
        <v>45914</v>
      </c>
      <c r="AR1466" s="841">
        <v>45921</v>
      </c>
      <c r="AS1466" s="842" t="s">
        <v>1874</v>
      </c>
      <c r="AT1466" s="842" t="s">
        <v>1235</v>
      </c>
      <c r="AU1466" s="842"/>
      <c r="AV1466" s="845" t="s">
        <v>4960</v>
      </c>
      <c r="AW1466" s="861">
        <v>45920</v>
      </c>
      <c r="AX1466" s="862">
        <v>45929</v>
      </c>
      <c r="AY1466" s="843" t="s">
        <v>5001</v>
      </c>
      <c r="AZ1466" s="842" t="s">
        <v>5002</v>
      </c>
      <c r="BA1466" s="842" t="s">
        <v>120</v>
      </c>
      <c r="BB1466" s="863" t="s">
        <v>121</v>
      </c>
      <c r="BC1466" s="864">
        <v>45930</v>
      </c>
      <c r="BD1466" s="860" t="s">
        <v>4962</v>
      </c>
      <c r="BE1466" s="865" cm="1">
        <f t="array" ref="BE1466">IF(BD1466="","",AC1466/SUMPRODUCT(--(BD1466=$BD$4:$BD$12824),$AC$4:$AC$12824))</f>
        <v>2.9483854349759519E-3</v>
      </c>
      <c r="BF1466" s="458"/>
      <c r="BG1466" s="458"/>
      <c r="BH1466" s="458"/>
      <c r="BI1466" s="458"/>
      <c r="BJ1466" s="458"/>
      <c r="BK1466" s="458"/>
      <c r="BL1466" s="458"/>
      <c r="BM1466" s="458"/>
      <c r="BN1466" s="458"/>
      <c r="BO1466" s="866">
        <f>VLOOKUP(BD1466,$BD$4:$BN$12824,3,0)*BE1466</f>
        <v>0</v>
      </c>
      <c r="BP1466" s="866"/>
      <c r="BQ1466" s="866"/>
      <c r="BR1466" s="866">
        <f>VLOOKUP(BD1466,$BD$4:$BN$12824,6,0)*BE1466</f>
        <v>24895.839014555273</v>
      </c>
      <c r="BS1466" s="866">
        <f>VLOOKUP(BD1466,$BD$4:$BN$12824,7,0)*BE1466</f>
        <v>1756.6265993555085</v>
      </c>
      <c r="BT1466" s="866"/>
      <c r="BU1466" s="866">
        <f>VLOOKUP(BD1466,$BD$4:$BN$12824,9,0)*BE1466</f>
        <v>796.06406744350704</v>
      </c>
      <c r="BV1466" s="867"/>
      <c r="BW1466" s="867">
        <f>VLOOKUP(BD1466,$BD$4:$BN$12824,11,0)*BE1466</f>
        <v>15394.393951693881</v>
      </c>
      <c r="BX1466" s="1146">
        <f t="shared" si="275"/>
        <v>42842.923633048165</v>
      </c>
      <c r="BY1466" s="867">
        <f t="shared" si="278"/>
        <v>975174.26181652397</v>
      </c>
      <c r="BZ1466" s="867">
        <f t="shared" si="276"/>
        <v>1950348.5236330479</v>
      </c>
      <c r="CA1466" s="867">
        <f>_xlfn.MAXIFS($BY$4:$BY$12824,$S$4:$S$12824,$S1466)</f>
        <v>975174.26181652397</v>
      </c>
      <c r="CB1466" s="1032"/>
      <c r="CF1466" s="946">
        <f t="shared" si="277"/>
        <v>1907505.5999999999</v>
      </c>
    </row>
    <row r="1467" spans="2:84">
      <c r="B1467" s="839" t="s">
        <v>98</v>
      </c>
      <c r="C1467" s="839" t="s">
        <v>131</v>
      </c>
      <c r="D1467" s="839" t="s">
        <v>4950</v>
      </c>
      <c r="E1467" s="839" t="s">
        <v>4994</v>
      </c>
      <c r="F1467" s="841">
        <v>45883</v>
      </c>
      <c r="G1467" s="868" t="s">
        <v>133</v>
      </c>
      <c r="H1467" s="842" t="s">
        <v>134</v>
      </c>
      <c r="I1467" s="883"/>
      <c r="J1467" s="841"/>
      <c r="K1467" s="841"/>
      <c r="L1467" s="843" t="s">
        <v>106</v>
      </c>
      <c r="M1467" s="844" t="s">
        <v>417</v>
      </c>
      <c r="N1467" s="841">
        <v>45884</v>
      </c>
      <c r="O1467" s="884" t="s">
        <v>135</v>
      </c>
      <c r="P1467" s="842" t="s">
        <v>186</v>
      </c>
      <c r="Q1467" s="843"/>
      <c r="R1467" s="845" t="s">
        <v>5006</v>
      </c>
      <c r="S1467" s="1127" t="s">
        <v>5007</v>
      </c>
      <c r="T1467" s="885" t="s">
        <v>5008</v>
      </c>
      <c r="U1467" s="886">
        <v>24</v>
      </c>
      <c r="V1467" s="842" t="s">
        <v>8</v>
      </c>
      <c r="W1467" s="846">
        <v>6</v>
      </c>
      <c r="X1467" s="847">
        <v>144</v>
      </c>
      <c r="Y1467" s="853">
        <v>0.6</v>
      </c>
      <c r="Z1467" s="849">
        <v>2.4000000000000004</v>
      </c>
      <c r="AA1467" s="849"/>
      <c r="AB1467" s="849">
        <f t="shared" si="271"/>
        <v>57.600000000000009</v>
      </c>
      <c r="AC1467" s="850">
        <f t="shared" si="272"/>
        <v>57.600000000000009</v>
      </c>
      <c r="AD1467" s="851">
        <f t="shared" si="281"/>
        <v>27000</v>
      </c>
      <c r="AE1467" s="852">
        <v>26202</v>
      </c>
      <c r="AF1467" s="853">
        <v>0</v>
      </c>
      <c r="AG1467" s="854">
        <f t="shared" si="273"/>
        <v>0</v>
      </c>
      <c r="AH1467" s="853">
        <v>0.08</v>
      </c>
      <c r="AI1467" s="855">
        <f t="shared" si="274"/>
        <v>120738.81600000002</v>
      </c>
      <c r="AJ1467" s="845" t="s">
        <v>4950</v>
      </c>
      <c r="AK1467" s="864">
        <v>45901</v>
      </c>
      <c r="AL1467" s="843" t="s">
        <v>4957</v>
      </c>
      <c r="AM1467" s="843" t="s">
        <v>4958</v>
      </c>
      <c r="AN1467" s="844" t="s">
        <v>4959</v>
      </c>
      <c r="AO1467" s="844" t="s">
        <v>141</v>
      </c>
      <c r="AP1467" s="841"/>
      <c r="AQ1467" s="841">
        <v>45914</v>
      </c>
      <c r="AR1467" s="841">
        <v>45921</v>
      </c>
      <c r="AS1467" s="842" t="s">
        <v>1874</v>
      </c>
      <c r="AT1467" s="842" t="s">
        <v>1235</v>
      </c>
      <c r="AU1467" s="842"/>
      <c r="AV1467" s="845" t="s">
        <v>4960</v>
      </c>
      <c r="AW1467" s="861">
        <v>45920</v>
      </c>
      <c r="AX1467" s="862">
        <v>45929</v>
      </c>
      <c r="AY1467" s="843" t="s">
        <v>5009</v>
      </c>
      <c r="AZ1467" s="842" t="s">
        <v>2270</v>
      </c>
      <c r="BA1467" s="842" t="s">
        <v>120</v>
      </c>
      <c r="BB1467" s="863" t="s">
        <v>121</v>
      </c>
      <c r="BC1467" s="864">
        <v>45930</v>
      </c>
      <c r="BD1467" s="860" t="s">
        <v>4962</v>
      </c>
      <c r="BE1467" s="865" cm="1">
        <f t="array" ref="BE1467">IF(BD1467="","",AC1467/SUMPRODUCT(--(BD1467=$BD$4:$BD$12824),$AC$4:$AC$12824))</f>
        <v>2.3327884760249297E-3</v>
      </c>
      <c r="BF1467" s="458"/>
      <c r="BG1467" s="458"/>
      <c r="BH1467" s="458"/>
      <c r="BI1467" s="458"/>
      <c r="BJ1467" s="458"/>
      <c r="BK1467" s="458"/>
      <c r="BL1467" s="458"/>
      <c r="BM1467" s="458"/>
      <c r="BN1467" s="458"/>
      <c r="BO1467" s="866">
        <f>VLOOKUP(BD1467,$BD$4:$BN$12824,3,0)*BE1467</f>
        <v>0</v>
      </c>
      <c r="BP1467" s="866"/>
      <c r="BQ1467" s="866"/>
      <c r="BR1467" s="866">
        <f>VLOOKUP(BD1467,$BD$4:$BN$12824,6,0)*BE1467</f>
        <v>19697.806692834947</v>
      </c>
      <c r="BS1467" s="866">
        <f>VLOOKUP(BD1467,$BD$4:$BN$12824,7,0)*BE1467</f>
        <v>1389.8584082812818</v>
      </c>
      <c r="BT1467" s="866"/>
      <c r="BU1467" s="866">
        <f>VLOOKUP(BD1467,$BD$4:$BN$12824,9,0)*BE1467</f>
        <v>629.85288852673102</v>
      </c>
      <c r="BV1467" s="867"/>
      <c r="BW1467" s="867">
        <f>VLOOKUP(BD1467,$BD$4:$BN$12824,11,0)*BE1467</f>
        <v>12180.179829911645</v>
      </c>
      <c r="BX1467" s="1146">
        <f t="shared" si="275"/>
        <v>33897.697819554603</v>
      </c>
      <c r="BY1467" s="867">
        <f t="shared" si="278"/>
        <v>64297.204075814785</v>
      </c>
      <c r="BZ1467" s="867">
        <f t="shared" si="276"/>
        <v>1543132.8978195549</v>
      </c>
      <c r="CA1467" s="867">
        <f>_xlfn.MAXIFS($BY$4:$BY$12824,$S$4:$S$12824,$S1467)</f>
        <v>64297.204075814785</v>
      </c>
      <c r="CB1467" s="1032"/>
      <c r="CF1467" s="946">
        <f t="shared" si="277"/>
        <v>1509235.2000000002</v>
      </c>
    </row>
    <row r="1468" spans="2:84">
      <c r="B1468" s="839" t="s">
        <v>98</v>
      </c>
      <c r="C1468" s="839" t="s">
        <v>131</v>
      </c>
      <c r="D1468" s="839" t="s">
        <v>4950</v>
      </c>
      <c r="E1468" s="839" t="s">
        <v>4994</v>
      </c>
      <c r="F1468" s="841">
        <v>45883</v>
      </c>
      <c r="G1468" s="868" t="s">
        <v>133</v>
      </c>
      <c r="H1468" s="842" t="s">
        <v>134</v>
      </c>
      <c r="I1468" s="883"/>
      <c r="J1468" s="841"/>
      <c r="K1468" s="841"/>
      <c r="L1468" s="843" t="s">
        <v>106</v>
      </c>
      <c r="M1468" s="844" t="s">
        <v>417</v>
      </c>
      <c r="N1468" s="841">
        <v>45884</v>
      </c>
      <c r="O1468" s="884" t="s">
        <v>135</v>
      </c>
      <c r="P1468" s="842" t="s">
        <v>186</v>
      </c>
      <c r="Q1468" s="843"/>
      <c r="R1468" s="845" t="s">
        <v>5010</v>
      </c>
      <c r="S1468" s="1127" t="s">
        <v>5011</v>
      </c>
      <c r="T1468" s="885" t="s">
        <v>5012</v>
      </c>
      <c r="U1468" s="886">
        <v>24</v>
      </c>
      <c r="V1468" s="842" t="s">
        <v>8</v>
      </c>
      <c r="W1468" s="846">
        <v>6</v>
      </c>
      <c r="X1468" s="847">
        <v>144</v>
      </c>
      <c r="Y1468" s="853">
        <v>0.6</v>
      </c>
      <c r="Z1468" s="849">
        <v>2.4000000000000004</v>
      </c>
      <c r="AA1468" s="849"/>
      <c r="AB1468" s="849">
        <f t="shared" si="271"/>
        <v>57.600000000000009</v>
      </c>
      <c r="AC1468" s="850">
        <f t="shared" si="272"/>
        <v>57.600000000000009</v>
      </c>
      <c r="AD1468" s="851">
        <f t="shared" si="281"/>
        <v>27000</v>
      </c>
      <c r="AE1468" s="852">
        <v>26202</v>
      </c>
      <c r="AF1468" s="853">
        <v>0</v>
      </c>
      <c r="AG1468" s="854">
        <f t="shared" si="273"/>
        <v>0</v>
      </c>
      <c r="AH1468" s="853">
        <v>0.08</v>
      </c>
      <c r="AI1468" s="855">
        <f t="shared" si="274"/>
        <v>120738.81600000002</v>
      </c>
      <c r="AJ1468" s="845" t="s">
        <v>4950</v>
      </c>
      <c r="AK1468" s="864">
        <v>45901</v>
      </c>
      <c r="AL1468" s="843" t="s">
        <v>4957</v>
      </c>
      <c r="AM1468" s="843" t="s">
        <v>4958</v>
      </c>
      <c r="AN1468" s="844" t="s">
        <v>4959</v>
      </c>
      <c r="AO1468" s="844" t="s">
        <v>141</v>
      </c>
      <c r="AP1468" s="841"/>
      <c r="AQ1468" s="841">
        <v>45914</v>
      </c>
      <c r="AR1468" s="841">
        <v>45921</v>
      </c>
      <c r="AS1468" s="842" t="s">
        <v>1874</v>
      </c>
      <c r="AT1468" s="842" t="s">
        <v>1235</v>
      </c>
      <c r="AU1468" s="842"/>
      <c r="AV1468" s="845" t="s">
        <v>4960</v>
      </c>
      <c r="AW1468" s="861">
        <v>45920</v>
      </c>
      <c r="AX1468" s="862">
        <v>45929</v>
      </c>
      <c r="AY1468" s="843" t="s">
        <v>5009</v>
      </c>
      <c r="AZ1468" s="842" t="s">
        <v>2270</v>
      </c>
      <c r="BA1468" s="842" t="s">
        <v>120</v>
      </c>
      <c r="BB1468" s="863" t="s">
        <v>121</v>
      </c>
      <c r="BC1468" s="864">
        <v>45930</v>
      </c>
      <c r="BD1468" s="860" t="s">
        <v>4962</v>
      </c>
      <c r="BE1468" s="865" cm="1">
        <f t="array" ref="BE1468">IF(BD1468="","",AC1468/SUMPRODUCT(--(BD1468=$BD$4:$BD$12824),$AC$4:$AC$12824))</f>
        <v>2.3327884760249297E-3</v>
      </c>
      <c r="BF1468" s="458"/>
      <c r="BG1468" s="458"/>
      <c r="BH1468" s="458"/>
      <c r="BI1468" s="458"/>
      <c r="BJ1468" s="458"/>
      <c r="BK1468" s="458"/>
      <c r="BL1468" s="458"/>
      <c r="BM1468" s="458"/>
      <c r="BN1468" s="458"/>
      <c r="BO1468" s="866">
        <f>VLOOKUP(BD1468,$BD$4:$BN$12824,3,0)*BE1468</f>
        <v>0</v>
      </c>
      <c r="BP1468" s="866"/>
      <c r="BQ1468" s="866"/>
      <c r="BR1468" s="866">
        <f>VLOOKUP(BD1468,$BD$4:$BN$12824,6,0)*BE1468</f>
        <v>19697.806692834947</v>
      </c>
      <c r="BS1468" s="866">
        <f>VLOOKUP(BD1468,$BD$4:$BN$12824,7,0)*BE1468</f>
        <v>1389.8584082812818</v>
      </c>
      <c r="BT1468" s="866"/>
      <c r="BU1468" s="866">
        <f>VLOOKUP(BD1468,$BD$4:$BN$12824,9,0)*BE1468</f>
        <v>629.85288852673102</v>
      </c>
      <c r="BV1468" s="867"/>
      <c r="BW1468" s="867">
        <f>VLOOKUP(BD1468,$BD$4:$BN$12824,11,0)*BE1468</f>
        <v>12180.179829911645</v>
      </c>
      <c r="BX1468" s="1146">
        <f t="shared" si="275"/>
        <v>33897.697819554603</v>
      </c>
      <c r="BY1468" s="867">
        <f t="shared" si="278"/>
        <v>64297.204075814785</v>
      </c>
      <c r="BZ1468" s="867">
        <f t="shared" si="276"/>
        <v>1543132.8978195549</v>
      </c>
      <c r="CA1468" s="867">
        <f>_xlfn.MAXIFS($BY$4:$BY$12824,$S$4:$S$12824,$S1468)</f>
        <v>64297.204075814785</v>
      </c>
      <c r="CB1468" s="1032"/>
      <c r="CF1468" s="946">
        <f t="shared" si="277"/>
        <v>1509235.2000000002</v>
      </c>
    </row>
    <row r="1469" spans="2:84">
      <c r="B1469" s="839" t="s">
        <v>98</v>
      </c>
      <c r="C1469" s="839" t="s">
        <v>131</v>
      </c>
      <c r="D1469" s="839" t="s">
        <v>4950</v>
      </c>
      <c r="E1469" s="839" t="s">
        <v>4994</v>
      </c>
      <c r="F1469" s="841">
        <v>45883</v>
      </c>
      <c r="G1469" s="868" t="s">
        <v>133</v>
      </c>
      <c r="H1469" s="842" t="s">
        <v>134</v>
      </c>
      <c r="I1469" s="883"/>
      <c r="J1469" s="841"/>
      <c r="K1469" s="841"/>
      <c r="L1469" s="843" t="s">
        <v>106</v>
      </c>
      <c r="M1469" s="844" t="s">
        <v>417</v>
      </c>
      <c r="N1469" s="841">
        <v>45884</v>
      </c>
      <c r="O1469" s="884" t="s">
        <v>135</v>
      </c>
      <c r="P1469" s="842" t="s">
        <v>186</v>
      </c>
      <c r="Q1469" s="843"/>
      <c r="R1469" s="845" t="s">
        <v>5013</v>
      </c>
      <c r="S1469" s="1127" t="s">
        <v>5014</v>
      </c>
      <c r="T1469" s="885" t="s">
        <v>5015</v>
      </c>
      <c r="U1469" s="886">
        <v>12</v>
      </c>
      <c r="V1469" s="842" t="s">
        <v>8</v>
      </c>
      <c r="W1469" s="846">
        <v>12</v>
      </c>
      <c r="X1469" s="847">
        <v>144</v>
      </c>
      <c r="Y1469" s="853">
        <v>0.6</v>
      </c>
      <c r="Z1469" s="849">
        <v>4.8000000000000007</v>
      </c>
      <c r="AA1469" s="849"/>
      <c r="AB1469" s="849">
        <f t="shared" si="271"/>
        <v>57.600000000000009</v>
      </c>
      <c r="AC1469" s="850">
        <f t="shared" si="272"/>
        <v>57.600000000000009</v>
      </c>
      <c r="AD1469" s="851">
        <f t="shared" si="281"/>
        <v>27000</v>
      </c>
      <c r="AE1469" s="852">
        <v>26202</v>
      </c>
      <c r="AF1469" s="853">
        <v>0</v>
      </c>
      <c r="AG1469" s="854">
        <f t="shared" si="273"/>
        <v>0</v>
      </c>
      <c r="AH1469" s="853">
        <v>0.08</v>
      </c>
      <c r="AI1469" s="855">
        <f t="shared" si="274"/>
        <v>120738.81600000002</v>
      </c>
      <c r="AJ1469" s="845" t="s">
        <v>4950</v>
      </c>
      <c r="AK1469" s="864">
        <v>45901</v>
      </c>
      <c r="AL1469" s="843" t="s">
        <v>4957</v>
      </c>
      <c r="AM1469" s="843" t="s">
        <v>4958</v>
      </c>
      <c r="AN1469" s="844" t="s">
        <v>4959</v>
      </c>
      <c r="AO1469" s="844" t="s">
        <v>141</v>
      </c>
      <c r="AP1469" s="841"/>
      <c r="AQ1469" s="841">
        <v>45914</v>
      </c>
      <c r="AR1469" s="841">
        <v>45921</v>
      </c>
      <c r="AS1469" s="842" t="s">
        <v>1874</v>
      </c>
      <c r="AT1469" s="842" t="s">
        <v>1235</v>
      </c>
      <c r="AU1469" s="842"/>
      <c r="AV1469" s="845" t="s">
        <v>4960</v>
      </c>
      <c r="AW1469" s="861">
        <v>45920</v>
      </c>
      <c r="AX1469" s="862">
        <v>45929</v>
      </c>
      <c r="AY1469" s="843" t="s">
        <v>5016</v>
      </c>
      <c r="AZ1469" s="842" t="s">
        <v>2270</v>
      </c>
      <c r="BA1469" s="842" t="s">
        <v>120</v>
      </c>
      <c r="BB1469" s="863" t="s">
        <v>121</v>
      </c>
      <c r="BC1469" s="864">
        <v>45930</v>
      </c>
      <c r="BD1469" s="860" t="s">
        <v>4962</v>
      </c>
      <c r="BE1469" s="865" cm="1">
        <f t="array" ref="BE1469">IF(BD1469="","",AC1469/SUMPRODUCT(--(BD1469=$BD$4:$BD$12824),$AC$4:$AC$12824))</f>
        <v>2.3327884760249297E-3</v>
      </c>
      <c r="BF1469" s="458"/>
      <c r="BG1469" s="458"/>
      <c r="BH1469" s="458"/>
      <c r="BI1469" s="458"/>
      <c r="BJ1469" s="458"/>
      <c r="BK1469" s="458"/>
      <c r="BL1469" s="458"/>
      <c r="BM1469" s="458"/>
      <c r="BN1469" s="458"/>
      <c r="BO1469" s="866">
        <f>VLOOKUP(BD1469,$BD$4:$BN$12824,3,0)*BE1469</f>
        <v>0</v>
      </c>
      <c r="BP1469" s="866"/>
      <c r="BQ1469" s="866"/>
      <c r="BR1469" s="866">
        <f>VLOOKUP(BD1469,$BD$4:$BN$12824,6,0)*BE1469</f>
        <v>19697.806692834947</v>
      </c>
      <c r="BS1469" s="866">
        <f>VLOOKUP(BD1469,$BD$4:$BN$12824,7,0)*BE1469</f>
        <v>1389.8584082812818</v>
      </c>
      <c r="BT1469" s="866"/>
      <c r="BU1469" s="866">
        <f>VLOOKUP(BD1469,$BD$4:$BN$12824,9,0)*BE1469</f>
        <v>629.85288852673102</v>
      </c>
      <c r="BV1469" s="867"/>
      <c r="BW1469" s="867">
        <f>VLOOKUP(BD1469,$BD$4:$BN$12824,11,0)*BE1469</f>
        <v>12180.179829911645</v>
      </c>
      <c r="BX1469" s="1146">
        <f t="shared" si="275"/>
        <v>33897.697819554603</v>
      </c>
      <c r="BY1469" s="867">
        <f t="shared" si="278"/>
        <v>128594.40815162957</v>
      </c>
      <c r="BZ1469" s="867">
        <f t="shared" si="276"/>
        <v>1543132.8978195549</v>
      </c>
      <c r="CA1469" s="867">
        <f>_xlfn.MAXIFS($BY$4:$BY$12824,$S$4:$S$12824,$S1469)</f>
        <v>128594.40815162957</v>
      </c>
      <c r="CB1469" s="1032"/>
      <c r="CF1469" s="946">
        <f t="shared" si="277"/>
        <v>1509235.2000000002</v>
      </c>
    </row>
    <row r="1470" spans="2:84">
      <c r="B1470" s="839" t="s">
        <v>98</v>
      </c>
      <c r="C1470" s="839" t="s">
        <v>131</v>
      </c>
      <c r="D1470" s="839" t="s">
        <v>4950</v>
      </c>
      <c r="E1470" s="839" t="s">
        <v>4994</v>
      </c>
      <c r="F1470" s="841">
        <v>45883</v>
      </c>
      <c r="G1470" s="868" t="s">
        <v>133</v>
      </c>
      <c r="H1470" s="842" t="s">
        <v>134</v>
      </c>
      <c r="I1470" s="883"/>
      <c r="J1470" s="841"/>
      <c r="K1470" s="841"/>
      <c r="L1470" s="843" t="s">
        <v>106</v>
      </c>
      <c r="M1470" s="844" t="s">
        <v>417</v>
      </c>
      <c r="N1470" s="841">
        <v>45884</v>
      </c>
      <c r="O1470" s="884" t="s">
        <v>135</v>
      </c>
      <c r="P1470" s="842" t="s">
        <v>186</v>
      </c>
      <c r="Q1470" s="843"/>
      <c r="R1470" s="845" t="s">
        <v>5017</v>
      </c>
      <c r="S1470" s="1127" t="s">
        <v>5018</v>
      </c>
      <c r="T1470" s="885" t="s">
        <v>5019</v>
      </c>
      <c r="U1470" s="886">
        <v>12</v>
      </c>
      <c r="V1470" s="842" t="s">
        <v>8</v>
      </c>
      <c r="W1470" s="846">
        <v>12</v>
      </c>
      <c r="X1470" s="847">
        <v>144</v>
      </c>
      <c r="Y1470" s="853">
        <v>0.6</v>
      </c>
      <c r="Z1470" s="849">
        <v>4.8000000000000007</v>
      </c>
      <c r="AA1470" s="849"/>
      <c r="AB1470" s="849">
        <f t="shared" si="271"/>
        <v>57.600000000000009</v>
      </c>
      <c r="AC1470" s="850">
        <f t="shared" si="272"/>
        <v>57.600000000000009</v>
      </c>
      <c r="AD1470" s="851">
        <f t="shared" si="281"/>
        <v>27000</v>
      </c>
      <c r="AE1470" s="852">
        <v>26202</v>
      </c>
      <c r="AF1470" s="853">
        <v>0</v>
      </c>
      <c r="AG1470" s="854">
        <f t="shared" si="273"/>
        <v>0</v>
      </c>
      <c r="AH1470" s="853">
        <v>0.08</v>
      </c>
      <c r="AI1470" s="855">
        <f t="shared" si="274"/>
        <v>120738.81600000002</v>
      </c>
      <c r="AJ1470" s="845" t="s">
        <v>4950</v>
      </c>
      <c r="AK1470" s="864">
        <v>45901</v>
      </c>
      <c r="AL1470" s="843" t="s">
        <v>4957</v>
      </c>
      <c r="AM1470" s="843" t="s">
        <v>4958</v>
      </c>
      <c r="AN1470" s="844" t="s">
        <v>4959</v>
      </c>
      <c r="AO1470" s="844" t="s">
        <v>141</v>
      </c>
      <c r="AP1470" s="841"/>
      <c r="AQ1470" s="841">
        <v>45914</v>
      </c>
      <c r="AR1470" s="841">
        <v>45921</v>
      </c>
      <c r="AS1470" s="842" t="s">
        <v>1874</v>
      </c>
      <c r="AT1470" s="842" t="s">
        <v>1235</v>
      </c>
      <c r="AU1470" s="842"/>
      <c r="AV1470" s="845" t="s">
        <v>4960</v>
      </c>
      <c r="AW1470" s="861">
        <v>45920</v>
      </c>
      <c r="AX1470" s="862">
        <v>45929</v>
      </c>
      <c r="AY1470" s="843" t="s">
        <v>5016</v>
      </c>
      <c r="AZ1470" s="842" t="s">
        <v>2270</v>
      </c>
      <c r="BA1470" s="842" t="s">
        <v>120</v>
      </c>
      <c r="BB1470" s="863" t="s">
        <v>121</v>
      </c>
      <c r="BC1470" s="864">
        <v>45930</v>
      </c>
      <c r="BD1470" s="860" t="s">
        <v>4962</v>
      </c>
      <c r="BE1470" s="865" cm="1">
        <f t="array" ref="BE1470">IF(BD1470="","",AC1470/SUMPRODUCT(--(BD1470=$BD$4:$BD$12824),$AC$4:$AC$12824))</f>
        <v>2.3327884760249297E-3</v>
      </c>
      <c r="BF1470" s="458"/>
      <c r="BG1470" s="458"/>
      <c r="BH1470" s="458"/>
      <c r="BI1470" s="458"/>
      <c r="BJ1470" s="458"/>
      <c r="BK1470" s="458"/>
      <c r="BL1470" s="458"/>
      <c r="BM1470" s="458"/>
      <c r="BN1470" s="458"/>
      <c r="BO1470" s="866">
        <f>VLOOKUP(BD1470,$BD$4:$BN$12824,3,0)*BE1470</f>
        <v>0</v>
      </c>
      <c r="BP1470" s="866"/>
      <c r="BQ1470" s="866"/>
      <c r="BR1470" s="866">
        <f>VLOOKUP(BD1470,$BD$4:$BN$12824,6,0)*BE1470</f>
        <v>19697.806692834947</v>
      </c>
      <c r="BS1470" s="866">
        <f>VLOOKUP(BD1470,$BD$4:$BN$12824,7,0)*BE1470</f>
        <v>1389.8584082812818</v>
      </c>
      <c r="BT1470" s="866"/>
      <c r="BU1470" s="866">
        <f>VLOOKUP(BD1470,$BD$4:$BN$12824,9,0)*BE1470</f>
        <v>629.85288852673102</v>
      </c>
      <c r="BV1470" s="867"/>
      <c r="BW1470" s="867">
        <f>VLOOKUP(BD1470,$BD$4:$BN$12824,11,0)*BE1470</f>
        <v>12180.179829911645</v>
      </c>
      <c r="BX1470" s="1146">
        <f t="shared" si="275"/>
        <v>33897.697819554603</v>
      </c>
      <c r="BY1470" s="867">
        <f t="shared" si="278"/>
        <v>128594.40815162957</v>
      </c>
      <c r="BZ1470" s="867">
        <f t="shared" si="276"/>
        <v>1543132.8978195549</v>
      </c>
      <c r="CA1470" s="867">
        <f>_xlfn.MAXIFS($BY$4:$BY$12824,$S$4:$S$12824,$S1470)</f>
        <v>128594.40815162957</v>
      </c>
      <c r="CB1470" s="1032"/>
      <c r="CF1470" s="946">
        <f t="shared" si="277"/>
        <v>1509235.2000000002</v>
      </c>
    </row>
    <row r="1471" spans="2:84">
      <c r="B1471" s="839" t="s">
        <v>98</v>
      </c>
      <c r="C1471" s="839" t="s">
        <v>131</v>
      </c>
      <c r="D1471" s="839" t="s">
        <v>4950</v>
      </c>
      <c r="E1471" s="839" t="s">
        <v>4994</v>
      </c>
      <c r="F1471" s="841">
        <v>45883</v>
      </c>
      <c r="G1471" s="868" t="s">
        <v>133</v>
      </c>
      <c r="H1471" s="842" t="s">
        <v>134</v>
      </c>
      <c r="I1471" s="883"/>
      <c r="J1471" s="841"/>
      <c r="K1471" s="841"/>
      <c r="L1471" s="843" t="s">
        <v>106</v>
      </c>
      <c r="M1471" s="844" t="s">
        <v>417</v>
      </c>
      <c r="N1471" s="841">
        <v>45884</v>
      </c>
      <c r="O1471" s="884" t="s">
        <v>135</v>
      </c>
      <c r="P1471" s="842" t="s">
        <v>186</v>
      </c>
      <c r="Q1471" s="843"/>
      <c r="R1471" s="845" t="s">
        <v>5020</v>
      </c>
      <c r="S1471" s="1127" t="s">
        <v>5021</v>
      </c>
      <c r="T1471" s="885" t="s">
        <v>5022</v>
      </c>
      <c r="U1471" s="886">
        <v>12</v>
      </c>
      <c r="V1471" s="842" t="s">
        <v>8</v>
      </c>
      <c r="W1471" s="846">
        <v>12</v>
      </c>
      <c r="X1471" s="847">
        <v>144</v>
      </c>
      <c r="Y1471" s="853">
        <v>0.6</v>
      </c>
      <c r="Z1471" s="849">
        <v>4.8000000000000007</v>
      </c>
      <c r="AA1471" s="849"/>
      <c r="AB1471" s="849">
        <f t="shared" si="271"/>
        <v>57.600000000000009</v>
      </c>
      <c r="AC1471" s="850">
        <f t="shared" si="272"/>
        <v>57.600000000000009</v>
      </c>
      <c r="AD1471" s="851">
        <f t="shared" si="281"/>
        <v>27000</v>
      </c>
      <c r="AE1471" s="852">
        <v>26202</v>
      </c>
      <c r="AF1471" s="853">
        <v>0</v>
      </c>
      <c r="AG1471" s="854">
        <f t="shared" si="273"/>
        <v>0</v>
      </c>
      <c r="AH1471" s="853">
        <v>0.08</v>
      </c>
      <c r="AI1471" s="855">
        <f t="shared" si="274"/>
        <v>120738.81600000002</v>
      </c>
      <c r="AJ1471" s="845" t="s">
        <v>4950</v>
      </c>
      <c r="AK1471" s="864">
        <v>45901</v>
      </c>
      <c r="AL1471" s="843" t="s">
        <v>4957</v>
      </c>
      <c r="AM1471" s="843" t="s">
        <v>4958</v>
      </c>
      <c r="AN1471" s="844" t="s">
        <v>4959</v>
      </c>
      <c r="AO1471" s="844" t="s">
        <v>141</v>
      </c>
      <c r="AP1471" s="841"/>
      <c r="AQ1471" s="841">
        <v>45914</v>
      </c>
      <c r="AR1471" s="841">
        <v>45921</v>
      </c>
      <c r="AS1471" s="842" t="s">
        <v>1874</v>
      </c>
      <c r="AT1471" s="842" t="s">
        <v>1235</v>
      </c>
      <c r="AU1471" s="842"/>
      <c r="AV1471" s="845" t="s">
        <v>4960</v>
      </c>
      <c r="AW1471" s="861">
        <v>45920</v>
      </c>
      <c r="AX1471" s="862">
        <v>45929</v>
      </c>
      <c r="AY1471" s="843" t="s">
        <v>5016</v>
      </c>
      <c r="AZ1471" s="842" t="s">
        <v>2270</v>
      </c>
      <c r="BA1471" s="842" t="s">
        <v>120</v>
      </c>
      <c r="BB1471" s="863" t="s">
        <v>121</v>
      </c>
      <c r="BC1471" s="864">
        <v>45930</v>
      </c>
      <c r="BD1471" s="860" t="s">
        <v>4962</v>
      </c>
      <c r="BE1471" s="865" cm="1">
        <f t="array" ref="BE1471">IF(BD1471="","",AC1471/SUMPRODUCT(--(BD1471=$BD$4:$BD$12824),$AC$4:$AC$12824))</f>
        <v>2.3327884760249297E-3</v>
      </c>
      <c r="BF1471" s="458"/>
      <c r="BG1471" s="458"/>
      <c r="BH1471" s="458"/>
      <c r="BI1471" s="458"/>
      <c r="BJ1471" s="458"/>
      <c r="BK1471" s="458"/>
      <c r="BL1471" s="458"/>
      <c r="BM1471" s="458"/>
      <c r="BN1471" s="458"/>
      <c r="BO1471" s="866">
        <f>VLOOKUP(BD1471,$BD$4:$BN$12824,3,0)*BE1471</f>
        <v>0</v>
      </c>
      <c r="BP1471" s="866"/>
      <c r="BQ1471" s="866"/>
      <c r="BR1471" s="866">
        <f>VLOOKUP(BD1471,$BD$4:$BN$12824,6,0)*BE1471</f>
        <v>19697.806692834947</v>
      </c>
      <c r="BS1471" s="866">
        <f>VLOOKUP(BD1471,$BD$4:$BN$12824,7,0)*BE1471</f>
        <v>1389.8584082812818</v>
      </c>
      <c r="BT1471" s="866"/>
      <c r="BU1471" s="866">
        <f>VLOOKUP(BD1471,$BD$4:$BN$12824,9,0)*BE1471</f>
        <v>629.85288852673102</v>
      </c>
      <c r="BV1471" s="867"/>
      <c r="BW1471" s="867">
        <f>VLOOKUP(BD1471,$BD$4:$BN$12824,11,0)*BE1471</f>
        <v>12180.179829911645</v>
      </c>
      <c r="BX1471" s="1146">
        <f t="shared" si="275"/>
        <v>33897.697819554603</v>
      </c>
      <c r="BY1471" s="867">
        <f t="shared" si="278"/>
        <v>128594.40815162957</v>
      </c>
      <c r="BZ1471" s="867">
        <f t="shared" si="276"/>
        <v>1543132.8978195549</v>
      </c>
      <c r="CA1471" s="867">
        <f>_xlfn.MAXIFS($BY$4:$BY$12824,$S$4:$S$12824,$S1471)</f>
        <v>128594.40815162957</v>
      </c>
      <c r="CB1471" s="1032"/>
      <c r="CF1471" s="946">
        <f t="shared" si="277"/>
        <v>1509235.2000000002</v>
      </c>
    </row>
    <row r="1472" spans="2:84">
      <c r="B1472" s="839" t="s">
        <v>98</v>
      </c>
      <c r="C1472" s="839" t="s">
        <v>131</v>
      </c>
      <c r="D1472" s="839" t="s">
        <v>4950</v>
      </c>
      <c r="E1472" s="839" t="s">
        <v>4994</v>
      </c>
      <c r="F1472" s="841">
        <v>45883</v>
      </c>
      <c r="G1472" s="868" t="s">
        <v>133</v>
      </c>
      <c r="H1472" s="842" t="s">
        <v>134</v>
      </c>
      <c r="I1472" s="883"/>
      <c r="J1472" s="841"/>
      <c r="K1472" s="841"/>
      <c r="L1472" s="843" t="s">
        <v>106</v>
      </c>
      <c r="M1472" s="844" t="s">
        <v>417</v>
      </c>
      <c r="N1472" s="841">
        <v>45884</v>
      </c>
      <c r="O1472" s="884" t="s">
        <v>135</v>
      </c>
      <c r="P1472" s="842" t="s">
        <v>186</v>
      </c>
      <c r="Q1472" s="843"/>
      <c r="R1472" s="845" t="s">
        <v>5023</v>
      </c>
      <c r="S1472" s="1127" t="s">
        <v>5024</v>
      </c>
      <c r="T1472" s="885" t="s">
        <v>5025</v>
      </c>
      <c r="U1472" s="886">
        <v>12</v>
      </c>
      <c r="V1472" s="842" t="s">
        <v>8</v>
      </c>
      <c r="W1472" s="846">
        <v>12</v>
      </c>
      <c r="X1472" s="847">
        <v>144</v>
      </c>
      <c r="Y1472" s="853">
        <v>0.6</v>
      </c>
      <c r="Z1472" s="849">
        <v>4.8000000000000007</v>
      </c>
      <c r="AA1472" s="849"/>
      <c r="AB1472" s="849">
        <f t="shared" si="271"/>
        <v>57.600000000000009</v>
      </c>
      <c r="AC1472" s="850">
        <f t="shared" si="272"/>
        <v>57.600000000000009</v>
      </c>
      <c r="AD1472" s="851">
        <f t="shared" si="281"/>
        <v>27000</v>
      </c>
      <c r="AE1472" s="852">
        <v>26202</v>
      </c>
      <c r="AF1472" s="853">
        <v>0</v>
      </c>
      <c r="AG1472" s="854">
        <f t="shared" si="273"/>
        <v>0</v>
      </c>
      <c r="AH1472" s="853">
        <v>0.08</v>
      </c>
      <c r="AI1472" s="855">
        <f t="shared" si="274"/>
        <v>120738.81600000002</v>
      </c>
      <c r="AJ1472" s="845" t="s">
        <v>4950</v>
      </c>
      <c r="AK1472" s="864">
        <v>45901</v>
      </c>
      <c r="AL1472" s="843" t="s">
        <v>4957</v>
      </c>
      <c r="AM1472" s="843" t="s">
        <v>4958</v>
      </c>
      <c r="AN1472" s="844" t="s">
        <v>4959</v>
      </c>
      <c r="AO1472" s="844" t="s">
        <v>141</v>
      </c>
      <c r="AP1472" s="841"/>
      <c r="AQ1472" s="841">
        <v>45914</v>
      </c>
      <c r="AR1472" s="841">
        <v>45921</v>
      </c>
      <c r="AS1472" s="842" t="s">
        <v>1874</v>
      </c>
      <c r="AT1472" s="842" t="s">
        <v>1235</v>
      </c>
      <c r="AU1472" s="842"/>
      <c r="AV1472" s="845" t="s">
        <v>4960</v>
      </c>
      <c r="AW1472" s="861">
        <v>45920</v>
      </c>
      <c r="AX1472" s="862">
        <v>45929</v>
      </c>
      <c r="AY1472" s="843" t="s">
        <v>5016</v>
      </c>
      <c r="AZ1472" s="842" t="s">
        <v>2270</v>
      </c>
      <c r="BA1472" s="842" t="s">
        <v>120</v>
      </c>
      <c r="BB1472" s="863" t="s">
        <v>121</v>
      </c>
      <c r="BC1472" s="864">
        <v>45930</v>
      </c>
      <c r="BD1472" s="860" t="s">
        <v>4962</v>
      </c>
      <c r="BE1472" s="865" cm="1">
        <f t="array" ref="BE1472">IF(BD1472="","",AC1472/SUMPRODUCT(--(BD1472=$BD$4:$BD$12824),$AC$4:$AC$12824))</f>
        <v>2.3327884760249297E-3</v>
      </c>
      <c r="BF1472" s="458"/>
      <c r="BG1472" s="458"/>
      <c r="BH1472" s="458"/>
      <c r="BI1472" s="458"/>
      <c r="BJ1472" s="458"/>
      <c r="BK1472" s="458"/>
      <c r="BL1472" s="458"/>
      <c r="BM1472" s="458"/>
      <c r="BN1472" s="458"/>
      <c r="BO1472" s="866">
        <f>VLOOKUP(BD1472,$BD$4:$BN$12824,3,0)*BE1472</f>
        <v>0</v>
      </c>
      <c r="BP1472" s="866"/>
      <c r="BQ1472" s="866"/>
      <c r="BR1472" s="866">
        <f>VLOOKUP(BD1472,$BD$4:$BN$12824,6,0)*BE1472</f>
        <v>19697.806692834947</v>
      </c>
      <c r="BS1472" s="866">
        <f>VLOOKUP(BD1472,$BD$4:$BN$12824,7,0)*BE1472</f>
        <v>1389.8584082812818</v>
      </c>
      <c r="BT1472" s="866"/>
      <c r="BU1472" s="866">
        <f>VLOOKUP(BD1472,$BD$4:$BN$12824,9,0)*BE1472</f>
        <v>629.85288852673102</v>
      </c>
      <c r="BV1472" s="867"/>
      <c r="BW1472" s="867">
        <f>VLOOKUP(BD1472,$BD$4:$BN$12824,11,0)*BE1472</f>
        <v>12180.179829911645</v>
      </c>
      <c r="BX1472" s="1146">
        <f t="shared" si="275"/>
        <v>33897.697819554603</v>
      </c>
      <c r="BY1472" s="867">
        <f t="shared" si="278"/>
        <v>128594.40815162957</v>
      </c>
      <c r="BZ1472" s="867">
        <f t="shared" si="276"/>
        <v>1543132.8978195549</v>
      </c>
      <c r="CA1472" s="867">
        <f>_xlfn.MAXIFS($BY$4:$BY$12824,$S$4:$S$12824,$S1472)</f>
        <v>128594.40815162957</v>
      </c>
      <c r="CB1472" s="1032"/>
      <c r="CF1472" s="946">
        <f t="shared" si="277"/>
        <v>1509235.2000000002</v>
      </c>
    </row>
    <row r="1473" spans="2:84">
      <c r="B1473" s="839" t="s">
        <v>98</v>
      </c>
      <c r="C1473" s="839" t="s">
        <v>131</v>
      </c>
      <c r="D1473" s="839" t="s">
        <v>4950</v>
      </c>
      <c r="E1473" s="839" t="s">
        <v>4994</v>
      </c>
      <c r="F1473" s="841">
        <v>45883</v>
      </c>
      <c r="G1473" s="868" t="s">
        <v>133</v>
      </c>
      <c r="H1473" s="842" t="s">
        <v>134</v>
      </c>
      <c r="I1473" s="883"/>
      <c r="J1473" s="841"/>
      <c r="K1473" s="841"/>
      <c r="L1473" s="843" t="s">
        <v>106</v>
      </c>
      <c r="M1473" s="844" t="s">
        <v>417</v>
      </c>
      <c r="N1473" s="841">
        <v>45884</v>
      </c>
      <c r="O1473" s="884" t="s">
        <v>135</v>
      </c>
      <c r="P1473" s="842" t="s">
        <v>186</v>
      </c>
      <c r="Q1473" s="843"/>
      <c r="R1473" s="845" t="s">
        <v>5026</v>
      </c>
      <c r="S1473" s="1127" t="s">
        <v>5027</v>
      </c>
      <c r="T1473" s="885" t="s">
        <v>5028</v>
      </c>
      <c r="U1473" s="886">
        <v>12</v>
      </c>
      <c r="V1473" s="842" t="s">
        <v>8</v>
      </c>
      <c r="W1473" s="846">
        <v>12</v>
      </c>
      <c r="X1473" s="847">
        <v>144</v>
      </c>
      <c r="Y1473" s="853">
        <v>0.6</v>
      </c>
      <c r="Z1473" s="849">
        <v>4.8000000000000007</v>
      </c>
      <c r="AA1473" s="849"/>
      <c r="AB1473" s="849">
        <f t="shared" si="271"/>
        <v>57.600000000000009</v>
      </c>
      <c r="AC1473" s="850">
        <f t="shared" si="272"/>
        <v>57.600000000000009</v>
      </c>
      <c r="AD1473" s="851">
        <f t="shared" si="281"/>
        <v>27000</v>
      </c>
      <c r="AE1473" s="852">
        <v>26202</v>
      </c>
      <c r="AF1473" s="853">
        <v>0</v>
      </c>
      <c r="AG1473" s="854">
        <f t="shared" si="273"/>
        <v>0</v>
      </c>
      <c r="AH1473" s="853">
        <v>0.08</v>
      </c>
      <c r="AI1473" s="855">
        <f t="shared" si="274"/>
        <v>120738.81600000002</v>
      </c>
      <c r="AJ1473" s="845" t="s">
        <v>4950</v>
      </c>
      <c r="AK1473" s="864">
        <v>45901</v>
      </c>
      <c r="AL1473" s="843" t="s">
        <v>4957</v>
      </c>
      <c r="AM1473" s="843" t="s">
        <v>4958</v>
      </c>
      <c r="AN1473" s="844" t="s">
        <v>4959</v>
      </c>
      <c r="AO1473" s="844" t="s">
        <v>141</v>
      </c>
      <c r="AP1473" s="841"/>
      <c r="AQ1473" s="841">
        <v>45914</v>
      </c>
      <c r="AR1473" s="841">
        <v>45921</v>
      </c>
      <c r="AS1473" s="842" t="s">
        <v>1874</v>
      </c>
      <c r="AT1473" s="842" t="s">
        <v>1235</v>
      </c>
      <c r="AU1473" s="842"/>
      <c r="AV1473" s="845" t="s">
        <v>4960</v>
      </c>
      <c r="AW1473" s="861">
        <v>45920</v>
      </c>
      <c r="AX1473" s="862">
        <v>45929</v>
      </c>
      <c r="AY1473" s="843" t="s">
        <v>5016</v>
      </c>
      <c r="AZ1473" s="842" t="s">
        <v>2270</v>
      </c>
      <c r="BA1473" s="842" t="s">
        <v>120</v>
      </c>
      <c r="BB1473" s="863" t="s">
        <v>121</v>
      </c>
      <c r="BC1473" s="864">
        <v>45930</v>
      </c>
      <c r="BD1473" s="860" t="s">
        <v>4962</v>
      </c>
      <c r="BE1473" s="865" cm="1">
        <f t="array" ref="BE1473">IF(BD1473="","",AC1473/SUMPRODUCT(--(BD1473=$BD$4:$BD$12824),$AC$4:$AC$12824))</f>
        <v>2.3327884760249297E-3</v>
      </c>
      <c r="BF1473" s="458"/>
      <c r="BG1473" s="458"/>
      <c r="BH1473" s="458"/>
      <c r="BI1473" s="458"/>
      <c r="BJ1473" s="458"/>
      <c r="BK1473" s="458"/>
      <c r="BL1473" s="458"/>
      <c r="BM1473" s="458"/>
      <c r="BN1473" s="458"/>
      <c r="BO1473" s="866">
        <f>VLOOKUP(BD1473,$BD$4:$BN$12824,3,0)*BE1473</f>
        <v>0</v>
      </c>
      <c r="BP1473" s="866"/>
      <c r="BQ1473" s="866"/>
      <c r="BR1473" s="866">
        <f>VLOOKUP(BD1473,$BD$4:$BN$12824,6,0)*BE1473</f>
        <v>19697.806692834947</v>
      </c>
      <c r="BS1473" s="866">
        <f>VLOOKUP(BD1473,$BD$4:$BN$12824,7,0)*BE1473</f>
        <v>1389.8584082812818</v>
      </c>
      <c r="BT1473" s="866"/>
      <c r="BU1473" s="866">
        <f>VLOOKUP(BD1473,$BD$4:$BN$12824,9,0)*BE1473</f>
        <v>629.85288852673102</v>
      </c>
      <c r="BV1473" s="867"/>
      <c r="BW1473" s="867">
        <f>VLOOKUP(BD1473,$BD$4:$BN$12824,11,0)*BE1473</f>
        <v>12180.179829911645</v>
      </c>
      <c r="BX1473" s="1146">
        <f t="shared" si="275"/>
        <v>33897.697819554603</v>
      </c>
      <c r="BY1473" s="867">
        <f t="shared" si="278"/>
        <v>128594.40815162957</v>
      </c>
      <c r="BZ1473" s="867">
        <f t="shared" si="276"/>
        <v>1543132.8978195549</v>
      </c>
      <c r="CA1473" s="867">
        <f>_xlfn.MAXIFS($BY$4:$BY$12824,$S$4:$S$12824,$S1473)</f>
        <v>128594.40815162957</v>
      </c>
      <c r="CB1473" s="1032"/>
      <c r="CF1473" s="946">
        <f t="shared" si="277"/>
        <v>1509235.2000000002</v>
      </c>
    </row>
    <row r="1474" spans="2:84">
      <c r="B1474" s="839" t="s">
        <v>98</v>
      </c>
      <c r="C1474" s="839" t="s">
        <v>131</v>
      </c>
      <c r="D1474" s="839" t="s">
        <v>4950</v>
      </c>
      <c r="E1474" s="839" t="s">
        <v>4994</v>
      </c>
      <c r="F1474" s="841">
        <v>45883</v>
      </c>
      <c r="G1474" s="868" t="s">
        <v>133</v>
      </c>
      <c r="H1474" s="842" t="s">
        <v>134</v>
      </c>
      <c r="I1474" s="883"/>
      <c r="J1474" s="841"/>
      <c r="K1474" s="841"/>
      <c r="L1474" s="843" t="s">
        <v>106</v>
      </c>
      <c r="M1474" s="844" t="s">
        <v>417</v>
      </c>
      <c r="N1474" s="841">
        <v>45884</v>
      </c>
      <c r="O1474" s="884" t="s">
        <v>135</v>
      </c>
      <c r="P1474" s="842" t="s">
        <v>186</v>
      </c>
      <c r="Q1474" s="843"/>
      <c r="R1474" s="845" t="s">
        <v>5029</v>
      </c>
      <c r="S1474" s="1127" t="s">
        <v>5030</v>
      </c>
      <c r="T1474" s="885" t="s">
        <v>5031</v>
      </c>
      <c r="U1474" s="886">
        <v>12</v>
      </c>
      <c r="V1474" s="842" t="s">
        <v>8</v>
      </c>
      <c r="W1474" s="846">
        <v>12</v>
      </c>
      <c r="X1474" s="847">
        <v>144</v>
      </c>
      <c r="Y1474" s="853">
        <v>0.6</v>
      </c>
      <c r="Z1474" s="849">
        <v>4.8000000000000007</v>
      </c>
      <c r="AA1474" s="849"/>
      <c r="AB1474" s="849">
        <f t="shared" ref="AB1474:AB1537" si="282">IF(AA1474="F.O.C", 0, Z1474*U1474)</f>
        <v>57.600000000000009</v>
      </c>
      <c r="AC1474" s="850">
        <f t="shared" ref="AC1474:AC1537" si="283">Z1474*U1474</f>
        <v>57.600000000000009</v>
      </c>
      <c r="AD1474" s="851">
        <f t="shared" si="281"/>
        <v>27000</v>
      </c>
      <c r="AE1474" s="852">
        <v>26202</v>
      </c>
      <c r="AF1474" s="853">
        <v>0</v>
      </c>
      <c r="AG1474" s="854">
        <f t="shared" ref="AG1474:AG1537" si="284">(AC1474*AE1474+BO1474+BP1474+BQ1474+BS1474)*AF1474</f>
        <v>0</v>
      </c>
      <c r="AH1474" s="853">
        <v>0.08</v>
      </c>
      <c r="AI1474" s="855">
        <f t="shared" ref="AI1474:AI1537" si="285">(AC1474*AE1474+AG1474+BF1474+BG1474+BH1474+BJ1474)*AH1474</f>
        <v>120738.81600000002</v>
      </c>
      <c r="AJ1474" s="845" t="s">
        <v>4950</v>
      </c>
      <c r="AK1474" s="864">
        <v>45901</v>
      </c>
      <c r="AL1474" s="843" t="s">
        <v>4957</v>
      </c>
      <c r="AM1474" s="843" t="s">
        <v>4958</v>
      </c>
      <c r="AN1474" s="844" t="s">
        <v>4959</v>
      </c>
      <c r="AO1474" s="844" t="s">
        <v>141</v>
      </c>
      <c r="AP1474" s="841"/>
      <c r="AQ1474" s="841">
        <v>45914</v>
      </c>
      <c r="AR1474" s="841">
        <v>45921</v>
      </c>
      <c r="AS1474" s="842" t="s">
        <v>1874</v>
      </c>
      <c r="AT1474" s="842" t="s">
        <v>1235</v>
      </c>
      <c r="AU1474" s="842"/>
      <c r="AV1474" s="845" t="s">
        <v>4960</v>
      </c>
      <c r="AW1474" s="861">
        <v>45920</v>
      </c>
      <c r="AX1474" s="862">
        <v>45929</v>
      </c>
      <c r="AY1474" s="843" t="s">
        <v>5016</v>
      </c>
      <c r="AZ1474" s="842" t="s">
        <v>2270</v>
      </c>
      <c r="BA1474" s="842" t="s">
        <v>120</v>
      </c>
      <c r="BB1474" s="863" t="s">
        <v>121</v>
      </c>
      <c r="BC1474" s="864">
        <v>45930</v>
      </c>
      <c r="BD1474" s="860" t="s">
        <v>4962</v>
      </c>
      <c r="BE1474" s="865" cm="1">
        <f t="array" ref="BE1474">IF(BD1474="","",AC1474/SUMPRODUCT(--(BD1474=$BD$4:$BD$12824),$AC$4:$AC$12824))</f>
        <v>2.3327884760249297E-3</v>
      </c>
      <c r="BF1474" s="458"/>
      <c r="BG1474" s="458"/>
      <c r="BH1474" s="458"/>
      <c r="BI1474" s="458"/>
      <c r="BJ1474" s="458"/>
      <c r="BK1474" s="458"/>
      <c r="BL1474" s="458"/>
      <c r="BM1474" s="458"/>
      <c r="BN1474" s="458"/>
      <c r="BO1474" s="866">
        <f>VLOOKUP(BD1474,$BD$4:$BN$12824,3,0)*BE1474</f>
        <v>0</v>
      </c>
      <c r="BP1474" s="866"/>
      <c r="BQ1474" s="866"/>
      <c r="BR1474" s="866">
        <f>VLOOKUP(BD1474,$BD$4:$BN$12824,6,0)*BE1474</f>
        <v>19697.806692834947</v>
      </c>
      <c r="BS1474" s="866">
        <f>VLOOKUP(BD1474,$BD$4:$BN$12824,7,0)*BE1474</f>
        <v>1389.8584082812818</v>
      </c>
      <c r="BT1474" s="866"/>
      <c r="BU1474" s="866">
        <f>VLOOKUP(BD1474,$BD$4:$BN$12824,9,0)*BE1474</f>
        <v>629.85288852673102</v>
      </c>
      <c r="BV1474" s="867"/>
      <c r="BW1474" s="867">
        <f>VLOOKUP(BD1474,$BD$4:$BN$12824,11,0)*BE1474</f>
        <v>12180.179829911645</v>
      </c>
      <c r="BX1474" s="1146">
        <f t="shared" ref="BX1474:BX1537" si="286">SUM(BO1474:BW1474)</f>
        <v>33897.697819554603</v>
      </c>
      <c r="BY1474" s="867">
        <f t="shared" si="278"/>
        <v>128594.40815162957</v>
      </c>
      <c r="BZ1474" s="867">
        <f t="shared" ref="BZ1474:BZ1537" si="287">BY1474*U1474</f>
        <v>1543132.8978195549</v>
      </c>
      <c r="CA1474" s="867">
        <f>_xlfn.MAXIFS($BY$4:$BY$12824,$S$4:$S$12824,$S1474)</f>
        <v>128594.40815162957</v>
      </c>
      <c r="CB1474" s="1032"/>
      <c r="CF1474" s="946">
        <f t="shared" si="277"/>
        <v>1509235.2000000002</v>
      </c>
    </row>
    <row r="1475" spans="2:84">
      <c r="B1475" s="839" t="s">
        <v>98</v>
      </c>
      <c r="C1475" s="839" t="s">
        <v>131</v>
      </c>
      <c r="D1475" s="839" t="s">
        <v>4950</v>
      </c>
      <c r="E1475" s="839" t="s">
        <v>4994</v>
      </c>
      <c r="F1475" s="841">
        <v>45883</v>
      </c>
      <c r="G1475" s="868" t="s">
        <v>133</v>
      </c>
      <c r="H1475" s="842" t="s">
        <v>134</v>
      </c>
      <c r="I1475" s="883"/>
      <c r="J1475" s="841"/>
      <c r="K1475" s="841"/>
      <c r="L1475" s="843" t="s">
        <v>106</v>
      </c>
      <c r="M1475" s="844" t="s">
        <v>417</v>
      </c>
      <c r="N1475" s="841">
        <v>45884</v>
      </c>
      <c r="O1475" s="884" t="s">
        <v>135</v>
      </c>
      <c r="P1475" s="842" t="s">
        <v>186</v>
      </c>
      <c r="Q1475" s="843"/>
      <c r="R1475" s="845" t="s">
        <v>5032</v>
      </c>
      <c r="S1475" s="1127" t="s">
        <v>5033</v>
      </c>
      <c r="T1475" s="885" t="s">
        <v>5034</v>
      </c>
      <c r="U1475" s="886">
        <v>12</v>
      </c>
      <c r="V1475" s="842" t="s">
        <v>8</v>
      </c>
      <c r="W1475" s="846">
        <v>12</v>
      </c>
      <c r="X1475" s="847">
        <v>144</v>
      </c>
      <c r="Y1475" s="853">
        <v>0.6</v>
      </c>
      <c r="Z1475" s="849">
        <v>4.8000000000000007</v>
      </c>
      <c r="AA1475" s="849"/>
      <c r="AB1475" s="849">
        <f t="shared" si="282"/>
        <v>57.600000000000009</v>
      </c>
      <c r="AC1475" s="850">
        <f t="shared" si="283"/>
        <v>57.600000000000009</v>
      </c>
      <c r="AD1475" s="851">
        <f t="shared" si="281"/>
        <v>27000</v>
      </c>
      <c r="AE1475" s="852">
        <v>26202</v>
      </c>
      <c r="AF1475" s="853">
        <v>0</v>
      </c>
      <c r="AG1475" s="854">
        <f t="shared" si="284"/>
        <v>0</v>
      </c>
      <c r="AH1475" s="853">
        <v>0.08</v>
      </c>
      <c r="AI1475" s="855">
        <f t="shared" si="285"/>
        <v>120738.81600000002</v>
      </c>
      <c r="AJ1475" s="845" t="s">
        <v>4950</v>
      </c>
      <c r="AK1475" s="864">
        <v>45901</v>
      </c>
      <c r="AL1475" s="843" t="s">
        <v>4957</v>
      </c>
      <c r="AM1475" s="843" t="s">
        <v>4958</v>
      </c>
      <c r="AN1475" s="844" t="s">
        <v>4959</v>
      </c>
      <c r="AO1475" s="844" t="s">
        <v>141</v>
      </c>
      <c r="AP1475" s="841"/>
      <c r="AQ1475" s="841">
        <v>45914</v>
      </c>
      <c r="AR1475" s="841">
        <v>45921</v>
      </c>
      <c r="AS1475" s="842" t="s">
        <v>1874</v>
      </c>
      <c r="AT1475" s="842" t="s">
        <v>1235</v>
      </c>
      <c r="AU1475" s="842"/>
      <c r="AV1475" s="845" t="s">
        <v>4960</v>
      </c>
      <c r="AW1475" s="861">
        <v>45920</v>
      </c>
      <c r="AX1475" s="862">
        <v>45929</v>
      </c>
      <c r="AY1475" s="843" t="s">
        <v>5016</v>
      </c>
      <c r="AZ1475" s="842" t="s">
        <v>2270</v>
      </c>
      <c r="BA1475" s="842" t="s">
        <v>120</v>
      </c>
      <c r="BB1475" s="863" t="s">
        <v>121</v>
      </c>
      <c r="BC1475" s="864">
        <v>45930</v>
      </c>
      <c r="BD1475" s="860" t="s">
        <v>4962</v>
      </c>
      <c r="BE1475" s="865" cm="1">
        <f t="array" ref="BE1475">IF(BD1475="","",AC1475/SUMPRODUCT(--(BD1475=$BD$4:$BD$12824),$AC$4:$AC$12824))</f>
        <v>2.3327884760249297E-3</v>
      </c>
      <c r="BF1475" s="458"/>
      <c r="BG1475" s="458"/>
      <c r="BH1475" s="458"/>
      <c r="BI1475" s="458"/>
      <c r="BJ1475" s="458"/>
      <c r="BK1475" s="458"/>
      <c r="BL1475" s="458"/>
      <c r="BM1475" s="458"/>
      <c r="BN1475" s="458"/>
      <c r="BO1475" s="866">
        <f>VLOOKUP(BD1475,$BD$4:$BN$12824,3,0)*BE1475</f>
        <v>0</v>
      </c>
      <c r="BP1475" s="866"/>
      <c r="BQ1475" s="866"/>
      <c r="BR1475" s="866">
        <f>VLOOKUP(BD1475,$BD$4:$BN$12824,6,0)*BE1475</f>
        <v>19697.806692834947</v>
      </c>
      <c r="BS1475" s="866">
        <f>VLOOKUP(BD1475,$BD$4:$BN$12824,7,0)*BE1475</f>
        <v>1389.8584082812818</v>
      </c>
      <c r="BT1475" s="866"/>
      <c r="BU1475" s="866">
        <f>VLOOKUP(BD1475,$BD$4:$BN$12824,9,0)*BE1475</f>
        <v>629.85288852673102</v>
      </c>
      <c r="BV1475" s="867"/>
      <c r="BW1475" s="867">
        <f>VLOOKUP(BD1475,$BD$4:$BN$12824,11,0)*BE1475</f>
        <v>12180.179829911645</v>
      </c>
      <c r="BX1475" s="1146">
        <f t="shared" si="286"/>
        <v>33897.697819554603</v>
      </c>
      <c r="BY1475" s="867">
        <f t="shared" si="278"/>
        <v>128594.40815162957</v>
      </c>
      <c r="BZ1475" s="867">
        <f t="shared" si="287"/>
        <v>1543132.8978195549</v>
      </c>
      <c r="CA1475" s="867">
        <f>_xlfn.MAXIFS($BY$4:$BY$12824,$S$4:$S$12824,$S1475)</f>
        <v>128594.40815162957</v>
      </c>
      <c r="CB1475" s="1032"/>
      <c r="CF1475" s="946">
        <f t="shared" si="277"/>
        <v>1509235.2000000002</v>
      </c>
    </row>
    <row r="1476" spans="2:84">
      <c r="B1476" s="839" t="s">
        <v>98</v>
      </c>
      <c r="C1476" s="839" t="s">
        <v>131</v>
      </c>
      <c r="D1476" s="839" t="s">
        <v>4950</v>
      </c>
      <c r="E1476" s="839" t="s">
        <v>4994</v>
      </c>
      <c r="F1476" s="841">
        <v>45883</v>
      </c>
      <c r="G1476" s="868" t="s">
        <v>133</v>
      </c>
      <c r="H1476" s="842" t="s">
        <v>134</v>
      </c>
      <c r="I1476" s="883"/>
      <c r="J1476" s="841"/>
      <c r="K1476" s="841"/>
      <c r="L1476" s="843" t="s">
        <v>106</v>
      </c>
      <c r="M1476" s="844" t="s">
        <v>417</v>
      </c>
      <c r="N1476" s="841">
        <v>45884</v>
      </c>
      <c r="O1476" s="884" t="s">
        <v>135</v>
      </c>
      <c r="P1476" s="842" t="s">
        <v>186</v>
      </c>
      <c r="Q1476" s="843"/>
      <c r="R1476" s="845" t="s">
        <v>5035</v>
      </c>
      <c r="S1476" s="1127" t="s">
        <v>5036</v>
      </c>
      <c r="T1476" s="885" t="s">
        <v>5037</v>
      </c>
      <c r="U1476" s="886">
        <v>24</v>
      </c>
      <c r="V1476" s="842" t="s">
        <v>8</v>
      </c>
      <c r="W1476" s="846">
        <v>12</v>
      </c>
      <c r="X1476" s="847">
        <v>288</v>
      </c>
      <c r="Y1476" s="853">
        <v>0.6</v>
      </c>
      <c r="Z1476" s="849">
        <v>4.8000000000000007</v>
      </c>
      <c r="AA1476" s="849"/>
      <c r="AB1476" s="849">
        <f t="shared" si="282"/>
        <v>115.20000000000002</v>
      </c>
      <c r="AC1476" s="850">
        <f t="shared" si="283"/>
        <v>115.20000000000002</v>
      </c>
      <c r="AD1476" s="851">
        <f t="shared" si="281"/>
        <v>27000</v>
      </c>
      <c r="AE1476" s="852">
        <v>26202</v>
      </c>
      <c r="AF1476" s="853">
        <v>0</v>
      </c>
      <c r="AG1476" s="854">
        <f t="shared" si="284"/>
        <v>0</v>
      </c>
      <c r="AH1476" s="853">
        <v>0.08</v>
      </c>
      <c r="AI1476" s="855">
        <f t="shared" si="285"/>
        <v>241477.63200000004</v>
      </c>
      <c r="AJ1476" s="845" t="s">
        <v>4950</v>
      </c>
      <c r="AK1476" s="864">
        <v>45901</v>
      </c>
      <c r="AL1476" s="843" t="s">
        <v>4957</v>
      </c>
      <c r="AM1476" s="843" t="s">
        <v>4958</v>
      </c>
      <c r="AN1476" s="844" t="s">
        <v>4959</v>
      </c>
      <c r="AO1476" s="844" t="s">
        <v>141</v>
      </c>
      <c r="AP1476" s="841"/>
      <c r="AQ1476" s="841">
        <v>45914</v>
      </c>
      <c r="AR1476" s="841">
        <v>45921</v>
      </c>
      <c r="AS1476" s="842" t="s">
        <v>1874</v>
      </c>
      <c r="AT1476" s="842" t="s">
        <v>1235</v>
      </c>
      <c r="AU1476" s="842"/>
      <c r="AV1476" s="845" t="s">
        <v>4960</v>
      </c>
      <c r="AW1476" s="861">
        <v>45920</v>
      </c>
      <c r="AX1476" s="862">
        <v>45929</v>
      </c>
      <c r="AY1476" s="843" t="s">
        <v>5016</v>
      </c>
      <c r="AZ1476" s="842" t="s">
        <v>2270</v>
      </c>
      <c r="BA1476" s="842" t="s">
        <v>120</v>
      </c>
      <c r="BB1476" s="863" t="s">
        <v>121</v>
      </c>
      <c r="BC1476" s="864">
        <v>45930</v>
      </c>
      <c r="BD1476" s="860" t="s">
        <v>4962</v>
      </c>
      <c r="BE1476" s="865" cm="1">
        <f t="array" ref="BE1476">IF(BD1476="","",AC1476/SUMPRODUCT(--(BD1476=$BD$4:$BD$12824),$AC$4:$AC$12824))</f>
        <v>4.6655769520498594E-3</v>
      </c>
      <c r="BF1476" s="458"/>
      <c r="BG1476" s="458"/>
      <c r="BH1476" s="458"/>
      <c r="BI1476" s="458"/>
      <c r="BJ1476" s="458"/>
      <c r="BK1476" s="458"/>
      <c r="BL1476" s="458"/>
      <c r="BM1476" s="458"/>
      <c r="BN1476" s="458"/>
      <c r="BO1476" s="866">
        <f>VLOOKUP(BD1476,$BD$4:$BN$12824,3,0)*BE1476</f>
        <v>0</v>
      </c>
      <c r="BP1476" s="866"/>
      <c r="BQ1476" s="866"/>
      <c r="BR1476" s="866">
        <f>VLOOKUP(BD1476,$BD$4:$BN$12824,6,0)*BE1476</f>
        <v>39395.613385669894</v>
      </c>
      <c r="BS1476" s="866">
        <f>VLOOKUP(BD1476,$BD$4:$BN$12824,7,0)*BE1476</f>
        <v>2779.7168165625635</v>
      </c>
      <c r="BT1476" s="866"/>
      <c r="BU1476" s="866">
        <f>VLOOKUP(BD1476,$BD$4:$BN$12824,9,0)*BE1476</f>
        <v>1259.705777053462</v>
      </c>
      <c r="BV1476" s="867"/>
      <c r="BW1476" s="867">
        <f>VLOOKUP(BD1476,$BD$4:$BN$12824,11,0)*BE1476</f>
        <v>24360.359659823291</v>
      </c>
      <c r="BX1476" s="1146">
        <f t="shared" si="286"/>
        <v>67795.395639109207</v>
      </c>
      <c r="BY1476" s="867">
        <f t="shared" si="278"/>
        <v>128594.40815162957</v>
      </c>
      <c r="BZ1476" s="867">
        <f t="shared" si="287"/>
        <v>3086265.7956391098</v>
      </c>
      <c r="CA1476" s="867">
        <f>_xlfn.MAXIFS($BY$4:$BY$12824,$S$4:$S$12824,$S1476)</f>
        <v>128594.40815162957</v>
      </c>
      <c r="CB1476" s="1032"/>
      <c r="CF1476" s="946">
        <f t="shared" ref="CF1476:CF1539" si="288">AC1476*AE1476</f>
        <v>3018470.4000000004</v>
      </c>
    </row>
    <row r="1477" spans="2:84">
      <c r="B1477" s="839" t="s">
        <v>98</v>
      </c>
      <c r="C1477" s="839" t="s">
        <v>131</v>
      </c>
      <c r="D1477" s="839" t="s">
        <v>4950</v>
      </c>
      <c r="E1477" s="839" t="s">
        <v>4994</v>
      </c>
      <c r="F1477" s="841">
        <v>45883</v>
      </c>
      <c r="G1477" s="868" t="s">
        <v>133</v>
      </c>
      <c r="H1477" s="842" t="s">
        <v>134</v>
      </c>
      <c r="I1477" s="883"/>
      <c r="J1477" s="841"/>
      <c r="K1477" s="841"/>
      <c r="L1477" s="843" t="s">
        <v>106</v>
      </c>
      <c r="M1477" s="844" t="s">
        <v>417</v>
      </c>
      <c r="N1477" s="841">
        <v>45884</v>
      </c>
      <c r="O1477" s="884" t="s">
        <v>135</v>
      </c>
      <c r="P1477" s="842" t="s">
        <v>186</v>
      </c>
      <c r="Q1477" s="843"/>
      <c r="R1477" s="845" t="s">
        <v>5038</v>
      </c>
      <c r="S1477" s="1127" t="s">
        <v>5039</v>
      </c>
      <c r="T1477" s="885" t="s">
        <v>5040</v>
      </c>
      <c r="U1477" s="886">
        <v>24</v>
      </c>
      <c r="V1477" s="842" t="s">
        <v>8</v>
      </c>
      <c r="W1477" s="846">
        <v>12</v>
      </c>
      <c r="X1477" s="847">
        <v>288</v>
      </c>
      <c r="Y1477" s="853">
        <v>0.6</v>
      </c>
      <c r="Z1477" s="849">
        <v>4.8000000000000007</v>
      </c>
      <c r="AA1477" s="849"/>
      <c r="AB1477" s="849">
        <f t="shared" si="282"/>
        <v>115.20000000000002</v>
      </c>
      <c r="AC1477" s="850">
        <f t="shared" si="283"/>
        <v>115.20000000000002</v>
      </c>
      <c r="AD1477" s="851">
        <f t="shared" si="281"/>
        <v>27000</v>
      </c>
      <c r="AE1477" s="852">
        <v>26202</v>
      </c>
      <c r="AF1477" s="853">
        <v>0</v>
      </c>
      <c r="AG1477" s="854">
        <f t="shared" si="284"/>
        <v>0</v>
      </c>
      <c r="AH1477" s="853">
        <v>0.08</v>
      </c>
      <c r="AI1477" s="855">
        <f t="shared" si="285"/>
        <v>241477.63200000004</v>
      </c>
      <c r="AJ1477" s="845" t="s">
        <v>4950</v>
      </c>
      <c r="AK1477" s="864">
        <v>45901</v>
      </c>
      <c r="AL1477" s="843" t="s">
        <v>4957</v>
      </c>
      <c r="AM1477" s="843" t="s">
        <v>4958</v>
      </c>
      <c r="AN1477" s="844" t="s">
        <v>4959</v>
      </c>
      <c r="AO1477" s="844" t="s">
        <v>141</v>
      </c>
      <c r="AP1477" s="841"/>
      <c r="AQ1477" s="841">
        <v>45914</v>
      </c>
      <c r="AR1477" s="841">
        <v>45921</v>
      </c>
      <c r="AS1477" s="842" t="s">
        <v>1874</v>
      </c>
      <c r="AT1477" s="842" t="s">
        <v>1235</v>
      </c>
      <c r="AU1477" s="842"/>
      <c r="AV1477" s="845" t="s">
        <v>4960</v>
      </c>
      <c r="AW1477" s="861">
        <v>45920</v>
      </c>
      <c r="AX1477" s="862">
        <v>45929</v>
      </c>
      <c r="AY1477" s="843" t="s">
        <v>5016</v>
      </c>
      <c r="AZ1477" s="842" t="s">
        <v>2270</v>
      </c>
      <c r="BA1477" s="842" t="s">
        <v>120</v>
      </c>
      <c r="BB1477" s="863" t="s">
        <v>121</v>
      </c>
      <c r="BC1477" s="864">
        <v>45930</v>
      </c>
      <c r="BD1477" s="860" t="s">
        <v>4962</v>
      </c>
      <c r="BE1477" s="865" cm="1">
        <f t="array" ref="BE1477">IF(BD1477="","",AC1477/SUMPRODUCT(--(BD1477=$BD$4:$BD$12824),$AC$4:$AC$12824))</f>
        <v>4.6655769520498594E-3</v>
      </c>
      <c r="BF1477" s="458"/>
      <c r="BG1477" s="458"/>
      <c r="BH1477" s="458"/>
      <c r="BI1477" s="458"/>
      <c r="BJ1477" s="458"/>
      <c r="BK1477" s="458"/>
      <c r="BL1477" s="458"/>
      <c r="BM1477" s="458"/>
      <c r="BN1477" s="458"/>
      <c r="BO1477" s="866">
        <f>VLOOKUP(BD1477,$BD$4:$BN$12824,3,0)*BE1477</f>
        <v>0</v>
      </c>
      <c r="BP1477" s="866"/>
      <c r="BQ1477" s="866"/>
      <c r="BR1477" s="866">
        <f>VLOOKUP(BD1477,$BD$4:$BN$12824,6,0)*BE1477</f>
        <v>39395.613385669894</v>
      </c>
      <c r="BS1477" s="866">
        <f>VLOOKUP(BD1477,$BD$4:$BN$12824,7,0)*BE1477</f>
        <v>2779.7168165625635</v>
      </c>
      <c r="BT1477" s="866"/>
      <c r="BU1477" s="866">
        <f>VLOOKUP(BD1477,$BD$4:$BN$12824,9,0)*BE1477</f>
        <v>1259.705777053462</v>
      </c>
      <c r="BV1477" s="867"/>
      <c r="BW1477" s="867">
        <f>VLOOKUP(BD1477,$BD$4:$BN$12824,11,0)*BE1477</f>
        <v>24360.359659823291</v>
      </c>
      <c r="BX1477" s="1146">
        <f t="shared" si="286"/>
        <v>67795.395639109207</v>
      </c>
      <c r="BY1477" s="867">
        <f t="shared" si="278"/>
        <v>128594.40815162957</v>
      </c>
      <c r="BZ1477" s="867">
        <f t="shared" si="287"/>
        <v>3086265.7956391098</v>
      </c>
      <c r="CA1477" s="867">
        <f>_xlfn.MAXIFS($BY$4:$BY$12824,$S$4:$S$12824,$S1477)</f>
        <v>128594.40815162957</v>
      </c>
      <c r="CB1477" s="1032"/>
      <c r="CF1477" s="946">
        <f t="shared" si="288"/>
        <v>3018470.4000000004</v>
      </c>
    </row>
    <row r="1478" spans="2:84">
      <c r="B1478" s="839" t="s">
        <v>98</v>
      </c>
      <c r="C1478" s="839" t="s">
        <v>131</v>
      </c>
      <c r="D1478" s="839" t="s">
        <v>4950</v>
      </c>
      <c r="E1478" s="839" t="s">
        <v>4994</v>
      </c>
      <c r="F1478" s="841">
        <v>45883</v>
      </c>
      <c r="G1478" s="868" t="s">
        <v>133</v>
      </c>
      <c r="H1478" s="842" t="s">
        <v>134</v>
      </c>
      <c r="I1478" s="883"/>
      <c r="J1478" s="841"/>
      <c r="K1478" s="841"/>
      <c r="L1478" s="843" t="s">
        <v>106</v>
      </c>
      <c r="M1478" s="844" t="s">
        <v>417</v>
      </c>
      <c r="N1478" s="841">
        <v>45884</v>
      </c>
      <c r="O1478" s="884" t="s">
        <v>135</v>
      </c>
      <c r="P1478" s="842" t="s">
        <v>186</v>
      </c>
      <c r="Q1478" s="843"/>
      <c r="R1478" s="845" t="s">
        <v>5041</v>
      </c>
      <c r="S1478" s="1127" t="s">
        <v>5042</v>
      </c>
      <c r="T1478" s="885" t="s">
        <v>5043</v>
      </c>
      <c r="U1478" s="886">
        <v>24</v>
      </c>
      <c r="V1478" s="842" t="s">
        <v>8</v>
      </c>
      <c r="W1478" s="846">
        <v>38</v>
      </c>
      <c r="X1478" s="847">
        <v>912</v>
      </c>
      <c r="Y1478" s="853">
        <v>0.6</v>
      </c>
      <c r="Z1478" s="849">
        <v>15.200000000000001</v>
      </c>
      <c r="AA1478" s="849"/>
      <c r="AB1478" s="849">
        <f t="shared" si="282"/>
        <v>364.8</v>
      </c>
      <c r="AC1478" s="850">
        <f t="shared" si="283"/>
        <v>364.8</v>
      </c>
      <c r="AD1478" s="851">
        <f t="shared" si="281"/>
        <v>27000</v>
      </c>
      <c r="AE1478" s="852">
        <v>26202</v>
      </c>
      <c r="AF1478" s="853">
        <v>0</v>
      </c>
      <c r="AG1478" s="854">
        <f t="shared" si="284"/>
        <v>0</v>
      </c>
      <c r="AH1478" s="853">
        <v>0.08</v>
      </c>
      <c r="AI1478" s="855">
        <f t="shared" si="285"/>
        <v>764679.16799999995</v>
      </c>
      <c r="AJ1478" s="845" t="s">
        <v>4950</v>
      </c>
      <c r="AK1478" s="864">
        <v>45901</v>
      </c>
      <c r="AL1478" s="843" t="s">
        <v>4957</v>
      </c>
      <c r="AM1478" s="843" t="s">
        <v>4958</v>
      </c>
      <c r="AN1478" s="844" t="s">
        <v>4959</v>
      </c>
      <c r="AO1478" s="844" t="s">
        <v>141</v>
      </c>
      <c r="AP1478" s="841"/>
      <c r="AQ1478" s="841">
        <v>45914</v>
      </c>
      <c r="AR1478" s="841">
        <v>45921</v>
      </c>
      <c r="AS1478" s="842" t="s">
        <v>1874</v>
      </c>
      <c r="AT1478" s="842" t="s">
        <v>1235</v>
      </c>
      <c r="AU1478" s="842"/>
      <c r="AV1478" s="845" t="s">
        <v>4960</v>
      </c>
      <c r="AW1478" s="861">
        <v>45920</v>
      </c>
      <c r="AX1478" s="862">
        <v>45929</v>
      </c>
      <c r="AY1478" s="843" t="s">
        <v>4987</v>
      </c>
      <c r="AZ1478" s="842" t="s">
        <v>2270</v>
      </c>
      <c r="BA1478" s="842" t="s">
        <v>120</v>
      </c>
      <c r="BB1478" s="863" t="s">
        <v>121</v>
      </c>
      <c r="BC1478" s="864">
        <v>45930</v>
      </c>
      <c r="BD1478" s="860" t="s">
        <v>4962</v>
      </c>
      <c r="BE1478" s="865" cm="1">
        <f t="array" ref="BE1478">IF(BD1478="","",AC1478/SUMPRODUCT(--(BD1478=$BD$4:$BD$12824),$AC$4:$AC$12824))</f>
        <v>1.4774327014824552E-2</v>
      </c>
      <c r="BF1478" s="458"/>
      <c r="BG1478" s="458"/>
      <c r="BH1478" s="458"/>
      <c r="BI1478" s="458"/>
      <c r="BJ1478" s="458"/>
      <c r="BK1478" s="458"/>
      <c r="BL1478" s="458"/>
      <c r="BM1478" s="458"/>
      <c r="BN1478" s="458"/>
      <c r="BO1478" s="866">
        <f>VLOOKUP(BD1478,$BD$4:$BN$12824,3,0)*BE1478</f>
        <v>0</v>
      </c>
      <c r="BP1478" s="866"/>
      <c r="BQ1478" s="866"/>
      <c r="BR1478" s="866">
        <f>VLOOKUP(BD1478,$BD$4:$BN$12824,6,0)*BE1478</f>
        <v>124752.77572128797</v>
      </c>
      <c r="BS1478" s="866">
        <f>VLOOKUP(BD1478,$BD$4:$BN$12824,7,0)*BE1478</f>
        <v>8802.43658578145</v>
      </c>
      <c r="BT1478" s="866"/>
      <c r="BU1478" s="866">
        <f>VLOOKUP(BD1478,$BD$4:$BN$12824,9,0)*BE1478</f>
        <v>3989.068294002629</v>
      </c>
      <c r="BV1478" s="867"/>
      <c r="BW1478" s="867">
        <f>VLOOKUP(BD1478,$BD$4:$BN$12824,11,0)*BE1478</f>
        <v>77141.138922773738</v>
      </c>
      <c r="BX1478" s="1146">
        <f t="shared" si="286"/>
        <v>214685.41952384578</v>
      </c>
      <c r="BY1478" s="867">
        <f t="shared" ref="BY1478:BY1541" si="289">(AB1478*AE1478+AG1478+BX1478)/U1478</f>
        <v>407215.62581349356</v>
      </c>
      <c r="BZ1478" s="867">
        <f t="shared" si="287"/>
        <v>9773175.019523846</v>
      </c>
      <c r="CA1478" s="867">
        <f>_xlfn.MAXIFS($BY$4:$BY$12824,$S$4:$S$12824,$S1478)</f>
        <v>407215.62581349356</v>
      </c>
      <c r="CB1478" s="1032"/>
      <c r="CF1478" s="946">
        <f t="shared" si="288"/>
        <v>9558489.5999999996</v>
      </c>
    </row>
    <row r="1479" spans="2:84">
      <c r="B1479" s="839" t="s">
        <v>98</v>
      </c>
      <c r="C1479" s="839" t="s">
        <v>131</v>
      </c>
      <c r="D1479" s="839" t="s">
        <v>4950</v>
      </c>
      <c r="E1479" s="839" t="s">
        <v>4994</v>
      </c>
      <c r="F1479" s="841">
        <v>45883</v>
      </c>
      <c r="G1479" s="868" t="s">
        <v>133</v>
      </c>
      <c r="H1479" s="842" t="s">
        <v>134</v>
      </c>
      <c r="I1479" s="883"/>
      <c r="J1479" s="841"/>
      <c r="K1479" s="841"/>
      <c r="L1479" s="843" t="s">
        <v>106</v>
      </c>
      <c r="M1479" s="844" t="s">
        <v>417</v>
      </c>
      <c r="N1479" s="841">
        <v>45884</v>
      </c>
      <c r="O1479" s="884" t="s">
        <v>135</v>
      </c>
      <c r="P1479" s="842" t="s">
        <v>186</v>
      </c>
      <c r="Q1479" s="843"/>
      <c r="R1479" s="845" t="s">
        <v>5044</v>
      </c>
      <c r="S1479" s="1127" t="s">
        <v>5045</v>
      </c>
      <c r="T1479" s="885" t="s">
        <v>5046</v>
      </c>
      <c r="U1479" s="886">
        <v>24</v>
      </c>
      <c r="V1479" s="842" t="s">
        <v>8</v>
      </c>
      <c r="W1479" s="846">
        <v>38</v>
      </c>
      <c r="X1479" s="847">
        <v>912</v>
      </c>
      <c r="Y1479" s="853">
        <v>0.6</v>
      </c>
      <c r="Z1479" s="849">
        <v>15.200000000000001</v>
      </c>
      <c r="AA1479" s="849"/>
      <c r="AB1479" s="849">
        <f t="shared" si="282"/>
        <v>364.8</v>
      </c>
      <c r="AC1479" s="850">
        <f t="shared" si="283"/>
        <v>364.8</v>
      </c>
      <c r="AD1479" s="851">
        <f t="shared" si="281"/>
        <v>27000</v>
      </c>
      <c r="AE1479" s="852">
        <v>26202</v>
      </c>
      <c r="AF1479" s="853">
        <v>0</v>
      </c>
      <c r="AG1479" s="854">
        <f t="shared" si="284"/>
        <v>0</v>
      </c>
      <c r="AH1479" s="853">
        <v>0.08</v>
      </c>
      <c r="AI1479" s="855">
        <f t="shared" si="285"/>
        <v>764679.16799999995</v>
      </c>
      <c r="AJ1479" s="845" t="s">
        <v>4950</v>
      </c>
      <c r="AK1479" s="864">
        <v>45901</v>
      </c>
      <c r="AL1479" s="843" t="s">
        <v>4957</v>
      </c>
      <c r="AM1479" s="843" t="s">
        <v>4958</v>
      </c>
      <c r="AN1479" s="844" t="s">
        <v>4959</v>
      </c>
      <c r="AO1479" s="844" t="s">
        <v>141</v>
      </c>
      <c r="AP1479" s="841"/>
      <c r="AQ1479" s="841">
        <v>45914</v>
      </c>
      <c r="AR1479" s="841">
        <v>45921</v>
      </c>
      <c r="AS1479" s="842" t="s">
        <v>1874</v>
      </c>
      <c r="AT1479" s="842" t="s">
        <v>1235</v>
      </c>
      <c r="AU1479" s="842"/>
      <c r="AV1479" s="845" t="s">
        <v>4960</v>
      </c>
      <c r="AW1479" s="861">
        <v>45920</v>
      </c>
      <c r="AX1479" s="862">
        <v>45929</v>
      </c>
      <c r="AY1479" s="843" t="s">
        <v>4987</v>
      </c>
      <c r="AZ1479" s="842" t="s">
        <v>2270</v>
      </c>
      <c r="BA1479" s="842" t="s">
        <v>120</v>
      </c>
      <c r="BB1479" s="863" t="s">
        <v>121</v>
      </c>
      <c r="BC1479" s="864">
        <v>45930</v>
      </c>
      <c r="BD1479" s="860" t="s">
        <v>4962</v>
      </c>
      <c r="BE1479" s="865" cm="1">
        <f t="array" ref="BE1479">IF(BD1479="","",AC1479/SUMPRODUCT(--(BD1479=$BD$4:$BD$12824),$AC$4:$AC$12824))</f>
        <v>1.4774327014824552E-2</v>
      </c>
      <c r="BF1479" s="458"/>
      <c r="BG1479" s="458"/>
      <c r="BH1479" s="458"/>
      <c r="BI1479" s="458"/>
      <c r="BJ1479" s="458"/>
      <c r="BK1479" s="458"/>
      <c r="BL1479" s="458"/>
      <c r="BM1479" s="458"/>
      <c r="BN1479" s="458"/>
      <c r="BO1479" s="866">
        <f>VLOOKUP(BD1479,$BD$4:$BN$12824,3,0)*BE1479</f>
        <v>0</v>
      </c>
      <c r="BP1479" s="866"/>
      <c r="BQ1479" s="866"/>
      <c r="BR1479" s="866">
        <f>VLOOKUP(BD1479,$BD$4:$BN$12824,6,0)*BE1479</f>
        <v>124752.77572128797</v>
      </c>
      <c r="BS1479" s="866">
        <f>VLOOKUP(BD1479,$BD$4:$BN$12824,7,0)*BE1479</f>
        <v>8802.43658578145</v>
      </c>
      <c r="BT1479" s="866"/>
      <c r="BU1479" s="866">
        <f>VLOOKUP(BD1479,$BD$4:$BN$12824,9,0)*BE1479</f>
        <v>3989.068294002629</v>
      </c>
      <c r="BV1479" s="867"/>
      <c r="BW1479" s="867">
        <f>VLOOKUP(BD1479,$BD$4:$BN$12824,11,0)*BE1479</f>
        <v>77141.138922773738</v>
      </c>
      <c r="BX1479" s="1146">
        <f t="shared" si="286"/>
        <v>214685.41952384578</v>
      </c>
      <c r="BY1479" s="867">
        <f t="shared" si="289"/>
        <v>407215.62581349356</v>
      </c>
      <c r="BZ1479" s="867">
        <f t="shared" si="287"/>
        <v>9773175.019523846</v>
      </c>
      <c r="CA1479" s="867">
        <f>_xlfn.MAXIFS($BY$4:$BY$12824,$S$4:$S$12824,$S1479)</f>
        <v>407215.62581349356</v>
      </c>
      <c r="CB1479" s="1032"/>
      <c r="CF1479" s="946">
        <f t="shared" si="288"/>
        <v>9558489.5999999996</v>
      </c>
    </row>
    <row r="1480" spans="2:84">
      <c r="B1480" s="839" t="s">
        <v>98</v>
      </c>
      <c r="C1480" s="839" t="s">
        <v>131</v>
      </c>
      <c r="D1480" s="839" t="s">
        <v>4950</v>
      </c>
      <c r="E1480" s="839" t="s">
        <v>4994</v>
      </c>
      <c r="F1480" s="841">
        <v>45883</v>
      </c>
      <c r="G1480" s="868" t="s">
        <v>133</v>
      </c>
      <c r="H1480" s="842" t="s">
        <v>134</v>
      </c>
      <c r="I1480" s="883"/>
      <c r="J1480" s="841"/>
      <c r="K1480" s="841"/>
      <c r="L1480" s="843" t="s">
        <v>106</v>
      </c>
      <c r="M1480" s="844" t="s">
        <v>417</v>
      </c>
      <c r="N1480" s="841">
        <v>45884</v>
      </c>
      <c r="O1480" s="884" t="s">
        <v>135</v>
      </c>
      <c r="P1480" s="842" t="s">
        <v>186</v>
      </c>
      <c r="Q1480" s="843"/>
      <c r="R1480" s="845" t="s">
        <v>4984</v>
      </c>
      <c r="S1480" s="1127" t="s">
        <v>4985</v>
      </c>
      <c r="T1480" s="885" t="s">
        <v>5047</v>
      </c>
      <c r="U1480" s="886">
        <v>24</v>
      </c>
      <c r="V1480" s="842" t="s">
        <v>8</v>
      </c>
      <c r="W1480" s="846">
        <v>38</v>
      </c>
      <c r="X1480" s="847">
        <v>912</v>
      </c>
      <c r="Y1480" s="853">
        <v>0.6</v>
      </c>
      <c r="Z1480" s="849">
        <v>15.200000000000001</v>
      </c>
      <c r="AA1480" s="849"/>
      <c r="AB1480" s="849">
        <f t="shared" si="282"/>
        <v>364.8</v>
      </c>
      <c r="AC1480" s="850">
        <f t="shared" si="283"/>
        <v>364.8</v>
      </c>
      <c r="AD1480" s="851">
        <f t="shared" si="281"/>
        <v>27000</v>
      </c>
      <c r="AE1480" s="852">
        <v>26202</v>
      </c>
      <c r="AF1480" s="853">
        <v>0</v>
      </c>
      <c r="AG1480" s="854">
        <f t="shared" si="284"/>
        <v>0</v>
      </c>
      <c r="AH1480" s="853">
        <v>0.08</v>
      </c>
      <c r="AI1480" s="855">
        <f t="shared" si="285"/>
        <v>764679.16799999995</v>
      </c>
      <c r="AJ1480" s="845" t="s">
        <v>4950</v>
      </c>
      <c r="AK1480" s="864">
        <v>45901</v>
      </c>
      <c r="AL1480" s="843" t="s">
        <v>4957</v>
      </c>
      <c r="AM1480" s="843" t="s">
        <v>4958</v>
      </c>
      <c r="AN1480" s="844" t="s">
        <v>4959</v>
      </c>
      <c r="AO1480" s="844" t="s">
        <v>141</v>
      </c>
      <c r="AP1480" s="841"/>
      <c r="AQ1480" s="841">
        <v>45914</v>
      </c>
      <c r="AR1480" s="841">
        <v>45921</v>
      </c>
      <c r="AS1480" s="842" t="s">
        <v>1874</v>
      </c>
      <c r="AT1480" s="842" t="s">
        <v>1235</v>
      </c>
      <c r="AU1480" s="842"/>
      <c r="AV1480" s="845" t="s">
        <v>4960</v>
      </c>
      <c r="AW1480" s="861">
        <v>45920</v>
      </c>
      <c r="AX1480" s="862">
        <v>45929</v>
      </c>
      <c r="AY1480" s="843" t="s">
        <v>4987</v>
      </c>
      <c r="AZ1480" s="842" t="s">
        <v>2270</v>
      </c>
      <c r="BA1480" s="842" t="s">
        <v>120</v>
      </c>
      <c r="BB1480" s="863" t="s">
        <v>121</v>
      </c>
      <c r="BC1480" s="864">
        <v>45930</v>
      </c>
      <c r="BD1480" s="860" t="s">
        <v>4962</v>
      </c>
      <c r="BE1480" s="865" cm="1">
        <f t="array" ref="BE1480">IF(BD1480="","",AC1480/SUMPRODUCT(--(BD1480=$BD$4:$BD$12824),$AC$4:$AC$12824))</f>
        <v>1.4774327014824552E-2</v>
      </c>
      <c r="BF1480" s="458"/>
      <c r="BG1480" s="458"/>
      <c r="BH1480" s="458"/>
      <c r="BI1480" s="458"/>
      <c r="BJ1480" s="458"/>
      <c r="BK1480" s="458"/>
      <c r="BL1480" s="458"/>
      <c r="BM1480" s="458"/>
      <c r="BN1480" s="458"/>
      <c r="BO1480" s="866">
        <f>VLOOKUP(BD1480,$BD$4:$BN$12824,3,0)*BE1480</f>
        <v>0</v>
      </c>
      <c r="BP1480" s="866"/>
      <c r="BQ1480" s="866"/>
      <c r="BR1480" s="866">
        <f>VLOOKUP(BD1480,$BD$4:$BN$12824,6,0)*BE1480</f>
        <v>124752.77572128797</v>
      </c>
      <c r="BS1480" s="866">
        <f>VLOOKUP(BD1480,$BD$4:$BN$12824,7,0)*BE1480</f>
        <v>8802.43658578145</v>
      </c>
      <c r="BT1480" s="866"/>
      <c r="BU1480" s="866">
        <f>VLOOKUP(BD1480,$BD$4:$BN$12824,9,0)*BE1480</f>
        <v>3989.068294002629</v>
      </c>
      <c r="BV1480" s="867"/>
      <c r="BW1480" s="867">
        <f>VLOOKUP(BD1480,$BD$4:$BN$12824,11,0)*BE1480</f>
        <v>77141.138922773738</v>
      </c>
      <c r="BX1480" s="1146">
        <f t="shared" si="286"/>
        <v>214685.41952384578</v>
      </c>
      <c r="BY1480" s="867">
        <f t="shared" si="289"/>
        <v>407215.62581349356</v>
      </c>
      <c r="BZ1480" s="867">
        <f t="shared" si="287"/>
        <v>9773175.019523846</v>
      </c>
      <c r="CA1480" s="867">
        <f>_xlfn.MAXIFS($BY$4:$BY$12824,$S$4:$S$12824,$S1480)</f>
        <v>407215.62581349356</v>
      </c>
      <c r="CB1480" s="1032"/>
      <c r="CF1480" s="946">
        <f t="shared" si="288"/>
        <v>9558489.5999999996</v>
      </c>
    </row>
    <row r="1481" spans="2:84">
      <c r="B1481" s="839" t="s">
        <v>98</v>
      </c>
      <c r="C1481" s="839" t="s">
        <v>131</v>
      </c>
      <c r="D1481" s="839" t="s">
        <v>4950</v>
      </c>
      <c r="E1481" s="839" t="s">
        <v>4994</v>
      </c>
      <c r="F1481" s="841">
        <v>45883</v>
      </c>
      <c r="G1481" s="868" t="s">
        <v>133</v>
      </c>
      <c r="H1481" s="842" t="s">
        <v>134</v>
      </c>
      <c r="I1481" s="883"/>
      <c r="J1481" s="841"/>
      <c r="K1481" s="841"/>
      <c r="L1481" s="843" t="s">
        <v>106</v>
      </c>
      <c r="M1481" s="844" t="s">
        <v>417</v>
      </c>
      <c r="N1481" s="841">
        <v>45884</v>
      </c>
      <c r="O1481" s="884" t="s">
        <v>135</v>
      </c>
      <c r="P1481" s="842" t="s">
        <v>186</v>
      </c>
      <c r="Q1481" s="843"/>
      <c r="R1481" s="845" t="s">
        <v>5048</v>
      </c>
      <c r="S1481" s="1127" t="s">
        <v>5049</v>
      </c>
      <c r="T1481" s="885" t="s">
        <v>5050</v>
      </c>
      <c r="U1481" s="886">
        <v>24</v>
      </c>
      <c r="V1481" s="842" t="s">
        <v>8</v>
      </c>
      <c r="W1481" s="846">
        <v>30</v>
      </c>
      <c r="X1481" s="847">
        <v>720</v>
      </c>
      <c r="Y1481" s="853">
        <v>0.6</v>
      </c>
      <c r="Z1481" s="849">
        <v>12</v>
      </c>
      <c r="AA1481" s="849"/>
      <c r="AB1481" s="849">
        <f t="shared" si="282"/>
        <v>288</v>
      </c>
      <c r="AC1481" s="850">
        <f t="shared" si="283"/>
        <v>288</v>
      </c>
      <c r="AD1481" s="851">
        <f t="shared" si="281"/>
        <v>27000</v>
      </c>
      <c r="AE1481" s="852">
        <v>26202</v>
      </c>
      <c r="AF1481" s="853">
        <v>0</v>
      </c>
      <c r="AG1481" s="854">
        <f t="shared" si="284"/>
        <v>0</v>
      </c>
      <c r="AH1481" s="853">
        <v>0.08</v>
      </c>
      <c r="AI1481" s="855">
        <f t="shared" si="285"/>
        <v>603694.07999999996</v>
      </c>
      <c r="AJ1481" s="845" t="s">
        <v>4950</v>
      </c>
      <c r="AK1481" s="864">
        <v>45901</v>
      </c>
      <c r="AL1481" s="843" t="s">
        <v>4957</v>
      </c>
      <c r="AM1481" s="843" t="s">
        <v>4958</v>
      </c>
      <c r="AN1481" s="844" t="s">
        <v>4959</v>
      </c>
      <c r="AO1481" s="844" t="s">
        <v>141</v>
      </c>
      <c r="AP1481" s="841"/>
      <c r="AQ1481" s="841">
        <v>45914</v>
      </c>
      <c r="AR1481" s="841">
        <v>45921</v>
      </c>
      <c r="AS1481" s="842" t="s">
        <v>1874</v>
      </c>
      <c r="AT1481" s="842" t="s">
        <v>1235</v>
      </c>
      <c r="AU1481" s="842"/>
      <c r="AV1481" s="845" t="s">
        <v>4960</v>
      </c>
      <c r="AW1481" s="861">
        <v>45920</v>
      </c>
      <c r="AX1481" s="862">
        <v>45929</v>
      </c>
      <c r="AY1481" s="843" t="s">
        <v>4987</v>
      </c>
      <c r="AZ1481" s="842" t="s">
        <v>2270</v>
      </c>
      <c r="BA1481" s="842" t="s">
        <v>120</v>
      </c>
      <c r="BB1481" s="863" t="s">
        <v>121</v>
      </c>
      <c r="BC1481" s="864">
        <v>45930</v>
      </c>
      <c r="BD1481" s="860" t="s">
        <v>4962</v>
      </c>
      <c r="BE1481" s="865" cm="1">
        <f t="array" ref="BE1481">IF(BD1481="","",AC1481/SUMPRODUCT(--(BD1481=$BD$4:$BD$12824),$AC$4:$AC$12824))</f>
        <v>1.1663942380124645E-2</v>
      </c>
      <c r="BF1481" s="458"/>
      <c r="BG1481" s="458"/>
      <c r="BH1481" s="458"/>
      <c r="BI1481" s="458"/>
      <c r="BJ1481" s="458"/>
      <c r="BK1481" s="458"/>
      <c r="BL1481" s="458"/>
      <c r="BM1481" s="458"/>
      <c r="BN1481" s="458"/>
      <c r="BO1481" s="866">
        <f>VLOOKUP(BD1481,$BD$4:$BN$12824,3,0)*BE1481</f>
        <v>0</v>
      </c>
      <c r="BP1481" s="866"/>
      <c r="BQ1481" s="866"/>
      <c r="BR1481" s="866">
        <f>VLOOKUP(BD1481,$BD$4:$BN$12824,6,0)*BE1481</f>
        <v>98489.033464174703</v>
      </c>
      <c r="BS1481" s="866">
        <f>VLOOKUP(BD1481,$BD$4:$BN$12824,7,0)*BE1481</f>
        <v>6949.2920414064074</v>
      </c>
      <c r="BT1481" s="866"/>
      <c r="BU1481" s="866">
        <f>VLOOKUP(BD1481,$BD$4:$BN$12824,9,0)*BE1481</f>
        <v>3149.2644426336542</v>
      </c>
      <c r="BV1481" s="867"/>
      <c r="BW1481" s="867">
        <f>VLOOKUP(BD1481,$BD$4:$BN$12824,11,0)*BE1481</f>
        <v>60900.899149558209</v>
      </c>
      <c r="BX1481" s="1146">
        <f t="shared" si="286"/>
        <v>169488.48909777298</v>
      </c>
      <c r="BY1481" s="867">
        <f t="shared" si="289"/>
        <v>321486.02037907386</v>
      </c>
      <c r="BZ1481" s="867">
        <f t="shared" si="287"/>
        <v>7715664.4890977722</v>
      </c>
      <c r="CA1481" s="867">
        <f>_xlfn.MAXIFS($BY$4:$BY$12824,$S$4:$S$12824,$S1481)</f>
        <v>321486.02037907386</v>
      </c>
      <c r="CB1481" s="1032"/>
      <c r="CF1481" s="946">
        <f t="shared" si="288"/>
        <v>7546176</v>
      </c>
    </row>
    <row r="1482" spans="2:84">
      <c r="B1482" s="839" t="s">
        <v>98</v>
      </c>
      <c r="C1482" s="839" t="s">
        <v>131</v>
      </c>
      <c r="D1482" s="839" t="s">
        <v>4950</v>
      </c>
      <c r="E1482" s="839" t="s">
        <v>4994</v>
      </c>
      <c r="F1482" s="841">
        <v>45883</v>
      </c>
      <c r="G1482" s="868" t="s">
        <v>133</v>
      </c>
      <c r="H1482" s="842" t="s">
        <v>134</v>
      </c>
      <c r="I1482" s="883"/>
      <c r="J1482" s="841"/>
      <c r="K1482" s="841"/>
      <c r="L1482" s="843" t="s">
        <v>106</v>
      </c>
      <c r="M1482" s="844" t="s">
        <v>417</v>
      </c>
      <c r="N1482" s="841">
        <v>45884</v>
      </c>
      <c r="O1482" s="884" t="s">
        <v>135</v>
      </c>
      <c r="P1482" s="842" t="s">
        <v>186</v>
      </c>
      <c r="Q1482" s="843"/>
      <c r="R1482" s="845" t="s">
        <v>5051</v>
      </c>
      <c r="S1482" s="1127" t="s">
        <v>5052</v>
      </c>
      <c r="T1482" s="885" t="s">
        <v>5053</v>
      </c>
      <c r="U1482" s="886">
        <v>24</v>
      </c>
      <c r="V1482" s="842" t="s">
        <v>8</v>
      </c>
      <c r="W1482" s="846">
        <v>30</v>
      </c>
      <c r="X1482" s="847">
        <v>720</v>
      </c>
      <c r="Y1482" s="853">
        <v>0.6</v>
      </c>
      <c r="Z1482" s="849">
        <v>12</v>
      </c>
      <c r="AA1482" s="849"/>
      <c r="AB1482" s="849">
        <f t="shared" si="282"/>
        <v>288</v>
      </c>
      <c r="AC1482" s="850">
        <f t="shared" si="283"/>
        <v>288</v>
      </c>
      <c r="AD1482" s="851">
        <f t="shared" si="281"/>
        <v>27000</v>
      </c>
      <c r="AE1482" s="852">
        <v>26202</v>
      </c>
      <c r="AF1482" s="853">
        <v>0</v>
      </c>
      <c r="AG1482" s="854">
        <f t="shared" si="284"/>
        <v>0</v>
      </c>
      <c r="AH1482" s="853">
        <v>0.08</v>
      </c>
      <c r="AI1482" s="855">
        <f t="shared" si="285"/>
        <v>603694.07999999996</v>
      </c>
      <c r="AJ1482" s="845" t="s">
        <v>4950</v>
      </c>
      <c r="AK1482" s="864">
        <v>45901</v>
      </c>
      <c r="AL1482" s="843" t="s">
        <v>4957</v>
      </c>
      <c r="AM1482" s="843" t="s">
        <v>4958</v>
      </c>
      <c r="AN1482" s="844" t="s">
        <v>4959</v>
      </c>
      <c r="AO1482" s="844" t="s">
        <v>141</v>
      </c>
      <c r="AP1482" s="841"/>
      <c r="AQ1482" s="841">
        <v>45914</v>
      </c>
      <c r="AR1482" s="841">
        <v>45921</v>
      </c>
      <c r="AS1482" s="842" t="s">
        <v>1874</v>
      </c>
      <c r="AT1482" s="842" t="s">
        <v>1235</v>
      </c>
      <c r="AU1482" s="842"/>
      <c r="AV1482" s="845" t="s">
        <v>4960</v>
      </c>
      <c r="AW1482" s="861">
        <v>45920</v>
      </c>
      <c r="AX1482" s="862">
        <v>45929</v>
      </c>
      <c r="AY1482" s="843" t="s">
        <v>5054</v>
      </c>
      <c r="AZ1482" s="842" t="s">
        <v>2270</v>
      </c>
      <c r="BA1482" s="842" t="s">
        <v>120</v>
      </c>
      <c r="BB1482" s="863" t="s">
        <v>121</v>
      </c>
      <c r="BC1482" s="864">
        <v>45930</v>
      </c>
      <c r="BD1482" s="860" t="s">
        <v>4962</v>
      </c>
      <c r="BE1482" s="865" cm="1">
        <f t="array" ref="BE1482">IF(BD1482="","",AC1482/SUMPRODUCT(--(BD1482=$BD$4:$BD$12824),$AC$4:$AC$12824))</f>
        <v>1.1663942380124645E-2</v>
      </c>
      <c r="BF1482" s="458"/>
      <c r="BG1482" s="458"/>
      <c r="BH1482" s="458"/>
      <c r="BI1482" s="458"/>
      <c r="BJ1482" s="458"/>
      <c r="BK1482" s="458"/>
      <c r="BL1482" s="458"/>
      <c r="BM1482" s="458"/>
      <c r="BN1482" s="458"/>
      <c r="BO1482" s="866">
        <f>VLOOKUP(BD1482,$BD$4:$BN$12824,3,0)*BE1482</f>
        <v>0</v>
      </c>
      <c r="BP1482" s="866"/>
      <c r="BQ1482" s="866"/>
      <c r="BR1482" s="866">
        <f>VLOOKUP(BD1482,$BD$4:$BN$12824,6,0)*BE1482</f>
        <v>98489.033464174703</v>
      </c>
      <c r="BS1482" s="866">
        <f>VLOOKUP(BD1482,$BD$4:$BN$12824,7,0)*BE1482</f>
        <v>6949.2920414064074</v>
      </c>
      <c r="BT1482" s="866"/>
      <c r="BU1482" s="866">
        <f>VLOOKUP(BD1482,$BD$4:$BN$12824,9,0)*BE1482</f>
        <v>3149.2644426336542</v>
      </c>
      <c r="BV1482" s="867"/>
      <c r="BW1482" s="867">
        <f>VLOOKUP(BD1482,$BD$4:$BN$12824,11,0)*BE1482</f>
        <v>60900.899149558209</v>
      </c>
      <c r="BX1482" s="1146">
        <f t="shared" si="286"/>
        <v>169488.48909777298</v>
      </c>
      <c r="BY1482" s="867">
        <f t="shared" si="289"/>
        <v>321486.02037907386</v>
      </c>
      <c r="BZ1482" s="867">
        <f t="shared" si="287"/>
        <v>7715664.4890977722</v>
      </c>
      <c r="CA1482" s="867">
        <f>_xlfn.MAXIFS($BY$4:$BY$12824,$S$4:$S$12824,$S1482)</f>
        <v>321486.02037907386</v>
      </c>
      <c r="CB1482" s="1032"/>
      <c r="CF1482" s="946">
        <f t="shared" si="288"/>
        <v>7546176</v>
      </c>
    </row>
    <row r="1483" spans="2:84">
      <c r="B1483" s="839" t="s">
        <v>98</v>
      </c>
      <c r="C1483" s="839" t="s">
        <v>131</v>
      </c>
      <c r="D1483" s="839" t="s">
        <v>4950</v>
      </c>
      <c r="E1483" s="839" t="s">
        <v>4994</v>
      </c>
      <c r="F1483" s="841">
        <v>45883</v>
      </c>
      <c r="G1483" s="868" t="s">
        <v>133</v>
      </c>
      <c r="H1483" s="842" t="s">
        <v>134</v>
      </c>
      <c r="I1483" s="883"/>
      <c r="J1483" s="841"/>
      <c r="K1483" s="841"/>
      <c r="L1483" s="843" t="s">
        <v>106</v>
      </c>
      <c r="M1483" s="844" t="s">
        <v>417</v>
      </c>
      <c r="N1483" s="841">
        <v>45884</v>
      </c>
      <c r="O1483" s="884" t="s">
        <v>135</v>
      </c>
      <c r="P1483" s="842" t="s">
        <v>186</v>
      </c>
      <c r="Q1483" s="843"/>
      <c r="R1483" s="845" t="s">
        <v>5055</v>
      </c>
      <c r="S1483" s="1127" t="s">
        <v>5056</v>
      </c>
      <c r="T1483" s="885" t="s">
        <v>5057</v>
      </c>
      <c r="U1483" s="886">
        <v>24</v>
      </c>
      <c r="V1483" s="842" t="s">
        <v>8</v>
      </c>
      <c r="W1483" s="846">
        <v>30</v>
      </c>
      <c r="X1483" s="847">
        <v>720</v>
      </c>
      <c r="Y1483" s="853">
        <v>0.6</v>
      </c>
      <c r="Z1483" s="849">
        <v>12</v>
      </c>
      <c r="AA1483" s="849"/>
      <c r="AB1483" s="849">
        <f t="shared" si="282"/>
        <v>288</v>
      </c>
      <c r="AC1483" s="850">
        <f t="shared" si="283"/>
        <v>288</v>
      </c>
      <c r="AD1483" s="851">
        <f t="shared" si="281"/>
        <v>27000</v>
      </c>
      <c r="AE1483" s="852">
        <v>26202</v>
      </c>
      <c r="AF1483" s="853">
        <v>0</v>
      </c>
      <c r="AG1483" s="854">
        <f t="shared" si="284"/>
        <v>0</v>
      </c>
      <c r="AH1483" s="853">
        <v>0.08</v>
      </c>
      <c r="AI1483" s="855">
        <f t="shared" si="285"/>
        <v>603694.07999999996</v>
      </c>
      <c r="AJ1483" s="845" t="s">
        <v>4950</v>
      </c>
      <c r="AK1483" s="864">
        <v>45901</v>
      </c>
      <c r="AL1483" s="843" t="s">
        <v>4957</v>
      </c>
      <c r="AM1483" s="843" t="s">
        <v>4958</v>
      </c>
      <c r="AN1483" s="844" t="s">
        <v>4959</v>
      </c>
      <c r="AO1483" s="844" t="s">
        <v>141</v>
      </c>
      <c r="AP1483" s="841"/>
      <c r="AQ1483" s="841">
        <v>45914</v>
      </c>
      <c r="AR1483" s="841">
        <v>45921</v>
      </c>
      <c r="AS1483" s="842" t="s">
        <v>1874</v>
      </c>
      <c r="AT1483" s="842" t="s">
        <v>1235</v>
      </c>
      <c r="AU1483" s="842"/>
      <c r="AV1483" s="845" t="s">
        <v>4960</v>
      </c>
      <c r="AW1483" s="861">
        <v>45920</v>
      </c>
      <c r="AX1483" s="862">
        <v>45929</v>
      </c>
      <c r="AY1483" s="843" t="s">
        <v>5054</v>
      </c>
      <c r="AZ1483" s="842" t="s">
        <v>2270</v>
      </c>
      <c r="BA1483" s="842" t="s">
        <v>120</v>
      </c>
      <c r="BB1483" s="863" t="s">
        <v>121</v>
      </c>
      <c r="BC1483" s="864">
        <v>45930</v>
      </c>
      <c r="BD1483" s="860" t="s">
        <v>4962</v>
      </c>
      <c r="BE1483" s="865" cm="1">
        <f t="array" ref="BE1483">IF(BD1483="","",AC1483/SUMPRODUCT(--(BD1483=$BD$4:$BD$12824),$AC$4:$AC$12824))</f>
        <v>1.1663942380124645E-2</v>
      </c>
      <c r="BF1483" s="458"/>
      <c r="BG1483" s="458"/>
      <c r="BH1483" s="458"/>
      <c r="BI1483" s="458"/>
      <c r="BJ1483" s="458"/>
      <c r="BK1483" s="458"/>
      <c r="BL1483" s="458"/>
      <c r="BM1483" s="458"/>
      <c r="BN1483" s="458"/>
      <c r="BO1483" s="866">
        <f>VLOOKUP(BD1483,$BD$4:$BN$12824,3,0)*BE1483</f>
        <v>0</v>
      </c>
      <c r="BP1483" s="866"/>
      <c r="BQ1483" s="866"/>
      <c r="BR1483" s="866">
        <f>VLOOKUP(BD1483,$BD$4:$BN$12824,6,0)*BE1483</f>
        <v>98489.033464174703</v>
      </c>
      <c r="BS1483" s="866">
        <f>VLOOKUP(BD1483,$BD$4:$BN$12824,7,0)*BE1483</f>
        <v>6949.2920414064074</v>
      </c>
      <c r="BT1483" s="866"/>
      <c r="BU1483" s="866">
        <f>VLOOKUP(BD1483,$BD$4:$BN$12824,9,0)*BE1483</f>
        <v>3149.2644426336542</v>
      </c>
      <c r="BV1483" s="867"/>
      <c r="BW1483" s="867">
        <f>VLOOKUP(BD1483,$BD$4:$BN$12824,11,0)*BE1483</f>
        <v>60900.899149558209</v>
      </c>
      <c r="BX1483" s="1146">
        <f t="shared" si="286"/>
        <v>169488.48909777298</v>
      </c>
      <c r="BY1483" s="867">
        <f t="shared" si="289"/>
        <v>321486.02037907386</v>
      </c>
      <c r="BZ1483" s="867">
        <f t="shared" si="287"/>
        <v>7715664.4890977722</v>
      </c>
      <c r="CA1483" s="867">
        <f>_xlfn.MAXIFS($BY$4:$BY$12824,$S$4:$S$12824,$S1483)</f>
        <v>321486.02037907386</v>
      </c>
      <c r="CB1483" s="1032"/>
      <c r="CF1483" s="946">
        <f t="shared" si="288"/>
        <v>7546176</v>
      </c>
    </row>
    <row r="1484" spans="2:84">
      <c r="B1484" s="839" t="s">
        <v>98</v>
      </c>
      <c r="C1484" s="839" t="s">
        <v>131</v>
      </c>
      <c r="D1484" s="839" t="s">
        <v>4950</v>
      </c>
      <c r="E1484" s="839" t="s">
        <v>4994</v>
      </c>
      <c r="F1484" s="841">
        <v>45883</v>
      </c>
      <c r="G1484" s="868" t="s">
        <v>133</v>
      </c>
      <c r="H1484" s="842" t="s">
        <v>134</v>
      </c>
      <c r="I1484" s="883"/>
      <c r="J1484" s="841"/>
      <c r="K1484" s="841"/>
      <c r="L1484" s="843" t="s">
        <v>106</v>
      </c>
      <c r="M1484" s="844" t="s">
        <v>417</v>
      </c>
      <c r="N1484" s="841">
        <v>45884</v>
      </c>
      <c r="O1484" s="884" t="s">
        <v>135</v>
      </c>
      <c r="P1484" s="842" t="s">
        <v>186</v>
      </c>
      <c r="Q1484" s="843"/>
      <c r="R1484" s="845" t="s">
        <v>5058</v>
      </c>
      <c r="S1484" s="1127" t="s">
        <v>5059</v>
      </c>
      <c r="T1484" s="885" t="s">
        <v>5060</v>
      </c>
      <c r="U1484" s="886">
        <v>24</v>
      </c>
      <c r="V1484" s="842" t="s">
        <v>8</v>
      </c>
      <c r="W1484" s="846">
        <v>30</v>
      </c>
      <c r="X1484" s="847">
        <v>720</v>
      </c>
      <c r="Y1484" s="853">
        <v>0.6</v>
      </c>
      <c r="Z1484" s="849">
        <v>12</v>
      </c>
      <c r="AA1484" s="849"/>
      <c r="AB1484" s="849">
        <f t="shared" si="282"/>
        <v>288</v>
      </c>
      <c r="AC1484" s="850">
        <f t="shared" si="283"/>
        <v>288</v>
      </c>
      <c r="AD1484" s="851">
        <f t="shared" si="281"/>
        <v>27000</v>
      </c>
      <c r="AE1484" s="852">
        <v>26202</v>
      </c>
      <c r="AF1484" s="853">
        <v>0</v>
      </c>
      <c r="AG1484" s="854">
        <f t="shared" si="284"/>
        <v>0</v>
      </c>
      <c r="AH1484" s="853">
        <v>0.08</v>
      </c>
      <c r="AI1484" s="855">
        <f t="shared" si="285"/>
        <v>603694.07999999996</v>
      </c>
      <c r="AJ1484" s="845" t="s">
        <v>4950</v>
      </c>
      <c r="AK1484" s="864">
        <v>45901</v>
      </c>
      <c r="AL1484" s="843" t="s">
        <v>4957</v>
      </c>
      <c r="AM1484" s="843" t="s">
        <v>4958</v>
      </c>
      <c r="AN1484" s="844" t="s">
        <v>4959</v>
      </c>
      <c r="AO1484" s="844" t="s">
        <v>141</v>
      </c>
      <c r="AP1484" s="841"/>
      <c r="AQ1484" s="841">
        <v>45914</v>
      </c>
      <c r="AR1484" s="841">
        <v>45921</v>
      </c>
      <c r="AS1484" s="842" t="s">
        <v>1874</v>
      </c>
      <c r="AT1484" s="842" t="s">
        <v>1235</v>
      </c>
      <c r="AU1484" s="842"/>
      <c r="AV1484" s="845" t="s">
        <v>4960</v>
      </c>
      <c r="AW1484" s="861">
        <v>45920</v>
      </c>
      <c r="AX1484" s="862">
        <v>45929</v>
      </c>
      <c r="AY1484" s="843" t="s">
        <v>5054</v>
      </c>
      <c r="AZ1484" s="842" t="s">
        <v>2270</v>
      </c>
      <c r="BA1484" s="842" t="s">
        <v>120</v>
      </c>
      <c r="BB1484" s="863" t="s">
        <v>121</v>
      </c>
      <c r="BC1484" s="864">
        <v>45930</v>
      </c>
      <c r="BD1484" s="860" t="s">
        <v>4962</v>
      </c>
      <c r="BE1484" s="865" cm="1">
        <f t="array" ref="BE1484">IF(BD1484="","",AC1484/SUMPRODUCT(--(BD1484=$BD$4:$BD$12824),$AC$4:$AC$12824))</f>
        <v>1.1663942380124645E-2</v>
      </c>
      <c r="BF1484" s="458"/>
      <c r="BG1484" s="458"/>
      <c r="BH1484" s="458"/>
      <c r="BI1484" s="458"/>
      <c r="BJ1484" s="458"/>
      <c r="BK1484" s="458"/>
      <c r="BL1484" s="458"/>
      <c r="BM1484" s="458"/>
      <c r="BN1484" s="458"/>
      <c r="BO1484" s="866">
        <f>VLOOKUP(BD1484,$BD$4:$BN$12824,3,0)*BE1484</f>
        <v>0</v>
      </c>
      <c r="BP1484" s="866"/>
      <c r="BQ1484" s="866"/>
      <c r="BR1484" s="866">
        <f>VLOOKUP(BD1484,$BD$4:$BN$12824,6,0)*BE1484</f>
        <v>98489.033464174703</v>
      </c>
      <c r="BS1484" s="866">
        <f>VLOOKUP(BD1484,$BD$4:$BN$12824,7,0)*BE1484</f>
        <v>6949.2920414064074</v>
      </c>
      <c r="BT1484" s="866"/>
      <c r="BU1484" s="866">
        <f>VLOOKUP(BD1484,$BD$4:$BN$12824,9,0)*BE1484</f>
        <v>3149.2644426336542</v>
      </c>
      <c r="BV1484" s="867"/>
      <c r="BW1484" s="867">
        <f>VLOOKUP(BD1484,$BD$4:$BN$12824,11,0)*BE1484</f>
        <v>60900.899149558209</v>
      </c>
      <c r="BX1484" s="1146">
        <f t="shared" si="286"/>
        <v>169488.48909777298</v>
      </c>
      <c r="BY1484" s="867">
        <f t="shared" si="289"/>
        <v>321486.02037907386</v>
      </c>
      <c r="BZ1484" s="867">
        <f t="shared" si="287"/>
        <v>7715664.4890977722</v>
      </c>
      <c r="CA1484" s="867">
        <f>_xlfn.MAXIFS($BY$4:$BY$12824,$S$4:$S$12824,$S1484)</f>
        <v>321486.02037907386</v>
      </c>
      <c r="CB1484" s="1032"/>
      <c r="CF1484" s="946">
        <f t="shared" si="288"/>
        <v>7546176</v>
      </c>
    </row>
    <row r="1485" spans="2:84">
      <c r="B1485" s="839" t="s">
        <v>98</v>
      </c>
      <c r="C1485" s="839" t="s">
        <v>131</v>
      </c>
      <c r="D1485" s="839" t="s">
        <v>4950</v>
      </c>
      <c r="E1485" s="839" t="s">
        <v>4994</v>
      </c>
      <c r="F1485" s="841">
        <v>45883</v>
      </c>
      <c r="G1485" s="868" t="s">
        <v>133</v>
      </c>
      <c r="H1485" s="842" t="s">
        <v>134</v>
      </c>
      <c r="I1485" s="883"/>
      <c r="J1485" s="841"/>
      <c r="K1485" s="841"/>
      <c r="L1485" s="843" t="s">
        <v>106</v>
      </c>
      <c r="M1485" s="844" t="s">
        <v>417</v>
      </c>
      <c r="N1485" s="841">
        <v>45884</v>
      </c>
      <c r="O1485" s="884" t="s">
        <v>135</v>
      </c>
      <c r="P1485" s="842" t="s">
        <v>186</v>
      </c>
      <c r="Q1485" s="843"/>
      <c r="R1485" s="845" t="s">
        <v>5061</v>
      </c>
      <c r="S1485" s="1127" t="s">
        <v>5062</v>
      </c>
      <c r="T1485" s="885" t="s">
        <v>5063</v>
      </c>
      <c r="U1485" s="886">
        <v>24</v>
      </c>
      <c r="V1485" s="842" t="s">
        <v>8</v>
      </c>
      <c r="W1485" s="846">
        <v>30</v>
      </c>
      <c r="X1485" s="847">
        <v>720</v>
      </c>
      <c r="Y1485" s="853">
        <v>0.6</v>
      </c>
      <c r="Z1485" s="849">
        <v>12</v>
      </c>
      <c r="AA1485" s="849"/>
      <c r="AB1485" s="849">
        <f t="shared" si="282"/>
        <v>288</v>
      </c>
      <c r="AC1485" s="850">
        <f t="shared" si="283"/>
        <v>288</v>
      </c>
      <c r="AD1485" s="851">
        <f t="shared" si="281"/>
        <v>27000</v>
      </c>
      <c r="AE1485" s="852">
        <v>26202</v>
      </c>
      <c r="AF1485" s="853">
        <v>0</v>
      </c>
      <c r="AG1485" s="854">
        <f t="shared" si="284"/>
        <v>0</v>
      </c>
      <c r="AH1485" s="853">
        <v>0.08</v>
      </c>
      <c r="AI1485" s="855">
        <f t="shared" si="285"/>
        <v>603694.07999999996</v>
      </c>
      <c r="AJ1485" s="845" t="s">
        <v>4950</v>
      </c>
      <c r="AK1485" s="864">
        <v>45901</v>
      </c>
      <c r="AL1485" s="843" t="s">
        <v>4957</v>
      </c>
      <c r="AM1485" s="843" t="s">
        <v>4958</v>
      </c>
      <c r="AN1485" s="844" t="s">
        <v>4959</v>
      </c>
      <c r="AO1485" s="844" t="s">
        <v>141</v>
      </c>
      <c r="AP1485" s="841"/>
      <c r="AQ1485" s="841">
        <v>45914</v>
      </c>
      <c r="AR1485" s="841">
        <v>45921</v>
      </c>
      <c r="AS1485" s="842" t="s">
        <v>1874</v>
      </c>
      <c r="AT1485" s="842" t="s">
        <v>1235</v>
      </c>
      <c r="AU1485" s="842"/>
      <c r="AV1485" s="845" t="s">
        <v>4960</v>
      </c>
      <c r="AW1485" s="861">
        <v>45920</v>
      </c>
      <c r="AX1485" s="862">
        <v>45929</v>
      </c>
      <c r="AY1485" s="843" t="s">
        <v>5054</v>
      </c>
      <c r="AZ1485" s="842" t="s">
        <v>2270</v>
      </c>
      <c r="BA1485" s="842" t="s">
        <v>120</v>
      </c>
      <c r="BB1485" s="863" t="s">
        <v>121</v>
      </c>
      <c r="BC1485" s="864">
        <v>45930</v>
      </c>
      <c r="BD1485" s="860" t="s">
        <v>4962</v>
      </c>
      <c r="BE1485" s="865" cm="1">
        <f t="array" ref="BE1485">IF(BD1485="","",AC1485/SUMPRODUCT(--(BD1485=$BD$4:$BD$12824),$AC$4:$AC$12824))</f>
        <v>1.1663942380124645E-2</v>
      </c>
      <c r="BF1485" s="458"/>
      <c r="BG1485" s="458"/>
      <c r="BH1485" s="458"/>
      <c r="BI1485" s="458"/>
      <c r="BJ1485" s="458"/>
      <c r="BK1485" s="458"/>
      <c r="BL1485" s="458"/>
      <c r="BM1485" s="458"/>
      <c r="BN1485" s="458"/>
      <c r="BO1485" s="866">
        <f>VLOOKUP(BD1485,$BD$4:$BN$12824,3,0)*BE1485</f>
        <v>0</v>
      </c>
      <c r="BP1485" s="866"/>
      <c r="BQ1485" s="866"/>
      <c r="BR1485" s="866">
        <f>VLOOKUP(BD1485,$BD$4:$BN$12824,6,0)*BE1485</f>
        <v>98489.033464174703</v>
      </c>
      <c r="BS1485" s="866">
        <f>VLOOKUP(BD1485,$BD$4:$BN$12824,7,0)*BE1485</f>
        <v>6949.2920414064074</v>
      </c>
      <c r="BT1485" s="866"/>
      <c r="BU1485" s="866">
        <f>VLOOKUP(BD1485,$BD$4:$BN$12824,9,0)*BE1485</f>
        <v>3149.2644426336542</v>
      </c>
      <c r="BV1485" s="867"/>
      <c r="BW1485" s="867">
        <f>VLOOKUP(BD1485,$BD$4:$BN$12824,11,0)*BE1485</f>
        <v>60900.899149558209</v>
      </c>
      <c r="BX1485" s="1146">
        <f t="shared" si="286"/>
        <v>169488.48909777298</v>
      </c>
      <c r="BY1485" s="867">
        <f t="shared" si="289"/>
        <v>321486.02037907386</v>
      </c>
      <c r="BZ1485" s="867">
        <f t="shared" si="287"/>
        <v>7715664.4890977722</v>
      </c>
      <c r="CA1485" s="867">
        <f>_xlfn.MAXIFS($BY$4:$BY$12824,$S$4:$S$12824,$S1485)</f>
        <v>321486.02037907386</v>
      </c>
      <c r="CB1485" s="1032"/>
      <c r="CF1485" s="946">
        <f t="shared" si="288"/>
        <v>7546176</v>
      </c>
    </row>
    <row r="1486" spans="2:84">
      <c r="B1486" s="839" t="s">
        <v>98</v>
      </c>
      <c r="C1486" s="839" t="s">
        <v>131</v>
      </c>
      <c r="D1486" s="839" t="s">
        <v>4950</v>
      </c>
      <c r="E1486" s="839" t="s">
        <v>4994</v>
      </c>
      <c r="F1486" s="841">
        <v>45883</v>
      </c>
      <c r="G1486" s="868" t="s">
        <v>133</v>
      </c>
      <c r="H1486" s="842" t="s">
        <v>134</v>
      </c>
      <c r="I1486" s="883"/>
      <c r="J1486" s="841"/>
      <c r="K1486" s="841"/>
      <c r="L1486" s="843" t="s">
        <v>106</v>
      </c>
      <c r="M1486" s="844" t="s">
        <v>417</v>
      </c>
      <c r="N1486" s="841">
        <v>45884</v>
      </c>
      <c r="O1486" s="884" t="s">
        <v>135</v>
      </c>
      <c r="P1486" s="842" t="s">
        <v>186</v>
      </c>
      <c r="Q1486" s="843"/>
      <c r="R1486" s="845" t="s">
        <v>5064</v>
      </c>
      <c r="S1486" s="1127" t="s">
        <v>5065</v>
      </c>
      <c r="T1486" s="885" t="s">
        <v>5066</v>
      </c>
      <c r="U1486" s="886">
        <v>24</v>
      </c>
      <c r="V1486" s="842" t="s">
        <v>8</v>
      </c>
      <c r="W1486" s="846">
        <v>30</v>
      </c>
      <c r="X1486" s="847">
        <v>720</v>
      </c>
      <c r="Y1486" s="853">
        <v>0.6</v>
      </c>
      <c r="Z1486" s="849">
        <v>12</v>
      </c>
      <c r="AA1486" s="849"/>
      <c r="AB1486" s="849">
        <f t="shared" si="282"/>
        <v>288</v>
      </c>
      <c r="AC1486" s="850">
        <f t="shared" si="283"/>
        <v>288</v>
      </c>
      <c r="AD1486" s="851">
        <f t="shared" si="281"/>
        <v>27000</v>
      </c>
      <c r="AE1486" s="852">
        <v>26202</v>
      </c>
      <c r="AF1486" s="853">
        <v>0</v>
      </c>
      <c r="AG1486" s="854">
        <f t="shared" si="284"/>
        <v>0</v>
      </c>
      <c r="AH1486" s="853">
        <v>0.08</v>
      </c>
      <c r="AI1486" s="855">
        <f t="shared" si="285"/>
        <v>603694.07999999996</v>
      </c>
      <c r="AJ1486" s="845" t="s">
        <v>4950</v>
      </c>
      <c r="AK1486" s="864">
        <v>45901</v>
      </c>
      <c r="AL1486" s="843" t="s">
        <v>4957</v>
      </c>
      <c r="AM1486" s="843" t="s">
        <v>4958</v>
      </c>
      <c r="AN1486" s="844" t="s">
        <v>4959</v>
      </c>
      <c r="AO1486" s="844" t="s">
        <v>141</v>
      </c>
      <c r="AP1486" s="841"/>
      <c r="AQ1486" s="841">
        <v>45914</v>
      </c>
      <c r="AR1486" s="841">
        <v>45921</v>
      </c>
      <c r="AS1486" s="842" t="s">
        <v>1874</v>
      </c>
      <c r="AT1486" s="842" t="s">
        <v>1235</v>
      </c>
      <c r="AU1486" s="842"/>
      <c r="AV1486" s="845" t="s">
        <v>4960</v>
      </c>
      <c r="AW1486" s="861">
        <v>45920</v>
      </c>
      <c r="AX1486" s="862">
        <v>45929</v>
      </c>
      <c r="AY1486" s="843" t="s">
        <v>5054</v>
      </c>
      <c r="AZ1486" s="842" t="s">
        <v>2270</v>
      </c>
      <c r="BA1486" s="842" t="s">
        <v>120</v>
      </c>
      <c r="BB1486" s="863" t="s">
        <v>121</v>
      </c>
      <c r="BC1486" s="864">
        <v>45930</v>
      </c>
      <c r="BD1486" s="860" t="s">
        <v>4962</v>
      </c>
      <c r="BE1486" s="865" cm="1">
        <f t="array" ref="BE1486">IF(BD1486="","",AC1486/SUMPRODUCT(--(BD1486=$BD$4:$BD$12824),$AC$4:$AC$12824))</f>
        <v>1.1663942380124645E-2</v>
      </c>
      <c r="BF1486" s="458"/>
      <c r="BG1486" s="458"/>
      <c r="BH1486" s="458"/>
      <c r="BI1486" s="458"/>
      <c r="BJ1486" s="458"/>
      <c r="BK1486" s="458"/>
      <c r="BL1486" s="458"/>
      <c r="BM1486" s="458"/>
      <c r="BN1486" s="458"/>
      <c r="BO1486" s="866">
        <f>VLOOKUP(BD1486,$BD$4:$BN$12824,3,0)*BE1486</f>
        <v>0</v>
      </c>
      <c r="BP1486" s="866"/>
      <c r="BQ1486" s="866"/>
      <c r="BR1486" s="866">
        <f>VLOOKUP(BD1486,$BD$4:$BN$12824,6,0)*BE1486</f>
        <v>98489.033464174703</v>
      </c>
      <c r="BS1486" s="866">
        <f>VLOOKUP(BD1486,$BD$4:$BN$12824,7,0)*BE1486</f>
        <v>6949.2920414064074</v>
      </c>
      <c r="BT1486" s="866"/>
      <c r="BU1486" s="866">
        <f>VLOOKUP(BD1486,$BD$4:$BN$12824,9,0)*BE1486</f>
        <v>3149.2644426336542</v>
      </c>
      <c r="BV1486" s="867"/>
      <c r="BW1486" s="867">
        <f>VLOOKUP(BD1486,$BD$4:$BN$12824,11,0)*BE1486</f>
        <v>60900.899149558209</v>
      </c>
      <c r="BX1486" s="1146">
        <f t="shared" si="286"/>
        <v>169488.48909777298</v>
      </c>
      <c r="BY1486" s="867">
        <f t="shared" si="289"/>
        <v>321486.02037907386</v>
      </c>
      <c r="BZ1486" s="867">
        <f t="shared" si="287"/>
        <v>7715664.4890977722</v>
      </c>
      <c r="CA1486" s="867">
        <f>_xlfn.MAXIFS($BY$4:$BY$12824,$S$4:$S$12824,$S1486)</f>
        <v>321486.02037907386</v>
      </c>
      <c r="CB1486" s="1032"/>
      <c r="CF1486" s="946">
        <f t="shared" si="288"/>
        <v>7546176</v>
      </c>
    </row>
    <row r="1487" spans="2:84">
      <c r="B1487" s="839" t="s">
        <v>98</v>
      </c>
      <c r="C1487" s="839" t="s">
        <v>131</v>
      </c>
      <c r="D1487" s="839" t="s">
        <v>4950</v>
      </c>
      <c r="E1487" s="839" t="s">
        <v>4994</v>
      </c>
      <c r="F1487" s="841">
        <v>45883</v>
      </c>
      <c r="G1487" s="868" t="s">
        <v>133</v>
      </c>
      <c r="H1487" s="842" t="s">
        <v>134</v>
      </c>
      <c r="I1487" s="883"/>
      <c r="J1487" s="841"/>
      <c r="K1487" s="841"/>
      <c r="L1487" s="843" t="s">
        <v>106</v>
      </c>
      <c r="M1487" s="844" t="s">
        <v>417</v>
      </c>
      <c r="N1487" s="841">
        <v>45884</v>
      </c>
      <c r="O1487" s="884" t="s">
        <v>135</v>
      </c>
      <c r="P1487" s="842" t="s">
        <v>186</v>
      </c>
      <c r="Q1487" s="843"/>
      <c r="R1487" s="845" t="s">
        <v>5067</v>
      </c>
      <c r="S1487" s="1127" t="s">
        <v>5068</v>
      </c>
      <c r="T1487" s="885" t="s">
        <v>5069</v>
      </c>
      <c r="U1487" s="886">
        <v>24</v>
      </c>
      <c r="V1487" s="842" t="s">
        <v>8</v>
      </c>
      <c r="W1487" s="846">
        <v>30</v>
      </c>
      <c r="X1487" s="847">
        <v>720</v>
      </c>
      <c r="Y1487" s="853">
        <v>0.6</v>
      </c>
      <c r="Z1487" s="849">
        <v>12</v>
      </c>
      <c r="AA1487" s="849"/>
      <c r="AB1487" s="849">
        <f t="shared" si="282"/>
        <v>288</v>
      </c>
      <c r="AC1487" s="850">
        <f t="shared" si="283"/>
        <v>288</v>
      </c>
      <c r="AD1487" s="851">
        <f t="shared" si="281"/>
        <v>27000</v>
      </c>
      <c r="AE1487" s="852">
        <v>26202</v>
      </c>
      <c r="AF1487" s="853">
        <v>0</v>
      </c>
      <c r="AG1487" s="854">
        <f t="shared" si="284"/>
        <v>0</v>
      </c>
      <c r="AH1487" s="853">
        <v>0.08</v>
      </c>
      <c r="AI1487" s="855">
        <f t="shared" si="285"/>
        <v>603694.07999999996</v>
      </c>
      <c r="AJ1487" s="845" t="s">
        <v>4950</v>
      </c>
      <c r="AK1487" s="864">
        <v>45901</v>
      </c>
      <c r="AL1487" s="843" t="s">
        <v>4957</v>
      </c>
      <c r="AM1487" s="843" t="s">
        <v>4958</v>
      </c>
      <c r="AN1487" s="844" t="s">
        <v>4959</v>
      </c>
      <c r="AO1487" s="844" t="s">
        <v>141</v>
      </c>
      <c r="AP1487" s="841"/>
      <c r="AQ1487" s="841">
        <v>45914</v>
      </c>
      <c r="AR1487" s="841">
        <v>45921</v>
      </c>
      <c r="AS1487" s="842" t="s">
        <v>1874</v>
      </c>
      <c r="AT1487" s="842" t="s">
        <v>1235</v>
      </c>
      <c r="AU1487" s="842"/>
      <c r="AV1487" s="845" t="s">
        <v>4960</v>
      </c>
      <c r="AW1487" s="861">
        <v>45920</v>
      </c>
      <c r="AX1487" s="862">
        <v>45929</v>
      </c>
      <c r="AY1487" s="843" t="s">
        <v>5054</v>
      </c>
      <c r="AZ1487" s="842" t="s">
        <v>2270</v>
      </c>
      <c r="BA1487" s="842" t="s">
        <v>120</v>
      </c>
      <c r="BB1487" s="863" t="s">
        <v>121</v>
      </c>
      <c r="BC1487" s="864">
        <v>45930</v>
      </c>
      <c r="BD1487" s="860" t="s">
        <v>4962</v>
      </c>
      <c r="BE1487" s="865" cm="1">
        <f t="array" ref="BE1487">IF(BD1487="","",AC1487/SUMPRODUCT(--(BD1487=$BD$4:$BD$12824),$AC$4:$AC$12824))</f>
        <v>1.1663942380124645E-2</v>
      </c>
      <c r="BF1487" s="458"/>
      <c r="BG1487" s="458"/>
      <c r="BH1487" s="458"/>
      <c r="BI1487" s="458"/>
      <c r="BJ1487" s="458"/>
      <c r="BK1487" s="458"/>
      <c r="BL1487" s="458"/>
      <c r="BM1487" s="458"/>
      <c r="BN1487" s="458"/>
      <c r="BO1487" s="866">
        <f>VLOOKUP(BD1487,$BD$4:$BN$12824,3,0)*BE1487</f>
        <v>0</v>
      </c>
      <c r="BP1487" s="866"/>
      <c r="BQ1487" s="866"/>
      <c r="BR1487" s="866">
        <f>VLOOKUP(BD1487,$BD$4:$BN$12824,6,0)*BE1487</f>
        <v>98489.033464174703</v>
      </c>
      <c r="BS1487" s="866">
        <f>VLOOKUP(BD1487,$BD$4:$BN$12824,7,0)*BE1487</f>
        <v>6949.2920414064074</v>
      </c>
      <c r="BT1487" s="866"/>
      <c r="BU1487" s="866">
        <f>VLOOKUP(BD1487,$BD$4:$BN$12824,9,0)*BE1487</f>
        <v>3149.2644426336542</v>
      </c>
      <c r="BV1487" s="867"/>
      <c r="BW1487" s="867">
        <f>VLOOKUP(BD1487,$BD$4:$BN$12824,11,0)*BE1487</f>
        <v>60900.899149558209</v>
      </c>
      <c r="BX1487" s="1146">
        <f t="shared" si="286"/>
        <v>169488.48909777298</v>
      </c>
      <c r="BY1487" s="867">
        <f t="shared" si="289"/>
        <v>321486.02037907386</v>
      </c>
      <c r="BZ1487" s="867">
        <f t="shared" si="287"/>
        <v>7715664.4890977722</v>
      </c>
      <c r="CA1487" s="867">
        <f>_xlfn.MAXIFS($BY$4:$BY$12824,$S$4:$S$12824,$S1487)</f>
        <v>321486.02037907386</v>
      </c>
      <c r="CB1487" s="1032"/>
      <c r="CF1487" s="946">
        <f t="shared" si="288"/>
        <v>7546176</v>
      </c>
    </row>
    <row r="1488" spans="2:84">
      <c r="B1488" s="839" t="s">
        <v>98</v>
      </c>
      <c r="C1488" s="839" t="s">
        <v>131</v>
      </c>
      <c r="D1488" s="839" t="s">
        <v>4950</v>
      </c>
      <c r="E1488" s="839" t="s">
        <v>4994</v>
      </c>
      <c r="F1488" s="841">
        <v>45883</v>
      </c>
      <c r="G1488" s="868" t="s">
        <v>133</v>
      </c>
      <c r="H1488" s="842" t="s">
        <v>134</v>
      </c>
      <c r="I1488" s="883"/>
      <c r="J1488" s="841"/>
      <c r="K1488" s="841"/>
      <c r="L1488" s="843" t="s">
        <v>106</v>
      </c>
      <c r="M1488" s="844" t="s">
        <v>417</v>
      </c>
      <c r="N1488" s="841">
        <v>45884</v>
      </c>
      <c r="O1488" s="884" t="s">
        <v>135</v>
      </c>
      <c r="P1488" s="842" t="s">
        <v>186</v>
      </c>
      <c r="Q1488" s="843"/>
      <c r="R1488" s="845" t="s">
        <v>5070</v>
      </c>
      <c r="S1488" s="1127" t="s">
        <v>5071</v>
      </c>
      <c r="T1488" s="885" t="s">
        <v>5072</v>
      </c>
      <c r="U1488" s="886">
        <v>24</v>
      </c>
      <c r="V1488" s="842" t="s">
        <v>8</v>
      </c>
      <c r="W1488" s="846">
        <v>30</v>
      </c>
      <c r="X1488" s="847">
        <v>720</v>
      </c>
      <c r="Y1488" s="853">
        <v>0.6</v>
      </c>
      <c r="Z1488" s="849">
        <v>12</v>
      </c>
      <c r="AA1488" s="849"/>
      <c r="AB1488" s="849">
        <f t="shared" si="282"/>
        <v>288</v>
      </c>
      <c r="AC1488" s="850">
        <f t="shared" si="283"/>
        <v>288</v>
      </c>
      <c r="AD1488" s="851">
        <f t="shared" si="281"/>
        <v>27000</v>
      </c>
      <c r="AE1488" s="852">
        <v>26202</v>
      </c>
      <c r="AF1488" s="853">
        <v>0</v>
      </c>
      <c r="AG1488" s="854">
        <f t="shared" si="284"/>
        <v>0</v>
      </c>
      <c r="AH1488" s="853">
        <v>0.08</v>
      </c>
      <c r="AI1488" s="855">
        <f t="shared" si="285"/>
        <v>603694.07999999996</v>
      </c>
      <c r="AJ1488" s="845" t="s">
        <v>4950</v>
      </c>
      <c r="AK1488" s="864">
        <v>45901</v>
      </c>
      <c r="AL1488" s="843" t="s">
        <v>4957</v>
      </c>
      <c r="AM1488" s="843" t="s">
        <v>4958</v>
      </c>
      <c r="AN1488" s="844" t="s">
        <v>4959</v>
      </c>
      <c r="AO1488" s="844" t="s">
        <v>141</v>
      </c>
      <c r="AP1488" s="841"/>
      <c r="AQ1488" s="841">
        <v>45914</v>
      </c>
      <c r="AR1488" s="841">
        <v>45921</v>
      </c>
      <c r="AS1488" s="842" t="s">
        <v>1874</v>
      </c>
      <c r="AT1488" s="842" t="s">
        <v>1235</v>
      </c>
      <c r="AU1488" s="842"/>
      <c r="AV1488" s="845" t="s">
        <v>4960</v>
      </c>
      <c r="AW1488" s="861">
        <v>45920</v>
      </c>
      <c r="AX1488" s="862">
        <v>45929</v>
      </c>
      <c r="AY1488" s="843" t="s">
        <v>5054</v>
      </c>
      <c r="AZ1488" s="842" t="s">
        <v>2270</v>
      </c>
      <c r="BA1488" s="842" t="s">
        <v>120</v>
      </c>
      <c r="BB1488" s="863" t="s">
        <v>121</v>
      </c>
      <c r="BC1488" s="864">
        <v>45930</v>
      </c>
      <c r="BD1488" s="860" t="s">
        <v>4962</v>
      </c>
      <c r="BE1488" s="865" cm="1">
        <f t="array" ref="BE1488">IF(BD1488="","",AC1488/SUMPRODUCT(--(BD1488=$BD$4:$BD$12824),$AC$4:$AC$12824))</f>
        <v>1.1663942380124645E-2</v>
      </c>
      <c r="BF1488" s="458"/>
      <c r="BG1488" s="458"/>
      <c r="BH1488" s="458"/>
      <c r="BI1488" s="458"/>
      <c r="BJ1488" s="458"/>
      <c r="BK1488" s="458"/>
      <c r="BL1488" s="458"/>
      <c r="BM1488" s="458"/>
      <c r="BN1488" s="458"/>
      <c r="BO1488" s="866">
        <f>VLOOKUP(BD1488,$BD$4:$BN$12824,3,0)*BE1488</f>
        <v>0</v>
      </c>
      <c r="BP1488" s="866"/>
      <c r="BQ1488" s="866"/>
      <c r="BR1488" s="866">
        <f>VLOOKUP(BD1488,$BD$4:$BN$12824,6,0)*BE1488</f>
        <v>98489.033464174703</v>
      </c>
      <c r="BS1488" s="866">
        <f>VLOOKUP(BD1488,$BD$4:$BN$12824,7,0)*BE1488</f>
        <v>6949.2920414064074</v>
      </c>
      <c r="BT1488" s="866"/>
      <c r="BU1488" s="866">
        <f>VLOOKUP(BD1488,$BD$4:$BN$12824,9,0)*BE1488</f>
        <v>3149.2644426336542</v>
      </c>
      <c r="BV1488" s="867"/>
      <c r="BW1488" s="867">
        <f>VLOOKUP(BD1488,$BD$4:$BN$12824,11,0)*BE1488</f>
        <v>60900.899149558209</v>
      </c>
      <c r="BX1488" s="1146">
        <f t="shared" si="286"/>
        <v>169488.48909777298</v>
      </c>
      <c r="BY1488" s="867">
        <f t="shared" si="289"/>
        <v>321486.02037907386</v>
      </c>
      <c r="BZ1488" s="867">
        <f t="shared" si="287"/>
        <v>7715664.4890977722</v>
      </c>
      <c r="CA1488" s="867">
        <f>_xlfn.MAXIFS($BY$4:$BY$12824,$S$4:$S$12824,$S1488)</f>
        <v>321486.02037907386</v>
      </c>
      <c r="CB1488" s="1032"/>
      <c r="CF1488" s="946">
        <f t="shared" si="288"/>
        <v>7546176</v>
      </c>
    </row>
    <row r="1489" spans="2:84">
      <c r="B1489" s="839" t="s">
        <v>98</v>
      </c>
      <c r="C1489" s="839" t="s">
        <v>131</v>
      </c>
      <c r="D1489" s="839" t="s">
        <v>4950</v>
      </c>
      <c r="E1489" s="839" t="s">
        <v>4994</v>
      </c>
      <c r="F1489" s="841">
        <v>45883</v>
      </c>
      <c r="G1489" s="868" t="s">
        <v>133</v>
      </c>
      <c r="H1489" s="842" t="s">
        <v>134</v>
      </c>
      <c r="I1489" s="883"/>
      <c r="J1489" s="841"/>
      <c r="K1489" s="841"/>
      <c r="L1489" s="843" t="s">
        <v>106</v>
      </c>
      <c r="M1489" s="844" t="s">
        <v>417</v>
      </c>
      <c r="N1489" s="841">
        <v>45884</v>
      </c>
      <c r="O1489" s="884" t="s">
        <v>135</v>
      </c>
      <c r="P1489" s="842" t="s">
        <v>186</v>
      </c>
      <c r="Q1489" s="843"/>
      <c r="R1489" s="845" t="s">
        <v>5073</v>
      </c>
      <c r="S1489" s="1127" t="s">
        <v>5074</v>
      </c>
      <c r="T1489" s="885" t="s">
        <v>5075</v>
      </c>
      <c r="U1489" s="886">
        <v>24</v>
      </c>
      <c r="V1489" s="842" t="s">
        <v>8</v>
      </c>
      <c r="W1489" s="846">
        <v>30</v>
      </c>
      <c r="X1489" s="847">
        <v>720</v>
      </c>
      <c r="Y1489" s="853">
        <v>0.6</v>
      </c>
      <c r="Z1489" s="849">
        <v>12</v>
      </c>
      <c r="AA1489" s="849"/>
      <c r="AB1489" s="849">
        <f t="shared" si="282"/>
        <v>288</v>
      </c>
      <c r="AC1489" s="850">
        <f t="shared" si="283"/>
        <v>288</v>
      </c>
      <c r="AD1489" s="851">
        <f t="shared" si="281"/>
        <v>27000</v>
      </c>
      <c r="AE1489" s="852">
        <v>26202</v>
      </c>
      <c r="AF1489" s="853">
        <v>0</v>
      </c>
      <c r="AG1489" s="854">
        <f t="shared" si="284"/>
        <v>0</v>
      </c>
      <c r="AH1489" s="853">
        <v>0.08</v>
      </c>
      <c r="AI1489" s="855">
        <f t="shared" si="285"/>
        <v>603694.07999999996</v>
      </c>
      <c r="AJ1489" s="845" t="s">
        <v>4950</v>
      </c>
      <c r="AK1489" s="864">
        <v>45901</v>
      </c>
      <c r="AL1489" s="843" t="s">
        <v>4957</v>
      </c>
      <c r="AM1489" s="843" t="s">
        <v>4958</v>
      </c>
      <c r="AN1489" s="844" t="s">
        <v>4959</v>
      </c>
      <c r="AO1489" s="844" t="s">
        <v>141</v>
      </c>
      <c r="AP1489" s="841"/>
      <c r="AQ1489" s="841">
        <v>45914</v>
      </c>
      <c r="AR1489" s="841">
        <v>45921</v>
      </c>
      <c r="AS1489" s="842" t="s">
        <v>1874</v>
      </c>
      <c r="AT1489" s="842" t="s">
        <v>1235</v>
      </c>
      <c r="AU1489" s="842"/>
      <c r="AV1489" s="845" t="s">
        <v>4960</v>
      </c>
      <c r="AW1489" s="861">
        <v>45920</v>
      </c>
      <c r="AX1489" s="862">
        <v>45929</v>
      </c>
      <c r="AY1489" s="843" t="s">
        <v>5054</v>
      </c>
      <c r="AZ1489" s="842" t="s">
        <v>2270</v>
      </c>
      <c r="BA1489" s="842" t="s">
        <v>120</v>
      </c>
      <c r="BB1489" s="863" t="s">
        <v>121</v>
      </c>
      <c r="BC1489" s="864">
        <v>45930</v>
      </c>
      <c r="BD1489" s="860" t="s">
        <v>4962</v>
      </c>
      <c r="BE1489" s="865" cm="1">
        <f t="array" ref="BE1489">IF(BD1489="","",AC1489/SUMPRODUCT(--(BD1489=$BD$4:$BD$12824),$AC$4:$AC$12824))</f>
        <v>1.1663942380124645E-2</v>
      </c>
      <c r="BF1489" s="458"/>
      <c r="BG1489" s="458"/>
      <c r="BH1489" s="458"/>
      <c r="BI1489" s="458"/>
      <c r="BJ1489" s="458"/>
      <c r="BK1489" s="458"/>
      <c r="BL1489" s="458"/>
      <c r="BM1489" s="458"/>
      <c r="BN1489" s="458"/>
      <c r="BO1489" s="866">
        <f>VLOOKUP(BD1489,$BD$4:$BN$12824,3,0)*BE1489</f>
        <v>0</v>
      </c>
      <c r="BP1489" s="866"/>
      <c r="BQ1489" s="866"/>
      <c r="BR1489" s="866">
        <f>VLOOKUP(BD1489,$BD$4:$BN$12824,6,0)*BE1489</f>
        <v>98489.033464174703</v>
      </c>
      <c r="BS1489" s="866">
        <f>VLOOKUP(BD1489,$BD$4:$BN$12824,7,0)*BE1489</f>
        <v>6949.2920414064074</v>
      </c>
      <c r="BT1489" s="866"/>
      <c r="BU1489" s="866">
        <f>VLOOKUP(BD1489,$BD$4:$BN$12824,9,0)*BE1489</f>
        <v>3149.2644426336542</v>
      </c>
      <c r="BV1489" s="867"/>
      <c r="BW1489" s="867">
        <f>VLOOKUP(BD1489,$BD$4:$BN$12824,11,0)*BE1489</f>
        <v>60900.899149558209</v>
      </c>
      <c r="BX1489" s="1146">
        <f t="shared" si="286"/>
        <v>169488.48909777298</v>
      </c>
      <c r="BY1489" s="867">
        <f t="shared" si="289"/>
        <v>321486.02037907386</v>
      </c>
      <c r="BZ1489" s="867">
        <f t="shared" si="287"/>
        <v>7715664.4890977722</v>
      </c>
      <c r="CA1489" s="867">
        <f>_xlfn.MAXIFS($BY$4:$BY$12824,$S$4:$S$12824,$S1489)</f>
        <v>321486.02037907386</v>
      </c>
      <c r="CB1489" s="1032"/>
      <c r="CF1489" s="946">
        <f t="shared" si="288"/>
        <v>7546176</v>
      </c>
    </row>
    <row r="1490" spans="2:84">
      <c r="B1490" s="839" t="s">
        <v>98</v>
      </c>
      <c r="C1490" s="839" t="s">
        <v>131</v>
      </c>
      <c r="D1490" s="839" t="s">
        <v>4950</v>
      </c>
      <c r="E1490" s="839" t="s">
        <v>4994</v>
      </c>
      <c r="F1490" s="841">
        <v>45883</v>
      </c>
      <c r="G1490" s="868" t="s">
        <v>133</v>
      </c>
      <c r="H1490" s="842" t="s">
        <v>134</v>
      </c>
      <c r="I1490" s="883"/>
      <c r="J1490" s="841"/>
      <c r="K1490" s="841"/>
      <c r="L1490" s="843" t="s">
        <v>106</v>
      </c>
      <c r="M1490" s="844" t="s">
        <v>417</v>
      </c>
      <c r="N1490" s="841">
        <v>45884</v>
      </c>
      <c r="O1490" s="884" t="s">
        <v>135</v>
      </c>
      <c r="P1490" s="842" t="s">
        <v>186</v>
      </c>
      <c r="Q1490" s="843"/>
      <c r="R1490" s="845" t="s">
        <v>5076</v>
      </c>
      <c r="S1490" s="1127" t="s">
        <v>5077</v>
      </c>
      <c r="T1490" s="885" t="s">
        <v>5078</v>
      </c>
      <c r="U1490" s="886">
        <v>24</v>
      </c>
      <c r="V1490" s="842" t="s">
        <v>8</v>
      </c>
      <c r="W1490" s="846">
        <v>30</v>
      </c>
      <c r="X1490" s="847">
        <v>720</v>
      </c>
      <c r="Y1490" s="853">
        <v>0.6</v>
      </c>
      <c r="Z1490" s="849">
        <v>12</v>
      </c>
      <c r="AA1490" s="849"/>
      <c r="AB1490" s="849">
        <f t="shared" si="282"/>
        <v>288</v>
      </c>
      <c r="AC1490" s="850">
        <f t="shared" si="283"/>
        <v>288</v>
      </c>
      <c r="AD1490" s="851">
        <f t="shared" si="281"/>
        <v>27000</v>
      </c>
      <c r="AE1490" s="852">
        <v>26202</v>
      </c>
      <c r="AF1490" s="853">
        <v>0</v>
      </c>
      <c r="AG1490" s="854">
        <f t="shared" si="284"/>
        <v>0</v>
      </c>
      <c r="AH1490" s="853">
        <v>0.08</v>
      </c>
      <c r="AI1490" s="855">
        <f t="shared" si="285"/>
        <v>603694.07999999996</v>
      </c>
      <c r="AJ1490" s="845" t="s">
        <v>4950</v>
      </c>
      <c r="AK1490" s="864">
        <v>45901</v>
      </c>
      <c r="AL1490" s="843" t="s">
        <v>4957</v>
      </c>
      <c r="AM1490" s="843" t="s">
        <v>4958</v>
      </c>
      <c r="AN1490" s="844" t="s">
        <v>4959</v>
      </c>
      <c r="AO1490" s="844" t="s">
        <v>141</v>
      </c>
      <c r="AP1490" s="841"/>
      <c r="AQ1490" s="841">
        <v>45914</v>
      </c>
      <c r="AR1490" s="841">
        <v>45921</v>
      </c>
      <c r="AS1490" s="842" t="s">
        <v>1874</v>
      </c>
      <c r="AT1490" s="842" t="s">
        <v>1235</v>
      </c>
      <c r="AU1490" s="842"/>
      <c r="AV1490" s="845" t="s">
        <v>4960</v>
      </c>
      <c r="AW1490" s="861">
        <v>45920</v>
      </c>
      <c r="AX1490" s="862">
        <v>45929</v>
      </c>
      <c r="AY1490" s="843" t="s">
        <v>5054</v>
      </c>
      <c r="AZ1490" s="842" t="s">
        <v>2270</v>
      </c>
      <c r="BA1490" s="842" t="s">
        <v>120</v>
      </c>
      <c r="BB1490" s="863" t="s">
        <v>121</v>
      </c>
      <c r="BC1490" s="864">
        <v>45930</v>
      </c>
      <c r="BD1490" s="860" t="s">
        <v>4962</v>
      </c>
      <c r="BE1490" s="865" cm="1">
        <f t="array" ref="BE1490">IF(BD1490="","",AC1490/SUMPRODUCT(--(BD1490=$BD$4:$BD$12824),$AC$4:$AC$12824))</f>
        <v>1.1663942380124645E-2</v>
      </c>
      <c r="BF1490" s="458"/>
      <c r="BG1490" s="458"/>
      <c r="BH1490" s="458"/>
      <c r="BI1490" s="458"/>
      <c r="BJ1490" s="458"/>
      <c r="BK1490" s="458"/>
      <c r="BL1490" s="458"/>
      <c r="BM1490" s="458"/>
      <c r="BN1490" s="458"/>
      <c r="BO1490" s="866">
        <f>VLOOKUP(BD1490,$BD$4:$BN$12824,3,0)*BE1490</f>
        <v>0</v>
      </c>
      <c r="BP1490" s="866"/>
      <c r="BQ1490" s="866"/>
      <c r="BR1490" s="866">
        <f>VLOOKUP(BD1490,$BD$4:$BN$12824,6,0)*BE1490</f>
        <v>98489.033464174703</v>
      </c>
      <c r="BS1490" s="866">
        <f>VLOOKUP(BD1490,$BD$4:$BN$12824,7,0)*BE1490</f>
        <v>6949.2920414064074</v>
      </c>
      <c r="BT1490" s="866"/>
      <c r="BU1490" s="866">
        <f>VLOOKUP(BD1490,$BD$4:$BN$12824,9,0)*BE1490</f>
        <v>3149.2644426336542</v>
      </c>
      <c r="BV1490" s="867"/>
      <c r="BW1490" s="867">
        <f>VLOOKUP(BD1490,$BD$4:$BN$12824,11,0)*BE1490</f>
        <v>60900.899149558209</v>
      </c>
      <c r="BX1490" s="1146">
        <f t="shared" si="286"/>
        <v>169488.48909777298</v>
      </c>
      <c r="BY1490" s="867">
        <f t="shared" si="289"/>
        <v>321486.02037907386</v>
      </c>
      <c r="BZ1490" s="867">
        <f t="shared" si="287"/>
        <v>7715664.4890977722</v>
      </c>
      <c r="CA1490" s="867">
        <f>_xlfn.MAXIFS($BY$4:$BY$12824,$S$4:$S$12824,$S1490)</f>
        <v>321486.02037907386</v>
      </c>
      <c r="CB1490" s="1032"/>
      <c r="CF1490" s="946">
        <f t="shared" si="288"/>
        <v>7546176</v>
      </c>
    </row>
    <row r="1491" spans="2:84">
      <c r="B1491" s="839" t="s">
        <v>98</v>
      </c>
      <c r="C1491" s="839" t="s">
        <v>131</v>
      </c>
      <c r="D1491" s="839" t="s">
        <v>4950</v>
      </c>
      <c r="E1491" s="839" t="s">
        <v>4994</v>
      </c>
      <c r="F1491" s="841">
        <v>45883</v>
      </c>
      <c r="G1491" s="868" t="s">
        <v>133</v>
      </c>
      <c r="H1491" s="842" t="s">
        <v>134</v>
      </c>
      <c r="I1491" s="883"/>
      <c r="J1491" s="841"/>
      <c r="K1491" s="841"/>
      <c r="L1491" s="843" t="s">
        <v>106</v>
      </c>
      <c r="M1491" s="844" t="s">
        <v>417</v>
      </c>
      <c r="N1491" s="841">
        <v>45884</v>
      </c>
      <c r="O1491" s="884" t="s">
        <v>135</v>
      </c>
      <c r="P1491" s="842" t="s">
        <v>186</v>
      </c>
      <c r="Q1491" s="843"/>
      <c r="R1491" s="845" t="s">
        <v>5079</v>
      </c>
      <c r="S1491" s="1127" t="s">
        <v>5080</v>
      </c>
      <c r="T1491" s="885" t="s">
        <v>5081</v>
      </c>
      <c r="U1491" s="886">
        <v>12</v>
      </c>
      <c r="V1491" s="842" t="s">
        <v>8</v>
      </c>
      <c r="W1491" s="846">
        <v>9</v>
      </c>
      <c r="X1491" s="847">
        <v>108</v>
      </c>
      <c r="Y1491" s="853">
        <v>0.6</v>
      </c>
      <c r="Z1491" s="849">
        <v>3.6</v>
      </c>
      <c r="AA1491" s="849"/>
      <c r="AB1491" s="849">
        <f t="shared" si="282"/>
        <v>43.2</v>
      </c>
      <c r="AC1491" s="850">
        <f t="shared" si="283"/>
        <v>43.2</v>
      </c>
      <c r="AD1491" s="851">
        <f t="shared" si="281"/>
        <v>27000</v>
      </c>
      <c r="AE1491" s="852">
        <v>26202</v>
      </c>
      <c r="AF1491" s="853">
        <v>0</v>
      </c>
      <c r="AG1491" s="854">
        <f t="shared" si="284"/>
        <v>0</v>
      </c>
      <c r="AH1491" s="853">
        <v>0.08</v>
      </c>
      <c r="AI1491" s="855">
        <f t="shared" si="285"/>
        <v>90554.112000000008</v>
      </c>
      <c r="AJ1491" s="845" t="s">
        <v>4950</v>
      </c>
      <c r="AK1491" s="864">
        <v>45901</v>
      </c>
      <c r="AL1491" s="843" t="s">
        <v>4957</v>
      </c>
      <c r="AM1491" s="843" t="s">
        <v>4958</v>
      </c>
      <c r="AN1491" s="844" t="s">
        <v>4959</v>
      </c>
      <c r="AO1491" s="844" t="s">
        <v>141</v>
      </c>
      <c r="AP1491" s="841"/>
      <c r="AQ1491" s="841">
        <v>45914</v>
      </c>
      <c r="AR1491" s="841">
        <v>45921</v>
      </c>
      <c r="AS1491" s="842" t="s">
        <v>1874</v>
      </c>
      <c r="AT1491" s="842" t="s">
        <v>1235</v>
      </c>
      <c r="AU1491" s="842"/>
      <c r="AV1491" s="845" t="s">
        <v>4960</v>
      </c>
      <c r="AW1491" s="861">
        <v>45920</v>
      </c>
      <c r="AX1491" s="862">
        <v>45929</v>
      </c>
      <c r="AY1491" s="843" t="s">
        <v>5082</v>
      </c>
      <c r="AZ1491" s="842" t="s">
        <v>5083</v>
      </c>
      <c r="BA1491" s="842" t="s">
        <v>120</v>
      </c>
      <c r="BB1491" s="863" t="s">
        <v>121</v>
      </c>
      <c r="BC1491" s="864">
        <v>45930</v>
      </c>
      <c r="BD1491" s="860" t="s">
        <v>4962</v>
      </c>
      <c r="BE1491" s="865" cm="1">
        <f t="array" ref="BE1491">IF(BD1491="","",AC1491/SUMPRODUCT(--(BD1491=$BD$4:$BD$12824),$AC$4:$AC$12824))</f>
        <v>1.7495913570186969E-3</v>
      </c>
      <c r="BF1491" s="458"/>
      <c r="BG1491" s="458"/>
      <c r="BH1491" s="458"/>
      <c r="BI1491" s="458"/>
      <c r="BJ1491" s="458"/>
      <c r="BK1491" s="458"/>
      <c r="BL1491" s="458"/>
      <c r="BM1491" s="458"/>
      <c r="BN1491" s="458"/>
      <c r="BO1491" s="866">
        <f>VLOOKUP(BD1491,$BD$4:$BN$12824,3,0)*BE1491</f>
        <v>0</v>
      </c>
      <c r="BP1491" s="866"/>
      <c r="BQ1491" s="866"/>
      <c r="BR1491" s="866">
        <f>VLOOKUP(BD1491,$BD$4:$BN$12824,6,0)*BE1491</f>
        <v>14773.355019626206</v>
      </c>
      <c r="BS1491" s="866">
        <f>VLOOKUP(BD1491,$BD$4:$BN$12824,7,0)*BE1491</f>
        <v>1042.3938062109612</v>
      </c>
      <c r="BT1491" s="866"/>
      <c r="BU1491" s="866">
        <f>VLOOKUP(BD1491,$BD$4:$BN$12824,9,0)*BE1491</f>
        <v>472.38966639504815</v>
      </c>
      <c r="BV1491" s="867"/>
      <c r="BW1491" s="867">
        <f>VLOOKUP(BD1491,$BD$4:$BN$12824,11,0)*BE1491</f>
        <v>9135.1348724337331</v>
      </c>
      <c r="BX1491" s="1146">
        <f t="shared" si="286"/>
        <v>25423.273364665947</v>
      </c>
      <c r="BY1491" s="867">
        <f t="shared" si="289"/>
        <v>96445.806113722167</v>
      </c>
      <c r="BZ1491" s="867">
        <f t="shared" si="287"/>
        <v>1157349.6733646661</v>
      </c>
      <c r="CA1491" s="867">
        <f>_xlfn.MAXIFS($BY$4:$BY$12824,$S$4:$S$12824,$S1491)</f>
        <v>96445.806113722167</v>
      </c>
      <c r="CB1491" s="1032"/>
      <c r="CF1491" s="946">
        <f t="shared" si="288"/>
        <v>1131926.4000000001</v>
      </c>
    </row>
    <row r="1492" spans="2:84">
      <c r="B1492" s="839" t="s">
        <v>98</v>
      </c>
      <c r="C1492" s="839" t="s">
        <v>131</v>
      </c>
      <c r="D1492" s="839" t="s">
        <v>4950</v>
      </c>
      <c r="E1492" s="839" t="s">
        <v>4994</v>
      </c>
      <c r="F1492" s="841">
        <v>45883</v>
      </c>
      <c r="G1492" s="868" t="s">
        <v>133</v>
      </c>
      <c r="H1492" s="842" t="s">
        <v>134</v>
      </c>
      <c r="I1492" s="883"/>
      <c r="J1492" s="841"/>
      <c r="K1492" s="841"/>
      <c r="L1492" s="843" t="s">
        <v>106</v>
      </c>
      <c r="M1492" s="844" t="s">
        <v>417</v>
      </c>
      <c r="N1492" s="841">
        <v>45884</v>
      </c>
      <c r="O1492" s="884" t="s">
        <v>135</v>
      </c>
      <c r="P1492" s="842" t="s">
        <v>186</v>
      </c>
      <c r="Q1492" s="843"/>
      <c r="R1492" s="845" t="s">
        <v>5084</v>
      </c>
      <c r="S1492" s="1127" t="s">
        <v>5085</v>
      </c>
      <c r="T1492" s="885" t="s">
        <v>5086</v>
      </c>
      <c r="U1492" s="886">
        <v>12</v>
      </c>
      <c r="V1492" s="842" t="s">
        <v>8</v>
      </c>
      <c r="W1492" s="846">
        <v>9</v>
      </c>
      <c r="X1492" s="847">
        <v>108</v>
      </c>
      <c r="Y1492" s="853">
        <v>0.6</v>
      </c>
      <c r="Z1492" s="849">
        <v>3.6</v>
      </c>
      <c r="AA1492" s="849"/>
      <c r="AB1492" s="849">
        <f t="shared" si="282"/>
        <v>43.2</v>
      </c>
      <c r="AC1492" s="850">
        <f t="shared" si="283"/>
        <v>43.2</v>
      </c>
      <c r="AD1492" s="851">
        <f t="shared" si="281"/>
        <v>27000</v>
      </c>
      <c r="AE1492" s="852">
        <v>26202</v>
      </c>
      <c r="AF1492" s="853">
        <v>0</v>
      </c>
      <c r="AG1492" s="854">
        <f t="shared" si="284"/>
        <v>0</v>
      </c>
      <c r="AH1492" s="853">
        <v>0.08</v>
      </c>
      <c r="AI1492" s="855">
        <f t="shared" si="285"/>
        <v>90554.112000000008</v>
      </c>
      <c r="AJ1492" s="845" t="s">
        <v>4950</v>
      </c>
      <c r="AK1492" s="864">
        <v>45901</v>
      </c>
      <c r="AL1492" s="843" t="s">
        <v>4957</v>
      </c>
      <c r="AM1492" s="843" t="s">
        <v>4958</v>
      </c>
      <c r="AN1492" s="844" t="s">
        <v>4959</v>
      </c>
      <c r="AO1492" s="844" t="s">
        <v>141</v>
      </c>
      <c r="AP1492" s="841"/>
      <c r="AQ1492" s="841">
        <v>45914</v>
      </c>
      <c r="AR1492" s="841">
        <v>45921</v>
      </c>
      <c r="AS1492" s="842" t="s">
        <v>1874</v>
      </c>
      <c r="AT1492" s="842" t="s">
        <v>1235</v>
      </c>
      <c r="AU1492" s="842"/>
      <c r="AV1492" s="845" t="s">
        <v>4960</v>
      </c>
      <c r="AW1492" s="861">
        <v>45920</v>
      </c>
      <c r="AX1492" s="862">
        <v>45929</v>
      </c>
      <c r="AY1492" s="843" t="s">
        <v>5082</v>
      </c>
      <c r="AZ1492" s="842" t="s">
        <v>5083</v>
      </c>
      <c r="BA1492" s="842" t="s">
        <v>120</v>
      </c>
      <c r="BB1492" s="863" t="s">
        <v>121</v>
      </c>
      <c r="BC1492" s="864">
        <v>45930</v>
      </c>
      <c r="BD1492" s="860" t="s">
        <v>4962</v>
      </c>
      <c r="BE1492" s="865" cm="1">
        <f t="array" ref="BE1492">IF(BD1492="","",AC1492/SUMPRODUCT(--(BD1492=$BD$4:$BD$12824),$AC$4:$AC$12824))</f>
        <v>1.7495913570186969E-3</v>
      </c>
      <c r="BF1492" s="458"/>
      <c r="BG1492" s="458"/>
      <c r="BH1492" s="458"/>
      <c r="BI1492" s="458"/>
      <c r="BJ1492" s="458"/>
      <c r="BK1492" s="458"/>
      <c r="BL1492" s="458"/>
      <c r="BM1492" s="458"/>
      <c r="BN1492" s="458"/>
      <c r="BO1492" s="866">
        <f>VLOOKUP(BD1492,$BD$4:$BN$12824,3,0)*BE1492</f>
        <v>0</v>
      </c>
      <c r="BP1492" s="866"/>
      <c r="BQ1492" s="866"/>
      <c r="BR1492" s="866">
        <f>VLOOKUP(BD1492,$BD$4:$BN$12824,6,0)*BE1492</f>
        <v>14773.355019626206</v>
      </c>
      <c r="BS1492" s="866">
        <f>VLOOKUP(BD1492,$BD$4:$BN$12824,7,0)*BE1492</f>
        <v>1042.3938062109612</v>
      </c>
      <c r="BT1492" s="866"/>
      <c r="BU1492" s="866">
        <f>VLOOKUP(BD1492,$BD$4:$BN$12824,9,0)*BE1492</f>
        <v>472.38966639504815</v>
      </c>
      <c r="BV1492" s="867"/>
      <c r="BW1492" s="867">
        <f>VLOOKUP(BD1492,$BD$4:$BN$12824,11,0)*BE1492</f>
        <v>9135.1348724337331</v>
      </c>
      <c r="BX1492" s="1146">
        <f t="shared" si="286"/>
        <v>25423.273364665947</v>
      </c>
      <c r="BY1492" s="867">
        <f t="shared" si="289"/>
        <v>96445.806113722167</v>
      </c>
      <c r="BZ1492" s="867">
        <f t="shared" si="287"/>
        <v>1157349.6733646661</v>
      </c>
      <c r="CA1492" s="867">
        <f>_xlfn.MAXIFS($BY$4:$BY$12824,$S$4:$S$12824,$S1492)</f>
        <v>96445.806113722167</v>
      </c>
      <c r="CB1492" s="1032"/>
      <c r="CF1492" s="946">
        <f t="shared" si="288"/>
        <v>1131926.4000000001</v>
      </c>
    </row>
    <row r="1493" spans="2:84">
      <c r="B1493" s="839" t="s">
        <v>98</v>
      </c>
      <c r="C1493" s="839" t="s">
        <v>131</v>
      </c>
      <c r="D1493" s="839" t="s">
        <v>4950</v>
      </c>
      <c r="E1493" s="839" t="s">
        <v>4994</v>
      </c>
      <c r="F1493" s="841">
        <v>45883</v>
      </c>
      <c r="G1493" s="868" t="s">
        <v>133</v>
      </c>
      <c r="H1493" s="842" t="s">
        <v>134</v>
      </c>
      <c r="I1493" s="883"/>
      <c r="J1493" s="841"/>
      <c r="K1493" s="841"/>
      <c r="L1493" s="843" t="s">
        <v>106</v>
      </c>
      <c r="M1493" s="844" t="s">
        <v>417</v>
      </c>
      <c r="N1493" s="841">
        <v>45884</v>
      </c>
      <c r="O1493" s="884" t="s">
        <v>135</v>
      </c>
      <c r="P1493" s="842" t="s">
        <v>186</v>
      </c>
      <c r="Q1493" s="843"/>
      <c r="R1493" s="845" t="s">
        <v>5087</v>
      </c>
      <c r="S1493" s="1127" t="s">
        <v>5088</v>
      </c>
      <c r="T1493" s="885" t="s">
        <v>5089</v>
      </c>
      <c r="U1493" s="886">
        <v>12</v>
      </c>
      <c r="V1493" s="842" t="s">
        <v>8</v>
      </c>
      <c r="W1493" s="846">
        <v>41</v>
      </c>
      <c r="X1493" s="847">
        <v>492</v>
      </c>
      <c r="Y1493" s="853">
        <v>0.6</v>
      </c>
      <c r="Z1493" s="849">
        <v>16.400000000000002</v>
      </c>
      <c r="AA1493" s="849"/>
      <c r="AB1493" s="849">
        <f t="shared" si="282"/>
        <v>196.8</v>
      </c>
      <c r="AC1493" s="850">
        <f t="shared" si="283"/>
        <v>196.8</v>
      </c>
      <c r="AD1493" s="851">
        <f t="shared" si="281"/>
        <v>27000</v>
      </c>
      <c r="AE1493" s="852">
        <v>26202</v>
      </c>
      <c r="AF1493" s="853">
        <v>0</v>
      </c>
      <c r="AG1493" s="854">
        <f t="shared" si="284"/>
        <v>0</v>
      </c>
      <c r="AH1493" s="853">
        <v>0.08</v>
      </c>
      <c r="AI1493" s="855">
        <f t="shared" si="285"/>
        <v>412524.28800000006</v>
      </c>
      <c r="AJ1493" s="845" t="s">
        <v>4950</v>
      </c>
      <c r="AK1493" s="864">
        <v>45901</v>
      </c>
      <c r="AL1493" s="843" t="s">
        <v>4957</v>
      </c>
      <c r="AM1493" s="843" t="s">
        <v>4958</v>
      </c>
      <c r="AN1493" s="844" t="s">
        <v>4959</v>
      </c>
      <c r="AO1493" s="844" t="s">
        <v>141</v>
      </c>
      <c r="AP1493" s="841"/>
      <c r="AQ1493" s="841">
        <v>45914</v>
      </c>
      <c r="AR1493" s="841">
        <v>45921</v>
      </c>
      <c r="AS1493" s="842" t="s">
        <v>1874</v>
      </c>
      <c r="AT1493" s="842" t="s">
        <v>1235</v>
      </c>
      <c r="AU1493" s="842"/>
      <c r="AV1493" s="845" t="s">
        <v>4960</v>
      </c>
      <c r="AW1493" s="861">
        <v>45920</v>
      </c>
      <c r="AX1493" s="862">
        <v>45929</v>
      </c>
      <c r="AY1493" s="843" t="s">
        <v>5090</v>
      </c>
      <c r="AZ1493" s="842" t="s">
        <v>5091</v>
      </c>
      <c r="BA1493" s="842" t="s">
        <v>120</v>
      </c>
      <c r="BB1493" s="863" t="s">
        <v>121</v>
      </c>
      <c r="BC1493" s="864">
        <v>45930</v>
      </c>
      <c r="BD1493" s="860" t="s">
        <v>4962</v>
      </c>
      <c r="BE1493" s="865" cm="1">
        <f t="array" ref="BE1493">IF(BD1493="","",AC1493/SUMPRODUCT(--(BD1493=$BD$4:$BD$12824),$AC$4:$AC$12824))</f>
        <v>7.9703606264185083E-3</v>
      </c>
      <c r="BF1493" s="458"/>
      <c r="BG1493" s="458"/>
      <c r="BH1493" s="458"/>
      <c r="BI1493" s="458"/>
      <c r="BJ1493" s="458"/>
      <c r="BK1493" s="458"/>
      <c r="BL1493" s="458"/>
      <c r="BM1493" s="458"/>
      <c r="BN1493" s="458"/>
      <c r="BO1493" s="866">
        <f>VLOOKUP(BD1493,$BD$4:$BN$12824,3,0)*BE1493</f>
        <v>0</v>
      </c>
      <c r="BP1493" s="866"/>
      <c r="BQ1493" s="866"/>
      <c r="BR1493" s="866">
        <f>VLOOKUP(BD1493,$BD$4:$BN$12824,6,0)*BE1493</f>
        <v>67300.839533852719</v>
      </c>
      <c r="BS1493" s="866">
        <f>VLOOKUP(BD1493,$BD$4:$BN$12824,7,0)*BE1493</f>
        <v>4748.6828949610453</v>
      </c>
      <c r="BT1493" s="866"/>
      <c r="BU1493" s="866">
        <f>VLOOKUP(BD1493,$BD$4:$BN$12824,9,0)*BE1493</f>
        <v>2151.9973691329974</v>
      </c>
      <c r="BV1493" s="867"/>
      <c r="BW1493" s="867">
        <f>VLOOKUP(BD1493,$BD$4:$BN$12824,11,0)*BE1493</f>
        <v>41615.614418864781</v>
      </c>
      <c r="BX1493" s="1146">
        <f t="shared" si="286"/>
        <v>115817.13421681154</v>
      </c>
      <c r="BY1493" s="867">
        <f t="shared" si="289"/>
        <v>439364.22785140102</v>
      </c>
      <c r="BZ1493" s="867">
        <f t="shared" si="287"/>
        <v>5272370.7342168121</v>
      </c>
      <c r="CA1493" s="867">
        <f>_xlfn.MAXIFS($BY$4:$BY$12824,$S$4:$S$12824,$S1493)</f>
        <v>439364.22785140102</v>
      </c>
      <c r="CB1493" s="1032"/>
      <c r="CF1493" s="946">
        <f t="shared" si="288"/>
        <v>5156553.6000000006</v>
      </c>
    </row>
    <row r="1494" spans="2:84">
      <c r="B1494" s="839" t="s">
        <v>98</v>
      </c>
      <c r="C1494" s="839" t="s">
        <v>131</v>
      </c>
      <c r="D1494" s="839" t="s">
        <v>4950</v>
      </c>
      <c r="E1494" s="839" t="s">
        <v>4994</v>
      </c>
      <c r="F1494" s="841">
        <v>45883</v>
      </c>
      <c r="G1494" s="868" t="s">
        <v>133</v>
      </c>
      <c r="H1494" s="842" t="s">
        <v>134</v>
      </c>
      <c r="I1494" s="883"/>
      <c r="J1494" s="841"/>
      <c r="K1494" s="841"/>
      <c r="L1494" s="843" t="s">
        <v>106</v>
      </c>
      <c r="M1494" s="844" t="s">
        <v>417</v>
      </c>
      <c r="N1494" s="841">
        <v>45884</v>
      </c>
      <c r="O1494" s="884" t="s">
        <v>135</v>
      </c>
      <c r="P1494" s="842" t="s">
        <v>186</v>
      </c>
      <c r="Q1494" s="843"/>
      <c r="R1494" s="845" t="s">
        <v>5092</v>
      </c>
      <c r="S1494" s="1127" t="s">
        <v>5093</v>
      </c>
      <c r="T1494" s="885" t="s">
        <v>5094</v>
      </c>
      <c r="U1494" s="886">
        <v>12</v>
      </c>
      <c r="V1494" s="842" t="s">
        <v>8</v>
      </c>
      <c r="W1494" s="846">
        <v>41</v>
      </c>
      <c r="X1494" s="847">
        <v>492</v>
      </c>
      <c r="Y1494" s="853">
        <v>0.6</v>
      </c>
      <c r="Z1494" s="849">
        <v>16.400000000000002</v>
      </c>
      <c r="AA1494" s="849"/>
      <c r="AB1494" s="849">
        <f t="shared" si="282"/>
        <v>196.8</v>
      </c>
      <c r="AC1494" s="850">
        <f t="shared" si="283"/>
        <v>196.8</v>
      </c>
      <c r="AD1494" s="851">
        <f t="shared" si="281"/>
        <v>27000</v>
      </c>
      <c r="AE1494" s="852">
        <v>26202</v>
      </c>
      <c r="AF1494" s="853">
        <v>0</v>
      </c>
      <c r="AG1494" s="854">
        <f t="shared" si="284"/>
        <v>0</v>
      </c>
      <c r="AH1494" s="853">
        <v>0.08</v>
      </c>
      <c r="AI1494" s="855">
        <f t="shared" si="285"/>
        <v>412524.28800000006</v>
      </c>
      <c r="AJ1494" s="845" t="s">
        <v>4950</v>
      </c>
      <c r="AK1494" s="864">
        <v>45901</v>
      </c>
      <c r="AL1494" s="843" t="s">
        <v>4957</v>
      </c>
      <c r="AM1494" s="843" t="s">
        <v>4958</v>
      </c>
      <c r="AN1494" s="844" t="s">
        <v>4959</v>
      </c>
      <c r="AO1494" s="844" t="s">
        <v>141</v>
      </c>
      <c r="AP1494" s="841"/>
      <c r="AQ1494" s="841">
        <v>45914</v>
      </c>
      <c r="AR1494" s="841">
        <v>45921</v>
      </c>
      <c r="AS1494" s="842" t="s">
        <v>1874</v>
      </c>
      <c r="AT1494" s="842" t="s">
        <v>1235</v>
      </c>
      <c r="AU1494" s="842"/>
      <c r="AV1494" s="845" t="s">
        <v>4960</v>
      </c>
      <c r="AW1494" s="861">
        <v>45920</v>
      </c>
      <c r="AX1494" s="862">
        <v>45929</v>
      </c>
      <c r="AY1494" s="843" t="s">
        <v>5090</v>
      </c>
      <c r="AZ1494" s="842" t="s">
        <v>5091</v>
      </c>
      <c r="BA1494" s="842" t="s">
        <v>120</v>
      </c>
      <c r="BB1494" s="863" t="s">
        <v>121</v>
      </c>
      <c r="BC1494" s="864">
        <v>45930</v>
      </c>
      <c r="BD1494" s="860" t="s">
        <v>4962</v>
      </c>
      <c r="BE1494" s="865" cm="1">
        <f t="array" ref="BE1494">IF(BD1494="","",AC1494/SUMPRODUCT(--(BD1494=$BD$4:$BD$12824),$AC$4:$AC$12824))</f>
        <v>7.9703606264185083E-3</v>
      </c>
      <c r="BF1494" s="458"/>
      <c r="BG1494" s="458"/>
      <c r="BH1494" s="458"/>
      <c r="BI1494" s="458"/>
      <c r="BJ1494" s="458"/>
      <c r="BK1494" s="458"/>
      <c r="BL1494" s="458"/>
      <c r="BM1494" s="458"/>
      <c r="BN1494" s="458"/>
      <c r="BO1494" s="866">
        <f>VLOOKUP(BD1494,$BD$4:$BN$12824,3,0)*BE1494</f>
        <v>0</v>
      </c>
      <c r="BP1494" s="866"/>
      <c r="BQ1494" s="866"/>
      <c r="BR1494" s="866">
        <f>VLOOKUP(BD1494,$BD$4:$BN$12824,6,0)*BE1494</f>
        <v>67300.839533852719</v>
      </c>
      <c r="BS1494" s="866">
        <f>VLOOKUP(BD1494,$BD$4:$BN$12824,7,0)*BE1494</f>
        <v>4748.6828949610453</v>
      </c>
      <c r="BT1494" s="866"/>
      <c r="BU1494" s="866">
        <f>VLOOKUP(BD1494,$BD$4:$BN$12824,9,0)*BE1494</f>
        <v>2151.9973691329974</v>
      </c>
      <c r="BV1494" s="867"/>
      <c r="BW1494" s="867">
        <f>VLOOKUP(BD1494,$BD$4:$BN$12824,11,0)*BE1494</f>
        <v>41615.614418864781</v>
      </c>
      <c r="BX1494" s="1146">
        <f t="shared" si="286"/>
        <v>115817.13421681154</v>
      </c>
      <c r="BY1494" s="867">
        <f t="shared" si="289"/>
        <v>439364.22785140102</v>
      </c>
      <c r="BZ1494" s="867">
        <f t="shared" si="287"/>
        <v>5272370.7342168121</v>
      </c>
      <c r="CA1494" s="867">
        <f>_xlfn.MAXIFS($BY$4:$BY$12824,$S$4:$S$12824,$S1494)</f>
        <v>439364.22785140102</v>
      </c>
      <c r="CB1494" s="1032"/>
      <c r="CF1494" s="946">
        <f t="shared" si="288"/>
        <v>5156553.6000000006</v>
      </c>
    </row>
    <row r="1495" spans="2:84">
      <c r="B1495" s="839" t="s">
        <v>98</v>
      </c>
      <c r="C1495" s="839" t="s">
        <v>131</v>
      </c>
      <c r="D1495" s="839" t="s">
        <v>4950</v>
      </c>
      <c r="E1495" s="839" t="s">
        <v>4994</v>
      </c>
      <c r="F1495" s="841">
        <v>45883</v>
      </c>
      <c r="G1495" s="868" t="s">
        <v>133</v>
      </c>
      <c r="H1495" s="842" t="s">
        <v>134</v>
      </c>
      <c r="I1495" s="883"/>
      <c r="J1495" s="841"/>
      <c r="K1495" s="841"/>
      <c r="L1495" s="843" t="s">
        <v>106</v>
      </c>
      <c r="M1495" s="844" t="s">
        <v>417</v>
      </c>
      <c r="N1495" s="841">
        <v>45884</v>
      </c>
      <c r="O1495" s="884" t="s">
        <v>135</v>
      </c>
      <c r="P1495" s="842" t="s">
        <v>186</v>
      </c>
      <c r="Q1495" s="843"/>
      <c r="R1495" s="845" t="s">
        <v>5095</v>
      </c>
      <c r="S1495" s="1127" t="s">
        <v>5096</v>
      </c>
      <c r="T1495" s="885" t="s">
        <v>5097</v>
      </c>
      <c r="U1495" s="886">
        <v>12</v>
      </c>
      <c r="V1495" s="842" t="s">
        <v>8</v>
      </c>
      <c r="W1495" s="846">
        <v>41</v>
      </c>
      <c r="X1495" s="847">
        <v>492</v>
      </c>
      <c r="Y1495" s="853">
        <v>0.6</v>
      </c>
      <c r="Z1495" s="849">
        <v>16.400000000000002</v>
      </c>
      <c r="AA1495" s="849"/>
      <c r="AB1495" s="849">
        <f t="shared" si="282"/>
        <v>196.8</v>
      </c>
      <c r="AC1495" s="850">
        <f t="shared" si="283"/>
        <v>196.8</v>
      </c>
      <c r="AD1495" s="851">
        <f t="shared" si="281"/>
        <v>27000</v>
      </c>
      <c r="AE1495" s="852">
        <v>26202</v>
      </c>
      <c r="AF1495" s="853">
        <v>0</v>
      </c>
      <c r="AG1495" s="854">
        <f t="shared" si="284"/>
        <v>0</v>
      </c>
      <c r="AH1495" s="853">
        <v>0.08</v>
      </c>
      <c r="AI1495" s="855">
        <f t="shared" si="285"/>
        <v>412524.28800000006</v>
      </c>
      <c r="AJ1495" s="845" t="s">
        <v>4950</v>
      </c>
      <c r="AK1495" s="864">
        <v>45901</v>
      </c>
      <c r="AL1495" s="843" t="s">
        <v>4957</v>
      </c>
      <c r="AM1495" s="843" t="s">
        <v>4958</v>
      </c>
      <c r="AN1495" s="844" t="s">
        <v>4959</v>
      </c>
      <c r="AO1495" s="844" t="s">
        <v>141</v>
      </c>
      <c r="AP1495" s="841"/>
      <c r="AQ1495" s="841">
        <v>45914</v>
      </c>
      <c r="AR1495" s="841">
        <v>45921</v>
      </c>
      <c r="AS1495" s="842" t="s">
        <v>1874</v>
      </c>
      <c r="AT1495" s="842" t="s">
        <v>1235</v>
      </c>
      <c r="AU1495" s="842"/>
      <c r="AV1495" s="845" t="s">
        <v>4960</v>
      </c>
      <c r="AW1495" s="861">
        <v>45920</v>
      </c>
      <c r="AX1495" s="862">
        <v>45929</v>
      </c>
      <c r="AY1495" s="843" t="s">
        <v>5090</v>
      </c>
      <c r="AZ1495" s="842" t="s">
        <v>5091</v>
      </c>
      <c r="BA1495" s="842" t="s">
        <v>120</v>
      </c>
      <c r="BB1495" s="863" t="s">
        <v>121</v>
      </c>
      <c r="BC1495" s="864">
        <v>45930</v>
      </c>
      <c r="BD1495" s="860" t="s">
        <v>4962</v>
      </c>
      <c r="BE1495" s="865" cm="1">
        <f t="array" ref="BE1495">IF(BD1495="","",AC1495/SUMPRODUCT(--(BD1495=$BD$4:$BD$12824),$AC$4:$AC$12824))</f>
        <v>7.9703606264185083E-3</v>
      </c>
      <c r="BF1495" s="458"/>
      <c r="BG1495" s="458"/>
      <c r="BH1495" s="458"/>
      <c r="BI1495" s="458"/>
      <c r="BJ1495" s="458"/>
      <c r="BK1495" s="458"/>
      <c r="BL1495" s="458"/>
      <c r="BM1495" s="458"/>
      <c r="BN1495" s="458"/>
      <c r="BO1495" s="866">
        <f>VLOOKUP(BD1495,$BD$4:$BN$12824,3,0)*BE1495</f>
        <v>0</v>
      </c>
      <c r="BP1495" s="866"/>
      <c r="BQ1495" s="866"/>
      <c r="BR1495" s="866">
        <f>VLOOKUP(BD1495,$BD$4:$BN$12824,6,0)*BE1495</f>
        <v>67300.839533852719</v>
      </c>
      <c r="BS1495" s="866">
        <f>VLOOKUP(BD1495,$BD$4:$BN$12824,7,0)*BE1495</f>
        <v>4748.6828949610453</v>
      </c>
      <c r="BT1495" s="866"/>
      <c r="BU1495" s="866">
        <f>VLOOKUP(BD1495,$BD$4:$BN$12824,9,0)*BE1495</f>
        <v>2151.9973691329974</v>
      </c>
      <c r="BV1495" s="867"/>
      <c r="BW1495" s="867">
        <f>VLOOKUP(BD1495,$BD$4:$BN$12824,11,0)*BE1495</f>
        <v>41615.614418864781</v>
      </c>
      <c r="BX1495" s="1146">
        <f t="shared" si="286"/>
        <v>115817.13421681154</v>
      </c>
      <c r="BY1495" s="867">
        <f t="shared" si="289"/>
        <v>439364.22785140102</v>
      </c>
      <c r="BZ1495" s="867">
        <f t="shared" si="287"/>
        <v>5272370.7342168121</v>
      </c>
      <c r="CA1495" s="867">
        <f>_xlfn.MAXIFS($BY$4:$BY$12824,$S$4:$S$12824,$S1495)</f>
        <v>439364.22785140102</v>
      </c>
      <c r="CB1495" s="1032"/>
      <c r="CF1495" s="946">
        <f t="shared" si="288"/>
        <v>5156553.6000000006</v>
      </c>
    </row>
    <row r="1496" spans="2:84">
      <c r="B1496" s="839" t="s">
        <v>98</v>
      </c>
      <c r="C1496" s="839" t="s">
        <v>131</v>
      </c>
      <c r="D1496" s="839" t="s">
        <v>4950</v>
      </c>
      <c r="E1496" s="839" t="s">
        <v>4994</v>
      </c>
      <c r="F1496" s="841">
        <v>45883</v>
      </c>
      <c r="G1496" s="868" t="s">
        <v>133</v>
      </c>
      <c r="H1496" s="842" t="s">
        <v>134</v>
      </c>
      <c r="I1496" s="883"/>
      <c r="J1496" s="841"/>
      <c r="K1496" s="841"/>
      <c r="L1496" s="843" t="s">
        <v>106</v>
      </c>
      <c r="M1496" s="844" t="s">
        <v>417</v>
      </c>
      <c r="N1496" s="841">
        <v>45884</v>
      </c>
      <c r="O1496" s="884" t="s">
        <v>135</v>
      </c>
      <c r="P1496" s="842" t="s">
        <v>5098</v>
      </c>
      <c r="Q1496" s="843"/>
      <c r="R1496" s="845" t="s">
        <v>5099</v>
      </c>
      <c r="S1496" s="1127" t="s">
        <v>5100</v>
      </c>
      <c r="T1496" s="885" t="s">
        <v>5101</v>
      </c>
      <c r="U1496" s="886">
        <v>24</v>
      </c>
      <c r="V1496" s="842" t="s">
        <v>8</v>
      </c>
      <c r="W1496" s="846">
        <v>15</v>
      </c>
      <c r="X1496" s="847">
        <v>360</v>
      </c>
      <c r="Y1496" s="853">
        <v>0.6</v>
      </c>
      <c r="Z1496" s="849">
        <v>6</v>
      </c>
      <c r="AA1496" s="849"/>
      <c r="AB1496" s="849">
        <f t="shared" si="282"/>
        <v>144</v>
      </c>
      <c r="AC1496" s="850">
        <f t="shared" si="283"/>
        <v>144</v>
      </c>
      <c r="AD1496" s="851">
        <f t="shared" si="281"/>
        <v>27000</v>
      </c>
      <c r="AE1496" s="852">
        <v>26202</v>
      </c>
      <c r="AF1496" s="853">
        <v>0</v>
      </c>
      <c r="AG1496" s="854">
        <f t="shared" si="284"/>
        <v>0</v>
      </c>
      <c r="AH1496" s="853">
        <v>0.08</v>
      </c>
      <c r="AI1496" s="855">
        <f t="shared" si="285"/>
        <v>301847.03999999998</v>
      </c>
      <c r="AJ1496" s="845" t="s">
        <v>4950</v>
      </c>
      <c r="AK1496" s="864">
        <v>45901</v>
      </c>
      <c r="AL1496" s="843" t="s">
        <v>4957</v>
      </c>
      <c r="AM1496" s="843" t="s">
        <v>4958</v>
      </c>
      <c r="AN1496" s="844" t="s">
        <v>4959</v>
      </c>
      <c r="AO1496" s="844" t="s">
        <v>141</v>
      </c>
      <c r="AP1496" s="841"/>
      <c r="AQ1496" s="841">
        <v>45914</v>
      </c>
      <c r="AR1496" s="841">
        <v>45921</v>
      </c>
      <c r="AS1496" s="842" t="s">
        <v>1874</v>
      </c>
      <c r="AT1496" s="842" t="s">
        <v>1235</v>
      </c>
      <c r="AU1496" s="842"/>
      <c r="AV1496" s="845" t="s">
        <v>4960</v>
      </c>
      <c r="AW1496" s="861">
        <v>45920</v>
      </c>
      <c r="AX1496" s="862">
        <v>45929</v>
      </c>
      <c r="AY1496" s="843" t="s">
        <v>5102</v>
      </c>
      <c r="AZ1496" s="842" t="s">
        <v>5103</v>
      </c>
      <c r="BA1496" s="842" t="s">
        <v>120</v>
      </c>
      <c r="BB1496" s="863" t="s">
        <v>121</v>
      </c>
      <c r="BC1496" s="864">
        <v>45930</v>
      </c>
      <c r="BD1496" s="860" t="s">
        <v>4962</v>
      </c>
      <c r="BE1496" s="865" cm="1">
        <f t="array" ref="BE1496">IF(BD1496="","",AC1496/SUMPRODUCT(--(BD1496=$BD$4:$BD$12824),$AC$4:$AC$12824))</f>
        <v>5.8319711900623227E-3</v>
      </c>
      <c r="BF1496" s="458"/>
      <c r="BG1496" s="458"/>
      <c r="BH1496" s="458"/>
      <c r="BI1496" s="458"/>
      <c r="BJ1496" s="458"/>
      <c r="BK1496" s="458"/>
      <c r="BL1496" s="458"/>
      <c r="BM1496" s="458"/>
      <c r="BN1496" s="458"/>
      <c r="BO1496" s="866">
        <f>VLOOKUP(BD1496,$BD$4:$BN$12824,3,0)*BE1496</f>
        <v>0</v>
      </c>
      <c r="BP1496" s="866"/>
      <c r="BQ1496" s="866"/>
      <c r="BR1496" s="866">
        <f>VLOOKUP(BD1496,$BD$4:$BN$12824,6,0)*BE1496</f>
        <v>49244.516732087352</v>
      </c>
      <c r="BS1496" s="866">
        <f>VLOOKUP(BD1496,$BD$4:$BN$12824,7,0)*BE1496</f>
        <v>3474.6460207032037</v>
      </c>
      <c r="BT1496" s="866"/>
      <c r="BU1496" s="866">
        <f>VLOOKUP(BD1496,$BD$4:$BN$12824,9,0)*BE1496</f>
        <v>1574.6322213168271</v>
      </c>
      <c r="BV1496" s="867"/>
      <c r="BW1496" s="867">
        <f>VLOOKUP(BD1496,$BD$4:$BN$12824,11,0)*BE1496</f>
        <v>30450.449574779104</v>
      </c>
      <c r="BX1496" s="1146">
        <f t="shared" si="286"/>
        <v>84744.244548886491</v>
      </c>
      <c r="BY1496" s="867">
        <f t="shared" si="289"/>
        <v>160743.01018953693</v>
      </c>
      <c r="BZ1496" s="867">
        <f t="shared" si="287"/>
        <v>3857832.2445488861</v>
      </c>
      <c r="CA1496" s="867">
        <f>_xlfn.MAXIFS($BY$4:$BY$12824,$S$4:$S$12824,$S1496)</f>
        <v>160743.01018953693</v>
      </c>
      <c r="CB1496" s="1032"/>
      <c r="CF1496" s="946">
        <f t="shared" si="288"/>
        <v>3773088</v>
      </c>
    </row>
    <row r="1497" spans="2:84">
      <c r="B1497" s="839" t="s">
        <v>98</v>
      </c>
      <c r="C1497" s="839" t="s">
        <v>131</v>
      </c>
      <c r="D1497" s="839" t="s">
        <v>4950</v>
      </c>
      <c r="E1497" s="839" t="s">
        <v>4994</v>
      </c>
      <c r="F1497" s="841">
        <v>45883</v>
      </c>
      <c r="G1497" s="868" t="s">
        <v>133</v>
      </c>
      <c r="H1497" s="842" t="s">
        <v>134</v>
      </c>
      <c r="I1497" s="883"/>
      <c r="J1497" s="841"/>
      <c r="K1497" s="841"/>
      <c r="L1497" s="843" t="s">
        <v>106</v>
      </c>
      <c r="M1497" s="844" t="s">
        <v>417</v>
      </c>
      <c r="N1497" s="841">
        <v>45884</v>
      </c>
      <c r="O1497" s="884" t="s">
        <v>135</v>
      </c>
      <c r="P1497" s="842" t="s">
        <v>5098</v>
      </c>
      <c r="Q1497" s="843"/>
      <c r="R1497" s="845" t="s">
        <v>5104</v>
      </c>
      <c r="S1497" s="1127" t="s">
        <v>5105</v>
      </c>
      <c r="T1497" s="885" t="s">
        <v>5106</v>
      </c>
      <c r="U1497" s="886">
        <v>16</v>
      </c>
      <c r="V1497" s="842" t="s">
        <v>8</v>
      </c>
      <c r="W1497" s="846">
        <v>15</v>
      </c>
      <c r="X1497" s="847">
        <v>240</v>
      </c>
      <c r="Y1497" s="853">
        <v>0.6</v>
      </c>
      <c r="Z1497" s="849">
        <v>6</v>
      </c>
      <c r="AA1497" s="849"/>
      <c r="AB1497" s="849">
        <f t="shared" si="282"/>
        <v>96</v>
      </c>
      <c r="AC1497" s="850">
        <f t="shared" si="283"/>
        <v>96</v>
      </c>
      <c r="AD1497" s="851">
        <f t="shared" si="281"/>
        <v>27000</v>
      </c>
      <c r="AE1497" s="852">
        <v>26202</v>
      </c>
      <c r="AF1497" s="853">
        <v>0</v>
      </c>
      <c r="AG1497" s="854">
        <f t="shared" si="284"/>
        <v>0</v>
      </c>
      <c r="AH1497" s="853">
        <v>0.08</v>
      </c>
      <c r="AI1497" s="855">
        <f t="shared" si="285"/>
        <v>201231.36000000002</v>
      </c>
      <c r="AJ1497" s="845" t="s">
        <v>4950</v>
      </c>
      <c r="AK1497" s="864">
        <v>45901</v>
      </c>
      <c r="AL1497" s="843" t="s">
        <v>4957</v>
      </c>
      <c r="AM1497" s="843" t="s">
        <v>4958</v>
      </c>
      <c r="AN1497" s="844" t="s">
        <v>4959</v>
      </c>
      <c r="AO1497" s="844" t="s">
        <v>141</v>
      </c>
      <c r="AP1497" s="841"/>
      <c r="AQ1497" s="841">
        <v>45914</v>
      </c>
      <c r="AR1497" s="841">
        <v>45921</v>
      </c>
      <c r="AS1497" s="842" t="s">
        <v>1874</v>
      </c>
      <c r="AT1497" s="842" t="s">
        <v>1235</v>
      </c>
      <c r="AU1497" s="842"/>
      <c r="AV1497" s="845" t="s">
        <v>4960</v>
      </c>
      <c r="AW1497" s="861">
        <v>45920</v>
      </c>
      <c r="AX1497" s="862">
        <v>45929</v>
      </c>
      <c r="AY1497" s="843" t="s">
        <v>5102</v>
      </c>
      <c r="AZ1497" s="842" t="s">
        <v>5103</v>
      </c>
      <c r="BA1497" s="842" t="s">
        <v>120</v>
      </c>
      <c r="BB1497" s="863" t="s">
        <v>121</v>
      </c>
      <c r="BC1497" s="864">
        <v>45930</v>
      </c>
      <c r="BD1497" s="860" t="s">
        <v>4962</v>
      </c>
      <c r="BE1497" s="865" cm="1">
        <f t="array" ref="BE1497">IF(BD1497="","",AC1497/SUMPRODUCT(--(BD1497=$BD$4:$BD$12824),$AC$4:$AC$12824))</f>
        <v>3.8879807933748819E-3</v>
      </c>
      <c r="BF1497" s="458"/>
      <c r="BG1497" s="458"/>
      <c r="BH1497" s="458"/>
      <c r="BI1497" s="458"/>
      <c r="BJ1497" s="458"/>
      <c r="BK1497" s="458"/>
      <c r="BL1497" s="458"/>
      <c r="BM1497" s="458"/>
      <c r="BN1497" s="458"/>
      <c r="BO1497" s="866">
        <f>VLOOKUP(BD1497,$BD$4:$BN$12824,3,0)*BE1497</f>
        <v>0</v>
      </c>
      <c r="BP1497" s="866"/>
      <c r="BQ1497" s="866"/>
      <c r="BR1497" s="866">
        <f>VLOOKUP(BD1497,$BD$4:$BN$12824,6,0)*BE1497</f>
        <v>32829.677821391568</v>
      </c>
      <c r="BS1497" s="866">
        <f>VLOOKUP(BD1497,$BD$4:$BN$12824,7,0)*BE1497</f>
        <v>2316.4306804688026</v>
      </c>
      <c r="BT1497" s="866"/>
      <c r="BU1497" s="866">
        <f>VLOOKUP(BD1497,$BD$4:$BN$12824,9,0)*BE1497</f>
        <v>1049.7548142112182</v>
      </c>
      <c r="BV1497" s="867"/>
      <c r="BW1497" s="867">
        <f>VLOOKUP(BD1497,$BD$4:$BN$12824,11,0)*BE1497</f>
        <v>20300.299716519403</v>
      </c>
      <c r="BX1497" s="1146">
        <f t="shared" si="286"/>
        <v>56496.163032590994</v>
      </c>
      <c r="BY1497" s="867">
        <f t="shared" si="289"/>
        <v>160743.01018953693</v>
      </c>
      <c r="BZ1497" s="867">
        <f t="shared" si="287"/>
        <v>2571888.1630325909</v>
      </c>
      <c r="CA1497" s="867">
        <f>_xlfn.MAXIFS($BY$4:$BY$12824,$S$4:$S$12824,$S1497)</f>
        <v>160743.01018953693</v>
      </c>
      <c r="CB1497" s="1032"/>
      <c r="CF1497" s="946">
        <f t="shared" si="288"/>
        <v>2515392</v>
      </c>
    </row>
    <row r="1498" spans="2:84">
      <c r="B1498" s="839" t="s">
        <v>98</v>
      </c>
      <c r="C1498" s="839" t="s">
        <v>131</v>
      </c>
      <c r="D1498" s="839" t="s">
        <v>4950</v>
      </c>
      <c r="E1498" s="839" t="s">
        <v>4994</v>
      </c>
      <c r="F1498" s="841">
        <v>45883</v>
      </c>
      <c r="G1498" s="868" t="s">
        <v>133</v>
      </c>
      <c r="H1498" s="842" t="s">
        <v>134</v>
      </c>
      <c r="I1498" s="883"/>
      <c r="J1498" s="841"/>
      <c r="K1498" s="841"/>
      <c r="L1498" s="843" t="s">
        <v>106</v>
      </c>
      <c r="M1498" s="844" t="s">
        <v>417</v>
      </c>
      <c r="N1498" s="841">
        <v>45884</v>
      </c>
      <c r="O1498" s="884" t="s">
        <v>135</v>
      </c>
      <c r="P1498" s="842" t="s">
        <v>5098</v>
      </c>
      <c r="Q1498" s="843"/>
      <c r="R1498" s="845" t="s">
        <v>5107</v>
      </c>
      <c r="S1498" s="1127" t="s">
        <v>5108</v>
      </c>
      <c r="T1498" s="885" t="s">
        <v>5109</v>
      </c>
      <c r="U1498" s="886">
        <v>12</v>
      </c>
      <c r="V1498" s="842" t="s">
        <v>8</v>
      </c>
      <c r="W1498" s="846">
        <v>18</v>
      </c>
      <c r="X1498" s="847">
        <v>216</v>
      </c>
      <c r="Y1498" s="853">
        <v>0.6</v>
      </c>
      <c r="Z1498" s="849">
        <v>7.2</v>
      </c>
      <c r="AA1498" s="849"/>
      <c r="AB1498" s="849">
        <f t="shared" si="282"/>
        <v>86.4</v>
      </c>
      <c r="AC1498" s="850">
        <f t="shared" si="283"/>
        <v>86.4</v>
      </c>
      <c r="AD1498" s="851">
        <f t="shared" si="281"/>
        <v>27000</v>
      </c>
      <c r="AE1498" s="852">
        <v>26202</v>
      </c>
      <c r="AF1498" s="853">
        <v>0</v>
      </c>
      <c r="AG1498" s="854">
        <f t="shared" si="284"/>
        <v>0</v>
      </c>
      <c r="AH1498" s="853">
        <v>0.08</v>
      </c>
      <c r="AI1498" s="855">
        <f t="shared" si="285"/>
        <v>181108.22400000002</v>
      </c>
      <c r="AJ1498" s="845" t="s">
        <v>4950</v>
      </c>
      <c r="AK1498" s="864">
        <v>45901</v>
      </c>
      <c r="AL1498" s="843" t="s">
        <v>4957</v>
      </c>
      <c r="AM1498" s="843" t="s">
        <v>4958</v>
      </c>
      <c r="AN1498" s="844" t="s">
        <v>4959</v>
      </c>
      <c r="AO1498" s="844" t="s">
        <v>141</v>
      </c>
      <c r="AP1498" s="841"/>
      <c r="AQ1498" s="841">
        <v>45914</v>
      </c>
      <c r="AR1498" s="841">
        <v>45921</v>
      </c>
      <c r="AS1498" s="842" t="s">
        <v>1874</v>
      </c>
      <c r="AT1498" s="842" t="s">
        <v>1235</v>
      </c>
      <c r="AU1498" s="842"/>
      <c r="AV1498" s="845" t="s">
        <v>4960</v>
      </c>
      <c r="AW1498" s="861">
        <v>45920</v>
      </c>
      <c r="AX1498" s="862">
        <v>45929</v>
      </c>
      <c r="AY1498" s="843" t="s">
        <v>5110</v>
      </c>
      <c r="AZ1498" s="842" t="s">
        <v>5103</v>
      </c>
      <c r="BA1498" s="842" t="s">
        <v>120</v>
      </c>
      <c r="BB1498" s="863" t="s">
        <v>121</v>
      </c>
      <c r="BC1498" s="864">
        <v>45930</v>
      </c>
      <c r="BD1498" s="860" t="s">
        <v>4962</v>
      </c>
      <c r="BE1498" s="865" cm="1">
        <f t="array" ref="BE1498">IF(BD1498="","",AC1498/SUMPRODUCT(--(BD1498=$BD$4:$BD$12824),$AC$4:$AC$12824))</f>
        <v>3.4991827140373939E-3</v>
      </c>
      <c r="BF1498" s="458"/>
      <c r="BG1498" s="458"/>
      <c r="BH1498" s="458"/>
      <c r="BI1498" s="458"/>
      <c r="BJ1498" s="458"/>
      <c r="BK1498" s="458"/>
      <c r="BL1498" s="458"/>
      <c r="BM1498" s="458"/>
      <c r="BN1498" s="458"/>
      <c r="BO1498" s="866">
        <f>VLOOKUP(BD1498,$BD$4:$BN$12824,3,0)*BE1498</f>
        <v>0</v>
      </c>
      <c r="BP1498" s="866"/>
      <c r="BQ1498" s="866"/>
      <c r="BR1498" s="866">
        <f>VLOOKUP(BD1498,$BD$4:$BN$12824,6,0)*BE1498</f>
        <v>29546.710039252412</v>
      </c>
      <c r="BS1498" s="866">
        <f>VLOOKUP(BD1498,$BD$4:$BN$12824,7,0)*BE1498</f>
        <v>2084.7876124219224</v>
      </c>
      <c r="BT1498" s="866"/>
      <c r="BU1498" s="866">
        <f>VLOOKUP(BD1498,$BD$4:$BN$12824,9,0)*BE1498</f>
        <v>944.7793327900963</v>
      </c>
      <c r="BV1498" s="867"/>
      <c r="BW1498" s="867">
        <f>VLOOKUP(BD1498,$BD$4:$BN$12824,11,0)*BE1498</f>
        <v>18270.269744867466</v>
      </c>
      <c r="BX1498" s="1146">
        <f t="shared" si="286"/>
        <v>50846.546729331894</v>
      </c>
      <c r="BY1498" s="867">
        <f t="shared" si="289"/>
        <v>192891.61222744433</v>
      </c>
      <c r="BZ1498" s="867">
        <f t="shared" si="287"/>
        <v>2314699.3467293321</v>
      </c>
      <c r="CA1498" s="867">
        <f>_xlfn.MAXIFS($BY$4:$BY$12824,$S$4:$S$12824,$S1498)</f>
        <v>192891.61222744433</v>
      </c>
      <c r="CB1498" s="1032"/>
      <c r="CF1498" s="946">
        <f t="shared" si="288"/>
        <v>2263852.8000000003</v>
      </c>
    </row>
    <row r="1499" spans="2:84">
      <c r="B1499" s="839" t="s">
        <v>98</v>
      </c>
      <c r="C1499" s="839" t="s">
        <v>131</v>
      </c>
      <c r="D1499" s="839" t="s">
        <v>4950</v>
      </c>
      <c r="E1499" s="839" t="s">
        <v>4994</v>
      </c>
      <c r="F1499" s="841">
        <v>45883</v>
      </c>
      <c r="G1499" s="868" t="s">
        <v>133</v>
      </c>
      <c r="H1499" s="842" t="s">
        <v>134</v>
      </c>
      <c r="I1499" s="883"/>
      <c r="J1499" s="841"/>
      <c r="K1499" s="841"/>
      <c r="L1499" s="843" t="s">
        <v>106</v>
      </c>
      <c r="M1499" s="844" t="s">
        <v>417</v>
      </c>
      <c r="N1499" s="841">
        <v>45884</v>
      </c>
      <c r="O1499" s="884" t="s">
        <v>135</v>
      </c>
      <c r="P1499" s="842" t="s">
        <v>5098</v>
      </c>
      <c r="Q1499" s="843"/>
      <c r="R1499" s="845" t="s">
        <v>5111</v>
      </c>
      <c r="S1499" s="1127" t="s">
        <v>5112</v>
      </c>
      <c r="T1499" s="885" t="s">
        <v>5113</v>
      </c>
      <c r="U1499" s="886">
        <v>8</v>
      </c>
      <c r="V1499" s="842" t="s">
        <v>8</v>
      </c>
      <c r="W1499" s="846">
        <v>18</v>
      </c>
      <c r="X1499" s="847">
        <v>144</v>
      </c>
      <c r="Y1499" s="853">
        <v>0.6</v>
      </c>
      <c r="Z1499" s="849">
        <v>7.2</v>
      </c>
      <c r="AA1499" s="849"/>
      <c r="AB1499" s="849">
        <f t="shared" si="282"/>
        <v>57.6</v>
      </c>
      <c r="AC1499" s="850">
        <f t="shared" si="283"/>
        <v>57.6</v>
      </c>
      <c r="AD1499" s="851">
        <f t="shared" si="281"/>
        <v>27000</v>
      </c>
      <c r="AE1499" s="852">
        <v>26202</v>
      </c>
      <c r="AF1499" s="853">
        <v>0</v>
      </c>
      <c r="AG1499" s="854">
        <f t="shared" si="284"/>
        <v>0</v>
      </c>
      <c r="AH1499" s="853">
        <v>0.08</v>
      </c>
      <c r="AI1499" s="855">
        <f t="shared" si="285"/>
        <v>120738.81599999999</v>
      </c>
      <c r="AJ1499" s="845" t="s">
        <v>4950</v>
      </c>
      <c r="AK1499" s="864">
        <v>45901</v>
      </c>
      <c r="AL1499" s="843" t="s">
        <v>4957</v>
      </c>
      <c r="AM1499" s="843" t="s">
        <v>4958</v>
      </c>
      <c r="AN1499" s="844" t="s">
        <v>4959</v>
      </c>
      <c r="AO1499" s="844" t="s">
        <v>141</v>
      </c>
      <c r="AP1499" s="841"/>
      <c r="AQ1499" s="841">
        <v>45914</v>
      </c>
      <c r="AR1499" s="841">
        <v>45921</v>
      </c>
      <c r="AS1499" s="842" t="s">
        <v>1874</v>
      </c>
      <c r="AT1499" s="842" t="s">
        <v>1235</v>
      </c>
      <c r="AU1499" s="842"/>
      <c r="AV1499" s="845" t="s">
        <v>4960</v>
      </c>
      <c r="AW1499" s="861">
        <v>45920</v>
      </c>
      <c r="AX1499" s="862">
        <v>45929</v>
      </c>
      <c r="AY1499" s="843" t="s">
        <v>5110</v>
      </c>
      <c r="AZ1499" s="842" t="s">
        <v>5103</v>
      </c>
      <c r="BA1499" s="842" t="s">
        <v>120</v>
      </c>
      <c r="BB1499" s="863" t="s">
        <v>121</v>
      </c>
      <c r="BC1499" s="864">
        <v>45930</v>
      </c>
      <c r="BD1499" s="860" t="s">
        <v>4962</v>
      </c>
      <c r="BE1499" s="865" cm="1">
        <f t="array" ref="BE1499">IF(BD1499="","",AC1499/SUMPRODUCT(--(BD1499=$BD$4:$BD$12824),$AC$4:$AC$12824))</f>
        <v>2.3327884760249292E-3</v>
      </c>
      <c r="BF1499" s="458"/>
      <c r="BG1499" s="458"/>
      <c r="BH1499" s="458"/>
      <c r="BI1499" s="458"/>
      <c r="BJ1499" s="458"/>
      <c r="BK1499" s="458"/>
      <c r="BL1499" s="458"/>
      <c r="BM1499" s="458"/>
      <c r="BN1499" s="458"/>
      <c r="BO1499" s="866">
        <f>VLOOKUP(BD1499,$BD$4:$BN$12824,3,0)*BE1499</f>
        <v>0</v>
      </c>
      <c r="BP1499" s="866"/>
      <c r="BQ1499" s="866"/>
      <c r="BR1499" s="866">
        <f>VLOOKUP(BD1499,$BD$4:$BN$12824,6,0)*BE1499</f>
        <v>19697.806692834944</v>
      </c>
      <c r="BS1499" s="866">
        <f>VLOOKUP(BD1499,$BD$4:$BN$12824,7,0)*BE1499</f>
        <v>1389.8584082812815</v>
      </c>
      <c r="BT1499" s="866"/>
      <c r="BU1499" s="866">
        <f>VLOOKUP(BD1499,$BD$4:$BN$12824,9,0)*BE1499</f>
        <v>629.85288852673091</v>
      </c>
      <c r="BV1499" s="867"/>
      <c r="BW1499" s="867">
        <f>VLOOKUP(BD1499,$BD$4:$BN$12824,11,0)*BE1499</f>
        <v>12180.179829911644</v>
      </c>
      <c r="BX1499" s="1146">
        <f t="shared" si="286"/>
        <v>33897.697819554596</v>
      </c>
      <c r="BY1499" s="867">
        <f t="shared" si="289"/>
        <v>192891.6122274443</v>
      </c>
      <c r="BZ1499" s="867">
        <f t="shared" si="287"/>
        <v>1543132.8978195544</v>
      </c>
      <c r="CA1499" s="867">
        <f>_xlfn.MAXIFS($BY$4:$BY$12824,$S$4:$S$12824,$S1499)</f>
        <v>192891.6122274443</v>
      </c>
      <c r="CB1499" s="1032"/>
      <c r="CF1499" s="946">
        <f t="shared" si="288"/>
        <v>1509235.2</v>
      </c>
    </row>
    <row r="1500" spans="2:84">
      <c r="B1500" s="839" t="s">
        <v>98</v>
      </c>
      <c r="C1500" s="839" t="s">
        <v>131</v>
      </c>
      <c r="D1500" s="839" t="s">
        <v>4950</v>
      </c>
      <c r="E1500" s="839" t="s">
        <v>4994</v>
      </c>
      <c r="F1500" s="841">
        <v>45883</v>
      </c>
      <c r="G1500" s="868" t="s">
        <v>133</v>
      </c>
      <c r="H1500" s="842" t="s">
        <v>134</v>
      </c>
      <c r="I1500" s="883"/>
      <c r="J1500" s="841"/>
      <c r="K1500" s="841"/>
      <c r="L1500" s="843" t="s">
        <v>106</v>
      </c>
      <c r="M1500" s="844" t="s">
        <v>417</v>
      </c>
      <c r="N1500" s="841">
        <v>45884</v>
      </c>
      <c r="O1500" s="884" t="s">
        <v>135</v>
      </c>
      <c r="P1500" s="842" t="s">
        <v>5098</v>
      </c>
      <c r="Q1500" s="843"/>
      <c r="R1500" s="845" t="s">
        <v>5114</v>
      </c>
      <c r="S1500" s="1127" t="s">
        <v>5115</v>
      </c>
      <c r="T1500" s="885" t="s">
        <v>5116</v>
      </c>
      <c r="U1500" s="886">
        <v>12</v>
      </c>
      <c r="V1500" s="842" t="s">
        <v>8</v>
      </c>
      <c r="W1500" s="846">
        <v>53</v>
      </c>
      <c r="X1500" s="847">
        <v>636</v>
      </c>
      <c r="Y1500" s="853">
        <v>0.6</v>
      </c>
      <c r="Z1500" s="849">
        <v>21.200000000000003</v>
      </c>
      <c r="AA1500" s="849"/>
      <c r="AB1500" s="849">
        <f t="shared" si="282"/>
        <v>254.40000000000003</v>
      </c>
      <c r="AC1500" s="850">
        <f t="shared" si="283"/>
        <v>254.40000000000003</v>
      </c>
      <c r="AD1500" s="851">
        <f t="shared" si="281"/>
        <v>27000</v>
      </c>
      <c r="AE1500" s="852">
        <v>26202</v>
      </c>
      <c r="AF1500" s="853">
        <v>0</v>
      </c>
      <c r="AG1500" s="854">
        <f t="shared" si="284"/>
        <v>0</v>
      </c>
      <c r="AH1500" s="853">
        <v>0.08</v>
      </c>
      <c r="AI1500" s="855">
        <f t="shared" si="285"/>
        <v>533263.10400000005</v>
      </c>
      <c r="AJ1500" s="845" t="s">
        <v>4950</v>
      </c>
      <c r="AK1500" s="864">
        <v>45901</v>
      </c>
      <c r="AL1500" s="843" t="s">
        <v>4957</v>
      </c>
      <c r="AM1500" s="843" t="s">
        <v>4958</v>
      </c>
      <c r="AN1500" s="844" t="s">
        <v>4959</v>
      </c>
      <c r="AO1500" s="844" t="s">
        <v>141</v>
      </c>
      <c r="AP1500" s="841"/>
      <c r="AQ1500" s="841">
        <v>45914</v>
      </c>
      <c r="AR1500" s="841">
        <v>45921</v>
      </c>
      <c r="AS1500" s="842" t="s">
        <v>1874</v>
      </c>
      <c r="AT1500" s="842" t="s">
        <v>1235</v>
      </c>
      <c r="AU1500" s="842"/>
      <c r="AV1500" s="845" t="s">
        <v>4960</v>
      </c>
      <c r="AW1500" s="861">
        <v>45920</v>
      </c>
      <c r="AX1500" s="862">
        <v>45929</v>
      </c>
      <c r="AY1500" s="843" t="s">
        <v>5117</v>
      </c>
      <c r="AZ1500" s="842" t="s">
        <v>5103</v>
      </c>
      <c r="BA1500" s="842" t="s">
        <v>120</v>
      </c>
      <c r="BB1500" s="863" t="s">
        <v>121</v>
      </c>
      <c r="BC1500" s="864">
        <v>45930</v>
      </c>
      <c r="BD1500" s="860" t="s">
        <v>4962</v>
      </c>
      <c r="BE1500" s="865" cm="1">
        <f t="array" ref="BE1500">IF(BD1500="","",AC1500/SUMPRODUCT(--(BD1500=$BD$4:$BD$12824),$AC$4:$AC$12824))</f>
        <v>1.0303149102443438E-2</v>
      </c>
      <c r="BF1500" s="458"/>
      <c r="BG1500" s="458"/>
      <c r="BH1500" s="458"/>
      <c r="BI1500" s="458"/>
      <c r="BJ1500" s="458"/>
      <c r="BK1500" s="458"/>
      <c r="BL1500" s="458"/>
      <c r="BM1500" s="458"/>
      <c r="BN1500" s="458"/>
      <c r="BO1500" s="866">
        <f>VLOOKUP(BD1500,$BD$4:$BN$12824,3,0)*BE1500</f>
        <v>0</v>
      </c>
      <c r="BP1500" s="866"/>
      <c r="BQ1500" s="866"/>
      <c r="BR1500" s="866">
        <f>VLOOKUP(BD1500,$BD$4:$BN$12824,6,0)*BE1500</f>
        <v>86998.646226687677</v>
      </c>
      <c r="BS1500" s="866">
        <f>VLOOKUP(BD1500,$BD$4:$BN$12824,7,0)*BE1500</f>
        <v>6138.5413032423276</v>
      </c>
      <c r="BT1500" s="866"/>
      <c r="BU1500" s="866">
        <f>VLOOKUP(BD1500,$BD$4:$BN$12824,9,0)*BE1500</f>
        <v>2781.8502576597284</v>
      </c>
      <c r="BV1500" s="867"/>
      <c r="BW1500" s="867">
        <f>VLOOKUP(BD1500,$BD$4:$BN$12824,11,0)*BE1500</f>
        <v>53795.79424877643</v>
      </c>
      <c r="BX1500" s="1146">
        <f t="shared" si="286"/>
        <v>149714.83203636616</v>
      </c>
      <c r="BY1500" s="867">
        <f t="shared" si="289"/>
        <v>567958.63600303058</v>
      </c>
      <c r="BZ1500" s="867">
        <f t="shared" si="287"/>
        <v>6815503.6320363674</v>
      </c>
      <c r="CA1500" s="867">
        <f>_xlfn.MAXIFS($BY$4:$BY$12824,$S$4:$S$12824,$S1500)</f>
        <v>567958.63600303058</v>
      </c>
      <c r="CB1500" s="1032"/>
      <c r="CF1500" s="946">
        <f t="shared" si="288"/>
        <v>6665788.8000000007</v>
      </c>
    </row>
    <row r="1501" spans="2:84">
      <c r="B1501" s="839" t="s">
        <v>98</v>
      </c>
      <c r="C1501" s="839" t="s">
        <v>131</v>
      </c>
      <c r="D1501" s="839" t="s">
        <v>4950</v>
      </c>
      <c r="E1501" s="839" t="s">
        <v>4994</v>
      </c>
      <c r="F1501" s="841">
        <v>45883</v>
      </c>
      <c r="G1501" s="868" t="s">
        <v>133</v>
      </c>
      <c r="H1501" s="842" t="s">
        <v>134</v>
      </c>
      <c r="I1501" s="883"/>
      <c r="J1501" s="841"/>
      <c r="K1501" s="841"/>
      <c r="L1501" s="843" t="s">
        <v>106</v>
      </c>
      <c r="M1501" s="844" t="s">
        <v>417</v>
      </c>
      <c r="N1501" s="841">
        <v>45884</v>
      </c>
      <c r="O1501" s="884" t="s">
        <v>135</v>
      </c>
      <c r="P1501" s="842" t="s">
        <v>5098</v>
      </c>
      <c r="Q1501" s="843"/>
      <c r="R1501" s="845" t="s">
        <v>5118</v>
      </c>
      <c r="S1501" s="1127" t="s">
        <v>5119</v>
      </c>
      <c r="T1501" s="885" t="s">
        <v>5120</v>
      </c>
      <c r="U1501" s="886">
        <v>12</v>
      </c>
      <c r="V1501" s="842" t="s">
        <v>8</v>
      </c>
      <c r="W1501" s="846">
        <v>61</v>
      </c>
      <c r="X1501" s="847">
        <v>732</v>
      </c>
      <c r="Y1501" s="853">
        <v>0.6</v>
      </c>
      <c r="Z1501" s="849">
        <v>24.400000000000002</v>
      </c>
      <c r="AA1501" s="849"/>
      <c r="AB1501" s="849">
        <f t="shared" si="282"/>
        <v>292.8</v>
      </c>
      <c r="AC1501" s="850">
        <f t="shared" si="283"/>
        <v>292.8</v>
      </c>
      <c r="AD1501" s="851">
        <f t="shared" si="281"/>
        <v>27000</v>
      </c>
      <c r="AE1501" s="852">
        <v>26202</v>
      </c>
      <c r="AF1501" s="853">
        <v>0</v>
      </c>
      <c r="AG1501" s="854">
        <f t="shared" si="284"/>
        <v>0</v>
      </c>
      <c r="AH1501" s="853">
        <v>0.08</v>
      </c>
      <c r="AI1501" s="855">
        <f t="shared" si="285"/>
        <v>613755.64800000004</v>
      </c>
      <c r="AJ1501" s="845" t="s">
        <v>4950</v>
      </c>
      <c r="AK1501" s="864">
        <v>45901</v>
      </c>
      <c r="AL1501" s="843" t="s">
        <v>4957</v>
      </c>
      <c r="AM1501" s="843" t="s">
        <v>4958</v>
      </c>
      <c r="AN1501" s="844" t="s">
        <v>4959</v>
      </c>
      <c r="AO1501" s="844" t="s">
        <v>141</v>
      </c>
      <c r="AP1501" s="841"/>
      <c r="AQ1501" s="841">
        <v>45914</v>
      </c>
      <c r="AR1501" s="841">
        <v>45921</v>
      </c>
      <c r="AS1501" s="842" t="s">
        <v>1874</v>
      </c>
      <c r="AT1501" s="842" t="s">
        <v>1235</v>
      </c>
      <c r="AU1501" s="842"/>
      <c r="AV1501" s="845" t="s">
        <v>4960</v>
      </c>
      <c r="AW1501" s="861">
        <v>45920</v>
      </c>
      <c r="AX1501" s="862">
        <v>45929</v>
      </c>
      <c r="AY1501" s="843" t="s">
        <v>5121</v>
      </c>
      <c r="AZ1501" s="842" t="s">
        <v>5103</v>
      </c>
      <c r="BA1501" s="842" t="s">
        <v>120</v>
      </c>
      <c r="BB1501" s="863" t="s">
        <v>121</v>
      </c>
      <c r="BC1501" s="864">
        <v>45930</v>
      </c>
      <c r="BD1501" s="860" t="s">
        <v>4962</v>
      </c>
      <c r="BE1501" s="865" cm="1">
        <f t="array" ref="BE1501">IF(BD1501="","",AC1501/SUMPRODUCT(--(BD1501=$BD$4:$BD$12824),$AC$4:$AC$12824))</f>
        <v>1.1858341419793391E-2</v>
      </c>
      <c r="BF1501" s="458"/>
      <c r="BG1501" s="458"/>
      <c r="BH1501" s="458"/>
      <c r="BI1501" s="458"/>
      <c r="BJ1501" s="458"/>
      <c r="BK1501" s="458"/>
      <c r="BL1501" s="458"/>
      <c r="BM1501" s="458"/>
      <c r="BN1501" s="458"/>
      <c r="BO1501" s="866">
        <f>VLOOKUP(BD1501,$BD$4:$BN$12824,3,0)*BE1501</f>
        <v>0</v>
      </c>
      <c r="BP1501" s="866"/>
      <c r="BQ1501" s="866"/>
      <c r="BR1501" s="866">
        <f>VLOOKUP(BD1501,$BD$4:$BN$12824,6,0)*BE1501</f>
        <v>100130.51735524429</v>
      </c>
      <c r="BS1501" s="866">
        <f>VLOOKUP(BD1501,$BD$4:$BN$12824,7,0)*BE1501</f>
        <v>7065.1135754298484</v>
      </c>
      <c r="BT1501" s="866"/>
      <c r="BU1501" s="866">
        <f>VLOOKUP(BD1501,$BD$4:$BN$12824,9,0)*BE1501</f>
        <v>3201.7521833442156</v>
      </c>
      <c r="BV1501" s="867"/>
      <c r="BW1501" s="867">
        <f>VLOOKUP(BD1501,$BD$4:$BN$12824,11,0)*BE1501</f>
        <v>61915.914135384184</v>
      </c>
      <c r="BX1501" s="1146">
        <f t="shared" si="286"/>
        <v>172313.29724940253</v>
      </c>
      <c r="BY1501" s="867">
        <f t="shared" si="289"/>
        <v>653688.24143745028</v>
      </c>
      <c r="BZ1501" s="867">
        <f t="shared" si="287"/>
        <v>7844258.8972494034</v>
      </c>
      <c r="CA1501" s="867">
        <f>_xlfn.MAXIFS($BY$4:$BY$12824,$S$4:$S$12824,$S1501)</f>
        <v>653688.24143745028</v>
      </c>
      <c r="CB1501" s="1032"/>
      <c r="CF1501" s="946">
        <f t="shared" si="288"/>
        <v>7671945.6000000006</v>
      </c>
    </row>
    <row r="1502" spans="2:84">
      <c r="B1502" s="839" t="s">
        <v>98</v>
      </c>
      <c r="C1502" s="839" t="s">
        <v>131</v>
      </c>
      <c r="D1502" s="839" t="s">
        <v>4950</v>
      </c>
      <c r="E1502" s="839" t="s">
        <v>4994</v>
      </c>
      <c r="F1502" s="841">
        <v>45883</v>
      </c>
      <c r="G1502" s="868" t="s">
        <v>133</v>
      </c>
      <c r="H1502" s="842" t="s">
        <v>134</v>
      </c>
      <c r="I1502" s="883"/>
      <c r="J1502" s="841"/>
      <c r="K1502" s="841"/>
      <c r="L1502" s="843" t="s">
        <v>106</v>
      </c>
      <c r="M1502" s="844" t="s">
        <v>417</v>
      </c>
      <c r="N1502" s="841">
        <v>45884</v>
      </c>
      <c r="O1502" s="884" t="s">
        <v>135</v>
      </c>
      <c r="P1502" s="842" t="s">
        <v>5098</v>
      </c>
      <c r="Q1502" s="843"/>
      <c r="R1502" s="845" t="s">
        <v>5122</v>
      </c>
      <c r="S1502" s="1127" t="s">
        <v>5123</v>
      </c>
      <c r="T1502" s="885" t="s">
        <v>5124</v>
      </c>
      <c r="U1502" s="886">
        <v>12</v>
      </c>
      <c r="V1502" s="842" t="s">
        <v>8</v>
      </c>
      <c r="W1502" s="846">
        <v>72</v>
      </c>
      <c r="X1502" s="847">
        <v>864</v>
      </c>
      <c r="Y1502" s="853">
        <v>0.6</v>
      </c>
      <c r="Z1502" s="849">
        <v>28.8</v>
      </c>
      <c r="AA1502" s="849"/>
      <c r="AB1502" s="849">
        <f t="shared" si="282"/>
        <v>345.6</v>
      </c>
      <c r="AC1502" s="850">
        <f t="shared" si="283"/>
        <v>345.6</v>
      </c>
      <c r="AD1502" s="851">
        <f t="shared" si="281"/>
        <v>27000</v>
      </c>
      <c r="AE1502" s="852">
        <v>26202</v>
      </c>
      <c r="AF1502" s="853">
        <v>0</v>
      </c>
      <c r="AG1502" s="854">
        <f t="shared" si="284"/>
        <v>0</v>
      </c>
      <c r="AH1502" s="853">
        <v>0.08</v>
      </c>
      <c r="AI1502" s="855">
        <f t="shared" si="285"/>
        <v>724432.89600000007</v>
      </c>
      <c r="AJ1502" s="845" t="s">
        <v>4950</v>
      </c>
      <c r="AK1502" s="864">
        <v>45901</v>
      </c>
      <c r="AL1502" s="843" t="s">
        <v>4957</v>
      </c>
      <c r="AM1502" s="843" t="s">
        <v>4958</v>
      </c>
      <c r="AN1502" s="844" t="s">
        <v>4959</v>
      </c>
      <c r="AO1502" s="844" t="s">
        <v>141</v>
      </c>
      <c r="AP1502" s="841"/>
      <c r="AQ1502" s="841">
        <v>45914</v>
      </c>
      <c r="AR1502" s="841">
        <v>45921</v>
      </c>
      <c r="AS1502" s="842" t="s">
        <v>1874</v>
      </c>
      <c r="AT1502" s="842" t="s">
        <v>1235</v>
      </c>
      <c r="AU1502" s="842"/>
      <c r="AV1502" s="845" t="s">
        <v>4960</v>
      </c>
      <c r="AW1502" s="861">
        <v>45920</v>
      </c>
      <c r="AX1502" s="862">
        <v>45929</v>
      </c>
      <c r="AY1502" s="843" t="s">
        <v>5125</v>
      </c>
      <c r="AZ1502" s="842" t="s">
        <v>5103</v>
      </c>
      <c r="BA1502" s="842" t="s">
        <v>120</v>
      </c>
      <c r="BB1502" s="863" t="s">
        <v>121</v>
      </c>
      <c r="BC1502" s="864">
        <v>45930</v>
      </c>
      <c r="BD1502" s="860" t="s">
        <v>4962</v>
      </c>
      <c r="BE1502" s="865" cm="1">
        <f t="array" ref="BE1502">IF(BD1502="","",AC1502/SUMPRODUCT(--(BD1502=$BD$4:$BD$12824),$AC$4:$AC$12824))</f>
        <v>1.3996730856149575E-2</v>
      </c>
      <c r="BF1502" s="458"/>
      <c r="BG1502" s="458"/>
      <c r="BH1502" s="458"/>
      <c r="BI1502" s="458"/>
      <c r="BJ1502" s="458"/>
      <c r="BK1502" s="458"/>
      <c r="BL1502" s="458"/>
      <c r="BM1502" s="458"/>
      <c r="BN1502" s="458"/>
      <c r="BO1502" s="866">
        <f>VLOOKUP(BD1502,$BD$4:$BN$12824,3,0)*BE1502</f>
        <v>0</v>
      </c>
      <c r="BP1502" s="866"/>
      <c r="BQ1502" s="866"/>
      <c r="BR1502" s="866">
        <f>VLOOKUP(BD1502,$BD$4:$BN$12824,6,0)*BE1502</f>
        <v>118186.84015700965</v>
      </c>
      <c r="BS1502" s="866">
        <f>VLOOKUP(BD1502,$BD$4:$BN$12824,7,0)*BE1502</f>
        <v>8339.1504496876896</v>
      </c>
      <c r="BT1502" s="866"/>
      <c r="BU1502" s="866">
        <f>VLOOKUP(BD1502,$BD$4:$BN$12824,9,0)*BE1502</f>
        <v>3779.1173311603852</v>
      </c>
      <c r="BV1502" s="867"/>
      <c r="BW1502" s="867">
        <f>VLOOKUP(BD1502,$BD$4:$BN$12824,11,0)*BE1502</f>
        <v>73081.078979469865</v>
      </c>
      <c r="BX1502" s="1146">
        <f t="shared" si="286"/>
        <v>203386.18691732758</v>
      </c>
      <c r="BY1502" s="867">
        <f t="shared" si="289"/>
        <v>771566.44890977733</v>
      </c>
      <c r="BZ1502" s="867">
        <f t="shared" si="287"/>
        <v>9258797.3869173285</v>
      </c>
      <c r="CA1502" s="867">
        <f>_xlfn.MAXIFS($BY$4:$BY$12824,$S$4:$S$12824,$S1502)</f>
        <v>771566.44890977733</v>
      </c>
      <c r="CB1502" s="1032"/>
      <c r="CF1502" s="946">
        <f t="shared" si="288"/>
        <v>9055411.2000000011</v>
      </c>
    </row>
    <row r="1503" spans="2:84">
      <c r="B1503" s="839" t="s">
        <v>98</v>
      </c>
      <c r="C1503" s="839" t="s">
        <v>131</v>
      </c>
      <c r="D1503" s="839" t="s">
        <v>4950</v>
      </c>
      <c r="E1503" s="839" t="s">
        <v>4994</v>
      </c>
      <c r="F1503" s="841">
        <v>45883</v>
      </c>
      <c r="G1503" s="868" t="s">
        <v>133</v>
      </c>
      <c r="H1503" s="842" t="s">
        <v>134</v>
      </c>
      <c r="I1503" s="883"/>
      <c r="J1503" s="841"/>
      <c r="K1503" s="841"/>
      <c r="L1503" s="843" t="s">
        <v>106</v>
      </c>
      <c r="M1503" s="844" t="s">
        <v>417</v>
      </c>
      <c r="N1503" s="841">
        <v>45884</v>
      </c>
      <c r="O1503" s="884" t="s">
        <v>108</v>
      </c>
      <c r="P1503" s="842" t="s">
        <v>4990</v>
      </c>
      <c r="Q1503" s="843"/>
      <c r="R1503" s="845" t="s">
        <v>5126</v>
      </c>
      <c r="S1503" s="1127" t="s">
        <v>5127</v>
      </c>
      <c r="T1503" s="885" t="s">
        <v>5128</v>
      </c>
      <c r="U1503" s="886">
        <v>2</v>
      </c>
      <c r="V1503" s="842" t="s">
        <v>8</v>
      </c>
      <c r="W1503" s="846">
        <v>90</v>
      </c>
      <c r="X1503" s="847">
        <v>180</v>
      </c>
      <c r="Y1503" s="853">
        <v>0.43</v>
      </c>
      <c r="Z1503" s="849">
        <v>51.300000000000004</v>
      </c>
      <c r="AA1503" s="849"/>
      <c r="AB1503" s="849">
        <f t="shared" si="282"/>
        <v>102.60000000000001</v>
      </c>
      <c r="AC1503" s="850">
        <f t="shared" si="283"/>
        <v>102.60000000000001</v>
      </c>
      <c r="AD1503" s="851">
        <f t="shared" si="281"/>
        <v>27000</v>
      </c>
      <c r="AE1503" s="852">
        <v>26202</v>
      </c>
      <c r="AF1503" s="853">
        <v>0</v>
      </c>
      <c r="AG1503" s="854">
        <f t="shared" si="284"/>
        <v>0</v>
      </c>
      <c r="AH1503" s="853">
        <v>0.08</v>
      </c>
      <c r="AI1503" s="855">
        <f t="shared" si="285"/>
        <v>215066.01600000003</v>
      </c>
      <c r="AJ1503" s="845" t="s">
        <v>4950</v>
      </c>
      <c r="AK1503" s="864">
        <v>45901</v>
      </c>
      <c r="AL1503" s="843" t="s">
        <v>4957</v>
      </c>
      <c r="AM1503" s="843" t="s">
        <v>4958</v>
      </c>
      <c r="AN1503" s="844" t="s">
        <v>4959</v>
      </c>
      <c r="AO1503" s="844" t="s">
        <v>141</v>
      </c>
      <c r="AP1503" s="841"/>
      <c r="AQ1503" s="841">
        <v>45914</v>
      </c>
      <c r="AR1503" s="841">
        <v>45921</v>
      </c>
      <c r="AS1503" s="842" t="s">
        <v>1874</v>
      </c>
      <c r="AT1503" s="842" t="s">
        <v>1235</v>
      </c>
      <c r="AU1503" s="842"/>
      <c r="AV1503" s="845" t="s">
        <v>4960</v>
      </c>
      <c r="AW1503" s="861">
        <v>45920</v>
      </c>
      <c r="AX1503" s="862">
        <v>45929</v>
      </c>
      <c r="AY1503" s="843" t="s">
        <v>5129</v>
      </c>
      <c r="AZ1503" s="842" t="s">
        <v>4798</v>
      </c>
      <c r="BA1503" s="842" t="s">
        <v>120</v>
      </c>
      <c r="BB1503" s="863" t="s">
        <v>121</v>
      </c>
      <c r="BC1503" s="864">
        <v>45930</v>
      </c>
      <c r="BD1503" s="860" t="s">
        <v>4962</v>
      </c>
      <c r="BE1503" s="865" cm="1">
        <f t="array" ref="BE1503">IF(BD1503="","",AC1503/SUMPRODUCT(--(BD1503=$BD$4:$BD$12824),$AC$4:$AC$12824))</f>
        <v>4.1552794729194055E-3</v>
      </c>
      <c r="BF1503" s="458"/>
      <c r="BG1503" s="458"/>
      <c r="BH1503" s="458"/>
      <c r="BI1503" s="458"/>
      <c r="BJ1503" s="458"/>
      <c r="BK1503" s="458"/>
      <c r="BL1503" s="458"/>
      <c r="BM1503" s="458"/>
      <c r="BN1503" s="458"/>
      <c r="BO1503" s="866">
        <f>VLOOKUP(BD1503,$BD$4:$BN$12824,3,0)*BE1503</f>
        <v>0</v>
      </c>
      <c r="BP1503" s="866"/>
      <c r="BQ1503" s="866"/>
      <c r="BR1503" s="866">
        <f>VLOOKUP(BD1503,$BD$4:$BN$12824,6,0)*BE1503</f>
        <v>35086.718171612243</v>
      </c>
      <c r="BS1503" s="866">
        <f>VLOOKUP(BD1503,$BD$4:$BN$12824,7,0)*BE1503</f>
        <v>2475.685289751033</v>
      </c>
      <c r="BT1503" s="866"/>
      <c r="BU1503" s="866">
        <f>VLOOKUP(BD1503,$BD$4:$BN$12824,9,0)*BE1503</f>
        <v>1121.9254576882395</v>
      </c>
      <c r="BV1503" s="867"/>
      <c r="BW1503" s="867">
        <f>VLOOKUP(BD1503,$BD$4:$BN$12824,11,0)*BE1503</f>
        <v>21695.945322030115</v>
      </c>
      <c r="BX1503" s="1146">
        <f t="shared" si="286"/>
        <v>60380.274241081628</v>
      </c>
      <c r="BY1503" s="867">
        <f t="shared" si="289"/>
        <v>1374352.7371205408</v>
      </c>
      <c r="BZ1503" s="867">
        <f t="shared" si="287"/>
        <v>2748705.4742410816</v>
      </c>
      <c r="CA1503" s="867">
        <f>_xlfn.MAXIFS($BY$4:$BY$12824,$S$4:$S$12824,$S1503)</f>
        <v>1374352.7371205408</v>
      </c>
      <c r="CB1503" s="1032"/>
      <c r="CF1503" s="946">
        <f t="shared" si="288"/>
        <v>2688325.2</v>
      </c>
    </row>
    <row r="1504" spans="2:84">
      <c r="B1504" s="839" t="s">
        <v>98</v>
      </c>
      <c r="C1504" s="839" t="s">
        <v>131</v>
      </c>
      <c r="D1504" s="839" t="s">
        <v>4950</v>
      </c>
      <c r="E1504" s="839" t="s">
        <v>4994</v>
      </c>
      <c r="F1504" s="841">
        <v>45883</v>
      </c>
      <c r="G1504" s="868" t="s">
        <v>133</v>
      </c>
      <c r="H1504" s="842" t="s">
        <v>134</v>
      </c>
      <c r="I1504" s="883"/>
      <c r="J1504" s="841"/>
      <c r="K1504" s="841"/>
      <c r="L1504" s="843" t="s">
        <v>106</v>
      </c>
      <c r="M1504" s="844" t="s">
        <v>417</v>
      </c>
      <c r="N1504" s="841">
        <v>45884</v>
      </c>
      <c r="O1504" s="884" t="s">
        <v>108</v>
      </c>
      <c r="P1504" s="842" t="s">
        <v>4990</v>
      </c>
      <c r="Q1504" s="843"/>
      <c r="R1504" s="845" t="s">
        <v>5130</v>
      </c>
      <c r="S1504" s="1127" t="s">
        <v>5131</v>
      </c>
      <c r="T1504" s="885" t="s">
        <v>5132</v>
      </c>
      <c r="U1504" s="886">
        <v>2</v>
      </c>
      <c r="V1504" s="842" t="s">
        <v>8</v>
      </c>
      <c r="W1504" s="846">
        <v>90</v>
      </c>
      <c r="X1504" s="847">
        <v>180</v>
      </c>
      <c r="Y1504" s="853">
        <v>0.43</v>
      </c>
      <c r="Z1504" s="849">
        <v>51.300000000000004</v>
      </c>
      <c r="AA1504" s="849"/>
      <c r="AB1504" s="849">
        <f t="shared" si="282"/>
        <v>102.60000000000001</v>
      </c>
      <c r="AC1504" s="850">
        <f t="shared" si="283"/>
        <v>102.60000000000001</v>
      </c>
      <c r="AD1504" s="851">
        <f t="shared" si="281"/>
        <v>27000</v>
      </c>
      <c r="AE1504" s="852">
        <v>26202</v>
      </c>
      <c r="AF1504" s="853">
        <v>0</v>
      </c>
      <c r="AG1504" s="854">
        <f t="shared" si="284"/>
        <v>0</v>
      </c>
      <c r="AH1504" s="853">
        <v>0.08</v>
      </c>
      <c r="AI1504" s="855">
        <f t="shared" si="285"/>
        <v>215066.01600000003</v>
      </c>
      <c r="AJ1504" s="845" t="s">
        <v>4950</v>
      </c>
      <c r="AK1504" s="864">
        <v>45901</v>
      </c>
      <c r="AL1504" s="843" t="s">
        <v>4957</v>
      </c>
      <c r="AM1504" s="843" t="s">
        <v>4958</v>
      </c>
      <c r="AN1504" s="844" t="s">
        <v>4959</v>
      </c>
      <c r="AO1504" s="844" t="s">
        <v>141</v>
      </c>
      <c r="AP1504" s="841"/>
      <c r="AQ1504" s="841">
        <v>45914</v>
      </c>
      <c r="AR1504" s="841">
        <v>45921</v>
      </c>
      <c r="AS1504" s="842" t="s">
        <v>1874</v>
      </c>
      <c r="AT1504" s="842" t="s">
        <v>1235</v>
      </c>
      <c r="AU1504" s="842"/>
      <c r="AV1504" s="845" t="s">
        <v>4960</v>
      </c>
      <c r="AW1504" s="861">
        <v>45920</v>
      </c>
      <c r="AX1504" s="862">
        <v>45929</v>
      </c>
      <c r="AY1504" s="843" t="s">
        <v>5129</v>
      </c>
      <c r="AZ1504" s="842" t="s">
        <v>4798</v>
      </c>
      <c r="BA1504" s="842" t="s">
        <v>120</v>
      </c>
      <c r="BB1504" s="863" t="s">
        <v>121</v>
      </c>
      <c r="BC1504" s="864">
        <v>45930</v>
      </c>
      <c r="BD1504" s="860" t="s">
        <v>4962</v>
      </c>
      <c r="BE1504" s="865" cm="1">
        <f t="array" ref="BE1504">IF(BD1504="","",AC1504/SUMPRODUCT(--(BD1504=$BD$4:$BD$12824),$AC$4:$AC$12824))</f>
        <v>4.1552794729194055E-3</v>
      </c>
      <c r="BF1504" s="458"/>
      <c r="BG1504" s="458"/>
      <c r="BH1504" s="458"/>
      <c r="BI1504" s="458"/>
      <c r="BJ1504" s="458"/>
      <c r="BK1504" s="458"/>
      <c r="BL1504" s="458"/>
      <c r="BM1504" s="458"/>
      <c r="BN1504" s="458"/>
      <c r="BO1504" s="866">
        <f>VLOOKUP(BD1504,$BD$4:$BN$12824,3,0)*BE1504</f>
        <v>0</v>
      </c>
      <c r="BP1504" s="866"/>
      <c r="BQ1504" s="866"/>
      <c r="BR1504" s="866">
        <f>VLOOKUP(BD1504,$BD$4:$BN$12824,6,0)*BE1504</f>
        <v>35086.718171612243</v>
      </c>
      <c r="BS1504" s="866">
        <f>VLOOKUP(BD1504,$BD$4:$BN$12824,7,0)*BE1504</f>
        <v>2475.685289751033</v>
      </c>
      <c r="BT1504" s="866"/>
      <c r="BU1504" s="866">
        <f>VLOOKUP(BD1504,$BD$4:$BN$12824,9,0)*BE1504</f>
        <v>1121.9254576882395</v>
      </c>
      <c r="BV1504" s="867"/>
      <c r="BW1504" s="867">
        <f>VLOOKUP(BD1504,$BD$4:$BN$12824,11,0)*BE1504</f>
        <v>21695.945322030115</v>
      </c>
      <c r="BX1504" s="1146">
        <f t="shared" si="286"/>
        <v>60380.274241081628</v>
      </c>
      <c r="BY1504" s="867">
        <f t="shared" si="289"/>
        <v>1374352.7371205408</v>
      </c>
      <c r="BZ1504" s="867">
        <f t="shared" si="287"/>
        <v>2748705.4742410816</v>
      </c>
      <c r="CA1504" s="867">
        <f>_xlfn.MAXIFS($BY$4:$BY$12824,$S$4:$S$12824,$S1504)</f>
        <v>1374352.7371205408</v>
      </c>
      <c r="CB1504" s="1032"/>
      <c r="CF1504" s="946">
        <f t="shared" si="288"/>
        <v>2688325.2</v>
      </c>
    </row>
    <row r="1505" spans="2:84">
      <c r="B1505" s="839" t="s">
        <v>98</v>
      </c>
      <c r="C1505" s="839" t="s">
        <v>131</v>
      </c>
      <c r="D1505" s="839" t="s">
        <v>4950</v>
      </c>
      <c r="E1505" s="839" t="s">
        <v>4994</v>
      </c>
      <c r="F1505" s="841">
        <v>45883</v>
      </c>
      <c r="G1505" s="868" t="s">
        <v>133</v>
      </c>
      <c r="H1505" s="842" t="s">
        <v>134</v>
      </c>
      <c r="I1505" s="883"/>
      <c r="J1505" s="841"/>
      <c r="K1505" s="841"/>
      <c r="L1505" s="843" t="s">
        <v>106</v>
      </c>
      <c r="M1505" s="844" t="s">
        <v>417</v>
      </c>
      <c r="N1505" s="841">
        <v>45884</v>
      </c>
      <c r="O1505" s="884" t="s">
        <v>108</v>
      </c>
      <c r="P1505" s="842" t="s">
        <v>4990</v>
      </c>
      <c r="Q1505" s="843"/>
      <c r="R1505" s="845" t="s">
        <v>5133</v>
      </c>
      <c r="S1505" s="1127" t="s">
        <v>5134</v>
      </c>
      <c r="T1505" s="885" t="s">
        <v>5135</v>
      </c>
      <c r="U1505" s="886">
        <v>2</v>
      </c>
      <c r="V1505" s="842" t="s">
        <v>8</v>
      </c>
      <c r="W1505" s="846">
        <v>90</v>
      </c>
      <c r="X1505" s="847">
        <v>180</v>
      </c>
      <c r="Y1505" s="853">
        <v>0.43</v>
      </c>
      <c r="Z1505" s="849">
        <v>51.300000000000004</v>
      </c>
      <c r="AA1505" s="849"/>
      <c r="AB1505" s="849">
        <f t="shared" si="282"/>
        <v>102.60000000000001</v>
      </c>
      <c r="AC1505" s="850">
        <f t="shared" si="283"/>
        <v>102.60000000000001</v>
      </c>
      <c r="AD1505" s="851">
        <f t="shared" si="281"/>
        <v>27000</v>
      </c>
      <c r="AE1505" s="852">
        <v>26202</v>
      </c>
      <c r="AF1505" s="853">
        <v>0</v>
      </c>
      <c r="AG1505" s="854">
        <f t="shared" si="284"/>
        <v>0</v>
      </c>
      <c r="AH1505" s="853">
        <v>0.08</v>
      </c>
      <c r="AI1505" s="855">
        <f t="shared" si="285"/>
        <v>215066.01600000003</v>
      </c>
      <c r="AJ1505" s="845" t="s">
        <v>4950</v>
      </c>
      <c r="AK1505" s="864">
        <v>45901</v>
      </c>
      <c r="AL1505" s="843" t="s">
        <v>4957</v>
      </c>
      <c r="AM1505" s="843" t="s">
        <v>4958</v>
      </c>
      <c r="AN1505" s="844" t="s">
        <v>4959</v>
      </c>
      <c r="AO1505" s="844" t="s">
        <v>141</v>
      </c>
      <c r="AP1505" s="841"/>
      <c r="AQ1505" s="841">
        <v>45914</v>
      </c>
      <c r="AR1505" s="841">
        <v>45921</v>
      </c>
      <c r="AS1505" s="842" t="s">
        <v>1874</v>
      </c>
      <c r="AT1505" s="842" t="s">
        <v>1235</v>
      </c>
      <c r="AU1505" s="842"/>
      <c r="AV1505" s="845" t="s">
        <v>4960</v>
      </c>
      <c r="AW1505" s="861">
        <v>45920</v>
      </c>
      <c r="AX1505" s="862">
        <v>45929</v>
      </c>
      <c r="AY1505" s="843" t="s">
        <v>5129</v>
      </c>
      <c r="AZ1505" s="842" t="s">
        <v>4798</v>
      </c>
      <c r="BA1505" s="842" t="s">
        <v>120</v>
      </c>
      <c r="BB1505" s="863" t="s">
        <v>121</v>
      </c>
      <c r="BC1505" s="864">
        <v>45930</v>
      </c>
      <c r="BD1505" s="860" t="s">
        <v>4962</v>
      </c>
      <c r="BE1505" s="865" cm="1">
        <f t="array" ref="BE1505">IF(BD1505="","",AC1505/SUMPRODUCT(--(BD1505=$BD$4:$BD$12824),$AC$4:$AC$12824))</f>
        <v>4.1552794729194055E-3</v>
      </c>
      <c r="BF1505" s="458"/>
      <c r="BG1505" s="458"/>
      <c r="BH1505" s="458"/>
      <c r="BI1505" s="458"/>
      <c r="BJ1505" s="458"/>
      <c r="BK1505" s="458"/>
      <c r="BL1505" s="458"/>
      <c r="BM1505" s="458"/>
      <c r="BN1505" s="458"/>
      <c r="BO1505" s="866">
        <f>VLOOKUP(BD1505,$BD$4:$BN$12824,3,0)*BE1505</f>
        <v>0</v>
      </c>
      <c r="BP1505" s="866"/>
      <c r="BQ1505" s="866"/>
      <c r="BR1505" s="866">
        <f>VLOOKUP(BD1505,$BD$4:$BN$12824,6,0)*BE1505</f>
        <v>35086.718171612243</v>
      </c>
      <c r="BS1505" s="866">
        <f>VLOOKUP(BD1505,$BD$4:$BN$12824,7,0)*BE1505</f>
        <v>2475.685289751033</v>
      </c>
      <c r="BT1505" s="866"/>
      <c r="BU1505" s="866">
        <f>VLOOKUP(BD1505,$BD$4:$BN$12824,9,0)*BE1505</f>
        <v>1121.9254576882395</v>
      </c>
      <c r="BV1505" s="867"/>
      <c r="BW1505" s="867">
        <f>VLOOKUP(BD1505,$BD$4:$BN$12824,11,0)*BE1505</f>
        <v>21695.945322030115</v>
      </c>
      <c r="BX1505" s="1146">
        <f t="shared" si="286"/>
        <v>60380.274241081628</v>
      </c>
      <c r="BY1505" s="867">
        <f t="shared" si="289"/>
        <v>1374352.7371205408</v>
      </c>
      <c r="BZ1505" s="867">
        <f t="shared" si="287"/>
        <v>2748705.4742410816</v>
      </c>
      <c r="CA1505" s="867">
        <f>_xlfn.MAXIFS($BY$4:$BY$12824,$S$4:$S$12824,$S1505)</f>
        <v>1374352.7371205408</v>
      </c>
      <c r="CB1505" s="1032"/>
      <c r="CF1505" s="946">
        <f t="shared" si="288"/>
        <v>2688325.2</v>
      </c>
    </row>
    <row r="1506" spans="2:84">
      <c r="B1506" s="839" t="s">
        <v>98</v>
      </c>
      <c r="C1506" s="839" t="s">
        <v>131</v>
      </c>
      <c r="D1506" s="839" t="s">
        <v>4950</v>
      </c>
      <c r="E1506" s="839" t="s">
        <v>4994</v>
      </c>
      <c r="F1506" s="841">
        <v>45883</v>
      </c>
      <c r="G1506" s="868" t="s">
        <v>133</v>
      </c>
      <c r="H1506" s="842" t="s">
        <v>134</v>
      </c>
      <c r="I1506" s="883"/>
      <c r="J1506" s="841"/>
      <c r="K1506" s="841"/>
      <c r="L1506" s="843" t="s">
        <v>106</v>
      </c>
      <c r="M1506" s="844" t="s">
        <v>417</v>
      </c>
      <c r="N1506" s="841">
        <v>45884</v>
      </c>
      <c r="O1506" s="884" t="s">
        <v>108</v>
      </c>
      <c r="P1506" s="842" t="s">
        <v>4990</v>
      </c>
      <c r="Q1506" s="843"/>
      <c r="R1506" s="845" t="s">
        <v>5136</v>
      </c>
      <c r="S1506" s="1127" t="s">
        <v>5137</v>
      </c>
      <c r="T1506" s="885" t="s">
        <v>5138</v>
      </c>
      <c r="U1506" s="886">
        <v>3</v>
      </c>
      <c r="V1506" s="842" t="s">
        <v>8</v>
      </c>
      <c r="W1506" s="846">
        <v>90</v>
      </c>
      <c r="X1506" s="847">
        <v>270</v>
      </c>
      <c r="Y1506" s="853">
        <v>0.43</v>
      </c>
      <c r="Z1506" s="849">
        <v>51.300000000000004</v>
      </c>
      <c r="AA1506" s="849"/>
      <c r="AB1506" s="849">
        <f t="shared" si="282"/>
        <v>153.9</v>
      </c>
      <c r="AC1506" s="850">
        <f t="shared" si="283"/>
        <v>153.9</v>
      </c>
      <c r="AD1506" s="851">
        <f t="shared" si="281"/>
        <v>27000</v>
      </c>
      <c r="AE1506" s="852">
        <v>26202</v>
      </c>
      <c r="AF1506" s="853">
        <v>0</v>
      </c>
      <c r="AG1506" s="854">
        <f t="shared" si="284"/>
        <v>0</v>
      </c>
      <c r="AH1506" s="853">
        <v>0.08</v>
      </c>
      <c r="AI1506" s="855">
        <f t="shared" si="285"/>
        <v>322599.02400000003</v>
      </c>
      <c r="AJ1506" s="845" t="s">
        <v>4950</v>
      </c>
      <c r="AK1506" s="864">
        <v>45901</v>
      </c>
      <c r="AL1506" s="843" t="s">
        <v>4957</v>
      </c>
      <c r="AM1506" s="843" t="s">
        <v>4958</v>
      </c>
      <c r="AN1506" s="844" t="s">
        <v>4959</v>
      </c>
      <c r="AO1506" s="844" t="s">
        <v>141</v>
      </c>
      <c r="AP1506" s="841"/>
      <c r="AQ1506" s="841">
        <v>45914</v>
      </c>
      <c r="AR1506" s="841">
        <v>45921</v>
      </c>
      <c r="AS1506" s="842" t="s">
        <v>1874</v>
      </c>
      <c r="AT1506" s="842" t="s">
        <v>1235</v>
      </c>
      <c r="AU1506" s="842"/>
      <c r="AV1506" s="845" t="s">
        <v>4960</v>
      </c>
      <c r="AW1506" s="861">
        <v>45920</v>
      </c>
      <c r="AX1506" s="862">
        <v>45929</v>
      </c>
      <c r="AY1506" s="843" t="s">
        <v>5129</v>
      </c>
      <c r="AZ1506" s="842" t="s">
        <v>4798</v>
      </c>
      <c r="BA1506" s="842" t="s">
        <v>120</v>
      </c>
      <c r="BB1506" s="863" t="s">
        <v>121</v>
      </c>
      <c r="BC1506" s="864">
        <v>45930</v>
      </c>
      <c r="BD1506" s="860" t="s">
        <v>4962</v>
      </c>
      <c r="BE1506" s="865" cm="1">
        <f t="array" ref="BE1506">IF(BD1506="","",AC1506/SUMPRODUCT(--(BD1506=$BD$4:$BD$12824),$AC$4:$AC$12824))</f>
        <v>6.2329192093791078E-3</v>
      </c>
      <c r="BF1506" s="458"/>
      <c r="BG1506" s="458"/>
      <c r="BH1506" s="458"/>
      <c r="BI1506" s="458"/>
      <c r="BJ1506" s="458"/>
      <c r="BK1506" s="458"/>
      <c r="BL1506" s="458"/>
      <c r="BM1506" s="458"/>
      <c r="BN1506" s="458"/>
      <c r="BO1506" s="866">
        <f>VLOOKUP(BD1506,$BD$4:$BN$12824,3,0)*BE1506</f>
        <v>0</v>
      </c>
      <c r="BP1506" s="866"/>
      <c r="BQ1506" s="866"/>
      <c r="BR1506" s="866">
        <f>VLOOKUP(BD1506,$BD$4:$BN$12824,6,0)*BE1506</f>
        <v>52630.077257418357</v>
      </c>
      <c r="BS1506" s="866">
        <f>VLOOKUP(BD1506,$BD$4:$BN$12824,7,0)*BE1506</f>
        <v>3713.5279346265493</v>
      </c>
      <c r="BT1506" s="866"/>
      <c r="BU1506" s="866">
        <f>VLOOKUP(BD1506,$BD$4:$BN$12824,9,0)*BE1506</f>
        <v>1682.888186532359</v>
      </c>
      <c r="BV1506" s="867"/>
      <c r="BW1506" s="867">
        <f>VLOOKUP(BD1506,$BD$4:$BN$12824,11,0)*BE1506</f>
        <v>32543.917983045172</v>
      </c>
      <c r="BX1506" s="1146">
        <f t="shared" si="286"/>
        <v>90570.411361622435</v>
      </c>
      <c r="BY1506" s="867">
        <f t="shared" si="289"/>
        <v>1374352.737120541</v>
      </c>
      <c r="BZ1506" s="867">
        <f t="shared" si="287"/>
        <v>4123058.2113616234</v>
      </c>
      <c r="CA1506" s="867">
        <f>_xlfn.MAXIFS($BY$4:$BY$12824,$S$4:$S$12824,$S1506)</f>
        <v>1374352.737120541</v>
      </c>
      <c r="CB1506" s="1032"/>
      <c r="CF1506" s="946">
        <f t="shared" si="288"/>
        <v>4032487.8000000003</v>
      </c>
    </row>
    <row r="1507" spans="2:84">
      <c r="B1507" s="839" t="s">
        <v>98</v>
      </c>
      <c r="C1507" s="839" t="s">
        <v>131</v>
      </c>
      <c r="D1507" s="839" t="s">
        <v>4950</v>
      </c>
      <c r="E1507" s="839" t="s">
        <v>4994</v>
      </c>
      <c r="F1507" s="841">
        <v>45883</v>
      </c>
      <c r="G1507" s="868" t="s">
        <v>133</v>
      </c>
      <c r="H1507" s="842" t="s">
        <v>134</v>
      </c>
      <c r="I1507" s="883"/>
      <c r="J1507" s="841"/>
      <c r="K1507" s="841"/>
      <c r="L1507" s="843" t="s">
        <v>106</v>
      </c>
      <c r="M1507" s="844" t="s">
        <v>417</v>
      </c>
      <c r="N1507" s="841">
        <v>45884</v>
      </c>
      <c r="O1507" s="884" t="s">
        <v>108</v>
      </c>
      <c r="P1507" s="842" t="s">
        <v>4990</v>
      </c>
      <c r="Q1507" s="843"/>
      <c r="R1507" s="845" t="s">
        <v>5139</v>
      </c>
      <c r="S1507" s="1127" t="s">
        <v>5140</v>
      </c>
      <c r="T1507" s="885" t="s">
        <v>5141</v>
      </c>
      <c r="U1507" s="886">
        <v>3</v>
      </c>
      <c r="V1507" s="842" t="s">
        <v>8</v>
      </c>
      <c r="W1507" s="846">
        <v>90</v>
      </c>
      <c r="X1507" s="847">
        <v>270</v>
      </c>
      <c r="Y1507" s="853">
        <v>0.43</v>
      </c>
      <c r="Z1507" s="849">
        <v>51.300000000000004</v>
      </c>
      <c r="AA1507" s="849"/>
      <c r="AB1507" s="849">
        <f t="shared" si="282"/>
        <v>153.9</v>
      </c>
      <c r="AC1507" s="850">
        <f t="shared" si="283"/>
        <v>153.9</v>
      </c>
      <c r="AD1507" s="851">
        <f t="shared" si="281"/>
        <v>27000</v>
      </c>
      <c r="AE1507" s="852">
        <v>26202</v>
      </c>
      <c r="AF1507" s="853">
        <v>0</v>
      </c>
      <c r="AG1507" s="854">
        <f t="shared" si="284"/>
        <v>0</v>
      </c>
      <c r="AH1507" s="853">
        <v>0.08</v>
      </c>
      <c r="AI1507" s="855">
        <f t="shared" si="285"/>
        <v>322599.02400000003</v>
      </c>
      <c r="AJ1507" s="845" t="s">
        <v>4950</v>
      </c>
      <c r="AK1507" s="864">
        <v>45901</v>
      </c>
      <c r="AL1507" s="843" t="s">
        <v>4957</v>
      </c>
      <c r="AM1507" s="843" t="s">
        <v>4958</v>
      </c>
      <c r="AN1507" s="844" t="s">
        <v>4959</v>
      </c>
      <c r="AO1507" s="844" t="s">
        <v>141</v>
      </c>
      <c r="AP1507" s="841"/>
      <c r="AQ1507" s="841">
        <v>45914</v>
      </c>
      <c r="AR1507" s="841">
        <v>45921</v>
      </c>
      <c r="AS1507" s="842" t="s">
        <v>1874</v>
      </c>
      <c r="AT1507" s="842" t="s">
        <v>1235</v>
      </c>
      <c r="AU1507" s="842"/>
      <c r="AV1507" s="845" t="s">
        <v>4960</v>
      </c>
      <c r="AW1507" s="861">
        <v>45920</v>
      </c>
      <c r="AX1507" s="862">
        <v>45929</v>
      </c>
      <c r="AY1507" s="843" t="s">
        <v>5129</v>
      </c>
      <c r="AZ1507" s="842" t="s">
        <v>4798</v>
      </c>
      <c r="BA1507" s="842" t="s">
        <v>120</v>
      </c>
      <c r="BB1507" s="863" t="s">
        <v>121</v>
      </c>
      <c r="BC1507" s="864">
        <v>45930</v>
      </c>
      <c r="BD1507" s="860" t="s">
        <v>4962</v>
      </c>
      <c r="BE1507" s="865" cm="1">
        <f t="array" ref="BE1507">IF(BD1507="","",AC1507/SUMPRODUCT(--(BD1507=$BD$4:$BD$12824),$AC$4:$AC$12824))</f>
        <v>6.2329192093791078E-3</v>
      </c>
      <c r="BF1507" s="458"/>
      <c r="BG1507" s="458"/>
      <c r="BH1507" s="458"/>
      <c r="BI1507" s="458"/>
      <c r="BJ1507" s="458"/>
      <c r="BK1507" s="458"/>
      <c r="BL1507" s="458"/>
      <c r="BM1507" s="458"/>
      <c r="BN1507" s="458"/>
      <c r="BO1507" s="866">
        <f>VLOOKUP(BD1507,$BD$4:$BN$12824,3,0)*BE1507</f>
        <v>0</v>
      </c>
      <c r="BP1507" s="866"/>
      <c r="BQ1507" s="866"/>
      <c r="BR1507" s="866">
        <f>VLOOKUP(BD1507,$BD$4:$BN$12824,6,0)*BE1507</f>
        <v>52630.077257418357</v>
      </c>
      <c r="BS1507" s="866">
        <f>VLOOKUP(BD1507,$BD$4:$BN$12824,7,0)*BE1507</f>
        <v>3713.5279346265493</v>
      </c>
      <c r="BT1507" s="866"/>
      <c r="BU1507" s="866">
        <f>VLOOKUP(BD1507,$BD$4:$BN$12824,9,0)*BE1507</f>
        <v>1682.888186532359</v>
      </c>
      <c r="BV1507" s="867"/>
      <c r="BW1507" s="867">
        <f>VLOOKUP(BD1507,$BD$4:$BN$12824,11,0)*BE1507</f>
        <v>32543.917983045172</v>
      </c>
      <c r="BX1507" s="1146">
        <f t="shared" si="286"/>
        <v>90570.411361622435</v>
      </c>
      <c r="BY1507" s="867">
        <f t="shared" si="289"/>
        <v>1374352.737120541</v>
      </c>
      <c r="BZ1507" s="867">
        <f t="shared" si="287"/>
        <v>4123058.2113616234</v>
      </c>
      <c r="CA1507" s="867">
        <f>_xlfn.MAXIFS($BY$4:$BY$12824,$S$4:$S$12824,$S1507)</f>
        <v>1374352.737120541</v>
      </c>
      <c r="CB1507" s="1032"/>
      <c r="CF1507" s="946">
        <f t="shared" si="288"/>
        <v>4032487.8000000003</v>
      </c>
    </row>
    <row r="1508" spans="2:84">
      <c r="B1508" s="839" t="s">
        <v>98</v>
      </c>
      <c r="C1508" s="839" t="s">
        <v>131</v>
      </c>
      <c r="D1508" s="839" t="s">
        <v>4950</v>
      </c>
      <c r="E1508" s="839" t="s">
        <v>4994</v>
      </c>
      <c r="F1508" s="841">
        <v>45883</v>
      </c>
      <c r="G1508" s="868" t="s">
        <v>133</v>
      </c>
      <c r="H1508" s="842" t="s">
        <v>134</v>
      </c>
      <c r="I1508" s="883"/>
      <c r="J1508" s="841"/>
      <c r="K1508" s="841"/>
      <c r="L1508" s="843" t="s">
        <v>106</v>
      </c>
      <c r="M1508" s="844" t="s">
        <v>417</v>
      </c>
      <c r="N1508" s="841">
        <v>45884</v>
      </c>
      <c r="O1508" s="884" t="s">
        <v>108</v>
      </c>
      <c r="P1508" s="842" t="s">
        <v>4990</v>
      </c>
      <c r="Q1508" s="843"/>
      <c r="R1508" s="845" t="s">
        <v>5142</v>
      </c>
      <c r="S1508" s="1127" t="s">
        <v>5143</v>
      </c>
      <c r="T1508" s="885" t="s">
        <v>5144</v>
      </c>
      <c r="U1508" s="886">
        <v>2</v>
      </c>
      <c r="V1508" s="842" t="s">
        <v>8</v>
      </c>
      <c r="W1508" s="846">
        <v>107</v>
      </c>
      <c r="X1508" s="847">
        <v>214</v>
      </c>
      <c r="Y1508" s="853">
        <v>0.43</v>
      </c>
      <c r="Z1508" s="849">
        <v>60.990000000000009</v>
      </c>
      <c r="AA1508" s="849"/>
      <c r="AB1508" s="849">
        <f t="shared" si="282"/>
        <v>121.98000000000002</v>
      </c>
      <c r="AC1508" s="850">
        <f t="shared" si="283"/>
        <v>121.98000000000002</v>
      </c>
      <c r="AD1508" s="851">
        <f t="shared" si="281"/>
        <v>27000</v>
      </c>
      <c r="AE1508" s="852">
        <v>26202</v>
      </c>
      <c r="AF1508" s="853">
        <v>0</v>
      </c>
      <c r="AG1508" s="854">
        <f t="shared" si="284"/>
        <v>0</v>
      </c>
      <c r="AH1508" s="853">
        <v>0.08</v>
      </c>
      <c r="AI1508" s="855">
        <f t="shared" si="285"/>
        <v>255689.59680000003</v>
      </c>
      <c r="AJ1508" s="845" t="s">
        <v>4950</v>
      </c>
      <c r="AK1508" s="864">
        <v>45901</v>
      </c>
      <c r="AL1508" s="843" t="s">
        <v>4957</v>
      </c>
      <c r="AM1508" s="843" t="s">
        <v>4958</v>
      </c>
      <c r="AN1508" s="844" t="s">
        <v>4959</v>
      </c>
      <c r="AO1508" s="844" t="s">
        <v>141</v>
      </c>
      <c r="AP1508" s="841"/>
      <c r="AQ1508" s="841">
        <v>45914</v>
      </c>
      <c r="AR1508" s="841">
        <v>45921</v>
      </c>
      <c r="AS1508" s="842" t="s">
        <v>1874</v>
      </c>
      <c r="AT1508" s="842" t="s">
        <v>1235</v>
      </c>
      <c r="AU1508" s="842"/>
      <c r="AV1508" s="845" t="s">
        <v>4960</v>
      </c>
      <c r="AW1508" s="861">
        <v>45920</v>
      </c>
      <c r="AX1508" s="862">
        <v>45929</v>
      </c>
      <c r="AY1508" s="843" t="s">
        <v>5145</v>
      </c>
      <c r="AZ1508" s="842" t="s">
        <v>4798</v>
      </c>
      <c r="BA1508" s="842" t="s">
        <v>120</v>
      </c>
      <c r="BB1508" s="863" t="s">
        <v>121</v>
      </c>
      <c r="BC1508" s="864">
        <v>45930</v>
      </c>
      <c r="BD1508" s="860" t="s">
        <v>4962</v>
      </c>
      <c r="BE1508" s="865" cm="1">
        <f t="array" ref="BE1508">IF(BD1508="","",AC1508/SUMPRODUCT(--(BD1508=$BD$4:$BD$12824),$AC$4:$AC$12824))</f>
        <v>4.9401655955819603E-3</v>
      </c>
      <c r="BF1508" s="458"/>
      <c r="BG1508" s="458"/>
      <c r="BH1508" s="458"/>
      <c r="BI1508" s="458"/>
      <c r="BJ1508" s="458"/>
      <c r="BK1508" s="458"/>
      <c r="BL1508" s="458"/>
      <c r="BM1508" s="458"/>
      <c r="BN1508" s="458"/>
      <c r="BO1508" s="866">
        <f>VLOOKUP(BD1508,$BD$4:$BN$12824,3,0)*BE1508</f>
        <v>0</v>
      </c>
      <c r="BP1508" s="866"/>
      <c r="BQ1508" s="866"/>
      <c r="BR1508" s="866">
        <f>VLOOKUP(BD1508,$BD$4:$BN$12824,6,0)*BE1508</f>
        <v>41714.209381805667</v>
      </c>
      <c r="BS1508" s="866">
        <f>VLOOKUP(BD1508,$BD$4:$BN$12824,7,0)*BE1508</f>
        <v>2943.3147333706729</v>
      </c>
      <c r="BT1508" s="866"/>
      <c r="BU1508" s="866">
        <f>VLOOKUP(BD1508,$BD$4:$BN$12824,9,0)*BE1508</f>
        <v>1333.8447108071293</v>
      </c>
      <c r="BV1508" s="867"/>
      <c r="BW1508" s="867">
        <f>VLOOKUP(BD1508,$BD$4:$BN$12824,11,0)*BE1508</f>
        <v>25794.068327302473</v>
      </c>
      <c r="BX1508" s="1146">
        <f t="shared" si="286"/>
        <v>71785.437153285937</v>
      </c>
      <c r="BY1508" s="867">
        <f t="shared" si="289"/>
        <v>1633952.6985766431</v>
      </c>
      <c r="BZ1508" s="867">
        <f t="shared" si="287"/>
        <v>3267905.3971532863</v>
      </c>
      <c r="CA1508" s="867">
        <f>_xlfn.MAXIFS($BY$4:$BY$12824,$S$4:$S$12824,$S1508)</f>
        <v>1633952.6985766431</v>
      </c>
      <c r="CB1508" s="1032"/>
      <c r="CF1508" s="946">
        <f t="shared" si="288"/>
        <v>3196119.9600000004</v>
      </c>
    </row>
    <row r="1509" spans="2:84">
      <c r="B1509" s="839" t="s">
        <v>98</v>
      </c>
      <c r="C1509" s="839" t="s">
        <v>131</v>
      </c>
      <c r="D1509" s="839" t="s">
        <v>4950</v>
      </c>
      <c r="E1509" s="839" t="s">
        <v>4994</v>
      </c>
      <c r="F1509" s="841">
        <v>45883</v>
      </c>
      <c r="G1509" s="868" t="s">
        <v>133</v>
      </c>
      <c r="H1509" s="842" t="s">
        <v>134</v>
      </c>
      <c r="I1509" s="883"/>
      <c r="J1509" s="841"/>
      <c r="K1509" s="841"/>
      <c r="L1509" s="843" t="s">
        <v>106</v>
      </c>
      <c r="M1509" s="844" t="s">
        <v>417</v>
      </c>
      <c r="N1509" s="841">
        <v>45884</v>
      </c>
      <c r="O1509" s="884" t="s">
        <v>108</v>
      </c>
      <c r="P1509" s="842" t="s">
        <v>4990</v>
      </c>
      <c r="Q1509" s="843"/>
      <c r="R1509" s="845" t="s">
        <v>5146</v>
      </c>
      <c r="S1509" s="1127" t="s">
        <v>5147</v>
      </c>
      <c r="T1509" s="885" t="s">
        <v>5148</v>
      </c>
      <c r="U1509" s="886">
        <v>2</v>
      </c>
      <c r="V1509" s="842" t="s">
        <v>8</v>
      </c>
      <c r="W1509" s="846">
        <v>107</v>
      </c>
      <c r="X1509" s="847">
        <v>214</v>
      </c>
      <c r="Y1509" s="853">
        <v>0.43</v>
      </c>
      <c r="Z1509" s="849">
        <v>60.990000000000009</v>
      </c>
      <c r="AA1509" s="849"/>
      <c r="AB1509" s="849">
        <f t="shared" si="282"/>
        <v>121.98000000000002</v>
      </c>
      <c r="AC1509" s="850">
        <f t="shared" si="283"/>
        <v>121.98000000000002</v>
      </c>
      <c r="AD1509" s="851">
        <f t="shared" si="281"/>
        <v>27000</v>
      </c>
      <c r="AE1509" s="852">
        <v>26202</v>
      </c>
      <c r="AF1509" s="853">
        <v>0</v>
      </c>
      <c r="AG1509" s="854">
        <f t="shared" si="284"/>
        <v>0</v>
      </c>
      <c r="AH1509" s="853">
        <v>0.08</v>
      </c>
      <c r="AI1509" s="855">
        <f t="shared" si="285"/>
        <v>255689.59680000003</v>
      </c>
      <c r="AJ1509" s="845" t="s">
        <v>4950</v>
      </c>
      <c r="AK1509" s="864">
        <v>45901</v>
      </c>
      <c r="AL1509" s="843" t="s">
        <v>4957</v>
      </c>
      <c r="AM1509" s="843" t="s">
        <v>4958</v>
      </c>
      <c r="AN1509" s="844" t="s">
        <v>4959</v>
      </c>
      <c r="AO1509" s="844" t="s">
        <v>141</v>
      </c>
      <c r="AP1509" s="841"/>
      <c r="AQ1509" s="841">
        <v>45914</v>
      </c>
      <c r="AR1509" s="841">
        <v>45921</v>
      </c>
      <c r="AS1509" s="842" t="s">
        <v>1874</v>
      </c>
      <c r="AT1509" s="842" t="s">
        <v>1235</v>
      </c>
      <c r="AU1509" s="842"/>
      <c r="AV1509" s="845" t="s">
        <v>4960</v>
      </c>
      <c r="AW1509" s="861">
        <v>45920</v>
      </c>
      <c r="AX1509" s="862">
        <v>45929</v>
      </c>
      <c r="AY1509" s="843" t="s">
        <v>5145</v>
      </c>
      <c r="AZ1509" s="842" t="s">
        <v>4798</v>
      </c>
      <c r="BA1509" s="842" t="s">
        <v>120</v>
      </c>
      <c r="BB1509" s="863" t="s">
        <v>121</v>
      </c>
      <c r="BC1509" s="864">
        <v>45930</v>
      </c>
      <c r="BD1509" s="860" t="s">
        <v>4962</v>
      </c>
      <c r="BE1509" s="865" cm="1">
        <f t="array" ref="BE1509">IF(BD1509="","",AC1509/SUMPRODUCT(--(BD1509=$BD$4:$BD$12824),$AC$4:$AC$12824))</f>
        <v>4.9401655955819603E-3</v>
      </c>
      <c r="BF1509" s="458"/>
      <c r="BG1509" s="458"/>
      <c r="BH1509" s="458"/>
      <c r="BI1509" s="458"/>
      <c r="BJ1509" s="458"/>
      <c r="BK1509" s="458"/>
      <c r="BL1509" s="458"/>
      <c r="BM1509" s="458"/>
      <c r="BN1509" s="458"/>
      <c r="BO1509" s="866">
        <f>VLOOKUP(BD1509,$BD$4:$BN$12824,3,0)*BE1509</f>
        <v>0</v>
      </c>
      <c r="BP1509" s="866"/>
      <c r="BQ1509" s="866"/>
      <c r="BR1509" s="866">
        <f>VLOOKUP(BD1509,$BD$4:$BN$12824,6,0)*BE1509</f>
        <v>41714.209381805667</v>
      </c>
      <c r="BS1509" s="866">
        <f>VLOOKUP(BD1509,$BD$4:$BN$12824,7,0)*BE1509</f>
        <v>2943.3147333706729</v>
      </c>
      <c r="BT1509" s="866"/>
      <c r="BU1509" s="866">
        <f>VLOOKUP(BD1509,$BD$4:$BN$12824,9,0)*BE1509</f>
        <v>1333.8447108071293</v>
      </c>
      <c r="BV1509" s="867"/>
      <c r="BW1509" s="867">
        <f>VLOOKUP(BD1509,$BD$4:$BN$12824,11,0)*BE1509</f>
        <v>25794.068327302473</v>
      </c>
      <c r="BX1509" s="1146">
        <f t="shared" si="286"/>
        <v>71785.437153285937</v>
      </c>
      <c r="BY1509" s="867">
        <f t="shared" si="289"/>
        <v>1633952.6985766431</v>
      </c>
      <c r="BZ1509" s="867">
        <f t="shared" si="287"/>
        <v>3267905.3971532863</v>
      </c>
      <c r="CA1509" s="867">
        <f>_xlfn.MAXIFS($BY$4:$BY$12824,$S$4:$S$12824,$S1509)</f>
        <v>1633952.6985766431</v>
      </c>
      <c r="CB1509" s="1032"/>
      <c r="CF1509" s="946">
        <f t="shared" si="288"/>
        <v>3196119.9600000004</v>
      </c>
    </row>
    <row r="1510" spans="2:84">
      <c r="B1510" s="839" t="s">
        <v>98</v>
      </c>
      <c r="C1510" s="839" t="s">
        <v>131</v>
      </c>
      <c r="D1510" s="839" t="s">
        <v>4950</v>
      </c>
      <c r="E1510" s="839" t="s">
        <v>4994</v>
      </c>
      <c r="F1510" s="841">
        <v>45883</v>
      </c>
      <c r="G1510" s="868" t="s">
        <v>133</v>
      </c>
      <c r="H1510" s="842" t="s">
        <v>134</v>
      </c>
      <c r="I1510" s="883"/>
      <c r="J1510" s="841"/>
      <c r="K1510" s="841"/>
      <c r="L1510" s="843" t="s">
        <v>106</v>
      </c>
      <c r="M1510" s="844" t="s">
        <v>417</v>
      </c>
      <c r="N1510" s="841">
        <v>45884</v>
      </c>
      <c r="O1510" s="884" t="s">
        <v>108</v>
      </c>
      <c r="P1510" s="842" t="s">
        <v>4990</v>
      </c>
      <c r="Q1510" s="843"/>
      <c r="R1510" s="845" t="s">
        <v>5149</v>
      </c>
      <c r="S1510" s="1127" t="s">
        <v>5150</v>
      </c>
      <c r="T1510" s="885" t="s">
        <v>5151</v>
      </c>
      <c r="U1510" s="886">
        <v>2</v>
      </c>
      <c r="V1510" s="842" t="s">
        <v>8</v>
      </c>
      <c r="W1510" s="846">
        <v>107</v>
      </c>
      <c r="X1510" s="847">
        <v>214</v>
      </c>
      <c r="Y1510" s="853">
        <v>0.43</v>
      </c>
      <c r="Z1510" s="849">
        <v>60.990000000000009</v>
      </c>
      <c r="AA1510" s="849"/>
      <c r="AB1510" s="849">
        <f t="shared" si="282"/>
        <v>121.98000000000002</v>
      </c>
      <c r="AC1510" s="850">
        <f t="shared" si="283"/>
        <v>121.98000000000002</v>
      </c>
      <c r="AD1510" s="851">
        <f t="shared" si="281"/>
        <v>27000</v>
      </c>
      <c r="AE1510" s="852">
        <v>26202</v>
      </c>
      <c r="AF1510" s="853">
        <v>0</v>
      </c>
      <c r="AG1510" s="854">
        <f t="shared" si="284"/>
        <v>0</v>
      </c>
      <c r="AH1510" s="853">
        <v>0.08</v>
      </c>
      <c r="AI1510" s="855">
        <f t="shared" si="285"/>
        <v>255689.59680000003</v>
      </c>
      <c r="AJ1510" s="845" t="s">
        <v>4950</v>
      </c>
      <c r="AK1510" s="864">
        <v>45901</v>
      </c>
      <c r="AL1510" s="843" t="s">
        <v>4957</v>
      </c>
      <c r="AM1510" s="843" t="s">
        <v>4958</v>
      </c>
      <c r="AN1510" s="844" t="s">
        <v>4959</v>
      </c>
      <c r="AO1510" s="844" t="s">
        <v>141</v>
      </c>
      <c r="AP1510" s="841"/>
      <c r="AQ1510" s="841">
        <v>45914</v>
      </c>
      <c r="AR1510" s="841">
        <v>45921</v>
      </c>
      <c r="AS1510" s="842" t="s">
        <v>1874</v>
      </c>
      <c r="AT1510" s="842" t="s">
        <v>1235</v>
      </c>
      <c r="AU1510" s="842"/>
      <c r="AV1510" s="845" t="s">
        <v>4960</v>
      </c>
      <c r="AW1510" s="861">
        <v>45920</v>
      </c>
      <c r="AX1510" s="862">
        <v>45929</v>
      </c>
      <c r="AY1510" s="843" t="s">
        <v>5145</v>
      </c>
      <c r="AZ1510" s="842" t="s">
        <v>4798</v>
      </c>
      <c r="BA1510" s="842" t="s">
        <v>120</v>
      </c>
      <c r="BB1510" s="863" t="s">
        <v>121</v>
      </c>
      <c r="BC1510" s="864">
        <v>45930</v>
      </c>
      <c r="BD1510" s="860" t="s">
        <v>4962</v>
      </c>
      <c r="BE1510" s="865" cm="1">
        <f t="array" ref="BE1510">IF(BD1510="","",AC1510/SUMPRODUCT(--(BD1510=$BD$4:$BD$12824),$AC$4:$AC$12824))</f>
        <v>4.9401655955819603E-3</v>
      </c>
      <c r="BF1510" s="458"/>
      <c r="BG1510" s="458"/>
      <c r="BH1510" s="458"/>
      <c r="BI1510" s="458"/>
      <c r="BJ1510" s="458"/>
      <c r="BK1510" s="458"/>
      <c r="BL1510" s="458"/>
      <c r="BM1510" s="458"/>
      <c r="BN1510" s="458"/>
      <c r="BO1510" s="866">
        <f>VLOOKUP(BD1510,$BD$4:$BN$12824,3,0)*BE1510</f>
        <v>0</v>
      </c>
      <c r="BP1510" s="866"/>
      <c r="BQ1510" s="866"/>
      <c r="BR1510" s="866">
        <f>VLOOKUP(BD1510,$BD$4:$BN$12824,6,0)*BE1510</f>
        <v>41714.209381805667</v>
      </c>
      <c r="BS1510" s="866">
        <f>VLOOKUP(BD1510,$BD$4:$BN$12824,7,0)*BE1510</f>
        <v>2943.3147333706729</v>
      </c>
      <c r="BT1510" s="866"/>
      <c r="BU1510" s="866">
        <f>VLOOKUP(BD1510,$BD$4:$BN$12824,9,0)*BE1510</f>
        <v>1333.8447108071293</v>
      </c>
      <c r="BV1510" s="867"/>
      <c r="BW1510" s="867">
        <f>VLOOKUP(BD1510,$BD$4:$BN$12824,11,0)*BE1510</f>
        <v>25794.068327302473</v>
      </c>
      <c r="BX1510" s="1146">
        <f t="shared" si="286"/>
        <v>71785.437153285937</v>
      </c>
      <c r="BY1510" s="867">
        <f t="shared" si="289"/>
        <v>1633952.6985766431</v>
      </c>
      <c r="BZ1510" s="867">
        <f t="shared" si="287"/>
        <v>3267905.3971532863</v>
      </c>
      <c r="CA1510" s="867">
        <f>_xlfn.MAXIFS($BY$4:$BY$12824,$S$4:$S$12824,$S1510)</f>
        <v>1633952.6985766431</v>
      </c>
      <c r="CB1510" s="1032"/>
      <c r="CF1510" s="946">
        <f t="shared" si="288"/>
        <v>3196119.9600000004</v>
      </c>
    </row>
    <row r="1511" spans="2:84">
      <c r="B1511" s="839" t="s">
        <v>98</v>
      </c>
      <c r="C1511" s="839" t="s">
        <v>131</v>
      </c>
      <c r="D1511" s="839" t="s">
        <v>4950</v>
      </c>
      <c r="E1511" s="839" t="s">
        <v>4994</v>
      </c>
      <c r="F1511" s="841">
        <v>45883</v>
      </c>
      <c r="G1511" s="868" t="s">
        <v>133</v>
      </c>
      <c r="H1511" s="842" t="s">
        <v>134</v>
      </c>
      <c r="I1511" s="883"/>
      <c r="J1511" s="841"/>
      <c r="K1511" s="841"/>
      <c r="L1511" s="843" t="s">
        <v>106</v>
      </c>
      <c r="M1511" s="844" t="s">
        <v>417</v>
      </c>
      <c r="N1511" s="841">
        <v>45884</v>
      </c>
      <c r="O1511" s="884" t="s">
        <v>108</v>
      </c>
      <c r="P1511" s="842" t="s">
        <v>4990</v>
      </c>
      <c r="Q1511" s="843"/>
      <c r="R1511" s="845" t="s">
        <v>5152</v>
      </c>
      <c r="S1511" s="1127" t="s">
        <v>5153</v>
      </c>
      <c r="T1511" s="885" t="s">
        <v>5154</v>
      </c>
      <c r="U1511" s="886">
        <v>2</v>
      </c>
      <c r="V1511" s="842" t="s">
        <v>8</v>
      </c>
      <c r="W1511" s="846">
        <v>107</v>
      </c>
      <c r="X1511" s="847">
        <v>214</v>
      </c>
      <c r="Y1511" s="853">
        <v>0.43</v>
      </c>
      <c r="Z1511" s="849">
        <v>60.990000000000009</v>
      </c>
      <c r="AA1511" s="849"/>
      <c r="AB1511" s="849">
        <f t="shared" si="282"/>
        <v>121.98000000000002</v>
      </c>
      <c r="AC1511" s="850">
        <f t="shared" si="283"/>
        <v>121.98000000000002</v>
      </c>
      <c r="AD1511" s="851">
        <f t="shared" si="281"/>
        <v>27000</v>
      </c>
      <c r="AE1511" s="852">
        <v>26202</v>
      </c>
      <c r="AF1511" s="853">
        <v>0</v>
      </c>
      <c r="AG1511" s="854">
        <f t="shared" si="284"/>
        <v>0</v>
      </c>
      <c r="AH1511" s="853">
        <v>0.08</v>
      </c>
      <c r="AI1511" s="855">
        <f t="shared" si="285"/>
        <v>255689.59680000003</v>
      </c>
      <c r="AJ1511" s="845" t="s">
        <v>4950</v>
      </c>
      <c r="AK1511" s="864">
        <v>45901</v>
      </c>
      <c r="AL1511" s="843" t="s">
        <v>4957</v>
      </c>
      <c r="AM1511" s="843" t="s">
        <v>4958</v>
      </c>
      <c r="AN1511" s="844" t="s">
        <v>4959</v>
      </c>
      <c r="AO1511" s="844" t="s">
        <v>141</v>
      </c>
      <c r="AP1511" s="841"/>
      <c r="AQ1511" s="841">
        <v>45914</v>
      </c>
      <c r="AR1511" s="841">
        <v>45921</v>
      </c>
      <c r="AS1511" s="842" t="s">
        <v>1874</v>
      </c>
      <c r="AT1511" s="842" t="s">
        <v>1235</v>
      </c>
      <c r="AU1511" s="842"/>
      <c r="AV1511" s="845" t="s">
        <v>4960</v>
      </c>
      <c r="AW1511" s="861">
        <v>45920</v>
      </c>
      <c r="AX1511" s="862">
        <v>45929</v>
      </c>
      <c r="AY1511" s="843" t="s">
        <v>5145</v>
      </c>
      <c r="AZ1511" s="842" t="s">
        <v>4798</v>
      </c>
      <c r="BA1511" s="842" t="s">
        <v>120</v>
      </c>
      <c r="BB1511" s="863" t="s">
        <v>121</v>
      </c>
      <c r="BC1511" s="864">
        <v>45930</v>
      </c>
      <c r="BD1511" s="860" t="s">
        <v>4962</v>
      </c>
      <c r="BE1511" s="865" cm="1">
        <f t="array" ref="BE1511">IF(BD1511="","",AC1511/SUMPRODUCT(--(BD1511=$BD$4:$BD$12824),$AC$4:$AC$12824))</f>
        <v>4.9401655955819603E-3</v>
      </c>
      <c r="BF1511" s="458"/>
      <c r="BG1511" s="458"/>
      <c r="BH1511" s="458"/>
      <c r="BI1511" s="458"/>
      <c r="BJ1511" s="458"/>
      <c r="BK1511" s="458"/>
      <c r="BL1511" s="458"/>
      <c r="BM1511" s="458"/>
      <c r="BN1511" s="458"/>
      <c r="BO1511" s="866">
        <f>VLOOKUP(BD1511,$BD$4:$BN$12824,3,0)*BE1511</f>
        <v>0</v>
      </c>
      <c r="BP1511" s="866"/>
      <c r="BQ1511" s="866"/>
      <c r="BR1511" s="866">
        <f>VLOOKUP(BD1511,$BD$4:$BN$12824,6,0)*BE1511</f>
        <v>41714.209381805667</v>
      </c>
      <c r="BS1511" s="866">
        <f>VLOOKUP(BD1511,$BD$4:$BN$12824,7,0)*BE1511</f>
        <v>2943.3147333706729</v>
      </c>
      <c r="BT1511" s="866"/>
      <c r="BU1511" s="866">
        <f>VLOOKUP(BD1511,$BD$4:$BN$12824,9,0)*BE1511</f>
        <v>1333.8447108071293</v>
      </c>
      <c r="BV1511" s="867"/>
      <c r="BW1511" s="867">
        <f>VLOOKUP(BD1511,$BD$4:$BN$12824,11,0)*BE1511</f>
        <v>25794.068327302473</v>
      </c>
      <c r="BX1511" s="1146">
        <f t="shared" si="286"/>
        <v>71785.437153285937</v>
      </c>
      <c r="BY1511" s="867">
        <f t="shared" si="289"/>
        <v>1633952.6985766431</v>
      </c>
      <c r="BZ1511" s="867">
        <f t="shared" si="287"/>
        <v>3267905.3971532863</v>
      </c>
      <c r="CA1511" s="867">
        <f>_xlfn.MAXIFS($BY$4:$BY$12824,$S$4:$S$12824,$S1511)</f>
        <v>1633952.6985766431</v>
      </c>
      <c r="CB1511" s="1032"/>
      <c r="CF1511" s="946">
        <f t="shared" si="288"/>
        <v>3196119.9600000004</v>
      </c>
    </row>
    <row r="1512" spans="2:84">
      <c r="B1512" s="839" t="s">
        <v>98</v>
      </c>
      <c r="C1512" s="839" t="s">
        <v>131</v>
      </c>
      <c r="D1512" s="839" t="s">
        <v>4950</v>
      </c>
      <c r="E1512" s="839" t="s">
        <v>4994</v>
      </c>
      <c r="F1512" s="841">
        <v>45883</v>
      </c>
      <c r="G1512" s="868" t="s">
        <v>133</v>
      </c>
      <c r="H1512" s="842" t="s">
        <v>134</v>
      </c>
      <c r="I1512" s="883"/>
      <c r="J1512" s="841"/>
      <c r="K1512" s="841"/>
      <c r="L1512" s="843" t="s">
        <v>106</v>
      </c>
      <c r="M1512" s="844" t="s">
        <v>417</v>
      </c>
      <c r="N1512" s="841">
        <v>45884</v>
      </c>
      <c r="O1512" s="884" t="s">
        <v>108</v>
      </c>
      <c r="P1512" s="842" t="s">
        <v>4990</v>
      </c>
      <c r="Q1512" s="843"/>
      <c r="R1512" s="845" t="s">
        <v>3655</v>
      </c>
      <c r="S1512" s="1127" t="s">
        <v>3656</v>
      </c>
      <c r="T1512" s="885" t="s">
        <v>5155</v>
      </c>
      <c r="U1512" s="886">
        <v>2</v>
      </c>
      <c r="V1512" s="842" t="s">
        <v>8</v>
      </c>
      <c r="W1512" s="846">
        <v>107</v>
      </c>
      <c r="X1512" s="847">
        <v>214</v>
      </c>
      <c r="Y1512" s="853">
        <v>0.43</v>
      </c>
      <c r="Z1512" s="849">
        <v>60.990000000000009</v>
      </c>
      <c r="AA1512" s="849"/>
      <c r="AB1512" s="849">
        <f t="shared" si="282"/>
        <v>121.98000000000002</v>
      </c>
      <c r="AC1512" s="850">
        <f t="shared" si="283"/>
        <v>121.98000000000002</v>
      </c>
      <c r="AD1512" s="851">
        <f t="shared" si="281"/>
        <v>27000</v>
      </c>
      <c r="AE1512" s="852">
        <v>26202</v>
      </c>
      <c r="AF1512" s="853">
        <v>0</v>
      </c>
      <c r="AG1512" s="854">
        <f t="shared" si="284"/>
        <v>0</v>
      </c>
      <c r="AH1512" s="853">
        <v>0.08</v>
      </c>
      <c r="AI1512" s="855">
        <f t="shared" si="285"/>
        <v>255689.59680000003</v>
      </c>
      <c r="AJ1512" s="845" t="s">
        <v>4950</v>
      </c>
      <c r="AK1512" s="864">
        <v>45901</v>
      </c>
      <c r="AL1512" s="843" t="s">
        <v>4957</v>
      </c>
      <c r="AM1512" s="843" t="s">
        <v>4958</v>
      </c>
      <c r="AN1512" s="844" t="s">
        <v>4959</v>
      </c>
      <c r="AO1512" s="844" t="s">
        <v>141</v>
      </c>
      <c r="AP1512" s="841"/>
      <c r="AQ1512" s="841">
        <v>45914</v>
      </c>
      <c r="AR1512" s="841">
        <v>45921</v>
      </c>
      <c r="AS1512" s="842" t="s">
        <v>1874</v>
      </c>
      <c r="AT1512" s="842" t="s">
        <v>1235</v>
      </c>
      <c r="AU1512" s="842"/>
      <c r="AV1512" s="845" t="s">
        <v>4960</v>
      </c>
      <c r="AW1512" s="861">
        <v>45920</v>
      </c>
      <c r="AX1512" s="862">
        <v>45929</v>
      </c>
      <c r="AY1512" s="843" t="s">
        <v>5145</v>
      </c>
      <c r="AZ1512" s="842" t="s">
        <v>4798</v>
      </c>
      <c r="BA1512" s="842" t="s">
        <v>120</v>
      </c>
      <c r="BB1512" s="863" t="s">
        <v>121</v>
      </c>
      <c r="BC1512" s="864">
        <v>45930</v>
      </c>
      <c r="BD1512" s="860" t="s">
        <v>4962</v>
      </c>
      <c r="BE1512" s="865" cm="1">
        <f t="array" ref="BE1512">IF(BD1512="","",AC1512/SUMPRODUCT(--(BD1512=$BD$4:$BD$12824),$AC$4:$AC$12824))</f>
        <v>4.9401655955819603E-3</v>
      </c>
      <c r="BF1512" s="458"/>
      <c r="BG1512" s="458"/>
      <c r="BH1512" s="458"/>
      <c r="BI1512" s="458"/>
      <c r="BJ1512" s="458"/>
      <c r="BK1512" s="458"/>
      <c r="BL1512" s="458"/>
      <c r="BM1512" s="458"/>
      <c r="BN1512" s="458"/>
      <c r="BO1512" s="866">
        <f>VLOOKUP(BD1512,$BD$4:$BN$12824,3,0)*BE1512</f>
        <v>0</v>
      </c>
      <c r="BP1512" s="866"/>
      <c r="BQ1512" s="866"/>
      <c r="BR1512" s="866">
        <f>VLOOKUP(BD1512,$BD$4:$BN$12824,6,0)*BE1512</f>
        <v>41714.209381805667</v>
      </c>
      <c r="BS1512" s="866">
        <f>VLOOKUP(BD1512,$BD$4:$BN$12824,7,0)*BE1512</f>
        <v>2943.3147333706729</v>
      </c>
      <c r="BT1512" s="866"/>
      <c r="BU1512" s="866">
        <f>VLOOKUP(BD1512,$BD$4:$BN$12824,9,0)*BE1512</f>
        <v>1333.8447108071293</v>
      </c>
      <c r="BV1512" s="867"/>
      <c r="BW1512" s="867">
        <f>VLOOKUP(BD1512,$BD$4:$BN$12824,11,0)*BE1512</f>
        <v>25794.068327302473</v>
      </c>
      <c r="BX1512" s="1146">
        <f t="shared" si="286"/>
        <v>71785.437153285937</v>
      </c>
      <c r="BY1512" s="867">
        <f t="shared" si="289"/>
        <v>1633952.6985766431</v>
      </c>
      <c r="BZ1512" s="867">
        <f t="shared" si="287"/>
        <v>3267905.3971532863</v>
      </c>
      <c r="CA1512" s="867">
        <f>_xlfn.MAXIFS($BY$4:$BY$12824,$S$4:$S$12824,$S1512)</f>
        <v>1633952.6985766431</v>
      </c>
      <c r="CB1512" s="1032"/>
      <c r="CF1512" s="946">
        <f t="shared" si="288"/>
        <v>3196119.9600000004</v>
      </c>
    </row>
    <row r="1513" spans="2:84">
      <c r="B1513" s="839" t="s">
        <v>98</v>
      </c>
      <c r="C1513" s="839" t="s">
        <v>131</v>
      </c>
      <c r="D1513" s="839" t="s">
        <v>4950</v>
      </c>
      <c r="E1513" s="839" t="s">
        <v>4994</v>
      </c>
      <c r="F1513" s="841">
        <v>45883</v>
      </c>
      <c r="G1513" s="868" t="s">
        <v>133</v>
      </c>
      <c r="H1513" s="842" t="s">
        <v>134</v>
      </c>
      <c r="I1513" s="883"/>
      <c r="J1513" s="841"/>
      <c r="K1513" s="841"/>
      <c r="L1513" s="843" t="s">
        <v>106</v>
      </c>
      <c r="M1513" s="844" t="s">
        <v>417</v>
      </c>
      <c r="N1513" s="841">
        <v>45884</v>
      </c>
      <c r="O1513" s="884" t="s">
        <v>108</v>
      </c>
      <c r="P1513" s="842" t="s">
        <v>4990</v>
      </c>
      <c r="Q1513" s="843"/>
      <c r="R1513" s="845" t="s">
        <v>5156</v>
      </c>
      <c r="S1513" s="1127" t="s">
        <v>5157</v>
      </c>
      <c r="T1513" s="885" t="s">
        <v>5158</v>
      </c>
      <c r="U1513" s="886">
        <v>2</v>
      </c>
      <c r="V1513" s="842" t="s">
        <v>8</v>
      </c>
      <c r="W1513" s="846">
        <v>107</v>
      </c>
      <c r="X1513" s="847">
        <v>214</v>
      </c>
      <c r="Y1513" s="853">
        <v>0.43</v>
      </c>
      <c r="Z1513" s="849">
        <v>60.990000000000009</v>
      </c>
      <c r="AA1513" s="849"/>
      <c r="AB1513" s="849">
        <f t="shared" si="282"/>
        <v>121.98000000000002</v>
      </c>
      <c r="AC1513" s="850">
        <f t="shared" si="283"/>
        <v>121.98000000000002</v>
      </c>
      <c r="AD1513" s="851">
        <f t="shared" si="281"/>
        <v>27000</v>
      </c>
      <c r="AE1513" s="852">
        <v>26202</v>
      </c>
      <c r="AF1513" s="853">
        <v>0</v>
      </c>
      <c r="AG1513" s="854">
        <f t="shared" si="284"/>
        <v>0</v>
      </c>
      <c r="AH1513" s="853">
        <v>0.08</v>
      </c>
      <c r="AI1513" s="855">
        <f t="shared" si="285"/>
        <v>255689.59680000003</v>
      </c>
      <c r="AJ1513" s="845" t="s">
        <v>4950</v>
      </c>
      <c r="AK1513" s="864">
        <v>45901</v>
      </c>
      <c r="AL1513" s="843" t="s">
        <v>4957</v>
      </c>
      <c r="AM1513" s="843" t="s">
        <v>4958</v>
      </c>
      <c r="AN1513" s="844" t="s">
        <v>4959</v>
      </c>
      <c r="AO1513" s="844" t="s">
        <v>141</v>
      </c>
      <c r="AP1513" s="841"/>
      <c r="AQ1513" s="841">
        <v>45914</v>
      </c>
      <c r="AR1513" s="841">
        <v>45921</v>
      </c>
      <c r="AS1513" s="842" t="s">
        <v>1874</v>
      </c>
      <c r="AT1513" s="842" t="s">
        <v>1235</v>
      </c>
      <c r="AU1513" s="842"/>
      <c r="AV1513" s="845" t="s">
        <v>4960</v>
      </c>
      <c r="AW1513" s="861">
        <v>45920</v>
      </c>
      <c r="AX1513" s="862">
        <v>45929</v>
      </c>
      <c r="AY1513" s="843" t="s">
        <v>5145</v>
      </c>
      <c r="AZ1513" s="842" t="s">
        <v>4798</v>
      </c>
      <c r="BA1513" s="842" t="s">
        <v>120</v>
      </c>
      <c r="BB1513" s="863" t="s">
        <v>121</v>
      </c>
      <c r="BC1513" s="864">
        <v>45930</v>
      </c>
      <c r="BD1513" s="860" t="s">
        <v>4962</v>
      </c>
      <c r="BE1513" s="865" cm="1">
        <f t="array" ref="BE1513">IF(BD1513="","",AC1513/SUMPRODUCT(--(BD1513=$BD$4:$BD$12824),$AC$4:$AC$12824))</f>
        <v>4.9401655955819603E-3</v>
      </c>
      <c r="BF1513" s="458"/>
      <c r="BG1513" s="458"/>
      <c r="BH1513" s="458"/>
      <c r="BI1513" s="458"/>
      <c r="BJ1513" s="458"/>
      <c r="BK1513" s="458"/>
      <c r="BL1513" s="458"/>
      <c r="BM1513" s="458"/>
      <c r="BN1513" s="458"/>
      <c r="BO1513" s="866">
        <f>VLOOKUP(BD1513,$BD$4:$BN$12824,3,0)*BE1513</f>
        <v>0</v>
      </c>
      <c r="BP1513" s="866"/>
      <c r="BQ1513" s="866"/>
      <c r="BR1513" s="866">
        <f>VLOOKUP(BD1513,$BD$4:$BN$12824,6,0)*BE1513</f>
        <v>41714.209381805667</v>
      </c>
      <c r="BS1513" s="866">
        <f>VLOOKUP(BD1513,$BD$4:$BN$12824,7,0)*BE1513</f>
        <v>2943.3147333706729</v>
      </c>
      <c r="BT1513" s="866"/>
      <c r="BU1513" s="866">
        <f>VLOOKUP(BD1513,$BD$4:$BN$12824,9,0)*BE1513</f>
        <v>1333.8447108071293</v>
      </c>
      <c r="BV1513" s="867"/>
      <c r="BW1513" s="867">
        <f>VLOOKUP(BD1513,$BD$4:$BN$12824,11,0)*BE1513</f>
        <v>25794.068327302473</v>
      </c>
      <c r="BX1513" s="1146">
        <f t="shared" si="286"/>
        <v>71785.437153285937</v>
      </c>
      <c r="BY1513" s="867">
        <f t="shared" si="289"/>
        <v>1633952.6985766431</v>
      </c>
      <c r="BZ1513" s="867">
        <f t="shared" si="287"/>
        <v>3267905.3971532863</v>
      </c>
      <c r="CA1513" s="867">
        <f>_xlfn.MAXIFS($BY$4:$BY$12824,$S$4:$S$12824,$S1513)</f>
        <v>1633952.6985766431</v>
      </c>
      <c r="CB1513" s="1032"/>
      <c r="CF1513" s="946">
        <f t="shared" si="288"/>
        <v>3196119.9600000004</v>
      </c>
    </row>
    <row r="1514" spans="2:84">
      <c r="B1514" s="839" t="s">
        <v>98</v>
      </c>
      <c r="C1514" s="839" t="s">
        <v>131</v>
      </c>
      <c r="D1514" s="839" t="s">
        <v>4950</v>
      </c>
      <c r="E1514" s="839" t="s">
        <v>4994</v>
      </c>
      <c r="F1514" s="841">
        <v>45883</v>
      </c>
      <c r="G1514" s="868" t="s">
        <v>133</v>
      </c>
      <c r="H1514" s="842" t="s">
        <v>134</v>
      </c>
      <c r="I1514" s="883"/>
      <c r="J1514" s="841"/>
      <c r="K1514" s="841"/>
      <c r="L1514" s="843" t="s">
        <v>106</v>
      </c>
      <c r="M1514" s="844" t="s">
        <v>417</v>
      </c>
      <c r="N1514" s="841">
        <v>45884</v>
      </c>
      <c r="O1514" s="884" t="s">
        <v>108</v>
      </c>
      <c r="P1514" s="842" t="s">
        <v>4990</v>
      </c>
      <c r="Q1514" s="843"/>
      <c r="R1514" s="845" t="s">
        <v>5159</v>
      </c>
      <c r="S1514" s="1127" t="s">
        <v>5160</v>
      </c>
      <c r="T1514" s="885" t="s">
        <v>5161</v>
      </c>
      <c r="U1514" s="886">
        <v>2</v>
      </c>
      <c r="V1514" s="842" t="s">
        <v>8</v>
      </c>
      <c r="W1514" s="846">
        <v>107</v>
      </c>
      <c r="X1514" s="847">
        <v>214</v>
      </c>
      <c r="Y1514" s="853">
        <v>0.43</v>
      </c>
      <c r="Z1514" s="849">
        <v>60.990000000000009</v>
      </c>
      <c r="AA1514" s="849"/>
      <c r="AB1514" s="849">
        <f t="shared" si="282"/>
        <v>121.98000000000002</v>
      </c>
      <c r="AC1514" s="850">
        <f t="shared" si="283"/>
        <v>121.98000000000002</v>
      </c>
      <c r="AD1514" s="851">
        <f t="shared" si="281"/>
        <v>27000</v>
      </c>
      <c r="AE1514" s="852">
        <v>26202</v>
      </c>
      <c r="AF1514" s="853">
        <v>0</v>
      </c>
      <c r="AG1514" s="854">
        <f t="shared" si="284"/>
        <v>0</v>
      </c>
      <c r="AH1514" s="853">
        <v>0.08</v>
      </c>
      <c r="AI1514" s="855">
        <f t="shared" si="285"/>
        <v>255689.59680000003</v>
      </c>
      <c r="AJ1514" s="845" t="s">
        <v>4950</v>
      </c>
      <c r="AK1514" s="864">
        <v>45901</v>
      </c>
      <c r="AL1514" s="843" t="s">
        <v>4957</v>
      </c>
      <c r="AM1514" s="843" t="s">
        <v>4958</v>
      </c>
      <c r="AN1514" s="844" t="s">
        <v>4959</v>
      </c>
      <c r="AO1514" s="844" t="s">
        <v>141</v>
      </c>
      <c r="AP1514" s="841"/>
      <c r="AQ1514" s="841">
        <v>45914</v>
      </c>
      <c r="AR1514" s="841">
        <v>45921</v>
      </c>
      <c r="AS1514" s="842" t="s">
        <v>1874</v>
      </c>
      <c r="AT1514" s="842" t="s">
        <v>1235</v>
      </c>
      <c r="AU1514" s="842"/>
      <c r="AV1514" s="845" t="s">
        <v>4960</v>
      </c>
      <c r="AW1514" s="861">
        <v>45920</v>
      </c>
      <c r="AX1514" s="862">
        <v>45929</v>
      </c>
      <c r="AY1514" s="843" t="s">
        <v>5145</v>
      </c>
      <c r="AZ1514" s="842" t="s">
        <v>4798</v>
      </c>
      <c r="BA1514" s="842" t="s">
        <v>120</v>
      </c>
      <c r="BB1514" s="863" t="s">
        <v>121</v>
      </c>
      <c r="BC1514" s="864">
        <v>45930</v>
      </c>
      <c r="BD1514" s="860" t="s">
        <v>4962</v>
      </c>
      <c r="BE1514" s="865" cm="1">
        <f t="array" ref="BE1514">IF(BD1514="","",AC1514/SUMPRODUCT(--(BD1514=$BD$4:$BD$12824),$AC$4:$AC$12824))</f>
        <v>4.9401655955819603E-3</v>
      </c>
      <c r="BF1514" s="458"/>
      <c r="BG1514" s="458"/>
      <c r="BH1514" s="458"/>
      <c r="BI1514" s="458"/>
      <c r="BJ1514" s="458"/>
      <c r="BK1514" s="458"/>
      <c r="BL1514" s="458"/>
      <c r="BM1514" s="458"/>
      <c r="BN1514" s="458"/>
      <c r="BO1514" s="866">
        <f>VLOOKUP(BD1514,$BD$4:$BN$12824,3,0)*BE1514</f>
        <v>0</v>
      </c>
      <c r="BP1514" s="866"/>
      <c r="BQ1514" s="866"/>
      <c r="BR1514" s="866">
        <f>VLOOKUP(BD1514,$BD$4:$BN$12824,6,0)*BE1514</f>
        <v>41714.209381805667</v>
      </c>
      <c r="BS1514" s="866">
        <f>VLOOKUP(BD1514,$BD$4:$BN$12824,7,0)*BE1514</f>
        <v>2943.3147333706729</v>
      </c>
      <c r="BT1514" s="866"/>
      <c r="BU1514" s="866">
        <f>VLOOKUP(BD1514,$BD$4:$BN$12824,9,0)*BE1514</f>
        <v>1333.8447108071293</v>
      </c>
      <c r="BV1514" s="867"/>
      <c r="BW1514" s="867">
        <f>VLOOKUP(BD1514,$BD$4:$BN$12824,11,0)*BE1514</f>
        <v>25794.068327302473</v>
      </c>
      <c r="BX1514" s="1146">
        <f t="shared" si="286"/>
        <v>71785.437153285937</v>
      </c>
      <c r="BY1514" s="867">
        <f t="shared" si="289"/>
        <v>1633952.6985766431</v>
      </c>
      <c r="BZ1514" s="867">
        <f t="shared" si="287"/>
        <v>3267905.3971532863</v>
      </c>
      <c r="CA1514" s="867">
        <f>_xlfn.MAXIFS($BY$4:$BY$12824,$S$4:$S$12824,$S1514)</f>
        <v>1633952.6985766431</v>
      </c>
      <c r="CB1514" s="1032"/>
      <c r="CF1514" s="946">
        <f t="shared" si="288"/>
        <v>3196119.9600000004</v>
      </c>
    </row>
    <row r="1515" spans="2:84">
      <c r="B1515" s="839" t="s">
        <v>98</v>
      </c>
      <c r="C1515" s="839" t="s">
        <v>131</v>
      </c>
      <c r="D1515" s="839" t="s">
        <v>4950</v>
      </c>
      <c r="E1515" s="839" t="s">
        <v>4994</v>
      </c>
      <c r="F1515" s="841">
        <v>45883</v>
      </c>
      <c r="G1515" s="868" t="s">
        <v>133</v>
      </c>
      <c r="H1515" s="842" t="s">
        <v>134</v>
      </c>
      <c r="I1515" s="883"/>
      <c r="J1515" s="841"/>
      <c r="K1515" s="841"/>
      <c r="L1515" s="843" t="s">
        <v>106</v>
      </c>
      <c r="M1515" s="844" t="s">
        <v>417</v>
      </c>
      <c r="N1515" s="841">
        <v>45884</v>
      </c>
      <c r="O1515" s="884" t="s">
        <v>108</v>
      </c>
      <c r="P1515" s="842" t="s">
        <v>4990</v>
      </c>
      <c r="Q1515" s="843"/>
      <c r="R1515" s="845" t="s">
        <v>5162</v>
      </c>
      <c r="S1515" s="1127" t="s">
        <v>5163</v>
      </c>
      <c r="T1515" s="885" t="s">
        <v>5164</v>
      </c>
      <c r="U1515" s="886">
        <v>2</v>
      </c>
      <c r="V1515" s="842" t="s">
        <v>8</v>
      </c>
      <c r="W1515" s="846">
        <v>107</v>
      </c>
      <c r="X1515" s="847">
        <v>214</v>
      </c>
      <c r="Y1515" s="853">
        <v>0.43</v>
      </c>
      <c r="Z1515" s="849">
        <v>60.990000000000009</v>
      </c>
      <c r="AA1515" s="849"/>
      <c r="AB1515" s="849">
        <f t="shared" si="282"/>
        <v>121.98000000000002</v>
      </c>
      <c r="AC1515" s="850">
        <f t="shared" si="283"/>
        <v>121.98000000000002</v>
      </c>
      <c r="AD1515" s="851">
        <f t="shared" si="281"/>
        <v>27000</v>
      </c>
      <c r="AE1515" s="852">
        <v>26202</v>
      </c>
      <c r="AF1515" s="853">
        <v>0</v>
      </c>
      <c r="AG1515" s="854">
        <f t="shared" si="284"/>
        <v>0</v>
      </c>
      <c r="AH1515" s="853">
        <v>0.08</v>
      </c>
      <c r="AI1515" s="855">
        <f t="shared" si="285"/>
        <v>255689.59680000003</v>
      </c>
      <c r="AJ1515" s="845" t="s">
        <v>4950</v>
      </c>
      <c r="AK1515" s="864">
        <v>45901</v>
      </c>
      <c r="AL1515" s="843" t="s">
        <v>4957</v>
      </c>
      <c r="AM1515" s="843" t="s">
        <v>4958</v>
      </c>
      <c r="AN1515" s="844" t="s">
        <v>4959</v>
      </c>
      <c r="AO1515" s="844" t="s">
        <v>141</v>
      </c>
      <c r="AP1515" s="841"/>
      <c r="AQ1515" s="841">
        <v>45914</v>
      </c>
      <c r="AR1515" s="841">
        <v>45921</v>
      </c>
      <c r="AS1515" s="842" t="s">
        <v>1874</v>
      </c>
      <c r="AT1515" s="842" t="s">
        <v>1235</v>
      </c>
      <c r="AU1515" s="842"/>
      <c r="AV1515" s="845" t="s">
        <v>4960</v>
      </c>
      <c r="AW1515" s="861">
        <v>45920</v>
      </c>
      <c r="AX1515" s="862">
        <v>45929</v>
      </c>
      <c r="AY1515" s="843" t="s">
        <v>5145</v>
      </c>
      <c r="AZ1515" s="842" t="s">
        <v>4798</v>
      </c>
      <c r="BA1515" s="842" t="s">
        <v>120</v>
      </c>
      <c r="BB1515" s="863" t="s">
        <v>121</v>
      </c>
      <c r="BC1515" s="864">
        <v>45930</v>
      </c>
      <c r="BD1515" s="860" t="s">
        <v>4962</v>
      </c>
      <c r="BE1515" s="865" cm="1">
        <f t="array" ref="BE1515">IF(BD1515="","",AC1515/SUMPRODUCT(--(BD1515=$BD$4:$BD$12824),$AC$4:$AC$12824))</f>
        <v>4.9401655955819603E-3</v>
      </c>
      <c r="BF1515" s="458"/>
      <c r="BG1515" s="458"/>
      <c r="BH1515" s="458"/>
      <c r="BI1515" s="458"/>
      <c r="BJ1515" s="458"/>
      <c r="BK1515" s="458"/>
      <c r="BL1515" s="458"/>
      <c r="BM1515" s="458"/>
      <c r="BN1515" s="458"/>
      <c r="BO1515" s="866">
        <f>VLOOKUP(BD1515,$BD$4:$BN$12824,3,0)*BE1515</f>
        <v>0</v>
      </c>
      <c r="BP1515" s="866"/>
      <c r="BQ1515" s="866"/>
      <c r="BR1515" s="866">
        <f>VLOOKUP(BD1515,$BD$4:$BN$12824,6,0)*BE1515</f>
        <v>41714.209381805667</v>
      </c>
      <c r="BS1515" s="866">
        <f>VLOOKUP(BD1515,$BD$4:$BN$12824,7,0)*BE1515</f>
        <v>2943.3147333706729</v>
      </c>
      <c r="BT1515" s="866"/>
      <c r="BU1515" s="866">
        <f>VLOOKUP(BD1515,$BD$4:$BN$12824,9,0)*BE1515</f>
        <v>1333.8447108071293</v>
      </c>
      <c r="BV1515" s="867"/>
      <c r="BW1515" s="867">
        <f>VLOOKUP(BD1515,$BD$4:$BN$12824,11,0)*BE1515</f>
        <v>25794.068327302473</v>
      </c>
      <c r="BX1515" s="1146">
        <f t="shared" si="286"/>
        <v>71785.437153285937</v>
      </c>
      <c r="BY1515" s="867">
        <f t="shared" si="289"/>
        <v>1633952.6985766431</v>
      </c>
      <c r="BZ1515" s="867">
        <f t="shared" si="287"/>
        <v>3267905.3971532863</v>
      </c>
      <c r="CA1515" s="867">
        <f>_xlfn.MAXIFS($BY$4:$BY$12824,$S$4:$S$12824,$S1515)</f>
        <v>1633952.6985766431</v>
      </c>
      <c r="CB1515" s="1032"/>
      <c r="CF1515" s="946">
        <f t="shared" si="288"/>
        <v>3196119.9600000004</v>
      </c>
    </row>
    <row r="1516" spans="2:84">
      <c r="B1516" s="839" t="s">
        <v>98</v>
      </c>
      <c r="C1516" s="839" t="s">
        <v>131</v>
      </c>
      <c r="D1516" s="839" t="s">
        <v>4950</v>
      </c>
      <c r="E1516" s="839" t="s">
        <v>4994</v>
      </c>
      <c r="F1516" s="841">
        <v>45883</v>
      </c>
      <c r="G1516" s="868" t="s">
        <v>133</v>
      </c>
      <c r="H1516" s="842" t="s">
        <v>134</v>
      </c>
      <c r="I1516" s="883"/>
      <c r="J1516" s="841"/>
      <c r="K1516" s="841"/>
      <c r="L1516" s="843" t="s">
        <v>106</v>
      </c>
      <c r="M1516" s="844" t="s">
        <v>417</v>
      </c>
      <c r="N1516" s="841">
        <v>45884</v>
      </c>
      <c r="O1516" s="884" t="s">
        <v>108</v>
      </c>
      <c r="P1516" s="842" t="s">
        <v>4990</v>
      </c>
      <c r="Q1516" s="843"/>
      <c r="R1516" s="845" t="s">
        <v>5165</v>
      </c>
      <c r="S1516" s="1127" t="s">
        <v>5166</v>
      </c>
      <c r="T1516" s="885" t="s">
        <v>5167</v>
      </c>
      <c r="U1516" s="886">
        <v>2</v>
      </c>
      <c r="V1516" s="842" t="s">
        <v>8</v>
      </c>
      <c r="W1516" s="846">
        <v>107</v>
      </c>
      <c r="X1516" s="847">
        <v>214</v>
      </c>
      <c r="Y1516" s="853">
        <v>0.43</v>
      </c>
      <c r="Z1516" s="849">
        <v>60.990000000000009</v>
      </c>
      <c r="AA1516" s="849"/>
      <c r="AB1516" s="849">
        <f t="shared" si="282"/>
        <v>121.98000000000002</v>
      </c>
      <c r="AC1516" s="850">
        <f t="shared" si="283"/>
        <v>121.98000000000002</v>
      </c>
      <c r="AD1516" s="851">
        <f t="shared" si="281"/>
        <v>27000</v>
      </c>
      <c r="AE1516" s="852">
        <v>26202</v>
      </c>
      <c r="AF1516" s="853">
        <v>0</v>
      </c>
      <c r="AG1516" s="854">
        <f t="shared" si="284"/>
        <v>0</v>
      </c>
      <c r="AH1516" s="853">
        <v>0.08</v>
      </c>
      <c r="AI1516" s="855">
        <f t="shared" si="285"/>
        <v>255689.59680000003</v>
      </c>
      <c r="AJ1516" s="845" t="s">
        <v>4950</v>
      </c>
      <c r="AK1516" s="864">
        <v>45901</v>
      </c>
      <c r="AL1516" s="843" t="s">
        <v>4957</v>
      </c>
      <c r="AM1516" s="843" t="s">
        <v>4958</v>
      </c>
      <c r="AN1516" s="844" t="s">
        <v>4959</v>
      </c>
      <c r="AO1516" s="844" t="s">
        <v>141</v>
      </c>
      <c r="AP1516" s="841"/>
      <c r="AQ1516" s="841">
        <v>45914</v>
      </c>
      <c r="AR1516" s="841">
        <v>45921</v>
      </c>
      <c r="AS1516" s="842" t="s">
        <v>1874</v>
      </c>
      <c r="AT1516" s="842" t="s">
        <v>1235</v>
      </c>
      <c r="AU1516" s="842"/>
      <c r="AV1516" s="845" t="s">
        <v>4960</v>
      </c>
      <c r="AW1516" s="861">
        <v>45920</v>
      </c>
      <c r="AX1516" s="862">
        <v>45929</v>
      </c>
      <c r="AY1516" s="843" t="s">
        <v>5145</v>
      </c>
      <c r="AZ1516" s="842" t="s">
        <v>4798</v>
      </c>
      <c r="BA1516" s="842" t="s">
        <v>120</v>
      </c>
      <c r="BB1516" s="863" t="s">
        <v>121</v>
      </c>
      <c r="BC1516" s="864">
        <v>45930</v>
      </c>
      <c r="BD1516" s="860" t="s">
        <v>4962</v>
      </c>
      <c r="BE1516" s="865" cm="1">
        <f t="array" ref="BE1516">IF(BD1516="","",AC1516/SUMPRODUCT(--(BD1516=$BD$4:$BD$12824),$AC$4:$AC$12824))</f>
        <v>4.9401655955819603E-3</v>
      </c>
      <c r="BF1516" s="458"/>
      <c r="BG1516" s="458"/>
      <c r="BH1516" s="458"/>
      <c r="BI1516" s="458"/>
      <c r="BJ1516" s="458"/>
      <c r="BK1516" s="458"/>
      <c r="BL1516" s="458"/>
      <c r="BM1516" s="458"/>
      <c r="BN1516" s="458"/>
      <c r="BO1516" s="866">
        <f>VLOOKUP(BD1516,$BD$4:$BN$12824,3,0)*BE1516</f>
        <v>0</v>
      </c>
      <c r="BP1516" s="866"/>
      <c r="BQ1516" s="866"/>
      <c r="BR1516" s="866">
        <f>VLOOKUP(BD1516,$BD$4:$BN$12824,6,0)*BE1516</f>
        <v>41714.209381805667</v>
      </c>
      <c r="BS1516" s="866">
        <f>VLOOKUP(BD1516,$BD$4:$BN$12824,7,0)*BE1516</f>
        <v>2943.3147333706729</v>
      </c>
      <c r="BT1516" s="866"/>
      <c r="BU1516" s="866">
        <f>VLOOKUP(BD1516,$BD$4:$BN$12824,9,0)*BE1516</f>
        <v>1333.8447108071293</v>
      </c>
      <c r="BV1516" s="867"/>
      <c r="BW1516" s="867">
        <f>VLOOKUP(BD1516,$BD$4:$BN$12824,11,0)*BE1516</f>
        <v>25794.068327302473</v>
      </c>
      <c r="BX1516" s="1146">
        <f t="shared" si="286"/>
        <v>71785.437153285937</v>
      </c>
      <c r="BY1516" s="867">
        <f t="shared" si="289"/>
        <v>1633952.6985766431</v>
      </c>
      <c r="BZ1516" s="867">
        <f t="shared" si="287"/>
        <v>3267905.3971532863</v>
      </c>
      <c r="CA1516" s="867">
        <f>_xlfn.MAXIFS($BY$4:$BY$12824,$S$4:$S$12824,$S1516)</f>
        <v>1633952.6985766431</v>
      </c>
      <c r="CB1516" s="1032"/>
      <c r="CF1516" s="946">
        <f t="shared" si="288"/>
        <v>3196119.9600000004</v>
      </c>
    </row>
    <row r="1517" spans="2:84">
      <c r="B1517" s="839" t="s">
        <v>98</v>
      </c>
      <c r="C1517" s="839" t="s">
        <v>131</v>
      </c>
      <c r="D1517" s="839" t="s">
        <v>4950</v>
      </c>
      <c r="E1517" s="839" t="s">
        <v>4994</v>
      </c>
      <c r="F1517" s="841">
        <v>45883</v>
      </c>
      <c r="G1517" s="868" t="s">
        <v>133</v>
      </c>
      <c r="H1517" s="842" t="s">
        <v>134</v>
      </c>
      <c r="I1517" s="883"/>
      <c r="J1517" s="841"/>
      <c r="K1517" s="841"/>
      <c r="L1517" s="843" t="s">
        <v>106</v>
      </c>
      <c r="M1517" s="844" t="s">
        <v>417</v>
      </c>
      <c r="N1517" s="841">
        <v>45884</v>
      </c>
      <c r="O1517" s="884" t="s">
        <v>150</v>
      </c>
      <c r="P1517" s="842" t="s">
        <v>5168</v>
      </c>
      <c r="Q1517" s="843"/>
      <c r="R1517" s="845" t="s">
        <v>5169</v>
      </c>
      <c r="S1517" s="1127" t="s">
        <v>5170</v>
      </c>
      <c r="T1517" s="885" t="s">
        <v>5171</v>
      </c>
      <c r="U1517" s="886">
        <v>5</v>
      </c>
      <c r="V1517" s="842" t="s">
        <v>8</v>
      </c>
      <c r="W1517" s="846">
        <v>221</v>
      </c>
      <c r="X1517" s="847">
        <v>1105</v>
      </c>
      <c r="Y1517" s="853">
        <v>0.43</v>
      </c>
      <c r="Z1517" s="849">
        <v>125.97000000000001</v>
      </c>
      <c r="AA1517" s="849"/>
      <c r="AB1517" s="849">
        <f t="shared" si="282"/>
        <v>629.85</v>
      </c>
      <c r="AC1517" s="850">
        <f t="shared" si="283"/>
        <v>629.85</v>
      </c>
      <c r="AD1517" s="851">
        <f t="shared" si="281"/>
        <v>27000</v>
      </c>
      <c r="AE1517" s="852">
        <v>26202</v>
      </c>
      <c r="AF1517" s="853">
        <v>0</v>
      </c>
      <c r="AG1517" s="854">
        <f t="shared" si="284"/>
        <v>0</v>
      </c>
      <c r="AH1517" s="853">
        <v>0.08</v>
      </c>
      <c r="AI1517" s="855">
        <f t="shared" si="285"/>
        <v>1320266.3760000002</v>
      </c>
      <c r="AJ1517" s="845" t="s">
        <v>4950</v>
      </c>
      <c r="AK1517" s="864">
        <v>45901</v>
      </c>
      <c r="AL1517" s="843" t="s">
        <v>4957</v>
      </c>
      <c r="AM1517" s="843" t="s">
        <v>4958</v>
      </c>
      <c r="AN1517" s="844" t="s">
        <v>4959</v>
      </c>
      <c r="AO1517" s="844" t="s">
        <v>141</v>
      </c>
      <c r="AP1517" s="841"/>
      <c r="AQ1517" s="841">
        <v>45914</v>
      </c>
      <c r="AR1517" s="841">
        <v>45921</v>
      </c>
      <c r="AS1517" s="842" t="s">
        <v>1874</v>
      </c>
      <c r="AT1517" s="842" t="s">
        <v>1235</v>
      </c>
      <c r="AU1517" s="842"/>
      <c r="AV1517" s="845" t="s">
        <v>4960</v>
      </c>
      <c r="AW1517" s="861">
        <v>45920</v>
      </c>
      <c r="AX1517" s="862">
        <v>45929</v>
      </c>
      <c r="AY1517" s="843" t="s">
        <v>5172</v>
      </c>
      <c r="AZ1517" s="842" t="s">
        <v>5173</v>
      </c>
      <c r="BA1517" s="842" t="s">
        <v>120</v>
      </c>
      <c r="BB1517" s="863" t="s">
        <v>121</v>
      </c>
      <c r="BC1517" s="864">
        <v>45930</v>
      </c>
      <c r="BD1517" s="860" t="s">
        <v>4962</v>
      </c>
      <c r="BE1517" s="865" cm="1">
        <f t="array" ref="BE1517">IF(BD1517="","",AC1517/SUMPRODUCT(--(BD1517=$BD$4:$BD$12824),$AC$4:$AC$12824))</f>
        <v>2.5508798986533014E-2</v>
      </c>
      <c r="BF1517" s="458"/>
      <c r="BG1517" s="458"/>
      <c r="BH1517" s="458"/>
      <c r="BI1517" s="458"/>
      <c r="BJ1517" s="458"/>
      <c r="BK1517" s="458"/>
      <c r="BL1517" s="458"/>
      <c r="BM1517" s="458"/>
      <c r="BN1517" s="458"/>
      <c r="BO1517" s="866">
        <f>VLOOKUP(BD1517,$BD$4:$BN$12824,3,0)*BE1517</f>
        <v>0</v>
      </c>
      <c r="BP1517" s="866"/>
      <c r="BQ1517" s="866"/>
      <c r="BR1517" s="866">
        <f>VLOOKUP(BD1517,$BD$4:$BN$12824,6,0)*BE1517</f>
        <v>215393.46433128626</v>
      </c>
      <c r="BS1517" s="866">
        <f>VLOOKUP(BD1517,$BD$4:$BN$12824,7,0)*BE1517</f>
        <v>15197.956917638283</v>
      </c>
      <c r="BT1517" s="866"/>
      <c r="BU1517" s="866">
        <f>VLOOKUP(BD1517,$BD$4:$BN$12824,9,0)*BE1517</f>
        <v>6887.3757263639136</v>
      </c>
      <c r="BV1517" s="867"/>
      <c r="BW1517" s="867">
        <f>VLOOKUP(BD1517,$BD$4:$BN$12824,11,0)*BE1517</f>
        <v>133188.99767135154</v>
      </c>
      <c r="BX1517" s="1146">
        <f t="shared" si="286"/>
        <v>370667.79464663996</v>
      </c>
      <c r="BY1517" s="867">
        <f t="shared" si="289"/>
        <v>3374799.4989293283</v>
      </c>
      <c r="BZ1517" s="867">
        <f t="shared" si="287"/>
        <v>16873997.494646642</v>
      </c>
      <c r="CA1517" s="867">
        <f>_xlfn.MAXIFS($BY$4:$BY$12824,$S$4:$S$12824,$S1517)</f>
        <v>3374799.4989293283</v>
      </c>
      <c r="CB1517" s="1032"/>
      <c r="CF1517" s="946">
        <f t="shared" si="288"/>
        <v>16503329.700000001</v>
      </c>
    </row>
    <row r="1518" spans="2:84">
      <c r="B1518" s="839" t="s">
        <v>98</v>
      </c>
      <c r="C1518" s="839" t="s">
        <v>131</v>
      </c>
      <c r="D1518" s="839" t="s">
        <v>4950</v>
      </c>
      <c r="E1518" s="839" t="s">
        <v>4994</v>
      </c>
      <c r="F1518" s="841">
        <v>45883</v>
      </c>
      <c r="G1518" s="868" t="s">
        <v>133</v>
      </c>
      <c r="H1518" s="842" t="s">
        <v>134</v>
      </c>
      <c r="I1518" s="883"/>
      <c r="J1518" s="841"/>
      <c r="K1518" s="841"/>
      <c r="L1518" s="843" t="s">
        <v>106</v>
      </c>
      <c r="M1518" s="844" t="s">
        <v>417</v>
      </c>
      <c r="N1518" s="841">
        <v>45884</v>
      </c>
      <c r="O1518" s="884" t="s">
        <v>150</v>
      </c>
      <c r="P1518" s="842" t="s">
        <v>5168</v>
      </c>
      <c r="Q1518" s="843"/>
      <c r="R1518" s="845" t="s">
        <v>5174</v>
      </c>
      <c r="S1518" s="1127" t="s">
        <v>5175</v>
      </c>
      <c r="T1518" s="885" t="s">
        <v>5176</v>
      </c>
      <c r="U1518" s="886">
        <v>5</v>
      </c>
      <c r="V1518" s="842" t="s">
        <v>8</v>
      </c>
      <c r="W1518" s="846">
        <v>221</v>
      </c>
      <c r="X1518" s="847">
        <v>1105</v>
      </c>
      <c r="Y1518" s="853">
        <v>0.43</v>
      </c>
      <c r="Z1518" s="849">
        <v>125.97000000000001</v>
      </c>
      <c r="AA1518" s="849"/>
      <c r="AB1518" s="849">
        <f t="shared" si="282"/>
        <v>629.85</v>
      </c>
      <c r="AC1518" s="850">
        <f t="shared" si="283"/>
        <v>629.85</v>
      </c>
      <c r="AD1518" s="851">
        <f t="shared" si="281"/>
        <v>27000</v>
      </c>
      <c r="AE1518" s="852">
        <v>26202</v>
      </c>
      <c r="AF1518" s="853">
        <v>0</v>
      </c>
      <c r="AG1518" s="854">
        <f t="shared" si="284"/>
        <v>0</v>
      </c>
      <c r="AH1518" s="853">
        <v>0.08</v>
      </c>
      <c r="AI1518" s="855">
        <f t="shared" si="285"/>
        <v>1320266.3760000002</v>
      </c>
      <c r="AJ1518" s="845" t="s">
        <v>4950</v>
      </c>
      <c r="AK1518" s="864">
        <v>45901</v>
      </c>
      <c r="AL1518" s="843" t="s">
        <v>4957</v>
      </c>
      <c r="AM1518" s="843" t="s">
        <v>4958</v>
      </c>
      <c r="AN1518" s="844" t="s">
        <v>4959</v>
      </c>
      <c r="AO1518" s="844" t="s">
        <v>141</v>
      </c>
      <c r="AP1518" s="841"/>
      <c r="AQ1518" s="841">
        <v>45914</v>
      </c>
      <c r="AR1518" s="841">
        <v>45921</v>
      </c>
      <c r="AS1518" s="842" t="s">
        <v>1874</v>
      </c>
      <c r="AT1518" s="842" t="s">
        <v>1235</v>
      </c>
      <c r="AU1518" s="842"/>
      <c r="AV1518" s="845" t="s">
        <v>4960</v>
      </c>
      <c r="AW1518" s="861">
        <v>45920</v>
      </c>
      <c r="AX1518" s="862">
        <v>45929</v>
      </c>
      <c r="AY1518" s="843" t="s">
        <v>5177</v>
      </c>
      <c r="AZ1518" s="842" t="s">
        <v>5173</v>
      </c>
      <c r="BA1518" s="842" t="s">
        <v>120</v>
      </c>
      <c r="BB1518" s="863" t="s">
        <v>121</v>
      </c>
      <c r="BC1518" s="864">
        <v>45930</v>
      </c>
      <c r="BD1518" s="860" t="s">
        <v>4962</v>
      </c>
      <c r="BE1518" s="865" cm="1">
        <f t="array" ref="BE1518">IF(BD1518="","",AC1518/SUMPRODUCT(--(BD1518=$BD$4:$BD$12824),$AC$4:$AC$12824))</f>
        <v>2.5508798986533014E-2</v>
      </c>
      <c r="BF1518" s="458"/>
      <c r="BG1518" s="458"/>
      <c r="BH1518" s="458"/>
      <c r="BI1518" s="458"/>
      <c r="BJ1518" s="458"/>
      <c r="BK1518" s="458"/>
      <c r="BL1518" s="458"/>
      <c r="BM1518" s="458"/>
      <c r="BN1518" s="458"/>
      <c r="BO1518" s="866">
        <f>VLOOKUP(BD1518,$BD$4:$BN$12824,3,0)*BE1518</f>
        <v>0</v>
      </c>
      <c r="BP1518" s="866"/>
      <c r="BQ1518" s="866"/>
      <c r="BR1518" s="866">
        <f>VLOOKUP(BD1518,$BD$4:$BN$12824,6,0)*BE1518</f>
        <v>215393.46433128626</v>
      </c>
      <c r="BS1518" s="866">
        <f>VLOOKUP(BD1518,$BD$4:$BN$12824,7,0)*BE1518</f>
        <v>15197.956917638283</v>
      </c>
      <c r="BT1518" s="866"/>
      <c r="BU1518" s="866">
        <f>VLOOKUP(BD1518,$BD$4:$BN$12824,9,0)*BE1518</f>
        <v>6887.3757263639136</v>
      </c>
      <c r="BV1518" s="867"/>
      <c r="BW1518" s="867">
        <f>VLOOKUP(BD1518,$BD$4:$BN$12824,11,0)*BE1518</f>
        <v>133188.99767135154</v>
      </c>
      <c r="BX1518" s="1146">
        <f t="shared" si="286"/>
        <v>370667.79464663996</v>
      </c>
      <c r="BY1518" s="867">
        <f t="shared" si="289"/>
        <v>3374799.4989293283</v>
      </c>
      <c r="BZ1518" s="867">
        <f t="shared" si="287"/>
        <v>16873997.494646642</v>
      </c>
      <c r="CA1518" s="867">
        <f>_xlfn.MAXIFS($BY$4:$BY$12824,$S$4:$S$12824,$S1518)</f>
        <v>3374799.4989293283</v>
      </c>
      <c r="CB1518" s="1032"/>
      <c r="CF1518" s="946">
        <f t="shared" si="288"/>
        <v>16503329.700000001</v>
      </c>
    </row>
    <row r="1519" spans="2:84">
      <c r="B1519" s="839" t="s">
        <v>98</v>
      </c>
      <c r="C1519" s="839" t="s">
        <v>131</v>
      </c>
      <c r="D1519" s="839" t="s">
        <v>4950</v>
      </c>
      <c r="E1519" s="839" t="s">
        <v>4994</v>
      </c>
      <c r="F1519" s="841">
        <v>45883</v>
      </c>
      <c r="G1519" s="868" t="s">
        <v>133</v>
      </c>
      <c r="H1519" s="842" t="s">
        <v>134</v>
      </c>
      <c r="I1519" s="883"/>
      <c r="J1519" s="841"/>
      <c r="K1519" s="841"/>
      <c r="L1519" s="843" t="s">
        <v>106</v>
      </c>
      <c r="M1519" s="844" t="s">
        <v>417</v>
      </c>
      <c r="N1519" s="841">
        <v>45884</v>
      </c>
      <c r="O1519" s="884" t="s">
        <v>150</v>
      </c>
      <c r="P1519" s="842" t="s">
        <v>5168</v>
      </c>
      <c r="Q1519" s="843"/>
      <c r="R1519" s="845" t="s">
        <v>5178</v>
      </c>
      <c r="S1519" s="1127" t="s">
        <v>5179</v>
      </c>
      <c r="T1519" s="885" t="s">
        <v>5180</v>
      </c>
      <c r="U1519" s="886">
        <v>10</v>
      </c>
      <c r="V1519" s="842" t="s">
        <v>8</v>
      </c>
      <c r="W1519" s="846">
        <v>275</v>
      </c>
      <c r="X1519" s="847">
        <v>2750</v>
      </c>
      <c r="Y1519" s="853">
        <v>0.43</v>
      </c>
      <c r="Z1519" s="849">
        <v>156.75000000000003</v>
      </c>
      <c r="AA1519" s="849"/>
      <c r="AB1519" s="849">
        <f t="shared" si="282"/>
        <v>1567.5000000000002</v>
      </c>
      <c r="AC1519" s="850">
        <f t="shared" si="283"/>
        <v>1567.5000000000002</v>
      </c>
      <c r="AD1519" s="851">
        <f t="shared" si="281"/>
        <v>27000</v>
      </c>
      <c r="AE1519" s="852">
        <v>26202</v>
      </c>
      <c r="AF1519" s="853">
        <v>0.25</v>
      </c>
      <c r="AG1519" s="854">
        <f t="shared" si="284"/>
        <v>10277364.492426135</v>
      </c>
      <c r="AH1519" s="853">
        <v>0.08</v>
      </c>
      <c r="AI1519" s="855">
        <f t="shared" si="285"/>
        <v>4107919.9593940913</v>
      </c>
      <c r="AJ1519" s="845" t="s">
        <v>4950</v>
      </c>
      <c r="AK1519" s="864">
        <v>45901</v>
      </c>
      <c r="AL1519" s="843" t="s">
        <v>4957</v>
      </c>
      <c r="AM1519" s="843" t="s">
        <v>4958</v>
      </c>
      <c r="AN1519" s="844" t="s">
        <v>4959</v>
      </c>
      <c r="AO1519" s="844" t="s">
        <v>141</v>
      </c>
      <c r="AP1519" s="841"/>
      <c r="AQ1519" s="841">
        <v>45914</v>
      </c>
      <c r="AR1519" s="841">
        <v>45921</v>
      </c>
      <c r="AS1519" s="842" t="s">
        <v>1874</v>
      </c>
      <c r="AT1519" s="842" t="s">
        <v>1235</v>
      </c>
      <c r="AU1519" s="842"/>
      <c r="AV1519" s="845" t="s">
        <v>4960</v>
      </c>
      <c r="AW1519" s="861">
        <v>45920</v>
      </c>
      <c r="AX1519" s="862">
        <v>45929</v>
      </c>
      <c r="AY1519" s="843" t="s">
        <v>5181</v>
      </c>
      <c r="AZ1519" s="842" t="s">
        <v>4276</v>
      </c>
      <c r="BA1519" s="842" t="s">
        <v>120</v>
      </c>
      <c r="BB1519" s="863" t="s">
        <v>121</v>
      </c>
      <c r="BC1519" s="864">
        <v>45930</v>
      </c>
      <c r="BD1519" s="860" t="s">
        <v>4962</v>
      </c>
      <c r="BE1519" s="865" cm="1">
        <f t="array" ref="BE1519">IF(BD1519="","",AC1519/SUMPRODUCT(--(BD1519=$BD$4:$BD$12824),$AC$4:$AC$12824))</f>
        <v>6.3483436391824258E-2</v>
      </c>
      <c r="BF1519" s="458"/>
      <c r="BG1519" s="458"/>
      <c r="BH1519" s="458"/>
      <c r="BI1519" s="458"/>
      <c r="BJ1519" s="458"/>
      <c r="BK1519" s="458"/>
      <c r="BL1519" s="458"/>
      <c r="BM1519" s="458"/>
      <c r="BN1519" s="458"/>
      <c r="BO1519" s="866">
        <f>VLOOKUP(BD1519,$BD$4:$BN$12824,3,0)*BE1519</f>
        <v>0</v>
      </c>
      <c r="BP1519" s="866"/>
      <c r="BQ1519" s="866"/>
      <c r="BR1519" s="866">
        <f>VLOOKUP(BD1519,$BD$4:$BN$12824,6,0)*BE1519</f>
        <v>536047.08317740937</v>
      </c>
      <c r="BS1519" s="866">
        <f>VLOOKUP(BD1519,$BD$4:$BN$12824,7,0)*BE1519</f>
        <v>37822.969704529671</v>
      </c>
      <c r="BT1519" s="866"/>
      <c r="BU1519" s="866">
        <f>VLOOKUP(BD1519,$BD$4:$BN$12824,9,0)*BE1519</f>
        <v>17140.527825792549</v>
      </c>
      <c r="BV1519" s="867"/>
      <c r="BW1519" s="867">
        <f>VLOOKUP(BD1519,$BD$4:$BN$12824,11,0)*BE1519</f>
        <v>331465.83130879345</v>
      </c>
      <c r="BX1519" s="1146">
        <f t="shared" si="286"/>
        <v>922476.41201652493</v>
      </c>
      <c r="BY1519" s="867">
        <f t="shared" si="289"/>
        <v>5227147.5904442668</v>
      </c>
      <c r="BZ1519" s="867">
        <f t="shared" si="287"/>
        <v>52271475.904442668</v>
      </c>
      <c r="CA1519" s="867">
        <f>_xlfn.MAXIFS($BY$4:$BY$12824,$S$4:$S$12824,$S1519)</f>
        <v>5227147.5904442668</v>
      </c>
      <c r="CB1519" s="1032"/>
      <c r="CF1519" s="946">
        <f t="shared" si="288"/>
        <v>41071635.000000007</v>
      </c>
    </row>
    <row r="1520" spans="2:84">
      <c r="B1520" s="839" t="s">
        <v>98</v>
      </c>
      <c r="C1520" s="839" t="s">
        <v>131</v>
      </c>
      <c r="D1520" s="839" t="s">
        <v>4950</v>
      </c>
      <c r="E1520" s="839" t="s">
        <v>4994</v>
      </c>
      <c r="F1520" s="841">
        <v>45883</v>
      </c>
      <c r="G1520" s="868" t="s">
        <v>133</v>
      </c>
      <c r="H1520" s="842" t="s">
        <v>134</v>
      </c>
      <c r="I1520" s="883"/>
      <c r="J1520" s="841"/>
      <c r="K1520" s="841"/>
      <c r="L1520" s="843" t="s">
        <v>106</v>
      </c>
      <c r="M1520" s="844" t="s">
        <v>417</v>
      </c>
      <c r="N1520" s="841">
        <v>45884</v>
      </c>
      <c r="O1520" s="884" t="s">
        <v>150</v>
      </c>
      <c r="P1520" s="842" t="s">
        <v>5168</v>
      </c>
      <c r="Q1520" s="843"/>
      <c r="R1520" s="845" t="s">
        <v>5182</v>
      </c>
      <c r="S1520" s="1127" t="s">
        <v>5183</v>
      </c>
      <c r="T1520" s="885" t="s">
        <v>5184</v>
      </c>
      <c r="U1520" s="886">
        <v>8</v>
      </c>
      <c r="V1520" s="842" t="s">
        <v>8</v>
      </c>
      <c r="W1520" s="846">
        <v>275</v>
      </c>
      <c r="X1520" s="847">
        <v>2200</v>
      </c>
      <c r="Y1520" s="853">
        <v>0.43</v>
      </c>
      <c r="Z1520" s="849">
        <v>156.75000000000003</v>
      </c>
      <c r="AA1520" s="849"/>
      <c r="AB1520" s="849">
        <f t="shared" si="282"/>
        <v>1254.0000000000002</v>
      </c>
      <c r="AC1520" s="850">
        <f t="shared" si="283"/>
        <v>1254.0000000000002</v>
      </c>
      <c r="AD1520" s="851">
        <f t="shared" si="281"/>
        <v>27000</v>
      </c>
      <c r="AE1520" s="852">
        <v>26202</v>
      </c>
      <c r="AF1520" s="853">
        <v>0.25</v>
      </c>
      <c r="AG1520" s="854">
        <f t="shared" si="284"/>
        <v>8221891.5939409081</v>
      </c>
      <c r="AH1520" s="853">
        <v>0.08</v>
      </c>
      <c r="AI1520" s="855">
        <f t="shared" si="285"/>
        <v>3286335.967515273</v>
      </c>
      <c r="AJ1520" s="845" t="s">
        <v>4950</v>
      </c>
      <c r="AK1520" s="864">
        <v>45901</v>
      </c>
      <c r="AL1520" s="843" t="s">
        <v>4957</v>
      </c>
      <c r="AM1520" s="843" t="s">
        <v>4958</v>
      </c>
      <c r="AN1520" s="844" t="s">
        <v>4959</v>
      </c>
      <c r="AO1520" s="844" t="s">
        <v>141</v>
      </c>
      <c r="AP1520" s="841"/>
      <c r="AQ1520" s="841">
        <v>45914</v>
      </c>
      <c r="AR1520" s="841">
        <v>45921</v>
      </c>
      <c r="AS1520" s="842" t="s">
        <v>1874</v>
      </c>
      <c r="AT1520" s="842" t="s">
        <v>1235</v>
      </c>
      <c r="AU1520" s="842"/>
      <c r="AV1520" s="845" t="s">
        <v>4960</v>
      </c>
      <c r="AW1520" s="861">
        <v>45920</v>
      </c>
      <c r="AX1520" s="862">
        <v>45929</v>
      </c>
      <c r="AY1520" s="843" t="s">
        <v>5185</v>
      </c>
      <c r="AZ1520" s="842" t="s">
        <v>4276</v>
      </c>
      <c r="BA1520" s="842" t="s">
        <v>120</v>
      </c>
      <c r="BB1520" s="863" t="s">
        <v>121</v>
      </c>
      <c r="BC1520" s="864">
        <v>45930</v>
      </c>
      <c r="BD1520" s="860" t="s">
        <v>4962</v>
      </c>
      <c r="BE1520" s="865" cm="1">
        <f t="array" ref="BE1520">IF(BD1520="","",AC1520/SUMPRODUCT(--(BD1520=$BD$4:$BD$12824),$AC$4:$AC$12824))</f>
        <v>5.0786749113459408E-2</v>
      </c>
      <c r="BF1520" s="458"/>
      <c r="BG1520" s="458"/>
      <c r="BH1520" s="458"/>
      <c r="BI1520" s="458"/>
      <c r="BJ1520" s="458"/>
      <c r="BK1520" s="458"/>
      <c r="BL1520" s="458"/>
      <c r="BM1520" s="458"/>
      <c r="BN1520" s="458"/>
      <c r="BO1520" s="866">
        <f>VLOOKUP(BD1520,$BD$4:$BN$12824,3,0)*BE1520</f>
        <v>0</v>
      </c>
      <c r="BP1520" s="866"/>
      <c r="BQ1520" s="866"/>
      <c r="BR1520" s="866">
        <f>VLOOKUP(BD1520,$BD$4:$BN$12824,6,0)*BE1520</f>
        <v>428837.66654192749</v>
      </c>
      <c r="BS1520" s="866">
        <f>VLOOKUP(BD1520,$BD$4:$BN$12824,7,0)*BE1520</f>
        <v>30258.375763623739</v>
      </c>
      <c r="BT1520" s="866"/>
      <c r="BU1520" s="866">
        <f>VLOOKUP(BD1520,$BD$4:$BN$12824,9,0)*BE1520</f>
        <v>13712.422260634041</v>
      </c>
      <c r="BV1520" s="867"/>
      <c r="BW1520" s="867">
        <f>VLOOKUP(BD1520,$BD$4:$BN$12824,11,0)*BE1520</f>
        <v>265172.6650470348</v>
      </c>
      <c r="BX1520" s="1146">
        <f t="shared" si="286"/>
        <v>737981.12961321999</v>
      </c>
      <c r="BY1520" s="867">
        <f t="shared" si="289"/>
        <v>5227147.5904442668</v>
      </c>
      <c r="BZ1520" s="867">
        <f t="shared" si="287"/>
        <v>41817180.723554134</v>
      </c>
      <c r="CA1520" s="867">
        <f>_xlfn.MAXIFS($BY$4:$BY$12824,$S$4:$S$12824,$S1520)</f>
        <v>5227147.5904442668</v>
      </c>
      <c r="CB1520" s="1032"/>
      <c r="CF1520" s="946">
        <f t="shared" si="288"/>
        <v>32857308.000000007</v>
      </c>
    </row>
    <row r="1521" spans="2:84">
      <c r="B1521" s="839" t="s">
        <v>98</v>
      </c>
      <c r="C1521" s="839" t="s">
        <v>131</v>
      </c>
      <c r="D1521" s="839" t="s">
        <v>4950</v>
      </c>
      <c r="E1521" s="839" t="s">
        <v>4994</v>
      </c>
      <c r="F1521" s="841">
        <v>45883</v>
      </c>
      <c r="G1521" s="840" t="s">
        <v>155</v>
      </c>
      <c r="H1521" s="842" t="s">
        <v>134</v>
      </c>
      <c r="I1521" s="883"/>
      <c r="J1521" s="841"/>
      <c r="K1521" s="841"/>
      <c r="L1521" s="843" t="s">
        <v>106</v>
      </c>
      <c r="M1521" s="844" t="s">
        <v>417</v>
      </c>
      <c r="N1521" s="841">
        <v>45884</v>
      </c>
      <c r="O1521" s="884" t="s">
        <v>150</v>
      </c>
      <c r="P1521" s="842" t="s">
        <v>1812</v>
      </c>
      <c r="Q1521" s="843"/>
      <c r="R1521" s="845" t="s">
        <v>3353</v>
      </c>
      <c r="S1521" s="1127" t="s">
        <v>3354</v>
      </c>
      <c r="T1521" s="885" t="s">
        <v>5186</v>
      </c>
      <c r="U1521" s="886">
        <v>2</v>
      </c>
      <c r="V1521" s="842" t="s">
        <v>8</v>
      </c>
      <c r="W1521" s="846">
        <v>793</v>
      </c>
      <c r="X1521" s="847">
        <v>1586</v>
      </c>
      <c r="Y1521" s="853">
        <v>0.45</v>
      </c>
      <c r="Z1521" s="849">
        <v>436.15000000000003</v>
      </c>
      <c r="AA1521" s="849"/>
      <c r="AB1521" s="849">
        <f t="shared" si="282"/>
        <v>872.30000000000007</v>
      </c>
      <c r="AC1521" s="850">
        <f t="shared" si="283"/>
        <v>872.30000000000007</v>
      </c>
      <c r="AD1521" s="851">
        <f t="shared" si="281"/>
        <v>27000</v>
      </c>
      <c r="AE1521" s="852">
        <v>26202</v>
      </c>
      <c r="AF1521" s="853">
        <v>0.05</v>
      </c>
      <c r="AG1521" s="854">
        <f t="shared" si="284"/>
        <v>1143852.6375430068</v>
      </c>
      <c r="AH1521" s="853">
        <v>0.08</v>
      </c>
      <c r="AI1521" s="855">
        <f t="shared" si="285"/>
        <v>1919988.5790034407</v>
      </c>
      <c r="AJ1521" s="845" t="s">
        <v>4950</v>
      </c>
      <c r="AK1521" s="857">
        <v>45901</v>
      </c>
      <c r="AL1521" s="843" t="s">
        <v>4957</v>
      </c>
      <c r="AM1521" s="843" t="s">
        <v>4958</v>
      </c>
      <c r="AN1521" s="844" t="s">
        <v>4959</v>
      </c>
      <c r="AO1521" s="844" t="s">
        <v>141</v>
      </c>
      <c r="AP1521" s="841"/>
      <c r="AQ1521" s="841">
        <v>45914</v>
      </c>
      <c r="AR1521" s="841">
        <v>45921</v>
      </c>
      <c r="AS1521" s="842" t="s">
        <v>1874</v>
      </c>
      <c r="AT1521" s="842" t="s">
        <v>1235</v>
      </c>
      <c r="AU1521" s="842"/>
      <c r="AV1521" s="845" t="s">
        <v>4960</v>
      </c>
      <c r="AW1521" s="861">
        <v>45920</v>
      </c>
      <c r="AX1521" s="862">
        <v>45929</v>
      </c>
      <c r="AY1521" s="843" t="s">
        <v>5187</v>
      </c>
      <c r="AZ1521" s="842" t="s">
        <v>5188</v>
      </c>
      <c r="BA1521" s="842" t="s">
        <v>120</v>
      </c>
      <c r="BB1521" s="863" t="s">
        <v>121</v>
      </c>
      <c r="BC1521" s="864">
        <v>45930</v>
      </c>
      <c r="BD1521" s="860" t="s">
        <v>4962</v>
      </c>
      <c r="BE1521" s="865" cm="1">
        <f t="array" ref="BE1521">IF(BD1521="","",AC1521/SUMPRODUCT(--(BD1521=$BD$4:$BD$12824),$AC$4:$AC$12824))</f>
        <v>3.5327975479801141E-2</v>
      </c>
      <c r="BF1521" s="458"/>
      <c r="BG1521" s="458"/>
      <c r="BH1521" s="458"/>
      <c r="BI1521" s="458"/>
      <c r="BJ1521" s="458"/>
      <c r="BK1521" s="458"/>
      <c r="BL1521" s="458"/>
      <c r="BM1521" s="458"/>
      <c r="BN1521" s="458"/>
      <c r="BO1521" s="866">
        <f>VLOOKUP(BD1521,$BD$4:$BN$12824,3,0)*BE1521</f>
        <v>0</v>
      </c>
      <c r="BP1521" s="866"/>
      <c r="BQ1521" s="866"/>
      <c r="BR1521" s="866">
        <f>VLOOKUP(BD1521,$BD$4:$BN$12824,6,0)*BE1521</f>
        <v>298305.49962083192</v>
      </c>
      <c r="BS1521" s="866">
        <f>VLOOKUP(BD1521,$BD$4:$BN$12824,7,0)*BE1521</f>
        <v>21048.150860134756</v>
      </c>
      <c r="BT1521" s="866"/>
      <c r="BU1521" s="866">
        <f>VLOOKUP(BD1521,$BD$4:$BN$12824,9,0)*BE1521</f>
        <v>9538.5533795463089</v>
      </c>
      <c r="BV1521" s="867"/>
      <c r="BW1521" s="867">
        <f>VLOOKUP(BD1521,$BD$4:$BN$12824,11,0)*BE1521</f>
        <v>184457.82752833204</v>
      </c>
      <c r="BX1521" s="1146">
        <f t="shared" si="286"/>
        <v>513350.03138884506</v>
      </c>
      <c r="BY1521" s="867">
        <f t="shared" si="289"/>
        <v>12256603.634465927</v>
      </c>
      <c r="BZ1521" s="867">
        <f t="shared" si="287"/>
        <v>24513207.268931855</v>
      </c>
      <c r="CA1521" s="867">
        <f>_xlfn.MAXIFS($BY$4:$BY$12824,$S$4:$S$12824,$S1521)</f>
        <v>26000590.850000001</v>
      </c>
      <c r="CB1521" s="1032"/>
      <c r="CF1521" s="946">
        <f t="shared" si="288"/>
        <v>22856004.600000001</v>
      </c>
    </row>
    <row r="1522" spans="2:84">
      <c r="B1522" s="839" t="s">
        <v>98</v>
      </c>
      <c r="C1522" s="839" t="s">
        <v>131</v>
      </c>
      <c r="D1522" s="839" t="s">
        <v>4950</v>
      </c>
      <c r="E1522" s="839" t="s">
        <v>4994</v>
      </c>
      <c r="F1522" s="841">
        <v>45883</v>
      </c>
      <c r="G1522" s="840" t="s">
        <v>155</v>
      </c>
      <c r="H1522" s="842" t="s">
        <v>134</v>
      </c>
      <c r="I1522" s="883"/>
      <c r="J1522" s="841"/>
      <c r="K1522" s="841"/>
      <c r="L1522" s="843" t="s">
        <v>106</v>
      </c>
      <c r="M1522" s="844" t="s">
        <v>417</v>
      </c>
      <c r="N1522" s="841">
        <v>45884</v>
      </c>
      <c r="O1522" s="884" t="s">
        <v>150</v>
      </c>
      <c r="P1522" s="842" t="s">
        <v>1812</v>
      </c>
      <c r="Q1522" s="843"/>
      <c r="R1522" s="845" t="s">
        <v>5189</v>
      </c>
      <c r="S1522" s="1127" t="s">
        <v>5190</v>
      </c>
      <c r="T1522" s="885" t="s">
        <v>5191</v>
      </c>
      <c r="U1522" s="886">
        <v>2</v>
      </c>
      <c r="V1522" s="842" t="s">
        <v>8</v>
      </c>
      <c r="W1522" s="846">
        <v>793</v>
      </c>
      <c r="X1522" s="847">
        <v>1586</v>
      </c>
      <c r="Y1522" s="853">
        <v>0.45</v>
      </c>
      <c r="Z1522" s="849">
        <v>436.15000000000003</v>
      </c>
      <c r="AA1522" s="849"/>
      <c r="AB1522" s="849">
        <f t="shared" si="282"/>
        <v>872.30000000000007</v>
      </c>
      <c r="AC1522" s="850">
        <f t="shared" si="283"/>
        <v>872.30000000000007</v>
      </c>
      <c r="AD1522" s="851">
        <f t="shared" si="281"/>
        <v>27000</v>
      </c>
      <c r="AE1522" s="852">
        <v>26202</v>
      </c>
      <c r="AF1522" s="853">
        <v>0.05</v>
      </c>
      <c r="AG1522" s="854">
        <f t="shared" si="284"/>
        <v>1143852.6375430068</v>
      </c>
      <c r="AH1522" s="853">
        <v>0.08</v>
      </c>
      <c r="AI1522" s="855">
        <f t="shared" si="285"/>
        <v>1919988.5790034407</v>
      </c>
      <c r="AJ1522" s="845" t="s">
        <v>4950</v>
      </c>
      <c r="AK1522" s="857">
        <v>45901</v>
      </c>
      <c r="AL1522" s="843" t="s">
        <v>4957</v>
      </c>
      <c r="AM1522" s="843" t="s">
        <v>4958</v>
      </c>
      <c r="AN1522" s="844" t="s">
        <v>4959</v>
      </c>
      <c r="AO1522" s="844" t="s">
        <v>141</v>
      </c>
      <c r="AP1522" s="841"/>
      <c r="AQ1522" s="841">
        <v>45914</v>
      </c>
      <c r="AR1522" s="841">
        <v>45921</v>
      </c>
      <c r="AS1522" s="842" t="s">
        <v>1874</v>
      </c>
      <c r="AT1522" s="842" t="s">
        <v>1235</v>
      </c>
      <c r="AU1522" s="842"/>
      <c r="AV1522" s="845" t="s">
        <v>4960</v>
      </c>
      <c r="AW1522" s="861">
        <v>45920</v>
      </c>
      <c r="AX1522" s="862">
        <v>45929</v>
      </c>
      <c r="AY1522" s="843" t="s">
        <v>5187</v>
      </c>
      <c r="AZ1522" s="842" t="s">
        <v>5188</v>
      </c>
      <c r="BA1522" s="842" t="s">
        <v>120</v>
      </c>
      <c r="BB1522" s="863" t="s">
        <v>121</v>
      </c>
      <c r="BC1522" s="864">
        <v>45930</v>
      </c>
      <c r="BD1522" s="860" t="s">
        <v>4962</v>
      </c>
      <c r="BE1522" s="865" cm="1">
        <f t="array" ref="BE1522">IF(BD1522="","",AC1522/SUMPRODUCT(--(BD1522=$BD$4:$BD$12824),$AC$4:$AC$12824))</f>
        <v>3.5327975479801141E-2</v>
      </c>
      <c r="BF1522" s="458"/>
      <c r="BG1522" s="458"/>
      <c r="BH1522" s="458"/>
      <c r="BI1522" s="458"/>
      <c r="BJ1522" s="458"/>
      <c r="BK1522" s="458"/>
      <c r="BL1522" s="458"/>
      <c r="BM1522" s="458"/>
      <c r="BN1522" s="458"/>
      <c r="BO1522" s="866">
        <f>VLOOKUP(BD1522,$BD$4:$BN$12824,3,0)*BE1522</f>
        <v>0</v>
      </c>
      <c r="BP1522" s="866"/>
      <c r="BQ1522" s="866"/>
      <c r="BR1522" s="866">
        <f>VLOOKUP(BD1522,$BD$4:$BN$12824,6,0)*BE1522</f>
        <v>298305.49962083192</v>
      </c>
      <c r="BS1522" s="866">
        <f>VLOOKUP(BD1522,$BD$4:$BN$12824,7,0)*BE1522</f>
        <v>21048.150860134756</v>
      </c>
      <c r="BT1522" s="866"/>
      <c r="BU1522" s="866">
        <f>VLOOKUP(BD1522,$BD$4:$BN$12824,9,0)*BE1522</f>
        <v>9538.5533795463089</v>
      </c>
      <c r="BV1522" s="867"/>
      <c r="BW1522" s="867">
        <f>VLOOKUP(BD1522,$BD$4:$BN$12824,11,0)*BE1522</f>
        <v>184457.82752833204</v>
      </c>
      <c r="BX1522" s="1146">
        <f t="shared" si="286"/>
        <v>513350.03138884506</v>
      </c>
      <c r="BY1522" s="867">
        <f t="shared" si="289"/>
        <v>12256603.634465927</v>
      </c>
      <c r="BZ1522" s="867">
        <f t="shared" si="287"/>
        <v>24513207.268931855</v>
      </c>
      <c r="CA1522" s="867">
        <f>_xlfn.MAXIFS($BY$4:$BY$12824,$S$4:$S$12824,$S1522)</f>
        <v>12256603.634465927</v>
      </c>
      <c r="CB1522" s="1032"/>
      <c r="CF1522" s="946">
        <f t="shared" si="288"/>
        <v>22856004.600000001</v>
      </c>
    </row>
    <row r="1523" spans="2:84">
      <c r="B1523" s="839" t="s">
        <v>98</v>
      </c>
      <c r="C1523" s="839" t="s">
        <v>131</v>
      </c>
      <c r="D1523" s="839" t="s">
        <v>4950</v>
      </c>
      <c r="E1523" s="839" t="s">
        <v>4994</v>
      </c>
      <c r="F1523" s="841">
        <v>45883</v>
      </c>
      <c r="G1523" s="840" t="s">
        <v>155</v>
      </c>
      <c r="H1523" s="842" t="s">
        <v>134</v>
      </c>
      <c r="I1523" s="883"/>
      <c r="J1523" s="841"/>
      <c r="K1523" s="841"/>
      <c r="L1523" s="843" t="s">
        <v>106</v>
      </c>
      <c r="M1523" s="844" t="s">
        <v>417</v>
      </c>
      <c r="N1523" s="841">
        <v>45884</v>
      </c>
      <c r="O1523" s="884" t="s">
        <v>108</v>
      </c>
      <c r="P1523" s="842" t="s">
        <v>4990</v>
      </c>
      <c r="Q1523" s="843"/>
      <c r="R1523" s="845" t="s">
        <v>5192</v>
      </c>
      <c r="S1523" s="1127" t="s">
        <v>5193</v>
      </c>
      <c r="T1523" s="885" t="s">
        <v>5194</v>
      </c>
      <c r="U1523" s="886">
        <v>2</v>
      </c>
      <c r="V1523" s="842" t="s">
        <v>8</v>
      </c>
      <c r="W1523" s="846">
        <v>122</v>
      </c>
      <c r="X1523" s="847">
        <v>244</v>
      </c>
      <c r="Y1523" s="853">
        <v>0.45</v>
      </c>
      <c r="Z1523" s="849">
        <v>67.100000000000009</v>
      </c>
      <c r="AA1523" s="849"/>
      <c r="AB1523" s="849">
        <f t="shared" si="282"/>
        <v>134.20000000000002</v>
      </c>
      <c r="AC1523" s="850">
        <f t="shared" si="283"/>
        <v>134.20000000000002</v>
      </c>
      <c r="AD1523" s="851">
        <f t="shared" si="281"/>
        <v>27000</v>
      </c>
      <c r="AE1523" s="852">
        <v>26202</v>
      </c>
      <c r="AF1523" s="853">
        <v>0</v>
      </c>
      <c r="AG1523" s="854">
        <f t="shared" si="284"/>
        <v>0</v>
      </c>
      <c r="AH1523" s="853">
        <v>0.08</v>
      </c>
      <c r="AI1523" s="855">
        <f t="shared" si="285"/>
        <v>281304.67200000002</v>
      </c>
      <c r="AJ1523" s="845" t="s">
        <v>4950</v>
      </c>
      <c r="AK1523" s="857">
        <v>45901</v>
      </c>
      <c r="AL1523" s="843" t="s">
        <v>4957</v>
      </c>
      <c r="AM1523" s="843" t="s">
        <v>4958</v>
      </c>
      <c r="AN1523" s="844" t="s">
        <v>4959</v>
      </c>
      <c r="AO1523" s="844" t="s">
        <v>141</v>
      </c>
      <c r="AP1523" s="841"/>
      <c r="AQ1523" s="841">
        <v>45914</v>
      </c>
      <c r="AR1523" s="841">
        <v>45921</v>
      </c>
      <c r="AS1523" s="842" t="s">
        <v>1874</v>
      </c>
      <c r="AT1523" s="842" t="s">
        <v>1235</v>
      </c>
      <c r="AU1523" s="842"/>
      <c r="AV1523" s="845" t="s">
        <v>4960</v>
      </c>
      <c r="AW1523" s="861">
        <v>45920</v>
      </c>
      <c r="AX1523" s="862">
        <v>45929</v>
      </c>
      <c r="AY1523" s="843" t="s">
        <v>5195</v>
      </c>
      <c r="AZ1523" s="842" t="s">
        <v>4798</v>
      </c>
      <c r="BA1523" s="842" t="s">
        <v>120</v>
      </c>
      <c r="BB1523" s="863" t="s">
        <v>121</v>
      </c>
      <c r="BC1523" s="864">
        <v>45930</v>
      </c>
      <c r="BD1523" s="860" t="s">
        <v>4962</v>
      </c>
      <c r="BE1523" s="865" cm="1">
        <f t="array" ref="BE1523">IF(BD1523="","",AC1523/SUMPRODUCT(--(BD1523=$BD$4:$BD$12824),$AC$4:$AC$12824))</f>
        <v>5.4350731507386381E-3</v>
      </c>
      <c r="BF1523" s="458"/>
      <c r="BG1523" s="458"/>
      <c r="BH1523" s="458"/>
      <c r="BI1523" s="458"/>
      <c r="BJ1523" s="458"/>
      <c r="BK1523" s="458"/>
      <c r="BL1523" s="458"/>
      <c r="BM1523" s="458"/>
      <c r="BN1523" s="458"/>
      <c r="BO1523" s="866">
        <f>VLOOKUP(BD1523,$BD$4:$BN$12824,3,0)*BE1523</f>
        <v>0</v>
      </c>
      <c r="BP1523" s="866"/>
      <c r="BQ1523" s="866"/>
      <c r="BR1523" s="866">
        <f>VLOOKUP(BD1523,$BD$4:$BN$12824,6,0)*BE1523</f>
        <v>45893.153787820309</v>
      </c>
      <c r="BS1523" s="866">
        <f>VLOOKUP(BD1523,$BD$4:$BN$12824,7,0)*BE1523</f>
        <v>3238.1770554053473</v>
      </c>
      <c r="BT1523" s="866"/>
      <c r="BU1523" s="866">
        <f>VLOOKUP(BD1523,$BD$4:$BN$12824,9,0)*BE1523</f>
        <v>1467.4697506994323</v>
      </c>
      <c r="BV1523" s="867"/>
      <c r="BW1523" s="867">
        <f>VLOOKUP(BD1523,$BD$4:$BN$12824,11,0)*BE1523</f>
        <v>28378.127312051089</v>
      </c>
      <c r="BX1523" s="1146">
        <f t="shared" si="286"/>
        <v>78976.92790597619</v>
      </c>
      <c r="BY1523" s="867">
        <f t="shared" si="289"/>
        <v>1797642.6639529883</v>
      </c>
      <c r="BZ1523" s="867">
        <f t="shared" si="287"/>
        <v>3595285.3279059767</v>
      </c>
      <c r="CA1523" s="867">
        <f>_xlfn.MAXIFS($BY$4:$BY$12824,$S$4:$S$12824,$S1523)</f>
        <v>1797642.6639529883</v>
      </c>
      <c r="CB1523" s="1032"/>
      <c r="CF1523" s="946">
        <f t="shared" si="288"/>
        <v>3516308.4000000004</v>
      </c>
    </row>
    <row r="1524" spans="2:84">
      <c r="B1524" s="839" t="s">
        <v>98</v>
      </c>
      <c r="C1524" s="839" t="s">
        <v>131</v>
      </c>
      <c r="D1524" s="839" t="s">
        <v>4950</v>
      </c>
      <c r="E1524" s="839" t="s">
        <v>4994</v>
      </c>
      <c r="F1524" s="841">
        <v>45883</v>
      </c>
      <c r="G1524" s="840" t="s">
        <v>155</v>
      </c>
      <c r="H1524" s="842" t="s">
        <v>134</v>
      </c>
      <c r="I1524" s="883"/>
      <c r="J1524" s="841"/>
      <c r="K1524" s="841"/>
      <c r="L1524" s="843" t="s">
        <v>106</v>
      </c>
      <c r="M1524" s="844" t="s">
        <v>417</v>
      </c>
      <c r="N1524" s="841">
        <v>45884</v>
      </c>
      <c r="O1524" s="884" t="s">
        <v>108</v>
      </c>
      <c r="P1524" s="842" t="s">
        <v>4990</v>
      </c>
      <c r="Q1524" s="843"/>
      <c r="R1524" s="845" t="s">
        <v>2356</v>
      </c>
      <c r="S1524" s="1127" t="s">
        <v>2357</v>
      </c>
      <c r="T1524" s="885" t="s">
        <v>5196</v>
      </c>
      <c r="U1524" s="886">
        <v>2</v>
      </c>
      <c r="V1524" s="842" t="s">
        <v>8</v>
      </c>
      <c r="W1524" s="846">
        <v>122</v>
      </c>
      <c r="X1524" s="847">
        <v>244</v>
      </c>
      <c r="Y1524" s="853">
        <v>0.45</v>
      </c>
      <c r="Z1524" s="849">
        <v>67.100000000000009</v>
      </c>
      <c r="AA1524" s="849"/>
      <c r="AB1524" s="849">
        <f t="shared" si="282"/>
        <v>134.20000000000002</v>
      </c>
      <c r="AC1524" s="850">
        <f t="shared" si="283"/>
        <v>134.20000000000002</v>
      </c>
      <c r="AD1524" s="851">
        <f t="shared" si="281"/>
        <v>27000</v>
      </c>
      <c r="AE1524" s="852">
        <v>26202</v>
      </c>
      <c r="AF1524" s="853">
        <v>0</v>
      </c>
      <c r="AG1524" s="854">
        <f t="shared" si="284"/>
        <v>0</v>
      </c>
      <c r="AH1524" s="853">
        <v>0.08</v>
      </c>
      <c r="AI1524" s="855">
        <f t="shared" si="285"/>
        <v>281304.67200000002</v>
      </c>
      <c r="AJ1524" s="845" t="s">
        <v>4950</v>
      </c>
      <c r="AK1524" s="857">
        <v>45901</v>
      </c>
      <c r="AL1524" s="843" t="s">
        <v>4957</v>
      </c>
      <c r="AM1524" s="843" t="s">
        <v>4958</v>
      </c>
      <c r="AN1524" s="844" t="s">
        <v>4959</v>
      </c>
      <c r="AO1524" s="844" t="s">
        <v>141</v>
      </c>
      <c r="AP1524" s="841"/>
      <c r="AQ1524" s="841">
        <v>45914</v>
      </c>
      <c r="AR1524" s="841">
        <v>45921</v>
      </c>
      <c r="AS1524" s="842" t="s">
        <v>1874</v>
      </c>
      <c r="AT1524" s="842" t="s">
        <v>1235</v>
      </c>
      <c r="AU1524" s="842"/>
      <c r="AV1524" s="845" t="s">
        <v>4960</v>
      </c>
      <c r="AW1524" s="861">
        <v>45920</v>
      </c>
      <c r="AX1524" s="862">
        <v>45929</v>
      </c>
      <c r="AY1524" s="843" t="s">
        <v>5195</v>
      </c>
      <c r="AZ1524" s="842" t="s">
        <v>4798</v>
      </c>
      <c r="BA1524" s="842" t="s">
        <v>120</v>
      </c>
      <c r="BB1524" s="863" t="s">
        <v>121</v>
      </c>
      <c r="BC1524" s="864">
        <v>45930</v>
      </c>
      <c r="BD1524" s="860" t="s">
        <v>4962</v>
      </c>
      <c r="BE1524" s="865" cm="1">
        <f t="array" ref="BE1524">IF(BD1524="","",AC1524/SUMPRODUCT(--(BD1524=$BD$4:$BD$12824),$AC$4:$AC$12824))</f>
        <v>5.4350731507386381E-3</v>
      </c>
      <c r="BF1524" s="458"/>
      <c r="BG1524" s="458"/>
      <c r="BH1524" s="458"/>
      <c r="BI1524" s="458"/>
      <c r="BJ1524" s="458"/>
      <c r="BK1524" s="458"/>
      <c r="BL1524" s="458"/>
      <c r="BM1524" s="458"/>
      <c r="BN1524" s="458"/>
      <c r="BO1524" s="866">
        <f>VLOOKUP(BD1524,$BD$4:$BN$12824,3,0)*BE1524</f>
        <v>0</v>
      </c>
      <c r="BP1524" s="866"/>
      <c r="BQ1524" s="866"/>
      <c r="BR1524" s="866">
        <f>VLOOKUP(BD1524,$BD$4:$BN$12824,6,0)*BE1524</f>
        <v>45893.153787820309</v>
      </c>
      <c r="BS1524" s="866">
        <f>VLOOKUP(BD1524,$BD$4:$BN$12824,7,0)*BE1524</f>
        <v>3238.1770554053473</v>
      </c>
      <c r="BT1524" s="866"/>
      <c r="BU1524" s="866">
        <f>VLOOKUP(BD1524,$BD$4:$BN$12824,9,0)*BE1524</f>
        <v>1467.4697506994323</v>
      </c>
      <c r="BV1524" s="867"/>
      <c r="BW1524" s="867">
        <f>VLOOKUP(BD1524,$BD$4:$BN$12824,11,0)*BE1524</f>
        <v>28378.127312051089</v>
      </c>
      <c r="BX1524" s="1146">
        <f t="shared" si="286"/>
        <v>78976.92790597619</v>
      </c>
      <c r="BY1524" s="867">
        <f t="shared" si="289"/>
        <v>1797642.6639529883</v>
      </c>
      <c r="BZ1524" s="867">
        <f t="shared" si="287"/>
        <v>3595285.3279059767</v>
      </c>
      <c r="CA1524" s="867">
        <f>_xlfn.MAXIFS($BY$4:$BY$12824,$S$4:$S$12824,$S1524)</f>
        <v>1797642.6639529883</v>
      </c>
      <c r="CB1524" s="1032"/>
      <c r="CF1524" s="946">
        <f t="shared" si="288"/>
        <v>3516308.4000000004</v>
      </c>
    </row>
    <row r="1525" spans="2:84">
      <c r="B1525" s="839" t="s">
        <v>98</v>
      </c>
      <c r="C1525" s="839" t="s">
        <v>131</v>
      </c>
      <c r="D1525" s="839" t="s">
        <v>4950</v>
      </c>
      <c r="E1525" s="839" t="s">
        <v>4994</v>
      </c>
      <c r="F1525" s="841">
        <v>45883</v>
      </c>
      <c r="G1525" s="840" t="s">
        <v>155</v>
      </c>
      <c r="H1525" s="842" t="s">
        <v>134</v>
      </c>
      <c r="I1525" s="883"/>
      <c r="J1525" s="841"/>
      <c r="K1525" s="841"/>
      <c r="L1525" s="843" t="s">
        <v>106</v>
      </c>
      <c r="M1525" s="844" t="s">
        <v>417</v>
      </c>
      <c r="N1525" s="841">
        <v>45884</v>
      </c>
      <c r="O1525" s="884" t="s">
        <v>108</v>
      </c>
      <c r="P1525" s="842" t="s">
        <v>4990</v>
      </c>
      <c r="Q1525" s="843"/>
      <c r="R1525" s="845" t="s">
        <v>5197</v>
      </c>
      <c r="S1525" s="1127" t="s">
        <v>5198</v>
      </c>
      <c r="T1525" s="885" t="s">
        <v>5199</v>
      </c>
      <c r="U1525" s="886">
        <v>2</v>
      </c>
      <c r="V1525" s="842" t="s">
        <v>8</v>
      </c>
      <c r="W1525" s="846">
        <v>122</v>
      </c>
      <c r="X1525" s="847">
        <v>244</v>
      </c>
      <c r="Y1525" s="853">
        <v>0.45</v>
      </c>
      <c r="Z1525" s="849">
        <v>67.100000000000009</v>
      </c>
      <c r="AA1525" s="849"/>
      <c r="AB1525" s="849">
        <f t="shared" si="282"/>
        <v>134.20000000000002</v>
      </c>
      <c r="AC1525" s="850">
        <f t="shared" si="283"/>
        <v>134.20000000000002</v>
      </c>
      <c r="AD1525" s="851">
        <f t="shared" si="281"/>
        <v>27000</v>
      </c>
      <c r="AE1525" s="852">
        <v>26202</v>
      </c>
      <c r="AF1525" s="853">
        <v>0</v>
      </c>
      <c r="AG1525" s="854">
        <f t="shared" si="284"/>
        <v>0</v>
      </c>
      <c r="AH1525" s="853">
        <v>0.08</v>
      </c>
      <c r="AI1525" s="855">
        <f t="shared" si="285"/>
        <v>281304.67200000002</v>
      </c>
      <c r="AJ1525" s="845" t="s">
        <v>4950</v>
      </c>
      <c r="AK1525" s="857">
        <v>45901</v>
      </c>
      <c r="AL1525" s="843" t="s">
        <v>4957</v>
      </c>
      <c r="AM1525" s="843" t="s">
        <v>4958</v>
      </c>
      <c r="AN1525" s="844" t="s">
        <v>4959</v>
      </c>
      <c r="AO1525" s="844" t="s">
        <v>141</v>
      </c>
      <c r="AP1525" s="841"/>
      <c r="AQ1525" s="841">
        <v>45914</v>
      </c>
      <c r="AR1525" s="841">
        <v>45921</v>
      </c>
      <c r="AS1525" s="842" t="s">
        <v>1874</v>
      </c>
      <c r="AT1525" s="842" t="s">
        <v>1235</v>
      </c>
      <c r="AU1525" s="842"/>
      <c r="AV1525" s="845" t="s">
        <v>4960</v>
      </c>
      <c r="AW1525" s="861">
        <v>45920</v>
      </c>
      <c r="AX1525" s="862">
        <v>45929</v>
      </c>
      <c r="AY1525" s="843" t="s">
        <v>5195</v>
      </c>
      <c r="AZ1525" s="842" t="s">
        <v>4798</v>
      </c>
      <c r="BA1525" s="842" t="s">
        <v>120</v>
      </c>
      <c r="BB1525" s="863" t="s">
        <v>121</v>
      </c>
      <c r="BC1525" s="864">
        <v>45930</v>
      </c>
      <c r="BD1525" s="860" t="s">
        <v>4962</v>
      </c>
      <c r="BE1525" s="865" cm="1">
        <f t="array" ref="BE1525">IF(BD1525="","",AC1525/SUMPRODUCT(--(BD1525=$BD$4:$BD$12824),$AC$4:$AC$12824))</f>
        <v>5.4350731507386381E-3</v>
      </c>
      <c r="BF1525" s="458"/>
      <c r="BG1525" s="458"/>
      <c r="BH1525" s="458"/>
      <c r="BI1525" s="458"/>
      <c r="BJ1525" s="458"/>
      <c r="BK1525" s="458"/>
      <c r="BL1525" s="458"/>
      <c r="BM1525" s="458"/>
      <c r="BN1525" s="458"/>
      <c r="BO1525" s="866">
        <f>VLOOKUP(BD1525,$BD$4:$BN$12824,3,0)*BE1525</f>
        <v>0</v>
      </c>
      <c r="BP1525" s="866"/>
      <c r="BQ1525" s="866"/>
      <c r="BR1525" s="866">
        <f>VLOOKUP(BD1525,$BD$4:$BN$12824,6,0)*BE1525</f>
        <v>45893.153787820309</v>
      </c>
      <c r="BS1525" s="866">
        <f>VLOOKUP(BD1525,$BD$4:$BN$12824,7,0)*BE1525</f>
        <v>3238.1770554053473</v>
      </c>
      <c r="BT1525" s="866"/>
      <c r="BU1525" s="866">
        <f>VLOOKUP(BD1525,$BD$4:$BN$12824,9,0)*BE1525</f>
        <v>1467.4697506994323</v>
      </c>
      <c r="BV1525" s="867"/>
      <c r="BW1525" s="867">
        <f>VLOOKUP(BD1525,$BD$4:$BN$12824,11,0)*BE1525</f>
        <v>28378.127312051089</v>
      </c>
      <c r="BX1525" s="1146">
        <f t="shared" si="286"/>
        <v>78976.92790597619</v>
      </c>
      <c r="BY1525" s="867">
        <f t="shared" si="289"/>
        <v>1797642.6639529883</v>
      </c>
      <c r="BZ1525" s="867">
        <f t="shared" si="287"/>
        <v>3595285.3279059767</v>
      </c>
      <c r="CA1525" s="867">
        <f>_xlfn.MAXIFS($BY$4:$BY$12824,$S$4:$S$12824,$S1525)</f>
        <v>1797642.6639529883</v>
      </c>
      <c r="CB1525" s="1032"/>
      <c r="CF1525" s="946">
        <f t="shared" si="288"/>
        <v>3516308.4000000004</v>
      </c>
    </row>
    <row r="1526" spans="2:84">
      <c r="B1526" s="839" t="s">
        <v>98</v>
      </c>
      <c r="C1526" s="839" t="s">
        <v>131</v>
      </c>
      <c r="D1526" s="839" t="s">
        <v>4950</v>
      </c>
      <c r="E1526" s="839" t="s">
        <v>4994</v>
      </c>
      <c r="F1526" s="841">
        <v>45883</v>
      </c>
      <c r="G1526" s="840" t="s">
        <v>155</v>
      </c>
      <c r="H1526" s="842" t="s">
        <v>134</v>
      </c>
      <c r="I1526" s="883"/>
      <c r="J1526" s="841"/>
      <c r="K1526" s="841"/>
      <c r="L1526" s="843" t="s">
        <v>106</v>
      </c>
      <c r="M1526" s="844" t="s">
        <v>417</v>
      </c>
      <c r="N1526" s="841">
        <v>45884</v>
      </c>
      <c r="O1526" s="884" t="s">
        <v>108</v>
      </c>
      <c r="P1526" s="842" t="s">
        <v>4990</v>
      </c>
      <c r="Q1526" s="843"/>
      <c r="R1526" s="845" t="s">
        <v>5200</v>
      </c>
      <c r="S1526" s="1127" t="s">
        <v>168</v>
      </c>
      <c r="T1526" s="885" t="s">
        <v>5201</v>
      </c>
      <c r="U1526" s="886">
        <v>2</v>
      </c>
      <c r="V1526" s="842" t="s">
        <v>8</v>
      </c>
      <c r="W1526" s="846">
        <v>170</v>
      </c>
      <c r="X1526" s="847">
        <v>340</v>
      </c>
      <c r="Y1526" s="853">
        <v>0.45</v>
      </c>
      <c r="Z1526" s="849">
        <v>93.500000000000014</v>
      </c>
      <c r="AA1526" s="849"/>
      <c r="AB1526" s="849">
        <f t="shared" si="282"/>
        <v>187.00000000000003</v>
      </c>
      <c r="AC1526" s="850">
        <f t="shared" si="283"/>
        <v>187.00000000000003</v>
      </c>
      <c r="AD1526" s="851">
        <f t="shared" si="281"/>
        <v>27000</v>
      </c>
      <c r="AE1526" s="852">
        <v>26202</v>
      </c>
      <c r="AF1526" s="853">
        <v>0</v>
      </c>
      <c r="AG1526" s="854">
        <f t="shared" si="284"/>
        <v>0</v>
      </c>
      <c r="AH1526" s="853">
        <v>0.08</v>
      </c>
      <c r="AI1526" s="855">
        <f t="shared" si="285"/>
        <v>391981.9200000001</v>
      </c>
      <c r="AJ1526" s="845" t="s">
        <v>4950</v>
      </c>
      <c r="AK1526" s="857">
        <v>45901</v>
      </c>
      <c r="AL1526" s="843" t="s">
        <v>4957</v>
      </c>
      <c r="AM1526" s="843" t="s">
        <v>4958</v>
      </c>
      <c r="AN1526" s="844" t="s">
        <v>4959</v>
      </c>
      <c r="AO1526" s="844" t="s">
        <v>141</v>
      </c>
      <c r="AP1526" s="841"/>
      <c r="AQ1526" s="841">
        <v>45914</v>
      </c>
      <c r="AR1526" s="841">
        <v>45921</v>
      </c>
      <c r="AS1526" s="842" t="s">
        <v>1874</v>
      </c>
      <c r="AT1526" s="842" t="s">
        <v>1235</v>
      </c>
      <c r="AU1526" s="842"/>
      <c r="AV1526" s="845" t="s">
        <v>4960</v>
      </c>
      <c r="AW1526" s="861">
        <v>45920</v>
      </c>
      <c r="AX1526" s="862">
        <v>45929</v>
      </c>
      <c r="AY1526" s="843" t="s">
        <v>5202</v>
      </c>
      <c r="AZ1526" s="842" t="s">
        <v>4798</v>
      </c>
      <c r="BA1526" s="842" t="s">
        <v>120</v>
      </c>
      <c r="BB1526" s="863" t="s">
        <v>121</v>
      </c>
      <c r="BC1526" s="864">
        <v>45930</v>
      </c>
      <c r="BD1526" s="860" t="s">
        <v>4962</v>
      </c>
      <c r="BE1526" s="865" cm="1">
        <f t="array" ref="BE1526">IF(BD1526="","",AC1526/SUMPRODUCT(--(BD1526=$BD$4:$BD$12824),$AC$4:$AC$12824))</f>
        <v>7.5734625870948237E-3</v>
      </c>
      <c r="BF1526" s="458"/>
      <c r="BG1526" s="458"/>
      <c r="BH1526" s="458"/>
      <c r="BI1526" s="458"/>
      <c r="BJ1526" s="458"/>
      <c r="BK1526" s="458"/>
      <c r="BL1526" s="458"/>
      <c r="BM1526" s="458"/>
      <c r="BN1526" s="458"/>
      <c r="BO1526" s="866">
        <f>VLOOKUP(BD1526,$BD$4:$BN$12824,3,0)*BE1526</f>
        <v>0</v>
      </c>
      <c r="BP1526" s="866"/>
      <c r="BQ1526" s="866"/>
      <c r="BR1526" s="866">
        <f>VLOOKUP(BD1526,$BD$4:$BN$12824,6,0)*BE1526</f>
        <v>63949.476589585676</v>
      </c>
      <c r="BS1526" s="866">
        <f>VLOOKUP(BD1526,$BD$4:$BN$12824,7,0)*BE1526</f>
        <v>4512.2139296631894</v>
      </c>
      <c r="BT1526" s="866"/>
      <c r="BU1526" s="866">
        <f>VLOOKUP(BD1526,$BD$4:$BN$12824,9,0)*BE1526</f>
        <v>2044.8348985156024</v>
      </c>
      <c r="BV1526" s="867"/>
      <c r="BW1526" s="867">
        <f>VLOOKUP(BD1526,$BD$4:$BN$12824,11,0)*BE1526</f>
        <v>39543.292156136762</v>
      </c>
      <c r="BX1526" s="1146">
        <f t="shared" si="286"/>
        <v>110049.81757390124</v>
      </c>
      <c r="BY1526" s="867">
        <f t="shared" si="289"/>
        <v>2504911.9087869511</v>
      </c>
      <c r="BZ1526" s="867">
        <f t="shared" si="287"/>
        <v>5009823.8175739022</v>
      </c>
      <c r="CA1526" s="867">
        <f>_xlfn.MAXIFS($BY$4:$BY$12824,$S$4:$S$12824,$S1526)</f>
        <v>2798643.9616483245</v>
      </c>
      <c r="CB1526" s="1032"/>
      <c r="CF1526" s="946">
        <f t="shared" si="288"/>
        <v>4899774.0000000009</v>
      </c>
    </row>
    <row r="1527" spans="2:84">
      <c r="B1527" s="839" t="s">
        <v>98</v>
      </c>
      <c r="C1527" s="839" t="s">
        <v>131</v>
      </c>
      <c r="D1527" s="839" t="s">
        <v>4950</v>
      </c>
      <c r="E1527" s="839" t="s">
        <v>4994</v>
      </c>
      <c r="F1527" s="841">
        <v>45883</v>
      </c>
      <c r="G1527" s="840" t="s">
        <v>155</v>
      </c>
      <c r="H1527" s="842" t="s">
        <v>134</v>
      </c>
      <c r="I1527" s="883"/>
      <c r="J1527" s="841"/>
      <c r="K1527" s="841"/>
      <c r="L1527" s="843" t="s">
        <v>106</v>
      </c>
      <c r="M1527" s="844" t="s">
        <v>417</v>
      </c>
      <c r="N1527" s="841">
        <v>45884</v>
      </c>
      <c r="O1527" s="884" t="s">
        <v>108</v>
      </c>
      <c r="P1527" s="842" t="s">
        <v>4990</v>
      </c>
      <c r="Q1527" s="843"/>
      <c r="R1527" s="845" t="s">
        <v>5203</v>
      </c>
      <c r="S1527" s="1127" t="s">
        <v>165</v>
      </c>
      <c r="T1527" s="885" t="s">
        <v>5204</v>
      </c>
      <c r="U1527" s="886">
        <v>2</v>
      </c>
      <c r="V1527" s="842" t="s">
        <v>8</v>
      </c>
      <c r="W1527" s="846">
        <v>170</v>
      </c>
      <c r="X1527" s="847">
        <v>340</v>
      </c>
      <c r="Y1527" s="853">
        <v>0.45</v>
      </c>
      <c r="Z1527" s="849">
        <v>93.500000000000014</v>
      </c>
      <c r="AA1527" s="849"/>
      <c r="AB1527" s="849">
        <f t="shared" si="282"/>
        <v>187.00000000000003</v>
      </c>
      <c r="AC1527" s="850">
        <f t="shared" si="283"/>
        <v>187.00000000000003</v>
      </c>
      <c r="AD1527" s="851">
        <f t="shared" si="281"/>
        <v>27000</v>
      </c>
      <c r="AE1527" s="852">
        <v>26202</v>
      </c>
      <c r="AF1527" s="853">
        <v>0</v>
      </c>
      <c r="AG1527" s="854">
        <f t="shared" si="284"/>
        <v>0</v>
      </c>
      <c r="AH1527" s="853">
        <v>0.08</v>
      </c>
      <c r="AI1527" s="855">
        <f t="shared" si="285"/>
        <v>391981.9200000001</v>
      </c>
      <c r="AJ1527" s="845" t="s">
        <v>4950</v>
      </c>
      <c r="AK1527" s="857">
        <v>45901</v>
      </c>
      <c r="AL1527" s="843" t="s">
        <v>4957</v>
      </c>
      <c r="AM1527" s="843" t="s">
        <v>4958</v>
      </c>
      <c r="AN1527" s="844" t="s">
        <v>4959</v>
      </c>
      <c r="AO1527" s="844" t="s">
        <v>141</v>
      </c>
      <c r="AP1527" s="841"/>
      <c r="AQ1527" s="841">
        <v>45914</v>
      </c>
      <c r="AR1527" s="841">
        <v>45921</v>
      </c>
      <c r="AS1527" s="842" t="s">
        <v>1874</v>
      </c>
      <c r="AT1527" s="842" t="s">
        <v>1235</v>
      </c>
      <c r="AU1527" s="842"/>
      <c r="AV1527" s="845" t="s">
        <v>4960</v>
      </c>
      <c r="AW1527" s="861">
        <v>45920</v>
      </c>
      <c r="AX1527" s="862">
        <v>45929</v>
      </c>
      <c r="AY1527" s="843" t="s">
        <v>5202</v>
      </c>
      <c r="AZ1527" s="842" t="s">
        <v>4798</v>
      </c>
      <c r="BA1527" s="842" t="s">
        <v>120</v>
      </c>
      <c r="BB1527" s="863" t="s">
        <v>121</v>
      </c>
      <c r="BC1527" s="864">
        <v>45930</v>
      </c>
      <c r="BD1527" s="860" t="s">
        <v>4962</v>
      </c>
      <c r="BE1527" s="865" cm="1">
        <f t="array" ref="BE1527">IF(BD1527="","",AC1527/SUMPRODUCT(--(BD1527=$BD$4:$BD$12824),$AC$4:$AC$12824))</f>
        <v>7.5734625870948237E-3</v>
      </c>
      <c r="BF1527" s="458"/>
      <c r="BG1527" s="458"/>
      <c r="BH1527" s="458"/>
      <c r="BI1527" s="458"/>
      <c r="BJ1527" s="458"/>
      <c r="BK1527" s="458"/>
      <c r="BL1527" s="458"/>
      <c r="BM1527" s="458"/>
      <c r="BN1527" s="458"/>
      <c r="BO1527" s="866">
        <f>VLOOKUP(BD1527,$BD$4:$BN$12824,3,0)*BE1527</f>
        <v>0</v>
      </c>
      <c r="BP1527" s="866"/>
      <c r="BQ1527" s="866"/>
      <c r="BR1527" s="866">
        <f>VLOOKUP(BD1527,$BD$4:$BN$12824,6,0)*BE1527</f>
        <v>63949.476589585676</v>
      </c>
      <c r="BS1527" s="866">
        <f>VLOOKUP(BD1527,$BD$4:$BN$12824,7,0)*BE1527</f>
        <v>4512.2139296631894</v>
      </c>
      <c r="BT1527" s="866"/>
      <c r="BU1527" s="866">
        <f>VLOOKUP(BD1527,$BD$4:$BN$12824,9,0)*BE1527</f>
        <v>2044.8348985156024</v>
      </c>
      <c r="BV1527" s="867"/>
      <c r="BW1527" s="867">
        <f>VLOOKUP(BD1527,$BD$4:$BN$12824,11,0)*BE1527</f>
        <v>39543.292156136762</v>
      </c>
      <c r="BX1527" s="1146">
        <f t="shared" si="286"/>
        <v>110049.81757390124</v>
      </c>
      <c r="BY1527" s="867">
        <f t="shared" si="289"/>
        <v>2504911.9087869511</v>
      </c>
      <c r="BZ1527" s="867">
        <f t="shared" si="287"/>
        <v>5009823.8175739022</v>
      </c>
      <c r="CA1527" s="867">
        <f>_xlfn.MAXIFS($BY$4:$BY$12824,$S$4:$S$12824,$S1527)</f>
        <v>2798643.9616483245</v>
      </c>
      <c r="CB1527" s="1032"/>
      <c r="CF1527" s="946">
        <f t="shared" si="288"/>
        <v>4899774.0000000009</v>
      </c>
    </row>
    <row r="1528" spans="2:84">
      <c r="B1528" s="839" t="s">
        <v>98</v>
      </c>
      <c r="C1528" s="839" t="s">
        <v>131</v>
      </c>
      <c r="D1528" s="839" t="s">
        <v>4950</v>
      </c>
      <c r="E1528" s="839" t="s">
        <v>4994</v>
      </c>
      <c r="F1528" s="841">
        <v>45883</v>
      </c>
      <c r="G1528" s="840" t="s">
        <v>155</v>
      </c>
      <c r="H1528" s="842" t="s">
        <v>134</v>
      </c>
      <c r="I1528" s="883"/>
      <c r="J1528" s="841"/>
      <c r="K1528" s="841"/>
      <c r="L1528" s="843" t="s">
        <v>106</v>
      </c>
      <c r="M1528" s="844" t="s">
        <v>417</v>
      </c>
      <c r="N1528" s="841">
        <v>45884</v>
      </c>
      <c r="O1528" s="884" t="s">
        <v>108</v>
      </c>
      <c r="P1528" s="842" t="s">
        <v>4990</v>
      </c>
      <c r="Q1528" s="843"/>
      <c r="R1528" s="845" t="s">
        <v>5205</v>
      </c>
      <c r="S1528" s="1127" t="s">
        <v>2055</v>
      </c>
      <c r="T1528" s="885" t="s">
        <v>5206</v>
      </c>
      <c r="U1528" s="886">
        <v>2</v>
      </c>
      <c r="V1528" s="842" t="s">
        <v>8</v>
      </c>
      <c r="W1528" s="846">
        <v>170</v>
      </c>
      <c r="X1528" s="847">
        <v>340</v>
      </c>
      <c r="Y1528" s="853">
        <v>0.45</v>
      </c>
      <c r="Z1528" s="849">
        <v>93.500000000000014</v>
      </c>
      <c r="AA1528" s="849"/>
      <c r="AB1528" s="849">
        <f t="shared" si="282"/>
        <v>187.00000000000003</v>
      </c>
      <c r="AC1528" s="850">
        <f t="shared" si="283"/>
        <v>187.00000000000003</v>
      </c>
      <c r="AD1528" s="851">
        <f t="shared" si="281"/>
        <v>27000</v>
      </c>
      <c r="AE1528" s="852">
        <v>26202</v>
      </c>
      <c r="AF1528" s="853">
        <v>0</v>
      </c>
      <c r="AG1528" s="854">
        <f t="shared" si="284"/>
        <v>0</v>
      </c>
      <c r="AH1528" s="853">
        <v>0.08</v>
      </c>
      <c r="AI1528" s="855">
        <f t="shared" si="285"/>
        <v>391981.9200000001</v>
      </c>
      <c r="AJ1528" s="845" t="s">
        <v>4950</v>
      </c>
      <c r="AK1528" s="857">
        <v>45901</v>
      </c>
      <c r="AL1528" s="843" t="s">
        <v>4957</v>
      </c>
      <c r="AM1528" s="843" t="s">
        <v>4958</v>
      </c>
      <c r="AN1528" s="844" t="s">
        <v>4959</v>
      </c>
      <c r="AO1528" s="844" t="s">
        <v>141</v>
      </c>
      <c r="AP1528" s="841"/>
      <c r="AQ1528" s="841">
        <v>45914</v>
      </c>
      <c r="AR1528" s="841">
        <v>45921</v>
      </c>
      <c r="AS1528" s="842" t="s">
        <v>1874</v>
      </c>
      <c r="AT1528" s="842" t="s">
        <v>1235</v>
      </c>
      <c r="AU1528" s="842"/>
      <c r="AV1528" s="845" t="s">
        <v>4960</v>
      </c>
      <c r="AW1528" s="861">
        <v>45920</v>
      </c>
      <c r="AX1528" s="862">
        <v>45929</v>
      </c>
      <c r="AY1528" s="843" t="s">
        <v>5202</v>
      </c>
      <c r="AZ1528" s="842" t="s">
        <v>4798</v>
      </c>
      <c r="BA1528" s="842" t="s">
        <v>120</v>
      </c>
      <c r="BB1528" s="863" t="s">
        <v>121</v>
      </c>
      <c r="BC1528" s="864">
        <v>45930</v>
      </c>
      <c r="BD1528" s="860" t="s">
        <v>4962</v>
      </c>
      <c r="BE1528" s="865" cm="1">
        <f t="array" ref="BE1528">IF(BD1528="","",AC1528/SUMPRODUCT(--(BD1528=$BD$4:$BD$12824),$AC$4:$AC$12824))</f>
        <v>7.5734625870948237E-3</v>
      </c>
      <c r="BF1528" s="458"/>
      <c r="BG1528" s="458"/>
      <c r="BH1528" s="458"/>
      <c r="BI1528" s="458"/>
      <c r="BJ1528" s="458"/>
      <c r="BK1528" s="458"/>
      <c r="BL1528" s="458"/>
      <c r="BM1528" s="458"/>
      <c r="BN1528" s="458"/>
      <c r="BO1528" s="866">
        <f>VLOOKUP(BD1528,$BD$4:$BN$12824,3,0)*BE1528</f>
        <v>0</v>
      </c>
      <c r="BP1528" s="866"/>
      <c r="BQ1528" s="866"/>
      <c r="BR1528" s="866">
        <f>VLOOKUP(BD1528,$BD$4:$BN$12824,6,0)*BE1528</f>
        <v>63949.476589585676</v>
      </c>
      <c r="BS1528" s="866">
        <f>VLOOKUP(BD1528,$BD$4:$BN$12824,7,0)*BE1528</f>
        <v>4512.2139296631894</v>
      </c>
      <c r="BT1528" s="866"/>
      <c r="BU1528" s="866">
        <f>VLOOKUP(BD1528,$BD$4:$BN$12824,9,0)*BE1528</f>
        <v>2044.8348985156024</v>
      </c>
      <c r="BV1528" s="867"/>
      <c r="BW1528" s="867">
        <f>VLOOKUP(BD1528,$BD$4:$BN$12824,11,0)*BE1528</f>
        <v>39543.292156136762</v>
      </c>
      <c r="BX1528" s="1146">
        <f t="shared" si="286"/>
        <v>110049.81757390124</v>
      </c>
      <c r="BY1528" s="867">
        <f t="shared" si="289"/>
        <v>2504911.9087869511</v>
      </c>
      <c r="BZ1528" s="867">
        <f t="shared" si="287"/>
        <v>5009823.8175739022</v>
      </c>
      <c r="CA1528" s="867">
        <f>_xlfn.MAXIFS($BY$4:$BY$12824,$S$4:$S$12824,$S1528)</f>
        <v>2504911.9087869511</v>
      </c>
      <c r="CB1528" s="1032"/>
      <c r="CF1528" s="946">
        <f t="shared" si="288"/>
        <v>4899774.0000000009</v>
      </c>
    </row>
    <row r="1529" spans="2:84">
      <c r="B1529" s="839" t="s">
        <v>98</v>
      </c>
      <c r="C1529" s="839" t="s">
        <v>131</v>
      </c>
      <c r="D1529" s="839" t="s">
        <v>4950</v>
      </c>
      <c r="E1529" s="839" t="s">
        <v>4994</v>
      </c>
      <c r="F1529" s="841">
        <v>45883</v>
      </c>
      <c r="G1529" s="840" t="s">
        <v>155</v>
      </c>
      <c r="H1529" s="842" t="s">
        <v>134</v>
      </c>
      <c r="I1529" s="883"/>
      <c r="J1529" s="841"/>
      <c r="K1529" s="841"/>
      <c r="L1529" s="843" t="s">
        <v>106</v>
      </c>
      <c r="M1529" s="844" t="s">
        <v>417</v>
      </c>
      <c r="N1529" s="841">
        <v>45884</v>
      </c>
      <c r="O1529" s="884" t="s">
        <v>108</v>
      </c>
      <c r="P1529" s="842" t="s">
        <v>4990</v>
      </c>
      <c r="Q1529" s="843"/>
      <c r="R1529" s="845" t="s">
        <v>3658</v>
      </c>
      <c r="S1529" s="1127" t="s">
        <v>5207</v>
      </c>
      <c r="T1529" s="885" t="s">
        <v>5208</v>
      </c>
      <c r="U1529" s="886">
        <v>4</v>
      </c>
      <c r="V1529" s="842" t="s">
        <v>8</v>
      </c>
      <c r="W1529" s="846">
        <v>170</v>
      </c>
      <c r="X1529" s="847">
        <v>680</v>
      </c>
      <c r="Y1529" s="853">
        <v>0.45</v>
      </c>
      <c r="Z1529" s="849">
        <v>93.500000000000014</v>
      </c>
      <c r="AA1529" s="849"/>
      <c r="AB1529" s="849">
        <f t="shared" si="282"/>
        <v>374.00000000000006</v>
      </c>
      <c r="AC1529" s="850">
        <f t="shared" si="283"/>
        <v>374.00000000000006</v>
      </c>
      <c r="AD1529" s="851">
        <f t="shared" ref="AD1529:AD1592" si="290">IF(V1529=$AD$2,$AE$2,$AE$3)</f>
        <v>27000</v>
      </c>
      <c r="AE1529" s="852">
        <v>26202</v>
      </c>
      <c r="AF1529" s="853">
        <v>0</v>
      </c>
      <c r="AG1529" s="854">
        <f t="shared" si="284"/>
        <v>0</v>
      </c>
      <c r="AH1529" s="853">
        <v>0.08</v>
      </c>
      <c r="AI1529" s="855">
        <f t="shared" si="285"/>
        <v>783963.8400000002</v>
      </c>
      <c r="AJ1529" s="845" t="s">
        <v>4950</v>
      </c>
      <c r="AK1529" s="857">
        <v>45901</v>
      </c>
      <c r="AL1529" s="843" t="s">
        <v>4957</v>
      </c>
      <c r="AM1529" s="843" t="s">
        <v>4958</v>
      </c>
      <c r="AN1529" s="844" t="s">
        <v>4959</v>
      </c>
      <c r="AO1529" s="844" t="s">
        <v>141</v>
      </c>
      <c r="AP1529" s="841"/>
      <c r="AQ1529" s="841">
        <v>45914</v>
      </c>
      <c r="AR1529" s="841">
        <v>45921</v>
      </c>
      <c r="AS1529" s="842" t="s">
        <v>1874</v>
      </c>
      <c r="AT1529" s="842" t="s">
        <v>1235</v>
      </c>
      <c r="AU1529" s="842"/>
      <c r="AV1529" s="845" t="s">
        <v>4960</v>
      </c>
      <c r="AW1529" s="861">
        <v>45920</v>
      </c>
      <c r="AX1529" s="862">
        <v>45929</v>
      </c>
      <c r="AY1529" s="843" t="s">
        <v>5202</v>
      </c>
      <c r="AZ1529" s="842" t="s">
        <v>4798</v>
      </c>
      <c r="BA1529" s="842" t="s">
        <v>120</v>
      </c>
      <c r="BB1529" s="863" t="s">
        <v>121</v>
      </c>
      <c r="BC1529" s="864">
        <v>45930</v>
      </c>
      <c r="BD1529" s="860" t="s">
        <v>4962</v>
      </c>
      <c r="BE1529" s="865" cm="1">
        <f t="array" ref="BE1529">IF(BD1529="","",AC1529/SUMPRODUCT(--(BD1529=$BD$4:$BD$12824),$AC$4:$AC$12824))</f>
        <v>1.5146925174189647E-2</v>
      </c>
      <c r="BF1529" s="458"/>
      <c r="BG1529" s="458"/>
      <c r="BH1529" s="458"/>
      <c r="BI1529" s="458"/>
      <c r="BJ1529" s="458"/>
      <c r="BK1529" s="458"/>
      <c r="BL1529" s="458"/>
      <c r="BM1529" s="458"/>
      <c r="BN1529" s="458"/>
      <c r="BO1529" s="866">
        <f>VLOOKUP(BD1529,$BD$4:$BN$12824,3,0)*BE1529</f>
        <v>0</v>
      </c>
      <c r="BP1529" s="866"/>
      <c r="BQ1529" s="866"/>
      <c r="BR1529" s="866">
        <f>VLOOKUP(BD1529,$BD$4:$BN$12824,6,0)*BE1529</f>
        <v>127898.95317917135</v>
      </c>
      <c r="BS1529" s="866">
        <f>VLOOKUP(BD1529,$BD$4:$BN$12824,7,0)*BE1529</f>
        <v>9024.4278593263789</v>
      </c>
      <c r="BT1529" s="866"/>
      <c r="BU1529" s="866">
        <f>VLOOKUP(BD1529,$BD$4:$BN$12824,9,0)*BE1529</f>
        <v>4089.6697970312048</v>
      </c>
      <c r="BV1529" s="867"/>
      <c r="BW1529" s="867">
        <f>VLOOKUP(BD1529,$BD$4:$BN$12824,11,0)*BE1529</f>
        <v>79086.584312273524</v>
      </c>
      <c r="BX1529" s="1146">
        <f t="shared" si="286"/>
        <v>220099.63514780247</v>
      </c>
      <c r="BY1529" s="867">
        <f t="shared" si="289"/>
        <v>2504911.9087869511</v>
      </c>
      <c r="BZ1529" s="867">
        <f t="shared" si="287"/>
        <v>10019647.635147804</v>
      </c>
      <c r="CA1529" s="867">
        <f>_xlfn.MAXIFS($BY$4:$BY$12824,$S$4:$S$12824,$S1529)</f>
        <v>2504911.9087869511</v>
      </c>
      <c r="CB1529" s="1032"/>
      <c r="CF1529" s="946">
        <f t="shared" si="288"/>
        <v>9799548.0000000019</v>
      </c>
    </row>
    <row r="1530" spans="2:84">
      <c r="B1530" s="839" t="s">
        <v>98</v>
      </c>
      <c r="C1530" s="839" t="s">
        <v>131</v>
      </c>
      <c r="D1530" s="839" t="s">
        <v>4950</v>
      </c>
      <c r="E1530" s="839" t="s">
        <v>4994</v>
      </c>
      <c r="F1530" s="841">
        <v>45883</v>
      </c>
      <c r="G1530" s="840" t="s">
        <v>155</v>
      </c>
      <c r="H1530" s="842" t="s">
        <v>134</v>
      </c>
      <c r="I1530" s="883"/>
      <c r="J1530" s="841"/>
      <c r="K1530" s="841"/>
      <c r="L1530" s="843" t="s">
        <v>106</v>
      </c>
      <c r="M1530" s="844" t="s">
        <v>417</v>
      </c>
      <c r="N1530" s="841">
        <v>45884</v>
      </c>
      <c r="O1530" s="884" t="s">
        <v>108</v>
      </c>
      <c r="P1530" s="842" t="s">
        <v>4990</v>
      </c>
      <c r="Q1530" s="843"/>
      <c r="R1530" s="845" t="s">
        <v>5209</v>
      </c>
      <c r="S1530" s="1127" t="s">
        <v>162</v>
      </c>
      <c r="T1530" s="885" t="s">
        <v>5210</v>
      </c>
      <c r="U1530" s="886">
        <v>2</v>
      </c>
      <c r="V1530" s="842" t="s">
        <v>8</v>
      </c>
      <c r="W1530" s="846">
        <v>170</v>
      </c>
      <c r="X1530" s="847">
        <v>340</v>
      </c>
      <c r="Y1530" s="853">
        <v>0.45</v>
      </c>
      <c r="Z1530" s="849">
        <v>93.500000000000014</v>
      </c>
      <c r="AA1530" s="849"/>
      <c r="AB1530" s="849">
        <f t="shared" si="282"/>
        <v>187.00000000000003</v>
      </c>
      <c r="AC1530" s="850">
        <f t="shared" si="283"/>
        <v>187.00000000000003</v>
      </c>
      <c r="AD1530" s="851">
        <f t="shared" si="290"/>
        <v>27000</v>
      </c>
      <c r="AE1530" s="852">
        <v>26202</v>
      </c>
      <c r="AF1530" s="853">
        <v>0</v>
      </c>
      <c r="AG1530" s="854">
        <f t="shared" si="284"/>
        <v>0</v>
      </c>
      <c r="AH1530" s="853">
        <v>0.08</v>
      </c>
      <c r="AI1530" s="855">
        <f t="shared" si="285"/>
        <v>391981.9200000001</v>
      </c>
      <c r="AJ1530" s="845" t="s">
        <v>4950</v>
      </c>
      <c r="AK1530" s="857">
        <v>45901</v>
      </c>
      <c r="AL1530" s="843" t="s">
        <v>4957</v>
      </c>
      <c r="AM1530" s="843" t="s">
        <v>4958</v>
      </c>
      <c r="AN1530" s="844" t="s">
        <v>4959</v>
      </c>
      <c r="AO1530" s="844" t="s">
        <v>141</v>
      </c>
      <c r="AP1530" s="841"/>
      <c r="AQ1530" s="841">
        <v>45914</v>
      </c>
      <c r="AR1530" s="841">
        <v>45921</v>
      </c>
      <c r="AS1530" s="842" t="s">
        <v>1874</v>
      </c>
      <c r="AT1530" s="842" t="s">
        <v>1235</v>
      </c>
      <c r="AU1530" s="842"/>
      <c r="AV1530" s="845" t="s">
        <v>4960</v>
      </c>
      <c r="AW1530" s="861">
        <v>45920</v>
      </c>
      <c r="AX1530" s="862">
        <v>45929</v>
      </c>
      <c r="AY1530" s="843" t="s">
        <v>5202</v>
      </c>
      <c r="AZ1530" s="842" t="s">
        <v>4798</v>
      </c>
      <c r="BA1530" s="842" t="s">
        <v>120</v>
      </c>
      <c r="BB1530" s="863" t="s">
        <v>121</v>
      </c>
      <c r="BC1530" s="864">
        <v>45930</v>
      </c>
      <c r="BD1530" s="860" t="s">
        <v>4962</v>
      </c>
      <c r="BE1530" s="865" cm="1">
        <f t="array" ref="BE1530">IF(BD1530="","",AC1530/SUMPRODUCT(--(BD1530=$BD$4:$BD$12824),$AC$4:$AC$12824))</f>
        <v>7.5734625870948237E-3</v>
      </c>
      <c r="BF1530" s="458"/>
      <c r="BG1530" s="458"/>
      <c r="BH1530" s="458"/>
      <c r="BI1530" s="458"/>
      <c r="BJ1530" s="458"/>
      <c r="BK1530" s="458"/>
      <c r="BL1530" s="458"/>
      <c r="BM1530" s="458"/>
      <c r="BN1530" s="458"/>
      <c r="BO1530" s="866">
        <f>VLOOKUP(BD1530,$BD$4:$BN$12824,3,0)*BE1530</f>
        <v>0</v>
      </c>
      <c r="BP1530" s="866"/>
      <c r="BQ1530" s="866"/>
      <c r="BR1530" s="866">
        <f>VLOOKUP(BD1530,$BD$4:$BN$12824,6,0)*BE1530</f>
        <v>63949.476589585676</v>
      </c>
      <c r="BS1530" s="866">
        <f>VLOOKUP(BD1530,$BD$4:$BN$12824,7,0)*BE1530</f>
        <v>4512.2139296631894</v>
      </c>
      <c r="BT1530" s="866"/>
      <c r="BU1530" s="866">
        <f>VLOOKUP(BD1530,$BD$4:$BN$12824,9,0)*BE1530</f>
        <v>2044.8348985156024</v>
      </c>
      <c r="BV1530" s="867"/>
      <c r="BW1530" s="867">
        <f>VLOOKUP(BD1530,$BD$4:$BN$12824,11,0)*BE1530</f>
        <v>39543.292156136762</v>
      </c>
      <c r="BX1530" s="1146">
        <f t="shared" si="286"/>
        <v>110049.81757390124</v>
      </c>
      <c r="BY1530" s="867">
        <f t="shared" si="289"/>
        <v>2504911.9087869511</v>
      </c>
      <c r="BZ1530" s="867">
        <f t="shared" si="287"/>
        <v>5009823.8175739022</v>
      </c>
      <c r="CA1530" s="867">
        <f>_xlfn.MAXIFS($BY$4:$BY$12824,$S$4:$S$12824,$S1530)</f>
        <v>4101317.8229847006</v>
      </c>
      <c r="CB1530" s="1032"/>
      <c r="CF1530" s="946">
        <f t="shared" si="288"/>
        <v>4899774.0000000009</v>
      </c>
    </row>
    <row r="1531" spans="2:84">
      <c r="B1531" s="839" t="s">
        <v>98</v>
      </c>
      <c r="C1531" s="839" t="s">
        <v>131</v>
      </c>
      <c r="D1531" s="839" t="s">
        <v>4950</v>
      </c>
      <c r="E1531" s="839" t="s">
        <v>4994</v>
      </c>
      <c r="F1531" s="841">
        <v>45883</v>
      </c>
      <c r="G1531" s="840" t="s">
        <v>155</v>
      </c>
      <c r="H1531" s="842" t="s">
        <v>134</v>
      </c>
      <c r="I1531" s="883"/>
      <c r="J1531" s="841"/>
      <c r="K1531" s="841"/>
      <c r="L1531" s="843" t="s">
        <v>106</v>
      </c>
      <c r="M1531" s="844" t="s">
        <v>417</v>
      </c>
      <c r="N1531" s="841">
        <v>45884</v>
      </c>
      <c r="O1531" s="884" t="s">
        <v>108</v>
      </c>
      <c r="P1531" s="842" t="s">
        <v>4990</v>
      </c>
      <c r="Q1531" s="843"/>
      <c r="R1531" s="845" t="s">
        <v>4991</v>
      </c>
      <c r="S1531" s="1127" t="s">
        <v>2075</v>
      </c>
      <c r="T1531" s="885" t="s">
        <v>5211</v>
      </c>
      <c r="U1531" s="886">
        <v>2</v>
      </c>
      <c r="V1531" s="842" t="s">
        <v>8</v>
      </c>
      <c r="W1531" s="846">
        <v>256</v>
      </c>
      <c r="X1531" s="847">
        <v>512</v>
      </c>
      <c r="Y1531" s="853">
        <v>0.45</v>
      </c>
      <c r="Z1531" s="849">
        <v>140.80000000000001</v>
      </c>
      <c r="AA1531" s="849"/>
      <c r="AB1531" s="849">
        <f t="shared" si="282"/>
        <v>281.60000000000002</v>
      </c>
      <c r="AC1531" s="850">
        <f t="shared" si="283"/>
        <v>281.60000000000002</v>
      </c>
      <c r="AD1531" s="851">
        <f t="shared" si="290"/>
        <v>27000</v>
      </c>
      <c r="AE1531" s="852">
        <v>26202</v>
      </c>
      <c r="AF1531" s="853">
        <v>0</v>
      </c>
      <c r="AG1531" s="854">
        <f t="shared" si="284"/>
        <v>0</v>
      </c>
      <c r="AH1531" s="853">
        <v>0.08</v>
      </c>
      <c r="AI1531" s="855">
        <f t="shared" si="285"/>
        <v>590278.65600000008</v>
      </c>
      <c r="AJ1531" s="845" t="s">
        <v>4950</v>
      </c>
      <c r="AK1531" s="857">
        <v>45901</v>
      </c>
      <c r="AL1531" s="843" t="s">
        <v>4957</v>
      </c>
      <c r="AM1531" s="843" t="s">
        <v>4958</v>
      </c>
      <c r="AN1531" s="844" t="s">
        <v>4959</v>
      </c>
      <c r="AO1531" s="844" t="s">
        <v>141</v>
      </c>
      <c r="AP1531" s="841"/>
      <c r="AQ1531" s="841">
        <v>45914</v>
      </c>
      <c r="AR1531" s="841">
        <v>45921</v>
      </c>
      <c r="AS1531" s="842" t="s">
        <v>1874</v>
      </c>
      <c r="AT1531" s="842" t="s">
        <v>1235</v>
      </c>
      <c r="AU1531" s="842"/>
      <c r="AV1531" s="845" t="s">
        <v>4960</v>
      </c>
      <c r="AW1531" s="861">
        <v>45920</v>
      </c>
      <c r="AX1531" s="862">
        <v>45929</v>
      </c>
      <c r="AY1531" s="843" t="s">
        <v>5202</v>
      </c>
      <c r="AZ1531" s="842" t="s">
        <v>4798</v>
      </c>
      <c r="BA1531" s="842" t="s">
        <v>120</v>
      </c>
      <c r="BB1531" s="863" t="s">
        <v>121</v>
      </c>
      <c r="BC1531" s="864">
        <v>45930</v>
      </c>
      <c r="BD1531" s="860" t="s">
        <v>4962</v>
      </c>
      <c r="BE1531" s="865" cm="1">
        <f t="array" ref="BE1531">IF(BD1531="","",AC1531/SUMPRODUCT(--(BD1531=$BD$4:$BD$12824),$AC$4:$AC$12824))</f>
        <v>1.1404743660566321E-2</v>
      </c>
      <c r="BF1531" s="458"/>
      <c r="BG1531" s="458"/>
      <c r="BH1531" s="458"/>
      <c r="BI1531" s="458"/>
      <c r="BJ1531" s="458"/>
      <c r="BK1531" s="458"/>
      <c r="BL1531" s="458"/>
      <c r="BM1531" s="458"/>
      <c r="BN1531" s="458"/>
      <c r="BO1531" s="866">
        <f>VLOOKUP(BD1531,$BD$4:$BN$12824,3,0)*BE1531</f>
        <v>0</v>
      </c>
      <c r="BP1531" s="866"/>
      <c r="BQ1531" s="866"/>
      <c r="BR1531" s="866">
        <f>VLOOKUP(BD1531,$BD$4:$BN$12824,6,0)*BE1531</f>
        <v>96300.38827608194</v>
      </c>
      <c r="BS1531" s="866">
        <f>VLOOKUP(BD1531,$BD$4:$BN$12824,7,0)*BE1531</f>
        <v>6794.8633293751536</v>
      </c>
      <c r="BT1531" s="866"/>
      <c r="BU1531" s="866">
        <f>VLOOKUP(BD1531,$BD$4:$BN$12824,9,0)*BE1531</f>
        <v>3079.2807883529067</v>
      </c>
      <c r="BV1531" s="867"/>
      <c r="BW1531" s="867">
        <f>VLOOKUP(BD1531,$BD$4:$BN$12824,11,0)*BE1531</f>
        <v>59547.545835123587</v>
      </c>
      <c r="BX1531" s="1146">
        <f t="shared" si="286"/>
        <v>165722.07822893356</v>
      </c>
      <c r="BY1531" s="867">
        <f t="shared" si="289"/>
        <v>3772102.639114467</v>
      </c>
      <c r="BZ1531" s="867">
        <f t="shared" si="287"/>
        <v>7544205.2782289339</v>
      </c>
      <c r="CA1531" s="867">
        <f>_xlfn.MAXIFS($BY$4:$BY$12824,$S$4:$S$12824,$S1531)</f>
        <v>3772102.639114467</v>
      </c>
      <c r="CB1531" s="1032"/>
      <c r="CF1531" s="946">
        <f t="shared" si="288"/>
        <v>7378483.2000000002</v>
      </c>
    </row>
    <row r="1532" spans="2:84">
      <c r="B1532" s="839" t="s">
        <v>98</v>
      </c>
      <c r="C1532" s="839" t="s">
        <v>131</v>
      </c>
      <c r="D1532" s="839" t="s">
        <v>4950</v>
      </c>
      <c r="E1532" s="839" t="s">
        <v>4994</v>
      </c>
      <c r="F1532" s="841">
        <v>45883</v>
      </c>
      <c r="G1532" s="840" t="s">
        <v>155</v>
      </c>
      <c r="H1532" s="842" t="s">
        <v>134</v>
      </c>
      <c r="I1532" s="883"/>
      <c r="J1532" s="841"/>
      <c r="K1532" s="841"/>
      <c r="L1532" s="843" t="s">
        <v>106</v>
      </c>
      <c r="M1532" s="844" t="s">
        <v>417</v>
      </c>
      <c r="N1532" s="841">
        <v>45884</v>
      </c>
      <c r="O1532" s="884" t="s">
        <v>108</v>
      </c>
      <c r="P1532" s="842" t="s">
        <v>4990</v>
      </c>
      <c r="Q1532" s="843"/>
      <c r="R1532" s="845" t="s">
        <v>3726</v>
      </c>
      <c r="S1532" s="1127" t="s">
        <v>1517</v>
      </c>
      <c r="T1532" s="885" t="s">
        <v>5212</v>
      </c>
      <c r="U1532" s="886">
        <v>2</v>
      </c>
      <c r="V1532" s="842" t="s">
        <v>8</v>
      </c>
      <c r="W1532" s="846">
        <v>488</v>
      </c>
      <c r="X1532" s="847">
        <v>976</v>
      </c>
      <c r="Y1532" s="853">
        <v>0.45</v>
      </c>
      <c r="Z1532" s="849">
        <v>268.40000000000003</v>
      </c>
      <c r="AA1532" s="849"/>
      <c r="AB1532" s="849">
        <f t="shared" si="282"/>
        <v>536.80000000000007</v>
      </c>
      <c r="AC1532" s="850">
        <f t="shared" si="283"/>
        <v>536.80000000000007</v>
      </c>
      <c r="AD1532" s="851">
        <f t="shared" si="290"/>
        <v>27000</v>
      </c>
      <c r="AE1532" s="852">
        <v>26202</v>
      </c>
      <c r="AF1532" s="853">
        <v>0</v>
      </c>
      <c r="AG1532" s="854">
        <f t="shared" si="284"/>
        <v>0</v>
      </c>
      <c r="AH1532" s="853">
        <v>0.08</v>
      </c>
      <c r="AI1532" s="855">
        <f t="shared" si="285"/>
        <v>1125218.6880000001</v>
      </c>
      <c r="AJ1532" s="845" t="s">
        <v>4950</v>
      </c>
      <c r="AK1532" s="857">
        <v>45901</v>
      </c>
      <c r="AL1532" s="843" t="s">
        <v>4957</v>
      </c>
      <c r="AM1532" s="843" t="s">
        <v>4958</v>
      </c>
      <c r="AN1532" s="844" t="s">
        <v>4959</v>
      </c>
      <c r="AO1532" s="844" t="s">
        <v>141</v>
      </c>
      <c r="AP1532" s="841"/>
      <c r="AQ1532" s="841">
        <v>45914</v>
      </c>
      <c r="AR1532" s="841">
        <v>45921</v>
      </c>
      <c r="AS1532" s="842" t="s">
        <v>1874</v>
      </c>
      <c r="AT1532" s="842" t="s">
        <v>1235</v>
      </c>
      <c r="AU1532" s="842"/>
      <c r="AV1532" s="845" t="s">
        <v>4960</v>
      </c>
      <c r="AW1532" s="861">
        <v>45920</v>
      </c>
      <c r="AX1532" s="862">
        <v>45929</v>
      </c>
      <c r="AY1532" s="843" t="s">
        <v>5213</v>
      </c>
      <c r="AZ1532" s="842" t="s">
        <v>5214</v>
      </c>
      <c r="BA1532" s="842" t="s">
        <v>120</v>
      </c>
      <c r="BB1532" s="863" t="s">
        <v>121</v>
      </c>
      <c r="BC1532" s="864">
        <v>45930</v>
      </c>
      <c r="BD1532" s="860" t="s">
        <v>4962</v>
      </c>
      <c r="BE1532" s="865" cm="1">
        <f t="array" ref="BE1532">IF(BD1532="","",AC1532/SUMPRODUCT(--(BD1532=$BD$4:$BD$12824),$AC$4:$AC$12824))</f>
        <v>2.1740292602954552E-2</v>
      </c>
      <c r="BF1532" s="458"/>
      <c r="BG1532" s="458"/>
      <c r="BH1532" s="458"/>
      <c r="BI1532" s="458"/>
      <c r="BJ1532" s="458"/>
      <c r="BK1532" s="458"/>
      <c r="BL1532" s="458"/>
      <c r="BM1532" s="458"/>
      <c r="BN1532" s="458"/>
      <c r="BO1532" s="866">
        <f>VLOOKUP(BD1532,$BD$4:$BN$12824,3,0)*BE1532</f>
        <v>0</v>
      </c>
      <c r="BP1532" s="866"/>
      <c r="BQ1532" s="866"/>
      <c r="BR1532" s="866">
        <f>VLOOKUP(BD1532,$BD$4:$BN$12824,6,0)*BE1532</f>
        <v>183572.61515128124</v>
      </c>
      <c r="BS1532" s="866">
        <f>VLOOKUP(BD1532,$BD$4:$BN$12824,7,0)*BE1532</f>
        <v>12952.708221621389</v>
      </c>
      <c r="BT1532" s="866"/>
      <c r="BU1532" s="866">
        <f>VLOOKUP(BD1532,$BD$4:$BN$12824,9,0)*BE1532</f>
        <v>5869.8790027977293</v>
      </c>
      <c r="BV1532" s="867"/>
      <c r="BW1532" s="867">
        <f>VLOOKUP(BD1532,$BD$4:$BN$12824,11,0)*BE1532</f>
        <v>113512.50924820435</v>
      </c>
      <c r="BX1532" s="1146">
        <f t="shared" si="286"/>
        <v>315907.71162390476</v>
      </c>
      <c r="BY1532" s="867">
        <f t="shared" si="289"/>
        <v>7190570.6558119534</v>
      </c>
      <c r="BZ1532" s="867">
        <f t="shared" si="287"/>
        <v>14381141.311623907</v>
      </c>
      <c r="CA1532" s="867">
        <f>_xlfn.MAXIFS($BY$4:$BY$12824,$S$4:$S$12824,$S1532)</f>
        <v>7190570.6558119534</v>
      </c>
      <c r="CB1532" s="1032"/>
      <c r="CF1532" s="946">
        <f t="shared" si="288"/>
        <v>14065233.600000001</v>
      </c>
    </row>
    <row r="1533" spans="2:84">
      <c r="B1533" s="839" t="s">
        <v>98</v>
      </c>
      <c r="C1533" s="839" t="s">
        <v>131</v>
      </c>
      <c r="D1533" s="839" t="s">
        <v>4950</v>
      </c>
      <c r="E1533" s="839" t="s">
        <v>4994</v>
      </c>
      <c r="F1533" s="841">
        <v>45883</v>
      </c>
      <c r="G1533" s="840" t="s">
        <v>155</v>
      </c>
      <c r="H1533" s="842" t="s">
        <v>134</v>
      </c>
      <c r="I1533" s="883"/>
      <c r="J1533" s="841"/>
      <c r="K1533" s="841"/>
      <c r="L1533" s="843" t="s">
        <v>106</v>
      </c>
      <c r="M1533" s="844" t="s">
        <v>417</v>
      </c>
      <c r="N1533" s="841">
        <v>45884</v>
      </c>
      <c r="O1533" s="884" t="s">
        <v>108</v>
      </c>
      <c r="P1533" s="842" t="s">
        <v>4990</v>
      </c>
      <c r="Q1533" s="843"/>
      <c r="R1533" s="845" t="s">
        <v>5215</v>
      </c>
      <c r="S1533" s="1127" t="s">
        <v>5216</v>
      </c>
      <c r="T1533" s="885" t="s">
        <v>5217</v>
      </c>
      <c r="U1533" s="886">
        <v>2</v>
      </c>
      <c r="V1533" s="842" t="s">
        <v>8</v>
      </c>
      <c r="W1533" s="846">
        <v>488</v>
      </c>
      <c r="X1533" s="847">
        <v>976</v>
      </c>
      <c r="Y1533" s="853">
        <v>0.45</v>
      </c>
      <c r="Z1533" s="849">
        <v>268.40000000000003</v>
      </c>
      <c r="AA1533" s="849"/>
      <c r="AB1533" s="849">
        <f t="shared" si="282"/>
        <v>536.80000000000007</v>
      </c>
      <c r="AC1533" s="850">
        <f t="shared" si="283"/>
        <v>536.80000000000007</v>
      </c>
      <c r="AD1533" s="851">
        <f t="shared" si="290"/>
        <v>27000</v>
      </c>
      <c r="AE1533" s="852">
        <v>26202</v>
      </c>
      <c r="AF1533" s="853">
        <v>0</v>
      </c>
      <c r="AG1533" s="854">
        <f t="shared" si="284"/>
        <v>0</v>
      </c>
      <c r="AH1533" s="853">
        <v>0.08</v>
      </c>
      <c r="AI1533" s="855">
        <f t="shared" si="285"/>
        <v>1125218.6880000001</v>
      </c>
      <c r="AJ1533" s="845" t="s">
        <v>4950</v>
      </c>
      <c r="AK1533" s="857">
        <v>45901</v>
      </c>
      <c r="AL1533" s="843" t="s">
        <v>4957</v>
      </c>
      <c r="AM1533" s="843" t="s">
        <v>4958</v>
      </c>
      <c r="AN1533" s="844" t="s">
        <v>4959</v>
      </c>
      <c r="AO1533" s="844" t="s">
        <v>141</v>
      </c>
      <c r="AP1533" s="841"/>
      <c r="AQ1533" s="841">
        <v>45914</v>
      </c>
      <c r="AR1533" s="841">
        <v>45921</v>
      </c>
      <c r="AS1533" s="842" t="s">
        <v>1874</v>
      </c>
      <c r="AT1533" s="842" t="s">
        <v>1235</v>
      </c>
      <c r="AU1533" s="842"/>
      <c r="AV1533" s="845" t="s">
        <v>4960</v>
      </c>
      <c r="AW1533" s="861">
        <v>45920</v>
      </c>
      <c r="AX1533" s="862">
        <v>45929</v>
      </c>
      <c r="AY1533" s="843" t="s">
        <v>5213</v>
      </c>
      <c r="AZ1533" s="842" t="s">
        <v>5214</v>
      </c>
      <c r="BA1533" s="842" t="s">
        <v>120</v>
      </c>
      <c r="BB1533" s="863" t="s">
        <v>121</v>
      </c>
      <c r="BC1533" s="864">
        <v>45930</v>
      </c>
      <c r="BD1533" s="860" t="s">
        <v>4962</v>
      </c>
      <c r="BE1533" s="865" cm="1">
        <f t="array" ref="BE1533">IF(BD1533="","",AC1533/SUMPRODUCT(--(BD1533=$BD$4:$BD$12824),$AC$4:$AC$12824))</f>
        <v>2.1740292602954552E-2</v>
      </c>
      <c r="BF1533" s="458"/>
      <c r="BG1533" s="458"/>
      <c r="BH1533" s="458"/>
      <c r="BI1533" s="458"/>
      <c r="BJ1533" s="458"/>
      <c r="BK1533" s="458"/>
      <c r="BL1533" s="458"/>
      <c r="BM1533" s="458"/>
      <c r="BN1533" s="458"/>
      <c r="BO1533" s="866">
        <f>VLOOKUP(BD1533,$BD$4:$BN$12824,3,0)*BE1533</f>
        <v>0</v>
      </c>
      <c r="BP1533" s="866"/>
      <c r="BQ1533" s="866"/>
      <c r="BR1533" s="866">
        <f>VLOOKUP(BD1533,$BD$4:$BN$12824,6,0)*BE1533</f>
        <v>183572.61515128124</v>
      </c>
      <c r="BS1533" s="866">
        <f>VLOOKUP(BD1533,$BD$4:$BN$12824,7,0)*BE1533</f>
        <v>12952.708221621389</v>
      </c>
      <c r="BT1533" s="866"/>
      <c r="BU1533" s="866">
        <f>VLOOKUP(BD1533,$BD$4:$BN$12824,9,0)*BE1533</f>
        <v>5869.8790027977293</v>
      </c>
      <c r="BV1533" s="867"/>
      <c r="BW1533" s="867">
        <f>VLOOKUP(BD1533,$BD$4:$BN$12824,11,0)*BE1533</f>
        <v>113512.50924820435</v>
      </c>
      <c r="BX1533" s="1146">
        <f t="shared" si="286"/>
        <v>315907.71162390476</v>
      </c>
      <c r="BY1533" s="867">
        <f t="shared" si="289"/>
        <v>7190570.6558119534</v>
      </c>
      <c r="BZ1533" s="867">
        <f t="shared" si="287"/>
        <v>14381141.311623907</v>
      </c>
      <c r="CA1533" s="867">
        <f>_xlfn.MAXIFS($BY$4:$BY$12824,$S$4:$S$12824,$S1533)</f>
        <v>7190570.6558119534</v>
      </c>
      <c r="CB1533" s="1032"/>
      <c r="CF1533" s="946">
        <f t="shared" si="288"/>
        <v>14065233.600000001</v>
      </c>
    </row>
    <row r="1534" spans="2:84">
      <c r="B1534" s="839" t="s">
        <v>98</v>
      </c>
      <c r="C1534" s="839" t="s">
        <v>131</v>
      </c>
      <c r="D1534" s="839" t="s">
        <v>4950</v>
      </c>
      <c r="E1534" s="839" t="s">
        <v>4994</v>
      </c>
      <c r="F1534" s="841">
        <v>45883</v>
      </c>
      <c r="G1534" s="868" t="s">
        <v>149</v>
      </c>
      <c r="H1534" s="842" t="s">
        <v>134</v>
      </c>
      <c r="I1534" s="883"/>
      <c r="J1534" s="841"/>
      <c r="K1534" s="841"/>
      <c r="L1534" s="843" t="s">
        <v>106</v>
      </c>
      <c r="M1534" s="844" t="s">
        <v>417</v>
      </c>
      <c r="N1534" s="841">
        <v>45884</v>
      </c>
      <c r="O1534" s="884" t="s">
        <v>108</v>
      </c>
      <c r="P1534" s="842" t="s">
        <v>3622</v>
      </c>
      <c r="Q1534" s="843"/>
      <c r="R1534" s="845" t="s">
        <v>5218</v>
      </c>
      <c r="S1534" s="1127" t="s">
        <v>5219</v>
      </c>
      <c r="T1534" s="885" t="s">
        <v>5220</v>
      </c>
      <c r="U1534" s="886">
        <v>2</v>
      </c>
      <c r="V1534" s="842" t="s">
        <v>8</v>
      </c>
      <c r="W1534" s="846">
        <v>1343</v>
      </c>
      <c r="X1534" s="847">
        <v>2686</v>
      </c>
      <c r="Y1534" s="853">
        <v>0.5</v>
      </c>
      <c r="Z1534" s="849">
        <v>671.5</v>
      </c>
      <c r="AA1534" s="849"/>
      <c r="AB1534" s="849">
        <f t="shared" si="282"/>
        <v>1343</v>
      </c>
      <c r="AC1534" s="850">
        <f t="shared" si="283"/>
        <v>1343</v>
      </c>
      <c r="AD1534" s="851">
        <f t="shared" si="290"/>
        <v>27000</v>
      </c>
      <c r="AE1534" s="852">
        <v>26202</v>
      </c>
      <c r="AF1534" s="853">
        <v>0.3</v>
      </c>
      <c r="AG1534" s="854">
        <f t="shared" si="284"/>
        <v>10566507.570012091</v>
      </c>
      <c r="AH1534" s="853">
        <v>0.08</v>
      </c>
      <c r="AI1534" s="855">
        <f t="shared" si="285"/>
        <v>3660463.4856009674</v>
      </c>
      <c r="AJ1534" s="845" t="s">
        <v>4950</v>
      </c>
      <c r="AK1534" s="857">
        <v>45901</v>
      </c>
      <c r="AL1534" s="843" t="s">
        <v>4957</v>
      </c>
      <c r="AM1534" s="843" t="s">
        <v>4958</v>
      </c>
      <c r="AN1534" s="844" t="s">
        <v>4959</v>
      </c>
      <c r="AO1534" s="844" t="s">
        <v>141</v>
      </c>
      <c r="AP1534" s="841"/>
      <c r="AQ1534" s="841">
        <v>45914</v>
      </c>
      <c r="AR1534" s="841">
        <v>45921</v>
      </c>
      <c r="AS1534" s="842" t="s">
        <v>1874</v>
      </c>
      <c r="AT1534" s="842" t="s">
        <v>1235</v>
      </c>
      <c r="AU1534" s="842"/>
      <c r="AV1534" s="845" t="s">
        <v>4960</v>
      </c>
      <c r="AW1534" s="861">
        <v>45920</v>
      </c>
      <c r="AX1534" s="862">
        <v>45929</v>
      </c>
      <c r="AY1534" s="843" t="s">
        <v>5221</v>
      </c>
      <c r="AZ1534" s="842" t="s">
        <v>4813</v>
      </c>
      <c r="BA1534" s="842" t="s">
        <v>120</v>
      </c>
      <c r="BB1534" s="863" t="s">
        <v>121</v>
      </c>
      <c r="BC1534" s="864">
        <v>45930</v>
      </c>
      <c r="BD1534" s="860" t="s">
        <v>4962</v>
      </c>
      <c r="BE1534" s="865" cm="1">
        <f t="array" ref="BE1534">IF(BD1534="","",AC1534/SUMPRODUCT(--(BD1534=$BD$4:$BD$12824),$AC$4:$AC$12824))</f>
        <v>5.4391231307317357E-2</v>
      </c>
      <c r="BF1534" s="458"/>
      <c r="BG1534" s="458"/>
      <c r="BH1534" s="458"/>
      <c r="BI1534" s="458"/>
      <c r="BJ1534" s="458"/>
      <c r="BK1534" s="458"/>
      <c r="BL1534" s="458"/>
      <c r="BM1534" s="458"/>
      <c r="BN1534" s="458"/>
      <c r="BO1534" s="866">
        <f>VLOOKUP(BD1534,$BD$4:$BN$12824,3,0)*BE1534</f>
        <v>0</v>
      </c>
      <c r="BP1534" s="866"/>
      <c r="BQ1534" s="866"/>
      <c r="BR1534" s="866">
        <f>VLOOKUP(BD1534,$BD$4:$BN$12824,6,0)*BE1534</f>
        <v>459273.51368884247</v>
      </c>
      <c r="BS1534" s="866">
        <f>VLOOKUP(BD1534,$BD$4:$BN$12824,7,0)*BE1534</f>
        <v>32405.900040308352</v>
      </c>
      <c r="BT1534" s="866"/>
      <c r="BU1534" s="866">
        <f>VLOOKUP(BD1534,$BD$4:$BN$12824,9,0)*BE1534</f>
        <v>14685.632452975686</v>
      </c>
      <c r="BV1534" s="867"/>
      <c r="BW1534" s="867">
        <f>VLOOKUP(BD1534,$BD$4:$BN$12824,11,0)*BE1534</f>
        <v>283992.73457589123</v>
      </c>
      <c r="BX1534" s="1146">
        <f t="shared" si="286"/>
        <v>790357.78075801767</v>
      </c>
      <c r="BY1534" s="867">
        <f t="shared" si="289"/>
        <v>23273075.675385054</v>
      </c>
      <c r="BZ1534" s="867">
        <f t="shared" si="287"/>
        <v>46546151.350770108</v>
      </c>
      <c r="CA1534" s="867">
        <f>_xlfn.MAXIFS($BY$4:$BY$12824,$S$4:$S$12824,$S1534)</f>
        <v>23273075.675385054</v>
      </c>
      <c r="CB1534" s="1032"/>
      <c r="CF1534" s="946">
        <f t="shared" si="288"/>
        <v>35189286</v>
      </c>
    </row>
    <row r="1535" spans="2:84">
      <c r="B1535" s="839" t="s">
        <v>98</v>
      </c>
      <c r="C1535" s="839" t="s">
        <v>131</v>
      </c>
      <c r="D1535" s="839" t="s">
        <v>4950</v>
      </c>
      <c r="E1535" s="839" t="s">
        <v>4994</v>
      </c>
      <c r="F1535" s="841">
        <v>45883</v>
      </c>
      <c r="G1535" s="868" t="s">
        <v>133</v>
      </c>
      <c r="H1535" s="842" t="s">
        <v>134</v>
      </c>
      <c r="I1535" s="883"/>
      <c r="J1535" s="841"/>
      <c r="K1535" s="841"/>
      <c r="L1535" s="843" t="s">
        <v>106</v>
      </c>
      <c r="M1535" s="844" t="s">
        <v>417</v>
      </c>
      <c r="N1535" s="841">
        <v>45884</v>
      </c>
      <c r="O1535" s="884" t="s">
        <v>108</v>
      </c>
      <c r="P1535" s="842" t="s">
        <v>3622</v>
      </c>
      <c r="Q1535" s="843"/>
      <c r="R1535" s="845" t="s">
        <v>2287</v>
      </c>
      <c r="S1535" s="1127" t="s">
        <v>2288</v>
      </c>
      <c r="T1535" s="885" t="s">
        <v>5222</v>
      </c>
      <c r="U1535" s="886">
        <v>6</v>
      </c>
      <c r="V1535" s="842" t="s">
        <v>8</v>
      </c>
      <c r="W1535" s="846">
        <v>46</v>
      </c>
      <c r="X1535" s="847">
        <v>276</v>
      </c>
      <c r="Y1535" s="853">
        <v>0.6</v>
      </c>
      <c r="Z1535" s="849">
        <v>18.400000000000002</v>
      </c>
      <c r="AA1535" s="849"/>
      <c r="AB1535" s="849">
        <f t="shared" si="282"/>
        <v>110.4</v>
      </c>
      <c r="AC1535" s="850">
        <f t="shared" si="283"/>
        <v>110.4</v>
      </c>
      <c r="AD1535" s="851">
        <f t="shared" si="290"/>
        <v>27000</v>
      </c>
      <c r="AE1535" s="852">
        <v>26202</v>
      </c>
      <c r="AF1535" s="853">
        <v>0</v>
      </c>
      <c r="AG1535" s="854">
        <f t="shared" si="284"/>
        <v>0</v>
      </c>
      <c r="AH1535" s="853">
        <v>0.08</v>
      </c>
      <c r="AI1535" s="855">
        <f t="shared" si="285"/>
        <v>231416.06400000001</v>
      </c>
      <c r="AJ1535" s="845" t="s">
        <v>4950</v>
      </c>
      <c r="AK1535" s="864">
        <v>45901</v>
      </c>
      <c r="AL1535" s="843" t="s">
        <v>4957</v>
      </c>
      <c r="AM1535" s="843" t="s">
        <v>4958</v>
      </c>
      <c r="AN1535" s="844" t="s">
        <v>4959</v>
      </c>
      <c r="AO1535" s="844" t="s">
        <v>141</v>
      </c>
      <c r="AP1535" s="841"/>
      <c r="AQ1535" s="841">
        <v>45914</v>
      </c>
      <c r="AR1535" s="841">
        <v>45921</v>
      </c>
      <c r="AS1535" s="842" t="s">
        <v>1874</v>
      </c>
      <c r="AT1535" s="842" t="s">
        <v>1235</v>
      </c>
      <c r="AU1535" s="842"/>
      <c r="AV1535" s="845" t="s">
        <v>4960</v>
      </c>
      <c r="AW1535" s="861">
        <v>45920</v>
      </c>
      <c r="AX1535" s="862">
        <v>45929</v>
      </c>
      <c r="AY1535" s="843" t="s">
        <v>5223</v>
      </c>
      <c r="AZ1535" s="842" t="s">
        <v>1631</v>
      </c>
      <c r="BA1535" s="842" t="s">
        <v>120</v>
      </c>
      <c r="BB1535" s="863" t="s">
        <v>121</v>
      </c>
      <c r="BC1535" s="864">
        <v>45930</v>
      </c>
      <c r="BD1535" s="860" t="s">
        <v>4962</v>
      </c>
      <c r="BE1535" s="865" cm="1">
        <f t="array" ref="BE1535">IF(BD1535="","",AC1535/SUMPRODUCT(--(BD1535=$BD$4:$BD$12824),$AC$4:$AC$12824))</f>
        <v>4.4711779123811149E-3</v>
      </c>
      <c r="BF1535" s="458"/>
      <c r="BG1535" s="458"/>
      <c r="BH1535" s="458"/>
      <c r="BI1535" s="458"/>
      <c r="BJ1535" s="458"/>
      <c r="BK1535" s="458"/>
      <c r="BL1535" s="458"/>
      <c r="BM1535" s="458"/>
      <c r="BN1535" s="458"/>
      <c r="BO1535" s="866">
        <f>VLOOKUP(BD1535,$BD$4:$BN$12824,3,0)*BE1535</f>
        <v>0</v>
      </c>
      <c r="BP1535" s="866"/>
      <c r="BQ1535" s="866"/>
      <c r="BR1535" s="866">
        <f>VLOOKUP(BD1535,$BD$4:$BN$12824,6,0)*BE1535</f>
        <v>37754.129494600311</v>
      </c>
      <c r="BS1535" s="866">
        <f>VLOOKUP(BD1535,$BD$4:$BN$12824,7,0)*BE1535</f>
        <v>2663.8952825391234</v>
      </c>
      <c r="BT1535" s="866"/>
      <c r="BU1535" s="866">
        <f>VLOOKUP(BD1535,$BD$4:$BN$12824,9,0)*BE1535</f>
        <v>1207.2180363429011</v>
      </c>
      <c r="BV1535" s="867"/>
      <c r="BW1535" s="867">
        <f>VLOOKUP(BD1535,$BD$4:$BN$12824,11,0)*BE1535</f>
        <v>23345.344673997319</v>
      </c>
      <c r="BX1535" s="1146">
        <f t="shared" si="286"/>
        <v>64970.587487479657</v>
      </c>
      <c r="BY1535" s="867">
        <f t="shared" si="289"/>
        <v>492945.23124791333</v>
      </c>
      <c r="BZ1535" s="867">
        <f t="shared" si="287"/>
        <v>2957671.38748748</v>
      </c>
      <c r="CA1535" s="867">
        <f>_xlfn.MAXIFS($BY$4:$BY$12824,$S$4:$S$12824,$S1535)</f>
        <v>492945.23124791333</v>
      </c>
      <c r="CB1535" s="1032"/>
      <c r="CF1535" s="946">
        <f t="shared" si="288"/>
        <v>2892700.8000000003</v>
      </c>
    </row>
    <row r="1536" spans="2:84">
      <c r="B1536" s="839" t="s">
        <v>98</v>
      </c>
      <c r="C1536" s="839" t="s">
        <v>131</v>
      </c>
      <c r="D1536" s="839" t="s">
        <v>4950</v>
      </c>
      <c r="E1536" s="839" t="s">
        <v>4994</v>
      </c>
      <c r="F1536" s="841">
        <v>45883</v>
      </c>
      <c r="G1536" s="868" t="s">
        <v>133</v>
      </c>
      <c r="H1536" s="842" t="s">
        <v>134</v>
      </c>
      <c r="I1536" s="883"/>
      <c r="J1536" s="841"/>
      <c r="K1536" s="841"/>
      <c r="L1536" s="843" t="s">
        <v>106</v>
      </c>
      <c r="M1536" s="844" t="s">
        <v>417</v>
      </c>
      <c r="N1536" s="841">
        <v>45884</v>
      </c>
      <c r="O1536" s="884" t="s">
        <v>108</v>
      </c>
      <c r="P1536" s="842" t="s">
        <v>3622</v>
      </c>
      <c r="Q1536" s="843"/>
      <c r="R1536" s="845" t="s">
        <v>5224</v>
      </c>
      <c r="S1536" s="1127" t="s">
        <v>5225</v>
      </c>
      <c r="T1536" s="885" t="s">
        <v>5226</v>
      </c>
      <c r="U1536" s="886">
        <v>6</v>
      </c>
      <c r="V1536" s="842" t="s">
        <v>8</v>
      </c>
      <c r="W1536" s="846">
        <v>76</v>
      </c>
      <c r="X1536" s="847">
        <v>456</v>
      </c>
      <c r="Y1536" s="853">
        <v>0.6</v>
      </c>
      <c r="Z1536" s="849">
        <v>30.400000000000002</v>
      </c>
      <c r="AA1536" s="849"/>
      <c r="AB1536" s="849">
        <f t="shared" si="282"/>
        <v>182.4</v>
      </c>
      <c r="AC1536" s="850">
        <f t="shared" si="283"/>
        <v>182.4</v>
      </c>
      <c r="AD1536" s="851">
        <f t="shared" si="290"/>
        <v>27000</v>
      </c>
      <c r="AE1536" s="852">
        <v>26202</v>
      </c>
      <c r="AF1536" s="853">
        <v>0</v>
      </c>
      <c r="AG1536" s="854">
        <f t="shared" si="284"/>
        <v>0</v>
      </c>
      <c r="AH1536" s="853">
        <v>0.08</v>
      </c>
      <c r="AI1536" s="855">
        <f t="shared" si="285"/>
        <v>382339.58399999997</v>
      </c>
      <c r="AJ1536" s="845" t="s">
        <v>4950</v>
      </c>
      <c r="AK1536" s="864">
        <v>45901</v>
      </c>
      <c r="AL1536" s="843" t="s">
        <v>4957</v>
      </c>
      <c r="AM1536" s="843" t="s">
        <v>4958</v>
      </c>
      <c r="AN1536" s="844" t="s">
        <v>4959</v>
      </c>
      <c r="AO1536" s="844" t="s">
        <v>141</v>
      </c>
      <c r="AP1536" s="841"/>
      <c r="AQ1536" s="841">
        <v>45914</v>
      </c>
      <c r="AR1536" s="841">
        <v>45921</v>
      </c>
      <c r="AS1536" s="842" t="s">
        <v>1874</v>
      </c>
      <c r="AT1536" s="842" t="s">
        <v>1235</v>
      </c>
      <c r="AU1536" s="842"/>
      <c r="AV1536" s="845" t="s">
        <v>4960</v>
      </c>
      <c r="AW1536" s="861">
        <v>45920</v>
      </c>
      <c r="AX1536" s="862">
        <v>45929</v>
      </c>
      <c r="AY1536" s="843" t="s">
        <v>5227</v>
      </c>
      <c r="AZ1536" s="842" t="s">
        <v>1631</v>
      </c>
      <c r="BA1536" s="842" t="s">
        <v>120</v>
      </c>
      <c r="BB1536" s="863" t="s">
        <v>121</v>
      </c>
      <c r="BC1536" s="864">
        <v>45930</v>
      </c>
      <c r="BD1536" s="860" t="s">
        <v>4962</v>
      </c>
      <c r="BE1536" s="865" cm="1">
        <f t="array" ref="BE1536">IF(BD1536="","",AC1536/SUMPRODUCT(--(BD1536=$BD$4:$BD$12824),$AC$4:$AC$12824))</f>
        <v>7.3871635074122758E-3</v>
      </c>
      <c r="BF1536" s="458"/>
      <c r="BG1536" s="458"/>
      <c r="BH1536" s="458"/>
      <c r="BI1536" s="458"/>
      <c r="BJ1536" s="458"/>
      <c r="BK1536" s="458"/>
      <c r="BL1536" s="458"/>
      <c r="BM1536" s="458"/>
      <c r="BN1536" s="458"/>
      <c r="BO1536" s="866">
        <f>VLOOKUP(BD1536,$BD$4:$BN$12824,3,0)*BE1536</f>
        <v>0</v>
      </c>
      <c r="BP1536" s="866"/>
      <c r="BQ1536" s="866"/>
      <c r="BR1536" s="866">
        <f>VLOOKUP(BD1536,$BD$4:$BN$12824,6,0)*BE1536</f>
        <v>62376.387860643983</v>
      </c>
      <c r="BS1536" s="866">
        <f>VLOOKUP(BD1536,$BD$4:$BN$12824,7,0)*BE1536</f>
        <v>4401.218292890725</v>
      </c>
      <c r="BT1536" s="866"/>
      <c r="BU1536" s="866">
        <f>VLOOKUP(BD1536,$BD$4:$BN$12824,9,0)*BE1536</f>
        <v>1994.5341470013145</v>
      </c>
      <c r="BV1536" s="867"/>
      <c r="BW1536" s="867">
        <f>VLOOKUP(BD1536,$BD$4:$BN$12824,11,0)*BE1536</f>
        <v>38570.569461386869</v>
      </c>
      <c r="BX1536" s="1146">
        <f t="shared" si="286"/>
        <v>107342.70976192289</v>
      </c>
      <c r="BY1536" s="867">
        <f t="shared" si="289"/>
        <v>814431.25162698713</v>
      </c>
      <c r="BZ1536" s="867">
        <f t="shared" si="287"/>
        <v>4886587.509761923</v>
      </c>
      <c r="CA1536" s="867">
        <f>_xlfn.MAXIFS($BY$4:$BY$12824,$S$4:$S$12824,$S1536)</f>
        <v>814431.25162698713</v>
      </c>
      <c r="CB1536" s="1032"/>
      <c r="CF1536" s="946">
        <f t="shared" si="288"/>
        <v>4779244.8</v>
      </c>
    </row>
    <row r="1537" spans="2:84">
      <c r="B1537" s="839" t="s">
        <v>98</v>
      </c>
      <c r="C1537" s="839" t="s">
        <v>131</v>
      </c>
      <c r="D1537" s="839" t="s">
        <v>4950</v>
      </c>
      <c r="E1537" s="839" t="s">
        <v>4994</v>
      </c>
      <c r="F1537" s="841">
        <v>45883</v>
      </c>
      <c r="G1537" s="868" t="s">
        <v>133</v>
      </c>
      <c r="H1537" s="842" t="s">
        <v>134</v>
      </c>
      <c r="I1537" s="883"/>
      <c r="J1537" s="841"/>
      <c r="K1537" s="841"/>
      <c r="L1537" s="843" t="s">
        <v>106</v>
      </c>
      <c r="M1537" s="844" t="s">
        <v>417</v>
      </c>
      <c r="N1537" s="841">
        <v>45884</v>
      </c>
      <c r="O1537" s="884" t="s">
        <v>108</v>
      </c>
      <c r="P1537" s="842" t="s">
        <v>3622</v>
      </c>
      <c r="Q1537" s="843"/>
      <c r="R1537" s="845" t="s">
        <v>2283</v>
      </c>
      <c r="S1537" s="1127" t="s">
        <v>2284</v>
      </c>
      <c r="T1537" s="885" t="s">
        <v>5228</v>
      </c>
      <c r="U1537" s="886">
        <v>6</v>
      </c>
      <c r="V1537" s="842" t="s">
        <v>8</v>
      </c>
      <c r="W1537" s="846">
        <v>99</v>
      </c>
      <c r="X1537" s="847">
        <v>594</v>
      </c>
      <c r="Y1537" s="853">
        <v>0.6</v>
      </c>
      <c r="Z1537" s="849">
        <v>39.6</v>
      </c>
      <c r="AA1537" s="849"/>
      <c r="AB1537" s="849">
        <f t="shared" si="282"/>
        <v>237.60000000000002</v>
      </c>
      <c r="AC1537" s="850">
        <f t="shared" si="283"/>
        <v>237.60000000000002</v>
      </c>
      <c r="AD1537" s="851">
        <f t="shared" si="290"/>
        <v>27000</v>
      </c>
      <c r="AE1537" s="852">
        <v>26202</v>
      </c>
      <c r="AF1537" s="853">
        <v>0</v>
      </c>
      <c r="AG1537" s="854">
        <f t="shared" si="284"/>
        <v>0</v>
      </c>
      <c r="AH1537" s="853">
        <v>0.08</v>
      </c>
      <c r="AI1537" s="855">
        <f t="shared" si="285"/>
        <v>498047.61600000004</v>
      </c>
      <c r="AJ1537" s="845" t="s">
        <v>4950</v>
      </c>
      <c r="AK1537" s="864">
        <v>45901</v>
      </c>
      <c r="AL1537" s="843" t="s">
        <v>4957</v>
      </c>
      <c r="AM1537" s="843" t="s">
        <v>4958</v>
      </c>
      <c r="AN1537" s="844" t="s">
        <v>4959</v>
      </c>
      <c r="AO1537" s="844" t="s">
        <v>141</v>
      </c>
      <c r="AP1537" s="841"/>
      <c r="AQ1537" s="841">
        <v>45914</v>
      </c>
      <c r="AR1537" s="841">
        <v>45921</v>
      </c>
      <c r="AS1537" s="842" t="s">
        <v>1874</v>
      </c>
      <c r="AT1537" s="842" t="s">
        <v>1235</v>
      </c>
      <c r="AU1537" s="842"/>
      <c r="AV1537" s="845" t="s">
        <v>4960</v>
      </c>
      <c r="AW1537" s="861">
        <v>45920</v>
      </c>
      <c r="AX1537" s="862">
        <v>45929</v>
      </c>
      <c r="AY1537" s="843" t="s">
        <v>5229</v>
      </c>
      <c r="AZ1537" s="842" t="s">
        <v>1631</v>
      </c>
      <c r="BA1537" s="842" t="s">
        <v>120</v>
      </c>
      <c r="BB1537" s="863" t="s">
        <v>121</v>
      </c>
      <c r="BC1537" s="864">
        <v>45930</v>
      </c>
      <c r="BD1537" s="860" t="s">
        <v>4962</v>
      </c>
      <c r="BE1537" s="865" cm="1">
        <f t="array" ref="BE1537">IF(BD1537="","",AC1537/SUMPRODUCT(--(BD1537=$BD$4:$BD$12824),$AC$4:$AC$12824))</f>
        <v>9.6227524636028332E-3</v>
      </c>
      <c r="BF1537" s="458"/>
      <c r="BG1537" s="458"/>
      <c r="BH1537" s="458"/>
      <c r="BI1537" s="458"/>
      <c r="BJ1537" s="458"/>
      <c r="BK1537" s="458"/>
      <c r="BL1537" s="458"/>
      <c r="BM1537" s="458"/>
      <c r="BN1537" s="458"/>
      <c r="BO1537" s="866">
        <f>VLOOKUP(BD1537,$BD$4:$BN$12824,3,0)*BE1537</f>
        <v>0</v>
      </c>
      <c r="BP1537" s="866"/>
      <c r="BQ1537" s="866"/>
      <c r="BR1537" s="866">
        <f>VLOOKUP(BD1537,$BD$4:$BN$12824,6,0)*BE1537</f>
        <v>81253.452607944142</v>
      </c>
      <c r="BS1537" s="866">
        <f>VLOOKUP(BD1537,$BD$4:$BN$12824,7,0)*BE1537</f>
        <v>5733.1659341602863</v>
      </c>
      <c r="BT1537" s="866"/>
      <c r="BU1537" s="866">
        <f>VLOOKUP(BD1537,$BD$4:$BN$12824,9,0)*BE1537</f>
        <v>2598.1431651727648</v>
      </c>
      <c r="BV1537" s="867"/>
      <c r="BW1537" s="867">
        <f>VLOOKUP(BD1537,$BD$4:$BN$12824,11,0)*BE1537</f>
        <v>50243.241798385527</v>
      </c>
      <c r="BX1537" s="1146">
        <f t="shared" si="286"/>
        <v>139828.00350566272</v>
      </c>
      <c r="BY1537" s="867">
        <f t="shared" si="289"/>
        <v>1060903.8672509438</v>
      </c>
      <c r="BZ1537" s="867">
        <f t="shared" si="287"/>
        <v>6365423.2035056632</v>
      </c>
      <c r="CA1537" s="867">
        <f>_xlfn.MAXIFS($BY$4:$BY$12824,$S$4:$S$12824,$S1537)</f>
        <v>1060903.8672509438</v>
      </c>
      <c r="CB1537" s="1032"/>
      <c r="CF1537" s="946">
        <f t="shared" si="288"/>
        <v>6225595.2000000002</v>
      </c>
    </row>
    <row r="1538" spans="2:84">
      <c r="B1538" s="839" t="s">
        <v>98</v>
      </c>
      <c r="C1538" s="839" t="s">
        <v>131</v>
      </c>
      <c r="D1538" s="839" t="s">
        <v>4950</v>
      </c>
      <c r="E1538" s="839" t="s">
        <v>4994</v>
      </c>
      <c r="F1538" s="841">
        <v>45883</v>
      </c>
      <c r="G1538" s="868" t="s">
        <v>133</v>
      </c>
      <c r="H1538" s="842" t="s">
        <v>134</v>
      </c>
      <c r="I1538" s="883"/>
      <c r="J1538" s="841"/>
      <c r="K1538" s="841"/>
      <c r="L1538" s="843" t="s">
        <v>106</v>
      </c>
      <c r="M1538" s="844" t="s">
        <v>417</v>
      </c>
      <c r="N1538" s="841">
        <v>45884</v>
      </c>
      <c r="O1538" s="884" t="s">
        <v>108</v>
      </c>
      <c r="P1538" s="842" t="s">
        <v>3622</v>
      </c>
      <c r="Q1538" s="843"/>
      <c r="R1538" s="845" t="s">
        <v>5230</v>
      </c>
      <c r="S1538" s="1127" t="s">
        <v>5231</v>
      </c>
      <c r="T1538" s="885" t="s">
        <v>5232</v>
      </c>
      <c r="U1538" s="886">
        <v>24</v>
      </c>
      <c r="V1538" s="842" t="s">
        <v>8</v>
      </c>
      <c r="W1538" s="846">
        <v>61</v>
      </c>
      <c r="X1538" s="847">
        <v>1464</v>
      </c>
      <c r="Y1538" s="853">
        <v>0.6</v>
      </c>
      <c r="Z1538" s="849">
        <v>24.400000000000002</v>
      </c>
      <c r="AA1538" s="849"/>
      <c r="AB1538" s="849">
        <f t="shared" ref="AB1538:AB1601" si="291">IF(AA1538="F.O.C", 0, Z1538*U1538)</f>
        <v>585.6</v>
      </c>
      <c r="AC1538" s="850">
        <f t="shared" ref="AC1538:AC1601" si="292">Z1538*U1538</f>
        <v>585.6</v>
      </c>
      <c r="AD1538" s="851">
        <f t="shared" si="290"/>
        <v>27000</v>
      </c>
      <c r="AE1538" s="852">
        <v>26202</v>
      </c>
      <c r="AF1538" s="853">
        <v>0</v>
      </c>
      <c r="AG1538" s="854">
        <f t="shared" ref="AG1538:AG1601" si="293">(AC1538*AE1538+BO1538+BP1538+BQ1538+BS1538)*AF1538</f>
        <v>0</v>
      </c>
      <c r="AH1538" s="853">
        <v>0.08</v>
      </c>
      <c r="AI1538" s="855">
        <f t="shared" ref="AI1538:AI1601" si="294">(AC1538*AE1538+AG1538+BF1538+BG1538+BH1538+BJ1538)*AH1538</f>
        <v>1227511.2960000001</v>
      </c>
      <c r="AJ1538" s="845" t="s">
        <v>4950</v>
      </c>
      <c r="AK1538" s="864">
        <v>45901</v>
      </c>
      <c r="AL1538" s="843" t="s">
        <v>4957</v>
      </c>
      <c r="AM1538" s="843" t="s">
        <v>4958</v>
      </c>
      <c r="AN1538" s="844" t="s">
        <v>4959</v>
      </c>
      <c r="AO1538" s="844" t="s">
        <v>141</v>
      </c>
      <c r="AP1538" s="841"/>
      <c r="AQ1538" s="841">
        <v>45914</v>
      </c>
      <c r="AR1538" s="841">
        <v>45921</v>
      </c>
      <c r="AS1538" s="842" t="s">
        <v>1874</v>
      </c>
      <c r="AT1538" s="842" t="s">
        <v>1235</v>
      </c>
      <c r="AU1538" s="842"/>
      <c r="AV1538" s="845" t="s">
        <v>4960</v>
      </c>
      <c r="AW1538" s="861">
        <v>45920</v>
      </c>
      <c r="AX1538" s="862">
        <v>45929</v>
      </c>
      <c r="AY1538" s="843" t="s">
        <v>5233</v>
      </c>
      <c r="AZ1538" s="842" t="s">
        <v>1631</v>
      </c>
      <c r="BA1538" s="842" t="s">
        <v>120</v>
      </c>
      <c r="BB1538" s="863" t="s">
        <v>121</v>
      </c>
      <c r="BC1538" s="864">
        <v>45930</v>
      </c>
      <c r="BD1538" s="860" t="s">
        <v>4962</v>
      </c>
      <c r="BE1538" s="865" cm="1">
        <f t="array" ref="BE1538">IF(BD1538="","",AC1538/SUMPRODUCT(--(BD1538=$BD$4:$BD$12824),$AC$4:$AC$12824))</f>
        <v>2.3716682839586781E-2</v>
      </c>
      <c r="BF1538" s="458"/>
      <c r="BG1538" s="458"/>
      <c r="BH1538" s="458"/>
      <c r="BI1538" s="458"/>
      <c r="BJ1538" s="458"/>
      <c r="BK1538" s="458"/>
      <c r="BL1538" s="458"/>
      <c r="BM1538" s="458"/>
      <c r="BN1538" s="458"/>
      <c r="BO1538" s="866">
        <f>VLOOKUP(BD1538,$BD$4:$BN$12824,3,0)*BE1538</f>
        <v>0</v>
      </c>
      <c r="BP1538" s="866"/>
      <c r="BQ1538" s="866"/>
      <c r="BR1538" s="866">
        <f>VLOOKUP(BD1538,$BD$4:$BN$12824,6,0)*BE1538</f>
        <v>200261.03471048857</v>
      </c>
      <c r="BS1538" s="866">
        <f>VLOOKUP(BD1538,$BD$4:$BN$12824,7,0)*BE1538</f>
        <v>14130.227150859697</v>
      </c>
      <c r="BT1538" s="866"/>
      <c r="BU1538" s="866">
        <f>VLOOKUP(BD1538,$BD$4:$BN$12824,9,0)*BE1538</f>
        <v>6403.5043666884312</v>
      </c>
      <c r="BV1538" s="867"/>
      <c r="BW1538" s="867">
        <f>VLOOKUP(BD1538,$BD$4:$BN$12824,11,0)*BE1538</f>
        <v>123831.82827076837</v>
      </c>
      <c r="BX1538" s="1146">
        <f t="shared" ref="BX1538:BX1601" si="295">SUM(BO1538:BW1538)</f>
        <v>344626.59449880506</v>
      </c>
      <c r="BY1538" s="867">
        <f t="shared" si="289"/>
        <v>653688.24143745028</v>
      </c>
      <c r="BZ1538" s="867">
        <f t="shared" ref="BZ1538:BZ1601" si="296">BY1538*U1538</f>
        <v>15688517.794498807</v>
      </c>
      <c r="CA1538" s="867">
        <f>_xlfn.MAXIFS($BY$4:$BY$12824,$S$4:$S$12824,$S1538)</f>
        <v>653688.24143745028</v>
      </c>
      <c r="CB1538" s="1032"/>
      <c r="CF1538" s="946">
        <f t="shared" si="288"/>
        <v>15343891.200000001</v>
      </c>
    </row>
    <row r="1539" spans="2:84">
      <c r="B1539" s="839" t="s">
        <v>98</v>
      </c>
      <c r="C1539" s="839" t="s">
        <v>131</v>
      </c>
      <c r="D1539" s="839" t="s">
        <v>4950</v>
      </c>
      <c r="E1539" s="839" t="s">
        <v>4994</v>
      </c>
      <c r="F1539" s="841">
        <v>45883</v>
      </c>
      <c r="G1539" s="868" t="s">
        <v>133</v>
      </c>
      <c r="H1539" s="842" t="s">
        <v>134</v>
      </c>
      <c r="I1539" s="883"/>
      <c r="J1539" s="841"/>
      <c r="K1539" s="841"/>
      <c r="L1539" s="843" t="s">
        <v>106</v>
      </c>
      <c r="M1539" s="844" t="s">
        <v>417</v>
      </c>
      <c r="N1539" s="841">
        <v>45884</v>
      </c>
      <c r="O1539" s="884" t="s">
        <v>108</v>
      </c>
      <c r="P1539" s="842" t="s">
        <v>3622</v>
      </c>
      <c r="Q1539" s="843"/>
      <c r="R1539" s="845" t="s">
        <v>5234</v>
      </c>
      <c r="S1539" s="1127" t="s">
        <v>5235</v>
      </c>
      <c r="T1539" s="885" t="s">
        <v>5236</v>
      </c>
      <c r="U1539" s="886">
        <v>24</v>
      </c>
      <c r="V1539" s="842" t="s">
        <v>8</v>
      </c>
      <c r="W1539" s="846">
        <v>91</v>
      </c>
      <c r="X1539" s="847">
        <v>2184</v>
      </c>
      <c r="Y1539" s="853">
        <v>0.6</v>
      </c>
      <c r="Z1539" s="849">
        <v>36.4</v>
      </c>
      <c r="AA1539" s="849"/>
      <c r="AB1539" s="849">
        <f t="shared" si="291"/>
        <v>873.59999999999991</v>
      </c>
      <c r="AC1539" s="850">
        <f t="shared" si="292"/>
        <v>873.59999999999991</v>
      </c>
      <c r="AD1539" s="851">
        <f t="shared" si="290"/>
        <v>27000</v>
      </c>
      <c r="AE1539" s="852">
        <v>26202</v>
      </c>
      <c r="AF1539" s="853">
        <v>0</v>
      </c>
      <c r="AG1539" s="854">
        <f t="shared" si="293"/>
        <v>0</v>
      </c>
      <c r="AH1539" s="853">
        <v>0.08</v>
      </c>
      <c r="AI1539" s="855">
        <f t="shared" si="294"/>
        <v>1831205.3759999999</v>
      </c>
      <c r="AJ1539" s="845" t="s">
        <v>4950</v>
      </c>
      <c r="AK1539" s="864">
        <v>45901</v>
      </c>
      <c r="AL1539" s="843" t="s">
        <v>4957</v>
      </c>
      <c r="AM1539" s="843" t="s">
        <v>4958</v>
      </c>
      <c r="AN1539" s="844" t="s">
        <v>4959</v>
      </c>
      <c r="AO1539" s="844" t="s">
        <v>141</v>
      </c>
      <c r="AP1539" s="841"/>
      <c r="AQ1539" s="841">
        <v>45914</v>
      </c>
      <c r="AR1539" s="841">
        <v>45921</v>
      </c>
      <c r="AS1539" s="842" t="s">
        <v>1874</v>
      </c>
      <c r="AT1539" s="842" t="s">
        <v>1235</v>
      </c>
      <c r="AU1539" s="842"/>
      <c r="AV1539" s="845" t="s">
        <v>4960</v>
      </c>
      <c r="AW1539" s="861">
        <v>45920</v>
      </c>
      <c r="AX1539" s="862">
        <v>45929</v>
      </c>
      <c r="AY1539" s="843" t="s">
        <v>5237</v>
      </c>
      <c r="AZ1539" s="842" t="s">
        <v>1631</v>
      </c>
      <c r="BA1539" s="842" t="s">
        <v>120</v>
      </c>
      <c r="BB1539" s="863" t="s">
        <v>121</v>
      </c>
      <c r="BC1539" s="864">
        <v>45930</v>
      </c>
      <c r="BD1539" s="860" t="s">
        <v>4962</v>
      </c>
      <c r="BE1539" s="865" cm="1">
        <f t="array" ref="BE1539">IF(BD1539="","",AC1539/SUMPRODUCT(--(BD1539=$BD$4:$BD$12824),$AC$4:$AC$12824))</f>
        <v>3.5380625219711422E-2</v>
      </c>
      <c r="BF1539" s="458"/>
      <c r="BG1539" s="458"/>
      <c r="BH1539" s="458"/>
      <c r="BI1539" s="458"/>
      <c r="BJ1539" s="458"/>
      <c r="BK1539" s="458"/>
      <c r="BL1539" s="458"/>
      <c r="BM1539" s="458"/>
      <c r="BN1539" s="458"/>
      <c r="BO1539" s="866">
        <f>VLOOKUP(BD1539,$BD$4:$BN$12824,3,0)*BE1539</f>
        <v>0</v>
      </c>
      <c r="BP1539" s="866"/>
      <c r="BQ1539" s="866"/>
      <c r="BR1539" s="866">
        <f>VLOOKUP(BD1539,$BD$4:$BN$12824,6,0)*BE1539</f>
        <v>298750.06817466323</v>
      </c>
      <c r="BS1539" s="866">
        <f>VLOOKUP(BD1539,$BD$4:$BN$12824,7,0)*BE1539</f>
        <v>21079.5191922661</v>
      </c>
      <c r="BT1539" s="866"/>
      <c r="BU1539" s="866">
        <f>VLOOKUP(BD1539,$BD$4:$BN$12824,9,0)*BE1539</f>
        <v>9552.7688093220841</v>
      </c>
      <c r="BV1539" s="867"/>
      <c r="BW1539" s="867">
        <f>VLOOKUP(BD1539,$BD$4:$BN$12824,11,0)*BE1539</f>
        <v>184732.72742032656</v>
      </c>
      <c r="BX1539" s="1146">
        <f t="shared" si="295"/>
        <v>514115.08359657798</v>
      </c>
      <c r="BY1539" s="867">
        <f t="shared" si="289"/>
        <v>975174.26181652409</v>
      </c>
      <c r="BZ1539" s="867">
        <f t="shared" si="296"/>
        <v>23404182.283596579</v>
      </c>
      <c r="CA1539" s="867">
        <f>_xlfn.MAXIFS($BY$4:$BY$12824,$S$4:$S$12824,$S1539)</f>
        <v>975174.26181652409</v>
      </c>
      <c r="CB1539" s="1032"/>
      <c r="CF1539" s="946">
        <f t="shared" si="288"/>
        <v>22890067.199999999</v>
      </c>
    </row>
    <row r="1540" spans="2:84">
      <c r="B1540" s="839" t="s">
        <v>98</v>
      </c>
      <c r="C1540" s="839" t="s">
        <v>131</v>
      </c>
      <c r="D1540" s="839" t="s">
        <v>4950</v>
      </c>
      <c r="E1540" s="839" t="s">
        <v>4994</v>
      </c>
      <c r="F1540" s="841">
        <v>45883</v>
      </c>
      <c r="G1540" s="868" t="s">
        <v>133</v>
      </c>
      <c r="H1540" s="842" t="s">
        <v>134</v>
      </c>
      <c r="I1540" s="883"/>
      <c r="J1540" s="841"/>
      <c r="K1540" s="841"/>
      <c r="L1540" s="843" t="s">
        <v>106</v>
      </c>
      <c r="M1540" s="844" t="s">
        <v>417</v>
      </c>
      <c r="N1540" s="841">
        <v>45884</v>
      </c>
      <c r="O1540" s="884" t="s">
        <v>108</v>
      </c>
      <c r="P1540" s="842" t="s">
        <v>4990</v>
      </c>
      <c r="Q1540" s="843"/>
      <c r="R1540" s="845" t="s">
        <v>2046</v>
      </c>
      <c r="S1540" s="1127" t="s">
        <v>2047</v>
      </c>
      <c r="T1540" s="885" t="s">
        <v>5238</v>
      </c>
      <c r="U1540" s="886">
        <v>1</v>
      </c>
      <c r="V1540" s="842" t="s">
        <v>8</v>
      </c>
      <c r="W1540" s="846">
        <v>168</v>
      </c>
      <c r="X1540" s="847">
        <v>168</v>
      </c>
      <c r="Y1540" s="853">
        <v>0.43</v>
      </c>
      <c r="Z1540" s="849">
        <v>95.76</v>
      </c>
      <c r="AA1540" s="849"/>
      <c r="AB1540" s="849">
        <f t="shared" si="291"/>
        <v>95.76</v>
      </c>
      <c r="AC1540" s="850">
        <f t="shared" si="292"/>
        <v>95.76</v>
      </c>
      <c r="AD1540" s="851">
        <f t="shared" si="290"/>
        <v>27000</v>
      </c>
      <c r="AE1540" s="852">
        <v>26202</v>
      </c>
      <c r="AF1540" s="853">
        <v>0</v>
      </c>
      <c r="AG1540" s="854">
        <f t="shared" si="293"/>
        <v>0</v>
      </c>
      <c r="AH1540" s="853">
        <v>0.08</v>
      </c>
      <c r="AI1540" s="855">
        <f t="shared" si="294"/>
        <v>200728.28160000002</v>
      </c>
      <c r="AJ1540" s="845" t="s">
        <v>4950</v>
      </c>
      <c r="AK1540" s="864">
        <v>45901</v>
      </c>
      <c r="AL1540" s="843" t="s">
        <v>4957</v>
      </c>
      <c r="AM1540" s="843" t="s">
        <v>4958</v>
      </c>
      <c r="AN1540" s="844" t="s">
        <v>4959</v>
      </c>
      <c r="AO1540" s="844" t="s">
        <v>141</v>
      </c>
      <c r="AP1540" s="841"/>
      <c r="AQ1540" s="841">
        <v>45914</v>
      </c>
      <c r="AR1540" s="841">
        <v>45921</v>
      </c>
      <c r="AS1540" s="842" t="s">
        <v>1874</v>
      </c>
      <c r="AT1540" s="842" t="s">
        <v>1235</v>
      </c>
      <c r="AU1540" s="842"/>
      <c r="AV1540" s="845" t="s">
        <v>4960</v>
      </c>
      <c r="AW1540" s="861">
        <v>45920</v>
      </c>
      <c r="AX1540" s="862">
        <v>45929</v>
      </c>
      <c r="AY1540" s="843" t="s">
        <v>5239</v>
      </c>
      <c r="AZ1540" s="842" t="s">
        <v>4798</v>
      </c>
      <c r="BA1540" s="842" t="s">
        <v>120</v>
      </c>
      <c r="BB1540" s="863" t="s">
        <v>121</v>
      </c>
      <c r="BC1540" s="864">
        <v>45930</v>
      </c>
      <c r="BD1540" s="860" t="s">
        <v>4962</v>
      </c>
      <c r="BE1540" s="865" cm="1">
        <f t="array" ref="BE1540">IF(BD1540="","",AC1540/SUMPRODUCT(--(BD1540=$BD$4:$BD$12824),$AC$4:$AC$12824))</f>
        <v>3.8782608413914449E-3</v>
      </c>
      <c r="BF1540" s="458"/>
      <c r="BG1540" s="458"/>
      <c r="BH1540" s="458"/>
      <c r="BI1540" s="458"/>
      <c r="BJ1540" s="458"/>
      <c r="BK1540" s="458"/>
      <c r="BL1540" s="458"/>
      <c r="BM1540" s="458"/>
      <c r="BN1540" s="458"/>
      <c r="BO1540" s="866">
        <f>VLOOKUP(BD1540,$BD$4:$BN$12824,3,0)*BE1540</f>
        <v>0</v>
      </c>
      <c r="BP1540" s="866"/>
      <c r="BQ1540" s="866"/>
      <c r="BR1540" s="866">
        <f>VLOOKUP(BD1540,$BD$4:$BN$12824,6,0)*BE1540</f>
        <v>32747.603626838092</v>
      </c>
      <c r="BS1540" s="866">
        <f>VLOOKUP(BD1540,$BD$4:$BN$12824,7,0)*BE1540</f>
        <v>2310.6396037676304</v>
      </c>
      <c r="BT1540" s="866"/>
      <c r="BU1540" s="866">
        <f>VLOOKUP(BD1540,$BD$4:$BN$12824,9,0)*BE1540</f>
        <v>1047.1304271756901</v>
      </c>
      <c r="BV1540" s="867"/>
      <c r="BW1540" s="867">
        <f>VLOOKUP(BD1540,$BD$4:$BN$12824,11,0)*BE1540</f>
        <v>20249.548967228107</v>
      </c>
      <c r="BX1540" s="1146">
        <f t="shared" si="295"/>
        <v>56354.922625009523</v>
      </c>
      <c r="BY1540" s="867">
        <f t="shared" si="289"/>
        <v>2565458.4426250095</v>
      </c>
      <c r="BZ1540" s="867">
        <f t="shared" si="296"/>
        <v>2565458.4426250095</v>
      </c>
      <c r="CA1540" s="867">
        <f>_xlfn.MAXIFS($BY$4:$BY$12824,$S$4:$S$12824,$S1540)</f>
        <v>2565458.4426250095</v>
      </c>
      <c r="CB1540" s="1032"/>
      <c r="CF1540" s="946">
        <f t="shared" ref="CF1540:CF1603" si="297">AC1540*AE1540</f>
        <v>2509103.52</v>
      </c>
    </row>
    <row r="1541" spans="2:84">
      <c r="B1541" s="839" t="s">
        <v>98</v>
      </c>
      <c r="C1541" s="839" t="s">
        <v>131</v>
      </c>
      <c r="D1541" s="839" t="s">
        <v>4950</v>
      </c>
      <c r="E1541" s="839" t="s">
        <v>4994</v>
      </c>
      <c r="F1541" s="841">
        <v>45883</v>
      </c>
      <c r="G1541" s="868" t="s">
        <v>149</v>
      </c>
      <c r="H1541" s="842" t="s">
        <v>134</v>
      </c>
      <c r="I1541" s="883"/>
      <c r="J1541" s="841"/>
      <c r="K1541" s="841"/>
      <c r="L1541" s="843" t="s">
        <v>106</v>
      </c>
      <c r="M1541" s="844" t="s">
        <v>417</v>
      </c>
      <c r="N1541" s="841">
        <v>45884</v>
      </c>
      <c r="O1541" s="884" t="s">
        <v>108</v>
      </c>
      <c r="P1541" s="842" t="s">
        <v>3622</v>
      </c>
      <c r="Q1541" s="843"/>
      <c r="R1541" s="845" t="s">
        <v>2352</v>
      </c>
      <c r="S1541" s="1127" t="s">
        <v>2353</v>
      </c>
      <c r="T1541" s="885" t="s">
        <v>5240</v>
      </c>
      <c r="U1541" s="886">
        <v>1</v>
      </c>
      <c r="V1541" s="842" t="s">
        <v>8</v>
      </c>
      <c r="W1541" s="846">
        <v>137</v>
      </c>
      <c r="X1541" s="847">
        <v>137</v>
      </c>
      <c r="Y1541" s="853">
        <v>0.5</v>
      </c>
      <c r="Z1541" s="849">
        <v>68.5</v>
      </c>
      <c r="AA1541" s="849" t="s">
        <v>40</v>
      </c>
      <c r="AB1541" s="849">
        <f t="shared" si="291"/>
        <v>0</v>
      </c>
      <c r="AC1541" s="850">
        <f t="shared" si="292"/>
        <v>68.5</v>
      </c>
      <c r="AD1541" s="851">
        <f t="shared" si="290"/>
        <v>27000</v>
      </c>
      <c r="AE1541" s="852">
        <v>26202</v>
      </c>
      <c r="AF1541" s="853">
        <v>0</v>
      </c>
      <c r="AG1541" s="854">
        <f t="shared" si="293"/>
        <v>0</v>
      </c>
      <c r="AH1541" s="853">
        <v>0.08</v>
      </c>
      <c r="AI1541" s="855">
        <f t="shared" si="294"/>
        <v>143586.96</v>
      </c>
      <c r="AJ1541" s="845" t="s">
        <v>4950</v>
      </c>
      <c r="AK1541" s="857">
        <v>45901</v>
      </c>
      <c r="AL1541" s="843" t="s">
        <v>4957</v>
      </c>
      <c r="AM1541" s="843" t="s">
        <v>4958</v>
      </c>
      <c r="AN1541" s="844" t="s">
        <v>4959</v>
      </c>
      <c r="AO1541" s="844" t="s">
        <v>141</v>
      </c>
      <c r="AP1541" s="841"/>
      <c r="AQ1541" s="841">
        <v>45914</v>
      </c>
      <c r="AR1541" s="841">
        <v>45921</v>
      </c>
      <c r="AS1541" s="842" t="s">
        <v>1874</v>
      </c>
      <c r="AT1541" s="842" t="s">
        <v>1235</v>
      </c>
      <c r="AU1541" s="842"/>
      <c r="AV1541" s="845" t="s">
        <v>4960</v>
      </c>
      <c r="AW1541" s="861">
        <v>45920</v>
      </c>
      <c r="AX1541" s="862">
        <v>45929</v>
      </c>
      <c r="AY1541" s="843" t="s">
        <v>5241</v>
      </c>
      <c r="AZ1541" s="842" t="s">
        <v>4813</v>
      </c>
      <c r="BA1541" s="842" t="s">
        <v>120</v>
      </c>
      <c r="BB1541" s="863" t="s">
        <v>121</v>
      </c>
      <c r="BC1541" s="864">
        <v>45930</v>
      </c>
      <c r="BD1541" s="860" t="s">
        <v>4962</v>
      </c>
      <c r="BE1541" s="865" cm="1">
        <f t="array" ref="BE1541">IF(BD1541="","",AC1541/SUMPRODUCT(--(BD1541=$BD$4:$BD$12824),$AC$4:$AC$12824))</f>
        <v>2.7742362952727024E-3</v>
      </c>
      <c r="BF1541" s="458"/>
      <c r="BG1541" s="458"/>
      <c r="BH1541" s="458"/>
      <c r="BI1541" s="458"/>
      <c r="BJ1541" s="458"/>
      <c r="BK1541" s="458"/>
      <c r="BL1541" s="458"/>
      <c r="BM1541" s="458"/>
      <c r="BN1541" s="458"/>
      <c r="BO1541" s="866">
        <f>VLOOKUP(BD1541,$BD$4:$BN$12824,3,0)*BE1541</f>
        <v>0</v>
      </c>
      <c r="BP1541" s="866"/>
      <c r="BQ1541" s="866"/>
      <c r="BR1541" s="866">
        <f>VLOOKUP(BD1541,$BD$4:$BN$12824,6,0)*BE1541</f>
        <v>23425.343028805444</v>
      </c>
      <c r="BS1541" s="866">
        <f>VLOOKUP(BD1541,$BD$4:$BN$12824,7,0)*BE1541</f>
        <v>1652.8698084595101</v>
      </c>
      <c r="BT1541" s="866"/>
      <c r="BU1541" s="866">
        <f>VLOOKUP(BD1541,$BD$4:$BN$12824,9,0)*BE1541</f>
        <v>749.0437997236296</v>
      </c>
      <c r="BV1541" s="867"/>
      <c r="BW1541" s="867">
        <f>VLOOKUP(BD1541,$BD$4:$BN$12824,11,0)*BE1541</f>
        <v>14485.109693558117</v>
      </c>
      <c r="BX1541" s="1146">
        <f t="shared" si="295"/>
        <v>40312.366330546698</v>
      </c>
      <c r="BY1541" s="867">
        <f t="shared" si="289"/>
        <v>40312.366330546698</v>
      </c>
      <c r="BZ1541" s="867">
        <f t="shared" si="296"/>
        <v>40312.366330546698</v>
      </c>
      <c r="CA1541" s="867">
        <f>_xlfn.MAXIFS($BY$4:$BY$12824,$S$4:$S$12824,$S1541)</f>
        <v>1731890.9025878494</v>
      </c>
      <c r="CB1541" s="1032"/>
      <c r="CF1541" s="946">
        <f t="shared" si="297"/>
        <v>1794837</v>
      </c>
    </row>
    <row r="1542" spans="2:84">
      <c r="B1542" s="839" t="s">
        <v>98</v>
      </c>
      <c r="C1542" s="839" t="s">
        <v>131</v>
      </c>
      <c r="D1542" s="839" t="s">
        <v>4950</v>
      </c>
      <c r="E1542" s="839" t="s">
        <v>4994</v>
      </c>
      <c r="F1542" s="841">
        <v>45883</v>
      </c>
      <c r="G1542" s="868" t="s">
        <v>149</v>
      </c>
      <c r="H1542" s="842" t="s">
        <v>134</v>
      </c>
      <c r="I1542" s="883"/>
      <c r="J1542" s="841"/>
      <c r="K1542" s="841"/>
      <c r="L1542" s="843" t="s">
        <v>106</v>
      </c>
      <c r="M1542" s="844" t="s">
        <v>417</v>
      </c>
      <c r="N1542" s="841">
        <v>45884</v>
      </c>
      <c r="O1542" s="884" t="s">
        <v>108</v>
      </c>
      <c r="P1542" s="842" t="s">
        <v>3622</v>
      </c>
      <c r="Q1542" s="843"/>
      <c r="R1542" s="845" t="s">
        <v>5242</v>
      </c>
      <c r="S1542" s="1127" t="s">
        <v>793</v>
      </c>
      <c r="T1542" s="885" t="s">
        <v>5243</v>
      </c>
      <c r="U1542" s="886">
        <v>1</v>
      </c>
      <c r="V1542" s="842" t="s">
        <v>8</v>
      </c>
      <c r="W1542" s="846">
        <v>1649</v>
      </c>
      <c r="X1542" s="847">
        <v>1649</v>
      </c>
      <c r="Y1542" s="853">
        <v>0.5</v>
      </c>
      <c r="Z1542" s="849">
        <v>824.5</v>
      </c>
      <c r="AA1542" s="849" t="s">
        <v>40</v>
      </c>
      <c r="AB1542" s="849">
        <f t="shared" si="291"/>
        <v>0</v>
      </c>
      <c r="AC1542" s="850">
        <f t="shared" si="292"/>
        <v>824.5</v>
      </c>
      <c r="AD1542" s="851">
        <f t="shared" si="290"/>
        <v>27000</v>
      </c>
      <c r="AE1542" s="852">
        <v>26202</v>
      </c>
      <c r="AF1542" s="853">
        <v>0.3</v>
      </c>
      <c r="AG1542" s="854">
        <f t="shared" si="293"/>
        <v>6487033.1284251446</v>
      </c>
      <c r="AH1542" s="853">
        <v>0.08</v>
      </c>
      <c r="AI1542" s="855">
        <f t="shared" si="294"/>
        <v>2247246.5702740117</v>
      </c>
      <c r="AJ1542" s="845" t="s">
        <v>4950</v>
      </c>
      <c r="AK1542" s="857">
        <v>45901</v>
      </c>
      <c r="AL1542" s="843" t="s">
        <v>4957</v>
      </c>
      <c r="AM1542" s="843" t="s">
        <v>4958</v>
      </c>
      <c r="AN1542" s="844" t="s">
        <v>4959</v>
      </c>
      <c r="AO1542" s="844" t="s">
        <v>141</v>
      </c>
      <c r="AP1542" s="841"/>
      <c r="AQ1542" s="841">
        <v>45914</v>
      </c>
      <c r="AR1542" s="841">
        <v>45921</v>
      </c>
      <c r="AS1542" s="842" t="s">
        <v>1874</v>
      </c>
      <c r="AT1542" s="842" t="s">
        <v>1235</v>
      </c>
      <c r="AU1542" s="842"/>
      <c r="AV1542" s="845" t="s">
        <v>4960</v>
      </c>
      <c r="AW1542" s="861">
        <v>45920</v>
      </c>
      <c r="AX1542" s="862">
        <v>45929</v>
      </c>
      <c r="AY1542" s="843" t="s">
        <v>5244</v>
      </c>
      <c r="AZ1542" s="842" t="s">
        <v>4813</v>
      </c>
      <c r="BA1542" s="842" t="s">
        <v>120</v>
      </c>
      <c r="BB1542" s="863" t="s">
        <v>121</v>
      </c>
      <c r="BC1542" s="864">
        <v>45930</v>
      </c>
      <c r="BD1542" s="860" t="s">
        <v>4962</v>
      </c>
      <c r="BE1542" s="865" cm="1">
        <f t="array" ref="BE1542">IF(BD1542="","",AC1542/SUMPRODUCT(--(BD1542=$BD$4:$BD$12824),$AC$4:$AC$12824))</f>
        <v>3.3392085043099901E-2</v>
      </c>
      <c r="BF1542" s="458"/>
      <c r="BG1542" s="458"/>
      <c r="BH1542" s="458"/>
      <c r="BI1542" s="458"/>
      <c r="BJ1542" s="458"/>
      <c r="BK1542" s="458"/>
      <c r="BL1542" s="458"/>
      <c r="BM1542" s="458"/>
      <c r="BN1542" s="458"/>
      <c r="BO1542" s="866">
        <f>VLOOKUP(BD1542,$BD$4:$BN$12824,3,0)*BE1542</f>
        <v>0</v>
      </c>
      <c r="BP1542" s="866"/>
      <c r="BQ1542" s="866"/>
      <c r="BR1542" s="866">
        <f>VLOOKUP(BD1542,$BD$4:$BN$12824,6,0)*BE1542</f>
        <v>281959.05587226409</v>
      </c>
      <c r="BS1542" s="866">
        <f>VLOOKUP(BD1542,$BD$4:$BN$12824,7,0)*BE1542</f>
        <v>19894.761417151331</v>
      </c>
      <c r="BT1542" s="866"/>
      <c r="BU1542" s="866">
        <f>VLOOKUP(BD1542,$BD$4:$BN$12824,9,0)*BE1542</f>
        <v>9015.8629616369726</v>
      </c>
      <c r="BV1542" s="867"/>
      <c r="BW1542" s="867">
        <f>VLOOKUP(BD1542,$BD$4:$BN$12824,11,0)*BE1542</f>
        <v>174349.96996114845</v>
      </c>
      <c r="BX1542" s="1146">
        <f t="shared" si="295"/>
        <v>485219.65021220082</v>
      </c>
      <c r="BY1542" s="867">
        <f t="shared" ref="BY1542:BY1605" si="298">(AB1542*AE1542+AG1542+BX1542)/U1542</f>
        <v>6972252.7786373459</v>
      </c>
      <c r="BZ1542" s="867">
        <f t="shared" si="296"/>
        <v>6972252.7786373459</v>
      </c>
      <c r="CA1542" s="867">
        <f>_xlfn.MAXIFS($BY$4:$BY$12824,$S$4:$S$12824,$S1542)</f>
        <v>36314451.488688722</v>
      </c>
      <c r="CB1542" s="1032"/>
      <c r="CF1542" s="946">
        <f t="shared" si="297"/>
        <v>21603549</v>
      </c>
    </row>
    <row r="1543" spans="2:84">
      <c r="B1543" s="839" t="s">
        <v>98</v>
      </c>
      <c r="C1543" s="839" t="s">
        <v>131</v>
      </c>
      <c r="D1543" s="839" t="s">
        <v>4950</v>
      </c>
      <c r="E1543" s="839" t="s">
        <v>4994</v>
      </c>
      <c r="F1543" s="841">
        <v>45883</v>
      </c>
      <c r="G1543" s="840" t="s">
        <v>155</v>
      </c>
      <c r="H1543" s="842" t="s">
        <v>134</v>
      </c>
      <c r="I1543" s="883"/>
      <c r="J1543" s="841"/>
      <c r="K1543" s="841"/>
      <c r="L1543" s="843" t="s">
        <v>106</v>
      </c>
      <c r="M1543" s="844" t="s">
        <v>417</v>
      </c>
      <c r="N1543" s="841">
        <v>45884</v>
      </c>
      <c r="O1543" s="884" t="s">
        <v>108</v>
      </c>
      <c r="P1543" s="842" t="s">
        <v>3622</v>
      </c>
      <c r="Q1543" s="843"/>
      <c r="R1543" s="856" t="s">
        <v>5245</v>
      </c>
      <c r="S1543" s="1127" t="s">
        <v>799</v>
      </c>
      <c r="T1543" s="885" t="s">
        <v>5246</v>
      </c>
      <c r="U1543" s="886">
        <v>1</v>
      </c>
      <c r="V1543" s="842" t="s">
        <v>8</v>
      </c>
      <c r="W1543" s="846">
        <v>183</v>
      </c>
      <c r="X1543" s="847">
        <v>183</v>
      </c>
      <c r="Y1543" s="853">
        <v>0.45</v>
      </c>
      <c r="Z1543" s="849">
        <v>100.65</v>
      </c>
      <c r="AA1543" s="849" t="s">
        <v>40</v>
      </c>
      <c r="AB1543" s="849">
        <f t="shared" si="291"/>
        <v>0</v>
      </c>
      <c r="AC1543" s="850">
        <f t="shared" si="292"/>
        <v>100.65</v>
      </c>
      <c r="AD1543" s="851">
        <f t="shared" si="290"/>
        <v>27000</v>
      </c>
      <c r="AE1543" s="852">
        <v>26202</v>
      </c>
      <c r="AF1543" s="853">
        <v>0</v>
      </c>
      <c r="AG1543" s="854">
        <f t="shared" si="293"/>
        <v>0</v>
      </c>
      <c r="AH1543" s="853">
        <v>0.08</v>
      </c>
      <c r="AI1543" s="855">
        <f t="shared" si="294"/>
        <v>210978.50400000002</v>
      </c>
      <c r="AJ1543" s="845" t="s">
        <v>4950</v>
      </c>
      <c r="AK1543" s="857">
        <v>45901</v>
      </c>
      <c r="AL1543" s="843" t="s">
        <v>4957</v>
      </c>
      <c r="AM1543" s="843" t="s">
        <v>4958</v>
      </c>
      <c r="AN1543" s="844" t="s">
        <v>4959</v>
      </c>
      <c r="AO1543" s="844" t="s">
        <v>141</v>
      </c>
      <c r="AP1543" s="841"/>
      <c r="AQ1543" s="841">
        <v>45914</v>
      </c>
      <c r="AR1543" s="841">
        <v>45921</v>
      </c>
      <c r="AS1543" s="842" t="s">
        <v>1874</v>
      </c>
      <c r="AT1543" s="842" t="s">
        <v>1235</v>
      </c>
      <c r="AU1543" s="842"/>
      <c r="AV1543" s="845" t="s">
        <v>4960</v>
      </c>
      <c r="AW1543" s="861">
        <v>45920</v>
      </c>
      <c r="AX1543" s="862">
        <v>45929</v>
      </c>
      <c r="AY1543" s="843" t="s">
        <v>5247</v>
      </c>
      <c r="AZ1543" s="842" t="s">
        <v>1631</v>
      </c>
      <c r="BA1543" s="842" t="s">
        <v>120</v>
      </c>
      <c r="BB1543" s="863" t="s">
        <v>121</v>
      </c>
      <c r="BC1543" s="864">
        <v>45930</v>
      </c>
      <c r="BD1543" s="860" t="s">
        <v>4962</v>
      </c>
      <c r="BE1543" s="865" cm="1">
        <f t="array" ref="BE1543">IF(BD1543="","",AC1543/SUMPRODUCT(--(BD1543=$BD$4:$BD$12824),$AC$4:$AC$12824))</f>
        <v>4.0763048630539783E-3</v>
      </c>
      <c r="BF1543" s="458"/>
      <c r="BG1543" s="458"/>
      <c r="BH1543" s="458"/>
      <c r="BI1543" s="458"/>
      <c r="BJ1543" s="458"/>
      <c r="BK1543" s="458"/>
      <c r="BL1543" s="458"/>
      <c r="BM1543" s="458"/>
      <c r="BN1543" s="458"/>
      <c r="BO1543" s="866">
        <f>VLOOKUP(BD1543,$BD$4:$BN$12824,3,0)*BE1543</f>
        <v>0</v>
      </c>
      <c r="BP1543" s="866"/>
      <c r="BQ1543" s="866"/>
      <c r="BR1543" s="866">
        <f>VLOOKUP(BD1543,$BD$4:$BN$12824,6,0)*BE1543</f>
        <v>34419.865340865224</v>
      </c>
      <c r="BS1543" s="866">
        <f>VLOOKUP(BD1543,$BD$4:$BN$12824,7,0)*BE1543</f>
        <v>2428.6327915540105</v>
      </c>
      <c r="BT1543" s="866"/>
      <c r="BU1543" s="866">
        <f>VLOOKUP(BD1543,$BD$4:$BN$12824,9,0)*BE1543</f>
        <v>1100.6023130245742</v>
      </c>
      <c r="BV1543" s="867"/>
      <c r="BW1543" s="867">
        <f>VLOOKUP(BD1543,$BD$4:$BN$12824,11,0)*BE1543</f>
        <v>21283.595484038316</v>
      </c>
      <c r="BX1543" s="1146">
        <f t="shared" si="295"/>
        <v>59232.695929482128</v>
      </c>
      <c r="BY1543" s="867">
        <f t="shared" si="298"/>
        <v>59232.695929482128</v>
      </c>
      <c r="BZ1543" s="867">
        <f t="shared" si="296"/>
        <v>59232.695929482128</v>
      </c>
      <c r="CA1543" s="867">
        <f>_xlfn.MAXIFS($BY$4:$BY$12824,$S$4:$S$12824,$S1543)</f>
        <v>2850955.0666463105</v>
      </c>
      <c r="CB1543" s="1032"/>
      <c r="CF1543" s="946">
        <f t="shared" si="297"/>
        <v>2637231.3000000003</v>
      </c>
    </row>
    <row r="1544" spans="2:84">
      <c r="B1544" s="839" t="s">
        <v>98</v>
      </c>
      <c r="C1544" s="839" t="s">
        <v>131</v>
      </c>
      <c r="D1544" s="839" t="s">
        <v>4950</v>
      </c>
      <c r="E1544" s="839" t="s">
        <v>4994</v>
      </c>
      <c r="F1544" s="841">
        <v>45883</v>
      </c>
      <c r="G1544" s="840" t="s">
        <v>155</v>
      </c>
      <c r="H1544" s="842" t="s">
        <v>134</v>
      </c>
      <c r="I1544" s="883"/>
      <c r="J1544" s="841"/>
      <c r="K1544" s="841"/>
      <c r="L1544" s="843" t="s">
        <v>106</v>
      </c>
      <c r="M1544" s="844" t="s">
        <v>417</v>
      </c>
      <c r="N1544" s="841">
        <v>45884</v>
      </c>
      <c r="O1544" s="884" t="s">
        <v>108</v>
      </c>
      <c r="P1544" s="842" t="s">
        <v>3622</v>
      </c>
      <c r="Q1544" s="843"/>
      <c r="R1544" s="856" t="s">
        <v>5248</v>
      </c>
      <c r="S1544" s="1127" t="s">
        <v>805</v>
      </c>
      <c r="T1544" s="885" t="s">
        <v>5249</v>
      </c>
      <c r="U1544" s="886">
        <v>1</v>
      </c>
      <c r="V1544" s="842" t="s">
        <v>8</v>
      </c>
      <c r="W1544" s="846">
        <v>207</v>
      </c>
      <c r="X1544" s="847">
        <v>207</v>
      </c>
      <c r="Y1544" s="853">
        <v>0.45</v>
      </c>
      <c r="Z1544" s="849">
        <v>113.85</v>
      </c>
      <c r="AA1544" s="849" t="s">
        <v>40</v>
      </c>
      <c r="AB1544" s="849">
        <f t="shared" si="291"/>
        <v>0</v>
      </c>
      <c r="AC1544" s="850">
        <f t="shared" si="292"/>
        <v>113.85</v>
      </c>
      <c r="AD1544" s="851">
        <f t="shared" si="290"/>
        <v>27000</v>
      </c>
      <c r="AE1544" s="852">
        <v>26202</v>
      </c>
      <c r="AF1544" s="853">
        <v>0</v>
      </c>
      <c r="AG1544" s="854">
        <f t="shared" si="293"/>
        <v>0</v>
      </c>
      <c r="AH1544" s="853">
        <v>0.08</v>
      </c>
      <c r="AI1544" s="855">
        <f t="shared" si="294"/>
        <v>238647.81599999999</v>
      </c>
      <c r="AJ1544" s="845" t="s">
        <v>4950</v>
      </c>
      <c r="AK1544" s="857">
        <v>45901</v>
      </c>
      <c r="AL1544" s="843" t="s">
        <v>4957</v>
      </c>
      <c r="AM1544" s="843" t="s">
        <v>4958</v>
      </c>
      <c r="AN1544" s="844" t="s">
        <v>4959</v>
      </c>
      <c r="AO1544" s="844" t="s">
        <v>141</v>
      </c>
      <c r="AP1544" s="841"/>
      <c r="AQ1544" s="841">
        <v>45914</v>
      </c>
      <c r="AR1544" s="841">
        <v>45921</v>
      </c>
      <c r="AS1544" s="842" t="s">
        <v>1874</v>
      </c>
      <c r="AT1544" s="842" t="s">
        <v>1235</v>
      </c>
      <c r="AU1544" s="842"/>
      <c r="AV1544" s="845" t="s">
        <v>4960</v>
      </c>
      <c r="AW1544" s="861">
        <v>45920</v>
      </c>
      <c r="AX1544" s="862">
        <v>45929</v>
      </c>
      <c r="AY1544" s="843" t="s">
        <v>5250</v>
      </c>
      <c r="AZ1544" s="842" t="s">
        <v>1631</v>
      </c>
      <c r="BA1544" s="842" t="s">
        <v>120</v>
      </c>
      <c r="BB1544" s="863" t="s">
        <v>121</v>
      </c>
      <c r="BC1544" s="864">
        <v>45930</v>
      </c>
      <c r="BD1544" s="860" t="s">
        <v>4962</v>
      </c>
      <c r="BE1544" s="865" cm="1">
        <f t="array" ref="BE1544">IF(BD1544="","",AC1544/SUMPRODUCT(--(BD1544=$BD$4:$BD$12824),$AC$4:$AC$12824))</f>
        <v>4.6109022221430237E-3</v>
      </c>
      <c r="BF1544" s="458"/>
      <c r="BG1544" s="458"/>
      <c r="BH1544" s="458"/>
      <c r="BI1544" s="458"/>
      <c r="BJ1544" s="458"/>
      <c r="BK1544" s="458"/>
      <c r="BL1544" s="458"/>
      <c r="BM1544" s="458"/>
      <c r="BN1544" s="458"/>
      <c r="BO1544" s="866">
        <f>VLOOKUP(BD1544,$BD$4:$BN$12824,3,0)*BE1544</f>
        <v>0</v>
      </c>
      <c r="BP1544" s="866"/>
      <c r="BQ1544" s="866"/>
      <c r="BR1544" s="866">
        <f>VLOOKUP(BD1544,$BD$4:$BN$12824,6,0)*BE1544</f>
        <v>38933.946041306561</v>
      </c>
      <c r="BS1544" s="866">
        <f>VLOOKUP(BD1544,$BD$4:$BN$12824,7,0)*BE1544</f>
        <v>2747.1420101184704</v>
      </c>
      <c r="BT1544" s="866"/>
      <c r="BU1544" s="866">
        <f>VLOOKUP(BD1544,$BD$4:$BN$12824,9,0)*BE1544</f>
        <v>1244.9435999786165</v>
      </c>
      <c r="BV1544" s="867"/>
      <c r="BW1544" s="867">
        <f>VLOOKUP(BD1544,$BD$4:$BN$12824,11,0)*BE1544</f>
        <v>24074.886695059729</v>
      </c>
      <c r="BX1544" s="1146">
        <f t="shared" si="295"/>
        <v>67000.918346463382</v>
      </c>
      <c r="BY1544" s="867">
        <f t="shared" si="298"/>
        <v>67000.918346463382</v>
      </c>
      <c r="BZ1544" s="867">
        <f t="shared" si="296"/>
        <v>67000.918346463382</v>
      </c>
      <c r="CA1544" s="867">
        <f>_xlfn.MAXIFS($BY$4:$BY$12824,$S$4:$S$12824,$S1544)</f>
        <v>3231082.4088658188</v>
      </c>
      <c r="CB1544" s="1032"/>
      <c r="CF1544" s="946">
        <f t="shared" si="297"/>
        <v>2983097.6999999997</v>
      </c>
    </row>
    <row r="1545" spans="2:84">
      <c r="B1545" s="839" t="s">
        <v>98</v>
      </c>
      <c r="C1545" s="839" t="s">
        <v>131</v>
      </c>
      <c r="D1545" s="839" t="s">
        <v>4950</v>
      </c>
      <c r="E1545" s="839" t="s">
        <v>4994</v>
      </c>
      <c r="F1545" s="841">
        <v>45883</v>
      </c>
      <c r="G1545" s="840" t="s">
        <v>155</v>
      </c>
      <c r="H1545" s="842" t="s">
        <v>134</v>
      </c>
      <c r="I1545" s="883"/>
      <c r="J1545" s="841"/>
      <c r="K1545" s="841"/>
      <c r="L1545" s="843" t="s">
        <v>106</v>
      </c>
      <c r="M1545" s="844" t="s">
        <v>417</v>
      </c>
      <c r="N1545" s="841">
        <v>45884</v>
      </c>
      <c r="O1545" s="884" t="s">
        <v>108</v>
      </c>
      <c r="P1545" s="842" t="s">
        <v>3622</v>
      </c>
      <c r="Q1545" s="843"/>
      <c r="R1545" s="845" t="s">
        <v>5251</v>
      </c>
      <c r="S1545" s="1127" t="s">
        <v>1544</v>
      </c>
      <c r="T1545" s="885" t="s">
        <v>5252</v>
      </c>
      <c r="U1545" s="886">
        <v>2</v>
      </c>
      <c r="V1545" s="842" t="s">
        <v>8</v>
      </c>
      <c r="W1545" s="846">
        <v>256</v>
      </c>
      <c r="X1545" s="847">
        <v>512</v>
      </c>
      <c r="Y1545" s="853">
        <v>0.45</v>
      </c>
      <c r="Z1545" s="849">
        <v>140.80000000000001</v>
      </c>
      <c r="AA1545" s="849" t="s">
        <v>40</v>
      </c>
      <c r="AB1545" s="849">
        <f t="shared" si="291"/>
        <v>0</v>
      </c>
      <c r="AC1545" s="850">
        <f t="shared" si="292"/>
        <v>281.60000000000002</v>
      </c>
      <c r="AD1545" s="851">
        <f t="shared" si="290"/>
        <v>27000</v>
      </c>
      <c r="AE1545" s="852">
        <v>26202</v>
      </c>
      <c r="AF1545" s="853">
        <v>0</v>
      </c>
      <c r="AG1545" s="854">
        <f t="shared" si="293"/>
        <v>0</v>
      </c>
      <c r="AH1545" s="853">
        <v>0.08</v>
      </c>
      <c r="AI1545" s="855">
        <f t="shared" si="294"/>
        <v>590278.65600000008</v>
      </c>
      <c r="AJ1545" s="845" t="s">
        <v>4950</v>
      </c>
      <c r="AK1545" s="857">
        <v>45901</v>
      </c>
      <c r="AL1545" s="843" t="s">
        <v>4957</v>
      </c>
      <c r="AM1545" s="843" t="s">
        <v>4958</v>
      </c>
      <c r="AN1545" s="844" t="s">
        <v>4959</v>
      </c>
      <c r="AO1545" s="844" t="s">
        <v>141</v>
      </c>
      <c r="AP1545" s="841"/>
      <c r="AQ1545" s="841">
        <v>45914</v>
      </c>
      <c r="AR1545" s="841">
        <v>45921</v>
      </c>
      <c r="AS1545" s="842" t="s">
        <v>1874</v>
      </c>
      <c r="AT1545" s="842" t="s">
        <v>1235</v>
      </c>
      <c r="AU1545" s="842"/>
      <c r="AV1545" s="845" t="s">
        <v>4960</v>
      </c>
      <c r="AW1545" s="861">
        <v>45920</v>
      </c>
      <c r="AX1545" s="862">
        <v>45929</v>
      </c>
      <c r="AY1545" s="843" t="s">
        <v>5253</v>
      </c>
      <c r="AZ1545" s="842" t="s">
        <v>4813</v>
      </c>
      <c r="BA1545" s="842" t="s">
        <v>120</v>
      </c>
      <c r="BB1545" s="863" t="s">
        <v>121</v>
      </c>
      <c r="BC1545" s="864">
        <v>45930</v>
      </c>
      <c r="BD1545" s="860" t="s">
        <v>4962</v>
      </c>
      <c r="BE1545" s="865" cm="1">
        <f t="array" ref="BE1545">IF(BD1545="","",AC1545/SUMPRODUCT(--(BD1545=$BD$4:$BD$12824),$AC$4:$AC$12824))</f>
        <v>1.1404743660566321E-2</v>
      </c>
      <c r="BF1545" s="458"/>
      <c r="BG1545" s="458"/>
      <c r="BH1545" s="458"/>
      <c r="BI1545" s="458"/>
      <c r="BJ1545" s="458"/>
      <c r="BK1545" s="458"/>
      <c r="BL1545" s="458"/>
      <c r="BM1545" s="458"/>
      <c r="BN1545" s="458"/>
      <c r="BO1545" s="866">
        <f>VLOOKUP(BD1545,$BD$4:$BN$12824,3,0)*BE1545</f>
        <v>0</v>
      </c>
      <c r="BP1545" s="866"/>
      <c r="BQ1545" s="866"/>
      <c r="BR1545" s="866">
        <f>VLOOKUP(BD1545,$BD$4:$BN$12824,6,0)*BE1545</f>
        <v>96300.38827608194</v>
      </c>
      <c r="BS1545" s="866">
        <f>VLOOKUP(BD1545,$BD$4:$BN$12824,7,0)*BE1545</f>
        <v>6794.8633293751536</v>
      </c>
      <c r="BT1545" s="866"/>
      <c r="BU1545" s="866">
        <f>VLOOKUP(BD1545,$BD$4:$BN$12824,9,0)*BE1545</f>
        <v>3079.2807883529067</v>
      </c>
      <c r="BV1545" s="867"/>
      <c r="BW1545" s="867">
        <f>VLOOKUP(BD1545,$BD$4:$BN$12824,11,0)*BE1545</f>
        <v>59547.545835123587</v>
      </c>
      <c r="BX1545" s="1146">
        <f t="shared" si="295"/>
        <v>165722.07822893356</v>
      </c>
      <c r="BY1545" s="867">
        <f t="shared" si="298"/>
        <v>82861.039114466781</v>
      </c>
      <c r="BZ1545" s="867">
        <f t="shared" si="296"/>
        <v>165722.07822893356</v>
      </c>
      <c r="CA1545" s="867">
        <f>_xlfn.MAXIFS($BY$4:$BY$12824,$S$4:$S$12824,$S1545)</f>
        <v>2972518.9786167191</v>
      </c>
      <c r="CB1545" s="1032"/>
      <c r="CF1545" s="946">
        <f t="shared" si="297"/>
        <v>7378483.2000000002</v>
      </c>
    </row>
    <row r="1546" spans="2:84">
      <c r="B1546" s="839" t="s">
        <v>98</v>
      </c>
      <c r="C1546" s="839" t="s">
        <v>131</v>
      </c>
      <c r="D1546" s="839" t="s">
        <v>4950</v>
      </c>
      <c r="E1546" s="839" t="s">
        <v>4994</v>
      </c>
      <c r="F1546" s="841">
        <v>45883</v>
      </c>
      <c r="G1546" s="868" t="s">
        <v>133</v>
      </c>
      <c r="H1546" s="842" t="s">
        <v>134</v>
      </c>
      <c r="I1546" s="883"/>
      <c r="J1546" s="841"/>
      <c r="K1546" s="841"/>
      <c r="L1546" s="843" t="s">
        <v>106</v>
      </c>
      <c r="M1546" s="844" t="s">
        <v>417</v>
      </c>
      <c r="N1546" s="841">
        <v>45884</v>
      </c>
      <c r="O1546" s="884" t="s">
        <v>150</v>
      </c>
      <c r="P1546" s="842" t="s">
        <v>4953</v>
      </c>
      <c r="Q1546" s="843"/>
      <c r="R1546" s="845" t="s">
        <v>496</v>
      </c>
      <c r="S1546" s="1127" t="s">
        <v>497</v>
      </c>
      <c r="T1546" s="885" t="s">
        <v>5254</v>
      </c>
      <c r="U1546" s="886">
        <v>1</v>
      </c>
      <c r="V1546" s="842" t="s">
        <v>8</v>
      </c>
      <c r="W1546" s="846">
        <v>611</v>
      </c>
      <c r="X1546" s="847">
        <v>611</v>
      </c>
      <c r="Y1546" s="853">
        <v>0.43</v>
      </c>
      <c r="Z1546" s="849">
        <v>348.27</v>
      </c>
      <c r="AA1546" s="849" t="s">
        <v>40</v>
      </c>
      <c r="AB1546" s="849">
        <f t="shared" si="291"/>
        <v>0</v>
      </c>
      <c r="AC1546" s="850">
        <f t="shared" si="292"/>
        <v>348.27</v>
      </c>
      <c r="AD1546" s="851">
        <f t="shared" si="290"/>
        <v>27000</v>
      </c>
      <c r="AE1546" s="852">
        <v>26202</v>
      </c>
      <c r="AF1546" s="853">
        <v>0</v>
      </c>
      <c r="AG1546" s="854">
        <f t="shared" si="293"/>
        <v>0</v>
      </c>
      <c r="AH1546" s="853">
        <v>0.08</v>
      </c>
      <c r="AI1546" s="855">
        <f t="shared" si="294"/>
        <v>730029.64319999993</v>
      </c>
      <c r="AJ1546" s="845" t="s">
        <v>4950</v>
      </c>
      <c r="AK1546" s="864">
        <v>45901</v>
      </c>
      <c r="AL1546" s="843" t="s">
        <v>4957</v>
      </c>
      <c r="AM1546" s="843" t="s">
        <v>4958</v>
      </c>
      <c r="AN1546" s="844" t="s">
        <v>4959</v>
      </c>
      <c r="AO1546" s="844" t="s">
        <v>141</v>
      </c>
      <c r="AP1546" s="841"/>
      <c r="AQ1546" s="841">
        <v>45914</v>
      </c>
      <c r="AR1546" s="841">
        <v>45921</v>
      </c>
      <c r="AS1546" s="842" t="s">
        <v>1874</v>
      </c>
      <c r="AT1546" s="842" t="s">
        <v>1235</v>
      </c>
      <c r="AU1546" s="842"/>
      <c r="AV1546" s="845" t="s">
        <v>4960</v>
      </c>
      <c r="AW1546" s="861">
        <v>45920</v>
      </c>
      <c r="AX1546" s="862">
        <v>45929</v>
      </c>
      <c r="AY1546" s="843" t="s">
        <v>5255</v>
      </c>
      <c r="AZ1546" s="842" t="s">
        <v>4276</v>
      </c>
      <c r="BA1546" s="842" t="s">
        <v>120</v>
      </c>
      <c r="BB1546" s="863" t="s">
        <v>121</v>
      </c>
      <c r="BC1546" s="864">
        <v>45930</v>
      </c>
      <c r="BD1546" s="860" t="s">
        <v>4962</v>
      </c>
      <c r="BE1546" s="865" cm="1">
        <f t="array" ref="BE1546">IF(BD1546="","",AC1546/SUMPRODUCT(--(BD1546=$BD$4:$BD$12824),$AC$4:$AC$12824))</f>
        <v>1.4104865321965313E-2</v>
      </c>
      <c r="BF1546" s="458"/>
      <c r="BG1546" s="458"/>
      <c r="BH1546" s="458"/>
      <c r="BI1546" s="458"/>
      <c r="BJ1546" s="458"/>
      <c r="BK1546" s="458"/>
      <c r="BL1546" s="458"/>
      <c r="BM1546" s="458"/>
      <c r="BN1546" s="458"/>
      <c r="BO1546" s="866">
        <f>VLOOKUP(BD1546,$BD$4:$BN$12824,3,0)*BE1546</f>
        <v>0</v>
      </c>
      <c r="BP1546" s="866"/>
      <c r="BQ1546" s="866"/>
      <c r="BR1546" s="866">
        <f>VLOOKUP(BD1546,$BD$4:$BN$12824,6,0)*BE1546</f>
        <v>119099.91557141709</v>
      </c>
      <c r="BS1546" s="866">
        <f>VLOOKUP(BD1546,$BD$4:$BN$12824,7,0)*BE1546</f>
        <v>8403.5761779882268</v>
      </c>
      <c r="BT1546" s="866"/>
      <c r="BU1546" s="866">
        <f>VLOOKUP(BD1546,$BD$4:$BN$12824,9,0)*BE1546</f>
        <v>3808.3136369306344</v>
      </c>
      <c r="BV1546" s="867"/>
      <c r="BW1546" s="867">
        <f>VLOOKUP(BD1546,$BD$4:$BN$12824,11,0)*BE1546</f>
        <v>73645.68106533555</v>
      </c>
      <c r="BX1546" s="1146">
        <f t="shared" si="295"/>
        <v>204957.48645167152</v>
      </c>
      <c r="BY1546" s="867">
        <f t="shared" si="298"/>
        <v>204957.48645167152</v>
      </c>
      <c r="BZ1546" s="867">
        <f t="shared" si="296"/>
        <v>204957.48645167152</v>
      </c>
      <c r="CA1546" s="867">
        <f>_xlfn.MAXIFS($BY$4:$BY$12824,$S$4:$S$12824,$S1546)</f>
        <v>6750267.5714829899</v>
      </c>
      <c r="CB1546" s="1032"/>
      <c r="CF1546" s="946">
        <f t="shared" si="297"/>
        <v>9125370.5399999991</v>
      </c>
    </row>
    <row r="1547" spans="2:84">
      <c r="B1547" s="839" t="s">
        <v>98</v>
      </c>
      <c r="C1547" s="839" t="s">
        <v>3454</v>
      </c>
      <c r="D1547" s="839" t="s">
        <v>5256</v>
      </c>
      <c r="E1547" s="839" t="s">
        <v>5256</v>
      </c>
      <c r="F1547" s="841">
        <v>45871</v>
      </c>
      <c r="G1547" s="839" t="s">
        <v>3454</v>
      </c>
      <c r="H1547" s="842" t="s">
        <v>134</v>
      </c>
      <c r="I1547" s="883"/>
      <c r="J1547" s="841"/>
      <c r="K1547" s="841"/>
      <c r="L1547" s="843" t="s">
        <v>5257</v>
      </c>
      <c r="M1547" s="844" t="s">
        <v>5258</v>
      </c>
      <c r="N1547" s="841"/>
      <c r="O1547" s="884" t="s">
        <v>3459</v>
      </c>
      <c r="P1547" s="842" t="s">
        <v>3460</v>
      </c>
      <c r="Q1547" s="843"/>
      <c r="R1547" s="845" t="s">
        <v>5259</v>
      </c>
      <c r="S1547" s="1127" t="s">
        <v>5259</v>
      </c>
      <c r="T1547" s="885" t="s">
        <v>5260</v>
      </c>
      <c r="U1547" s="886">
        <v>400</v>
      </c>
      <c r="V1547" s="842" t="s">
        <v>8</v>
      </c>
      <c r="W1547" s="846">
        <v>7.15</v>
      </c>
      <c r="X1547" s="847">
        <f t="shared" ref="X1547:X1578" si="299">W1547*U1547</f>
        <v>2860</v>
      </c>
      <c r="Y1547" s="853">
        <v>0</v>
      </c>
      <c r="Z1547" s="849">
        <v>7.15</v>
      </c>
      <c r="AA1547" s="849"/>
      <c r="AB1547" s="849">
        <f t="shared" si="291"/>
        <v>2860</v>
      </c>
      <c r="AC1547" s="850">
        <f t="shared" si="292"/>
        <v>2860</v>
      </c>
      <c r="AD1547" s="851">
        <f t="shared" si="290"/>
        <v>27000</v>
      </c>
      <c r="AE1547" s="852">
        <v>26230</v>
      </c>
      <c r="AF1547" s="853">
        <v>0</v>
      </c>
      <c r="AG1547" s="854">
        <f t="shared" si="293"/>
        <v>0</v>
      </c>
      <c r="AH1547" s="853">
        <v>0.08</v>
      </c>
      <c r="AI1547" s="855">
        <f t="shared" si="294"/>
        <v>6102230.6545454552</v>
      </c>
      <c r="AJ1547" s="845" t="s">
        <v>5261</v>
      </c>
      <c r="AK1547" s="857">
        <v>45920</v>
      </c>
      <c r="AL1547" s="843" t="s">
        <v>5262</v>
      </c>
      <c r="AM1547" s="843" t="s">
        <v>5263</v>
      </c>
      <c r="AN1547" s="844" t="s">
        <v>3951</v>
      </c>
      <c r="AO1547" s="844" t="s">
        <v>141</v>
      </c>
      <c r="AP1547" s="841"/>
      <c r="AQ1547" s="841">
        <v>45931</v>
      </c>
      <c r="AR1547" s="841">
        <v>45933</v>
      </c>
      <c r="AS1547" s="842" t="s">
        <v>1581</v>
      </c>
      <c r="AT1547" s="842" t="s">
        <v>1235</v>
      </c>
      <c r="AU1547" s="842" t="s">
        <v>1311</v>
      </c>
      <c r="AV1547" s="845" t="s">
        <v>5264</v>
      </c>
      <c r="AW1547" s="861">
        <v>45932</v>
      </c>
      <c r="AX1547" s="862">
        <v>45933</v>
      </c>
      <c r="AY1547" s="843" t="s">
        <v>5265</v>
      </c>
      <c r="AZ1547" s="842">
        <v>94059950</v>
      </c>
      <c r="BA1547" s="842" t="s">
        <v>120</v>
      </c>
      <c r="BB1547" s="863" t="s">
        <v>121</v>
      </c>
      <c r="BC1547" s="864">
        <v>45908</v>
      </c>
      <c r="BD1547" s="860" t="s">
        <v>5266</v>
      </c>
      <c r="BE1547" s="865" cm="1">
        <f t="array" ref="BE1547">IF(BD1547="","",AC1547/SUMPRODUCT(--(BD1547=$BD$4:$BD$12824),$AC$4:$AC$12824))</f>
        <v>8.8132877261101347E-2</v>
      </c>
      <c r="BF1547" s="458" cm="1">
        <f t="array" ref="BF1547">SUM(_xlfn._xlws.FILTER( INDEX(Cost!$B$3:$BK$77,MATCH(LDL!$BD1547, Cost!$F$3:$F$77, 0),0),Cost!$B$3:$BK$3 = BF$3))</f>
        <v>26435</v>
      </c>
      <c r="BG1547" s="458"/>
      <c r="BH1547" s="458"/>
      <c r="BI1547" s="458" cm="1">
        <f t="array" ref="BI1547">SUM(_xlfn._xlws.FILTER( INDEX(Cost!$B$3:$BK$77,MATCH(LDL!$BD1547, Cost!$F$3:$F$77, 0),0),Cost!$B$3:$BK$3 = BI$3))/1.08</f>
        <v>898789.81481481472</v>
      </c>
      <c r="BJ1547" s="458" cm="1">
        <f t="array" ref="BJ1547">SUM(_xlfn._xlws.FILTER( INDEX(Cost!$B$3:$BK$77,MATCH(LDL!$BD1547, Cost!$F$3:$F$77, 0),0),Cost!$B$3:$BK$3 = BJ$3))</f>
        <v>1233648.1818181816</v>
      </c>
      <c r="BK1547" s="458"/>
      <c r="BL1547" s="458" cm="1">
        <f t="array" ref="BL1547">SUM(_xlfn._xlws.FILTER( INDEX(Cost!$B$3:$BK$77,MATCH(LDL!$BD1547, Cost!$F$3:$F$77, 0),0),Cost!$B$3:$BK$3 = BL$3))</f>
        <v>45718</v>
      </c>
      <c r="BM1547" s="458"/>
      <c r="BN1547" s="458" cm="1">
        <f t="array" ref="BN1547">SUM(_xlfn._xlws.FILTER( INDEX(Cost!$B$3:$BK$77,MATCH(LDL!$BD1547, Cost!$F$3:$F$77, 0),0),Cost!$B$3:$BK$3 = BN$3))/1.08</f>
        <v>600000</v>
      </c>
      <c r="BO1547" s="866">
        <f>VLOOKUP(BD1547,$BD$4:$BN$12824,3,0)*BE1547</f>
        <v>2329.792610397214</v>
      </c>
      <c r="BP1547" s="866"/>
      <c r="BQ1547" s="866"/>
      <c r="BR1547" s="866">
        <f>VLOOKUP(BD1547,$BD$4:$BN$12824,6,0)*BE1547</f>
        <v>79212.932432602072</v>
      </c>
      <c r="BS1547" s="866">
        <f>VLOOKUP(BD1547,$BD$4:$BN$12824,7,0)*BE1547</f>
        <v>108724.96379156264</v>
      </c>
      <c r="BT1547" s="866"/>
      <c r="BU1547" s="866">
        <f>VLOOKUP(BD1547,$BD$4:$BN$12824,9,0)*BE1547</f>
        <v>4029.2588826230312</v>
      </c>
      <c r="BV1547" s="867"/>
      <c r="BW1547" s="867">
        <f>VLOOKUP(BD1547,$BD$4:$BN$12824,11,0)*BE1547</f>
        <v>52879.726356660809</v>
      </c>
      <c r="BX1547" s="1146">
        <f t="shared" si="295"/>
        <v>247176.67407384573</v>
      </c>
      <c r="BY1547" s="867">
        <f t="shared" si="298"/>
        <v>188162.4416851846</v>
      </c>
      <c r="BZ1547" s="867">
        <f t="shared" si="296"/>
        <v>75264976.674073845</v>
      </c>
      <c r="CA1547" s="867">
        <f>_xlfn.MAXIFS($BY$4:$BY$12824,$S$4:$S$12824,$S1547)</f>
        <v>188162.4416851846</v>
      </c>
      <c r="CB1547" s="1032"/>
      <c r="CF1547" s="946">
        <f t="shared" si="297"/>
        <v>75017800</v>
      </c>
    </row>
    <row r="1548" spans="2:84">
      <c r="B1548" s="839" t="s">
        <v>98</v>
      </c>
      <c r="C1548" s="839" t="s">
        <v>3454</v>
      </c>
      <c r="D1548" s="839" t="s">
        <v>5256</v>
      </c>
      <c r="E1548" s="839" t="s">
        <v>5256</v>
      </c>
      <c r="F1548" s="841">
        <v>45871</v>
      </c>
      <c r="G1548" s="839" t="s">
        <v>3454</v>
      </c>
      <c r="H1548" s="842" t="s">
        <v>134</v>
      </c>
      <c r="I1548" s="883"/>
      <c r="J1548" s="841"/>
      <c r="K1548" s="841"/>
      <c r="L1548" s="843" t="s">
        <v>5257</v>
      </c>
      <c r="M1548" s="844" t="s">
        <v>5258</v>
      </c>
      <c r="N1548" s="841"/>
      <c r="O1548" s="884" t="s">
        <v>3459</v>
      </c>
      <c r="P1548" s="842" t="s">
        <v>3460</v>
      </c>
      <c r="Q1548" s="843"/>
      <c r="R1548" s="845" t="s">
        <v>5267</v>
      </c>
      <c r="S1548" s="1127" t="s">
        <v>5267</v>
      </c>
      <c r="T1548" s="885" t="s">
        <v>5268</v>
      </c>
      <c r="U1548" s="886">
        <v>100</v>
      </c>
      <c r="V1548" s="842" t="s">
        <v>8</v>
      </c>
      <c r="W1548" s="846">
        <v>7.15</v>
      </c>
      <c r="X1548" s="847">
        <f t="shared" si="299"/>
        <v>715</v>
      </c>
      <c r="Y1548" s="853">
        <v>0</v>
      </c>
      <c r="Z1548" s="849">
        <v>7.15</v>
      </c>
      <c r="AA1548" s="849"/>
      <c r="AB1548" s="849">
        <f t="shared" si="291"/>
        <v>715</v>
      </c>
      <c r="AC1548" s="850">
        <f t="shared" si="292"/>
        <v>715</v>
      </c>
      <c r="AD1548" s="851">
        <f t="shared" si="290"/>
        <v>27000</v>
      </c>
      <c r="AE1548" s="852">
        <v>26230</v>
      </c>
      <c r="AF1548" s="853">
        <v>0</v>
      </c>
      <c r="AG1548" s="854">
        <f t="shared" si="293"/>
        <v>0</v>
      </c>
      <c r="AH1548" s="853">
        <v>0.08</v>
      </c>
      <c r="AI1548" s="855">
        <f t="shared" si="294"/>
        <v>1500356</v>
      </c>
      <c r="AJ1548" s="845" t="s">
        <v>5261</v>
      </c>
      <c r="AK1548" s="857">
        <v>45920</v>
      </c>
      <c r="AL1548" s="843" t="s">
        <v>5262</v>
      </c>
      <c r="AM1548" s="843" t="s">
        <v>5263</v>
      </c>
      <c r="AN1548" s="844" t="s">
        <v>3951</v>
      </c>
      <c r="AO1548" s="844" t="s">
        <v>141</v>
      </c>
      <c r="AP1548" s="841"/>
      <c r="AQ1548" s="841">
        <v>45931</v>
      </c>
      <c r="AR1548" s="841">
        <v>45933</v>
      </c>
      <c r="AS1548" s="842" t="s">
        <v>1581</v>
      </c>
      <c r="AT1548" s="842" t="s">
        <v>1235</v>
      </c>
      <c r="AU1548" s="842" t="s">
        <v>1311</v>
      </c>
      <c r="AV1548" s="845" t="s">
        <v>5264</v>
      </c>
      <c r="AW1548" s="861">
        <v>45932</v>
      </c>
      <c r="AX1548" s="862">
        <v>45933</v>
      </c>
      <c r="AY1548" s="843" t="s">
        <v>5265</v>
      </c>
      <c r="AZ1548" s="842">
        <v>94059950</v>
      </c>
      <c r="BA1548" s="842" t="s">
        <v>120</v>
      </c>
      <c r="BB1548" s="863" t="s">
        <v>121</v>
      </c>
      <c r="BC1548" s="864">
        <v>45908</v>
      </c>
      <c r="BD1548" s="860" t="s">
        <v>5266</v>
      </c>
      <c r="BE1548" s="865" cm="1">
        <f t="array" ref="BE1548">IF(BD1548="","",AC1548/SUMPRODUCT(--(BD1548=$BD$4:$BD$12824),$AC$4:$AC$12824))</f>
        <v>2.2033219315275337E-2</v>
      </c>
      <c r="BF1548" s="458"/>
      <c r="BG1548" s="458"/>
      <c r="BH1548" s="458"/>
      <c r="BI1548" s="458"/>
      <c r="BJ1548" s="458"/>
      <c r="BK1548" s="458"/>
      <c r="BL1548" s="458"/>
      <c r="BM1548" s="458"/>
      <c r="BN1548" s="458"/>
      <c r="BO1548" s="866">
        <f>VLOOKUP(BD1548,$BD$4:$BN$12824,3,0)*BE1548</f>
        <v>582.44815259930351</v>
      </c>
      <c r="BP1548" s="866"/>
      <c r="BQ1548" s="866"/>
      <c r="BR1548" s="866">
        <f>VLOOKUP(BD1548,$BD$4:$BN$12824,6,0)*BE1548</f>
        <v>19803.233108150518</v>
      </c>
      <c r="BS1548" s="866">
        <f>VLOOKUP(BD1548,$BD$4:$BN$12824,7,0)*BE1548</f>
        <v>27181.240947890659</v>
      </c>
      <c r="BT1548" s="866"/>
      <c r="BU1548" s="866">
        <f>VLOOKUP(BD1548,$BD$4:$BN$12824,9,0)*BE1548</f>
        <v>1007.3147206557578</v>
      </c>
      <c r="BV1548" s="867"/>
      <c r="BW1548" s="867">
        <f>VLOOKUP(BD1548,$BD$4:$BN$12824,11,0)*BE1548</f>
        <v>13219.931589165202</v>
      </c>
      <c r="BX1548" s="1146">
        <f t="shared" si="295"/>
        <v>61794.168518461433</v>
      </c>
      <c r="BY1548" s="867">
        <f t="shared" si="298"/>
        <v>188162.4416851846</v>
      </c>
      <c r="BZ1548" s="867">
        <f t="shared" si="296"/>
        <v>18816244.168518461</v>
      </c>
      <c r="CA1548" s="867">
        <f>_xlfn.MAXIFS($BY$4:$BY$12824,$S$4:$S$12824,$S1548)</f>
        <v>188162.4416851846</v>
      </c>
      <c r="CB1548" s="1032"/>
      <c r="CF1548" s="946">
        <f t="shared" si="297"/>
        <v>18754450</v>
      </c>
    </row>
    <row r="1549" spans="2:84">
      <c r="B1549" s="839" t="s">
        <v>98</v>
      </c>
      <c r="C1549" s="839" t="s">
        <v>3454</v>
      </c>
      <c r="D1549" s="839" t="s">
        <v>5256</v>
      </c>
      <c r="E1549" s="839" t="s">
        <v>5256</v>
      </c>
      <c r="F1549" s="841">
        <v>45871</v>
      </c>
      <c r="G1549" s="839" t="s">
        <v>3454</v>
      </c>
      <c r="H1549" s="842" t="s">
        <v>134</v>
      </c>
      <c r="I1549" s="883"/>
      <c r="J1549" s="841"/>
      <c r="K1549" s="841"/>
      <c r="L1549" s="843" t="s">
        <v>5257</v>
      </c>
      <c r="M1549" s="844" t="s">
        <v>5258</v>
      </c>
      <c r="N1549" s="841"/>
      <c r="O1549" s="884" t="s">
        <v>3459</v>
      </c>
      <c r="P1549" s="842" t="s">
        <v>3460</v>
      </c>
      <c r="Q1549" s="843"/>
      <c r="R1549" s="845" t="s">
        <v>5269</v>
      </c>
      <c r="S1549" s="1127" t="s">
        <v>5269</v>
      </c>
      <c r="T1549" s="885" t="s">
        <v>5270</v>
      </c>
      <c r="U1549" s="886">
        <v>400</v>
      </c>
      <c r="V1549" s="842" t="s">
        <v>8</v>
      </c>
      <c r="W1549" s="846">
        <v>7.15</v>
      </c>
      <c r="X1549" s="847">
        <f t="shared" si="299"/>
        <v>2860</v>
      </c>
      <c r="Y1549" s="853">
        <v>0</v>
      </c>
      <c r="Z1549" s="849">
        <v>7.15</v>
      </c>
      <c r="AA1549" s="849"/>
      <c r="AB1549" s="849">
        <f t="shared" si="291"/>
        <v>2860</v>
      </c>
      <c r="AC1549" s="850">
        <f t="shared" si="292"/>
        <v>2860</v>
      </c>
      <c r="AD1549" s="851">
        <f t="shared" si="290"/>
        <v>27000</v>
      </c>
      <c r="AE1549" s="852">
        <v>26230</v>
      </c>
      <c r="AF1549" s="853">
        <v>0</v>
      </c>
      <c r="AG1549" s="854">
        <f t="shared" si="293"/>
        <v>0</v>
      </c>
      <c r="AH1549" s="853">
        <v>0.08</v>
      </c>
      <c r="AI1549" s="855">
        <f t="shared" si="294"/>
        <v>6001424</v>
      </c>
      <c r="AJ1549" s="845" t="s">
        <v>5261</v>
      </c>
      <c r="AK1549" s="857">
        <v>45920</v>
      </c>
      <c r="AL1549" s="843" t="s">
        <v>5262</v>
      </c>
      <c r="AM1549" s="843" t="s">
        <v>5263</v>
      </c>
      <c r="AN1549" s="844" t="s">
        <v>3951</v>
      </c>
      <c r="AO1549" s="844" t="s">
        <v>141</v>
      </c>
      <c r="AP1549" s="841"/>
      <c r="AQ1549" s="841">
        <v>45931</v>
      </c>
      <c r="AR1549" s="841">
        <v>45933</v>
      </c>
      <c r="AS1549" s="842" t="s">
        <v>1581</v>
      </c>
      <c r="AT1549" s="842" t="s">
        <v>1235</v>
      </c>
      <c r="AU1549" s="842" t="s">
        <v>1311</v>
      </c>
      <c r="AV1549" s="845" t="s">
        <v>5264</v>
      </c>
      <c r="AW1549" s="861">
        <v>45932</v>
      </c>
      <c r="AX1549" s="862">
        <v>45933</v>
      </c>
      <c r="AY1549" s="843" t="s">
        <v>5271</v>
      </c>
      <c r="AZ1549" s="842">
        <v>94059950</v>
      </c>
      <c r="BA1549" s="842" t="s">
        <v>120</v>
      </c>
      <c r="BB1549" s="863" t="s">
        <v>121</v>
      </c>
      <c r="BC1549" s="864">
        <v>45908</v>
      </c>
      <c r="BD1549" s="860" t="s">
        <v>5266</v>
      </c>
      <c r="BE1549" s="865" cm="1">
        <f t="array" ref="BE1549">IF(BD1549="","",AC1549/SUMPRODUCT(--(BD1549=$BD$4:$BD$12824),$AC$4:$AC$12824))</f>
        <v>8.8132877261101347E-2</v>
      </c>
      <c r="BF1549" s="458"/>
      <c r="BG1549" s="458"/>
      <c r="BH1549" s="458"/>
      <c r="BI1549" s="458"/>
      <c r="BJ1549" s="458"/>
      <c r="BK1549" s="458"/>
      <c r="BL1549" s="458"/>
      <c r="BM1549" s="458"/>
      <c r="BN1549" s="458"/>
      <c r="BO1549" s="866">
        <f>VLOOKUP(BD1549,$BD$4:$BN$12824,3,0)*BE1549</f>
        <v>2329.792610397214</v>
      </c>
      <c r="BP1549" s="866"/>
      <c r="BQ1549" s="866"/>
      <c r="BR1549" s="866">
        <f>VLOOKUP(BD1549,$BD$4:$BN$12824,6,0)*BE1549</f>
        <v>79212.932432602072</v>
      </c>
      <c r="BS1549" s="866">
        <f>VLOOKUP(BD1549,$BD$4:$BN$12824,7,0)*BE1549</f>
        <v>108724.96379156264</v>
      </c>
      <c r="BT1549" s="866"/>
      <c r="BU1549" s="866">
        <f>VLOOKUP(BD1549,$BD$4:$BN$12824,9,0)*BE1549</f>
        <v>4029.2588826230312</v>
      </c>
      <c r="BV1549" s="867"/>
      <c r="BW1549" s="867">
        <f>VLOOKUP(BD1549,$BD$4:$BN$12824,11,0)*BE1549</f>
        <v>52879.726356660809</v>
      </c>
      <c r="BX1549" s="1146">
        <f t="shared" si="295"/>
        <v>247176.67407384573</v>
      </c>
      <c r="BY1549" s="867">
        <f t="shared" si="298"/>
        <v>188162.4416851846</v>
      </c>
      <c r="BZ1549" s="867">
        <f t="shared" si="296"/>
        <v>75264976.674073845</v>
      </c>
      <c r="CA1549" s="867">
        <f>_xlfn.MAXIFS($BY$4:$BY$12824,$S$4:$S$12824,$S1549)</f>
        <v>188162.4416851846</v>
      </c>
      <c r="CB1549" s="1032"/>
      <c r="CF1549" s="946">
        <f t="shared" si="297"/>
        <v>75017800</v>
      </c>
    </row>
    <row r="1550" spans="2:84">
      <c r="B1550" s="839" t="s">
        <v>98</v>
      </c>
      <c r="C1550" s="839" t="s">
        <v>3454</v>
      </c>
      <c r="D1550" s="839" t="s">
        <v>5256</v>
      </c>
      <c r="E1550" s="839" t="s">
        <v>5256</v>
      </c>
      <c r="F1550" s="841">
        <v>45871</v>
      </c>
      <c r="G1550" s="839" t="s">
        <v>3454</v>
      </c>
      <c r="H1550" s="842" t="s">
        <v>134</v>
      </c>
      <c r="I1550" s="883"/>
      <c r="J1550" s="841"/>
      <c r="K1550" s="841"/>
      <c r="L1550" s="843" t="s">
        <v>5257</v>
      </c>
      <c r="M1550" s="844" t="s">
        <v>5258</v>
      </c>
      <c r="N1550" s="841"/>
      <c r="O1550" s="884" t="s">
        <v>3459</v>
      </c>
      <c r="P1550" s="842" t="s">
        <v>3460</v>
      </c>
      <c r="Q1550" s="843"/>
      <c r="R1550" s="845" t="s">
        <v>5272</v>
      </c>
      <c r="S1550" s="1127" t="s">
        <v>5272</v>
      </c>
      <c r="T1550" s="885" t="s">
        <v>5273</v>
      </c>
      <c r="U1550" s="886">
        <v>100</v>
      </c>
      <c r="V1550" s="842" t="s">
        <v>8</v>
      </c>
      <c r="W1550" s="846">
        <v>7.15</v>
      </c>
      <c r="X1550" s="847">
        <f t="shared" si="299"/>
        <v>715</v>
      </c>
      <c r="Y1550" s="853">
        <v>0</v>
      </c>
      <c r="Z1550" s="849">
        <v>7.15</v>
      </c>
      <c r="AA1550" s="849"/>
      <c r="AB1550" s="849">
        <f t="shared" si="291"/>
        <v>715</v>
      </c>
      <c r="AC1550" s="850">
        <f t="shared" si="292"/>
        <v>715</v>
      </c>
      <c r="AD1550" s="851">
        <f t="shared" si="290"/>
        <v>27000</v>
      </c>
      <c r="AE1550" s="852">
        <v>26230</v>
      </c>
      <c r="AF1550" s="853">
        <v>0</v>
      </c>
      <c r="AG1550" s="854">
        <f t="shared" si="293"/>
        <v>0</v>
      </c>
      <c r="AH1550" s="853">
        <v>0.08</v>
      </c>
      <c r="AI1550" s="855">
        <f t="shared" si="294"/>
        <v>1500356</v>
      </c>
      <c r="AJ1550" s="845" t="s">
        <v>5261</v>
      </c>
      <c r="AK1550" s="857">
        <v>45920</v>
      </c>
      <c r="AL1550" s="843" t="s">
        <v>5262</v>
      </c>
      <c r="AM1550" s="843" t="s">
        <v>5263</v>
      </c>
      <c r="AN1550" s="844" t="s">
        <v>3951</v>
      </c>
      <c r="AO1550" s="844" t="s">
        <v>141</v>
      </c>
      <c r="AP1550" s="841"/>
      <c r="AQ1550" s="841">
        <v>45931</v>
      </c>
      <c r="AR1550" s="841">
        <v>45933</v>
      </c>
      <c r="AS1550" s="842" t="s">
        <v>1581</v>
      </c>
      <c r="AT1550" s="842" t="s">
        <v>1235</v>
      </c>
      <c r="AU1550" s="842" t="s">
        <v>1311</v>
      </c>
      <c r="AV1550" s="845" t="s">
        <v>5264</v>
      </c>
      <c r="AW1550" s="861">
        <v>45932</v>
      </c>
      <c r="AX1550" s="862">
        <v>45933</v>
      </c>
      <c r="AY1550" s="843" t="s">
        <v>5271</v>
      </c>
      <c r="AZ1550" s="842">
        <v>94059950</v>
      </c>
      <c r="BA1550" s="842" t="s">
        <v>120</v>
      </c>
      <c r="BB1550" s="863" t="s">
        <v>121</v>
      </c>
      <c r="BC1550" s="864">
        <v>45908</v>
      </c>
      <c r="BD1550" s="860" t="s">
        <v>5266</v>
      </c>
      <c r="BE1550" s="865" cm="1">
        <f t="array" ref="BE1550">IF(BD1550="","",AC1550/SUMPRODUCT(--(BD1550=$BD$4:$BD$12824),$AC$4:$AC$12824))</f>
        <v>2.2033219315275337E-2</v>
      </c>
      <c r="BF1550" s="458"/>
      <c r="BG1550" s="458"/>
      <c r="BH1550" s="458"/>
      <c r="BI1550" s="458"/>
      <c r="BJ1550" s="458"/>
      <c r="BK1550" s="458"/>
      <c r="BL1550" s="458"/>
      <c r="BM1550" s="458"/>
      <c r="BN1550" s="458"/>
      <c r="BO1550" s="866">
        <f>VLOOKUP(BD1550,$BD$4:$BN$12824,3,0)*BE1550</f>
        <v>582.44815259930351</v>
      </c>
      <c r="BP1550" s="866"/>
      <c r="BQ1550" s="866"/>
      <c r="BR1550" s="866">
        <f>VLOOKUP(BD1550,$BD$4:$BN$12824,6,0)*BE1550</f>
        <v>19803.233108150518</v>
      </c>
      <c r="BS1550" s="866">
        <f>VLOOKUP(BD1550,$BD$4:$BN$12824,7,0)*BE1550</f>
        <v>27181.240947890659</v>
      </c>
      <c r="BT1550" s="866"/>
      <c r="BU1550" s="866">
        <f>VLOOKUP(BD1550,$BD$4:$BN$12824,9,0)*BE1550</f>
        <v>1007.3147206557578</v>
      </c>
      <c r="BV1550" s="867"/>
      <c r="BW1550" s="867">
        <f>VLOOKUP(BD1550,$BD$4:$BN$12824,11,0)*BE1550</f>
        <v>13219.931589165202</v>
      </c>
      <c r="BX1550" s="1146">
        <f t="shared" si="295"/>
        <v>61794.168518461433</v>
      </c>
      <c r="BY1550" s="867">
        <f t="shared" si="298"/>
        <v>188162.4416851846</v>
      </c>
      <c r="BZ1550" s="867">
        <f t="shared" si="296"/>
        <v>18816244.168518461</v>
      </c>
      <c r="CA1550" s="867">
        <f>_xlfn.MAXIFS($BY$4:$BY$12824,$S$4:$S$12824,$S1550)</f>
        <v>188162.4416851846</v>
      </c>
      <c r="CB1550" s="1032"/>
      <c r="CF1550" s="946">
        <f t="shared" si="297"/>
        <v>18754450</v>
      </c>
    </row>
    <row r="1551" spans="2:84">
      <c r="B1551" s="839" t="s">
        <v>98</v>
      </c>
      <c r="C1551" s="839" t="s">
        <v>3454</v>
      </c>
      <c r="D1551" s="839" t="s">
        <v>5256</v>
      </c>
      <c r="E1551" s="839" t="s">
        <v>5256</v>
      </c>
      <c r="F1551" s="841">
        <v>45871</v>
      </c>
      <c r="G1551" s="839" t="s">
        <v>3454</v>
      </c>
      <c r="H1551" s="842" t="s">
        <v>134</v>
      </c>
      <c r="I1551" s="883"/>
      <c r="J1551" s="841"/>
      <c r="K1551" s="841"/>
      <c r="L1551" s="843" t="s">
        <v>5257</v>
      </c>
      <c r="M1551" s="844" t="s">
        <v>5258</v>
      </c>
      <c r="N1551" s="841"/>
      <c r="O1551" s="884" t="s">
        <v>3459</v>
      </c>
      <c r="P1551" s="842" t="s">
        <v>124</v>
      </c>
      <c r="Q1551" s="843"/>
      <c r="R1551" s="845" t="s">
        <v>5274</v>
      </c>
      <c r="S1551" s="1127" t="s">
        <v>5274</v>
      </c>
      <c r="T1551" s="885" t="s">
        <v>5275</v>
      </c>
      <c r="U1551" s="886">
        <v>500</v>
      </c>
      <c r="V1551" s="842" t="s">
        <v>8</v>
      </c>
      <c r="W1551" s="846">
        <v>3.6</v>
      </c>
      <c r="X1551" s="847">
        <f t="shared" si="299"/>
        <v>1800</v>
      </c>
      <c r="Y1551" s="853">
        <v>0</v>
      </c>
      <c r="Z1551" s="849">
        <v>3.6</v>
      </c>
      <c r="AA1551" s="849"/>
      <c r="AB1551" s="849">
        <f t="shared" si="291"/>
        <v>1800</v>
      </c>
      <c r="AC1551" s="850">
        <f t="shared" si="292"/>
        <v>1800</v>
      </c>
      <c r="AD1551" s="851">
        <f t="shared" si="290"/>
        <v>27000</v>
      </c>
      <c r="AE1551" s="852">
        <v>26230</v>
      </c>
      <c r="AF1551" s="853">
        <v>0</v>
      </c>
      <c r="AG1551" s="854">
        <f t="shared" si="293"/>
        <v>0</v>
      </c>
      <c r="AH1551" s="853">
        <v>0.08</v>
      </c>
      <c r="AI1551" s="855">
        <f t="shared" si="294"/>
        <v>3777120</v>
      </c>
      <c r="AJ1551" s="845" t="s">
        <v>5261</v>
      </c>
      <c r="AK1551" s="857">
        <v>45920</v>
      </c>
      <c r="AL1551" s="843" t="s">
        <v>5262</v>
      </c>
      <c r="AM1551" s="843" t="s">
        <v>5263</v>
      </c>
      <c r="AN1551" s="844" t="s">
        <v>3951</v>
      </c>
      <c r="AO1551" s="844" t="s">
        <v>141</v>
      </c>
      <c r="AP1551" s="841"/>
      <c r="AQ1551" s="841">
        <v>45931</v>
      </c>
      <c r="AR1551" s="841">
        <v>45933</v>
      </c>
      <c r="AS1551" s="842" t="s">
        <v>1581</v>
      </c>
      <c r="AT1551" s="842" t="s">
        <v>1235</v>
      </c>
      <c r="AU1551" s="842" t="s">
        <v>1311</v>
      </c>
      <c r="AV1551" s="845" t="s">
        <v>5264</v>
      </c>
      <c r="AW1551" s="861">
        <v>45932</v>
      </c>
      <c r="AX1551" s="862">
        <v>45933</v>
      </c>
      <c r="AY1551" s="843" t="s">
        <v>5276</v>
      </c>
      <c r="AZ1551" s="842">
        <v>85044030</v>
      </c>
      <c r="BA1551" s="842" t="s">
        <v>120</v>
      </c>
      <c r="BB1551" s="863" t="s">
        <v>121</v>
      </c>
      <c r="BC1551" s="864">
        <v>45908</v>
      </c>
      <c r="BD1551" s="860" t="s">
        <v>5266</v>
      </c>
      <c r="BE1551" s="865" cm="1">
        <f t="array" ref="BE1551">IF(BD1551="","",AC1551/SUMPRODUCT(--(BD1551=$BD$4:$BD$12824),$AC$4:$AC$12824))</f>
        <v>5.546824443006379E-2</v>
      </c>
      <c r="BF1551" s="458"/>
      <c r="BG1551" s="458"/>
      <c r="BH1551" s="458"/>
      <c r="BI1551" s="458"/>
      <c r="BJ1551" s="458"/>
      <c r="BK1551" s="458"/>
      <c r="BL1551" s="458"/>
      <c r="BM1551" s="458"/>
      <c r="BN1551" s="458"/>
      <c r="BO1551" s="866">
        <f>VLOOKUP(BD1551,$BD$4:$BN$12824,3,0)*BE1551</f>
        <v>1466.3030415087362</v>
      </c>
      <c r="BP1551" s="866"/>
      <c r="BQ1551" s="866"/>
      <c r="BR1551" s="866">
        <f>VLOOKUP(BD1551,$BD$4:$BN$12824,6,0)*BE1551</f>
        <v>49854.29313939991</v>
      </c>
      <c r="BS1551" s="866">
        <f>VLOOKUP(BD1551,$BD$4:$BN$12824,7,0)*BE1551</f>
        <v>68428.298889794678</v>
      </c>
      <c r="BT1551" s="866"/>
      <c r="BU1551" s="866">
        <f>VLOOKUP(BD1551,$BD$4:$BN$12824,9,0)*BE1551</f>
        <v>2535.8971988536564</v>
      </c>
      <c r="BV1551" s="867"/>
      <c r="BW1551" s="867">
        <f>VLOOKUP(BD1551,$BD$4:$BN$12824,11,0)*BE1551</f>
        <v>33280.946658038272</v>
      </c>
      <c r="BX1551" s="1146">
        <f t="shared" si="295"/>
        <v>155565.73892759526</v>
      </c>
      <c r="BY1551" s="867">
        <f t="shared" si="298"/>
        <v>94739.13147785519</v>
      </c>
      <c r="BZ1551" s="867">
        <f t="shared" si="296"/>
        <v>47369565.738927595</v>
      </c>
      <c r="CA1551" s="867">
        <f>_xlfn.MAXIFS($BY$4:$BY$12824,$S$4:$S$12824,$S1551)</f>
        <v>94739.13147785519</v>
      </c>
      <c r="CB1551" s="1032"/>
      <c r="CF1551" s="946">
        <f t="shared" si="297"/>
        <v>47214000</v>
      </c>
    </row>
    <row r="1552" spans="2:84">
      <c r="B1552" s="839" t="s">
        <v>98</v>
      </c>
      <c r="C1552" s="839" t="s">
        <v>3454</v>
      </c>
      <c r="D1552" s="839" t="s">
        <v>5256</v>
      </c>
      <c r="E1552" s="839" t="s">
        <v>5256</v>
      </c>
      <c r="F1552" s="841">
        <v>45871</v>
      </c>
      <c r="G1552" s="839" t="s">
        <v>3454</v>
      </c>
      <c r="H1552" s="842" t="s">
        <v>134</v>
      </c>
      <c r="I1552" s="883"/>
      <c r="J1552" s="841"/>
      <c r="K1552" s="841"/>
      <c r="L1552" s="843" t="s">
        <v>5257</v>
      </c>
      <c r="M1552" s="844" t="s">
        <v>5258</v>
      </c>
      <c r="N1552" s="841"/>
      <c r="O1552" s="884" t="s">
        <v>3459</v>
      </c>
      <c r="P1552" s="842" t="s">
        <v>124</v>
      </c>
      <c r="Q1552" s="843"/>
      <c r="R1552" s="845" t="s">
        <v>5277</v>
      </c>
      <c r="S1552" s="1127" t="s">
        <v>5277</v>
      </c>
      <c r="T1552" s="885" t="s">
        <v>5278</v>
      </c>
      <c r="U1552" s="886">
        <v>500</v>
      </c>
      <c r="V1552" s="842" t="s">
        <v>8</v>
      </c>
      <c r="W1552" s="846">
        <v>1.83</v>
      </c>
      <c r="X1552" s="847">
        <f t="shared" si="299"/>
        <v>915</v>
      </c>
      <c r="Y1552" s="853">
        <v>0</v>
      </c>
      <c r="Z1552" s="849">
        <v>1.83</v>
      </c>
      <c r="AA1552" s="849"/>
      <c r="AB1552" s="849">
        <f t="shared" si="291"/>
        <v>915</v>
      </c>
      <c r="AC1552" s="850">
        <f t="shared" si="292"/>
        <v>915</v>
      </c>
      <c r="AD1552" s="851">
        <f t="shared" si="290"/>
        <v>27000</v>
      </c>
      <c r="AE1552" s="852">
        <v>26230</v>
      </c>
      <c r="AF1552" s="853">
        <v>0</v>
      </c>
      <c r="AG1552" s="854">
        <f t="shared" si="293"/>
        <v>0</v>
      </c>
      <c r="AH1552" s="853">
        <v>0.08</v>
      </c>
      <c r="AI1552" s="855">
        <f t="shared" si="294"/>
        <v>1920036</v>
      </c>
      <c r="AJ1552" s="845" t="s">
        <v>5261</v>
      </c>
      <c r="AK1552" s="857">
        <v>45920</v>
      </c>
      <c r="AL1552" s="843" t="s">
        <v>5262</v>
      </c>
      <c r="AM1552" s="843" t="s">
        <v>5263</v>
      </c>
      <c r="AN1552" s="844" t="s">
        <v>3951</v>
      </c>
      <c r="AO1552" s="844" t="s">
        <v>141</v>
      </c>
      <c r="AP1552" s="841"/>
      <c r="AQ1552" s="841">
        <v>45931</v>
      </c>
      <c r="AR1552" s="841">
        <v>45933</v>
      </c>
      <c r="AS1552" s="842" t="s">
        <v>1581</v>
      </c>
      <c r="AT1552" s="842" t="s">
        <v>1235</v>
      </c>
      <c r="AU1552" s="842" t="s">
        <v>1311</v>
      </c>
      <c r="AV1552" s="845" t="s">
        <v>5264</v>
      </c>
      <c r="AW1552" s="861">
        <v>45932</v>
      </c>
      <c r="AX1552" s="862">
        <v>45933</v>
      </c>
      <c r="AY1552" s="843" t="s">
        <v>5279</v>
      </c>
      <c r="AZ1552" s="842">
        <v>85044030</v>
      </c>
      <c r="BA1552" s="842" t="s">
        <v>120</v>
      </c>
      <c r="BB1552" s="863" t="s">
        <v>121</v>
      </c>
      <c r="BC1552" s="864">
        <v>45908</v>
      </c>
      <c r="BD1552" s="860" t="s">
        <v>5266</v>
      </c>
      <c r="BE1552" s="865" cm="1">
        <f t="array" ref="BE1552">IF(BD1552="","",AC1552/SUMPRODUCT(--(BD1552=$BD$4:$BD$12824),$AC$4:$AC$12824))</f>
        <v>2.8196357585282425E-2</v>
      </c>
      <c r="BF1552" s="458"/>
      <c r="BG1552" s="458"/>
      <c r="BH1552" s="458"/>
      <c r="BI1552" s="458"/>
      <c r="BJ1552" s="458"/>
      <c r="BK1552" s="458"/>
      <c r="BL1552" s="458"/>
      <c r="BM1552" s="458"/>
      <c r="BN1552" s="458"/>
      <c r="BO1552" s="866">
        <f>VLOOKUP(BD1552,$BD$4:$BN$12824,3,0)*BE1552</f>
        <v>745.37071276694087</v>
      </c>
      <c r="BP1552" s="866"/>
      <c r="BQ1552" s="866"/>
      <c r="BR1552" s="866">
        <f>VLOOKUP(BD1552,$BD$4:$BN$12824,6,0)*BE1552</f>
        <v>25342.599012528288</v>
      </c>
      <c r="BS1552" s="866">
        <f>VLOOKUP(BD1552,$BD$4:$BN$12824,7,0)*BE1552</f>
        <v>34784.385268978956</v>
      </c>
      <c r="BT1552" s="866"/>
      <c r="BU1552" s="866">
        <f>VLOOKUP(BD1552,$BD$4:$BN$12824,9,0)*BE1552</f>
        <v>1289.081076083942</v>
      </c>
      <c r="BV1552" s="867"/>
      <c r="BW1552" s="867">
        <f>VLOOKUP(BD1552,$BD$4:$BN$12824,11,0)*BE1552</f>
        <v>16917.814551169457</v>
      </c>
      <c r="BX1552" s="1146">
        <f t="shared" si="295"/>
        <v>79079.250621527579</v>
      </c>
      <c r="BY1552" s="867">
        <f t="shared" si="298"/>
        <v>48159.058501243053</v>
      </c>
      <c r="BZ1552" s="867">
        <f t="shared" si="296"/>
        <v>24079529.250621527</v>
      </c>
      <c r="CA1552" s="867">
        <f>_xlfn.MAXIFS($BY$4:$BY$12824,$S$4:$S$12824,$S1552)</f>
        <v>48159.058501243053</v>
      </c>
      <c r="CB1552" s="1032"/>
      <c r="CF1552" s="946">
        <f t="shared" si="297"/>
        <v>24000450</v>
      </c>
    </row>
    <row r="1553" spans="2:84">
      <c r="B1553" s="839" t="s">
        <v>98</v>
      </c>
      <c r="C1553" s="839" t="s">
        <v>3454</v>
      </c>
      <c r="D1553" s="839" t="s">
        <v>5256</v>
      </c>
      <c r="E1553" s="839" t="s">
        <v>5256</v>
      </c>
      <c r="F1553" s="841">
        <v>45871</v>
      </c>
      <c r="G1553" s="839" t="s">
        <v>3454</v>
      </c>
      <c r="H1553" s="842" t="s">
        <v>134</v>
      </c>
      <c r="I1553" s="883"/>
      <c r="J1553" s="841"/>
      <c r="K1553" s="841"/>
      <c r="L1553" s="843" t="s">
        <v>5257</v>
      </c>
      <c r="M1553" s="844" t="s">
        <v>5258</v>
      </c>
      <c r="N1553" s="841"/>
      <c r="O1553" s="884" t="s">
        <v>3459</v>
      </c>
      <c r="P1553" s="842" t="s">
        <v>124</v>
      </c>
      <c r="Q1553" s="843"/>
      <c r="R1553" s="845" t="s">
        <v>3506</v>
      </c>
      <c r="S1553" s="1127" t="s">
        <v>3506</v>
      </c>
      <c r="T1553" s="885" t="s">
        <v>5280</v>
      </c>
      <c r="U1553" s="886">
        <v>100</v>
      </c>
      <c r="V1553" s="842" t="s">
        <v>8</v>
      </c>
      <c r="W1553" s="846">
        <v>0.22</v>
      </c>
      <c r="X1553" s="847">
        <f t="shared" si="299"/>
        <v>22</v>
      </c>
      <c r="Y1553" s="853">
        <v>0</v>
      </c>
      <c r="Z1553" s="849">
        <v>0.22</v>
      </c>
      <c r="AA1553" s="849"/>
      <c r="AB1553" s="849">
        <f t="shared" si="291"/>
        <v>22</v>
      </c>
      <c r="AC1553" s="850">
        <f t="shared" si="292"/>
        <v>22</v>
      </c>
      <c r="AD1553" s="851">
        <f t="shared" si="290"/>
        <v>27000</v>
      </c>
      <c r="AE1553" s="852">
        <v>26230</v>
      </c>
      <c r="AF1553" s="853">
        <v>0</v>
      </c>
      <c r="AG1553" s="854">
        <f t="shared" si="293"/>
        <v>0</v>
      </c>
      <c r="AH1553" s="853">
        <v>0.08</v>
      </c>
      <c r="AI1553" s="855">
        <f t="shared" si="294"/>
        <v>46164.800000000003</v>
      </c>
      <c r="AJ1553" s="845" t="s">
        <v>5261</v>
      </c>
      <c r="AK1553" s="857">
        <v>45920</v>
      </c>
      <c r="AL1553" s="843" t="s">
        <v>5262</v>
      </c>
      <c r="AM1553" s="843" t="s">
        <v>5263</v>
      </c>
      <c r="AN1553" s="844" t="s">
        <v>3951</v>
      </c>
      <c r="AO1553" s="844" t="s">
        <v>141</v>
      </c>
      <c r="AP1553" s="841"/>
      <c r="AQ1553" s="841">
        <v>45931</v>
      </c>
      <c r="AR1553" s="841">
        <v>45933</v>
      </c>
      <c r="AS1553" s="842" t="s">
        <v>1581</v>
      </c>
      <c r="AT1553" s="842" t="s">
        <v>1235</v>
      </c>
      <c r="AU1553" s="842" t="s">
        <v>1311</v>
      </c>
      <c r="AV1553" s="845" t="s">
        <v>5264</v>
      </c>
      <c r="AW1553" s="861">
        <v>45932</v>
      </c>
      <c r="AX1553" s="862">
        <v>45933</v>
      </c>
      <c r="AY1553" s="843" t="s">
        <v>5281</v>
      </c>
      <c r="AZ1553" s="842">
        <v>94059950</v>
      </c>
      <c r="BA1553" s="842" t="s">
        <v>120</v>
      </c>
      <c r="BB1553" s="863" t="s">
        <v>121</v>
      </c>
      <c r="BC1553" s="864">
        <v>45908</v>
      </c>
      <c r="BD1553" s="860" t="s">
        <v>5266</v>
      </c>
      <c r="BE1553" s="865" cm="1">
        <f t="array" ref="BE1553">IF(BD1553="","",AC1553/SUMPRODUCT(--(BD1553=$BD$4:$BD$12824),$AC$4:$AC$12824))</f>
        <v>6.7794520970077964E-4</v>
      </c>
      <c r="BF1553" s="458"/>
      <c r="BG1553" s="458"/>
      <c r="BH1553" s="458"/>
      <c r="BI1553" s="458"/>
      <c r="BJ1553" s="458"/>
      <c r="BK1553" s="458"/>
      <c r="BL1553" s="458"/>
      <c r="BM1553" s="458"/>
      <c r="BN1553" s="458"/>
      <c r="BO1553" s="866">
        <f>VLOOKUP(BD1553,$BD$4:$BN$12824,3,0)*BE1553</f>
        <v>17.921481618440108</v>
      </c>
      <c r="BP1553" s="866"/>
      <c r="BQ1553" s="866"/>
      <c r="BR1553" s="866">
        <f>VLOOKUP(BD1553,$BD$4:$BN$12824,6,0)*BE1553</f>
        <v>609.33024948155446</v>
      </c>
      <c r="BS1553" s="866">
        <f>VLOOKUP(BD1553,$BD$4:$BN$12824,7,0)*BE1553</f>
        <v>836.34587531971272</v>
      </c>
      <c r="BT1553" s="866"/>
      <c r="BU1553" s="866">
        <f>VLOOKUP(BD1553,$BD$4:$BN$12824,9,0)*BE1553</f>
        <v>30.994299097100242</v>
      </c>
      <c r="BV1553" s="867"/>
      <c r="BW1553" s="867">
        <f>VLOOKUP(BD1553,$BD$4:$BN$12824,11,0)*BE1553</f>
        <v>406.76712582046775</v>
      </c>
      <c r="BX1553" s="1146">
        <f t="shared" si="295"/>
        <v>1901.3590313372754</v>
      </c>
      <c r="BY1553" s="867">
        <f t="shared" si="298"/>
        <v>5789.6135903133727</v>
      </c>
      <c r="BZ1553" s="867">
        <f t="shared" si="296"/>
        <v>578961.35903133731</v>
      </c>
      <c r="CA1553" s="867">
        <f>_xlfn.MAXIFS($BY$4:$BY$12824,$S$4:$S$12824,$S1553)</f>
        <v>5789.6135903133727</v>
      </c>
      <c r="CB1553" s="1032"/>
      <c r="CF1553" s="946">
        <f t="shared" si="297"/>
        <v>577060</v>
      </c>
    </row>
    <row r="1554" spans="2:84">
      <c r="B1554" s="839" t="s">
        <v>98</v>
      </c>
      <c r="C1554" s="839" t="s">
        <v>3454</v>
      </c>
      <c r="D1554" s="839" t="s">
        <v>5256</v>
      </c>
      <c r="E1554" s="839" t="s">
        <v>5256</v>
      </c>
      <c r="F1554" s="841">
        <v>45871</v>
      </c>
      <c r="G1554" s="839" t="s">
        <v>3454</v>
      </c>
      <c r="H1554" s="842" t="s">
        <v>134</v>
      </c>
      <c r="I1554" s="883"/>
      <c r="J1554" s="841"/>
      <c r="K1554" s="841"/>
      <c r="L1554" s="843" t="s">
        <v>5257</v>
      </c>
      <c r="M1554" s="844" t="s">
        <v>5258</v>
      </c>
      <c r="N1554" s="841"/>
      <c r="O1554" s="884" t="s">
        <v>3459</v>
      </c>
      <c r="P1554" s="842" t="s">
        <v>124</v>
      </c>
      <c r="Q1554" s="843"/>
      <c r="R1554" s="845" t="s">
        <v>5282</v>
      </c>
      <c r="S1554" s="1127" t="s">
        <v>5282</v>
      </c>
      <c r="T1554" s="885" t="s">
        <v>5283</v>
      </c>
      <c r="U1554" s="886">
        <v>100</v>
      </c>
      <c r="V1554" s="842" t="s">
        <v>8</v>
      </c>
      <c r="W1554" s="846">
        <v>0.73</v>
      </c>
      <c r="X1554" s="847">
        <f t="shared" si="299"/>
        <v>73</v>
      </c>
      <c r="Y1554" s="853">
        <v>0</v>
      </c>
      <c r="Z1554" s="849">
        <v>0.73</v>
      </c>
      <c r="AA1554" s="849"/>
      <c r="AB1554" s="849">
        <f t="shared" si="291"/>
        <v>73</v>
      </c>
      <c r="AC1554" s="850">
        <f t="shared" si="292"/>
        <v>73</v>
      </c>
      <c r="AD1554" s="851">
        <f t="shared" si="290"/>
        <v>27000</v>
      </c>
      <c r="AE1554" s="852">
        <v>26230</v>
      </c>
      <c r="AF1554" s="853">
        <v>0</v>
      </c>
      <c r="AG1554" s="854">
        <f t="shared" si="293"/>
        <v>0</v>
      </c>
      <c r="AH1554" s="853">
        <v>0.08</v>
      </c>
      <c r="AI1554" s="855">
        <f t="shared" si="294"/>
        <v>153183.20000000001</v>
      </c>
      <c r="AJ1554" s="845" t="s">
        <v>5261</v>
      </c>
      <c r="AK1554" s="857">
        <v>45920</v>
      </c>
      <c r="AL1554" s="843" t="s">
        <v>5262</v>
      </c>
      <c r="AM1554" s="843" t="s">
        <v>5263</v>
      </c>
      <c r="AN1554" s="844" t="s">
        <v>3951</v>
      </c>
      <c r="AO1554" s="844" t="s">
        <v>141</v>
      </c>
      <c r="AP1554" s="841"/>
      <c r="AQ1554" s="841">
        <v>45931</v>
      </c>
      <c r="AR1554" s="841">
        <v>45933</v>
      </c>
      <c r="AS1554" s="842" t="s">
        <v>1581</v>
      </c>
      <c r="AT1554" s="842" t="s">
        <v>1235</v>
      </c>
      <c r="AU1554" s="842" t="s">
        <v>1311</v>
      </c>
      <c r="AV1554" s="845" t="s">
        <v>5264</v>
      </c>
      <c r="AW1554" s="861">
        <v>45932</v>
      </c>
      <c r="AX1554" s="862">
        <v>45933</v>
      </c>
      <c r="AY1554" s="843" t="s">
        <v>5284</v>
      </c>
      <c r="AZ1554" s="842">
        <v>94059290</v>
      </c>
      <c r="BA1554" s="842" t="s">
        <v>120</v>
      </c>
      <c r="BB1554" s="863" t="s">
        <v>121</v>
      </c>
      <c r="BC1554" s="864">
        <v>45908</v>
      </c>
      <c r="BD1554" s="860" t="s">
        <v>5266</v>
      </c>
      <c r="BE1554" s="865" cm="1">
        <f t="array" ref="BE1554">IF(BD1554="","",AC1554/SUMPRODUCT(--(BD1554=$BD$4:$BD$12824),$AC$4:$AC$12824))</f>
        <v>2.2495454685525869E-3</v>
      </c>
      <c r="BF1554" s="458"/>
      <c r="BG1554" s="458"/>
      <c r="BH1554" s="458"/>
      <c r="BI1554" s="458"/>
      <c r="BJ1554" s="458"/>
      <c r="BK1554" s="458"/>
      <c r="BL1554" s="458"/>
      <c r="BM1554" s="458"/>
      <c r="BN1554" s="458"/>
      <c r="BO1554" s="866">
        <f>VLOOKUP(BD1554,$BD$4:$BN$12824,3,0)*BE1554</f>
        <v>59.466734461187635</v>
      </c>
      <c r="BP1554" s="866"/>
      <c r="BQ1554" s="866"/>
      <c r="BR1554" s="866">
        <f>VLOOKUP(BD1554,$BD$4:$BN$12824,6,0)*BE1554</f>
        <v>2021.8685550978851</v>
      </c>
      <c r="BS1554" s="866">
        <f>VLOOKUP(BD1554,$BD$4:$BN$12824,7,0)*BE1554</f>
        <v>2775.1476771972284</v>
      </c>
      <c r="BT1554" s="866"/>
      <c r="BU1554" s="866">
        <f>VLOOKUP(BD1554,$BD$4:$BN$12824,9,0)*BE1554</f>
        <v>102.84471973128717</v>
      </c>
      <c r="BV1554" s="867"/>
      <c r="BW1554" s="867">
        <f>VLOOKUP(BD1554,$BD$4:$BN$12824,11,0)*BE1554</f>
        <v>1349.7272811315522</v>
      </c>
      <c r="BX1554" s="1146">
        <f t="shared" si="295"/>
        <v>6309.0549676191404</v>
      </c>
      <c r="BY1554" s="867">
        <f t="shared" si="298"/>
        <v>19210.990549676193</v>
      </c>
      <c r="BZ1554" s="867">
        <f t="shared" si="296"/>
        <v>1921099.0549676192</v>
      </c>
      <c r="CA1554" s="867">
        <f>_xlfn.MAXIFS($BY$4:$BY$12824,$S$4:$S$12824,$S1554)</f>
        <v>19210.990549676193</v>
      </c>
      <c r="CB1554" s="1032"/>
      <c r="CF1554" s="946">
        <f t="shared" si="297"/>
        <v>1914790</v>
      </c>
    </row>
    <row r="1555" spans="2:84">
      <c r="B1555" s="839" t="s">
        <v>98</v>
      </c>
      <c r="C1555" s="839" t="s">
        <v>3454</v>
      </c>
      <c r="D1555" s="839" t="s">
        <v>5256</v>
      </c>
      <c r="E1555" s="839" t="s">
        <v>5256</v>
      </c>
      <c r="F1555" s="841">
        <v>45871</v>
      </c>
      <c r="G1555" s="839" t="s">
        <v>3454</v>
      </c>
      <c r="H1555" s="842" t="s">
        <v>134</v>
      </c>
      <c r="I1555" s="883"/>
      <c r="J1555" s="841"/>
      <c r="K1555" s="841"/>
      <c r="L1555" s="843" t="s">
        <v>5257</v>
      </c>
      <c r="M1555" s="844" t="s">
        <v>5258</v>
      </c>
      <c r="N1555" s="841"/>
      <c r="O1555" s="884" t="s">
        <v>3459</v>
      </c>
      <c r="P1555" s="842" t="s">
        <v>124</v>
      </c>
      <c r="Q1555" s="843"/>
      <c r="R1555" s="845" t="s">
        <v>5285</v>
      </c>
      <c r="S1555" s="1127" t="s">
        <v>5285</v>
      </c>
      <c r="T1555" s="885" t="s">
        <v>5286</v>
      </c>
      <c r="U1555" s="886">
        <v>100</v>
      </c>
      <c r="V1555" s="842" t="s">
        <v>8</v>
      </c>
      <c r="W1555" s="846">
        <v>0.73</v>
      </c>
      <c r="X1555" s="847">
        <f t="shared" si="299"/>
        <v>73</v>
      </c>
      <c r="Y1555" s="853">
        <v>0</v>
      </c>
      <c r="Z1555" s="849">
        <v>0.73</v>
      </c>
      <c r="AA1555" s="849"/>
      <c r="AB1555" s="849">
        <f t="shared" si="291"/>
        <v>73</v>
      </c>
      <c r="AC1555" s="850">
        <f t="shared" si="292"/>
        <v>73</v>
      </c>
      <c r="AD1555" s="851">
        <f t="shared" si="290"/>
        <v>27000</v>
      </c>
      <c r="AE1555" s="852">
        <v>26230</v>
      </c>
      <c r="AF1555" s="853">
        <v>0</v>
      </c>
      <c r="AG1555" s="854">
        <f t="shared" si="293"/>
        <v>0</v>
      </c>
      <c r="AH1555" s="853">
        <v>0.08</v>
      </c>
      <c r="AI1555" s="855">
        <f t="shared" si="294"/>
        <v>153183.20000000001</v>
      </c>
      <c r="AJ1555" s="845" t="s">
        <v>5261</v>
      </c>
      <c r="AK1555" s="857">
        <v>45920</v>
      </c>
      <c r="AL1555" s="843" t="s">
        <v>5262</v>
      </c>
      <c r="AM1555" s="843" t="s">
        <v>5263</v>
      </c>
      <c r="AN1555" s="844" t="s">
        <v>3951</v>
      </c>
      <c r="AO1555" s="844" t="s">
        <v>141</v>
      </c>
      <c r="AP1555" s="841"/>
      <c r="AQ1555" s="841">
        <v>45931</v>
      </c>
      <c r="AR1555" s="841">
        <v>45933</v>
      </c>
      <c r="AS1555" s="842" t="s">
        <v>1581</v>
      </c>
      <c r="AT1555" s="842" t="s">
        <v>1235</v>
      </c>
      <c r="AU1555" s="842" t="s">
        <v>1311</v>
      </c>
      <c r="AV1555" s="845" t="s">
        <v>5264</v>
      </c>
      <c r="AW1555" s="861">
        <v>45932</v>
      </c>
      <c r="AX1555" s="862">
        <v>45933</v>
      </c>
      <c r="AY1555" s="843" t="s">
        <v>5284</v>
      </c>
      <c r="AZ1555" s="842">
        <v>94059290</v>
      </c>
      <c r="BA1555" s="842" t="s">
        <v>120</v>
      </c>
      <c r="BB1555" s="863" t="s">
        <v>121</v>
      </c>
      <c r="BC1555" s="864">
        <v>45908</v>
      </c>
      <c r="BD1555" s="860" t="s">
        <v>5266</v>
      </c>
      <c r="BE1555" s="865" cm="1">
        <f t="array" ref="BE1555">IF(BD1555="","",AC1555/SUMPRODUCT(--(BD1555=$BD$4:$BD$12824),$AC$4:$AC$12824))</f>
        <v>2.2495454685525869E-3</v>
      </c>
      <c r="BF1555" s="458"/>
      <c r="BG1555" s="458"/>
      <c r="BH1555" s="458"/>
      <c r="BI1555" s="458"/>
      <c r="BJ1555" s="458"/>
      <c r="BK1555" s="458"/>
      <c r="BL1555" s="458"/>
      <c r="BM1555" s="458"/>
      <c r="BN1555" s="458"/>
      <c r="BO1555" s="866">
        <f>VLOOKUP(BD1555,$BD$4:$BN$12824,3,0)*BE1555</f>
        <v>59.466734461187635</v>
      </c>
      <c r="BP1555" s="866"/>
      <c r="BQ1555" s="866"/>
      <c r="BR1555" s="866">
        <f>VLOOKUP(BD1555,$BD$4:$BN$12824,6,0)*BE1555</f>
        <v>2021.8685550978851</v>
      </c>
      <c r="BS1555" s="866">
        <f>VLOOKUP(BD1555,$BD$4:$BN$12824,7,0)*BE1555</f>
        <v>2775.1476771972284</v>
      </c>
      <c r="BT1555" s="866"/>
      <c r="BU1555" s="866">
        <f>VLOOKUP(BD1555,$BD$4:$BN$12824,9,0)*BE1555</f>
        <v>102.84471973128717</v>
      </c>
      <c r="BV1555" s="867"/>
      <c r="BW1555" s="867">
        <f>VLOOKUP(BD1555,$BD$4:$BN$12824,11,0)*BE1555</f>
        <v>1349.7272811315522</v>
      </c>
      <c r="BX1555" s="1146">
        <f t="shared" si="295"/>
        <v>6309.0549676191404</v>
      </c>
      <c r="BY1555" s="867">
        <f t="shared" si="298"/>
        <v>19210.990549676193</v>
      </c>
      <c r="BZ1555" s="867">
        <f t="shared" si="296"/>
        <v>1921099.0549676192</v>
      </c>
      <c r="CA1555" s="867">
        <f>_xlfn.MAXIFS($BY$4:$BY$12824,$S$4:$S$12824,$S1555)</f>
        <v>19210.990549676193</v>
      </c>
      <c r="CB1555" s="1032"/>
      <c r="CF1555" s="946">
        <f t="shared" si="297"/>
        <v>1914790</v>
      </c>
    </row>
    <row r="1556" spans="2:84">
      <c r="B1556" s="839" t="s">
        <v>98</v>
      </c>
      <c r="C1556" s="839" t="s">
        <v>3454</v>
      </c>
      <c r="D1556" s="839" t="s">
        <v>5256</v>
      </c>
      <c r="E1556" s="839" t="s">
        <v>5256</v>
      </c>
      <c r="F1556" s="841">
        <v>45871</v>
      </c>
      <c r="G1556" s="839" t="s">
        <v>3454</v>
      </c>
      <c r="H1556" s="842" t="s">
        <v>134</v>
      </c>
      <c r="I1556" s="883"/>
      <c r="J1556" s="841"/>
      <c r="K1556" s="841"/>
      <c r="L1556" s="843" t="s">
        <v>5257</v>
      </c>
      <c r="M1556" s="844" t="s">
        <v>5258</v>
      </c>
      <c r="N1556" s="841"/>
      <c r="O1556" s="884" t="s">
        <v>3459</v>
      </c>
      <c r="P1556" s="842" t="s">
        <v>124</v>
      </c>
      <c r="Q1556" s="843"/>
      <c r="R1556" s="845" t="s">
        <v>5287</v>
      </c>
      <c r="S1556" s="1127" t="s">
        <v>5287</v>
      </c>
      <c r="T1556" s="885" t="s">
        <v>5288</v>
      </c>
      <c r="U1556" s="886">
        <v>300</v>
      </c>
      <c r="V1556" s="842" t="s">
        <v>8</v>
      </c>
      <c r="W1556" s="846">
        <v>0.73</v>
      </c>
      <c r="X1556" s="847">
        <f t="shared" si="299"/>
        <v>219</v>
      </c>
      <c r="Y1556" s="853">
        <v>0</v>
      </c>
      <c r="Z1556" s="849">
        <v>0.73</v>
      </c>
      <c r="AA1556" s="849"/>
      <c r="AB1556" s="849">
        <f t="shared" si="291"/>
        <v>219</v>
      </c>
      <c r="AC1556" s="850">
        <f t="shared" si="292"/>
        <v>219</v>
      </c>
      <c r="AD1556" s="851">
        <f t="shared" si="290"/>
        <v>27000</v>
      </c>
      <c r="AE1556" s="852">
        <v>26230</v>
      </c>
      <c r="AF1556" s="853">
        <v>0</v>
      </c>
      <c r="AG1556" s="854">
        <f t="shared" si="293"/>
        <v>0</v>
      </c>
      <c r="AH1556" s="853">
        <v>0.08</v>
      </c>
      <c r="AI1556" s="855">
        <f t="shared" si="294"/>
        <v>459549.60000000003</v>
      </c>
      <c r="AJ1556" s="845" t="s">
        <v>5261</v>
      </c>
      <c r="AK1556" s="857">
        <v>45920</v>
      </c>
      <c r="AL1556" s="843" t="s">
        <v>5262</v>
      </c>
      <c r="AM1556" s="843" t="s">
        <v>5263</v>
      </c>
      <c r="AN1556" s="844" t="s">
        <v>3951</v>
      </c>
      <c r="AO1556" s="844" t="s">
        <v>141</v>
      </c>
      <c r="AP1556" s="841"/>
      <c r="AQ1556" s="841">
        <v>45931</v>
      </c>
      <c r="AR1556" s="841">
        <v>45933</v>
      </c>
      <c r="AS1556" s="842" t="s">
        <v>1581</v>
      </c>
      <c r="AT1556" s="842" t="s">
        <v>1235</v>
      </c>
      <c r="AU1556" s="842" t="s">
        <v>1311</v>
      </c>
      <c r="AV1556" s="845" t="s">
        <v>5264</v>
      </c>
      <c r="AW1556" s="861">
        <v>45932</v>
      </c>
      <c r="AX1556" s="862">
        <v>45933</v>
      </c>
      <c r="AY1556" s="843" t="s">
        <v>5289</v>
      </c>
      <c r="AZ1556" s="842">
        <v>94059290</v>
      </c>
      <c r="BA1556" s="842" t="s">
        <v>120</v>
      </c>
      <c r="BB1556" s="863" t="s">
        <v>121</v>
      </c>
      <c r="BC1556" s="864">
        <v>45908</v>
      </c>
      <c r="BD1556" s="860" t="s">
        <v>5266</v>
      </c>
      <c r="BE1556" s="865" cm="1">
        <f t="array" ref="BE1556">IF(BD1556="","",AC1556/SUMPRODUCT(--(BD1556=$BD$4:$BD$12824),$AC$4:$AC$12824))</f>
        <v>6.7486364056577606E-3</v>
      </c>
      <c r="BF1556" s="458"/>
      <c r="BG1556" s="458"/>
      <c r="BH1556" s="458"/>
      <c r="BI1556" s="458"/>
      <c r="BJ1556" s="458"/>
      <c r="BK1556" s="458"/>
      <c r="BL1556" s="458"/>
      <c r="BM1556" s="458"/>
      <c r="BN1556" s="458"/>
      <c r="BO1556" s="866">
        <f>VLOOKUP(BD1556,$BD$4:$BN$12824,3,0)*BE1556</f>
        <v>178.40020338356291</v>
      </c>
      <c r="BP1556" s="866"/>
      <c r="BQ1556" s="866"/>
      <c r="BR1556" s="866">
        <f>VLOOKUP(BD1556,$BD$4:$BN$12824,6,0)*BE1556</f>
        <v>6065.605665293655</v>
      </c>
      <c r="BS1556" s="866">
        <f>VLOOKUP(BD1556,$BD$4:$BN$12824,7,0)*BE1556</f>
        <v>8325.4430315916852</v>
      </c>
      <c r="BT1556" s="866"/>
      <c r="BU1556" s="866">
        <f>VLOOKUP(BD1556,$BD$4:$BN$12824,9,0)*BE1556</f>
        <v>308.53415919386151</v>
      </c>
      <c r="BV1556" s="867"/>
      <c r="BW1556" s="867">
        <f>VLOOKUP(BD1556,$BD$4:$BN$12824,11,0)*BE1556</f>
        <v>4049.1818433946564</v>
      </c>
      <c r="BX1556" s="1146">
        <f t="shared" si="295"/>
        <v>18927.164902857421</v>
      </c>
      <c r="BY1556" s="867">
        <f t="shared" si="298"/>
        <v>19210.990549676193</v>
      </c>
      <c r="BZ1556" s="867">
        <f t="shared" si="296"/>
        <v>5763297.1649028575</v>
      </c>
      <c r="CA1556" s="867">
        <f>_xlfn.MAXIFS($BY$4:$BY$12824,$S$4:$S$12824,$S1556)</f>
        <v>19210.990549676193</v>
      </c>
      <c r="CB1556" s="1032"/>
      <c r="CF1556" s="946">
        <f t="shared" si="297"/>
        <v>5744370</v>
      </c>
    </row>
    <row r="1557" spans="2:84">
      <c r="B1557" s="839" t="s">
        <v>98</v>
      </c>
      <c r="C1557" s="839" t="s">
        <v>3454</v>
      </c>
      <c r="D1557" s="839" t="s">
        <v>5256</v>
      </c>
      <c r="E1557" s="839" t="s">
        <v>5256</v>
      </c>
      <c r="F1557" s="841">
        <v>45871</v>
      </c>
      <c r="G1557" s="839" t="s">
        <v>3454</v>
      </c>
      <c r="H1557" s="842" t="s">
        <v>134</v>
      </c>
      <c r="I1557" s="883"/>
      <c r="J1557" s="841"/>
      <c r="K1557" s="841"/>
      <c r="L1557" s="843" t="s">
        <v>5257</v>
      </c>
      <c r="M1557" s="844" t="s">
        <v>5258</v>
      </c>
      <c r="N1557" s="841"/>
      <c r="O1557" s="884" t="s">
        <v>3459</v>
      </c>
      <c r="P1557" s="842" t="s">
        <v>3460</v>
      </c>
      <c r="Q1557" s="843"/>
      <c r="R1557" s="845" t="s">
        <v>5290</v>
      </c>
      <c r="S1557" s="1127" t="s">
        <v>5290</v>
      </c>
      <c r="T1557" s="885" t="s">
        <v>5291</v>
      </c>
      <c r="U1557" s="886">
        <v>150</v>
      </c>
      <c r="V1557" s="842" t="s">
        <v>8</v>
      </c>
      <c r="W1557" s="846">
        <v>6.72</v>
      </c>
      <c r="X1557" s="847">
        <f t="shared" si="299"/>
        <v>1008</v>
      </c>
      <c r="Y1557" s="853">
        <v>0</v>
      </c>
      <c r="Z1557" s="849">
        <v>6.72</v>
      </c>
      <c r="AA1557" s="849"/>
      <c r="AB1557" s="849">
        <f t="shared" si="291"/>
        <v>1008</v>
      </c>
      <c r="AC1557" s="850">
        <f t="shared" si="292"/>
        <v>1008</v>
      </c>
      <c r="AD1557" s="851">
        <f t="shared" si="290"/>
        <v>27000</v>
      </c>
      <c r="AE1557" s="852">
        <v>26230</v>
      </c>
      <c r="AF1557" s="853">
        <v>0</v>
      </c>
      <c r="AG1557" s="854">
        <f t="shared" si="293"/>
        <v>0</v>
      </c>
      <c r="AH1557" s="853">
        <v>0.08</v>
      </c>
      <c r="AI1557" s="855">
        <f t="shared" si="294"/>
        <v>2115187.2000000002</v>
      </c>
      <c r="AJ1557" s="845" t="s">
        <v>5261</v>
      </c>
      <c r="AK1557" s="857">
        <v>45920</v>
      </c>
      <c r="AL1557" s="843" t="s">
        <v>5262</v>
      </c>
      <c r="AM1557" s="843" t="s">
        <v>5263</v>
      </c>
      <c r="AN1557" s="844" t="s">
        <v>3951</v>
      </c>
      <c r="AO1557" s="844" t="s">
        <v>141</v>
      </c>
      <c r="AP1557" s="841"/>
      <c r="AQ1557" s="841">
        <v>45931</v>
      </c>
      <c r="AR1557" s="841">
        <v>45933</v>
      </c>
      <c r="AS1557" s="842" t="s">
        <v>1581</v>
      </c>
      <c r="AT1557" s="842" t="s">
        <v>1235</v>
      </c>
      <c r="AU1557" s="842" t="s">
        <v>1311</v>
      </c>
      <c r="AV1557" s="845" t="s">
        <v>5264</v>
      </c>
      <c r="AW1557" s="861">
        <v>45932</v>
      </c>
      <c r="AX1557" s="862">
        <v>45933</v>
      </c>
      <c r="AY1557" s="843" t="s">
        <v>5292</v>
      </c>
      <c r="AZ1557" s="842">
        <v>94059950</v>
      </c>
      <c r="BA1557" s="842" t="s">
        <v>120</v>
      </c>
      <c r="BB1557" s="863" t="s">
        <v>121</v>
      </c>
      <c r="BC1557" s="864">
        <v>45908</v>
      </c>
      <c r="BD1557" s="860" t="s">
        <v>5266</v>
      </c>
      <c r="BE1557" s="865" cm="1">
        <f t="array" ref="BE1557">IF(BD1557="","",AC1557/SUMPRODUCT(--(BD1557=$BD$4:$BD$12824),$AC$4:$AC$12824))</f>
        <v>3.106221688083572E-2</v>
      </c>
      <c r="BF1557" s="458"/>
      <c r="BG1557" s="458"/>
      <c r="BH1557" s="458"/>
      <c r="BI1557" s="458"/>
      <c r="BJ1557" s="458"/>
      <c r="BK1557" s="458"/>
      <c r="BL1557" s="458"/>
      <c r="BM1557" s="458"/>
      <c r="BN1557" s="458"/>
      <c r="BO1557" s="866">
        <f>VLOOKUP(BD1557,$BD$4:$BN$12824,3,0)*BE1557</f>
        <v>821.12970324489231</v>
      </c>
      <c r="BP1557" s="866"/>
      <c r="BQ1557" s="866"/>
      <c r="BR1557" s="866">
        <f>VLOOKUP(BD1557,$BD$4:$BN$12824,6,0)*BE1557</f>
        <v>27918.40415806395</v>
      </c>
      <c r="BS1557" s="866">
        <f>VLOOKUP(BD1557,$BD$4:$BN$12824,7,0)*BE1557</f>
        <v>38319.84737828502</v>
      </c>
      <c r="BT1557" s="866"/>
      <c r="BU1557" s="866">
        <f>VLOOKUP(BD1557,$BD$4:$BN$12824,9,0)*BE1557</f>
        <v>1420.1024313580474</v>
      </c>
      <c r="BV1557" s="867"/>
      <c r="BW1557" s="867">
        <f>VLOOKUP(BD1557,$BD$4:$BN$12824,11,0)*BE1557</f>
        <v>18637.330128501431</v>
      </c>
      <c r="BX1557" s="1146">
        <f t="shared" si="295"/>
        <v>87116.813799453332</v>
      </c>
      <c r="BY1557" s="867">
        <f t="shared" si="298"/>
        <v>176846.37875866302</v>
      </c>
      <c r="BZ1557" s="867">
        <f t="shared" si="296"/>
        <v>26526956.813799452</v>
      </c>
      <c r="CA1557" s="867">
        <f>_xlfn.MAXIFS($BY$4:$BY$12824,$S$4:$S$12824,$S1557)</f>
        <v>176846.37875866302</v>
      </c>
      <c r="CB1557" s="1032"/>
      <c r="CF1557" s="946">
        <f t="shared" si="297"/>
        <v>26439840</v>
      </c>
    </row>
    <row r="1558" spans="2:84">
      <c r="B1558" s="839" t="s">
        <v>98</v>
      </c>
      <c r="C1558" s="839" t="s">
        <v>3454</v>
      </c>
      <c r="D1558" s="839" t="s">
        <v>5256</v>
      </c>
      <c r="E1558" s="839" t="s">
        <v>5256</v>
      </c>
      <c r="F1558" s="841">
        <v>45871</v>
      </c>
      <c r="G1558" s="839" t="s">
        <v>3454</v>
      </c>
      <c r="H1558" s="842" t="s">
        <v>134</v>
      </c>
      <c r="I1558" s="883"/>
      <c r="J1558" s="841"/>
      <c r="K1558" s="841"/>
      <c r="L1558" s="843" t="s">
        <v>5257</v>
      </c>
      <c r="M1558" s="844" t="s">
        <v>5258</v>
      </c>
      <c r="N1558" s="841"/>
      <c r="O1558" s="884" t="s">
        <v>3459</v>
      </c>
      <c r="P1558" s="842" t="s">
        <v>3460</v>
      </c>
      <c r="Q1558" s="843"/>
      <c r="R1558" s="845" t="s">
        <v>5293</v>
      </c>
      <c r="S1558" s="1127" t="s">
        <v>5293</v>
      </c>
      <c r="T1558" s="885" t="s">
        <v>5291</v>
      </c>
      <c r="U1558" s="886">
        <v>50</v>
      </c>
      <c r="V1558" s="842" t="s">
        <v>8</v>
      </c>
      <c r="W1558" s="846">
        <v>6.72</v>
      </c>
      <c r="X1558" s="847">
        <f t="shared" si="299"/>
        <v>336</v>
      </c>
      <c r="Y1558" s="853">
        <v>0</v>
      </c>
      <c r="Z1558" s="849">
        <v>6.72</v>
      </c>
      <c r="AA1558" s="849"/>
      <c r="AB1558" s="849">
        <f t="shared" si="291"/>
        <v>336</v>
      </c>
      <c r="AC1558" s="850">
        <f t="shared" si="292"/>
        <v>336</v>
      </c>
      <c r="AD1558" s="851">
        <f t="shared" si="290"/>
        <v>27000</v>
      </c>
      <c r="AE1558" s="852">
        <v>26230</v>
      </c>
      <c r="AF1558" s="853">
        <v>0</v>
      </c>
      <c r="AG1558" s="854">
        <f t="shared" si="293"/>
        <v>0</v>
      </c>
      <c r="AH1558" s="853">
        <v>0.08</v>
      </c>
      <c r="AI1558" s="855">
        <f t="shared" si="294"/>
        <v>705062.40000000002</v>
      </c>
      <c r="AJ1558" s="845" t="s">
        <v>5261</v>
      </c>
      <c r="AK1558" s="857">
        <v>45920</v>
      </c>
      <c r="AL1558" s="843" t="s">
        <v>5262</v>
      </c>
      <c r="AM1558" s="843" t="s">
        <v>5263</v>
      </c>
      <c r="AN1558" s="844" t="s">
        <v>3951</v>
      </c>
      <c r="AO1558" s="844" t="s">
        <v>141</v>
      </c>
      <c r="AP1558" s="841"/>
      <c r="AQ1558" s="841">
        <v>45931</v>
      </c>
      <c r="AR1558" s="841">
        <v>45933</v>
      </c>
      <c r="AS1558" s="842" t="s">
        <v>1581</v>
      </c>
      <c r="AT1558" s="842" t="s">
        <v>1235</v>
      </c>
      <c r="AU1558" s="842" t="s">
        <v>1311</v>
      </c>
      <c r="AV1558" s="845" t="s">
        <v>5264</v>
      </c>
      <c r="AW1558" s="861">
        <v>45932</v>
      </c>
      <c r="AX1558" s="862">
        <v>45933</v>
      </c>
      <c r="AY1558" s="843" t="s">
        <v>5292</v>
      </c>
      <c r="AZ1558" s="842">
        <v>94059950</v>
      </c>
      <c r="BA1558" s="842" t="s">
        <v>120</v>
      </c>
      <c r="BB1558" s="863" t="s">
        <v>121</v>
      </c>
      <c r="BC1558" s="864">
        <v>45908</v>
      </c>
      <c r="BD1558" s="860" t="s">
        <v>5266</v>
      </c>
      <c r="BE1558" s="865" cm="1">
        <f t="array" ref="BE1558">IF(BD1558="","",AC1558/SUMPRODUCT(--(BD1558=$BD$4:$BD$12824),$AC$4:$AC$12824))</f>
        <v>1.0354072293611908E-2</v>
      </c>
      <c r="BF1558" s="458"/>
      <c r="BG1558" s="458"/>
      <c r="BH1558" s="458"/>
      <c r="BI1558" s="458"/>
      <c r="BJ1558" s="458"/>
      <c r="BK1558" s="458"/>
      <c r="BL1558" s="458"/>
      <c r="BM1558" s="458"/>
      <c r="BN1558" s="458"/>
      <c r="BO1558" s="866">
        <f>VLOOKUP(BD1558,$BD$4:$BN$12824,3,0)*BE1558</f>
        <v>273.70990108163079</v>
      </c>
      <c r="BP1558" s="866"/>
      <c r="BQ1558" s="866"/>
      <c r="BR1558" s="866">
        <f>VLOOKUP(BD1558,$BD$4:$BN$12824,6,0)*BE1558</f>
        <v>9306.1347193546499</v>
      </c>
      <c r="BS1558" s="866">
        <f>VLOOKUP(BD1558,$BD$4:$BN$12824,7,0)*BE1558</f>
        <v>12773.282459428339</v>
      </c>
      <c r="BT1558" s="866"/>
      <c r="BU1558" s="866">
        <f>VLOOKUP(BD1558,$BD$4:$BN$12824,9,0)*BE1558</f>
        <v>473.36747711934919</v>
      </c>
      <c r="BV1558" s="867"/>
      <c r="BW1558" s="867">
        <f>VLOOKUP(BD1558,$BD$4:$BN$12824,11,0)*BE1558</f>
        <v>6212.4433761671444</v>
      </c>
      <c r="BX1558" s="1146">
        <f t="shared" si="295"/>
        <v>29038.937933151115</v>
      </c>
      <c r="BY1558" s="867">
        <f t="shared" si="298"/>
        <v>176846.37875866302</v>
      </c>
      <c r="BZ1558" s="867">
        <f t="shared" si="296"/>
        <v>8842318.9379331507</v>
      </c>
      <c r="CA1558" s="867">
        <f>_xlfn.MAXIFS($BY$4:$BY$12824,$S$4:$S$12824,$S1558)</f>
        <v>176846.37875866302</v>
      </c>
      <c r="CB1558" s="1032"/>
      <c r="CF1558" s="946">
        <f t="shared" si="297"/>
        <v>8813280</v>
      </c>
    </row>
    <row r="1559" spans="2:84">
      <c r="B1559" s="839" t="s">
        <v>98</v>
      </c>
      <c r="C1559" s="839" t="s">
        <v>3454</v>
      </c>
      <c r="D1559" s="839" t="s">
        <v>5256</v>
      </c>
      <c r="E1559" s="839" t="s">
        <v>5256</v>
      </c>
      <c r="F1559" s="841">
        <v>45871</v>
      </c>
      <c r="G1559" s="839" t="s">
        <v>3454</v>
      </c>
      <c r="H1559" s="842" t="s">
        <v>134</v>
      </c>
      <c r="I1559" s="883"/>
      <c r="J1559" s="841"/>
      <c r="K1559" s="841"/>
      <c r="L1559" s="843" t="s">
        <v>5257</v>
      </c>
      <c r="M1559" s="844" t="s">
        <v>5258</v>
      </c>
      <c r="N1559" s="841"/>
      <c r="O1559" s="884" t="s">
        <v>3459</v>
      </c>
      <c r="P1559" s="842" t="s">
        <v>3460</v>
      </c>
      <c r="Q1559" s="843"/>
      <c r="R1559" s="845" t="s">
        <v>5294</v>
      </c>
      <c r="S1559" s="1127" t="s">
        <v>5294</v>
      </c>
      <c r="T1559" s="885" t="s">
        <v>5295</v>
      </c>
      <c r="U1559" s="886">
        <v>150</v>
      </c>
      <c r="V1559" s="842" t="s">
        <v>8</v>
      </c>
      <c r="W1559" s="846">
        <v>6.72</v>
      </c>
      <c r="X1559" s="847">
        <f t="shared" si="299"/>
        <v>1008</v>
      </c>
      <c r="Y1559" s="853">
        <v>0</v>
      </c>
      <c r="Z1559" s="849">
        <v>6.72</v>
      </c>
      <c r="AA1559" s="849"/>
      <c r="AB1559" s="849">
        <f t="shared" si="291"/>
        <v>1008</v>
      </c>
      <c r="AC1559" s="850">
        <f t="shared" si="292"/>
        <v>1008</v>
      </c>
      <c r="AD1559" s="851">
        <f t="shared" si="290"/>
        <v>27000</v>
      </c>
      <c r="AE1559" s="852">
        <v>26230</v>
      </c>
      <c r="AF1559" s="853">
        <v>0</v>
      </c>
      <c r="AG1559" s="854">
        <f t="shared" si="293"/>
        <v>0</v>
      </c>
      <c r="AH1559" s="853">
        <v>0.08</v>
      </c>
      <c r="AI1559" s="855">
        <f t="shared" si="294"/>
        <v>2115187.2000000002</v>
      </c>
      <c r="AJ1559" s="845" t="s">
        <v>5261</v>
      </c>
      <c r="AK1559" s="857">
        <v>45920</v>
      </c>
      <c r="AL1559" s="843" t="s">
        <v>5262</v>
      </c>
      <c r="AM1559" s="843" t="s">
        <v>5263</v>
      </c>
      <c r="AN1559" s="844" t="s">
        <v>3951</v>
      </c>
      <c r="AO1559" s="844" t="s">
        <v>141</v>
      </c>
      <c r="AP1559" s="841"/>
      <c r="AQ1559" s="841">
        <v>45931</v>
      </c>
      <c r="AR1559" s="841">
        <v>45933</v>
      </c>
      <c r="AS1559" s="842" t="s">
        <v>1581</v>
      </c>
      <c r="AT1559" s="842" t="s">
        <v>1235</v>
      </c>
      <c r="AU1559" s="842" t="s">
        <v>1311</v>
      </c>
      <c r="AV1559" s="845" t="s">
        <v>5264</v>
      </c>
      <c r="AW1559" s="861">
        <v>45932</v>
      </c>
      <c r="AX1559" s="862">
        <v>45933</v>
      </c>
      <c r="AY1559" s="843" t="s">
        <v>5296</v>
      </c>
      <c r="AZ1559" s="842">
        <v>94059950</v>
      </c>
      <c r="BA1559" s="842" t="s">
        <v>120</v>
      </c>
      <c r="BB1559" s="863" t="s">
        <v>121</v>
      </c>
      <c r="BC1559" s="864">
        <v>45908</v>
      </c>
      <c r="BD1559" s="860" t="s">
        <v>5266</v>
      </c>
      <c r="BE1559" s="865" cm="1">
        <f t="array" ref="BE1559">IF(BD1559="","",AC1559/SUMPRODUCT(--(BD1559=$BD$4:$BD$12824),$AC$4:$AC$12824))</f>
        <v>3.106221688083572E-2</v>
      </c>
      <c r="BF1559" s="458"/>
      <c r="BG1559" s="458"/>
      <c r="BH1559" s="458"/>
      <c r="BI1559" s="458"/>
      <c r="BJ1559" s="458"/>
      <c r="BK1559" s="458"/>
      <c r="BL1559" s="458"/>
      <c r="BM1559" s="458"/>
      <c r="BN1559" s="458"/>
      <c r="BO1559" s="866">
        <f>VLOOKUP(BD1559,$BD$4:$BN$12824,3,0)*BE1559</f>
        <v>821.12970324489231</v>
      </c>
      <c r="BP1559" s="866"/>
      <c r="BQ1559" s="866"/>
      <c r="BR1559" s="866">
        <f>VLOOKUP(BD1559,$BD$4:$BN$12824,6,0)*BE1559</f>
        <v>27918.40415806395</v>
      </c>
      <c r="BS1559" s="866">
        <f>VLOOKUP(BD1559,$BD$4:$BN$12824,7,0)*BE1559</f>
        <v>38319.84737828502</v>
      </c>
      <c r="BT1559" s="866"/>
      <c r="BU1559" s="866">
        <f>VLOOKUP(BD1559,$BD$4:$BN$12824,9,0)*BE1559</f>
        <v>1420.1024313580474</v>
      </c>
      <c r="BV1559" s="867"/>
      <c r="BW1559" s="867">
        <f>VLOOKUP(BD1559,$BD$4:$BN$12824,11,0)*BE1559</f>
        <v>18637.330128501431</v>
      </c>
      <c r="BX1559" s="1146">
        <f t="shared" si="295"/>
        <v>87116.813799453332</v>
      </c>
      <c r="BY1559" s="867">
        <f t="shared" si="298"/>
        <v>176846.37875866302</v>
      </c>
      <c r="BZ1559" s="867">
        <f t="shared" si="296"/>
        <v>26526956.813799452</v>
      </c>
      <c r="CA1559" s="867">
        <f>_xlfn.MAXIFS($BY$4:$BY$12824,$S$4:$S$12824,$S1559)</f>
        <v>176846.37875866302</v>
      </c>
      <c r="CB1559" s="1032"/>
      <c r="CF1559" s="946">
        <f t="shared" si="297"/>
        <v>26439840</v>
      </c>
    </row>
    <row r="1560" spans="2:84">
      <c r="B1560" s="839" t="s">
        <v>98</v>
      </c>
      <c r="C1560" s="839" t="s">
        <v>3454</v>
      </c>
      <c r="D1560" s="839" t="s">
        <v>5256</v>
      </c>
      <c r="E1560" s="839" t="s">
        <v>5256</v>
      </c>
      <c r="F1560" s="841">
        <v>45871</v>
      </c>
      <c r="G1560" s="839" t="s">
        <v>3454</v>
      </c>
      <c r="H1560" s="842" t="s">
        <v>134</v>
      </c>
      <c r="I1560" s="883"/>
      <c r="J1560" s="841"/>
      <c r="K1560" s="841"/>
      <c r="L1560" s="843" t="s">
        <v>5257</v>
      </c>
      <c r="M1560" s="844" t="s">
        <v>5258</v>
      </c>
      <c r="N1560" s="841"/>
      <c r="O1560" s="884" t="s">
        <v>3459</v>
      </c>
      <c r="P1560" s="842" t="s">
        <v>3460</v>
      </c>
      <c r="Q1560" s="843"/>
      <c r="R1560" s="845" t="s">
        <v>5297</v>
      </c>
      <c r="S1560" s="1127" t="s">
        <v>5297</v>
      </c>
      <c r="T1560" s="885" t="s">
        <v>5295</v>
      </c>
      <c r="U1560" s="886">
        <v>50</v>
      </c>
      <c r="V1560" s="842" t="s">
        <v>8</v>
      </c>
      <c r="W1560" s="846">
        <v>6.72</v>
      </c>
      <c r="X1560" s="847">
        <f t="shared" si="299"/>
        <v>336</v>
      </c>
      <c r="Y1560" s="853">
        <v>0</v>
      </c>
      <c r="Z1560" s="849">
        <v>6.72</v>
      </c>
      <c r="AA1560" s="849"/>
      <c r="AB1560" s="849">
        <f t="shared" si="291"/>
        <v>336</v>
      </c>
      <c r="AC1560" s="850">
        <f t="shared" si="292"/>
        <v>336</v>
      </c>
      <c r="AD1560" s="851">
        <f t="shared" si="290"/>
        <v>27000</v>
      </c>
      <c r="AE1560" s="852">
        <v>26230</v>
      </c>
      <c r="AF1560" s="853">
        <v>0</v>
      </c>
      <c r="AG1560" s="854">
        <f t="shared" si="293"/>
        <v>0</v>
      </c>
      <c r="AH1560" s="853">
        <v>0.08</v>
      </c>
      <c r="AI1560" s="855">
        <f t="shared" si="294"/>
        <v>705062.40000000002</v>
      </c>
      <c r="AJ1560" s="845" t="s">
        <v>5261</v>
      </c>
      <c r="AK1560" s="857">
        <v>45920</v>
      </c>
      <c r="AL1560" s="843" t="s">
        <v>5262</v>
      </c>
      <c r="AM1560" s="843" t="s">
        <v>5263</v>
      </c>
      <c r="AN1560" s="844" t="s">
        <v>3951</v>
      </c>
      <c r="AO1560" s="844" t="s">
        <v>141</v>
      </c>
      <c r="AP1560" s="841"/>
      <c r="AQ1560" s="841">
        <v>45931</v>
      </c>
      <c r="AR1560" s="841">
        <v>45933</v>
      </c>
      <c r="AS1560" s="842" t="s">
        <v>1581</v>
      </c>
      <c r="AT1560" s="842" t="s">
        <v>1235</v>
      </c>
      <c r="AU1560" s="842" t="s">
        <v>1311</v>
      </c>
      <c r="AV1560" s="845" t="s">
        <v>5264</v>
      </c>
      <c r="AW1560" s="861">
        <v>45932</v>
      </c>
      <c r="AX1560" s="862">
        <v>45933</v>
      </c>
      <c r="AY1560" s="843" t="s">
        <v>5296</v>
      </c>
      <c r="AZ1560" s="842">
        <v>94059950</v>
      </c>
      <c r="BA1560" s="842" t="s">
        <v>120</v>
      </c>
      <c r="BB1560" s="863" t="s">
        <v>121</v>
      </c>
      <c r="BC1560" s="864">
        <v>45908</v>
      </c>
      <c r="BD1560" s="860" t="s">
        <v>5266</v>
      </c>
      <c r="BE1560" s="865" cm="1">
        <f t="array" ref="BE1560">IF(BD1560="","",AC1560/SUMPRODUCT(--(BD1560=$BD$4:$BD$12824),$AC$4:$AC$12824))</f>
        <v>1.0354072293611908E-2</v>
      </c>
      <c r="BF1560" s="458"/>
      <c r="BG1560" s="458"/>
      <c r="BH1560" s="458"/>
      <c r="BI1560" s="458"/>
      <c r="BJ1560" s="458"/>
      <c r="BK1560" s="458"/>
      <c r="BL1560" s="458"/>
      <c r="BM1560" s="458"/>
      <c r="BN1560" s="458"/>
      <c r="BO1560" s="866">
        <f>VLOOKUP(BD1560,$BD$4:$BN$12824,3,0)*BE1560</f>
        <v>273.70990108163079</v>
      </c>
      <c r="BP1560" s="866"/>
      <c r="BQ1560" s="866"/>
      <c r="BR1560" s="866">
        <f>VLOOKUP(BD1560,$BD$4:$BN$12824,6,0)*BE1560</f>
        <v>9306.1347193546499</v>
      </c>
      <c r="BS1560" s="866">
        <f>VLOOKUP(BD1560,$BD$4:$BN$12824,7,0)*BE1560</f>
        <v>12773.282459428339</v>
      </c>
      <c r="BT1560" s="866"/>
      <c r="BU1560" s="866">
        <f>VLOOKUP(BD1560,$BD$4:$BN$12824,9,0)*BE1560</f>
        <v>473.36747711934919</v>
      </c>
      <c r="BV1560" s="867"/>
      <c r="BW1560" s="867">
        <f>VLOOKUP(BD1560,$BD$4:$BN$12824,11,0)*BE1560</f>
        <v>6212.4433761671444</v>
      </c>
      <c r="BX1560" s="1146">
        <f t="shared" si="295"/>
        <v>29038.937933151115</v>
      </c>
      <c r="BY1560" s="867">
        <f t="shared" si="298"/>
        <v>176846.37875866302</v>
      </c>
      <c r="BZ1560" s="867">
        <f t="shared" si="296"/>
        <v>8842318.9379331507</v>
      </c>
      <c r="CA1560" s="867">
        <f>_xlfn.MAXIFS($BY$4:$BY$12824,$S$4:$S$12824,$S1560)</f>
        <v>176846.37875866302</v>
      </c>
      <c r="CB1560" s="1032"/>
      <c r="CF1560" s="946">
        <f t="shared" si="297"/>
        <v>8813280</v>
      </c>
    </row>
    <row r="1561" spans="2:84">
      <c r="B1561" s="839" t="s">
        <v>98</v>
      </c>
      <c r="C1561" s="839" t="s">
        <v>3454</v>
      </c>
      <c r="D1561" s="839" t="s">
        <v>5256</v>
      </c>
      <c r="E1561" s="839" t="s">
        <v>5256</v>
      </c>
      <c r="F1561" s="841">
        <v>45871</v>
      </c>
      <c r="G1561" s="839" t="s">
        <v>3454</v>
      </c>
      <c r="H1561" s="842" t="s">
        <v>134</v>
      </c>
      <c r="I1561" s="883"/>
      <c r="J1561" s="841"/>
      <c r="K1561" s="841"/>
      <c r="L1561" s="843" t="s">
        <v>5257</v>
      </c>
      <c r="M1561" s="844" t="s">
        <v>5258</v>
      </c>
      <c r="N1561" s="841"/>
      <c r="O1561" s="884" t="s">
        <v>3459</v>
      </c>
      <c r="P1561" s="842" t="s">
        <v>124</v>
      </c>
      <c r="Q1561" s="843"/>
      <c r="R1561" s="845" t="s">
        <v>5298</v>
      </c>
      <c r="S1561" s="1127" t="s">
        <v>5298</v>
      </c>
      <c r="T1561" s="885" t="s">
        <v>5299</v>
      </c>
      <c r="U1561" s="886">
        <v>200</v>
      </c>
      <c r="V1561" s="842" t="s">
        <v>8</v>
      </c>
      <c r="W1561" s="846">
        <v>3.45</v>
      </c>
      <c r="X1561" s="847">
        <f t="shared" si="299"/>
        <v>690</v>
      </c>
      <c r="Y1561" s="853">
        <v>0</v>
      </c>
      <c r="Z1561" s="849">
        <v>3.45</v>
      </c>
      <c r="AA1561" s="849"/>
      <c r="AB1561" s="849">
        <f t="shared" si="291"/>
        <v>690</v>
      </c>
      <c r="AC1561" s="850">
        <f t="shared" si="292"/>
        <v>690</v>
      </c>
      <c r="AD1561" s="851">
        <f t="shared" si="290"/>
        <v>27000</v>
      </c>
      <c r="AE1561" s="852">
        <v>26230</v>
      </c>
      <c r="AF1561" s="853">
        <v>0</v>
      </c>
      <c r="AG1561" s="854">
        <f t="shared" si="293"/>
        <v>0</v>
      </c>
      <c r="AH1561" s="853">
        <v>0.08</v>
      </c>
      <c r="AI1561" s="855">
        <f t="shared" si="294"/>
        <v>1447896</v>
      </c>
      <c r="AJ1561" s="845" t="s">
        <v>5261</v>
      </c>
      <c r="AK1561" s="857">
        <v>45920</v>
      </c>
      <c r="AL1561" s="843" t="s">
        <v>5262</v>
      </c>
      <c r="AM1561" s="843" t="s">
        <v>5263</v>
      </c>
      <c r="AN1561" s="844" t="s">
        <v>3951</v>
      </c>
      <c r="AO1561" s="844" t="s">
        <v>141</v>
      </c>
      <c r="AP1561" s="841"/>
      <c r="AQ1561" s="841">
        <v>45931</v>
      </c>
      <c r="AR1561" s="841">
        <v>45933</v>
      </c>
      <c r="AS1561" s="842" t="s">
        <v>1581</v>
      </c>
      <c r="AT1561" s="842" t="s">
        <v>1235</v>
      </c>
      <c r="AU1561" s="842" t="s">
        <v>1311</v>
      </c>
      <c r="AV1561" s="845" t="s">
        <v>5264</v>
      </c>
      <c r="AW1561" s="861">
        <v>45932</v>
      </c>
      <c r="AX1561" s="862">
        <v>45933</v>
      </c>
      <c r="AY1561" s="843" t="s">
        <v>5300</v>
      </c>
      <c r="AZ1561" s="842">
        <v>85044030</v>
      </c>
      <c r="BA1561" s="842" t="s">
        <v>120</v>
      </c>
      <c r="BB1561" s="863" t="s">
        <v>121</v>
      </c>
      <c r="BC1561" s="864">
        <v>45908</v>
      </c>
      <c r="BD1561" s="860" t="s">
        <v>5266</v>
      </c>
      <c r="BE1561" s="865" cm="1">
        <f t="array" ref="BE1561">IF(BD1561="","",AC1561/SUMPRODUCT(--(BD1561=$BD$4:$BD$12824),$AC$4:$AC$12824))</f>
        <v>2.1262827031524451E-2</v>
      </c>
      <c r="BF1561" s="458"/>
      <c r="BG1561" s="458"/>
      <c r="BH1561" s="458"/>
      <c r="BI1561" s="458"/>
      <c r="BJ1561" s="458"/>
      <c r="BK1561" s="458"/>
      <c r="BL1561" s="458"/>
      <c r="BM1561" s="458"/>
      <c r="BN1561" s="458"/>
      <c r="BO1561" s="866">
        <f>VLOOKUP(BD1561,$BD$4:$BN$12824,3,0)*BE1561</f>
        <v>562.08283257834887</v>
      </c>
      <c r="BP1561" s="866"/>
      <c r="BQ1561" s="866"/>
      <c r="BR1561" s="866">
        <f>VLOOKUP(BD1561,$BD$4:$BN$12824,6,0)*BE1561</f>
        <v>19110.812370103296</v>
      </c>
      <c r="BS1561" s="866">
        <f>VLOOKUP(BD1561,$BD$4:$BN$12824,7,0)*BE1561</f>
        <v>26230.847907754625</v>
      </c>
      <c r="BT1561" s="866"/>
      <c r="BU1561" s="866">
        <f>VLOOKUP(BD1561,$BD$4:$BN$12824,9,0)*BE1561</f>
        <v>972.09392622723487</v>
      </c>
      <c r="BV1561" s="867"/>
      <c r="BW1561" s="867">
        <f>VLOOKUP(BD1561,$BD$4:$BN$12824,11,0)*BE1561</f>
        <v>12757.696218914671</v>
      </c>
      <c r="BX1561" s="1146">
        <f t="shared" si="295"/>
        <v>59633.533255578179</v>
      </c>
      <c r="BY1561" s="867">
        <f t="shared" si="298"/>
        <v>90791.667666277892</v>
      </c>
      <c r="BZ1561" s="867">
        <f t="shared" si="296"/>
        <v>18158333.533255577</v>
      </c>
      <c r="CA1561" s="867">
        <f>_xlfn.MAXIFS($BY$4:$BY$12824,$S$4:$S$12824,$S1561)</f>
        <v>90791.667666277892</v>
      </c>
      <c r="CB1561" s="1032"/>
      <c r="CF1561" s="946">
        <f t="shared" si="297"/>
        <v>18098700</v>
      </c>
    </row>
    <row r="1562" spans="2:84">
      <c r="B1562" s="839" t="s">
        <v>98</v>
      </c>
      <c r="C1562" s="839" t="s">
        <v>3454</v>
      </c>
      <c r="D1562" s="839" t="s">
        <v>5256</v>
      </c>
      <c r="E1562" s="839" t="s">
        <v>5256</v>
      </c>
      <c r="F1562" s="841">
        <v>45871</v>
      </c>
      <c r="G1562" s="839" t="s">
        <v>3454</v>
      </c>
      <c r="H1562" s="842" t="s">
        <v>134</v>
      </c>
      <c r="I1562" s="883"/>
      <c r="J1562" s="841"/>
      <c r="K1562" s="841"/>
      <c r="L1562" s="843" t="s">
        <v>5257</v>
      </c>
      <c r="M1562" s="844" t="s">
        <v>5258</v>
      </c>
      <c r="N1562" s="841"/>
      <c r="O1562" s="884" t="s">
        <v>3459</v>
      </c>
      <c r="P1562" s="842" t="s">
        <v>124</v>
      </c>
      <c r="Q1562" s="843"/>
      <c r="R1562" s="845" t="s">
        <v>5301</v>
      </c>
      <c r="S1562" s="1127" t="s">
        <v>5301</v>
      </c>
      <c r="T1562" s="885" t="s">
        <v>5302</v>
      </c>
      <c r="U1562" s="886">
        <v>200</v>
      </c>
      <c r="V1562" s="842" t="s">
        <v>8</v>
      </c>
      <c r="W1562" s="846">
        <v>1.83</v>
      </c>
      <c r="X1562" s="847">
        <f t="shared" si="299"/>
        <v>366</v>
      </c>
      <c r="Y1562" s="853">
        <v>0</v>
      </c>
      <c r="Z1562" s="849">
        <v>1.83</v>
      </c>
      <c r="AA1562" s="849"/>
      <c r="AB1562" s="849">
        <f t="shared" si="291"/>
        <v>366</v>
      </c>
      <c r="AC1562" s="850">
        <f t="shared" si="292"/>
        <v>366</v>
      </c>
      <c r="AD1562" s="851">
        <f t="shared" si="290"/>
        <v>27000</v>
      </c>
      <c r="AE1562" s="852">
        <v>26230</v>
      </c>
      <c r="AF1562" s="853">
        <v>0</v>
      </c>
      <c r="AG1562" s="854">
        <f t="shared" si="293"/>
        <v>0</v>
      </c>
      <c r="AH1562" s="853">
        <v>0.08</v>
      </c>
      <c r="AI1562" s="855">
        <f t="shared" si="294"/>
        <v>768014.4</v>
      </c>
      <c r="AJ1562" s="845" t="s">
        <v>5261</v>
      </c>
      <c r="AK1562" s="857">
        <v>45920</v>
      </c>
      <c r="AL1562" s="843" t="s">
        <v>5262</v>
      </c>
      <c r="AM1562" s="843" t="s">
        <v>5263</v>
      </c>
      <c r="AN1562" s="844" t="s">
        <v>3951</v>
      </c>
      <c r="AO1562" s="844" t="s">
        <v>141</v>
      </c>
      <c r="AP1562" s="841"/>
      <c r="AQ1562" s="841">
        <v>45931</v>
      </c>
      <c r="AR1562" s="841">
        <v>45933</v>
      </c>
      <c r="AS1562" s="842" t="s">
        <v>1581</v>
      </c>
      <c r="AT1562" s="842" t="s">
        <v>1235</v>
      </c>
      <c r="AU1562" s="842" t="s">
        <v>1311</v>
      </c>
      <c r="AV1562" s="845" t="s">
        <v>5264</v>
      </c>
      <c r="AW1562" s="861">
        <v>45932</v>
      </c>
      <c r="AX1562" s="862">
        <v>45933</v>
      </c>
      <c r="AY1562" s="843" t="s">
        <v>5303</v>
      </c>
      <c r="AZ1562" s="842">
        <v>85044030</v>
      </c>
      <c r="BA1562" s="842" t="s">
        <v>120</v>
      </c>
      <c r="BB1562" s="863" t="s">
        <v>121</v>
      </c>
      <c r="BC1562" s="864">
        <v>45908</v>
      </c>
      <c r="BD1562" s="860" t="s">
        <v>5266</v>
      </c>
      <c r="BE1562" s="865" cm="1">
        <f t="array" ref="BE1562">IF(BD1562="","",AC1562/SUMPRODUCT(--(BD1562=$BD$4:$BD$12824),$AC$4:$AC$12824))</f>
        <v>1.127854303411297E-2</v>
      </c>
      <c r="BF1562" s="458"/>
      <c r="BG1562" s="458"/>
      <c r="BH1562" s="458"/>
      <c r="BI1562" s="458"/>
      <c r="BJ1562" s="458"/>
      <c r="BK1562" s="458"/>
      <c r="BL1562" s="458"/>
      <c r="BM1562" s="458"/>
      <c r="BN1562" s="458"/>
      <c r="BO1562" s="866">
        <f>VLOOKUP(BD1562,$BD$4:$BN$12824,3,0)*BE1562</f>
        <v>298.14828510677637</v>
      </c>
      <c r="BP1562" s="866"/>
      <c r="BQ1562" s="866"/>
      <c r="BR1562" s="866">
        <f>VLOOKUP(BD1562,$BD$4:$BN$12824,6,0)*BE1562</f>
        <v>10137.039605011314</v>
      </c>
      <c r="BS1562" s="866">
        <f>VLOOKUP(BD1562,$BD$4:$BN$12824,7,0)*BE1562</f>
        <v>13913.754107591583</v>
      </c>
      <c r="BT1562" s="866"/>
      <c r="BU1562" s="866">
        <f>VLOOKUP(BD1562,$BD$4:$BN$12824,9,0)*BE1562</f>
        <v>515.6324304335767</v>
      </c>
      <c r="BV1562" s="867"/>
      <c r="BW1562" s="867">
        <f>VLOOKUP(BD1562,$BD$4:$BN$12824,11,0)*BE1562</f>
        <v>6767.1258204677815</v>
      </c>
      <c r="BX1562" s="1146">
        <f t="shared" si="295"/>
        <v>31631.700248611029</v>
      </c>
      <c r="BY1562" s="867">
        <f t="shared" si="298"/>
        <v>48159.058501243053</v>
      </c>
      <c r="BZ1562" s="867">
        <f t="shared" si="296"/>
        <v>9631811.7002486102</v>
      </c>
      <c r="CA1562" s="867">
        <f>_xlfn.MAXIFS($BY$4:$BY$12824,$S$4:$S$12824,$S1562)</f>
        <v>48159.058501243053</v>
      </c>
      <c r="CB1562" s="1032"/>
      <c r="CF1562" s="946">
        <f t="shared" si="297"/>
        <v>9600180</v>
      </c>
    </row>
    <row r="1563" spans="2:84">
      <c r="B1563" s="839" t="s">
        <v>98</v>
      </c>
      <c r="C1563" s="839" t="s">
        <v>3454</v>
      </c>
      <c r="D1563" s="839" t="s">
        <v>5256</v>
      </c>
      <c r="E1563" s="839" t="s">
        <v>5256</v>
      </c>
      <c r="F1563" s="841">
        <v>45871</v>
      </c>
      <c r="G1563" s="839" t="s">
        <v>3454</v>
      </c>
      <c r="H1563" s="842" t="s">
        <v>134</v>
      </c>
      <c r="I1563" s="883"/>
      <c r="J1563" s="841"/>
      <c r="K1563" s="841"/>
      <c r="L1563" s="843" t="s">
        <v>5257</v>
      </c>
      <c r="M1563" s="844" t="s">
        <v>5258</v>
      </c>
      <c r="N1563" s="841"/>
      <c r="O1563" s="884" t="s">
        <v>3459</v>
      </c>
      <c r="P1563" s="842" t="s">
        <v>124</v>
      </c>
      <c r="Q1563" s="843"/>
      <c r="R1563" s="845" t="s">
        <v>3470</v>
      </c>
      <c r="S1563" s="1127" t="s">
        <v>3470</v>
      </c>
      <c r="T1563" s="885" t="s">
        <v>5304</v>
      </c>
      <c r="U1563" s="886">
        <v>100</v>
      </c>
      <c r="V1563" s="842" t="s">
        <v>8</v>
      </c>
      <c r="W1563" s="846">
        <v>0.15</v>
      </c>
      <c r="X1563" s="847">
        <f t="shared" si="299"/>
        <v>15</v>
      </c>
      <c r="Y1563" s="853">
        <v>0</v>
      </c>
      <c r="Z1563" s="849">
        <v>0.15</v>
      </c>
      <c r="AA1563" s="849"/>
      <c r="AB1563" s="849">
        <f t="shared" si="291"/>
        <v>15</v>
      </c>
      <c r="AC1563" s="850">
        <f t="shared" si="292"/>
        <v>15</v>
      </c>
      <c r="AD1563" s="851">
        <f t="shared" si="290"/>
        <v>27000</v>
      </c>
      <c r="AE1563" s="852">
        <v>26230</v>
      </c>
      <c r="AF1563" s="853">
        <v>0</v>
      </c>
      <c r="AG1563" s="854">
        <f t="shared" si="293"/>
        <v>0</v>
      </c>
      <c r="AH1563" s="853">
        <v>0.08</v>
      </c>
      <c r="AI1563" s="855">
        <f t="shared" si="294"/>
        <v>31476</v>
      </c>
      <c r="AJ1563" s="845" t="s">
        <v>5261</v>
      </c>
      <c r="AK1563" s="857">
        <v>45920</v>
      </c>
      <c r="AL1563" s="843" t="s">
        <v>5262</v>
      </c>
      <c r="AM1563" s="843" t="s">
        <v>5263</v>
      </c>
      <c r="AN1563" s="844" t="s">
        <v>3951</v>
      </c>
      <c r="AO1563" s="844" t="s">
        <v>141</v>
      </c>
      <c r="AP1563" s="841"/>
      <c r="AQ1563" s="841">
        <v>45931</v>
      </c>
      <c r="AR1563" s="841">
        <v>45933</v>
      </c>
      <c r="AS1563" s="842" t="s">
        <v>1581</v>
      </c>
      <c r="AT1563" s="842" t="s">
        <v>1235</v>
      </c>
      <c r="AU1563" s="842" t="s">
        <v>1311</v>
      </c>
      <c r="AV1563" s="845" t="s">
        <v>5264</v>
      </c>
      <c r="AW1563" s="861">
        <v>45932</v>
      </c>
      <c r="AX1563" s="862">
        <v>45933</v>
      </c>
      <c r="AY1563" s="843" t="s">
        <v>5305</v>
      </c>
      <c r="AZ1563" s="842">
        <v>94059950</v>
      </c>
      <c r="BA1563" s="842" t="s">
        <v>120</v>
      </c>
      <c r="BB1563" s="863" t="s">
        <v>121</v>
      </c>
      <c r="BC1563" s="864">
        <v>45908</v>
      </c>
      <c r="BD1563" s="860" t="s">
        <v>5266</v>
      </c>
      <c r="BE1563" s="865" cm="1">
        <f t="array" ref="BE1563">IF(BD1563="","",AC1563/SUMPRODUCT(--(BD1563=$BD$4:$BD$12824),$AC$4:$AC$12824))</f>
        <v>4.6223537025053159E-4</v>
      </c>
      <c r="BF1563" s="458"/>
      <c r="BG1563" s="458"/>
      <c r="BH1563" s="458"/>
      <c r="BI1563" s="458"/>
      <c r="BJ1563" s="458"/>
      <c r="BK1563" s="458"/>
      <c r="BL1563" s="458"/>
      <c r="BM1563" s="458"/>
      <c r="BN1563" s="458"/>
      <c r="BO1563" s="866">
        <f>VLOOKUP(BD1563,$BD$4:$BN$12824,3,0)*BE1563</f>
        <v>12.219192012572803</v>
      </c>
      <c r="BP1563" s="866"/>
      <c r="BQ1563" s="866"/>
      <c r="BR1563" s="866">
        <f>VLOOKUP(BD1563,$BD$4:$BN$12824,6,0)*BE1563</f>
        <v>415.45244282833261</v>
      </c>
      <c r="BS1563" s="866">
        <f>VLOOKUP(BD1563,$BD$4:$BN$12824,7,0)*BE1563</f>
        <v>570.23582408162235</v>
      </c>
      <c r="BT1563" s="866"/>
      <c r="BU1563" s="866">
        <f>VLOOKUP(BD1563,$BD$4:$BN$12824,9,0)*BE1563</f>
        <v>21.132476657113802</v>
      </c>
      <c r="BV1563" s="867"/>
      <c r="BW1563" s="867">
        <f>VLOOKUP(BD1563,$BD$4:$BN$12824,11,0)*BE1563</f>
        <v>277.34122215031897</v>
      </c>
      <c r="BX1563" s="1146">
        <f t="shared" si="295"/>
        <v>1296.3811577299605</v>
      </c>
      <c r="BY1563" s="867">
        <f t="shared" si="298"/>
        <v>3947.4638115772996</v>
      </c>
      <c r="BZ1563" s="867">
        <f t="shared" si="296"/>
        <v>394746.38115772995</v>
      </c>
      <c r="CA1563" s="867">
        <f>_xlfn.MAXIFS($BY$4:$BY$12824,$S$4:$S$12824,$S1563)</f>
        <v>3947.4638115772996</v>
      </c>
      <c r="CB1563" s="1032"/>
      <c r="CF1563" s="946">
        <f t="shared" si="297"/>
        <v>393450</v>
      </c>
    </row>
    <row r="1564" spans="2:84">
      <c r="B1564" s="839" t="s">
        <v>98</v>
      </c>
      <c r="C1564" s="839" t="s">
        <v>3454</v>
      </c>
      <c r="D1564" s="839" t="s">
        <v>5256</v>
      </c>
      <c r="E1564" s="839" t="s">
        <v>5256</v>
      </c>
      <c r="F1564" s="841">
        <v>45871</v>
      </c>
      <c r="G1564" s="839" t="s">
        <v>3454</v>
      </c>
      <c r="H1564" s="842" t="s">
        <v>134</v>
      </c>
      <c r="I1564" s="883"/>
      <c r="J1564" s="841"/>
      <c r="K1564" s="841"/>
      <c r="L1564" s="843" t="s">
        <v>5257</v>
      </c>
      <c r="M1564" s="844" t="s">
        <v>5258</v>
      </c>
      <c r="N1564" s="841"/>
      <c r="O1564" s="884" t="s">
        <v>3459</v>
      </c>
      <c r="P1564" s="842" t="s">
        <v>124</v>
      </c>
      <c r="Q1564" s="843"/>
      <c r="R1564" s="845" t="s">
        <v>5306</v>
      </c>
      <c r="S1564" s="1127" t="s">
        <v>5306</v>
      </c>
      <c r="T1564" s="885" t="s">
        <v>5307</v>
      </c>
      <c r="U1564" s="886">
        <v>100</v>
      </c>
      <c r="V1564" s="842" t="s">
        <v>8</v>
      </c>
      <c r="W1564" s="846">
        <v>0.57999999999999996</v>
      </c>
      <c r="X1564" s="847">
        <f t="shared" si="299"/>
        <v>57.999999999999993</v>
      </c>
      <c r="Y1564" s="853">
        <v>0</v>
      </c>
      <c r="Z1564" s="849">
        <v>0.57999999999999996</v>
      </c>
      <c r="AA1564" s="849"/>
      <c r="AB1564" s="849">
        <f t="shared" si="291"/>
        <v>57.999999999999993</v>
      </c>
      <c r="AC1564" s="850">
        <f t="shared" si="292"/>
        <v>57.999999999999993</v>
      </c>
      <c r="AD1564" s="851">
        <f t="shared" si="290"/>
        <v>27000</v>
      </c>
      <c r="AE1564" s="852">
        <v>26230</v>
      </c>
      <c r="AF1564" s="853">
        <v>0</v>
      </c>
      <c r="AG1564" s="854">
        <f t="shared" si="293"/>
        <v>0</v>
      </c>
      <c r="AH1564" s="853">
        <v>0.08</v>
      </c>
      <c r="AI1564" s="855">
        <f t="shared" si="294"/>
        <v>121707.19999999998</v>
      </c>
      <c r="AJ1564" s="845" t="s">
        <v>5261</v>
      </c>
      <c r="AK1564" s="857">
        <v>45920</v>
      </c>
      <c r="AL1564" s="843" t="s">
        <v>5262</v>
      </c>
      <c r="AM1564" s="843" t="s">
        <v>5263</v>
      </c>
      <c r="AN1564" s="844" t="s">
        <v>3951</v>
      </c>
      <c r="AO1564" s="844" t="s">
        <v>141</v>
      </c>
      <c r="AP1564" s="841"/>
      <c r="AQ1564" s="841">
        <v>45931</v>
      </c>
      <c r="AR1564" s="841">
        <v>45933</v>
      </c>
      <c r="AS1564" s="842" t="s">
        <v>1581</v>
      </c>
      <c r="AT1564" s="842" t="s">
        <v>1235</v>
      </c>
      <c r="AU1564" s="842" t="s">
        <v>1311</v>
      </c>
      <c r="AV1564" s="845" t="s">
        <v>5264</v>
      </c>
      <c r="AW1564" s="861">
        <v>45932</v>
      </c>
      <c r="AX1564" s="862">
        <v>45933</v>
      </c>
      <c r="AY1564" s="843" t="s">
        <v>5308</v>
      </c>
      <c r="AZ1564" s="842">
        <v>94059290</v>
      </c>
      <c r="BA1564" s="842" t="s">
        <v>120</v>
      </c>
      <c r="BB1564" s="863" t="s">
        <v>121</v>
      </c>
      <c r="BC1564" s="864">
        <v>45908</v>
      </c>
      <c r="BD1564" s="860" t="s">
        <v>5266</v>
      </c>
      <c r="BE1564" s="865" cm="1">
        <f t="array" ref="BE1564">IF(BD1564="","",AC1564/SUMPRODUCT(--(BD1564=$BD$4:$BD$12824),$AC$4:$AC$12824))</f>
        <v>1.7873100983020552E-3</v>
      </c>
      <c r="BF1564" s="458"/>
      <c r="BG1564" s="458"/>
      <c r="BH1564" s="458"/>
      <c r="BI1564" s="458"/>
      <c r="BJ1564" s="458"/>
      <c r="BK1564" s="458"/>
      <c r="BL1564" s="458"/>
      <c r="BM1564" s="458"/>
      <c r="BN1564" s="458"/>
      <c r="BO1564" s="866">
        <f>VLOOKUP(BD1564,$BD$4:$BN$12824,3,0)*BE1564</f>
        <v>47.24754244861483</v>
      </c>
      <c r="BP1564" s="866"/>
      <c r="BQ1564" s="866"/>
      <c r="BR1564" s="866">
        <f>VLOOKUP(BD1564,$BD$4:$BN$12824,6,0)*BE1564</f>
        <v>1606.4161122695525</v>
      </c>
      <c r="BS1564" s="866">
        <f>VLOOKUP(BD1564,$BD$4:$BN$12824,7,0)*BE1564</f>
        <v>2204.9118531156059</v>
      </c>
      <c r="BT1564" s="866"/>
      <c r="BU1564" s="866">
        <f>VLOOKUP(BD1564,$BD$4:$BN$12824,9,0)*BE1564</f>
        <v>81.712243074173358</v>
      </c>
      <c r="BV1564" s="867"/>
      <c r="BW1564" s="867">
        <f>VLOOKUP(BD1564,$BD$4:$BN$12824,11,0)*BE1564</f>
        <v>1072.3860589812332</v>
      </c>
      <c r="BX1564" s="1146">
        <f t="shared" si="295"/>
        <v>5012.6738098891801</v>
      </c>
      <c r="BY1564" s="867">
        <f t="shared" si="298"/>
        <v>15263.52673809889</v>
      </c>
      <c r="BZ1564" s="867">
        <f t="shared" si="296"/>
        <v>1526352.673809889</v>
      </c>
      <c r="CA1564" s="867">
        <f>_xlfn.MAXIFS($BY$4:$BY$12824,$S$4:$S$12824,$S1564)</f>
        <v>15263.52673809889</v>
      </c>
      <c r="CB1564" s="1032"/>
      <c r="CF1564" s="946">
        <f t="shared" si="297"/>
        <v>1521339.9999999998</v>
      </c>
    </row>
    <row r="1565" spans="2:84">
      <c r="B1565" s="839" t="s">
        <v>98</v>
      </c>
      <c r="C1565" s="839" t="s">
        <v>3454</v>
      </c>
      <c r="D1565" s="839" t="s">
        <v>5256</v>
      </c>
      <c r="E1565" s="839" t="s">
        <v>5256</v>
      </c>
      <c r="F1565" s="841">
        <v>45871</v>
      </c>
      <c r="G1565" s="839" t="s">
        <v>3454</v>
      </c>
      <c r="H1565" s="842" t="s">
        <v>134</v>
      </c>
      <c r="I1565" s="883"/>
      <c r="J1565" s="841"/>
      <c r="K1565" s="841"/>
      <c r="L1565" s="843" t="s">
        <v>5257</v>
      </c>
      <c r="M1565" s="844" t="s">
        <v>5258</v>
      </c>
      <c r="N1565" s="841"/>
      <c r="O1565" s="884" t="s">
        <v>3459</v>
      </c>
      <c r="P1565" s="842" t="s">
        <v>124</v>
      </c>
      <c r="Q1565" s="843"/>
      <c r="R1565" s="845" t="s">
        <v>5309</v>
      </c>
      <c r="S1565" s="1127" t="s">
        <v>5309</v>
      </c>
      <c r="T1565" s="885" t="s">
        <v>5310</v>
      </c>
      <c r="U1565" s="886">
        <v>100</v>
      </c>
      <c r="V1565" s="842" t="s">
        <v>8</v>
      </c>
      <c r="W1565" s="846">
        <v>0.57999999999999996</v>
      </c>
      <c r="X1565" s="847">
        <f t="shared" si="299"/>
        <v>57.999999999999993</v>
      </c>
      <c r="Y1565" s="853">
        <v>0</v>
      </c>
      <c r="Z1565" s="849">
        <v>0.57999999999999996</v>
      </c>
      <c r="AA1565" s="849"/>
      <c r="AB1565" s="849">
        <f t="shared" si="291"/>
        <v>57.999999999999993</v>
      </c>
      <c r="AC1565" s="850">
        <f t="shared" si="292"/>
        <v>57.999999999999993</v>
      </c>
      <c r="AD1565" s="851">
        <f t="shared" si="290"/>
        <v>27000</v>
      </c>
      <c r="AE1565" s="852">
        <v>26230</v>
      </c>
      <c r="AF1565" s="853">
        <v>0</v>
      </c>
      <c r="AG1565" s="854">
        <f t="shared" si="293"/>
        <v>0</v>
      </c>
      <c r="AH1565" s="853">
        <v>0.08</v>
      </c>
      <c r="AI1565" s="855">
        <f t="shared" si="294"/>
        <v>121707.19999999998</v>
      </c>
      <c r="AJ1565" s="845" t="s">
        <v>5261</v>
      </c>
      <c r="AK1565" s="857">
        <v>45920</v>
      </c>
      <c r="AL1565" s="843" t="s">
        <v>5262</v>
      </c>
      <c r="AM1565" s="843" t="s">
        <v>5263</v>
      </c>
      <c r="AN1565" s="844" t="s">
        <v>3951</v>
      </c>
      <c r="AO1565" s="844" t="s">
        <v>141</v>
      </c>
      <c r="AP1565" s="841"/>
      <c r="AQ1565" s="841">
        <v>45931</v>
      </c>
      <c r="AR1565" s="841">
        <v>45933</v>
      </c>
      <c r="AS1565" s="842" t="s">
        <v>1581</v>
      </c>
      <c r="AT1565" s="842" t="s">
        <v>1235</v>
      </c>
      <c r="AU1565" s="842" t="s">
        <v>1311</v>
      </c>
      <c r="AV1565" s="845" t="s">
        <v>5264</v>
      </c>
      <c r="AW1565" s="861">
        <v>45932</v>
      </c>
      <c r="AX1565" s="862">
        <v>45933</v>
      </c>
      <c r="AY1565" s="843" t="s">
        <v>5308</v>
      </c>
      <c r="AZ1565" s="842">
        <v>94059290</v>
      </c>
      <c r="BA1565" s="842" t="s">
        <v>120</v>
      </c>
      <c r="BB1565" s="863" t="s">
        <v>121</v>
      </c>
      <c r="BC1565" s="864">
        <v>45908</v>
      </c>
      <c r="BD1565" s="860" t="s">
        <v>5266</v>
      </c>
      <c r="BE1565" s="865" cm="1">
        <f t="array" ref="BE1565">IF(BD1565="","",AC1565/SUMPRODUCT(--(BD1565=$BD$4:$BD$12824),$AC$4:$AC$12824))</f>
        <v>1.7873100983020552E-3</v>
      </c>
      <c r="BF1565" s="458"/>
      <c r="BG1565" s="458"/>
      <c r="BH1565" s="458"/>
      <c r="BI1565" s="458"/>
      <c r="BJ1565" s="458"/>
      <c r="BK1565" s="458"/>
      <c r="BL1565" s="458"/>
      <c r="BM1565" s="458"/>
      <c r="BN1565" s="458"/>
      <c r="BO1565" s="866">
        <f>VLOOKUP(BD1565,$BD$4:$BN$12824,3,0)*BE1565</f>
        <v>47.24754244861483</v>
      </c>
      <c r="BP1565" s="866"/>
      <c r="BQ1565" s="866"/>
      <c r="BR1565" s="866">
        <f>VLOOKUP(BD1565,$BD$4:$BN$12824,6,0)*BE1565</f>
        <v>1606.4161122695525</v>
      </c>
      <c r="BS1565" s="866">
        <f>VLOOKUP(BD1565,$BD$4:$BN$12824,7,0)*BE1565</f>
        <v>2204.9118531156059</v>
      </c>
      <c r="BT1565" s="866"/>
      <c r="BU1565" s="866">
        <f>VLOOKUP(BD1565,$BD$4:$BN$12824,9,0)*BE1565</f>
        <v>81.712243074173358</v>
      </c>
      <c r="BV1565" s="867"/>
      <c r="BW1565" s="867">
        <f>VLOOKUP(BD1565,$BD$4:$BN$12824,11,0)*BE1565</f>
        <v>1072.3860589812332</v>
      </c>
      <c r="BX1565" s="1146">
        <f t="shared" si="295"/>
        <v>5012.6738098891801</v>
      </c>
      <c r="BY1565" s="867">
        <f t="shared" si="298"/>
        <v>15263.52673809889</v>
      </c>
      <c r="BZ1565" s="867">
        <f t="shared" si="296"/>
        <v>1526352.673809889</v>
      </c>
      <c r="CA1565" s="867">
        <f>_xlfn.MAXIFS($BY$4:$BY$12824,$S$4:$S$12824,$S1565)</f>
        <v>15263.52673809889</v>
      </c>
      <c r="CB1565" s="1032"/>
      <c r="CF1565" s="946">
        <f t="shared" si="297"/>
        <v>1521339.9999999998</v>
      </c>
    </row>
    <row r="1566" spans="2:84">
      <c r="B1566" s="839" t="s">
        <v>98</v>
      </c>
      <c r="C1566" s="839" t="s">
        <v>3454</v>
      </c>
      <c r="D1566" s="839" t="s">
        <v>5256</v>
      </c>
      <c r="E1566" s="839" t="s">
        <v>5256</v>
      </c>
      <c r="F1566" s="841">
        <v>45871</v>
      </c>
      <c r="G1566" s="839" t="s">
        <v>3454</v>
      </c>
      <c r="H1566" s="842" t="s">
        <v>134</v>
      </c>
      <c r="I1566" s="883"/>
      <c r="J1566" s="841"/>
      <c r="K1566" s="841"/>
      <c r="L1566" s="843" t="s">
        <v>5257</v>
      </c>
      <c r="M1566" s="844" t="s">
        <v>5258</v>
      </c>
      <c r="N1566" s="841"/>
      <c r="O1566" s="884" t="s">
        <v>3459</v>
      </c>
      <c r="P1566" s="842" t="s">
        <v>124</v>
      </c>
      <c r="Q1566" s="843"/>
      <c r="R1566" s="845" t="s">
        <v>5311</v>
      </c>
      <c r="S1566" s="1127" t="s">
        <v>5311</v>
      </c>
      <c r="T1566" s="885" t="s">
        <v>5312</v>
      </c>
      <c r="U1566" s="886">
        <v>200</v>
      </c>
      <c r="V1566" s="842" t="s">
        <v>8</v>
      </c>
      <c r="W1566" s="846">
        <v>0.57999999999999996</v>
      </c>
      <c r="X1566" s="847">
        <f t="shared" si="299"/>
        <v>115.99999999999999</v>
      </c>
      <c r="Y1566" s="853">
        <v>0</v>
      </c>
      <c r="Z1566" s="849">
        <v>0.57999999999999996</v>
      </c>
      <c r="AA1566" s="849"/>
      <c r="AB1566" s="849">
        <f t="shared" si="291"/>
        <v>115.99999999999999</v>
      </c>
      <c r="AC1566" s="850">
        <f t="shared" si="292"/>
        <v>115.99999999999999</v>
      </c>
      <c r="AD1566" s="851">
        <f t="shared" si="290"/>
        <v>27000</v>
      </c>
      <c r="AE1566" s="852">
        <v>26230</v>
      </c>
      <c r="AF1566" s="853">
        <v>0</v>
      </c>
      <c r="AG1566" s="854">
        <f t="shared" si="293"/>
        <v>0</v>
      </c>
      <c r="AH1566" s="853">
        <v>0.08</v>
      </c>
      <c r="AI1566" s="855">
        <f t="shared" si="294"/>
        <v>243414.39999999997</v>
      </c>
      <c r="AJ1566" s="845" t="s">
        <v>5261</v>
      </c>
      <c r="AK1566" s="857">
        <v>45920</v>
      </c>
      <c r="AL1566" s="843" t="s">
        <v>5262</v>
      </c>
      <c r="AM1566" s="843" t="s">
        <v>5263</v>
      </c>
      <c r="AN1566" s="844" t="s">
        <v>3951</v>
      </c>
      <c r="AO1566" s="844" t="s">
        <v>141</v>
      </c>
      <c r="AP1566" s="841"/>
      <c r="AQ1566" s="841">
        <v>45931</v>
      </c>
      <c r="AR1566" s="841">
        <v>45933</v>
      </c>
      <c r="AS1566" s="842" t="s">
        <v>1581</v>
      </c>
      <c r="AT1566" s="842" t="s">
        <v>1235</v>
      </c>
      <c r="AU1566" s="842" t="s">
        <v>1311</v>
      </c>
      <c r="AV1566" s="845" t="s">
        <v>5264</v>
      </c>
      <c r="AW1566" s="861">
        <v>45932</v>
      </c>
      <c r="AX1566" s="862">
        <v>45933</v>
      </c>
      <c r="AY1566" s="843" t="s">
        <v>5313</v>
      </c>
      <c r="AZ1566" s="842">
        <v>94059290</v>
      </c>
      <c r="BA1566" s="842" t="s">
        <v>120</v>
      </c>
      <c r="BB1566" s="863" t="s">
        <v>121</v>
      </c>
      <c r="BC1566" s="864">
        <v>45908</v>
      </c>
      <c r="BD1566" s="860" t="s">
        <v>5266</v>
      </c>
      <c r="BE1566" s="865" cm="1">
        <f t="array" ref="BE1566">IF(BD1566="","",AC1566/SUMPRODUCT(--(BD1566=$BD$4:$BD$12824),$AC$4:$AC$12824))</f>
        <v>3.5746201966041103E-3</v>
      </c>
      <c r="BF1566" s="458"/>
      <c r="BG1566" s="458"/>
      <c r="BH1566" s="458"/>
      <c r="BI1566" s="458"/>
      <c r="BJ1566" s="458"/>
      <c r="BK1566" s="458"/>
      <c r="BL1566" s="458"/>
      <c r="BM1566" s="458"/>
      <c r="BN1566" s="458"/>
      <c r="BO1566" s="866">
        <f>VLOOKUP(BD1566,$BD$4:$BN$12824,3,0)*BE1566</f>
        <v>94.49508489722966</v>
      </c>
      <c r="BP1566" s="866"/>
      <c r="BQ1566" s="866"/>
      <c r="BR1566" s="866">
        <f>VLOOKUP(BD1566,$BD$4:$BN$12824,6,0)*BE1566</f>
        <v>3212.832224539105</v>
      </c>
      <c r="BS1566" s="866">
        <f>VLOOKUP(BD1566,$BD$4:$BN$12824,7,0)*BE1566</f>
        <v>4409.8237062312119</v>
      </c>
      <c r="BT1566" s="866"/>
      <c r="BU1566" s="866">
        <f>VLOOKUP(BD1566,$BD$4:$BN$12824,9,0)*BE1566</f>
        <v>163.42448614834672</v>
      </c>
      <c r="BV1566" s="867"/>
      <c r="BW1566" s="867">
        <f>VLOOKUP(BD1566,$BD$4:$BN$12824,11,0)*BE1566</f>
        <v>2144.7721179624664</v>
      </c>
      <c r="BX1566" s="1146">
        <f t="shared" si="295"/>
        <v>10025.34761977836</v>
      </c>
      <c r="BY1566" s="867">
        <f t="shared" si="298"/>
        <v>15263.52673809889</v>
      </c>
      <c r="BZ1566" s="867">
        <f t="shared" si="296"/>
        <v>3052705.347619778</v>
      </c>
      <c r="CA1566" s="867">
        <f>_xlfn.MAXIFS($BY$4:$BY$12824,$S$4:$S$12824,$S1566)</f>
        <v>15263.52673809889</v>
      </c>
      <c r="CB1566" s="1032"/>
      <c r="CF1566" s="946">
        <f t="shared" si="297"/>
        <v>3042679.9999999995</v>
      </c>
    </row>
    <row r="1567" spans="2:84">
      <c r="B1567" s="839" t="s">
        <v>98</v>
      </c>
      <c r="C1567" s="839" t="s">
        <v>3454</v>
      </c>
      <c r="D1567" s="839" t="s">
        <v>5256</v>
      </c>
      <c r="E1567" s="839" t="s">
        <v>5256</v>
      </c>
      <c r="F1567" s="841">
        <v>45871</v>
      </c>
      <c r="G1567" s="839" t="s">
        <v>3454</v>
      </c>
      <c r="H1567" s="842" t="s">
        <v>134</v>
      </c>
      <c r="I1567" s="883"/>
      <c r="J1567" s="841"/>
      <c r="K1567" s="841"/>
      <c r="L1567" s="843" t="s">
        <v>5257</v>
      </c>
      <c r="M1567" s="844" t="s">
        <v>5258</v>
      </c>
      <c r="N1567" s="841"/>
      <c r="O1567" s="884" t="s">
        <v>3459</v>
      </c>
      <c r="P1567" s="842" t="s">
        <v>3460</v>
      </c>
      <c r="Q1567" s="843"/>
      <c r="R1567" s="845" t="s">
        <v>5314</v>
      </c>
      <c r="S1567" s="1127" t="s">
        <v>5314</v>
      </c>
      <c r="T1567" s="885" t="s">
        <v>5315</v>
      </c>
      <c r="U1567" s="886">
        <v>200</v>
      </c>
      <c r="V1567" s="842" t="s">
        <v>8</v>
      </c>
      <c r="W1567" s="846">
        <v>7.15</v>
      </c>
      <c r="X1567" s="847">
        <f t="shared" si="299"/>
        <v>1430</v>
      </c>
      <c r="Y1567" s="853">
        <v>0</v>
      </c>
      <c r="Z1567" s="849">
        <v>7.15</v>
      </c>
      <c r="AA1567" s="849"/>
      <c r="AB1567" s="849">
        <f t="shared" si="291"/>
        <v>1430</v>
      </c>
      <c r="AC1567" s="850">
        <f t="shared" si="292"/>
        <v>1430</v>
      </c>
      <c r="AD1567" s="851">
        <f t="shared" si="290"/>
        <v>27000</v>
      </c>
      <c r="AE1567" s="852">
        <v>26230</v>
      </c>
      <c r="AF1567" s="853">
        <v>0</v>
      </c>
      <c r="AG1567" s="854">
        <f t="shared" si="293"/>
        <v>0</v>
      </c>
      <c r="AH1567" s="853">
        <v>0.08</v>
      </c>
      <c r="AI1567" s="855">
        <f t="shared" si="294"/>
        <v>3000712</v>
      </c>
      <c r="AJ1567" s="845" t="s">
        <v>5261</v>
      </c>
      <c r="AK1567" s="857">
        <v>45920</v>
      </c>
      <c r="AL1567" s="843" t="s">
        <v>5262</v>
      </c>
      <c r="AM1567" s="843" t="s">
        <v>5263</v>
      </c>
      <c r="AN1567" s="844" t="s">
        <v>3951</v>
      </c>
      <c r="AO1567" s="844" t="s">
        <v>141</v>
      </c>
      <c r="AP1567" s="841"/>
      <c r="AQ1567" s="841">
        <v>45931</v>
      </c>
      <c r="AR1567" s="841">
        <v>45933</v>
      </c>
      <c r="AS1567" s="842" t="s">
        <v>1581</v>
      </c>
      <c r="AT1567" s="842" t="s">
        <v>1235</v>
      </c>
      <c r="AU1567" s="842" t="s">
        <v>1311</v>
      </c>
      <c r="AV1567" s="845" t="s">
        <v>5264</v>
      </c>
      <c r="AW1567" s="861">
        <v>45932</v>
      </c>
      <c r="AX1567" s="862">
        <v>45933</v>
      </c>
      <c r="AY1567" s="843" t="s">
        <v>5316</v>
      </c>
      <c r="AZ1567" s="842">
        <v>94059950</v>
      </c>
      <c r="BA1567" s="842" t="s">
        <v>120</v>
      </c>
      <c r="BB1567" s="863" t="s">
        <v>121</v>
      </c>
      <c r="BC1567" s="864">
        <v>45908</v>
      </c>
      <c r="BD1567" s="860" t="s">
        <v>5266</v>
      </c>
      <c r="BE1567" s="865" cm="1">
        <f t="array" ref="BE1567">IF(BD1567="","",AC1567/SUMPRODUCT(--(BD1567=$BD$4:$BD$12824),$AC$4:$AC$12824))</f>
        <v>4.4066438630550674E-2</v>
      </c>
      <c r="BF1567" s="458"/>
      <c r="BG1567" s="458"/>
      <c r="BH1567" s="458"/>
      <c r="BI1567" s="458"/>
      <c r="BJ1567" s="458"/>
      <c r="BK1567" s="458"/>
      <c r="BL1567" s="458"/>
      <c r="BM1567" s="458"/>
      <c r="BN1567" s="458"/>
      <c r="BO1567" s="866">
        <f>VLOOKUP(BD1567,$BD$4:$BN$12824,3,0)*BE1567</f>
        <v>1164.896305198607</v>
      </c>
      <c r="BP1567" s="866"/>
      <c r="BQ1567" s="866"/>
      <c r="BR1567" s="866">
        <f>VLOOKUP(BD1567,$BD$4:$BN$12824,6,0)*BE1567</f>
        <v>39606.466216301036</v>
      </c>
      <c r="BS1567" s="866">
        <f>VLOOKUP(BD1567,$BD$4:$BN$12824,7,0)*BE1567</f>
        <v>54362.481895781319</v>
      </c>
      <c r="BT1567" s="866"/>
      <c r="BU1567" s="866">
        <f>VLOOKUP(BD1567,$BD$4:$BN$12824,9,0)*BE1567</f>
        <v>2014.6294413115156</v>
      </c>
      <c r="BV1567" s="867"/>
      <c r="BW1567" s="867">
        <f>VLOOKUP(BD1567,$BD$4:$BN$12824,11,0)*BE1567</f>
        <v>26439.863178330404</v>
      </c>
      <c r="BX1567" s="1146">
        <f t="shared" si="295"/>
        <v>123588.33703692287</v>
      </c>
      <c r="BY1567" s="867">
        <f t="shared" si="298"/>
        <v>188162.4416851846</v>
      </c>
      <c r="BZ1567" s="867">
        <f t="shared" si="296"/>
        <v>37632488.337036923</v>
      </c>
      <c r="CA1567" s="867">
        <f>_xlfn.MAXIFS($BY$4:$BY$12824,$S$4:$S$12824,$S1567)</f>
        <v>188162.4416851846</v>
      </c>
      <c r="CB1567" s="1032"/>
      <c r="CF1567" s="946">
        <f t="shared" si="297"/>
        <v>37508900</v>
      </c>
    </row>
    <row r="1568" spans="2:84">
      <c r="B1568" s="839" t="s">
        <v>98</v>
      </c>
      <c r="C1568" s="839" t="s">
        <v>3454</v>
      </c>
      <c r="D1568" s="839" t="s">
        <v>5256</v>
      </c>
      <c r="E1568" s="839" t="s">
        <v>5256</v>
      </c>
      <c r="F1568" s="841">
        <v>45871</v>
      </c>
      <c r="G1568" s="839" t="s">
        <v>3454</v>
      </c>
      <c r="H1568" s="842" t="s">
        <v>134</v>
      </c>
      <c r="I1568" s="883"/>
      <c r="J1568" s="841"/>
      <c r="K1568" s="841"/>
      <c r="L1568" s="843" t="s">
        <v>5257</v>
      </c>
      <c r="M1568" s="844" t="s">
        <v>5258</v>
      </c>
      <c r="N1568" s="841"/>
      <c r="O1568" s="884" t="s">
        <v>3459</v>
      </c>
      <c r="P1568" s="842" t="s">
        <v>3460</v>
      </c>
      <c r="Q1568" s="843"/>
      <c r="R1568" s="845" t="s">
        <v>5317</v>
      </c>
      <c r="S1568" s="1127" t="s">
        <v>5317</v>
      </c>
      <c r="T1568" s="885" t="s">
        <v>5318</v>
      </c>
      <c r="U1568" s="886">
        <v>200</v>
      </c>
      <c r="V1568" s="842" t="s">
        <v>8</v>
      </c>
      <c r="W1568" s="846">
        <v>7.15</v>
      </c>
      <c r="X1568" s="847">
        <f t="shared" si="299"/>
        <v>1430</v>
      </c>
      <c r="Y1568" s="853">
        <v>0</v>
      </c>
      <c r="Z1568" s="849">
        <v>7.15</v>
      </c>
      <c r="AA1568" s="849"/>
      <c r="AB1568" s="849">
        <f t="shared" si="291"/>
        <v>1430</v>
      </c>
      <c r="AC1568" s="850">
        <f t="shared" si="292"/>
        <v>1430</v>
      </c>
      <c r="AD1568" s="851">
        <f t="shared" si="290"/>
        <v>27000</v>
      </c>
      <c r="AE1568" s="852">
        <v>26230</v>
      </c>
      <c r="AF1568" s="853">
        <v>0</v>
      </c>
      <c r="AG1568" s="854">
        <f t="shared" si="293"/>
        <v>0</v>
      </c>
      <c r="AH1568" s="853">
        <v>0.08</v>
      </c>
      <c r="AI1568" s="855">
        <f t="shared" si="294"/>
        <v>3000712</v>
      </c>
      <c r="AJ1568" s="845" t="s">
        <v>5261</v>
      </c>
      <c r="AK1568" s="857">
        <v>45920</v>
      </c>
      <c r="AL1568" s="843" t="s">
        <v>5262</v>
      </c>
      <c r="AM1568" s="843" t="s">
        <v>5263</v>
      </c>
      <c r="AN1568" s="844" t="s">
        <v>3951</v>
      </c>
      <c r="AO1568" s="844" t="s">
        <v>141</v>
      </c>
      <c r="AP1568" s="841"/>
      <c r="AQ1568" s="841">
        <v>45931</v>
      </c>
      <c r="AR1568" s="841">
        <v>45933</v>
      </c>
      <c r="AS1568" s="842" t="s">
        <v>1581</v>
      </c>
      <c r="AT1568" s="842" t="s">
        <v>1235</v>
      </c>
      <c r="AU1568" s="842" t="s">
        <v>1311</v>
      </c>
      <c r="AV1568" s="845" t="s">
        <v>5264</v>
      </c>
      <c r="AW1568" s="861">
        <v>45932</v>
      </c>
      <c r="AX1568" s="862">
        <v>45933</v>
      </c>
      <c r="AY1568" s="843" t="s">
        <v>5319</v>
      </c>
      <c r="AZ1568" s="842">
        <v>94059950</v>
      </c>
      <c r="BA1568" s="842" t="s">
        <v>120</v>
      </c>
      <c r="BB1568" s="863" t="s">
        <v>121</v>
      </c>
      <c r="BC1568" s="864">
        <v>45908</v>
      </c>
      <c r="BD1568" s="860" t="s">
        <v>5266</v>
      </c>
      <c r="BE1568" s="865" cm="1">
        <f t="array" ref="BE1568">IF(BD1568="","",AC1568/SUMPRODUCT(--(BD1568=$BD$4:$BD$12824),$AC$4:$AC$12824))</f>
        <v>4.4066438630550674E-2</v>
      </c>
      <c r="BF1568" s="458"/>
      <c r="BG1568" s="458"/>
      <c r="BH1568" s="458"/>
      <c r="BI1568" s="458"/>
      <c r="BJ1568" s="458"/>
      <c r="BK1568" s="458"/>
      <c r="BL1568" s="458"/>
      <c r="BM1568" s="458"/>
      <c r="BN1568" s="458"/>
      <c r="BO1568" s="866">
        <f>VLOOKUP(BD1568,$BD$4:$BN$12824,3,0)*BE1568</f>
        <v>1164.896305198607</v>
      </c>
      <c r="BP1568" s="866"/>
      <c r="BQ1568" s="866"/>
      <c r="BR1568" s="866">
        <f>VLOOKUP(BD1568,$BD$4:$BN$12824,6,0)*BE1568</f>
        <v>39606.466216301036</v>
      </c>
      <c r="BS1568" s="866">
        <f>VLOOKUP(BD1568,$BD$4:$BN$12824,7,0)*BE1568</f>
        <v>54362.481895781319</v>
      </c>
      <c r="BT1568" s="866"/>
      <c r="BU1568" s="866">
        <f>VLOOKUP(BD1568,$BD$4:$BN$12824,9,0)*BE1568</f>
        <v>2014.6294413115156</v>
      </c>
      <c r="BV1568" s="867"/>
      <c r="BW1568" s="867">
        <f>VLOOKUP(BD1568,$BD$4:$BN$12824,11,0)*BE1568</f>
        <v>26439.863178330404</v>
      </c>
      <c r="BX1568" s="1146">
        <f t="shared" si="295"/>
        <v>123588.33703692287</v>
      </c>
      <c r="BY1568" s="867">
        <f t="shared" si="298"/>
        <v>188162.4416851846</v>
      </c>
      <c r="BZ1568" s="867">
        <f t="shared" si="296"/>
        <v>37632488.337036923</v>
      </c>
      <c r="CA1568" s="867">
        <f>_xlfn.MAXIFS($BY$4:$BY$12824,$S$4:$S$12824,$S1568)</f>
        <v>188162.4416851846</v>
      </c>
      <c r="CB1568" s="1032"/>
      <c r="CF1568" s="946">
        <f t="shared" si="297"/>
        <v>37508900</v>
      </c>
    </row>
    <row r="1569" spans="2:84">
      <c r="B1569" s="839" t="s">
        <v>98</v>
      </c>
      <c r="C1569" s="839" t="s">
        <v>3454</v>
      </c>
      <c r="D1569" s="839" t="s">
        <v>5256</v>
      </c>
      <c r="E1569" s="839" t="s">
        <v>5256</v>
      </c>
      <c r="F1569" s="841">
        <v>45871</v>
      </c>
      <c r="G1569" s="839" t="s">
        <v>3454</v>
      </c>
      <c r="H1569" s="842" t="s">
        <v>134</v>
      </c>
      <c r="I1569" s="883"/>
      <c r="J1569" s="841"/>
      <c r="K1569" s="841"/>
      <c r="L1569" s="843" t="s">
        <v>5257</v>
      </c>
      <c r="M1569" s="844" t="s">
        <v>5258</v>
      </c>
      <c r="N1569" s="841"/>
      <c r="O1569" s="884" t="s">
        <v>3459</v>
      </c>
      <c r="P1569" s="842" t="s">
        <v>124</v>
      </c>
      <c r="Q1569" s="843"/>
      <c r="R1569" s="845" t="s">
        <v>5274</v>
      </c>
      <c r="S1569" s="1127" t="s">
        <v>5274</v>
      </c>
      <c r="T1569" s="885" t="s">
        <v>5320</v>
      </c>
      <c r="U1569" s="886">
        <v>200</v>
      </c>
      <c r="V1569" s="842" t="s">
        <v>8</v>
      </c>
      <c r="W1569" s="846">
        <v>3.6</v>
      </c>
      <c r="X1569" s="847">
        <f t="shared" si="299"/>
        <v>720</v>
      </c>
      <c r="Y1569" s="853">
        <v>0</v>
      </c>
      <c r="Z1569" s="849">
        <v>3.6</v>
      </c>
      <c r="AA1569" s="849"/>
      <c r="AB1569" s="849">
        <f t="shared" si="291"/>
        <v>720</v>
      </c>
      <c r="AC1569" s="850">
        <f t="shared" si="292"/>
        <v>720</v>
      </c>
      <c r="AD1569" s="851">
        <f t="shared" si="290"/>
        <v>27000</v>
      </c>
      <c r="AE1569" s="852">
        <v>26230</v>
      </c>
      <c r="AF1569" s="853">
        <v>0</v>
      </c>
      <c r="AG1569" s="854">
        <f t="shared" si="293"/>
        <v>0</v>
      </c>
      <c r="AH1569" s="853">
        <v>0.08</v>
      </c>
      <c r="AI1569" s="855">
        <f t="shared" si="294"/>
        <v>1510848</v>
      </c>
      <c r="AJ1569" s="845" t="s">
        <v>5261</v>
      </c>
      <c r="AK1569" s="857">
        <v>45920</v>
      </c>
      <c r="AL1569" s="843" t="s">
        <v>5262</v>
      </c>
      <c r="AM1569" s="843" t="s">
        <v>5263</v>
      </c>
      <c r="AN1569" s="844" t="s">
        <v>3951</v>
      </c>
      <c r="AO1569" s="844" t="s">
        <v>141</v>
      </c>
      <c r="AP1569" s="841"/>
      <c r="AQ1569" s="841">
        <v>45931</v>
      </c>
      <c r="AR1569" s="841">
        <v>45933</v>
      </c>
      <c r="AS1569" s="842" t="s">
        <v>1581</v>
      </c>
      <c r="AT1569" s="842" t="s">
        <v>1235</v>
      </c>
      <c r="AU1569" s="842" t="s">
        <v>1311</v>
      </c>
      <c r="AV1569" s="845" t="s">
        <v>5264</v>
      </c>
      <c r="AW1569" s="861">
        <v>45932</v>
      </c>
      <c r="AX1569" s="862">
        <v>45933</v>
      </c>
      <c r="AY1569" s="843" t="s">
        <v>5276</v>
      </c>
      <c r="AZ1569" s="842">
        <v>85044030</v>
      </c>
      <c r="BA1569" s="842" t="s">
        <v>120</v>
      </c>
      <c r="BB1569" s="863" t="s">
        <v>121</v>
      </c>
      <c r="BC1569" s="864">
        <v>45908</v>
      </c>
      <c r="BD1569" s="860" t="s">
        <v>5266</v>
      </c>
      <c r="BE1569" s="865" cm="1">
        <f t="array" ref="BE1569">IF(BD1569="","",AC1569/SUMPRODUCT(--(BD1569=$BD$4:$BD$12824),$AC$4:$AC$12824))</f>
        <v>2.2187297772025515E-2</v>
      </c>
      <c r="BF1569" s="458"/>
      <c r="BG1569" s="458"/>
      <c r="BH1569" s="458"/>
      <c r="BI1569" s="458"/>
      <c r="BJ1569" s="458"/>
      <c r="BK1569" s="458"/>
      <c r="BL1569" s="458"/>
      <c r="BM1569" s="458"/>
      <c r="BN1569" s="458"/>
      <c r="BO1569" s="866">
        <f>VLOOKUP(BD1569,$BD$4:$BN$12824,3,0)*BE1569</f>
        <v>586.52121660349451</v>
      </c>
      <c r="BP1569" s="866"/>
      <c r="BQ1569" s="866"/>
      <c r="BR1569" s="866">
        <f>VLOOKUP(BD1569,$BD$4:$BN$12824,6,0)*BE1569</f>
        <v>19941.717255759962</v>
      </c>
      <c r="BS1569" s="866">
        <f>VLOOKUP(BD1569,$BD$4:$BN$12824,7,0)*BE1569</f>
        <v>27371.319555917868</v>
      </c>
      <c r="BT1569" s="866"/>
      <c r="BU1569" s="866">
        <f>VLOOKUP(BD1569,$BD$4:$BN$12824,9,0)*BE1569</f>
        <v>1014.3588795414624</v>
      </c>
      <c r="BV1569" s="867"/>
      <c r="BW1569" s="867">
        <f>VLOOKUP(BD1569,$BD$4:$BN$12824,11,0)*BE1569</f>
        <v>13312.37866321531</v>
      </c>
      <c r="BX1569" s="1146">
        <f t="shared" si="295"/>
        <v>62226.295571038092</v>
      </c>
      <c r="BY1569" s="867">
        <f t="shared" si="298"/>
        <v>94739.13147785519</v>
      </c>
      <c r="BZ1569" s="867">
        <f t="shared" si="296"/>
        <v>18947826.295571037</v>
      </c>
      <c r="CA1569" s="867">
        <f>_xlfn.MAXIFS($BY$4:$BY$12824,$S$4:$S$12824,$S1569)</f>
        <v>94739.13147785519</v>
      </c>
      <c r="CB1569" s="1032"/>
      <c r="CF1569" s="946">
        <f t="shared" si="297"/>
        <v>18885600</v>
      </c>
    </row>
    <row r="1570" spans="2:84">
      <c r="B1570" s="839" t="s">
        <v>98</v>
      </c>
      <c r="C1570" s="839" t="s">
        <v>3454</v>
      </c>
      <c r="D1570" s="839" t="s">
        <v>5256</v>
      </c>
      <c r="E1570" s="839" t="s">
        <v>5256</v>
      </c>
      <c r="F1570" s="841">
        <v>45871</v>
      </c>
      <c r="G1570" s="839" t="s">
        <v>3454</v>
      </c>
      <c r="H1570" s="842" t="s">
        <v>134</v>
      </c>
      <c r="I1570" s="883"/>
      <c r="J1570" s="841"/>
      <c r="K1570" s="841"/>
      <c r="L1570" s="843" t="s">
        <v>5257</v>
      </c>
      <c r="M1570" s="844" t="s">
        <v>5258</v>
      </c>
      <c r="N1570" s="841"/>
      <c r="O1570" s="884" t="s">
        <v>3459</v>
      </c>
      <c r="P1570" s="842" t="s">
        <v>124</v>
      </c>
      <c r="Q1570" s="843"/>
      <c r="R1570" s="845" t="s">
        <v>5277</v>
      </c>
      <c r="S1570" s="1127" t="s">
        <v>5277</v>
      </c>
      <c r="T1570" s="885" t="s">
        <v>5321</v>
      </c>
      <c r="U1570" s="886">
        <v>200</v>
      </c>
      <c r="V1570" s="842" t="s">
        <v>8</v>
      </c>
      <c r="W1570" s="846">
        <v>1.83</v>
      </c>
      <c r="X1570" s="847">
        <f t="shared" si="299"/>
        <v>366</v>
      </c>
      <c r="Y1570" s="853">
        <v>0</v>
      </c>
      <c r="Z1570" s="849">
        <v>1.83</v>
      </c>
      <c r="AA1570" s="849"/>
      <c r="AB1570" s="849">
        <f t="shared" si="291"/>
        <v>366</v>
      </c>
      <c r="AC1570" s="850">
        <f t="shared" si="292"/>
        <v>366</v>
      </c>
      <c r="AD1570" s="851">
        <f t="shared" si="290"/>
        <v>27000</v>
      </c>
      <c r="AE1570" s="852">
        <v>26230</v>
      </c>
      <c r="AF1570" s="853">
        <v>0</v>
      </c>
      <c r="AG1570" s="854">
        <f t="shared" si="293"/>
        <v>0</v>
      </c>
      <c r="AH1570" s="853">
        <v>0.08</v>
      </c>
      <c r="AI1570" s="855">
        <f t="shared" si="294"/>
        <v>768014.4</v>
      </c>
      <c r="AJ1570" s="845" t="s">
        <v>5261</v>
      </c>
      <c r="AK1570" s="857">
        <v>45920</v>
      </c>
      <c r="AL1570" s="843" t="s">
        <v>5262</v>
      </c>
      <c r="AM1570" s="843" t="s">
        <v>5263</v>
      </c>
      <c r="AN1570" s="844" t="s">
        <v>3951</v>
      </c>
      <c r="AO1570" s="844" t="s">
        <v>141</v>
      </c>
      <c r="AP1570" s="841"/>
      <c r="AQ1570" s="841">
        <v>45931</v>
      </c>
      <c r="AR1570" s="841">
        <v>45933</v>
      </c>
      <c r="AS1570" s="842" t="s">
        <v>1581</v>
      </c>
      <c r="AT1570" s="842" t="s">
        <v>1235</v>
      </c>
      <c r="AU1570" s="842" t="s">
        <v>1311</v>
      </c>
      <c r="AV1570" s="845" t="s">
        <v>5264</v>
      </c>
      <c r="AW1570" s="861">
        <v>45932</v>
      </c>
      <c r="AX1570" s="862">
        <v>45933</v>
      </c>
      <c r="AY1570" s="843" t="s">
        <v>5279</v>
      </c>
      <c r="AZ1570" s="842">
        <v>85044030</v>
      </c>
      <c r="BA1570" s="842" t="s">
        <v>120</v>
      </c>
      <c r="BB1570" s="863" t="s">
        <v>121</v>
      </c>
      <c r="BC1570" s="864">
        <v>45908</v>
      </c>
      <c r="BD1570" s="860" t="s">
        <v>5266</v>
      </c>
      <c r="BE1570" s="865" cm="1">
        <f t="array" ref="BE1570">IF(BD1570="","",AC1570/SUMPRODUCT(--(BD1570=$BD$4:$BD$12824),$AC$4:$AC$12824))</f>
        <v>1.127854303411297E-2</v>
      </c>
      <c r="BF1570" s="458"/>
      <c r="BG1570" s="458"/>
      <c r="BH1570" s="458"/>
      <c r="BI1570" s="458"/>
      <c r="BJ1570" s="458"/>
      <c r="BK1570" s="458"/>
      <c r="BL1570" s="458"/>
      <c r="BM1570" s="458"/>
      <c r="BN1570" s="458"/>
      <c r="BO1570" s="866">
        <f>VLOOKUP(BD1570,$BD$4:$BN$12824,3,0)*BE1570</f>
        <v>298.14828510677637</v>
      </c>
      <c r="BP1570" s="866"/>
      <c r="BQ1570" s="866"/>
      <c r="BR1570" s="866">
        <f>VLOOKUP(BD1570,$BD$4:$BN$12824,6,0)*BE1570</f>
        <v>10137.039605011314</v>
      </c>
      <c r="BS1570" s="866">
        <f>VLOOKUP(BD1570,$BD$4:$BN$12824,7,0)*BE1570</f>
        <v>13913.754107591583</v>
      </c>
      <c r="BT1570" s="866"/>
      <c r="BU1570" s="866">
        <f>VLOOKUP(BD1570,$BD$4:$BN$12824,9,0)*BE1570</f>
        <v>515.6324304335767</v>
      </c>
      <c r="BV1570" s="867"/>
      <c r="BW1570" s="867">
        <f>VLOOKUP(BD1570,$BD$4:$BN$12824,11,0)*BE1570</f>
        <v>6767.1258204677815</v>
      </c>
      <c r="BX1570" s="1146">
        <f t="shared" si="295"/>
        <v>31631.700248611029</v>
      </c>
      <c r="BY1570" s="867">
        <f t="shared" si="298"/>
        <v>48159.058501243053</v>
      </c>
      <c r="BZ1570" s="867">
        <f t="shared" si="296"/>
        <v>9631811.7002486102</v>
      </c>
      <c r="CA1570" s="867">
        <f>_xlfn.MAXIFS($BY$4:$BY$12824,$S$4:$S$12824,$S1570)</f>
        <v>48159.058501243053</v>
      </c>
      <c r="CB1570" s="1032"/>
      <c r="CF1570" s="946">
        <f t="shared" si="297"/>
        <v>9600180</v>
      </c>
    </row>
    <row r="1571" spans="2:84">
      <c r="B1571" s="839" t="s">
        <v>98</v>
      </c>
      <c r="C1571" s="839" t="s">
        <v>3454</v>
      </c>
      <c r="D1571" s="839" t="s">
        <v>5256</v>
      </c>
      <c r="E1571" s="839" t="s">
        <v>5256</v>
      </c>
      <c r="F1571" s="841">
        <v>45871</v>
      </c>
      <c r="G1571" s="839" t="s">
        <v>3454</v>
      </c>
      <c r="H1571" s="842" t="s">
        <v>134</v>
      </c>
      <c r="I1571" s="883"/>
      <c r="J1571" s="841"/>
      <c r="K1571" s="841"/>
      <c r="L1571" s="843" t="s">
        <v>5257</v>
      </c>
      <c r="M1571" s="844" t="s">
        <v>5258</v>
      </c>
      <c r="N1571" s="841"/>
      <c r="O1571" s="884" t="s">
        <v>3459</v>
      </c>
      <c r="P1571" s="842" t="s">
        <v>124</v>
      </c>
      <c r="Q1571" s="843"/>
      <c r="R1571" s="845" t="s">
        <v>5322</v>
      </c>
      <c r="S1571" s="1127" t="s">
        <v>5322</v>
      </c>
      <c r="T1571" s="885" t="s">
        <v>5323</v>
      </c>
      <c r="U1571" s="886">
        <v>100</v>
      </c>
      <c r="V1571" s="842" t="s">
        <v>8</v>
      </c>
      <c r="W1571" s="846">
        <v>0.15</v>
      </c>
      <c r="X1571" s="847">
        <f t="shared" si="299"/>
        <v>15</v>
      </c>
      <c r="Y1571" s="853">
        <v>0</v>
      </c>
      <c r="Z1571" s="849">
        <v>0.15</v>
      </c>
      <c r="AA1571" s="849"/>
      <c r="AB1571" s="849">
        <f t="shared" si="291"/>
        <v>15</v>
      </c>
      <c r="AC1571" s="850">
        <f t="shared" si="292"/>
        <v>15</v>
      </c>
      <c r="AD1571" s="851">
        <f t="shared" si="290"/>
        <v>27000</v>
      </c>
      <c r="AE1571" s="852">
        <v>26230</v>
      </c>
      <c r="AF1571" s="853">
        <v>0</v>
      </c>
      <c r="AG1571" s="854">
        <f t="shared" si="293"/>
        <v>0</v>
      </c>
      <c r="AH1571" s="853">
        <v>0.08</v>
      </c>
      <c r="AI1571" s="855">
        <f t="shared" si="294"/>
        <v>31476</v>
      </c>
      <c r="AJ1571" s="845" t="s">
        <v>5261</v>
      </c>
      <c r="AK1571" s="857">
        <v>45920</v>
      </c>
      <c r="AL1571" s="843" t="s">
        <v>5262</v>
      </c>
      <c r="AM1571" s="843" t="s">
        <v>5263</v>
      </c>
      <c r="AN1571" s="844" t="s">
        <v>3951</v>
      </c>
      <c r="AO1571" s="844" t="s">
        <v>141</v>
      </c>
      <c r="AP1571" s="841"/>
      <c r="AQ1571" s="841">
        <v>45931</v>
      </c>
      <c r="AR1571" s="841">
        <v>45933</v>
      </c>
      <c r="AS1571" s="842" t="s">
        <v>1581</v>
      </c>
      <c r="AT1571" s="842" t="s">
        <v>1235</v>
      </c>
      <c r="AU1571" s="842" t="s">
        <v>1311</v>
      </c>
      <c r="AV1571" s="845" t="s">
        <v>5264</v>
      </c>
      <c r="AW1571" s="861">
        <v>45932</v>
      </c>
      <c r="AX1571" s="862">
        <v>45933</v>
      </c>
      <c r="AY1571" s="843" t="s">
        <v>5324</v>
      </c>
      <c r="AZ1571" s="842">
        <v>94059950</v>
      </c>
      <c r="BA1571" s="842" t="s">
        <v>120</v>
      </c>
      <c r="BB1571" s="863" t="s">
        <v>121</v>
      </c>
      <c r="BC1571" s="864">
        <v>45908</v>
      </c>
      <c r="BD1571" s="860" t="s">
        <v>5266</v>
      </c>
      <c r="BE1571" s="865" cm="1">
        <f t="array" ref="BE1571">IF(BD1571="","",AC1571/SUMPRODUCT(--(BD1571=$BD$4:$BD$12824),$AC$4:$AC$12824))</f>
        <v>4.6223537025053159E-4</v>
      </c>
      <c r="BF1571" s="458"/>
      <c r="BG1571" s="458"/>
      <c r="BH1571" s="458"/>
      <c r="BI1571" s="458"/>
      <c r="BJ1571" s="458"/>
      <c r="BK1571" s="458"/>
      <c r="BL1571" s="458"/>
      <c r="BM1571" s="458"/>
      <c r="BN1571" s="458"/>
      <c r="BO1571" s="866">
        <f>VLOOKUP(BD1571,$BD$4:$BN$12824,3,0)*BE1571</f>
        <v>12.219192012572803</v>
      </c>
      <c r="BP1571" s="866"/>
      <c r="BQ1571" s="866"/>
      <c r="BR1571" s="866">
        <f>VLOOKUP(BD1571,$BD$4:$BN$12824,6,0)*BE1571</f>
        <v>415.45244282833261</v>
      </c>
      <c r="BS1571" s="866">
        <f>VLOOKUP(BD1571,$BD$4:$BN$12824,7,0)*BE1571</f>
        <v>570.23582408162235</v>
      </c>
      <c r="BT1571" s="866"/>
      <c r="BU1571" s="866">
        <f>VLOOKUP(BD1571,$BD$4:$BN$12824,9,0)*BE1571</f>
        <v>21.132476657113802</v>
      </c>
      <c r="BV1571" s="867"/>
      <c r="BW1571" s="867">
        <f>VLOOKUP(BD1571,$BD$4:$BN$12824,11,0)*BE1571</f>
        <v>277.34122215031897</v>
      </c>
      <c r="BX1571" s="1146">
        <f t="shared" si="295"/>
        <v>1296.3811577299605</v>
      </c>
      <c r="BY1571" s="867">
        <f t="shared" si="298"/>
        <v>3947.4638115772996</v>
      </c>
      <c r="BZ1571" s="867">
        <f t="shared" si="296"/>
        <v>394746.38115772995</v>
      </c>
      <c r="CA1571" s="867">
        <f>_xlfn.MAXIFS($BY$4:$BY$12824,$S$4:$S$12824,$S1571)</f>
        <v>3947.4638115772996</v>
      </c>
      <c r="CB1571" s="1032"/>
      <c r="CF1571" s="946">
        <f t="shared" si="297"/>
        <v>393450</v>
      </c>
    </row>
    <row r="1572" spans="2:84">
      <c r="B1572" s="839" t="s">
        <v>98</v>
      </c>
      <c r="C1572" s="839" t="s">
        <v>3454</v>
      </c>
      <c r="D1572" s="839" t="s">
        <v>5256</v>
      </c>
      <c r="E1572" s="839" t="s">
        <v>5256</v>
      </c>
      <c r="F1572" s="841">
        <v>45871</v>
      </c>
      <c r="G1572" s="839" t="s">
        <v>3454</v>
      </c>
      <c r="H1572" s="842" t="s">
        <v>134</v>
      </c>
      <c r="I1572" s="883"/>
      <c r="J1572" s="841"/>
      <c r="K1572" s="841"/>
      <c r="L1572" s="843" t="s">
        <v>5257</v>
      </c>
      <c r="M1572" s="844" t="s">
        <v>5258</v>
      </c>
      <c r="N1572" s="841"/>
      <c r="O1572" s="884" t="s">
        <v>3459</v>
      </c>
      <c r="P1572" s="842" t="s">
        <v>124</v>
      </c>
      <c r="Q1572" s="843"/>
      <c r="R1572" s="845" t="s">
        <v>5325</v>
      </c>
      <c r="S1572" s="1127" t="s">
        <v>5325</v>
      </c>
      <c r="T1572" s="885" t="s">
        <v>5326</v>
      </c>
      <c r="U1572" s="886">
        <v>100</v>
      </c>
      <c r="V1572" s="842" t="s">
        <v>8</v>
      </c>
      <c r="W1572" s="846">
        <v>0.73</v>
      </c>
      <c r="X1572" s="847">
        <f t="shared" si="299"/>
        <v>73</v>
      </c>
      <c r="Y1572" s="853">
        <v>0</v>
      </c>
      <c r="Z1572" s="849">
        <v>0.73</v>
      </c>
      <c r="AA1572" s="849"/>
      <c r="AB1572" s="849">
        <f t="shared" si="291"/>
        <v>73</v>
      </c>
      <c r="AC1572" s="850">
        <f t="shared" si="292"/>
        <v>73</v>
      </c>
      <c r="AD1572" s="851">
        <f t="shared" si="290"/>
        <v>27000</v>
      </c>
      <c r="AE1572" s="852">
        <v>26230</v>
      </c>
      <c r="AF1572" s="853">
        <v>0</v>
      </c>
      <c r="AG1572" s="854">
        <f t="shared" si="293"/>
        <v>0</v>
      </c>
      <c r="AH1572" s="853">
        <v>0.08</v>
      </c>
      <c r="AI1572" s="855">
        <f t="shared" si="294"/>
        <v>153183.20000000001</v>
      </c>
      <c r="AJ1572" s="845" t="s">
        <v>5261</v>
      </c>
      <c r="AK1572" s="857">
        <v>45920</v>
      </c>
      <c r="AL1572" s="843" t="s">
        <v>5262</v>
      </c>
      <c r="AM1572" s="843" t="s">
        <v>5263</v>
      </c>
      <c r="AN1572" s="844" t="s">
        <v>3951</v>
      </c>
      <c r="AO1572" s="844" t="s">
        <v>141</v>
      </c>
      <c r="AP1572" s="841"/>
      <c r="AQ1572" s="841">
        <v>45931</v>
      </c>
      <c r="AR1572" s="841">
        <v>45933</v>
      </c>
      <c r="AS1572" s="842" t="s">
        <v>1581</v>
      </c>
      <c r="AT1572" s="842" t="s">
        <v>1235</v>
      </c>
      <c r="AU1572" s="842" t="s">
        <v>1311</v>
      </c>
      <c r="AV1572" s="845" t="s">
        <v>5264</v>
      </c>
      <c r="AW1572" s="861">
        <v>45932</v>
      </c>
      <c r="AX1572" s="862">
        <v>45933</v>
      </c>
      <c r="AY1572" s="843" t="s">
        <v>5327</v>
      </c>
      <c r="AZ1572" s="842">
        <v>94059290</v>
      </c>
      <c r="BA1572" s="842" t="s">
        <v>120</v>
      </c>
      <c r="BB1572" s="863" t="s">
        <v>121</v>
      </c>
      <c r="BC1572" s="864">
        <v>45908</v>
      </c>
      <c r="BD1572" s="860" t="s">
        <v>5266</v>
      </c>
      <c r="BE1572" s="865" cm="1">
        <f t="array" ref="BE1572">IF(BD1572="","",AC1572/SUMPRODUCT(--(BD1572=$BD$4:$BD$12824),$AC$4:$AC$12824))</f>
        <v>2.2495454685525869E-3</v>
      </c>
      <c r="BF1572" s="458"/>
      <c r="BG1572" s="458"/>
      <c r="BH1572" s="458"/>
      <c r="BI1572" s="458"/>
      <c r="BJ1572" s="458"/>
      <c r="BK1572" s="458"/>
      <c r="BL1572" s="458"/>
      <c r="BM1572" s="458"/>
      <c r="BN1572" s="458"/>
      <c r="BO1572" s="866">
        <f>VLOOKUP(BD1572,$BD$4:$BN$12824,3,0)*BE1572</f>
        <v>59.466734461187635</v>
      </c>
      <c r="BP1572" s="866"/>
      <c r="BQ1572" s="866"/>
      <c r="BR1572" s="866">
        <f>VLOOKUP(BD1572,$BD$4:$BN$12824,6,0)*BE1572</f>
        <v>2021.8685550978851</v>
      </c>
      <c r="BS1572" s="866">
        <f>VLOOKUP(BD1572,$BD$4:$BN$12824,7,0)*BE1572</f>
        <v>2775.1476771972284</v>
      </c>
      <c r="BT1572" s="866"/>
      <c r="BU1572" s="866">
        <f>VLOOKUP(BD1572,$BD$4:$BN$12824,9,0)*BE1572</f>
        <v>102.84471973128717</v>
      </c>
      <c r="BV1572" s="867"/>
      <c r="BW1572" s="867">
        <f>VLOOKUP(BD1572,$BD$4:$BN$12824,11,0)*BE1572</f>
        <v>1349.7272811315522</v>
      </c>
      <c r="BX1572" s="1146">
        <f t="shared" si="295"/>
        <v>6309.0549676191404</v>
      </c>
      <c r="BY1572" s="867">
        <f t="shared" si="298"/>
        <v>19210.990549676193</v>
      </c>
      <c r="BZ1572" s="867">
        <f t="shared" si="296"/>
        <v>1921099.0549676192</v>
      </c>
      <c r="CA1572" s="867">
        <f>_xlfn.MAXIFS($BY$4:$BY$12824,$S$4:$S$12824,$S1572)</f>
        <v>19210.990549676193</v>
      </c>
      <c r="CB1572" s="1032"/>
      <c r="CF1572" s="946">
        <f t="shared" si="297"/>
        <v>1914790</v>
      </c>
    </row>
    <row r="1573" spans="2:84">
      <c r="B1573" s="839" t="s">
        <v>98</v>
      </c>
      <c r="C1573" s="839" t="s">
        <v>3454</v>
      </c>
      <c r="D1573" s="839" t="s">
        <v>5256</v>
      </c>
      <c r="E1573" s="839" t="s">
        <v>5256</v>
      </c>
      <c r="F1573" s="841">
        <v>45871</v>
      </c>
      <c r="G1573" s="839" t="s">
        <v>3454</v>
      </c>
      <c r="H1573" s="842" t="s">
        <v>134</v>
      </c>
      <c r="I1573" s="883"/>
      <c r="J1573" s="841"/>
      <c r="K1573" s="841"/>
      <c r="L1573" s="843" t="s">
        <v>5257</v>
      </c>
      <c r="M1573" s="844" t="s">
        <v>5258</v>
      </c>
      <c r="N1573" s="841"/>
      <c r="O1573" s="884" t="s">
        <v>3459</v>
      </c>
      <c r="P1573" s="842" t="s">
        <v>124</v>
      </c>
      <c r="Q1573" s="843"/>
      <c r="R1573" s="845" t="s">
        <v>5328</v>
      </c>
      <c r="S1573" s="1127" t="s">
        <v>5328</v>
      </c>
      <c r="T1573" s="885" t="s">
        <v>5329</v>
      </c>
      <c r="U1573" s="886">
        <v>100</v>
      </c>
      <c r="V1573" s="842" t="s">
        <v>8</v>
      </c>
      <c r="W1573" s="846">
        <v>0.73</v>
      </c>
      <c r="X1573" s="847">
        <f t="shared" si="299"/>
        <v>73</v>
      </c>
      <c r="Y1573" s="853">
        <v>0</v>
      </c>
      <c r="Z1573" s="849">
        <v>0.73</v>
      </c>
      <c r="AA1573" s="849"/>
      <c r="AB1573" s="849">
        <f t="shared" si="291"/>
        <v>73</v>
      </c>
      <c r="AC1573" s="850">
        <f t="shared" si="292"/>
        <v>73</v>
      </c>
      <c r="AD1573" s="851">
        <f t="shared" si="290"/>
        <v>27000</v>
      </c>
      <c r="AE1573" s="852">
        <v>26230</v>
      </c>
      <c r="AF1573" s="853">
        <v>0</v>
      </c>
      <c r="AG1573" s="854">
        <f t="shared" si="293"/>
        <v>0</v>
      </c>
      <c r="AH1573" s="853">
        <v>0.08</v>
      </c>
      <c r="AI1573" s="855">
        <f t="shared" si="294"/>
        <v>153183.20000000001</v>
      </c>
      <c r="AJ1573" s="845" t="s">
        <v>5261</v>
      </c>
      <c r="AK1573" s="857">
        <v>45920</v>
      </c>
      <c r="AL1573" s="843" t="s">
        <v>5262</v>
      </c>
      <c r="AM1573" s="843" t="s">
        <v>5263</v>
      </c>
      <c r="AN1573" s="844" t="s">
        <v>3951</v>
      </c>
      <c r="AO1573" s="844" t="s">
        <v>141</v>
      </c>
      <c r="AP1573" s="841"/>
      <c r="AQ1573" s="841">
        <v>45931</v>
      </c>
      <c r="AR1573" s="841">
        <v>45933</v>
      </c>
      <c r="AS1573" s="842" t="s">
        <v>1581</v>
      </c>
      <c r="AT1573" s="842" t="s">
        <v>1235</v>
      </c>
      <c r="AU1573" s="842" t="s">
        <v>1311</v>
      </c>
      <c r="AV1573" s="845" t="s">
        <v>5264</v>
      </c>
      <c r="AW1573" s="861">
        <v>45932</v>
      </c>
      <c r="AX1573" s="862">
        <v>45933</v>
      </c>
      <c r="AY1573" s="843" t="s">
        <v>5327</v>
      </c>
      <c r="AZ1573" s="842">
        <v>94059290</v>
      </c>
      <c r="BA1573" s="842" t="s">
        <v>120</v>
      </c>
      <c r="BB1573" s="863" t="s">
        <v>121</v>
      </c>
      <c r="BC1573" s="864">
        <v>45908</v>
      </c>
      <c r="BD1573" s="860" t="s">
        <v>5266</v>
      </c>
      <c r="BE1573" s="865" cm="1">
        <f t="array" ref="BE1573">IF(BD1573="","",AC1573/SUMPRODUCT(--(BD1573=$BD$4:$BD$12824),$AC$4:$AC$12824))</f>
        <v>2.2495454685525869E-3</v>
      </c>
      <c r="BF1573" s="458"/>
      <c r="BG1573" s="458"/>
      <c r="BH1573" s="458"/>
      <c r="BI1573" s="458"/>
      <c r="BJ1573" s="458"/>
      <c r="BK1573" s="458"/>
      <c r="BL1573" s="458"/>
      <c r="BM1573" s="458"/>
      <c r="BN1573" s="458"/>
      <c r="BO1573" s="866">
        <f>VLOOKUP(BD1573,$BD$4:$BN$12824,3,0)*BE1573</f>
        <v>59.466734461187635</v>
      </c>
      <c r="BP1573" s="866"/>
      <c r="BQ1573" s="866"/>
      <c r="BR1573" s="866">
        <f>VLOOKUP(BD1573,$BD$4:$BN$12824,6,0)*BE1573</f>
        <v>2021.8685550978851</v>
      </c>
      <c r="BS1573" s="866">
        <f>VLOOKUP(BD1573,$BD$4:$BN$12824,7,0)*BE1573</f>
        <v>2775.1476771972284</v>
      </c>
      <c r="BT1573" s="866"/>
      <c r="BU1573" s="866">
        <f>VLOOKUP(BD1573,$BD$4:$BN$12824,9,0)*BE1573</f>
        <v>102.84471973128717</v>
      </c>
      <c r="BV1573" s="867"/>
      <c r="BW1573" s="867">
        <f>VLOOKUP(BD1573,$BD$4:$BN$12824,11,0)*BE1573</f>
        <v>1349.7272811315522</v>
      </c>
      <c r="BX1573" s="1146">
        <f t="shared" si="295"/>
        <v>6309.0549676191404</v>
      </c>
      <c r="BY1573" s="867">
        <f t="shared" si="298"/>
        <v>19210.990549676193</v>
      </c>
      <c r="BZ1573" s="867">
        <f t="shared" si="296"/>
        <v>1921099.0549676192</v>
      </c>
      <c r="CA1573" s="867">
        <f>_xlfn.MAXIFS($BY$4:$BY$12824,$S$4:$S$12824,$S1573)</f>
        <v>19210.990549676193</v>
      </c>
      <c r="CB1573" s="1032"/>
      <c r="CF1573" s="946">
        <f t="shared" si="297"/>
        <v>1914790</v>
      </c>
    </row>
    <row r="1574" spans="2:84">
      <c r="B1574" s="839" t="s">
        <v>98</v>
      </c>
      <c r="C1574" s="839" t="s">
        <v>3454</v>
      </c>
      <c r="D1574" s="839" t="s">
        <v>5256</v>
      </c>
      <c r="E1574" s="839" t="s">
        <v>5256</v>
      </c>
      <c r="F1574" s="841">
        <v>45871</v>
      </c>
      <c r="G1574" s="839" t="s">
        <v>3454</v>
      </c>
      <c r="H1574" s="842" t="s">
        <v>134</v>
      </c>
      <c r="I1574" s="883"/>
      <c r="J1574" s="841"/>
      <c r="K1574" s="841"/>
      <c r="L1574" s="843" t="s">
        <v>5257</v>
      </c>
      <c r="M1574" s="844" t="s">
        <v>5258</v>
      </c>
      <c r="N1574" s="841"/>
      <c r="O1574" s="884" t="s">
        <v>3459</v>
      </c>
      <c r="P1574" s="842" t="s">
        <v>124</v>
      </c>
      <c r="Q1574" s="843"/>
      <c r="R1574" s="845" t="s">
        <v>5330</v>
      </c>
      <c r="S1574" s="1127" t="s">
        <v>5330</v>
      </c>
      <c r="T1574" s="885" t="s">
        <v>5331</v>
      </c>
      <c r="U1574" s="886">
        <v>300</v>
      </c>
      <c r="V1574" s="842" t="s">
        <v>8</v>
      </c>
      <c r="W1574" s="846">
        <v>0.57999999999999996</v>
      </c>
      <c r="X1574" s="847">
        <f t="shared" si="299"/>
        <v>174</v>
      </c>
      <c r="Y1574" s="853">
        <v>0</v>
      </c>
      <c r="Z1574" s="849">
        <v>0.57999999999999996</v>
      </c>
      <c r="AA1574" s="849"/>
      <c r="AB1574" s="849">
        <f t="shared" si="291"/>
        <v>174</v>
      </c>
      <c r="AC1574" s="850">
        <f t="shared" si="292"/>
        <v>174</v>
      </c>
      <c r="AD1574" s="851">
        <f t="shared" si="290"/>
        <v>27000</v>
      </c>
      <c r="AE1574" s="852">
        <v>26230</v>
      </c>
      <c r="AF1574" s="853">
        <v>0</v>
      </c>
      <c r="AG1574" s="854">
        <f t="shared" si="293"/>
        <v>0</v>
      </c>
      <c r="AH1574" s="853">
        <v>0.08</v>
      </c>
      <c r="AI1574" s="855">
        <f t="shared" si="294"/>
        <v>365121.60000000003</v>
      </c>
      <c r="AJ1574" s="845" t="s">
        <v>5261</v>
      </c>
      <c r="AK1574" s="857">
        <v>45920</v>
      </c>
      <c r="AL1574" s="843" t="s">
        <v>5262</v>
      </c>
      <c r="AM1574" s="843" t="s">
        <v>5263</v>
      </c>
      <c r="AN1574" s="844" t="s">
        <v>3951</v>
      </c>
      <c r="AO1574" s="844" t="s">
        <v>141</v>
      </c>
      <c r="AP1574" s="841"/>
      <c r="AQ1574" s="841">
        <v>45931</v>
      </c>
      <c r="AR1574" s="841">
        <v>45933</v>
      </c>
      <c r="AS1574" s="842" t="s">
        <v>1581</v>
      </c>
      <c r="AT1574" s="842" t="s">
        <v>1235</v>
      </c>
      <c r="AU1574" s="842" t="s">
        <v>1311</v>
      </c>
      <c r="AV1574" s="845" t="s">
        <v>5264</v>
      </c>
      <c r="AW1574" s="861">
        <v>45932</v>
      </c>
      <c r="AX1574" s="862">
        <v>45933</v>
      </c>
      <c r="AY1574" s="843" t="s">
        <v>5332</v>
      </c>
      <c r="AZ1574" s="842">
        <v>94059290</v>
      </c>
      <c r="BA1574" s="842" t="s">
        <v>120</v>
      </c>
      <c r="BB1574" s="863" t="s">
        <v>121</v>
      </c>
      <c r="BC1574" s="864">
        <v>45908</v>
      </c>
      <c r="BD1574" s="860" t="s">
        <v>5266</v>
      </c>
      <c r="BE1574" s="865" cm="1">
        <f t="array" ref="BE1574">IF(BD1574="","",AC1574/SUMPRODUCT(--(BD1574=$BD$4:$BD$12824),$AC$4:$AC$12824))</f>
        <v>5.3619302949061663E-3</v>
      </c>
      <c r="BF1574" s="458"/>
      <c r="BG1574" s="458"/>
      <c r="BH1574" s="458"/>
      <c r="BI1574" s="458"/>
      <c r="BJ1574" s="458"/>
      <c r="BK1574" s="458"/>
      <c r="BL1574" s="458"/>
      <c r="BM1574" s="458"/>
      <c r="BN1574" s="458"/>
      <c r="BO1574" s="866">
        <f>VLOOKUP(BD1574,$BD$4:$BN$12824,3,0)*BE1574</f>
        <v>141.74262734584451</v>
      </c>
      <c r="BP1574" s="866"/>
      <c r="BQ1574" s="866"/>
      <c r="BR1574" s="866">
        <f>VLOOKUP(BD1574,$BD$4:$BN$12824,6,0)*BE1574</f>
        <v>4819.2483368086578</v>
      </c>
      <c r="BS1574" s="866">
        <f>VLOOKUP(BD1574,$BD$4:$BN$12824,7,0)*BE1574</f>
        <v>6614.7355593468183</v>
      </c>
      <c r="BT1574" s="866"/>
      <c r="BU1574" s="866">
        <f>VLOOKUP(BD1574,$BD$4:$BN$12824,9,0)*BE1574</f>
        <v>245.1367292225201</v>
      </c>
      <c r="BV1574" s="867"/>
      <c r="BW1574" s="867">
        <f>VLOOKUP(BD1574,$BD$4:$BN$12824,11,0)*BE1574</f>
        <v>3217.1581769436998</v>
      </c>
      <c r="BX1574" s="1146">
        <f t="shared" si="295"/>
        <v>15038.02142966754</v>
      </c>
      <c r="BY1574" s="867">
        <f t="shared" si="298"/>
        <v>15263.526738098892</v>
      </c>
      <c r="BZ1574" s="867">
        <f t="shared" si="296"/>
        <v>4579058.0214296672</v>
      </c>
      <c r="CA1574" s="867">
        <f>_xlfn.MAXIFS($BY$4:$BY$12824,$S$4:$S$12824,$S1574)</f>
        <v>15263.526738098892</v>
      </c>
      <c r="CB1574" s="1032"/>
      <c r="CF1574" s="946">
        <f t="shared" si="297"/>
        <v>4564020</v>
      </c>
    </row>
    <row r="1575" spans="2:84">
      <c r="B1575" s="839" t="s">
        <v>98</v>
      </c>
      <c r="C1575" s="839" t="s">
        <v>3454</v>
      </c>
      <c r="D1575" s="839" t="s">
        <v>5256</v>
      </c>
      <c r="E1575" s="839" t="s">
        <v>5256</v>
      </c>
      <c r="F1575" s="841">
        <v>45871</v>
      </c>
      <c r="G1575" s="839" t="s">
        <v>3454</v>
      </c>
      <c r="H1575" s="842" t="s">
        <v>134</v>
      </c>
      <c r="I1575" s="883"/>
      <c r="J1575" s="841"/>
      <c r="K1575" s="841"/>
      <c r="L1575" s="843" t="s">
        <v>5257</v>
      </c>
      <c r="M1575" s="844" t="s">
        <v>5258</v>
      </c>
      <c r="N1575" s="841"/>
      <c r="O1575" s="884" t="s">
        <v>3459</v>
      </c>
      <c r="P1575" s="842" t="s">
        <v>3460</v>
      </c>
      <c r="Q1575" s="843"/>
      <c r="R1575" s="845" t="s">
        <v>5333</v>
      </c>
      <c r="S1575" s="1127" t="s">
        <v>5333</v>
      </c>
      <c r="T1575" s="885" t="s">
        <v>5334</v>
      </c>
      <c r="U1575" s="886">
        <v>50</v>
      </c>
      <c r="V1575" s="842" t="s">
        <v>8</v>
      </c>
      <c r="W1575" s="846">
        <v>15.8</v>
      </c>
      <c r="X1575" s="847">
        <f t="shared" si="299"/>
        <v>790</v>
      </c>
      <c r="Y1575" s="853">
        <v>0</v>
      </c>
      <c r="Z1575" s="849">
        <v>15.8</v>
      </c>
      <c r="AA1575" s="849"/>
      <c r="AB1575" s="849">
        <f t="shared" si="291"/>
        <v>790</v>
      </c>
      <c r="AC1575" s="850">
        <f t="shared" si="292"/>
        <v>790</v>
      </c>
      <c r="AD1575" s="851">
        <f t="shared" si="290"/>
        <v>27000</v>
      </c>
      <c r="AE1575" s="852">
        <v>26230</v>
      </c>
      <c r="AF1575" s="853">
        <v>0</v>
      </c>
      <c r="AG1575" s="854">
        <f t="shared" si="293"/>
        <v>0</v>
      </c>
      <c r="AH1575" s="853">
        <v>0.08</v>
      </c>
      <c r="AI1575" s="855">
        <f t="shared" si="294"/>
        <v>1657736</v>
      </c>
      <c r="AJ1575" s="845" t="s">
        <v>5261</v>
      </c>
      <c r="AK1575" s="857">
        <v>45920</v>
      </c>
      <c r="AL1575" s="843" t="s">
        <v>5262</v>
      </c>
      <c r="AM1575" s="843" t="s">
        <v>5263</v>
      </c>
      <c r="AN1575" s="844" t="s">
        <v>3951</v>
      </c>
      <c r="AO1575" s="844" t="s">
        <v>141</v>
      </c>
      <c r="AP1575" s="841"/>
      <c r="AQ1575" s="841">
        <v>45931</v>
      </c>
      <c r="AR1575" s="841">
        <v>45933</v>
      </c>
      <c r="AS1575" s="842" t="s">
        <v>1581</v>
      </c>
      <c r="AT1575" s="842" t="s">
        <v>1235</v>
      </c>
      <c r="AU1575" s="842" t="s">
        <v>1311</v>
      </c>
      <c r="AV1575" s="845" t="s">
        <v>5264</v>
      </c>
      <c r="AW1575" s="861">
        <v>45932</v>
      </c>
      <c r="AX1575" s="862">
        <v>45933</v>
      </c>
      <c r="AY1575" s="843" t="s">
        <v>5335</v>
      </c>
      <c r="AZ1575" s="842">
        <v>94059950</v>
      </c>
      <c r="BA1575" s="842" t="s">
        <v>120</v>
      </c>
      <c r="BB1575" s="863" t="s">
        <v>121</v>
      </c>
      <c r="BC1575" s="864">
        <v>45908</v>
      </c>
      <c r="BD1575" s="860" t="s">
        <v>5266</v>
      </c>
      <c r="BE1575" s="865" cm="1">
        <f t="array" ref="BE1575">IF(BD1575="","",AC1575/SUMPRODUCT(--(BD1575=$BD$4:$BD$12824),$AC$4:$AC$12824))</f>
        <v>2.4344396166527997E-2</v>
      </c>
      <c r="BF1575" s="458"/>
      <c r="BG1575" s="458"/>
      <c r="BH1575" s="458"/>
      <c r="BI1575" s="458"/>
      <c r="BJ1575" s="458"/>
      <c r="BK1575" s="458"/>
      <c r="BL1575" s="458"/>
      <c r="BM1575" s="458"/>
      <c r="BN1575" s="458"/>
      <c r="BO1575" s="866">
        <f>VLOOKUP(BD1575,$BD$4:$BN$12824,3,0)*BE1575</f>
        <v>643.54411266216755</v>
      </c>
      <c r="BP1575" s="866"/>
      <c r="BQ1575" s="866"/>
      <c r="BR1575" s="866">
        <f>VLOOKUP(BD1575,$BD$4:$BN$12824,6,0)*BE1575</f>
        <v>21880.495322292183</v>
      </c>
      <c r="BS1575" s="866">
        <f>VLOOKUP(BD1575,$BD$4:$BN$12824,7,0)*BE1575</f>
        <v>30032.420068298776</v>
      </c>
      <c r="BT1575" s="866"/>
      <c r="BU1575" s="866">
        <f>VLOOKUP(BD1575,$BD$4:$BN$12824,9,0)*BE1575</f>
        <v>1112.977103941327</v>
      </c>
      <c r="BV1575" s="867"/>
      <c r="BW1575" s="867">
        <f>VLOOKUP(BD1575,$BD$4:$BN$12824,11,0)*BE1575</f>
        <v>14606.637699916799</v>
      </c>
      <c r="BX1575" s="1146">
        <f t="shared" si="295"/>
        <v>68276.074307111237</v>
      </c>
      <c r="BY1575" s="867">
        <f t="shared" si="298"/>
        <v>415799.52148614218</v>
      </c>
      <c r="BZ1575" s="867">
        <f t="shared" si="296"/>
        <v>20789976.07430711</v>
      </c>
      <c r="CA1575" s="867">
        <f>_xlfn.MAXIFS($BY$4:$BY$12824,$S$4:$S$12824,$S1575)</f>
        <v>415799.52148614218</v>
      </c>
      <c r="CB1575" s="1032"/>
      <c r="CF1575" s="946">
        <f t="shared" si="297"/>
        <v>20721700</v>
      </c>
    </row>
    <row r="1576" spans="2:84">
      <c r="B1576" s="839" t="s">
        <v>98</v>
      </c>
      <c r="C1576" s="839" t="s">
        <v>3454</v>
      </c>
      <c r="D1576" s="839" t="s">
        <v>5256</v>
      </c>
      <c r="E1576" s="839" t="s">
        <v>5256</v>
      </c>
      <c r="F1576" s="841">
        <v>45871</v>
      </c>
      <c r="G1576" s="839" t="s">
        <v>3454</v>
      </c>
      <c r="H1576" s="842" t="s">
        <v>134</v>
      </c>
      <c r="I1576" s="883"/>
      <c r="J1576" s="841"/>
      <c r="K1576" s="841"/>
      <c r="L1576" s="843" t="s">
        <v>5257</v>
      </c>
      <c r="M1576" s="844" t="s">
        <v>5258</v>
      </c>
      <c r="N1576" s="841"/>
      <c r="O1576" s="884" t="s">
        <v>3459</v>
      </c>
      <c r="P1576" s="842" t="s">
        <v>3460</v>
      </c>
      <c r="Q1576" s="843"/>
      <c r="R1576" s="845" t="s">
        <v>5336</v>
      </c>
      <c r="S1576" s="1127" t="s">
        <v>5336</v>
      </c>
      <c r="T1576" s="885" t="s">
        <v>5337</v>
      </c>
      <c r="U1576" s="886">
        <v>200</v>
      </c>
      <c r="V1576" s="842" t="s">
        <v>8</v>
      </c>
      <c r="W1576" s="846">
        <v>9.3000000000000007</v>
      </c>
      <c r="X1576" s="847">
        <f t="shared" si="299"/>
        <v>1860.0000000000002</v>
      </c>
      <c r="Y1576" s="853">
        <v>0</v>
      </c>
      <c r="Z1576" s="849">
        <v>9.3000000000000007</v>
      </c>
      <c r="AA1576" s="849"/>
      <c r="AB1576" s="849">
        <f t="shared" si="291"/>
        <v>1860.0000000000002</v>
      </c>
      <c r="AC1576" s="850">
        <f t="shared" si="292"/>
        <v>1860.0000000000002</v>
      </c>
      <c r="AD1576" s="851">
        <f t="shared" si="290"/>
        <v>27000</v>
      </c>
      <c r="AE1576" s="852">
        <v>26230</v>
      </c>
      <c r="AF1576" s="853">
        <v>0</v>
      </c>
      <c r="AG1576" s="854">
        <f t="shared" si="293"/>
        <v>0</v>
      </c>
      <c r="AH1576" s="853">
        <v>0.08</v>
      </c>
      <c r="AI1576" s="855">
        <f t="shared" si="294"/>
        <v>3903024.0000000005</v>
      </c>
      <c r="AJ1576" s="845" t="s">
        <v>5261</v>
      </c>
      <c r="AK1576" s="857">
        <v>45920</v>
      </c>
      <c r="AL1576" s="843" t="s">
        <v>5262</v>
      </c>
      <c r="AM1576" s="843" t="s">
        <v>5263</v>
      </c>
      <c r="AN1576" s="844" t="s">
        <v>3951</v>
      </c>
      <c r="AO1576" s="844" t="s">
        <v>141</v>
      </c>
      <c r="AP1576" s="841"/>
      <c r="AQ1576" s="841">
        <v>45931</v>
      </c>
      <c r="AR1576" s="841">
        <v>45933</v>
      </c>
      <c r="AS1576" s="842" t="s">
        <v>1581</v>
      </c>
      <c r="AT1576" s="842" t="s">
        <v>1235</v>
      </c>
      <c r="AU1576" s="842" t="s">
        <v>1311</v>
      </c>
      <c r="AV1576" s="845" t="s">
        <v>5264</v>
      </c>
      <c r="AW1576" s="861">
        <v>45932</v>
      </c>
      <c r="AX1576" s="862">
        <v>45933</v>
      </c>
      <c r="AY1576" s="843" t="s">
        <v>5338</v>
      </c>
      <c r="AZ1576" s="842">
        <v>94059950</v>
      </c>
      <c r="BA1576" s="842" t="s">
        <v>120</v>
      </c>
      <c r="BB1576" s="863" t="s">
        <v>121</v>
      </c>
      <c r="BC1576" s="864">
        <v>45908</v>
      </c>
      <c r="BD1576" s="860" t="s">
        <v>5266</v>
      </c>
      <c r="BE1576" s="865" cm="1">
        <f t="array" ref="BE1576">IF(BD1576="","",AC1576/SUMPRODUCT(--(BD1576=$BD$4:$BD$12824),$AC$4:$AC$12824))</f>
        <v>5.7317185911065924E-2</v>
      </c>
      <c r="BF1576" s="458"/>
      <c r="BG1576" s="458"/>
      <c r="BH1576" s="458"/>
      <c r="BI1576" s="458"/>
      <c r="BJ1576" s="458"/>
      <c r="BK1576" s="458"/>
      <c r="BL1576" s="458"/>
      <c r="BM1576" s="458"/>
      <c r="BN1576" s="458"/>
      <c r="BO1576" s="866">
        <f>VLOOKUP(BD1576,$BD$4:$BN$12824,3,0)*BE1576</f>
        <v>1515.1798095590277</v>
      </c>
      <c r="BP1576" s="866"/>
      <c r="BQ1576" s="866"/>
      <c r="BR1576" s="866">
        <f>VLOOKUP(BD1576,$BD$4:$BN$12824,6,0)*BE1576</f>
        <v>51516.102910713249</v>
      </c>
      <c r="BS1576" s="866">
        <f>VLOOKUP(BD1576,$BD$4:$BN$12824,7,0)*BE1576</f>
        <v>70709.242186121177</v>
      </c>
      <c r="BT1576" s="866"/>
      <c r="BU1576" s="866">
        <f>VLOOKUP(BD1576,$BD$4:$BN$12824,9,0)*BE1576</f>
        <v>2620.427105482112</v>
      </c>
      <c r="BV1576" s="867"/>
      <c r="BW1576" s="867">
        <f>VLOOKUP(BD1576,$BD$4:$BN$12824,11,0)*BE1576</f>
        <v>34390.311546639554</v>
      </c>
      <c r="BX1576" s="1146">
        <f t="shared" si="295"/>
        <v>160751.26355851511</v>
      </c>
      <c r="BY1576" s="867">
        <f t="shared" si="298"/>
        <v>244742.75631779261</v>
      </c>
      <c r="BZ1576" s="867">
        <f t="shared" si="296"/>
        <v>48948551.263558522</v>
      </c>
      <c r="CA1576" s="867">
        <f>_xlfn.MAXIFS($BY$4:$BY$12824,$S$4:$S$12824,$S1576)</f>
        <v>244742.75631779261</v>
      </c>
      <c r="CB1576" s="1032"/>
      <c r="CF1576" s="946">
        <f t="shared" si="297"/>
        <v>48787800.000000007</v>
      </c>
    </row>
    <row r="1577" spans="2:84">
      <c r="B1577" s="839" t="s">
        <v>98</v>
      </c>
      <c r="C1577" s="839" t="s">
        <v>3454</v>
      </c>
      <c r="D1577" s="839" t="s">
        <v>5256</v>
      </c>
      <c r="E1577" s="839" t="s">
        <v>5256</v>
      </c>
      <c r="F1577" s="841">
        <v>45871</v>
      </c>
      <c r="G1577" s="839" t="s">
        <v>3454</v>
      </c>
      <c r="H1577" s="842" t="s">
        <v>134</v>
      </c>
      <c r="I1577" s="883"/>
      <c r="J1577" s="841"/>
      <c r="K1577" s="841"/>
      <c r="L1577" s="843" t="s">
        <v>5257</v>
      </c>
      <c r="M1577" s="844" t="s">
        <v>5258</v>
      </c>
      <c r="N1577" s="841"/>
      <c r="O1577" s="884" t="s">
        <v>3459</v>
      </c>
      <c r="P1577" s="842" t="s">
        <v>3460</v>
      </c>
      <c r="Q1577" s="843"/>
      <c r="R1577" s="845" t="s">
        <v>5339</v>
      </c>
      <c r="S1577" s="1127" t="s">
        <v>5339</v>
      </c>
      <c r="T1577" s="885" t="s">
        <v>5340</v>
      </c>
      <c r="U1577" s="886">
        <v>200</v>
      </c>
      <c r="V1577" s="842" t="s">
        <v>8</v>
      </c>
      <c r="W1577" s="846">
        <v>10.5</v>
      </c>
      <c r="X1577" s="847">
        <f t="shared" si="299"/>
        <v>2100</v>
      </c>
      <c r="Y1577" s="853">
        <v>0</v>
      </c>
      <c r="Z1577" s="849">
        <v>10.5</v>
      </c>
      <c r="AA1577" s="849"/>
      <c r="AB1577" s="849">
        <f t="shared" si="291"/>
        <v>2100</v>
      </c>
      <c r="AC1577" s="850">
        <f t="shared" si="292"/>
        <v>2100</v>
      </c>
      <c r="AD1577" s="851">
        <f t="shared" si="290"/>
        <v>27000</v>
      </c>
      <c r="AE1577" s="852">
        <v>26230</v>
      </c>
      <c r="AF1577" s="853">
        <v>0</v>
      </c>
      <c r="AG1577" s="854">
        <f t="shared" si="293"/>
        <v>0</v>
      </c>
      <c r="AH1577" s="853">
        <v>0.08</v>
      </c>
      <c r="AI1577" s="855">
        <f t="shared" si="294"/>
        <v>4406640</v>
      </c>
      <c r="AJ1577" s="845" t="s">
        <v>5261</v>
      </c>
      <c r="AK1577" s="857">
        <v>45920</v>
      </c>
      <c r="AL1577" s="843" t="s">
        <v>5262</v>
      </c>
      <c r="AM1577" s="843" t="s">
        <v>5263</v>
      </c>
      <c r="AN1577" s="844" t="s">
        <v>3951</v>
      </c>
      <c r="AO1577" s="844" t="s">
        <v>141</v>
      </c>
      <c r="AP1577" s="841"/>
      <c r="AQ1577" s="841">
        <v>45931</v>
      </c>
      <c r="AR1577" s="841">
        <v>45933</v>
      </c>
      <c r="AS1577" s="842" t="s">
        <v>1581</v>
      </c>
      <c r="AT1577" s="842" t="s">
        <v>1235</v>
      </c>
      <c r="AU1577" s="842" t="s">
        <v>1311</v>
      </c>
      <c r="AV1577" s="845" t="s">
        <v>5264</v>
      </c>
      <c r="AW1577" s="861">
        <v>45932</v>
      </c>
      <c r="AX1577" s="862">
        <v>45933</v>
      </c>
      <c r="AY1577" s="843" t="s">
        <v>5341</v>
      </c>
      <c r="AZ1577" s="842">
        <v>94059950</v>
      </c>
      <c r="BA1577" s="842" t="s">
        <v>120</v>
      </c>
      <c r="BB1577" s="863" t="s">
        <v>121</v>
      </c>
      <c r="BC1577" s="864">
        <v>45908</v>
      </c>
      <c r="BD1577" s="860" t="s">
        <v>5266</v>
      </c>
      <c r="BE1577" s="865" cm="1">
        <f t="array" ref="BE1577">IF(BD1577="","",AC1577/SUMPRODUCT(--(BD1577=$BD$4:$BD$12824),$AC$4:$AC$12824))</f>
        <v>6.4712951835074417E-2</v>
      </c>
      <c r="BF1577" s="458"/>
      <c r="BG1577" s="458"/>
      <c r="BH1577" s="458"/>
      <c r="BI1577" s="458"/>
      <c r="BJ1577" s="458"/>
      <c r="BK1577" s="458"/>
      <c r="BL1577" s="458"/>
      <c r="BM1577" s="458"/>
      <c r="BN1577" s="458"/>
      <c r="BO1577" s="866">
        <f>VLOOKUP(BD1577,$BD$4:$BN$12824,3,0)*BE1577</f>
        <v>1710.6868817601921</v>
      </c>
      <c r="BP1577" s="866"/>
      <c r="BQ1577" s="866"/>
      <c r="BR1577" s="866">
        <f>VLOOKUP(BD1577,$BD$4:$BN$12824,6,0)*BE1577</f>
        <v>58163.341995966563</v>
      </c>
      <c r="BS1577" s="866">
        <f>VLOOKUP(BD1577,$BD$4:$BN$12824,7,0)*BE1577</f>
        <v>79833.015371427115</v>
      </c>
      <c r="BT1577" s="866"/>
      <c r="BU1577" s="866">
        <f>VLOOKUP(BD1577,$BD$4:$BN$12824,9,0)*BE1577</f>
        <v>2958.5467319959321</v>
      </c>
      <c r="BV1577" s="867"/>
      <c r="BW1577" s="867">
        <f>VLOOKUP(BD1577,$BD$4:$BN$12824,11,0)*BE1577</f>
        <v>38827.771101044651</v>
      </c>
      <c r="BX1577" s="1146">
        <f t="shared" si="295"/>
        <v>181493.36208219448</v>
      </c>
      <c r="BY1577" s="867">
        <f t="shared" si="298"/>
        <v>276322.46681041096</v>
      </c>
      <c r="BZ1577" s="867">
        <f t="shared" si="296"/>
        <v>55264493.362082191</v>
      </c>
      <c r="CA1577" s="867">
        <f>_xlfn.MAXIFS($BY$4:$BY$12824,$S$4:$S$12824,$S1577)</f>
        <v>276322.46681041096</v>
      </c>
      <c r="CB1577" s="1032"/>
      <c r="CF1577" s="946">
        <f t="shared" si="297"/>
        <v>55083000</v>
      </c>
    </row>
    <row r="1578" spans="2:84">
      <c r="B1578" s="839" t="s">
        <v>98</v>
      </c>
      <c r="C1578" s="839" t="s">
        <v>3454</v>
      </c>
      <c r="D1578" s="839" t="s">
        <v>5256</v>
      </c>
      <c r="E1578" s="839" t="s">
        <v>5256</v>
      </c>
      <c r="F1578" s="841">
        <v>45871</v>
      </c>
      <c r="G1578" s="839" t="s">
        <v>3454</v>
      </c>
      <c r="H1578" s="842" t="s">
        <v>134</v>
      </c>
      <c r="I1578" s="883"/>
      <c r="J1578" s="841"/>
      <c r="K1578" s="841"/>
      <c r="L1578" s="843" t="s">
        <v>5257</v>
      </c>
      <c r="M1578" s="844" t="s">
        <v>5258</v>
      </c>
      <c r="N1578" s="841"/>
      <c r="O1578" s="884" t="s">
        <v>3459</v>
      </c>
      <c r="P1578" s="842" t="s">
        <v>5342</v>
      </c>
      <c r="Q1578" s="843"/>
      <c r="R1578" s="845" t="s">
        <v>5343</v>
      </c>
      <c r="S1578" s="1127" t="s">
        <v>5343</v>
      </c>
      <c r="T1578" s="885" t="s">
        <v>5344</v>
      </c>
      <c r="U1578" s="886">
        <v>200</v>
      </c>
      <c r="V1578" s="842" t="s">
        <v>8</v>
      </c>
      <c r="W1578" s="846">
        <v>12.1</v>
      </c>
      <c r="X1578" s="847">
        <f t="shared" si="299"/>
        <v>2420</v>
      </c>
      <c r="Y1578" s="853">
        <v>0</v>
      </c>
      <c r="Z1578" s="849">
        <v>12.1</v>
      </c>
      <c r="AA1578" s="849"/>
      <c r="AB1578" s="849">
        <f t="shared" si="291"/>
        <v>2420</v>
      </c>
      <c r="AC1578" s="850">
        <f t="shared" si="292"/>
        <v>2420</v>
      </c>
      <c r="AD1578" s="851">
        <f t="shared" si="290"/>
        <v>27000</v>
      </c>
      <c r="AE1578" s="852">
        <v>26230</v>
      </c>
      <c r="AF1578" s="853">
        <v>0</v>
      </c>
      <c r="AG1578" s="854">
        <f t="shared" si="293"/>
        <v>0</v>
      </c>
      <c r="AH1578" s="853">
        <v>0.08</v>
      </c>
      <c r="AI1578" s="855">
        <f t="shared" si="294"/>
        <v>5078128</v>
      </c>
      <c r="AJ1578" s="845" t="s">
        <v>5261</v>
      </c>
      <c r="AK1578" s="857">
        <v>45920</v>
      </c>
      <c r="AL1578" s="843" t="s">
        <v>5262</v>
      </c>
      <c r="AM1578" s="843" t="s">
        <v>5263</v>
      </c>
      <c r="AN1578" s="844" t="s">
        <v>3951</v>
      </c>
      <c r="AO1578" s="844" t="s">
        <v>141</v>
      </c>
      <c r="AP1578" s="841"/>
      <c r="AQ1578" s="841">
        <v>45931</v>
      </c>
      <c r="AR1578" s="841">
        <v>45933</v>
      </c>
      <c r="AS1578" s="842" t="s">
        <v>1581</v>
      </c>
      <c r="AT1578" s="842" t="s">
        <v>1235</v>
      </c>
      <c r="AU1578" s="842" t="s">
        <v>1311</v>
      </c>
      <c r="AV1578" s="845" t="s">
        <v>5264</v>
      </c>
      <c r="AW1578" s="861">
        <v>45932</v>
      </c>
      <c r="AX1578" s="862">
        <v>45933</v>
      </c>
      <c r="AY1578" s="843" t="s">
        <v>5345</v>
      </c>
      <c r="AZ1578" s="842">
        <v>94059950</v>
      </c>
      <c r="BA1578" s="842" t="s">
        <v>120</v>
      </c>
      <c r="BB1578" s="863" t="s">
        <v>121</v>
      </c>
      <c r="BC1578" s="864">
        <v>45908</v>
      </c>
      <c r="BD1578" s="860" t="s">
        <v>5266</v>
      </c>
      <c r="BE1578" s="865" cm="1">
        <f t="array" ref="BE1578">IF(BD1578="","",AC1578/SUMPRODUCT(--(BD1578=$BD$4:$BD$12824),$AC$4:$AC$12824))</f>
        <v>7.4573973067085755E-2</v>
      </c>
      <c r="BF1578" s="458"/>
      <c r="BG1578" s="458"/>
      <c r="BH1578" s="458"/>
      <c r="BI1578" s="458"/>
      <c r="BJ1578" s="458"/>
      <c r="BK1578" s="458"/>
      <c r="BL1578" s="458"/>
      <c r="BM1578" s="458"/>
      <c r="BN1578" s="458"/>
      <c r="BO1578" s="866">
        <f>VLOOKUP(BD1578,$BD$4:$BN$12824,3,0)*BE1578</f>
        <v>1971.362978028412</v>
      </c>
      <c r="BP1578" s="866"/>
      <c r="BQ1578" s="866"/>
      <c r="BR1578" s="866">
        <f>VLOOKUP(BD1578,$BD$4:$BN$12824,6,0)*BE1578</f>
        <v>67026.327442970985</v>
      </c>
      <c r="BS1578" s="866">
        <f>VLOOKUP(BD1578,$BD$4:$BN$12824,7,0)*BE1578</f>
        <v>91998.046285168384</v>
      </c>
      <c r="BT1578" s="866"/>
      <c r="BU1578" s="866">
        <f>VLOOKUP(BD1578,$BD$4:$BN$12824,9,0)*BE1578</f>
        <v>3409.3729006810267</v>
      </c>
      <c r="BV1578" s="867"/>
      <c r="BW1578" s="867">
        <f>VLOOKUP(BD1578,$BD$4:$BN$12824,11,0)*BE1578</f>
        <v>44744.383840251452</v>
      </c>
      <c r="BX1578" s="1146">
        <f t="shared" si="295"/>
        <v>209149.49344710025</v>
      </c>
      <c r="BY1578" s="867">
        <f t="shared" si="298"/>
        <v>318428.74746723549</v>
      </c>
      <c r="BZ1578" s="867">
        <f t="shared" si="296"/>
        <v>63685749.493447095</v>
      </c>
      <c r="CA1578" s="867">
        <f>_xlfn.MAXIFS($BY$4:$BY$12824,$S$4:$S$12824,$S1578)</f>
        <v>318428.74746723549</v>
      </c>
      <c r="CB1578" s="1032"/>
      <c r="CF1578" s="946">
        <f t="shared" si="297"/>
        <v>63476600</v>
      </c>
    </row>
    <row r="1579" spans="2:84">
      <c r="B1579" s="839" t="s">
        <v>98</v>
      </c>
      <c r="C1579" s="839" t="s">
        <v>3454</v>
      </c>
      <c r="D1579" s="839" t="s">
        <v>5256</v>
      </c>
      <c r="E1579" s="839" t="s">
        <v>5256</v>
      </c>
      <c r="F1579" s="841">
        <v>45871</v>
      </c>
      <c r="G1579" s="839" t="s">
        <v>3454</v>
      </c>
      <c r="H1579" s="842" t="s">
        <v>134</v>
      </c>
      <c r="I1579" s="883"/>
      <c r="J1579" s="841"/>
      <c r="K1579" s="841"/>
      <c r="L1579" s="843" t="s">
        <v>5257</v>
      </c>
      <c r="M1579" s="844" t="s">
        <v>5258</v>
      </c>
      <c r="N1579" s="841"/>
      <c r="O1579" s="884" t="s">
        <v>3459</v>
      </c>
      <c r="P1579" s="842" t="s">
        <v>5342</v>
      </c>
      <c r="Q1579" s="843"/>
      <c r="R1579" s="845" t="s">
        <v>5346</v>
      </c>
      <c r="S1579" s="1127" t="s">
        <v>5346</v>
      </c>
      <c r="T1579" s="885" t="s">
        <v>5347</v>
      </c>
      <c r="U1579" s="886">
        <v>200</v>
      </c>
      <c r="V1579" s="842" t="s">
        <v>8</v>
      </c>
      <c r="W1579" s="846">
        <v>12.1</v>
      </c>
      <c r="X1579" s="847">
        <f t="shared" ref="X1579:X1610" si="300">W1579*U1579</f>
        <v>2420</v>
      </c>
      <c r="Y1579" s="853">
        <v>0</v>
      </c>
      <c r="Z1579" s="849">
        <v>12.1</v>
      </c>
      <c r="AA1579" s="849"/>
      <c r="AB1579" s="849">
        <f t="shared" si="291"/>
        <v>2420</v>
      </c>
      <c r="AC1579" s="850">
        <f t="shared" si="292"/>
        <v>2420</v>
      </c>
      <c r="AD1579" s="851">
        <f t="shared" si="290"/>
        <v>27000</v>
      </c>
      <c r="AE1579" s="852">
        <v>26230</v>
      </c>
      <c r="AF1579" s="853">
        <v>0</v>
      </c>
      <c r="AG1579" s="854">
        <f t="shared" si="293"/>
        <v>0</v>
      </c>
      <c r="AH1579" s="853">
        <v>0.08</v>
      </c>
      <c r="AI1579" s="855">
        <f t="shared" si="294"/>
        <v>5078128</v>
      </c>
      <c r="AJ1579" s="845" t="s">
        <v>5261</v>
      </c>
      <c r="AK1579" s="857">
        <v>45920</v>
      </c>
      <c r="AL1579" s="843" t="s">
        <v>5262</v>
      </c>
      <c r="AM1579" s="843" t="s">
        <v>5263</v>
      </c>
      <c r="AN1579" s="844" t="s">
        <v>3951</v>
      </c>
      <c r="AO1579" s="844" t="s">
        <v>141</v>
      </c>
      <c r="AP1579" s="841"/>
      <c r="AQ1579" s="841">
        <v>45931</v>
      </c>
      <c r="AR1579" s="841">
        <v>45933</v>
      </c>
      <c r="AS1579" s="842" t="s">
        <v>1581</v>
      </c>
      <c r="AT1579" s="842" t="s">
        <v>1235</v>
      </c>
      <c r="AU1579" s="842" t="s">
        <v>1311</v>
      </c>
      <c r="AV1579" s="845" t="s">
        <v>5264</v>
      </c>
      <c r="AW1579" s="861">
        <v>45932</v>
      </c>
      <c r="AX1579" s="862">
        <v>45933</v>
      </c>
      <c r="AY1579" s="843" t="s">
        <v>5345</v>
      </c>
      <c r="AZ1579" s="842">
        <v>94059950</v>
      </c>
      <c r="BA1579" s="842" t="s">
        <v>120</v>
      </c>
      <c r="BB1579" s="863" t="s">
        <v>121</v>
      </c>
      <c r="BC1579" s="864">
        <v>45908</v>
      </c>
      <c r="BD1579" s="860" t="s">
        <v>5266</v>
      </c>
      <c r="BE1579" s="865" cm="1">
        <f t="array" ref="BE1579">IF(BD1579="","",AC1579/SUMPRODUCT(--(BD1579=$BD$4:$BD$12824),$AC$4:$AC$12824))</f>
        <v>7.4573973067085755E-2</v>
      </c>
      <c r="BF1579" s="458"/>
      <c r="BG1579" s="458"/>
      <c r="BH1579" s="458"/>
      <c r="BI1579" s="458"/>
      <c r="BJ1579" s="458"/>
      <c r="BK1579" s="458"/>
      <c r="BL1579" s="458"/>
      <c r="BM1579" s="458"/>
      <c r="BN1579" s="458"/>
      <c r="BO1579" s="866">
        <f>VLOOKUP(BD1579,$BD$4:$BN$12824,3,0)*BE1579</f>
        <v>1971.362978028412</v>
      </c>
      <c r="BP1579" s="866"/>
      <c r="BQ1579" s="866"/>
      <c r="BR1579" s="866">
        <f>VLOOKUP(BD1579,$BD$4:$BN$12824,6,0)*BE1579</f>
        <v>67026.327442970985</v>
      </c>
      <c r="BS1579" s="866">
        <f>VLOOKUP(BD1579,$BD$4:$BN$12824,7,0)*BE1579</f>
        <v>91998.046285168384</v>
      </c>
      <c r="BT1579" s="866"/>
      <c r="BU1579" s="866">
        <f>VLOOKUP(BD1579,$BD$4:$BN$12824,9,0)*BE1579</f>
        <v>3409.3729006810267</v>
      </c>
      <c r="BV1579" s="867"/>
      <c r="BW1579" s="867">
        <f>VLOOKUP(BD1579,$BD$4:$BN$12824,11,0)*BE1579</f>
        <v>44744.383840251452</v>
      </c>
      <c r="BX1579" s="1146">
        <f t="shared" si="295"/>
        <v>209149.49344710025</v>
      </c>
      <c r="BY1579" s="867">
        <f t="shared" si="298"/>
        <v>318428.74746723549</v>
      </c>
      <c r="BZ1579" s="867">
        <f t="shared" si="296"/>
        <v>63685749.493447095</v>
      </c>
      <c r="CA1579" s="867">
        <f>_xlfn.MAXIFS($BY$4:$BY$12824,$S$4:$S$12824,$S1579)</f>
        <v>318428.74746723549</v>
      </c>
      <c r="CB1579" s="1032"/>
      <c r="CF1579" s="946">
        <f t="shared" si="297"/>
        <v>63476600</v>
      </c>
    </row>
    <row r="1580" spans="2:84">
      <c r="B1580" s="839" t="s">
        <v>98</v>
      </c>
      <c r="C1580" s="839" t="s">
        <v>3454</v>
      </c>
      <c r="D1580" s="839" t="s">
        <v>5256</v>
      </c>
      <c r="E1580" s="839" t="s">
        <v>5256</v>
      </c>
      <c r="F1580" s="841">
        <v>45871</v>
      </c>
      <c r="G1580" s="839" t="s">
        <v>3454</v>
      </c>
      <c r="H1580" s="842" t="s">
        <v>134</v>
      </c>
      <c r="I1580" s="883"/>
      <c r="J1580" s="841"/>
      <c r="K1580" s="841"/>
      <c r="L1580" s="843" t="s">
        <v>5257</v>
      </c>
      <c r="M1580" s="844" t="s">
        <v>5258</v>
      </c>
      <c r="N1580" s="841"/>
      <c r="O1580" s="884" t="s">
        <v>3459</v>
      </c>
      <c r="P1580" s="842" t="s">
        <v>124</v>
      </c>
      <c r="Q1580" s="843"/>
      <c r="R1580" s="845" t="s">
        <v>5348</v>
      </c>
      <c r="S1580" s="1127" t="s">
        <v>5348</v>
      </c>
      <c r="T1580" s="885" t="s">
        <v>5349</v>
      </c>
      <c r="U1580" s="886">
        <v>200</v>
      </c>
      <c r="V1580" s="842" t="s">
        <v>8</v>
      </c>
      <c r="W1580" s="846">
        <v>13.8</v>
      </c>
      <c r="X1580" s="847">
        <f t="shared" si="300"/>
        <v>2760</v>
      </c>
      <c r="Y1580" s="853">
        <v>0</v>
      </c>
      <c r="Z1580" s="849">
        <v>13.8</v>
      </c>
      <c r="AA1580" s="849"/>
      <c r="AB1580" s="849">
        <f t="shared" si="291"/>
        <v>2760</v>
      </c>
      <c r="AC1580" s="850">
        <f t="shared" si="292"/>
        <v>2760</v>
      </c>
      <c r="AD1580" s="851">
        <f t="shared" si="290"/>
        <v>27000</v>
      </c>
      <c r="AE1580" s="852">
        <v>26230</v>
      </c>
      <c r="AF1580" s="853">
        <v>0</v>
      </c>
      <c r="AG1580" s="854">
        <f t="shared" si="293"/>
        <v>0</v>
      </c>
      <c r="AH1580" s="853">
        <v>0.08</v>
      </c>
      <c r="AI1580" s="855">
        <f t="shared" si="294"/>
        <v>5791584</v>
      </c>
      <c r="AJ1580" s="845" t="s">
        <v>5261</v>
      </c>
      <c r="AK1580" s="857">
        <v>45920</v>
      </c>
      <c r="AL1580" s="843" t="s">
        <v>5262</v>
      </c>
      <c r="AM1580" s="843" t="s">
        <v>5263</v>
      </c>
      <c r="AN1580" s="844" t="s">
        <v>3951</v>
      </c>
      <c r="AO1580" s="844" t="s">
        <v>141</v>
      </c>
      <c r="AP1580" s="841"/>
      <c r="AQ1580" s="841">
        <v>45931</v>
      </c>
      <c r="AR1580" s="841">
        <v>45933</v>
      </c>
      <c r="AS1580" s="842" t="s">
        <v>1581</v>
      </c>
      <c r="AT1580" s="842" t="s">
        <v>1235</v>
      </c>
      <c r="AU1580" s="842" t="s">
        <v>1311</v>
      </c>
      <c r="AV1580" s="845" t="s">
        <v>5264</v>
      </c>
      <c r="AW1580" s="861">
        <v>45932</v>
      </c>
      <c r="AX1580" s="862">
        <v>45933</v>
      </c>
      <c r="AY1580" s="843" t="s">
        <v>5350</v>
      </c>
      <c r="AZ1580" s="842">
        <v>94059950</v>
      </c>
      <c r="BA1580" s="842" t="s">
        <v>120</v>
      </c>
      <c r="BB1580" s="863" t="s">
        <v>121</v>
      </c>
      <c r="BC1580" s="864">
        <v>45908</v>
      </c>
      <c r="BD1580" s="860" t="s">
        <v>5266</v>
      </c>
      <c r="BE1580" s="865" cm="1">
        <f t="array" ref="BE1580">IF(BD1580="","",AC1580/SUMPRODUCT(--(BD1580=$BD$4:$BD$12824),$AC$4:$AC$12824))</f>
        <v>8.5051308126097805E-2</v>
      </c>
      <c r="BF1580" s="458"/>
      <c r="BG1580" s="458"/>
      <c r="BH1580" s="458"/>
      <c r="BI1580" s="458"/>
      <c r="BJ1580" s="458"/>
      <c r="BK1580" s="458"/>
      <c r="BL1580" s="458"/>
      <c r="BM1580" s="458"/>
      <c r="BN1580" s="458"/>
      <c r="BO1580" s="866">
        <f>VLOOKUP(BD1580,$BD$4:$BN$12824,3,0)*BE1580</f>
        <v>2248.3313303133955</v>
      </c>
      <c r="BP1580" s="866"/>
      <c r="BQ1580" s="866"/>
      <c r="BR1580" s="866">
        <f>VLOOKUP(BD1580,$BD$4:$BN$12824,6,0)*BE1580</f>
        <v>76443.249480413186</v>
      </c>
      <c r="BS1580" s="866">
        <f>VLOOKUP(BD1580,$BD$4:$BN$12824,7,0)*BE1580</f>
        <v>104923.3916310185</v>
      </c>
      <c r="BT1580" s="866"/>
      <c r="BU1580" s="866">
        <f>VLOOKUP(BD1580,$BD$4:$BN$12824,9,0)*BE1580</f>
        <v>3888.3757049089395</v>
      </c>
      <c r="BV1580" s="867"/>
      <c r="BW1580" s="867">
        <f>VLOOKUP(BD1580,$BD$4:$BN$12824,11,0)*BE1580</f>
        <v>51030.784875658683</v>
      </c>
      <c r="BX1580" s="1146">
        <f t="shared" si="295"/>
        <v>238534.13302231272</v>
      </c>
      <c r="BY1580" s="867">
        <f t="shared" si="298"/>
        <v>363166.67066511157</v>
      </c>
      <c r="BZ1580" s="867">
        <f t="shared" si="296"/>
        <v>72633334.133022308</v>
      </c>
      <c r="CA1580" s="867">
        <f>_xlfn.MAXIFS($BY$4:$BY$12824,$S$4:$S$12824,$S1580)</f>
        <v>363166.67066511157</v>
      </c>
      <c r="CB1580" s="1032"/>
      <c r="CF1580" s="946">
        <f t="shared" si="297"/>
        <v>72394800</v>
      </c>
    </row>
    <row r="1581" spans="2:84">
      <c r="B1581" s="839" t="s">
        <v>98</v>
      </c>
      <c r="C1581" s="839" t="s">
        <v>3454</v>
      </c>
      <c r="D1581" s="839" t="s">
        <v>5256</v>
      </c>
      <c r="E1581" s="839" t="s">
        <v>5256</v>
      </c>
      <c r="F1581" s="841">
        <v>45871</v>
      </c>
      <c r="G1581" s="839" t="s">
        <v>3454</v>
      </c>
      <c r="H1581" s="842" t="s">
        <v>134</v>
      </c>
      <c r="I1581" s="883"/>
      <c r="J1581" s="841"/>
      <c r="K1581" s="841"/>
      <c r="L1581" s="843" t="s">
        <v>5257</v>
      </c>
      <c r="M1581" s="844" t="s">
        <v>5258</v>
      </c>
      <c r="N1581" s="841"/>
      <c r="O1581" s="884" t="s">
        <v>3459</v>
      </c>
      <c r="P1581" s="842" t="s">
        <v>124</v>
      </c>
      <c r="Q1581" s="843"/>
      <c r="R1581" s="845" t="s">
        <v>5351</v>
      </c>
      <c r="S1581" s="1127" t="s">
        <v>5351</v>
      </c>
      <c r="T1581" s="885" t="s">
        <v>5352</v>
      </c>
      <c r="U1581" s="886">
        <v>100</v>
      </c>
      <c r="V1581" s="842" t="s">
        <v>8</v>
      </c>
      <c r="W1581" s="846">
        <v>6.9</v>
      </c>
      <c r="X1581" s="847">
        <f t="shared" si="300"/>
        <v>690</v>
      </c>
      <c r="Y1581" s="853">
        <v>0</v>
      </c>
      <c r="Z1581" s="849">
        <v>6.9</v>
      </c>
      <c r="AA1581" s="849"/>
      <c r="AB1581" s="849">
        <f t="shared" si="291"/>
        <v>690</v>
      </c>
      <c r="AC1581" s="850">
        <f t="shared" si="292"/>
        <v>690</v>
      </c>
      <c r="AD1581" s="851">
        <f t="shared" si="290"/>
        <v>27000</v>
      </c>
      <c r="AE1581" s="852">
        <v>26230</v>
      </c>
      <c r="AF1581" s="853">
        <v>0</v>
      </c>
      <c r="AG1581" s="854">
        <f t="shared" si="293"/>
        <v>0</v>
      </c>
      <c r="AH1581" s="853">
        <v>0.08</v>
      </c>
      <c r="AI1581" s="855">
        <f t="shared" si="294"/>
        <v>1447896</v>
      </c>
      <c r="AJ1581" s="845" t="s">
        <v>5261</v>
      </c>
      <c r="AK1581" s="857">
        <v>45920</v>
      </c>
      <c r="AL1581" s="843" t="s">
        <v>5262</v>
      </c>
      <c r="AM1581" s="843" t="s">
        <v>5263</v>
      </c>
      <c r="AN1581" s="844" t="s">
        <v>3951</v>
      </c>
      <c r="AO1581" s="844" t="s">
        <v>141</v>
      </c>
      <c r="AP1581" s="841"/>
      <c r="AQ1581" s="841">
        <v>45931</v>
      </c>
      <c r="AR1581" s="841">
        <v>45933</v>
      </c>
      <c r="AS1581" s="842" t="s">
        <v>1581</v>
      </c>
      <c r="AT1581" s="842" t="s">
        <v>1235</v>
      </c>
      <c r="AU1581" s="842" t="s">
        <v>1311</v>
      </c>
      <c r="AV1581" s="845" t="s">
        <v>5264</v>
      </c>
      <c r="AW1581" s="861">
        <v>45932</v>
      </c>
      <c r="AX1581" s="862">
        <v>45933</v>
      </c>
      <c r="AY1581" s="843" t="s">
        <v>5353</v>
      </c>
      <c r="AZ1581" s="842">
        <v>94059950</v>
      </c>
      <c r="BA1581" s="842" t="s">
        <v>120</v>
      </c>
      <c r="BB1581" s="863" t="s">
        <v>121</v>
      </c>
      <c r="BC1581" s="864">
        <v>45908</v>
      </c>
      <c r="BD1581" s="860" t="s">
        <v>5266</v>
      </c>
      <c r="BE1581" s="865" cm="1">
        <f t="array" ref="BE1581">IF(BD1581="","",AC1581/SUMPRODUCT(--(BD1581=$BD$4:$BD$12824),$AC$4:$AC$12824))</f>
        <v>2.1262827031524451E-2</v>
      </c>
      <c r="BF1581" s="458"/>
      <c r="BG1581" s="458"/>
      <c r="BH1581" s="458"/>
      <c r="BI1581" s="458"/>
      <c r="BJ1581" s="458"/>
      <c r="BK1581" s="458"/>
      <c r="BL1581" s="458"/>
      <c r="BM1581" s="458"/>
      <c r="BN1581" s="458"/>
      <c r="BO1581" s="866">
        <f>VLOOKUP(BD1581,$BD$4:$BN$12824,3,0)*BE1581</f>
        <v>562.08283257834887</v>
      </c>
      <c r="BP1581" s="866"/>
      <c r="BQ1581" s="866"/>
      <c r="BR1581" s="866">
        <f>VLOOKUP(BD1581,$BD$4:$BN$12824,6,0)*BE1581</f>
        <v>19110.812370103296</v>
      </c>
      <c r="BS1581" s="866">
        <f>VLOOKUP(BD1581,$BD$4:$BN$12824,7,0)*BE1581</f>
        <v>26230.847907754625</v>
      </c>
      <c r="BT1581" s="866"/>
      <c r="BU1581" s="866">
        <f>VLOOKUP(BD1581,$BD$4:$BN$12824,9,0)*BE1581</f>
        <v>972.09392622723487</v>
      </c>
      <c r="BV1581" s="867"/>
      <c r="BW1581" s="867">
        <f>VLOOKUP(BD1581,$BD$4:$BN$12824,11,0)*BE1581</f>
        <v>12757.696218914671</v>
      </c>
      <c r="BX1581" s="1146">
        <f t="shared" si="295"/>
        <v>59633.533255578179</v>
      </c>
      <c r="BY1581" s="867">
        <f t="shared" si="298"/>
        <v>181583.33533255578</v>
      </c>
      <c r="BZ1581" s="867">
        <f t="shared" si="296"/>
        <v>18158333.533255577</v>
      </c>
      <c r="CA1581" s="867">
        <f>_xlfn.MAXIFS($BY$4:$BY$12824,$S$4:$S$12824,$S1581)</f>
        <v>181583.33533255578</v>
      </c>
      <c r="CB1581" s="1032"/>
      <c r="CF1581" s="946">
        <f t="shared" si="297"/>
        <v>18098700</v>
      </c>
    </row>
    <row r="1582" spans="2:84">
      <c r="B1582" s="839" t="s">
        <v>98</v>
      </c>
      <c r="C1582" s="839" t="s">
        <v>3454</v>
      </c>
      <c r="D1582" s="839" t="s">
        <v>5256</v>
      </c>
      <c r="E1582" s="839" t="s">
        <v>5256</v>
      </c>
      <c r="F1582" s="841">
        <v>45871</v>
      </c>
      <c r="G1582" s="839" t="s">
        <v>3454</v>
      </c>
      <c r="H1582" s="842" t="s">
        <v>134</v>
      </c>
      <c r="I1582" s="883"/>
      <c r="J1582" s="841"/>
      <c r="K1582" s="841"/>
      <c r="L1582" s="843" t="s">
        <v>5257</v>
      </c>
      <c r="M1582" s="844" t="s">
        <v>5258</v>
      </c>
      <c r="N1582" s="841"/>
      <c r="O1582" s="884" t="s">
        <v>3459</v>
      </c>
      <c r="P1582" s="842" t="s">
        <v>124</v>
      </c>
      <c r="Q1582" s="843"/>
      <c r="R1582" s="845" t="s">
        <v>5354</v>
      </c>
      <c r="S1582" s="1127" t="s">
        <v>5354</v>
      </c>
      <c r="T1582" s="885" t="s">
        <v>5355</v>
      </c>
      <c r="U1582" s="886">
        <v>50</v>
      </c>
      <c r="V1582" s="842" t="s">
        <v>8</v>
      </c>
      <c r="W1582" s="846">
        <v>2.8</v>
      </c>
      <c r="X1582" s="847">
        <f t="shared" si="300"/>
        <v>140</v>
      </c>
      <c r="Y1582" s="853">
        <v>0</v>
      </c>
      <c r="Z1582" s="849">
        <v>2.8</v>
      </c>
      <c r="AA1582" s="849"/>
      <c r="AB1582" s="849">
        <f t="shared" si="291"/>
        <v>140</v>
      </c>
      <c r="AC1582" s="850">
        <f t="shared" si="292"/>
        <v>140</v>
      </c>
      <c r="AD1582" s="851">
        <f t="shared" si="290"/>
        <v>27000</v>
      </c>
      <c r="AE1582" s="852">
        <v>26230</v>
      </c>
      <c r="AF1582" s="853">
        <v>0</v>
      </c>
      <c r="AG1582" s="854">
        <f t="shared" si="293"/>
        <v>0</v>
      </c>
      <c r="AH1582" s="853">
        <v>0.08</v>
      </c>
      <c r="AI1582" s="855">
        <f t="shared" si="294"/>
        <v>293776</v>
      </c>
      <c r="AJ1582" s="845" t="s">
        <v>5261</v>
      </c>
      <c r="AK1582" s="857">
        <v>45920</v>
      </c>
      <c r="AL1582" s="843" t="s">
        <v>5262</v>
      </c>
      <c r="AM1582" s="843" t="s">
        <v>5263</v>
      </c>
      <c r="AN1582" s="844" t="s">
        <v>3951</v>
      </c>
      <c r="AO1582" s="844" t="s">
        <v>141</v>
      </c>
      <c r="AP1582" s="841"/>
      <c r="AQ1582" s="841">
        <v>45931</v>
      </c>
      <c r="AR1582" s="841">
        <v>45933</v>
      </c>
      <c r="AS1582" s="842" t="s">
        <v>1581</v>
      </c>
      <c r="AT1582" s="842" t="s">
        <v>1235</v>
      </c>
      <c r="AU1582" s="842" t="s">
        <v>1311</v>
      </c>
      <c r="AV1582" s="845" t="s">
        <v>5264</v>
      </c>
      <c r="AW1582" s="861">
        <v>45932</v>
      </c>
      <c r="AX1582" s="862">
        <v>45933</v>
      </c>
      <c r="AY1582" s="843" t="s">
        <v>5356</v>
      </c>
      <c r="AZ1582" s="842">
        <v>76169990</v>
      </c>
      <c r="BA1582" s="842" t="s">
        <v>120</v>
      </c>
      <c r="BB1582" s="863" t="s">
        <v>121</v>
      </c>
      <c r="BC1582" s="864">
        <v>45908</v>
      </c>
      <c r="BD1582" s="860" t="s">
        <v>5266</v>
      </c>
      <c r="BE1582" s="865" cm="1">
        <f t="array" ref="BE1582">IF(BD1582="","",AC1582/SUMPRODUCT(--(BD1582=$BD$4:$BD$12824),$AC$4:$AC$12824))</f>
        <v>4.3141967890049614E-3</v>
      </c>
      <c r="BF1582" s="458"/>
      <c r="BG1582" s="458"/>
      <c r="BH1582" s="458"/>
      <c r="BI1582" s="458"/>
      <c r="BJ1582" s="458"/>
      <c r="BK1582" s="458"/>
      <c r="BL1582" s="458"/>
      <c r="BM1582" s="458"/>
      <c r="BN1582" s="458"/>
      <c r="BO1582" s="866">
        <f>VLOOKUP(BD1582,$BD$4:$BN$12824,3,0)*BE1582</f>
        <v>114.04579211734615</v>
      </c>
      <c r="BP1582" s="866"/>
      <c r="BQ1582" s="866"/>
      <c r="BR1582" s="866">
        <f>VLOOKUP(BD1582,$BD$4:$BN$12824,6,0)*BE1582</f>
        <v>3877.5561330644373</v>
      </c>
      <c r="BS1582" s="866">
        <f>VLOOKUP(BD1582,$BD$4:$BN$12824,7,0)*BE1582</f>
        <v>5322.2010247618082</v>
      </c>
      <c r="BT1582" s="866"/>
      <c r="BU1582" s="866">
        <f>VLOOKUP(BD1582,$BD$4:$BN$12824,9,0)*BE1582</f>
        <v>197.23644879972883</v>
      </c>
      <c r="BV1582" s="867"/>
      <c r="BW1582" s="867">
        <f>VLOOKUP(BD1582,$BD$4:$BN$12824,11,0)*BE1582</f>
        <v>2588.5180734029768</v>
      </c>
      <c r="BX1582" s="1146">
        <f t="shared" si="295"/>
        <v>12099.557472146296</v>
      </c>
      <c r="BY1582" s="867">
        <f t="shared" si="298"/>
        <v>73685.991149442925</v>
      </c>
      <c r="BZ1582" s="867">
        <f t="shared" si="296"/>
        <v>3684299.5574721461</v>
      </c>
      <c r="CA1582" s="867">
        <f>_xlfn.MAXIFS($BY$4:$BY$12824,$S$4:$S$12824,$S1582)</f>
        <v>73685.991149442925</v>
      </c>
      <c r="CB1582" s="1032"/>
      <c r="CF1582" s="946">
        <f t="shared" si="297"/>
        <v>3672200</v>
      </c>
    </row>
    <row r="1583" spans="2:84">
      <c r="B1583" s="839" t="s">
        <v>98</v>
      </c>
      <c r="C1583" s="839" t="s">
        <v>3454</v>
      </c>
      <c r="D1583" s="839" t="s">
        <v>5256</v>
      </c>
      <c r="E1583" s="839" t="s">
        <v>5256</v>
      </c>
      <c r="F1583" s="841">
        <v>45871</v>
      </c>
      <c r="G1583" s="839" t="s">
        <v>3454</v>
      </c>
      <c r="H1583" s="842" t="s">
        <v>134</v>
      </c>
      <c r="I1583" s="883"/>
      <c r="J1583" s="841"/>
      <c r="K1583" s="841"/>
      <c r="L1583" s="843" t="s">
        <v>5257</v>
      </c>
      <c r="M1583" s="844" t="s">
        <v>5258</v>
      </c>
      <c r="N1583" s="841"/>
      <c r="O1583" s="884" t="s">
        <v>3459</v>
      </c>
      <c r="P1583" s="842" t="s">
        <v>124</v>
      </c>
      <c r="Q1583" s="843"/>
      <c r="R1583" s="845" t="s">
        <v>3553</v>
      </c>
      <c r="S1583" s="1127" t="s">
        <v>3553</v>
      </c>
      <c r="T1583" s="885" t="s">
        <v>5357</v>
      </c>
      <c r="U1583" s="886">
        <v>100</v>
      </c>
      <c r="V1583" s="842" t="s">
        <v>8</v>
      </c>
      <c r="W1583" s="846">
        <v>2.92</v>
      </c>
      <c r="X1583" s="847">
        <f t="shared" si="300"/>
        <v>292</v>
      </c>
      <c r="Y1583" s="853">
        <v>0</v>
      </c>
      <c r="Z1583" s="849">
        <v>2.92</v>
      </c>
      <c r="AA1583" s="849"/>
      <c r="AB1583" s="849">
        <f t="shared" si="291"/>
        <v>292</v>
      </c>
      <c r="AC1583" s="850">
        <f t="shared" si="292"/>
        <v>292</v>
      </c>
      <c r="AD1583" s="851">
        <f t="shared" si="290"/>
        <v>27000</v>
      </c>
      <c r="AE1583" s="852">
        <v>26230</v>
      </c>
      <c r="AF1583" s="853">
        <v>0</v>
      </c>
      <c r="AG1583" s="854">
        <f t="shared" si="293"/>
        <v>0</v>
      </c>
      <c r="AH1583" s="853">
        <v>0.08</v>
      </c>
      <c r="AI1583" s="855">
        <f t="shared" si="294"/>
        <v>612732.80000000005</v>
      </c>
      <c r="AJ1583" s="845" t="s">
        <v>5261</v>
      </c>
      <c r="AK1583" s="857">
        <v>45920</v>
      </c>
      <c r="AL1583" s="843" t="s">
        <v>5262</v>
      </c>
      <c r="AM1583" s="843" t="s">
        <v>5263</v>
      </c>
      <c r="AN1583" s="844" t="s">
        <v>3951</v>
      </c>
      <c r="AO1583" s="844" t="s">
        <v>141</v>
      </c>
      <c r="AP1583" s="841"/>
      <c r="AQ1583" s="841">
        <v>45931</v>
      </c>
      <c r="AR1583" s="841">
        <v>45933</v>
      </c>
      <c r="AS1583" s="842" t="s">
        <v>1581</v>
      </c>
      <c r="AT1583" s="842" t="s">
        <v>1235</v>
      </c>
      <c r="AU1583" s="842" t="s">
        <v>1311</v>
      </c>
      <c r="AV1583" s="845" t="s">
        <v>5264</v>
      </c>
      <c r="AW1583" s="861">
        <v>45932</v>
      </c>
      <c r="AX1583" s="862">
        <v>45933</v>
      </c>
      <c r="AY1583" s="843" t="s">
        <v>5358</v>
      </c>
      <c r="AZ1583" s="842">
        <v>94059950</v>
      </c>
      <c r="BA1583" s="842" t="s">
        <v>120</v>
      </c>
      <c r="BB1583" s="863" t="s">
        <v>121</v>
      </c>
      <c r="BC1583" s="864">
        <v>45908</v>
      </c>
      <c r="BD1583" s="860" t="s">
        <v>5266</v>
      </c>
      <c r="BE1583" s="865" cm="1">
        <f t="array" ref="BE1583">IF(BD1583="","",AC1583/SUMPRODUCT(--(BD1583=$BD$4:$BD$12824),$AC$4:$AC$12824))</f>
        <v>8.9981818742103474E-3</v>
      </c>
      <c r="BF1583" s="458"/>
      <c r="BG1583" s="458"/>
      <c r="BH1583" s="458"/>
      <c r="BI1583" s="458"/>
      <c r="BJ1583" s="458"/>
      <c r="BK1583" s="458"/>
      <c r="BL1583" s="458"/>
      <c r="BM1583" s="458"/>
      <c r="BN1583" s="458"/>
      <c r="BO1583" s="866">
        <f>VLOOKUP(BD1583,$BD$4:$BN$12824,3,0)*BE1583</f>
        <v>237.86693784475054</v>
      </c>
      <c r="BP1583" s="866"/>
      <c r="BQ1583" s="866"/>
      <c r="BR1583" s="866">
        <f>VLOOKUP(BD1583,$BD$4:$BN$12824,6,0)*BE1583</f>
        <v>8087.4742203915403</v>
      </c>
      <c r="BS1583" s="866">
        <f>VLOOKUP(BD1583,$BD$4:$BN$12824,7,0)*BE1583</f>
        <v>11100.590708788914</v>
      </c>
      <c r="BT1583" s="866"/>
      <c r="BU1583" s="866">
        <f>VLOOKUP(BD1583,$BD$4:$BN$12824,9,0)*BE1583</f>
        <v>411.37887892514868</v>
      </c>
      <c r="BV1583" s="867"/>
      <c r="BW1583" s="867">
        <f>VLOOKUP(BD1583,$BD$4:$BN$12824,11,0)*BE1583</f>
        <v>5398.9091245262089</v>
      </c>
      <c r="BX1583" s="1146">
        <f t="shared" si="295"/>
        <v>25236.219870476561</v>
      </c>
      <c r="BY1583" s="867">
        <f t="shared" si="298"/>
        <v>76843.962198704772</v>
      </c>
      <c r="BZ1583" s="867">
        <f t="shared" si="296"/>
        <v>7684396.219870477</v>
      </c>
      <c r="CA1583" s="867">
        <f>_xlfn.MAXIFS($BY$4:$BY$12824,$S$4:$S$12824,$S1583)</f>
        <v>76843.962198704772</v>
      </c>
      <c r="CB1583" s="1032"/>
      <c r="CF1583" s="946">
        <f t="shared" si="297"/>
        <v>7659160</v>
      </c>
    </row>
    <row r="1584" spans="2:84">
      <c r="B1584" s="839" t="s">
        <v>98</v>
      </c>
      <c r="C1584" s="839" t="s">
        <v>3454</v>
      </c>
      <c r="D1584" s="839" t="s">
        <v>5256</v>
      </c>
      <c r="E1584" s="839" t="s">
        <v>5256</v>
      </c>
      <c r="F1584" s="841">
        <v>45871</v>
      </c>
      <c r="G1584" s="839" t="s">
        <v>3454</v>
      </c>
      <c r="H1584" s="842" t="s">
        <v>134</v>
      </c>
      <c r="I1584" s="883"/>
      <c r="J1584" s="841"/>
      <c r="K1584" s="841"/>
      <c r="L1584" s="843" t="s">
        <v>5257</v>
      </c>
      <c r="M1584" s="844" t="s">
        <v>5258</v>
      </c>
      <c r="N1584" s="841"/>
      <c r="O1584" s="884" t="s">
        <v>3459</v>
      </c>
      <c r="P1584" s="842" t="s">
        <v>3548</v>
      </c>
      <c r="Q1584" s="843"/>
      <c r="R1584" s="845" t="s">
        <v>5359</v>
      </c>
      <c r="S1584" s="1127" t="s">
        <v>5359</v>
      </c>
      <c r="T1584" s="885" t="s">
        <v>5360</v>
      </c>
      <c r="U1584" s="886">
        <v>50</v>
      </c>
      <c r="V1584" s="842" t="s">
        <v>8</v>
      </c>
      <c r="W1584" s="846">
        <v>8.5</v>
      </c>
      <c r="X1584" s="847">
        <f t="shared" si="300"/>
        <v>425</v>
      </c>
      <c r="Y1584" s="853">
        <v>0</v>
      </c>
      <c r="Z1584" s="849">
        <v>8.5</v>
      </c>
      <c r="AA1584" s="849"/>
      <c r="AB1584" s="849">
        <f t="shared" si="291"/>
        <v>425</v>
      </c>
      <c r="AC1584" s="850">
        <f t="shared" si="292"/>
        <v>425</v>
      </c>
      <c r="AD1584" s="851">
        <f t="shared" si="290"/>
        <v>27000</v>
      </c>
      <c r="AE1584" s="852">
        <v>26230</v>
      </c>
      <c r="AF1584" s="853">
        <v>0</v>
      </c>
      <c r="AG1584" s="854">
        <f t="shared" si="293"/>
        <v>0</v>
      </c>
      <c r="AH1584" s="853">
        <v>0.08</v>
      </c>
      <c r="AI1584" s="855">
        <f t="shared" si="294"/>
        <v>891820</v>
      </c>
      <c r="AJ1584" s="845" t="s">
        <v>5261</v>
      </c>
      <c r="AK1584" s="857">
        <v>45920</v>
      </c>
      <c r="AL1584" s="843" t="s">
        <v>5262</v>
      </c>
      <c r="AM1584" s="843" t="s">
        <v>5263</v>
      </c>
      <c r="AN1584" s="844" t="s">
        <v>3951</v>
      </c>
      <c r="AO1584" s="844" t="s">
        <v>141</v>
      </c>
      <c r="AP1584" s="841"/>
      <c r="AQ1584" s="841">
        <v>45931</v>
      </c>
      <c r="AR1584" s="841">
        <v>45933</v>
      </c>
      <c r="AS1584" s="842" t="s">
        <v>1581</v>
      </c>
      <c r="AT1584" s="842" t="s">
        <v>1235</v>
      </c>
      <c r="AU1584" s="842" t="s">
        <v>1311</v>
      </c>
      <c r="AV1584" s="845" t="s">
        <v>5264</v>
      </c>
      <c r="AW1584" s="861">
        <v>45932</v>
      </c>
      <c r="AX1584" s="862">
        <v>45933</v>
      </c>
      <c r="AY1584" s="843" t="s">
        <v>5361</v>
      </c>
      <c r="AZ1584" s="842">
        <v>94059950</v>
      </c>
      <c r="BA1584" s="842" t="s">
        <v>120</v>
      </c>
      <c r="BB1584" s="863" t="s">
        <v>121</v>
      </c>
      <c r="BC1584" s="864">
        <v>45908</v>
      </c>
      <c r="BD1584" s="860" t="s">
        <v>5266</v>
      </c>
      <c r="BE1584" s="865" cm="1">
        <f t="array" ref="BE1584">IF(BD1584="","",AC1584/SUMPRODUCT(--(BD1584=$BD$4:$BD$12824),$AC$4:$AC$12824))</f>
        <v>1.3096668823765062E-2</v>
      </c>
      <c r="BF1584" s="458"/>
      <c r="BG1584" s="458"/>
      <c r="BH1584" s="458"/>
      <c r="BI1584" s="458"/>
      <c r="BJ1584" s="458"/>
      <c r="BK1584" s="458"/>
      <c r="BL1584" s="458"/>
      <c r="BM1584" s="458"/>
      <c r="BN1584" s="458"/>
      <c r="BO1584" s="866">
        <f>VLOOKUP(BD1584,$BD$4:$BN$12824,3,0)*BE1584</f>
        <v>346.21044035622941</v>
      </c>
      <c r="BP1584" s="866"/>
      <c r="BQ1584" s="866"/>
      <c r="BR1584" s="866">
        <f>VLOOKUP(BD1584,$BD$4:$BN$12824,6,0)*BE1584</f>
        <v>11771.152546802758</v>
      </c>
      <c r="BS1584" s="866">
        <f>VLOOKUP(BD1584,$BD$4:$BN$12824,7,0)*BE1584</f>
        <v>16156.681682312632</v>
      </c>
      <c r="BT1584" s="866"/>
      <c r="BU1584" s="866">
        <f>VLOOKUP(BD1584,$BD$4:$BN$12824,9,0)*BE1584</f>
        <v>598.75350528489105</v>
      </c>
      <c r="BV1584" s="867"/>
      <c r="BW1584" s="867">
        <f>VLOOKUP(BD1584,$BD$4:$BN$12824,11,0)*BE1584</f>
        <v>7858.0012942590374</v>
      </c>
      <c r="BX1584" s="1146">
        <f t="shared" si="295"/>
        <v>36730.799469015546</v>
      </c>
      <c r="BY1584" s="867">
        <f t="shared" si="298"/>
        <v>223689.61598938028</v>
      </c>
      <c r="BZ1584" s="867">
        <f t="shared" si="296"/>
        <v>11184480.799469015</v>
      </c>
      <c r="CA1584" s="867">
        <f>_xlfn.MAXIFS($BY$4:$BY$12824,$S$4:$S$12824,$S1584)</f>
        <v>223689.61598938028</v>
      </c>
      <c r="CB1584" s="1032"/>
      <c r="CF1584" s="946">
        <f t="shared" si="297"/>
        <v>11147750</v>
      </c>
    </row>
    <row r="1585" spans="2:84">
      <c r="B1585" s="839" t="s">
        <v>98</v>
      </c>
      <c r="C1585" s="839" t="s">
        <v>3454</v>
      </c>
      <c r="D1585" s="839" t="s">
        <v>5256</v>
      </c>
      <c r="E1585" s="839" t="s">
        <v>5256</v>
      </c>
      <c r="F1585" s="841">
        <v>45871</v>
      </c>
      <c r="G1585" s="839" t="s">
        <v>3454</v>
      </c>
      <c r="H1585" s="842" t="s">
        <v>134</v>
      </c>
      <c r="I1585" s="883"/>
      <c r="J1585" s="841"/>
      <c r="K1585" s="841"/>
      <c r="L1585" s="843" t="s">
        <v>5257</v>
      </c>
      <c r="M1585" s="844" t="s">
        <v>5258</v>
      </c>
      <c r="N1585" s="841"/>
      <c r="O1585" s="884" t="s">
        <v>3459</v>
      </c>
      <c r="P1585" s="842" t="s">
        <v>124</v>
      </c>
      <c r="Q1585" s="843"/>
      <c r="R1585" s="845" t="s">
        <v>5362</v>
      </c>
      <c r="S1585" s="1127" t="s">
        <v>5362</v>
      </c>
      <c r="T1585" s="885" t="s">
        <v>5363</v>
      </c>
      <c r="U1585" s="886">
        <v>200</v>
      </c>
      <c r="V1585" s="842" t="s">
        <v>8</v>
      </c>
      <c r="W1585" s="846">
        <v>0.15</v>
      </c>
      <c r="X1585" s="847">
        <f t="shared" si="300"/>
        <v>30</v>
      </c>
      <c r="Y1585" s="853">
        <v>0</v>
      </c>
      <c r="Z1585" s="849">
        <v>0.15</v>
      </c>
      <c r="AA1585" s="849" t="s">
        <v>40</v>
      </c>
      <c r="AB1585" s="849">
        <f t="shared" si="291"/>
        <v>0</v>
      </c>
      <c r="AC1585" s="850">
        <f t="shared" si="292"/>
        <v>30</v>
      </c>
      <c r="AD1585" s="851">
        <f t="shared" si="290"/>
        <v>27000</v>
      </c>
      <c r="AE1585" s="852">
        <v>26230</v>
      </c>
      <c r="AF1585" s="853">
        <v>0</v>
      </c>
      <c r="AG1585" s="854">
        <f t="shared" si="293"/>
        <v>0</v>
      </c>
      <c r="AH1585" s="853">
        <v>0.08</v>
      </c>
      <c r="AI1585" s="855">
        <f t="shared" si="294"/>
        <v>62952</v>
      </c>
      <c r="AJ1585" s="845" t="s">
        <v>5261</v>
      </c>
      <c r="AK1585" s="857">
        <v>45920</v>
      </c>
      <c r="AL1585" s="843" t="s">
        <v>5262</v>
      </c>
      <c r="AM1585" s="843" t="s">
        <v>5263</v>
      </c>
      <c r="AN1585" s="844" t="s">
        <v>3951</v>
      </c>
      <c r="AO1585" s="844" t="s">
        <v>141</v>
      </c>
      <c r="AP1585" s="841"/>
      <c r="AQ1585" s="841">
        <v>45931</v>
      </c>
      <c r="AR1585" s="841">
        <v>45933</v>
      </c>
      <c r="AS1585" s="842" t="s">
        <v>1581</v>
      </c>
      <c r="AT1585" s="842" t="s">
        <v>1235</v>
      </c>
      <c r="AU1585" s="842" t="s">
        <v>1311</v>
      </c>
      <c r="AV1585" s="845" t="s">
        <v>5264</v>
      </c>
      <c r="AW1585" s="861">
        <v>45932</v>
      </c>
      <c r="AX1585" s="862">
        <v>45933</v>
      </c>
      <c r="AY1585" s="843" t="s">
        <v>5364</v>
      </c>
      <c r="AZ1585" s="842">
        <v>76169990</v>
      </c>
      <c r="BA1585" s="842" t="s">
        <v>120</v>
      </c>
      <c r="BB1585" s="863" t="s">
        <v>121</v>
      </c>
      <c r="BC1585" s="864">
        <v>45908</v>
      </c>
      <c r="BD1585" s="860" t="s">
        <v>5266</v>
      </c>
      <c r="BE1585" s="865" cm="1">
        <f t="array" ref="BE1585">IF(BD1585="","",AC1585/SUMPRODUCT(--(BD1585=$BD$4:$BD$12824),$AC$4:$AC$12824))</f>
        <v>9.2447074050106318E-4</v>
      </c>
      <c r="BF1585" s="458"/>
      <c r="BG1585" s="458"/>
      <c r="BH1585" s="458"/>
      <c r="BI1585" s="458"/>
      <c r="BJ1585" s="458"/>
      <c r="BK1585" s="458"/>
      <c r="BL1585" s="458"/>
      <c r="BM1585" s="458"/>
      <c r="BN1585" s="458"/>
      <c r="BO1585" s="866">
        <f>VLOOKUP(BD1585,$BD$4:$BN$12824,3,0)*BE1585</f>
        <v>24.438384025145606</v>
      </c>
      <c r="BP1585" s="866"/>
      <c r="BQ1585" s="866"/>
      <c r="BR1585" s="866">
        <f>VLOOKUP(BD1585,$BD$4:$BN$12824,6,0)*BE1585</f>
        <v>830.90488565666521</v>
      </c>
      <c r="BS1585" s="866">
        <f>VLOOKUP(BD1585,$BD$4:$BN$12824,7,0)*BE1585</f>
        <v>1140.4716481632447</v>
      </c>
      <c r="BT1585" s="866"/>
      <c r="BU1585" s="866">
        <f>VLOOKUP(BD1585,$BD$4:$BN$12824,9,0)*BE1585</f>
        <v>42.264953314227604</v>
      </c>
      <c r="BV1585" s="867"/>
      <c r="BW1585" s="867">
        <f>VLOOKUP(BD1585,$BD$4:$BN$12824,11,0)*BE1585</f>
        <v>554.68244430063794</v>
      </c>
      <c r="BX1585" s="1146">
        <f t="shared" si="295"/>
        <v>2592.762315459921</v>
      </c>
      <c r="BY1585" s="867">
        <f t="shared" si="298"/>
        <v>12.963811577299605</v>
      </c>
      <c r="BZ1585" s="867">
        <f t="shared" si="296"/>
        <v>2592.762315459921</v>
      </c>
      <c r="CA1585" s="867">
        <f>_xlfn.MAXIFS($BY$4:$BY$12824,$S$4:$S$12824,$S1585)</f>
        <v>12.963811577299605</v>
      </c>
      <c r="CB1585" s="1032"/>
      <c r="CF1585" s="946">
        <f t="shared" si="297"/>
        <v>786900</v>
      </c>
    </row>
    <row r="1586" spans="2:84">
      <c r="B1586" s="839" t="s">
        <v>98</v>
      </c>
      <c r="C1586" s="839" t="s">
        <v>3454</v>
      </c>
      <c r="D1586" s="839" t="s">
        <v>5365</v>
      </c>
      <c r="E1586" s="839" t="s">
        <v>5365</v>
      </c>
      <c r="F1586" s="841">
        <v>45871</v>
      </c>
      <c r="G1586" s="839" t="s">
        <v>3454</v>
      </c>
      <c r="H1586" s="842" t="s">
        <v>102</v>
      </c>
      <c r="I1586" s="883" t="s">
        <v>5366</v>
      </c>
      <c r="J1586" s="841"/>
      <c r="K1586" s="841"/>
      <c r="L1586" s="843" t="s">
        <v>106</v>
      </c>
      <c r="M1586" s="844" t="s">
        <v>5258</v>
      </c>
      <c r="N1586" s="841"/>
      <c r="O1586" s="884" t="s">
        <v>3459</v>
      </c>
      <c r="P1586" s="842"/>
      <c r="Q1586" s="843"/>
      <c r="R1586" s="845" t="s">
        <v>5367</v>
      </c>
      <c r="S1586" s="1127" t="s">
        <v>5367</v>
      </c>
      <c r="T1586" s="885" t="s">
        <v>5368</v>
      </c>
      <c r="U1586" s="886">
        <v>424</v>
      </c>
      <c r="V1586" s="842" t="s">
        <v>8</v>
      </c>
      <c r="W1586" s="846">
        <v>13</v>
      </c>
      <c r="X1586" s="847">
        <f t="shared" si="300"/>
        <v>5512</v>
      </c>
      <c r="Y1586" s="853">
        <v>0</v>
      </c>
      <c r="Z1586" s="849">
        <v>13</v>
      </c>
      <c r="AA1586" s="849"/>
      <c r="AB1586" s="849">
        <f t="shared" si="291"/>
        <v>5512</v>
      </c>
      <c r="AC1586" s="850">
        <f t="shared" si="292"/>
        <v>5512</v>
      </c>
      <c r="AD1586" s="851">
        <f t="shared" si="290"/>
        <v>27000</v>
      </c>
      <c r="AE1586" s="852">
        <v>26230</v>
      </c>
      <c r="AF1586" s="853">
        <v>0</v>
      </c>
      <c r="AG1586" s="854">
        <f t="shared" si="293"/>
        <v>0</v>
      </c>
      <c r="AH1586" s="853">
        <v>0.08</v>
      </c>
      <c r="AI1586" s="855">
        <f t="shared" si="294"/>
        <v>11620412.872727273</v>
      </c>
      <c r="AJ1586" s="845" t="s">
        <v>5369</v>
      </c>
      <c r="AK1586" s="857">
        <v>45915</v>
      </c>
      <c r="AL1586" s="843" t="s">
        <v>5370</v>
      </c>
      <c r="AM1586" s="843" t="s">
        <v>5371</v>
      </c>
      <c r="AN1586" s="844" t="s">
        <v>3951</v>
      </c>
      <c r="AO1586" s="844" t="s">
        <v>141</v>
      </c>
      <c r="AP1586" s="841"/>
      <c r="AQ1586" s="841">
        <v>45931</v>
      </c>
      <c r="AR1586" s="841">
        <v>45934</v>
      </c>
      <c r="AS1586" s="842" t="s">
        <v>1581</v>
      </c>
      <c r="AT1586" s="842" t="s">
        <v>1235</v>
      </c>
      <c r="AU1586" s="842" t="s">
        <v>1311</v>
      </c>
      <c r="AV1586" s="845" t="s">
        <v>5372</v>
      </c>
      <c r="AW1586" s="861">
        <v>45933</v>
      </c>
      <c r="AX1586" s="862">
        <v>45936</v>
      </c>
      <c r="AY1586" s="843" t="s">
        <v>5373</v>
      </c>
      <c r="AZ1586" s="842">
        <v>94059950</v>
      </c>
      <c r="BA1586" s="842" t="s">
        <v>120</v>
      </c>
      <c r="BB1586" s="863" t="s">
        <v>121</v>
      </c>
      <c r="BC1586" s="864">
        <v>45907</v>
      </c>
      <c r="BD1586" s="860" t="s">
        <v>5374</v>
      </c>
      <c r="BE1586" s="865" cm="1">
        <f t="array" ref="BE1586">IF(BD1586="","",AC1586/SUMPRODUCT(--(BD1586=$BD$4:$BD$12824),$AC$4:$AC$12824))</f>
        <v>0.22040039137863401</v>
      </c>
      <c r="BF1586" s="458" cm="1">
        <f t="array" ref="BF1586">SUM(_xlfn._xlws.FILTER( INDEX(Cost!$B$3:$BK$77,MATCH(LDL!$BD1586, Cost!$F$3:$F$77, 0),0),Cost!$B$3:$BK$3 = BF$3))</f>
        <v>26420</v>
      </c>
      <c r="BG1586" s="458"/>
      <c r="BH1586" s="458"/>
      <c r="BI1586" s="458" cm="1">
        <f t="array" ref="BI1586">SUM(_xlfn._xlws.FILTER( INDEX(Cost!$B$3:$BK$77,MATCH(LDL!$BD1586, Cost!$F$3:$F$77, 0),0),Cost!$B$3:$BK$3 = BI$3))/1.08</f>
        <v>0</v>
      </c>
      <c r="BJ1586" s="458" cm="1">
        <f t="array" ref="BJ1586">SUM(_xlfn._xlws.FILTER( INDEX(Cost!$B$3:$BK$77,MATCH(LDL!$BD1586, Cost!$F$3:$F$77, 0),0),Cost!$B$3:$BK$3 = BJ$3))</f>
        <v>648980.90909090906</v>
      </c>
      <c r="BK1586" s="458"/>
      <c r="BL1586" s="458" cm="1">
        <f t="array" ref="BL1586">SUM(_xlfn._xlws.FILTER( INDEX(Cost!$B$3:$BK$77,MATCH(LDL!$BD1586, Cost!$F$3:$F$77, 0),0),Cost!$B$3:$BK$3 = BL$3))</f>
        <v>31768</v>
      </c>
      <c r="BM1586" s="458"/>
      <c r="BN1586" s="458" cm="1">
        <f t="array" ref="BN1586">SUM(_xlfn._xlws.FILTER( INDEX(Cost!$B$3:$BK$77,MATCH(LDL!$BD1586, Cost!$F$3:$F$77, 0),0),Cost!$B$3:$BK$3 = BN$3))/1.08</f>
        <v>600000</v>
      </c>
      <c r="BO1586" s="866">
        <f>VLOOKUP(BD1586,$BD$4:$BN$12824,3,0)*BE1586</f>
        <v>5822.9783402235107</v>
      </c>
      <c r="BP1586" s="866"/>
      <c r="BQ1586" s="866"/>
      <c r="BR1586" s="866">
        <f>VLOOKUP(BD1586,$BD$4:$BN$12824,6,0)*BE1586</f>
        <v>0</v>
      </c>
      <c r="BS1586" s="866">
        <f>VLOOKUP(BD1586,$BD$4:$BN$12824,7,0)*BE1586</f>
        <v>143035.64636089807</v>
      </c>
      <c r="BT1586" s="866"/>
      <c r="BU1586" s="866">
        <f>VLOOKUP(BD1586,$BD$4:$BN$12824,9,0)*BE1586</f>
        <v>7001.6796333164457</v>
      </c>
      <c r="BV1586" s="867"/>
      <c r="BW1586" s="867">
        <f>VLOOKUP(BD1586,$BD$4:$BN$12824,11,0)*BE1586</f>
        <v>132240.23482718042</v>
      </c>
      <c r="BX1586" s="1146">
        <f t="shared" si="295"/>
        <v>288100.53916161845</v>
      </c>
      <c r="BY1586" s="867">
        <f t="shared" si="298"/>
        <v>341669.48240368307</v>
      </c>
      <c r="BZ1586" s="867">
        <f t="shared" si="296"/>
        <v>144867860.53916162</v>
      </c>
      <c r="CA1586" s="867">
        <f>_xlfn.MAXIFS($BY$4:$BY$12824,$S$4:$S$12824,$S1586)</f>
        <v>341669.48240368307</v>
      </c>
      <c r="CB1586" s="1032"/>
      <c r="CF1586" s="946">
        <f t="shared" si="297"/>
        <v>144579760</v>
      </c>
    </row>
    <row r="1587" spans="2:84">
      <c r="B1587" s="839" t="s">
        <v>98</v>
      </c>
      <c r="C1587" s="839" t="s">
        <v>3454</v>
      </c>
      <c r="D1587" s="839" t="s">
        <v>5365</v>
      </c>
      <c r="E1587" s="839" t="s">
        <v>5365</v>
      </c>
      <c r="F1587" s="841">
        <v>45871</v>
      </c>
      <c r="G1587" s="839" t="s">
        <v>3454</v>
      </c>
      <c r="H1587" s="842" t="s">
        <v>102</v>
      </c>
      <c r="I1587" s="883" t="s">
        <v>5366</v>
      </c>
      <c r="J1587" s="841"/>
      <c r="K1587" s="841"/>
      <c r="L1587" s="843" t="s">
        <v>106</v>
      </c>
      <c r="M1587" s="844" t="s">
        <v>5258</v>
      </c>
      <c r="N1587" s="841"/>
      <c r="O1587" s="884" t="s">
        <v>3459</v>
      </c>
      <c r="P1587" s="842"/>
      <c r="Q1587" s="843"/>
      <c r="R1587" s="845" t="s">
        <v>5375</v>
      </c>
      <c r="S1587" s="1127" t="s">
        <v>5375</v>
      </c>
      <c r="T1587" s="885" t="s">
        <v>5376</v>
      </c>
      <c r="U1587" s="886">
        <v>120</v>
      </c>
      <c r="V1587" s="842" t="s">
        <v>8</v>
      </c>
      <c r="W1587" s="846">
        <v>13</v>
      </c>
      <c r="X1587" s="847">
        <f t="shared" si="300"/>
        <v>1560</v>
      </c>
      <c r="Y1587" s="853">
        <v>0</v>
      </c>
      <c r="Z1587" s="849">
        <v>13</v>
      </c>
      <c r="AA1587" s="849"/>
      <c r="AB1587" s="849">
        <f t="shared" si="291"/>
        <v>1560</v>
      </c>
      <c r="AC1587" s="850">
        <f t="shared" si="292"/>
        <v>1560</v>
      </c>
      <c r="AD1587" s="851">
        <f t="shared" si="290"/>
        <v>27000</v>
      </c>
      <c r="AE1587" s="852">
        <v>26230</v>
      </c>
      <c r="AF1587" s="853">
        <v>0</v>
      </c>
      <c r="AG1587" s="854">
        <f t="shared" si="293"/>
        <v>0</v>
      </c>
      <c r="AH1587" s="853">
        <v>0.08</v>
      </c>
      <c r="AI1587" s="855">
        <f t="shared" si="294"/>
        <v>3273504</v>
      </c>
      <c r="AJ1587" s="845" t="s">
        <v>5369</v>
      </c>
      <c r="AK1587" s="857">
        <v>45915</v>
      </c>
      <c r="AL1587" s="843" t="s">
        <v>5370</v>
      </c>
      <c r="AM1587" s="843" t="s">
        <v>5371</v>
      </c>
      <c r="AN1587" s="844" t="s">
        <v>3951</v>
      </c>
      <c r="AO1587" s="844" t="s">
        <v>141</v>
      </c>
      <c r="AP1587" s="841"/>
      <c r="AQ1587" s="841">
        <v>45931</v>
      </c>
      <c r="AR1587" s="841">
        <v>45934</v>
      </c>
      <c r="AS1587" s="842" t="s">
        <v>1581</v>
      </c>
      <c r="AT1587" s="842" t="s">
        <v>1235</v>
      </c>
      <c r="AU1587" s="842" t="s">
        <v>1311</v>
      </c>
      <c r="AV1587" s="845" t="s">
        <v>5372</v>
      </c>
      <c r="AW1587" s="861">
        <v>45933</v>
      </c>
      <c r="AX1587" s="862">
        <v>45936</v>
      </c>
      <c r="AY1587" s="843" t="s">
        <v>5377</v>
      </c>
      <c r="AZ1587" s="842">
        <v>94059950</v>
      </c>
      <c r="BA1587" s="842" t="s">
        <v>120</v>
      </c>
      <c r="BB1587" s="863" t="s">
        <v>121</v>
      </c>
      <c r="BC1587" s="864">
        <v>45907</v>
      </c>
      <c r="BD1587" s="860" t="s">
        <v>5374</v>
      </c>
      <c r="BE1587" s="865" cm="1">
        <f t="array" ref="BE1587">IF(BD1587="","",AC1587/SUMPRODUCT(--(BD1587=$BD$4:$BD$12824),$AC$4:$AC$12824))</f>
        <v>6.2377469258103967E-2</v>
      </c>
      <c r="BF1587" s="458"/>
      <c r="BG1587" s="458"/>
      <c r="BH1587" s="458"/>
      <c r="BI1587" s="458"/>
      <c r="BJ1587" s="458"/>
      <c r="BK1587" s="458"/>
      <c r="BL1587" s="458"/>
      <c r="BM1587" s="458"/>
      <c r="BN1587" s="458"/>
      <c r="BO1587" s="866">
        <f>VLOOKUP(BD1587,$BD$4:$BN$12824,3,0)*BE1587</f>
        <v>1648.0127377991068</v>
      </c>
      <c r="BP1587" s="866"/>
      <c r="BQ1587" s="866"/>
      <c r="BR1587" s="866">
        <f>VLOOKUP(BD1587,$BD$4:$BN$12824,6,0)*BE1587</f>
        <v>0</v>
      </c>
      <c r="BS1587" s="866">
        <f>VLOOKUP(BD1587,$BD$4:$BN$12824,7,0)*BE1587</f>
        <v>40481.786705914543</v>
      </c>
      <c r="BT1587" s="866"/>
      <c r="BU1587" s="866">
        <f>VLOOKUP(BD1587,$BD$4:$BN$12824,9,0)*BE1587</f>
        <v>1981.6074433914469</v>
      </c>
      <c r="BV1587" s="867"/>
      <c r="BW1587" s="867">
        <f>VLOOKUP(BD1587,$BD$4:$BN$12824,11,0)*BE1587</f>
        <v>37426.481554862381</v>
      </c>
      <c r="BX1587" s="1146">
        <f t="shared" si="295"/>
        <v>81537.888441967487</v>
      </c>
      <c r="BY1587" s="867">
        <f t="shared" si="298"/>
        <v>341669.48240368307</v>
      </c>
      <c r="BZ1587" s="867">
        <f t="shared" si="296"/>
        <v>41000337.888441965</v>
      </c>
      <c r="CA1587" s="867">
        <f>_xlfn.MAXIFS($BY$4:$BY$12824,$S$4:$S$12824,$S1587)</f>
        <v>341669.48240368307</v>
      </c>
      <c r="CB1587" s="1032"/>
      <c r="CF1587" s="946">
        <f t="shared" si="297"/>
        <v>40918800</v>
      </c>
    </row>
    <row r="1588" spans="2:84">
      <c r="B1588" s="839" t="s">
        <v>98</v>
      </c>
      <c r="C1588" s="839" t="s">
        <v>3454</v>
      </c>
      <c r="D1588" s="839" t="s">
        <v>5365</v>
      </c>
      <c r="E1588" s="839" t="s">
        <v>5365</v>
      </c>
      <c r="F1588" s="841">
        <v>45871</v>
      </c>
      <c r="G1588" s="839" t="s">
        <v>3454</v>
      </c>
      <c r="H1588" s="842" t="s">
        <v>102</v>
      </c>
      <c r="I1588" s="883" t="s">
        <v>5366</v>
      </c>
      <c r="J1588" s="841"/>
      <c r="K1588" s="841"/>
      <c r="L1588" s="843" t="s">
        <v>106</v>
      </c>
      <c r="M1588" s="844" t="s">
        <v>5258</v>
      </c>
      <c r="N1588" s="841"/>
      <c r="O1588" s="884" t="s">
        <v>3459</v>
      </c>
      <c r="P1588" s="842"/>
      <c r="Q1588" s="843"/>
      <c r="R1588" s="845" t="s">
        <v>5378</v>
      </c>
      <c r="S1588" s="1127" t="s">
        <v>5378</v>
      </c>
      <c r="T1588" s="885" t="s">
        <v>5379</v>
      </c>
      <c r="U1588" s="886">
        <v>58</v>
      </c>
      <c r="V1588" s="842" t="s">
        <v>8</v>
      </c>
      <c r="W1588" s="846">
        <v>12.8</v>
      </c>
      <c r="X1588" s="847">
        <f t="shared" si="300"/>
        <v>742.40000000000009</v>
      </c>
      <c r="Y1588" s="853">
        <v>0</v>
      </c>
      <c r="Z1588" s="849">
        <v>12.8</v>
      </c>
      <c r="AA1588" s="849"/>
      <c r="AB1588" s="849">
        <f t="shared" si="291"/>
        <v>742.40000000000009</v>
      </c>
      <c r="AC1588" s="850">
        <f t="shared" si="292"/>
        <v>742.40000000000009</v>
      </c>
      <c r="AD1588" s="851">
        <f t="shared" si="290"/>
        <v>27000</v>
      </c>
      <c r="AE1588" s="852">
        <v>26230</v>
      </c>
      <c r="AF1588" s="853">
        <v>0</v>
      </c>
      <c r="AG1588" s="854">
        <f t="shared" si="293"/>
        <v>0</v>
      </c>
      <c r="AH1588" s="853">
        <v>0.08</v>
      </c>
      <c r="AI1588" s="855">
        <f t="shared" si="294"/>
        <v>1557852.1600000004</v>
      </c>
      <c r="AJ1588" s="845" t="s">
        <v>5369</v>
      </c>
      <c r="AK1588" s="857">
        <v>45915</v>
      </c>
      <c r="AL1588" s="843" t="s">
        <v>5370</v>
      </c>
      <c r="AM1588" s="843" t="s">
        <v>5371</v>
      </c>
      <c r="AN1588" s="844" t="s">
        <v>3951</v>
      </c>
      <c r="AO1588" s="844" t="s">
        <v>141</v>
      </c>
      <c r="AP1588" s="841"/>
      <c r="AQ1588" s="841">
        <v>45931</v>
      </c>
      <c r="AR1588" s="841">
        <v>45934</v>
      </c>
      <c r="AS1588" s="842" t="s">
        <v>1581</v>
      </c>
      <c r="AT1588" s="842" t="s">
        <v>1235</v>
      </c>
      <c r="AU1588" s="842" t="s">
        <v>1311</v>
      </c>
      <c r="AV1588" s="845" t="s">
        <v>5372</v>
      </c>
      <c r="AW1588" s="861">
        <v>45933</v>
      </c>
      <c r="AX1588" s="862">
        <v>45936</v>
      </c>
      <c r="AY1588" s="843" t="s">
        <v>5380</v>
      </c>
      <c r="AZ1588" s="842">
        <v>94059950</v>
      </c>
      <c r="BA1588" s="842" t="s">
        <v>120</v>
      </c>
      <c r="BB1588" s="863" t="s">
        <v>121</v>
      </c>
      <c r="BC1588" s="864">
        <v>45907</v>
      </c>
      <c r="BD1588" s="860" t="s">
        <v>5374</v>
      </c>
      <c r="BE1588" s="865" cm="1">
        <f t="array" ref="BE1588">IF(BD1588="","",AC1588/SUMPRODUCT(--(BD1588=$BD$4:$BD$12824),$AC$4:$AC$12824))</f>
        <v>2.9685277677702814E-2</v>
      </c>
      <c r="BF1588" s="458"/>
      <c r="BG1588" s="458"/>
      <c r="BH1588" s="458"/>
      <c r="BI1588" s="458"/>
      <c r="BJ1588" s="458"/>
      <c r="BK1588" s="458"/>
      <c r="BL1588" s="458"/>
      <c r="BM1588" s="458"/>
      <c r="BN1588" s="458"/>
      <c r="BO1588" s="866">
        <f>VLOOKUP(BD1588,$BD$4:$BN$12824,3,0)*BE1588</f>
        <v>784.28503624490838</v>
      </c>
      <c r="BP1588" s="866"/>
      <c r="BQ1588" s="866"/>
      <c r="BR1588" s="866">
        <f>VLOOKUP(BD1588,$BD$4:$BN$12824,6,0)*BE1588</f>
        <v>0</v>
      </c>
      <c r="BS1588" s="866">
        <f>VLOOKUP(BD1588,$BD$4:$BN$12824,7,0)*BE1588</f>
        <v>19265.178493891643</v>
      </c>
      <c r="BT1588" s="866"/>
      <c r="BU1588" s="866">
        <f>VLOOKUP(BD1588,$BD$4:$BN$12824,9,0)*BE1588</f>
        <v>943.04190126526294</v>
      </c>
      <c r="BV1588" s="867"/>
      <c r="BW1588" s="867">
        <f>VLOOKUP(BD1588,$BD$4:$BN$12824,11,0)*BE1588</f>
        <v>17811.166606621689</v>
      </c>
      <c r="BX1588" s="1146">
        <f t="shared" si="295"/>
        <v>38803.672038023506</v>
      </c>
      <c r="BY1588" s="867">
        <f t="shared" si="298"/>
        <v>336413.0288282418</v>
      </c>
      <c r="BZ1588" s="867">
        <f t="shared" si="296"/>
        <v>19511955.672038026</v>
      </c>
      <c r="CA1588" s="867">
        <f>_xlfn.MAXIFS($BY$4:$BY$12824,$S$4:$S$12824,$S1588)</f>
        <v>336413.0288282418</v>
      </c>
      <c r="CB1588" s="1032"/>
      <c r="CF1588" s="946">
        <f t="shared" si="297"/>
        <v>19473152.000000004</v>
      </c>
    </row>
    <row r="1589" spans="2:84">
      <c r="B1589" s="839" t="s">
        <v>98</v>
      </c>
      <c r="C1589" s="839" t="s">
        <v>3454</v>
      </c>
      <c r="D1589" s="839" t="s">
        <v>5365</v>
      </c>
      <c r="E1589" s="839" t="s">
        <v>5365</v>
      </c>
      <c r="F1589" s="841">
        <v>45871</v>
      </c>
      <c r="G1589" s="839" t="s">
        <v>3454</v>
      </c>
      <c r="H1589" s="842" t="s">
        <v>102</v>
      </c>
      <c r="I1589" s="883" t="s">
        <v>5366</v>
      </c>
      <c r="J1589" s="841"/>
      <c r="K1589" s="841"/>
      <c r="L1589" s="843" t="s">
        <v>106</v>
      </c>
      <c r="M1589" s="844" t="s">
        <v>5258</v>
      </c>
      <c r="N1589" s="841"/>
      <c r="O1589" s="884" t="s">
        <v>3459</v>
      </c>
      <c r="P1589" s="842"/>
      <c r="Q1589" s="843"/>
      <c r="R1589" s="845" t="s">
        <v>5381</v>
      </c>
      <c r="S1589" s="1127" t="s">
        <v>5381</v>
      </c>
      <c r="T1589" s="885" t="s">
        <v>5382</v>
      </c>
      <c r="U1589" s="886">
        <v>58</v>
      </c>
      <c r="V1589" s="842" t="s">
        <v>8</v>
      </c>
      <c r="W1589" s="846">
        <v>9.9</v>
      </c>
      <c r="X1589" s="847">
        <f t="shared" si="300"/>
        <v>574.20000000000005</v>
      </c>
      <c r="Y1589" s="853">
        <v>0</v>
      </c>
      <c r="Z1589" s="849">
        <v>9.9</v>
      </c>
      <c r="AA1589" s="849"/>
      <c r="AB1589" s="849">
        <f t="shared" si="291"/>
        <v>574.20000000000005</v>
      </c>
      <c r="AC1589" s="850">
        <f t="shared" si="292"/>
        <v>574.20000000000005</v>
      </c>
      <c r="AD1589" s="851">
        <f t="shared" si="290"/>
        <v>27000</v>
      </c>
      <c r="AE1589" s="852">
        <v>26230</v>
      </c>
      <c r="AF1589" s="853">
        <v>0</v>
      </c>
      <c r="AG1589" s="854">
        <f t="shared" si="293"/>
        <v>0</v>
      </c>
      <c r="AH1589" s="853">
        <v>0.08</v>
      </c>
      <c r="AI1589" s="855">
        <f t="shared" si="294"/>
        <v>1204901.2800000003</v>
      </c>
      <c r="AJ1589" s="845" t="s">
        <v>5369</v>
      </c>
      <c r="AK1589" s="857">
        <v>45915</v>
      </c>
      <c r="AL1589" s="843" t="s">
        <v>5370</v>
      </c>
      <c r="AM1589" s="843" t="s">
        <v>5371</v>
      </c>
      <c r="AN1589" s="844" t="s">
        <v>3951</v>
      </c>
      <c r="AO1589" s="844" t="s">
        <v>141</v>
      </c>
      <c r="AP1589" s="841"/>
      <c r="AQ1589" s="841">
        <v>45931</v>
      </c>
      <c r="AR1589" s="841">
        <v>45934</v>
      </c>
      <c r="AS1589" s="842" t="s">
        <v>1581</v>
      </c>
      <c r="AT1589" s="842" t="s">
        <v>1235</v>
      </c>
      <c r="AU1589" s="842" t="s">
        <v>1311</v>
      </c>
      <c r="AV1589" s="845" t="s">
        <v>5372</v>
      </c>
      <c r="AW1589" s="861">
        <v>45933</v>
      </c>
      <c r="AX1589" s="862">
        <v>45936</v>
      </c>
      <c r="AY1589" s="843" t="s">
        <v>5383</v>
      </c>
      <c r="AZ1589" s="842">
        <v>94059950</v>
      </c>
      <c r="BA1589" s="842" t="s">
        <v>120</v>
      </c>
      <c r="BB1589" s="863" t="s">
        <v>121</v>
      </c>
      <c r="BC1589" s="864">
        <v>45907</v>
      </c>
      <c r="BD1589" s="860" t="s">
        <v>5374</v>
      </c>
      <c r="BE1589" s="865" cm="1">
        <f t="array" ref="BE1589">IF(BD1589="","",AC1589/SUMPRODUCT(--(BD1589=$BD$4:$BD$12824),$AC$4:$AC$12824))</f>
        <v>2.2959706953848271E-2</v>
      </c>
      <c r="BF1589" s="458"/>
      <c r="BG1589" s="458"/>
      <c r="BH1589" s="458"/>
      <c r="BI1589" s="458"/>
      <c r="BJ1589" s="458"/>
      <c r="BK1589" s="458"/>
      <c r="BL1589" s="458"/>
      <c r="BM1589" s="458"/>
      <c r="BN1589" s="458"/>
      <c r="BO1589" s="866">
        <f>VLOOKUP(BD1589,$BD$4:$BN$12824,3,0)*BE1589</f>
        <v>606.59545772067133</v>
      </c>
      <c r="BP1589" s="866"/>
      <c r="BQ1589" s="866"/>
      <c r="BR1589" s="866">
        <f>VLOOKUP(BD1589,$BD$4:$BN$12824,6,0)*BE1589</f>
        <v>0</v>
      </c>
      <c r="BS1589" s="866">
        <f>VLOOKUP(BD1589,$BD$4:$BN$12824,7,0)*BE1589</f>
        <v>14900.411491369317</v>
      </c>
      <c r="BT1589" s="866"/>
      <c r="BU1589" s="866">
        <f>VLOOKUP(BD1589,$BD$4:$BN$12824,9,0)*BE1589</f>
        <v>729.38397050985191</v>
      </c>
      <c r="BV1589" s="867"/>
      <c r="BW1589" s="867">
        <f>VLOOKUP(BD1589,$BD$4:$BN$12824,11,0)*BE1589</f>
        <v>13775.824172308963</v>
      </c>
      <c r="BX1589" s="1146">
        <f t="shared" si="295"/>
        <v>30012.215091908805</v>
      </c>
      <c r="BY1589" s="867">
        <f t="shared" si="298"/>
        <v>260194.45198434329</v>
      </c>
      <c r="BZ1589" s="867">
        <f t="shared" si="296"/>
        <v>15091278.21509191</v>
      </c>
      <c r="CA1589" s="867">
        <f>_xlfn.MAXIFS($BY$4:$BY$12824,$S$4:$S$12824,$S1589)</f>
        <v>260194.45198434329</v>
      </c>
      <c r="CB1589" s="1032"/>
      <c r="CF1589" s="946">
        <f t="shared" si="297"/>
        <v>15061266.000000002</v>
      </c>
    </row>
    <row r="1590" spans="2:84">
      <c r="B1590" s="839" t="s">
        <v>98</v>
      </c>
      <c r="C1590" s="839" t="s">
        <v>3454</v>
      </c>
      <c r="D1590" s="839" t="s">
        <v>5365</v>
      </c>
      <c r="E1590" s="839" t="s">
        <v>5365</v>
      </c>
      <c r="F1590" s="841">
        <v>45871</v>
      </c>
      <c r="G1590" s="839" t="s">
        <v>3454</v>
      </c>
      <c r="H1590" s="842" t="s">
        <v>102</v>
      </c>
      <c r="I1590" s="883" t="s">
        <v>5366</v>
      </c>
      <c r="J1590" s="841"/>
      <c r="K1590" s="841"/>
      <c r="L1590" s="843" t="s">
        <v>106</v>
      </c>
      <c r="M1590" s="844" t="s">
        <v>5258</v>
      </c>
      <c r="N1590" s="841"/>
      <c r="O1590" s="884" t="s">
        <v>3459</v>
      </c>
      <c r="P1590" s="842"/>
      <c r="Q1590" s="843"/>
      <c r="R1590" s="845" t="s">
        <v>5384</v>
      </c>
      <c r="S1590" s="1127" t="s">
        <v>5384</v>
      </c>
      <c r="T1590" s="885" t="s">
        <v>5385</v>
      </c>
      <c r="U1590" s="886">
        <v>89</v>
      </c>
      <c r="V1590" s="842" t="s">
        <v>8</v>
      </c>
      <c r="W1590" s="846">
        <v>21.3</v>
      </c>
      <c r="X1590" s="847">
        <f t="shared" si="300"/>
        <v>1895.7</v>
      </c>
      <c r="Y1590" s="853">
        <v>0</v>
      </c>
      <c r="Z1590" s="849">
        <v>21.3</v>
      </c>
      <c r="AA1590" s="849"/>
      <c r="AB1590" s="849">
        <f t="shared" si="291"/>
        <v>1895.7</v>
      </c>
      <c r="AC1590" s="850">
        <f t="shared" si="292"/>
        <v>1895.7</v>
      </c>
      <c r="AD1590" s="851">
        <f t="shared" si="290"/>
        <v>27000</v>
      </c>
      <c r="AE1590" s="852">
        <v>26230</v>
      </c>
      <c r="AF1590" s="853">
        <v>0</v>
      </c>
      <c r="AG1590" s="854">
        <f t="shared" si="293"/>
        <v>0</v>
      </c>
      <c r="AH1590" s="853">
        <v>0.08</v>
      </c>
      <c r="AI1590" s="855">
        <f t="shared" si="294"/>
        <v>3977936.88</v>
      </c>
      <c r="AJ1590" s="845" t="s">
        <v>5369</v>
      </c>
      <c r="AK1590" s="857">
        <v>45915</v>
      </c>
      <c r="AL1590" s="843" t="s">
        <v>5370</v>
      </c>
      <c r="AM1590" s="843" t="s">
        <v>5371</v>
      </c>
      <c r="AN1590" s="844" t="s">
        <v>3951</v>
      </c>
      <c r="AO1590" s="844" t="s">
        <v>141</v>
      </c>
      <c r="AP1590" s="841"/>
      <c r="AQ1590" s="841">
        <v>45931</v>
      </c>
      <c r="AR1590" s="841">
        <v>45934</v>
      </c>
      <c r="AS1590" s="842" t="s">
        <v>1581</v>
      </c>
      <c r="AT1590" s="842" t="s">
        <v>1235</v>
      </c>
      <c r="AU1590" s="842" t="s">
        <v>1311</v>
      </c>
      <c r="AV1590" s="845" t="s">
        <v>5372</v>
      </c>
      <c r="AW1590" s="861">
        <v>45933</v>
      </c>
      <c r="AX1590" s="862">
        <v>45936</v>
      </c>
      <c r="AY1590" s="843" t="s">
        <v>5386</v>
      </c>
      <c r="AZ1590" s="842">
        <v>94059950</v>
      </c>
      <c r="BA1590" s="842" t="s">
        <v>120</v>
      </c>
      <c r="BB1590" s="863" t="s">
        <v>121</v>
      </c>
      <c r="BC1590" s="864">
        <v>45907</v>
      </c>
      <c r="BD1590" s="860" t="s">
        <v>5374</v>
      </c>
      <c r="BE1590" s="865" cm="1">
        <f t="array" ref="BE1590">IF(BD1590="","",AC1590/SUMPRODUCT(--(BD1590=$BD$4:$BD$12824),$AC$4:$AC$12824))</f>
        <v>7.5800620815761346E-2</v>
      </c>
      <c r="BF1590" s="458"/>
      <c r="BG1590" s="458"/>
      <c r="BH1590" s="458"/>
      <c r="BI1590" s="458"/>
      <c r="BJ1590" s="458"/>
      <c r="BK1590" s="458"/>
      <c r="BL1590" s="458"/>
      <c r="BM1590" s="458"/>
      <c r="BN1590" s="458"/>
      <c r="BO1590" s="866">
        <f>VLOOKUP(BD1590,$BD$4:$BN$12824,3,0)*BE1590</f>
        <v>2002.6524019524147</v>
      </c>
      <c r="BP1590" s="866"/>
      <c r="BQ1590" s="866"/>
      <c r="BR1590" s="866">
        <f>VLOOKUP(BD1590,$BD$4:$BN$12824,6,0)*BE1590</f>
        <v>0</v>
      </c>
      <c r="BS1590" s="866">
        <f>VLOOKUP(BD1590,$BD$4:$BN$12824,7,0)*BE1590</f>
        <v>49193.155806668081</v>
      </c>
      <c r="BT1590" s="866"/>
      <c r="BU1590" s="866">
        <f>VLOOKUP(BD1590,$BD$4:$BN$12824,9,0)*BE1590</f>
        <v>2408.0341220751066</v>
      </c>
      <c r="BV1590" s="867"/>
      <c r="BW1590" s="867">
        <f>VLOOKUP(BD1590,$BD$4:$BN$12824,11,0)*BE1590</f>
        <v>45480.372489456808</v>
      </c>
      <c r="BX1590" s="1146">
        <f t="shared" si="295"/>
        <v>99084.214820152411</v>
      </c>
      <c r="BY1590" s="867">
        <f t="shared" si="298"/>
        <v>559812.30578449613</v>
      </c>
      <c r="BZ1590" s="867">
        <f t="shared" si="296"/>
        <v>49823295.214820154</v>
      </c>
      <c r="CA1590" s="867">
        <f>_xlfn.MAXIFS($BY$4:$BY$12824,$S$4:$S$12824,$S1590)</f>
        <v>559812.30578449613</v>
      </c>
      <c r="CB1590" s="1032"/>
      <c r="CF1590" s="946">
        <f t="shared" si="297"/>
        <v>49724211</v>
      </c>
    </row>
    <row r="1591" spans="2:84">
      <c r="B1591" s="839" t="s">
        <v>98</v>
      </c>
      <c r="C1591" s="839" t="s">
        <v>3454</v>
      </c>
      <c r="D1591" s="839" t="s">
        <v>5365</v>
      </c>
      <c r="E1591" s="839" t="s">
        <v>5365</v>
      </c>
      <c r="F1591" s="841">
        <v>45871</v>
      </c>
      <c r="G1591" s="839" t="s">
        <v>3454</v>
      </c>
      <c r="H1591" s="842" t="s">
        <v>102</v>
      </c>
      <c r="I1591" s="883" t="s">
        <v>5366</v>
      </c>
      <c r="J1591" s="841"/>
      <c r="K1591" s="841"/>
      <c r="L1591" s="843" t="s">
        <v>106</v>
      </c>
      <c r="M1591" s="844" t="s">
        <v>5258</v>
      </c>
      <c r="N1591" s="841"/>
      <c r="O1591" s="884" t="s">
        <v>3459</v>
      </c>
      <c r="P1591" s="842"/>
      <c r="Q1591" s="843"/>
      <c r="R1591" s="845" t="s">
        <v>5387</v>
      </c>
      <c r="S1591" s="1127" t="s">
        <v>5387</v>
      </c>
      <c r="T1591" s="885" t="s">
        <v>5388</v>
      </c>
      <c r="U1591" s="886">
        <v>60</v>
      </c>
      <c r="V1591" s="842" t="s">
        <v>8</v>
      </c>
      <c r="W1591" s="846">
        <v>12.5</v>
      </c>
      <c r="X1591" s="847">
        <f t="shared" si="300"/>
        <v>750</v>
      </c>
      <c r="Y1591" s="853">
        <v>0</v>
      </c>
      <c r="Z1591" s="849">
        <v>12.5</v>
      </c>
      <c r="AA1591" s="849"/>
      <c r="AB1591" s="849">
        <f t="shared" si="291"/>
        <v>750</v>
      </c>
      <c r="AC1591" s="850">
        <f t="shared" si="292"/>
        <v>750</v>
      </c>
      <c r="AD1591" s="851">
        <f t="shared" si="290"/>
        <v>27000</v>
      </c>
      <c r="AE1591" s="852">
        <v>26230</v>
      </c>
      <c r="AF1591" s="853">
        <v>0</v>
      </c>
      <c r="AG1591" s="854">
        <f t="shared" si="293"/>
        <v>0</v>
      </c>
      <c r="AH1591" s="853">
        <v>0.08</v>
      </c>
      <c r="AI1591" s="855">
        <f t="shared" si="294"/>
        <v>1573800</v>
      </c>
      <c r="AJ1591" s="845" t="s">
        <v>5369</v>
      </c>
      <c r="AK1591" s="857">
        <v>45915</v>
      </c>
      <c r="AL1591" s="843" t="s">
        <v>5370</v>
      </c>
      <c r="AM1591" s="843" t="s">
        <v>5371</v>
      </c>
      <c r="AN1591" s="844" t="s">
        <v>3951</v>
      </c>
      <c r="AO1591" s="844" t="s">
        <v>141</v>
      </c>
      <c r="AP1591" s="841"/>
      <c r="AQ1591" s="841">
        <v>45931</v>
      </c>
      <c r="AR1591" s="841">
        <v>45934</v>
      </c>
      <c r="AS1591" s="842" t="s">
        <v>1581</v>
      </c>
      <c r="AT1591" s="842" t="s">
        <v>1235</v>
      </c>
      <c r="AU1591" s="842" t="s">
        <v>1311</v>
      </c>
      <c r="AV1591" s="845" t="s">
        <v>5372</v>
      </c>
      <c r="AW1591" s="861">
        <v>45933</v>
      </c>
      <c r="AX1591" s="862">
        <v>45936</v>
      </c>
      <c r="AY1591" s="843" t="s">
        <v>5389</v>
      </c>
      <c r="AZ1591" s="842">
        <v>94059950</v>
      </c>
      <c r="BA1591" s="842" t="s">
        <v>120</v>
      </c>
      <c r="BB1591" s="863" t="s">
        <v>121</v>
      </c>
      <c r="BC1591" s="864">
        <v>45907</v>
      </c>
      <c r="BD1591" s="860" t="s">
        <v>5374</v>
      </c>
      <c r="BE1591" s="865" cm="1">
        <f t="array" ref="BE1591">IF(BD1591="","",AC1591/SUMPRODUCT(--(BD1591=$BD$4:$BD$12824),$AC$4:$AC$12824))</f>
        <v>2.9989167912549984E-2</v>
      </c>
      <c r="BF1591" s="458"/>
      <c r="BG1591" s="458"/>
      <c r="BH1591" s="458"/>
      <c r="BI1591" s="458"/>
      <c r="BJ1591" s="458"/>
      <c r="BK1591" s="458"/>
      <c r="BL1591" s="458"/>
      <c r="BM1591" s="458"/>
      <c r="BN1591" s="458"/>
      <c r="BO1591" s="866">
        <f>VLOOKUP(BD1591,$BD$4:$BN$12824,3,0)*BE1591</f>
        <v>792.31381624957055</v>
      </c>
      <c r="BP1591" s="866"/>
      <c r="BQ1591" s="866"/>
      <c r="BR1591" s="866">
        <f>VLOOKUP(BD1591,$BD$4:$BN$12824,6,0)*BE1591</f>
        <v>0</v>
      </c>
      <c r="BS1591" s="866">
        <f>VLOOKUP(BD1591,$BD$4:$BN$12824,7,0)*BE1591</f>
        <v>19462.397454766608</v>
      </c>
      <c r="BT1591" s="866"/>
      <c r="BU1591" s="866">
        <f>VLOOKUP(BD1591,$BD$4:$BN$12824,9,0)*BE1591</f>
        <v>952.69588624588789</v>
      </c>
      <c r="BV1591" s="867"/>
      <c r="BW1591" s="867">
        <f>VLOOKUP(BD1591,$BD$4:$BN$12824,11,0)*BE1591</f>
        <v>17993.50074752999</v>
      </c>
      <c r="BX1591" s="1146">
        <f t="shared" si="295"/>
        <v>39200.907904792053</v>
      </c>
      <c r="BY1591" s="867">
        <f t="shared" si="298"/>
        <v>328528.34846507985</v>
      </c>
      <c r="BZ1591" s="867">
        <f t="shared" si="296"/>
        <v>19711700.907904793</v>
      </c>
      <c r="CA1591" s="867">
        <f>_xlfn.MAXIFS($BY$4:$BY$12824,$S$4:$S$12824,$S1591)</f>
        <v>328528.34846507985</v>
      </c>
      <c r="CB1591" s="1032"/>
      <c r="CF1591" s="946">
        <f t="shared" si="297"/>
        <v>19672500</v>
      </c>
    </row>
    <row r="1592" spans="2:84">
      <c r="B1592" s="839" t="s">
        <v>98</v>
      </c>
      <c r="C1592" s="839" t="s">
        <v>3454</v>
      </c>
      <c r="D1592" s="839" t="s">
        <v>5365</v>
      </c>
      <c r="E1592" s="839" t="s">
        <v>5365</v>
      </c>
      <c r="F1592" s="841">
        <v>45871</v>
      </c>
      <c r="G1592" s="839" t="s">
        <v>3454</v>
      </c>
      <c r="H1592" s="842" t="s">
        <v>102</v>
      </c>
      <c r="I1592" s="883" t="s">
        <v>5366</v>
      </c>
      <c r="J1592" s="841"/>
      <c r="K1592" s="841"/>
      <c r="L1592" s="843" t="s">
        <v>106</v>
      </c>
      <c r="M1592" s="844" t="s">
        <v>5258</v>
      </c>
      <c r="N1592" s="841"/>
      <c r="O1592" s="884" t="s">
        <v>3459</v>
      </c>
      <c r="P1592" s="842"/>
      <c r="Q1592" s="843"/>
      <c r="R1592" s="845" t="s">
        <v>5390</v>
      </c>
      <c r="S1592" s="1127" t="s">
        <v>5390</v>
      </c>
      <c r="T1592" s="885" t="s">
        <v>5391</v>
      </c>
      <c r="U1592" s="886">
        <v>61</v>
      </c>
      <c r="V1592" s="842" t="s">
        <v>8</v>
      </c>
      <c r="W1592" s="846">
        <v>11.6</v>
      </c>
      <c r="X1592" s="847">
        <f t="shared" si="300"/>
        <v>707.6</v>
      </c>
      <c r="Y1592" s="853">
        <v>0</v>
      </c>
      <c r="Z1592" s="849">
        <v>11.6</v>
      </c>
      <c r="AA1592" s="849"/>
      <c r="AB1592" s="849">
        <f t="shared" si="291"/>
        <v>707.6</v>
      </c>
      <c r="AC1592" s="850">
        <f t="shared" si="292"/>
        <v>707.6</v>
      </c>
      <c r="AD1592" s="851">
        <f t="shared" si="290"/>
        <v>27000</v>
      </c>
      <c r="AE1592" s="852">
        <v>26230</v>
      </c>
      <c r="AF1592" s="853">
        <v>0</v>
      </c>
      <c r="AG1592" s="854">
        <f t="shared" si="293"/>
        <v>0</v>
      </c>
      <c r="AH1592" s="853">
        <v>0.08</v>
      </c>
      <c r="AI1592" s="855">
        <f t="shared" si="294"/>
        <v>1484827.84</v>
      </c>
      <c r="AJ1592" s="845" t="s">
        <v>5369</v>
      </c>
      <c r="AK1592" s="857">
        <v>45915</v>
      </c>
      <c r="AL1592" s="843" t="s">
        <v>5370</v>
      </c>
      <c r="AM1592" s="843" t="s">
        <v>5371</v>
      </c>
      <c r="AN1592" s="844" t="s">
        <v>3951</v>
      </c>
      <c r="AO1592" s="844" t="s">
        <v>141</v>
      </c>
      <c r="AP1592" s="841"/>
      <c r="AQ1592" s="841">
        <v>45931</v>
      </c>
      <c r="AR1592" s="841">
        <v>45934</v>
      </c>
      <c r="AS1592" s="842" t="s">
        <v>1581</v>
      </c>
      <c r="AT1592" s="842" t="s">
        <v>1235</v>
      </c>
      <c r="AU1592" s="842" t="s">
        <v>1311</v>
      </c>
      <c r="AV1592" s="845" t="s">
        <v>5372</v>
      </c>
      <c r="AW1592" s="861">
        <v>45933</v>
      </c>
      <c r="AX1592" s="862">
        <v>45936</v>
      </c>
      <c r="AY1592" s="843" t="s">
        <v>5392</v>
      </c>
      <c r="AZ1592" s="842">
        <v>94059950</v>
      </c>
      <c r="BA1592" s="842" t="s">
        <v>120</v>
      </c>
      <c r="BB1592" s="863" t="s">
        <v>121</v>
      </c>
      <c r="BC1592" s="864">
        <v>45907</v>
      </c>
      <c r="BD1592" s="860" t="s">
        <v>5374</v>
      </c>
      <c r="BE1592" s="865" cm="1">
        <f t="array" ref="BE1592">IF(BD1592="","",AC1592/SUMPRODUCT(--(BD1592=$BD$4:$BD$12824),$AC$4:$AC$12824))</f>
        <v>2.8293780286560492E-2</v>
      </c>
      <c r="BF1592" s="458"/>
      <c r="BG1592" s="458"/>
      <c r="BH1592" s="458"/>
      <c r="BI1592" s="458"/>
      <c r="BJ1592" s="458"/>
      <c r="BK1592" s="458"/>
      <c r="BL1592" s="458"/>
      <c r="BM1592" s="458"/>
      <c r="BN1592" s="458"/>
      <c r="BO1592" s="866">
        <f>VLOOKUP(BD1592,$BD$4:$BN$12824,3,0)*BE1592</f>
        <v>747.52167517092823</v>
      </c>
      <c r="BP1592" s="866"/>
      <c r="BQ1592" s="866"/>
      <c r="BR1592" s="866">
        <f>VLOOKUP(BD1592,$BD$4:$BN$12824,6,0)*BE1592</f>
        <v>0</v>
      </c>
      <c r="BS1592" s="866">
        <f>VLOOKUP(BD1592,$BD$4:$BN$12824,7,0)*BE1592</f>
        <v>18362.12325199047</v>
      </c>
      <c r="BT1592" s="866"/>
      <c r="BU1592" s="866">
        <f>VLOOKUP(BD1592,$BD$4:$BN$12824,9,0)*BE1592</f>
        <v>898.8368121434537</v>
      </c>
      <c r="BV1592" s="867"/>
      <c r="BW1592" s="867">
        <f>VLOOKUP(BD1592,$BD$4:$BN$12824,11,0)*BE1592</f>
        <v>16976.268171936295</v>
      </c>
      <c r="BX1592" s="1146">
        <f t="shared" si="295"/>
        <v>36984.749911241146</v>
      </c>
      <c r="BY1592" s="867">
        <f t="shared" si="298"/>
        <v>304874.3073755941</v>
      </c>
      <c r="BZ1592" s="867">
        <f t="shared" si="296"/>
        <v>18597332.749911241</v>
      </c>
      <c r="CA1592" s="867">
        <f>_xlfn.MAXIFS($BY$4:$BY$12824,$S$4:$S$12824,$S1592)</f>
        <v>304874.3073755941</v>
      </c>
      <c r="CB1592" s="1032"/>
      <c r="CF1592" s="946">
        <f t="shared" si="297"/>
        <v>18560348</v>
      </c>
    </row>
    <row r="1593" spans="2:84">
      <c r="B1593" s="839" t="s">
        <v>98</v>
      </c>
      <c r="C1593" s="839" t="s">
        <v>3454</v>
      </c>
      <c r="D1593" s="839" t="s">
        <v>5365</v>
      </c>
      <c r="E1593" s="839" t="s">
        <v>5365</v>
      </c>
      <c r="F1593" s="841">
        <v>45871</v>
      </c>
      <c r="G1593" s="839" t="s">
        <v>3454</v>
      </c>
      <c r="H1593" s="842" t="s">
        <v>102</v>
      </c>
      <c r="I1593" s="883" t="s">
        <v>5366</v>
      </c>
      <c r="J1593" s="841"/>
      <c r="K1593" s="841"/>
      <c r="L1593" s="843" t="s">
        <v>106</v>
      </c>
      <c r="M1593" s="844" t="s">
        <v>5258</v>
      </c>
      <c r="N1593" s="841"/>
      <c r="O1593" s="884" t="s">
        <v>3459</v>
      </c>
      <c r="P1593" s="842"/>
      <c r="Q1593" s="843"/>
      <c r="R1593" s="845" t="s">
        <v>5393</v>
      </c>
      <c r="S1593" s="1127" t="s">
        <v>5393</v>
      </c>
      <c r="T1593" s="885" t="s">
        <v>5394</v>
      </c>
      <c r="U1593" s="886">
        <v>116</v>
      </c>
      <c r="V1593" s="842" t="s">
        <v>8</v>
      </c>
      <c r="W1593" s="846">
        <v>11.6</v>
      </c>
      <c r="X1593" s="847">
        <f t="shared" si="300"/>
        <v>1345.6</v>
      </c>
      <c r="Y1593" s="853">
        <v>0</v>
      </c>
      <c r="Z1593" s="849">
        <v>11.6</v>
      </c>
      <c r="AA1593" s="849"/>
      <c r="AB1593" s="849">
        <f t="shared" si="291"/>
        <v>1345.6</v>
      </c>
      <c r="AC1593" s="850">
        <f t="shared" si="292"/>
        <v>1345.6</v>
      </c>
      <c r="AD1593" s="851">
        <f t="shared" ref="AD1593:AD1642" si="301">IF(V1593=$AD$2,$AE$2,$AE$3)</f>
        <v>27000</v>
      </c>
      <c r="AE1593" s="852">
        <v>26230</v>
      </c>
      <c r="AF1593" s="853">
        <v>0</v>
      </c>
      <c r="AG1593" s="854">
        <f t="shared" si="293"/>
        <v>0</v>
      </c>
      <c r="AH1593" s="853">
        <v>0.08</v>
      </c>
      <c r="AI1593" s="855">
        <f t="shared" si="294"/>
        <v>2823607.04</v>
      </c>
      <c r="AJ1593" s="845" t="s">
        <v>5369</v>
      </c>
      <c r="AK1593" s="857">
        <v>45915</v>
      </c>
      <c r="AL1593" s="843" t="s">
        <v>5370</v>
      </c>
      <c r="AM1593" s="843" t="s">
        <v>5371</v>
      </c>
      <c r="AN1593" s="844" t="s">
        <v>3951</v>
      </c>
      <c r="AO1593" s="844" t="s">
        <v>141</v>
      </c>
      <c r="AP1593" s="841"/>
      <c r="AQ1593" s="841">
        <v>45931</v>
      </c>
      <c r="AR1593" s="841">
        <v>45934</v>
      </c>
      <c r="AS1593" s="842" t="s">
        <v>1581</v>
      </c>
      <c r="AT1593" s="842" t="s">
        <v>1235</v>
      </c>
      <c r="AU1593" s="842" t="s">
        <v>1311</v>
      </c>
      <c r="AV1593" s="845" t="s">
        <v>5372</v>
      </c>
      <c r="AW1593" s="861">
        <v>45933</v>
      </c>
      <c r="AX1593" s="862">
        <v>45936</v>
      </c>
      <c r="AY1593" s="843" t="s">
        <v>5395</v>
      </c>
      <c r="AZ1593" s="842">
        <v>94059950</v>
      </c>
      <c r="BA1593" s="842" t="s">
        <v>120</v>
      </c>
      <c r="BB1593" s="863" t="s">
        <v>121</v>
      </c>
      <c r="BC1593" s="864">
        <v>45907</v>
      </c>
      <c r="BD1593" s="860" t="s">
        <v>5374</v>
      </c>
      <c r="BE1593" s="865" cm="1">
        <f t="array" ref="BE1593">IF(BD1593="","",AC1593/SUMPRODUCT(--(BD1593=$BD$4:$BD$12824),$AC$4:$AC$12824))</f>
        <v>5.380456579083634E-2</v>
      </c>
      <c r="BF1593" s="458"/>
      <c r="BG1593" s="458"/>
      <c r="BH1593" s="458"/>
      <c r="BI1593" s="458"/>
      <c r="BJ1593" s="458"/>
      <c r="BK1593" s="458"/>
      <c r="BL1593" s="458"/>
      <c r="BM1593" s="458"/>
      <c r="BN1593" s="458"/>
      <c r="BO1593" s="866">
        <f>VLOOKUP(BD1593,$BD$4:$BN$12824,3,0)*BE1593</f>
        <v>1421.5166281938962</v>
      </c>
      <c r="BP1593" s="866"/>
      <c r="BQ1593" s="866"/>
      <c r="BR1593" s="866">
        <f>VLOOKUP(BD1593,$BD$4:$BN$12824,6,0)*BE1593</f>
        <v>0</v>
      </c>
      <c r="BS1593" s="866">
        <f>VLOOKUP(BD1593,$BD$4:$BN$12824,7,0)*BE1593</f>
        <v>34918.136020178594</v>
      </c>
      <c r="BT1593" s="866"/>
      <c r="BU1593" s="866">
        <f>VLOOKUP(BD1593,$BD$4:$BN$12824,9,0)*BE1593</f>
        <v>1709.2634460432889</v>
      </c>
      <c r="BV1593" s="867"/>
      <c r="BW1593" s="867">
        <f>VLOOKUP(BD1593,$BD$4:$BN$12824,11,0)*BE1593</f>
        <v>32282.739474501803</v>
      </c>
      <c r="BX1593" s="1146">
        <f t="shared" si="295"/>
        <v>70331.655568917573</v>
      </c>
      <c r="BY1593" s="867">
        <f t="shared" si="298"/>
        <v>304874.30737559416</v>
      </c>
      <c r="BZ1593" s="867">
        <f t="shared" si="296"/>
        <v>35365419.65556892</v>
      </c>
      <c r="CA1593" s="867">
        <f>_xlfn.MAXIFS($BY$4:$BY$12824,$S$4:$S$12824,$S1593)</f>
        <v>304874.30737559416</v>
      </c>
      <c r="CB1593" s="1032"/>
      <c r="CF1593" s="946">
        <f t="shared" si="297"/>
        <v>35295088</v>
      </c>
    </row>
    <row r="1594" spans="2:84">
      <c r="B1594" s="839" t="s">
        <v>98</v>
      </c>
      <c r="C1594" s="839" t="s">
        <v>3454</v>
      </c>
      <c r="D1594" s="839" t="s">
        <v>5365</v>
      </c>
      <c r="E1594" s="839" t="s">
        <v>5365</v>
      </c>
      <c r="F1594" s="841">
        <v>45871</v>
      </c>
      <c r="G1594" s="839" t="s">
        <v>3454</v>
      </c>
      <c r="H1594" s="842" t="s">
        <v>102</v>
      </c>
      <c r="I1594" s="883" t="s">
        <v>5366</v>
      </c>
      <c r="J1594" s="841"/>
      <c r="K1594" s="841"/>
      <c r="L1594" s="843" t="s">
        <v>106</v>
      </c>
      <c r="M1594" s="844" t="s">
        <v>5258</v>
      </c>
      <c r="N1594" s="841"/>
      <c r="O1594" s="884" t="s">
        <v>3459</v>
      </c>
      <c r="P1594" s="842"/>
      <c r="Q1594" s="843"/>
      <c r="R1594" s="845" t="s">
        <v>3590</v>
      </c>
      <c r="S1594" s="1127" t="s">
        <v>3590</v>
      </c>
      <c r="T1594" s="885" t="s">
        <v>5396</v>
      </c>
      <c r="U1594" s="886">
        <v>142</v>
      </c>
      <c r="V1594" s="842" t="s">
        <v>8</v>
      </c>
      <c r="W1594" s="846">
        <v>7.51</v>
      </c>
      <c r="X1594" s="847">
        <f t="shared" si="300"/>
        <v>1066.42</v>
      </c>
      <c r="Y1594" s="853">
        <v>0</v>
      </c>
      <c r="Z1594" s="849">
        <v>7.51</v>
      </c>
      <c r="AA1594" s="849"/>
      <c r="AB1594" s="849">
        <f t="shared" si="291"/>
        <v>1066.42</v>
      </c>
      <c r="AC1594" s="850">
        <f t="shared" si="292"/>
        <v>1066.42</v>
      </c>
      <c r="AD1594" s="851">
        <f t="shared" si="301"/>
        <v>27000</v>
      </c>
      <c r="AE1594" s="852">
        <v>26230</v>
      </c>
      <c r="AF1594" s="853">
        <v>0</v>
      </c>
      <c r="AG1594" s="854">
        <f t="shared" si="293"/>
        <v>0</v>
      </c>
      <c r="AH1594" s="853">
        <v>0.08</v>
      </c>
      <c r="AI1594" s="855">
        <f t="shared" si="294"/>
        <v>2237775.7280000001</v>
      </c>
      <c r="AJ1594" s="845" t="s">
        <v>5369</v>
      </c>
      <c r="AK1594" s="857">
        <v>45915</v>
      </c>
      <c r="AL1594" s="843" t="s">
        <v>5370</v>
      </c>
      <c r="AM1594" s="843" t="s">
        <v>5371</v>
      </c>
      <c r="AN1594" s="844" t="s">
        <v>3951</v>
      </c>
      <c r="AO1594" s="844" t="s">
        <v>141</v>
      </c>
      <c r="AP1594" s="841"/>
      <c r="AQ1594" s="841">
        <v>45931</v>
      </c>
      <c r="AR1594" s="841">
        <v>45934</v>
      </c>
      <c r="AS1594" s="842" t="s">
        <v>1581</v>
      </c>
      <c r="AT1594" s="842" t="s">
        <v>1235</v>
      </c>
      <c r="AU1594" s="842" t="s">
        <v>1311</v>
      </c>
      <c r="AV1594" s="845" t="s">
        <v>5372</v>
      </c>
      <c r="AW1594" s="861">
        <v>45933</v>
      </c>
      <c r="AX1594" s="862">
        <v>45936</v>
      </c>
      <c r="AY1594" s="843" t="s">
        <v>5397</v>
      </c>
      <c r="AZ1594" s="842">
        <v>94059290</v>
      </c>
      <c r="BA1594" s="842" t="s">
        <v>120</v>
      </c>
      <c r="BB1594" s="863" t="s">
        <v>121</v>
      </c>
      <c r="BC1594" s="864">
        <v>45907</v>
      </c>
      <c r="BD1594" s="860" t="s">
        <v>5374</v>
      </c>
      <c r="BE1594" s="865" cm="1">
        <f t="array" ref="BE1594">IF(BD1594="","",AC1594/SUMPRODUCT(--(BD1594=$BD$4:$BD$12824),$AC$4:$AC$12824))</f>
        <v>4.2641397927068739E-2</v>
      </c>
      <c r="BF1594" s="458"/>
      <c r="BG1594" s="458"/>
      <c r="BH1594" s="458"/>
      <c r="BI1594" s="458"/>
      <c r="BJ1594" s="458"/>
      <c r="BK1594" s="458"/>
      <c r="BL1594" s="458"/>
      <c r="BM1594" s="458"/>
      <c r="BN1594" s="458"/>
      <c r="BO1594" s="866">
        <f>VLOOKUP(BD1594,$BD$4:$BN$12824,3,0)*BE1594</f>
        <v>1126.5857332331561</v>
      </c>
      <c r="BP1594" s="866"/>
      <c r="BQ1594" s="866"/>
      <c r="BR1594" s="866">
        <f>VLOOKUP(BD1594,$BD$4:$BN$12824,6,0)*BE1594</f>
        <v>0</v>
      </c>
      <c r="BS1594" s="866">
        <f>VLOOKUP(BD1594,$BD$4:$BN$12824,7,0)*BE1594</f>
        <v>27673.453191616274</v>
      </c>
      <c r="BT1594" s="866"/>
      <c r="BU1594" s="866">
        <f>VLOOKUP(BD1594,$BD$4:$BN$12824,9,0)*BE1594</f>
        <v>1354.6319293471197</v>
      </c>
      <c r="BV1594" s="867"/>
      <c r="BW1594" s="867">
        <f>VLOOKUP(BD1594,$BD$4:$BN$12824,11,0)*BE1594</f>
        <v>25584.838756241243</v>
      </c>
      <c r="BX1594" s="1146">
        <f t="shared" si="295"/>
        <v>55739.509610437795</v>
      </c>
      <c r="BY1594" s="867">
        <f t="shared" si="298"/>
        <v>197379.83175781998</v>
      </c>
      <c r="BZ1594" s="867">
        <f t="shared" si="296"/>
        <v>28027936.109610438</v>
      </c>
      <c r="CA1594" s="867">
        <f>_xlfn.MAXIFS($BY$4:$BY$12824,$S$4:$S$12824,$S1594)</f>
        <v>221056.13937460605</v>
      </c>
      <c r="CB1594" s="1032"/>
      <c r="CF1594" s="946">
        <f t="shared" si="297"/>
        <v>27972196.600000001</v>
      </c>
    </row>
    <row r="1595" spans="2:84">
      <c r="B1595" s="839" t="s">
        <v>98</v>
      </c>
      <c r="C1595" s="839" t="s">
        <v>3454</v>
      </c>
      <c r="D1595" s="839" t="s">
        <v>5365</v>
      </c>
      <c r="E1595" s="839" t="s">
        <v>5365</v>
      </c>
      <c r="F1595" s="841">
        <v>45871</v>
      </c>
      <c r="G1595" s="839" t="s">
        <v>3454</v>
      </c>
      <c r="H1595" s="842" t="s">
        <v>102</v>
      </c>
      <c r="I1595" s="883" t="s">
        <v>5366</v>
      </c>
      <c r="J1595" s="841"/>
      <c r="K1595" s="841"/>
      <c r="L1595" s="843" t="s">
        <v>106</v>
      </c>
      <c r="M1595" s="844" t="s">
        <v>5258</v>
      </c>
      <c r="N1595" s="841"/>
      <c r="O1595" s="884" t="s">
        <v>3459</v>
      </c>
      <c r="P1595" s="842"/>
      <c r="Q1595" s="843"/>
      <c r="R1595" s="845" t="s">
        <v>5398</v>
      </c>
      <c r="S1595" s="1127" t="s">
        <v>5398</v>
      </c>
      <c r="T1595" s="885" t="s">
        <v>5399</v>
      </c>
      <c r="U1595" s="886">
        <v>121</v>
      </c>
      <c r="V1595" s="842" t="s">
        <v>8</v>
      </c>
      <c r="W1595" s="846">
        <v>13.6</v>
      </c>
      <c r="X1595" s="847">
        <f t="shared" si="300"/>
        <v>1645.6</v>
      </c>
      <c r="Y1595" s="853">
        <v>0</v>
      </c>
      <c r="Z1595" s="849">
        <v>13.6</v>
      </c>
      <c r="AA1595" s="849"/>
      <c r="AB1595" s="849">
        <f t="shared" si="291"/>
        <v>1645.6</v>
      </c>
      <c r="AC1595" s="850">
        <f t="shared" si="292"/>
        <v>1645.6</v>
      </c>
      <c r="AD1595" s="851">
        <f t="shared" si="301"/>
        <v>27000</v>
      </c>
      <c r="AE1595" s="852">
        <v>26230</v>
      </c>
      <c r="AF1595" s="853">
        <v>0</v>
      </c>
      <c r="AG1595" s="854">
        <f t="shared" si="293"/>
        <v>0</v>
      </c>
      <c r="AH1595" s="853">
        <v>0.08</v>
      </c>
      <c r="AI1595" s="855">
        <f t="shared" si="294"/>
        <v>3453127.04</v>
      </c>
      <c r="AJ1595" s="845" t="s">
        <v>5369</v>
      </c>
      <c r="AK1595" s="857">
        <v>45915</v>
      </c>
      <c r="AL1595" s="843" t="s">
        <v>5370</v>
      </c>
      <c r="AM1595" s="843" t="s">
        <v>5371</v>
      </c>
      <c r="AN1595" s="844" t="s">
        <v>3951</v>
      </c>
      <c r="AO1595" s="844" t="s">
        <v>141</v>
      </c>
      <c r="AP1595" s="841"/>
      <c r="AQ1595" s="841">
        <v>45931</v>
      </c>
      <c r="AR1595" s="841">
        <v>45934</v>
      </c>
      <c r="AS1595" s="842" t="s">
        <v>1581</v>
      </c>
      <c r="AT1595" s="842" t="s">
        <v>1235</v>
      </c>
      <c r="AU1595" s="842" t="s">
        <v>1311</v>
      </c>
      <c r="AV1595" s="845" t="s">
        <v>5372</v>
      </c>
      <c r="AW1595" s="861">
        <v>45933</v>
      </c>
      <c r="AX1595" s="862">
        <v>45936</v>
      </c>
      <c r="AY1595" s="843" t="s">
        <v>5400</v>
      </c>
      <c r="AZ1595" s="842">
        <v>94059950</v>
      </c>
      <c r="BA1595" s="842" t="s">
        <v>120</v>
      </c>
      <c r="BB1595" s="863" t="s">
        <v>121</v>
      </c>
      <c r="BC1595" s="864">
        <v>45907</v>
      </c>
      <c r="BD1595" s="860" t="s">
        <v>5374</v>
      </c>
      <c r="BE1595" s="865" cm="1">
        <f t="array" ref="BE1595">IF(BD1595="","",AC1595/SUMPRODUCT(--(BD1595=$BD$4:$BD$12824),$AC$4:$AC$12824))</f>
        <v>6.5800232955856339E-2</v>
      </c>
      <c r="BF1595" s="458"/>
      <c r="BG1595" s="458"/>
      <c r="BH1595" s="458"/>
      <c r="BI1595" s="458"/>
      <c r="BJ1595" s="458"/>
      <c r="BK1595" s="458"/>
      <c r="BL1595" s="458"/>
      <c r="BM1595" s="458"/>
      <c r="BN1595" s="458"/>
      <c r="BO1595" s="866">
        <f>VLOOKUP(BD1595,$BD$4:$BN$12824,3,0)*BE1595</f>
        <v>1738.4421546937244</v>
      </c>
      <c r="BP1595" s="866"/>
      <c r="BQ1595" s="866"/>
      <c r="BR1595" s="866">
        <f>VLOOKUP(BD1595,$BD$4:$BN$12824,6,0)*BE1595</f>
        <v>0</v>
      </c>
      <c r="BS1595" s="866">
        <f>VLOOKUP(BD1595,$BD$4:$BN$12824,7,0)*BE1595</f>
        <v>42703.09500208524</v>
      </c>
      <c r="BT1595" s="866"/>
      <c r="BU1595" s="866">
        <f>VLOOKUP(BD1595,$BD$4:$BN$12824,9,0)*BE1595</f>
        <v>2090.3418005416443</v>
      </c>
      <c r="BV1595" s="867"/>
      <c r="BW1595" s="867">
        <f>VLOOKUP(BD1595,$BD$4:$BN$12824,11,0)*BE1595</f>
        <v>39480.139773513802</v>
      </c>
      <c r="BX1595" s="1146">
        <f t="shared" si="295"/>
        <v>86012.018730834418</v>
      </c>
      <c r="BY1595" s="867">
        <f t="shared" si="298"/>
        <v>357438.84313000692</v>
      </c>
      <c r="BZ1595" s="867">
        <f t="shared" si="296"/>
        <v>43250100.018730834</v>
      </c>
      <c r="CA1595" s="867">
        <f>_xlfn.MAXIFS($BY$4:$BY$12824,$S$4:$S$12824,$S1595)</f>
        <v>357438.84313000692</v>
      </c>
      <c r="CB1595" s="1032"/>
      <c r="CF1595" s="946">
        <f t="shared" si="297"/>
        <v>43164088</v>
      </c>
    </row>
    <row r="1596" spans="2:84">
      <c r="B1596" s="839" t="s">
        <v>98</v>
      </c>
      <c r="C1596" s="839" t="s">
        <v>3454</v>
      </c>
      <c r="D1596" s="839" t="s">
        <v>5365</v>
      </c>
      <c r="E1596" s="839" t="s">
        <v>5365</v>
      </c>
      <c r="F1596" s="841">
        <v>45871</v>
      </c>
      <c r="G1596" s="839" t="s">
        <v>3454</v>
      </c>
      <c r="H1596" s="842" t="s">
        <v>102</v>
      </c>
      <c r="I1596" s="883" t="s">
        <v>5366</v>
      </c>
      <c r="J1596" s="841"/>
      <c r="K1596" s="841"/>
      <c r="L1596" s="843" t="s">
        <v>106</v>
      </c>
      <c r="M1596" s="844" t="s">
        <v>5258</v>
      </c>
      <c r="N1596" s="841"/>
      <c r="O1596" s="884" t="s">
        <v>3459</v>
      </c>
      <c r="P1596" s="842"/>
      <c r="Q1596" s="843"/>
      <c r="R1596" s="845" t="s">
        <v>5401</v>
      </c>
      <c r="S1596" s="1127" t="s">
        <v>5401</v>
      </c>
      <c r="T1596" s="885" t="s">
        <v>5402</v>
      </c>
      <c r="U1596" s="886">
        <v>30</v>
      </c>
      <c r="V1596" s="842" t="s">
        <v>8</v>
      </c>
      <c r="W1596" s="846">
        <v>9.298</v>
      </c>
      <c r="X1596" s="847">
        <f t="shared" si="300"/>
        <v>278.94</v>
      </c>
      <c r="Y1596" s="853">
        <v>0</v>
      </c>
      <c r="Z1596" s="849">
        <v>9.298</v>
      </c>
      <c r="AA1596" s="849"/>
      <c r="AB1596" s="849">
        <f t="shared" si="291"/>
        <v>278.94</v>
      </c>
      <c r="AC1596" s="850">
        <f t="shared" si="292"/>
        <v>278.94</v>
      </c>
      <c r="AD1596" s="851">
        <f t="shared" si="301"/>
        <v>27000</v>
      </c>
      <c r="AE1596" s="852">
        <v>26230</v>
      </c>
      <c r="AF1596" s="853">
        <v>0</v>
      </c>
      <c r="AG1596" s="854">
        <f t="shared" si="293"/>
        <v>0</v>
      </c>
      <c r="AH1596" s="853">
        <v>0.08</v>
      </c>
      <c r="AI1596" s="855">
        <f t="shared" si="294"/>
        <v>585327.696</v>
      </c>
      <c r="AJ1596" s="845" t="s">
        <v>5369</v>
      </c>
      <c r="AK1596" s="857">
        <v>45915</v>
      </c>
      <c r="AL1596" s="843" t="s">
        <v>5370</v>
      </c>
      <c r="AM1596" s="843" t="s">
        <v>5371</v>
      </c>
      <c r="AN1596" s="844" t="s">
        <v>3951</v>
      </c>
      <c r="AO1596" s="844" t="s">
        <v>141</v>
      </c>
      <c r="AP1596" s="841"/>
      <c r="AQ1596" s="841">
        <v>45931</v>
      </c>
      <c r="AR1596" s="841">
        <v>45934</v>
      </c>
      <c r="AS1596" s="842" t="s">
        <v>1581</v>
      </c>
      <c r="AT1596" s="842" t="s">
        <v>1235</v>
      </c>
      <c r="AU1596" s="842" t="s">
        <v>1311</v>
      </c>
      <c r="AV1596" s="845" t="s">
        <v>5372</v>
      </c>
      <c r="AW1596" s="861">
        <v>45933</v>
      </c>
      <c r="AX1596" s="862">
        <v>45936</v>
      </c>
      <c r="AY1596" s="843" t="s">
        <v>5400</v>
      </c>
      <c r="AZ1596" s="842">
        <v>94059950</v>
      </c>
      <c r="BA1596" s="842" t="s">
        <v>120</v>
      </c>
      <c r="BB1596" s="863" t="s">
        <v>121</v>
      </c>
      <c r="BC1596" s="864">
        <v>45907</v>
      </c>
      <c r="BD1596" s="860" t="s">
        <v>5374</v>
      </c>
      <c r="BE1596" s="865" cm="1">
        <f t="array" ref="BE1596">IF(BD1596="","",AC1596/SUMPRODUCT(--(BD1596=$BD$4:$BD$12824),$AC$4:$AC$12824))</f>
        <v>1.115357133003559E-2</v>
      </c>
      <c r="BF1596" s="458"/>
      <c r="BG1596" s="458"/>
      <c r="BH1596" s="458"/>
      <c r="BI1596" s="458"/>
      <c r="BJ1596" s="458"/>
      <c r="BK1596" s="458"/>
      <c r="BL1596" s="458"/>
      <c r="BM1596" s="458"/>
      <c r="BN1596" s="458"/>
      <c r="BO1596" s="866">
        <f>VLOOKUP(BD1596,$BD$4:$BN$12824,3,0)*BE1596</f>
        <v>294.67735453954032</v>
      </c>
      <c r="BP1596" s="866"/>
      <c r="BQ1596" s="866"/>
      <c r="BR1596" s="866">
        <f>VLOOKUP(BD1596,$BD$4:$BN$12824,6,0)*BE1596</f>
        <v>0</v>
      </c>
      <c r="BS1596" s="866">
        <f>VLOOKUP(BD1596,$BD$4:$BN$12824,7,0)*BE1596</f>
        <v>7238.4548613767965</v>
      </c>
      <c r="BT1596" s="866"/>
      <c r="BU1596" s="866">
        <f>VLOOKUP(BD1596,$BD$4:$BN$12824,9,0)*BE1596</f>
        <v>354.3266540125706</v>
      </c>
      <c r="BV1596" s="867"/>
      <c r="BW1596" s="867">
        <f>VLOOKUP(BD1596,$BD$4:$BN$12824,11,0)*BE1596</f>
        <v>6692.1427980213539</v>
      </c>
      <c r="BX1596" s="1146">
        <f t="shared" si="295"/>
        <v>14579.601667950261</v>
      </c>
      <c r="BY1596" s="867">
        <f t="shared" si="298"/>
        <v>244372.526722265</v>
      </c>
      <c r="BZ1596" s="867">
        <f t="shared" si="296"/>
        <v>7331175.8016679501</v>
      </c>
      <c r="CA1596" s="867">
        <f>_xlfn.MAXIFS($BY$4:$BY$12824,$S$4:$S$12824,$S1596)</f>
        <v>244372.526722265</v>
      </c>
      <c r="CB1596" s="1032"/>
      <c r="CF1596" s="946">
        <f t="shared" si="297"/>
        <v>7316596.2000000002</v>
      </c>
    </row>
    <row r="1597" spans="2:84">
      <c r="B1597" s="839" t="s">
        <v>98</v>
      </c>
      <c r="C1597" s="839" t="s">
        <v>3454</v>
      </c>
      <c r="D1597" s="839" t="s">
        <v>5365</v>
      </c>
      <c r="E1597" s="839" t="s">
        <v>5365</v>
      </c>
      <c r="F1597" s="841">
        <v>45871</v>
      </c>
      <c r="G1597" s="839" t="s">
        <v>3454</v>
      </c>
      <c r="H1597" s="842" t="s">
        <v>102</v>
      </c>
      <c r="I1597" s="883" t="s">
        <v>5366</v>
      </c>
      <c r="J1597" s="841"/>
      <c r="K1597" s="841"/>
      <c r="L1597" s="843" t="s">
        <v>106</v>
      </c>
      <c r="M1597" s="844" t="s">
        <v>5258</v>
      </c>
      <c r="N1597" s="841"/>
      <c r="O1597" s="884" t="s">
        <v>3459</v>
      </c>
      <c r="P1597" s="842"/>
      <c r="Q1597" s="843"/>
      <c r="R1597" s="845" t="s">
        <v>5403</v>
      </c>
      <c r="S1597" s="1127" t="s">
        <v>5403</v>
      </c>
      <c r="T1597" s="885" t="s">
        <v>5404</v>
      </c>
      <c r="U1597" s="886">
        <v>91</v>
      </c>
      <c r="V1597" s="842" t="s">
        <v>8</v>
      </c>
      <c r="W1597" s="846">
        <v>2.15</v>
      </c>
      <c r="X1597" s="847">
        <f t="shared" si="300"/>
        <v>195.65</v>
      </c>
      <c r="Y1597" s="853">
        <v>0</v>
      </c>
      <c r="Z1597" s="849">
        <v>2.15</v>
      </c>
      <c r="AA1597" s="849"/>
      <c r="AB1597" s="849">
        <f t="shared" si="291"/>
        <v>195.65</v>
      </c>
      <c r="AC1597" s="850">
        <f t="shared" si="292"/>
        <v>195.65</v>
      </c>
      <c r="AD1597" s="851">
        <f t="shared" si="301"/>
        <v>27000</v>
      </c>
      <c r="AE1597" s="852">
        <v>26230</v>
      </c>
      <c r="AF1597" s="853">
        <v>0</v>
      </c>
      <c r="AG1597" s="854">
        <f t="shared" si="293"/>
        <v>0</v>
      </c>
      <c r="AH1597" s="853">
        <v>0.08</v>
      </c>
      <c r="AI1597" s="855">
        <f t="shared" si="294"/>
        <v>410551.96</v>
      </c>
      <c r="AJ1597" s="845" t="s">
        <v>5369</v>
      </c>
      <c r="AK1597" s="857">
        <v>45915</v>
      </c>
      <c r="AL1597" s="843" t="s">
        <v>5370</v>
      </c>
      <c r="AM1597" s="843" t="s">
        <v>5371</v>
      </c>
      <c r="AN1597" s="844" t="s">
        <v>3951</v>
      </c>
      <c r="AO1597" s="844" t="s">
        <v>141</v>
      </c>
      <c r="AP1597" s="841"/>
      <c r="AQ1597" s="841">
        <v>45931</v>
      </c>
      <c r="AR1597" s="841">
        <v>45934</v>
      </c>
      <c r="AS1597" s="842" t="s">
        <v>1581</v>
      </c>
      <c r="AT1597" s="842" t="s">
        <v>1235</v>
      </c>
      <c r="AU1597" s="842" t="s">
        <v>1311</v>
      </c>
      <c r="AV1597" s="845" t="s">
        <v>5372</v>
      </c>
      <c r="AW1597" s="861">
        <v>45933</v>
      </c>
      <c r="AX1597" s="862">
        <v>45936</v>
      </c>
      <c r="AY1597" s="843" t="s">
        <v>5400</v>
      </c>
      <c r="AZ1597" s="842">
        <v>94059950</v>
      </c>
      <c r="BA1597" s="842" t="s">
        <v>120</v>
      </c>
      <c r="BB1597" s="863" t="s">
        <v>121</v>
      </c>
      <c r="BC1597" s="864">
        <v>45907</v>
      </c>
      <c r="BD1597" s="860" t="s">
        <v>5374</v>
      </c>
      <c r="BE1597" s="865" cm="1">
        <f t="array" ref="BE1597">IF(BD1597="","",AC1597/SUMPRODUCT(--(BD1597=$BD$4:$BD$12824),$AC$4:$AC$12824))</f>
        <v>7.8231742694538729E-3</v>
      </c>
      <c r="BF1597" s="458"/>
      <c r="BG1597" s="458"/>
      <c r="BH1597" s="458"/>
      <c r="BI1597" s="458"/>
      <c r="BJ1597" s="458"/>
      <c r="BK1597" s="458"/>
      <c r="BL1597" s="458"/>
      <c r="BM1597" s="458"/>
      <c r="BN1597" s="458"/>
      <c r="BO1597" s="866">
        <f>VLOOKUP(BD1597,$BD$4:$BN$12824,3,0)*BE1597</f>
        <v>206.68826419897132</v>
      </c>
      <c r="BP1597" s="866"/>
      <c r="BQ1597" s="866"/>
      <c r="BR1597" s="866">
        <f>VLOOKUP(BD1597,$BD$4:$BN$12824,6,0)*BE1597</f>
        <v>0</v>
      </c>
      <c r="BS1597" s="866">
        <f>VLOOKUP(BD1597,$BD$4:$BN$12824,7,0)*BE1597</f>
        <v>5077.0907493667828</v>
      </c>
      <c r="BT1597" s="866"/>
      <c r="BU1597" s="866">
        <f>VLOOKUP(BD1597,$BD$4:$BN$12824,9,0)*BE1597</f>
        <v>248.52660019201062</v>
      </c>
      <c r="BV1597" s="867"/>
      <c r="BW1597" s="867">
        <f>VLOOKUP(BD1597,$BD$4:$BN$12824,11,0)*BE1597</f>
        <v>4693.9045616723233</v>
      </c>
      <c r="BX1597" s="1146">
        <f t="shared" si="295"/>
        <v>10226.210175430089</v>
      </c>
      <c r="BY1597" s="867">
        <f t="shared" si="298"/>
        <v>56506.875935993739</v>
      </c>
      <c r="BZ1597" s="867">
        <f t="shared" si="296"/>
        <v>5142125.7101754304</v>
      </c>
      <c r="CA1597" s="867">
        <f>_xlfn.MAXIFS($BY$4:$BY$12824,$S$4:$S$12824,$S1597)</f>
        <v>56506.875935993739</v>
      </c>
      <c r="CB1597" s="1032"/>
      <c r="CF1597" s="946">
        <f t="shared" si="297"/>
        <v>5131899.5</v>
      </c>
    </row>
    <row r="1598" spans="2:84">
      <c r="B1598" s="839" t="s">
        <v>98</v>
      </c>
      <c r="C1598" s="839" t="s">
        <v>3454</v>
      </c>
      <c r="D1598" s="839" t="s">
        <v>5365</v>
      </c>
      <c r="E1598" s="839" t="s">
        <v>5365</v>
      </c>
      <c r="F1598" s="841">
        <v>45871</v>
      </c>
      <c r="G1598" s="839" t="s">
        <v>3454</v>
      </c>
      <c r="H1598" s="842" t="s">
        <v>102</v>
      </c>
      <c r="I1598" s="883" t="s">
        <v>5366</v>
      </c>
      <c r="J1598" s="841"/>
      <c r="K1598" s="841"/>
      <c r="L1598" s="843" t="s">
        <v>106</v>
      </c>
      <c r="M1598" s="844" t="s">
        <v>5258</v>
      </c>
      <c r="N1598" s="841"/>
      <c r="O1598" s="884" t="s">
        <v>3459</v>
      </c>
      <c r="P1598" s="842"/>
      <c r="Q1598" s="843"/>
      <c r="R1598" s="845" t="s">
        <v>5405</v>
      </c>
      <c r="S1598" s="1127" t="s">
        <v>5405</v>
      </c>
      <c r="T1598" s="885" t="s">
        <v>5406</v>
      </c>
      <c r="U1598" s="886">
        <v>60</v>
      </c>
      <c r="V1598" s="842" t="s">
        <v>8</v>
      </c>
      <c r="W1598" s="846">
        <v>1.75</v>
      </c>
      <c r="X1598" s="847">
        <f t="shared" si="300"/>
        <v>105</v>
      </c>
      <c r="Y1598" s="853">
        <v>0</v>
      </c>
      <c r="Z1598" s="849">
        <v>1.75</v>
      </c>
      <c r="AA1598" s="849"/>
      <c r="AB1598" s="849">
        <f t="shared" si="291"/>
        <v>105</v>
      </c>
      <c r="AC1598" s="850">
        <f t="shared" si="292"/>
        <v>105</v>
      </c>
      <c r="AD1598" s="851">
        <f t="shared" si="301"/>
        <v>27000</v>
      </c>
      <c r="AE1598" s="852">
        <v>26230</v>
      </c>
      <c r="AF1598" s="853">
        <v>0</v>
      </c>
      <c r="AG1598" s="854">
        <f t="shared" si="293"/>
        <v>0</v>
      </c>
      <c r="AH1598" s="853">
        <v>0.08</v>
      </c>
      <c r="AI1598" s="855">
        <f t="shared" si="294"/>
        <v>220332</v>
      </c>
      <c r="AJ1598" s="845" t="s">
        <v>5369</v>
      </c>
      <c r="AK1598" s="857">
        <v>45915</v>
      </c>
      <c r="AL1598" s="843" t="s">
        <v>5370</v>
      </c>
      <c r="AM1598" s="843" t="s">
        <v>5371</v>
      </c>
      <c r="AN1598" s="844" t="s">
        <v>3951</v>
      </c>
      <c r="AO1598" s="844" t="s">
        <v>141</v>
      </c>
      <c r="AP1598" s="841"/>
      <c r="AQ1598" s="841">
        <v>45931</v>
      </c>
      <c r="AR1598" s="841">
        <v>45934</v>
      </c>
      <c r="AS1598" s="842" t="s">
        <v>1581</v>
      </c>
      <c r="AT1598" s="842" t="s">
        <v>1235</v>
      </c>
      <c r="AU1598" s="842" t="s">
        <v>1311</v>
      </c>
      <c r="AV1598" s="845" t="s">
        <v>5372</v>
      </c>
      <c r="AW1598" s="861">
        <v>45933</v>
      </c>
      <c r="AX1598" s="862">
        <v>45936</v>
      </c>
      <c r="AY1598" s="843" t="s">
        <v>5400</v>
      </c>
      <c r="AZ1598" s="842">
        <v>94059950</v>
      </c>
      <c r="BA1598" s="842" t="s">
        <v>120</v>
      </c>
      <c r="BB1598" s="863" t="s">
        <v>121</v>
      </c>
      <c r="BC1598" s="864">
        <v>45907</v>
      </c>
      <c r="BD1598" s="860" t="s">
        <v>5374</v>
      </c>
      <c r="BE1598" s="865" cm="1">
        <f t="array" ref="BE1598">IF(BD1598="","",AC1598/SUMPRODUCT(--(BD1598=$BD$4:$BD$12824),$AC$4:$AC$12824))</f>
        <v>4.1984835077569982E-3</v>
      </c>
      <c r="BF1598" s="458"/>
      <c r="BG1598" s="458"/>
      <c r="BH1598" s="458"/>
      <c r="BI1598" s="458"/>
      <c r="BJ1598" s="458"/>
      <c r="BK1598" s="458"/>
      <c r="BL1598" s="458"/>
      <c r="BM1598" s="458"/>
      <c r="BN1598" s="458"/>
      <c r="BO1598" s="866">
        <f>VLOOKUP(BD1598,$BD$4:$BN$12824,3,0)*BE1598</f>
        <v>110.9239342749399</v>
      </c>
      <c r="BP1598" s="866"/>
      <c r="BQ1598" s="866"/>
      <c r="BR1598" s="866">
        <f>VLOOKUP(BD1598,$BD$4:$BN$12824,6,0)*BE1598</f>
        <v>0</v>
      </c>
      <c r="BS1598" s="866">
        <f>VLOOKUP(BD1598,$BD$4:$BN$12824,7,0)*BE1598</f>
        <v>2724.7356436673253</v>
      </c>
      <c r="BT1598" s="866"/>
      <c r="BU1598" s="866">
        <f>VLOOKUP(BD1598,$BD$4:$BN$12824,9,0)*BE1598</f>
        <v>133.37742407442431</v>
      </c>
      <c r="BV1598" s="867"/>
      <c r="BW1598" s="867">
        <f>VLOOKUP(BD1598,$BD$4:$BN$12824,11,0)*BE1598</f>
        <v>2519.090104654199</v>
      </c>
      <c r="BX1598" s="1146">
        <f t="shared" si="295"/>
        <v>5488.1271066708887</v>
      </c>
      <c r="BY1598" s="867">
        <f t="shared" si="298"/>
        <v>45993.968785111181</v>
      </c>
      <c r="BZ1598" s="867">
        <f t="shared" si="296"/>
        <v>2759638.1271066708</v>
      </c>
      <c r="CA1598" s="867">
        <f>_xlfn.MAXIFS($BY$4:$BY$12824,$S$4:$S$12824,$S1598)</f>
        <v>45993.968785111181</v>
      </c>
      <c r="CB1598" s="1032"/>
      <c r="CF1598" s="946">
        <f t="shared" si="297"/>
        <v>2754150</v>
      </c>
    </row>
    <row r="1599" spans="2:84">
      <c r="B1599" s="839" t="s">
        <v>98</v>
      </c>
      <c r="C1599" s="839" t="s">
        <v>3454</v>
      </c>
      <c r="D1599" s="839" t="s">
        <v>5365</v>
      </c>
      <c r="E1599" s="839" t="s">
        <v>5365</v>
      </c>
      <c r="F1599" s="841">
        <v>45871</v>
      </c>
      <c r="G1599" s="839" t="s">
        <v>3454</v>
      </c>
      <c r="H1599" s="842" t="s">
        <v>102</v>
      </c>
      <c r="I1599" s="883" t="s">
        <v>5366</v>
      </c>
      <c r="J1599" s="841"/>
      <c r="K1599" s="841"/>
      <c r="L1599" s="843" t="s">
        <v>106</v>
      </c>
      <c r="M1599" s="844" t="s">
        <v>5258</v>
      </c>
      <c r="N1599" s="841"/>
      <c r="O1599" s="884" t="s">
        <v>3459</v>
      </c>
      <c r="P1599" s="842"/>
      <c r="Q1599" s="843"/>
      <c r="R1599" s="845" t="s">
        <v>5407</v>
      </c>
      <c r="S1599" s="1127" t="s">
        <v>5407</v>
      </c>
      <c r="T1599" s="885" t="s">
        <v>5408</v>
      </c>
      <c r="U1599" s="886">
        <v>87</v>
      </c>
      <c r="V1599" s="842" t="s">
        <v>8</v>
      </c>
      <c r="W1599" s="846">
        <v>10.5</v>
      </c>
      <c r="X1599" s="847">
        <f t="shared" si="300"/>
        <v>913.5</v>
      </c>
      <c r="Y1599" s="853">
        <v>0</v>
      </c>
      <c r="Z1599" s="849">
        <v>10.5</v>
      </c>
      <c r="AA1599" s="849"/>
      <c r="AB1599" s="849">
        <f t="shared" si="291"/>
        <v>913.5</v>
      </c>
      <c r="AC1599" s="850">
        <f t="shared" si="292"/>
        <v>913.5</v>
      </c>
      <c r="AD1599" s="851">
        <f t="shared" si="301"/>
        <v>27000</v>
      </c>
      <c r="AE1599" s="852">
        <v>26230</v>
      </c>
      <c r="AF1599" s="853">
        <v>0</v>
      </c>
      <c r="AG1599" s="854">
        <f t="shared" si="293"/>
        <v>0</v>
      </c>
      <c r="AH1599" s="853">
        <v>0.08</v>
      </c>
      <c r="AI1599" s="855">
        <f t="shared" si="294"/>
        <v>1916888.4000000001</v>
      </c>
      <c r="AJ1599" s="845" t="s">
        <v>5369</v>
      </c>
      <c r="AK1599" s="857">
        <v>45915</v>
      </c>
      <c r="AL1599" s="843" t="s">
        <v>5370</v>
      </c>
      <c r="AM1599" s="843" t="s">
        <v>5371</v>
      </c>
      <c r="AN1599" s="844" t="s">
        <v>3951</v>
      </c>
      <c r="AO1599" s="844" t="s">
        <v>141</v>
      </c>
      <c r="AP1599" s="841"/>
      <c r="AQ1599" s="841">
        <v>45931</v>
      </c>
      <c r="AR1599" s="841">
        <v>45934</v>
      </c>
      <c r="AS1599" s="842" t="s">
        <v>1581</v>
      </c>
      <c r="AT1599" s="842" t="s">
        <v>1235</v>
      </c>
      <c r="AU1599" s="842" t="s">
        <v>1311</v>
      </c>
      <c r="AV1599" s="845" t="s">
        <v>5372</v>
      </c>
      <c r="AW1599" s="861">
        <v>45933</v>
      </c>
      <c r="AX1599" s="862">
        <v>45936</v>
      </c>
      <c r="AY1599" s="843" t="s">
        <v>5409</v>
      </c>
      <c r="AZ1599" s="842">
        <v>94059950</v>
      </c>
      <c r="BA1599" s="842" t="s">
        <v>120</v>
      </c>
      <c r="BB1599" s="863" t="s">
        <v>121</v>
      </c>
      <c r="BC1599" s="864">
        <v>45907</v>
      </c>
      <c r="BD1599" s="860" t="s">
        <v>5374</v>
      </c>
      <c r="BE1599" s="865" cm="1">
        <f t="array" ref="BE1599">IF(BD1599="","",AC1599/SUMPRODUCT(--(BD1599=$BD$4:$BD$12824),$AC$4:$AC$12824))</f>
        <v>3.6526806517485882E-2</v>
      </c>
      <c r="BF1599" s="458"/>
      <c r="BG1599" s="458"/>
      <c r="BH1599" s="458"/>
      <c r="BI1599" s="458"/>
      <c r="BJ1599" s="458"/>
      <c r="BK1599" s="458"/>
      <c r="BL1599" s="458"/>
      <c r="BM1599" s="458"/>
      <c r="BN1599" s="458"/>
      <c r="BO1599" s="866">
        <f>VLOOKUP(BD1599,$BD$4:$BN$12824,3,0)*BE1599</f>
        <v>965.03822819197705</v>
      </c>
      <c r="BP1599" s="866"/>
      <c r="BQ1599" s="866"/>
      <c r="BR1599" s="866">
        <f>VLOOKUP(BD1599,$BD$4:$BN$12824,6,0)*BE1599</f>
        <v>0</v>
      </c>
      <c r="BS1599" s="866">
        <f>VLOOKUP(BD1599,$BD$4:$BN$12824,7,0)*BE1599</f>
        <v>23705.200099905731</v>
      </c>
      <c r="BT1599" s="866"/>
      <c r="BU1599" s="866">
        <f>VLOOKUP(BD1599,$BD$4:$BN$12824,9,0)*BE1599</f>
        <v>1160.3835894474914</v>
      </c>
      <c r="BV1599" s="867"/>
      <c r="BW1599" s="867">
        <f>VLOOKUP(BD1599,$BD$4:$BN$12824,11,0)*BE1599</f>
        <v>21916.083910491529</v>
      </c>
      <c r="BX1599" s="1146">
        <f t="shared" si="295"/>
        <v>47746.705828036727</v>
      </c>
      <c r="BY1599" s="867">
        <f t="shared" si="298"/>
        <v>275963.81271066709</v>
      </c>
      <c r="BZ1599" s="867">
        <f t="shared" si="296"/>
        <v>24008851.705828037</v>
      </c>
      <c r="CA1599" s="867">
        <f>_xlfn.MAXIFS($BY$4:$BY$12824,$S$4:$S$12824,$S1599)</f>
        <v>275963.81271066709</v>
      </c>
      <c r="CB1599" s="1032"/>
      <c r="CF1599" s="946">
        <f t="shared" si="297"/>
        <v>23961105</v>
      </c>
    </row>
    <row r="1600" spans="2:84">
      <c r="B1600" s="839" t="s">
        <v>98</v>
      </c>
      <c r="C1600" s="839" t="s">
        <v>3454</v>
      </c>
      <c r="D1600" s="839" t="s">
        <v>5365</v>
      </c>
      <c r="E1600" s="839" t="s">
        <v>5365</v>
      </c>
      <c r="F1600" s="841">
        <v>45871</v>
      </c>
      <c r="G1600" s="839" t="s">
        <v>3454</v>
      </c>
      <c r="H1600" s="842" t="s">
        <v>102</v>
      </c>
      <c r="I1600" s="883" t="s">
        <v>5366</v>
      </c>
      <c r="J1600" s="841"/>
      <c r="K1600" s="841"/>
      <c r="L1600" s="843" t="s">
        <v>106</v>
      </c>
      <c r="M1600" s="844" t="s">
        <v>5258</v>
      </c>
      <c r="N1600" s="841"/>
      <c r="O1600" s="884" t="s">
        <v>3459</v>
      </c>
      <c r="P1600" s="842"/>
      <c r="Q1600" s="843"/>
      <c r="R1600" s="845" t="s">
        <v>5410</v>
      </c>
      <c r="S1600" s="1127" t="s">
        <v>5410</v>
      </c>
      <c r="T1600" s="885" t="s">
        <v>5411</v>
      </c>
      <c r="U1600" s="886">
        <v>269</v>
      </c>
      <c r="V1600" s="842" t="s">
        <v>8</v>
      </c>
      <c r="W1600" s="846">
        <v>5.2</v>
      </c>
      <c r="X1600" s="847">
        <f t="shared" si="300"/>
        <v>1398.8</v>
      </c>
      <c r="Y1600" s="853">
        <v>0</v>
      </c>
      <c r="Z1600" s="849">
        <v>5.2</v>
      </c>
      <c r="AA1600" s="849"/>
      <c r="AB1600" s="849">
        <f t="shared" si="291"/>
        <v>1398.8</v>
      </c>
      <c r="AC1600" s="850">
        <f t="shared" si="292"/>
        <v>1398.8</v>
      </c>
      <c r="AD1600" s="851">
        <f t="shared" si="301"/>
        <v>27000</v>
      </c>
      <c r="AE1600" s="852">
        <v>26230</v>
      </c>
      <c r="AF1600" s="853">
        <v>0</v>
      </c>
      <c r="AG1600" s="854">
        <f t="shared" si="293"/>
        <v>0</v>
      </c>
      <c r="AH1600" s="853">
        <v>0.08</v>
      </c>
      <c r="AI1600" s="855">
        <f t="shared" si="294"/>
        <v>2935241.92</v>
      </c>
      <c r="AJ1600" s="845" t="s">
        <v>5369</v>
      </c>
      <c r="AK1600" s="857">
        <v>45915</v>
      </c>
      <c r="AL1600" s="843" t="s">
        <v>5370</v>
      </c>
      <c r="AM1600" s="843" t="s">
        <v>5371</v>
      </c>
      <c r="AN1600" s="844" t="s">
        <v>3951</v>
      </c>
      <c r="AO1600" s="844" t="s">
        <v>141</v>
      </c>
      <c r="AP1600" s="841"/>
      <c r="AQ1600" s="841">
        <v>45931</v>
      </c>
      <c r="AR1600" s="841">
        <v>45934</v>
      </c>
      <c r="AS1600" s="842" t="s">
        <v>1581</v>
      </c>
      <c r="AT1600" s="842" t="s">
        <v>1235</v>
      </c>
      <c r="AU1600" s="842" t="s">
        <v>1311</v>
      </c>
      <c r="AV1600" s="845" t="s">
        <v>5372</v>
      </c>
      <c r="AW1600" s="861">
        <v>45933</v>
      </c>
      <c r="AX1600" s="862">
        <v>45936</v>
      </c>
      <c r="AY1600" s="843" t="s">
        <v>5412</v>
      </c>
      <c r="AZ1600" s="842">
        <v>94059950</v>
      </c>
      <c r="BA1600" s="842" t="s">
        <v>120</v>
      </c>
      <c r="BB1600" s="863" t="s">
        <v>121</v>
      </c>
      <c r="BC1600" s="864">
        <v>45907</v>
      </c>
      <c r="BD1600" s="860" t="s">
        <v>5374</v>
      </c>
      <c r="BE1600" s="865" cm="1">
        <f t="array" ref="BE1600">IF(BD1600="","",AC1600/SUMPRODUCT(--(BD1600=$BD$4:$BD$12824),$AC$4:$AC$12824))</f>
        <v>5.5931797434766554E-2</v>
      </c>
      <c r="BF1600" s="458"/>
      <c r="BG1600" s="458"/>
      <c r="BH1600" s="458"/>
      <c r="BI1600" s="458"/>
      <c r="BJ1600" s="458"/>
      <c r="BK1600" s="458"/>
      <c r="BL1600" s="458"/>
      <c r="BM1600" s="458"/>
      <c r="BN1600" s="458"/>
      <c r="BO1600" s="866">
        <f>VLOOKUP(BD1600,$BD$4:$BN$12824,3,0)*BE1600</f>
        <v>1477.7180882265325</v>
      </c>
      <c r="BP1600" s="866"/>
      <c r="BQ1600" s="866"/>
      <c r="BR1600" s="866">
        <f>VLOOKUP(BD1600,$BD$4:$BN$12824,6,0)*BE1600</f>
        <v>0</v>
      </c>
      <c r="BS1600" s="866">
        <f>VLOOKUP(BD1600,$BD$4:$BN$12824,7,0)*BE1600</f>
        <v>36298.668746303374</v>
      </c>
      <c r="BT1600" s="866"/>
      <c r="BU1600" s="866">
        <f>VLOOKUP(BD1600,$BD$4:$BN$12824,9,0)*BE1600</f>
        <v>1776.8413409076638</v>
      </c>
      <c r="BV1600" s="867"/>
      <c r="BW1600" s="867">
        <f>VLOOKUP(BD1600,$BD$4:$BN$12824,11,0)*BE1600</f>
        <v>33559.078460859935</v>
      </c>
      <c r="BX1600" s="1146">
        <f t="shared" si="295"/>
        <v>73112.306636297508</v>
      </c>
      <c r="BY1600" s="867">
        <f t="shared" si="298"/>
        <v>136667.79296147323</v>
      </c>
      <c r="BZ1600" s="867">
        <f t="shared" si="296"/>
        <v>36763636.306636296</v>
      </c>
      <c r="CA1600" s="867">
        <f>_xlfn.MAXIFS($BY$4:$BY$12824,$S$4:$S$12824,$S1600)</f>
        <v>136667.79296147323</v>
      </c>
      <c r="CB1600" s="1032"/>
      <c r="CF1600" s="946">
        <f t="shared" si="297"/>
        <v>36690524</v>
      </c>
    </row>
    <row r="1601" spans="2:84">
      <c r="B1601" s="839" t="s">
        <v>98</v>
      </c>
      <c r="C1601" s="839" t="s">
        <v>3454</v>
      </c>
      <c r="D1601" s="839" t="s">
        <v>5365</v>
      </c>
      <c r="E1601" s="839" t="s">
        <v>5365</v>
      </c>
      <c r="F1601" s="841">
        <v>45871</v>
      </c>
      <c r="G1601" s="839" t="s">
        <v>3482</v>
      </c>
      <c r="H1601" s="842" t="s">
        <v>102</v>
      </c>
      <c r="I1601" s="883" t="s">
        <v>5366</v>
      </c>
      <c r="J1601" s="841"/>
      <c r="K1601" s="841"/>
      <c r="L1601" s="843" t="s">
        <v>106</v>
      </c>
      <c r="M1601" s="844" t="s">
        <v>5258</v>
      </c>
      <c r="N1601" s="841"/>
      <c r="O1601" s="884" t="s">
        <v>3459</v>
      </c>
      <c r="P1601" s="842"/>
      <c r="Q1601" s="843"/>
      <c r="R1601" s="845" t="s">
        <v>5413</v>
      </c>
      <c r="S1601" s="1127" t="s">
        <v>5413</v>
      </c>
      <c r="T1601" s="885" t="s">
        <v>5413</v>
      </c>
      <c r="U1601" s="886">
        <v>90</v>
      </c>
      <c r="V1601" s="842" t="s">
        <v>8</v>
      </c>
      <c r="W1601" s="846">
        <v>15.3</v>
      </c>
      <c r="X1601" s="847">
        <f t="shared" si="300"/>
        <v>1377</v>
      </c>
      <c r="Y1601" s="853">
        <v>0</v>
      </c>
      <c r="Z1601" s="849">
        <v>15.3</v>
      </c>
      <c r="AA1601" s="849"/>
      <c r="AB1601" s="849">
        <f t="shared" si="291"/>
        <v>1377</v>
      </c>
      <c r="AC1601" s="850">
        <f t="shared" si="292"/>
        <v>1377</v>
      </c>
      <c r="AD1601" s="851">
        <f t="shared" si="301"/>
        <v>27000</v>
      </c>
      <c r="AE1601" s="852">
        <v>26230</v>
      </c>
      <c r="AF1601" s="853">
        <v>0</v>
      </c>
      <c r="AG1601" s="854">
        <f t="shared" si="293"/>
        <v>0</v>
      </c>
      <c r="AH1601" s="853">
        <v>0.08</v>
      </c>
      <c r="AI1601" s="855">
        <f t="shared" si="294"/>
        <v>2889496.8000000003</v>
      </c>
      <c r="AJ1601" s="845" t="s">
        <v>5369</v>
      </c>
      <c r="AK1601" s="857">
        <v>45915</v>
      </c>
      <c r="AL1601" s="843" t="s">
        <v>5370</v>
      </c>
      <c r="AM1601" s="843" t="s">
        <v>5371</v>
      </c>
      <c r="AN1601" s="844" t="s">
        <v>3951</v>
      </c>
      <c r="AO1601" s="844" t="s">
        <v>141</v>
      </c>
      <c r="AP1601" s="841"/>
      <c r="AQ1601" s="841">
        <v>45931</v>
      </c>
      <c r="AR1601" s="841">
        <v>45934</v>
      </c>
      <c r="AS1601" s="842" t="s">
        <v>1581</v>
      </c>
      <c r="AT1601" s="842" t="s">
        <v>1235</v>
      </c>
      <c r="AU1601" s="842" t="s">
        <v>1311</v>
      </c>
      <c r="AV1601" s="845" t="s">
        <v>5372</v>
      </c>
      <c r="AW1601" s="861">
        <v>45933</v>
      </c>
      <c r="AX1601" s="862">
        <v>45936</v>
      </c>
      <c r="AY1601" s="843" t="s">
        <v>5414</v>
      </c>
      <c r="AZ1601" s="842">
        <v>85044030</v>
      </c>
      <c r="BA1601" s="842" t="s">
        <v>120</v>
      </c>
      <c r="BB1601" s="863" t="s">
        <v>121</v>
      </c>
      <c r="BC1601" s="864">
        <v>45907</v>
      </c>
      <c r="BD1601" s="860" t="s">
        <v>5374</v>
      </c>
      <c r="BE1601" s="865" cm="1">
        <f t="array" ref="BE1601">IF(BD1601="","",AC1601/SUMPRODUCT(--(BD1601=$BD$4:$BD$12824),$AC$4:$AC$12824))</f>
        <v>5.5060112287441773E-2</v>
      </c>
      <c r="BF1601" s="458"/>
      <c r="BG1601" s="458"/>
      <c r="BH1601" s="458"/>
      <c r="BI1601" s="458"/>
      <c r="BJ1601" s="458"/>
      <c r="BK1601" s="458"/>
      <c r="BL1601" s="458"/>
      <c r="BM1601" s="458"/>
      <c r="BN1601" s="458"/>
      <c r="BO1601" s="866">
        <f>VLOOKUP(BD1601,$BD$4:$BN$12824,3,0)*BE1601</f>
        <v>1454.6881666342117</v>
      </c>
      <c r="BP1601" s="866"/>
      <c r="BQ1601" s="866"/>
      <c r="BR1601" s="866">
        <f>VLOOKUP(BD1601,$BD$4:$BN$12824,6,0)*BE1601</f>
        <v>0</v>
      </c>
      <c r="BS1601" s="866">
        <f>VLOOKUP(BD1601,$BD$4:$BN$12824,7,0)*BE1601</f>
        <v>35732.961726951493</v>
      </c>
      <c r="BT1601" s="866"/>
      <c r="BU1601" s="866">
        <f>VLOOKUP(BD1601,$BD$4:$BN$12824,9,0)*BE1601</f>
        <v>1749.1496471474502</v>
      </c>
      <c r="BV1601" s="867"/>
      <c r="BW1601" s="867">
        <f>VLOOKUP(BD1601,$BD$4:$BN$12824,11,0)*BE1601</f>
        <v>33036.067372465062</v>
      </c>
      <c r="BX1601" s="1146">
        <f t="shared" si="295"/>
        <v>71972.866913198217</v>
      </c>
      <c r="BY1601" s="867">
        <f t="shared" si="298"/>
        <v>402118.69852125779</v>
      </c>
      <c r="BZ1601" s="867">
        <f t="shared" si="296"/>
        <v>36190682.866913199</v>
      </c>
      <c r="CA1601" s="867">
        <f>_xlfn.MAXIFS($BY$4:$BY$12824,$S$4:$S$12824,$S1601)</f>
        <v>402118.69852125779</v>
      </c>
      <c r="CB1601" s="1032"/>
      <c r="CF1601" s="946">
        <f t="shared" si="297"/>
        <v>36118710</v>
      </c>
    </row>
    <row r="1602" spans="2:84">
      <c r="B1602" s="839" t="s">
        <v>98</v>
      </c>
      <c r="C1602" s="839" t="s">
        <v>3454</v>
      </c>
      <c r="D1602" s="839" t="s">
        <v>5365</v>
      </c>
      <c r="E1602" s="839" t="s">
        <v>5365</v>
      </c>
      <c r="F1602" s="841">
        <v>45871</v>
      </c>
      <c r="G1602" s="839" t="s">
        <v>3482</v>
      </c>
      <c r="H1602" s="842" t="s">
        <v>102</v>
      </c>
      <c r="I1602" s="883" t="s">
        <v>5366</v>
      </c>
      <c r="J1602" s="841"/>
      <c r="K1602" s="841"/>
      <c r="L1602" s="843" t="s">
        <v>106</v>
      </c>
      <c r="M1602" s="844" t="s">
        <v>5258</v>
      </c>
      <c r="N1602" s="841"/>
      <c r="O1602" s="884" t="s">
        <v>3459</v>
      </c>
      <c r="P1602" s="842"/>
      <c r="Q1602" s="843"/>
      <c r="R1602" s="845" t="s">
        <v>5415</v>
      </c>
      <c r="S1602" s="1127" t="s">
        <v>5415</v>
      </c>
      <c r="T1602" s="885" t="s">
        <v>5415</v>
      </c>
      <c r="U1602" s="886">
        <v>148</v>
      </c>
      <c r="V1602" s="842" t="s">
        <v>8</v>
      </c>
      <c r="W1602" s="846">
        <v>30.5</v>
      </c>
      <c r="X1602" s="847">
        <f t="shared" si="300"/>
        <v>4514</v>
      </c>
      <c r="Y1602" s="853">
        <v>0</v>
      </c>
      <c r="Z1602" s="849">
        <v>30.5</v>
      </c>
      <c r="AA1602" s="849"/>
      <c r="AB1602" s="849">
        <f t="shared" ref="AB1602:AB1665" si="302">IF(AA1602="F.O.C", 0, Z1602*U1602)</f>
        <v>4514</v>
      </c>
      <c r="AC1602" s="850">
        <f t="shared" ref="AC1602:AC1665" si="303">Z1602*U1602</f>
        <v>4514</v>
      </c>
      <c r="AD1602" s="851">
        <f t="shared" si="301"/>
        <v>27000</v>
      </c>
      <c r="AE1602" s="852">
        <v>26230</v>
      </c>
      <c r="AF1602" s="853">
        <v>0</v>
      </c>
      <c r="AG1602" s="854">
        <f t="shared" ref="AG1602:AG1665" si="304">(AC1602*AE1602+BO1602+BP1602+BQ1602+BS1602)*AF1602</f>
        <v>0</v>
      </c>
      <c r="AH1602" s="853">
        <v>0.08</v>
      </c>
      <c r="AI1602" s="855">
        <f t="shared" ref="AI1602:AI1665" si="305">(AC1602*AE1602+AG1602+BF1602+BG1602+BH1602+BJ1602)*AH1602</f>
        <v>9472177.5999999996</v>
      </c>
      <c r="AJ1602" s="845" t="s">
        <v>5369</v>
      </c>
      <c r="AK1602" s="857">
        <v>45915</v>
      </c>
      <c r="AL1602" s="843" t="s">
        <v>5370</v>
      </c>
      <c r="AM1602" s="843" t="s">
        <v>5371</v>
      </c>
      <c r="AN1602" s="844" t="s">
        <v>3951</v>
      </c>
      <c r="AO1602" s="844" t="s">
        <v>141</v>
      </c>
      <c r="AP1602" s="841"/>
      <c r="AQ1602" s="841">
        <v>45931</v>
      </c>
      <c r="AR1602" s="841">
        <v>45934</v>
      </c>
      <c r="AS1602" s="842" t="s">
        <v>1581</v>
      </c>
      <c r="AT1602" s="842" t="s">
        <v>1235</v>
      </c>
      <c r="AU1602" s="842" t="s">
        <v>1311</v>
      </c>
      <c r="AV1602" s="845" t="s">
        <v>5372</v>
      </c>
      <c r="AW1602" s="861">
        <v>45933</v>
      </c>
      <c r="AX1602" s="862">
        <v>45936</v>
      </c>
      <c r="AY1602" s="843" t="s">
        <v>5416</v>
      </c>
      <c r="AZ1602" s="842">
        <v>85044030</v>
      </c>
      <c r="BA1602" s="842" t="s">
        <v>120</v>
      </c>
      <c r="BB1602" s="863" t="s">
        <v>121</v>
      </c>
      <c r="BC1602" s="864">
        <v>45907</v>
      </c>
      <c r="BD1602" s="860" t="s">
        <v>5374</v>
      </c>
      <c r="BE1602" s="865" cm="1">
        <f t="array" ref="BE1602">IF(BD1602="","",AC1602/SUMPRODUCT(--(BD1602=$BD$4:$BD$12824),$AC$4:$AC$12824))</f>
        <v>0.18049480527633416</v>
      </c>
      <c r="BF1602" s="458"/>
      <c r="BG1602" s="458"/>
      <c r="BH1602" s="458"/>
      <c r="BI1602" s="458"/>
      <c r="BJ1602" s="458"/>
      <c r="BK1602" s="458"/>
      <c r="BL1602" s="458"/>
      <c r="BM1602" s="458"/>
      <c r="BN1602" s="458"/>
      <c r="BO1602" s="866">
        <f>VLOOKUP(BD1602,$BD$4:$BN$12824,3,0)*BE1602</f>
        <v>4768.6727554007484</v>
      </c>
      <c r="BP1602" s="866"/>
      <c r="BQ1602" s="866"/>
      <c r="BR1602" s="866">
        <f>VLOOKUP(BD1602,$BD$4:$BN$12824,6,0)*BE1602</f>
        <v>0</v>
      </c>
      <c r="BS1602" s="866">
        <f>VLOOKUP(BD1602,$BD$4:$BN$12824,7,0)*BE1602</f>
        <v>117137.68281442195</v>
      </c>
      <c r="BT1602" s="866"/>
      <c r="BU1602" s="866">
        <f>VLOOKUP(BD1602,$BD$4:$BN$12824,9,0)*BE1602</f>
        <v>5733.9589740185838</v>
      </c>
      <c r="BV1602" s="867"/>
      <c r="BW1602" s="867">
        <f>VLOOKUP(BD1602,$BD$4:$BN$12824,11,0)*BE1602</f>
        <v>108296.88316580049</v>
      </c>
      <c r="BX1602" s="1146">
        <f t="shared" ref="BX1602:BX1665" si="306">SUM(BO1602:BW1602)</f>
        <v>235937.19770964177</v>
      </c>
      <c r="BY1602" s="867">
        <f t="shared" si="298"/>
        <v>801609.17025479488</v>
      </c>
      <c r="BZ1602" s="867">
        <f t="shared" ref="BZ1602:BZ1665" si="307">BY1602*U1602</f>
        <v>118638157.19770965</v>
      </c>
      <c r="CA1602" s="867">
        <f>_xlfn.MAXIFS($BY$4:$BY$12824,$S$4:$S$12824,$S1602)</f>
        <v>801609.17025479488</v>
      </c>
      <c r="CB1602" s="1032"/>
      <c r="CF1602" s="946">
        <f t="shared" si="297"/>
        <v>118402220</v>
      </c>
    </row>
    <row r="1603" spans="2:84">
      <c r="B1603" s="839" t="s">
        <v>98</v>
      </c>
      <c r="C1603" s="839" t="s">
        <v>3454</v>
      </c>
      <c r="D1603" s="839" t="s">
        <v>5365</v>
      </c>
      <c r="E1603" s="839" t="s">
        <v>5365</v>
      </c>
      <c r="F1603" s="841">
        <v>45871</v>
      </c>
      <c r="G1603" s="839" t="s">
        <v>3454</v>
      </c>
      <c r="H1603" s="842" t="s">
        <v>102</v>
      </c>
      <c r="I1603" s="883" t="s">
        <v>5366</v>
      </c>
      <c r="J1603" s="841"/>
      <c r="K1603" s="841"/>
      <c r="L1603" s="843" t="s">
        <v>106</v>
      </c>
      <c r="M1603" s="844" t="s">
        <v>5258</v>
      </c>
      <c r="N1603" s="841"/>
      <c r="O1603" s="884" t="s">
        <v>3459</v>
      </c>
      <c r="P1603" s="842"/>
      <c r="Q1603" s="843"/>
      <c r="R1603" s="845" t="s">
        <v>5417</v>
      </c>
      <c r="S1603" s="1127" t="s">
        <v>5417</v>
      </c>
      <c r="T1603" s="885" t="s">
        <v>5418</v>
      </c>
      <c r="U1603" s="886">
        <v>2</v>
      </c>
      <c r="V1603" s="842" t="s">
        <v>8</v>
      </c>
      <c r="W1603" s="846">
        <v>51</v>
      </c>
      <c r="X1603" s="847">
        <f t="shared" si="300"/>
        <v>102</v>
      </c>
      <c r="Y1603" s="853">
        <v>0</v>
      </c>
      <c r="Z1603" s="849">
        <v>51</v>
      </c>
      <c r="AA1603" s="849"/>
      <c r="AB1603" s="849">
        <f t="shared" si="302"/>
        <v>102</v>
      </c>
      <c r="AC1603" s="850">
        <f t="shared" si="303"/>
        <v>102</v>
      </c>
      <c r="AD1603" s="851">
        <f t="shared" si="301"/>
        <v>27000</v>
      </c>
      <c r="AE1603" s="852">
        <v>26230</v>
      </c>
      <c r="AF1603" s="853">
        <v>0</v>
      </c>
      <c r="AG1603" s="854">
        <f t="shared" si="304"/>
        <v>0</v>
      </c>
      <c r="AH1603" s="853">
        <v>0.08</v>
      </c>
      <c r="AI1603" s="855">
        <f t="shared" si="305"/>
        <v>214036.80000000002</v>
      </c>
      <c r="AJ1603" s="845" t="s">
        <v>5369</v>
      </c>
      <c r="AK1603" s="857">
        <v>45915</v>
      </c>
      <c r="AL1603" s="843" t="s">
        <v>5370</v>
      </c>
      <c r="AM1603" s="843" t="s">
        <v>5371</v>
      </c>
      <c r="AN1603" s="844" t="s">
        <v>3951</v>
      </c>
      <c r="AO1603" s="844" t="s">
        <v>141</v>
      </c>
      <c r="AP1603" s="841"/>
      <c r="AQ1603" s="841">
        <v>45931</v>
      </c>
      <c r="AR1603" s="841">
        <v>45934</v>
      </c>
      <c r="AS1603" s="842" t="s">
        <v>1581</v>
      </c>
      <c r="AT1603" s="842" t="s">
        <v>1235</v>
      </c>
      <c r="AU1603" s="842" t="s">
        <v>1311</v>
      </c>
      <c r="AV1603" s="845" t="s">
        <v>5372</v>
      </c>
      <c r="AW1603" s="861">
        <v>45933</v>
      </c>
      <c r="AX1603" s="862">
        <v>45936</v>
      </c>
      <c r="AY1603" s="843" t="s">
        <v>5419</v>
      </c>
      <c r="AZ1603" s="842">
        <v>94059950</v>
      </c>
      <c r="BA1603" s="842" t="s">
        <v>120</v>
      </c>
      <c r="BB1603" s="863" t="s">
        <v>121</v>
      </c>
      <c r="BC1603" s="864">
        <v>45907</v>
      </c>
      <c r="BD1603" s="860" t="s">
        <v>5374</v>
      </c>
      <c r="BE1603" s="865" cm="1">
        <f t="array" ref="BE1603">IF(BD1603="","",AC1603/SUMPRODUCT(--(BD1603=$BD$4:$BD$12824),$AC$4:$AC$12824))</f>
        <v>4.0785268361067982E-3</v>
      </c>
      <c r="BF1603" s="458"/>
      <c r="BG1603" s="458"/>
      <c r="BH1603" s="458"/>
      <c r="BI1603" s="458"/>
      <c r="BJ1603" s="458"/>
      <c r="BK1603" s="458"/>
      <c r="BL1603" s="458"/>
      <c r="BM1603" s="458"/>
      <c r="BN1603" s="458"/>
      <c r="BO1603" s="866">
        <f>VLOOKUP(BD1603,$BD$4:$BN$12824,3,0)*BE1603</f>
        <v>107.75467900994161</v>
      </c>
      <c r="BP1603" s="866"/>
      <c r="BQ1603" s="866"/>
      <c r="BR1603" s="866">
        <f>VLOOKUP(BD1603,$BD$4:$BN$12824,6,0)*BE1603</f>
        <v>0</v>
      </c>
      <c r="BS1603" s="866">
        <f>VLOOKUP(BD1603,$BD$4:$BN$12824,7,0)*BE1603</f>
        <v>2646.8860538482591</v>
      </c>
      <c r="BT1603" s="866"/>
      <c r="BU1603" s="866">
        <f>VLOOKUP(BD1603,$BD$4:$BN$12824,9,0)*BE1603</f>
        <v>129.56664052944078</v>
      </c>
      <c r="BV1603" s="867"/>
      <c r="BW1603" s="867">
        <f>VLOOKUP(BD1603,$BD$4:$BN$12824,11,0)*BE1603</f>
        <v>2447.116101664079</v>
      </c>
      <c r="BX1603" s="1146">
        <f t="shared" si="306"/>
        <v>5331.3234750517204</v>
      </c>
      <c r="BY1603" s="867">
        <f t="shared" si="298"/>
        <v>1340395.6617375258</v>
      </c>
      <c r="BZ1603" s="867">
        <f t="shared" si="307"/>
        <v>2680791.3234750517</v>
      </c>
      <c r="CA1603" s="867">
        <f>_xlfn.MAXIFS($BY$4:$BY$12824,$S$4:$S$12824,$S1603)</f>
        <v>1340395.6617375258</v>
      </c>
      <c r="CB1603" s="1032"/>
      <c r="CF1603" s="946">
        <f t="shared" si="297"/>
        <v>2675460</v>
      </c>
    </row>
    <row r="1604" spans="2:84">
      <c r="B1604" s="839" t="s">
        <v>98</v>
      </c>
      <c r="C1604" s="839" t="s">
        <v>3454</v>
      </c>
      <c r="D1604" s="839" t="s">
        <v>5365</v>
      </c>
      <c r="E1604" s="839" t="s">
        <v>5365</v>
      </c>
      <c r="F1604" s="841">
        <v>45871</v>
      </c>
      <c r="G1604" s="839" t="s">
        <v>3454</v>
      </c>
      <c r="H1604" s="842" t="s">
        <v>102</v>
      </c>
      <c r="I1604" s="883" t="s">
        <v>5366</v>
      </c>
      <c r="J1604" s="841"/>
      <c r="K1604" s="841"/>
      <c r="L1604" s="843" t="s">
        <v>106</v>
      </c>
      <c r="M1604" s="844" t="s">
        <v>5258</v>
      </c>
      <c r="N1604" s="841"/>
      <c r="O1604" s="884" t="s">
        <v>3459</v>
      </c>
      <c r="P1604" s="842"/>
      <c r="Q1604" s="843"/>
      <c r="R1604" s="845" t="s">
        <v>3553</v>
      </c>
      <c r="S1604" s="1127" t="s">
        <v>3553</v>
      </c>
      <c r="T1604" s="885" t="s">
        <v>5420</v>
      </c>
      <c r="U1604" s="886">
        <v>2</v>
      </c>
      <c r="V1604" s="842" t="s">
        <v>8</v>
      </c>
      <c r="W1604" s="846">
        <v>2.92</v>
      </c>
      <c r="X1604" s="847">
        <f t="shared" si="300"/>
        <v>5.84</v>
      </c>
      <c r="Y1604" s="853">
        <v>0</v>
      </c>
      <c r="Z1604" s="849">
        <v>2.92</v>
      </c>
      <c r="AA1604" s="849"/>
      <c r="AB1604" s="849">
        <f t="shared" si="302"/>
        <v>5.84</v>
      </c>
      <c r="AC1604" s="850">
        <f t="shared" si="303"/>
        <v>5.84</v>
      </c>
      <c r="AD1604" s="851">
        <f t="shared" si="301"/>
        <v>27000</v>
      </c>
      <c r="AE1604" s="852">
        <v>26230</v>
      </c>
      <c r="AF1604" s="853">
        <v>0</v>
      </c>
      <c r="AG1604" s="854">
        <f t="shared" si="304"/>
        <v>0</v>
      </c>
      <c r="AH1604" s="853">
        <v>0.08</v>
      </c>
      <c r="AI1604" s="855">
        <f t="shared" si="305"/>
        <v>12254.655999999999</v>
      </c>
      <c r="AJ1604" s="845" t="s">
        <v>5369</v>
      </c>
      <c r="AK1604" s="857">
        <v>45915</v>
      </c>
      <c r="AL1604" s="843" t="s">
        <v>5370</v>
      </c>
      <c r="AM1604" s="843" t="s">
        <v>5371</v>
      </c>
      <c r="AN1604" s="844" t="s">
        <v>3951</v>
      </c>
      <c r="AO1604" s="844" t="s">
        <v>141</v>
      </c>
      <c r="AP1604" s="841"/>
      <c r="AQ1604" s="841">
        <v>45931</v>
      </c>
      <c r="AR1604" s="841">
        <v>45934</v>
      </c>
      <c r="AS1604" s="842" t="s">
        <v>1581</v>
      </c>
      <c r="AT1604" s="842" t="s">
        <v>1235</v>
      </c>
      <c r="AU1604" s="842" t="s">
        <v>1311</v>
      </c>
      <c r="AV1604" s="845" t="s">
        <v>5372</v>
      </c>
      <c r="AW1604" s="861">
        <v>45933</v>
      </c>
      <c r="AX1604" s="862">
        <v>45936</v>
      </c>
      <c r="AY1604" s="843" t="s">
        <v>5358</v>
      </c>
      <c r="AZ1604" s="842">
        <v>94059950</v>
      </c>
      <c r="BA1604" s="842" t="s">
        <v>120</v>
      </c>
      <c r="BB1604" s="863" t="s">
        <v>121</v>
      </c>
      <c r="BC1604" s="864">
        <v>45907</v>
      </c>
      <c r="BD1604" s="860" t="s">
        <v>5374</v>
      </c>
      <c r="BE1604" s="865" cm="1">
        <f t="array" ref="BE1604">IF(BD1604="","",AC1604/SUMPRODUCT(--(BD1604=$BD$4:$BD$12824),$AC$4:$AC$12824))</f>
        <v>2.3351565414572254E-4</v>
      </c>
      <c r="BF1604" s="458"/>
      <c r="BG1604" s="458"/>
      <c r="BH1604" s="458"/>
      <c r="BI1604" s="458"/>
      <c r="BJ1604" s="458"/>
      <c r="BK1604" s="458"/>
      <c r="BL1604" s="458"/>
      <c r="BM1604" s="458"/>
      <c r="BN1604" s="458"/>
      <c r="BO1604" s="866">
        <f>VLOOKUP(BD1604,$BD$4:$BN$12824,3,0)*BE1604</f>
        <v>6.1694835825299892</v>
      </c>
      <c r="BP1604" s="866"/>
      <c r="BQ1604" s="866"/>
      <c r="BR1604" s="866">
        <f>VLOOKUP(BD1604,$BD$4:$BN$12824,6,0)*BE1604</f>
        <v>0</v>
      </c>
      <c r="BS1604" s="866">
        <f>VLOOKUP(BD1604,$BD$4:$BN$12824,7,0)*BE1604</f>
        <v>151.54720151444931</v>
      </c>
      <c r="BT1604" s="866"/>
      <c r="BU1604" s="866">
        <f>VLOOKUP(BD1604,$BD$4:$BN$12824,9,0)*BE1604</f>
        <v>7.4183253009013139</v>
      </c>
      <c r="BV1604" s="867"/>
      <c r="BW1604" s="867">
        <f>VLOOKUP(BD1604,$BD$4:$BN$12824,11,0)*BE1604</f>
        <v>140.10939248743352</v>
      </c>
      <c r="BX1604" s="1146">
        <f t="shared" si="306"/>
        <v>305.24440288531412</v>
      </c>
      <c r="BY1604" s="867">
        <f t="shared" si="298"/>
        <v>76744.222201442652</v>
      </c>
      <c r="BZ1604" s="867">
        <f t="shared" si="307"/>
        <v>153488.4444028853</v>
      </c>
      <c r="CA1604" s="867">
        <f>_xlfn.MAXIFS($BY$4:$BY$12824,$S$4:$S$12824,$S1604)</f>
        <v>76843.962198704772</v>
      </c>
      <c r="CB1604" s="1032"/>
      <c r="CF1604" s="946">
        <f t="shared" ref="CF1604:CF1622" si="308">AC1604*AE1604</f>
        <v>153183.19999999998</v>
      </c>
    </row>
    <row r="1605" spans="2:84">
      <c r="B1605" s="839" t="s">
        <v>98</v>
      </c>
      <c r="C1605" s="839" t="s">
        <v>3454</v>
      </c>
      <c r="D1605" s="839" t="s">
        <v>5365</v>
      </c>
      <c r="E1605" s="839" t="s">
        <v>5365</v>
      </c>
      <c r="F1605" s="841">
        <v>45871</v>
      </c>
      <c r="G1605" s="839" t="s">
        <v>3454</v>
      </c>
      <c r="H1605" s="842" t="s">
        <v>102</v>
      </c>
      <c r="I1605" s="883" t="s">
        <v>5366</v>
      </c>
      <c r="J1605" s="841"/>
      <c r="K1605" s="841"/>
      <c r="L1605" s="843" t="s">
        <v>106</v>
      </c>
      <c r="M1605" s="844" t="s">
        <v>5258</v>
      </c>
      <c r="N1605" s="841"/>
      <c r="O1605" s="884" t="s">
        <v>3459</v>
      </c>
      <c r="P1605" s="842"/>
      <c r="Q1605" s="843"/>
      <c r="R1605" s="845" t="s">
        <v>5421</v>
      </c>
      <c r="S1605" s="1127" t="s">
        <v>5421</v>
      </c>
      <c r="T1605" s="885" t="s">
        <v>5422</v>
      </c>
      <c r="U1605" s="886">
        <v>2</v>
      </c>
      <c r="V1605" s="842" t="s">
        <v>8</v>
      </c>
      <c r="W1605" s="846">
        <v>1.48</v>
      </c>
      <c r="X1605" s="847">
        <f t="shared" si="300"/>
        <v>2.96</v>
      </c>
      <c r="Y1605" s="853">
        <v>0</v>
      </c>
      <c r="Z1605" s="849">
        <v>1.48</v>
      </c>
      <c r="AA1605" s="849"/>
      <c r="AB1605" s="849">
        <f t="shared" si="302"/>
        <v>2.96</v>
      </c>
      <c r="AC1605" s="850">
        <f t="shared" si="303"/>
        <v>2.96</v>
      </c>
      <c r="AD1605" s="851">
        <f t="shared" si="301"/>
        <v>27000</v>
      </c>
      <c r="AE1605" s="852">
        <v>26230</v>
      </c>
      <c r="AF1605" s="853">
        <v>0</v>
      </c>
      <c r="AG1605" s="854">
        <f t="shared" si="304"/>
        <v>0</v>
      </c>
      <c r="AH1605" s="853">
        <v>0.08</v>
      </c>
      <c r="AI1605" s="855">
        <f t="shared" si="305"/>
        <v>6211.2640000000001</v>
      </c>
      <c r="AJ1605" s="845" t="s">
        <v>5369</v>
      </c>
      <c r="AK1605" s="857">
        <v>45915</v>
      </c>
      <c r="AL1605" s="843" t="s">
        <v>5370</v>
      </c>
      <c r="AM1605" s="843" t="s">
        <v>5371</v>
      </c>
      <c r="AN1605" s="844" t="s">
        <v>3951</v>
      </c>
      <c r="AO1605" s="844" t="s">
        <v>141</v>
      </c>
      <c r="AP1605" s="841"/>
      <c r="AQ1605" s="841">
        <v>45931</v>
      </c>
      <c r="AR1605" s="841">
        <v>45934</v>
      </c>
      <c r="AS1605" s="842" t="s">
        <v>1581</v>
      </c>
      <c r="AT1605" s="842" t="s">
        <v>1235</v>
      </c>
      <c r="AU1605" s="842" t="s">
        <v>1311</v>
      </c>
      <c r="AV1605" s="845" t="s">
        <v>5372</v>
      </c>
      <c r="AW1605" s="861">
        <v>45933</v>
      </c>
      <c r="AX1605" s="862">
        <v>45936</v>
      </c>
      <c r="AY1605" s="843" t="s">
        <v>5423</v>
      </c>
      <c r="AZ1605" s="842">
        <v>94059950</v>
      </c>
      <c r="BA1605" s="842" t="s">
        <v>120</v>
      </c>
      <c r="BB1605" s="863" t="s">
        <v>121</v>
      </c>
      <c r="BC1605" s="864">
        <v>45907</v>
      </c>
      <c r="BD1605" s="860" t="s">
        <v>5374</v>
      </c>
      <c r="BE1605" s="865" cm="1">
        <f t="array" ref="BE1605">IF(BD1605="","",AC1605/SUMPRODUCT(--(BD1605=$BD$4:$BD$12824),$AC$4:$AC$12824))</f>
        <v>1.183572493615306E-4</v>
      </c>
      <c r="BF1605" s="458"/>
      <c r="BG1605" s="458"/>
      <c r="BH1605" s="458"/>
      <c r="BI1605" s="458"/>
      <c r="BJ1605" s="458"/>
      <c r="BK1605" s="458"/>
      <c r="BL1605" s="458"/>
      <c r="BM1605" s="458"/>
      <c r="BN1605" s="458"/>
      <c r="BO1605" s="866">
        <f>VLOOKUP(BD1605,$BD$4:$BN$12824,3,0)*BE1605</f>
        <v>3.1269985281316384</v>
      </c>
      <c r="BP1605" s="866"/>
      <c r="BQ1605" s="866"/>
      <c r="BR1605" s="866">
        <f>VLOOKUP(BD1605,$BD$4:$BN$12824,6,0)*BE1605</f>
        <v>0</v>
      </c>
      <c r="BS1605" s="866">
        <f>VLOOKUP(BD1605,$BD$4:$BN$12824,7,0)*BE1605</f>
        <v>76.81159528814554</v>
      </c>
      <c r="BT1605" s="866"/>
      <c r="BU1605" s="866">
        <f>VLOOKUP(BD1605,$BD$4:$BN$12824,9,0)*BE1605</f>
        <v>3.7599730977171042</v>
      </c>
      <c r="BV1605" s="867"/>
      <c r="BW1605" s="867">
        <f>VLOOKUP(BD1605,$BD$4:$BN$12824,11,0)*BE1605</f>
        <v>71.014349616918366</v>
      </c>
      <c r="BX1605" s="1146">
        <f t="shared" si="306"/>
        <v>154.71291653091265</v>
      </c>
      <c r="BY1605" s="867">
        <f t="shared" si="298"/>
        <v>38897.75645826546</v>
      </c>
      <c r="BZ1605" s="867">
        <f t="shared" si="307"/>
        <v>77795.512916530919</v>
      </c>
      <c r="CA1605" s="867">
        <f>_xlfn.MAXIFS($BY$4:$BY$12824,$S$4:$S$12824,$S1605)</f>
        <v>38897.75645826546</v>
      </c>
      <c r="CB1605" s="1032"/>
      <c r="CF1605" s="946">
        <f t="shared" si="308"/>
        <v>77640.800000000003</v>
      </c>
    </row>
    <row r="1606" spans="2:84">
      <c r="B1606" s="839" t="s">
        <v>98</v>
      </c>
      <c r="C1606" s="839" t="s">
        <v>3454</v>
      </c>
      <c r="D1606" s="839" t="s">
        <v>5424</v>
      </c>
      <c r="E1606" s="839" t="s">
        <v>5424</v>
      </c>
      <c r="F1606" s="841">
        <v>45876</v>
      </c>
      <c r="G1606" s="839" t="s">
        <v>3454</v>
      </c>
      <c r="H1606" s="842" t="s">
        <v>102</v>
      </c>
      <c r="I1606" s="883" t="s">
        <v>5425</v>
      </c>
      <c r="J1606" s="841"/>
      <c r="K1606" s="841"/>
      <c r="L1606" s="843" t="s">
        <v>106</v>
      </c>
      <c r="M1606" s="844" t="s">
        <v>5258</v>
      </c>
      <c r="N1606" s="841"/>
      <c r="O1606" s="884" t="s">
        <v>3459</v>
      </c>
      <c r="P1606" s="842"/>
      <c r="Q1606" s="843"/>
      <c r="R1606" s="845" t="s">
        <v>5426</v>
      </c>
      <c r="S1606" s="1127" t="s">
        <v>5426</v>
      </c>
      <c r="T1606" s="885" t="s">
        <v>5427</v>
      </c>
      <c r="U1606" s="886">
        <v>2</v>
      </c>
      <c r="V1606" s="842" t="s">
        <v>8</v>
      </c>
      <c r="W1606" s="846">
        <v>8.0299999999999994</v>
      </c>
      <c r="X1606" s="847">
        <f t="shared" si="300"/>
        <v>16.059999999999999</v>
      </c>
      <c r="Y1606" s="853">
        <v>0</v>
      </c>
      <c r="Z1606" s="849">
        <v>8.0299999999999994</v>
      </c>
      <c r="AA1606" s="849"/>
      <c r="AB1606" s="849">
        <f t="shared" si="302"/>
        <v>16.059999999999999</v>
      </c>
      <c r="AC1606" s="850">
        <f t="shared" si="303"/>
        <v>16.059999999999999</v>
      </c>
      <c r="AD1606" s="851">
        <f t="shared" si="301"/>
        <v>27000</v>
      </c>
      <c r="AE1606" s="852">
        <v>26230</v>
      </c>
      <c r="AF1606" s="853">
        <v>0</v>
      </c>
      <c r="AG1606" s="854">
        <f t="shared" si="304"/>
        <v>0</v>
      </c>
      <c r="AH1606" s="853">
        <v>0.08</v>
      </c>
      <c r="AI1606" s="855">
        <f t="shared" si="305"/>
        <v>33700.303999999996</v>
      </c>
      <c r="AJ1606" s="845" t="s">
        <v>5369</v>
      </c>
      <c r="AK1606" s="857">
        <v>45915</v>
      </c>
      <c r="AL1606" s="843" t="s">
        <v>5370</v>
      </c>
      <c r="AM1606" s="843" t="s">
        <v>5371</v>
      </c>
      <c r="AN1606" s="844" t="s">
        <v>3951</v>
      </c>
      <c r="AO1606" s="844" t="s">
        <v>141</v>
      </c>
      <c r="AP1606" s="841"/>
      <c r="AQ1606" s="841">
        <v>45931</v>
      </c>
      <c r="AR1606" s="841">
        <v>45934</v>
      </c>
      <c r="AS1606" s="842" t="s">
        <v>1581</v>
      </c>
      <c r="AT1606" s="842" t="s">
        <v>1235</v>
      </c>
      <c r="AU1606" s="842" t="s">
        <v>1311</v>
      </c>
      <c r="AV1606" s="845" t="s">
        <v>5372</v>
      </c>
      <c r="AW1606" s="861">
        <v>45933</v>
      </c>
      <c r="AX1606" s="862">
        <v>45936</v>
      </c>
      <c r="AY1606" s="843" t="s">
        <v>5428</v>
      </c>
      <c r="AZ1606" s="842">
        <v>94059950</v>
      </c>
      <c r="BA1606" s="842" t="s">
        <v>120</v>
      </c>
      <c r="BB1606" s="863" t="s">
        <v>121</v>
      </c>
      <c r="BC1606" s="864">
        <v>45907</v>
      </c>
      <c r="BD1606" s="860" t="s">
        <v>5374</v>
      </c>
      <c r="BE1606" s="865" cm="1">
        <f t="array" ref="BE1606">IF(BD1606="","",AC1606/SUMPRODUCT(--(BD1606=$BD$4:$BD$12824),$AC$4:$AC$12824))</f>
        <v>6.421680489007369E-4</v>
      </c>
      <c r="BF1606" s="458"/>
      <c r="BG1606" s="458"/>
      <c r="BH1606" s="458"/>
      <c r="BI1606" s="458"/>
      <c r="BJ1606" s="458"/>
      <c r="BK1606" s="458"/>
      <c r="BL1606" s="458"/>
      <c r="BM1606" s="458"/>
      <c r="BN1606" s="458"/>
      <c r="BO1606" s="866">
        <f>VLOOKUP(BD1606,$BD$4:$BN$12824,3,0)*BE1606</f>
        <v>16.96607985195747</v>
      </c>
      <c r="BP1606" s="866"/>
      <c r="BQ1606" s="866"/>
      <c r="BR1606" s="866">
        <f>VLOOKUP(BD1606,$BD$4:$BN$12824,6,0)*BE1606</f>
        <v>0</v>
      </c>
      <c r="BS1606" s="866">
        <f>VLOOKUP(BD1606,$BD$4:$BN$12824,7,0)*BE1606</f>
        <v>416.75480416473556</v>
      </c>
      <c r="BT1606" s="866"/>
      <c r="BU1606" s="866">
        <f>VLOOKUP(BD1606,$BD$4:$BN$12824,9,0)*BE1606</f>
        <v>20.400394577478611</v>
      </c>
      <c r="BV1606" s="867"/>
      <c r="BW1606" s="867">
        <f>VLOOKUP(BD1606,$BD$4:$BN$12824,11,0)*BE1606</f>
        <v>385.30082934044214</v>
      </c>
      <c r="BX1606" s="1146">
        <f t="shared" si="306"/>
        <v>839.42210793461379</v>
      </c>
      <c r="BY1606" s="867">
        <f t="shared" ref="BY1606:BY1669" si="309">(AB1606*AE1606+AG1606+BX1606)/U1606</f>
        <v>211046.6110539673</v>
      </c>
      <c r="BZ1606" s="867">
        <f t="shared" si="307"/>
        <v>422093.22210793459</v>
      </c>
      <c r="CA1606" s="867">
        <f>_xlfn.MAXIFS($BY$4:$BY$12824,$S$4:$S$12824,$S1606)</f>
        <v>211046.6110539673</v>
      </c>
      <c r="CB1606" s="1032"/>
      <c r="CF1606" s="946">
        <f t="shared" si="308"/>
        <v>421253.8</v>
      </c>
    </row>
    <row r="1607" spans="2:84">
      <c r="B1607" s="839" t="s">
        <v>98</v>
      </c>
      <c r="C1607" s="839" t="s">
        <v>3454</v>
      </c>
      <c r="D1607" s="839" t="s">
        <v>5424</v>
      </c>
      <c r="E1607" s="839" t="s">
        <v>5424</v>
      </c>
      <c r="F1607" s="841">
        <v>45876</v>
      </c>
      <c r="G1607" s="839" t="s">
        <v>3454</v>
      </c>
      <c r="H1607" s="842" t="s">
        <v>102</v>
      </c>
      <c r="I1607" s="883" t="s">
        <v>5425</v>
      </c>
      <c r="J1607" s="841"/>
      <c r="K1607" s="841"/>
      <c r="L1607" s="843" t="s">
        <v>106</v>
      </c>
      <c r="M1607" s="844" t="s">
        <v>5258</v>
      </c>
      <c r="N1607" s="841"/>
      <c r="O1607" s="884" t="s">
        <v>3459</v>
      </c>
      <c r="P1607" s="842"/>
      <c r="Q1607" s="843"/>
      <c r="R1607" s="845" t="s">
        <v>5429</v>
      </c>
      <c r="S1607" s="1127" t="s">
        <v>5429</v>
      </c>
      <c r="T1607" s="885" t="s">
        <v>5430</v>
      </c>
      <c r="U1607" s="886">
        <v>2</v>
      </c>
      <c r="V1607" s="842" t="s">
        <v>8</v>
      </c>
      <c r="W1607" s="846">
        <v>8.0299999999999994</v>
      </c>
      <c r="X1607" s="847">
        <f t="shared" si="300"/>
        <v>16.059999999999999</v>
      </c>
      <c r="Y1607" s="853">
        <v>0</v>
      </c>
      <c r="Z1607" s="849">
        <v>8.0299999999999994</v>
      </c>
      <c r="AA1607" s="849"/>
      <c r="AB1607" s="849">
        <f t="shared" si="302"/>
        <v>16.059999999999999</v>
      </c>
      <c r="AC1607" s="850">
        <f t="shared" si="303"/>
        <v>16.059999999999999</v>
      </c>
      <c r="AD1607" s="851">
        <f t="shared" si="301"/>
        <v>27000</v>
      </c>
      <c r="AE1607" s="852">
        <v>26230</v>
      </c>
      <c r="AF1607" s="853">
        <v>0</v>
      </c>
      <c r="AG1607" s="854">
        <f t="shared" si="304"/>
        <v>0</v>
      </c>
      <c r="AH1607" s="853">
        <v>0.08</v>
      </c>
      <c r="AI1607" s="855">
        <f t="shared" si="305"/>
        <v>33700.303999999996</v>
      </c>
      <c r="AJ1607" s="845" t="s">
        <v>5369</v>
      </c>
      <c r="AK1607" s="857">
        <v>45915</v>
      </c>
      <c r="AL1607" s="843" t="s">
        <v>5370</v>
      </c>
      <c r="AM1607" s="843" t="s">
        <v>5371</v>
      </c>
      <c r="AN1607" s="844" t="s">
        <v>3951</v>
      </c>
      <c r="AO1607" s="844" t="s">
        <v>141</v>
      </c>
      <c r="AP1607" s="841"/>
      <c r="AQ1607" s="841">
        <v>45931</v>
      </c>
      <c r="AR1607" s="841">
        <v>45934</v>
      </c>
      <c r="AS1607" s="842" t="s">
        <v>1581</v>
      </c>
      <c r="AT1607" s="842" t="s">
        <v>1235</v>
      </c>
      <c r="AU1607" s="842" t="s">
        <v>1311</v>
      </c>
      <c r="AV1607" s="845" t="s">
        <v>5372</v>
      </c>
      <c r="AW1607" s="861">
        <v>45933</v>
      </c>
      <c r="AX1607" s="862">
        <v>45936</v>
      </c>
      <c r="AY1607" s="843" t="s">
        <v>5431</v>
      </c>
      <c r="AZ1607" s="842">
        <v>94059950</v>
      </c>
      <c r="BA1607" s="842" t="s">
        <v>120</v>
      </c>
      <c r="BB1607" s="863" t="s">
        <v>121</v>
      </c>
      <c r="BC1607" s="864">
        <v>45907</v>
      </c>
      <c r="BD1607" s="860" t="s">
        <v>5374</v>
      </c>
      <c r="BE1607" s="865" cm="1">
        <f t="array" ref="BE1607">IF(BD1607="","",AC1607/SUMPRODUCT(--(BD1607=$BD$4:$BD$12824),$AC$4:$AC$12824))</f>
        <v>6.421680489007369E-4</v>
      </c>
      <c r="BF1607" s="458"/>
      <c r="BG1607" s="458"/>
      <c r="BH1607" s="458"/>
      <c r="BI1607" s="458"/>
      <c r="BJ1607" s="458"/>
      <c r="BK1607" s="458"/>
      <c r="BL1607" s="458"/>
      <c r="BM1607" s="458"/>
      <c r="BN1607" s="458"/>
      <c r="BO1607" s="866">
        <f>VLOOKUP(BD1607,$BD$4:$BN$12824,3,0)*BE1607</f>
        <v>16.96607985195747</v>
      </c>
      <c r="BP1607" s="866"/>
      <c r="BQ1607" s="866"/>
      <c r="BR1607" s="866">
        <f>VLOOKUP(BD1607,$BD$4:$BN$12824,6,0)*BE1607</f>
        <v>0</v>
      </c>
      <c r="BS1607" s="866">
        <f>VLOOKUP(BD1607,$BD$4:$BN$12824,7,0)*BE1607</f>
        <v>416.75480416473556</v>
      </c>
      <c r="BT1607" s="866"/>
      <c r="BU1607" s="866">
        <f>VLOOKUP(BD1607,$BD$4:$BN$12824,9,0)*BE1607</f>
        <v>20.400394577478611</v>
      </c>
      <c r="BV1607" s="867"/>
      <c r="BW1607" s="867">
        <f>VLOOKUP(BD1607,$BD$4:$BN$12824,11,0)*BE1607</f>
        <v>385.30082934044214</v>
      </c>
      <c r="BX1607" s="1146">
        <f t="shared" si="306"/>
        <v>839.42210793461379</v>
      </c>
      <c r="BY1607" s="867">
        <f t="shared" si="309"/>
        <v>211046.6110539673</v>
      </c>
      <c r="BZ1607" s="867">
        <f t="shared" si="307"/>
        <v>422093.22210793459</v>
      </c>
      <c r="CA1607" s="867">
        <f>_xlfn.MAXIFS($BY$4:$BY$12824,$S$4:$S$12824,$S1607)</f>
        <v>211046.6110539673</v>
      </c>
      <c r="CB1607" s="1032"/>
      <c r="CF1607" s="946">
        <f t="shared" si="308"/>
        <v>421253.8</v>
      </c>
    </row>
    <row r="1608" spans="2:84">
      <c r="B1608" s="839" t="s">
        <v>98</v>
      </c>
      <c r="C1608" s="839" t="s">
        <v>3454</v>
      </c>
      <c r="D1608" s="839" t="s">
        <v>5424</v>
      </c>
      <c r="E1608" s="839" t="s">
        <v>5424</v>
      </c>
      <c r="F1608" s="841">
        <v>45876</v>
      </c>
      <c r="G1608" s="839" t="s">
        <v>3454</v>
      </c>
      <c r="H1608" s="842" t="s">
        <v>102</v>
      </c>
      <c r="I1608" s="883" t="s">
        <v>5425</v>
      </c>
      <c r="J1608" s="841"/>
      <c r="K1608" s="841"/>
      <c r="L1608" s="843" t="s">
        <v>106</v>
      </c>
      <c r="M1608" s="844" t="s">
        <v>5258</v>
      </c>
      <c r="N1608" s="841"/>
      <c r="O1608" s="884" t="s">
        <v>3459</v>
      </c>
      <c r="P1608" s="842"/>
      <c r="Q1608" s="843"/>
      <c r="R1608" s="845" t="s">
        <v>5432</v>
      </c>
      <c r="S1608" s="1127" t="s">
        <v>5432</v>
      </c>
      <c r="T1608" s="885" t="s">
        <v>5433</v>
      </c>
      <c r="U1608" s="886">
        <v>6</v>
      </c>
      <c r="V1608" s="842" t="s">
        <v>8</v>
      </c>
      <c r="W1608" s="846">
        <v>8.5</v>
      </c>
      <c r="X1608" s="847">
        <f t="shared" si="300"/>
        <v>51</v>
      </c>
      <c r="Y1608" s="853">
        <v>0</v>
      </c>
      <c r="Z1608" s="849">
        <v>8.5</v>
      </c>
      <c r="AA1608" s="849"/>
      <c r="AB1608" s="849">
        <f t="shared" si="302"/>
        <v>51</v>
      </c>
      <c r="AC1608" s="850">
        <f t="shared" si="303"/>
        <v>51</v>
      </c>
      <c r="AD1608" s="851">
        <f t="shared" si="301"/>
        <v>27000</v>
      </c>
      <c r="AE1608" s="852">
        <v>26230</v>
      </c>
      <c r="AF1608" s="853">
        <v>0</v>
      </c>
      <c r="AG1608" s="854">
        <f t="shared" si="304"/>
        <v>0</v>
      </c>
      <c r="AH1608" s="853">
        <v>0.08</v>
      </c>
      <c r="AI1608" s="855">
        <f t="shared" si="305"/>
        <v>107018.40000000001</v>
      </c>
      <c r="AJ1608" s="845" t="s">
        <v>5369</v>
      </c>
      <c r="AK1608" s="857">
        <v>45915</v>
      </c>
      <c r="AL1608" s="843" t="s">
        <v>5370</v>
      </c>
      <c r="AM1608" s="843" t="s">
        <v>5371</v>
      </c>
      <c r="AN1608" s="844" t="s">
        <v>3951</v>
      </c>
      <c r="AO1608" s="844" t="s">
        <v>141</v>
      </c>
      <c r="AP1608" s="841"/>
      <c r="AQ1608" s="841">
        <v>45931</v>
      </c>
      <c r="AR1608" s="841">
        <v>45934</v>
      </c>
      <c r="AS1608" s="842" t="s">
        <v>1581</v>
      </c>
      <c r="AT1608" s="842" t="s">
        <v>1235</v>
      </c>
      <c r="AU1608" s="842" t="s">
        <v>1311</v>
      </c>
      <c r="AV1608" s="845" t="s">
        <v>5372</v>
      </c>
      <c r="AW1608" s="861">
        <v>45933</v>
      </c>
      <c r="AX1608" s="862">
        <v>45936</v>
      </c>
      <c r="AY1608" s="843" t="s">
        <v>5434</v>
      </c>
      <c r="AZ1608" s="842">
        <v>94059950</v>
      </c>
      <c r="BA1608" s="842" t="s">
        <v>120</v>
      </c>
      <c r="BB1608" s="863" t="s">
        <v>121</v>
      </c>
      <c r="BC1608" s="864">
        <v>45907</v>
      </c>
      <c r="BD1608" s="860" t="s">
        <v>5374</v>
      </c>
      <c r="BE1608" s="865" cm="1">
        <f t="array" ref="BE1608">IF(BD1608="","",AC1608/SUMPRODUCT(--(BD1608=$BD$4:$BD$12824),$AC$4:$AC$12824))</f>
        <v>2.0392634180533991E-3</v>
      </c>
      <c r="BF1608" s="458"/>
      <c r="BG1608" s="458"/>
      <c r="BH1608" s="458"/>
      <c r="BI1608" s="458"/>
      <c r="BJ1608" s="458"/>
      <c r="BK1608" s="458"/>
      <c r="BL1608" s="458"/>
      <c r="BM1608" s="458"/>
      <c r="BN1608" s="458"/>
      <c r="BO1608" s="866">
        <f>VLOOKUP(BD1608,$BD$4:$BN$12824,3,0)*BE1608</f>
        <v>53.877339504970806</v>
      </c>
      <c r="BP1608" s="866"/>
      <c r="BQ1608" s="866"/>
      <c r="BR1608" s="866">
        <f>VLOOKUP(BD1608,$BD$4:$BN$12824,6,0)*BE1608</f>
        <v>0</v>
      </c>
      <c r="BS1608" s="866">
        <f>VLOOKUP(BD1608,$BD$4:$BN$12824,7,0)*BE1608</f>
        <v>1323.4430269241295</v>
      </c>
      <c r="BT1608" s="866"/>
      <c r="BU1608" s="866">
        <f>VLOOKUP(BD1608,$BD$4:$BN$12824,9,0)*BE1608</f>
        <v>64.783320264720388</v>
      </c>
      <c r="BV1608" s="867"/>
      <c r="BW1608" s="867">
        <f>VLOOKUP(BD1608,$BD$4:$BN$12824,11,0)*BE1608</f>
        <v>1223.5580508320395</v>
      </c>
      <c r="BX1608" s="1146">
        <f t="shared" si="306"/>
        <v>2665.6617375258602</v>
      </c>
      <c r="BY1608" s="867">
        <f t="shared" si="309"/>
        <v>223399.2769562543</v>
      </c>
      <c r="BZ1608" s="867">
        <f t="shared" si="307"/>
        <v>1340395.6617375258</v>
      </c>
      <c r="CA1608" s="867">
        <f>_xlfn.MAXIFS($BY$4:$BY$12824,$S$4:$S$12824,$S1608)</f>
        <v>223399.2769562543</v>
      </c>
      <c r="CB1608" s="1032"/>
      <c r="CF1608" s="946">
        <f t="shared" si="308"/>
        <v>1337730</v>
      </c>
    </row>
    <row r="1609" spans="2:84">
      <c r="B1609" s="839" t="s">
        <v>98</v>
      </c>
      <c r="C1609" s="839" t="s">
        <v>3454</v>
      </c>
      <c r="D1609" s="839" t="s">
        <v>5424</v>
      </c>
      <c r="E1609" s="839" t="s">
        <v>5424</v>
      </c>
      <c r="F1609" s="841">
        <v>45876</v>
      </c>
      <c r="G1609" s="839" t="s">
        <v>3454</v>
      </c>
      <c r="H1609" s="842" t="s">
        <v>102</v>
      </c>
      <c r="I1609" s="883" t="s">
        <v>5425</v>
      </c>
      <c r="J1609" s="841"/>
      <c r="K1609" s="841"/>
      <c r="L1609" s="843" t="s">
        <v>106</v>
      </c>
      <c r="M1609" s="844" t="s">
        <v>5258</v>
      </c>
      <c r="N1609" s="841"/>
      <c r="O1609" s="884" t="s">
        <v>3459</v>
      </c>
      <c r="P1609" s="842"/>
      <c r="Q1609" s="843"/>
      <c r="R1609" s="845" t="s">
        <v>5435</v>
      </c>
      <c r="S1609" s="1127" t="s">
        <v>5435</v>
      </c>
      <c r="T1609" s="885" t="s">
        <v>5436</v>
      </c>
      <c r="U1609" s="886">
        <v>2</v>
      </c>
      <c r="V1609" s="842" t="s">
        <v>8</v>
      </c>
      <c r="W1609" s="846">
        <v>12.3</v>
      </c>
      <c r="X1609" s="847">
        <f t="shared" si="300"/>
        <v>24.6</v>
      </c>
      <c r="Y1609" s="853">
        <v>0</v>
      </c>
      <c r="Z1609" s="849">
        <v>12.3</v>
      </c>
      <c r="AA1609" s="849"/>
      <c r="AB1609" s="849">
        <f t="shared" si="302"/>
        <v>24.6</v>
      </c>
      <c r="AC1609" s="850">
        <f t="shared" si="303"/>
        <v>24.6</v>
      </c>
      <c r="AD1609" s="851">
        <f t="shared" si="301"/>
        <v>27000</v>
      </c>
      <c r="AE1609" s="852">
        <v>26230</v>
      </c>
      <c r="AF1609" s="853">
        <v>0</v>
      </c>
      <c r="AG1609" s="854">
        <f t="shared" si="304"/>
        <v>0</v>
      </c>
      <c r="AH1609" s="853">
        <v>0.08</v>
      </c>
      <c r="AI1609" s="855">
        <f t="shared" si="305"/>
        <v>51620.639999999999</v>
      </c>
      <c r="AJ1609" s="845" t="s">
        <v>5369</v>
      </c>
      <c r="AK1609" s="857">
        <v>45915</v>
      </c>
      <c r="AL1609" s="843" t="s">
        <v>5370</v>
      </c>
      <c r="AM1609" s="843" t="s">
        <v>5371</v>
      </c>
      <c r="AN1609" s="844" t="s">
        <v>3951</v>
      </c>
      <c r="AO1609" s="844" t="s">
        <v>141</v>
      </c>
      <c r="AP1609" s="841"/>
      <c r="AQ1609" s="841">
        <v>45931</v>
      </c>
      <c r="AR1609" s="841">
        <v>45934</v>
      </c>
      <c r="AS1609" s="842" t="s">
        <v>1581</v>
      </c>
      <c r="AT1609" s="842" t="s">
        <v>1235</v>
      </c>
      <c r="AU1609" s="842" t="s">
        <v>1311</v>
      </c>
      <c r="AV1609" s="845" t="s">
        <v>5372</v>
      </c>
      <c r="AW1609" s="861">
        <v>45933</v>
      </c>
      <c r="AX1609" s="862">
        <v>45936</v>
      </c>
      <c r="AY1609" s="843" t="s">
        <v>5437</v>
      </c>
      <c r="AZ1609" s="842">
        <v>94059950</v>
      </c>
      <c r="BA1609" s="842" t="s">
        <v>120</v>
      </c>
      <c r="BB1609" s="863" t="s">
        <v>121</v>
      </c>
      <c r="BC1609" s="864">
        <v>45907</v>
      </c>
      <c r="BD1609" s="860" t="s">
        <v>5374</v>
      </c>
      <c r="BE1609" s="865" cm="1">
        <f t="array" ref="BE1609">IF(BD1609="","",AC1609/SUMPRODUCT(--(BD1609=$BD$4:$BD$12824),$AC$4:$AC$12824))</f>
        <v>9.8364470753163949E-4</v>
      </c>
      <c r="BF1609" s="458"/>
      <c r="BG1609" s="458"/>
      <c r="BH1609" s="458"/>
      <c r="BI1609" s="458"/>
      <c r="BJ1609" s="458"/>
      <c r="BK1609" s="458"/>
      <c r="BL1609" s="458"/>
      <c r="BM1609" s="458"/>
      <c r="BN1609" s="458"/>
      <c r="BO1609" s="866">
        <f>VLOOKUP(BD1609,$BD$4:$BN$12824,3,0)*BE1609</f>
        <v>25.987893172985917</v>
      </c>
      <c r="BP1609" s="866"/>
      <c r="BQ1609" s="866"/>
      <c r="BR1609" s="866">
        <f>VLOOKUP(BD1609,$BD$4:$BN$12824,6,0)*BE1609</f>
        <v>0</v>
      </c>
      <c r="BS1609" s="866">
        <f>VLOOKUP(BD1609,$BD$4:$BN$12824,7,0)*BE1609</f>
        <v>638.36663651634478</v>
      </c>
      <c r="BT1609" s="866"/>
      <c r="BU1609" s="866">
        <f>VLOOKUP(BD1609,$BD$4:$BN$12824,9,0)*BE1609</f>
        <v>31.248425068865124</v>
      </c>
      <c r="BV1609" s="867"/>
      <c r="BW1609" s="867">
        <f>VLOOKUP(BD1609,$BD$4:$BN$12824,11,0)*BE1609</f>
        <v>590.18682451898371</v>
      </c>
      <c r="BX1609" s="1146">
        <f t="shared" si="306"/>
        <v>1285.7897792771796</v>
      </c>
      <c r="BY1609" s="867">
        <f t="shared" si="309"/>
        <v>323271.89488963858</v>
      </c>
      <c r="BZ1609" s="867">
        <f t="shared" si="307"/>
        <v>646543.78977927717</v>
      </c>
      <c r="CA1609" s="867">
        <f>_xlfn.MAXIFS($BY$4:$BY$12824,$S$4:$S$12824,$S1609)</f>
        <v>323271.89488963858</v>
      </c>
      <c r="CB1609" s="1032"/>
      <c r="CF1609" s="946">
        <f t="shared" si="308"/>
        <v>645258</v>
      </c>
    </row>
    <row r="1610" spans="2:84">
      <c r="B1610" s="839" t="s">
        <v>98</v>
      </c>
      <c r="C1610" s="839" t="s">
        <v>3454</v>
      </c>
      <c r="D1610" s="839" t="s">
        <v>5424</v>
      </c>
      <c r="E1610" s="839" t="s">
        <v>5424</v>
      </c>
      <c r="F1610" s="841">
        <v>45876</v>
      </c>
      <c r="G1610" s="839" t="s">
        <v>3454</v>
      </c>
      <c r="H1610" s="842" t="s">
        <v>102</v>
      </c>
      <c r="I1610" s="883" t="s">
        <v>5425</v>
      </c>
      <c r="J1610" s="841"/>
      <c r="K1610" s="841"/>
      <c r="L1610" s="843" t="s">
        <v>106</v>
      </c>
      <c r="M1610" s="844" t="s">
        <v>5258</v>
      </c>
      <c r="N1610" s="841"/>
      <c r="O1610" s="884" t="s">
        <v>3459</v>
      </c>
      <c r="P1610" s="842"/>
      <c r="Q1610" s="843"/>
      <c r="R1610" s="845" t="s">
        <v>5438</v>
      </c>
      <c r="S1610" s="1127" t="s">
        <v>5438</v>
      </c>
      <c r="T1610" s="885" t="s">
        <v>5439</v>
      </c>
      <c r="U1610" s="886">
        <v>2</v>
      </c>
      <c r="V1610" s="842" t="s">
        <v>8</v>
      </c>
      <c r="W1610" s="846">
        <v>7.7</v>
      </c>
      <c r="X1610" s="847">
        <f t="shared" si="300"/>
        <v>15.4</v>
      </c>
      <c r="Y1610" s="853">
        <v>0</v>
      </c>
      <c r="Z1610" s="849">
        <v>7.7</v>
      </c>
      <c r="AA1610" s="849"/>
      <c r="AB1610" s="849">
        <f t="shared" si="302"/>
        <v>15.4</v>
      </c>
      <c r="AC1610" s="850">
        <f t="shared" si="303"/>
        <v>15.4</v>
      </c>
      <c r="AD1610" s="851">
        <f t="shared" si="301"/>
        <v>27000</v>
      </c>
      <c r="AE1610" s="852">
        <v>26230</v>
      </c>
      <c r="AF1610" s="853">
        <v>0</v>
      </c>
      <c r="AG1610" s="854">
        <f t="shared" si="304"/>
        <v>0</v>
      </c>
      <c r="AH1610" s="853">
        <v>0.08</v>
      </c>
      <c r="AI1610" s="855">
        <f t="shared" si="305"/>
        <v>32315.360000000001</v>
      </c>
      <c r="AJ1610" s="845" t="s">
        <v>5369</v>
      </c>
      <c r="AK1610" s="857">
        <v>45915</v>
      </c>
      <c r="AL1610" s="843" t="s">
        <v>5370</v>
      </c>
      <c r="AM1610" s="843" t="s">
        <v>5371</v>
      </c>
      <c r="AN1610" s="844" t="s">
        <v>3951</v>
      </c>
      <c r="AO1610" s="844" t="s">
        <v>141</v>
      </c>
      <c r="AP1610" s="841"/>
      <c r="AQ1610" s="841">
        <v>45931</v>
      </c>
      <c r="AR1610" s="841">
        <v>45934</v>
      </c>
      <c r="AS1610" s="842" t="s">
        <v>1581</v>
      </c>
      <c r="AT1610" s="842" t="s">
        <v>1235</v>
      </c>
      <c r="AU1610" s="842" t="s">
        <v>1311</v>
      </c>
      <c r="AV1610" s="845" t="s">
        <v>5372</v>
      </c>
      <c r="AW1610" s="861">
        <v>45933</v>
      </c>
      <c r="AX1610" s="862">
        <v>45936</v>
      </c>
      <c r="AY1610" s="843" t="s">
        <v>5440</v>
      </c>
      <c r="AZ1610" s="842">
        <v>94059950</v>
      </c>
      <c r="BA1610" s="842" t="s">
        <v>120</v>
      </c>
      <c r="BB1610" s="863" t="s">
        <v>121</v>
      </c>
      <c r="BC1610" s="864">
        <v>45907</v>
      </c>
      <c r="BD1610" s="860" t="s">
        <v>5374</v>
      </c>
      <c r="BE1610" s="865" cm="1">
        <f t="array" ref="BE1610">IF(BD1610="","",AC1610/SUMPRODUCT(--(BD1610=$BD$4:$BD$12824),$AC$4:$AC$12824))</f>
        <v>6.1577758113769306E-4</v>
      </c>
      <c r="BF1610" s="458"/>
      <c r="BG1610" s="458"/>
      <c r="BH1610" s="458"/>
      <c r="BI1610" s="458"/>
      <c r="BJ1610" s="458"/>
      <c r="BK1610" s="458"/>
      <c r="BL1610" s="458"/>
      <c r="BM1610" s="458"/>
      <c r="BN1610" s="458"/>
      <c r="BO1610" s="866">
        <f>VLOOKUP(BD1610,$BD$4:$BN$12824,3,0)*BE1610</f>
        <v>16.26884369365785</v>
      </c>
      <c r="BP1610" s="866"/>
      <c r="BQ1610" s="866"/>
      <c r="BR1610" s="866">
        <f>VLOOKUP(BD1610,$BD$4:$BN$12824,6,0)*BE1610</f>
        <v>0</v>
      </c>
      <c r="BS1610" s="866">
        <f>VLOOKUP(BD1610,$BD$4:$BN$12824,7,0)*BE1610</f>
        <v>399.62789440454105</v>
      </c>
      <c r="BT1610" s="866"/>
      <c r="BU1610" s="866">
        <f>VLOOKUP(BD1610,$BD$4:$BN$12824,9,0)*BE1610</f>
        <v>19.562022197582234</v>
      </c>
      <c r="BV1610" s="867"/>
      <c r="BW1610" s="867">
        <f>VLOOKUP(BD1610,$BD$4:$BN$12824,11,0)*BE1610</f>
        <v>369.46654868261584</v>
      </c>
      <c r="BX1610" s="1146">
        <f t="shared" si="306"/>
        <v>804.92530897839697</v>
      </c>
      <c r="BY1610" s="867">
        <f t="shared" si="309"/>
        <v>202373.46265448921</v>
      </c>
      <c r="BZ1610" s="867">
        <f t="shared" si="307"/>
        <v>404746.92530897842</v>
      </c>
      <c r="CA1610" s="867">
        <f>_xlfn.MAXIFS($BY$4:$BY$12824,$S$4:$S$12824,$S1610)</f>
        <v>202373.46265448921</v>
      </c>
      <c r="CB1610" s="1032"/>
      <c r="CF1610" s="946">
        <f t="shared" si="308"/>
        <v>403942</v>
      </c>
    </row>
    <row r="1611" spans="2:84">
      <c r="B1611" s="839" t="s">
        <v>98</v>
      </c>
      <c r="C1611" s="839" t="s">
        <v>3454</v>
      </c>
      <c r="D1611" s="839" t="s">
        <v>5424</v>
      </c>
      <c r="E1611" s="839" t="s">
        <v>5424</v>
      </c>
      <c r="F1611" s="841">
        <v>45876</v>
      </c>
      <c r="G1611" s="839" t="s">
        <v>3454</v>
      </c>
      <c r="H1611" s="842" t="s">
        <v>102</v>
      </c>
      <c r="I1611" s="883" t="s">
        <v>5425</v>
      </c>
      <c r="J1611" s="841"/>
      <c r="K1611" s="841"/>
      <c r="L1611" s="843" t="s">
        <v>106</v>
      </c>
      <c r="M1611" s="844" t="s">
        <v>5258</v>
      </c>
      <c r="N1611" s="841"/>
      <c r="O1611" s="884" t="s">
        <v>3459</v>
      </c>
      <c r="P1611" s="842"/>
      <c r="Q1611" s="843"/>
      <c r="R1611" s="845" t="s">
        <v>5441</v>
      </c>
      <c r="S1611" s="1127" t="s">
        <v>5441</v>
      </c>
      <c r="T1611" s="885" t="s">
        <v>5442</v>
      </c>
      <c r="U1611" s="886">
        <v>1</v>
      </c>
      <c r="V1611" s="842" t="s">
        <v>8</v>
      </c>
      <c r="W1611" s="846">
        <v>7.4</v>
      </c>
      <c r="X1611" s="847">
        <f t="shared" ref="X1611:X1642" si="310">W1611*U1611</f>
        <v>7.4</v>
      </c>
      <c r="Y1611" s="853">
        <v>0</v>
      </c>
      <c r="Z1611" s="849">
        <v>7.4</v>
      </c>
      <c r="AA1611" s="849"/>
      <c r="AB1611" s="849">
        <f t="shared" si="302"/>
        <v>7.4</v>
      </c>
      <c r="AC1611" s="850">
        <f t="shared" si="303"/>
        <v>7.4</v>
      </c>
      <c r="AD1611" s="851">
        <f t="shared" si="301"/>
        <v>27000</v>
      </c>
      <c r="AE1611" s="852">
        <v>26230</v>
      </c>
      <c r="AF1611" s="853">
        <v>0</v>
      </c>
      <c r="AG1611" s="854">
        <f t="shared" si="304"/>
        <v>0</v>
      </c>
      <c r="AH1611" s="853">
        <v>0.08</v>
      </c>
      <c r="AI1611" s="855">
        <f t="shared" si="305"/>
        <v>15528.16</v>
      </c>
      <c r="AJ1611" s="845" t="s">
        <v>5369</v>
      </c>
      <c r="AK1611" s="857">
        <v>45915</v>
      </c>
      <c r="AL1611" s="843" t="s">
        <v>5370</v>
      </c>
      <c r="AM1611" s="843" t="s">
        <v>5371</v>
      </c>
      <c r="AN1611" s="844" t="s">
        <v>3951</v>
      </c>
      <c r="AO1611" s="844" t="s">
        <v>141</v>
      </c>
      <c r="AP1611" s="841"/>
      <c r="AQ1611" s="841">
        <v>45931</v>
      </c>
      <c r="AR1611" s="841">
        <v>45934</v>
      </c>
      <c r="AS1611" s="842" t="s">
        <v>1581</v>
      </c>
      <c r="AT1611" s="842" t="s">
        <v>1235</v>
      </c>
      <c r="AU1611" s="842" t="s">
        <v>1311</v>
      </c>
      <c r="AV1611" s="845" t="s">
        <v>5372</v>
      </c>
      <c r="AW1611" s="861">
        <v>45933</v>
      </c>
      <c r="AX1611" s="862">
        <v>45936</v>
      </c>
      <c r="AY1611" s="843" t="s">
        <v>5443</v>
      </c>
      <c r="AZ1611" s="842">
        <v>94059950</v>
      </c>
      <c r="BA1611" s="842" t="s">
        <v>120</v>
      </c>
      <c r="BB1611" s="863" t="s">
        <v>121</v>
      </c>
      <c r="BC1611" s="864">
        <v>45907</v>
      </c>
      <c r="BD1611" s="860" t="s">
        <v>5374</v>
      </c>
      <c r="BE1611" s="865" cm="1">
        <f t="array" ref="BE1611">IF(BD1611="","",AC1611/SUMPRODUCT(--(BD1611=$BD$4:$BD$12824),$AC$4:$AC$12824))</f>
        <v>2.9589312340382653E-4</v>
      </c>
      <c r="BF1611" s="458"/>
      <c r="BG1611" s="458"/>
      <c r="BH1611" s="458"/>
      <c r="BI1611" s="458"/>
      <c r="BJ1611" s="458"/>
      <c r="BK1611" s="458"/>
      <c r="BL1611" s="458"/>
      <c r="BM1611" s="458"/>
      <c r="BN1611" s="458"/>
      <c r="BO1611" s="866">
        <f>VLOOKUP(BD1611,$BD$4:$BN$12824,3,0)*BE1611</f>
        <v>7.8174963203290968</v>
      </c>
      <c r="BP1611" s="866"/>
      <c r="BQ1611" s="866"/>
      <c r="BR1611" s="866">
        <f>VLOOKUP(BD1611,$BD$4:$BN$12824,6,0)*BE1611</f>
        <v>0</v>
      </c>
      <c r="BS1611" s="866">
        <f>VLOOKUP(BD1611,$BD$4:$BN$12824,7,0)*BE1611</f>
        <v>192.02898822036389</v>
      </c>
      <c r="BT1611" s="866"/>
      <c r="BU1611" s="866">
        <f>VLOOKUP(BD1611,$BD$4:$BN$12824,9,0)*BE1611</f>
        <v>9.3999327442927605</v>
      </c>
      <c r="BV1611" s="867"/>
      <c r="BW1611" s="867">
        <f>VLOOKUP(BD1611,$BD$4:$BN$12824,11,0)*BE1611</f>
        <v>177.53587404229592</v>
      </c>
      <c r="BX1611" s="1146">
        <f t="shared" si="306"/>
        <v>386.78229132728165</v>
      </c>
      <c r="BY1611" s="867">
        <f t="shared" si="309"/>
        <v>194488.78229132728</v>
      </c>
      <c r="BZ1611" s="867">
        <f t="shared" si="307"/>
        <v>194488.78229132728</v>
      </c>
      <c r="CA1611" s="867">
        <f>_xlfn.MAXIFS($BY$4:$BY$12824,$S$4:$S$12824,$S1611)</f>
        <v>194488.78229132728</v>
      </c>
      <c r="CB1611" s="1032"/>
      <c r="CF1611" s="946">
        <f t="shared" si="308"/>
        <v>194102</v>
      </c>
    </row>
    <row r="1612" spans="2:84">
      <c r="B1612" s="839" t="s">
        <v>98</v>
      </c>
      <c r="C1612" s="839" t="s">
        <v>3454</v>
      </c>
      <c r="D1612" s="839" t="s">
        <v>5424</v>
      </c>
      <c r="E1612" s="839" t="s">
        <v>5424</v>
      </c>
      <c r="F1612" s="841">
        <v>45876</v>
      </c>
      <c r="G1612" s="839" t="s">
        <v>3454</v>
      </c>
      <c r="H1612" s="842" t="s">
        <v>102</v>
      </c>
      <c r="I1612" s="883" t="s">
        <v>5425</v>
      </c>
      <c r="J1612" s="841"/>
      <c r="K1612" s="841"/>
      <c r="L1612" s="843" t="s">
        <v>106</v>
      </c>
      <c r="M1612" s="844" t="s">
        <v>5258</v>
      </c>
      <c r="N1612" s="841"/>
      <c r="O1612" s="884" t="s">
        <v>3459</v>
      </c>
      <c r="P1612" s="842"/>
      <c r="Q1612" s="843"/>
      <c r="R1612" s="845" t="s">
        <v>5444</v>
      </c>
      <c r="S1612" s="1127" t="s">
        <v>5444</v>
      </c>
      <c r="T1612" s="885" t="s">
        <v>5445</v>
      </c>
      <c r="U1612" s="886">
        <v>1</v>
      </c>
      <c r="V1612" s="842" t="s">
        <v>8</v>
      </c>
      <c r="W1612" s="846">
        <v>7.8</v>
      </c>
      <c r="X1612" s="847">
        <f t="shared" si="310"/>
        <v>7.8</v>
      </c>
      <c r="Y1612" s="853">
        <v>0</v>
      </c>
      <c r="Z1612" s="849">
        <v>7.8</v>
      </c>
      <c r="AA1612" s="849"/>
      <c r="AB1612" s="849">
        <f t="shared" si="302"/>
        <v>7.8</v>
      </c>
      <c r="AC1612" s="850">
        <f t="shared" si="303"/>
        <v>7.8</v>
      </c>
      <c r="AD1612" s="851">
        <f t="shared" si="301"/>
        <v>27000</v>
      </c>
      <c r="AE1612" s="852">
        <v>26230</v>
      </c>
      <c r="AF1612" s="853">
        <v>0</v>
      </c>
      <c r="AG1612" s="854">
        <f t="shared" si="304"/>
        <v>0</v>
      </c>
      <c r="AH1612" s="853">
        <v>0.08</v>
      </c>
      <c r="AI1612" s="855">
        <f t="shared" si="305"/>
        <v>16367.52</v>
      </c>
      <c r="AJ1612" s="845" t="s">
        <v>5369</v>
      </c>
      <c r="AK1612" s="857">
        <v>45915</v>
      </c>
      <c r="AL1612" s="843" t="s">
        <v>5370</v>
      </c>
      <c r="AM1612" s="843" t="s">
        <v>5371</v>
      </c>
      <c r="AN1612" s="844" t="s">
        <v>3951</v>
      </c>
      <c r="AO1612" s="844" t="s">
        <v>141</v>
      </c>
      <c r="AP1612" s="841"/>
      <c r="AQ1612" s="841">
        <v>45931</v>
      </c>
      <c r="AR1612" s="841">
        <v>45934</v>
      </c>
      <c r="AS1612" s="842" t="s">
        <v>1581</v>
      </c>
      <c r="AT1612" s="842" t="s">
        <v>1235</v>
      </c>
      <c r="AU1612" s="842" t="s">
        <v>1311</v>
      </c>
      <c r="AV1612" s="845" t="s">
        <v>5372</v>
      </c>
      <c r="AW1612" s="861">
        <v>45933</v>
      </c>
      <c r="AX1612" s="862">
        <v>45936</v>
      </c>
      <c r="AY1612" s="843" t="s">
        <v>5446</v>
      </c>
      <c r="AZ1612" s="842">
        <v>94059950</v>
      </c>
      <c r="BA1612" s="842" t="s">
        <v>120</v>
      </c>
      <c r="BB1612" s="863" t="s">
        <v>121</v>
      </c>
      <c r="BC1612" s="864">
        <v>45907</v>
      </c>
      <c r="BD1612" s="860" t="s">
        <v>5374</v>
      </c>
      <c r="BE1612" s="865" cm="1">
        <f t="array" ref="BE1612">IF(BD1612="","",AC1612/SUMPRODUCT(--(BD1612=$BD$4:$BD$12824),$AC$4:$AC$12824))</f>
        <v>3.1188734629051981E-4</v>
      </c>
      <c r="BF1612" s="458"/>
      <c r="BG1612" s="458"/>
      <c r="BH1612" s="458"/>
      <c r="BI1612" s="458"/>
      <c r="BJ1612" s="458"/>
      <c r="BK1612" s="458"/>
      <c r="BL1612" s="458"/>
      <c r="BM1612" s="458"/>
      <c r="BN1612" s="458"/>
      <c r="BO1612" s="866">
        <f>VLOOKUP(BD1612,$BD$4:$BN$12824,3,0)*BE1612</f>
        <v>8.2400636889955337</v>
      </c>
      <c r="BP1612" s="866"/>
      <c r="BQ1612" s="866"/>
      <c r="BR1612" s="866">
        <f>VLOOKUP(BD1612,$BD$4:$BN$12824,6,0)*BE1612</f>
        <v>0</v>
      </c>
      <c r="BS1612" s="866">
        <f>VLOOKUP(BD1612,$BD$4:$BN$12824,7,0)*BE1612</f>
        <v>202.40893352957272</v>
      </c>
      <c r="BT1612" s="866"/>
      <c r="BU1612" s="866">
        <f>VLOOKUP(BD1612,$BD$4:$BN$12824,9,0)*BE1612</f>
        <v>9.9080372169572328</v>
      </c>
      <c r="BV1612" s="867"/>
      <c r="BW1612" s="867">
        <f>VLOOKUP(BD1612,$BD$4:$BN$12824,11,0)*BE1612</f>
        <v>187.13240777431187</v>
      </c>
      <c r="BX1612" s="1146">
        <f t="shared" si="306"/>
        <v>407.68944220983735</v>
      </c>
      <c r="BY1612" s="867">
        <f t="shared" si="309"/>
        <v>205001.68944220984</v>
      </c>
      <c r="BZ1612" s="867">
        <f t="shared" si="307"/>
        <v>205001.68944220984</v>
      </c>
      <c r="CA1612" s="867">
        <f>_xlfn.MAXIFS($BY$4:$BY$12824,$S$4:$S$12824,$S1612)</f>
        <v>205001.68944220984</v>
      </c>
      <c r="CB1612" s="1032"/>
      <c r="CF1612" s="946">
        <f t="shared" si="308"/>
        <v>204594</v>
      </c>
    </row>
    <row r="1613" spans="2:84">
      <c r="B1613" s="839" t="s">
        <v>98</v>
      </c>
      <c r="C1613" s="839" t="s">
        <v>3454</v>
      </c>
      <c r="D1613" s="839" t="s">
        <v>5424</v>
      </c>
      <c r="E1613" s="839" t="s">
        <v>5424</v>
      </c>
      <c r="F1613" s="841">
        <v>45876</v>
      </c>
      <c r="G1613" s="839" t="s">
        <v>3454</v>
      </c>
      <c r="H1613" s="842" t="s">
        <v>102</v>
      </c>
      <c r="I1613" s="883" t="s">
        <v>5425</v>
      </c>
      <c r="J1613" s="841"/>
      <c r="K1613" s="841"/>
      <c r="L1613" s="843" t="s">
        <v>106</v>
      </c>
      <c r="M1613" s="844" t="s">
        <v>5258</v>
      </c>
      <c r="N1613" s="841"/>
      <c r="O1613" s="884" t="s">
        <v>3459</v>
      </c>
      <c r="P1613" s="842"/>
      <c r="Q1613" s="843"/>
      <c r="R1613" s="845" t="s">
        <v>5447</v>
      </c>
      <c r="S1613" s="1127" t="s">
        <v>5447</v>
      </c>
      <c r="T1613" s="885" t="s">
        <v>5448</v>
      </c>
      <c r="U1613" s="886">
        <v>1</v>
      </c>
      <c r="V1613" s="842" t="s">
        <v>8</v>
      </c>
      <c r="W1613" s="846">
        <v>7.8</v>
      </c>
      <c r="X1613" s="847">
        <f t="shared" si="310"/>
        <v>7.8</v>
      </c>
      <c r="Y1613" s="853">
        <v>0</v>
      </c>
      <c r="Z1613" s="849">
        <v>7.8</v>
      </c>
      <c r="AA1613" s="849"/>
      <c r="AB1613" s="849">
        <f t="shared" si="302"/>
        <v>7.8</v>
      </c>
      <c r="AC1613" s="850">
        <f t="shared" si="303"/>
        <v>7.8</v>
      </c>
      <c r="AD1613" s="851">
        <f t="shared" si="301"/>
        <v>27000</v>
      </c>
      <c r="AE1613" s="852">
        <v>26230</v>
      </c>
      <c r="AF1613" s="853">
        <v>0</v>
      </c>
      <c r="AG1613" s="854">
        <f t="shared" si="304"/>
        <v>0</v>
      </c>
      <c r="AH1613" s="853">
        <v>0.08</v>
      </c>
      <c r="AI1613" s="855">
        <f t="shared" si="305"/>
        <v>16367.52</v>
      </c>
      <c r="AJ1613" s="845" t="s">
        <v>5369</v>
      </c>
      <c r="AK1613" s="857">
        <v>45915</v>
      </c>
      <c r="AL1613" s="843" t="s">
        <v>5370</v>
      </c>
      <c r="AM1613" s="843" t="s">
        <v>5371</v>
      </c>
      <c r="AN1613" s="844" t="s">
        <v>3951</v>
      </c>
      <c r="AO1613" s="844" t="s">
        <v>141</v>
      </c>
      <c r="AP1613" s="841"/>
      <c r="AQ1613" s="841">
        <v>45931</v>
      </c>
      <c r="AR1613" s="841">
        <v>45934</v>
      </c>
      <c r="AS1613" s="842" t="s">
        <v>1581</v>
      </c>
      <c r="AT1613" s="842" t="s">
        <v>1235</v>
      </c>
      <c r="AU1613" s="842" t="s">
        <v>1311</v>
      </c>
      <c r="AV1613" s="845" t="s">
        <v>5372</v>
      </c>
      <c r="AW1613" s="861">
        <v>45933</v>
      </c>
      <c r="AX1613" s="862">
        <v>45936</v>
      </c>
      <c r="AY1613" s="843" t="s">
        <v>5449</v>
      </c>
      <c r="AZ1613" s="842">
        <v>94059950</v>
      </c>
      <c r="BA1613" s="842" t="s">
        <v>120</v>
      </c>
      <c r="BB1613" s="863" t="s">
        <v>121</v>
      </c>
      <c r="BC1613" s="864">
        <v>45907</v>
      </c>
      <c r="BD1613" s="860" t="s">
        <v>5374</v>
      </c>
      <c r="BE1613" s="865" cm="1">
        <f t="array" ref="BE1613">IF(BD1613="","",AC1613/SUMPRODUCT(--(BD1613=$BD$4:$BD$12824),$AC$4:$AC$12824))</f>
        <v>3.1188734629051981E-4</v>
      </c>
      <c r="BF1613" s="458"/>
      <c r="BG1613" s="458"/>
      <c r="BH1613" s="458"/>
      <c r="BI1613" s="458"/>
      <c r="BJ1613" s="458"/>
      <c r="BK1613" s="458"/>
      <c r="BL1613" s="458"/>
      <c r="BM1613" s="458"/>
      <c r="BN1613" s="458"/>
      <c r="BO1613" s="866">
        <f>VLOOKUP(BD1613,$BD$4:$BN$12824,3,0)*BE1613</f>
        <v>8.2400636889955337</v>
      </c>
      <c r="BP1613" s="866"/>
      <c r="BQ1613" s="866"/>
      <c r="BR1613" s="866">
        <f>VLOOKUP(BD1613,$BD$4:$BN$12824,6,0)*BE1613</f>
        <v>0</v>
      </c>
      <c r="BS1613" s="866">
        <f>VLOOKUP(BD1613,$BD$4:$BN$12824,7,0)*BE1613</f>
        <v>202.40893352957272</v>
      </c>
      <c r="BT1613" s="866"/>
      <c r="BU1613" s="866">
        <f>VLOOKUP(BD1613,$BD$4:$BN$12824,9,0)*BE1613</f>
        <v>9.9080372169572328</v>
      </c>
      <c r="BV1613" s="867"/>
      <c r="BW1613" s="867">
        <f>VLOOKUP(BD1613,$BD$4:$BN$12824,11,0)*BE1613</f>
        <v>187.13240777431187</v>
      </c>
      <c r="BX1613" s="1146">
        <f t="shared" si="306"/>
        <v>407.68944220983735</v>
      </c>
      <c r="BY1613" s="867">
        <f t="shared" si="309"/>
        <v>205001.68944220984</v>
      </c>
      <c r="BZ1613" s="867">
        <f t="shared" si="307"/>
        <v>205001.68944220984</v>
      </c>
      <c r="CA1613" s="867">
        <f>_xlfn.MAXIFS($BY$4:$BY$12824,$S$4:$S$12824,$S1613)</f>
        <v>205001.68944220984</v>
      </c>
      <c r="CB1613" s="1032"/>
      <c r="CF1613" s="946">
        <f t="shared" si="308"/>
        <v>204594</v>
      </c>
    </row>
    <row r="1614" spans="2:84">
      <c r="B1614" s="839" t="s">
        <v>98</v>
      </c>
      <c r="C1614" s="839" t="s">
        <v>3454</v>
      </c>
      <c r="D1614" s="839" t="s">
        <v>5424</v>
      </c>
      <c r="E1614" s="839" t="s">
        <v>5424</v>
      </c>
      <c r="F1614" s="841">
        <v>45876</v>
      </c>
      <c r="G1614" s="839" t="s">
        <v>3454</v>
      </c>
      <c r="H1614" s="842" t="s">
        <v>102</v>
      </c>
      <c r="I1614" s="883" t="s">
        <v>5425</v>
      </c>
      <c r="J1614" s="841"/>
      <c r="K1614" s="841"/>
      <c r="L1614" s="843" t="s">
        <v>106</v>
      </c>
      <c r="M1614" s="844" t="s">
        <v>5258</v>
      </c>
      <c r="N1614" s="841"/>
      <c r="O1614" s="884" t="s">
        <v>3459</v>
      </c>
      <c r="P1614" s="842"/>
      <c r="Q1614" s="843"/>
      <c r="R1614" s="845" t="s">
        <v>5450</v>
      </c>
      <c r="S1614" s="1127" t="s">
        <v>5450</v>
      </c>
      <c r="T1614" s="885" t="s">
        <v>5451</v>
      </c>
      <c r="U1614" s="886">
        <v>1</v>
      </c>
      <c r="V1614" s="842" t="s">
        <v>8</v>
      </c>
      <c r="W1614" s="846">
        <v>8</v>
      </c>
      <c r="X1614" s="847">
        <f t="shared" si="310"/>
        <v>8</v>
      </c>
      <c r="Y1614" s="853">
        <v>0</v>
      </c>
      <c r="Z1614" s="849">
        <v>8</v>
      </c>
      <c r="AA1614" s="849"/>
      <c r="AB1614" s="849">
        <f t="shared" si="302"/>
        <v>8</v>
      </c>
      <c r="AC1614" s="850">
        <f t="shared" si="303"/>
        <v>8</v>
      </c>
      <c r="AD1614" s="851">
        <f t="shared" si="301"/>
        <v>27000</v>
      </c>
      <c r="AE1614" s="852">
        <v>26230</v>
      </c>
      <c r="AF1614" s="853">
        <v>0</v>
      </c>
      <c r="AG1614" s="854">
        <f t="shared" si="304"/>
        <v>0</v>
      </c>
      <c r="AH1614" s="853">
        <v>0.08</v>
      </c>
      <c r="AI1614" s="855">
        <f t="shared" si="305"/>
        <v>16787.2</v>
      </c>
      <c r="AJ1614" s="845" t="s">
        <v>5369</v>
      </c>
      <c r="AK1614" s="857">
        <v>45915</v>
      </c>
      <c r="AL1614" s="843" t="s">
        <v>5370</v>
      </c>
      <c r="AM1614" s="843" t="s">
        <v>5371</v>
      </c>
      <c r="AN1614" s="844" t="s">
        <v>3951</v>
      </c>
      <c r="AO1614" s="844" t="s">
        <v>141</v>
      </c>
      <c r="AP1614" s="841"/>
      <c r="AQ1614" s="841">
        <v>45931</v>
      </c>
      <c r="AR1614" s="841">
        <v>45934</v>
      </c>
      <c r="AS1614" s="842" t="s">
        <v>1581</v>
      </c>
      <c r="AT1614" s="842" t="s">
        <v>1235</v>
      </c>
      <c r="AU1614" s="842" t="s">
        <v>1311</v>
      </c>
      <c r="AV1614" s="845" t="s">
        <v>5372</v>
      </c>
      <c r="AW1614" s="861">
        <v>45933</v>
      </c>
      <c r="AX1614" s="862">
        <v>45936</v>
      </c>
      <c r="AY1614" s="843" t="s">
        <v>5452</v>
      </c>
      <c r="AZ1614" s="842">
        <v>94059950</v>
      </c>
      <c r="BA1614" s="842" t="s">
        <v>120</v>
      </c>
      <c r="BB1614" s="863" t="s">
        <v>121</v>
      </c>
      <c r="BC1614" s="864">
        <v>45907</v>
      </c>
      <c r="BD1614" s="860" t="s">
        <v>5374</v>
      </c>
      <c r="BE1614" s="865" cm="1">
        <f t="array" ref="BE1614">IF(BD1614="","",AC1614/SUMPRODUCT(--(BD1614=$BD$4:$BD$12824),$AC$4:$AC$12824))</f>
        <v>3.1988445773386648E-4</v>
      </c>
      <c r="BF1614" s="458"/>
      <c r="BG1614" s="458"/>
      <c r="BH1614" s="458"/>
      <c r="BI1614" s="458"/>
      <c r="BJ1614" s="458"/>
      <c r="BK1614" s="458"/>
      <c r="BL1614" s="458"/>
      <c r="BM1614" s="458"/>
      <c r="BN1614" s="458"/>
      <c r="BO1614" s="866">
        <f>VLOOKUP(BD1614,$BD$4:$BN$12824,3,0)*BE1614</f>
        <v>8.451347373328753</v>
      </c>
      <c r="BP1614" s="866"/>
      <c r="BQ1614" s="866"/>
      <c r="BR1614" s="866">
        <f>VLOOKUP(BD1614,$BD$4:$BN$12824,6,0)*BE1614</f>
        <v>0</v>
      </c>
      <c r="BS1614" s="866">
        <f>VLOOKUP(BD1614,$BD$4:$BN$12824,7,0)*BE1614</f>
        <v>207.59890618417714</v>
      </c>
      <c r="BT1614" s="866"/>
      <c r="BU1614" s="866">
        <f>VLOOKUP(BD1614,$BD$4:$BN$12824,9,0)*BE1614</f>
        <v>10.16208945328947</v>
      </c>
      <c r="BV1614" s="867"/>
      <c r="BW1614" s="867">
        <f>VLOOKUP(BD1614,$BD$4:$BN$12824,11,0)*BE1614</f>
        <v>191.93067464031989</v>
      </c>
      <c r="BX1614" s="1146">
        <f t="shared" si="306"/>
        <v>418.14301765111526</v>
      </c>
      <c r="BY1614" s="867">
        <f t="shared" si="309"/>
        <v>210258.14301765111</v>
      </c>
      <c r="BZ1614" s="867">
        <f t="shared" si="307"/>
        <v>210258.14301765111</v>
      </c>
      <c r="CA1614" s="867">
        <f>_xlfn.MAXIFS($BY$4:$BY$12824,$S$4:$S$12824,$S1614)</f>
        <v>210258.14301765111</v>
      </c>
      <c r="CB1614" s="1032"/>
      <c r="CF1614" s="946">
        <f t="shared" si="308"/>
        <v>209840</v>
      </c>
    </row>
    <row r="1615" spans="2:84">
      <c r="B1615" s="839" t="s">
        <v>98</v>
      </c>
      <c r="C1615" s="839" t="s">
        <v>3454</v>
      </c>
      <c r="D1615" s="839" t="s">
        <v>5424</v>
      </c>
      <c r="E1615" s="839" t="s">
        <v>5424</v>
      </c>
      <c r="F1615" s="841">
        <v>45876</v>
      </c>
      <c r="G1615" s="839" t="s">
        <v>3454</v>
      </c>
      <c r="H1615" s="842" t="s">
        <v>102</v>
      </c>
      <c r="I1615" s="883" t="s">
        <v>5425</v>
      </c>
      <c r="J1615" s="841"/>
      <c r="K1615" s="841"/>
      <c r="L1615" s="843" t="s">
        <v>106</v>
      </c>
      <c r="M1615" s="844" t="s">
        <v>5258</v>
      </c>
      <c r="N1615" s="841"/>
      <c r="O1615" s="884" t="s">
        <v>3459</v>
      </c>
      <c r="P1615" s="842"/>
      <c r="Q1615" s="843"/>
      <c r="R1615" s="845" t="s">
        <v>5453</v>
      </c>
      <c r="S1615" s="1127" t="s">
        <v>5453</v>
      </c>
      <c r="T1615" s="885" t="s">
        <v>5454</v>
      </c>
      <c r="U1615" s="886">
        <v>1</v>
      </c>
      <c r="V1615" s="842" t="s">
        <v>8</v>
      </c>
      <c r="W1615" s="846">
        <v>8</v>
      </c>
      <c r="X1615" s="847">
        <f t="shared" si="310"/>
        <v>8</v>
      </c>
      <c r="Y1615" s="853">
        <v>0</v>
      </c>
      <c r="Z1615" s="849">
        <v>8</v>
      </c>
      <c r="AA1615" s="849"/>
      <c r="AB1615" s="849">
        <f t="shared" si="302"/>
        <v>8</v>
      </c>
      <c r="AC1615" s="850">
        <f t="shared" si="303"/>
        <v>8</v>
      </c>
      <c r="AD1615" s="851">
        <f t="shared" si="301"/>
        <v>27000</v>
      </c>
      <c r="AE1615" s="852">
        <v>26230</v>
      </c>
      <c r="AF1615" s="853">
        <v>0</v>
      </c>
      <c r="AG1615" s="854">
        <f t="shared" si="304"/>
        <v>0</v>
      </c>
      <c r="AH1615" s="853">
        <v>0.08</v>
      </c>
      <c r="AI1615" s="855">
        <f t="shared" si="305"/>
        <v>16787.2</v>
      </c>
      <c r="AJ1615" s="845" t="s">
        <v>5369</v>
      </c>
      <c r="AK1615" s="857">
        <v>45915</v>
      </c>
      <c r="AL1615" s="843" t="s">
        <v>5370</v>
      </c>
      <c r="AM1615" s="843" t="s">
        <v>5371</v>
      </c>
      <c r="AN1615" s="844" t="s">
        <v>3951</v>
      </c>
      <c r="AO1615" s="844" t="s">
        <v>141</v>
      </c>
      <c r="AP1615" s="841"/>
      <c r="AQ1615" s="841">
        <v>45931</v>
      </c>
      <c r="AR1615" s="841">
        <v>45934</v>
      </c>
      <c r="AS1615" s="842" t="s">
        <v>1581</v>
      </c>
      <c r="AT1615" s="842" t="s">
        <v>1235</v>
      </c>
      <c r="AU1615" s="842" t="s">
        <v>1311</v>
      </c>
      <c r="AV1615" s="845" t="s">
        <v>5372</v>
      </c>
      <c r="AW1615" s="861">
        <v>45933</v>
      </c>
      <c r="AX1615" s="862">
        <v>45936</v>
      </c>
      <c r="AY1615" s="843" t="s">
        <v>5455</v>
      </c>
      <c r="AZ1615" s="842">
        <v>94059950</v>
      </c>
      <c r="BA1615" s="842" t="s">
        <v>120</v>
      </c>
      <c r="BB1615" s="863" t="s">
        <v>121</v>
      </c>
      <c r="BC1615" s="864">
        <v>45907</v>
      </c>
      <c r="BD1615" s="860" t="s">
        <v>5374</v>
      </c>
      <c r="BE1615" s="865" cm="1">
        <f t="array" ref="BE1615">IF(BD1615="","",AC1615/SUMPRODUCT(--(BD1615=$BD$4:$BD$12824),$AC$4:$AC$12824))</f>
        <v>3.1988445773386648E-4</v>
      </c>
      <c r="BF1615" s="458"/>
      <c r="BG1615" s="458"/>
      <c r="BH1615" s="458"/>
      <c r="BI1615" s="458"/>
      <c r="BJ1615" s="458"/>
      <c r="BK1615" s="458"/>
      <c r="BL1615" s="458"/>
      <c r="BM1615" s="458"/>
      <c r="BN1615" s="458"/>
      <c r="BO1615" s="866">
        <f>VLOOKUP(BD1615,$BD$4:$BN$12824,3,0)*BE1615</f>
        <v>8.451347373328753</v>
      </c>
      <c r="BP1615" s="866"/>
      <c r="BQ1615" s="866"/>
      <c r="BR1615" s="866">
        <f>VLOOKUP(BD1615,$BD$4:$BN$12824,6,0)*BE1615</f>
        <v>0</v>
      </c>
      <c r="BS1615" s="866">
        <f>VLOOKUP(BD1615,$BD$4:$BN$12824,7,0)*BE1615</f>
        <v>207.59890618417714</v>
      </c>
      <c r="BT1615" s="866"/>
      <c r="BU1615" s="866">
        <f>VLOOKUP(BD1615,$BD$4:$BN$12824,9,0)*BE1615</f>
        <v>10.16208945328947</v>
      </c>
      <c r="BV1615" s="867"/>
      <c r="BW1615" s="867">
        <f>VLOOKUP(BD1615,$BD$4:$BN$12824,11,0)*BE1615</f>
        <v>191.93067464031989</v>
      </c>
      <c r="BX1615" s="1146">
        <f t="shared" si="306"/>
        <v>418.14301765111526</v>
      </c>
      <c r="BY1615" s="867">
        <f t="shared" si="309"/>
        <v>210258.14301765111</v>
      </c>
      <c r="BZ1615" s="867">
        <f t="shared" si="307"/>
        <v>210258.14301765111</v>
      </c>
      <c r="CA1615" s="867">
        <f>_xlfn.MAXIFS($BY$4:$BY$12824,$S$4:$S$12824,$S1615)</f>
        <v>210258.14301765111</v>
      </c>
      <c r="CB1615" s="1032"/>
      <c r="CF1615" s="946">
        <f t="shared" si="308"/>
        <v>209840</v>
      </c>
    </row>
    <row r="1616" spans="2:84">
      <c r="B1616" s="839" t="s">
        <v>98</v>
      </c>
      <c r="C1616" s="839" t="s">
        <v>3454</v>
      </c>
      <c r="D1616" s="839" t="s">
        <v>5424</v>
      </c>
      <c r="E1616" s="839" t="s">
        <v>5424</v>
      </c>
      <c r="F1616" s="841">
        <v>45876</v>
      </c>
      <c r="G1616" s="839" t="s">
        <v>3454</v>
      </c>
      <c r="H1616" s="842" t="s">
        <v>102</v>
      </c>
      <c r="I1616" s="883" t="s">
        <v>5425</v>
      </c>
      <c r="J1616" s="841"/>
      <c r="K1616" s="841"/>
      <c r="L1616" s="843" t="s">
        <v>106</v>
      </c>
      <c r="M1616" s="844" t="s">
        <v>5258</v>
      </c>
      <c r="N1616" s="841"/>
      <c r="O1616" s="884" t="s">
        <v>3459</v>
      </c>
      <c r="P1616" s="842"/>
      <c r="Q1616" s="843"/>
      <c r="R1616" s="845" t="s">
        <v>5456</v>
      </c>
      <c r="S1616" s="1127" t="s">
        <v>5456</v>
      </c>
      <c r="T1616" s="885" t="s">
        <v>5457</v>
      </c>
      <c r="U1616" s="886">
        <v>1</v>
      </c>
      <c r="V1616" s="842" t="s">
        <v>8</v>
      </c>
      <c r="W1616" s="846">
        <v>8</v>
      </c>
      <c r="X1616" s="847">
        <f t="shared" si="310"/>
        <v>8</v>
      </c>
      <c r="Y1616" s="853">
        <v>0</v>
      </c>
      <c r="Z1616" s="849">
        <v>8</v>
      </c>
      <c r="AA1616" s="849"/>
      <c r="AB1616" s="849">
        <f t="shared" si="302"/>
        <v>8</v>
      </c>
      <c r="AC1616" s="850">
        <f t="shared" si="303"/>
        <v>8</v>
      </c>
      <c r="AD1616" s="851">
        <f t="shared" si="301"/>
        <v>27000</v>
      </c>
      <c r="AE1616" s="852">
        <v>26230</v>
      </c>
      <c r="AF1616" s="853">
        <v>0</v>
      </c>
      <c r="AG1616" s="854">
        <f t="shared" si="304"/>
        <v>0</v>
      </c>
      <c r="AH1616" s="853">
        <v>0.08</v>
      </c>
      <c r="AI1616" s="855">
        <f t="shared" si="305"/>
        <v>16787.2</v>
      </c>
      <c r="AJ1616" s="845" t="s">
        <v>5369</v>
      </c>
      <c r="AK1616" s="857">
        <v>45915</v>
      </c>
      <c r="AL1616" s="843" t="s">
        <v>5370</v>
      </c>
      <c r="AM1616" s="843" t="s">
        <v>5371</v>
      </c>
      <c r="AN1616" s="844" t="s">
        <v>3951</v>
      </c>
      <c r="AO1616" s="844" t="s">
        <v>141</v>
      </c>
      <c r="AP1616" s="841"/>
      <c r="AQ1616" s="841">
        <v>45931</v>
      </c>
      <c r="AR1616" s="841">
        <v>45934</v>
      </c>
      <c r="AS1616" s="842" t="s">
        <v>1581</v>
      </c>
      <c r="AT1616" s="842" t="s">
        <v>1235</v>
      </c>
      <c r="AU1616" s="842" t="s">
        <v>1311</v>
      </c>
      <c r="AV1616" s="845" t="s">
        <v>5372</v>
      </c>
      <c r="AW1616" s="861">
        <v>45933</v>
      </c>
      <c r="AX1616" s="862">
        <v>45936</v>
      </c>
      <c r="AY1616" s="843" t="s">
        <v>5458</v>
      </c>
      <c r="AZ1616" s="842">
        <v>94059950</v>
      </c>
      <c r="BA1616" s="842" t="s">
        <v>120</v>
      </c>
      <c r="BB1616" s="863" t="s">
        <v>121</v>
      </c>
      <c r="BC1616" s="864">
        <v>45907</v>
      </c>
      <c r="BD1616" s="860" t="s">
        <v>5374</v>
      </c>
      <c r="BE1616" s="865" cm="1">
        <f t="array" ref="BE1616">IF(BD1616="","",AC1616/SUMPRODUCT(--(BD1616=$BD$4:$BD$12824),$AC$4:$AC$12824))</f>
        <v>3.1988445773386648E-4</v>
      </c>
      <c r="BF1616" s="458"/>
      <c r="BG1616" s="458"/>
      <c r="BH1616" s="458"/>
      <c r="BI1616" s="458"/>
      <c r="BJ1616" s="458"/>
      <c r="BK1616" s="458"/>
      <c r="BL1616" s="458"/>
      <c r="BM1616" s="458"/>
      <c r="BN1616" s="458"/>
      <c r="BO1616" s="866">
        <f>VLOOKUP(BD1616,$BD$4:$BN$12824,3,0)*BE1616</f>
        <v>8.451347373328753</v>
      </c>
      <c r="BP1616" s="866"/>
      <c r="BQ1616" s="866"/>
      <c r="BR1616" s="866">
        <f>VLOOKUP(BD1616,$BD$4:$BN$12824,6,0)*BE1616</f>
        <v>0</v>
      </c>
      <c r="BS1616" s="866">
        <f>VLOOKUP(BD1616,$BD$4:$BN$12824,7,0)*BE1616</f>
        <v>207.59890618417714</v>
      </c>
      <c r="BT1616" s="866"/>
      <c r="BU1616" s="866">
        <f>VLOOKUP(BD1616,$BD$4:$BN$12824,9,0)*BE1616</f>
        <v>10.16208945328947</v>
      </c>
      <c r="BV1616" s="867"/>
      <c r="BW1616" s="867">
        <f>VLOOKUP(BD1616,$BD$4:$BN$12824,11,0)*BE1616</f>
        <v>191.93067464031989</v>
      </c>
      <c r="BX1616" s="1146">
        <f t="shared" si="306"/>
        <v>418.14301765111526</v>
      </c>
      <c r="BY1616" s="867">
        <f t="shared" si="309"/>
        <v>210258.14301765111</v>
      </c>
      <c r="BZ1616" s="867">
        <f t="shared" si="307"/>
        <v>210258.14301765111</v>
      </c>
      <c r="CA1616" s="867">
        <f>_xlfn.MAXIFS($BY$4:$BY$12824,$S$4:$S$12824,$S1616)</f>
        <v>210258.14301765111</v>
      </c>
      <c r="CB1616" s="1032"/>
      <c r="CF1616" s="946">
        <f t="shared" si="308"/>
        <v>209840</v>
      </c>
    </row>
    <row r="1617" spans="2:84">
      <c r="B1617" s="839" t="s">
        <v>98</v>
      </c>
      <c r="C1617" s="839" t="s">
        <v>3454</v>
      </c>
      <c r="D1617" s="839" t="s">
        <v>5424</v>
      </c>
      <c r="E1617" s="839" t="s">
        <v>5424</v>
      </c>
      <c r="F1617" s="841">
        <v>45876</v>
      </c>
      <c r="G1617" s="839" t="s">
        <v>3454</v>
      </c>
      <c r="H1617" s="842" t="s">
        <v>102</v>
      </c>
      <c r="I1617" s="883" t="s">
        <v>5425</v>
      </c>
      <c r="J1617" s="841"/>
      <c r="K1617" s="841"/>
      <c r="L1617" s="843" t="s">
        <v>106</v>
      </c>
      <c r="M1617" s="844" t="s">
        <v>5258</v>
      </c>
      <c r="N1617" s="841"/>
      <c r="O1617" s="884" t="s">
        <v>3459</v>
      </c>
      <c r="P1617" s="842"/>
      <c r="Q1617" s="843"/>
      <c r="R1617" s="845" t="s">
        <v>5459</v>
      </c>
      <c r="S1617" s="1127" t="s">
        <v>5459</v>
      </c>
      <c r="T1617" s="885" t="s">
        <v>5460</v>
      </c>
      <c r="U1617" s="886">
        <v>31</v>
      </c>
      <c r="V1617" s="842" t="s">
        <v>8</v>
      </c>
      <c r="W1617" s="846">
        <v>4.7</v>
      </c>
      <c r="X1617" s="847">
        <f t="shared" si="310"/>
        <v>145.70000000000002</v>
      </c>
      <c r="Y1617" s="853">
        <v>0</v>
      </c>
      <c r="Z1617" s="849">
        <v>4.7</v>
      </c>
      <c r="AA1617" s="849"/>
      <c r="AB1617" s="849">
        <f t="shared" si="302"/>
        <v>145.70000000000002</v>
      </c>
      <c r="AC1617" s="850">
        <f t="shared" si="303"/>
        <v>145.70000000000002</v>
      </c>
      <c r="AD1617" s="851">
        <f t="shared" si="301"/>
        <v>27000</v>
      </c>
      <c r="AE1617" s="852">
        <v>26230</v>
      </c>
      <c r="AF1617" s="853">
        <v>0</v>
      </c>
      <c r="AG1617" s="854">
        <f t="shared" si="304"/>
        <v>0</v>
      </c>
      <c r="AH1617" s="853">
        <v>0.08</v>
      </c>
      <c r="AI1617" s="855">
        <f t="shared" si="305"/>
        <v>305736.88000000006</v>
      </c>
      <c r="AJ1617" s="845" t="s">
        <v>5369</v>
      </c>
      <c r="AK1617" s="857">
        <v>45915</v>
      </c>
      <c r="AL1617" s="843" t="s">
        <v>5370</v>
      </c>
      <c r="AM1617" s="843" t="s">
        <v>5371</v>
      </c>
      <c r="AN1617" s="844" t="s">
        <v>3951</v>
      </c>
      <c r="AO1617" s="844" t="s">
        <v>141</v>
      </c>
      <c r="AP1617" s="841"/>
      <c r="AQ1617" s="841">
        <v>45931</v>
      </c>
      <c r="AR1617" s="841">
        <v>45934</v>
      </c>
      <c r="AS1617" s="842" t="s">
        <v>1581</v>
      </c>
      <c r="AT1617" s="842" t="s">
        <v>1235</v>
      </c>
      <c r="AU1617" s="842" t="s">
        <v>1311</v>
      </c>
      <c r="AV1617" s="845" t="s">
        <v>5372</v>
      </c>
      <c r="AW1617" s="861">
        <v>45933</v>
      </c>
      <c r="AX1617" s="862">
        <v>45936</v>
      </c>
      <c r="AY1617" s="843" t="s">
        <v>5461</v>
      </c>
      <c r="AZ1617" s="842">
        <v>85044030</v>
      </c>
      <c r="BA1617" s="842" t="s">
        <v>120</v>
      </c>
      <c r="BB1617" s="863" t="s">
        <v>121</v>
      </c>
      <c r="BC1617" s="864">
        <v>45907</v>
      </c>
      <c r="BD1617" s="860" t="s">
        <v>5374</v>
      </c>
      <c r="BE1617" s="865" cm="1">
        <f t="array" ref="BE1617">IF(BD1617="","",AC1617/SUMPRODUCT(--(BD1617=$BD$4:$BD$12824),$AC$4:$AC$12824))</f>
        <v>5.8258956864780439E-3</v>
      </c>
      <c r="BF1617" s="458"/>
      <c r="BG1617" s="458"/>
      <c r="BH1617" s="458"/>
      <c r="BI1617" s="458"/>
      <c r="BJ1617" s="458"/>
      <c r="BK1617" s="458"/>
      <c r="BL1617" s="458"/>
      <c r="BM1617" s="458"/>
      <c r="BN1617" s="458"/>
      <c r="BO1617" s="866">
        <f>VLOOKUP(BD1617,$BD$4:$BN$12824,3,0)*BE1617</f>
        <v>153.92016403674992</v>
      </c>
      <c r="BP1617" s="866"/>
      <c r="BQ1617" s="866"/>
      <c r="BR1617" s="866">
        <f>VLOOKUP(BD1617,$BD$4:$BN$12824,6,0)*BE1617</f>
        <v>0</v>
      </c>
      <c r="BS1617" s="866">
        <f>VLOOKUP(BD1617,$BD$4:$BN$12824,7,0)*BE1617</f>
        <v>3780.8950788793268</v>
      </c>
      <c r="BT1617" s="866"/>
      <c r="BU1617" s="866">
        <f>VLOOKUP(BD1617,$BD$4:$BN$12824,9,0)*BE1617</f>
        <v>185.07705416803449</v>
      </c>
      <c r="BV1617" s="867"/>
      <c r="BW1617" s="867">
        <f>VLOOKUP(BD1617,$BD$4:$BN$12824,11,0)*BE1617</f>
        <v>3495.5374118868262</v>
      </c>
      <c r="BX1617" s="1146">
        <f t="shared" si="306"/>
        <v>7615.429708970938</v>
      </c>
      <c r="BY1617" s="867">
        <f t="shared" si="309"/>
        <v>123526.65902287004</v>
      </c>
      <c r="BZ1617" s="867">
        <f t="shared" si="307"/>
        <v>3829326.4297089712</v>
      </c>
      <c r="CA1617" s="867">
        <f>_xlfn.MAXIFS($BY$4:$BY$12824,$S$4:$S$12824,$S1617)</f>
        <v>139444.50168868579</v>
      </c>
      <c r="CB1617" s="1032"/>
      <c r="CF1617" s="946">
        <f t="shared" si="308"/>
        <v>3821711.0000000005</v>
      </c>
    </row>
    <row r="1618" spans="2:84">
      <c r="B1618" s="839" t="s">
        <v>98</v>
      </c>
      <c r="C1618" s="839" t="s">
        <v>3454</v>
      </c>
      <c r="D1618" s="839" t="s">
        <v>5462</v>
      </c>
      <c r="E1618" s="839" t="s">
        <v>5462</v>
      </c>
      <c r="F1618" s="841">
        <v>45939</v>
      </c>
      <c r="G1618" s="868" t="s">
        <v>3456</v>
      </c>
      <c r="H1618" s="883" t="s">
        <v>102</v>
      </c>
      <c r="I1618" s="883" t="s">
        <v>5463</v>
      </c>
      <c r="J1618" s="841"/>
      <c r="K1618" s="841"/>
      <c r="L1618" s="843" t="s">
        <v>106</v>
      </c>
      <c r="M1618" s="844" t="s">
        <v>5258</v>
      </c>
      <c r="N1618" s="841"/>
      <c r="O1618" s="884" t="s">
        <v>3459</v>
      </c>
      <c r="P1618" s="842" t="s">
        <v>5464</v>
      </c>
      <c r="Q1618" s="843"/>
      <c r="R1618" s="845" t="s">
        <v>5465</v>
      </c>
      <c r="S1618" s="1127" t="s">
        <v>5465</v>
      </c>
      <c r="T1618" s="885" t="s">
        <v>5466</v>
      </c>
      <c r="U1618" s="886">
        <v>23</v>
      </c>
      <c r="V1618" s="842" t="s">
        <v>8</v>
      </c>
      <c r="W1618" s="846">
        <v>8</v>
      </c>
      <c r="X1618" s="847">
        <f t="shared" si="310"/>
        <v>184</v>
      </c>
      <c r="Y1618" s="853">
        <v>0</v>
      </c>
      <c r="Z1618" s="849">
        <v>8</v>
      </c>
      <c r="AA1618" s="849"/>
      <c r="AB1618" s="849">
        <f t="shared" si="302"/>
        <v>184</v>
      </c>
      <c r="AC1618" s="850">
        <f t="shared" si="303"/>
        <v>184</v>
      </c>
      <c r="AD1618" s="851">
        <f t="shared" si="301"/>
        <v>27000</v>
      </c>
      <c r="AE1618" s="852">
        <v>26135</v>
      </c>
      <c r="AF1618" s="853">
        <v>0</v>
      </c>
      <c r="AG1618" s="854">
        <f t="shared" si="304"/>
        <v>0</v>
      </c>
      <c r="AH1618" s="853">
        <v>0.08</v>
      </c>
      <c r="AI1618" s="855">
        <f t="shared" si="305"/>
        <v>386814.96</v>
      </c>
      <c r="AJ1618" s="845" t="s">
        <v>5467</v>
      </c>
      <c r="AK1618" s="857">
        <v>45940</v>
      </c>
      <c r="AL1618" s="843" t="s">
        <v>5468</v>
      </c>
      <c r="AM1618" s="843" t="s">
        <v>5469</v>
      </c>
      <c r="AN1618" s="844" t="s">
        <v>3951</v>
      </c>
      <c r="AO1618" s="844" t="s">
        <v>141</v>
      </c>
      <c r="AP1618" s="841"/>
      <c r="AQ1618" s="841">
        <v>45960</v>
      </c>
      <c r="AR1618" s="841">
        <v>45966</v>
      </c>
      <c r="AS1618" s="842" t="s">
        <v>1581</v>
      </c>
      <c r="AT1618" s="842" t="s">
        <v>1235</v>
      </c>
      <c r="AU1618" s="842" t="s">
        <v>1311</v>
      </c>
      <c r="AV1618" s="856" t="s">
        <v>5470</v>
      </c>
      <c r="AW1618" s="861">
        <v>45965</v>
      </c>
      <c r="AX1618" s="862">
        <v>45966</v>
      </c>
      <c r="AY1618" s="843" t="s">
        <v>5471</v>
      </c>
      <c r="AZ1618" s="842" t="s">
        <v>5472</v>
      </c>
      <c r="BA1618" s="842" t="s">
        <v>120</v>
      </c>
      <c r="BB1618" s="863" t="s">
        <v>121</v>
      </c>
      <c r="BC1618" s="864">
        <v>45968</v>
      </c>
      <c r="BD1618" s="860" t="s">
        <v>5473</v>
      </c>
      <c r="BE1618" s="865" cm="1">
        <f t="array" ref="BE1618">IF(BD1618="","",AC1618/SUMPRODUCT(--(BD1618=$BD$4:$BD$12824),$AC$4:$AC$12824))</f>
        <v>5.0762821750765581E-2</v>
      </c>
      <c r="BF1618" s="458" cm="1">
        <f t="array" ref="BF1618">SUM(_xlfn._xlws.FILTER( INDEX(Cost!$B$3:$BK$77,MATCH(LDL!$BD1618, Cost!$F$3:$F$77, 0),0),Cost!$B$3:$BK$3 = BF$3))</f>
        <v>26347</v>
      </c>
      <c r="BG1618" s="458"/>
      <c r="BH1618" s="458"/>
      <c r="BI1618" s="458" cm="1">
        <f t="array" ref="BI1618">SUM(_xlfn._xlws.FILTER( INDEX(Cost!$B$3:$BK$77,MATCH(LDL!$BD1618, Cost!$F$3:$F$77, 0),0),Cost!$B$3:$BK$3 = BI$3))/1.08</f>
        <v>0</v>
      </c>
      <c r="BJ1618" s="458" cm="1">
        <f t="array" ref="BJ1618">SUM(_xlfn._xlws.FILTER( INDEX(Cost!$B$3:$BK$77,MATCH(LDL!$BD1618, Cost!$F$3:$F$77, 0),0),Cost!$B$3:$BK$3 = BJ$3))</f>
        <v>0</v>
      </c>
      <c r="BK1618" s="458"/>
      <c r="BL1618" s="458" cm="1">
        <f t="array" ref="BL1618">SUM(_xlfn._xlws.FILTER( INDEX(Cost!$B$3:$BK$77,MATCH(LDL!$BD1618, Cost!$F$3:$F$77, 0),0),Cost!$B$3:$BK$3 = BL$3))</f>
        <v>22108</v>
      </c>
      <c r="BM1618" s="458"/>
      <c r="BN1618" s="458" cm="1">
        <f t="array" ref="BN1618">SUM(_xlfn._xlws.FILTER( INDEX(Cost!$B$3:$BK$77,MATCH(LDL!$BD1618, Cost!$F$3:$F$77, 0),0),Cost!$B$3:$BK$3 = BN$3))/1.08</f>
        <v>600000</v>
      </c>
      <c r="BO1618" s="866">
        <f>VLOOKUP(BD1618,$BD$4:$BN$12824,3,0)*BE1618</f>
        <v>1337.4480646674208</v>
      </c>
      <c r="BP1618" s="866"/>
      <c r="BQ1618" s="866"/>
      <c r="BR1618" s="866">
        <f>VLOOKUP(BD1618,$BD$4:$BN$12824,6,0)*BE1618</f>
        <v>0</v>
      </c>
      <c r="BS1618" s="866">
        <f>VLOOKUP(BD1618,$BD$4:$BN$12824,7,0)*BE1618</f>
        <v>0</v>
      </c>
      <c r="BT1618" s="866"/>
      <c r="BU1618" s="866">
        <f>VLOOKUP(BD1618,$BD$4:$BN$12824,9,0)*BE1618</f>
        <v>1122.2644632659255</v>
      </c>
      <c r="BV1618" s="867"/>
      <c r="BW1618" s="867">
        <f>VLOOKUP(BD1618,$BD$4:$BN$12824,11,0)*BE1618</f>
        <v>30457.693050459347</v>
      </c>
      <c r="BX1618" s="1146">
        <f t="shared" si="306"/>
        <v>32917.405578392696</v>
      </c>
      <c r="BY1618" s="867">
        <f t="shared" si="309"/>
        <v>210511.19154688664</v>
      </c>
      <c r="BZ1618" s="867">
        <f t="shared" si="307"/>
        <v>4841757.4055783926</v>
      </c>
      <c r="CA1618" s="867">
        <f>_xlfn.MAXIFS($BY$4:$BY$12824,$S$4:$S$12824,$S1618)</f>
        <v>210511.19154688664</v>
      </c>
      <c r="CB1618" s="1032"/>
      <c r="CF1618" s="946">
        <f t="shared" si="308"/>
        <v>4808840</v>
      </c>
    </row>
    <row r="1619" spans="2:84">
      <c r="B1619" s="839" t="s">
        <v>98</v>
      </c>
      <c r="C1619" s="839" t="s">
        <v>3454</v>
      </c>
      <c r="D1619" s="839" t="s">
        <v>5462</v>
      </c>
      <c r="E1619" s="839" t="s">
        <v>5462</v>
      </c>
      <c r="F1619" s="841">
        <v>45939</v>
      </c>
      <c r="G1619" s="868" t="s">
        <v>3456</v>
      </c>
      <c r="H1619" s="883" t="s">
        <v>102</v>
      </c>
      <c r="I1619" s="883" t="s">
        <v>5463</v>
      </c>
      <c r="J1619" s="841"/>
      <c r="K1619" s="841"/>
      <c r="L1619" s="843" t="s">
        <v>106</v>
      </c>
      <c r="M1619" s="844" t="s">
        <v>5258</v>
      </c>
      <c r="N1619" s="841"/>
      <c r="O1619" s="884" t="s">
        <v>3459</v>
      </c>
      <c r="P1619" s="842" t="s">
        <v>5464</v>
      </c>
      <c r="Q1619" s="843"/>
      <c r="R1619" s="845" t="s">
        <v>5474</v>
      </c>
      <c r="S1619" s="1127" t="s">
        <v>5474</v>
      </c>
      <c r="T1619" s="885" t="s">
        <v>5475</v>
      </c>
      <c r="U1619" s="886">
        <v>276</v>
      </c>
      <c r="V1619" s="842" t="s">
        <v>8</v>
      </c>
      <c r="W1619" s="846">
        <v>8</v>
      </c>
      <c r="X1619" s="847">
        <f t="shared" si="310"/>
        <v>2208</v>
      </c>
      <c r="Y1619" s="853">
        <v>0</v>
      </c>
      <c r="Z1619" s="849">
        <v>8</v>
      </c>
      <c r="AA1619" s="849"/>
      <c r="AB1619" s="849">
        <f t="shared" si="302"/>
        <v>2208</v>
      </c>
      <c r="AC1619" s="850">
        <f t="shared" si="303"/>
        <v>2208</v>
      </c>
      <c r="AD1619" s="851">
        <f t="shared" si="301"/>
        <v>27000</v>
      </c>
      <c r="AE1619" s="852">
        <v>26135</v>
      </c>
      <c r="AF1619" s="853">
        <v>0</v>
      </c>
      <c r="AG1619" s="854">
        <f t="shared" si="304"/>
        <v>0</v>
      </c>
      <c r="AH1619" s="853">
        <v>0.08</v>
      </c>
      <c r="AI1619" s="855">
        <f t="shared" si="305"/>
        <v>4616486.4000000004</v>
      </c>
      <c r="AJ1619" s="845" t="s">
        <v>5467</v>
      </c>
      <c r="AK1619" s="857">
        <v>45940</v>
      </c>
      <c r="AL1619" s="843" t="s">
        <v>5468</v>
      </c>
      <c r="AM1619" s="843" t="s">
        <v>5469</v>
      </c>
      <c r="AN1619" s="844" t="s">
        <v>3951</v>
      </c>
      <c r="AO1619" s="844" t="s">
        <v>141</v>
      </c>
      <c r="AP1619" s="841"/>
      <c r="AQ1619" s="841">
        <v>45960</v>
      </c>
      <c r="AR1619" s="841">
        <v>45966</v>
      </c>
      <c r="AS1619" s="842" t="s">
        <v>1581</v>
      </c>
      <c r="AT1619" s="842" t="s">
        <v>1235</v>
      </c>
      <c r="AU1619" s="842" t="s">
        <v>1311</v>
      </c>
      <c r="AV1619" s="856" t="s">
        <v>5470</v>
      </c>
      <c r="AW1619" s="861">
        <v>45965</v>
      </c>
      <c r="AX1619" s="862">
        <v>45966</v>
      </c>
      <c r="AY1619" s="843" t="s">
        <v>5476</v>
      </c>
      <c r="AZ1619" s="842" t="s">
        <v>5472</v>
      </c>
      <c r="BA1619" s="842" t="s">
        <v>120</v>
      </c>
      <c r="BB1619" s="863" t="s">
        <v>121</v>
      </c>
      <c r="BC1619" s="864">
        <v>45968</v>
      </c>
      <c r="BD1619" s="860" t="s">
        <v>5473</v>
      </c>
      <c r="BE1619" s="865" cm="1">
        <f t="array" ref="BE1619">IF(BD1619="","",AC1619/SUMPRODUCT(--(BD1619=$BD$4:$BD$12824),$AC$4:$AC$12824))</f>
        <v>0.609153861009187</v>
      </c>
      <c r="BF1619" s="458"/>
      <c r="BG1619" s="458"/>
      <c r="BH1619" s="458"/>
      <c r="BI1619" s="458"/>
      <c r="BJ1619" s="458"/>
      <c r="BK1619" s="458"/>
      <c r="BL1619" s="458"/>
      <c r="BM1619" s="458"/>
      <c r="BN1619" s="458"/>
      <c r="BO1619" s="866">
        <f>VLOOKUP(BD1619,$BD$4:$BN$12824,3,0)*BE1619</f>
        <v>16049.37677600905</v>
      </c>
      <c r="BP1619" s="866"/>
      <c r="BQ1619" s="866"/>
      <c r="BR1619" s="866">
        <f>VLOOKUP(BD1619,$BD$4:$BN$12824,6,0)*BE1619</f>
        <v>0</v>
      </c>
      <c r="BS1619" s="866">
        <f>VLOOKUP(BD1619,$BD$4:$BN$12824,7,0)*BE1619</f>
        <v>0</v>
      </c>
      <c r="BT1619" s="866"/>
      <c r="BU1619" s="866">
        <f>VLOOKUP(BD1619,$BD$4:$BN$12824,9,0)*BE1619</f>
        <v>13467.173559191106</v>
      </c>
      <c r="BV1619" s="867"/>
      <c r="BW1619" s="867">
        <f>VLOOKUP(BD1619,$BD$4:$BN$12824,11,0)*BE1619</f>
        <v>365492.31660551223</v>
      </c>
      <c r="BX1619" s="1146">
        <f t="shared" si="306"/>
        <v>395008.86694071238</v>
      </c>
      <c r="BY1619" s="867">
        <f t="shared" si="309"/>
        <v>210511.19154688664</v>
      </c>
      <c r="BZ1619" s="867">
        <f t="shared" si="307"/>
        <v>58101088.866940714</v>
      </c>
      <c r="CA1619" s="867">
        <f>_xlfn.MAXIFS($BY$4:$BY$12824,$S$4:$S$12824,$S1619)</f>
        <v>210511.19154688664</v>
      </c>
      <c r="CB1619" s="1032"/>
      <c r="CF1619" s="946">
        <f t="shared" si="308"/>
        <v>57706080</v>
      </c>
    </row>
    <row r="1620" spans="2:84">
      <c r="B1620" s="839" t="s">
        <v>98</v>
      </c>
      <c r="C1620" s="839" t="s">
        <v>3454</v>
      </c>
      <c r="D1620" s="839" t="s">
        <v>5462</v>
      </c>
      <c r="E1620" s="839" t="s">
        <v>5462</v>
      </c>
      <c r="F1620" s="841">
        <v>45939</v>
      </c>
      <c r="G1620" s="868" t="s">
        <v>3456</v>
      </c>
      <c r="H1620" s="883" t="s">
        <v>102</v>
      </c>
      <c r="I1620" s="883" t="s">
        <v>5463</v>
      </c>
      <c r="J1620" s="841"/>
      <c r="K1620" s="841"/>
      <c r="L1620" s="843" t="s">
        <v>106</v>
      </c>
      <c r="M1620" s="844" t="s">
        <v>5258</v>
      </c>
      <c r="N1620" s="841"/>
      <c r="O1620" s="884" t="s">
        <v>3459</v>
      </c>
      <c r="P1620" s="842" t="s">
        <v>3548</v>
      </c>
      <c r="Q1620" s="843"/>
      <c r="R1620" s="845" t="s">
        <v>5477</v>
      </c>
      <c r="S1620" s="1127" t="s">
        <v>5477</v>
      </c>
      <c r="T1620" s="885" t="s">
        <v>5478</v>
      </c>
      <c r="U1620" s="886">
        <v>50</v>
      </c>
      <c r="V1620" s="842" t="s">
        <v>8</v>
      </c>
      <c r="W1620" s="846">
        <v>18.8</v>
      </c>
      <c r="X1620" s="847">
        <f t="shared" si="310"/>
        <v>940</v>
      </c>
      <c r="Y1620" s="853">
        <v>0</v>
      </c>
      <c r="Z1620" s="849">
        <v>18.8</v>
      </c>
      <c r="AA1620" s="849"/>
      <c r="AB1620" s="849">
        <f t="shared" si="302"/>
        <v>940</v>
      </c>
      <c r="AC1620" s="850">
        <f t="shared" si="303"/>
        <v>940</v>
      </c>
      <c r="AD1620" s="851">
        <f t="shared" si="301"/>
        <v>27000</v>
      </c>
      <c r="AE1620" s="852">
        <v>26135</v>
      </c>
      <c r="AF1620" s="853">
        <v>0</v>
      </c>
      <c r="AG1620" s="854">
        <f t="shared" si="304"/>
        <v>0</v>
      </c>
      <c r="AH1620" s="853">
        <v>0.08</v>
      </c>
      <c r="AI1620" s="855">
        <f t="shared" si="305"/>
        <v>1965352</v>
      </c>
      <c r="AJ1620" s="845" t="s">
        <v>5467</v>
      </c>
      <c r="AK1620" s="857">
        <v>45940</v>
      </c>
      <c r="AL1620" s="843" t="s">
        <v>5468</v>
      </c>
      <c r="AM1620" s="843" t="s">
        <v>5469</v>
      </c>
      <c r="AN1620" s="844" t="s">
        <v>3951</v>
      </c>
      <c r="AO1620" s="844" t="s">
        <v>141</v>
      </c>
      <c r="AP1620" s="841"/>
      <c r="AQ1620" s="841">
        <v>45960</v>
      </c>
      <c r="AR1620" s="841">
        <v>45966</v>
      </c>
      <c r="AS1620" s="842" t="s">
        <v>1581</v>
      </c>
      <c r="AT1620" s="842" t="s">
        <v>1235</v>
      </c>
      <c r="AU1620" s="842" t="s">
        <v>1311</v>
      </c>
      <c r="AV1620" s="856" t="s">
        <v>5470</v>
      </c>
      <c r="AW1620" s="861">
        <v>45965</v>
      </c>
      <c r="AX1620" s="862">
        <v>45966</v>
      </c>
      <c r="AY1620" s="843" t="s">
        <v>5479</v>
      </c>
      <c r="AZ1620" s="842" t="s">
        <v>5472</v>
      </c>
      <c r="BA1620" s="842" t="s">
        <v>120</v>
      </c>
      <c r="BB1620" s="863" t="s">
        <v>121</v>
      </c>
      <c r="BC1620" s="864">
        <v>45968</v>
      </c>
      <c r="BD1620" s="860" t="s">
        <v>5473</v>
      </c>
      <c r="BE1620" s="865" cm="1">
        <f t="array" ref="BE1620">IF(BD1620="","",AC1620/SUMPRODUCT(--(BD1620=$BD$4:$BD$12824),$AC$4:$AC$12824))</f>
        <v>0.2593318067702155</v>
      </c>
      <c r="BF1620" s="458"/>
      <c r="BG1620" s="458"/>
      <c r="BH1620" s="458"/>
      <c r="BI1620" s="458"/>
      <c r="BJ1620" s="458"/>
      <c r="BK1620" s="458"/>
      <c r="BL1620" s="458"/>
      <c r="BM1620" s="458"/>
      <c r="BN1620" s="458"/>
      <c r="BO1620" s="866">
        <f>VLOOKUP(BD1620,$BD$4:$BN$12824,3,0)*BE1620</f>
        <v>6832.6151129748678</v>
      </c>
      <c r="BP1620" s="866"/>
      <c r="BQ1620" s="866"/>
      <c r="BR1620" s="866">
        <f>VLOOKUP(BD1620,$BD$4:$BN$12824,6,0)*BE1620</f>
        <v>0</v>
      </c>
      <c r="BS1620" s="866">
        <f>VLOOKUP(BD1620,$BD$4:$BN$12824,7,0)*BE1620</f>
        <v>0</v>
      </c>
      <c r="BT1620" s="866"/>
      <c r="BU1620" s="866">
        <f>VLOOKUP(BD1620,$BD$4:$BN$12824,9,0)*BE1620</f>
        <v>5733.3075840759238</v>
      </c>
      <c r="BV1620" s="867"/>
      <c r="BW1620" s="867">
        <f>VLOOKUP(BD1620,$BD$4:$BN$12824,11,0)*BE1620</f>
        <v>155599.08406212929</v>
      </c>
      <c r="BX1620" s="1146">
        <f t="shared" si="306"/>
        <v>168165.00675918008</v>
      </c>
      <c r="BY1620" s="867">
        <f t="shared" si="309"/>
        <v>494701.30013518361</v>
      </c>
      <c r="BZ1620" s="867">
        <f t="shared" si="307"/>
        <v>24735065.006759182</v>
      </c>
      <c r="CA1620" s="867">
        <f>_xlfn.MAXIFS($BY$4:$BY$12824,$S$4:$S$12824,$S1620)</f>
        <v>494701.30013518361</v>
      </c>
      <c r="CB1620" s="1032"/>
      <c r="CF1620" s="946">
        <f t="shared" si="308"/>
        <v>24566900</v>
      </c>
    </row>
    <row r="1621" spans="2:84">
      <c r="B1621" s="839" t="s">
        <v>98</v>
      </c>
      <c r="C1621" s="839" t="s">
        <v>3454</v>
      </c>
      <c r="D1621" s="839" t="s">
        <v>5462</v>
      </c>
      <c r="E1621" s="839" t="s">
        <v>5462</v>
      </c>
      <c r="F1621" s="841">
        <v>45939</v>
      </c>
      <c r="G1621" s="868" t="s">
        <v>3456</v>
      </c>
      <c r="H1621" s="883" t="s">
        <v>102</v>
      </c>
      <c r="I1621" s="883" t="s">
        <v>5463</v>
      </c>
      <c r="J1621" s="841"/>
      <c r="K1621" s="841"/>
      <c r="L1621" s="843" t="s">
        <v>106</v>
      </c>
      <c r="M1621" s="844" t="s">
        <v>5258</v>
      </c>
      <c r="N1621" s="841"/>
      <c r="O1621" s="884" t="s">
        <v>3459</v>
      </c>
      <c r="P1621" s="842" t="s">
        <v>3460</v>
      </c>
      <c r="Q1621" s="843"/>
      <c r="R1621" s="845" t="s">
        <v>5480</v>
      </c>
      <c r="S1621" s="1127" t="s">
        <v>5480</v>
      </c>
      <c r="T1621" s="885" t="s">
        <v>5481</v>
      </c>
      <c r="U1621" s="886">
        <v>13</v>
      </c>
      <c r="V1621" s="842" t="s">
        <v>8</v>
      </c>
      <c r="W1621" s="846">
        <v>9.6999999999999993</v>
      </c>
      <c r="X1621" s="847">
        <f t="shared" si="310"/>
        <v>126.1</v>
      </c>
      <c r="Y1621" s="853">
        <v>0</v>
      </c>
      <c r="Z1621" s="849">
        <v>9.6999999999999993</v>
      </c>
      <c r="AA1621" s="849"/>
      <c r="AB1621" s="849">
        <f t="shared" si="302"/>
        <v>126.1</v>
      </c>
      <c r="AC1621" s="850">
        <f t="shared" si="303"/>
        <v>126.1</v>
      </c>
      <c r="AD1621" s="851">
        <f t="shared" si="301"/>
        <v>27000</v>
      </c>
      <c r="AE1621" s="852">
        <v>26135</v>
      </c>
      <c r="AF1621" s="853">
        <v>0</v>
      </c>
      <c r="AG1621" s="854">
        <f t="shared" si="304"/>
        <v>0</v>
      </c>
      <c r="AH1621" s="853">
        <v>0.08</v>
      </c>
      <c r="AI1621" s="855">
        <f t="shared" si="305"/>
        <v>263649.88</v>
      </c>
      <c r="AJ1621" s="845" t="s">
        <v>5467</v>
      </c>
      <c r="AK1621" s="857">
        <v>45940</v>
      </c>
      <c r="AL1621" s="843" t="s">
        <v>5468</v>
      </c>
      <c r="AM1621" s="843" t="s">
        <v>5469</v>
      </c>
      <c r="AN1621" s="844" t="s">
        <v>3951</v>
      </c>
      <c r="AO1621" s="844" t="s">
        <v>141</v>
      </c>
      <c r="AP1621" s="841"/>
      <c r="AQ1621" s="841">
        <v>45960</v>
      </c>
      <c r="AR1621" s="841">
        <v>45966</v>
      </c>
      <c r="AS1621" s="842" t="s">
        <v>1581</v>
      </c>
      <c r="AT1621" s="842" t="s">
        <v>1235</v>
      </c>
      <c r="AU1621" s="842" t="s">
        <v>1311</v>
      </c>
      <c r="AV1621" s="856" t="s">
        <v>5470</v>
      </c>
      <c r="AW1621" s="861">
        <v>45965</v>
      </c>
      <c r="AX1621" s="862">
        <v>45966</v>
      </c>
      <c r="AY1621" s="843" t="s">
        <v>5482</v>
      </c>
      <c r="AZ1621" s="842" t="s">
        <v>5472</v>
      </c>
      <c r="BA1621" s="842" t="s">
        <v>120</v>
      </c>
      <c r="BB1621" s="863" t="s">
        <v>121</v>
      </c>
      <c r="BC1621" s="864">
        <v>45968</v>
      </c>
      <c r="BD1621" s="860" t="s">
        <v>5473</v>
      </c>
      <c r="BE1621" s="865" cm="1">
        <f t="array" ref="BE1621">IF(BD1621="","",AC1621/SUMPRODUCT(--(BD1621=$BD$4:$BD$12824),$AC$4:$AC$12824))</f>
        <v>3.4789085993323587E-2</v>
      </c>
      <c r="BF1621" s="458"/>
      <c r="BG1621" s="458"/>
      <c r="BH1621" s="458"/>
      <c r="BI1621" s="458"/>
      <c r="BJ1621" s="458"/>
      <c r="BK1621" s="458"/>
      <c r="BL1621" s="458"/>
      <c r="BM1621" s="458"/>
      <c r="BN1621" s="458"/>
      <c r="BO1621" s="866">
        <f>VLOOKUP(BD1621,$BD$4:$BN$12824,3,0)*BE1621</f>
        <v>916.5880486660966</v>
      </c>
      <c r="BP1621" s="866"/>
      <c r="BQ1621" s="866"/>
      <c r="BR1621" s="866">
        <f>VLOOKUP(BD1621,$BD$4:$BN$12824,6,0)*BE1621</f>
        <v>0</v>
      </c>
      <c r="BS1621" s="866">
        <f>VLOOKUP(BD1621,$BD$4:$BN$12824,7,0)*BE1621</f>
        <v>0</v>
      </c>
      <c r="BT1621" s="866"/>
      <c r="BU1621" s="866">
        <f>VLOOKUP(BD1621,$BD$4:$BN$12824,9,0)*BE1621</f>
        <v>769.11711314039792</v>
      </c>
      <c r="BV1621" s="867"/>
      <c r="BW1621" s="867">
        <f>VLOOKUP(BD1621,$BD$4:$BN$12824,11,0)*BE1621</f>
        <v>20873.451595994153</v>
      </c>
      <c r="BX1621" s="1146">
        <f t="shared" si="306"/>
        <v>22559.156757800647</v>
      </c>
      <c r="BY1621" s="867">
        <f t="shared" si="309"/>
        <v>255244.81975060006</v>
      </c>
      <c r="BZ1621" s="867">
        <f t="shared" si="307"/>
        <v>3318182.6567578008</v>
      </c>
      <c r="CA1621" s="867">
        <f>_xlfn.MAXIFS($BY$4:$BY$12824,$S$4:$S$12824,$S1621)</f>
        <v>255244.81975060006</v>
      </c>
      <c r="CB1621" s="1032"/>
      <c r="CF1621" s="946">
        <f t="shared" si="308"/>
        <v>3295623.5</v>
      </c>
    </row>
    <row r="1622" spans="2:84">
      <c r="B1622" s="839" t="s">
        <v>98</v>
      </c>
      <c r="C1622" s="839" t="s">
        <v>3454</v>
      </c>
      <c r="D1622" s="839" t="s">
        <v>5462</v>
      </c>
      <c r="E1622" s="839" t="s">
        <v>5462</v>
      </c>
      <c r="F1622" s="841">
        <v>45939</v>
      </c>
      <c r="G1622" s="868" t="s">
        <v>3456</v>
      </c>
      <c r="H1622" s="883" t="s">
        <v>102</v>
      </c>
      <c r="I1622" s="883" t="s">
        <v>5463</v>
      </c>
      <c r="J1622" s="841"/>
      <c r="K1622" s="841"/>
      <c r="L1622" s="843" t="s">
        <v>106</v>
      </c>
      <c r="M1622" s="844" t="s">
        <v>5258</v>
      </c>
      <c r="N1622" s="841"/>
      <c r="O1622" s="884" t="s">
        <v>3459</v>
      </c>
      <c r="P1622" s="842" t="s">
        <v>5464</v>
      </c>
      <c r="Q1622" s="843"/>
      <c r="R1622" s="845" t="s">
        <v>5483</v>
      </c>
      <c r="S1622" s="1127" t="s">
        <v>5483</v>
      </c>
      <c r="T1622" s="885" t="s">
        <v>5484</v>
      </c>
      <c r="U1622" s="886">
        <v>14</v>
      </c>
      <c r="V1622" s="842" t="s">
        <v>8</v>
      </c>
      <c r="W1622" s="846">
        <v>11.9</v>
      </c>
      <c r="X1622" s="847">
        <f t="shared" si="310"/>
        <v>166.6</v>
      </c>
      <c r="Y1622" s="853">
        <v>0</v>
      </c>
      <c r="Z1622" s="849">
        <v>11.9</v>
      </c>
      <c r="AA1622" s="849"/>
      <c r="AB1622" s="849">
        <f t="shared" si="302"/>
        <v>166.6</v>
      </c>
      <c r="AC1622" s="850">
        <f t="shared" si="303"/>
        <v>166.6</v>
      </c>
      <c r="AD1622" s="851">
        <f t="shared" si="301"/>
        <v>27000</v>
      </c>
      <c r="AE1622" s="852">
        <v>26135</v>
      </c>
      <c r="AF1622" s="853">
        <v>0</v>
      </c>
      <c r="AG1622" s="854">
        <f t="shared" si="304"/>
        <v>0</v>
      </c>
      <c r="AH1622" s="853">
        <v>0.08</v>
      </c>
      <c r="AI1622" s="855">
        <f t="shared" si="305"/>
        <v>348327.28</v>
      </c>
      <c r="AJ1622" s="845" t="s">
        <v>5467</v>
      </c>
      <c r="AK1622" s="857">
        <v>45940</v>
      </c>
      <c r="AL1622" s="843" t="s">
        <v>5468</v>
      </c>
      <c r="AM1622" s="843" t="s">
        <v>5469</v>
      </c>
      <c r="AN1622" s="844" t="s">
        <v>3951</v>
      </c>
      <c r="AO1622" s="844" t="s">
        <v>141</v>
      </c>
      <c r="AP1622" s="841"/>
      <c r="AQ1622" s="841">
        <v>45960</v>
      </c>
      <c r="AR1622" s="841">
        <v>45966</v>
      </c>
      <c r="AS1622" s="842" t="s">
        <v>1581</v>
      </c>
      <c r="AT1622" s="842" t="s">
        <v>1235</v>
      </c>
      <c r="AU1622" s="842" t="s">
        <v>1311</v>
      </c>
      <c r="AV1622" s="856" t="s">
        <v>5470</v>
      </c>
      <c r="AW1622" s="861">
        <v>45965</v>
      </c>
      <c r="AX1622" s="862">
        <v>45966</v>
      </c>
      <c r="AY1622" s="843" t="s">
        <v>5485</v>
      </c>
      <c r="AZ1622" s="842" t="s">
        <v>5472</v>
      </c>
      <c r="BA1622" s="842" t="s">
        <v>120</v>
      </c>
      <c r="BB1622" s="863" t="s">
        <v>121</v>
      </c>
      <c r="BC1622" s="864">
        <v>45968</v>
      </c>
      <c r="BD1622" s="860" t="s">
        <v>5473</v>
      </c>
      <c r="BE1622" s="865" cm="1">
        <f t="array" ref="BE1622">IF(BD1622="","",AC1622/SUMPRODUCT(--(BD1622=$BD$4:$BD$12824),$AC$4:$AC$12824))</f>
        <v>4.5962424476508404E-2</v>
      </c>
      <c r="BF1622" s="458"/>
      <c r="BG1622" s="458"/>
      <c r="BH1622" s="458"/>
      <c r="BI1622" s="458"/>
      <c r="BJ1622" s="458"/>
      <c r="BK1622" s="458"/>
      <c r="BL1622" s="458"/>
      <c r="BM1622" s="458"/>
      <c r="BN1622" s="458"/>
      <c r="BO1622" s="866">
        <f>VLOOKUP(BD1622,$BD$4:$BN$12824,3,0)*BE1622</f>
        <v>1210.971997682567</v>
      </c>
      <c r="BP1622" s="866"/>
      <c r="BQ1622" s="866"/>
      <c r="BR1622" s="866">
        <f>VLOOKUP(BD1622,$BD$4:$BN$12824,6,0)*BE1622</f>
        <v>0</v>
      </c>
      <c r="BS1622" s="866">
        <f>VLOOKUP(BD1622,$BD$4:$BN$12824,7,0)*BE1622</f>
        <v>0</v>
      </c>
      <c r="BT1622" s="866"/>
      <c r="BU1622" s="866">
        <f>VLOOKUP(BD1622,$BD$4:$BN$12824,9,0)*BE1622</f>
        <v>1016.1372803266478</v>
      </c>
      <c r="BV1622" s="867"/>
      <c r="BW1622" s="867">
        <f>VLOOKUP(BD1622,$BD$4:$BN$12824,11,0)*BE1622</f>
        <v>27577.454685905042</v>
      </c>
      <c r="BX1622" s="1146">
        <f t="shared" si="306"/>
        <v>29804.563963914257</v>
      </c>
      <c r="BY1622" s="867">
        <f t="shared" si="309"/>
        <v>313135.39742599387</v>
      </c>
      <c r="BZ1622" s="867">
        <f t="shared" si="307"/>
        <v>4383895.5639639143</v>
      </c>
      <c r="CA1622" s="867">
        <f>_xlfn.MAXIFS($BY$4:$BY$12824,$S$4:$S$12824,$S1622)</f>
        <v>313135.39742599387</v>
      </c>
      <c r="CB1622" s="1032"/>
      <c r="CF1622" s="946">
        <f t="shared" si="308"/>
        <v>4354091</v>
      </c>
    </row>
    <row r="1623" spans="2:84">
      <c r="B1623" s="839" t="s">
        <v>98</v>
      </c>
      <c r="C1623" s="839" t="s">
        <v>381</v>
      </c>
      <c r="D1623" s="839" t="s">
        <v>5486</v>
      </c>
      <c r="E1623" s="839" t="s">
        <v>5487</v>
      </c>
      <c r="F1623" s="841">
        <v>45784</v>
      </c>
      <c r="G1623" s="868" t="s">
        <v>383</v>
      </c>
      <c r="H1623" s="842" t="s">
        <v>134</v>
      </c>
      <c r="I1623" s="883"/>
      <c r="J1623" s="841"/>
      <c r="K1623" s="841"/>
      <c r="L1623" s="843" t="s">
        <v>106</v>
      </c>
      <c r="M1623" s="844" t="s">
        <v>107</v>
      </c>
      <c r="N1623" s="841"/>
      <c r="O1623" s="884" t="s">
        <v>150</v>
      </c>
      <c r="P1623" s="842" t="s">
        <v>5488</v>
      </c>
      <c r="Q1623" s="843"/>
      <c r="R1623" s="845" t="s">
        <v>5489</v>
      </c>
      <c r="S1623" s="1127" t="s">
        <v>1639</v>
      </c>
      <c r="T1623" s="885" t="s">
        <v>5490</v>
      </c>
      <c r="U1623" s="886">
        <v>4</v>
      </c>
      <c r="V1623" s="842" t="s">
        <v>3</v>
      </c>
      <c r="W1623" s="846">
        <v>1973</v>
      </c>
      <c r="X1623" s="847">
        <f t="shared" si="310"/>
        <v>7892</v>
      </c>
      <c r="Y1623" s="853">
        <v>0.52</v>
      </c>
      <c r="Z1623" s="849">
        <v>947.04</v>
      </c>
      <c r="AA1623" s="849"/>
      <c r="AB1623" s="849">
        <f t="shared" si="302"/>
        <v>3788.16</v>
      </c>
      <c r="AC1623" s="850">
        <f t="shared" si="303"/>
        <v>3788.16</v>
      </c>
      <c r="AD1623" s="851">
        <f t="shared" si="301"/>
        <v>32000</v>
      </c>
      <c r="AE1623" s="852">
        <v>30081.54</v>
      </c>
      <c r="AF1623" s="853">
        <v>0</v>
      </c>
      <c r="AG1623" s="854">
        <f t="shared" si="304"/>
        <v>0</v>
      </c>
      <c r="AH1623" s="853">
        <v>0.08</v>
      </c>
      <c r="AI1623" s="855">
        <f t="shared" si="305"/>
        <v>11848066.852584727</v>
      </c>
      <c r="AJ1623" s="845" t="s">
        <v>5491</v>
      </c>
      <c r="AK1623" s="857">
        <v>45910</v>
      </c>
      <c r="AL1623" s="843">
        <v>251084200</v>
      </c>
      <c r="AM1623" s="843" t="s">
        <v>5492</v>
      </c>
      <c r="AN1623" s="844" t="s">
        <v>5493</v>
      </c>
      <c r="AO1623" s="844" t="s">
        <v>141</v>
      </c>
      <c r="AP1623" s="841"/>
      <c r="AQ1623" s="841">
        <v>45916</v>
      </c>
      <c r="AR1623" s="841">
        <v>45961</v>
      </c>
      <c r="AS1623" s="842" t="s">
        <v>1145</v>
      </c>
      <c r="AT1623" s="842" t="s">
        <v>1235</v>
      </c>
      <c r="AU1623" s="842" t="s">
        <v>1565</v>
      </c>
      <c r="AV1623" s="845" t="s">
        <v>5494</v>
      </c>
      <c r="AW1623" s="861">
        <v>45962</v>
      </c>
      <c r="AX1623" s="862">
        <v>45965</v>
      </c>
      <c r="AY1623" s="843" t="s">
        <v>5495</v>
      </c>
      <c r="AZ1623" s="842" t="s">
        <v>4269</v>
      </c>
      <c r="BA1623" s="842" t="s">
        <v>120</v>
      </c>
      <c r="BB1623" s="863" t="s">
        <v>121</v>
      </c>
      <c r="BC1623" s="864">
        <v>45968</v>
      </c>
      <c r="BD1623" s="860" t="s">
        <v>5496</v>
      </c>
      <c r="BE1623" s="865" cm="1">
        <f t="array" ref="BE1623">IF(BD1623="","",AC1623/SUMPRODUCT(--(BD1623=$BD$4:$BD$12824),$AC$4:$AC$12824))</f>
        <v>2.5910879777433029E-2</v>
      </c>
      <c r="BF1623" s="458" cm="1">
        <f t="array" ref="BF1623">SUM(_xlfn._xlws.FILTER( INDEX(Cost!$B$3:$BK$77,MATCH(LDL!$BD1623, Cost!$F$3:$F$77, 0),0),Cost!$B$3:$BK$3 = BF$3))</f>
        <v>29769850</v>
      </c>
      <c r="BG1623" s="458"/>
      <c r="BH1623" s="458"/>
      <c r="BI1623" s="458" cm="1">
        <f t="array" ref="BI1623">SUM(_xlfn._xlws.FILTER( INDEX(Cost!$B$3:$BK$77,MATCH(LDL!$BD1623, Cost!$F$3:$F$77, 0),0),Cost!$B$3:$BK$3 = BI$3))/1.08</f>
        <v>12118700</v>
      </c>
      <c r="BJ1623" s="458" cm="1">
        <f t="array" ref="BJ1623">SUM(_xlfn._xlws.FILTER( INDEX(Cost!$B$3:$BK$77,MATCH(LDL!$BD1623, Cost!$F$3:$F$77, 0),0),Cost!$B$3:$BK$3 = BJ$3))</f>
        <v>4377299.0909090908</v>
      </c>
      <c r="BK1623" s="458"/>
      <c r="BL1623" s="458" cm="1">
        <f t="array" ref="BL1623">SUM(_xlfn._xlws.FILTER( INDEX(Cost!$B$3:$BK$77,MATCH(LDL!$BD1623, Cost!$F$3:$F$77, 0),0),Cost!$B$3:$BK$3 = BL$3))</f>
        <v>520000</v>
      </c>
      <c r="BM1623" s="458"/>
      <c r="BN1623" s="458" cm="1">
        <f t="array" ref="BN1623">SUM(_xlfn._xlws.FILTER( INDEX(Cost!$B$3:$BK$77,MATCH(LDL!$BD1623, Cost!$F$3:$F$77, 0),0),Cost!$B$3:$BK$3 = BN$3))/1.08</f>
        <v>4676851.8518518517</v>
      </c>
      <c r="BO1623" s="866">
        <f>VLOOKUP(BD1623,$BD$4:$BN$12824,3,0)*BE1623</f>
        <v>771363.00434221467</v>
      </c>
      <c r="BP1623" s="866"/>
      <c r="BQ1623" s="866"/>
      <c r="BR1623" s="866">
        <f>VLOOKUP(BD1623,$BD$4:$BN$12824,6,0)*BE1623</f>
        <v>314006.17875877762</v>
      </c>
      <c r="BS1623" s="866">
        <f>VLOOKUP(BD1623,$BD$4:$BN$12824,7,0)*BE1623</f>
        <v>113419.67049441235</v>
      </c>
      <c r="BT1623" s="866"/>
      <c r="BU1623" s="866">
        <f>VLOOKUP(BD1623,$BD$4:$BN$12824,9,0)*BE1623</f>
        <v>13473.657484265175</v>
      </c>
      <c r="BV1623" s="867"/>
      <c r="BW1623" s="867">
        <f>VLOOKUP(BD1623,$BD$4:$BN$12824,11,0)*BE1623</f>
        <v>121181.34607019836</v>
      </c>
      <c r="BX1623" s="1146">
        <f t="shared" si="306"/>
        <v>1333443.8571498683</v>
      </c>
      <c r="BY1623" s="867">
        <f t="shared" si="309"/>
        <v>28821782.605887465</v>
      </c>
      <c r="BZ1623" s="867">
        <f t="shared" si="307"/>
        <v>115287130.42354986</v>
      </c>
      <c r="CA1623" s="867">
        <f>_xlfn.MAXIFS($BY$4:$BY$12824,$S$4:$S$12824,$S1623)</f>
        <v>28821782.605887465</v>
      </c>
      <c r="CB1623" s="1032"/>
      <c r="CF1623" s="946">
        <f t="shared" ref="CF1623:CF1642" si="311">AC1623*AD1623</f>
        <v>121221120</v>
      </c>
    </row>
    <row r="1624" spans="2:84">
      <c r="B1624" s="839" t="s">
        <v>98</v>
      </c>
      <c r="C1624" s="839" t="s">
        <v>381</v>
      </c>
      <c r="D1624" s="839" t="s">
        <v>5486</v>
      </c>
      <c r="E1624" s="839" t="s">
        <v>5487</v>
      </c>
      <c r="F1624" s="841">
        <v>45784</v>
      </c>
      <c r="G1624" s="868" t="s">
        <v>383</v>
      </c>
      <c r="H1624" s="842" t="s">
        <v>134</v>
      </c>
      <c r="I1624" s="883"/>
      <c r="J1624" s="841"/>
      <c r="K1624" s="841"/>
      <c r="L1624" s="843" t="s">
        <v>106</v>
      </c>
      <c r="M1624" s="844" t="s">
        <v>107</v>
      </c>
      <c r="N1624" s="841"/>
      <c r="O1624" s="884" t="s">
        <v>150</v>
      </c>
      <c r="P1624" s="842" t="s">
        <v>5488</v>
      </c>
      <c r="Q1624" s="843"/>
      <c r="R1624" s="845" t="s">
        <v>5497</v>
      </c>
      <c r="S1624" s="1127" t="s">
        <v>1641</v>
      </c>
      <c r="T1624" s="885" t="s">
        <v>5498</v>
      </c>
      <c r="U1624" s="886">
        <v>6</v>
      </c>
      <c r="V1624" s="842" t="s">
        <v>3</v>
      </c>
      <c r="W1624" s="846">
        <v>2184</v>
      </c>
      <c r="X1624" s="847">
        <f t="shared" si="310"/>
        <v>13104</v>
      </c>
      <c r="Y1624" s="853">
        <v>0.52</v>
      </c>
      <c r="Z1624" s="849">
        <v>1048.32</v>
      </c>
      <c r="AA1624" s="849"/>
      <c r="AB1624" s="849">
        <f t="shared" si="302"/>
        <v>6289.92</v>
      </c>
      <c r="AC1624" s="850">
        <f t="shared" si="303"/>
        <v>6289.92</v>
      </c>
      <c r="AD1624" s="851">
        <f t="shared" si="301"/>
        <v>32000</v>
      </c>
      <c r="AE1624" s="852">
        <v>30081.54</v>
      </c>
      <c r="AF1624" s="853">
        <v>0</v>
      </c>
      <c r="AG1624" s="854">
        <f t="shared" si="304"/>
        <v>0</v>
      </c>
      <c r="AH1624" s="853">
        <v>0.08</v>
      </c>
      <c r="AI1624" s="855">
        <f t="shared" si="305"/>
        <v>15136838.406144002</v>
      </c>
      <c r="AJ1624" s="845" t="s">
        <v>5491</v>
      </c>
      <c r="AK1624" s="857">
        <v>45910</v>
      </c>
      <c r="AL1624" s="843">
        <v>251084200</v>
      </c>
      <c r="AM1624" s="843" t="s">
        <v>5492</v>
      </c>
      <c r="AN1624" s="844" t="s">
        <v>5493</v>
      </c>
      <c r="AO1624" s="844" t="s">
        <v>141</v>
      </c>
      <c r="AP1624" s="841"/>
      <c r="AQ1624" s="841">
        <v>45916</v>
      </c>
      <c r="AR1624" s="841">
        <v>45961</v>
      </c>
      <c r="AS1624" s="842" t="s">
        <v>1145</v>
      </c>
      <c r="AT1624" s="842" t="s">
        <v>1235</v>
      </c>
      <c r="AU1624" s="842" t="s">
        <v>1565</v>
      </c>
      <c r="AV1624" s="845" t="s">
        <v>5494</v>
      </c>
      <c r="AW1624" s="861">
        <v>45962</v>
      </c>
      <c r="AX1624" s="862">
        <v>45965</v>
      </c>
      <c r="AY1624" s="843" t="s">
        <v>5499</v>
      </c>
      <c r="AZ1624" s="842" t="s">
        <v>4269</v>
      </c>
      <c r="BA1624" s="842" t="s">
        <v>120</v>
      </c>
      <c r="BB1624" s="863" t="s">
        <v>121</v>
      </c>
      <c r="BC1624" s="864">
        <v>45968</v>
      </c>
      <c r="BD1624" s="860" t="s">
        <v>5496</v>
      </c>
      <c r="BE1624" s="865" cm="1">
        <f t="array" ref="BE1624">IF(BD1624="","",AC1624/SUMPRODUCT(--(BD1624=$BD$4:$BD$12824),$AC$4:$AC$12824))</f>
        <v>4.3022829270588245E-2</v>
      </c>
      <c r="BF1624" s="458"/>
      <c r="BG1624" s="458"/>
      <c r="BH1624" s="458"/>
      <c r="BI1624" s="458"/>
      <c r="BJ1624" s="458"/>
      <c r="BK1624" s="458"/>
      <c r="BL1624" s="458"/>
      <c r="BM1624" s="458"/>
      <c r="BN1624" s="458"/>
      <c r="BO1624" s="866">
        <f>VLOOKUP(BD1624,$BD$4:$BN$12824,3,0)*BE1624</f>
        <v>1280783.1739610215</v>
      </c>
      <c r="BP1624" s="866"/>
      <c r="BQ1624" s="866"/>
      <c r="BR1624" s="866">
        <f>VLOOKUP(BD1624,$BD$4:$BN$12824,6,0)*BE1624</f>
        <v>521380.76108147774</v>
      </c>
      <c r="BS1624" s="866">
        <f>VLOOKUP(BD1624,$BD$4:$BN$12824,7,0)*BE1624</f>
        <v>188323.79145448294</v>
      </c>
      <c r="BT1624" s="866"/>
      <c r="BU1624" s="866">
        <f>VLOOKUP(BD1624,$BD$4:$BN$12824,9,0)*BE1624</f>
        <v>22371.871220705889</v>
      </c>
      <c r="BV1624" s="867"/>
      <c r="BW1624" s="867">
        <f>VLOOKUP(BD1624,$BD$4:$BN$12824,11,0)*BE1624</f>
        <v>201211.39874605669</v>
      </c>
      <c r="BX1624" s="1146">
        <f t="shared" si="306"/>
        <v>2214070.9964637444</v>
      </c>
      <c r="BY1624" s="867">
        <f t="shared" si="309"/>
        <v>31904091.845543962</v>
      </c>
      <c r="BZ1624" s="867">
        <f t="shared" si="307"/>
        <v>191424551.07326376</v>
      </c>
      <c r="CA1624" s="867">
        <f>_xlfn.MAXIFS($BY$4:$BY$12824,$S$4:$S$12824,$S1624)</f>
        <v>31904091.845543962</v>
      </c>
      <c r="CB1624" s="1032"/>
      <c r="CF1624" s="946">
        <f t="shared" si="311"/>
        <v>201277440</v>
      </c>
    </row>
    <row r="1625" spans="2:84">
      <c r="B1625" s="839" t="s">
        <v>98</v>
      </c>
      <c r="C1625" s="839" t="s">
        <v>381</v>
      </c>
      <c r="D1625" s="839" t="s">
        <v>5486</v>
      </c>
      <c r="E1625" s="839" t="s">
        <v>5487</v>
      </c>
      <c r="F1625" s="841">
        <v>45784</v>
      </c>
      <c r="G1625" s="868" t="s">
        <v>383</v>
      </c>
      <c r="H1625" s="842" t="s">
        <v>134</v>
      </c>
      <c r="I1625" s="883"/>
      <c r="J1625" s="841"/>
      <c r="K1625" s="841"/>
      <c r="L1625" s="843" t="s">
        <v>106</v>
      </c>
      <c r="M1625" s="844" t="s">
        <v>107</v>
      </c>
      <c r="N1625" s="841"/>
      <c r="O1625" s="884" t="s">
        <v>150</v>
      </c>
      <c r="P1625" s="842" t="s">
        <v>5488</v>
      </c>
      <c r="Q1625" s="843"/>
      <c r="R1625" s="845" t="s">
        <v>5497</v>
      </c>
      <c r="S1625" s="1127" t="s">
        <v>5500</v>
      </c>
      <c r="T1625" s="885" t="s">
        <v>5501</v>
      </c>
      <c r="U1625" s="886">
        <v>2</v>
      </c>
      <c r="V1625" s="842" t="s">
        <v>3</v>
      </c>
      <c r="W1625" s="846">
        <v>2184</v>
      </c>
      <c r="X1625" s="847">
        <f t="shared" si="310"/>
        <v>4368</v>
      </c>
      <c r="Y1625" s="853">
        <v>0.52</v>
      </c>
      <c r="Z1625" s="849">
        <v>1048.32</v>
      </c>
      <c r="AA1625" s="849"/>
      <c r="AB1625" s="849">
        <f t="shared" si="302"/>
        <v>2096.64</v>
      </c>
      <c r="AC1625" s="850">
        <f t="shared" si="303"/>
        <v>2096.64</v>
      </c>
      <c r="AD1625" s="851">
        <f t="shared" si="301"/>
        <v>32000</v>
      </c>
      <c r="AE1625" s="852">
        <v>30081.54</v>
      </c>
      <c r="AF1625" s="853">
        <v>0</v>
      </c>
      <c r="AG1625" s="854">
        <f t="shared" si="304"/>
        <v>0</v>
      </c>
      <c r="AH1625" s="853">
        <v>0.08</v>
      </c>
      <c r="AI1625" s="855">
        <f t="shared" si="305"/>
        <v>5045612.8020480005</v>
      </c>
      <c r="AJ1625" s="845" t="s">
        <v>5491</v>
      </c>
      <c r="AK1625" s="857">
        <v>45910</v>
      </c>
      <c r="AL1625" s="843">
        <v>251084200</v>
      </c>
      <c r="AM1625" s="843" t="s">
        <v>5492</v>
      </c>
      <c r="AN1625" s="844" t="s">
        <v>5493</v>
      </c>
      <c r="AO1625" s="844" t="s">
        <v>141</v>
      </c>
      <c r="AP1625" s="841"/>
      <c r="AQ1625" s="841">
        <v>45916</v>
      </c>
      <c r="AR1625" s="841">
        <v>45961</v>
      </c>
      <c r="AS1625" s="842" t="s">
        <v>1145</v>
      </c>
      <c r="AT1625" s="842" t="s">
        <v>1235</v>
      </c>
      <c r="AU1625" s="842" t="s">
        <v>1565</v>
      </c>
      <c r="AV1625" s="845" t="s">
        <v>5494</v>
      </c>
      <c r="AW1625" s="861">
        <v>45962</v>
      </c>
      <c r="AX1625" s="862">
        <v>45965</v>
      </c>
      <c r="AY1625" s="843" t="s">
        <v>5502</v>
      </c>
      <c r="AZ1625" s="842" t="s">
        <v>4269</v>
      </c>
      <c r="BA1625" s="842" t="s">
        <v>120</v>
      </c>
      <c r="BB1625" s="863" t="s">
        <v>121</v>
      </c>
      <c r="BC1625" s="864">
        <v>45968</v>
      </c>
      <c r="BD1625" s="860" t="s">
        <v>5496</v>
      </c>
      <c r="BE1625" s="865" cm="1">
        <f t="array" ref="BE1625">IF(BD1625="","",AC1625/SUMPRODUCT(--(BD1625=$BD$4:$BD$12824),$AC$4:$AC$12824))</f>
        <v>1.434094309019608E-2</v>
      </c>
      <c r="BF1625" s="458"/>
      <c r="BG1625" s="458"/>
      <c r="BH1625" s="458"/>
      <c r="BI1625" s="458"/>
      <c r="BJ1625" s="458"/>
      <c r="BK1625" s="458"/>
      <c r="BL1625" s="458"/>
      <c r="BM1625" s="458"/>
      <c r="BN1625" s="458"/>
      <c r="BO1625" s="866">
        <f>VLOOKUP(BD1625,$BD$4:$BN$12824,3,0)*BE1625</f>
        <v>426927.72465367377</v>
      </c>
      <c r="BP1625" s="866"/>
      <c r="BQ1625" s="866"/>
      <c r="BR1625" s="866">
        <f>VLOOKUP(BD1625,$BD$4:$BN$12824,6,0)*BE1625</f>
        <v>173793.58702715923</v>
      </c>
      <c r="BS1625" s="866">
        <f>VLOOKUP(BD1625,$BD$4:$BN$12824,7,0)*BE1625</f>
        <v>62774.597151494308</v>
      </c>
      <c r="BT1625" s="866"/>
      <c r="BU1625" s="866">
        <f>VLOOKUP(BD1625,$BD$4:$BN$12824,9,0)*BE1625</f>
        <v>7457.2904069019614</v>
      </c>
      <c r="BV1625" s="867"/>
      <c r="BW1625" s="867">
        <f>VLOOKUP(BD1625,$BD$4:$BN$12824,11,0)*BE1625</f>
        <v>67070.466248685552</v>
      </c>
      <c r="BX1625" s="1146">
        <f t="shared" si="306"/>
        <v>738023.66548791481</v>
      </c>
      <c r="BY1625" s="867">
        <f t="shared" si="309"/>
        <v>31904091.845543958</v>
      </c>
      <c r="BZ1625" s="867">
        <f t="shared" si="307"/>
        <v>63808183.691087916</v>
      </c>
      <c r="CA1625" s="867">
        <f>_xlfn.MAXIFS($BY$4:$BY$12824,$S$4:$S$12824,$S1625)</f>
        <v>31904091.845543958</v>
      </c>
      <c r="CB1625" s="1032"/>
      <c r="CF1625" s="946">
        <f t="shared" si="311"/>
        <v>67092479.999999993</v>
      </c>
    </row>
    <row r="1626" spans="2:84">
      <c r="B1626" s="839" t="s">
        <v>98</v>
      </c>
      <c r="C1626" s="839" t="s">
        <v>381</v>
      </c>
      <c r="D1626" s="839" t="s">
        <v>5486</v>
      </c>
      <c r="E1626" s="839" t="s">
        <v>5487</v>
      </c>
      <c r="F1626" s="841">
        <v>45784</v>
      </c>
      <c r="G1626" s="868" t="s">
        <v>383</v>
      </c>
      <c r="H1626" s="842" t="s">
        <v>134</v>
      </c>
      <c r="I1626" s="883"/>
      <c r="J1626" s="841"/>
      <c r="K1626" s="841"/>
      <c r="L1626" s="843" t="s">
        <v>106</v>
      </c>
      <c r="M1626" s="844" t="s">
        <v>107</v>
      </c>
      <c r="N1626" s="841"/>
      <c r="O1626" s="884" t="s">
        <v>150</v>
      </c>
      <c r="P1626" s="842" t="s">
        <v>5488</v>
      </c>
      <c r="Q1626" s="843"/>
      <c r="R1626" s="845" t="s">
        <v>5497</v>
      </c>
      <c r="S1626" s="1127" t="s">
        <v>5503</v>
      </c>
      <c r="T1626" s="885" t="s">
        <v>5504</v>
      </c>
      <c r="U1626" s="886">
        <v>1</v>
      </c>
      <c r="V1626" s="842" t="s">
        <v>3</v>
      </c>
      <c r="W1626" s="846">
        <v>3108</v>
      </c>
      <c r="X1626" s="847">
        <f t="shared" si="310"/>
        <v>3108</v>
      </c>
      <c r="Y1626" s="853">
        <v>0.52</v>
      </c>
      <c r="Z1626" s="849">
        <v>1491.84</v>
      </c>
      <c r="AA1626" s="849"/>
      <c r="AB1626" s="849">
        <f t="shared" si="302"/>
        <v>1491.84</v>
      </c>
      <c r="AC1626" s="850">
        <f t="shared" si="303"/>
        <v>1491.84</v>
      </c>
      <c r="AD1626" s="851">
        <f t="shared" si="301"/>
        <v>32000</v>
      </c>
      <c r="AE1626" s="852">
        <v>30081.54</v>
      </c>
      <c r="AF1626" s="853">
        <v>0</v>
      </c>
      <c r="AG1626" s="854">
        <f t="shared" si="304"/>
        <v>0</v>
      </c>
      <c r="AH1626" s="853">
        <v>0.08</v>
      </c>
      <c r="AI1626" s="855">
        <f t="shared" si="305"/>
        <v>3590147.5706879999</v>
      </c>
      <c r="AJ1626" s="845" t="s">
        <v>5491</v>
      </c>
      <c r="AK1626" s="857">
        <v>45910</v>
      </c>
      <c r="AL1626" s="843">
        <v>251084200</v>
      </c>
      <c r="AM1626" s="843" t="s">
        <v>5492</v>
      </c>
      <c r="AN1626" s="844" t="s">
        <v>5493</v>
      </c>
      <c r="AO1626" s="844" t="s">
        <v>141</v>
      </c>
      <c r="AP1626" s="841"/>
      <c r="AQ1626" s="841">
        <v>45916</v>
      </c>
      <c r="AR1626" s="841">
        <v>45961</v>
      </c>
      <c r="AS1626" s="842" t="s">
        <v>1145</v>
      </c>
      <c r="AT1626" s="842" t="s">
        <v>1235</v>
      </c>
      <c r="AU1626" s="842" t="s">
        <v>1565</v>
      </c>
      <c r="AV1626" s="845" t="s">
        <v>5494</v>
      </c>
      <c r="AW1626" s="861">
        <v>45962</v>
      </c>
      <c r="AX1626" s="862">
        <v>45965</v>
      </c>
      <c r="AY1626" s="843" t="s">
        <v>5505</v>
      </c>
      <c r="AZ1626" s="842">
        <v>94036090</v>
      </c>
      <c r="BA1626" s="842" t="s">
        <v>120</v>
      </c>
      <c r="BB1626" s="863" t="s">
        <v>121</v>
      </c>
      <c r="BC1626" s="864">
        <v>45968</v>
      </c>
      <c r="BD1626" s="860" t="s">
        <v>5496</v>
      </c>
      <c r="BE1626" s="865" cm="1">
        <f t="array" ref="BE1626">IF(BD1626="","",AC1626/SUMPRODUCT(--(BD1626=$BD$4:$BD$12824),$AC$4:$AC$12824))</f>
        <v>1.020413258340875E-2</v>
      </c>
      <c r="BF1626" s="458"/>
      <c r="BG1626" s="458"/>
      <c r="BH1626" s="458"/>
      <c r="BI1626" s="458"/>
      <c r="BJ1626" s="458"/>
      <c r="BK1626" s="458"/>
      <c r="BL1626" s="458"/>
      <c r="BM1626" s="458"/>
      <c r="BN1626" s="458"/>
      <c r="BO1626" s="866">
        <f>VLOOKUP(BD1626,$BD$4:$BN$12824,3,0)*BE1626</f>
        <v>303775.49638819095</v>
      </c>
      <c r="BP1626" s="866"/>
      <c r="BQ1626" s="866"/>
      <c r="BR1626" s="866">
        <f>VLOOKUP(BD1626,$BD$4:$BN$12824,6,0)*BE1626</f>
        <v>123660.82153855561</v>
      </c>
      <c r="BS1626" s="866">
        <f>VLOOKUP(BD1626,$BD$4:$BN$12824,7,0)*BE1626</f>
        <v>44666.540280870955</v>
      </c>
      <c r="BT1626" s="866"/>
      <c r="BU1626" s="866">
        <f>VLOOKUP(BD1626,$BD$4:$BN$12824,9,0)*BE1626</f>
        <v>5306.1489433725501</v>
      </c>
      <c r="BV1626" s="867"/>
      <c r="BW1626" s="867">
        <f>VLOOKUP(BD1626,$BD$4:$BN$12824,11,0)*BE1626</f>
        <v>47723.216369257032</v>
      </c>
      <c r="BX1626" s="1146">
        <f t="shared" si="306"/>
        <v>525132.22352024715</v>
      </c>
      <c r="BY1626" s="867">
        <f t="shared" si="309"/>
        <v>45401976.857120246</v>
      </c>
      <c r="BZ1626" s="867">
        <f t="shared" si="307"/>
        <v>45401976.857120246</v>
      </c>
      <c r="CA1626" s="867">
        <f>_xlfn.MAXIFS($BY$4:$BY$12824,$S$4:$S$12824,$S1626)</f>
        <v>45401976.857120246</v>
      </c>
      <c r="CB1626" s="1032"/>
      <c r="CF1626" s="946">
        <f t="shared" si="311"/>
        <v>47738880</v>
      </c>
    </row>
    <row r="1627" spans="2:84">
      <c r="B1627" s="839" t="s">
        <v>98</v>
      </c>
      <c r="C1627" s="839" t="s">
        <v>381</v>
      </c>
      <c r="D1627" s="839" t="s">
        <v>5486</v>
      </c>
      <c r="E1627" s="839" t="s">
        <v>5487</v>
      </c>
      <c r="F1627" s="841">
        <v>45784</v>
      </c>
      <c r="G1627" s="868" t="s">
        <v>383</v>
      </c>
      <c r="H1627" s="842" t="s">
        <v>134</v>
      </c>
      <c r="I1627" s="883"/>
      <c r="J1627" s="841"/>
      <c r="K1627" s="841"/>
      <c r="L1627" s="843" t="s">
        <v>106</v>
      </c>
      <c r="M1627" s="844" t="s">
        <v>107</v>
      </c>
      <c r="N1627" s="841"/>
      <c r="O1627" s="884" t="s">
        <v>150</v>
      </c>
      <c r="P1627" s="842" t="s">
        <v>5488</v>
      </c>
      <c r="Q1627" s="843"/>
      <c r="R1627" s="845" t="s">
        <v>5506</v>
      </c>
      <c r="S1627" s="1127" t="s">
        <v>1643</v>
      </c>
      <c r="T1627" s="885" t="s">
        <v>5507</v>
      </c>
      <c r="U1627" s="886">
        <v>6</v>
      </c>
      <c r="V1627" s="842" t="s">
        <v>3</v>
      </c>
      <c r="W1627" s="846">
        <v>2268</v>
      </c>
      <c r="X1627" s="847">
        <f t="shared" si="310"/>
        <v>13608</v>
      </c>
      <c r="Y1627" s="853">
        <v>0.52</v>
      </c>
      <c r="Z1627" s="849">
        <v>1088.6400000000001</v>
      </c>
      <c r="AA1627" s="849"/>
      <c r="AB1627" s="849">
        <f t="shared" si="302"/>
        <v>6531.84</v>
      </c>
      <c r="AC1627" s="850">
        <f t="shared" si="303"/>
        <v>6531.84</v>
      </c>
      <c r="AD1627" s="851">
        <f t="shared" si="301"/>
        <v>32000</v>
      </c>
      <c r="AE1627" s="852">
        <v>30081.54</v>
      </c>
      <c r="AF1627" s="853">
        <v>0</v>
      </c>
      <c r="AG1627" s="854">
        <f t="shared" si="304"/>
        <v>0</v>
      </c>
      <c r="AH1627" s="853">
        <v>0.08</v>
      </c>
      <c r="AI1627" s="855">
        <f t="shared" si="305"/>
        <v>15719024.498688001</v>
      </c>
      <c r="AJ1627" s="845" t="s">
        <v>5491</v>
      </c>
      <c r="AK1627" s="857">
        <v>45910</v>
      </c>
      <c r="AL1627" s="843">
        <v>251084200</v>
      </c>
      <c r="AM1627" s="843" t="s">
        <v>5492</v>
      </c>
      <c r="AN1627" s="844" t="s">
        <v>5493</v>
      </c>
      <c r="AO1627" s="844" t="s">
        <v>141</v>
      </c>
      <c r="AP1627" s="841"/>
      <c r="AQ1627" s="841">
        <v>45916</v>
      </c>
      <c r="AR1627" s="841">
        <v>45961</v>
      </c>
      <c r="AS1627" s="842" t="s">
        <v>1145</v>
      </c>
      <c r="AT1627" s="842" t="s">
        <v>1235</v>
      </c>
      <c r="AU1627" s="842" t="s">
        <v>1565</v>
      </c>
      <c r="AV1627" s="845" t="s">
        <v>5494</v>
      </c>
      <c r="AW1627" s="861">
        <v>45962</v>
      </c>
      <c r="AX1627" s="862">
        <v>45965</v>
      </c>
      <c r="AY1627" s="843" t="s">
        <v>5508</v>
      </c>
      <c r="AZ1627" s="842" t="s">
        <v>4269</v>
      </c>
      <c r="BA1627" s="842" t="s">
        <v>120</v>
      </c>
      <c r="BB1627" s="863" t="s">
        <v>121</v>
      </c>
      <c r="BC1627" s="864">
        <v>45968</v>
      </c>
      <c r="BD1627" s="860" t="s">
        <v>5496</v>
      </c>
      <c r="BE1627" s="865" cm="1">
        <f t="array" ref="BE1627">IF(BD1627="","",AC1627/SUMPRODUCT(--(BD1627=$BD$4:$BD$12824),$AC$4:$AC$12824))</f>
        <v>4.4677553473303176E-2</v>
      </c>
      <c r="BF1627" s="458"/>
      <c r="BG1627" s="458"/>
      <c r="BH1627" s="458"/>
      <c r="BI1627" s="458"/>
      <c r="BJ1627" s="458"/>
      <c r="BK1627" s="458"/>
      <c r="BL1627" s="458"/>
      <c r="BM1627" s="458"/>
      <c r="BN1627" s="458"/>
      <c r="BO1627" s="866">
        <f>VLOOKUP(BD1627,$BD$4:$BN$12824,3,0)*BE1627</f>
        <v>1330044.0652672146</v>
      </c>
      <c r="BP1627" s="866"/>
      <c r="BQ1627" s="866"/>
      <c r="BR1627" s="866">
        <f>VLOOKUP(BD1627,$BD$4:$BN$12824,6,0)*BE1627</f>
        <v>541433.86727691919</v>
      </c>
      <c r="BS1627" s="866">
        <f>VLOOKUP(BD1627,$BD$4:$BN$12824,7,0)*BE1627</f>
        <v>195567.01420273227</v>
      </c>
      <c r="BT1627" s="866"/>
      <c r="BU1627" s="866">
        <f>VLOOKUP(BD1627,$BD$4:$BN$12824,9,0)*BE1627</f>
        <v>23232.327806117653</v>
      </c>
      <c r="BV1627" s="867"/>
      <c r="BW1627" s="867">
        <f>VLOOKUP(BD1627,$BD$4:$BN$12824,11,0)*BE1627</f>
        <v>208950.29869782808</v>
      </c>
      <c r="BX1627" s="1146">
        <f t="shared" si="306"/>
        <v>2299227.5732508115</v>
      </c>
      <c r="BY1627" s="867">
        <f t="shared" si="309"/>
        <v>33131172.301141802</v>
      </c>
      <c r="BZ1627" s="867">
        <f t="shared" si="307"/>
        <v>198787033.80685082</v>
      </c>
      <c r="CA1627" s="867">
        <f>_xlfn.MAXIFS($BY$4:$BY$12824,$S$4:$S$12824,$S1627)</f>
        <v>33131172.301141802</v>
      </c>
      <c r="CB1627" s="1032"/>
      <c r="CF1627" s="946">
        <f t="shared" si="311"/>
        <v>209018880</v>
      </c>
    </row>
    <row r="1628" spans="2:84">
      <c r="B1628" s="839" t="s">
        <v>98</v>
      </c>
      <c r="C1628" s="839" t="s">
        <v>381</v>
      </c>
      <c r="D1628" s="839" t="s">
        <v>5486</v>
      </c>
      <c r="E1628" s="839" t="s">
        <v>5487</v>
      </c>
      <c r="F1628" s="841">
        <v>45784</v>
      </c>
      <c r="G1628" s="868" t="s">
        <v>383</v>
      </c>
      <c r="H1628" s="842" t="s">
        <v>134</v>
      </c>
      <c r="I1628" s="883"/>
      <c r="J1628" s="841"/>
      <c r="K1628" s="841"/>
      <c r="L1628" s="843" t="s">
        <v>106</v>
      </c>
      <c r="M1628" s="844" t="s">
        <v>107</v>
      </c>
      <c r="N1628" s="841"/>
      <c r="O1628" s="884" t="s">
        <v>150</v>
      </c>
      <c r="P1628" s="842" t="s">
        <v>5488</v>
      </c>
      <c r="Q1628" s="843"/>
      <c r="R1628" s="845" t="s">
        <v>5506</v>
      </c>
      <c r="S1628" s="1127" t="s">
        <v>5509</v>
      </c>
      <c r="T1628" s="885" t="s">
        <v>5510</v>
      </c>
      <c r="U1628" s="886">
        <v>2</v>
      </c>
      <c r="V1628" s="842" t="s">
        <v>3</v>
      </c>
      <c r="W1628" s="846">
        <v>2268</v>
      </c>
      <c r="X1628" s="847">
        <f t="shared" si="310"/>
        <v>4536</v>
      </c>
      <c r="Y1628" s="853">
        <v>0.52</v>
      </c>
      <c r="Z1628" s="849">
        <v>1088.6400000000001</v>
      </c>
      <c r="AA1628" s="849"/>
      <c r="AB1628" s="849">
        <f t="shared" si="302"/>
        <v>2177.2800000000002</v>
      </c>
      <c r="AC1628" s="850">
        <f t="shared" si="303"/>
        <v>2177.2800000000002</v>
      </c>
      <c r="AD1628" s="851">
        <f t="shared" si="301"/>
        <v>32000</v>
      </c>
      <c r="AE1628" s="852">
        <v>30081.54</v>
      </c>
      <c r="AF1628" s="853">
        <v>0</v>
      </c>
      <c r="AG1628" s="854">
        <f t="shared" si="304"/>
        <v>0</v>
      </c>
      <c r="AH1628" s="853">
        <v>0.08</v>
      </c>
      <c r="AI1628" s="855">
        <f t="shared" si="305"/>
        <v>5239674.8328960007</v>
      </c>
      <c r="AJ1628" s="845" t="s">
        <v>5491</v>
      </c>
      <c r="AK1628" s="857">
        <v>45910</v>
      </c>
      <c r="AL1628" s="843">
        <v>251084200</v>
      </c>
      <c r="AM1628" s="843" t="s">
        <v>5492</v>
      </c>
      <c r="AN1628" s="844" t="s">
        <v>5493</v>
      </c>
      <c r="AO1628" s="844" t="s">
        <v>141</v>
      </c>
      <c r="AP1628" s="841"/>
      <c r="AQ1628" s="841">
        <v>45916</v>
      </c>
      <c r="AR1628" s="841">
        <v>45961</v>
      </c>
      <c r="AS1628" s="842" t="s">
        <v>1145</v>
      </c>
      <c r="AT1628" s="842" t="s">
        <v>1235</v>
      </c>
      <c r="AU1628" s="842" t="s">
        <v>1565</v>
      </c>
      <c r="AV1628" s="845" t="s">
        <v>5494</v>
      </c>
      <c r="AW1628" s="861">
        <v>45962</v>
      </c>
      <c r="AX1628" s="862">
        <v>45965</v>
      </c>
      <c r="AY1628" s="843" t="s">
        <v>5511</v>
      </c>
      <c r="AZ1628" s="842" t="s">
        <v>4269</v>
      </c>
      <c r="BA1628" s="842" t="s">
        <v>120</v>
      </c>
      <c r="BB1628" s="863" t="s">
        <v>121</v>
      </c>
      <c r="BC1628" s="864">
        <v>45968</v>
      </c>
      <c r="BD1628" s="860" t="s">
        <v>5496</v>
      </c>
      <c r="BE1628" s="865" cm="1">
        <f t="array" ref="BE1628">IF(BD1628="","",AC1628/SUMPRODUCT(--(BD1628=$BD$4:$BD$12824),$AC$4:$AC$12824))</f>
        <v>1.4892517824434393E-2</v>
      </c>
      <c r="BF1628" s="458"/>
      <c r="BG1628" s="458"/>
      <c r="BH1628" s="458"/>
      <c r="BI1628" s="458"/>
      <c r="BJ1628" s="458"/>
      <c r="BK1628" s="458"/>
      <c r="BL1628" s="458"/>
      <c r="BM1628" s="458"/>
      <c r="BN1628" s="458"/>
      <c r="BO1628" s="866">
        <f>VLOOKUP(BD1628,$BD$4:$BN$12824,3,0)*BE1628</f>
        <v>443348.02175573824</v>
      </c>
      <c r="BP1628" s="866"/>
      <c r="BQ1628" s="866"/>
      <c r="BR1628" s="866">
        <f>VLOOKUP(BD1628,$BD$4:$BN$12824,6,0)*BE1628</f>
        <v>180477.95575897308</v>
      </c>
      <c r="BS1628" s="866">
        <f>VLOOKUP(BD1628,$BD$4:$BN$12824,7,0)*BE1628</f>
        <v>65189.004734244103</v>
      </c>
      <c r="BT1628" s="866"/>
      <c r="BU1628" s="866">
        <f>VLOOKUP(BD1628,$BD$4:$BN$12824,9,0)*BE1628</f>
        <v>7744.1092687058845</v>
      </c>
      <c r="BV1628" s="867"/>
      <c r="BW1628" s="867">
        <f>VLOOKUP(BD1628,$BD$4:$BN$12824,11,0)*BE1628</f>
        <v>69650.099565942699</v>
      </c>
      <c r="BX1628" s="1146">
        <f t="shared" si="306"/>
        <v>766409.19108360389</v>
      </c>
      <c r="BY1628" s="867">
        <f t="shared" si="309"/>
        <v>33131172.301141806</v>
      </c>
      <c r="BZ1628" s="867">
        <f t="shared" si="307"/>
        <v>66262344.602283612</v>
      </c>
      <c r="CA1628" s="867">
        <f>_xlfn.MAXIFS($BY$4:$BY$12824,$S$4:$S$12824,$S1628)</f>
        <v>33131172.301141806</v>
      </c>
      <c r="CB1628" s="1032"/>
      <c r="CF1628" s="946">
        <f t="shared" si="311"/>
        <v>69672960</v>
      </c>
    </row>
    <row r="1629" spans="2:84">
      <c r="B1629" s="839" t="s">
        <v>98</v>
      </c>
      <c r="C1629" s="839" t="s">
        <v>381</v>
      </c>
      <c r="D1629" s="839" t="s">
        <v>5486</v>
      </c>
      <c r="E1629" s="839" t="s">
        <v>5487</v>
      </c>
      <c r="F1629" s="841">
        <v>45784</v>
      </c>
      <c r="G1629" s="868" t="s">
        <v>383</v>
      </c>
      <c r="H1629" s="842" t="s">
        <v>134</v>
      </c>
      <c r="I1629" s="883"/>
      <c r="J1629" s="841"/>
      <c r="K1629" s="841"/>
      <c r="L1629" s="843" t="s">
        <v>106</v>
      </c>
      <c r="M1629" s="844" t="s">
        <v>107</v>
      </c>
      <c r="N1629" s="841"/>
      <c r="O1629" s="884" t="s">
        <v>150</v>
      </c>
      <c r="P1629" s="842" t="s">
        <v>5488</v>
      </c>
      <c r="Q1629" s="843"/>
      <c r="R1629" s="845" t="s">
        <v>5506</v>
      </c>
      <c r="S1629" s="1127" t="s">
        <v>5512</v>
      </c>
      <c r="T1629" s="885" t="s">
        <v>5513</v>
      </c>
      <c r="U1629" s="886">
        <v>1</v>
      </c>
      <c r="V1629" s="842" t="s">
        <v>3</v>
      </c>
      <c r="W1629" s="846">
        <v>3444</v>
      </c>
      <c r="X1629" s="847">
        <f t="shared" si="310"/>
        <v>3444</v>
      </c>
      <c r="Y1629" s="853">
        <v>0.52</v>
      </c>
      <c r="Z1629" s="849">
        <v>1653.12</v>
      </c>
      <c r="AA1629" s="849"/>
      <c r="AB1629" s="849">
        <f t="shared" si="302"/>
        <v>1653.12</v>
      </c>
      <c r="AC1629" s="850">
        <f t="shared" si="303"/>
        <v>1653.12</v>
      </c>
      <c r="AD1629" s="851">
        <f t="shared" si="301"/>
        <v>32000</v>
      </c>
      <c r="AE1629" s="852">
        <v>30081.54</v>
      </c>
      <c r="AF1629" s="853">
        <v>0</v>
      </c>
      <c r="AG1629" s="854">
        <f t="shared" si="304"/>
        <v>0</v>
      </c>
      <c r="AH1629" s="853">
        <v>0.08</v>
      </c>
      <c r="AI1629" s="855">
        <f t="shared" si="305"/>
        <v>3978271.6323839999</v>
      </c>
      <c r="AJ1629" s="845" t="s">
        <v>5491</v>
      </c>
      <c r="AK1629" s="857">
        <v>45910</v>
      </c>
      <c r="AL1629" s="843">
        <v>251084200</v>
      </c>
      <c r="AM1629" s="843" t="s">
        <v>5492</v>
      </c>
      <c r="AN1629" s="844" t="s">
        <v>5493</v>
      </c>
      <c r="AO1629" s="844" t="s">
        <v>141</v>
      </c>
      <c r="AP1629" s="841"/>
      <c r="AQ1629" s="841">
        <v>45916</v>
      </c>
      <c r="AR1629" s="841">
        <v>45961</v>
      </c>
      <c r="AS1629" s="842" t="s">
        <v>1145</v>
      </c>
      <c r="AT1629" s="842" t="s">
        <v>1235</v>
      </c>
      <c r="AU1629" s="842" t="s">
        <v>1565</v>
      </c>
      <c r="AV1629" s="845" t="s">
        <v>5494</v>
      </c>
      <c r="AW1629" s="861">
        <v>45962</v>
      </c>
      <c r="AX1629" s="862">
        <v>45965</v>
      </c>
      <c r="AY1629" s="843" t="s">
        <v>5514</v>
      </c>
      <c r="AZ1629" s="842">
        <v>94036090</v>
      </c>
      <c r="BA1629" s="842" t="s">
        <v>120</v>
      </c>
      <c r="BB1629" s="863" t="s">
        <v>121</v>
      </c>
      <c r="BC1629" s="864">
        <v>45968</v>
      </c>
      <c r="BD1629" s="860" t="s">
        <v>5496</v>
      </c>
      <c r="BE1629" s="865" cm="1">
        <f t="array" ref="BE1629">IF(BD1629="","",AC1629/SUMPRODUCT(--(BD1629=$BD$4:$BD$12824),$AC$4:$AC$12824))</f>
        <v>1.1307282051885371E-2</v>
      </c>
      <c r="BF1629" s="458"/>
      <c r="BG1629" s="458"/>
      <c r="BH1629" s="458"/>
      <c r="BI1629" s="458"/>
      <c r="BJ1629" s="458"/>
      <c r="BK1629" s="458"/>
      <c r="BL1629" s="458"/>
      <c r="BM1629" s="458"/>
      <c r="BN1629" s="458"/>
      <c r="BO1629" s="866">
        <f>VLOOKUP(BD1629,$BD$4:$BN$12824,3,0)*BE1629</f>
        <v>336616.09059231973</v>
      </c>
      <c r="BP1629" s="866"/>
      <c r="BQ1629" s="866"/>
      <c r="BR1629" s="866">
        <f>VLOOKUP(BD1629,$BD$4:$BN$12824,6,0)*BE1629</f>
        <v>137029.55900218323</v>
      </c>
      <c r="BS1629" s="866">
        <f>VLOOKUP(BD1629,$BD$4:$BN$12824,7,0)*BE1629</f>
        <v>49495.355446370515</v>
      </c>
      <c r="BT1629" s="866"/>
      <c r="BU1629" s="866">
        <f>VLOOKUP(BD1629,$BD$4:$BN$12824,9,0)*BE1629</f>
        <v>5879.7866669803934</v>
      </c>
      <c r="BV1629" s="867"/>
      <c r="BW1629" s="867">
        <f>VLOOKUP(BD1629,$BD$4:$BN$12824,11,0)*BE1629</f>
        <v>52882.483003771304</v>
      </c>
      <c r="BX1629" s="1146">
        <f t="shared" si="306"/>
        <v>581903.27471162518</v>
      </c>
      <c r="BY1629" s="867">
        <f t="shared" si="309"/>
        <v>50310298.679511622</v>
      </c>
      <c r="BZ1629" s="867">
        <f t="shared" si="307"/>
        <v>50310298.679511622</v>
      </c>
      <c r="CA1629" s="867">
        <f>_xlfn.MAXIFS($BY$4:$BY$12824,$S$4:$S$12824,$S1629)</f>
        <v>50310298.679511622</v>
      </c>
      <c r="CB1629" s="1032"/>
      <c r="CF1629" s="946">
        <f t="shared" si="311"/>
        <v>52899840</v>
      </c>
    </row>
    <row r="1630" spans="2:84">
      <c r="B1630" s="839" t="s">
        <v>98</v>
      </c>
      <c r="C1630" s="839" t="s">
        <v>381</v>
      </c>
      <c r="D1630" s="839" t="s">
        <v>5486</v>
      </c>
      <c r="E1630" s="839" t="s">
        <v>5487</v>
      </c>
      <c r="F1630" s="841">
        <v>45784</v>
      </c>
      <c r="G1630" s="868" t="s">
        <v>383</v>
      </c>
      <c r="H1630" s="842" t="s">
        <v>134</v>
      </c>
      <c r="I1630" s="883"/>
      <c r="J1630" s="841"/>
      <c r="K1630" s="841"/>
      <c r="L1630" s="843" t="s">
        <v>106</v>
      </c>
      <c r="M1630" s="844" t="s">
        <v>107</v>
      </c>
      <c r="N1630" s="841"/>
      <c r="O1630" s="884" t="s">
        <v>150</v>
      </c>
      <c r="P1630" s="842" t="s">
        <v>5488</v>
      </c>
      <c r="Q1630" s="843"/>
      <c r="R1630" s="845" t="s">
        <v>5515</v>
      </c>
      <c r="S1630" s="1127" t="s">
        <v>1595</v>
      </c>
      <c r="T1630" s="885" t="s">
        <v>5516</v>
      </c>
      <c r="U1630" s="886">
        <v>4</v>
      </c>
      <c r="V1630" s="842" t="s">
        <v>3</v>
      </c>
      <c r="W1630" s="846">
        <v>3024</v>
      </c>
      <c r="X1630" s="847">
        <f t="shared" si="310"/>
        <v>12096</v>
      </c>
      <c r="Y1630" s="853">
        <v>0.52</v>
      </c>
      <c r="Z1630" s="849">
        <v>1451.52</v>
      </c>
      <c r="AA1630" s="849"/>
      <c r="AB1630" s="849">
        <f t="shared" si="302"/>
        <v>5806.08</v>
      </c>
      <c r="AC1630" s="850">
        <f t="shared" si="303"/>
        <v>5806.08</v>
      </c>
      <c r="AD1630" s="851">
        <f t="shared" si="301"/>
        <v>32000</v>
      </c>
      <c r="AE1630" s="852">
        <v>30081.54</v>
      </c>
      <c r="AF1630" s="853">
        <v>0</v>
      </c>
      <c r="AG1630" s="854">
        <f t="shared" si="304"/>
        <v>0</v>
      </c>
      <c r="AH1630" s="853">
        <v>0.08</v>
      </c>
      <c r="AI1630" s="855">
        <f t="shared" si="305"/>
        <v>13972466.221056001</v>
      </c>
      <c r="AJ1630" s="845" t="s">
        <v>5491</v>
      </c>
      <c r="AK1630" s="857">
        <v>45910</v>
      </c>
      <c r="AL1630" s="843">
        <v>251084200</v>
      </c>
      <c r="AM1630" s="843" t="s">
        <v>5492</v>
      </c>
      <c r="AN1630" s="844" t="s">
        <v>5493</v>
      </c>
      <c r="AO1630" s="844" t="s">
        <v>141</v>
      </c>
      <c r="AP1630" s="841"/>
      <c r="AQ1630" s="841">
        <v>45916</v>
      </c>
      <c r="AR1630" s="841">
        <v>45961</v>
      </c>
      <c r="AS1630" s="842" t="s">
        <v>1145</v>
      </c>
      <c r="AT1630" s="842" t="s">
        <v>1235</v>
      </c>
      <c r="AU1630" s="842" t="s">
        <v>1565</v>
      </c>
      <c r="AV1630" s="845" t="s">
        <v>5494</v>
      </c>
      <c r="AW1630" s="861">
        <v>45962</v>
      </c>
      <c r="AX1630" s="862">
        <v>45965</v>
      </c>
      <c r="AY1630" s="843" t="s">
        <v>5517</v>
      </c>
      <c r="AZ1630" s="842">
        <v>94038990</v>
      </c>
      <c r="BA1630" s="842" t="s">
        <v>120</v>
      </c>
      <c r="BB1630" s="863" t="s">
        <v>121</v>
      </c>
      <c r="BC1630" s="864">
        <v>45968</v>
      </c>
      <c r="BD1630" s="860" t="s">
        <v>5496</v>
      </c>
      <c r="BE1630" s="865" cm="1">
        <f t="array" ref="BE1630">IF(BD1630="","",AC1630/SUMPRODUCT(--(BD1630=$BD$4:$BD$12824),$AC$4:$AC$12824))</f>
        <v>3.9713380865158375E-2</v>
      </c>
      <c r="BF1630" s="458"/>
      <c r="BG1630" s="458"/>
      <c r="BH1630" s="458"/>
      <c r="BI1630" s="458"/>
      <c r="BJ1630" s="458"/>
      <c r="BK1630" s="458"/>
      <c r="BL1630" s="458"/>
      <c r="BM1630" s="458"/>
      <c r="BN1630" s="458"/>
      <c r="BO1630" s="866">
        <f>VLOOKUP(BD1630,$BD$4:$BN$12824,3,0)*BE1630</f>
        <v>1182261.3913486351</v>
      </c>
      <c r="BP1630" s="866"/>
      <c r="BQ1630" s="866"/>
      <c r="BR1630" s="866">
        <f>VLOOKUP(BD1630,$BD$4:$BN$12824,6,0)*BE1630</f>
        <v>481274.54869059479</v>
      </c>
      <c r="BS1630" s="866">
        <f>VLOOKUP(BD1630,$BD$4:$BN$12824,7,0)*BE1630</f>
        <v>173837.34595798425</v>
      </c>
      <c r="BT1630" s="866"/>
      <c r="BU1630" s="866">
        <f>VLOOKUP(BD1630,$BD$4:$BN$12824,9,0)*BE1630</f>
        <v>20650.958049882356</v>
      </c>
      <c r="BV1630" s="867"/>
      <c r="BW1630" s="867">
        <f>VLOOKUP(BD1630,$BD$4:$BN$12824,11,0)*BE1630</f>
        <v>185733.59884251383</v>
      </c>
      <c r="BX1630" s="1146">
        <f t="shared" si="306"/>
        <v>2043757.8428896102</v>
      </c>
      <c r="BY1630" s="867">
        <f t="shared" si="309"/>
        <v>44174896.401522405</v>
      </c>
      <c r="BZ1630" s="867">
        <f t="shared" si="307"/>
        <v>176699585.60608962</v>
      </c>
      <c r="CA1630" s="867">
        <f>_xlfn.MAXIFS($BY$4:$BY$12824,$S$4:$S$12824,$S1630)</f>
        <v>51172170.231893472</v>
      </c>
      <c r="CB1630" s="1032"/>
      <c r="CF1630" s="946">
        <f t="shared" si="311"/>
        <v>185794560</v>
      </c>
    </row>
    <row r="1631" spans="2:84">
      <c r="B1631" s="839" t="s">
        <v>98</v>
      </c>
      <c r="C1631" s="839" t="s">
        <v>381</v>
      </c>
      <c r="D1631" s="839" t="s">
        <v>5486</v>
      </c>
      <c r="E1631" s="839" t="s">
        <v>5487</v>
      </c>
      <c r="F1631" s="841">
        <v>45784</v>
      </c>
      <c r="G1631" s="868" t="s">
        <v>383</v>
      </c>
      <c r="H1631" s="842" t="s">
        <v>134</v>
      </c>
      <c r="I1631" s="883"/>
      <c r="J1631" s="841"/>
      <c r="K1631" s="841"/>
      <c r="L1631" s="843" t="s">
        <v>106</v>
      </c>
      <c r="M1631" s="844" t="s">
        <v>107</v>
      </c>
      <c r="N1631" s="841"/>
      <c r="O1631" s="884" t="s">
        <v>150</v>
      </c>
      <c r="P1631" s="842" t="s">
        <v>5488</v>
      </c>
      <c r="Q1631" s="843"/>
      <c r="R1631" s="845" t="s">
        <v>5518</v>
      </c>
      <c r="S1631" s="1127" t="s">
        <v>1645</v>
      </c>
      <c r="T1631" s="885" t="s">
        <v>5519</v>
      </c>
      <c r="U1631" s="886">
        <v>2</v>
      </c>
      <c r="V1631" s="842" t="s">
        <v>3</v>
      </c>
      <c r="W1631" s="846">
        <v>4284</v>
      </c>
      <c r="X1631" s="847">
        <f t="shared" si="310"/>
        <v>8568</v>
      </c>
      <c r="Y1631" s="853">
        <v>0.52</v>
      </c>
      <c r="Z1631" s="849">
        <v>2056.3200000000002</v>
      </c>
      <c r="AA1631" s="849"/>
      <c r="AB1631" s="849">
        <f t="shared" si="302"/>
        <v>4112.6400000000003</v>
      </c>
      <c r="AC1631" s="850">
        <f t="shared" si="303"/>
        <v>4112.6400000000003</v>
      </c>
      <c r="AD1631" s="851">
        <f t="shared" si="301"/>
        <v>32000</v>
      </c>
      <c r="AE1631" s="852">
        <v>30081.54</v>
      </c>
      <c r="AF1631" s="853">
        <v>0</v>
      </c>
      <c r="AG1631" s="854">
        <f t="shared" si="304"/>
        <v>0</v>
      </c>
      <c r="AH1631" s="853">
        <v>0.08</v>
      </c>
      <c r="AI1631" s="855">
        <f t="shared" si="305"/>
        <v>9897163.5732480008</v>
      </c>
      <c r="AJ1631" s="845" t="s">
        <v>5491</v>
      </c>
      <c r="AK1631" s="857">
        <v>45910</v>
      </c>
      <c r="AL1631" s="843">
        <v>251084200</v>
      </c>
      <c r="AM1631" s="843" t="s">
        <v>5492</v>
      </c>
      <c r="AN1631" s="844" t="s">
        <v>5493</v>
      </c>
      <c r="AO1631" s="844" t="s">
        <v>141</v>
      </c>
      <c r="AP1631" s="841"/>
      <c r="AQ1631" s="841">
        <v>45916</v>
      </c>
      <c r="AR1631" s="841">
        <v>45961</v>
      </c>
      <c r="AS1631" s="842" t="s">
        <v>1145</v>
      </c>
      <c r="AT1631" s="842" t="s">
        <v>1235</v>
      </c>
      <c r="AU1631" s="842" t="s">
        <v>1565</v>
      </c>
      <c r="AV1631" s="845" t="s">
        <v>5494</v>
      </c>
      <c r="AW1631" s="861">
        <v>45962</v>
      </c>
      <c r="AX1631" s="862">
        <v>45965</v>
      </c>
      <c r="AY1631" s="843" t="s">
        <v>5520</v>
      </c>
      <c r="AZ1631" s="842" t="s">
        <v>4269</v>
      </c>
      <c r="BA1631" s="842" t="s">
        <v>120</v>
      </c>
      <c r="BB1631" s="863" t="s">
        <v>121</v>
      </c>
      <c r="BC1631" s="864">
        <v>45968</v>
      </c>
      <c r="BD1631" s="860" t="s">
        <v>5496</v>
      </c>
      <c r="BE1631" s="865" cm="1">
        <f t="array" ref="BE1631">IF(BD1631="","",AC1631/SUMPRODUCT(--(BD1631=$BD$4:$BD$12824),$AC$4:$AC$12824))</f>
        <v>2.8130311446153852E-2</v>
      </c>
      <c r="BF1631" s="458"/>
      <c r="BG1631" s="458"/>
      <c r="BH1631" s="458"/>
      <c r="BI1631" s="458"/>
      <c r="BJ1631" s="458"/>
      <c r="BK1631" s="458"/>
      <c r="BL1631" s="458"/>
      <c r="BM1631" s="458"/>
      <c r="BN1631" s="458"/>
      <c r="BO1631" s="866">
        <f>VLOOKUP(BD1631,$BD$4:$BN$12824,3,0)*BE1631</f>
        <v>837435.15220528329</v>
      </c>
      <c r="BP1631" s="866"/>
      <c r="BQ1631" s="866"/>
      <c r="BR1631" s="866">
        <f>VLOOKUP(BD1631,$BD$4:$BN$12824,6,0)*BE1631</f>
        <v>340902.80532250466</v>
      </c>
      <c r="BS1631" s="866">
        <f>VLOOKUP(BD1631,$BD$4:$BN$12824,7,0)*BE1631</f>
        <v>123134.78672023884</v>
      </c>
      <c r="BT1631" s="866"/>
      <c r="BU1631" s="866">
        <f>VLOOKUP(BD1631,$BD$4:$BN$12824,9,0)*BE1631</f>
        <v>14627.761952000003</v>
      </c>
      <c r="BV1631" s="867"/>
      <c r="BW1631" s="867">
        <f>VLOOKUP(BD1631,$BD$4:$BN$12824,11,0)*BE1631</f>
        <v>131561.29918011397</v>
      </c>
      <c r="BX1631" s="1146">
        <f t="shared" si="306"/>
        <v>1447661.8053801407</v>
      </c>
      <c r="BY1631" s="867">
        <f t="shared" si="309"/>
        <v>62581103.235490076</v>
      </c>
      <c r="BZ1631" s="867">
        <f t="shared" si="307"/>
        <v>125162206.47098015</v>
      </c>
      <c r="CA1631" s="867">
        <f>_xlfn.MAXIFS($BY$4:$BY$12824,$S$4:$S$12824,$S1631)</f>
        <v>62581103.235490076</v>
      </c>
      <c r="CB1631" s="1032"/>
      <c r="CF1631" s="946">
        <f t="shared" si="311"/>
        <v>131604480.00000001</v>
      </c>
    </row>
    <row r="1632" spans="2:84">
      <c r="B1632" s="839" t="s">
        <v>98</v>
      </c>
      <c r="C1632" s="839" t="s">
        <v>381</v>
      </c>
      <c r="D1632" s="839" t="s">
        <v>5486</v>
      </c>
      <c r="E1632" s="839" t="s">
        <v>5487</v>
      </c>
      <c r="F1632" s="841">
        <v>45784</v>
      </c>
      <c r="G1632" s="868" t="s">
        <v>383</v>
      </c>
      <c r="H1632" s="842" t="s">
        <v>134</v>
      </c>
      <c r="I1632" s="883"/>
      <c r="J1632" s="841"/>
      <c r="K1632" s="841"/>
      <c r="L1632" s="843" t="s">
        <v>106</v>
      </c>
      <c r="M1632" s="844" t="s">
        <v>107</v>
      </c>
      <c r="N1632" s="841"/>
      <c r="O1632" s="884" t="s">
        <v>150</v>
      </c>
      <c r="P1632" s="842" t="s">
        <v>5488</v>
      </c>
      <c r="Q1632" s="843"/>
      <c r="R1632" s="845" t="s">
        <v>1025</v>
      </c>
      <c r="S1632" s="1127" t="s">
        <v>1647</v>
      </c>
      <c r="T1632" s="885" t="s">
        <v>5521</v>
      </c>
      <c r="U1632" s="886">
        <v>2</v>
      </c>
      <c r="V1632" s="842" t="s">
        <v>3</v>
      </c>
      <c r="W1632" s="846">
        <v>4536</v>
      </c>
      <c r="X1632" s="847">
        <f t="shared" si="310"/>
        <v>9072</v>
      </c>
      <c r="Y1632" s="853">
        <v>0.52</v>
      </c>
      <c r="Z1632" s="849">
        <v>2177.2800000000002</v>
      </c>
      <c r="AA1632" s="849"/>
      <c r="AB1632" s="849">
        <f t="shared" si="302"/>
        <v>4354.5600000000004</v>
      </c>
      <c r="AC1632" s="850">
        <f t="shared" si="303"/>
        <v>4354.5600000000004</v>
      </c>
      <c r="AD1632" s="851">
        <f t="shared" si="301"/>
        <v>32000</v>
      </c>
      <c r="AE1632" s="852">
        <v>30081.54</v>
      </c>
      <c r="AF1632" s="853">
        <v>0</v>
      </c>
      <c r="AG1632" s="854">
        <f t="shared" si="304"/>
        <v>0</v>
      </c>
      <c r="AH1632" s="853">
        <v>0.08</v>
      </c>
      <c r="AI1632" s="855">
        <f t="shared" si="305"/>
        <v>10479349.665792001</v>
      </c>
      <c r="AJ1632" s="845" t="s">
        <v>5491</v>
      </c>
      <c r="AK1632" s="857">
        <v>45910</v>
      </c>
      <c r="AL1632" s="843">
        <v>251084200</v>
      </c>
      <c r="AM1632" s="843" t="s">
        <v>5492</v>
      </c>
      <c r="AN1632" s="844" t="s">
        <v>5493</v>
      </c>
      <c r="AO1632" s="844" t="s">
        <v>141</v>
      </c>
      <c r="AP1632" s="841"/>
      <c r="AQ1632" s="841">
        <v>45916</v>
      </c>
      <c r="AR1632" s="841">
        <v>45961</v>
      </c>
      <c r="AS1632" s="842" t="s">
        <v>1145</v>
      </c>
      <c r="AT1632" s="842" t="s">
        <v>1235</v>
      </c>
      <c r="AU1632" s="842" t="s">
        <v>1565</v>
      </c>
      <c r="AV1632" s="845" t="s">
        <v>5494</v>
      </c>
      <c r="AW1632" s="861">
        <v>45962</v>
      </c>
      <c r="AX1632" s="862">
        <v>45965</v>
      </c>
      <c r="AY1632" s="843" t="s">
        <v>5522</v>
      </c>
      <c r="AZ1632" s="842">
        <v>94038990</v>
      </c>
      <c r="BA1632" s="842" t="s">
        <v>120</v>
      </c>
      <c r="BB1632" s="863" t="s">
        <v>121</v>
      </c>
      <c r="BC1632" s="864">
        <v>45968</v>
      </c>
      <c r="BD1632" s="860" t="s">
        <v>5496</v>
      </c>
      <c r="BE1632" s="865" cm="1">
        <f t="array" ref="BE1632">IF(BD1632="","",AC1632/SUMPRODUCT(--(BD1632=$BD$4:$BD$12824),$AC$4:$AC$12824))</f>
        <v>2.9785035648868786E-2</v>
      </c>
      <c r="BF1632" s="458"/>
      <c r="BG1632" s="458"/>
      <c r="BH1632" s="458"/>
      <c r="BI1632" s="458"/>
      <c r="BJ1632" s="458"/>
      <c r="BK1632" s="458"/>
      <c r="BL1632" s="458"/>
      <c r="BM1632" s="458"/>
      <c r="BN1632" s="458"/>
      <c r="BO1632" s="866">
        <f>VLOOKUP(BD1632,$BD$4:$BN$12824,3,0)*BE1632</f>
        <v>886696.04351147648</v>
      </c>
      <c r="BP1632" s="866"/>
      <c r="BQ1632" s="866"/>
      <c r="BR1632" s="866">
        <f>VLOOKUP(BD1632,$BD$4:$BN$12824,6,0)*BE1632</f>
        <v>360955.91151794617</v>
      </c>
      <c r="BS1632" s="866">
        <f>VLOOKUP(BD1632,$BD$4:$BN$12824,7,0)*BE1632</f>
        <v>130378.00946848821</v>
      </c>
      <c r="BT1632" s="866"/>
      <c r="BU1632" s="866">
        <f>VLOOKUP(BD1632,$BD$4:$BN$12824,9,0)*BE1632</f>
        <v>15488.218537411769</v>
      </c>
      <c r="BV1632" s="867"/>
      <c r="BW1632" s="867">
        <f>VLOOKUP(BD1632,$BD$4:$BN$12824,11,0)*BE1632</f>
        <v>139300.1991318854</v>
      </c>
      <c r="BX1632" s="1146">
        <f t="shared" si="306"/>
        <v>1532818.3821672078</v>
      </c>
      <c r="BY1632" s="867">
        <f t="shared" si="309"/>
        <v>66262344.602283612</v>
      </c>
      <c r="BZ1632" s="867">
        <f t="shared" si="307"/>
        <v>132524689.20456722</v>
      </c>
      <c r="CA1632" s="867">
        <f>_xlfn.MAXIFS($BY$4:$BY$12824,$S$4:$S$12824,$S1632)</f>
        <v>66262344.602283612</v>
      </c>
      <c r="CB1632" s="1032"/>
      <c r="CF1632" s="946">
        <f t="shared" si="311"/>
        <v>139345920</v>
      </c>
    </row>
    <row r="1633" spans="2:84">
      <c r="B1633" s="839" t="s">
        <v>98</v>
      </c>
      <c r="C1633" s="839" t="s">
        <v>381</v>
      </c>
      <c r="D1633" s="839" t="s">
        <v>5486</v>
      </c>
      <c r="E1633" s="839" t="s">
        <v>5487</v>
      </c>
      <c r="F1633" s="841">
        <v>45784</v>
      </c>
      <c r="G1633" s="868" t="s">
        <v>383</v>
      </c>
      <c r="H1633" s="842" t="s">
        <v>134</v>
      </c>
      <c r="I1633" s="883"/>
      <c r="J1633" s="841"/>
      <c r="K1633" s="841"/>
      <c r="L1633" s="843" t="s">
        <v>106</v>
      </c>
      <c r="M1633" s="844" t="s">
        <v>107</v>
      </c>
      <c r="N1633" s="841"/>
      <c r="O1633" s="884" t="s">
        <v>150</v>
      </c>
      <c r="P1633" s="842" t="s">
        <v>5523</v>
      </c>
      <c r="Q1633" s="843"/>
      <c r="R1633" s="845">
        <v>3107</v>
      </c>
      <c r="S1633" s="1127" t="s">
        <v>1661</v>
      </c>
      <c r="T1633" s="885" t="s">
        <v>5524</v>
      </c>
      <c r="U1633" s="886">
        <v>36</v>
      </c>
      <c r="V1633" s="842" t="s">
        <v>3</v>
      </c>
      <c r="W1633" s="846">
        <v>394</v>
      </c>
      <c r="X1633" s="847">
        <f t="shared" si="310"/>
        <v>14184</v>
      </c>
      <c r="Y1633" s="853">
        <v>0.52</v>
      </c>
      <c r="Z1633" s="849">
        <v>189.12</v>
      </c>
      <c r="AA1633" s="849"/>
      <c r="AB1633" s="849">
        <f t="shared" si="302"/>
        <v>6808.32</v>
      </c>
      <c r="AC1633" s="850">
        <f t="shared" si="303"/>
        <v>6808.32</v>
      </c>
      <c r="AD1633" s="851">
        <f t="shared" si="301"/>
        <v>32000</v>
      </c>
      <c r="AE1633" s="852">
        <v>30081.54</v>
      </c>
      <c r="AF1633" s="853">
        <v>0</v>
      </c>
      <c r="AG1633" s="854">
        <f t="shared" si="304"/>
        <v>0</v>
      </c>
      <c r="AH1633" s="853">
        <v>0.08</v>
      </c>
      <c r="AI1633" s="855">
        <f t="shared" si="305"/>
        <v>16384380.033024</v>
      </c>
      <c r="AJ1633" s="845" t="s">
        <v>5491</v>
      </c>
      <c r="AK1633" s="857">
        <v>45910</v>
      </c>
      <c r="AL1633" s="843">
        <v>251084200</v>
      </c>
      <c r="AM1633" s="843" t="s">
        <v>5492</v>
      </c>
      <c r="AN1633" s="844" t="s">
        <v>5493</v>
      </c>
      <c r="AO1633" s="844" t="s">
        <v>141</v>
      </c>
      <c r="AP1633" s="841"/>
      <c r="AQ1633" s="841">
        <v>45916</v>
      </c>
      <c r="AR1633" s="841">
        <v>45961</v>
      </c>
      <c r="AS1633" s="842" t="s">
        <v>1145</v>
      </c>
      <c r="AT1633" s="842" t="s">
        <v>1235</v>
      </c>
      <c r="AU1633" s="842" t="s">
        <v>1565</v>
      </c>
      <c r="AV1633" s="845" t="s">
        <v>5494</v>
      </c>
      <c r="AW1633" s="861">
        <v>45962</v>
      </c>
      <c r="AX1633" s="862">
        <v>45965</v>
      </c>
      <c r="AY1633" s="843" t="s">
        <v>5525</v>
      </c>
      <c r="AZ1633" s="842">
        <v>94017990</v>
      </c>
      <c r="BA1633" s="842" t="s">
        <v>120</v>
      </c>
      <c r="BB1633" s="863" t="s">
        <v>121</v>
      </c>
      <c r="BC1633" s="864">
        <v>45968</v>
      </c>
      <c r="BD1633" s="860" t="s">
        <v>5496</v>
      </c>
      <c r="BE1633" s="865" cm="1">
        <f t="array" ref="BE1633">IF(BD1633="","",AC1633/SUMPRODUCT(--(BD1633=$BD$4:$BD$12824),$AC$4:$AC$12824))</f>
        <v>4.6568666847834526E-2</v>
      </c>
      <c r="BF1633" s="458"/>
      <c r="BG1633" s="458"/>
      <c r="BH1633" s="458"/>
      <c r="BI1633" s="458"/>
      <c r="BJ1633" s="458"/>
      <c r="BK1633" s="458"/>
      <c r="BL1633" s="458"/>
      <c r="BM1633" s="458"/>
      <c r="BN1633" s="458"/>
      <c r="BO1633" s="866">
        <f>VLOOKUP(BD1633,$BD$4:$BN$12824,3,0)*BE1633</f>
        <v>1386342.2267600067</v>
      </c>
      <c r="BP1633" s="866"/>
      <c r="BQ1633" s="866"/>
      <c r="BR1633" s="866">
        <f>VLOOKUP(BD1633,$BD$4:$BN$12824,6,0)*BE1633</f>
        <v>564351.70292885229</v>
      </c>
      <c r="BS1633" s="866">
        <f>VLOOKUP(BD1633,$BD$4:$BN$12824,7,0)*BE1633</f>
        <v>203844.9830578744</v>
      </c>
      <c r="BT1633" s="866"/>
      <c r="BU1633" s="866">
        <f>VLOOKUP(BD1633,$BD$4:$BN$12824,9,0)*BE1633</f>
        <v>24215.706760873953</v>
      </c>
      <c r="BV1633" s="867"/>
      <c r="BW1633" s="867">
        <f>VLOOKUP(BD1633,$BD$4:$BN$12824,11,0)*BE1633</f>
        <v>217794.75578556684</v>
      </c>
      <c r="BX1633" s="1146">
        <f t="shared" si="306"/>
        <v>2396549.3752931743</v>
      </c>
      <c r="BY1633" s="867">
        <f t="shared" si="309"/>
        <v>5755591.6607803656</v>
      </c>
      <c r="BZ1633" s="867">
        <f t="shared" si="307"/>
        <v>207201299.78809315</v>
      </c>
      <c r="CA1633" s="867">
        <f>_xlfn.MAXIFS($BY$4:$BY$12824,$S$4:$S$12824,$S1633)</f>
        <v>5755591.6607803656</v>
      </c>
      <c r="CB1633" s="944">
        <v>17500000</v>
      </c>
      <c r="CC1633" s="946">
        <v>11500000</v>
      </c>
      <c r="CE1633" s="997">
        <f t="shared" ref="CE1633:CE1642" si="312">(CC1633/1.08-CA1633)/(CC1633/1.08)</f>
        <v>0.4594748701180178</v>
      </c>
      <c r="CF1633" s="946">
        <f t="shared" si="311"/>
        <v>217866240</v>
      </c>
    </row>
    <row r="1634" spans="2:84">
      <c r="B1634" s="839" t="s">
        <v>98</v>
      </c>
      <c r="C1634" s="839" t="s">
        <v>381</v>
      </c>
      <c r="D1634" s="839" t="s">
        <v>5486</v>
      </c>
      <c r="E1634" s="839" t="s">
        <v>5487</v>
      </c>
      <c r="F1634" s="841">
        <v>45784</v>
      </c>
      <c r="G1634" s="868" t="s">
        <v>383</v>
      </c>
      <c r="H1634" s="842" t="s">
        <v>134</v>
      </c>
      <c r="I1634" s="883"/>
      <c r="J1634" s="841"/>
      <c r="K1634" s="841"/>
      <c r="L1634" s="843" t="s">
        <v>106</v>
      </c>
      <c r="M1634" s="844" t="s">
        <v>107</v>
      </c>
      <c r="N1634" s="841"/>
      <c r="O1634" s="884" t="s">
        <v>150</v>
      </c>
      <c r="P1634" s="842" t="s">
        <v>5523</v>
      </c>
      <c r="Q1634" s="843"/>
      <c r="R1634" s="845">
        <v>3107</v>
      </c>
      <c r="S1634" s="1127" t="s">
        <v>1677</v>
      </c>
      <c r="T1634" s="885" t="s">
        <v>5526</v>
      </c>
      <c r="U1634" s="886">
        <v>36</v>
      </c>
      <c r="V1634" s="842" t="s">
        <v>3</v>
      </c>
      <c r="W1634" s="846">
        <v>394</v>
      </c>
      <c r="X1634" s="847">
        <f t="shared" si="310"/>
        <v>14184</v>
      </c>
      <c r="Y1634" s="853">
        <v>0.52</v>
      </c>
      <c r="Z1634" s="849">
        <v>189.12</v>
      </c>
      <c r="AA1634" s="849"/>
      <c r="AB1634" s="849">
        <f t="shared" si="302"/>
        <v>6808.32</v>
      </c>
      <c r="AC1634" s="850">
        <f t="shared" si="303"/>
        <v>6808.32</v>
      </c>
      <c r="AD1634" s="851">
        <f t="shared" si="301"/>
        <v>32000</v>
      </c>
      <c r="AE1634" s="852">
        <v>30081.54</v>
      </c>
      <c r="AF1634" s="853">
        <v>0</v>
      </c>
      <c r="AG1634" s="854">
        <f t="shared" si="304"/>
        <v>0</v>
      </c>
      <c r="AH1634" s="853">
        <v>0.08</v>
      </c>
      <c r="AI1634" s="855">
        <f t="shared" si="305"/>
        <v>16384380.033024</v>
      </c>
      <c r="AJ1634" s="845" t="s">
        <v>5491</v>
      </c>
      <c r="AK1634" s="857">
        <v>45910</v>
      </c>
      <c r="AL1634" s="843">
        <v>251084200</v>
      </c>
      <c r="AM1634" s="843" t="s">
        <v>5492</v>
      </c>
      <c r="AN1634" s="844" t="s">
        <v>5493</v>
      </c>
      <c r="AO1634" s="844" t="s">
        <v>141</v>
      </c>
      <c r="AP1634" s="841"/>
      <c r="AQ1634" s="841">
        <v>45916</v>
      </c>
      <c r="AR1634" s="841">
        <v>45961</v>
      </c>
      <c r="AS1634" s="842" t="s">
        <v>1145</v>
      </c>
      <c r="AT1634" s="842" t="s">
        <v>1235</v>
      </c>
      <c r="AU1634" s="842" t="s">
        <v>1565</v>
      </c>
      <c r="AV1634" s="845" t="s">
        <v>5494</v>
      </c>
      <c r="AW1634" s="861">
        <v>45962</v>
      </c>
      <c r="AX1634" s="862">
        <v>45965</v>
      </c>
      <c r="AY1634" s="843" t="s">
        <v>5525</v>
      </c>
      <c r="AZ1634" s="842">
        <v>94017990</v>
      </c>
      <c r="BA1634" s="842" t="s">
        <v>120</v>
      </c>
      <c r="BB1634" s="863" t="s">
        <v>121</v>
      </c>
      <c r="BC1634" s="864">
        <v>45968</v>
      </c>
      <c r="BD1634" s="860" t="s">
        <v>5496</v>
      </c>
      <c r="BE1634" s="865" cm="1">
        <f t="array" ref="BE1634">IF(BD1634="","",AC1634/SUMPRODUCT(--(BD1634=$BD$4:$BD$12824),$AC$4:$AC$12824))</f>
        <v>4.6568666847834526E-2</v>
      </c>
      <c r="BF1634" s="458"/>
      <c r="BG1634" s="458"/>
      <c r="BH1634" s="458"/>
      <c r="BI1634" s="458"/>
      <c r="BJ1634" s="458"/>
      <c r="BK1634" s="458"/>
      <c r="BL1634" s="458"/>
      <c r="BM1634" s="458"/>
      <c r="BN1634" s="458"/>
      <c r="BO1634" s="866">
        <f>VLOOKUP(BD1634,$BD$4:$BN$12824,3,0)*BE1634</f>
        <v>1386342.2267600067</v>
      </c>
      <c r="BP1634" s="866"/>
      <c r="BQ1634" s="866"/>
      <c r="BR1634" s="866">
        <f>VLOOKUP(BD1634,$BD$4:$BN$12824,6,0)*BE1634</f>
        <v>564351.70292885229</v>
      </c>
      <c r="BS1634" s="866">
        <f>VLOOKUP(BD1634,$BD$4:$BN$12824,7,0)*BE1634</f>
        <v>203844.9830578744</v>
      </c>
      <c r="BT1634" s="866"/>
      <c r="BU1634" s="866">
        <f>VLOOKUP(BD1634,$BD$4:$BN$12824,9,0)*BE1634</f>
        <v>24215.706760873953</v>
      </c>
      <c r="BV1634" s="867"/>
      <c r="BW1634" s="867">
        <f>VLOOKUP(BD1634,$BD$4:$BN$12824,11,0)*BE1634</f>
        <v>217794.75578556684</v>
      </c>
      <c r="BX1634" s="1146">
        <f t="shared" si="306"/>
        <v>2396549.3752931743</v>
      </c>
      <c r="BY1634" s="867">
        <f t="shared" si="309"/>
        <v>5755591.6607803656</v>
      </c>
      <c r="BZ1634" s="867">
        <f t="shared" si="307"/>
        <v>207201299.78809315</v>
      </c>
      <c r="CA1634" s="867">
        <f>_xlfn.MAXIFS($BY$4:$BY$12824,$S$4:$S$12824,$S1634)</f>
        <v>5755591.6607803656</v>
      </c>
      <c r="CB1634" s="944">
        <v>17500000</v>
      </c>
      <c r="CC1634" s="946">
        <v>11500000</v>
      </c>
      <c r="CE1634" s="997">
        <f t="shared" si="312"/>
        <v>0.4594748701180178</v>
      </c>
      <c r="CF1634" s="946">
        <f t="shared" si="311"/>
        <v>217866240</v>
      </c>
    </row>
    <row r="1635" spans="2:84">
      <c r="B1635" s="839" t="s">
        <v>98</v>
      </c>
      <c r="C1635" s="839" t="s">
        <v>381</v>
      </c>
      <c r="D1635" s="839" t="s">
        <v>5486</v>
      </c>
      <c r="E1635" s="839" t="s">
        <v>5487</v>
      </c>
      <c r="F1635" s="841">
        <v>45784</v>
      </c>
      <c r="G1635" s="868" t="s">
        <v>383</v>
      </c>
      <c r="H1635" s="842" t="s">
        <v>134</v>
      </c>
      <c r="I1635" s="883"/>
      <c r="J1635" s="841"/>
      <c r="K1635" s="841"/>
      <c r="L1635" s="843" t="s">
        <v>106</v>
      </c>
      <c r="M1635" s="844" t="s">
        <v>107</v>
      </c>
      <c r="N1635" s="841"/>
      <c r="O1635" s="884" t="s">
        <v>150</v>
      </c>
      <c r="P1635" s="842" t="s">
        <v>5523</v>
      </c>
      <c r="Q1635" s="843"/>
      <c r="R1635" s="845">
        <v>3107</v>
      </c>
      <c r="S1635" s="1127" t="s">
        <v>1689</v>
      </c>
      <c r="T1635" s="885" t="s">
        <v>5527</v>
      </c>
      <c r="U1635" s="886">
        <v>12</v>
      </c>
      <c r="V1635" s="842" t="s">
        <v>3</v>
      </c>
      <c r="W1635" s="846">
        <v>394</v>
      </c>
      <c r="X1635" s="847">
        <f t="shared" si="310"/>
        <v>4728</v>
      </c>
      <c r="Y1635" s="853">
        <v>0.52</v>
      </c>
      <c r="Z1635" s="849">
        <v>189.12</v>
      </c>
      <c r="AA1635" s="849"/>
      <c r="AB1635" s="849">
        <f t="shared" si="302"/>
        <v>2269.44</v>
      </c>
      <c r="AC1635" s="850">
        <f t="shared" si="303"/>
        <v>2269.44</v>
      </c>
      <c r="AD1635" s="851">
        <f t="shared" si="301"/>
        <v>32000</v>
      </c>
      <c r="AE1635" s="852">
        <v>30081.54</v>
      </c>
      <c r="AF1635" s="853">
        <v>0</v>
      </c>
      <c r="AG1635" s="854">
        <f t="shared" si="304"/>
        <v>0</v>
      </c>
      <c r="AH1635" s="853">
        <v>0.08</v>
      </c>
      <c r="AI1635" s="855">
        <f t="shared" si="305"/>
        <v>5461460.0110080009</v>
      </c>
      <c r="AJ1635" s="845" t="s">
        <v>5491</v>
      </c>
      <c r="AK1635" s="857">
        <v>45910</v>
      </c>
      <c r="AL1635" s="843">
        <v>251084200</v>
      </c>
      <c r="AM1635" s="843" t="s">
        <v>5492</v>
      </c>
      <c r="AN1635" s="844" t="s">
        <v>5493</v>
      </c>
      <c r="AO1635" s="844" t="s">
        <v>141</v>
      </c>
      <c r="AP1635" s="841"/>
      <c r="AQ1635" s="841">
        <v>45916</v>
      </c>
      <c r="AR1635" s="841">
        <v>45961</v>
      </c>
      <c r="AS1635" s="842" t="s">
        <v>1145</v>
      </c>
      <c r="AT1635" s="842" t="s">
        <v>1235</v>
      </c>
      <c r="AU1635" s="842" t="s">
        <v>1565</v>
      </c>
      <c r="AV1635" s="845" t="s">
        <v>5494</v>
      </c>
      <c r="AW1635" s="861">
        <v>45962</v>
      </c>
      <c r="AX1635" s="862">
        <v>45965</v>
      </c>
      <c r="AY1635" s="843" t="s">
        <v>5528</v>
      </c>
      <c r="AZ1635" s="842">
        <v>94017990</v>
      </c>
      <c r="BA1635" s="842" t="s">
        <v>120</v>
      </c>
      <c r="BB1635" s="863" t="s">
        <v>121</v>
      </c>
      <c r="BC1635" s="864">
        <v>45968</v>
      </c>
      <c r="BD1635" s="860" t="s">
        <v>5496</v>
      </c>
      <c r="BE1635" s="865" cm="1">
        <f t="array" ref="BE1635">IF(BD1635="","",AC1635/SUMPRODUCT(--(BD1635=$BD$4:$BD$12824),$AC$4:$AC$12824))</f>
        <v>1.5522888949278175E-2</v>
      </c>
      <c r="BF1635" s="458"/>
      <c r="BG1635" s="458"/>
      <c r="BH1635" s="458"/>
      <c r="BI1635" s="458"/>
      <c r="BJ1635" s="458"/>
      <c r="BK1635" s="458"/>
      <c r="BL1635" s="458"/>
      <c r="BM1635" s="458"/>
      <c r="BN1635" s="458"/>
      <c r="BO1635" s="866">
        <f>VLOOKUP(BD1635,$BD$4:$BN$12824,3,0)*BE1635</f>
        <v>462114.07558666891</v>
      </c>
      <c r="BP1635" s="866"/>
      <c r="BQ1635" s="866"/>
      <c r="BR1635" s="866">
        <f>VLOOKUP(BD1635,$BD$4:$BN$12824,6,0)*BE1635</f>
        <v>188117.23430961743</v>
      </c>
      <c r="BS1635" s="866">
        <f>VLOOKUP(BD1635,$BD$4:$BN$12824,7,0)*BE1635</f>
        <v>67948.327685958124</v>
      </c>
      <c r="BT1635" s="866"/>
      <c r="BU1635" s="866">
        <f>VLOOKUP(BD1635,$BD$4:$BN$12824,9,0)*BE1635</f>
        <v>8071.9022536246512</v>
      </c>
      <c r="BV1635" s="867"/>
      <c r="BW1635" s="867">
        <f>VLOOKUP(BD1635,$BD$4:$BN$12824,11,0)*BE1635</f>
        <v>72598.251928522281</v>
      </c>
      <c r="BX1635" s="1146">
        <f t="shared" si="306"/>
        <v>798849.79176439135</v>
      </c>
      <c r="BY1635" s="867">
        <f t="shared" si="309"/>
        <v>5755591.6607803665</v>
      </c>
      <c r="BZ1635" s="867">
        <f t="shared" si="307"/>
        <v>69067099.929364398</v>
      </c>
      <c r="CA1635" s="867">
        <f>_xlfn.MAXIFS($BY$4:$BY$12824,$S$4:$S$12824,$S1635)</f>
        <v>5755591.6607803665</v>
      </c>
      <c r="CB1635" s="944">
        <v>17500000</v>
      </c>
      <c r="CC1635" s="946">
        <v>11500000</v>
      </c>
      <c r="CE1635" s="997">
        <f t="shared" si="312"/>
        <v>0.45947487011801774</v>
      </c>
      <c r="CF1635" s="946">
        <f t="shared" si="311"/>
        <v>72622080</v>
      </c>
    </row>
    <row r="1636" spans="2:84">
      <c r="B1636" s="839" t="s">
        <v>98</v>
      </c>
      <c r="C1636" s="839" t="s">
        <v>381</v>
      </c>
      <c r="D1636" s="839" t="s">
        <v>5486</v>
      </c>
      <c r="E1636" s="839" t="s">
        <v>5487</v>
      </c>
      <c r="F1636" s="841">
        <v>45784</v>
      </c>
      <c r="G1636" s="868" t="s">
        <v>383</v>
      </c>
      <c r="H1636" s="842" t="s">
        <v>134</v>
      </c>
      <c r="I1636" s="883"/>
      <c r="J1636" s="841"/>
      <c r="K1636" s="841"/>
      <c r="L1636" s="843" t="s">
        <v>106</v>
      </c>
      <c r="M1636" s="844" t="s">
        <v>107</v>
      </c>
      <c r="N1636" s="841"/>
      <c r="O1636" s="884" t="s">
        <v>150</v>
      </c>
      <c r="P1636" s="842" t="s">
        <v>5523</v>
      </c>
      <c r="Q1636" s="843"/>
      <c r="R1636" s="845">
        <v>3107</v>
      </c>
      <c r="S1636" s="1127" t="s">
        <v>1687</v>
      </c>
      <c r="T1636" s="885" t="s">
        <v>5529</v>
      </c>
      <c r="U1636" s="886">
        <v>12</v>
      </c>
      <c r="V1636" s="842" t="s">
        <v>3</v>
      </c>
      <c r="W1636" s="846">
        <v>394</v>
      </c>
      <c r="X1636" s="847">
        <f t="shared" si="310"/>
        <v>4728</v>
      </c>
      <c r="Y1636" s="853">
        <v>0.52</v>
      </c>
      <c r="Z1636" s="849">
        <v>189.12</v>
      </c>
      <c r="AA1636" s="849"/>
      <c r="AB1636" s="849">
        <f t="shared" si="302"/>
        <v>2269.44</v>
      </c>
      <c r="AC1636" s="850">
        <f t="shared" si="303"/>
        <v>2269.44</v>
      </c>
      <c r="AD1636" s="851">
        <f t="shared" si="301"/>
        <v>32000</v>
      </c>
      <c r="AE1636" s="852">
        <v>30081.54</v>
      </c>
      <c r="AF1636" s="853">
        <v>0</v>
      </c>
      <c r="AG1636" s="854">
        <f t="shared" si="304"/>
        <v>0</v>
      </c>
      <c r="AH1636" s="853">
        <v>0.08</v>
      </c>
      <c r="AI1636" s="855">
        <f t="shared" si="305"/>
        <v>5461460.0110080009</v>
      </c>
      <c r="AJ1636" s="845" t="s">
        <v>5491</v>
      </c>
      <c r="AK1636" s="857">
        <v>45910</v>
      </c>
      <c r="AL1636" s="843">
        <v>251084200</v>
      </c>
      <c r="AM1636" s="843" t="s">
        <v>5492</v>
      </c>
      <c r="AN1636" s="844" t="s">
        <v>5493</v>
      </c>
      <c r="AO1636" s="844" t="s">
        <v>141</v>
      </c>
      <c r="AP1636" s="841"/>
      <c r="AQ1636" s="841">
        <v>45916</v>
      </c>
      <c r="AR1636" s="841">
        <v>45961</v>
      </c>
      <c r="AS1636" s="842" t="s">
        <v>1145</v>
      </c>
      <c r="AT1636" s="842" t="s">
        <v>1235</v>
      </c>
      <c r="AU1636" s="842" t="s">
        <v>1565</v>
      </c>
      <c r="AV1636" s="845" t="s">
        <v>5494</v>
      </c>
      <c r="AW1636" s="861">
        <v>45962</v>
      </c>
      <c r="AX1636" s="862">
        <v>45965</v>
      </c>
      <c r="AY1636" s="843" t="s">
        <v>5530</v>
      </c>
      <c r="AZ1636" s="842">
        <v>94017990</v>
      </c>
      <c r="BA1636" s="842" t="s">
        <v>120</v>
      </c>
      <c r="BB1636" s="863" t="s">
        <v>121</v>
      </c>
      <c r="BC1636" s="864">
        <v>45968</v>
      </c>
      <c r="BD1636" s="860" t="s">
        <v>5496</v>
      </c>
      <c r="BE1636" s="865" cm="1">
        <f t="array" ref="BE1636">IF(BD1636="","",AC1636/SUMPRODUCT(--(BD1636=$BD$4:$BD$12824),$AC$4:$AC$12824))</f>
        <v>1.5522888949278175E-2</v>
      </c>
      <c r="BF1636" s="458"/>
      <c r="BG1636" s="458"/>
      <c r="BH1636" s="458"/>
      <c r="BI1636" s="458"/>
      <c r="BJ1636" s="458"/>
      <c r="BK1636" s="458"/>
      <c r="BL1636" s="458"/>
      <c r="BM1636" s="458"/>
      <c r="BN1636" s="458"/>
      <c r="BO1636" s="866">
        <f>VLOOKUP(BD1636,$BD$4:$BN$12824,3,0)*BE1636</f>
        <v>462114.07558666891</v>
      </c>
      <c r="BP1636" s="866"/>
      <c r="BQ1636" s="866"/>
      <c r="BR1636" s="866">
        <f>VLOOKUP(BD1636,$BD$4:$BN$12824,6,0)*BE1636</f>
        <v>188117.23430961743</v>
      </c>
      <c r="BS1636" s="866">
        <f>VLOOKUP(BD1636,$BD$4:$BN$12824,7,0)*BE1636</f>
        <v>67948.327685958124</v>
      </c>
      <c r="BT1636" s="866"/>
      <c r="BU1636" s="866">
        <f>VLOOKUP(BD1636,$BD$4:$BN$12824,9,0)*BE1636</f>
        <v>8071.9022536246512</v>
      </c>
      <c r="BV1636" s="867"/>
      <c r="BW1636" s="867">
        <f>VLOOKUP(BD1636,$BD$4:$BN$12824,11,0)*BE1636</f>
        <v>72598.251928522281</v>
      </c>
      <c r="BX1636" s="1146">
        <f t="shared" si="306"/>
        <v>798849.79176439135</v>
      </c>
      <c r="BY1636" s="867">
        <f t="shared" si="309"/>
        <v>5755591.6607803665</v>
      </c>
      <c r="BZ1636" s="867">
        <f t="shared" si="307"/>
        <v>69067099.929364398</v>
      </c>
      <c r="CA1636" s="867">
        <f>_xlfn.MAXIFS($BY$4:$BY$12824,$S$4:$S$12824,$S1636)</f>
        <v>5755591.6607803665</v>
      </c>
      <c r="CB1636" s="944">
        <v>17500000</v>
      </c>
      <c r="CC1636" s="946">
        <v>11500000</v>
      </c>
      <c r="CE1636" s="997">
        <f t="shared" si="312"/>
        <v>0.45947487011801774</v>
      </c>
      <c r="CF1636" s="946">
        <f t="shared" si="311"/>
        <v>72622080</v>
      </c>
    </row>
    <row r="1637" spans="2:84">
      <c r="B1637" s="839" t="s">
        <v>98</v>
      </c>
      <c r="C1637" s="839" t="s">
        <v>381</v>
      </c>
      <c r="D1637" s="839" t="s">
        <v>5486</v>
      </c>
      <c r="E1637" s="839" t="s">
        <v>5487</v>
      </c>
      <c r="F1637" s="841">
        <v>45784</v>
      </c>
      <c r="G1637" s="868" t="s">
        <v>383</v>
      </c>
      <c r="H1637" s="842" t="s">
        <v>134</v>
      </c>
      <c r="I1637" s="883"/>
      <c r="J1637" s="841"/>
      <c r="K1637" s="841"/>
      <c r="L1637" s="843" t="s">
        <v>106</v>
      </c>
      <c r="M1637" s="844" t="s">
        <v>107</v>
      </c>
      <c r="N1637" s="841"/>
      <c r="O1637" s="884" t="s">
        <v>150</v>
      </c>
      <c r="P1637" s="842" t="s">
        <v>5523</v>
      </c>
      <c r="Q1637" s="843"/>
      <c r="R1637" s="845">
        <v>3107</v>
      </c>
      <c r="S1637" s="1127" t="s">
        <v>5531</v>
      </c>
      <c r="T1637" s="885" t="s">
        <v>5532</v>
      </c>
      <c r="U1637" s="886">
        <v>6</v>
      </c>
      <c r="V1637" s="842" t="s">
        <v>3</v>
      </c>
      <c r="W1637" s="846">
        <v>394</v>
      </c>
      <c r="X1637" s="847">
        <f t="shared" si="310"/>
        <v>2364</v>
      </c>
      <c r="Y1637" s="853">
        <v>0.52</v>
      </c>
      <c r="Z1637" s="849">
        <v>189.12</v>
      </c>
      <c r="AA1637" s="849"/>
      <c r="AB1637" s="849">
        <f t="shared" si="302"/>
        <v>1134.72</v>
      </c>
      <c r="AC1637" s="850">
        <f t="shared" si="303"/>
        <v>1134.72</v>
      </c>
      <c r="AD1637" s="851">
        <f t="shared" si="301"/>
        <v>32000</v>
      </c>
      <c r="AE1637" s="852">
        <v>30081.54</v>
      </c>
      <c r="AF1637" s="853">
        <v>0</v>
      </c>
      <c r="AG1637" s="854">
        <f t="shared" si="304"/>
        <v>0</v>
      </c>
      <c r="AH1637" s="853">
        <v>0.08</v>
      </c>
      <c r="AI1637" s="855">
        <f t="shared" si="305"/>
        <v>2730730.0055040005</v>
      </c>
      <c r="AJ1637" s="845" t="s">
        <v>5491</v>
      </c>
      <c r="AK1637" s="857">
        <v>45910</v>
      </c>
      <c r="AL1637" s="843">
        <v>251084200</v>
      </c>
      <c r="AM1637" s="843" t="s">
        <v>5492</v>
      </c>
      <c r="AN1637" s="844" t="s">
        <v>5493</v>
      </c>
      <c r="AO1637" s="844" t="s">
        <v>141</v>
      </c>
      <c r="AP1637" s="841"/>
      <c r="AQ1637" s="841">
        <v>45916</v>
      </c>
      <c r="AR1637" s="841">
        <v>45961</v>
      </c>
      <c r="AS1637" s="842" t="s">
        <v>1145</v>
      </c>
      <c r="AT1637" s="842" t="s">
        <v>1235</v>
      </c>
      <c r="AU1637" s="842" t="s">
        <v>1565</v>
      </c>
      <c r="AV1637" s="845" t="s">
        <v>5494</v>
      </c>
      <c r="AW1637" s="861">
        <v>45962</v>
      </c>
      <c r="AX1637" s="862">
        <v>45965</v>
      </c>
      <c r="AY1637" s="843" t="s">
        <v>5525</v>
      </c>
      <c r="AZ1637" s="842">
        <v>94017990</v>
      </c>
      <c r="BA1637" s="842" t="s">
        <v>120</v>
      </c>
      <c r="BB1637" s="863" t="s">
        <v>121</v>
      </c>
      <c r="BC1637" s="864">
        <v>45968</v>
      </c>
      <c r="BD1637" s="860" t="s">
        <v>5496</v>
      </c>
      <c r="BE1637" s="865" cm="1">
        <f t="array" ref="BE1637">IF(BD1637="","",AC1637/SUMPRODUCT(--(BD1637=$BD$4:$BD$12824),$AC$4:$AC$12824))</f>
        <v>7.7614444746390877E-3</v>
      </c>
      <c r="BF1637" s="458"/>
      <c r="BG1637" s="458"/>
      <c r="BH1637" s="458"/>
      <c r="BI1637" s="458"/>
      <c r="BJ1637" s="458"/>
      <c r="BK1637" s="458"/>
      <c r="BL1637" s="458"/>
      <c r="BM1637" s="458"/>
      <c r="BN1637" s="458"/>
      <c r="BO1637" s="866">
        <f>VLOOKUP(BD1637,$BD$4:$BN$12824,3,0)*BE1637</f>
        <v>231057.03779333446</v>
      </c>
      <c r="BP1637" s="866"/>
      <c r="BQ1637" s="866"/>
      <c r="BR1637" s="866">
        <f>VLOOKUP(BD1637,$BD$4:$BN$12824,6,0)*BE1637</f>
        <v>94058.617154808715</v>
      </c>
      <c r="BS1637" s="866">
        <f>VLOOKUP(BD1637,$BD$4:$BN$12824,7,0)*BE1637</f>
        <v>33974.163842979062</v>
      </c>
      <c r="BT1637" s="866"/>
      <c r="BU1637" s="866">
        <f>VLOOKUP(BD1637,$BD$4:$BN$12824,9,0)*BE1637</f>
        <v>4035.9511268123256</v>
      </c>
      <c r="BV1637" s="867"/>
      <c r="BW1637" s="867">
        <f>VLOOKUP(BD1637,$BD$4:$BN$12824,11,0)*BE1637</f>
        <v>36299.12596426114</v>
      </c>
      <c r="BX1637" s="1146">
        <f t="shared" si="306"/>
        <v>399424.89588219568</v>
      </c>
      <c r="BY1637" s="867">
        <f t="shared" si="309"/>
        <v>5755591.6607803665</v>
      </c>
      <c r="BZ1637" s="867">
        <f t="shared" si="307"/>
        <v>34533549.964682199</v>
      </c>
      <c r="CA1637" s="867">
        <f>_xlfn.MAXIFS($BY$4:$BY$12824,$S$4:$S$12824,$S1637)</f>
        <v>5755591.6607803665</v>
      </c>
      <c r="CB1637" s="944">
        <v>17500000</v>
      </c>
      <c r="CC1637" s="946">
        <v>11500000</v>
      </c>
      <c r="CE1637" s="997">
        <f t="shared" si="312"/>
        <v>0.45947487011801774</v>
      </c>
      <c r="CF1637" s="946">
        <f t="shared" si="311"/>
        <v>36311040</v>
      </c>
    </row>
    <row r="1638" spans="2:84">
      <c r="B1638" s="839" t="s">
        <v>98</v>
      </c>
      <c r="C1638" s="839" t="s">
        <v>381</v>
      </c>
      <c r="D1638" s="839" t="s">
        <v>5486</v>
      </c>
      <c r="E1638" s="839" t="s">
        <v>5487</v>
      </c>
      <c r="F1638" s="841">
        <v>45784</v>
      </c>
      <c r="G1638" s="868" t="s">
        <v>383</v>
      </c>
      <c r="H1638" s="842" t="s">
        <v>134</v>
      </c>
      <c r="I1638" s="883"/>
      <c r="J1638" s="841"/>
      <c r="K1638" s="841"/>
      <c r="L1638" s="843" t="s">
        <v>106</v>
      </c>
      <c r="M1638" s="844" t="s">
        <v>107</v>
      </c>
      <c r="N1638" s="841"/>
      <c r="O1638" s="884" t="s">
        <v>150</v>
      </c>
      <c r="P1638" s="842" t="s">
        <v>5523</v>
      </c>
      <c r="Q1638" s="843"/>
      <c r="R1638" s="845">
        <v>3107</v>
      </c>
      <c r="S1638" s="1127" t="s">
        <v>5533</v>
      </c>
      <c r="T1638" s="885" t="s">
        <v>5534</v>
      </c>
      <c r="U1638" s="886">
        <v>6</v>
      </c>
      <c r="V1638" s="842" t="s">
        <v>3</v>
      </c>
      <c r="W1638" s="846">
        <v>394</v>
      </c>
      <c r="X1638" s="847">
        <f t="shared" si="310"/>
        <v>2364</v>
      </c>
      <c r="Y1638" s="853">
        <v>0.52</v>
      </c>
      <c r="Z1638" s="849">
        <v>189.12</v>
      </c>
      <c r="AA1638" s="849"/>
      <c r="AB1638" s="849">
        <f t="shared" si="302"/>
        <v>1134.72</v>
      </c>
      <c r="AC1638" s="850">
        <f t="shared" si="303"/>
        <v>1134.72</v>
      </c>
      <c r="AD1638" s="851">
        <f t="shared" si="301"/>
        <v>32000</v>
      </c>
      <c r="AE1638" s="852">
        <v>30081.54</v>
      </c>
      <c r="AF1638" s="853">
        <v>0</v>
      </c>
      <c r="AG1638" s="854">
        <f t="shared" si="304"/>
        <v>0</v>
      </c>
      <c r="AH1638" s="853">
        <v>0.08</v>
      </c>
      <c r="AI1638" s="855">
        <f t="shared" si="305"/>
        <v>2730730.0055040005</v>
      </c>
      <c r="AJ1638" s="845" t="s">
        <v>5491</v>
      </c>
      <c r="AK1638" s="857">
        <v>45910</v>
      </c>
      <c r="AL1638" s="843">
        <v>251084200</v>
      </c>
      <c r="AM1638" s="843" t="s">
        <v>5492</v>
      </c>
      <c r="AN1638" s="844" t="s">
        <v>5493</v>
      </c>
      <c r="AO1638" s="844" t="s">
        <v>141</v>
      </c>
      <c r="AP1638" s="841"/>
      <c r="AQ1638" s="841">
        <v>45916</v>
      </c>
      <c r="AR1638" s="841">
        <v>45961</v>
      </c>
      <c r="AS1638" s="842" t="s">
        <v>1145</v>
      </c>
      <c r="AT1638" s="842" t="s">
        <v>1235</v>
      </c>
      <c r="AU1638" s="842" t="s">
        <v>1565</v>
      </c>
      <c r="AV1638" s="845" t="s">
        <v>5494</v>
      </c>
      <c r="AW1638" s="861">
        <v>45962</v>
      </c>
      <c r="AX1638" s="862">
        <v>45965</v>
      </c>
      <c r="AY1638" s="843" t="s">
        <v>5525</v>
      </c>
      <c r="AZ1638" s="842">
        <v>94017990</v>
      </c>
      <c r="BA1638" s="842" t="s">
        <v>120</v>
      </c>
      <c r="BB1638" s="863" t="s">
        <v>121</v>
      </c>
      <c r="BC1638" s="864">
        <v>45968</v>
      </c>
      <c r="BD1638" s="860" t="s">
        <v>5496</v>
      </c>
      <c r="BE1638" s="865" cm="1">
        <f t="array" ref="BE1638">IF(BD1638="","",AC1638/SUMPRODUCT(--(BD1638=$BD$4:$BD$12824),$AC$4:$AC$12824))</f>
        <v>7.7614444746390877E-3</v>
      </c>
      <c r="BF1638" s="458"/>
      <c r="BG1638" s="458"/>
      <c r="BH1638" s="458"/>
      <c r="BI1638" s="458"/>
      <c r="BJ1638" s="458"/>
      <c r="BK1638" s="458"/>
      <c r="BL1638" s="458"/>
      <c r="BM1638" s="458"/>
      <c r="BN1638" s="458"/>
      <c r="BO1638" s="866">
        <f>VLOOKUP(BD1638,$BD$4:$BN$12824,3,0)*BE1638</f>
        <v>231057.03779333446</v>
      </c>
      <c r="BP1638" s="866"/>
      <c r="BQ1638" s="866"/>
      <c r="BR1638" s="866">
        <f>VLOOKUP(BD1638,$BD$4:$BN$12824,6,0)*BE1638</f>
        <v>94058.617154808715</v>
      </c>
      <c r="BS1638" s="866">
        <f>VLOOKUP(BD1638,$BD$4:$BN$12824,7,0)*BE1638</f>
        <v>33974.163842979062</v>
      </c>
      <c r="BT1638" s="866"/>
      <c r="BU1638" s="866">
        <f>VLOOKUP(BD1638,$BD$4:$BN$12824,9,0)*BE1638</f>
        <v>4035.9511268123256</v>
      </c>
      <c r="BV1638" s="867"/>
      <c r="BW1638" s="867">
        <f>VLOOKUP(BD1638,$BD$4:$BN$12824,11,0)*BE1638</f>
        <v>36299.12596426114</v>
      </c>
      <c r="BX1638" s="1146">
        <f t="shared" si="306"/>
        <v>399424.89588219568</v>
      </c>
      <c r="BY1638" s="867">
        <f t="shared" si="309"/>
        <v>5755591.6607803665</v>
      </c>
      <c r="BZ1638" s="867">
        <f t="shared" si="307"/>
        <v>34533549.964682199</v>
      </c>
      <c r="CA1638" s="867">
        <f>_xlfn.MAXIFS($BY$4:$BY$12824,$S$4:$S$12824,$S1638)</f>
        <v>5755591.6607803665</v>
      </c>
      <c r="CB1638" s="944">
        <v>17500000</v>
      </c>
      <c r="CC1638" s="946">
        <v>11500000</v>
      </c>
      <c r="CE1638" s="997">
        <f t="shared" si="312"/>
        <v>0.45947487011801774</v>
      </c>
      <c r="CF1638" s="946">
        <f t="shared" si="311"/>
        <v>36311040</v>
      </c>
    </row>
    <row r="1639" spans="2:84">
      <c r="B1639" s="839" t="s">
        <v>98</v>
      </c>
      <c r="C1639" s="839" t="s">
        <v>381</v>
      </c>
      <c r="D1639" s="839" t="s">
        <v>5486</v>
      </c>
      <c r="E1639" s="839" t="s">
        <v>5487</v>
      </c>
      <c r="F1639" s="841">
        <v>45784</v>
      </c>
      <c r="G1639" s="868" t="s">
        <v>383</v>
      </c>
      <c r="H1639" s="842" t="s">
        <v>134</v>
      </c>
      <c r="I1639" s="883"/>
      <c r="J1639" s="841"/>
      <c r="K1639" s="841"/>
      <c r="L1639" s="843" t="s">
        <v>106</v>
      </c>
      <c r="M1639" s="844" t="s">
        <v>107</v>
      </c>
      <c r="N1639" s="841"/>
      <c r="O1639" s="884" t="s">
        <v>150</v>
      </c>
      <c r="P1639" s="842" t="s">
        <v>5523</v>
      </c>
      <c r="Q1639" s="843"/>
      <c r="R1639" s="845">
        <v>3107</v>
      </c>
      <c r="S1639" s="1127" t="s">
        <v>1663</v>
      </c>
      <c r="T1639" s="885" t="s">
        <v>5535</v>
      </c>
      <c r="U1639" s="886">
        <v>6</v>
      </c>
      <c r="V1639" s="842" t="s">
        <v>3</v>
      </c>
      <c r="W1639" s="846">
        <v>394</v>
      </c>
      <c r="X1639" s="847">
        <f t="shared" si="310"/>
        <v>2364</v>
      </c>
      <c r="Y1639" s="853">
        <v>0.52</v>
      </c>
      <c r="Z1639" s="849">
        <v>189.12</v>
      </c>
      <c r="AA1639" s="849"/>
      <c r="AB1639" s="849">
        <f t="shared" si="302"/>
        <v>1134.72</v>
      </c>
      <c r="AC1639" s="850">
        <f t="shared" si="303"/>
        <v>1134.72</v>
      </c>
      <c r="AD1639" s="851">
        <f t="shared" si="301"/>
        <v>32000</v>
      </c>
      <c r="AE1639" s="852">
        <v>30081.54</v>
      </c>
      <c r="AF1639" s="853">
        <v>0</v>
      </c>
      <c r="AG1639" s="854">
        <f t="shared" si="304"/>
        <v>0</v>
      </c>
      <c r="AH1639" s="853">
        <v>0.08</v>
      </c>
      <c r="AI1639" s="855">
        <f t="shared" si="305"/>
        <v>2730730.0055040005</v>
      </c>
      <c r="AJ1639" s="845" t="s">
        <v>5491</v>
      </c>
      <c r="AK1639" s="857">
        <v>45910</v>
      </c>
      <c r="AL1639" s="843">
        <v>251084200</v>
      </c>
      <c r="AM1639" s="843" t="s">
        <v>5492</v>
      </c>
      <c r="AN1639" s="844" t="s">
        <v>5493</v>
      </c>
      <c r="AO1639" s="844" t="s">
        <v>141</v>
      </c>
      <c r="AP1639" s="841"/>
      <c r="AQ1639" s="841">
        <v>45916</v>
      </c>
      <c r="AR1639" s="841">
        <v>45961</v>
      </c>
      <c r="AS1639" s="842" t="s">
        <v>1145</v>
      </c>
      <c r="AT1639" s="842" t="s">
        <v>1235</v>
      </c>
      <c r="AU1639" s="842" t="s">
        <v>1565</v>
      </c>
      <c r="AV1639" s="845" t="s">
        <v>5494</v>
      </c>
      <c r="AW1639" s="861">
        <v>45962</v>
      </c>
      <c r="AX1639" s="862">
        <v>45965</v>
      </c>
      <c r="AY1639" s="843" t="s">
        <v>5525</v>
      </c>
      <c r="AZ1639" s="842">
        <v>94017990</v>
      </c>
      <c r="BA1639" s="842" t="s">
        <v>120</v>
      </c>
      <c r="BB1639" s="863" t="s">
        <v>121</v>
      </c>
      <c r="BC1639" s="864">
        <v>45968</v>
      </c>
      <c r="BD1639" s="860" t="s">
        <v>5496</v>
      </c>
      <c r="BE1639" s="865" cm="1">
        <f t="array" ref="BE1639">IF(BD1639="","",AC1639/SUMPRODUCT(--(BD1639=$BD$4:$BD$12824),$AC$4:$AC$12824))</f>
        <v>7.7614444746390877E-3</v>
      </c>
      <c r="BF1639" s="458"/>
      <c r="BG1639" s="458"/>
      <c r="BH1639" s="458"/>
      <c r="BI1639" s="458"/>
      <c r="BJ1639" s="458"/>
      <c r="BK1639" s="458"/>
      <c r="BL1639" s="458"/>
      <c r="BM1639" s="458"/>
      <c r="BN1639" s="458"/>
      <c r="BO1639" s="866">
        <f>VLOOKUP(BD1639,$BD$4:$BN$12824,3,0)*BE1639</f>
        <v>231057.03779333446</v>
      </c>
      <c r="BP1639" s="866"/>
      <c r="BQ1639" s="866"/>
      <c r="BR1639" s="866">
        <f>VLOOKUP(BD1639,$BD$4:$BN$12824,6,0)*BE1639</f>
        <v>94058.617154808715</v>
      </c>
      <c r="BS1639" s="866">
        <f>VLOOKUP(BD1639,$BD$4:$BN$12824,7,0)*BE1639</f>
        <v>33974.163842979062</v>
      </c>
      <c r="BT1639" s="866"/>
      <c r="BU1639" s="866">
        <f>VLOOKUP(BD1639,$BD$4:$BN$12824,9,0)*BE1639</f>
        <v>4035.9511268123256</v>
      </c>
      <c r="BV1639" s="867"/>
      <c r="BW1639" s="867">
        <f>VLOOKUP(BD1639,$BD$4:$BN$12824,11,0)*BE1639</f>
        <v>36299.12596426114</v>
      </c>
      <c r="BX1639" s="1146">
        <f t="shared" si="306"/>
        <v>399424.89588219568</v>
      </c>
      <c r="BY1639" s="867">
        <f t="shared" si="309"/>
        <v>5755591.6607803665</v>
      </c>
      <c r="BZ1639" s="867">
        <f t="shared" si="307"/>
        <v>34533549.964682199</v>
      </c>
      <c r="CA1639" s="867">
        <f>_xlfn.MAXIFS($BY$4:$BY$12824,$S$4:$S$12824,$S1639)</f>
        <v>5755591.6607803665</v>
      </c>
      <c r="CB1639" s="944">
        <v>17500000</v>
      </c>
      <c r="CC1639" s="946">
        <v>11500000</v>
      </c>
      <c r="CE1639" s="997">
        <f t="shared" si="312"/>
        <v>0.45947487011801774</v>
      </c>
      <c r="CF1639" s="946">
        <f t="shared" si="311"/>
        <v>36311040</v>
      </c>
    </row>
    <row r="1640" spans="2:84">
      <c r="B1640" s="839" t="s">
        <v>98</v>
      </c>
      <c r="C1640" s="839" t="s">
        <v>381</v>
      </c>
      <c r="D1640" s="839" t="s">
        <v>5486</v>
      </c>
      <c r="E1640" s="839" t="s">
        <v>5487</v>
      </c>
      <c r="F1640" s="841">
        <v>45784</v>
      </c>
      <c r="G1640" s="868" t="s">
        <v>383</v>
      </c>
      <c r="H1640" s="842" t="s">
        <v>134</v>
      </c>
      <c r="I1640" s="883"/>
      <c r="J1640" s="841"/>
      <c r="K1640" s="841"/>
      <c r="L1640" s="843" t="s">
        <v>106</v>
      </c>
      <c r="M1640" s="844" t="s">
        <v>107</v>
      </c>
      <c r="N1640" s="841"/>
      <c r="O1640" s="884" t="s">
        <v>150</v>
      </c>
      <c r="P1640" s="842" t="s">
        <v>5523</v>
      </c>
      <c r="Q1640" s="843"/>
      <c r="R1640" s="845">
        <v>3107</v>
      </c>
      <c r="S1640" s="1127" t="s">
        <v>1651</v>
      </c>
      <c r="T1640" s="885" t="s">
        <v>5536</v>
      </c>
      <c r="U1640" s="886">
        <v>6</v>
      </c>
      <c r="V1640" s="842" t="s">
        <v>3</v>
      </c>
      <c r="W1640" s="846">
        <v>394</v>
      </c>
      <c r="X1640" s="847">
        <f t="shared" si="310"/>
        <v>2364</v>
      </c>
      <c r="Y1640" s="853">
        <v>0.52</v>
      </c>
      <c r="Z1640" s="849">
        <v>189.12</v>
      </c>
      <c r="AA1640" s="849"/>
      <c r="AB1640" s="849">
        <f t="shared" si="302"/>
        <v>1134.72</v>
      </c>
      <c r="AC1640" s="850">
        <f t="shared" si="303"/>
        <v>1134.72</v>
      </c>
      <c r="AD1640" s="851">
        <f t="shared" si="301"/>
        <v>32000</v>
      </c>
      <c r="AE1640" s="852">
        <v>30081.54</v>
      </c>
      <c r="AF1640" s="853">
        <v>0</v>
      </c>
      <c r="AG1640" s="854">
        <f t="shared" si="304"/>
        <v>0</v>
      </c>
      <c r="AH1640" s="853">
        <v>0.08</v>
      </c>
      <c r="AI1640" s="855">
        <f t="shared" si="305"/>
        <v>2730730.0055040005</v>
      </c>
      <c r="AJ1640" s="845" t="s">
        <v>5491</v>
      </c>
      <c r="AK1640" s="857">
        <v>45910</v>
      </c>
      <c r="AL1640" s="843">
        <v>251084200</v>
      </c>
      <c r="AM1640" s="843" t="s">
        <v>5492</v>
      </c>
      <c r="AN1640" s="844" t="s">
        <v>5493</v>
      </c>
      <c r="AO1640" s="844" t="s">
        <v>141</v>
      </c>
      <c r="AP1640" s="841"/>
      <c r="AQ1640" s="841">
        <v>45916</v>
      </c>
      <c r="AR1640" s="841">
        <v>45961</v>
      </c>
      <c r="AS1640" s="842" t="s">
        <v>1145</v>
      </c>
      <c r="AT1640" s="842" t="s">
        <v>1235</v>
      </c>
      <c r="AU1640" s="842" t="s">
        <v>1565</v>
      </c>
      <c r="AV1640" s="845" t="s">
        <v>5494</v>
      </c>
      <c r="AW1640" s="861">
        <v>45962</v>
      </c>
      <c r="AX1640" s="862">
        <v>45965</v>
      </c>
      <c r="AY1640" s="843" t="s">
        <v>5525</v>
      </c>
      <c r="AZ1640" s="842">
        <v>94017990</v>
      </c>
      <c r="BA1640" s="842" t="s">
        <v>120</v>
      </c>
      <c r="BB1640" s="863" t="s">
        <v>121</v>
      </c>
      <c r="BC1640" s="864">
        <v>45968</v>
      </c>
      <c r="BD1640" s="860" t="s">
        <v>5496</v>
      </c>
      <c r="BE1640" s="865" cm="1">
        <f t="array" ref="BE1640">IF(BD1640="","",AC1640/SUMPRODUCT(--(BD1640=$BD$4:$BD$12824),$AC$4:$AC$12824))</f>
        <v>7.7614444746390877E-3</v>
      </c>
      <c r="BF1640" s="458"/>
      <c r="BG1640" s="458"/>
      <c r="BH1640" s="458"/>
      <c r="BI1640" s="458"/>
      <c r="BJ1640" s="458"/>
      <c r="BK1640" s="458"/>
      <c r="BL1640" s="458"/>
      <c r="BM1640" s="458"/>
      <c r="BN1640" s="458"/>
      <c r="BO1640" s="866">
        <f>VLOOKUP(BD1640,$BD$4:$BN$12824,3,0)*BE1640</f>
        <v>231057.03779333446</v>
      </c>
      <c r="BP1640" s="866"/>
      <c r="BQ1640" s="866"/>
      <c r="BR1640" s="866">
        <f>VLOOKUP(BD1640,$BD$4:$BN$12824,6,0)*BE1640</f>
        <v>94058.617154808715</v>
      </c>
      <c r="BS1640" s="866">
        <f>VLOOKUP(BD1640,$BD$4:$BN$12824,7,0)*BE1640</f>
        <v>33974.163842979062</v>
      </c>
      <c r="BT1640" s="866"/>
      <c r="BU1640" s="866">
        <f>VLOOKUP(BD1640,$BD$4:$BN$12824,9,0)*BE1640</f>
        <v>4035.9511268123256</v>
      </c>
      <c r="BV1640" s="867"/>
      <c r="BW1640" s="867">
        <f>VLOOKUP(BD1640,$BD$4:$BN$12824,11,0)*BE1640</f>
        <v>36299.12596426114</v>
      </c>
      <c r="BX1640" s="1146">
        <f t="shared" si="306"/>
        <v>399424.89588219568</v>
      </c>
      <c r="BY1640" s="867">
        <f t="shared" si="309"/>
        <v>5755591.6607803665</v>
      </c>
      <c r="BZ1640" s="867">
        <f t="shared" si="307"/>
        <v>34533549.964682199</v>
      </c>
      <c r="CA1640" s="867">
        <f>_xlfn.MAXIFS($BY$4:$BY$12824,$S$4:$S$12824,$S1640)</f>
        <v>5755591.6607803665</v>
      </c>
      <c r="CB1640" s="944">
        <v>17500000</v>
      </c>
      <c r="CC1640" s="946">
        <v>11500000</v>
      </c>
      <c r="CE1640" s="997">
        <f t="shared" si="312"/>
        <v>0.45947487011801774</v>
      </c>
      <c r="CF1640" s="946">
        <f t="shared" si="311"/>
        <v>36311040</v>
      </c>
    </row>
    <row r="1641" spans="2:84">
      <c r="B1641" s="839" t="s">
        <v>98</v>
      </c>
      <c r="C1641" s="839" t="s">
        <v>381</v>
      </c>
      <c r="D1641" s="839" t="s">
        <v>5486</v>
      </c>
      <c r="E1641" s="839" t="s">
        <v>5487</v>
      </c>
      <c r="F1641" s="841">
        <v>45784</v>
      </c>
      <c r="G1641" s="868" t="s">
        <v>383</v>
      </c>
      <c r="H1641" s="842" t="s">
        <v>134</v>
      </c>
      <c r="I1641" s="883"/>
      <c r="J1641" s="841"/>
      <c r="K1641" s="841"/>
      <c r="L1641" s="843" t="s">
        <v>106</v>
      </c>
      <c r="M1641" s="844" t="s">
        <v>107</v>
      </c>
      <c r="N1641" s="841"/>
      <c r="O1641" s="884" t="s">
        <v>150</v>
      </c>
      <c r="P1641" s="842" t="s">
        <v>5523</v>
      </c>
      <c r="Q1641" s="843"/>
      <c r="R1641" s="845">
        <v>3107</v>
      </c>
      <c r="S1641" s="1127" t="s">
        <v>1667</v>
      </c>
      <c r="T1641" s="885" t="s">
        <v>5537</v>
      </c>
      <c r="U1641" s="886">
        <v>6</v>
      </c>
      <c r="V1641" s="842" t="s">
        <v>3</v>
      </c>
      <c r="W1641" s="846">
        <v>394</v>
      </c>
      <c r="X1641" s="847">
        <f t="shared" si="310"/>
        <v>2364</v>
      </c>
      <c r="Y1641" s="853">
        <v>0.52</v>
      </c>
      <c r="Z1641" s="849">
        <v>189.12</v>
      </c>
      <c r="AA1641" s="849"/>
      <c r="AB1641" s="849">
        <f t="shared" si="302"/>
        <v>1134.72</v>
      </c>
      <c r="AC1641" s="850">
        <f t="shared" si="303"/>
        <v>1134.72</v>
      </c>
      <c r="AD1641" s="851">
        <f t="shared" si="301"/>
        <v>32000</v>
      </c>
      <c r="AE1641" s="852">
        <v>30081.54</v>
      </c>
      <c r="AF1641" s="853">
        <v>0</v>
      </c>
      <c r="AG1641" s="854">
        <f t="shared" si="304"/>
        <v>0</v>
      </c>
      <c r="AH1641" s="853">
        <v>0.08</v>
      </c>
      <c r="AI1641" s="855">
        <f t="shared" si="305"/>
        <v>2730730.0055040005</v>
      </c>
      <c r="AJ1641" s="845" t="s">
        <v>5491</v>
      </c>
      <c r="AK1641" s="857">
        <v>45910</v>
      </c>
      <c r="AL1641" s="843">
        <v>251084200</v>
      </c>
      <c r="AM1641" s="843" t="s">
        <v>5492</v>
      </c>
      <c r="AN1641" s="844" t="s">
        <v>5493</v>
      </c>
      <c r="AO1641" s="844" t="s">
        <v>141</v>
      </c>
      <c r="AP1641" s="841"/>
      <c r="AQ1641" s="841">
        <v>45916</v>
      </c>
      <c r="AR1641" s="841">
        <v>45961</v>
      </c>
      <c r="AS1641" s="842" t="s">
        <v>1145</v>
      </c>
      <c r="AT1641" s="842" t="s">
        <v>1235</v>
      </c>
      <c r="AU1641" s="842" t="s">
        <v>1565</v>
      </c>
      <c r="AV1641" s="845" t="s">
        <v>5494</v>
      </c>
      <c r="AW1641" s="861">
        <v>45962</v>
      </c>
      <c r="AX1641" s="862">
        <v>45965</v>
      </c>
      <c r="AY1641" s="843" t="s">
        <v>5525</v>
      </c>
      <c r="AZ1641" s="842">
        <v>94017990</v>
      </c>
      <c r="BA1641" s="842" t="s">
        <v>120</v>
      </c>
      <c r="BB1641" s="863" t="s">
        <v>121</v>
      </c>
      <c r="BC1641" s="864">
        <v>45968</v>
      </c>
      <c r="BD1641" s="860" t="s">
        <v>5496</v>
      </c>
      <c r="BE1641" s="865" cm="1">
        <f t="array" ref="BE1641">IF(BD1641="","",AC1641/SUMPRODUCT(--(BD1641=$BD$4:$BD$12824),$AC$4:$AC$12824))</f>
        <v>7.7614444746390877E-3</v>
      </c>
      <c r="BF1641" s="458"/>
      <c r="BG1641" s="458"/>
      <c r="BH1641" s="458"/>
      <c r="BI1641" s="458"/>
      <c r="BJ1641" s="458"/>
      <c r="BK1641" s="458"/>
      <c r="BL1641" s="458"/>
      <c r="BM1641" s="458"/>
      <c r="BN1641" s="458"/>
      <c r="BO1641" s="866">
        <f>VLOOKUP(BD1641,$BD$4:$BN$12824,3,0)*BE1641</f>
        <v>231057.03779333446</v>
      </c>
      <c r="BP1641" s="866"/>
      <c r="BQ1641" s="866"/>
      <c r="BR1641" s="866">
        <f>VLOOKUP(BD1641,$BD$4:$BN$12824,6,0)*BE1641</f>
        <v>94058.617154808715</v>
      </c>
      <c r="BS1641" s="866">
        <f>VLOOKUP(BD1641,$BD$4:$BN$12824,7,0)*BE1641</f>
        <v>33974.163842979062</v>
      </c>
      <c r="BT1641" s="866"/>
      <c r="BU1641" s="866">
        <f>VLOOKUP(BD1641,$BD$4:$BN$12824,9,0)*BE1641</f>
        <v>4035.9511268123256</v>
      </c>
      <c r="BV1641" s="867"/>
      <c r="BW1641" s="867">
        <f>VLOOKUP(BD1641,$BD$4:$BN$12824,11,0)*BE1641</f>
        <v>36299.12596426114</v>
      </c>
      <c r="BX1641" s="1146">
        <f t="shared" si="306"/>
        <v>399424.89588219568</v>
      </c>
      <c r="BY1641" s="867">
        <f t="shared" si="309"/>
        <v>5755591.6607803665</v>
      </c>
      <c r="BZ1641" s="867">
        <f t="shared" si="307"/>
        <v>34533549.964682199</v>
      </c>
      <c r="CA1641" s="867">
        <f>_xlfn.MAXIFS($BY$4:$BY$12824,$S$4:$S$12824,$S1641)</f>
        <v>5755591.6607803665</v>
      </c>
      <c r="CB1641" s="944">
        <v>17500000</v>
      </c>
      <c r="CC1641" s="946">
        <v>11500000</v>
      </c>
      <c r="CE1641" s="997">
        <f t="shared" si="312"/>
        <v>0.45947487011801774</v>
      </c>
      <c r="CF1641" s="946">
        <f t="shared" si="311"/>
        <v>36311040</v>
      </c>
    </row>
    <row r="1642" spans="2:84">
      <c r="B1642" s="839" t="s">
        <v>98</v>
      </c>
      <c r="C1642" s="839" t="s">
        <v>381</v>
      </c>
      <c r="D1642" s="839" t="s">
        <v>5486</v>
      </c>
      <c r="E1642" s="839" t="s">
        <v>5487</v>
      </c>
      <c r="F1642" s="841">
        <v>45784</v>
      </c>
      <c r="G1642" s="868" t="s">
        <v>383</v>
      </c>
      <c r="H1642" s="842" t="s">
        <v>134</v>
      </c>
      <c r="I1642" s="883"/>
      <c r="J1642" s="841"/>
      <c r="K1642" s="841"/>
      <c r="L1642" s="843" t="s">
        <v>106</v>
      </c>
      <c r="M1642" s="844" t="s">
        <v>107</v>
      </c>
      <c r="N1642" s="841"/>
      <c r="O1642" s="884" t="s">
        <v>150</v>
      </c>
      <c r="P1642" s="842" t="s">
        <v>5523</v>
      </c>
      <c r="Q1642" s="843"/>
      <c r="R1642" s="845">
        <v>3107</v>
      </c>
      <c r="S1642" s="1127" t="s">
        <v>1665</v>
      </c>
      <c r="T1642" s="885" t="s">
        <v>5538</v>
      </c>
      <c r="U1642" s="886">
        <v>6</v>
      </c>
      <c r="V1642" s="842" t="s">
        <v>3</v>
      </c>
      <c r="W1642" s="846">
        <v>394</v>
      </c>
      <c r="X1642" s="847">
        <f t="shared" si="310"/>
        <v>2364</v>
      </c>
      <c r="Y1642" s="853">
        <v>0.52</v>
      </c>
      <c r="Z1642" s="849">
        <v>189.12</v>
      </c>
      <c r="AA1642" s="849"/>
      <c r="AB1642" s="849">
        <f t="shared" si="302"/>
        <v>1134.72</v>
      </c>
      <c r="AC1642" s="850">
        <f t="shared" si="303"/>
        <v>1134.72</v>
      </c>
      <c r="AD1642" s="851">
        <f t="shared" si="301"/>
        <v>32000</v>
      </c>
      <c r="AE1642" s="852">
        <v>30081.54</v>
      </c>
      <c r="AF1642" s="853">
        <v>0</v>
      </c>
      <c r="AG1642" s="854">
        <f t="shared" si="304"/>
        <v>0</v>
      </c>
      <c r="AH1642" s="853">
        <v>0.08</v>
      </c>
      <c r="AI1642" s="855">
        <f t="shared" si="305"/>
        <v>2730730.0055040005</v>
      </c>
      <c r="AJ1642" s="845" t="s">
        <v>5491</v>
      </c>
      <c r="AK1642" s="857">
        <v>45910</v>
      </c>
      <c r="AL1642" s="843">
        <v>251084200</v>
      </c>
      <c r="AM1642" s="843" t="s">
        <v>5492</v>
      </c>
      <c r="AN1642" s="844" t="s">
        <v>5493</v>
      </c>
      <c r="AO1642" s="844" t="s">
        <v>141</v>
      </c>
      <c r="AP1642" s="841"/>
      <c r="AQ1642" s="841">
        <v>45916</v>
      </c>
      <c r="AR1642" s="841">
        <v>45961</v>
      </c>
      <c r="AS1642" s="842" t="s">
        <v>1145</v>
      </c>
      <c r="AT1642" s="842" t="s">
        <v>1235</v>
      </c>
      <c r="AU1642" s="842" t="s">
        <v>1565</v>
      </c>
      <c r="AV1642" s="845" t="s">
        <v>5494</v>
      </c>
      <c r="AW1642" s="861">
        <v>45962</v>
      </c>
      <c r="AX1642" s="862">
        <v>45965</v>
      </c>
      <c r="AY1642" s="843" t="s">
        <v>5525</v>
      </c>
      <c r="AZ1642" s="842">
        <v>94017990</v>
      </c>
      <c r="BA1642" s="842" t="s">
        <v>120</v>
      </c>
      <c r="BB1642" s="863" t="s">
        <v>121</v>
      </c>
      <c r="BC1642" s="864">
        <v>45968</v>
      </c>
      <c r="BD1642" s="860" t="s">
        <v>5496</v>
      </c>
      <c r="BE1642" s="865" cm="1">
        <f t="array" ref="BE1642">IF(BD1642="","",AC1642/SUMPRODUCT(--(BD1642=$BD$4:$BD$12824),$AC$4:$AC$12824))</f>
        <v>7.7614444746390877E-3</v>
      </c>
      <c r="BF1642" s="458"/>
      <c r="BG1642" s="458"/>
      <c r="BH1642" s="458"/>
      <c r="BI1642" s="458"/>
      <c r="BJ1642" s="458"/>
      <c r="BK1642" s="458"/>
      <c r="BL1642" s="458"/>
      <c r="BM1642" s="458"/>
      <c r="BN1642" s="458"/>
      <c r="BO1642" s="866">
        <f>VLOOKUP(BD1642,$BD$4:$BN$12824,3,0)*BE1642</f>
        <v>231057.03779333446</v>
      </c>
      <c r="BP1642" s="866"/>
      <c r="BQ1642" s="866"/>
      <c r="BR1642" s="866">
        <f>VLOOKUP(BD1642,$BD$4:$BN$12824,6,0)*BE1642</f>
        <v>94058.617154808715</v>
      </c>
      <c r="BS1642" s="866">
        <f>VLOOKUP(BD1642,$BD$4:$BN$12824,7,0)*BE1642</f>
        <v>33974.163842979062</v>
      </c>
      <c r="BT1642" s="866"/>
      <c r="BU1642" s="866">
        <f>VLOOKUP(BD1642,$BD$4:$BN$12824,9,0)*BE1642</f>
        <v>4035.9511268123256</v>
      </c>
      <c r="BV1642" s="867"/>
      <c r="BW1642" s="867">
        <f>VLOOKUP(BD1642,$BD$4:$BN$12824,11,0)*BE1642</f>
        <v>36299.12596426114</v>
      </c>
      <c r="BX1642" s="1146">
        <f t="shared" si="306"/>
        <v>399424.89588219568</v>
      </c>
      <c r="BY1642" s="867">
        <f t="shared" si="309"/>
        <v>5755591.6607803665</v>
      </c>
      <c r="BZ1642" s="867">
        <f t="shared" si="307"/>
        <v>34533549.964682199</v>
      </c>
      <c r="CA1642" s="867">
        <f>_xlfn.MAXIFS($BY$4:$BY$12824,$S$4:$S$12824,$S1642)</f>
        <v>5755591.6607803665</v>
      </c>
      <c r="CB1642" s="944">
        <v>17500000</v>
      </c>
      <c r="CC1642" s="946">
        <v>11500000</v>
      </c>
      <c r="CE1642" s="997">
        <f t="shared" si="312"/>
        <v>0.45947487011801774</v>
      </c>
      <c r="CF1642" s="946">
        <f t="shared" si="311"/>
        <v>36311040</v>
      </c>
    </row>
    <row r="1643" spans="2:84">
      <c r="B1643" s="839" t="s">
        <v>98</v>
      </c>
      <c r="C1643" s="839" t="s">
        <v>381</v>
      </c>
      <c r="D1643" s="839" t="s">
        <v>5486</v>
      </c>
      <c r="E1643" s="839" t="s">
        <v>5539</v>
      </c>
      <c r="F1643" s="841">
        <v>45827</v>
      </c>
      <c r="G1643" s="868" t="s">
        <v>383</v>
      </c>
      <c r="H1643" s="842" t="s">
        <v>102</v>
      </c>
      <c r="I1643" s="883" t="s">
        <v>5540</v>
      </c>
      <c r="J1643" s="841">
        <v>45814</v>
      </c>
      <c r="K1643" s="841">
        <v>46002</v>
      </c>
      <c r="L1643" s="843" t="s">
        <v>106</v>
      </c>
      <c r="M1643" s="844" t="s">
        <v>107</v>
      </c>
      <c r="N1643" s="841"/>
      <c r="O1643" s="884" t="s">
        <v>150</v>
      </c>
      <c r="P1643" s="842" t="s">
        <v>5523</v>
      </c>
      <c r="Q1643" s="843"/>
      <c r="R1643" s="845">
        <v>3107</v>
      </c>
      <c r="S1643" s="1127" t="s">
        <v>1653</v>
      </c>
      <c r="T1643" s="885" t="s">
        <v>5541</v>
      </c>
      <c r="U1643" s="886">
        <v>12</v>
      </c>
      <c r="V1643" s="842" t="s">
        <v>3</v>
      </c>
      <c r="W1643" s="846">
        <v>394</v>
      </c>
      <c r="X1643" s="847">
        <f>W1643*U1643</f>
        <v>4728</v>
      </c>
      <c r="Y1643" s="853">
        <v>0.45</v>
      </c>
      <c r="Z1643" s="849">
        <v>216.7</v>
      </c>
      <c r="AA1643" s="849"/>
      <c r="AB1643" s="849">
        <f>IF(AA1643="F.O.C", 0, Z1643*U1643)</f>
        <v>2600.3999999999996</v>
      </c>
      <c r="AC1643" s="850">
        <f>Z1643*U1643</f>
        <v>2600.3999999999996</v>
      </c>
      <c r="AD1643" s="851">
        <f>IF(V1643=$AD$2,$AE$2,$AE$3)</f>
        <v>32000</v>
      </c>
      <c r="AE1643" s="852">
        <v>30081.54</v>
      </c>
      <c r="AF1643" s="853">
        <v>0</v>
      </c>
      <c r="AG1643" s="854">
        <f>(AC1643*AE1643+BO1643+BP1643+BQ1643+BS1643)*AF1643</f>
        <v>0</v>
      </c>
      <c r="AH1643" s="853">
        <v>0.08</v>
      </c>
      <c r="AI1643" s="855">
        <f>(AC1643*AE1643+AG1643+BF1643+BG1643+BH1643+BJ1643)*AH1643</f>
        <v>6257922.9292799998</v>
      </c>
      <c r="AJ1643" s="845" t="s">
        <v>5491</v>
      </c>
      <c r="AK1643" s="857">
        <v>45910</v>
      </c>
      <c r="AL1643" s="843">
        <v>251084200</v>
      </c>
      <c r="AM1643" s="843" t="s">
        <v>5492</v>
      </c>
      <c r="AN1643" s="844" t="s">
        <v>5493</v>
      </c>
      <c r="AO1643" s="844" t="s">
        <v>141</v>
      </c>
      <c r="AP1643" s="841"/>
      <c r="AQ1643" s="841">
        <v>45916</v>
      </c>
      <c r="AR1643" s="841">
        <v>45961</v>
      </c>
      <c r="AS1643" s="842" t="s">
        <v>1145</v>
      </c>
      <c r="AT1643" s="842" t="s">
        <v>1235</v>
      </c>
      <c r="AU1643" s="842" t="s">
        <v>1565</v>
      </c>
      <c r="AV1643" s="845" t="s">
        <v>5494</v>
      </c>
      <c r="AW1643" s="861">
        <v>45962</v>
      </c>
      <c r="AX1643" s="862">
        <v>45965</v>
      </c>
      <c r="AY1643" s="843" t="s">
        <v>5542</v>
      </c>
      <c r="AZ1643" s="842">
        <v>94017990</v>
      </c>
      <c r="BA1643" s="842" t="s">
        <v>120</v>
      </c>
      <c r="BB1643" s="863" t="s">
        <v>121</v>
      </c>
      <c r="BC1643" s="864">
        <v>45968</v>
      </c>
      <c r="BD1643" s="860" t="s">
        <v>5496</v>
      </c>
      <c r="BE1643" s="865" cm="1">
        <f t="array" ref="BE1643">IF(BD1643="","",AC1643/SUMPRODUCT(--(BD1643=$BD$4:$BD$12824),$AC$4:$AC$12824))</f>
        <v>1.7786643587714573E-2</v>
      </c>
      <c r="BF1643" s="458"/>
      <c r="BG1643" s="458"/>
      <c r="BH1643" s="458"/>
      <c r="BI1643" s="458"/>
      <c r="BJ1643" s="458"/>
      <c r="BK1643" s="458"/>
      <c r="BL1643" s="458"/>
      <c r="BM1643" s="458"/>
      <c r="BN1643" s="458"/>
      <c r="BO1643" s="866">
        <f>VLOOKUP(BD1643,$BD$4:$BN$12824,3,0)*BE1643</f>
        <v>529505.71160972468</v>
      </c>
      <c r="BP1643" s="866"/>
      <c r="BQ1643" s="866"/>
      <c r="BR1643" s="866">
        <f>VLOOKUP(BD1643,$BD$4:$BN$12824,6,0)*BE1643</f>
        <v>215550.99764643659</v>
      </c>
      <c r="BS1643" s="866">
        <f>VLOOKUP(BD1643,$BD$4:$BN$12824,7,0)*BE1643</f>
        <v>77857.45880682701</v>
      </c>
      <c r="BT1643" s="866"/>
      <c r="BU1643" s="866">
        <f>VLOOKUP(BD1643,$BD$4:$BN$12824,9,0)*BE1643</f>
        <v>9249.0546656115785</v>
      </c>
      <c r="BV1643" s="867"/>
      <c r="BW1643" s="867">
        <f>VLOOKUP(BD1643,$BD$4:$BN$12824,11,0)*BE1643</f>
        <v>83185.497001431766</v>
      </c>
      <c r="BX1643" s="1146">
        <f>SUM(BO1643:BW1643)</f>
        <v>915348.71973003156</v>
      </c>
      <c r="BY1643" s="867">
        <f t="shared" si="309"/>
        <v>6594948.7779775029</v>
      </c>
      <c r="BZ1643" s="867">
        <f>BY1643*U1643</f>
        <v>79139385.335730031</v>
      </c>
      <c r="CA1643" s="867">
        <f>_xlfn.MAXIFS($BY$4:$BY$12824,$S$4:$S$12824,$S1643)</f>
        <v>6594948.7779775029</v>
      </c>
      <c r="CB1643" s="944"/>
      <c r="CC1643" s="946"/>
      <c r="CE1643" s="997"/>
      <c r="CF1643" s="946">
        <f>AC1643*AD1643</f>
        <v>83212799.999999985</v>
      </c>
    </row>
    <row r="1644" spans="2:84">
      <c r="B1644" s="839" t="s">
        <v>98</v>
      </c>
      <c r="C1644" s="839" t="s">
        <v>381</v>
      </c>
      <c r="D1644" s="839" t="s">
        <v>5486</v>
      </c>
      <c r="E1644" s="839" t="s">
        <v>5487</v>
      </c>
      <c r="F1644" s="841">
        <v>45784</v>
      </c>
      <c r="G1644" s="868" t="s">
        <v>383</v>
      </c>
      <c r="H1644" s="842" t="s">
        <v>134</v>
      </c>
      <c r="I1644" s="883"/>
      <c r="J1644" s="841"/>
      <c r="K1644" s="841"/>
      <c r="L1644" s="843" t="s">
        <v>106</v>
      </c>
      <c r="M1644" s="844" t="s">
        <v>107</v>
      </c>
      <c r="N1644" s="841"/>
      <c r="O1644" s="884" t="s">
        <v>150</v>
      </c>
      <c r="P1644" s="842" t="s">
        <v>5523</v>
      </c>
      <c r="Q1644" s="843"/>
      <c r="R1644" s="845">
        <v>3107</v>
      </c>
      <c r="S1644" s="1127" t="s">
        <v>1659</v>
      </c>
      <c r="T1644" s="885" t="s">
        <v>5543</v>
      </c>
      <c r="U1644" s="886">
        <v>6</v>
      </c>
      <c r="V1644" s="842" t="s">
        <v>3</v>
      </c>
      <c r="W1644" s="846">
        <v>394</v>
      </c>
      <c r="X1644" s="847">
        <f t="shared" ref="X1644:X1677" si="313">W1644*U1644</f>
        <v>2364</v>
      </c>
      <c r="Y1644" s="853">
        <v>0.52</v>
      </c>
      <c r="Z1644" s="849">
        <v>189.12</v>
      </c>
      <c r="AA1644" s="849"/>
      <c r="AB1644" s="849">
        <f t="shared" si="302"/>
        <v>1134.72</v>
      </c>
      <c r="AC1644" s="850">
        <f t="shared" si="303"/>
        <v>1134.72</v>
      </c>
      <c r="AD1644" s="851">
        <f t="shared" ref="AD1644:AD1678" si="314">IF(V1644=$AD$2,$AE$2,$AE$3)</f>
        <v>32000</v>
      </c>
      <c r="AE1644" s="852">
        <v>30081.54</v>
      </c>
      <c r="AF1644" s="853">
        <v>0</v>
      </c>
      <c r="AG1644" s="854">
        <f t="shared" si="304"/>
        <v>0</v>
      </c>
      <c r="AH1644" s="853">
        <v>0.08</v>
      </c>
      <c r="AI1644" s="855">
        <f t="shared" si="305"/>
        <v>2730730.0055040005</v>
      </c>
      <c r="AJ1644" s="845" t="s">
        <v>5491</v>
      </c>
      <c r="AK1644" s="857">
        <v>45910</v>
      </c>
      <c r="AL1644" s="843">
        <v>251084200</v>
      </c>
      <c r="AM1644" s="843" t="s">
        <v>5492</v>
      </c>
      <c r="AN1644" s="844" t="s">
        <v>5493</v>
      </c>
      <c r="AO1644" s="844" t="s">
        <v>141</v>
      </c>
      <c r="AP1644" s="841"/>
      <c r="AQ1644" s="841">
        <v>45916</v>
      </c>
      <c r="AR1644" s="841">
        <v>45961</v>
      </c>
      <c r="AS1644" s="842" t="s">
        <v>1145</v>
      </c>
      <c r="AT1644" s="842" t="s">
        <v>1235</v>
      </c>
      <c r="AU1644" s="842" t="s">
        <v>1565</v>
      </c>
      <c r="AV1644" s="845" t="s">
        <v>5494</v>
      </c>
      <c r="AW1644" s="861">
        <v>45962</v>
      </c>
      <c r="AX1644" s="862">
        <v>45965</v>
      </c>
      <c r="AY1644" s="843" t="s">
        <v>5525</v>
      </c>
      <c r="AZ1644" s="842">
        <v>94017990</v>
      </c>
      <c r="BA1644" s="842" t="s">
        <v>120</v>
      </c>
      <c r="BB1644" s="863" t="s">
        <v>121</v>
      </c>
      <c r="BC1644" s="864">
        <v>45968</v>
      </c>
      <c r="BD1644" s="860" t="s">
        <v>5496</v>
      </c>
      <c r="BE1644" s="865" cm="1">
        <f t="array" ref="BE1644">IF(BD1644="","",AC1644/SUMPRODUCT(--(BD1644=$BD$4:$BD$12824),$AC$4:$AC$12824))</f>
        <v>7.7614444746390877E-3</v>
      </c>
      <c r="BF1644" s="458"/>
      <c r="BG1644" s="458"/>
      <c r="BH1644" s="458"/>
      <c r="BI1644" s="458"/>
      <c r="BJ1644" s="458"/>
      <c r="BK1644" s="458"/>
      <c r="BL1644" s="458"/>
      <c r="BM1644" s="458"/>
      <c r="BN1644" s="458"/>
      <c r="BO1644" s="866">
        <f>VLOOKUP(BD1644,$BD$4:$BN$12824,3,0)*BE1644</f>
        <v>231057.03779333446</v>
      </c>
      <c r="BP1644" s="866"/>
      <c r="BQ1644" s="866"/>
      <c r="BR1644" s="866">
        <f>VLOOKUP(BD1644,$BD$4:$BN$12824,6,0)*BE1644</f>
        <v>94058.617154808715</v>
      </c>
      <c r="BS1644" s="866">
        <f>VLOOKUP(BD1644,$BD$4:$BN$12824,7,0)*BE1644</f>
        <v>33974.163842979062</v>
      </c>
      <c r="BT1644" s="866"/>
      <c r="BU1644" s="866">
        <f>VLOOKUP(BD1644,$BD$4:$BN$12824,9,0)*BE1644</f>
        <v>4035.9511268123256</v>
      </c>
      <c r="BV1644" s="867"/>
      <c r="BW1644" s="867">
        <f>VLOOKUP(BD1644,$BD$4:$BN$12824,11,0)*BE1644</f>
        <v>36299.12596426114</v>
      </c>
      <c r="BX1644" s="1146">
        <f t="shared" si="306"/>
        <v>399424.89588219568</v>
      </c>
      <c r="BY1644" s="867">
        <f t="shared" si="309"/>
        <v>5755591.6607803665</v>
      </c>
      <c r="BZ1644" s="867">
        <f t="shared" si="307"/>
        <v>34533549.964682199</v>
      </c>
      <c r="CA1644" s="867">
        <f>_xlfn.MAXIFS($BY$4:$BY$12824,$S$4:$S$12824,$S1644)</f>
        <v>5755591.6607803665</v>
      </c>
      <c r="CB1644" s="944">
        <v>17500000</v>
      </c>
      <c r="CC1644" s="946">
        <v>11500000</v>
      </c>
      <c r="CE1644" s="997">
        <f>(CC1644/1.08-CA1644)/(CC1644/1.08)</f>
        <v>0.45947487011801774</v>
      </c>
      <c r="CF1644" s="946">
        <f t="shared" ref="CF1644:CF1678" si="315">AC1644*AD1644</f>
        <v>36311040</v>
      </c>
    </row>
    <row r="1645" spans="2:84">
      <c r="B1645" s="839" t="s">
        <v>98</v>
      </c>
      <c r="C1645" s="839" t="s">
        <v>381</v>
      </c>
      <c r="D1645" s="839" t="s">
        <v>5486</v>
      </c>
      <c r="E1645" s="839" t="s">
        <v>5487</v>
      </c>
      <c r="F1645" s="841">
        <v>45784</v>
      </c>
      <c r="G1645" s="868" t="s">
        <v>383</v>
      </c>
      <c r="H1645" s="842" t="s">
        <v>134</v>
      </c>
      <c r="I1645" s="883"/>
      <c r="J1645" s="841"/>
      <c r="K1645" s="841"/>
      <c r="L1645" s="843" t="s">
        <v>106</v>
      </c>
      <c r="M1645" s="844" t="s">
        <v>107</v>
      </c>
      <c r="N1645" s="841"/>
      <c r="O1645" s="884" t="s">
        <v>150</v>
      </c>
      <c r="P1645" s="842" t="s">
        <v>5523</v>
      </c>
      <c r="Q1645" s="843"/>
      <c r="R1645" s="845">
        <v>3107</v>
      </c>
      <c r="S1645" s="1127" t="s">
        <v>1657</v>
      </c>
      <c r="T1645" s="885" t="s">
        <v>5544</v>
      </c>
      <c r="U1645" s="886">
        <v>6</v>
      </c>
      <c r="V1645" s="842" t="s">
        <v>3</v>
      </c>
      <c r="W1645" s="846">
        <v>394</v>
      </c>
      <c r="X1645" s="847">
        <f t="shared" si="313"/>
        <v>2364</v>
      </c>
      <c r="Y1645" s="853">
        <v>0.52</v>
      </c>
      <c r="Z1645" s="849">
        <v>189.12</v>
      </c>
      <c r="AA1645" s="849"/>
      <c r="AB1645" s="849">
        <f t="shared" si="302"/>
        <v>1134.72</v>
      </c>
      <c r="AC1645" s="850">
        <f t="shared" si="303"/>
        <v>1134.72</v>
      </c>
      <c r="AD1645" s="851">
        <f t="shared" si="314"/>
        <v>32000</v>
      </c>
      <c r="AE1645" s="852">
        <v>30081.54</v>
      </c>
      <c r="AF1645" s="853">
        <v>0</v>
      </c>
      <c r="AG1645" s="854">
        <f t="shared" si="304"/>
        <v>0</v>
      </c>
      <c r="AH1645" s="853">
        <v>0.08</v>
      </c>
      <c r="AI1645" s="855">
        <f t="shared" si="305"/>
        <v>2730730.0055040005</v>
      </c>
      <c r="AJ1645" s="845" t="s">
        <v>5491</v>
      </c>
      <c r="AK1645" s="857">
        <v>45910</v>
      </c>
      <c r="AL1645" s="843">
        <v>251084200</v>
      </c>
      <c r="AM1645" s="843" t="s">
        <v>5492</v>
      </c>
      <c r="AN1645" s="844" t="s">
        <v>5493</v>
      </c>
      <c r="AO1645" s="844" t="s">
        <v>141</v>
      </c>
      <c r="AP1645" s="841"/>
      <c r="AQ1645" s="841">
        <v>45916</v>
      </c>
      <c r="AR1645" s="841">
        <v>45961</v>
      </c>
      <c r="AS1645" s="842" t="s">
        <v>1145</v>
      </c>
      <c r="AT1645" s="842" t="s">
        <v>1235</v>
      </c>
      <c r="AU1645" s="842" t="s">
        <v>1565</v>
      </c>
      <c r="AV1645" s="845" t="s">
        <v>5494</v>
      </c>
      <c r="AW1645" s="861">
        <v>45962</v>
      </c>
      <c r="AX1645" s="862">
        <v>45965</v>
      </c>
      <c r="AY1645" s="843" t="s">
        <v>5525</v>
      </c>
      <c r="AZ1645" s="842">
        <v>94017990</v>
      </c>
      <c r="BA1645" s="842" t="s">
        <v>120</v>
      </c>
      <c r="BB1645" s="863" t="s">
        <v>121</v>
      </c>
      <c r="BC1645" s="864">
        <v>45968</v>
      </c>
      <c r="BD1645" s="860" t="s">
        <v>5496</v>
      </c>
      <c r="BE1645" s="865" cm="1">
        <f t="array" ref="BE1645">IF(BD1645="","",AC1645/SUMPRODUCT(--(BD1645=$BD$4:$BD$12824),$AC$4:$AC$12824))</f>
        <v>7.7614444746390877E-3</v>
      </c>
      <c r="BF1645" s="458"/>
      <c r="BG1645" s="458"/>
      <c r="BH1645" s="458"/>
      <c r="BI1645" s="458"/>
      <c r="BJ1645" s="458"/>
      <c r="BK1645" s="458"/>
      <c r="BL1645" s="458"/>
      <c r="BM1645" s="458"/>
      <c r="BN1645" s="458"/>
      <c r="BO1645" s="866">
        <f>VLOOKUP(BD1645,$BD$4:$BN$12824,3,0)*BE1645</f>
        <v>231057.03779333446</v>
      </c>
      <c r="BP1645" s="866"/>
      <c r="BQ1645" s="866"/>
      <c r="BR1645" s="866">
        <f>VLOOKUP(BD1645,$BD$4:$BN$12824,6,0)*BE1645</f>
        <v>94058.617154808715</v>
      </c>
      <c r="BS1645" s="866">
        <f>VLOOKUP(BD1645,$BD$4:$BN$12824,7,0)*BE1645</f>
        <v>33974.163842979062</v>
      </c>
      <c r="BT1645" s="866"/>
      <c r="BU1645" s="866">
        <f>VLOOKUP(BD1645,$BD$4:$BN$12824,9,0)*BE1645</f>
        <v>4035.9511268123256</v>
      </c>
      <c r="BV1645" s="867"/>
      <c r="BW1645" s="867">
        <f>VLOOKUP(BD1645,$BD$4:$BN$12824,11,0)*BE1645</f>
        <v>36299.12596426114</v>
      </c>
      <c r="BX1645" s="1146">
        <f t="shared" si="306"/>
        <v>399424.89588219568</v>
      </c>
      <c r="BY1645" s="867">
        <f t="shared" si="309"/>
        <v>5755591.6607803665</v>
      </c>
      <c r="BZ1645" s="867">
        <f t="shared" si="307"/>
        <v>34533549.964682199</v>
      </c>
      <c r="CA1645" s="867">
        <f>_xlfn.MAXIFS($BY$4:$BY$12824,$S$4:$S$12824,$S1645)</f>
        <v>5755591.6607803665</v>
      </c>
      <c r="CB1645" s="944">
        <v>17500000</v>
      </c>
      <c r="CC1645" s="946">
        <v>11500000</v>
      </c>
      <c r="CE1645" s="997">
        <f>(CC1645/1.08-CA1645)/(CC1645/1.08)</f>
        <v>0.45947487011801774</v>
      </c>
      <c r="CF1645" s="946">
        <f t="shared" si="315"/>
        <v>36311040</v>
      </c>
    </row>
    <row r="1646" spans="2:84">
      <c r="B1646" s="839" t="s">
        <v>98</v>
      </c>
      <c r="C1646" s="839" t="s">
        <v>381</v>
      </c>
      <c r="D1646" s="839" t="s">
        <v>5486</v>
      </c>
      <c r="E1646" s="839" t="s">
        <v>5487</v>
      </c>
      <c r="F1646" s="841">
        <v>45784</v>
      </c>
      <c r="G1646" s="868" t="s">
        <v>383</v>
      </c>
      <c r="H1646" s="842" t="s">
        <v>134</v>
      </c>
      <c r="I1646" s="883"/>
      <c r="J1646" s="841"/>
      <c r="K1646" s="841"/>
      <c r="L1646" s="843" t="s">
        <v>106</v>
      </c>
      <c r="M1646" s="844" t="s">
        <v>107</v>
      </c>
      <c r="N1646" s="841"/>
      <c r="O1646" s="884" t="s">
        <v>150</v>
      </c>
      <c r="P1646" s="842" t="s">
        <v>5523</v>
      </c>
      <c r="Q1646" s="843"/>
      <c r="R1646" s="845">
        <v>3107</v>
      </c>
      <c r="S1646" s="1127" t="s">
        <v>1655</v>
      </c>
      <c r="T1646" s="885" t="s">
        <v>5545</v>
      </c>
      <c r="U1646" s="886">
        <v>6</v>
      </c>
      <c r="V1646" s="842" t="s">
        <v>3</v>
      </c>
      <c r="W1646" s="846">
        <v>394</v>
      </c>
      <c r="X1646" s="847">
        <f t="shared" si="313"/>
        <v>2364</v>
      </c>
      <c r="Y1646" s="853">
        <v>0.52</v>
      </c>
      <c r="Z1646" s="849">
        <v>189.12</v>
      </c>
      <c r="AA1646" s="849"/>
      <c r="AB1646" s="849">
        <f t="shared" si="302"/>
        <v>1134.72</v>
      </c>
      <c r="AC1646" s="850">
        <f t="shared" si="303"/>
        <v>1134.72</v>
      </c>
      <c r="AD1646" s="851">
        <f t="shared" si="314"/>
        <v>32000</v>
      </c>
      <c r="AE1646" s="852">
        <v>30081.54</v>
      </c>
      <c r="AF1646" s="853">
        <v>0</v>
      </c>
      <c r="AG1646" s="854">
        <f t="shared" si="304"/>
        <v>0</v>
      </c>
      <c r="AH1646" s="853">
        <v>0.08</v>
      </c>
      <c r="AI1646" s="855">
        <f t="shared" si="305"/>
        <v>2730730.0055040005</v>
      </c>
      <c r="AJ1646" s="845" t="s">
        <v>5491</v>
      </c>
      <c r="AK1646" s="857">
        <v>45910</v>
      </c>
      <c r="AL1646" s="843">
        <v>251084200</v>
      </c>
      <c r="AM1646" s="843" t="s">
        <v>5492</v>
      </c>
      <c r="AN1646" s="844" t="s">
        <v>5493</v>
      </c>
      <c r="AO1646" s="844" t="s">
        <v>141</v>
      </c>
      <c r="AP1646" s="841"/>
      <c r="AQ1646" s="841">
        <v>45916</v>
      </c>
      <c r="AR1646" s="841">
        <v>45961</v>
      </c>
      <c r="AS1646" s="842" t="s">
        <v>1145</v>
      </c>
      <c r="AT1646" s="842" t="s">
        <v>1235</v>
      </c>
      <c r="AU1646" s="842" t="s">
        <v>1565</v>
      </c>
      <c r="AV1646" s="845" t="s">
        <v>5494</v>
      </c>
      <c r="AW1646" s="861">
        <v>45962</v>
      </c>
      <c r="AX1646" s="862">
        <v>45965</v>
      </c>
      <c r="AY1646" s="843" t="s">
        <v>5525</v>
      </c>
      <c r="AZ1646" s="842">
        <v>94017990</v>
      </c>
      <c r="BA1646" s="842" t="s">
        <v>120</v>
      </c>
      <c r="BB1646" s="863" t="s">
        <v>121</v>
      </c>
      <c r="BC1646" s="864">
        <v>45968</v>
      </c>
      <c r="BD1646" s="860" t="s">
        <v>5496</v>
      </c>
      <c r="BE1646" s="865" cm="1">
        <f t="array" ref="BE1646">IF(BD1646="","",AC1646/SUMPRODUCT(--(BD1646=$BD$4:$BD$12824),$AC$4:$AC$12824))</f>
        <v>7.7614444746390877E-3</v>
      </c>
      <c r="BF1646" s="458"/>
      <c r="BG1646" s="458"/>
      <c r="BH1646" s="458"/>
      <c r="BI1646" s="458"/>
      <c r="BJ1646" s="458"/>
      <c r="BK1646" s="458"/>
      <c r="BL1646" s="458"/>
      <c r="BM1646" s="458"/>
      <c r="BN1646" s="458"/>
      <c r="BO1646" s="866">
        <f>VLOOKUP(BD1646,$BD$4:$BN$12824,3,0)*BE1646</f>
        <v>231057.03779333446</v>
      </c>
      <c r="BP1646" s="866"/>
      <c r="BQ1646" s="866"/>
      <c r="BR1646" s="866">
        <f>VLOOKUP(BD1646,$BD$4:$BN$12824,6,0)*BE1646</f>
        <v>94058.617154808715</v>
      </c>
      <c r="BS1646" s="866">
        <f>VLOOKUP(BD1646,$BD$4:$BN$12824,7,0)*BE1646</f>
        <v>33974.163842979062</v>
      </c>
      <c r="BT1646" s="866"/>
      <c r="BU1646" s="866">
        <f>VLOOKUP(BD1646,$BD$4:$BN$12824,9,0)*BE1646</f>
        <v>4035.9511268123256</v>
      </c>
      <c r="BV1646" s="867"/>
      <c r="BW1646" s="867">
        <f>VLOOKUP(BD1646,$BD$4:$BN$12824,11,0)*BE1646</f>
        <v>36299.12596426114</v>
      </c>
      <c r="BX1646" s="1146">
        <f t="shared" si="306"/>
        <v>399424.89588219568</v>
      </c>
      <c r="BY1646" s="867">
        <f t="shared" si="309"/>
        <v>5755591.6607803665</v>
      </c>
      <c r="BZ1646" s="867">
        <f t="shared" si="307"/>
        <v>34533549.964682199</v>
      </c>
      <c r="CA1646" s="867">
        <f>_xlfn.MAXIFS($BY$4:$BY$12824,$S$4:$S$12824,$S1646)</f>
        <v>5755591.6607803665</v>
      </c>
      <c r="CB1646" s="944">
        <v>17500000</v>
      </c>
      <c r="CC1646" s="946">
        <v>11500000</v>
      </c>
      <c r="CE1646" s="997">
        <f>(CC1646/1.08-CA1646)/(CC1646/1.08)</f>
        <v>0.45947487011801774</v>
      </c>
      <c r="CF1646" s="946">
        <f t="shared" si="315"/>
        <v>36311040</v>
      </c>
    </row>
    <row r="1647" spans="2:84">
      <c r="B1647" s="839" t="s">
        <v>98</v>
      </c>
      <c r="C1647" s="839" t="s">
        <v>381</v>
      </c>
      <c r="D1647" s="839" t="s">
        <v>5486</v>
      </c>
      <c r="E1647" s="839" t="s">
        <v>5487</v>
      </c>
      <c r="F1647" s="841">
        <v>45784</v>
      </c>
      <c r="G1647" s="868" t="s">
        <v>383</v>
      </c>
      <c r="H1647" s="842" t="s">
        <v>134</v>
      </c>
      <c r="I1647" s="883"/>
      <c r="J1647" s="841"/>
      <c r="K1647" s="841"/>
      <c r="L1647" s="843" t="s">
        <v>106</v>
      </c>
      <c r="M1647" s="844" t="s">
        <v>107</v>
      </c>
      <c r="N1647" s="841"/>
      <c r="O1647" s="884" t="s">
        <v>150</v>
      </c>
      <c r="P1647" s="842" t="s">
        <v>5523</v>
      </c>
      <c r="Q1647" s="843"/>
      <c r="R1647" s="845">
        <v>3107</v>
      </c>
      <c r="S1647" s="1127" t="s">
        <v>1679</v>
      </c>
      <c r="T1647" s="885" t="s">
        <v>5546</v>
      </c>
      <c r="U1647" s="886">
        <v>6</v>
      </c>
      <c r="V1647" s="842" t="s">
        <v>3</v>
      </c>
      <c r="W1647" s="846">
        <v>461</v>
      </c>
      <c r="X1647" s="847">
        <f t="shared" si="313"/>
        <v>2766</v>
      </c>
      <c r="Y1647" s="853">
        <v>0.52</v>
      </c>
      <c r="Z1647" s="849">
        <v>221.28</v>
      </c>
      <c r="AA1647" s="849"/>
      <c r="AB1647" s="849">
        <f t="shared" si="302"/>
        <v>1327.68</v>
      </c>
      <c r="AC1647" s="850">
        <f t="shared" si="303"/>
        <v>1327.68</v>
      </c>
      <c r="AD1647" s="851">
        <f t="shared" si="314"/>
        <v>32000</v>
      </c>
      <c r="AE1647" s="852">
        <v>30081.54</v>
      </c>
      <c r="AF1647" s="853">
        <v>0</v>
      </c>
      <c r="AG1647" s="854">
        <f t="shared" si="304"/>
        <v>0</v>
      </c>
      <c r="AH1647" s="853">
        <v>0.08</v>
      </c>
      <c r="AI1647" s="855">
        <f t="shared" si="305"/>
        <v>3195092.7221760005</v>
      </c>
      <c r="AJ1647" s="845" t="s">
        <v>5491</v>
      </c>
      <c r="AK1647" s="857">
        <v>45910</v>
      </c>
      <c r="AL1647" s="843">
        <v>251084200</v>
      </c>
      <c r="AM1647" s="843" t="s">
        <v>5492</v>
      </c>
      <c r="AN1647" s="844" t="s">
        <v>5493</v>
      </c>
      <c r="AO1647" s="844" t="s">
        <v>141</v>
      </c>
      <c r="AP1647" s="841"/>
      <c r="AQ1647" s="841">
        <v>45916</v>
      </c>
      <c r="AR1647" s="841">
        <v>45961</v>
      </c>
      <c r="AS1647" s="842" t="s">
        <v>1145</v>
      </c>
      <c r="AT1647" s="842" t="s">
        <v>1235</v>
      </c>
      <c r="AU1647" s="842" t="s">
        <v>1565</v>
      </c>
      <c r="AV1647" s="845" t="s">
        <v>5494</v>
      </c>
      <c r="AW1647" s="861">
        <v>45962</v>
      </c>
      <c r="AX1647" s="862">
        <v>45965</v>
      </c>
      <c r="AY1647" s="843" t="s">
        <v>5547</v>
      </c>
      <c r="AZ1647" s="842">
        <v>94017990</v>
      </c>
      <c r="BA1647" s="842" t="s">
        <v>120</v>
      </c>
      <c r="BB1647" s="863" t="s">
        <v>121</v>
      </c>
      <c r="BC1647" s="864">
        <v>45968</v>
      </c>
      <c r="BD1647" s="860" t="s">
        <v>5496</v>
      </c>
      <c r="BE1647" s="865" cm="1">
        <f t="array" ref="BE1647">IF(BD1647="","",AC1647/SUMPRODUCT(--(BD1647=$BD$4:$BD$12824),$AC$4:$AC$12824))</f>
        <v>9.0812840172807604E-3</v>
      </c>
      <c r="BF1647" s="458"/>
      <c r="BG1647" s="458"/>
      <c r="BH1647" s="458"/>
      <c r="BI1647" s="458"/>
      <c r="BJ1647" s="458"/>
      <c r="BK1647" s="458"/>
      <c r="BL1647" s="458"/>
      <c r="BM1647" s="458"/>
      <c r="BN1647" s="458"/>
      <c r="BO1647" s="866">
        <f>VLOOKUP(BD1647,$BD$4:$BN$12824,3,0)*BE1647</f>
        <v>270348.46300184564</v>
      </c>
      <c r="BP1647" s="866"/>
      <c r="BQ1647" s="866"/>
      <c r="BR1647" s="866">
        <f>VLOOKUP(BD1647,$BD$4:$BN$12824,6,0)*BE1647</f>
        <v>110053.35662022035</v>
      </c>
      <c r="BS1647" s="866">
        <f>VLOOKUP(BD1647,$BD$4:$BN$12824,7,0)*BE1647</f>
        <v>39751.496273130331</v>
      </c>
      <c r="BT1647" s="866"/>
      <c r="BU1647" s="866">
        <f>VLOOKUP(BD1647,$BD$4:$BN$12824,9,0)*BE1647</f>
        <v>4722.2676889859958</v>
      </c>
      <c r="BV1647" s="867"/>
      <c r="BW1647" s="867">
        <f>VLOOKUP(BD1647,$BD$4:$BN$12824,11,0)*BE1647</f>
        <v>42471.819973412144</v>
      </c>
      <c r="BX1647" s="1146">
        <f t="shared" si="306"/>
        <v>467347.40355759446</v>
      </c>
      <c r="BY1647" s="867">
        <f t="shared" si="309"/>
        <v>6734334.4051262662</v>
      </c>
      <c r="BZ1647" s="867">
        <f t="shared" si="307"/>
        <v>40406006.430757597</v>
      </c>
      <c r="CA1647" s="867">
        <f>_xlfn.MAXIFS($BY$4:$BY$12824,$S$4:$S$12824,$S1647)</f>
        <v>6734334.4051262662</v>
      </c>
      <c r="CB1647" s="944">
        <v>17500000</v>
      </c>
      <c r="CC1647" s="946">
        <v>11500000</v>
      </c>
      <c r="CE1647" s="997">
        <f>(CC1647/1.08-CA1647)/(CC1647/1.08)</f>
        <v>0.36755816021422888</v>
      </c>
      <c r="CF1647" s="946">
        <f t="shared" si="315"/>
        <v>42485760</v>
      </c>
    </row>
    <row r="1648" spans="2:84">
      <c r="B1648" s="839" t="s">
        <v>98</v>
      </c>
      <c r="C1648" s="839" t="s">
        <v>381</v>
      </c>
      <c r="D1648" s="839" t="s">
        <v>5486</v>
      </c>
      <c r="E1648" s="839" t="s">
        <v>5487</v>
      </c>
      <c r="F1648" s="841">
        <v>45784</v>
      </c>
      <c r="G1648" s="868" t="s">
        <v>383</v>
      </c>
      <c r="H1648" s="842" t="s">
        <v>134</v>
      </c>
      <c r="I1648" s="883"/>
      <c r="J1648" s="841"/>
      <c r="K1648" s="841"/>
      <c r="L1648" s="843" t="s">
        <v>106</v>
      </c>
      <c r="M1648" s="844" t="s">
        <v>107</v>
      </c>
      <c r="N1648" s="841"/>
      <c r="O1648" s="884" t="s">
        <v>150</v>
      </c>
      <c r="P1648" s="842" t="s">
        <v>5523</v>
      </c>
      <c r="Q1648" s="843"/>
      <c r="R1648" s="845">
        <v>3107</v>
      </c>
      <c r="S1648" s="1127" t="s">
        <v>5548</v>
      </c>
      <c r="T1648" s="885" t="s">
        <v>5549</v>
      </c>
      <c r="U1648" s="886">
        <v>12</v>
      </c>
      <c r="V1648" s="842" t="s">
        <v>3</v>
      </c>
      <c r="W1648" s="846">
        <v>461</v>
      </c>
      <c r="X1648" s="847">
        <f t="shared" si="313"/>
        <v>5532</v>
      </c>
      <c r="Y1648" s="853">
        <v>0.52</v>
      </c>
      <c r="Z1648" s="849">
        <v>221.28</v>
      </c>
      <c r="AA1648" s="849"/>
      <c r="AB1648" s="849">
        <f t="shared" si="302"/>
        <v>2655.36</v>
      </c>
      <c r="AC1648" s="850">
        <f t="shared" si="303"/>
        <v>2655.36</v>
      </c>
      <c r="AD1648" s="851">
        <f t="shared" si="314"/>
        <v>32000</v>
      </c>
      <c r="AE1648" s="852">
        <v>30081.54</v>
      </c>
      <c r="AF1648" s="853">
        <v>0</v>
      </c>
      <c r="AG1648" s="854">
        <f t="shared" si="304"/>
        <v>0</v>
      </c>
      <c r="AH1648" s="853">
        <v>0.08</v>
      </c>
      <c r="AI1648" s="855">
        <f t="shared" si="305"/>
        <v>6390185.444352001</v>
      </c>
      <c r="AJ1648" s="845" t="s">
        <v>5491</v>
      </c>
      <c r="AK1648" s="857">
        <v>45910</v>
      </c>
      <c r="AL1648" s="843">
        <v>251084200</v>
      </c>
      <c r="AM1648" s="843" t="s">
        <v>5492</v>
      </c>
      <c r="AN1648" s="844" t="s">
        <v>5493</v>
      </c>
      <c r="AO1648" s="844" t="s">
        <v>141</v>
      </c>
      <c r="AP1648" s="841"/>
      <c r="AQ1648" s="841">
        <v>45916</v>
      </c>
      <c r="AR1648" s="841">
        <v>45961</v>
      </c>
      <c r="AS1648" s="842" t="s">
        <v>1145</v>
      </c>
      <c r="AT1648" s="842" t="s">
        <v>1235</v>
      </c>
      <c r="AU1648" s="842" t="s">
        <v>1565</v>
      </c>
      <c r="AV1648" s="845" t="s">
        <v>5494</v>
      </c>
      <c r="AW1648" s="861">
        <v>45962</v>
      </c>
      <c r="AX1648" s="862">
        <v>45965</v>
      </c>
      <c r="AY1648" s="843" t="s">
        <v>5550</v>
      </c>
      <c r="AZ1648" s="842">
        <v>94017990</v>
      </c>
      <c r="BA1648" s="842" t="s">
        <v>120</v>
      </c>
      <c r="BB1648" s="863" t="s">
        <v>121</v>
      </c>
      <c r="BC1648" s="864">
        <v>45968</v>
      </c>
      <c r="BD1648" s="860" t="s">
        <v>5496</v>
      </c>
      <c r="BE1648" s="865" cm="1">
        <f t="array" ref="BE1648">IF(BD1648="","",AC1648/SUMPRODUCT(--(BD1648=$BD$4:$BD$12824),$AC$4:$AC$12824))</f>
        <v>1.8162568034561521E-2</v>
      </c>
      <c r="BF1648" s="458"/>
      <c r="BG1648" s="458"/>
      <c r="BH1648" s="458"/>
      <c r="BI1648" s="458"/>
      <c r="BJ1648" s="458"/>
      <c r="BK1648" s="458"/>
      <c r="BL1648" s="458"/>
      <c r="BM1648" s="458"/>
      <c r="BN1648" s="458"/>
      <c r="BO1648" s="866">
        <f>VLOOKUP(BD1648,$BD$4:$BN$12824,3,0)*BE1648</f>
        <v>540696.92600369127</v>
      </c>
      <c r="BP1648" s="866"/>
      <c r="BQ1648" s="866"/>
      <c r="BR1648" s="866">
        <f>VLOOKUP(BD1648,$BD$4:$BN$12824,6,0)*BE1648</f>
        <v>220106.7132404407</v>
      </c>
      <c r="BS1648" s="866">
        <f>VLOOKUP(BD1648,$BD$4:$BN$12824,7,0)*BE1648</f>
        <v>79502.992546260662</v>
      </c>
      <c r="BT1648" s="866"/>
      <c r="BU1648" s="866">
        <f>VLOOKUP(BD1648,$BD$4:$BN$12824,9,0)*BE1648</f>
        <v>9444.5353779719917</v>
      </c>
      <c r="BV1648" s="867"/>
      <c r="BW1648" s="867">
        <f>VLOOKUP(BD1648,$BD$4:$BN$12824,11,0)*BE1648</f>
        <v>84943.639946824289</v>
      </c>
      <c r="BX1648" s="1146">
        <f t="shared" si="306"/>
        <v>934694.80711518892</v>
      </c>
      <c r="BY1648" s="867">
        <f t="shared" si="309"/>
        <v>6734334.4051262662</v>
      </c>
      <c r="BZ1648" s="867">
        <f t="shared" si="307"/>
        <v>80812012.861515194</v>
      </c>
      <c r="CA1648" s="867">
        <f>_xlfn.MAXIFS($BY$4:$BY$12824,$S$4:$S$12824,$S1648)</f>
        <v>6734334.4051262662</v>
      </c>
      <c r="CB1648" s="944">
        <v>17500000</v>
      </c>
      <c r="CC1648" s="946">
        <v>11500000</v>
      </c>
      <c r="CE1648" s="997">
        <f>(CC1648/1.08-CA1648)/(CC1648/1.08)</f>
        <v>0.36755816021422888</v>
      </c>
      <c r="CF1648" s="946">
        <f t="shared" si="315"/>
        <v>84971520</v>
      </c>
    </row>
    <row r="1649" spans="2:84">
      <c r="B1649" s="839" t="s">
        <v>98</v>
      </c>
      <c r="C1649" s="839" t="s">
        <v>381</v>
      </c>
      <c r="D1649" s="839" t="s">
        <v>5486</v>
      </c>
      <c r="E1649" s="839" t="s">
        <v>5487</v>
      </c>
      <c r="F1649" s="841">
        <v>45784</v>
      </c>
      <c r="G1649" s="868" t="s">
        <v>383</v>
      </c>
      <c r="H1649" s="842" t="s">
        <v>134</v>
      </c>
      <c r="I1649" s="883"/>
      <c r="J1649" s="841"/>
      <c r="K1649" s="841"/>
      <c r="L1649" s="843" t="s">
        <v>106</v>
      </c>
      <c r="M1649" s="844" t="s">
        <v>107</v>
      </c>
      <c r="N1649" s="841"/>
      <c r="O1649" s="884" t="s">
        <v>150</v>
      </c>
      <c r="P1649" s="842" t="s">
        <v>5523</v>
      </c>
      <c r="Q1649" s="843"/>
      <c r="R1649" s="845">
        <v>3107</v>
      </c>
      <c r="S1649" s="1127" t="s">
        <v>1685</v>
      </c>
      <c r="T1649" s="885" t="s">
        <v>5551</v>
      </c>
      <c r="U1649" s="886">
        <v>12</v>
      </c>
      <c r="V1649" s="842" t="s">
        <v>3</v>
      </c>
      <c r="W1649" s="846">
        <v>881</v>
      </c>
      <c r="X1649" s="847">
        <f t="shared" si="313"/>
        <v>10572</v>
      </c>
      <c r="Y1649" s="853">
        <v>0.55000000000000004</v>
      </c>
      <c r="Z1649" s="849">
        <v>396.45</v>
      </c>
      <c r="AA1649" s="849"/>
      <c r="AB1649" s="849">
        <f t="shared" si="302"/>
        <v>4757.3999999999996</v>
      </c>
      <c r="AC1649" s="850">
        <f t="shared" si="303"/>
        <v>4757.3999999999996</v>
      </c>
      <c r="AD1649" s="851">
        <f t="shared" si="314"/>
        <v>32000</v>
      </c>
      <c r="AE1649" s="852">
        <v>30081.54</v>
      </c>
      <c r="AF1649" s="853">
        <v>0</v>
      </c>
      <c r="AG1649" s="854">
        <f t="shared" si="304"/>
        <v>0</v>
      </c>
      <c r="AH1649" s="853">
        <v>0.08</v>
      </c>
      <c r="AI1649" s="855">
        <f t="shared" si="305"/>
        <v>11448793.47168</v>
      </c>
      <c r="AJ1649" s="845" t="s">
        <v>5491</v>
      </c>
      <c r="AK1649" s="857">
        <v>45910</v>
      </c>
      <c r="AL1649" s="843">
        <v>251084200</v>
      </c>
      <c r="AM1649" s="843" t="s">
        <v>5492</v>
      </c>
      <c r="AN1649" s="844" t="s">
        <v>5493</v>
      </c>
      <c r="AO1649" s="844" t="s">
        <v>141</v>
      </c>
      <c r="AP1649" s="841"/>
      <c r="AQ1649" s="841">
        <v>45916</v>
      </c>
      <c r="AR1649" s="841">
        <v>45961</v>
      </c>
      <c r="AS1649" s="842" t="s">
        <v>1145</v>
      </c>
      <c r="AT1649" s="842" t="s">
        <v>1235</v>
      </c>
      <c r="AU1649" s="842" t="s">
        <v>1565</v>
      </c>
      <c r="AV1649" s="845" t="s">
        <v>5494</v>
      </c>
      <c r="AW1649" s="861">
        <v>45962</v>
      </c>
      <c r="AX1649" s="862">
        <v>45965</v>
      </c>
      <c r="AY1649" s="843" t="s">
        <v>5552</v>
      </c>
      <c r="AZ1649" s="842">
        <v>94017100</v>
      </c>
      <c r="BA1649" s="842" t="s">
        <v>120</v>
      </c>
      <c r="BB1649" s="863" t="s">
        <v>121</v>
      </c>
      <c r="BC1649" s="864">
        <v>45968</v>
      </c>
      <c r="BD1649" s="860" t="s">
        <v>5496</v>
      </c>
      <c r="BE1649" s="865" cm="1">
        <f t="array" ref="BE1649">IF(BD1649="","",AC1649/SUMPRODUCT(--(BD1649=$BD$4:$BD$12824),$AC$4:$AC$12824))</f>
        <v>3.2540446932853913E-2</v>
      </c>
      <c r="BF1649" s="458"/>
      <c r="BG1649" s="458"/>
      <c r="BH1649" s="458"/>
      <c r="BI1649" s="458"/>
      <c r="BJ1649" s="458"/>
      <c r="BK1649" s="458"/>
      <c r="BL1649" s="458"/>
      <c r="BM1649" s="458"/>
      <c r="BN1649" s="458"/>
      <c r="BO1649" s="866">
        <f>VLOOKUP(BD1649,$BD$4:$BN$12824,3,0)*BE1649</f>
        <v>968724.22412402101</v>
      </c>
      <c r="BP1649" s="866"/>
      <c r="BQ1649" s="866"/>
      <c r="BR1649" s="866">
        <f>VLOOKUP(BD1649,$BD$4:$BN$12824,6,0)*BE1649</f>
        <v>394347.91424517671</v>
      </c>
      <c r="BS1649" s="866">
        <f>VLOOKUP(BD1649,$BD$4:$BN$12824,7,0)*BE1649</f>
        <v>142439.26877695695</v>
      </c>
      <c r="BT1649" s="866"/>
      <c r="BU1649" s="866">
        <f>VLOOKUP(BD1649,$BD$4:$BN$12824,9,0)*BE1649</f>
        <v>16921.032405084035</v>
      </c>
      <c r="BV1649" s="867"/>
      <c r="BW1649" s="867">
        <f>VLOOKUP(BD1649,$BD$4:$BN$12824,11,0)*BE1649</f>
        <v>152186.84949800474</v>
      </c>
      <c r="BX1649" s="1146">
        <f t="shared" si="306"/>
        <v>1674619.2890492433</v>
      </c>
      <c r="BY1649" s="867">
        <f t="shared" si="309"/>
        <v>12065378.14042077</v>
      </c>
      <c r="BZ1649" s="867">
        <f t="shared" si="307"/>
        <v>144784537.68504924</v>
      </c>
      <c r="CA1649" s="867">
        <f>_xlfn.MAXIFS($BY$4:$BY$12824,$S$4:$S$12824,$S1649)</f>
        <v>12065378.14042077</v>
      </c>
      <c r="CB1649" s="1032"/>
      <c r="CF1649" s="946">
        <f t="shared" si="315"/>
        <v>152236800</v>
      </c>
    </row>
    <row r="1650" spans="2:84">
      <c r="B1650" s="839" t="s">
        <v>98</v>
      </c>
      <c r="C1650" s="839" t="s">
        <v>381</v>
      </c>
      <c r="D1650" s="839" t="s">
        <v>5486</v>
      </c>
      <c r="E1650" s="839" t="s">
        <v>5487</v>
      </c>
      <c r="F1650" s="841">
        <v>45784</v>
      </c>
      <c r="G1650" s="868" t="s">
        <v>383</v>
      </c>
      <c r="H1650" s="842" t="s">
        <v>134</v>
      </c>
      <c r="I1650" s="883"/>
      <c r="J1650" s="841"/>
      <c r="K1650" s="841"/>
      <c r="L1650" s="843" t="s">
        <v>106</v>
      </c>
      <c r="M1650" s="844" t="s">
        <v>107</v>
      </c>
      <c r="N1650" s="841"/>
      <c r="O1650" s="884" t="s">
        <v>150</v>
      </c>
      <c r="P1650" s="842" t="s">
        <v>5523</v>
      </c>
      <c r="Q1650" s="843"/>
      <c r="R1650" s="845">
        <v>3107</v>
      </c>
      <c r="S1650" s="1127" t="s">
        <v>5553</v>
      </c>
      <c r="T1650" s="885" t="s">
        <v>5554</v>
      </c>
      <c r="U1650" s="886">
        <v>8</v>
      </c>
      <c r="V1650" s="842" t="s">
        <v>3</v>
      </c>
      <c r="W1650" s="846">
        <v>881</v>
      </c>
      <c r="X1650" s="847">
        <f t="shared" si="313"/>
        <v>7048</v>
      </c>
      <c r="Y1650" s="853">
        <v>0.55000000000000004</v>
      </c>
      <c r="Z1650" s="849">
        <v>396.45</v>
      </c>
      <c r="AA1650" s="849"/>
      <c r="AB1650" s="849">
        <f t="shared" si="302"/>
        <v>3171.6</v>
      </c>
      <c r="AC1650" s="850">
        <f t="shared" si="303"/>
        <v>3171.6</v>
      </c>
      <c r="AD1650" s="851">
        <f t="shared" si="314"/>
        <v>32000</v>
      </c>
      <c r="AE1650" s="852">
        <v>30081.54</v>
      </c>
      <c r="AF1650" s="853">
        <v>0</v>
      </c>
      <c r="AG1650" s="854">
        <f t="shared" si="304"/>
        <v>0</v>
      </c>
      <c r="AH1650" s="853">
        <v>0.08</v>
      </c>
      <c r="AI1650" s="855">
        <f t="shared" si="305"/>
        <v>7632528.9811199997</v>
      </c>
      <c r="AJ1650" s="845" t="s">
        <v>5491</v>
      </c>
      <c r="AK1650" s="857">
        <v>45910</v>
      </c>
      <c r="AL1650" s="843">
        <v>251084200</v>
      </c>
      <c r="AM1650" s="843" t="s">
        <v>5492</v>
      </c>
      <c r="AN1650" s="844" t="s">
        <v>5493</v>
      </c>
      <c r="AO1650" s="844" t="s">
        <v>141</v>
      </c>
      <c r="AP1650" s="841"/>
      <c r="AQ1650" s="841">
        <v>45916</v>
      </c>
      <c r="AR1650" s="841">
        <v>45961</v>
      </c>
      <c r="AS1650" s="842" t="s">
        <v>1145</v>
      </c>
      <c r="AT1650" s="842" t="s">
        <v>1235</v>
      </c>
      <c r="AU1650" s="842" t="s">
        <v>1565</v>
      </c>
      <c r="AV1650" s="845" t="s">
        <v>5494</v>
      </c>
      <c r="AW1650" s="861">
        <v>45962</v>
      </c>
      <c r="AX1650" s="862">
        <v>45965</v>
      </c>
      <c r="AY1650" s="843" t="s">
        <v>5555</v>
      </c>
      <c r="AZ1650" s="842">
        <v>94017100</v>
      </c>
      <c r="BA1650" s="842" t="s">
        <v>120</v>
      </c>
      <c r="BB1650" s="863" t="s">
        <v>121</v>
      </c>
      <c r="BC1650" s="864">
        <v>45968</v>
      </c>
      <c r="BD1650" s="860" t="s">
        <v>5496</v>
      </c>
      <c r="BE1650" s="865" cm="1">
        <f t="array" ref="BE1650">IF(BD1650="","",AC1650/SUMPRODUCT(--(BD1650=$BD$4:$BD$12824),$AC$4:$AC$12824))</f>
        <v>2.1693631288569278E-2</v>
      </c>
      <c r="BF1650" s="458"/>
      <c r="BG1650" s="458"/>
      <c r="BH1650" s="458"/>
      <c r="BI1650" s="458"/>
      <c r="BJ1650" s="458"/>
      <c r="BK1650" s="458"/>
      <c r="BL1650" s="458"/>
      <c r="BM1650" s="458"/>
      <c r="BN1650" s="458"/>
      <c r="BO1650" s="866">
        <f>VLOOKUP(BD1650,$BD$4:$BN$12824,3,0)*BE1650</f>
        <v>645816.14941601409</v>
      </c>
      <c r="BP1650" s="866"/>
      <c r="BQ1650" s="866"/>
      <c r="BR1650" s="866">
        <f>VLOOKUP(BD1650,$BD$4:$BN$12824,6,0)*BE1650</f>
        <v>262898.60949678451</v>
      </c>
      <c r="BS1650" s="866">
        <f>VLOOKUP(BD1650,$BD$4:$BN$12824,7,0)*BE1650</f>
        <v>94959.512517971307</v>
      </c>
      <c r="BT1650" s="866"/>
      <c r="BU1650" s="866">
        <f>VLOOKUP(BD1650,$BD$4:$BN$12824,9,0)*BE1650</f>
        <v>11280.688270056024</v>
      </c>
      <c r="BV1650" s="867"/>
      <c r="BW1650" s="867">
        <f>VLOOKUP(BD1650,$BD$4:$BN$12824,11,0)*BE1650</f>
        <v>101457.8996653365</v>
      </c>
      <c r="BX1650" s="1146">
        <f t="shared" si="306"/>
        <v>1116412.8593661624</v>
      </c>
      <c r="BY1650" s="867">
        <f t="shared" si="309"/>
        <v>12065378.14042077</v>
      </c>
      <c r="BZ1650" s="867">
        <f t="shared" si="307"/>
        <v>96523025.123366162</v>
      </c>
      <c r="CA1650" s="867">
        <f>_xlfn.MAXIFS($BY$4:$BY$12824,$S$4:$S$12824,$S1650)</f>
        <v>12065378.14042077</v>
      </c>
      <c r="CB1650" s="1032"/>
      <c r="CF1650" s="946">
        <f t="shared" si="315"/>
        <v>101491200</v>
      </c>
    </row>
    <row r="1651" spans="2:84">
      <c r="B1651" s="839" t="s">
        <v>98</v>
      </c>
      <c r="C1651" s="839" t="s">
        <v>381</v>
      </c>
      <c r="D1651" s="839" t="s">
        <v>5486</v>
      </c>
      <c r="E1651" s="839" t="s">
        <v>5487</v>
      </c>
      <c r="F1651" s="841">
        <v>45784</v>
      </c>
      <c r="G1651" s="868" t="s">
        <v>383</v>
      </c>
      <c r="H1651" s="842" t="s">
        <v>134</v>
      </c>
      <c r="I1651" s="883"/>
      <c r="J1651" s="841"/>
      <c r="K1651" s="841"/>
      <c r="L1651" s="843" t="s">
        <v>106</v>
      </c>
      <c r="M1651" s="844" t="s">
        <v>107</v>
      </c>
      <c r="N1651" s="841"/>
      <c r="O1651" s="884" t="s">
        <v>150</v>
      </c>
      <c r="P1651" s="842" t="s">
        <v>5523</v>
      </c>
      <c r="Q1651" s="843"/>
      <c r="R1651" s="845">
        <v>3107</v>
      </c>
      <c r="S1651" s="1127" t="s">
        <v>5556</v>
      </c>
      <c r="T1651" s="885" t="s">
        <v>5557</v>
      </c>
      <c r="U1651" s="886">
        <v>8</v>
      </c>
      <c r="V1651" s="842" t="s">
        <v>3</v>
      </c>
      <c r="W1651" s="846">
        <v>965</v>
      </c>
      <c r="X1651" s="847">
        <f t="shared" si="313"/>
        <v>7720</v>
      </c>
      <c r="Y1651" s="853">
        <v>0.55000000000000004</v>
      </c>
      <c r="Z1651" s="849">
        <v>434.25</v>
      </c>
      <c r="AA1651" s="849"/>
      <c r="AB1651" s="849">
        <f t="shared" si="302"/>
        <v>3474</v>
      </c>
      <c r="AC1651" s="850">
        <f t="shared" si="303"/>
        <v>3474</v>
      </c>
      <c r="AD1651" s="851">
        <f t="shared" si="314"/>
        <v>32000</v>
      </c>
      <c r="AE1651" s="852">
        <v>30081.54</v>
      </c>
      <c r="AF1651" s="853">
        <v>0</v>
      </c>
      <c r="AG1651" s="854">
        <f t="shared" si="304"/>
        <v>0</v>
      </c>
      <c r="AH1651" s="853">
        <v>0.08</v>
      </c>
      <c r="AI1651" s="855">
        <f t="shared" si="305"/>
        <v>8360261.5968000004</v>
      </c>
      <c r="AJ1651" s="845" t="s">
        <v>5491</v>
      </c>
      <c r="AK1651" s="857">
        <v>45910</v>
      </c>
      <c r="AL1651" s="843">
        <v>251084200</v>
      </c>
      <c r="AM1651" s="843" t="s">
        <v>5492</v>
      </c>
      <c r="AN1651" s="844" t="s">
        <v>5493</v>
      </c>
      <c r="AO1651" s="844" t="s">
        <v>141</v>
      </c>
      <c r="AP1651" s="841"/>
      <c r="AQ1651" s="841">
        <v>45916</v>
      </c>
      <c r="AR1651" s="841">
        <v>45961</v>
      </c>
      <c r="AS1651" s="842" t="s">
        <v>1145</v>
      </c>
      <c r="AT1651" s="842" t="s">
        <v>1235</v>
      </c>
      <c r="AU1651" s="842" t="s">
        <v>1565</v>
      </c>
      <c r="AV1651" s="845" t="s">
        <v>5494</v>
      </c>
      <c r="AW1651" s="861">
        <v>45962</v>
      </c>
      <c r="AX1651" s="862">
        <v>45965</v>
      </c>
      <c r="AY1651" s="843" t="s">
        <v>5558</v>
      </c>
      <c r="AZ1651" s="842">
        <v>94017100</v>
      </c>
      <c r="BA1651" s="842" t="s">
        <v>120</v>
      </c>
      <c r="BB1651" s="863" t="s">
        <v>121</v>
      </c>
      <c r="BC1651" s="864">
        <v>45968</v>
      </c>
      <c r="BD1651" s="860" t="s">
        <v>5496</v>
      </c>
      <c r="BE1651" s="865" cm="1">
        <f t="array" ref="BE1651">IF(BD1651="","",AC1651/SUMPRODUCT(--(BD1651=$BD$4:$BD$12824),$AC$4:$AC$12824))</f>
        <v>2.3762036541962944E-2</v>
      </c>
      <c r="BF1651" s="458"/>
      <c r="BG1651" s="458"/>
      <c r="BH1651" s="458"/>
      <c r="BI1651" s="458"/>
      <c r="BJ1651" s="458"/>
      <c r="BK1651" s="458"/>
      <c r="BL1651" s="458"/>
      <c r="BM1651" s="458"/>
      <c r="BN1651" s="458"/>
      <c r="BO1651" s="866">
        <f>VLOOKUP(BD1651,$BD$4:$BN$12824,3,0)*BE1651</f>
        <v>707392.26354875555</v>
      </c>
      <c r="BP1651" s="866"/>
      <c r="BQ1651" s="866"/>
      <c r="BR1651" s="866">
        <f>VLOOKUP(BD1651,$BD$4:$BN$12824,6,0)*BE1651</f>
        <v>287964.99224108632</v>
      </c>
      <c r="BS1651" s="866">
        <f>VLOOKUP(BD1651,$BD$4:$BN$12824,7,0)*BE1651</f>
        <v>104013.54095328299</v>
      </c>
      <c r="BT1651" s="866"/>
      <c r="BU1651" s="866">
        <f>VLOOKUP(BD1651,$BD$4:$BN$12824,9,0)*BE1651</f>
        <v>12356.25900182073</v>
      </c>
      <c r="BV1651" s="867"/>
      <c r="BW1651" s="867">
        <f>VLOOKUP(BD1651,$BD$4:$BN$12824,11,0)*BE1651</f>
        <v>111131.52460505076</v>
      </c>
      <c r="BX1651" s="1146">
        <f t="shared" si="306"/>
        <v>1222858.5803499965</v>
      </c>
      <c r="BY1651" s="867">
        <f t="shared" si="309"/>
        <v>13215766.067543751</v>
      </c>
      <c r="BZ1651" s="867">
        <f t="shared" si="307"/>
        <v>105726128.54035001</v>
      </c>
      <c r="CA1651" s="867">
        <f>_xlfn.MAXIFS($BY$4:$BY$12824,$S$4:$S$12824,$S1651)</f>
        <v>13215766.067543751</v>
      </c>
      <c r="CB1651" s="1032"/>
      <c r="CF1651" s="946">
        <f t="shared" si="315"/>
        <v>111168000</v>
      </c>
    </row>
    <row r="1652" spans="2:84">
      <c r="B1652" s="839" t="s">
        <v>98</v>
      </c>
      <c r="C1652" s="839" t="s">
        <v>381</v>
      </c>
      <c r="D1652" s="839" t="s">
        <v>5486</v>
      </c>
      <c r="E1652" s="839" t="s">
        <v>5487</v>
      </c>
      <c r="F1652" s="841">
        <v>45784</v>
      </c>
      <c r="G1652" s="868" t="s">
        <v>383</v>
      </c>
      <c r="H1652" s="842" t="s">
        <v>134</v>
      </c>
      <c r="I1652" s="883"/>
      <c r="J1652" s="841"/>
      <c r="K1652" s="841"/>
      <c r="L1652" s="843" t="s">
        <v>106</v>
      </c>
      <c r="M1652" s="844" t="s">
        <v>107</v>
      </c>
      <c r="N1652" s="841"/>
      <c r="O1652" s="884" t="s">
        <v>150</v>
      </c>
      <c r="P1652" s="842" t="s">
        <v>5523</v>
      </c>
      <c r="Q1652" s="843"/>
      <c r="R1652" s="845">
        <v>3107</v>
      </c>
      <c r="S1652" s="1127" t="s">
        <v>5559</v>
      </c>
      <c r="T1652" s="885" t="s">
        <v>5560</v>
      </c>
      <c r="U1652" s="886">
        <v>8</v>
      </c>
      <c r="V1652" s="842" t="s">
        <v>3</v>
      </c>
      <c r="W1652" s="846">
        <v>1007</v>
      </c>
      <c r="X1652" s="847">
        <f t="shared" si="313"/>
        <v>8056</v>
      </c>
      <c r="Y1652" s="853">
        <v>0.55000000000000004</v>
      </c>
      <c r="Z1652" s="849">
        <v>453.15</v>
      </c>
      <c r="AA1652" s="849"/>
      <c r="AB1652" s="849">
        <f t="shared" si="302"/>
        <v>3625.2</v>
      </c>
      <c r="AC1652" s="850">
        <f t="shared" si="303"/>
        <v>3625.2</v>
      </c>
      <c r="AD1652" s="851">
        <f t="shared" si="314"/>
        <v>32000</v>
      </c>
      <c r="AE1652" s="852">
        <v>30081.54</v>
      </c>
      <c r="AF1652" s="853">
        <v>0</v>
      </c>
      <c r="AG1652" s="854">
        <f t="shared" si="304"/>
        <v>0</v>
      </c>
      <c r="AH1652" s="853">
        <v>0.08</v>
      </c>
      <c r="AI1652" s="855">
        <f t="shared" si="305"/>
        <v>8724127.9046400003</v>
      </c>
      <c r="AJ1652" s="845" t="s">
        <v>5491</v>
      </c>
      <c r="AK1652" s="857">
        <v>45910</v>
      </c>
      <c r="AL1652" s="843">
        <v>251084200</v>
      </c>
      <c r="AM1652" s="843" t="s">
        <v>5492</v>
      </c>
      <c r="AN1652" s="844" t="s">
        <v>5493</v>
      </c>
      <c r="AO1652" s="844" t="s">
        <v>141</v>
      </c>
      <c r="AP1652" s="841"/>
      <c r="AQ1652" s="841">
        <v>45916</v>
      </c>
      <c r="AR1652" s="841">
        <v>45961</v>
      </c>
      <c r="AS1652" s="842" t="s">
        <v>1145</v>
      </c>
      <c r="AT1652" s="842" t="s">
        <v>1235</v>
      </c>
      <c r="AU1652" s="842" t="s">
        <v>1565</v>
      </c>
      <c r="AV1652" s="845" t="s">
        <v>5494</v>
      </c>
      <c r="AW1652" s="861">
        <v>45962</v>
      </c>
      <c r="AX1652" s="862">
        <v>45965</v>
      </c>
      <c r="AY1652" s="843" t="s">
        <v>5561</v>
      </c>
      <c r="AZ1652" s="842">
        <v>94017100</v>
      </c>
      <c r="BA1652" s="842" t="s">
        <v>120</v>
      </c>
      <c r="BB1652" s="863" t="s">
        <v>121</v>
      </c>
      <c r="BC1652" s="864">
        <v>45968</v>
      </c>
      <c r="BD1652" s="860" t="s">
        <v>5496</v>
      </c>
      <c r="BE1652" s="865" cm="1">
        <f t="array" ref="BE1652">IF(BD1652="","",AC1652/SUMPRODUCT(--(BD1652=$BD$4:$BD$12824),$AC$4:$AC$12824))</f>
        <v>2.4796239168659775E-2</v>
      </c>
      <c r="BF1652" s="458"/>
      <c r="BG1652" s="458"/>
      <c r="BH1652" s="458"/>
      <c r="BI1652" s="458"/>
      <c r="BJ1652" s="458"/>
      <c r="BK1652" s="458"/>
      <c r="BL1652" s="458"/>
      <c r="BM1652" s="458"/>
      <c r="BN1652" s="458"/>
      <c r="BO1652" s="866">
        <f>VLOOKUP(BD1652,$BD$4:$BN$12824,3,0)*BE1652</f>
        <v>738180.32061512617</v>
      </c>
      <c r="BP1652" s="866"/>
      <c r="BQ1652" s="866"/>
      <c r="BR1652" s="866">
        <f>VLOOKUP(BD1652,$BD$4:$BN$12824,6,0)*BE1652</f>
        <v>300498.18361323723</v>
      </c>
      <c r="BS1652" s="866">
        <f>VLOOKUP(BD1652,$BD$4:$BN$12824,7,0)*BE1652</f>
        <v>108540.55517093882</v>
      </c>
      <c r="BT1652" s="866"/>
      <c r="BU1652" s="866">
        <f>VLOOKUP(BD1652,$BD$4:$BN$12824,9,0)*BE1652</f>
        <v>12894.044367703083</v>
      </c>
      <c r="BV1652" s="867"/>
      <c r="BW1652" s="867">
        <f>VLOOKUP(BD1652,$BD$4:$BN$12824,11,0)*BE1652</f>
        <v>115968.33707490789</v>
      </c>
      <c r="BX1652" s="1146">
        <f t="shared" si="306"/>
        <v>1276081.4408419132</v>
      </c>
      <c r="BY1652" s="867">
        <f t="shared" si="309"/>
        <v>13790960.031105239</v>
      </c>
      <c r="BZ1652" s="867">
        <f t="shared" si="307"/>
        <v>110327680.24884191</v>
      </c>
      <c r="CA1652" s="867">
        <f>_xlfn.MAXIFS($BY$4:$BY$12824,$S$4:$S$12824,$S1652)</f>
        <v>13790960.031105239</v>
      </c>
      <c r="CB1652" s="1032"/>
      <c r="CF1652" s="946">
        <f t="shared" si="315"/>
        <v>116006400</v>
      </c>
    </row>
    <row r="1653" spans="2:84">
      <c r="B1653" s="839" t="s">
        <v>98</v>
      </c>
      <c r="C1653" s="839" t="s">
        <v>381</v>
      </c>
      <c r="D1653" s="839" t="s">
        <v>5486</v>
      </c>
      <c r="E1653" s="839" t="s">
        <v>5487</v>
      </c>
      <c r="F1653" s="841">
        <v>45784</v>
      </c>
      <c r="G1653" s="868" t="s">
        <v>383</v>
      </c>
      <c r="H1653" s="842" t="s">
        <v>134</v>
      </c>
      <c r="I1653" s="883"/>
      <c r="J1653" s="841"/>
      <c r="K1653" s="841"/>
      <c r="L1653" s="843" t="s">
        <v>106</v>
      </c>
      <c r="M1653" s="844" t="s">
        <v>107</v>
      </c>
      <c r="N1653" s="841"/>
      <c r="O1653" s="884" t="s">
        <v>150</v>
      </c>
      <c r="P1653" s="842" t="s">
        <v>5523</v>
      </c>
      <c r="Q1653" s="843"/>
      <c r="R1653" s="845">
        <v>3207</v>
      </c>
      <c r="S1653" s="1127" t="s">
        <v>5562</v>
      </c>
      <c r="T1653" s="885" t="s">
        <v>5563</v>
      </c>
      <c r="U1653" s="886">
        <v>4</v>
      </c>
      <c r="V1653" s="842" t="s">
        <v>3</v>
      </c>
      <c r="W1653" s="846">
        <v>1049</v>
      </c>
      <c r="X1653" s="847">
        <f t="shared" si="313"/>
        <v>4196</v>
      </c>
      <c r="Y1653" s="853">
        <v>0.55000000000000004</v>
      </c>
      <c r="Z1653" s="849">
        <v>472.05</v>
      </c>
      <c r="AA1653" s="849"/>
      <c r="AB1653" s="849">
        <f t="shared" si="302"/>
        <v>1888.2</v>
      </c>
      <c r="AC1653" s="850">
        <f t="shared" si="303"/>
        <v>1888.2</v>
      </c>
      <c r="AD1653" s="851">
        <f t="shared" si="314"/>
        <v>32000</v>
      </c>
      <c r="AE1653" s="852">
        <v>30081.54</v>
      </c>
      <c r="AF1653" s="853">
        <v>0</v>
      </c>
      <c r="AG1653" s="854">
        <f t="shared" si="304"/>
        <v>0</v>
      </c>
      <c r="AH1653" s="853">
        <v>0.08</v>
      </c>
      <c r="AI1653" s="855">
        <f t="shared" si="305"/>
        <v>4543997.1062400006</v>
      </c>
      <c r="AJ1653" s="845" t="s">
        <v>5491</v>
      </c>
      <c r="AK1653" s="857">
        <v>45910</v>
      </c>
      <c r="AL1653" s="843">
        <v>251084200</v>
      </c>
      <c r="AM1653" s="843" t="s">
        <v>5492</v>
      </c>
      <c r="AN1653" s="844" t="s">
        <v>5493</v>
      </c>
      <c r="AO1653" s="844" t="s">
        <v>141</v>
      </c>
      <c r="AP1653" s="841"/>
      <c r="AQ1653" s="841">
        <v>45916</v>
      </c>
      <c r="AR1653" s="841">
        <v>45961</v>
      </c>
      <c r="AS1653" s="842" t="s">
        <v>1145</v>
      </c>
      <c r="AT1653" s="842" t="s">
        <v>1235</v>
      </c>
      <c r="AU1653" s="842" t="s">
        <v>1565</v>
      </c>
      <c r="AV1653" s="845" t="s">
        <v>5494</v>
      </c>
      <c r="AW1653" s="861">
        <v>45962</v>
      </c>
      <c r="AX1653" s="862">
        <v>45965</v>
      </c>
      <c r="AY1653" s="843" t="s">
        <v>5564</v>
      </c>
      <c r="AZ1653" s="842">
        <v>94017100</v>
      </c>
      <c r="BA1653" s="842" t="s">
        <v>120</v>
      </c>
      <c r="BB1653" s="863" t="s">
        <v>121</v>
      </c>
      <c r="BC1653" s="864">
        <v>45968</v>
      </c>
      <c r="BD1653" s="860" t="s">
        <v>5496</v>
      </c>
      <c r="BE1653" s="865" cm="1">
        <f t="array" ref="BE1653">IF(BD1653="","",AC1653/SUMPRODUCT(--(BD1653=$BD$4:$BD$12824),$AC$4:$AC$12824))</f>
        <v>1.2915220897678305E-2</v>
      </c>
      <c r="BF1653" s="458"/>
      <c r="BG1653" s="458"/>
      <c r="BH1653" s="458"/>
      <c r="BI1653" s="458"/>
      <c r="BJ1653" s="458"/>
      <c r="BK1653" s="458"/>
      <c r="BL1653" s="458"/>
      <c r="BM1653" s="458"/>
      <c r="BN1653" s="458"/>
      <c r="BO1653" s="866">
        <f>VLOOKUP(BD1653,$BD$4:$BN$12824,3,0)*BE1653</f>
        <v>384484.18884074851</v>
      </c>
      <c r="BP1653" s="866"/>
      <c r="BQ1653" s="866"/>
      <c r="BR1653" s="866">
        <f>VLOOKUP(BD1653,$BD$4:$BN$12824,6,0)*BE1653</f>
        <v>156515.68749269407</v>
      </c>
      <c r="BS1653" s="866">
        <f>VLOOKUP(BD1653,$BD$4:$BN$12824,7,0)*BE1653</f>
        <v>56533.784694297334</v>
      </c>
      <c r="BT1653" s="866"/>
      <c r="BU1653" s="866">
        <f>VLOOKUP(BD1653,$BD$4:$BN$12824,9,0)*BE1653</f>
        <v>6715.9148667927184</v>
      </c>
      <c r="BV1653" s="867"/>
      <c r="BW1653" s="867">
        <f>VLOOKUP(BD1653,$BD$4:$BN$12824,11,0)*BE1653</f>
        <v>60402.574772382512</v>
      </c>
      <c r="BX1653" s="1146">
        <f t="shared" si="306"/>
        <v>664652.15066691511</v>
      </c>
      <c r="BY1653" s="867">
        <f t="shared" si="309"/>
        <v>14366153.994666729</v>
      </c>
      <c r="BZ1653" s="867">
        <f t="shared" si="307"/>
        <v>57464615.978666916</v>
      </c>
      <c r="CA1653" s="867">
        <f>_xlfn.MAXIFS($BY$4:$BY$12824,$S$4:$S$12824,$S1653)</f>
        <v>14366153.994666729</v>
      </c>
      <c r="CB1653" s="1032"/>
      <c r="CF1653" s="946">
        <f t="shared" si="315"/>
        <v>60422400</v>
      </c>
    </row>
    <row r="1654" spans="2:84">
      <c r="B1654" s="839" t="s">
        <v>98</v>
      </c>
      <c r="C1654" s="839" t="s">
        <v>381</v>
      </c>
      <c r="D1654" s="839" t="s">
        <v>5486</v>
      </c>
      <c r="E1654" s="839" t="s">
        <v>5487</v>
      </c>
      <c r="F1654" s="841">
        <v>45784</v>
      </c>
      <c r="G1654" s="868" t="s">
        <v>383</v>
      </c>
      <c r="H1654" s="842" t="s">
        <v>134</v>
      </c>
      <c r="I1654" s="883"/>
      <c r="J1654" s="841"/>
      <c r="K1654" s="841"/>
      <c r="L1654" s="843" t="s">
        <v>106</v>
      </c>
      <c r="M1654" s="844" t="s">
        <v>107</v>
      </c>
      <c r="N1654" s="841"/>
      <c r="O1654" s="884" t="s">
        <v>150</v>
      </c>
      <c r="P1654" s="842" t="s">
        <v>5523</v>
      </c>
      <c r="Q1654" s="843"/>
      <c r="R1654" s="845">
        <v>3217</v>
      </c>
      <c r="S1654" s="1127" t="s">
        <v>1715</v>
      </c>
      <c r="T1654" s="885" t="s">
        <v>5565</v>
      </c>
      <c r="U1654" s="886">
        <v>6</v>
      </c>
      <c r="V1654" s="842" t="s">
        <v>3</v>
      </c>
      <c r="W1654" s="846">
        <v>1553</v>
      </c>
      <c r="X1654" s="847">
        <f t="shared" si="313"/>
        <v>9318</v>
      </c>
      <c r="Y1654" s="853">
        <v>0.55000000000000004</v>
      </c>
      <c r="Z1654" s="849">
        <v>698.85</v>
      </c>
      <c r="AA1654" s="849"/>
      <c r="AB1654" s="849">
        <f t="shared" si="302"/>
        <v>4193.1000000000004</v>
      </c>
      <c r="AC1654" s="850">
        <f t="shared" si="303"/>
        <v>4193.1000000000004</v>
      </c>
      <c r="AD1654" s="851">
        <f t="shared" si="314"/>
        <v>32000</v>
      </c>
      <c r="AE1654" s="852">
        <v>30081.54</v>
      </c>
      <c r="AF1654" s="853">
        <v>0</v>
      </c>
      <c r="AG1654" s="854">
        <f t="shared" si="304"/>
        <v>0</v>
      </c>
      <c r="AH1654" s="853">
        <v>0.08</v>
      </c>
      <c r="AI1654" s="855">
        <f t="shared" si="305"/>
        <v>10090792.429920001</v>
      </c>
      <c r="AJ1654" s="845" t="s">
        <v>5491</v>
      </c>
      <c r="AK1654" s="857">
        <v>45910</v>
      </c>
      <c r="AL1654" s="843">
        <v>251084200</v>
      </c>
      <c r="AM1654" s="843" t="s">
        <v>5492</v>
      </c>
      <c r="AN1654" s="844" t="s">
        <v>5493</v>
      </c>
      <c r="AO1654" s="844" t="s">
        <v>141</v>
      </c>
      <c r="AP1654" s="841"/>
      <c r="AQ1654" s="841">
        <v>45916</v>
      </c>
      <c r="AR1654" s="841">
        <v>45961</v>
      </c>
      <c r="AS1654" s="842" t="s">
        <v>1145</v>
      </c>
      <c r="AT1654" s="842" t="s">
        <v>1235</v>
      </c>
      <c r="AU1654" s="842" t="s">
        <v>1565</v>
      </c>
      <c r="AV1654" s="845" t="s">
        <v>5494</v>
      </c>
      <c r="AW1654" s="861">
        <v>45962</v>
      </c>
      <c r="AX1654" s="862">
        <v>45965</v>
      </c>
      <c r="AY1654" s="843" t="s">
        <v>5566</v>
      </c>
      <c r="AZ1654" s="842">
        <v>94013900</v>
      </c>
      <c r="BA1654" s="842" t="s">
        <v>120</v>
      </c>
      <c r="BB1654" s="863" t="s">
        <v>121</v>
      </c>
      <c r="BC1654" s="864">
        <v>45968</v>
      </c>
      <c r="BD1654" s="860" t="s">
        <v>5496</v>
      </c>
      <c r="BE1654" s="865" cm="1">
        <f t="array" ref="BE1654">IF(BD1654="","",AC1654/SUMPRODUCT(--(BD1654=$BD$4:$BD$12824),$AC$4:$AC$12824))</f>
        <v>2.8680654986788953E-2</v>
      </c>
      <c r="BF1654" s="458"/>
      <c r="BG1654" s="458"/>
      <c r="BH1654" s="458"/>
      <c r="BI1654" s="458"/>
      <c r="BJ1654" s="458"/>
      <c r="BK1654" s="458"/>
      <c r="BL1654" s="458"/>
      <c r="BM1654" s="458"/>
      <c r="BN1654" s="458"/>
      <c r="BO1654" s="866">
        <f>VLOOKUP(BD1654,$BD$4:$BN$12824,3,0)*BE1654</f>
        <v>853818.79685845913</v>
      </c>
      <c r="BP1654" s="866"/>
      <c r="BQ1654" s="866"/>
      <c r="BR1654" s="866">
        <f>VLOOKUP(BD1654,$BD$4:$BN$12824,6,0)*BE1654</f>
        <v>347572.25358839927</v>
      </c>
      <c r="BS1654" s="866">
        <f>VLOOKUP(BD1654,$BD$4:$BN$12824,7,0)*BE1654</f>
        <v>125543.80500034857</v>
      </c>
      <c r="BT1654" s="866"/>
      <c r="BU1654" s="866">
        <f>VLOOKUP(BD1654,$BD$4:$BN$12824,9,0)*BE1654</f>
        <v>14913.940593130255</v>
      </c>
      <c r="BV1654" s="867"/>
      <c r="BW1654" s="867">
        <f>VLOOKUP(BD1654,$BD$4:$BN$12824,11,0)*BE1654</f>
        <v>134135.17438728796</v>
      </c>
      <c r="BX1654" s="1146">
        <f t="shared" si="306"/>
        <v>1475983.9704276251</v>
      </c>
      <c r="BY1654" s="867">
        <f t="shared" si="309"/>
        <v>21268481.557404608</v>
      </c>
      <c r="BZ1654" s="867">
        <f t="shared" si="307"/>
        <v>127610889.34442765</v>
      </c>
      <c r="CA1654" s="867">
        <f>_xlfn.MAXIFS($BY$4:$BY$12824,$S$4:$S$12824,$S1654)</f>
        <v>21656581.837353382</v>
      </c>
      <c r="CB1654" s="1032"/>
      <c r="CF1654" s="946">
        <f t="shared" si="315"/>
        <v>134179200.00000001</v>
      </c>
    </row>
    <row r="1655" spans="2:84">
      <c r="B1655" s="839" t="s">
        <v>98</v>
      </c>
      <c r="C1655" s="839" t="s">
        <v>381</v>
      </c>
      <c r="D1655" s="839" t="s">
        <v>5486</v>
      </c>
      <c r="E1655" s="839" t="s">
        <v>5487</v>
      </c>
      <c r="F1655" s="841">
        <v>45784</v>
      </c>
      <c r="G1655" s="868" t="s">
        <v>383</v>
      </c>
      <c r="H1655" s="842" t="s">
        <v>134</v>
      </c>
      <c r="I1655" s="883"/>
      <c r="J1655" s="841"/>
      <c r="K1655" s="841"/>
      <c r="L1655" s="843" t="s">
        <v>106</v>
      </c>
      <c r="M1655" s="844" t="s">
        <v>107</v>
      </c>
      <c r="N1655" s="841"/>
      <c r="O1655" s="884" t="s">
        <v>150</v>
      </c>
      <c r="P1655" s="842" t="s">
        <v>5523</v>
      </c>
      <c r="Q1655" s="843"/>
      <c r="R1655" s="845">
        <v>3217</v>
      </c>
      <c r="S1655" s="1127" t="s">
        <v>5567</v>
      </c>
      <c r="T1655" s="885" t="s">
        <v>5568</v>
      </c>
      <c r="U1655" s="886">
        <v>2</v>
      </c>
      <c r="V1655" s="842" t="s">
        <v>3</v>
      </c>
      <c r="W1655" s="846">
        <v>1553</v>
      </c>
      <c r="X1655" s="847">
        <f t="shared" si="313"/>
        <v>3106</v>
      </c>
      <c r="Y1655" s="853">
        <v>0.55000000000000004</v>
      </c>
      <c r="Z1655" s="849">
        <v>698.85</v>
      </c>
      <c r="AA1655" s="849"/>
      <c r="AB1655" s="849">
        <f t="shared" si="302"/>
        <v>1397.7</v>
      </c>
      <c r="AC1655" s="850">
        <f t="shared" si="303"/>
        <v>1397.7</v>
      </c>
      <c r="AD1655" s="851">
        <f t="shared" si="314"/>
        <v>32000</v>
      </c>
      <c r="AE1655" s="852">
        <v>30081.54</v>
      </c>
      <c r="AF1655" s="853">
        <v>0</v>
      </c>
      <c r="AG1655" s="854">
        <f t="shared" si="304"/>
        <v>0</v>
      </c>
      <c r="AH1655" s="853">
        <v>0.08</v>
      </c>
      <c r="AI1655" s="855">
        <f t="shared" si="305"/>
        <v>3363597.4766400005</v>
      </c>
      <c r="AJ1655" s="845" t="s">
        <v>5491</v>
      </c>
      <c r="AK1655" s="857">
        <v>45910</v>
      </c>
      <c r="AL1655" s="843">
        <v>251084200</v>
      </c>
      <c r="AM1655" s="843" t="s">
        <v>5492</v>
      </c>
      <c r="AN1655" s="844" t="s">
        <v>5493</v>
      </c>
      <c r="AO1655" s="844" t="s">
        <v>141</v>
      </c>
      <c r="AP1655" s="841"/>
      <c r="AQ1655" s="841">
        <v>45916</v>
      </c>
      <c r="AR1655" s="841">
        <v>45961</v>
      </c>
      <c r="AS1655" s="842" t="s">
        <v>1145</v>
      </c>
      <c r="AT1655" s="842" t="s">
        <v>1235</v>
      </c>
      <c r="AU1655" s="842" t="s">
        <v>1565</v>
      </c>
      <c r="AV1655" s="845" t="s">
        <v>5494</v>
      </c>
      <c r="AW1655" s="861">
        <v>45962</v>
      </c>
      <c r="AX1655" s="862">
        <v>45965</v>
      </c>
      <c r="AY1655" s="843" t="s">
        <v>5569</v>
      </c>
      <c r="AZ1655" s="842">
        <v>94013900</v>
      </c>
      <c r="BA1655" s="842" t="s">
        <v>120</v>
      </c>
      <c r="BB1655" s="863" t="s">
        <v>121</v>
      </c>
      <c r="BC1655" s="864">
        <v>45968</v>
      </c>
      <c r="BD1655" s="860" t="s">
        <v>5496</v>
      </c>
      <c r="BE1655" s="865" cm="1">
        <f t="array" ref="BE1655">IF(BD1655="","",AC1655/SUMPRODUCT(--(BD1655=$BD$4:$BD$12824),$AC$4:$AC$12824))</f>
        <v>9.5602183289296514E-3</v>
      </c>
      <c r="BF1655" s="458"/>
      <c r="BG1655" s="458"/>
      <c r="BH1655" s="458"/>
      <c r="BI1655" s="458"/>
      <c r="BJ1655" s="458"/>
      <c r="BK1655" s="458"/>
      <c r="BL1655" s="458"/>
      <c r="BM1655" s="458"/>
      <c r="BN1655" s="458"/>
      <c r="BO1655" s="866">
        <f>VLOOKUP(BD1655,$BD$4:$BN$12824,3,0)*BE1655</f>
        <v>284606.2656194864</v>
      </c>
      <c r="BP1655" s="866"/>
      <c r="BQ1655" s="866"/>
      <c r="BR1655" s="866">
        <f>VLOOKUP(BD1655,$BD$4:$BN$12824,6,0)*BE1655</f>
        <v>115857.41786279976</v>
      </c>
      <c r="BS1655" s="866">
        <f>VLOOKUP(BD1655,$BD$4:$BN$12824,7,0)*BE1655</f>
        <v>41847.935000116187</v>
      </c>
      <c r="BT1655" s="866"/>
      <c r="BU1655" s="866">
        <f>VLOOKUP(BD1655,$BD$4:$BN$12824,9,0)*BE1655</f>
        <v>4971.3135310434191</v>
      </c>
      <c r="BV1655" s="867"/>
      <c r="BW1655" s="867">
        <f>VLOOKUP(BD1655,$BD$4:$BN$12824,11,0)*BE1655</f>
        <v>44711.724795762653</v>
      </c>
      <c r="BX1655" s="1146">
        <f t="shared" si="306"/>
        <v>491994.65680920845</v>
      </c>
      <c r="BY1655" s="867">
        <f t="shared" si="309"/>
        <v>21268481.557404608</v>
      </c>
      <c r="BZ1655" s="867">
        <f t="shared" si="307"/>
        <v>42536963.114809215</v>
      </c>
      <c r="CA1655" s="867">
        <f>_xlfn.MAXIFS($BY$4:$BY$12824,$S$4:$S$12824,$S1655)</f>
        <v>21268481.557404608</v>
      </c>
      <c r="CB1655" s="1032"/>
      <c r="CF1655" s="946">
        <f t="shared" si="315"/>
        <v>44726400</v>
      </c>
    </row>
    <row r="1656" spans="2:84">
      <c r="B1656" s="839" t="s">
        <v>98</v>
      </c>
      <c r="C1656" s="839" t="s">
        <v>381</v>
      </c>
      <c r="D1656" s="839" t="s">
        <v>5486</v>
      </c>
      <c r="E1656" s="839" t="s">
        <v>5487</v>
      </c>
      <c r="F1656" s="841">
        <v>45784</v>
      </c>
      <c r="G1656" s="868" t="s">
        <v>383</v>
      </c>
      <c r="H1656" s="842" t="s">
        <v>134</v>
      </c>
      <c r="I1656" s="883"/>
      <c r="J1656" s="841"/>
      <c r="K1656" s="841"/>
      <c r="L1656" s="843" t="s">
        <v>106</v>
      </c>
      <c r="M1656" s="844" t="s">
        <v>107</v>
      </c>
      <c r="N1656" s="841"/>
      <c r="O1656" s="884" t="s">
        <v>150</v>
      </c>
      <c r="P1656" s="842" t="s">
        <v>5523</v>
      </c>
      <c r="Q1656" s="843"/>
      <c r="R1656" s="845">
        <v>3217</v>
      </c>
      <c r="S1656" s="1127" t="s">
        <v>5570</v>
      </c>
      <c r="T1656" s="885" t="s">
        <v>5571</v>
      </c>
      <c r="U1656" s="886">
        <v>1</v>
      </c>
      <c r="V1656" s="842" t="s">
        <v>3</v>
      </c>
      <c r="W1656" s="846">
        <v>1763</v>
      </c>
      <c r="X1656" s="847">
        <f t="shared" si="313"/>
        <v>1763</v>
      </c>
      <c r="Y1656" s="853">
        <v>0.55000000000000004</v>
      </c>
      <c r="Z1656" s="849">
        <v>793.35</v>
      </c>
      <c r="AA1656" s="849"/>
      <c r="AB1656" s="849">
        <f t="shared" si="302"/>
        <v>793.35</v>
      </c>
      <c r="AC1656" s="850">
        <f t="shared" si="303"/>
        <v>793.35</v>
      </c>
      <c r="AD1656" s="851">
        <f t="shared" si="314"/>
        <v>32000</v>
      </c>
      <c r="AE1656" s="852">
        <v>30081.54</v>
      </c>
      <c r="AF1656" s="853">
        <v>0</v>
      </c>
      <c r="AG1656" s="854">
        <f t="shared" si="304"/>
        <v>0</v>
      </c>
      <c r="AH1656" s="853">
        <v>0.08</v>
      </c>
      <c r="AI1656" s="855">
        <f t="shared" si="305"/>
        <v>1909215.1807200001</v>
      </c>
      <c r="AJ1656" s="845" t="s">
        <v>5491</v>
      </c>
      <c r="AK1656" s="857">
        <v>45910</v>
      </c>
      <c r="AL1656" s="843">
        <v>251084200</v>
      </c>
      <c r="AM1656" s="843" t="s">
        <v>5492</v>
      </c>
      <c r="AN1656" s="844" t="s">
        <v>5493</v>
      </c>
      <c r="AO1656" s="844" t="s">
        <v>141</v>
      </c>
      <c r="AP1656" s="841"/>
      <c r="AQ1656" s="841">
        <v>45916</v>
      </c>
      <c r="AR1656" s="841">
        <v>45961</v>
      </c>
      <c r="AS1656" s="842" t="s">
        <v>1145</v>
      </c>
      <c r="AT1656" s="842" t="s">
        <v>1235</v>
      </c>
      <c r="AU1656" s="842" t="s">
        <v>1565</v>
      </c>
      <c r="AV1656" s="845" t="s">
        <v>5494</v>
      </c>
      <c r="AW1656" s="861">
        <v>45962</v>
      </c>
      <c r="AX1656" s="862">
        <v>45965</v>
      </c>
      <c r="AY1656" s="843" t="s">
        <v>5572</v>
      </c>
      <c r="AZ1656" s="842">
        <v>94013900</v>
      </c>
      <c r="BA1656" s="842" t="s">
        <v>120</v>
      </c>
      <c r="BB1656" s="863" t="s">
        <v>121</v>
      </c>
      <c r="BC1656" s="864">
        <v>45968</v>
      </c>
      <c r="BD1656" s="860" t="s">
        <v>5496</v>
      </c>
      <c r="BE1656" s="865" cm="1">
        <f t="array" ref="BE1656">IF(BD1656="","",AC1656/SUMPRODUCT(--(BD1656=$BD$4:$BD$12824),$AC$4:$AC$12824))</f>
        <v>5.4264858061503461E-3</v>
      </c>
      <c r="BF1656" s="458"/>
      <c r="BG1656" s="458"/>
      <c r="BH1656" s="458"/>
      <c r="BI1656" s="458"/>
      <c r="BJ1656" s="458"/>
      <c r="BK1656" s="458"/>
      <c r="BL1656" s="458"/>
      <c r="BM1656" s="458"/>
      <c r="BN1656" s="458"/>
      <c r="BO1656" s="866">
        <f>VLOOKUP(BD1656,$BD$4:$BN$12824,3,0)*BE1656</f>
        <v>161545.66847622488</v>
      </c>
      <c r="BP1656" s="866"/>
      <c r="BQ1656" s="866"/>
      <c r="BR1656" s="866">
        <f>VLOOKUP(BD1656,$BD$4:$BN$12824,6,0)*BE1656</f>
        <v>65761.953538994203</v>
      </c>
      <c r="BS1656" s="866">
        <f>VLOOKUP(BD1656,$BD$4:$BN$12824,7,0)*BE1656</f>
        <v>23753.351386092996</v>
      </c>
      <c r="BT1656" s="866"/>
      <c r="BU1656" s="866">
        <f>VLOOKUP(BD1656,$BD$4:$BN$12824,9,0)*BE1656</f>
        <v>2821.7726191981801</v>
      </c>
      <c r="BV1656" s="867"/>
      <c r="BW1656" s="867">
        <f>VLOOKUP(BD1656,$BD$4:$BN$12824,11,0)*BE1656</f>
        <v>25378.870191542035</v>
      </c>
      <c r="BX1656" s="1146">
        <f t="shared" si="306"/>
        <v>279261.61621205229</v>
      </c>
      <c r="BY1656" s="867">
        <f t="shared" si="309"/>
        <v>24144451.375212051</v>
      </c>
      <c r="BZ1656" s="867">
        <f t="shared" si="307"/>
        <v>24144451.375212051</v>
      </c>
      <c r="CA1656" s="867">
        <f>_xlfn.MAXIFS($BY$4:$BY$12824,$S$4:$S$12824,$S1656)</f>
        <v>24144451.375212051</v>
      </c>
      <c r="CB1656" s="1032"/>
      <c r="CF1656" s="946">
        <f t="shared" si="315"/>
        <v>25387200</v>
      </c>
    </row>
    <row r="1657" spans="2:84">
      <c r="B1657" s="839" t="s">
        <v>98</v>
      </c>
      <c r="C1657" s="839" t="s">
        <v>381</v>
      </c>
      <c r="D1657" s="839" t="s">
        <v>5486</v>
      </c>
      <c r="E1657" s="839" t="s">
        <v>5487</v>
      </c>
      <c r="F1657" s="841">
        <v>45784</v>
      </c>
      <c r="G1657" s="868" t="s">
        <v>383</v>
      </c>
      <c r="H1657" s="842" t="s">
        <v>134</v>
      </c>
      <c r="I1657" s="883"/>
      <c r="J1657" s="841"/>
      <c r="K1657" s="841"/>
      <c r="L1657" s="843" t="s">
        <v>106</v>
      </c>
      <c r="M1657" s="844" t="s">
        <v>107</v>
      </c>
      <c r="N1657" s="841"/>
      <c r="O1657" s="884" t="s">
        <v>150</v>
      </c>
      <c r="P1657" s="842" t="s">
        <v>5523</v>
      </c>
      <c r="Q1657" s="843"/>
      <c r="R1657" s="845">
        <v>3217</v>
      </c>
      <c r="S1657" s="1127" t="s">
        <v>5573</v>
      </c>
      <c r="T1657" s="885" t="s">
        <v>5574</v>
      </c>
      <c r="U1657" s="886">
        <v>1</v>
      </c>
      <c r="V1657" s="842" t="s">
        <v>3</v>
      </c>
      <c r="W1657" s="846">
        <v>1763</v>
      </c>
      <c r="X1657" s="847">
        <f t="shared" si="313"/>
        <v>1763</v>
      </c>
      <c r="Y1657" s="853">
        <v>0.55000000000000004</v>
      </c>
      <c r="Z1657" s="849">
        <v>793.35</v>
      </c>
      <c r="AA1657" s="849"/>
      <c r="AB1657" s="849">
        <f t="shared" si="302"/>
        <v>793.35</v>
      </c>
      <c r="AC1657" s="850">
        <f t="shared" si="303"/>
        <v>793.35</v>
      </c>
      <c r="AD1657" s="851">
        <f t="shared" si="314"/>
        <v>32000</v>
      </c>
      <c r="AE1657" s="852">
        <v>30081.54</v>
      </c>
      <c r="AF1657" s="853">
        <v>0</v>
      </c>
      <c r="AG1657" s="854">
        <f t="shared" si="304"/>
        <v>0</v>
      </c>
      <c r="AH1657" s="853">
        <v>0.08</v>
      </c>
      <c r="AI1657" s="855">
        <f t="shared" si="305"/>
        <v>1909215.1807200001</v>
      </c>
      <c r="AJ1657" s="845" t="s">
        <v>5491</v>
      </c>
      <c r="AK1657" s="857">
        <v>45910</v>
      </c>
      <c r="AL1657" s="843">
        <v>251084200</v>
      </c>
      <c r="AM1657" s="843" t="s">
        <v>5492</v>
      </c>
      <c r="AN1657" s="844" t="s">
        <v>5493</v>
      </c>
      <c r="AO1657" s="844" t="s">
        <v>141</v>
      </c>
      <c r="AP1657" s="841"/>
      <c r="AQ1657" s="841">
        <v>45916</v>
      </c>
      <c r="AR1657" s="841">
        <v>45961</v>
      </c>
      <c r="AS1657" s="842" t="s">
        <v>1145</v>
      </c>
      <c r="AT1657" s="842" t="s">
        <v>1235</v>
      </c>
      <c r="AU1657" s="842" t="s">
        <v>1565</v>
      </c>
      <c r="AV1657" s="845" t="s">
        <v>5494</v>
      </c>
      <c r="AW1657" s="861">
        <v>45962</v>
      </c>
      <c r="AX1657" s="862">
        <v>45965</v>
      </c>
      <c r="AY1657" s="843" t="s">
        <v>5575</v>
      </c>
      <c r="AZ1657" s="842">
        <v>94013900</v>
      </c>
      <c r="BA1657" s="842" t="s">
        <v>120</v>
      </c>
      <c r="BB1657" s="863" t="s">
        <v>121</v>
      </c>
      <c r="BC1657" s="864">
        <v>45968</v>
      </c>
      <c r="BD1657" s="860" t="s">
        <v>5496</v>
      </c>
      <c r="BE1657" s="865" cm="1">
        <f t="array" ref="BE1657">IF(BD1657="","",AC1657/SUMPRODUCT(--(BD1657=$BD$4:$BD$12824),$AC$4:$AC$12824))</f>
        <v>5.4264858061503461E-3</v>
      </c>
      <c r="BF1657" s="458"/>
      <c r="BG1657" s="458"/>
      <c r="BH1657" s="458"/>
      <c r="BI1657" s="458"/>
      <c r="BJ1657" s="458"/>
      <c r="BK1657" s="458"/>
      <c r="BL1657" s="458"/>
      <c r="BM1657" s="458"/>
      <c r="BN1657" s="458"/>
      <c r="BO1657" s="866">
        <f>VLOOKUP(BD1657,$BD$4:$BN$12824,3,0)*BE1657</f>
        <v>161545.66847622488</v>
      </c>
      <c r="BP1657" s="866"/>
      <c r="BQ1657" s="866"/>
      <c r="BR1657" s="866">
        <f>VLOOKUP(BD1657,$BD$4:$BN$12824,6,0)*BE1657</f>
        <v>65761.953538994203</v>
      </c>
      <c r="BS1657" s="866">
        <f>VLOOKUP(BD1657,$BD$4:$BN$12824,7,0)*BE1657</f>
        <v>23753.351386092996</v>
      </c>
      <c r="BT1657" s="866"/>
      <c r="BU1657" s="866">
        <f>VLOOKUP(BD1657,$BD$4:$BN$12824,9,0)*BE1657</f>
        <v>2821.7726191981801</v>
      </c>
      <c r="BV1657" s="867"/>
      <c r="BW1657" s="867">
        <f>VLOOKUP(BD1657,$BD$4:$BN$12824,11,0)*BE1657</f>
        <v>25378.870191542035</v>
      </c>
      <c r="BX1657" s="1146">
        <f t="shared" si="306"/>
        <v>279261.61621205229</v>
      </c>
      <c r="BY1657" s="867">
        <f t="shared" si="309"/>
        <v>24144451.375212051</v>
      </c>
      <c r="BZ1657" s="867">
        <f t="shared" si="307"/>
        <v>24144451.375212051</v>
      </c>
      <c r="CA1657" s="867">
        <f>_xlfn.MAXIFS($BY$4:$BY$12824,$S$4:$S$12824,$S1657)</f>
        <v>24144451.375212051</v>
      </c>
      <c r="CB1657" s="1032"/>
      <c r="CF1657" s="946">
        <f t="shared" si="315"/>
        <v>25387200</v>
      </c>
    </row>
    <row r="1658" spans="2:84">
      <c r="B1658" s="839" t="s">
        <v>98</v>
      </c>
      <c r="C1658" s="839" t="s">
        <v>381</v>
      </c>
      <c r="D1658" s="839" t="s">
        <v>5486</v>
      </c>
      <c r="E1658" s="839" t="s">
        <v>5487</v>
      </c>
      <c r="F1658" s="841">
        <v>45784</v>
      </c>
      <c r="G1658" s="868" t="s">
        <v>383</v>
      </c>
      <c r="H1658" s="842" t="s">
        <v>134</v>
      </c>
      <c r="I1658" s="883"/>
      <c r="J1658" s="841"/>
      <c r="K1658" s="841"/>
      <c r="L1658" s="843" t="s">
        <v>106</v>
      </c>
      <c r="M1658" s="844" t="s">
        <v>107</v>
      </c>
      <c r="N1658" s="841"/>
      <c r="O1658" s="884" t="s">
        <v>150</v>
      </c>
      <c r="P1658" s="842" t="s">
        <v>5523</v>
      </c>
      <c r="Q1658" s="843"/>
      <c r="R1658" s="845">
        <v>3107</v>
      </c>
      <c r="S1658" s="1127" t="s">
        <v>5576</v>
      </c>
      <c r="T1658" s="885" t="s">
        <v>5577</v>
      </c>
      <c r="U1658" s="886">
        <v>12</v>
      </c>
      <c r="V1658" s="842" t="s">
        <v>3</v>
      </c>
      <c r="W1658" s="846">
        <v>410</v>
      </c>
      <c r="X1658" s="847">
        <f t="shared" si="313"/>
        <v>4920</v>
      </c>
      <c r="Y1658" s="853">
        <v>0.5</v>
      </c>
      <c r="Z1658" s="849">
        <v>205</v>
      </c>
      <c r="AA1658" s="849"/>
      <c r="AB1658" s="849">
        <f t="shared" si="302"/>
        <v>2460</v>
      </c>
      <c r="AC1658" s="850">
        <f t="shared" si="303"/>
        <v>2460</v>
      </c>
      <c r="AD1658" s="851">
        <f t="shared" si="314"/>
        <v>32000</v>
      </c>
      <c r="AE1658" s="852">
        <v>30081.54</v>
      </c>
      <c r="AF1658" s="853">
        <v>0</v>
      </c>
      <c r="AG1658" s="854">
        <f t="shared" si="304"/>
        <v>0</v>
      </c>
      <c r="AH1658" s="853">
        <v>0.08</v>
      </c>
      <c r="AI1658" s="855">
        <f t="shared" si="305"/>
        <v>5920047.0720000006</v>
      </c>
      <c r="AJ1658" s="845" t="s">
        <v>5491</v>
      </c>
      <c r="AK1658" s="857">
        <v>45910</v>
      </c>
      <c r="AL1658" s="843">
        <v>251084200</v>
      </c>
      <c r="AM1658" s="843" t="s">
        <v>5492</v>
      </c>
      <c r="AN1658" s="844" t="s">
        <v>5493</v>
      </c>
      <c r="AO1658" s="844" t="s">
        <v>141</v>
      </c>
      <c r="AP1658" s="841"/>
      <c r="AQ1658" s="841">
        <v>45916</v>
      </c>
      <c r="AR1658" s="841">
        <v>45961</v>
      </c>
      <c r="AS1658" s="842" t="s">
        <v>1145</v>
      </c>
      <c r="AT1658" s="842" t="s">
        <v>1235</v>
      </c>
      <c r="AU1658" s="842" t="s">
        <v>1565</v>
      </c>
      <c r="AV1658" s="845" t="s">
        <v>5494</v>
      </c>
      <c r="AW1658" s="861">
        <v>45962</v>
      </c>
      <c r="AX1658" s="862">
        <v>45965</v>
      </c>
      <c r="AY1658" s="843" t="s">
        <v>5578</v>
      </c>
      <c r="AZ1658" s="842">
        <v>94017990</v>
      </c>
      <c r="BA1658" s="842" t="s">
        <v>120</v>
      </c>
      <c r="BB1658" s="863" t="s">
        <v>121</v>
      </c>
      <c r="BC1658" s="864">
        <v>45968</v>
      </c>
      <c r="BD1658" s="860" t="s">
        <v>5496</v>
      </c>
      <c r="BE1658" s="865" cm="1">
        <f t="array" ref="BE1658">IF(BD1658="","",AC1658/SUMPRODUCT(--(BD1658=$BD$4:$BD$12824),$AC$4:$AC$12824))</f>
        <v>1.6826312577210373E-2</v>
      </c>
      <c r="BF1658" s="458"/>
      <c r="BG1658" s="458"/>
      <c r="BH1658" s="458"/>
      <c r="BI1658" s="458"/>
      <c r="BJ1658" s="458"/>
      <c r="BK1658" s="458"/>
      <c r="BL1658" s="458"/>
      <c r="BM1658" s="458"/>
      <c r="BN1658" s="458"/>
      <c r="BO1658" s="866">
        <f>VLOOKUP(BD1658,$BD$4:$BN$12824,3,0)*BE1658</f>
        <v>500916.80147666624</v>
      </c>
      <c r="BP1658" s="866"/>
      <c r="BQ1658" s="866"/>
      <c r="BR1658" s="866">
        <f>VLOOKUP(BD1658,$BD$4:$BN$12824,6,0)*BE1658</f>
        <v>203913.03422943933</v>
      </c>
      <c r="BS1658" s="866">
        <f>VLOOKUP(BD1658,$BD$4:$BN$12824,7,0)*BE1658</f>
        <v>73653.802747575159</v>
      </c>
      <c r="BT1658" s="866"/>
      <c r="BU1658" s="866">
        <f>VLOOKUP(BD1658,$BD$4:$BN$12824,9,0)*BE1658</f>
        <v>8749.6825401493934</v>
      </c>
      <c r="BV1658" s="867"/>
      <c r="BW1658" s="867">
        <f>VLOOKUP(BD1658,$BD$4:$BN$12824,11,0)*BE1658</f>
        <v>78694.17113656443</v>
      </c>
      <c r="BX1658" s="1146">
        <f t="shared" si="306"/>
        <v>865927.49213039468</v>
      </c>
      <c r="BY1658" s="867">
        <f t="shared" si="309"/>
        <v>6238876.3243442001</v>
      </c>
      <c r="BZ1658" s="867">
        <f t="shared" si="307"/>
        <v>74866515.892130405</v>
      </c>
      <c r="CA1658" s="867">
        <f>_xlfn.MAXIFS($BY$4:$BY$12824,$S$4:$S$12824,$S1658)</f>
        <v>6238876.3243442001</v>
      </c>
      <c r="CB1658" s="944">
        <v>17500000</v>
      </c>
      <c r="CC1658" s="946">
        <v>11500000</v>
      </c>
      <c r="CE1658" s="997">
        <f>(CC1658/1.08-CA1658)/(CC1658/1.08)</f>
        <v>0.41408813649637072</v>
      </c>
      <c r="CF1658" s="946">
        <f t="shared" si="315"/>
        <v>78720000</v>
      </c>
    </row>
    <row r="1659" spans="2:84">
      <c r="B1659" s="839" t="s">
        <v>98</v>
      </c>
      <c r="C1659" s="839" t="s">
        <v>381</v>
      </c>
      <c r="D1659" s="839" t="s">
        <v>5486</v>
      </c>
      <c r="E1659" s="839" t="s">
        <v>5487</v>
      </c>
      <c r="F1659" s="841">
        <v>45784</v>
      </c>
      <c r="G1659" s="868" t="s">
        <v>383</v>
      </c>
      <c r="H1659" s="842" t="s">
        <v>134</v>
      </c>
      <c r="I1659" s="883"/>
      <c r="J1659" s="841"/>
      <c r="K1659" s="841"/>
      <c r="L1659" s="843" t="s">
        <v>106</v>
      </c>
      <c r="M1659" s="844" t="s">
        <v>107</v>
      </c>
      <c r="N1659" s="841"/>
      <c r="O1659" s="884" t="s">
        <v>150</v>
      </c>
      <c r="P1659" s="842" t="s">
        <v>5523</v>
      </c>
      <c r="Q1659" s="843"/>
      <c r="R1659" s="845">
        <v>3107</v>
      </c>
      <c r="S1659" s="1127" t="s">
        <v>5579</v>
      </c>
      <c r="T1659" s="885" t="s">
        <v>5580</v>
      </c>
      <c r="U1659" s="886">
        <v>12</v>
      </c>
      <c r="V1659" s="842" t="s">
        <v>3</v>
      </c>
      <c r="W1659" s="846">
        <v>410</v>
      </c>
      <c r="X1659" s="847">
        <f t="shared" si="313"/>
        <v>4920</v>
      </c>
      <c r="Y1659" s="853">
        <v>0.5</v>
      </c>
      <c r="Z1659" s="849">
        <v>205</v>
      </c>
      <c r="AA1659" s="849"/>
      <c r="AB1659" s="849">
        <f t="shared" si="302"/>
        <v>2460</v>
      </c>
      <c r="AC1659" s="850">
        <f t="shared" si="303"/>
        <v>2460</v>
      </c>
      <c r="AD1659" s="851">
        <f t="shared" si="314"/>
        <v>32000</v>
      </c>
      <c r="AE1659" s="852">
        <v>30081.54</v>
      </c>
      <c r="AF1659" s="853">
        <v>0</v>
      </c>
      <c r="AG1659" s="854">
        <f t="shared" si="304"/>
        <v>0</v>
      </c>
      <c r="AH1659" s="853">
        <v>0.08</v>
      </c>
      <c r="AI1659" s="855">
        <f t="shared" si="305"/>
        <v>5920047.0720000006</v>
      </c>
      <c r="AJ1659" s="845" t="s">
        <v>5491</v>
      </c>
      <c r="AK1659" s="857">
        <v>45910</v>
      </c>
      <c r="AL1659" s="843">
        <v>251084200</v>
      </c>
      <c r="AM1659" s="843" t="s">
        <v>5492</v>
      </c>
      <c r="AN1659" s="844" t="s">
        <v>5493</v>
      </c>
      <c r="AO1659" s="844" t="s">
        <v>141</v>
      </c>
      <c r="AP1659" s="841"/>
      <c r="AQ1659" s="841">
        <v>45916</v>
      </c>
      <c r="AR1659" s="841">
        <v>45961</v>
      </c>
      <c r="AS1659" s="842" t="s">
        <v>1145</v>
      </c>
      <c r="AT1659" s="842" t="s">
        <v>1235</v>
      </c>
      <c r="AU1659" s="842" t="s">
        <v>1565</v>
      </c>
      <c r="AV1659" s="845" t="s">
        <v>5494</v>
      </c>
      <c r="AW1659" s="861">
        <v>45962</v>
      </c>
      <c r="AX1659" s="862">
        <v>45965</v>
      </c>
      <c r="AY1659" s="843" t="s">
        <v>5581</v>
      </c>
      <c r="AZ1659" s="842">
        <v>94017990</v>
      </c>
      <c r="BA1659" s="842" t="s">
        <v>120</v>
      </c>
      <c r="BB1659" s="863" t="s">
        <v>121</v>
      </c>
      <c r="BC1659" s="864">
        <v>45968</v>
      </c>
      <c r="BD1659" s="860" t="s">
        <v>5496</v>
      </c>
      <c r="BE1659" s="865" cm="1">
        <f t="array" ref="BE1659">IF(BD1659="","",AC1659/SUMPRODUCT(--(BD1659=$BD$4:$BD$12824),$AC$4:$AC$12824))</f>
        <v>1.6826312577210373E-2</v>
      </c>
      <c r="BF1659" s="458"/>
      <c r="BG1659" s="458"/>
      <c r="BH1659" s="458"/>
      <c r="BI1659" s="458"/>
      <c r="BJ1659" s="458"/>
      <c r="BK1659" s="458"/>
      <c r="BL1659" s="458"/>
      <c r="BM1659" s="458"/>
      <c r="BN1659" s="458"/>
      <c r="BO1659" s="866">
        <f>VLOOKUP(BD1659,$BD$4:$BN$12824,3,0)*BE1659</f>
        <v>500916.80147666624</v>
      </c>
      <c r="BP1659" s="866"/>
      <c r="BQ1659" s="866"/>
      <c r="BR1659" s="866">
        <f>VLOOKUP(BD1659,$BD$4:$BN$12824,6,0)*BE1659</f>
        <v>203913.03422943933</v>
      </c>
      <c r="BS1659" s="866">
        <f>VLOOKUP(BD1659,$BD$4:$BN$12824,7,0)*BE1659</f>
        <v>73653.802747575159</v>
      </c>
      <c r="BT1659" s="866"/>
      <c r="BU1659" s="866">
        <f>VLOOKUP(BD1659,$BD$4:$BN$12824,9,0)*BE1659</f>
        <v>8749.6825401493934</v>
      </c>
      <c r="BV1659" s="867"/>
      <c r="BW1659" s="867">
        <f>VLOOKUP(BD1659,$BD$4:$BN$12824,11,0)*BE1659</f>
        <v>78694.17113656443</v>
      </c>
      <c r="BX1659" s="1146">
        <f t="shared" si="306"/>
        <v>865927.49213039468</v>
      </c>
      <c r="BY1659" s="867">
        <f t="shared" si="309"/>
        <v>6238876.3243442001</v>
      </c>
      <c r="BZ1659" s="867">
        <f t="shared" si="307"/>
        <v>74866515.892130405</v>
      </c>
      <c r="CA1659" s="867">
        <f>_xlfn.MAXIFS($BY$4:$BY$12824,$S$4:$S$12824,$S1659)</f>
        <v>6238876.3243442001</v>
      </c>
      <c r="CB1659" s="944">
        <v>17500000</v>
      </c>
      <c r="CC1659" s="946">
        <v>11500000</v>
      </c>
      <c r="CE1659" s="997">
        <f>(CC1659/1.08-CA1659)/(CC1659/1.08)</f>
        <v>0.41408813649637072</v>
      </c>
      <c r="CF1659" s="946">
        <f t="shared" si="315"/>
        <v>78720000</v>
      </c>
    </row>
    <row r="1660" spans="2:84">
      <c r="B1660" s="839" t="s">
        <v>98</v>
      </c>
      <c r="C1660" s="839" t="s">
        <v>381</v>
      </c>
      <c r="D1660" s="839" t="s">
        <v>5486</v>
      </c>
      <c r="E1660" s="839" t="s">
        <v>5487</v>
      </c>
      <c r="F1660" s="841">
        <v>45784</v>
      </c>
      <c r="G1660" s="868" t="s">
        <v>383</v>
      </c>
      <c r="H1660" s="842" t="s">
        <v>134</v>
      </c>
      <c r="I1660" s="883"/>
      <c r="J1660" s="841"/>
      <c r="K1660" s="841"/>
      <c r="L1660" s="843" t="s">
        <v>106</v>
      </c>
      <c r="M1660" s="844" t="s">
        <v>107</v>
      </c>
      <c r="N1660" s="841"/>
      <c r="O1660" s="884" t="s">
        <v>150</v>
      </c>
      <c r="P1660" s="842" t="s">
        <v>5523</v>
      </c>
      <c r="Q1660" s="843"/>
      <c r="R1660" s="845">
        <v>3107</v>
      </c>
      <c r="S1660" s="1127" t="s">
        <v>5582</v>
      </c>
      <c r="T1660" s="885" t="s">
        <v>5583</v>
      </c>
      <c r="U1660" s="886">
        <v>12</v>
      </c>
      <c r="V1660" s="842" t="s">
        <v>3</v>
      </c>
      <c r="W1660" s="846">
        <v>410</v>
      </c>
      <c r="X1660" s="847">
        <f t="shared" si="313"/>
        <v>4920</v>
      </c>
      <c r="Y1660" s="853">
        <v>0.5</v>
      </c>
      <c r="Z1660" s="849">
        <v>205</v>
      </c>
      <c r="AA1660" s="849"/>
      <c r="AB1660" s="849">
        <f t="shared" si="302"/>
        <v>2460</v>
      </c>
      <c r="AC1660" s="850">
        <f t="shared" si="303"/>
        <v>2460</v>
      </c>
      <c r="AD1660" s="851">
        <f t="shared" si="314"/>
        <v>32000</v>
      </c>
      <c r="AE1660" s="852">
        <v>30081.54</v>
      </c>
      <c r="AF1660" s="853">
        <v>0</v>
      </c>
      <c r="AG1660" s="854">
        <f t="shared" si="304"/>
        <v>0</v>
      </c>
      <c r="AH1660" s="853">
        <v>0.08</v>
      </c>
      <c r="AI1660" s="855">
        <f t="shared" si="305"/>
        <v>5920047.0720000006</v>
      </c>
      <c r="AJ1660" s="845" t="s">
        <v>5491</v>
      </c>
      <c r="AK1660" s="857">
        <v>45910</v>
      </c>
      <c r="AL1660" s="843">
        <v>251084200</v>
      </c>
      <c r="AM1660" s="843" t="s">
        <v>5492</v>
      </c>
      <c r="AN1660" s="844" t="s">
        <v>5493</v>
      </c>
      <c r="AO1660" s="844" t="s">
        <v>141</v>
      </c>
      <c r="AP1660" s="841"/>
      <c r="AQ1660" s="841">
        <v>45916</v>
      </c>
      <c r="AR1660" s="841">
        <v>45961</v>
      </c>
      <c r="AS1660" s="842" t="s">
        <v>1145</v>
      </c>
      <c r="AT1660" s="842" t="s">
        <v>1235</v>
      </c>
      <c r="AU1660" s="842" t="s">
        <v>1565</v>
      </c>
      <c r="AV1660" s="845" t="s">
        <v>5494</v>
      </c>
      <c r="AW1660" s="861">
        <v>45962</v>
      </c>
      <c r="AX1660" s="862">
        <v>45965</v>
      </c>
      <c r="AY1660" s="843" t="s">
        <v>5584</v>
      </c>
      <c r="AZ1660" s="842">
        <v>94017990</v>
      </c>
      <c r="BA1660" s="842" t="s">
        <v>120</v>
      </c>
      <c r="BB1660" s="863" t="s">
        <v>121</v>
      </c>
      <c r="BC1660" s="864">
        <v>45968</v>
      </c>
      <c r="BD1660" s="860" t="s">
        <v>5496</v>
      </c>
      <c r="BE1660" s="865" cm="1">
        <f t="array" ref="BE1660">IF(BD1660="","",AC1660/SUMPRODUCT(--(BD1660=$BD$4:$BD$12824),$AC$4:$AC$12824))</f>
        <v>1.6826312577210373E-2</v>
      </c>
      <c r="BF1660" s="458"/>
      <c r="BG1660" s="458"/>
      <c r="BH1660" s="458"/>
      <c r="BI1660" s="458"/>
      <c r="BJ1660" s="458"/>
      <c r="BK1660" s="458"/>
      <c r="BL1660" s="458"/>
      <c r="BM1660" s="458"/>
      <c r="BN1660" s="458"/>
      <c r="BO1660" s="866">
        <f>VLOOKUP(BD1660,$BD$4:$BN$12824,3,0)*BE1660</f>
        <v>500916.80147666624</v>
      </c>
      <c r="BP1660" s="866"/>
      <c r="BQ1660" s="866"/>
      <c r="BR1660" s="866">
        <f>VLOOKUP(BD1660,$BD$4:$BN$12824,6,0)*BE1660</f>
        <v>203913.03422943933</v>
      </c>
      <c r="BS1660" s="866">
        <f>VLOOKUP(BD1660,$BD$4:$BN$12824,7,0)*BE1660</f>
        <v>73653.802747575159</v>
      </c>
      <c r="BT1660" s="866"/>
      <c r="BU1660" s="866">
        <f>VLOOKUP(BD1660,$BD$4:$BN$12824,9,0)*BE1660</f>
        <v>8749.6825401493934</v>
      </c>
      <c r="BV1660" s="867"/>
      <c r="BW1660" s="867">
        <f>VLOOKUP(BD1660,$BD$4:$BN$12824,11,0)*BE1660</f>
        <v>78694.17113656443</v>
      </c>
      <c r="BX1660" s="1146">
        <f t="shared" si="306"/>
        <v>865927.49213039468</v>
      </c>
      <c r="BY1660" s="867">
        <f t="shared" si="309"/>
        <v>6238876.3243442001</v>
      </c>
      <c r="BZ1660" s="867">
        <f t="shared" si="307"/>
        <v>74866515.892130405</v>
      </c>
      <c r="CA1660" s="867">
        <f>_xlfn.MAXIFS($BY$4:$BY$12824,$S$4:$S$12824,$S1660)</f>
        <v>6238876.3243442001</v>
      </c>
      <c r="CB1660" s="944">
        <v>17500000</v>
      </c>
      <c r="CC1660" s="946">
        <v>11500000</v>
      </c>
      <c r="CE1660" s="997">
        <f>(CC1660/1.08-CA1660)/(CC1660/1.08)</f>
        <v>0.41408813649637072</v>
      </c>
      <c r="CF1660" s="946">
        <f t="shared" si="315"/>
        <v>78720000</v>
      </c>
    </row>
    <row r="1661" spans="2:84">
      <c r="B1661" s="839" t="s">
        <v>98</v>
      </c>
      <c r="C1661" s="839" t="s">
        <v>381</v>
      </c>
      <c r="D1661" s="839" t="s">
        <v>5486</v>
      </c>
      <c r="E1661" s="839" t="s">
        <v>5487</v>
      </c>
      <c r="F1661" s="841">
        <v>45784</v>
      </c>
      <c r="G1661" s="868" t="s">
        <v>383</v>
      </c>
      <c r="H1661" s="842" t="s">
        <v>134</v>
      </c>
      <c r="I1661" s="883"/>
      <c r="J1661" s="841"/>
      <c r="K1661" s="841"/>
      <c r="L1661" s="843" t="s">
        <v>106</v>
      </c>
      <c r="M1661" s="844" t="s">
        <v>107</v>
      </c>
      <c r="N1661" s="841"/>
      <c r="O1661" s="884" t="s">
        <v>150</v>
      </c>
      <c r="P1661" s="842" t="s">
        <v>5523</v>
      </c>
      <c r="Q1661" s="843"/>
      <c r="R1661" s="845">
        <v>3107</v>
      </c>
      <c r="S1661" s="1127" t="s">
        <v>5585</v>
      </c>
      <c r="T1661" s="885" t="s">
        <v>5586</v>
      </c>
      <c r="U1661" s="886">
        <v>12</v>
      </c>
      <c r="V1661" s="842" t="s">
        <v>3</v>
      </c>
      <c r="W1661" s="846">
        <v>410</v>
      </c>
      <c r="X1661" s="847">
        <f t="shared" si="313"/>
        <v>4920</v>
      </c>
      <c r="Y1661" s="853">
        <v>0.5</v>
      </c>
      <c r="Z1661" s="849">
        <v>205</v>
      </c>
      <c r="AA1661" s="849"/>
      <c r="AB1661" s="849">
        <f t="shared" si="302"/>
        <v>2460</v>
      </c>
      <c r="AC1661" s="850">
        <f t="shared" si="303"/>
        <v>2460</v>
      </c>
      <c r="AD1661" s="851">
        <f t="shared" si="314"/>
        <v>32000</v>
      </c>
      <c r="AE1661" s="852">
        <v>30081.54</v>
      </c>
      <c r="AF1661" s="853">
        <v>0</v>
      </c>
      <c r="AG1661" s="854">
        <f t="shared" si="304"/>
        <v>0</v>
      </c>
      <c r="AH1661" s="853">
        <v>0.08</v>
      </c>
      <c r="AI1661" s="855">
        <f t="shared" si="305"/>
        <v>5920047.0720000006</v>
      </c>
      <c r="AJ1661" s="845" t="s">
        <v>5491</v>
      </c>
      <c r="AK1661" s="857">
        <v>45910</v>
      </c>
      <c r="AL1661" s="843">
        <v>251084200</v>
      </c>
      <c r="AM1661" s="843" t="s">
        <v>5492</v>
      </c>
      <c r="AN1661" s="844" t="s">
        <v>5493</v>
      </c>
      <c r="AO1661" s="844" t="s">
        <v>141</v>
      </c>
      <c r="AP1661" s="841"/>
      <c r="AQ1661" s="841">
        <v>45916</v>
      </c>
      <c r="AR1661" s="841">
        <v>45961</v>
      </c>
      <c r="AS1661" s="842" t="s">
        <v>1145</v>
      </c>
      <c r="AT1661" s="842" t="s">
        <v>1235</v>
      </c>
      <c r="AU1661" s="842" t="s">
        <v>1565</v>
      </c>
      <c r="AV1661" s="845" t="s">
        <v>5494</v>
      </c>
      <c r="AW1661" s="861">
        <v>45962</v>
      </c>
      <c r="AX1661" s="862">
        <v>45965</v>
      </c>
      <c r="AY1661" s="843" t="s">
        <v>5587</v>
      </c>
      <c r="AZ1661" s="842">
        <v>94017990</v>
      </c>
      <c r="BA1661" s="842" t="s">
        <v>120</v>
      </c>
      <c r="BB1661" s="863" t="s">
        <v>121</v>
      </c>
      <c r="BC1661" s="864">
        <v>45968</v>
      </c>
      <c r="BD1661" s="860" t="s">
        <v>5496</v>
      </c>
      <c r="BE1661" s="865" cm="1">
        <f t="array" ref="BE1661">IF(BD1661="","",AC1661/SUMPRODUCT(--(BD1661=$BD$4:$BD$12824),$AC$4:$AC$12824))</f>
        <v>1.6826312577210373E-2</v>
      </c>
      <c r="BF1661" s="458"/>
      <c r="BG1661" s="458"/>
      <c r="BH1661" s="458"/>
      <c r="BI1661" s="458"/>
      <c r="BJ1661" s="458"/>
      <c r="BK1661" s="458"/>
      <c r="BL1661" s="458"/>
      <c r="BM1661" s="458"/>
      <c r="BN1661" s="458"/>
      <c r="BO1661" s="866">
        <f>VLOOKUP(BD1661,$BD$4:$BN$12824,3,0)*BE1661</f>
        <v>500916.80147666624</v>
      </c>
      <c r="BP1661" s="866"/>
      <c r="BQ1661" s="866"/>
      <c r="BR1661" s="866">
        <f>VLOOKUP(BD1661,$BD$4:$BN$12824,6,0)*BE1661</f>
        <v>203913.03422943933</v>
      </c>
      <c r="BS1661" s="866">
        <f>VLOOKUP(BD1661,$BD$4:$BN$12824,7,0)*BE1661</f>
        <v>73653.802747575159</v>
      </c>
      <c r="BT1661" s="866"/>
      <c r="BU1661" s="866">
        <f>VLOOKUP(BD1661,$BD$4:$BN$12824,9,0)*BE1661</f>
        <v>8749.6825401493934</v>
      </c>
      <c r="BV1661" s="867"/>
      <c r="BW1661" s="867">
        <f>VLOOKUP(BD1661,$BD$4:$BN$12824,11,0)*BE1661</f>
        <v>78694.17113656443</v>
      </c>
      <c r="BX1661" s="1146">
        <f t="shared" si="306"/>
        <v>865927.49213039468</v>
      </c>
      <c r="BY1661" s="867">
        <f t="shared" si="309"/>
        <v>6238876.3243442001</v>
      </c>
      <c r="BZ1661" s="867">
        <f t="shared" si="307"/>
        <v>74866515.892130405</v>
      </c>
      <c r="CA1661" s="867">
        <f>_xlfn.MAXIFS($BY$4:$BY$12824,$S$4:$S$12824,$S1661)</f>
        <v>6238876.3243442001</v>
      </c>
      <c r="CB1661" s="944">
        <v>17500000</v>
      </c>
      <c r="CC1661" s="946">
        <v>11500000</v>
      </c>
      <c r="CE1661" s="997">
        <f>(CC1661/1.08-CA1661)/(CC1661/1.08)</f>
        <v>0.41408813649637072</v>
      </c>
      <c r="CF1661" s="946">
        <f t="shared" si="315"/>
        <v>78720000</v>
      </c>
    </row>
    <row r="1662" spans="2:84">
      <c r="B1662" s="839" t="s">
        <v>98</v>
      </c>
      <c r="C1662" s="839" t="s">
        <v>381</v>
      </c>
      <c r="D1662" s="839" t="s">
        <v>5486</v>
      </c>
      <c r="E1662" s="839" t="s">
        <v>5487</v>
      </c>
      <c r="F1662" s="841">
        <v>45784</v>
      </c>
      <c r="G1662" s="868" t="s">
        <v>383</v>
      </c>
      <c r="H1662" s="842" t="s">
        <v>134</v>
      </c>
      <c r="I1662" s="883"/>
      <c r="J1662" s="841"/>
      <c r="K1662" s="841"/>
      <c r="L1662" s="843" t="s">
        <v>106</v>
      </c>
      <c r="M1662" s="844" t="s">
        <v>107</v>
      </c>
      <c r="N1662" s="841"/>
      <c r="O1662" s="884" t="s">
        <v>150</v>
      </c>
      <c r="P1662" s="842" t="s">
        <v>5523</v>
      </c>
      <c r="Q1662" s="843"/>
      <c r="R1662" s="845">
        <v>3107</v>
      </c>
      <c r="S1662" s="1127" t="s">
        <v>5588</v>
      </c>
      <c r="T1662" s="885" t="s">
        <v>5589</v>
      </c>
      <c r="U1662" s="886">
        <v>12</v>
      </c>
      <c r="V1662" s="842" t="s">
        <v>3</v>
      </c>
      <c r="W1662" s="846">
        <v>410</v>
      </c>
      <c r="X1662" s="847">
        <f t="shared" si="313"/>
        <v>4920</v>
      </c>
      <c r="Y1662" s="853">
        <v>0.5</v>
      </c>
      <c r="Z1662" s="849">
        <v>205</v>
      </c>
      <c r="AA1662" s="849"/>
      <c r="AB1662" s="849">
        <f t="shared" si="302"/>
        <v>2460</v>
      </c>
      <c r="AC1662" s="850">
        <f t="shared" si="303"/>
        <v>2460</v>
      </c>
      <c r="AD1662" s="851">
        <f t="shared" si="314"/>
        <v>32000</v>
      </c>
      <c r="AE1662" s="852">
        <v>30081.54</v>
      </c>
      <c r="AF1662" s="853">
        <v>0</v>
      </c>
      <c r="AG1662" s="854">
        <f t="shared" si="304"/>
        <v>0</v>
      </c>
      <c r="AH1662" s="853">
        <v>0.08</v>
      </c>
      <c r="AI1662" s="855">
        <f t="shared" si="305"/>
        <v>5920047.0720000006</v>
      </c>
      <c r="AJ1662" s="845" t="s">
        <v>5491</v>
      </c>
      <c r="AK1662" s="857">
        <v>45910</v>
      </c>
      <c r="AL1662" s="843">
        <v>251084200</v>
      </c>
      <c r="AM1662" s="843" t="s">
        <v>5492</v>
      </c>
      <c r="AN1662" s="844" t="s">
        <v>5493</v>
      </c>
      <c r="AO1662" s="844" t="s">
        <v>141</v>
      </c>
      <c r="AP1662" s="841"/>
      <c r="AQ1662" s="841">
        <v>45916</v>
      </c>
      <c r="AR1662" s="841">
        <v>45961</v>
      </c>
      <c r="AS1662" s="842" t="s">
        <v>1145</v>
      </c>
      <c r="AT1662" s="842" t="s">
        <v>1235</v>
      </c>
      <c r="AU1662" s="842" t="s">
        <v>1565</v>
      </c>
      <c r="AV1662" s="845" t="s">
        <v>5494</v>
      </c>
      <c r="AW1662" s="861">
        <v>45962</v>
      </c>
      <c r="AX1662" s="862">
        <v>45965</v>
      </c>
      <c r="AY1662" s="843" t="s">
        <v>5590</v>
      </c>
      <c r="AZ1662" s="842">
        <v>94017990</v>
      </c>
      <c r="BA1662" s="842" t="s">
        <v>120</v>
      </c>
      <c r="BB1662" s="863" t="s">
        <v>121</v>
      </c>
      <c r="BC1662" s="864">
        <v>45968</v>
      </c>
      <c r="BD1662" s="860" t="s">
        <v>5496</v>
      </c>
      <c r="BE1662" s="865" cm="1">
        <f t="array" ref="BE1662">IF(BD1662="","",AC1662/SUMPRODUCT(--(BD1662=$BD$4:$BD$12824),$AC$4:$AC$12824))</f>
        <v>1.6826312577210373E-2</v>
      </c>
      <c r="BF1662" s="458"/>
      <c r="BG1662" s="458"/>
      <c r="BH1662" s="458"/>
      <c r="BI1662" s="458"/>
      <c r="BJ1662" s="458"/>
      <c r="BK1662" s="458"/>
      <c r="BL1662" s="458"/>
      <c r="BM1662" s="458"/>
      <c r="BN1662" s="458"/>
      <c r="BO1662" s="866">
        <f>VLOOKUP(BD1662,$BD$4:$BN$12824,3,0)*BE1662</f>
        <v>500916.80147666624</v>
      </c>
      <c r="BP1662" s="866"/>
      <c r="BQ1662" s="866"/>
      <c r="BR1662" s="866">
        <f>VLOOKUP(BD1662,$BD$4:$BN$12824,6,0)*BE1662</f>
        <v>203913.03422943933</v>
      </c>
      <c r="BS1662" s="866">
        <f>VLOOKUP(BD1662,$BD$4:$BN$12824,7,0)*BE1662</f>
        <v>73653.802747575159</v>
      </c>
      <c r="BT1662" s="866"/>
      <c r="BU1662" s="866">
        <f>VLOOKUP(BD1662,$BD$4:$BN$12824,9,0)*BE1662</f>
        <v>8749.6825401493934</v>
      </c>
      <c r="BV1662" s="867"/>
      <c r="BW1662" s="867">
        <f>VLOOKUP(BD1662,$BD$4:$BN$12824,11,0)*BE1662</f>
        <v>78694.17113656443</v>
      </c>
      <c r="BX1662" s="1146">
        <f t="shared" si="306"/>
        <v>865927.49213039468</v>
      </c>
      <c r="BY1662" s="867">
        <f t="shared" si="309"/>
        <v>6238876.3243442001</v>
      </c>
      <c r="BZ1662" s="867">
        <f t="shared" si="307"/>
        <v>74866515.892130405</v>
      </c>
      <c r="CA1662" s="867">
        <f>_xlfn.MAXIFS($BY$4:$BY$12824,$S$4:$S$12824,$S1662)</f>
        <v>6238876.3243442001</v>
      </c>
      <c r="CB1662" s="944">
        <v>17500000</v>
      </c>
      <c r="CC1662" s="946">
        <v>11500000</v>
      </c>
      <c r="CD1662" s="997"/>
      <c r="CE1662" s="997">
        <f>(CC1662/1.08-CA1662)/(CC1662/1.08)</f>
        <v>0.41408813649637072</v>
      </c>
      <c r="CF1662" s="945">
        <f t="shared" si="315"/>
        <v>78720000</v>
      </c>
    </row>
    <row r="1663" spans="2:84">
      <c r="B1663" s="839" t="s">
        <v>98</v>
      </c>
      <c r="C1663" s="839" t="s">
        <v>381</v>
      </c>
      <c r="D1663" s="839" t="s">
        <v>5486</v>
      </c>
      <c r="E1663" s="839" t="s">
        <v>5487</v>
      </c>
      <c r="F1663" s="841">
        <v>45784</v>
      </c>
      <c r="G1663" s="868" t="s">
        <v>383</v>
      </c>
      <c r="H1663" s="842" t="s">
        <v>134</v>
      </c>
      <c r="I1663" s="883"/>
      <c r="J1663" s="841"/>
      <c r="K1663" s="841"/>
      <c r="L1663" s="843" t="s">
        <v>106</v>
      </c>
      <c r="M1663" s="844" t="s">
        <v>107</v>
      </c>
      <c r="N1663" s="841"/>
      <c r="O1663" s="884" t="s">
        <v>150</v>
      </c>
      <c r="P1663" s="842" t="s">
        <v>5591</v>
      </c>
      <c r="Q1663" s="843"/>
      <c r="R1663" s="845"/>
      <c r="S1663" s="1127" t="s">
        <v>5592</v>
      </c>
      <c r="T1663" s="885" t="s">
        <v>5593</v>
      </c>
      <c r="U1663" s="886">
        <v>1</v>
      </c>
      <c r="V1663" s="842" t="s">
        <v>3</v>
      </c>
      <c r="W1663" s="846">
        <v>1007</v>
      </c>
      <c r="X1663" s="847">
        <f t="shared" si="313"/>
        <v>1007</v>
      </c>
      <c r="Y1663" s="853">
        <v>0.52</v>
      </c>
      <c r="Z1663" s="849">
        <v>483.36</v>
      </c>
      <c r="AA1663" s="849"/>
      <c r="AB1663" s="849">
        <f t="shared" si="302"/>
        <v>483.36</v>
      </c>
      <c r="AC1663" s="850">
        <f t="shared" si="303"/>
        <v>483.36</v>
      </c>
      <c r="AD1663" s="851">
        <f t="shared" si="314"/>
        <v>32000</v>
      </c>
      <c r="AE1663" s="852">
        <v>30081.54</v>
      </c>
      <c r="AF1663" s="853">
        <v>0</v>
      </c>
      <c r="AG1663" s="854">
        <f t="shared" si="304"/>
        <v>0</v>
      </c>
      <c r="AH1663" s="853">
        <v>0.08</v>
      </c>
      <c r="AI1663" s="855">
        <f t="shared" si="305"/>
        <v>1163217.0539520001</v>
      </c>
      <c r="AJ1663" s="845" t="s">
        <v>5491</v>
      </c>
      <c r="AK1663" s="857">
        <v>45910</v>
      </c>
      <c r="AL1663" s="843">
        <v>251084200</v>
      </c>
      <c r="AM1663" s="843" t="s">
        <v>5492</v>
      </c>
      <c r="AN1663" s="844" t="s">
        <v>5493</v>
      </c>
      <c r="AO1663" s="844" t="s">
        <v>141</v>
      </c>
      <c r="AP1663" s="841"/>
      <c r="AQ1663" s="841">
        <v>45916</v>
      </c>
      <c r="AR1663" s="841">
        <v>45961</v>
      </c>
      <c r="AS1663" s="842" t="s">
        <v>1145</v>
      </c>
      <c r="AT1663" s="842" t="s">
        <v>1235</v>
      </c>
      <c r="AU1663" s="842" t="s">
        <v>1565</v>
      </c>
      <c r="AV1663" s="845" t="s">
        <v>5494</v>
      </c>
      <c r="AW1663" s="861">
        <v>45962</v>
      </c>
      <c r="AX1663" s="862">
        <v>45965</v>
      </c>
      <c r="AY1663" s="843" t="s">
        <v>5594</v>
      </c>
      <c r="AZ1663" s="842">
        <v>94049000</v>
      </c>
      <c r="BA1663" s="842" t="s">
        <v>120</v>
      </c>
      <c r="BB1663" s="863" t="s">
        <v>121</v>
      </c>
      <c r="BC1663" s="864">
        <v>45968</v>
      </c>
      <c r="BD1663" s="860" t="s">
        <v>5496</v>
      </c>
      <c r="BE1663" s="865" cm="1">
        <f t="array" ref="BE1663">IF(BD1663="","",AC1663/SUMPRODUCT(--(BD1663=$BD$4:$BD$12824),$AC$4:$AC$12824))</f>
        <v>3.3061652224879701E-3</v>
      </c>
      <c r="BF1663" s="458"/>
      <c r="BG1663" s="458"/>
      <c r="BH1663" s="458"/>
      <c r="BI1663" s="458"/>
      <c r="BJ1663" s="458"/>
      <c r="BK1663" s="458"/>
      <c r="BL1663" s="458"/>
      <c r="BM1663" s="458"/>
      <c r="BN1663" s="458"/>
      <c r="BO1663" s="866">
        <f>VLOOKUP(BD1663,$BD$4:$BN$12824,3,0)*BE1663</f>
        <v>98424.042748683496</v>
      </c>
      <c r="BP1663" s="866"/>
      <c r="BQ1663" s="866"/>
      <c r="BR1663" s="866">
        <f>VLOOKUP(BD1663,$BD$4:$BN$12824,6,0)*BE1663</f>
        <v>40066.424481764967</v>
      </c>
      <c r="BS1663" s="866">
        <f>VLOOKUP(BD1663,$BD$4:$BN$12824,7,0)*BE1663</f>
        <v>14472.074022791843</v>
      </c>
      <c r="BT1663" s="866"/>
      <c r="BU1663" s="866">
        <f>VLOOKUP(BD1663,$BD$4:$BN$12824,9,0)*BE1663</f>
        <v>1719.2059156937444</v>
      </c>
      <c r="BV1663" s="867"/>
      <c r="BW1663" s="867">
        <f>VLOOKUP(BD1663,$BD$4:$BN$12824,11,0)*BE1663</f>
        <v>15462.444943321052</v>
      </c>
      <c r="BX1663" s="1146">
        <f t="shared" si="306"/>
        <v>170144.19211225511</v>
      </c>
      <c r="BY1663" s="867">
        <f t="shared" si="309"/>
        <v>14710357.366512256</v>
      </c>
      <c r="BZ1663" s="867">
        <f t="shared" si="307"/>
        <v>14710357.366512256</v>
      </c>
      <c r="CA1663" s="867">
        <f>_xlfn.MAXIFS($BY$4:$BY$12824,$S$4:$S$12824,$S1663)</f>
        <v>14710357.366512256</v>
      </c>
      <c r="CB1663" s="1032"/>
      <c r="CF1663" s="946">
        <f t="shared" si="315"/>
        <v>15467520</v>
      </c>
    </row>
    <row r="1664" spans="2:84">
      <c r="B1664" s="839" t="s">
        <v>98</v>
      </c>
      <c r="C1664" s="839" t="s">
        <v>381</v>
      </c>
      <c r="D1664" s="839" t="s">
        <v>5486</v>
      </c>
      <c r="E1664" s="839" t="s">
        <v>5595</v>
      </c>
      <c r="F1664" s="841">
        <v>45793</v>
      </c>
      <c r="G1664" s="868" t="s">
        <v>383</v>
      </c>
      <c r="H1664" s="842" t="s">
        <v>102</v>
      </c>
      <c r="I1664" s="883" t="s">
        <v>5596</v>
      </c>
      <c r="J1664" s="841">
        <v>45790</v>
      </c>
      <c r="K1664" s="841" t="s">
        <v>5597</v>
      </c>
      <c r="L1664" s="843" t="s">
        <v>106</v>
      </c>
      <c r="M1664" s="844" t="s">
        <v>107</v>
      </c>
      <c r="N1664" s="841"/>
      <c r="O1664" s="884" t="s">
        <v>150</v>
      </c>
      <c r="P1664" s="842" t="s">
        <v>5523</v>
      </c>
      <c r="Q1664" s="843"/>
      <c r="R1664" s="845">
        <v>3130</v>
      </c>
      <c r="S1664" s="1127" t="s">
        <v>5598</v>
      </c>
      <c r="T1664" s="885" t="s">
        <v>5599</v>
      </c>
      <c r="U1664" s="886">
        <v>1</v>
      </c>
      <c r="V1664" s="842" t="s">
        <v>3</v>
      </c>
      <c r="W1664" s="846">
        <v>461</v>
      </c>
      <c r="X1664" s="847">
        <f t="shared" si="313"/>
        <v>461</v>
      </c>
      <c r="Y1664" s="853">
        <v>0.45</v>
      </c>
      <c r="Z1664" s="849">
        <v>253.55</v>
      </c>
      <c r="AA1664" s="849"/>
      <c r="AB1664" s="849">
        <f t="shared" si="302"/>
        <v>253.55</v>
      </c>
      <c r="AC1664" s="850">
        <f t="shared" si="303"/>
        <v>253.55</v>
      </c>
      <c r="AD1664" s="851">
        <f t="shared" si="314"/>
        <v>32000</v>
      </c>
      <c r="AE1664" s="852">
        <v>30081.54</v>
      </c>
      <c r="AF1664" s="853">
        <v>0</v>
      </c>
      <c r="AG1664" s="854">
        <f t="shared" si="304"/>
        <v>0</v>
      </c>
      <c r="AH1664" s="853">
        <v>0.08</v>
      </c>
      <c r="AI1664" s="855">
        <f t="shared" si="305"/>
        <v>610173.95736</v>
      </c>
      <c r="AJ1664" s="845" t="s">
        <v>5491</v>
      </c>
      <c r="AK1664" s="857">
        <v>45910</v>
      </c>
      <c r="AL1664" s="843">
        <v>251084200</v>
      </c>
      <c r="AM1664" s="843" t="s">
        <v>5492</v>
      </c>
      <c r="AN1664" s="844" t="s">
        <v>5493</v>
      </c>
      <c r="AO1664" s="844" t="s">
        <v>141</v>
      </c>
      <c r="AP1664" s="841"/>
      <c r="AQ1664" s="841">
        <v>45916</v>
      </c>
      <c r="AR1664" s="841">
        <v>45961</v>
      </c>
      <c r="AS1664" s="842" t="s">
        <v>1145</v>
      </c>
      <c r="AT1664" s="842" t="s">
        <v>1235</v>
      </c>
      <c r="AU1664" s="842" t="s">
        <v>1565</v>
      </c>
      <c r="AV1664" s="845" t="s">
        <v>5494</v>
      </c>
      <c r="AW1664" s="861">
        <v>45962</v>
      </c>
      <c r="AX1664" s="862">
        <v>45965</v>
      </c>
      <c r="AY1664" s="843" t="s">
        <v>5600</v>
      </c>
      <c r="AZ1664" s="842">
        <v>94017990</v>
      </c>
      <c r="BA1664" s="842" t="s">
        <v>120</v>
      </c>
      <c r="BB1664" s="863" t="s">
        <v>121</v>
      </c>
      <c r="BC1664" s="864">
        <v>45968</v>
      </c>
      <c r="BD1664" s="860" t="s">
        <v>5496</v>
      </c>
      <c r="BE1664" s="865" cm="1">
        <f t="array" ref="BE1664">IF(BD1664="","",AC1664/SUMPRODUCT(--(BD1664=$BD$4:$BD$12824),$AC$4:$AC$12824))</f>
        <v>1.7342729894112563E-3</v>
      </c>
      <c r="BF1664" s="458"/>
      <c r="BG1664" s="458"/>
      <c r="BH1664" s="458"/>
      <c r="BI1664" s="458"/>
      <c r="BJ1664" s="458"/>
      <c r="BK1664" s="458"/>
      <c r="BL1664" s="458"/>
      <c r="BM1664" s="458"/>
      <c r="BN1664" s="458"/>
      <c r="BO1664" s="866">
        <f>VLOOKUP(BD1664,$BD$4:$BN$12824,3,0)*BE1664</f>
        <v>51629.046753824688</v>
      </c>
      <c r="BP1664" s="866"/>
      <c r="BQ1664" s="866"/>
      <c r="BR1664" s="866">
        <f>VLOOKUP(BD1664,$BD$4:$BN$12824,6,0)*BE1664</f>
        <v>21017.134076778191</v>
      </c>
      <c r="BS1664" s="866">
        <f>VLOOKUP(BD1664,$BD$4:$BN$12824,7,0)*BE1664</f>
        <v>7591.4315799380838</v>
      </c>
      <c r="BT1664" s="866"/>
      <c r="BU1664" s="866">
        <f>VLOOKUP(BD1664,$BD$4:$BN$12824,9,0)*BE1664</f>
        <v>901.82195449385324</v>
      </c>
      <c r="BV1664" s="867"/>
      <c r="BW1664" s="867">
        <f>VLOOKUP(BD1664,$BD$4:$BN$12824,11,0)*BE1664</f>
        <v>8110.9378421446809</v>
      </c>
      <c r="BX1664" s="1146">
        <f t="shared" si="306"/>
        <v>89250.372207179491</v>
      </c>
      <c r="BY1664" s="867">
        <f t="shared" si="309"/>
        <v>7716424.8392071798</v>
      </c>
      <c r="BZ1664" s="867">
        <f t="shared" si="307"/>
        <v>7716424.8392071798</v>
      </c>
      <c r="CA1664" s="867">
        <f>_xlfn.MAXIFS($BY$4:$BY$12824,$S$4:$S$12824,$S1664)</f>
        <v>7716424.8392071798</v>
      </c>
      <c r="CB1664" s="1032"/>
      <c r="CF1664" s="946">
        <f t="shared" si="315"/>
        <v>8113600</v>
      </c>
    </row>
    <row r="1665" spans="2:85">
      <c r="B1665" s="839" t="s">
        <v>98</v>
      </c>
      <c r="C1665" s="839" t="s">
        <v>381</v>
      </c>
      <c r="D1665" s="839" t="s">
        <v>5486</v>
      </c>
      <c r="E1665" s="839" t="s">
        <v>5595</v>
      </c>
      <c r="F1665" s="841">
        <v>45793</v>
      </c>
      <c r="G1665" s="868" t="s">
        <v>383</v>
      </c>
      <c r="H1665" s="842" t="s">
        <v>102</v>
      </c>
      <c r="I1665" s="883" t="s">
        <v>5596</v>
      </c>
      <c r="J1665" s="841">
        <v>45790</v>
      </c>
      <c r="K1665" s="841" t="s">
        <v>5597</v>
      </c>
      <c r="L1665" s="843" t="s">
        <v>106</v>
      </c>
      <c r="M1665" s="844" t="s">
        <v>107</v>
      </c>
      <c r="N1665" s="841"/>
      <c r="O1665" s="884" t="s">
        <v>150</v>
      </c>
      <c r="P1665" s="842" t="s">
        <v>5523</v>
      </c>
      <c r="Q1665" s="843"/>
      <c r="R1665" s="845">
        <v>3130</v>
      </c>
      <c r="S1665" s="1127" t="s">
        <v>5601</v>
      </c>
      <c r="T1665" s="885" t="s">
        <v>5602</v>
      </c>
      <c r="U1665" s="886">
        <v>1</v>
      </c>
      <c r="V1665" s="842" t="s">
        <v>3</v>
      </c>
      <c r="W1665" s="846">
        <v>402</v>
      </c>
      <c r="X1665" s="847">
        <f t="shared" si="313"/>
        <v>402</v>
      </c>
      <c r="Y1665" s="853">
        <v>0.45</v>
      </c>
      <c r="Z1665" s="849">
        <v>221.1</v>
      </c>
      <c r="AA1665" s="849"/>
      <c r="AB1665" s="849">
        <f t="shared" si="302"/>
        <v>221.1</v>
      </c>
      <c r="AC1665" s="850">
        <f t="shared" si="303"/>
        <v>221.1</v>
      </c>
      <c r="AD1665" s="851">
        <f t="shared" si="314"/>
        <v>32000</v>
      </c>
      <c r="AE1665" s="852">
        <v>30081.54</v>
      </c>
      <c r="AF1665" s="853">
        <v>0</v>
      </c>
      <c r="AG1665" s="854">
        <f t="shared" si="304"/>
        <v>0</v>
      </c>
      <c r="AH1665" s="853">
        <v>0.08</v>
      </c>
      <c r="AI1665" s="855">
        <f t="shared" si="305"/>
        <v>532082.27951999998</v>
      </c>
      <c r="AJ1665" s="845" t="s">
        <v>5491</v>
      </c>
      <c r="AK1665" s="857">
        <v>45910</v>
      </c>
      <c r="AL1665" s="843">
        <v>251084200</v>
      </c>
      <c r="AM1665" s="843" t="s">
        <v>5492</v>
      </c>
      <c r="AN1665" s="844" t="s">
        <v>5493</v>
      </c>
      <c r="AO1665" s="844" t="s">
        <v>141</v>
      </c>
      <c r="AP1665" s="841"/>
      <c r="AQ1665" s="841">
        <v>45916</v>
      </c>
      <c r="AR1665" s="841">
        <v>45961</v>
      </c>
      <c r="AS1665" s="842" t="s">
        <v>1145</v>
      </c>
      <c r="AT1665" s="842" t="s">
        <v>1235</v>
      </c>
      <c r="AU1665" s="842" t="s">
        <v>1565</v>
      </c>
      <c r="AV1665" s="845" t="s">
        <v>5494</v>
      </c>
      <c r="AW1665" s="861">
        <v>45962</v>
      </c>
      <c r="AX1665" s="862">
        <v>45965</v>
      </c>
      <c r="AY1665" s="843" t="s">
        <v>5603</v>
      </c>
      <c r="AZ1665" s="842">
        <v>94017990</v>
      </c>
      <c r="BA1665" s="842" t="s">
        <v>120</v>
      </c>
      <c r="BB1665" s="863" t="s">
        <v>121</v>
      </c>
      <c r="BC1665" s="864">
        <v>45968</v>
      </c>
      <c r="BD1665" s="860" t="s">
        <v>5496</v>
      </c>
      <c r="BE1665" s="865" cm="1">
        <f t="array" ref="BE1665">IF(BD1665="","",AC1665/SUMPRODUCT(--(BD1665=$BD$4:$BD$12824),$AC$4:$AC$12824))</f>
        <v>1.5123161426102494E-3</v>
      </c>
      <c r="BF1665" s="458"/>
      <c r="BG1665" s="458"/>
      <c r="BH1665" s="458"/>
      <c r="BI1665" s="458"/>
      <c r="BJ1665" s="458"/>
      <c r="BK1665" s="458"/>
      <c r="BL1665" s="458"/>
      <c r="BM1665" s="458"/>
      <c r="BN1665" s="458"/>
      <c r="BO1665" s="866">
        <f>VLOOKUP(BD1665,$BD$4:$BN$12824,3,0)*BE1665</f>
        <v>45021.424718085735</v>
      </c>
      <c r="BP1665" s="866"/>
      <c r="BQ1665" s="866"/>
      <c r="BR1665" s="866">
        <f>VLOOKUP(BD1665,$BD$4:$BN$12824,6,0)*BE1665</f>
        <v>18327.305637450831</v>
      </c>
      <c r="BS1665" s="866">
        <f>VLOOKUP(BD1665,$BD$4:$BN$12824,7,0)*BE1665</f>
        <v>6619.8600762149881</v>
      </c>
      <c r="BT1665" s="866"/>
      <c r="BU1665" s="866">
        <f>VLOOKUP(BD1665,$BD$4:$BN$12824,9,0)*BE1665</f>
        <v>786.40439415732976</v>
      </c>
      <c r="BV1665" s="867"/>
      <c r="BW1665" s="867">
        <f>VLOOKUP(BD1665,$BD$4:$BN$12824,11,0)*BE1665</f>
        <v>7072.8785521521941</v>
      </c>
      <c r="BX1665" s="1146">
        <f t="shared" si="306"/>
        <v>77827.873378061078</v>
      </c>
      <c r="BY1665" s="867">
        <f t="shared" si="309"/>
        <v>6728856.3673780607</v>
      </c>
      <c r="BZ1665" s="867">
        <f t="shared" si="307"/>
        <v>6728856.3673780607</v>
      </c>
      <c r="CA1665" s="867">
        <f>_xlfn.MAXIFS($BY$4:$BY$12824,$S$4:$S$12824,$S1665)</f>
        <v>6728856.3673780607</v>
      </c>
      <c r="CB1665" s="1032"/>
      <c r="CF1665" s="946">
        <f t="shared" si="315"/>
        <v>7075200</v>
      </c>
    </row>
    <row r="1666" spans="2:85">
      <c r="B1666" s="839" t="s">
        <v>98</v>
      </c>
      <c r="C1666" s="839" t="s">
        <v>381</v>
      </c>
      <c r="D1666" s="839" t="s">
        <v>5486</v>
      </c>
      <c r="E1666" s="839" t="s">
        <v>5539</v>
      </c>
      <c r="F1666" s="841">
        <v>45827</v>
      </c>
      <c r="G1666" s="868" t="s">
        <v>383</v>
      </c>
      <c r="H1666" s="842" t="s">
        <v>102</v>
      </c>
      <c r="I1666" s="883" t="s">
        <v>5540</v>
      </c>
      <c r="J1666" s="841">
        <v>45814</v>
      </c>
      <c r="K1666" s="841">
        <v>46002</v>
      </c>
      <c r="L1666" s="843" t="s">
        <v>106</v>
      </c>
      <c r="M1666" s="844" t="s">
        <v>107</v>
      </c>
      <c r="N1666" s="841"/>
      <c r="O1666" s="884" t="s">
        <v>150</v>
      </c>
      <c r="P1666" s="842" t="s">
        <v>5523</v>
      </c>
      <c r="Q1666" s="843"/>
      <c r="R1666" s="845">
        <v>3117</v>
      </c>
      <c r="S1666" s="1127" t="s">
        <v>5604</v>
      </c>
      <c r="T1666" s="885" t="s">
        <v>5605</v>
      </c>
      <c r="U1666" s="886">
        <v>6</v>
      </c>
      <c r="V1666" s="842" t="s">
        <v>3</v>
      </c>
      <c r="W1666" s="846">
        <v>881</v>
      </c>
      <c r="X1666" s="847">
        <f t="shared" si="313"/>
        <v>5286</v>
      </c>
      <c r="Y1666" s="853">
        <v>0.45</v>
      </c>
      <c r="Z1666" s="849">
        <v>484.55</v>
      </c>
      <c r="AA1666" s="849"/>
      <c r="AB1666" s="849">
        <f t="shared" ref="AB1666:AB1732" si="316">IF(AA1666="F.O.C", 0, Z1666*U1666)</f>
        <v>2907.3</v>
      </c>
      <c r="AC1666" s="850">
        <f t="shared" ref="AC1666:AC1732" si="317">Z1666*U1666</f>
        <v>2907.3</v>
      </c>
      <c r="AD1666" s="851">
        <f t="shared" si="314"/>
        <v>32000</v>
      </c>
      <c r="AE1666" s="852">
        <v>30081.54</v>
      </c>
      <c r="AF1666" s="853">
        <v>0</v>
      </c>
      <c r="AG1666" s="854">
        <f t="shared" ref="AG1666:AG1732" si="318">(AC1666*AE1666+BO1666+BP1666+BQ1666+BS1666)*AF1666</f>
        <v>0</v>
      </c>
      <c r="AH1666" s="853">
        <v>0.08</v>
      </c>
      <c r="AI1666" s="855">
        <f t="shared" ref="AI1666:AI1732" si="319">(AC1666*AE1666+AG1666+BF1666+BG1666+BH1666+BJ1666)*AH1666</f>
        <v>6996484.8993600011</v>
      </c>
      <c r="AJ1666" s="845" t="s">
        <v>5491</v>
      </c>
      <c r="AK1666" s="857">
        <v>45910</v>
      </c>
      <c r="AL1666" s="843">
        <v>251084200</v>
      </c>
      <c r="AM1666" s="843" t="s">
        <v>5492</v>
      </c>
      <c r="AN1666" s="844" t="s">
        <v>5493</v>
      </c>
      <c r="AO1666" s="844" t="s">
        <v>141</v>
      </c>
      <c r="AP1666" s="841"/>
      <c r="AQ1666" s="841">
        <v>45916</v>
      </c>
      <c r="AR1666" s="841">
        <v>45961</v>
      </c>
      <c r="AS1666" s="842" t="s">
        <v>1145</v>
      </c>
      <c r="AT1666" s="842" t="s">
        <v>1235</v>
      </c>
      <c r="AU1666" s="842" t="s">
        <v>1565</v>
      </c>
      <c r="AV1666" s="845" t="s">
        <v>5494</v>
      </c>
      <c r="AW1666" s="861">
        <v>45962</v>
      </c>
      <c r="AX1666" s="862">
        <v>45965</v>
      </c>
      <c r="AY1666" s="843" t="s">
        <v>5606</v>
      </c>
      <c r="AZ1666" s="842">
        <v>94013900</v>
      </c>
      <c r="BA1666" s="842" t="s">
        <v>120</v>
      </c>
      <c r="BB1666" s="863" t="s">
        <v>121</v>
      </c>
      <c r="BC1666" s="864">
        <v>45968</v>
      </c>
      <c r="BD1666" s="860" t="s">
        <v>5496</v>
      </c>
      <c r="BE1666" s="865" cm="1">
        <f t="array" ref="BE1666">IF(BD1666="","",AC1666/SUMPRODUCT(--(BD1666=$BD$4:$BD$12824),$AC$4:$AC$12824))</f>
        <v>1.9885828681188506E-2</v>
      </c>
      <c r="BF1666" s="458"/>
      <c r="BG1666" s="458"/>
      <c r="BH1666" s="458"/>
      <c r="BI1666" s="458"/>
      <c r="BJ1666" s="458"/>
      <c r="BK1666" s="458"/>
      <c r="BL1666" s="458"/>
      <c r="BM1666" s="458"/>
      <c r="BN1666" s="458"/>
      <c r="BO1666" s="866">
        <f>VLOOKUP(BD1666,$BD$4:$BN$12824,3,0)*BE1666</f>
        <v>591998.1369646797</v>
      </c>
      <c r="BP1666" s="866"/>
      <c r="BQ1666" s="866"/>
      <c r="BR1666" s="866">
        <f>VLOOKUP(BD1666,$BD$4:$BN$12824,6,0)*BE1666</f>
        <v>240990.39203871915</v>
      </c>
      <c r="BS1666" s="866">
        <f>VLOOKUP(BD1666,$BD$4:$BN$12824,7,0)*BE1666</f>
        <v>87046.219808140377</v>
      </c>
      <c r="BT1666" s="866"/>
      <c r="BU1666" s="866">
        <f>VLOOKUP(BD1666,$BD$4:$BN$12824,9,0)*BE1666</f>
        <v>10340.630914218023</v>
      </c>
      <c r="BV1666" s="867"/>
      <c r="BW1666" s="867">
        <f>VLOOKUP(BD1666,$BD$4:$BN$12824,11,0)*BE1666</f>
        <v>93003.074693225135</v>
      </c>
      <c r="BX1666" s="1146">
        <f t="shared" ref="BX1666:BX1732" si="320">SUM(BO1666:BW1666)</f>
        <v>1023378.4544189824</v>
      </c>
      <c r="BY1666" s="867">
        <f t="shared" si="309"/>
        <v>14746573.282736501</v>
      </c>
      <c r="BZ1666" s="867">
        <f t="shared" ref="BZ1666:BZ1732" si="321">BY1666*U1666</f>
        <v>88479439.696419001</v>
      </c>
      <c r="CA1666" s="867">
        <f>_xlfn.MAXIFS($BY$4:$BY$12824,$S$4:$S$12824,$S1666)</f>
        <v>14746573.282736501</v>
      </c>
      <c r="CB1666" s="1032"/>
      <c r="CF1666" s="946">
        <f t="shared" si="315"/>
        <v>93033600</v>
      </c>
    </row>
    <row r="1667" spans="2:85">
      <c r="B1667" s="839" t="s">
        <v>98</v>
      </c>
      <c r="C1667" s="839" t="s">
        <v>381</v>
      </c>
      <c r="D1667" s="839" t="s">
        <v>5486</v>
      </c>
      <c r="E1667" s="839" t="s">
        <v>5539</v>
      </c>
      <c r="F1667" s="841">
        <v>45827</v>
      </c>
      <c r="G1667" s="868" t="s">
        <v>383</v>
      </c>
      <c r="H1667" s="842" t="s">
        <v>102</v>
      </c>
      <c r="I1667" s="883" t="s">
        <v>5540</v>
      </c>
      <c r="J1667" s="841">
        <v>45814</v>
      </c>
      <c r="K1667" s="841">
        <v>46002</v>
      </c>
      <c r="L1667" s="843" t="s">
        <v>106</v>
      </c>
      <c r="M1667" s="844" t="s">
        <v>107</v>
      </c>
      <c r="N1667" s="841"/>
      <c r="O1667" s="884" t="s">
        <v>150</v>
      </c>
      <c r="P1667" s="842" t="s">
        <v>5523</v>
      </c>
      <c r="Q1667" s="843"/>
      <c r="R1667" s="845">
        <v>3130</v>
      </c>
      <c r="S1667" s="1127" t="s">
        <v>1719</v>
      </c>
      <c r="T1667" s="885" t="s">
        <v>5607</v>
      </c>
      <c r="U1667" s="886">
        <v>8</v>
      </c>
      <c r="V1667" s="842" t="s">
        <v>3</v>
      </c>
      <c r="W1667" s="846">
        <v>461</v>
      </c>
      <c r="X1667" s="847">
        <f t="shared" si="313"/>
        <v>3688</v>
      </c>
      <c r="Y1667" s="853">
        <v>0.45</v>
      </c>
      <c r="Z1667" s="849">
        <v>253.55</v>
      </c>
      <c r="AA1667" s="849"/>
      <c r="AB1667" s="849">
        <f t="shared" si="316"/>
        <v>2028.4</v>
      </c>
      <c r="AC1667" s="850">
        <f t="shared" si="317"/>
        <v>2028.4</v>
      </c>
      <c r="AD1667" s="851">
        <f t="shared" si="314"/>
        <v>32000</v>
      </c>
      <c r="AE1667" s="852">
        <v>30081.54</v>
      </c>
      <c r="AF1667" s="853">
        <v>0</v>
      </c>
      <c r="AG1667" s="854">
        <f t="shared" si="318"/>
        <v>0</v>
      </c>
      <c r="AH1667" s="853">
        <v>0.08</v>
      </c>
      <c r="AI1667" s="855">
        <f t="shared" si="319"/>
        <v>4881391.65888</v>
      </c>
      <c r="AJ1667" s="845" t="s">
        <v>5491</v>
      </c>
      <c r="AK1667" s="857">
        <v>45910</v>
      </c>
      <c r="AL1667" s="843">
        <v>251084200</v>
      </c>
      <c r="AM1667" s="843" t="s">
        <v>5492</v>
      </c>
      <c r="AN1667" s="844" t="s">
        <v>5493</v>
      </c>
      <c r="AO1667" s="844" t="s">
        <v>141</v>
      </c>
      <c r="AP1667" s="841"/>
      <c r="AQ1667" s="841">
        <v>45916</v>
      </c>
      <c r="AR1667" s="841">
        <v>45961</v>
      </c>
      <c r="AS1667" s="842" t="s">
        <v>1145</v>
      </c>
      <c r="AT1667" s="842" t="s">
        <v>1235</v>
      </c>
      <c r="AU1667" s="842" t="s">
        <v>1565</v>
      </c>
      <c r="AV1667" s="845" t="s">
        <v>5494</v>
      </c>
      <c r="AW1667" s="861">
        <v>45962</v>
      </c>
      <c r="AX1667" s="862">
        <v>45965</v>
      </c>
      <c r="AY1667" s="843" t="s">
        <v>5608</v>
      </c>
      <c r="AZ1667" s="842">
        <v>94017990</v>
      </c>
      <c r="BA1667" s="842" t="s">
        <v>120</v>
      </c>
      <c r="BB1667" s="863" t="s">
        <v>121</v>
      </c>
      <c r="BC1667" s="864">
        <v>45968</v>
      </c>
      <c r="BD1667" s="860" t="s">
        <v>5496</v>
      </c>
      <c r="BE1667" s="865" cm="1">
        <f t="array" ref="BE1667">IF(BD1667="","",AC1667/SUMPRODUCT(--(BD1667=$BD$4:$BD$12824),$AC$4:$AC$12824))</f>
        <v>1.387418391529005E-2</v>
      </c>
      <c r="BF1667" s="458"/>
      <c r="BG1667" s="458"/>
      <c r="BH1667" s="458"/>
      <c r="BI1667" s="458"/>
      <c r="BJ1667" s="458"/>
      <c r="BK1667" s="458"/>
      <c r="BL1667" s="458"/>
      <c r="BM1667" s="458"/>
      <c r="BN1667" s="458"/>
      <c r="BO1667" s="866">
        <f>VLOOKUP(BD1667,$BD$4:$BN$12824,3,0)*BE1667</f>
        <v>413032.37403059751</v>
      </c>
      <c r="BP1667" s="866"/>
      <c r="BQ1667" s="866"/>
      <c r="BR1667" s="866">
        <f>VLOOKUP(BD1667,$BD$4:$BN$12824,6,0)*BE1667</f>
        <v>168137.07261422553</v>
      </c>
      <c r="BS1667" s="866">
        <f>VLOOKUP(BD1667,$BD$4:$BN$12824,7,0)*BE1667</f>
        <v>60731.452639504671</v>
      </c>
      <c r="BT1667" s="866"/>
      <c r="BU1667" s="866">
        <f>VLOOKUP(BD1667,$BD$4:$BN$12824,9,0)*BE1667</f>
        <v>7214.5756359508259</v>
      </c>
      <c r="BV1667" s="867"/>
      <c r="BW1667" s="867">
        <f>VLOOKUP(BD1667,$BD$4:$BN$12824,11,0)*BE1667</f>
        <v>64887.502737157447</v>
      </c>
      <c r="BX1667" s="1146">
        <f t="shared" si="320"/>
        <v>714002.97765743593</v>
      </c>
      <c r="BY1667" s="867">
        <f t="shared" si="309"/>
        <v>7716424.8392071798</v>
      </c>
      <c r="BZ1667" s="867">
        <f t="shared" si="321"/>
        <v>61731398.713657439</v>
      </c>
      <c r="CA1667" s="867">
        <f>_xlfn.MAXIFS($BY$4:$BY$12824,$S$4:$S$12824,$S1667)</f>
        <v>7716424.8392071798</v>
      </c>
      <c r="CB1667" s="1032"/>
      <c r="CF1667" s="946">
        <f t="shared" si="315"/>
        <v>64908800</v>
      </c>
    </row>
    <row r="1668" spans="2:85">
      <c r="B1668" s="839" t="s">
        <v>98</v>
      </c>
      <c r="C1668" s="839" t="s">
        <v>381</v>
      </c>
      <c r="D1668" s="839" t="s">
        <v>5486</v>
      </c>
      <c r="E1668" s="839" t="s">
        <v>5609</v>
      </c>
      <c r="F1668" s="841">
        <v>45828</v>
      </c>
      <c r="G1668" s="868" t="s">
        <v>383</v>
      </c>
      <c r="H1668" s="842" t="s">
        <v>102</v>
      </c>
      <c r="I1668" s="883" t="s">
        <v>5610</v>
      </c>
      <c r="J1668" s="841">
        <v>45827</v>
      </c>
      <c r="K1668" s="841" t="s">
        <v>5611</v>
      </c>
      <c r="L1668" s="843" t="s">
        <v>106</v>
      </c>
      <c r="M1668" s="844" t="s">
        <v>107</v>
      </c>
      <c r="N1668" s="841"/>
      <c r="O1668" s="884" t="s">
        <v>150</v>
      </c>
      <c r="P1668" s="842" t="s">
        <v>5523</v>
      </c>
      <c r="Q1668" s="843"/>
      <c r="R1668" s="845">
        <v>3117</v>
      </c>
      <c r="S1668" s="1127" t="s">
        <v>5612</v>
      </c>
      <c r="T1668" s="885" t="s">
        <v>5613</v>
      </c>
      <c r="U1668" s="886">
        <v>2</v>
      </c>
      <c r="V1668" s="842" t="s">
        <v>3</v>
      </c>
      <c r="W1668" s="846">
        <v>1049</v>
      </c>
      <c r="X1668" s="847">
        <f t="shared" si="313"/>
        <v>2098</v>
      </c>
      <c r="Y1668" s="853">
        <v>0.45</v>
      </c>
      <c r="Z1668" s="849">
        <v>576.95000000000005</v>
      </c>
      <c r="AA1668" s="849"/>
      <c r="AB1668" s="849">
        <f t="shared" si="316"/>
        <v>1153.9000000000001</v>
      </c>
      <c r="AC1668" s="850">
        <f t="shared" si="317"/>
        <v>1153.9000000000001</v>
      </c>
      <c r="AD1668" s="851">
        <f t="shared" si="314"/>
        <v>32000</v>
      </c>
      <c r="AE1668" s="852">
        <v>30081.54</v>
      </c>
      <c r="AF1668" s="853">
        <v>0</v>
      </c>
      <c r="AG1668" s="854">
        <f t="shared" si="318"/>
        <v>0</v>
      </c>
      <c r="AH1668" s="853">
        <v>0.08</v>
      </c>
      <c r="AI1668" s="855">
        <f t="shared" si="319"/>
        <v>2776887.1204800005</v>
      </c>
      <c r="AJ1668" s="845" t="s">
        <v>5491</v>
      </c>
      <c r="AK1668" s="857">
        <v>45910</v>
      </c>
      <c r="AL1668" s="843">
        <v>251084200</v>
      </c>
      <c r="AM1668" s="843" t="s">
        <v>5492</v>
      </c>
      <c r="AN1668" s="844" t="s">
        <v>5493</v>
      </c>
      <c r="AO1668" s="844" t="s">
        <v>141</v>
      </c>
      <c r="AP1668" s="841"/>
      <c r="AQ1668" s="841">
        <v>45916</v>
      </c>
      <c r="AR1668" s="841">
        <v>45961</v>
      </c>
      <c r="AS1668" s="842" t="s">
        <v>1145</v>
      </c>
      <c r="AT1668" s="842" t="s">
        <v>1235</v>
      </c>
      <c r="AU1668" s="842" t="s">
        <v>1565</v>
      </c>
      <c r="AV1668" s="845" t="s">
        <v>5494</v>
      </c>
      <c r="AW1668" s="861">
        <v>45962</v>
      </c>
      <c r="AX1668" s="862">
        <v>45965</v>
      </c>
      <c r="AY1668" s="843" t="s">
        <v>5614</v>
      </c>
      <c r="AZ1668" s="842">
        <v>94017990</v>
      </c>
      <c r="BA1668" s="842" t="s">
        <v>120</v>
      </c>
      <c r="BB1668" s="863" t="s">
        <v>121</v>
      </c>
      <c r="BC1668" s="864">
        <v>45968</v>
      </c>
      <c r="BD1668" s="860" t="s">
        <v>5496</v>
      </c>
      <c r="BE1668" s="865" cm="1">
        <f t="array" ref="BE1668">IF(BD1668="","",AC1668/SUMPRODUCT(--(BD1668=$BD$4:$BD$12824),$AC$4:$AC$12824))</f>
        <v>7.8926349930256313E-3</v>
      </c>
      <c r="BF1668" s="458"/>
      <c r="BG1668" s="458"/>
      <c r="BH1668" s="458"/>
      <c r="BI1668" s="458"/>
      <c r="BJ1668" s="458"/>
      <c r="BK1668" s="458"/>
      <c r="BL1668" s="458"/>
      <c r="BM1668" s="458"/>
      <c r="BN1668" s="458"/>
      <c r="BO1668" s="866">
        <f>VLOOKUP(BD1668,$BD$4:$BN$12824,3,0)*BE1668</f>
        <v>234962.5598471241</v>
      </c>
      <c r="BP1668" s="866"/>
      <c r="BQ1668" s="866"/>
      <c r="BR1668" s="866">
        <f>VLOOKUP(BD1668,$BD$4:$BN$12824,6,0)*BE1668</f>
        <v>95648.475689979721</v>
      </c>
      <c r="BS1668" s="866">
        <f>VLOOKUP(BD1668,$BD$4:$BN$12824,7,0)*BE1668</f>
        <v>34548.423979848376</v>
      </c>
      <c r="BT1668" s="866"/>
      <c r="BU1668" s="866">
        <f>VLOOKUP(BD1668,$BD$4:$BN$12824,9,0)*BE1668</f>
        <v>4104.1701963733285</v>
      </c>
      <c r="BV1668" s="867"/>
      <c r="BW1668" s="867">
        <f>VLOOKUP(BD1668,$BD$4:$BN$12824,11,0)*BE1668</f>
        <v>36912.684583122653</v>
      </c>
      <c r="BX1668" s="1146">
        <f t="shared" si="320"/>
        <v>406176.3142964482</v>
      </c>
      <c r="BY1668" s="867">
        <f t="shared" si="309"/>
        <v>17558632.660148226</v>
      </c>
      <c r="BZ1668" s="867">
        <f t="shared" si="321"/>
        <v>35117265.320296451</v>
      </c>
      <c r="CA1668" s="867">
        <f>_xlfn.MAXIFS($BY$4:$BY$12824,$S$4:$S$12824,$S1668)</f>
        <v>17558632.660148226</v>
      </c>
      <c r="CB1668" s="1032"/>
      <c r="CF1668" s="946">
        <f t="shared" si="315"/>
        <v>36924800</v>
      </c>
    </row>
    <row r="1669" spans="2:85">
      <c r="B1669" s="839" t="s">
        <v>98</v>
      </c>
      <c r="C1669" s="839" t="s">
        <v>381</v>
      </c>
      <c r="D1669" s="839" t="s">
        <v>5486</v>
      </c>
      <c r="E1669" s="839" t="s">
        <v>5615</v>
      </c>
      <c r="F1669" s="841">
        <v>45870</v>
      </c>
      <c r="G1669" s="868" t="s">
        <v>383</v>
      </c>
      <c r="H1669" s="842" t="s">
        <v>102</v>
      </c>
      <c r="I1669" s="883" t="s">
        <v>4747</v>
      </c>
      <c r="J1669" s="841">
        <v>45859</v>
      </c>
      <c r="K1669" s="841"/>
      <c r="L1669" s="843" t="s">
        <v>106</v>
      </c>
      <c r="M1669" s="844" t="s">
        <v>107</v>
      </c>
      <c r="N1669" s="841"/>
      <c r="O1669" s="884" t="s">
        <v>150</v>
      </c>
      <c r="P1669" s="842" t="s">
        <v>5523</v>
      </c>
      <c r="Q1669" s="843"/>
      <c r="R1669" s="845">
        <v>3101</v>
      </c>
      <c r="S1669" s="1127" t="s">
        <v>5616</v>
      </c>
      <c r="T1669" s="885" t="s">
        <v>5617</v>
      </c>
      <c r="U1669" s="886">
        <v>1</v>
      </c>
      <c r="V1669" s="842" t="s">
        <v>3</v>
      </c>
      <c r="W1669" s="846">
        <v>284</v>
      </c>
      <c r="X1669" s="847">
        <f t="shared" si="313"/>
        <v>284</v>
      </c>
      <c r="Y1669" s="853">
        <v>0.45</v>
      </c>
      <c r="Z1669" s="849">
        <v>156.19999999999999</v>
      </c>
      <c r="AA1669" s="849"/>
      <c r="AB1669" s="849">
        <f t="shared" si="316"/>
        <v>156.19999999999999</v>
      </c>
      <c r="AC1669" s="850">
        <f t="shared" si="317"/>
        <v>156.19999999999999</v>
      </c>
      <c r="AD1669" s="851">
        <f t="shared" si="314"/>
        <v>32000</v>
      </c>
      <c r="AE1669" s="852">
        <v>30081.54</v>
      </c>
      <c r="AF1669" s="853">
        <v>0</v>
      </c>
      <c r="AG1669" s="854">
        <f t="shared" si="318"/>
        <v>0</v>
      </c>
      <c r="AH1669" s="853">
        <v>0.08</v>
      </c>
      <c r="AI1669" s="855">
        <f t="shared" si="319"/>
        <v>375898.92383999994</v>
      </c>
      <c r="AJ1669" s="845" t="s">
        <v>5491</v>
      </c>
      <c r="AK1669" s="857">
        <v>45910</v>
      </c>
      <c r="AL1669" s="843">
        <v>251084200</v>
      </c>
      <c r="AM1669" s="843" t="s">
        <v>5492</v>
      </c>
      <c r="AN1669" s="844" t="s">
        <v>5493</v>
      </c>
      <c r="AO1669" s="844" t="s">
        <v>141</v>
      </c>
      <c r="AP1669" s="841"/>
      <c r="AQ1669" s="841">
        <v>45916</v>
      </c>
      <c r="AR1669" s="841">
        <v>45961</v>
      </c>
      <c r="AS1669" s="842" t="s">
        <v>1145</v>
      </c>
      <c r="AT1669" s="842" t="s">
        <v>1235</v>
      </c>
      <c r="AU1669" s="842" t="s">
        <v>1565</v>
      </c>
      <c r="AV1669" s="845" t="s">
        <v>5494</v>
      </c>
      <c r="AW1669" s="861">
        <v>45962</v>
      </c>
      <c r="AX1669" s="862">
        <v>45965</v>
      </c>
      <c r="AY1669" s="843" t="s">
        <v>5618</v>
      </c>
      <c r="AZ1669" s="842">
        <v>94017990</v>
      </c>
      <c r="BA1669" s="842" t="s">
        <v>120</v>
      </c>
      <c r="BB1669" s="863" t="s">
        <v>121</v>
      </c>
      <c r="BC1669" s="864">
        <v>45968</v>
      </c>
      <c r="BD1669" s="860" t="s">
        <v>5496</v>
      </c>
      <c r="BE1669" s="865" cm="1">
        <f t="array" ref="BE1669">IF(BD1669="","",AC1669/SUMPRODUCT(--(BD1669=$BD$4:$BD$12824),$AC$4:$AC$12824))</f>
        <v>1.068402449008236E-3</v>
      </c>
      <c r="BF1669" s="458"/>
      <c r="BG1669" s="458"/>
      <c r="BH1669" s="458"/>
      <c r="BI1669" s="458"/>
      <c r="BJ1669" s="458"/>
      <c r="BK1669" s="458"/>
      <c r="BL1669" s="458"/>
      <c r="BM1669" s="458"/>
      <c r="BN1669" s="458"/>
      <c r="BO1669" s="866">
        <f>VLOOKUP(BD1669,$BD$4:$BN$12824,3,0)*BE1669</f>
        <v>31806.180646607834</v>
      </c>
      <c r="BP1669" s="866"/>
      <c r="BQ1669" s="866"/>
      <c r="BR1669" s="866">
        <f>VLOOKUP(BD1669,$BD$4:$BN$12824,6,0)*BE1669</f>
        <v>12947.648758796109</v>
      </c>
      <c r="BS1669" s="866">
        <f>VLOOKUP(BD1669,$BD$4:$BN$12824,7,0)*BE1669</f>
        <v>4676.7170687687976</v>
      </c>
      <c r="BT1669" s="866"/>
      <c r="BU1669" s="866">
        <f>VLOOKUP(BD1669,$BD$4:$BN$12824,9,0)*BE1669</f>
        <v>555.56927348428269</v>
      </c>
      <c r="BV1669" s="867"/>
      <c r="BW1669" s="867">
        <f>VLOOKUP(BD1669,$BD$4:$BN$12824,11,0)*BE1669</f>
        <v>4996.7599721672223</v>
      </c>
      <c r="BX1669" s="1146">
        <f t="shared" si="320"/>
        <v>54982.875719824246</v>
      </c>
      <c r="BY1669" s="867">
        <f t="shared" si="309"/>
        <v>4753719.4237198234</v>
      </c>
      <c r="BZ1669" s="867">
        <f t="shared" si="321"/>
        <v>4753719.4237198234</v>
      </c>
      <c r="CA1669" s="867">
        <f>_xlfn.MAXIFS($BY$4:$BY$12824,$S$4:$S$12824,$S1669)</f>
        <v>4753719.4237198234</v>
      </c>
      <c r="CB1669" s="1032"/>
      <c r="CF1669" s="946">
        <f t="shared" si="315"/>
        <v>4998400</v>
      </c>
    </row>
    <row r="1670" spans="2:85">
      <c r="B1670" s="839" t="s">
        <v>98</v>
      </c>
      <c r="C1670" s="839" t="s">
        <v>381</v>
      </c>
      <c r="D1670" s="839" t="s">
        <v>5486</v>
      </c>
      <c r="E1670" s="839" t="s">
        <v>5615</v>
      </c>
      <c r="F1670" s="841">
        <v>45870</v>
      </c>
      <c r="G1670" s="868" t="s">
        <v>383</v>
      </c>
      <c r="H1670" s="842" t="s">
        <v>102</v>
      </c>
      <c r="I1670" s="883" t="s">
        <v>4747</v>
      </c>
      <c r="J1670" s="841">
        <v>45859</v>
      </c>
      <c r="K1670" s="841"/>
      <c r="L1670" s="843" t="s">
        <v>106</v>
      </c>
      <c r="M1670" s="844" t="s">
        <v>107</v>
      </c>
      <c r="N1670" s="841"/>
      <c r="O1670" s="884" t="s">
        <v>150</v>
      </c>
      <c r="P1670" s="842" t="s">
        <v>5523</v>
      </c>
      <c r="Q1670" s="843"/>
      <c r="R1670" s="845">
        <v>3101</v>
      </c>
      <c r="S1670" s="1127" t="s">
        <v>5619</v>
      </c>
      <c r="T1670" s="885" t="s">
        <v>5620</v>
      </c>
      <c r="U1670" s="886">
        <v>1</v>
      </c>
      <c r="V1670" s="842" t="s">
        <v>3</v>
      </c>
      <c r="W1670" s="846">
        <v>284</v>
      </c>
      <c r="X1670" s="847">
        <f t="shared" si="313"/>
        <v>284</v>
      </c>
      <c r="Y1670" s="853">
        <v>0.45</v>
      </c>
      <c r="Z1670" s="849">
        <v>156.19999999999999</v>
      </c>
      <c r="AA1670" s="849"/>
      <c r="AB1670" s="849">
        <f t="shared" si="316"/>
        <v>156.19999999999999</v>
      </c>
      <c r="AC1670" s="850">
        <f t="shared" si="317"/>
        <v>156.19999999999999</v>
      </c>
      <c r="AD1670" s="851">
        <f t="shared" si="314"/>
        <v>32000</v>
      </c>
      <c r="AE1670" s="852">
        <v>30081.54</v>
      </c>
      <c r="AF1670" s="853">
        <v>0</v>
      </c>
      <c r="AG1670" s="854">
        <f t="shared" si="318"/>
        <v>0</v>
      </c>
      <c r="AH1670" s="853">
        <v>0.08</v>
      </c>
      <c r="AI1670" s="855">
        <f t="shared" si="319"/>
        <v>375898.92383999994</v>
      </c>
      <c r="AJ1670" s="845" t="s">
        <v>5491</v>
      </c>
      <c r="AK1670" s="857">
        <v>45910</v>
      </c>
      <c r="AL1670" s="843">
        <v>251084200</v>
      </c>
      <c r="AM1670" s="843" t="s">
        <v>5492</v>
      </c>
      <c r="AN1670" s="844" t="s">
        <v>5493</v>
      </c>
      <c r="AO1670" s="844" t="s">
        <v>141</v>
      </c>
      <c r="AP1670" s="841"/>
      <c r="AQ1670" s="841">
        <v>45916</v>
      </c>
      <c r="AR1670" s="841">
        <v>45961</v>
      </c>
      <c r="AS1670" s="842" t="s">
        <v>1145</v>
      </c>
      <c r="AT1670" s="842" t="s">
        <v>1235</v>
      </c>
      <c r="AU1670" s="842" t="s">
        <v>1565</v>
      </c>
      <c r="AV1670" s="845" t="s">
        <v>5494</v>
      </c>
      <c r="AW1670" s="861">
        <v>45962</v>
      </c>
      <c r="AX1670" s="862">
        <v>45965</v>
      </c>
      <c r="AY1670" s="843" t="s">
        <v>5621</v>
      </c>
      <c r="AZ1670" s="842">
        <v>94017990</v>
      </c>
      <c r="BA1670" s="842" t="s">
        <v>120</v>
      </c>
      <c r="BB1670" s="863" t="s">
        <v>121</v>
      </c>
      <c r="BC1670" s="864">
        <v>45968</v>
      </c>
      <c r="BD1670" s="860" t="s">
        <v>5496</v>
      </c>
      <c r="BE1670" s="865" cm="1">
        <f t="array" ref="BE1670">IF(BD1670="","",AC1670/SUMPRODUCT(--(BD1670=$BD$4:$BD$12824),$AC$4:$AC$12824))</f>
        <v>1.068402449008236E-3</v>
      </c>
      <c r="BF1670" s="458"/>
      <c r="BG1670" s="458"/>
      <c r="BH1670" s="458"/>
      <c r="BI1670" s="458"/>
      <c r="BJ1670" s="458"/>
      <c r="BK1670" s="458"/>
      <c r="BL1670" s="458"/>
      <c r="BM1670" s="458"/>
      <c r="BN1670" s="458"/>
      <c r="BO1670" s="866">
        <f>VLOOKUP(BD1670,$BD$4:$BN$12824,3,0)*BE1670</f>
        <v>31806.180646607834</v>
      </c>
      <c r="BP1670" s="866"/>
      <c r="BQ1670" s="866"/>
      <c r="BR1670" s="866">
        <f>VLOOKUP(BD1670,$BD$4:$BN$12824,6,0)*BE1670</f>
        <v>12947.648758796109</v>
      </c>
      <c r="BS1670" s="866">
        <f>VLOOKUP(BD1670,$BD$4:$BN$12824,7,0)*BE1670</f>
        <v>4676.7170687687976</v>
      </c>
      <c r="BT1670" s="866"/>
      <c r="BU1670" s="866">
        <f>VLOOKUP(BD1670,$BD$4:$BN$12824,9,0)*BE1670</f>
        <v>555.56927348428269</v>
      </c>
      <c r="BV1670" s="867"/>
      <c r="BW1670" s="867">
        <f>VLOOKUP(BD1670,$BD$4:$BN$12824,11,0)*BE1670</f>
        <v>4996.7599721672223</v>
      </c>
      <c r="BX1670" s="1146">
        <f t="shared" si="320"/>
        <v>54982.875719824246</v>
      </c>
      <c r="BY1670" s="867">
        <f t="shared" ref="BY1670:BY1733" si="322">(AB1670*AE1670+AG1670+BX1670)/U1670</f>
        <v>4753719.4237198234</v>
      </c>
      <c r="BZ1670" s="867">
        <f t="shared" si="321"/>
        <v>4753719.4237198234</v>
      </c>
      <c r="CA1670" s="867">
        <f>_xlfn.MAXIFS($BY$4:$BY$12824,$S$4:$S$12824,$S1670)</f>
        <v>4753719.4237198234</v>
      </c>
      <c r="CB1670" s="1032"/>
      <c r="CF1670" s="946">
        <f t="shared" si="315"/>
        <v>4998400</v>
      </c>
    </row>
    <row r="1671" spans="2:85">
      <c r="B1671" s="839" t="s">
        <v>98</v>
      </c>
      <c r="C1671" s="839" t="s">
        <v>381</v>
      </c>
      <c r="D1671" s="839" t="s">
        <v>5486</v>
      </c>
      <c r="E1671" s="839" t="s">
        <v>5622</v>
      </c>
      <c r="F1671" s="841">
        <v>45876</v>
      </c>
      <c r="G1671" s="868" t="s">
        <v>383</v>
      </c>
      <c r="H1671" s="842" t="s">
        <v>102</v>
      </c>
      <c r="I1671" s="883" t="s">
        <v>5623</v>
      </c>
      <c r="J1671" s="841">
        <v>45875</v>
      </c>
      <c r="K1671" s="841">
        <v>46081</v>
      </c>
      <c r="L1671" s="843" t="s">
        <v>106</v>
      </c>
      <c r="M1671" s="844" t="s">
        <v>107</v>
      </c>
      <c r="N1671" s="841"/>
      <c r="O1671" s="884" t="s">
        <v>150</v>
      </c>
      <c r="P1671" s="842" t="s">
        <v>5488</v>
      </c>
      <c r="Q1671" s="843"/>
      <c r="R1671" s="845" t="s">
        <v>5624</v>
      </c>
      <c r="S1671" s="1127" t="s">
        <v>5625</v>
      </c>
      <c r="T1671" s="885" t="s">
        <v>5626</v>
      </c>
      <c r="U1671" s="886">
        <v>1</v>
      </c>
      <c r="V1671" s="842" t="s">
        <v>3</v>
      </c>
      <c r="W1671" s="846">
        <v>2688</v>
      </c>
      <c r="X1671" s="847">
        <f t="shared" si="313"/>
        <v>2688</v>
      </c>
      <c r="Y1671" s="853">
        <v>0.45</v>
      </c>
      <c r="Z1671" s="849">
        <v>1478.4</v>
      </c>
      <c r="AA1671" s="849"/>
      <c r="AB1671" s="849">
        <f t="shared" si="316"/>
        <v>1478.4</v>
      </c>
      <c r="AC1671" s="850">
        <f t="shared" si="317"/>
        <v>1478.4</v>
      </c>
      <c r="AD1671" s="851">
        <f t="shared" si="314"/>
        <v>32000</v>
      </c>
      <c r="AE1671" s="852">
        <v>30081.54</v>
      </c>
      <c r="AF1671" s="853">
        <v>0</v>
      </c>
      <c r="AG1671" s="854">
        <f t="shared" si="318"/>
        <v>0</v>
      </c>
      <c r="AH1671" s="853">
        <v>0.08</v>
      </c>
      <c r="AI1671" s="855">
        <f t="shared" si="319"/>
        <v>3557803.8988800002</v>
      </c>
      <c r="AJ1671" s="845" t="s">
        <v>5491</v>
      </c>
      <c r="AK1671" s="857">
        <v>45910</v>
      </c>
      <c r="AL1671" s="843">
        <v>251084200</v>
      </c>
      <c r="AM1671" s="843" t="s">
        <v>5492</v>
      </c>
      <c r="AN1671" s="844" t="s">
        <v>5493</v>
      </c>
      <c r="AO1671" s="844" t="s">
        <v>141</v>
      </c>
      <c r="AP1671" s="841"/>
      <c r="AQ1671" s="841">
        <v>45916</v>
      </c>
      <c r="AR1671" s="841">
        <v>45961</v>
      </c>
      <c r="AS1671" s="842" t="s">
        <v>1145</v>
      </c>
      <c r="AT1671" s="842" t="s">
        <v>1235</v>
      </c>
      <c r="AU1671" s="842" t="s">
        <v>1565</v>
      </c>
      <c r="AV1671" s="845" t="s">
        <v>5494</v>
      </c>
      <c r="AW1671" s="861">
        <v>45962</v>
      </c>
      <c r="AX1671" s="862">
        <v>45965</v>
      </c>
      <c r="AY1671" s="843" t="s">
        <v>5627</v>
      </c>
      <c r="AZ1671" s="842">
        <v>94038990</v>
      </c>
      <c r="BA1671" s="842" t="s">
        <v>120</v>
      </c>
      <c r="BB1671" s="863" t="s">
        <v>121</v>
      </c>
      <c r="BC1671" s="864">
        <v>45968</v>
      </c>
      <c r="BD1671" s="860" t="s">
        <v>5496</v>
      </c>
      <c r="BE1671" s="865" cm="1">
        <f t="array" ref="BE1671">IF(BD1671="","",AC1671/SUMPRODUCT(--(BD1671=$BD$4:$BD$12824),$AC$4:$AC$12824))</f>
        <v>1.0112203461035699E-2</v>
      </c>
      <c r="BF1671" s="458"/>
      <c r="BG1671" s="458"/>
      <c r="BH1671" s="458"/>
      <c r="BI1671" s="458"/>
      <c r="BJ1671" s="458"/>
      <c r="BK1671" s="458"/>
      <c r="BL1671" s="458"/>
      <c r="BM1671" s="458"/>
      <c r="BN1671" s="458"/>
      <c r="BO1671" s="866">
        <f>VLOOKUP(BD1671,$BD$4:$BN$12824,3,0)*BE1671</f>
        <v>301038.78020451363</v>
      </c>
      <c r="BP1671" s="866"/>
      <c r="BQ1671" s="866"/>
      <c r="BR1671" s="866">
        <f>VLOOKUP(BD1671,$BD$4:$BN$12824,6,0)*BE1671</f>
        <v>122546.76008325334</v>
      </c>
      <c r="BS1671" s="866">
        <f>VLOOKUP(BD1671,$BD$4:$BN$12824,7,0)*BE1671</f>
        <v>44264.139017079331</v>
      </c>
      <c r="BT1671" s="866"/>
      <c r="BU1671" s="866">
        <f>VLOOKUP(BD1671,$BD$4:$BN$12824,9,0)*BE1671</f>
        <v>5258.345799738564</v>
      </c>
      <c r="BV1671" s="867"/>
      <c r="BW1671" s="867">
        <f>VLOOKUP(BD1671,$BD$4:$BN$12824,11,0)*BE1671</f>
        <v>47293.277483047517</v>
      </c>
      <c r="BX1671" s="1146">
        <f t="shared" si="320"/>
        <v>520401.30258763232</v>
      </c>
      <c r="BY1671" s="867">
        <f t="shared" si="322"/>
        <v>44992950.038587637</v>
      </c>
      <c r="BZ1671" s="867">
        <f t="shared" si="321"/>
        <v>44992950.038587637</v>
      </c>
      <c r="CA1671" s="867">
        <f>_xlfn.MAXIFS($BY$4:$BY$12824,$S$4:$S$12824,$S1671)</f>
        <v>44992950.038587637</v>
      </c>
      <c r="CB1671" s="1032"/>
      <c r="CF1671" s="946">
        <f t="shared" si="315"/>
        <v>47308800</v>
      </c>
    </row>
    <row r="1672" spans="2:85">
      <c r="B1672" s="839" t="s">
        <v>98</v>
      </c>
      <c r="C1672" s="839" t="s">
        <v>381</v>
      </c>
      <c r="D1672" s="839" t="s">
        <v>5486</v>
      </c>
      <c r="E1672" s="839" t="s">
        <v>5487</v>
      </c>
      <c r="F1672" s="841">
        <v>45784</v>
      </c>
      <c r="G1672" s="868" t="s">
        <v>383</v>
      </c>
      <c r="H1672" s="842" t="s">
        <v>134</v>
      </c>
      <c r="I1672" s="883"/>
      <c r="J1672" s="841"/>
      <c r="K1672" s="841"/>
      <c r="L1672" s="843" t="s">
        <v>106</v>
      </c>
      <c r="M1672" s="844" t="s">
        <v>107</v>
      </c>
      <c r="N1672" s="841"/>
      <c r="O1672" s="884" t="s">
        <v>150</v>
      </c>
      <c r="P1672" s="842" t="s">
        <v>5523</v>
      </c>
      <c r="Q1672" s="843"/>
      <c r="R1672" s="845">
        <v>3107</v>
      </c>
      <c r="S1672" s="1129" t="s">
        <v>1673</v>
      </c>
      <c r="T1672" s="885" t="s">
        <v>5628</v>
      </c>
      <c r="U1672" s="886">
        <v>132</v>
      </c>
      <c r="V1672" s="842" t="s">
        <v>3</v>
      </c>
      <c r="W1672" s="846">
        <v>394</v>
      </c>
      <c r="X1672" s="847">
        <f>W1672*U1672</f>
        <v>52008</v>
      </c>
      <c r="Y1672" s="853">
        <v>0.54</v>
      </c>
      <c r="Z1672" s="849">
        <v>181.24</v>
      </c>
      <c r="AA1672" s="849"/>
      <c r="AB1672" s="849">
        <f>IF(AA1672="F.O.C", 0, Z1672*U1672)</f>
        <v>23923.68</v>
      </c>
      <c r="AC1672" s="850">
        <f>Z1672*U1672</f>
        <v>23923.68</v>
      </c>
      <c r="AD1672" s="851">
        <f>IF(V1672=$AD$2,$AE$2,$AE$3)</f>
        <v>32000</v>
      </c>
      <c r="AE1672" s="852">
        <v>30081.54</v>
      </c>
      <c r="AF1672" s="853">
        <v>0</v>
      </c>
      <c r="AG1672" s="854">
        <f>(AC1672*AE1672+BO1672+BP1672+BQ1672+BS1672)*AF1672</f>
        <v>0</v>
      </c>
      <c r="AH1672" s="853">
        <v>0.08</v>
      </c>
      <c r="AI1672" s="855">
        <f>(AC1672*AE1672+AG1672+BF1672+BG1672+BH1672+BJ1672)*AH1672</f>
        <v>57572890.949376002</v>
      </c>
      <c r="AJ1672" s="845" t="s">
        <v>5491</v>
      </c>
      <c r="AK1672" s="857">
        <v>45910</v>
      </c>
      <c r="AL1672" s="843">
        <v>251084200</v>
      </c>
      <c r="AM1672" s="843" t="s">
        <v>5492</v>
      </c>
      <c r="AN1672" s="844" t="s">
        <v>5493</v>
      </c>
      <c r="AO1672" s="844" t="s">
        <v>141</v>
      </c>
      <c r="AP1672" s="841"/>
      <c r="AQ1672" s="841">
        <v>45916</v>
      </c>
      <c r="AR1672" s="841">
        <v>45961</v>
      </c>
      <c r="AS1672" s="842" t="s">
        <v>1145</v>
      </c>
      <c r="AT1672" s="842" t="s">
        <v>1235</v>
      </c>
      <c r="AU1672" s="842" t="s">
        <v>1565</v>
      </c>
      <c r="AV1672" s="845" t="s">
        <v>5494</v>
      </c>
      <c r="AW1672" s="861">
        <v>45962</v>
      </c>
      <c r="AX1672" s="862">
        <v>45965</v>
      </c>
      <c r="AY1672" s="843" t="s">
        <v>5629</v>
      </c>
      <c r="AZ1672" s="842">
        <v>94017990</v>
      </c>
      <c r="BA1672" s="842" t="s">
        <v>120</v>
      </c>
      <c r="BB1672" s="863" t="s">
        <v>121</v>
      </c>
      <c r="BC1672" s="864">
        <v>45968</v>
      </c>
      <c r="BD1672" s="860" t="s">
        <v>5496</v>
      </c>
      <c r="BE1672" s="865" cm="1">
        <f t="array" ref="BE1672">IF(BD1672="","",AC1672/SUMPRODUCT(--(BD1672=$BD$4:$BD$12824),$AC$4:$AC$12824))</f>
        <v>0.16363712100697411</v>
      </c>
      <c r="BF1672" s="458"/>
      <c r="BG1672" s="458"/>
      <c r="BH1672" s="458"/>
      <c r="BI1672" s="458"/>
      <c r="BJ1672" s="458"/>
      <c r="BK1672" s="458"/>
      <c r="BL1672" s="458"/>
      <c r="BM1672" s="458"/>
      <c r="BN1672" s="458"/>
      <c r="BO1672" s="866">
        <f>VLOOKUP(BD1672,$BD$4:$BN$12824,3,0)*BE1672</f>
        <v>4871452.5468094684</v>
      </c>
      <c r="BP1672" s="866"/>
      <c r="BQ1672" s="866"/>
      <c r="BR1672" s="866">
        <f>VLOOKUP(BD1672,$BD$4:$BN$12824,6,0)*BE1672</f>
        <v>1983069.1783472172</v>
      </c>
      <c r="BS1672" s="866">
        <f>VLOOKUP(BD1672,$BD$4:$BN$12824,7,0)*BE1672</f>
        <v>716288.62102280871</v>
      </c>
      <c r="BT1672" s="866"/>
      <c r="BU1672" s="866">
        <f>VLOOKUP(BD1672,$BD$4:$BN$12824,9,0)*BE1672</f>
        <v>85091.302923626543</v>
      </c>
      <c r="BV1672" s="867"/>
      <c r="BW1672" s="867">
        <f>VLOOKUP(BD1672,$BD$4:$BN$12824,11,0)*BE1672</f>
        <v>765306.57241317246</v>
      </c>
      <c r="BX1672" s="1146">
        <f>SUM(BO1672:BW1672)</f>
        <v>8421208.2215162925</v>
      </c>
      <c r="BY1672" s="867">
        <f t="shared" si="322"/>
        <v>5515775.3415811835</v>
      </c>
      <c r="BZ1672" s="867">
        <f>BY1672*U1672</f>
        <v>728082345.08871627</v>
      </c>
      <c r="CA1672" s="867">
        <f>_xlfn.MAXIFS($BY$4:$BY$12824,$S$4:$S$12824,$S1672)</f>
        <v>5515775.3415811835</v>
      </c>
      <c r="CB1672" s="944">
        <v>17500000</v>
      </c>
      <c r="CC1672" s="1059">
        <v>11500000</v>
      </c>
      <c r="CD1672" s="997">
        <f t="shared" ref="CD1672:CD1674" si="323">((CC1672/1.08-CA1672-CC1672/1.08*15%)*80%)/(CC1672/1.08)</f>
        <v>0.26559740042381369</v>
      </c>
      <c r="CE1672" s="997">
        <f>(CC1672/1.08-CA1672)/(CC1672/1.08)</f>
        <v>0.48199675052976709</v>
      </c>
      <c r="CF1672" s="946">
        <f>AC1672*AD1672</f>
        <v>765557760</v>
      </c>
      <c r="CG1672" s="945" t="s">
        <v>5630</v>
      </c>
    </row>
    <row r="1673" spans="2:85">
      <c r="B1673" s="839" t="s">
        <v>98</v>
      </c>
      <c r="C1673" s="839" t="s">
        <v>381</v>
      </c>
      <c r="D1673" s="839" t="s">
        <v>5486</v>
      </c>
      <c r="E1673" s="839" t="s">
        <v>5487</v>
      </c>
      <c r="F1673" s="841">
        <v>45784</v>
      </c>
      <c r="G1673" s="868" t="s">
        <v>383</v>
      </c>
      <c r="H1673" s="842" t="s">
        <v>134</v>
      </c>
      <c r="I1673" s="883"/>
      <c r="J1673" s="841"/>
      <c r="K1673" s="841"/>
      <c r="L1673" s="843" t="s">
        <v>106</v>
      </c>
      <c r="M1673" s="844" t="s">
        <v>107</v>
      </c>
      <c r="N1673" s="841"/>
      <c r="O1673" s="884" t="s">
        <v>150</v>
      </c>
      <c r="P1673" s="842" t="s">
        <v>5523</v>
      </c>
      <c r="Q1673" s="843"/>
      <c r="R1673" s="845">
        <v>3107</v>
      </c>
      <c r="S1673" s="1127" t="s">
        <v>1683</v>
      </c>
      <c r="T1673" s="885" t="s">
        <v>5631</v>
      </c>
      <c r="U1673" s="886">
        <v>12</v>
      </c>
      <c r="V1673" s="842" t="s">
        <v>3</v>
      </c>
      <c r="W1673" s="846">
        <v>461</v>
      </c>
      <c r="X1673" s="847">
        <f>W1673*U1673</f>
        <v>5532</v>
      </c>
      <c r="Y1673" s="853">
        <v>0.52</v>
      </c>
      <c r="Z1673" s="849">
        <v>221.28</v>
      </c>
      <c r="AA1673" s="849"/>
      <c r="AB1673" s="849">
        <f>IF(AA1673="F.O.C", 0, Z1673*U1673)</f>
        <v>2655.36</v>
      </c>
      <c r="AC1673" s="850">
        <f>Z1673*U1673</f>
        <v>2655.36</v>
      </c>
      <c r="AD1673" s="851">
        <f>IF(V1673=$AD$2,$AE$2,$AE$3)</f>
        <v>32000</v>
      </c>
      <c r="AE1673" s="852">
        <v>30081.54</v>
      </c>
      <c r="AF1673" s="853">
        <v>0</v>
      </c>
      <c r="AG1673" s="854">
        <f>(AC1673*AE1673+BO1673+BP1673+BQ1673+BS1673)*AF1673</f>
        <v>0</v>
      </c>
      <c r="AH1673" s="853">
        <v>0.08</v>
      </c>
      <c r="AI1673" s="855">
        <f>(AC1673*AE1673+AG1673+BF1673+BG1673+BH1673+BJ1673)*AH1673</f>
        <v>6390185.444352001</v>
      </c>
      <c r="AJ1673" s="845" t="s">
        <v>5491</v>
      </c>
      <c r="AK1673" s="857">
        <v>45910</v>
      </c>
      <c r="AL1673" s="843">
        <v>251084200</v>
      </c>
      <c r="AM1673" s="843" t="s">
        <v>5492</v>
      </c>
      <c r="AN1673" s="844" t="s">
        <v>5493</v>
      </c>
      <c r="AO1673" s="844" t="s">
        <v>141</v>
      </c>
      <c r="AP1673" s="841"/>
      <c r="AQ1673" s="841">
        <v>45916</v>
      </c>
      <c r="AR1673" s="841">
        <v>45961</v>
      </c>
      <c r="AS1673" s="842" t="s">
        <v>1145</v>
      </c>
      <c r="AT1673" s="842" t="s">
        <v>1235</v>
      </c>
      <c r="AU1673" s="842" t="s">
        <v>1565</v>
      </c>
      <c r="AV1673" s="845" t="s">
        <v>5494</v>
      </c>
      <c r="AW1673" s="861">
        <v>45962</v>
      </c>
      <c r="AX1673" s="862">
        <v>45965</v>
      </c>
      <c r="AY1673" s="843" t="s">
        <v>5632</v>
      </c>
      <c r="AZ1673" s="842">
        <v>94017990</v>
      </c>
      <c r="BA1673" s="842" t="s">
        <v>120</v>
      </c>
      <c r="BB1673" s="863" t="s">
        <v>121</v>
      </c>
      <c r="BC1673" s="864">
        <v>45968</v>
      </c>
      <c r="BD1673" s="860" t="s">
        <v>5496</v>
      </c>
      <c r="BE1673" s="865" cm="1">
        <f t="array" ref="BE1673">IF(BD1673="","",AC1673/SUMPRODUCT(--(BD1673=$BD$4:$BD$12824),$AC$4:$AC$12824))</f>
        <v>1.8162568034561521E-2</v>
      </c>
      <c r="BF1673" s="458"/>
      <c r="BG1673" s="458"/>
      <c r="BH1673" s="458"/>
      <c r="BI1673" s="458"/>
      <c r="BJ1673" s="458"/>
      <c r="BK1673" s="458"/>
      <c r="BL1673" s="458"/>
      <c r="BM1673" s="458"/>
      <c r="BN1673" s="458"/>
      <c r="BO1673" s="866">
        <f>VLOOKUP(BD1673,$BD$4:$BN$12824,3,0)*BE1673</f>
        <v>540696.92600369127</v>
      </c>
      <c r="BP1673" s="866"/>
      <c r="BQ1673" s="866"/>
      <c r="BR1673" s="866">
        <f>VLOOKUP(BD1673,$BD$4:$BN$12824,6,0)*BE1673</f>
        <v>220106.7132404407</v>
      </c>
      <c r="BS1673" s="866">
        <f>VLOOKUP(BD1673,$BD$4:$BN$12824,7,0)*BE1673</f>
        <v>79502.992546260662</v>
      </c>
      <c r="BT1673" s="866"/>
      <c r="BU1673" s="866">
        <f>VLOOKUP(BD1673,$BD$4:$BN$12824,9,0)*BE1673</f>
        <v>9444.5353779719917</v>
      </c>
      <c r="BV1673" s="867"/>
      <c r="BW1673" s="867">
        <f>VLOOKUP(BD1673,$BD$4:$BN$12824,11,0)*BE1673</f>
        <v>84943.639946824289</v>
      </c>
      <c r="BX1673" s="1146">
        <f>SUM(BO1673:BW1673)</f>
        <v>934694.80711518892</v>
      </c>
      <c r="BY1673" s="867">
        <f t="shared" si="322"/>
        <v>6734334.4051262662</v>
      </c>
      <c r="BZ1673" s="867">
        <f>BY1673*U1673</f>
        <v>80812012.861515194</v>
      </c>
      <c r="CA1673" s="867">
        <f>_xlfn.MAXIFS($BY$4:$BY$12824,$S$4:$S$12824,$S1673)</f>
        <v>6734334.4051262662</v>
      </c>
      <c r="CB1673" s="1032">
        <v>21000000</v>
      </c>
      <c r="CC1673" s="945">
        <v>11900000</v>
      </c>
      <c r="CD1673" s="945">
        <f t="shared" si="323"/>
        <v>0.19105336756058033</v>
      </c>
      <c r="CE1673" s="945">
        <f>(CC1673/1.08-CA1673)/(CC1673/1.08)</f>
        <v>0.38881670945072544</v>
      </c>
      <c r="CF1673" s="946">
        <f>AC1673*AD1673</f>
        <v>84971520</v>
      </c>
    </row>
    <row r="1674" spans="2:85">
      <c r="B1674" s="839" t="s">
        <v>98</v>
      </c>
      <c r="C1674" s="839" t="s">
        <v>381</v>
      </c>
      <c r="D1674" s="839" t="s">
        <v>5486</v>
      </c>
      <c r="E1674" s="839" t="s">
        <v>5487</v>
      </c>
      <c r="F1674" s="841">
        <v>45784</v>
      </c>
      <c r="G1674" s="868" t="s">
        <v>383</v>
      </c>
      <c r="H1674" s="842" t="s">
        <v>134</v>
      </c>
      <c r="I1674" s="883"/>
      <c r="J1674" s="841"/>
      <c r="K1674" s="841"/>
      <c r="L1674" s="843" t="s">
        <v>106</v>
      </c>
      <c r="M1674" s="844" t="s">
        <v>107</v>
      </c>
      <c r="N1674" s="841"/>
      <c r="O1674" s="884" t="s">
        <v>150</v>
      </c>
      <c r="P1674" s="842" t="s">
        <v>5523</v>
      </c>
      <c r="Q1674" s="843"/>
      <c r="R1674" s="845">
        <v>3107</v>
      </c>
      <c r="S1674" s="1129" t="s">
        <v>1653</v>
      </c>
      <c r="T1674" s="885" t="s">
        <v>5633</v>
      </c>
      <c r="U1674" s="886">
        <v>6</v>
      </c>
      <c r="V1674" s="842" t="s">
        <v>3</v>
      </c>
      <c r="W1674" s="846">
        <v>394</v>
      </c>
      <c r="X1674" s="847">
        <f>W1674*U1674</f>
        <v>2364</v>
      </c>
      <c r="Y1674" s="853">
        <v>0.52</v>
      </c>
      <c r="Z1674" s="849">
        <v>189.12</v>
      </c>
      <c r="AA1674" s="849"/>
      <c r="AB1674" s="849">
        <f>IF(AA1674="F.O.C", 0, Z1674*U1674)</f>
        <v>1134.72</v>
      </c>
      <c r="AC1674" s="850">
        <f>Z1674*U1674</f>
        <v>1134.72</v>
      </c>
      <c r="AD1674" s="851">
        <f>IF(V1674=$AD$2,$AE$2,$AE$3)</f>
        <v>32000</v>
      </c>
      <c r="AE1674" s="852">
        <v>30081.54</v>
      </c>
      <c r="AF1674" s="853">
        <v>0</v>
      </c>
      <c r="AG1674" s="854">
        <f>(AC1674*AE1674+BO1674+BP1674+BQ1674+BS1674)*AF1674</f>
        <v>0</v>
      </c>
      <c r="AH1674" s="853">
        <v>0.08</v>
      </c>
      <c r="AI1674" s="855">
        <f>(AC1674*AE1674+AG1674+BF1674+BG1674+BH1674+BJ1674)*AH1674</f>
        <v>2730730.0055040005</v>
      </c>
      <c r="AJ1674" s="845" t="s">
        <v>5491</v>
      </c>
      <c r="AK1674" s="857">
        <v>45910</v>
      </c>
      <c r="AL1674" s="843">
        <v>251084200</v>
      </c>
      <c r="AM1674" s="843" t="s">
        <v>5492</v>
      </c>
      <c r="AN1674" s="844" t="s">
        <v>5493</v>
      </c>
      <c r="AO1674" s="844" t="s">
        <v>141</v>
      </c>
      <c r="AP1674" s="841"/>
      <c r="AQ1674" s="841">
        <v>45916</v>
      </c>
      <c r="AR1674" s="841">
        <v>45961</v>
      </c>
      <c r="AS1674" s="842" t="s">
        <v>1145</v>
      </c>
      <c r="AT1674" s="842" t="s">
        <v>1235</v>
      </c>
      <c r="AU1674" s="842" t="s">
        <v>1565</v>
      </c>
      <c r="AV1674" s="845" t="s">
        <v>5494</v>
      </c>
      <c r="AW1674" s="861">
        <v>45962</v>
      </c>
      <c r="AX1674" s="862">
        <v>45965</v>
      </c>
      <c r="AY1674" s="843" t="s">
        <v>5525</v>
      </c>
      <c r="AZ1674" s="842">
        <v>94017990</v>
      </c>
      <c r="BA1674" s="842" t="s">
        <v>120</v>
      </c>
      <c r="BB1674" s="863" t="s">
        <v>121</v>
      </c>
      <c r="BC1674" s="864">
        <v>45968</v>
      </c>
      <c r="BD1674" s="860" t="s">
        <v>5496</v>
      </c>
      <c r="BE1674" s="865" cm="1">
        <f t="array" ref="BE1674">IF(BD1674="","",AC1674/SUMPRODUCT(--(BD1674=$BD$4:$BD$12824),$AC$4:$AC$12824))</f>
        <v>7.7614444746390877E-3</v>
      </c>
      <c r="BF1674" s="458"/>
      <c r="BG1674" s="458"/>
      <c r="BH1674" s="458"/>
      <c r="BI1674" s="458"/>
      <c r="BJ1674" s="458"/>
      <c r="BK1674" s="458"/>
      <c r="BL1674" s="458"/>
      <c r="BM1674" s="458"/>
      <c r="BN1674" s="458"/>
      <c r="BO1674" s="866">
        <f>VLOOKUP(BD1674,$BD$4:$BN$12824,3,0)*BE1674</f>
        <v>231057.03779333446</v>
      </c>
      <c r="BP1674" s="866"/>
      <c r="BQ1674" s="866"/>
      <c r="BR1674" s="866">
        <f>VLOOKUP(BD1674,$BD$4:$BN$12824,6,0)*BE1674</f>
        <v>94058.617154808715</v>
      </c>
      <c r="BS1674" s="866">
        <f>VLOOKUP(BD1674,$BD$4:$BN$12824,7,0)*BE1674</f>
        <v>33974.163842979062</v>
      </c>
      <c r="BT1674" s="866"/>
      <c r="BU1674" s="866">
        <f>VLOOKUP(BD1674,$BD$4:$BN$12824,9,0)*BE1674</f>
        <v>4035.9511268123256</v>
      </c>
      <c r="BV1674" s="867"/>
      <c r="BW1674" s="867">
        <f>VLOOKUP(BD1674,$BD$4:$BN$12824,11,0)*BE1674</f>
        <v>36299.12596426114</v>
      </c>
      <c r="BX1674" s="1146">
        <f>SUM(BO1674:BW1674)</f>
        <v>399424.89588219568</v>
      </c>
      <c r="BY1674" s="867">
        <f t="shared" si="322"/>
        <v>5755591.6607803665</v>
      </c>
      <c r="BZ1674" s="867">
        <f>BY1674*U1674</f>
        <v>34533549.964682199</v>
      </c>
      <c r="CA1674" s="867">
        <v>5689020.8448000001</v>
      </c>
      <c r="CB1674" s="944">
        <v>17500000</v>
      </c>
      <c r="CC1674" s="1059">
        <v>11500000</v>
      </c>
      <c r="CD1674" s="997">
        <f t="shared" si="323"/>
        <v>0.25258139044285216</v>
      </c>
      <c r="CE1674" s="997">
        <f>(CC1674/1.08-CA1674)/(CC1674/1.08)</f>
        <v>0.46572673805356518</v>
      </c>
      <c r="CF1674" s="946">
        <f>AC1674*AD1674</f>
        <v>36311040</v>
      </c>
    </row>
    <row r="1675" spans="2:85">
      <c r="B1675" s="839" t="s">
        <v>98</v>
      </c>
      <c r="C1675" s="839" t="s">
        <v>254</v>
      </c>
      <c r="D1675" s="839" t="s">
        <v>5634</v>
      </c>
      <c r="E1675" s="839" t="s">
        <v>5634</v>
      </c>
      <c r="F1675" s="841">
        <v>45772</v>
      </c>
      <c r="G1675" s="868" t="s">
        <v>5635</v>
      </c>
      <c r="H1675" s="842" t="s">
        <v>134</v>
      </c>
      <c r="I1675" s="883"/>
      <c r="J1675" s="841"/>
      <c r="K1675" s="841"/>
      <c r="L1675" s="843" t="s">
        <v>106</v>
      </c>
      <c r="M1675" s="844" t="s">
        <v>107</v>
      </c>
      <c r="N1675" s="841"/>
      <c r="O1675" s="884" t="s">
        <v>108</v>
      </c>
      <c r="P1675" s="842" t="s">
        <v>269</v>
      </c>
      <c r="Q1675" s="843"/>
      <c r="R1675" s="845" t="s">
        <v>5636</v>
      </c>
      <c r="S1675" s="1127" t="s">
        <v>5637</v>
      </c>
      <c r="T1675" s="885" t="s">
        <v>5638</v>
      </c>
      <c r="U1675" s="886">
        <v>1</v>
      </c>
      <c r="V1675" s="842" t="s">
        <v>3</v>
      </c>
      <c r="W1675" s="846">
        <v>3852</v>
      </c>
      <c r="X1675" s="847">
        <f t="shared" si="313"/>
        <v>3852</v>
      </c>
      <c r="Y1675" s="853">
        <v>0.51</v>
      </c>
      <c r="Z1675" s="849">
        <v>1887.48</v>
      </c>
      <c r="AA1675" s="849"/>
      <c r="AB1675" s="849">
        <f t="shared" si="316"/>
        <v>1887.48</v>
      </c>
      <c r="AC1675" s="850">
        <f t="shared" si="317"/>
        <v>1887.48</v>
      </c>
      <c r="AD1675" s="851">
        <f t="shared" si="314"/>
        <v>32000</v>
      </c>
      <c r="AE1675" s="852">
        <v>30081.54</v>
      </c>
      <c r="AF1675" s="853">
        <v>0</v>
      </c>
      <c r="AG1675" s="854">
        <f t="shared" si="318"/>
        <v>0</v>
      </c>
      <c r="AH1675" s="853">
        <v>0.08</v>
      </c>
      <c r="AI1675" s="855">
        <f t="shared" si="319"/>
        <v>4928524.8604450906</v>
      </c>
      <c r="AJ1675" s="845" t="s">
        <v>5639</v>
      </c>
      <c r="AK1675" s="857">
        <v>45886</v>
      </c>
      <c r="AL1675" s="843" t="s">
        <v>5640</v>
      </c>
      <c r="AM1675" s="843" t="s">
        <v>5641</v>
      </c>
      <c r="AN1675" s="844" t="s">
        <v>5642</v>
      </c>
      <c r="AO1675" s="844" t="s">
        <v>141</v>
      </c>
      <c r="AP1675" s="841"/>
      <c r="AQ1675" s="841">
        <v>45906</v>
      </c>
      <c r="AR1675" s="841">
        <v>45958</v>
      </c>
      <c r="AS1675" s="842" t="s">
        <v>1284</v>
      </c>
      <c r="AT1675" s="842" t="s">
        <v>1235</v>
      </c>
      <c r="AU1675" s="842" t="s">
        <v>4595</v>
      </c>
      <c r="AV1675" s="845" t="s">
        <v>5643</v>
      </c>
      <c r="AW1675" s="861">
        <v>45961</v>
      </c>
      <c r="AX1675" s="862">
        <v>45964</v>
      </c>
      <c r="AY1675" s="843" t="s">
        <v>5644</v>
      </c>
      <c r="AZ1675" s="842" t="s">
        <v>4798</v>
      </c>
      <c r="BA1675" s="842" t="s">
        <v>120</v>
      </c>
      <c r="BB1675" s="863" t="s">
        <v>121</v>
      </c>
      <c r="BC1675" s="864">
        <v>45967</v>
      </c>
      <c r="BD1675" s="860" t="s">
        <v>5645</v>
      </c>
      <c r="BE1675" s="865" cm="1">
        <f t="array" ref="BE1675">IF(BD1675="","",AC1675/SUMPRODUCT(--(BD1675=$BD$4:$BD$12824),$AC$4:$AC$12824))</f>
        <v>0.13636018832715524</v>
      </c>
      <c r="BF1675" s="458" cm="1">
        <f t="array" ref="BF1675">SUM(_xlfn._xlws.FILTER( INDEX(Cost!$B$3:$BK$77,MATCH(LDL!$BD1675, Cost!$F$3:$F$77, 0),0),Cost!$B$3:$BK$3 = BF$3))</f>
        <v>4514532</v>
      </c>
      <c r="BG1675" s="458"/>
      <c r="BH1675" s="458"/>
      <c r="BI1675" s="458" cm="1">
        <f t="array" ref="BI1675">SUM(_xlfn._xlws.FILTER( INDEX(Cost!$B$3:$BK$77,MATCH(LDL!$BD1675, Cost!$F$3:$F$77, 0),0),Cost!$B$3:$BK$3 = BI$3))/1.08</f>
        <v>820632.4074074073</v>
      </c>
      <c r="BJ1675" s="458" cm="1">
        <f t="array" ref="BJ1675">SUM(_xlfn._xlws.FILTER( INDEX(Cost!$B$3:$BK$77,MATCH(LDL!$BD1675, Cost!$F$3:$F$77, 0),0),Cost!$B$3:$BK$3 = BJ$3))</f>
        <v>313723.63636363635</v>
      </c>
      <c r="BK1675" s="458"/>
      <c r="BL1675" s="458" cm="1">
        <f t="array" ref="BL1675">SUM(_xlfn._xlws.FILTER( INDEX(Cost!$B$3:$BK$77,MATCH(LDL!$BD1675, Cost!$F$3:$F$77, 0),0),Cost!$B$3:$BK$3 = BL$3))</f>
        <v>20000</v>
      </c>
      <c r="BM1675" s="458"/>
      <c r="BN1675" s="458" cm="1">
        <f t="array" ref="BN1675">SUM(_xlfn._xlws.FILTER( INDEX(Cost!$B$3:$BK$77,MATCH(LDL!$BD1675, Cost!$F$3:$F$77, 0),0),Cost!$B$3:$BK$3 = BN$3))/1.08</f>
        <v>600000</v>
      </c>
      <c r="BO1675" s="866">
        <f>VLOOKUP(BD1675,$BD$4:$BN$12824,3,0)*BE1675</f>
        <v>615602.43372896884</v>
      </c>
      <c r="BP1675" s="866"/>
      <c r="BQ1675" s="866"/>
      <c r="BR1675" s="866">
        <f>VLOOKUP(BD1675,$BD$4:$BN$12824,6,0)*BE1675</f>
        <v>111901.58962144084</v>
      </c>
      <c r="BS1675" s="866">
        <f>VLOOKUP(BD1675,$BD$4:$BN$12824,7,0)*BE1675</f>
        <v>42779.414137225423</v>
      </c>
      <c r="BT1675" s="866"/>
      <c r="BU1675" s="866">
        <f>VLOOKUP(BD1675,$BD$4:$BN$12824,9,0)*BE1675</f>
        <v>2727.2037665431048</v>
      </c>
      <c r="BV1675" s="867"/>
      <c r="BW1675" s="867">
        <f>VLOOKUP(BD1675,$BD$4:$BN$12824,11,0)*BE1675</f>
        <v>81816.112996293145</v>
      </c>
      <c r="BX1675" s="1146">
        <f t="shared" si="320"/>
        <v>854826.75425047125</v>
      </c>
      <c r="BY1675" s="867">
        <f t="shared" si="322"/>
        <v>57633131.873450473</v>
      </c>
      <c r="BZ1675" s="867">
        <f t="shared" si="321"/>
        <v>57633131.873450473</v>
      </c>
      <c r="CA1675" s="867">
        <f>_xlfn.MAXIFS($BY$4:$BY$12824,$S$4:$S$12824,$S1675)</f>
        <v>57633131.873450473</v>
      </c>
      <c r="CB1675" s="1032"/>
      <c r="CF1675" s="946">
        <f t="shared" si="315"/>
        <v>60399360</v>
      </c>
    </row>
    <row r="1676" spans="2:85">
      <c r="B1676" s="839" t="s">
        <v>98</v>
      </c>
      <c r="C1676" s="839" t="s">
        <v>254</v>
      </c>
      <c r="D1676" s="839" t="s">
        <v>5634</v>
      </c>
      <c r="E1676" s="839" t="s">
        <v>5634</v>
      </c>
      <c r="F1676" s="841">
        <v>45772</v>
      </c>
      <c r="G1676" s="868" t="s">
        <v>5635</v>
      </c>
      <c r="H1676" s="842" t="s">
        <v>134</v>
      </c>
      <c r="I1676" s="883"/>
      <c r="J1676" s="841"/>
      <c r="K1676" s="841"/>
      <c r="L1676" s="843" t="s">
        <v>106</v>
      </c>
      <c r="M1676" s="844" t="s">
        <v>107</v>
      </c>
      <c r="N1676" s="841"/>
      <c r="O1676" s="884" t="s">
        <v>108</v>
      </c>
      <c r="P1676" s="842" t="s">
        <v>160</v>
      </c>
      <c r="Q1676" s="843"/>
      <c r="R1676" s="845" t="s">
        <v>5646</v>
      </c>
      <c r="S1676" s="1127" t="s">
        <v>5647</v>
      </c>
      <c r="T1676" s="885" t="s">
        <v>5648</v>
      </c>
      <c r="U1676" s="886">
        <v>2</v>
      </c>
      <c r="V1676" s="842" t="s">
        <v>3</v>
      </c>
      <c r="W1676" s="846">
        <v>748</v>
      </c>
      <c r="X1676" s="847">
        <f t="shared" si="313"/>
        <v>1496</v>
      </c>
      <c r="Y1676" s="853">
        <v>0.51</v>
      </c>
      <c r="Z1676" s="849">
        <v>383.57</v>
      </c>
      <c r="AA1676" s="849"/>
      <c r="AB1676" s="849">
        <f t="shared" si="316"/>
        <v>767.14</v>
      </c>
      <c r="AC1676" s="850">
        <f t="shared" si="317"/>
        <v>767.14</v>
      </c>
      <c r="AD1676" s="851">
        <f t="shared" si="314"/>
        <v>32000</v>
      </c>
      <c r="AE1676" s="852">
        <v>30081.54</v>
      </c>
      <c r="AF1676" s="853">
        <v>0</v>
      </c>
      <c r="AG1676" s="854">
        <f t="shared" si="318"/>
        <v>0</v>
      </c>
      <c r="AH1676" s="853">
        <v>0.08</v>
      </c>
      <c r="AI1676" s="855">
        <f t="shared" si="319"/>
        <v>1846140.2076480002</v>
      </c>
      <c r="AJ1676" s="845" t="s">
        <v>5639</v>
      </c>
      <c r="AK1676" s="857">
        <v>45886</v>
      </c>
      <c r="AL1676" s="843" t="s">
        <v>5640</v>
      </c>
      <c r="AM1676" s="843" t="s">
        <v>5641</v>
      </c>
      <c r="AN1676" s="844" t="s">
        <v>5642</v>
      </c>
      <c r="AO1676" s="844" t="s">
        <v>141</v>
      </c>
      <c r="AP1676" s="841"/>
      <c r="AQ1676" s="841">
        <v>45906</v>
      </c>
      <c r="AR1676" s="841">
        <v>45958</v>
      </c>
      <c r="AS1676" s="842" t="s">
        <v>1284</v>
      </c>
      <c r="AT1676" s="842" t="s">
        <v>1235</v>
      </c>
      <c r="AU1676" s="842" t="s">
        <v>4595</v>
      </c>
      <c r="AV1676" s="845" t="s">
        <v>5643</v>
      </c>
      <c r="AW1676" s="861">
        <v>45961</v>
      </c>
      <c r="AX1676" s="862">
        <v>45964</v>
      </c>
      <c r="AY1676" s="843" t="s">
        <v>5649</v>
      </c>
      <c r="AZ1676" s="842" t="s">
        <v>4813</v>
      </c>
      <c r="BA1676" s="842" t="s">
        <v>120</v>
      </c>
      <c r="BB1676" s="863" t="s">
        <v>121</v>
      </c>
      <c r="BC1676" s="864">
        <v>45967</v>
      </c>
      <c r="BD1676" s="860" t="s">
        <v>5645</v>
      </c>
      <c r="BE1676" s="865" cm="1">
        <f t="array" ref="BE1676">IF(BD1676="","",AC1676/SUMPRODUCT(--(BD1676=$BD$4:$BD$12824),$AC$4:$AC$12824))</f>
        <v>5.5421702414485907E-2</v>
      </c>
      <c r="BF1676" s="458"/>
      <c r="BG1676" s="458"/>
      <c r="BH1676" s="458"/>
      <c r="BI1676" s="458"/>
      <c r="BJ1676" s="458"/>
      <c r="BK1676" s="458"/>
      <c r="BL1676" s="458"/>
      <c r="BM1676" s="458"/>
      <c r="BN1676" s="458"/>
      <c r="BO1676" s="866">
        <f>VLOOKUP(BD1676,$BD$4:$BN$12824,3,0)*BE1676</f>
        <v>250203.04904467388</v>
      </c>
      <c r="BP1676" s="866"/>
      <c r="BQ1676" s="866"/>
      <c r="BR1676" s="866">
        <f>VLOOKUP(BD1676,$BD$4:$BN$12824,6,0)*BE1676</f>
        <v>45480.845075016485</v>
      </c>
      <c r="BS1676" s="866">
        <f>VLOOKUP(BD1676,$BD$4:$BN$12824,7,0)*BE1676</f>
        <v>17387.098014935844</v>
      </c>
      <c r="BT1676" s="866"/>
      <c r="BU1676" s="866">
        <f>VLOOKUP(BD1676,$BD$4:$BN$12824,9,0)*BE1676</f>
        <v>1108.4340482897182</v>
      </c>
      <c r="BV1676" s="867"/>
      <c r="BW1676" s="867">
        <f>VLOOKUP(BD1676,$BD$4:$BN$12824,11,0)*BE1676</f>
        <v>33253.021448691543</v>
      </c>
      <c r="BX1676" s="1146">
        <f t="shared" si="320"/>
        <v>347432.44763160747</v>
      </c>
      <c r="BY1676" s="867">
        <f t="shared" si="322"/>
        <v>11712092.521615805</v>
      </c>
      <c r="BZ1676" s="867">
        <f t="shared" si="321"/>
        <v>23424185.04323161</v>
      </c>
      <c r="CA1676" s="867">
        <f>_xlfn.MAXIFS($BY$4:$BY$12824,$S$4:$S$12824,$S1676)</f>
        <v>11712092.521615805</v>
      </c>
      <c r="CB1676" s="1032"/>
      <c r="CF1676" s="946">
        <f t="shared" si="315"/>
        <v>24548480</v>
      </c>
    </row>
    <row r="1677" spans="2:85">
      <c r="B1677" s="839" t="s">
        <v>98</v>
      </c>
      <c r="C1677" s="839" t="s">
        <v>254</v>
      </c>
      <c r="D1677" s="839" t="s">
        <v>5634</v>
      </c>
      <c r="E1677" s="839" t="s">
        <v>5634</v>
      </c>
      <c r="F1677" s="841">
        <v>45772</v>
      </c>
      <c r="G1677" s="868" t="s">
        <v>5635</v>
      </c>
      <c r="H1677" s="842" t="s">
        <v>134</v>
      </c>
      <c r="I1677" s="883"/>
      <c r="J1677" s="841"/>
      <c r="K1677" s="841"/>
      <c r="L1677" s="843" t="s">
        <v>106</v>
      </c>
      <c r="M1677" s="844" t="s">
        <v>107</v>
      </c>
      <c r="N1677" s="841"/>
      <c r="O1677" s="884" t="s">
        <v>108</v>
      </c>
      <c r="P1677" s="842" t="s">
        <v>160</v>
      </c>
      <c r="Q1677" s="843"/>
      <c r="R1677" s="845" t="s">
        <v>5650</v>
      </c>
      <c r="S1677" s="1127" t="s">
        <v>5651</v>
      </c>
      <c r="T1677" s="885" t="s">
        <v>5652</v>
      </c>
      <c r="U1677" s="886">
        <v>2</v>
      </c>
      <c r="V1677" s="842" t="s">
        <v>3</v>
      </c>
      <c r="W1677" s="846">
        <v>748</v>
      </c>
      <c r="X1677" s="847">
        <f t="shared" si="313"/>
        <v>1496</v>
      </c>
      <c r="Y1677" s="853">
        <v>0.51</v>
      </c>
      <c r="Z1677" s="849">
        <v>383.57</v>
      </c>
      <c r="AA1677" s="849"/>
      <c r="AB1677" s="849">
        <f t="shared" si="316"/>
        <v>767.14</v>
      </c>
      <c r="AC1677" s="850">
        <f t="shared" si="317"/>
        <v>767.14</v>
      </c>
      <c r="AD1677" s="851">
        <f t="shared" si="314"/>
        <v>32000</v>
      </c>
      <c r="AE1677" s="852">
        <v>30081.54</v>
      </c>
      <c r="AF1677" s="853">
        <v>0</v>
      </c>
      <c r="AG1677" s="854">
        <f t="shared" si="318"/>
        <v>0</v>
      </c>
      <c r="AH1677" s="853">
        <v>0.08</v>
      </c>
      <c r="AI1677" s="855">
        <f t="shared" si="319"/>
        <v>1846140.2076480002</v>
      </c>
      <c r="AJ1677" s="845" t="s">
        <v>5639</v>
      </c>
      <c r="AK1677" s="857">
        <v>45886</v>
      </c>
      <c r="AL1677" s="843" t="s">
        <v>5640</v>
      </c>
      <c r="AM1677" s="843" t="s">
        <v>5641</v>
      </c>
      <c r="AN1677" s="844" t="s">
        <v>5642</v>
      </c>
      <c r="AO1677" s="844" t="s">
        <v>141</v>
      </c>
      <c r="AP1677" s="841"/>
      <c r="AQ1677" s="841">
        <v>45906</v>
      </c>
      <c r="AR1677" s="841">
        <v>45958</v>
      </c>
      <c r="AS1677" s="842" t="s">
        <v>1284</v>
      </c>
      <c r="AT1677" s="842" t="s">
        <v>1235</v>
      </c>
      <c r="AU1677" s="842" t="s">
        <v>4595</v>
      </c>
      <c r="AV1677" s="845" t="s">
        <v>5643</v>
      </c>
      <c r="AW1677" s="861">
        <v>45961</v>
      </c>
      <c r="AX1677" s="862">
        <v>45964</v>
      </c>
      <c r="AY1677" s="843" t="s">
        <v>5653</v>
      </c>
      <c r="AZ1677" s="842" t="s">
        <v>4813</v>
      </c>
      <c r="BA1677" s="842" t="s">
        <v>120</v>
      </c>
      <c r="BB1677" s="863" t="s">
        <v>121</v>
      </c>
      <c r="BC1677" s="864">
        <v>45967</v>
      </c>
      <c r="BD1677" s="860" t="s">
        <v>5645</v>
      </c>
      <c r="BE1677" s="865" cm="1">
        <f t="array" ref="BE1677">IF(BD1677="","",AC1677/SUMPRODUCT(--(BD1677=$BD$4:$BD$12824),$AC$4:$AC$12824))</f>
        <v>5.5421702414485907E-2</v>
      </c>
      <c r="BF1677" s="458"/>
      <c r="BG1677" s="458"/>
      <c r="BH1677" s="458"/>
      <c r="BI1677" s="458"/>
      <c r="BJ1677" s="458"/>
      <c r="BK1677" s="458"/>
      <c r="BL1677" s="458"/>
      <c r="BM1677" s="458"/>
      <c r="BN1677" s="458"/>
      <c r="BO1677" s="866">
        <f>VLOOKUP(BD1677,$BD$4:$BN$12824,3,0)*BE1677</f>
        <v>250203.04904467388</v>
      </c>
      <c r="BP1677" s="866"/>
      <c r="BQ1677" s="866"/>
      <c r="BR1677" s="866">
        <f>VLOOKUP(BD1677,$BD$4:$BN$12824,6,0)*BE1677</f>
        <v>45480.845075016485</v>
      </c>
      <c r="BS1677" s="866">
        <f>VLOOKUP(BD1677,$BD$4:$BN$12824,7,0)*BE1677</f>
        <v>17387.098014935844</v>
      </c>
      <c r="BT1677" s="866"/>
      <c r="BU1677" s="866">
        <f>VLOOKUP(BD1677,$BD$4:$BN$12824,9,0)*BE1677</f>
        <v>1108.4340482897182</v>
      </c>
      <c r="BV1677" s="867"/>
      <c r="BW1677" s="867">
        <f>VLOOKUP(BD1677,$BD$4:$BN$12824,11,0)*BE1677</f>
        <v>33253.021448691543</v>
      </c>
      <c r="BX1677" s="1146">
        <f t="shared" si="320"/>
        <v>347432.44763160747</v>
      </c>
      <c r="BY1677" s="867">
        <f t="shared" si="322"/>
        <v>11712092.521615805</v>
      </c>
      <c r="BZ1677" s="867">
        <f t="shared" si="321"/>
        <v>23424185.04323161</v>
      </c>
      <c r="CA1677" s="867">
        <f>_xlfn.MAXIFS($BY$4:$BY$12824,$S$4:$S$12824,$S1677)</f>
        <v>11712092.521615805</v>
      </c>
      <c r="CB1677" s="1032"/>
      <c r="CF1677" s="946">
        <f t="shared" si="315"/>
        <v>24548480</v>
      </c>
    </row>
    <row r="1678" spans="2:85">
      <c r="B1678" s="839" t="s">
        <v>98</v>
      </c>
      <c r="C1678" s="839" t="s">
        <v>254</v>
      </c>
      <c r="D1678" s="839" t="s">
        <v>5634</v>
      </c>
      <c r="E1678" s="839" t="s">
        <v>5634</v>
      </c>
      <c r="F1678" s="841">
        <v>45772</v>
      </c>
      <c r="G1678" s="868" t="s">
        <v>5635</v>
      </c>
      <c r="H1678" s="842" t="s">
        <v>134</v>
      </c>
      <c r="I1678" s="883"/>
      <c r="J1678" s="841"/>
      <c r="K1678" s="841"/>
      <c r="L1678" s="843" t="s">
        <v>106</v>
      </c>
      <c r="M1678" s="844" t="s">
        <v>107</v>
      </c>
      <c r="N1678" s="841"/>
      <c r="O1678" s="884" t="s">
        <v>108</v>
      </c>
      <c r="P1678" s="842" t="s">
        <v>160</v>
      </c>
      <c r="Q1678" s="843"/>
      <c r="R1678" s="845" t="s">
        <v>5654</v>
      </c>
      <c r="S1678" s="1127" t="s">
        <v>5655</v>
      </c>
      <c r="T1678" s="885" t="s">
        <v>5656</v>
      </c>
      <c r="U1678" s="886">
        <v>2</v>
      </c>
      <c r="V1678" s="842" t="s">
        <v>3</v>
      </c>
      <c r="W1678" s="846">
        <v>160</v>
      </c>
      <c r="X1678" s="847">
        <f t="shared" ref="X1678:X1686" si="324">W1678*U1678</f>
        <v>320</v>
      </c>
      <c r="Y1678" s="853">
        <v>0.51</v>
      </c>
      <c r="Z1678" s="849">
        <v>78.400000000000006</v>
      </c>
      <c r="AA1678" s="849"/>
      <c r="AB1678" s="849">
        <f t="shared" si="316"/>
        <v>156.80000000000001</v>
      </c>
      <c r="AC1678" s="850">
        <f t="shared" si="317"/>
        <v>156.80000000000001</v>
      </c>
      <c r="AD1678" s="851">
        <f t="shared" si="314"/>
        <v>32000</v>
      </c>
      <c r="AE1678" s="852">
        <v>30081.54</v>
      </c>
      <c r="AF1678" s="853">
        <v>0.25</v>
      </c>
      <c r="AG1678" s="854">
        <f t="shared" si="318"/>
        <v>1192869.9266265044</v>
      </c>
      <c r="AH1678" s="853">
        <v>0.08</v>
      </c>
      <c r="AI1678" s="855">
        <f t="shared" si="319"/>
        <v>472772.43189012038</v>
      </c>
      <c r="AJ1678" s="845" t="s">
        <v>5639</v>
      </c>
      <c r="AK1678" s="857">
        <v>45886</v>
      </c>
      <c r="AL1678" s="843" t="s">
        <v>5640</v>
      </c>
      <c r="AM1678" s="843" t="s">
        <v>5641</v>
      </c>
      <c r="AN1678" s="844" t="s">
        <v>5642</v>
      </c>
      <c r="AO1678" s="844" t="s">
        <v>141</v>
      </c>
      <c r="AP1678" s="841"/>
      <c r="AQ1678" s="841">
        <v>45906</v>
      </c>
      <c r="AR1678" s="841">
        <v>45958</v>
      </c>
      <c r="AS1678" s="842" t="s">
        <v>1284</v>
      </c>
      <c r="AT1678" s="842" t="s">
        <v>1235</v>
      </c>
      <c r="AU1678" s="842" t="s">
        <v>4595</v>
      </c>
      <c r="AV1678" s="845" t="s">
        <v>5643</v>
      </c>
      <c r="AW1678" s="861">
        <v>45961</v>
      </c>
      <c r="AX1678" s="862">
        <v>45964</v>
      </c>
      <c r="AY1678" s="843" t="s">
        <v>5657</v>
      </c>
      <c r="AZ1678" s="842" t="s">
        <v>4798</v>
      </c>
      <c r="BA1678" s="842" t="s">
        <v>120</v>
      </c>
      <c r="BB1678" s="863" t="s">
        <v>121</v>
      </c>
      <c r="BC1678" s="864">
        <v>45967</v>
      </c>
      <c r="BD1678" s="860" t="s">
        <v>5645</v>
      </c>
      <c r="BE1678" s="865" cm="1">
        <f t="array" ref="BE1678">IF(BD1678="","",AC1678/SUMPRODUCT(--(BD1678=$BD$4:$BD$12824),$AC$4:$AC$12824))</f>
        <v>1.1327949186056509E-2</v>
      </c>
      <c r="BF1678" s="458"/>
      <c r="BG1678" s="458"/>
      <c r="BH1678" s="458"/>
      <c r="BI1678" s="458"/>
      <c r="BJ1678" s="458"/>
      <c r="BK1678" s="458"/>
      <c r="BL1678" s="458"/>
      <c r="BM1678" s="458"/>
      <c r="BN1678" s="458"/>
      <c r="BO1678" s="866">
        <f>VLOOKUP(BD1678,$BD$4:$BN$12824,3,0)*BE1678</f>
        <v>51140.389094826067</v>
      </c>
      <c r="BP1678" s="866"/>
      <c r="BQ1678" s="866"/>
      <c r="BR1678" s="866">
        <f>VLOOKUP(BD1678,$BD$4:$BN$12824,6,0)*BE1678</f>
        <v>9296.0822115423325</v>
      </c>
      <c r="BS1678" s="866">
        <f>VLOOKUP(BD1678,$BD$4:$BN$12824,7,0)*BE1678</f>
        <v>3553.8454111921428</v>
      </c>
      <c r="BT1678" s="866"/>
      <c r="BU1678" s="866">
        <f>VLOOKUP(BD1678,$BD$4:$BN$12824,9,0)*BE1678</f>
        <v>226.55898372113018</v>
      </c>
      <c r="BV1678" s="867"/>
      <c r="BW1678" s="867">
        <f>VLOOKUP(BD1678,$BD$4:$BN$12824,11,0)*BE1678</f>
        <v>6796.7695116339055</v>
      </c>
      <c r="BX1678" s="1146">
        <f t="shared" si="320"/>
        <v>71013.64521291558</v>
      </c>
      <c r="BY1678" s="867">
        <f t="shared" si="322"/>
        <v>2990334.5219197101</v>
      </c>
      <c r="BZ1678" s="867">
        <f t="shared" si="321"/>
        <v>5980669.0438394202</v>
      </c>
      <c r="CA1678" s="867">
        <f>_xlfn.MAXIFS($BY$4:$BY$12824,$S$4:$S$12824,$S1678)</f>
        <v>2990334.5219197101</v>
      </c>
      <c r="CB1678" s="1032"/>
      <c r="CF1678" s="946">
        <f t="shared" si="315"/>
        <v>5017600</v>
      </c>
    </row>
    <row r="1679" spans="2:85">
      <c r="B1679" s="839" t="s">
        <v>98</v>
      </c>
      <c r="C1679" s="839" t="s">
        <v>254</v>
      </c>
      <c r="D1679" s="839" t="s">
        <v>5634</v>
      </c>
      <c r="E1679" s="839" t="s">
        <v>5634</v>
      </c>
      <c r="F1679" s="841">
        <v>45772</v>
      </c>
      <c r="G1679" s="868" t="s">
        <v>5635</v>
      </c>
      <c r="H1679" s="842" t="s">
        <v>134</v>
      </c>
      <c r="I1679" s="883"/>
      <c r="J1679" s="841"/>
      <c r="K1679" s="841"/>
      <c r="L1679" s="843" t="s">
        <v>106</v>
      </c>
      <c r="M1679" s="844" t="s">
        <v>107</v>
      </c>
      <c r="N1679" s="841"/>
      <c r="O1679" s="884" t="s">
        <v>108</v>
      </c>
      <c r="P1679" s="842" t="s">
        <v>160</v>
      </c>
      <c r="Q1679" s="843"/>
      <c r="R1679" s="845" t="s">
        <v>5658</v>
      </c>
      <c r="S1679" s="1127" t="s">
        <v>5659</v>
      </c>
      <c r="T1679" s="885" t="s">
        <v>5660</v>
      </c>
      <c r="U1679" s="886">
        <v>2</v>
      </c>
      <c r="V1679" s="842" t="s">
        <v>3</v>
      </c>
      <c r="W1679" s="846">
        <v>160</v>
      </c>
      <c r="X1679" s="847">
        <f t="shared" si="324"/>
        <v>320</v>
      </c>
      <c r="Y1679" s="853">
        <v>0.51</v>
      </c>
      <c r="Z1679" s="849">
        <v>78.400000000000006</v>
      </c>
      <c r="AA1679" s="849"/>
      <c r="AB1679" s="849">
        <f t="shared" si="316"/>
        <v>156.80000000000001</v>
      </c>
      <c r="AC1679" s="850">
        <f t="shared" si="317"/>
        <v>156.80000000000001</v>
      </c>
      <c r="AD1679" s="851">
        <f t="shared" ref="AD1679:AD1710" si="325">IF(V1679=$AD$2,$AE$2,$AE$3)</f>
        <v>32000</v>
      </c>
      <c r="AE1679" s="852">
        <v>30081.54</v>
      </c>
      <c r="AF1679" s="853">
        <v>0.25</v>
      </c>
      <c r="AG1679" s="854">
        <f t="shared" si="318"/>
        <v>1192869.9266265044</v>
      </c>
      <c r="AH1679" s="853">
        <v>0.08</v>
      </c>
      <c r="AI1679" s="855">
        <f t="shared" si="319"/>
        <v>472772.43189012038</v>
      </c>
      <c r="AJ1679" s="845" t="s">
        <v>5639</v>
      </c>
      <c r="AK1679" s="857">
        <v>45886</v>
      </c>
      <c r="AL1679" s="843" t="s">
        <v>5640</v>
      </c>
      <c r="AM1679" s="843" t="s">
        <v>5641</v>
      </c>
      <c r="AN1679" s="844" t="s">
        <v>5642</v>
      </c>
      <c r="AO1679" s="844" t="s">
        <v>141</v>
      </c>
      <c r="AP1679" s="841"/>
      <c r="AQ1679" s="841">
        <v>45906</v>
      </c>
      <c r="AR1679" s="841">
        <v>45958</v>
      </c>
      <c r="AS1679" s="842" t="s">
        <v>1284</v>
      </c>
      <c r="AT1679" s="842" t="s">
        <v>1235</v>
      </c>
      <c r="AU1679" s="842" t="s">
        <v>4595</v>
      </c>
      <c r="AV1679" s="845" t="s">
        <v>5643</v>
      </c>
      <c r="AW1679" s="861">
        <v>45961</v>
      </c>
      <c r="AX1679" s="862">
        <v>45964</v>
      </c>
      <c r="AY1679" s="843" t="s">
        <v>5661</v>
      </c>
      <c r="AZ1679" s="842" t="s">
        <v>4798</v>
      </c>
      <c r="BA1679" s="842" t="s">
        <v>120</v>
      </c>
      <c r="BB1679" s="863" t="s">
        <v>121</v>
      </c>
      <c r="BC1679" s="864">
        <v>45967</v>
      </c>
      <c r="BD1679" s="860" t="s">
        <v>5645</v>
      </c>
      <c r="BE1679" s="865" cm="1">
        <f t="array" ref="BE1679">IF(BD1679="","",AC1679/SUMPRODUCT(--(BD1679=$BD$4:$BD$12824),$AC$4:$AC$12824))</f>
        <v>1.1327949186056509E-2</v>
      </c>
      <c r="BF1679" s="458"/>
      <c r="BG1679" s="458"/>
      <c r="BH1679" s="458"/>
      <c r="BI1679" s="458"/>
      <c r="BJ1679" s="458"/>
      <c r="BK1679" s="458"/>
      <c r="BL1679" s="458"/>
      <c r="BM1679" s="458"/>
      <c r="BN1679" s="458"/>
      <c r="BO1679" s="866">
        <f>VLOOKUP(BD1679,$BD$4:$BN$12824,3,0)*BE1679</f>
        <v>51140.389094826067</v>
      </c>
      <c r="BP1679" s="866"/>
      <c r="BQ1679" s="866"/>
      <c r="BR1679" s="866">
        <f>VLOOKUP(BD1679,$BD$4:$BN$12824,6,0)*BE1679</f>
        <v>9296.0822115423325</v>
      </c>
      <c r="BS1679" s="866">
        <f>VLOOKUP(BD1679,$BD$4:$BN$12824,7,0)*BE1679</f>
        <v>3553.8454111921428</v>
      </c>
      <c r="BT1679" s="866"/>
      <c r="BU1679" s="866">
        <f>VLOOKUP(BD1679,$BD$4:$BN$12824,9,0)*BE1679</f>
        <v>226.55898372113018</v>
      </c>
      <c r="BV1679" s="867"/>
      <c r="BW1679" s="867">
        <f>VLOOKUP(BD1679,$BD$4:$BN$12824,11,0)*BE1679</f>
        <v>6796.7695116339055</v>
      </c>
      <c r="BX1679" s="1146">
        <f t="shared" si="320"/>
        <v>71013.64521291558</v>
      </c>
      <c r="BY1679" s="867">
        <f t="shared" si="322"/>
        <v>2990334.5219197101</v>
      </c>
      <c r="BZ1679" s="867">
        <f t="shared" si="321"/>
        <v>5980669.0438394202</v>
      </c>
      <c r="CA1679" s="867">
        <f>_xlfn.MAXIFS($BY$4:$BY$12824,$S$4:$S$12824,$S1679)</f>
        <v>2990334.5219197101</v>
      </c>
      <c r="CB1679" s="1032"/>
      <c r="CF1679" s="946">
        <f t="shared" ref="CF1679:CF1710" si="326">AC1679*AD1679</f>
        <v>5017600</v>
      </c>
    </row>
    <row r="1680" spans="2:85">
      <c r="B1680" s="839" t="s">
        <v>98</v>
      </c>
      <c r="C1680" s="839" t="s">
        <v>254</v>
      </c>
      <c r="D1680" s="839" t="s">
        <v>5634</v>
      </c>
      <c r="E1680" s="839" t="s">
        <v>5634</v>
      </c>
      <c r="F1680" s="841">
        <v>45772</v>
      </c>
      <c r="G1680" s="868" t="s">
        <v>5635</v>
      </c>
      <c r="H1680" s="842" t="s">
        <v>134</v>
      </c>
      <c r="I1680" s="883"/>
      <c r="J1680" s="841"/>
      <c r="K1680" s="841"/>
      <c r="L1680" s="843" t="s">
        <v>106</v>
      </c>
      <c r="M1680" s="844" t="s">
        <v>107</v>
      </c>
      <c r="N1680" s="841"/>
      <c r="O1680" s="884" t="s">
        <v>108</v>
      </c>
      <c r="P1680" s="842" t="s">
        <v>160</v>
      </c>
      <c r="Q1680" s="843"/>
      <c r="R1680" s="845" t="s">
        <v>5662</v>
      </c>
      <c r="S1680" s="1127" t="s">
        <v>5663</v>
      </c>
      <c r="T1680" s="885" t="s">
        <v>5664</v>
      </c>
      <c r="U1680" s="886">
        <v>2</v>
      </c>
      <c r="V1680" s="842" t="s">
        <v>3</v>
      </c>
      <c r="W1680" s="846">
        <v>160</v>
      </c>
      <c r="X1680" s="847">
        <f t="shared" si="324"/>
        <v>320</v>
      </c>
      <c r="Y1680" s="853">
        <v>0.51</v>
      </c>
      <c r="Z1680" s="849">
        <v>78.400000000000006</v>
      </c>
      <c r="AA1680" s="849"/>
      <c r="AB1680" s="849">
        <f t="shared" si="316"/>
        <v>156.80000000000001</v>
      </c>
      <c r="AC1680" s="850">
        <f t="shared" si="317"/>
        <v>156.80000000000001</v>
      </c>
      <c r="AD1680" s="851">
        <f t="shared" si="325"/>
        <v>32000</v>
      </c>
      <c r="AE1680" s="852">
        <v>30081.54</v>
      </c>
      <c r="AF1680" s="853">
        <v>0.25</v>
      </c>
      <c r="AG1680" s="854">
        <f t="shared" si="318"/>
        <v>1192869.9266265044</v>
      </c>
      <c r="AH1680" s="853">
        <v>0.08</v>
      </c>
      <c r="AI1680" s="855">
        <f t="shared" si="319"/>
        <v>472772.43189012038</v>
      </c>
      <c r="AJ1680" s="845" t="s">
        <v>5639</v>
      </c>
      <c r="AK1680" s="857">
        <v>45886</v>
      </c>
      <c r="AL1680" s="843" t="s">
        <v>5640</v>
      </c>
      <c r="AM1680" s="843" t="s">
        <v>5641</v>
      </c>
      <c r="AN1680" s="844" t="s">
        <v>5642</v>
      </c>
      <c r="AO1680" s="844" t="s">
        <v>141</v>
      </c>
      <c r="AP1680" s="841"/>
      <c r="AQ1680" s="841">
        <v>45906</v>
      </c>
      <c r="AR1680" s="841">
        <v>45958</v>
      </c>
      <c r="AS1680" s="842" t="s">
        <v>1284</v>
      </c>
      <c r="AT1680" s="842" t="s">
        <v>1235</v>
      </c>
      <c r="AU1680" s="842" t="s">
        <v>4595</v>
      </c>
      <c r="AV1680" s="845" t="s">
        <v>5643</v>
      </c>
      <c r="AW1680" s="861">
        <v>45961</v>
      </c>
      <c r="AX1680" s="862">
        <v>45964</v>
      </c>
      <c r="AY1680" s="843" t="s">
        <v>5665</v>
      </c>
      <c r="AZ1680" s="842" t="s">
        <v>4798</v>
      </c>
      <c r="BA1680" s="842" t="s">
        <v>120</v>
      </c>
      <c r="BB1680" s="863" t="s">
        <v>121</v>
      </c>
      <c r="BC1680" s="864">
        <v>45967</v>
      </c>
      <c r="BD1680" s="860" t="s">
        <v>5645</v>
      </c>
      <c r="BE1680" s="865" cm="1">
        <f t="array" ref="BE1680">IF(BD1680="","",AC1680/SUMPRODUCT(--(BD1680=$BD$4:$BD$12824),$AC$4:$AC$12824))</f>
        <v>1.1327949186056509E-2</v>
      </c>
      <c r="BF1680" s="458"/>
      <c r="BG1680" s="458"/>
      <c r="BH1680" s="458"/>
      <c r="BI1680" s="458"/>
      <c r="BJ1680" s="458"/>
      <c r="BK1680" s="458"/>
      <c r="BL1680" s="458"/>
      <c r="BM1680" s="458"/>
      <c r="BN1680" s="458"/>
      <c r="BO1680" s="866">
        <f>VLOOKUP(BD1680,$BD$4:$BN$12824,3,0)*BE1680</f>
        <v>51140.389094826067</v>
      </c>
      <c r="BP1680" s="866"/>
      <c r="BQ1680" s="866"/>
      <c r="BR1680" s="866">
        <f>VLOOKUP(BD1680,$BD$4:$BN$12824,6,0)*BE1680</f>
        <v>9296.0822115423325</v>
      </c>
      <c r="BS1680" s="866">
        <f>VLOOKUP(BD1680,$BD$4:$BN$12824,7,0)*BE1680</f>
        <v>3553.8454111921428</v>
      </c>
      <c r="BT1680" s="866"/>
      <c r="BU1680" s="866">
        <f>VLOOKUP(BD1680,$BD$4:$BN$12824,9,0)*BE1680</f>
        <v>226.55898372113018</v>
      </c>
      <c r="BV1680" s="867"/>
      <c r="BW1680" s="867">
        <f>VLOOKUP(BD1680,$BD$4:$BN$12824,11,0)*BE1680</f>
        <v>6796.7695116339055</v>
      </c>
      <c r="BX1680" s="1146">
        <f t="shared" si="320"/>
        <v>71013.64521291558</v>
      </c>
      <c r="BY1680" s="867">
        <f t="shared" si="322"/>
        <v>2990334.5219197101</v>
      </c>
      <c r="BZ1680" s="867">
        <f t="shared" si="321"/>
        <v>5980669.0438394202</v>
      </c>
      <c r="CA1680" s="867">
        <f>_xlfn.MAXIFS($BY$4:$BY$12824,$S$4:$S$12824,$S1680)</f>
        <v>2990334.5219197101</v>
      </c>
      <c r="CB1680" s="1032"/>
      <c r="CF1680" s="946">
        <f t="shared" si="326"/>
        <v>5017600</v>
      </c>
    </row>
    <row r="1681" spans="2:84">
      <c r="B1681" s="839" t="s">
        <v>98</v>
      </c>
      <c r="C1681" s="839" t="s">
        <v>254</v>
      </c>
      <c r="D1681" s="839" t="s">
        <v>5634</v>
      </c>
      <c r="E1681" s="839" t="s">
        <v>5634</v>
      </c>
      <c r="F1681" s="841">
        <v>45772</v>
      </c>
      <c r="G1681" s="868" t="s">
        <v>5635</v>
      </c>
      <c r="H1681" s="842" t="s">
        <v>134</v>
      </c>
      <c r="I1681" s="883"/>
      <c r="J1681" s="841"/>
      <c r="K1681" s="841"/>
      <c r="L1681" s="843" t="s">
        <v>106</v>
      </c>
      <c r="M1681" s="844" t="s">
        <v>107</v>
      </c>
      <c r="N1681" s="841"/>
      <c r="O1681" s="884" t="s">
        <v>108</v>
      </c>
      <c r="P1681" s="842" t="s">
        <v>160</v>
      </c>
      <c r="Q1681" s="843"/>
      <c r="R1681" s="845" t="s">
        <v>5666</v>
      </c>
      <c r="S1681" s="1127" t="s">
        <v>5667</v>
      </c>
      <c r="T1681" s="885" t="s">
        <v>5668</v>
      </c>
      <c r="U1681" s="886">
        <v>1</v>
      </c>
      <c r="V1681" s="842" t="s">
        <v>3</v>
      </c>
      <c r="W1681" s="846">
        <v>205</v>
      </c>
      <c r="X1681" s="847">
        <f t="shared" si="324"/>
        <v>205</v>
      </c>
      <c r="Y1681" s="853">
        <v>0.51</v>
      </c>
      <c r="Z1681" s="849">
        <v>100.45</v>
      </c>
      <c r="AA1681" s="849"/>
      <c r="AB1681" s="849">
        <f t="shared" si="316"/>
        <v>100.45</v>
      </c>
      <c r="AC1681" s="850">
        <f t="shared" si="317"/>
        <v>100.45</v>
      </c>
      <c r="AD1681" s="851">
        <f t="shared" si="325"/>
        <v>32000</v>
      </c>
      <c r="AE1681" s="852">
        <v>30081.54</v>
      </c>
      <c r="AF1681" s="853">
        <v>0.25</v>
      </c>
      <c r="AG1681" s="854">
        <f t="shared" si="318"/>
        <v>764182.29674510448</v>
      </c>
      <c r="AH1681" s="853">
        <v>0.08</v>
      </c>
      <c r="AI1681" s="855">
        <f t="shared" si="319"/>
        <v>302869.83917960839</v>
      </c>
      <c r="AJ1681" s="845" t="s">
        <v>5639</v>
      </c>
      <c r="AK1681" s="857">
        <v>45886</v>
      </c>
      <c r="AL1681" s="843" t="s">
        <v>5640</v>
      </c>
      <c r="AM1681" s="843" t="s">
        <v>5641</v>
      </c>
      <c r="AN1681" s="844" t="s">
        <v>5642</v>
      </c>
      <c r="AO1681" s="844" t="s">
        <v>141</v>
      </c>
      <c r="AP1681" s="841"/>
      <c r="AQ1681" s="841">
        <v>45906</v>
      </c>
      <c r="AR1681" s="841">
        <v>45958</v>
      </c>
      <c r="AS1681" s="842" t="s">
        <v>1284</v>
      </c>
      <c r="AT1681" s="842" t="s">
        <v>1235</v>
      </c>
      <c r="AU1681" s="842" t="s">
        <v>4595</v>
      </c>
      <c r="AV1681" s="845" t="s">
        <v>5643</v>
      </c>
      <c r="AW1681" s="861">
        <v>45961</v>
      </c>
      <c r="AX1681" s="862">
        <v>45964</v>
      </c>
      <c r="AY1681" s="843" t="s">
        <v>5669</v>
      </c>
      <c r="AZ1681" s="842" t="s">
        <v>4798</v>
      </c>
      <c r="BA1681" s="842" t="s">
        <v>120</v>
      </c>
      <c r="BB1681" s="863" t="s">
        <v>121</v>
      </c>
      <c r="BC1681" s="864">
        <v>45967</v>
      </c>
      <c r="BD1681" s="860" t="s">
        <v>5645</v>
      </c>
      <c r="BE1681" s="865" cm="1">
        <f t="array" ref="BE1681">IF(BD1681="","",AC1681/SUMPRODUCT(--(BD1681=$BD$4:$BD$12824),$AC$4:$AC$12824))</f>
        <v>7.2569674473174518E-3</v>
      </c>
      <c r="BF1681" s="458"/>
      <c r="BG1681" s="458"/>
      <c r="BH1681" s="458"/>
      <c r="BI1681" s="458"/>
      <c r="BJ1681" s="458"/>
      <c r="BK1681" s="458"/>
      <c r="BL1681" s="458"/>
      <c r="BM1681" s="458"/>
      <c r="BN1681" s="458"/>
      <c r="BO1681" s="866">
        <f>VLOOKUP(BD1681,$BD$4:$BN$12824,3,0)*BE1681</f>
        <v>32761.811763872949</v>
      </c>
      <c r="BP1681" s="866"/>
      <c r="BQ1681" s="866"/>
      <c r="BR1681" s="866">
        <f>VLOOKUP(BD1681,$BD$4:$BN$12824,6,0)*BE1681</f>
        <v>5955.3026667693075</v>
      </c>
      <c r="BS1681" s="866">
        <f>VLOOKUP(BD1681,$BD$4:$BN$12824,7,0)*BE1681</f>
        <v>2276.6822165449666</v>
      </c>
      <c r="BT1681" s="866"/>
      <c r="BU1681" s="866">
        <f>VLOOKUP(BD1681,$BD$4:$BN$12824,9,0)*BE1681</f>
        <v>145.13934894634903</v>
      </c>
      <c r="BV1681" s="867"/>
      <c r="BW1681" s="867">
        <f>VLOOKUP(BD1681,$BD$4:$BN$12824,11,0)*BE1681</f>
        <v>4354.1804683904711</v>
      </c>
      <c r="BX1681" s="1146">
        <f t="shared" si="320"/>
        <v>45493.116464524042</v>
      </c>
      <c r="BY1681" s="867">
        <f t="shared" si="322"/>
        <v>3831366.1062096287</v>
      </c>
      <c r="BZ1681" s="867">
        <f t="shared" si="321"/>
        <v>3831366.1062096287</v>
      </c>
      <c r="CA1681" s="867">
        <f>_xlfn.MAXIFS($BY$4:$BY$12824,$S$4:$S$12824,$S1681)</f>
        <v>3917026.9459829116</v>
      </c>
      <c r="CB1681" s="1032"/>
      <c r="CF1681" s="946">
        <f t="shared" si="326"/>
        <v>3214400</v>
      </c>
    </row>
    <row r="1682" spans="2:84">
      <c r="B1682" s="839" t="s">
        <v>98</v>
      </c>
      <c r="C1682" s="839" t="s">
        <v>254</v>
      </c>
      <c r="D1682" s="839" t="s">
        <v>5634</v>
      </c>
      <c r="E1682" s="839" t="s">
        <v>5634</v>
      </c>
      <c r="F1682" s="841">
        <v>45772</v>
      </c>
      <c r="G1682" s="868" t="s">
        <v>5635</v>
      </c>
      <c r="H1682" s="842" t="s">
        <v>134</v>
      </c>
      <c r="I1682" s="883"/>
      <c r="J1682" s="841"/>
      <c r="K1682" s="841"/>
      <c r="L1682" s="843" t="s">
        <v>106</v>
      </c>
      <c r="M1682" s="844" t="s">
        <v>107</v>
      </c>
      <c r="N1682" s="841"/>
      <c r="O1682" s="884" t="s">
        <v>108</v>
      </c>
      <c r="P1682" s="842" t="s">
        <v>160</v>
      </c>
      <c r="Q1682" s="843"/>
      <c r="R1682" s="845" t="s">
        <v>5670</v>
      </c>
      <c r="S1682" s="1127" t="s">
        <v>5671</v>
      </c>
      <c r="T1682" s="885" t="s">
        <v>5672</v>
      </c>
      <c r="U1682" s="886">
        <v>2</v>
      </c>
      <c r="V1682" s="842" t="s">
        <v>3</v>
      </c>
      <c r="W1682" s="846">
        <v>205</v>
      </c>
      <c r="X1682" s="847">
        <f t="shared" si="324"/>
        <v>410</v>
      </c>
      <c r="Y1682" s="853">
        <v>0.51</v>
      </c>
      <c r="Z1682" s="849">
        <v>100.45</v>
      </c>
      <c r="AA1682" s="849"/>
      <c r="AB1682" s="849">
        <f t="shared" si="316"/>
        <v>200.9</v>
      </c>
      <c r="AC1682" s="850">
        <f t="shared" si="317"/>
        <v>200.9</v>
      </c>
      <c r="AD1682" s="851">
        <f t="shared" si="325"/>
        <v>32000</v>
      </c>
      <c r="AE1682" s="852">
        <v>30081.54</v>
      </c>
      <c r="AF1682" s="853">
        <v>0.25</v>
      </c>
      <c r="AG1682" s="854">
        <f t="shared" si="318"/>
        <v>1528364.593490209</v>
      </c>
      <c r="AH1682" s="853">
        <v>0.08</v>
      </c>
      <c r="AI1682" s="855">
        <f t="shared" si="319"/>
        <v>605739.67835921678</v>
      </c>
      <c r="AJ1682" s="845" t="s">
        <v>5639</v>
      </c>
      <c r="AK1682" s="857">
        <v>45886</v>
      </c>
      <c r="AL1682" s="843" t="s">
        <v>5640</v>
      </c>
      <c r="AM1682" s="843" t="s">
        <v>5641</v>
      </c>
      <c r="AN1682" s="844" t="s">
        <v>5642</v>
      </c>
      <c r="AO1682" s="844" t="s">
        <v>141</v>
      </c>
      <c r="AP1682" s="841"/>
      <c r="AQ1682" s="841">
        <v>45906</v>
      </c>
      <c r="AR1682" s="841">
        <v>45958</v>
      </c>
      <c r="AS1682" s="842" t="s">
        <v>1284</v>
      </c>
      <c r="AT1682" s="842" t="s">
        <v>1235</v>
      </c>
      <c r="AU1682" s="842" t="s">
        <v>4595</v>
      </c>
      <c r="AV1682" s="845" t="s">
        <v>5643</v>
      </c>
      <c r="AW1682" s="861">
        <v>45961</v>
      </c>
      <c r="AX1682" s="862">
        <v>45964</v>
      </c>
      <c r="AY1682" s="843" t="s">
        <v>5673</v>
      </c>
      <c r="AZ1682" s="842" t="s">
        <v>4798</v>
      </c>
      <c r="BA1682" s="842" t="s">
        <v>120</v>
      </c>
      <c r="BB1682" s="863" t="s">
        <v>121</v>
      </c>
      <c r="BC1682" s="864">
        <v>45967</v>
      </c>
      <c r="BD1682" s="860" t="s">
        <v>5645</v>
      </c>
      <c r="BE1682" s="865" cm="1">
        <f t="array" ref="BE1682">IF(BD1682="","",AC1682/SUMPRODUCT(--(BD1682=$BD$4:$BD$12824),$AC$4:$AC$12824))</f>
        <v>1.4513934894634904E-2</v>
      </c>
      <c r="BF1682" s="458"/>
      <c r="BG1682" s="458"/>
      <c r="BH1682" s="458"/>
      <c r="BI1682" s="458"/>
      <c r="BJ1682" s="458"/>
      <c r="BK1682" s="458"/>
      <c r="BL1682" s="458"/>
      <c r="BM1682" s="458"/>
      <c r="BN1682" s="458"/>
      <c r="BO1682" s="866">
        <f>VLOOKUP(BD1682,$BD$4:$BN$12824,3,0)*BE1682</f>
        <v>65523.623527745898</v>
      </c>
      <c r="BP1682" s="866"/>
      <c r="BQ1682" s="866"/>
      <c r="BR1682" s="866">
        <f>VLOOKUP(BD1682,$BD$4:$BN$12824,6,0)*BE1682</f>
        <v>11910.605333538615</v>
      </c>
      <c r="BS1682" s="866">
        <f>VLOOKUP(BD1682,$BD$4:$BN$12824,7,0)*BE1682</f>
        <v>4553.3644330899333</v>
      </c>
      <c r="BT1682" s="866"/>
      <c r="BU1682" s="866">
        <f>VLOOKUP(BD1682,$BD$4:$BN$12824,9,0)*BE1682</f>
        <v>290.27869789269806</v>
      </c>
      <c r="BV1682" s="867"/>
      <c r="BW1682" s="867">
        <f>VLOOKUP(BD1682,$BD$4:$BN$12824,11,0)*BE1682</f>
        <v>8708.3609367809422</v>
      </c>
      <c r="BX1682" s="1146">
        <f t="shared" si="320"/>
        <v>90986.232929048085</v>
      </c>
      <c r="BY1682" s="867">
        <f t="shared" si="322"/>
        <v>3831366.1062096287</v>
      </c>
      <c r="BZ1682" s="867">
        <f t="shared" si="321"/>
        <v>7662732.2124192575</v>
      </c>
      <c r="CA1682" s="867">
        <f>_xlfn.MAXIFS($BY$4:$BY$12824,$S$4:$S$12824,$S1682)</f>
        <v>3831366.1062096287</v>
      </c>
      <c r="CB1682" s="1032"/>
      <c r="CF1682" s="946">
        <f t="shared" si="326"/>
        <v>6428800</v>
      </c>
    </row>
    <row r="1683" spans="2:84">
      <c r="B1683" s="839" t="s">
        <v>98</v>
      </c>
      <c r="C1683" s="839" t="s">
        <v>254</v>
      </c>
      <c r="D1683" s="839" t="s">
        <v>5634</v>
      </c>
      <c r="E1683" s="839" t="s">
        <v>5634</v>
      </c>
      <c r="F1683" s="841">
        <v>45772</v>
      </c>
      <c r="G1683" s="868" t="s">
        <v>5635</v>
      </c>
      <c r="H1683" s="842" t="s">
        <v>134</v>
      </c>
      <c r="I1683" s="883"/>
      <c r="J1683" s="841"/>
      <c r="K1683" s="841"/>
      <c r="L1683" s="843" t="s">
        <v>106</v>
      </c>
      <c r="M1683" s="844" t="s">
        <v>107</v>
      </c>
      <c r="N1683" s="841"/>
      <c r="O1683" s="884" t="s">
        <v>108</v>
      </c>
      <c r="P1683" s="842" t="s">
        <v>160</v>
      </c>
      <c r="Q1683" s="843"/>
      <c r="R1683" s="845" t="s">
        <v>5674</v>
      </c>
      <c r="S1683" s="1127" t="s">
        <v>5675</v>
      </c>
      <c r="T1683" s="885" t="s">
        <v>5676</v>
      </c>
      <c r="U1683" s="886">
        <v>4</v>
      </c>
      <c r="V1683" s="842" t="s">
        <v>3</v>
      </c>
      <c r="W1683" s="846">
        <v>205</v>
      </c>
      <c r="X1683" s="847">
        <f t="shared" si="324"/>
        <v>820</v>
      </c>
      <c r="Y1683" s="853">
        <v>0.51</v>
      </c>
      <c r="Z1683" s="849">
        <v>100.45</v>
      </c>
      <c r="AA1683" s="849"/>
      <c r="AB1683" s="849">
        <f t="shared" si="316"/>
        <v>401.8</v>
      </c>
      <c r="AC1683" s="850">
        <f t="shared" si="317"/>
        <v>401.8</v>
      </c>
      <c r="AD1683" s="851">
        <f t="shared" si="325"/>
        <v>32000</v>
      </c>
      <c r="AE1683" s="852">
        <v>30081.54</v>
      </c>
      <c r="AF1683" s="853">
        <v>0.25</v>
      </c>
      <c r="AG1683" s="854">
        <f t="shared" si="318"/>
        <v>3056729.1869804179</v>
      </c>
      <c r="AH1683" s="853">
        <v>0.08</v>
      </c>
      <c r="AI1683" s="855">
        <f t="shared" si="319"/>
        <v>1211479.3567184336</v>
      </c>
      <c r="AJ1683" s="845" t="s">
        <v>5639</v>
      </c>
      <c r="AK1683" s="857">
        <v>45886</v>
      </c>
      <c r="AL1683" s="843" t="s">
        <v>5640</v>
      </c>
      <c r="AM1683" s="843" t="s">
        <v>5641</v>
      </c>
      <c r="AN1683" s="844" t="s">
        <v>5642</v>
      </c>
      <c r="AO1683" s="844" t="s">
        <v>141</v>
      </c>
      <c r="AP1683" s="841"/>
      <c r="AQ1683" s="841">
        <v>45906</v>
      </c>
      <c r="AR1683" s="841">
        <v>45958</v>
      </c>
      <c r="AS1683" s="842" t="s">
        <v>1284</v>
      </c>
      <c r="AT1683" s="842" t="s">
        <v>1235</v>
      </c>
      <c r="AU1683" s="842" t="s">
        <v>4595</v>
      </c>
      <c r="AV1683" s="845" t="s">
        <v>5643</v>
      </c>
      <c r="AW1683" s="861">
        <v>45961</v>
      </c>
      <c r="AX1683" s="862">
        <v>45964</v>
      </c>
      <c r="AY1683" s="843" t="s">
        <v>5677</v>
      </c>
      <c r="AZ1683" s="842" t="s">
        <v>4798</v>
      </c>
      <c r="BA1683" s="842" t="s">
        <v>120</v>
      </c>
      <c r="BB1683" s="863" t="s">
        <v>121</v>
      </c>
      <c r="BC1683" s="864">
        <v>45967</v>
      </c>
      <c r="BD1683" s="860" t="s">
        <v>5645</v>
      </c>
      <c r="BE1683" s="865" cm="1">
        <f t="array" ref="BE1683">IF(BD1683="","",AC1683/SUMPRODUCT(--(BD1683=$BD$4:$BD$12824),$AC$4:$AC$12824))</f>
        <v>2.9027869789269807E-2</v>
      </c>
      <c r="BF1683" s="458"/>
      <c r="BG1683" s="458"/>
      <c r="BH1683" s="458"/>
      <c r="BI1683" s="458"/>
      <c r="BJ1683" s="458"/>
      <c r="BK1683" s="458"/>
      <c r="BL1683" s="458"/>
      <c r="BM1683" s="458"/>
      <c r="BN1683" s="458"/>
      <c r="BO1683" s="866">
        <f>VLOOKUP(BD1683,$BD$4:$BN$12824,3,0)*BE1683</f>
        <v>131047.2470554918</v>
      </c>
      <c r="BP1683" s="866"/>
      <c r="BQ1683" s="866"/>
      <c r="BR1683" s="866">
        <f>VLOOKUP(BD1683,$BD$4:$BN$12824,6,0)*BE1683</f>
        <v>23821.21066707723</v>
      </c>
      <c r="BS1683" s="866">
        <f>VLOOKUP(BD1683,$BD$4:$BN$12824,7,0)*BE1683</f>
        <v>9106.7288661798666</v>
      </c>
      <c r="BT1683" s="866"/>
      <c r="BU1683" s="866">
        <f>VLOOKUP(BD1683,$BD$4:$BN$12824,9,0)*BE1683</f>
        <v>580.55739578539612</v>
      </c>
      <c r="BV1683" s="867"/>
      <c r="BW1683" s="867">
        <f>VLOOKUP(BD1683,$BD$4:$BN$12824,11,0)*BE1683</f>
        <v>17416.721873561884</v>
      </c>
      <c r="BX1683" s="1146">
        <f t="shared" si="320"/>
        <v>181972.46585809617</v>
      </c>
      <c r="BY1683" s="867">
        <f t="shared" si="322"/>
        <v>3831366.1062096287</v>
      </c>
      <c r="BZ1683" s="867">
        <f t="shared" si="321"/>
        <v>15325464.424838515</v>
      </c>
      <c r="CA1683" s="867">
        <f>_xlfn.MAXIFS($BY$4:$BY$12824,$S$4:$S$12824,$S1683)</f>
        <v>3831366.1062096287</v>
      </c>
      <c r="CB1683" s="1032"/>
      <c r="CF1683" s="946">
        <f t="shared" si="326"/>
        <v>12857600</v>
      </c>
    </row>
    <row r="1684" spans="2:84">
      <c r="B1684" s="839" t="s">
        <v>98</v>
      </c>
      <c r="C1684" s="839" t="s">
        <v>254</v>
      </c>
      <c r="D1684" s="839" t="s">
        <v>5634</v>
      </c>
      <c r="E1684" s="839" t="s">
        <v>5634</v>
      </c>
      <c r="F1684" s="841">
        <v>45772</v>
      </c>
      <c r="G1684" s="868" t="s">
        <v>5635</v>
      </c>
      <c r="H1684" s="842" t="s">
        <v>134</v>
      </c>
      <c r="I1684" s="883"/>
      <c r="J1684" s="841"/>
      <c r="K1684" s="841"/>
      <c r="L1684" s="843" t="s">
        <v>106</v>
      </c>
      <c r="M1684" s="844" t="s">
        <v>107</v>
      </c>
      <c r="N1684" s="841"/>
      <c r="O1684" s="884" t="s">
        <v>108</v>
      </c>
      <c r="P1684" s="842" t="s">
        <v>2088</v>
      </c>
      <c r="Q1684" s="843"/>
      <c r="R1684" s="845" t="s">
        <v>3339</v>
      </c>
      <c r="S1684" s="1127" t="s">
        <v>5678</v>
      </c>
      <c r="T1684" s="885" t="s">
        <v>5679</v>
      </c>
      <c r="U1684" s="886">
        <v>2</v>
      </c>
      <c r="V1684" s="842" t="s">
        <v>3</v>
      </c>
      <c r="W1684" s="846">
        <v>967</v>
      </c>
      <c r="X1684" s="847">
        <f t="shared" si="324"/>
        <v>1934</v>
      </c>
      <c r="Y1684" s="853">
        <v>0.51</v>
      </c>
      <c r="Z1684" s="849">
        <v>473.83</v>
      </c>
      <c r="AA1684" s="849"/>
      <c r="AB1684" s="849">
        <f t="shared" si="316"/>
        <v>947.66</v>
      </c>
      <c r="AC1684" s="850">
        <f t="shared" si="317"/>
        <v>947.66</v>
      </c>
      <c r="AD1684" s="851">
        <f t="shared" si="325"/>
        <v>32000</v>
      </c>
      <c r="AE1684" s="852">
        <v>30081.54</v>
      </c>
      <c r="AF1684" s="853">
        <v>0</v>
      </c>
      <c r="AG1684" s="854">
        <f t="shared" si="318"/>
        <v>0</v>
      </c>
      <c r="AH1684" s="853">
        <v>0.08</v>
      </c>
      <c r="AI1684" s="855">
        <f t="shared" si="319"/>
        <v>2280565.7757120002</v>
      </c>
      <c r="AJ1684" s="845" t="s">
        <v>5639</v>
      </c>
      <c r="AK1684" s="857">
        <v>45886</v>
      </c>
      <c r="AL1684" s="843" t="s">
        <v>5640</v>
      </c>
      <c r="AM1684" s="843" t="s">
        <v>5641</v>
      </c>
      <c r="AN1684" s="844" t="s">
        <v>5642</v>
      </c>
      <c r="AO1684" s="844" t="s">
        <v>141</v>
      </c>
      <c r="AP1684" s="841"/>
      <c r="AQ1684" s="841">
        <v>45906</v>
      </c>
      <c r="AR1684" s="841">
        <v>45958</v>
      </c>
      <c r="AS1684" s="842" t="s">
        <v>1284</v>
      </c>
      <c r="AT1684" s="842" t="s">
        <v>1235</v>
      </c>
      <c r="AU1684" s="842" t="s">
        <v>4595</v>
      </c>
      <c r="AV1684" s="845" t="s">
        <v>5643</v>
      </c>
      <c r="AW1684" s="861">
        <v>45961</v>
      </c>
      <c r="AX1684" s="862">
        <v>45964</v>
      </c>
      <c r="AY1684" s="843" t="s">
        <v>5680</v>
      </c>
      <c r="AZ1684" s="842" t="s">
        <v>1631</v>
      </c>
      <c r="BA1684" s="842" t="s">
        <v>120</v>
      </c>
      <c r="BB1684" s="863" t="s">
        <v>121</v>
      </c>
      <c r="BC1684" s="864">
        <v>45967</v>
      </c>
      <c r="BD1684" s="860" t="s">
        <v>5645</v>
      </c>
      <c r="BE1684" s="865" cm="1">
        <f t="array" ref="BE1684">IF(BD1684="","",AC1684/SUMPRODUCT(--(BD1684=$BD$4:$BD$12824),$AC$4:$AC$12824))</f>
        <v>6.8463292893229027E-2</v>
      </c>
      <c r="BF1684" s="458"/>
      <c r="BG1684" s="458"/>
      <c r="BH1684" s="458"/>
      <c r="BI1684" s="458"/>
      <c r="BJ1684" s="458"/>
      <c r="BK1684" s="458"/>
      <c r="BL1684" s="458"/>
      <c r="BM1684" s="458"/>
      <c r="BN1684" s="458"/>
      <c r="BO1684" s="866">
        <f>VLOOKUP(BD1684,$BD$4:$BN$12824,3,0)*BE1684</f>
        <v>309079.72659185505</v>
      </c>
      <c r="BP1684" s="866"/>
      <c r="BQ1684" s="866"/>
      <c r="BR1684" s="866">
        <f>VLOOKUP(BD1684,$BD$4:$BN$12824,6,0)*BE1684</f>
        <v>56183.196866008977</v>
      </c>
      <c r="BS1684" s="866">
        <f>VLOOKUP(BD1684,$BD$4:$BN$12824,7,0)*BE1684</f>
        <v>21478.553203892512</v>
      </c>
      <c r="BT1684" s="866"/>
      <c r="BU1684" s="866">
        <f>VLOOKUP(BD1684,$BD$4:$BN$12824,9,0)*BE1684</f>
        <v>1369.2658578645805</v>
      </c>
      <c r="BV1684" s="867"/>
      <c r="BW1684" s="867">
        <f>VLOOKUP(BD1684,$BD$4:$BN$12824,11,0)*BE1684</f>
        <v>41077.97573593742</v>
      </c>
      <c r="BX1684" s="1146">
        <f t="shared" si="320"/>
        <v>429188.71825555852</v>
      </c>
      <c r="BY1684" s="867">
        <f t="shared" si="322"/>
        <v>14468130.457327779</v>
      </c>
      <c r="BZ1684" s="867">
        <f t="shared" si="321"/>
        <v>28936260.914655559</v>
      </c>
      <c r="CA1684" s="867">
        <f>_xlfn.MAXIFS($BY$4:$BY$12824,$S$4:$S$12824,$S1684)</f>
        <v>14468130.457327779</v>
      </c>
      <c r="CB1684" s="1032"/>
      <c r="CF1684" s="946">
        <f t="shared" si="326"/>
        <v>30325120</v>
      </c>
    </row>
    <row r="1685" spans="2:84">
      <c r="B1685" s="839" t="s">
        <v>98</v>
      </c>
      <c r="C1685" s="839" t="s">
        <v>254</v>
      </c>
      <c r="D1685" s="839" t="s">
        <v>5634</v>
      </c>
      <c r="E1685" s="839" t="s">
        <v>5634</v>
      </c>
      <c r="F1685" s="841">
        <v>45772</v>
      </c>
      <c r="G1685" s="868" t="s">
        <v>5635</v>
      </c>
      <c r="H1685" s="842" t="s">
        <v>134</v>
      </c>
      <c r="I1685" s="883"/>
      <c r="J1685" s="841"/>
      <c r="K1685" s="841"/>
      <c r="L1685" s="843" t="s">
        <v>106</v>
      </c>
      <c r="M1685" s="844" t="s">
        <v>107</v>
      </c>
      <c r="N1685" s="841"/>
      <c r="O1685" s="884" t="s">
        <v>108</v>
      </c>
      <c r="P1685" s="842" t="s">
        <v>269</v>
      </c>
      <c r="Q1685" s="843"/>
      <c r="R1685" s="845" t="s">
        <v>3595</v>
      </c>
      <c r="S1685" s="1127" t="s">
        <v>3596</v>
      </c>
      <c r="T1685" s="885" t="s">
        <v>5681</v>
      </c>
      <c r="U1685" s="886">
        <v>2</v>
      </c>
      <c r="V1685" s="842" t="s">
        <v>3</v>
      </c>
      <c r="W1685" s="846">
        <v>3770</v>
      </c>
      <c r="X1685" s="847">
        <f t="shared" si="324"/>
        <v>7540</v>
      </c>
      <c r="Y1685" s="853">
        <v>0.51</v>
      </c>
      <c r="Z1685" s="849">
        <v>1847.3</v>
      </c>
      <c r="AA1685" s="849"/>
      <c r="AB1685" s="849">
        <f t="shared" si="316"/>
        <v>3694.6</v>
      </c>
      <c r="AC1685" s="850">
        <f t="shared" si="317"/>
        <v>3694.6</v>
      </c>
      <c r="AD1685" s="851">
        <f t="shared" si="325"/>
        <v>32000</v>
      </c>
      <c r="AE1685" s="852">
        <v>30081.54</v>
      </c>
      <c r="AF1685" s="853">
        <v>0</v>
      </c>
      <c r="AG1685" s="854">
        <f t="shared" si="318"/>
        <v>0</v>
      </c>
      <c r="AH1685" s="853">
        <v>0.08</v>
      </c>
      <c r="AI1685" s="855">
        <f t="shared" si="319"/>
        <v>8891140.61472</v>
      </c>
      <c r="AJ1685" s="845" t="s">
        <v>5639</v>
      </c>
      <c r="AK1685" s="857">
        <v>45886</v>
      </c>
      <c r="AL1685" s="843" t="s">
        <v>5640</v>
      </c>
      <c r="AM1685" s="843" t="s">
        <v>5641</v>
      </c>
      <c r="AN1685" s="844" t="s">
        <v>5642</v>
      </c>
      <c r="AO1685" s="844" t="s">
        <v>141</v>
      </c>
      <c r="AP1685" s="841"/>
      <c r="AQ1685" s="841">
        <v>45906</v>
      </c>
      <c r="AR1685" s="841">
        <v>45958</v>
      </c>
      <c r="AS1685" s="842" t="s">
        <v>1284</v>
      </c>
      <c r="AT1685" s="842" t="s">
        <v>1235</v>
      </c>
      <c r="AU1685" s="842" t="s">
        <v>4595</v>
      </c>
      <c r="AV1685" s="845" t="s">
        <v>5643</v>
      </c>
      <c r="AW1685" s="861">
        <v>45961</v>
      </c>
      <c r="AX1685" s="862">
        <v>45964</v>
      </c>
      <c r="AY1685" s="843" t="s">
        <v>5682</v>
      </c>
      <c r="AZ1685" s="842" t="s">
        <v>4798</v>
      </c>
      <c r="BA1685" s="842" t="s">
        <v>120</v>
      </c>
      <c r="BB1685" s="863" t="s">
        <v>121</v>
      </c>
      <c r="BC1685" s="864">
        <v>45967</v>
      </c>
      <c r="BD1685" s="860" t="s">
        <v>5645</v>
      </c>
      <c r="BE1685" s="865" cm="1">
        <f t="array" ref="BE1685">IF(BD1685="","",AC1685/SUMPRODUCT(--(BD1685=$BD$4:$BD$12824),$AC$4:$AC$12824))</f>
        <v>0.26691480269645651</v>
      </c>
      <c r="BF1685" s="458"/>
      <c r="BG1685" s="458"/>
      <c r="BH1685" s="458"/>
      <c r="BI1685" s="458"/>
      <c r="BJ1685" s="458"/>
      <c r="BK1685" s="458"/>
      <c r="BL1685" s="458"/>
      <c r="BM1685" s="458"/>
      <c r="BN1685" s="458"/>
      <c r="BO1685" s="866">
        <f>VLOOKUP(BD1685,$BD$4:$BN$12824,3,0)*BE1685</f>
        <v>1204995.4180468393</v>
      </c>
      <c r="BP1685" s="866"/>
      <c r="BQ1685" s="866"/>
      <c r="BR1685" s="866">
        <f>VLOOKUP(BD1685,$BD$4:$BN$12824,6,0)*BE1685</f>
        <v>219038.93710946623</v>
      </c>
      <c r="BS1685" s="866">
        <f>VLOOKUP(BD1685,$BD$4:$BN$12824,7,0)*BE1685</f>
        <v>83737.482501214865</v>
      </c>
      <c r="BT1685" s="866"/>
      <c r="BU1685" s="866">
        <f>VLOOKUP(BD1685,$BD$4:$BN$12824,9,0)*BE1685</f>
        <v>5338.2960539291298</v>
      </c>
      <c r="BV1685" s="867"/>
      <c r="BW1685" s="867">
        <f>VLOOKUP(BD1685,$BD$4:$BN$12824,11,0)*BE1685</f>
        <v>160148.88161787391</v>
      </c>
      <c r="BX1685" s="1146">
        <f t="shared" si="320"/>
        <v>1673259.0153293232</v>
      </c>
      <c r="BY1685" s="867">
        <f t="shared" si="322"/>
        <v>56406258.349664658</v>
      </c>
      <c r="BZ1685" s="867">
        <f t="shared" si="321"/>
        <v>112812516.69932932</v>
      </c>
      <c r="CA1685" s="867">
        <f>_xlfn.MAXIFS($BY$4:$BY$12824,$S$4:$S$12824,$S1685)</f>
        <v>59484254.600370377</v>
      </c>
      <c r="CB1685" s="1032"/>
      <c r="CF1685" s="946">
        <f t="shared" si="326"/>
        <v>118227200</v>
      </c>
    </row>
    <row r="1686" spans="2:84">
      <c r="B1686" s="839" t="s">
        <v>98</v>
      </c>
      <c r="C1686" s="839" t="s">
        <v>254</v>
      </c>
      <c r="D1686" s="839" t="s">
        <v>5634</v>
      </c>
      <c r="E1686" s="839" t="s">
        <v>5634</v>
      </c>
      <c r="F1686" s="841">
        <v>45772</v>
      </c>
      <c r="G1686" s="868" t="s">
        <v>5635</v>
      </c>
      <c r="H1686" s="842" t="s">
        <v>134</v>
      </c>
      <c r="I1686" s="883"/>
      <c r="J1686" s="841"/>
      <c r="K1686" s="841"/>
      <c r="L1686" s="843" t="s">
        <v>106</v>
      </c>
      <c r="M1686" s="844" t="s">
        <v>107</v>
      </c>
      <c r="N1686" s="841"/>
      <c r="O1686" s="884" t="s">
        <v>108</v>
      </c>
      <c r="P1686" s="842" t="s">
        <v>3622</v>
      </c>
      <c r="Q1686" s="843"/>
      <c r="R1686" s="845" t="s">
        <v>4132</v>
      </c>
      <c r="S1686" s="1127" t="s">
        <v>2507</v>
      </c>
      <c r="T1686" s="885" t="s">
        <v>5683</v>
      </c>
      <c r="U1686" s="886">
        <v>20</v>
      </c>
      <c r="V1686" s="842" t="s">
        <v>3</v>
      </c>
      <c r="W1686" s="846">
        <v>131</v>
      </c>
      <c r="X1686" s="847">
        <f t="shared" si="324"/>
        <v>2620</v>
      </c>
      <c r="Y1686" s="853">
        <v>0.51</v>
      </c>
      <c r="Z1686" s="849">
        <v>64.19</v>
      </c>
      <c r="AA1686" s="849"/>
      <c r="AB1686" s="849">
        <f t="shared" si="316"/>
        <v>1283.8</v>
      </c>
      <c r="AC1686" s="850">
        <f t="shared" si="317"/>
        <v>1283.8</v>
      </c>
      <c r="AD1686" s="851">
        <f t="shared" si="325"/>
        <v>32000</v>
      </c>
      <c r="AE1686" s="852">
        <v>30081.54</v>
      </c>
      <c r="AF1686" s="853">
        <v>0</v>
      </c>
      <c r="AG1686" s="854">
        <f t="shared" si="318"/>
        <v>0</v>
      </c>
      <c r="AH1686" s="853">
        <v>0.08</v>
      </c>
      <c r="AI1686" s="855">
        <f t="shared" si="319"/>
        <v>3089494.48416</v>
      </c>
      <c r="AJ1686" s="845" t="s">
        <v>5639</v>
      </c>
      <c r="AK1686" s="857">
        <v>45886</v>
      </c>
      <c r="AL1686" s="843" t="s">
        <v>5640</v>
      </c>
      <c r="AM1686" s="843" t="s">
        <v>5641</v>
      </c>
      <c r="AN1686" s="844" t="s">
        <v>5642</v>
      </c>
      <c r="AO1686" s="844" t="s">
        <v>141</v>
      </c>
      <c r="AP1686" s="841"/>
      <c r="AQ1686" s="841">
        <v>45906</v>
      </c>
      <c r="AR1686" s="841">
        <v>45958</v>
      </c>
      <c r="AS1686" s="842" t="s">
        <v>1284</v>
      </c>
      <c r="AT1686" s="842" t="s">
        <v>1235</v>
      </c>
      <c r="AU1686" s="842" t="s">
        <v>4595</v>
      </c>
      <c r="AV1686" s="845" t="s">
        <v>5643</v>
      </c>
      <c r="AW1686" s="861">
        <v>45961</v>
      </c>
      <c r="AX1686" s="862">
        <v>45964</v>
      </c>
      <c r="AY1686" s="843" t="s">
        <v>5684</v>
      </c>
      <c r="AZ1686" s="842" t="s">
        <v>1631</v>
      </c>
      <c r="BA1686" s="842" t="s">
        <v>120</v>
      </c>
      <c r="BB1686" s="863" t="s">
        <v>121</v>
      </c>
      <c r="BC1686" s="864">
        <v>45967</v>
      </c>
      <c r="BD1686" s="860" t="s">
        <v>5645</v>
      </c>
      <c r="BE1686" s="865" cm="1">
        <f t="array" ref="BE1686">IF(BD1686="","",AC1686/SUMPRODUCT(--(BD1686=$BD$4:$BD$12824),$AC$4:$AC$12824))</f>
        <v>9.2747583960837668E-2</v>
      </c>
      <c r="BF1686" s="458"/>
      <c r="BG1686" s="458"/>
      <c r="BH1686" s="458"/>
      <c r="BI1686" s="458"/>
      <c r="BJ1686" s="458"/>
      <c r="BK1686" s="458"/>
      <c r="BL1686" s="458"/>
      <c r="BM1686" s="458"/>
      <c r="BN1686" s="458"/>
      <c r="BO1686" s="866">
        <f>VLOOKUP(BD1686,$BD$4:$BN$12824,3,0)*BE1686</f>
        <v>418711.93571388838</v>
      </c>
      <c r="BP1686" s="866"/>
      <c r="BQ1686" s="866"/>
      <c r="BR1686" s="866">
        <f>VLOOKUP(BD1686,$BD$4:$BN$12824,6,0)*BE1686</f>
        <v>76111.673107002847</v>
      </c>
      <c r="BS1686" s="866">
        <f>VLOOKUP(BD1686,$BD$4:$BN$12824,7,0)*BE1686</f>
        <v>29097.109304135669</v>
      </c>
      <c r="BT1686" s="866"/>
      <c r="BU1686" s="866">
        <f>VLOOKUP(BD1686,$BD$4:$BN$12824,9,0)*BE1686</f>
        <v>1854.9516792167533</v>
      </c>
      <c r="BV1686" s="867"/>
      <c r="BW1686" s="867">
        <f>VLOOKUP(BD1686,$BD$4:$BN$12824,11,0)*BE1686</f>
        <v>55648.550376502601</v>
      </c>
      <c r="BX1686" s="1146">
        <f t="shared" si="320"/>
        <v>581424.22018074617</v>
      </c>
      <c r="BY1686" s="867">
        <f t="shared" si="322"/>
        <v>1960005.2636090375</v>
      </c>
      <c r="BZ1686" s="867">
        <f t="shared" si="321"/>
        <v>39200105.272180751</v>
      </c>
      <c r="CA1686" s="867">
        <f>_xlfn.MAXIFS($BY$4:$BY$12824,$S$4:$S$12824,$S1686)</f>
        <v>1960005.2636090375</v>
      </c>
      <c r="CB1686" s="944">
        <v>5650000</v>
      </c>
      <c r="CC1686" s="946">
        <f>CB1686*(1-20%)</f>
        <v>4520000</v>
      </c>
      <c r="CD1686" s="997">
        <f>((CC1686/1.08-CA1686-CC1686/1.08*15%)*80%)/(CC1686/1.08)</f>
        <v>0.30534412660216625</v>
      </c>
      <c r="CE1686" s="997">
        <f>(CC1686/1.08-CA1686)/(CC1686/1.08)</f>
        <v>0.53168015825270776</v>
      </c>
      <c r="CF1686" s="946">
        <f t="shared" si="326"/>
        <v>41081600</v>
      </c>
    </row>
    <row r="1687" spans="2:84">
      <c r="B1687" s="839" t="s">
        <v>98</v>
      </c>
      <c r="C1687" s="839" t="s">
        <v>254</v>
      </c>
      <c r="D1687" s="839" t="s">
        <v>5634</v>
      </c>
      <c r="E1687" s="839" t="s">
        <v>5685</v>
      </c>
      <c r="F1687" s="841"/>
      <c r="G1687" s="868" t="s">
        <v>5635</v>
      </c>
      <c r="H1687" s="842" t="s">
        <v>5686</v>
      </c>
      <c r="I1687" s="883"/>
      <c r="J1687" s="841"/>
      <c r="K1687" s="841"/>
      <c r="L1687" s="843" t="s">
        <v>3320</v>
      </c>
      <c r="M1687" s="844" t="s">
        <v>107</v>
      </c>
      <c r="N1687" s="841"/>
      <c r="O1687" s="884" t="s">
        <v>108</v>
      </c>
      <c r="P1687" s="842"/>
      <c r="Q1687" s="843"/>
      <c r="R1687" s="845" t="s">
        <v>270</v>
      </c>
      <c r="S1687" s="1127" t="s">
        <v>271</v>
      </c>
      <c r="T1687" s="885" t="s">
        <v>5687</v>
      </c>
      <c r="U1687" s="886">
        <v>2</v>
      </c>
      <c r="V1687" s="842" t="s">
        <v>3</v>
      </c>
      <c r="W1687" s="846"/>
      <c r="X1687" s="847"/>
      <c r="Y1687" s="853"/>
      <c r="Z1687" s="849">
        <v>881</v>
      </c>
      <c r="AA1687" s="849" t="s">
        <v>40</v>
      </c>
      <c r="AB1687" s="849">
        <f t="shared" si="316"/>
        <v>0</v>
      </c>
      <c r="AC1687" s="850">
        <f t="shared" si="317"/>
        <v>1762</v>
      </c>
      <c r="AD1687" s="851">
        <f t="shared" si="325"/>
        <v>32000</v>
      </c>
      <c r="AE1687" s="852">
        <v>30081.54</v>
      </c>
      <c r="AF1687" s="853">
        <v>0</v>
      </c>
      <c r="AG1687" s="854">
        <f t="shared" si="318"/>
        <v>0</v>
      </c>
      <c r="AH1687" s="853">
        <v>0.08</v>
      </c>
      <c r="AI1687" s="855">
        <f t="shared" si="319"/>
        <v>4240293.8784000007</v>
      </c>
      <c r="AJ1687" s="845" t="s">
        <v>5639</v>
      </c>
      <c r="AK1687" s="857">
        <v>45886</v>
      </c>
      <c r="AL1687" s="843" t="s">
        <v>5640</v>
      </c>
      <c r="AM1687" s="843" t="s">
        <v>5641</v>
      </c>
      <c r="AN1687" s="844" t="s">
        <v>5642</v>
      </c>
      <c r="AO1687" s="844" t="s">
        <v>141</v>
      </c>
      <c r="AP1687" s="841"/>
      <c r="AQ1687" s="841">
        <v>45906</v>
      </c>
      <c r="AR1687" s="841">
        <v>45958</v>
      </c>
      <c r="AS1687" s="842" t="s">
        <v>1284</v>
      </c>
      <c r="AT1687" s="842" t="s">
        <v>1235</v>
      </c>
      <c r="AU1687" s="842" t="s">
        <v>4595</v>
      </c>
      <c r="AV1687" s="845" t="s">
        <v>5643</v>
      </c>
      <c r="AW1687" s="861">
        <v>45961</v>
      </c>
      <c r="AX1687" s="862">
        <v>45964</v>
      </c>
      <c r="AY1687" s="843" t="s">
        <v>5688</v>
      </c>
      <c r="AZ1687" s="842" t="s">
        <v>5214</v>
      </c>
      <c r="BA1687" s="842" t="s">
        <v>120</v>
      </c>
      <c r="BB1687" s="863" t="s">
        <v>121</v>
      </c>
      <c r="BC1687" s="864">
        <v>45967</v>
      </c>
      <c r="BD1687" s="860" t="s">
        <v>5645</v>
      </c>
      <c r="BE1687" s="865" cm="1">
        <f t="array" ref="BE1687">IF(BD1687="","",AC1687/SUMPRODUCT(--(BD1687=$BD$4:$BD$12824),$AC$4:$AC$12824))</f>
        <v>0.1272949391953544</v>
      </c>
      <c r="BF1687" s="458"/>
      <c r="BG1687" s="458"/>
      <c r="BH1687" s="458"/>
      <c r="BI1687" s="458"/>
      <c r="BJ1687" s="458"/>
      <c r="BK1687" s="458"/>
      <c r="BL1687" s="458"/>
      <c r="BM1687" s="458"/>
      <c r="BN1687" s="458"/>
      <c r="BO1687" s="866">
        <f>VLOOKUP(BD1687,$BD$4:$BN$12824,3,0)*BE1687</f>
        <v>574677.07643548166</v>
      </c>
      <c r="BP1687" s="866"/>
      <c r="BQ1687" s="866"/>
      <c r="BR1687" s="866">
        <f>VLOOKUP(BD1687,$BD$4:$BN$12824,6,0)*BE1687</f>
        <v>104462.35240266321</v>
      </c>
      <c r="BS1687" s="866">
        <f>VLOOKUP(BD1687,$BD$4:$BN$12824,7,0)*BE1687</f>
        <v>39935.431215054559</v>
      </c>
      <c r="BT1687" s="866"/>
      <c r="BU1687" s="866">
        <f>VLOOKUP(BD1687,$BD$4:$BN$12824,9,0)*BE1687</f>
        <v>2545.8987839070878</v>
      </c>
      <c r="BV1687" s="867"/>
      <c r="BW1687" s="867">
        <f>VLOOKUP(BD1687,$BD$4:$BN$12824,11,0)*BE1687</f>
        <v>76376.963517212644</v>
      </c>
      <c r="BX1687" s="1146">
        <f t="shared" si="320"/>
        <v>797997.72235431918</v>
      </c>
      <c r="BY1687" s="867">
        <f t="shared" si="322"/>
        <v>398998.86117715959</v>
      </c>
      <c r="BZ1687" s="867">
        <f t="shared" si="321"/>
        <v>797997.72235431918</v>
      </c>
      <c r="CA1687" s="867">
        <f>_xlfn.MAXIFS($BY$4:$BY$12824,$S$4:$S$12824,$S1687)</f>
        <v>26066964.668753684</v>
      </c>
      <c r="CB1687" s="1032"/>
      <c r="CF1687" s="946">
        <f t="shared" si="326"/>
        <v>56384000</v>
      </c>
    </row>
    <row r="1688" spans="2:84">
      <c r="B1688" s="839" t="s">
        <v>98</v>
      </c>
      <c r="C1688" s="839" t="s">
        <v>254</v>
      </c>
      <c r="D1688" s="839" t="s">
        <v>5634</v>
      </c>
      <c r="E1688" s="839" t="s">
        <v>5685</v>
      </c>
      <c r="F1688" s="841"/>
      <c r="G1688" s="868" t="s">
        <v>5635</v>
      </c>
      <c r="H1688" s="842" t="s">
        <v>5686</v>
      </c>
      <c r="I1688" s="883"/>
      <c r="J1688" s="841"/>
      <c r="K1688" s="841"/>
      <c r="L1688" s="843" t="s">
        <v>3320</v>
      </c>
      <c r="M1688" s="844" t="s">
        <v>107</v>
      </c>
      <c r="N1688" s="841"/>
      <c r="O1688" s="884" t="s">
        <v>108</v>
      </c>
      <c r="P1688" s="842"/>
      <c r="Q1688" s="843"/>
      <c r="R1688" s="845" t="s">
        <v>5689</v>
      </c>
      <c r="S1688" s="1127" t="s">
        <v>5690</v>
      </c>
      <c r="T1688" s="885" t="s">
        <v>5691</v>
      </c>
      <c r="U1688" s="886">
        <v>2</v>
      </c>
      <c r="V1688" s="842" t="s">
        <v>3</v>
      </c>
      <c r="W1688" s="846"/>
      <c r="X1688" s="847"/>
      <c r="Y1688" s="853"/>
      <c r="Z1688" s="849">
        <v>496</v>
      </c>
      <c r="AA1688" s="849" t="s">
        <v>40</v>
      </c>
      <c r="AB1688" s="849">
        <f t="shared" si="316"/>
        <v>0</v>
      </c>
      <c r="AC1688" s="850">
        <f t="shared" si="317"/>
        <v>992</v>
      </c>
      <c r="AD1688" s="851">
        <f t="shared" si="325"/>
        <v>32000</v>
      </c>
      <c r="AE1688" s="852">
        <v>30081.54</v>
      </c>
      <c r="AF1688" s="853">
        <v>0</v>
      </c>
      <c r="AG1688" s="854">
        <f t="shared" si="318"/>
        <v>0</v>
      </c>
      <c r="AH1688" s="853">
        <v>0.08</v>
      </c>
      <c r="AI1688" s="855">
        <f t="shared" si="319"/>
        <v>2387271.0144000002</v>
      </c>
      <c r="AJ1688" s="845" t="s">
        <v>5639</v>
      </c>
      <c r="AK1688" s="857">
        <v>45886</v>
      </c>
      <c r="AL1688" s="843" t="s">
        <v>5640</v>
      </c>
      <c r="AM1688" s="843" t="s">
        <v>5641</v>
      </c>
      <c r="AN1688" s="844" t="s">
        <v>5642</v>
      </c>
      <c r="AO1688" s="844" t="s">
        <v>141</v>
      </c>
      <c r="AP1688" s="841"/>
      <c r="AQ1688" s="841">
        <v>45906</v>
      </c>
      <c r="AR1688" s="841">
        <v>45958</v>
      </c>
      <c r="AS1688" s="842" t="s">
        <v>1284</v>
      </c>
      <c r="AT1688" s="842" t="s">
        <v>1235</v>
      </c>
      <c r="AU1688" s="842" t="s">
        <v>4595</v>
      </c>
      <c r="AV1688" s="845" t="s">
        <v>5643</v>
      </c>
      <c r="AW1688" s="861">
        <v>45961</v>
      </c>
      <c r="AX1688" s="862">
        <v>45964</v>
      </c>
      <c r="AY1688" s="843" t="s">
        <v>5692</v>
      </c>
      <c r="AZ1688" s="842" t="s">
        <v>5214</v>
      </c>
      <c r="BA1688" s="842" t="s">
        <v>120</v>
      </c>
      <c r="BB1688" s="863" t="s">
        <v>121</v>
      </c>
      <c r="BC1688" s="864">
        <v>45967</v>
      </c>
      <c r="BD1688" s="860" t="s">
        <v>5645</v>
      </c>
      <c r="BE1688" s="865" cm="1">
        <f t="array" ref="BE1688">IF(BD1688="","",AC1688/SUMPRODUCT(--(BD1688=$BD$4:$BD$12824),$AC$4:$AC$12824))</f>
        <v>7.1666617299541185E-2</v>
      </c>
      <c r="BF1688" s="458"/>
      <c r="BG1688" s="458"/>
      <c r="BH1688" s="458"/>
      <c r="BI1688" s="458"/>
      <c r="BJ1688" s="458"/>
      <c r="BK1688" s="458"/>
      <c r="BL1688" s="458"/>
      <c r="BM1688" s="458"/>
      <c r="BN1688" s="458"/>
      <c r="BO1688" s="866">
        <f>VLOOKUP(BD1688,$BD$4:$BN$12824,3,0)*BE1688</f>
        <v>323541.23713053227</v>
      </c>
      <c r="BP1688" s="866"/>
      <c r="BQ1688" s="866"/>
      <c r="BR1688" s="866">
        <f>VLOOKUP(BD1688,$BD$4:$BN$12824,6,0)*BE1688</f>
        <v>58811.948685267824</v>
      </c>
      <c r="BS1688" s="866">
        <f>VLOOKUP(BD1688,$BD$4:$BN$12824,7,0)*BE1688</f>
        <v>22483.511785093149</v>
      </c>
      <c r="BT1688" s="866"/>
      <c r="BU1688" s="866">
        <f>VLOOKUP(BD1688,$BD$4:$BN$12824,9,0)*BE1688</f>
        <v>1433.3323459908238</v>
      </c>
      <c r="BV1688" s="867"/>
      <c r="BW1688" s="867">
        <f>VLOOKUP(BD1688,$BD$4:$BN$12824,11,0)*BE1688</f>
        <v>42999.970379724713</v>
      </c>
      <c r="BX1688" s="1146">
        <f t="shared" si="320"/>
        <v>449270.00032660877</v>
      </c>
      <c r="BY1688" s="867">
        <f t="shared" si="322"/>
        <v>224635.00016330439</v>
      </c>
      <c r="BZ1688" s="867">
        <f t="shared" si="321"/>
        <v>449270.00032660877</v>
      </c>
      <c r="CA1688" s="867">
        <f>_xlfn.MAXIFS($BY$4:$BY$12824,$S$4:$S$12824,$S1688)</f>
        <v>224635.00016330439</v>
      </c>
      <c r="CB1688" s="1032"/>
      <c r="CF1688" s="946">
        <f t="shared" si="326"/>
        <v>31744000</v>
      </c>
    </row>
    <row r="1689" spans="2:84">
      <c r="B1689" s="839" t="s">
        <v>98</v>
      </c>
      <c r="C1689" s="839" t="s">
        <v>254</v>
      </c>
      <c r="D1689" s="839" t="s">
        <v>5634</v>
      </c>
      <c r="E1689" s="839" t="s">
        <v>5685</v>
      </c>
      <c r="F1689" s="841"/>
      <c r="G1689" s="868" t="s">
        <v>5635</v>
      </c>
      <c r="H1689" s="842" t="s">
        <v>5686</v>
      </c>
      <c r="I1689" s="883"/>
      <c r="J1689" s="841"/>
      <c r="K1689" s="841"/>
      <c r="L1689" s="843" t="s">
        <v>3320</v>
      </c>
      <c r="M1689" s="844" t="s">
        <v>107</v>
      </c>
      <c r="N1689" s="841"/>
      <c r="O1689" s="884"/>
      <c r="P1689" s="842"/>
      <c r="Q1689" s="843"/>
      <c r="R1689" s="845" t="s">
        <v>5693</v>
      </c>
      <c r="S1689" s="1127" t="s">
        <v>5694</v>
      </c>
      <c r="T1689" s="885" t="s">
        <v>5695</v>
      </c>
      <c r="U1689" s="886">
        <v>1</v>
      </c>
      <c r="V1689" s="842" t="s">
        <v>3</v>
      </c>
      <c r="W1689" s="846"/>
      <c r="X1689" s="847"/>
      <c r="Y1689" s="853"/>
      <c r="Z1689" s="849">
        <v>566.5</v>
      </c>
      <c r="AA1689" s="849" t="s">
        <v>40</v>
      </c>
      <c r="AB1689" s="849">
        <f t="shared" si="316"/>
        <v>0</v>
      </c>
      <c r="AC1689" s="850">
        <f t="shared" si="317"/>
        <v>566.5</v>
      </c>
      <c r="AD1689" s="851">
        <f t="shared" si="325"/>
        <v>32000</v>
      </c>
      <c r="AE1689" s="852">
        <v>30081.54</v>
      </c>
      <c r="AF1689" s="853">
        <v>0</v>
      </c>
      <c r="AG1689" s="854">
        <f t="shared" si="318"/>
        <v>0</v>
      </c>
      <c r="AH1689" s="853">
        <v>0.08</v>
      </c>
      <c r="AI1689" s="855">
        <f t="shared" si="319"/>
        <v>1363295.3928</v>
      </c>
      <c r="AJ1689" s="845" t="s">
        <v>5639</v>
      </c>
      <c r="AK1689" s="857">
        <v>45886</v>
      </c>
      <c r="AL1689" s="843" t="s">
        <v>5640</v>
      </c>
      <c r="AM1689" s="843" t="s">
        <v>5641</v>
      </c>
      <c r="AN1689" s="844" t="s">
        <v>5642</v>
      </c>
      <c r="AO1689" s="844" t="s">
        <v>141</v>
      </c>
      <c r="AP1689" s="841"/>
      <c r="AQ1689" s="841">
        <v>45906</v>
      </c>
      <c r="AR1689" s="841">
        <v>45958</v>
      </c>
      <c r="AS1689" s="842" t="s">
        <v>1284</v>
      </c>
      <c r="AT1689" s="842" t="s">
        <v>1235</v>
      </c>
      <c r="AU1689" s="842" t="s">
        <v>4595</v>
      </c>
      <c r="AV1689" s="845" t="s">
        <v>5643</v>
      </c>
      <c r="AW1689" s="861">
        <v>45961</v>
      </c>
      <c r="AX1689" s="862">
        <v>45964</v>
      </c>
      <c r="AY1689" s="843" t="s">
        <v>5696</v>
      </c>
      <c r="AZ1689" s="842" t="s">
        <v>1295</v>
      </c>
      <c r="BA1689" s="842" t="s">
        <v>120</v>
      </c>
      <c r="BB1689" s="863" t="s">
        <v>121</v>
      </c>
      <c r="BC1689" s="864">
        <v>45967</v>
      </c>
      <c r="BD1689" s="860" t="s">
        <v>5645</v>
      </c>
      <c r="BE1689" s="865" cm="1">
        <f t="array" ref="BE1689">IF(BD1689="","",AC1689/SUMPRODUCT(--(BD1689=$BD$4:$BD$12824),$AC$4:$AC$12824))</f>
        <v>4.0926551109062577E-2</v>
      </c>
      <c r="BF1689" s="458"/>
      <c r="BG1689" s="458"/>
      <c r="BH1689" s="458"/>
      <c r="BI1689" s="458"/>
      <c r="BJ1689" s="458"/>
      <c r="BK1689" s="458"/>
      <c r="BL1689" s="458"/>
      <c r="BM1689" s="458"/>
      <c r="BN1689" s="458"/>
      <c r="BO1689" s="866">
        <f>VLOOKUP(BD1689,$BD$4:$BN$12824,3,0)*BE1689</f>
        <v>184764.22463149848</v>
      </c>
      <c r="BP1689" s="866"/>
      <c r="BQ1689" s="866"/>
      <c r="BR1689" s="866">
        <f>VLOOKUP(BD1689,$BD$4:$BN$12824,6,0)*BE1689</f>
        <v>33585.654163512321</v>
      </c>
      <c r="BS1689" s="866">
        <f>VLOOKUP(BD1689,$BD$4:$BN$12824,7,0)*BE1689</f>
        <v>12839.626437757326</v>
      </c>
      <c r="BT1689" s="866"/>
      <c r="BU1689" s="866">
        <f>VLOOKUP(BD1689,$BD$4:$BN$12824,9,0)*BE1689</f>
        <v>818.5310221812515</v>
      </c>
      <c r="BV1689" s="867"/>
      <c r="BW1689" s="867">
        <f>VLOOKUP(BD1689,$BD$4:$BN$12824,11,0)*BE1689</f>
        <v>24555.930665437547</v>
      </c>
      <c r="BX1689" s="1146">
        <f t="shared" si="320"/>
        <v>256563.96692038691</v>
      </c>
      <c r="BY1689" s="867">
        <f t="shared" si="322"/>
        <v>256563.96692038691</v>
      </c>
      <c r="BZ1689" s="867">
        <f t="shared" si="321"/>
        <v>256563.96692038691</v>
      </c>
      <c r="CA1689" s="867">
        <f>_xlfn.MAXIFS($BY$4:$BY$12824,$S$4:$S$12824,$S1689)</f>
        <v>256563.96692038691</v>
      </c>
      <c r="CB1689" s="1032"/>
      <c r="CF1689" s="946">
        <f t="shared" si="326"/>
        <v>18128000</v>
      </c>
    </row>
    <row r="1690" spans="2:84">
      <c r="B1690" s="839" t="s">
        <v>98</v>
      </c>
      <c r="C1690" s="839" t="s">
        <v>5697</v>
      </c>
      <c r="D1690" s="839" t="s">
        <v>5698</v>
      </c>
      <c r="E1690" s="839" t="s">
        <v>5698</v>
      </c>
      <c r="F1690" s="841">
        <v>45761</v>
      </c>
      <c r="G1690" s="839" t="s">
        <v>5697</v>
      </c>
      <c r="H1690" s="842" t="s">
        <v>102</v>
      </c>
      <c r="I1690" s="883" t="s">
        <v>5699</v>
      </c>
      <c r="J1690" s="841">
        <v>45759</v>
      </c>
      <c r="K1690" s="841">
        <v>46034</v>
      </c>
      <c r="L1690" s="843" t="s">
        <v>5257</v>
      </c>
      <c r="M1690" s="844" t="s">
        <v>107</v>
      </c>
      <c r="N1690" s="841"/>
      <c r="O1690" s="884" t="s">
        <v>150</v>
      </c>
      <c r="P1690" s="842" t="s">
        <v>276</v>
      </c>
      <c r="Q1690" s="843"/>
      <c r="R1690" s="845" t="s">
        <v>5700</v>
      </c>
      <c r="S1690" s="1127" t="s">
        <v>5701</v>
      </c>
      <c r="T1690" s="885" t="s">
        <v>5702</v>
      </c>
      <c r="U1690" s="886">
        <v>1</v>
      </c>
      <c r="V1690" s="842" t="s">
        <v>3</v>
      </c>
      <c r="W1690" s="846">
        <v>7775</v>
      </c>
      <c r="X1690" s="847">
        <f t="shared" ref="X1690:X1721" si="327">W1690*U1690</f>
        <v>7775</v>
      </c>
      <c r="Y1690" s="853" t="s">
        <v>5703</v>
      </c>
      <c r="Z1690" s="849">
        <v>4058.55</v>
      </c>
      <c r="AA1690" s="849"/>
      <c r="AB1690" s="849">
        <f t="shared" si="316"/>
        <v>4058.55</v>
      </c>
      <c r="AC1690" s="850">
        <f t="shared" si="317"/>
        <v>4058.55</v>
      </c>
      <c r="AD1690" s="851">
        <f t="shared" si="325"/>
        <v>32000</v>
      </c>
      <c r="AE1690" s="852">
        <v>30081.54</v>
      </c>
      <c r="AF1690" s="865">
        <v>0</v>
      </c>
      <c r="AG1690" s="854">
        <f t="shared" si="318"/>
        <v>0</v>
      </c>
      <c r="AH1690" s="853">
        <v>0.08</v>
      </c>
      <c r="AI1690" s="855">
        <f t="shared" si="319"/>
        <v>13709053.853359999</v>
      </c>
      <c r="AJ1690" s="845" t="s">
        <v>5704</v>
      </c>
      <c r="AK1690" s="857">
        <v>45898</v>
      </c>
      <c r="AL1690" s="843" t="s">
        <v>5705</v>
      </c>
      <c r="AM1690" s="843" t="s">
        <v>5641</v>
      </c>
      <c r="AN1690" s="844" t="s">
        <v>5642</v>
      </c>
      <c r="AO1690" s="844" t="s">
        <v>141</v>
      </c>
      <c r="AP1690" s="841"/>
      <c r="AQ1690" s="841">
        <v>45906</v>
      </c>
      <c r="AR1690" s="841">
        <v>45958</v>
      </c>
      <c r="AS1690" s="842" t="s">
        <v>1284</v>
      </c>
      <c r="AT1690" s="842" t="s">
        <v>1235</v>
      </c>
      <c r="AU1690" s="842" t="s">
        <v>4595</v>
      </c>
      <c r="AV1690" s="843" t="s">
        <v>5706</v>
      </c>
      <c r="AW1690" s="861">
        <v>45961</v>
      </c>
      <c r="AX1690" s="862">
        <v>45965</v>
      </c>
      <c r="AY1690" s="843" t="s">
        <v>5707</v>
      </c>
      <c r="AZ1690" s="842" t="s">
        <v>4269</v>
      </c>
      <c r="BA1690" s="842" t="s">
        <v>120</v>
      </c>
      <c r="BB1690" s="863" t="s">
        <v>121</v>
      </c>
      <c r="BC1690" s="864">
        <v>45967</v>
      </c>
      <c r="BD1690" s="860" t="s">
        <v>5708</v>
      </c>
      <c r="BE1690" s="865" cm="1">
        <f t="array" ref="BE1690">IF(BD1690="","",AC1690/SUMPRODUCT(--(BD1690=$BD$4:$BD$12824),$AC$4:$AC$12824))</f>
        <v>1.7384293393398819E-2</v>
      </c>
      <c r="BF1690" s="458" cm="1">
        <f t="array" ref="BF1690">SUM(_xlfn._xlws.FILTER( INDEX(Cost!$B$3:$BK$77,MATCH(LDL!$BD1690, Cost!$F$3:$F$77, 0),0),Cost!$B$3:$BK$3 = BF$3))</f>
        <v>42314749</v>
      </c>
      <c r="BG1690" s="458"/>
      <c r="BH1690" s="458"/>
      <c r="BI1690" s="458" cm="1">
        <f t="array" ref="BI1690">SUM(_xlfn._xlws.FILTER( INDEX(Cost!$B$3:$BK$77,MATCH(LDL!$BD1690, Cost!$F$3:$F$77, 0),0),Cost!$B$3:$BK$3 = BI$3))/1.08</f>
        <v>7983053.7037037034</v>
      </c>
      <c r="BJ1690" s="458" cm="1">
        <f t="array" ref="BJ1690">SUM(_xlfn._xlws.FILTER( INDEX(Cost!$B$3:$BK$77,MATCH(LDL!$BD1690, Cost!$F$3:$F$77, 0),0),Cost!$B$3:$BK$3 = BJ$3))</f>
        <v>6960989.9999999991</v>
      </c>
      <c r="BK1690" s="458"/>
      <c r="BL1690" s="458" cm="1">
        <f t="array" ref="BL1690">SUM(_xlfn._xlws.FILTER( INDEX(Cost!$B$3:$BK$77,MATCH(LDL!$BD1690, Cost!$F$3:$F$77, 0),0),Cost!$B$3:$BK$3 = BL$3))</f>
        <v>560000</v>
      </c>
      <c r="BM1690" s="458"/>
      <c r="BN1690" s="458" cm="1">
        <f t="array" ref="BN1690">SUM(_xlfn._xlws.FILTER( INDEX(Cost!$B$3:$BK$77,MATCH(LDL!$BD1690, Cost!$F$3:$F$77, 0),0),Cost!$B$3:$BK$3 = BN$3))/1.08</f>
        <v>5020370.3703703703</v>
      </c>
      <c r="BO1690" s="866">
        <f>VLOOKUP(BD1690,$BD$4:$BN$12824,3,0)*BE1690</f>
        <v>735612.01148402924</v>
      </c>
      <c r="BP1690" s="866"/>
      <c r="BQ1690" s="866"/>
      <c r="BR1690" s="866">
        <f>VLOOKUP(BD1690,$BD$4:$BN$12824,6,0)*BE1690</f>
        <v>138779.74776044427</v>
      </c>
      <c r="BS1690" s="866">
        <f>VLOOKUP(BD1690,$BD$4:$BN$12824,7,0)*BE1690</f>
        <v>121011.89246851523</v>
      </c>
      <c r="BT1690" s="866"/>
      <c r="BU1690" s="866">
        <f>VLOOKUP(BD1690,$BD$4:$BN$12824,9,0)*BE1690</f>
        <v>9735.2043003033396</v>
      </c>
      <c r="BV1690" s="867"/>
      <c r="BW1690" s="867">
        <f>VLOOKUP(BD1690,$BD$4:$BN$12824,11,0)*BE1690</f>
        <v>87275.591462044817</v>
      </c>
      <c r="BX1690" s="1146">
        <f t="shared" si="320"/>
        <v>1092414.447475337</v>
      </c>
      <c r="BY1690" s="867">
        <f t="shared" si="322"/>
        <v>123179848.61447535</v>
      </c>
      <c r="BZ1690" s="867">
        <f t="shared" si="321"/>
        <v>123179848.61447535</v>
      </c>
      <c r="CA1690" s="867">
        <f>_xlfn.MAXIFS($BY$4:$BY$12824,$S$4:$S$12824,$S1690)</f>
        <v>123179848.61447535</v>
      </c>
      <c r="CB1690" s="1032"/>
      <c r="CF1690" s="946">
        <f t="shared" si="326"/>
        <v>129873600</v>
      </c>
    </row>
    <row r="1691" spans="2:84">
      <c r="B1691" s="839" t="s">
        <v>98</v>
      </c>
      <c r="C1691" s="839" t="s">
        <v>5697</v>
      </c>
      <c r="D1691" s="839" t="s">
        <v>5698</v>
      </c>
      <c r="E1691" s="839" t="s">
        <v>5698</v>
      </c>
      <c r="F1691" s="841">
        <v>45761</v>
      </c>
      <c r="G1691" s="839" t="s">
        <v>5697</v>
      </c>
      <c r="H1691" s="842" t="s">
        <v>102</v>
      </c>
      <c r="I1691" s="883" t="s">
        <v>5699</v>
      </c>
      <c r="J1691" s="841">
        <v>45759</v>
      </c>
      <c r="K1691" s="841">
        <v>46034</v>
      </c>
      <c r="L1691" s="843" t="s">
        <v>5257</v>
      </c>
      <c r="M1691" s="844" t="s">
        <v>107</v>
      </c>
      <c r="N1691" s="841"/>
      <c r="O1691" s="884" t="s">
        <v>135</v>
      </c>
      <c r="P1691" s="842" t="s">
        <v>914</v>
      </c>
      <c r="Q1691" s="843"/>
      <c r="R1691" s="845" t="s">
        <v>5709</v>
      </c>
      <c r="S1691" s="1127" t="s">
        <v>5710</v>
      </c>
      <c r="T1691" s="885" t="s">
        <v>5711</v>
      </c>
      <c r="U1691" s="886">
        <v>1</v>
      </c>
      <c r="V1691" s="842" t="s">
        <v>3</v>
      </c>
      <c r="W1691" s="846">
        <v>4095</v>
      </c>
      <c r="X1691" s="847">
        <f t="shared" si="327"/>
        <v>4095</v>
      </c>
      <c r="Y1691" s="853" t="s">
        <v>5703</v>
      </c>
      <c r="Z1691" s="849">
        <v>2137.59</v>
      </c>
      <c r="AA1691" s="849"/>
      <c r="AB1691" s="849">
        <f t="shared" si="316"/>
        <v>2137.59</v>
      </c>
      <c r="AC1691" s="850">
        <f t="shared" si="317"/>
        <v>2137.59</v>
      </c>
      <c r="AD1691" s="851">
        <f t="shared" si="325"/>
        <v>32000</v>
      </c>
      <c r="AE1691" s="852">
        <v>30081.54</v>
      </c>
      <c r="AF1691" s="865">
        <v>0.12</v>
      </c>
      <c r="AG1691" s="854">
        <f t="shared" si="318"/>
        <v>7770380.7248959597</v>
      </c>
      <c r="AH1691" s="853">
        <v>0.08</v>
      </c>
      <c r="AI1691" s="855">
        <f t="shared" si="319"/>
        <v>5765790.3850796772</v>
      </c>
      <c r="AJ1691" s="845" t="s">
        <v>5704</v>
      </c>
      <c r="AK1691" s="857">
        <v>45898</v>
      </c>
      <c r="AL1691" s="843" t="s">
        <v>5705</v>
      </c>
      <c r="AM1691" s="843" t="s">
        <v>5641</v>
      </c>
      <c r="AN1691" s="844" t="s">
        <v>5642</v>
      </c>
      <c r="AO1691" s="844" t="s">
        <v>141</v>
      </c>
      <c r="AP1691" s="841"/>
      <c r="AQ1691" s="841">
        <v>45906</v>
      </c>
      <c r="AR1691" s="841">
        <v>45958</v>
      </c>
      <c r="AS1691" s="842" t="s">
        <v>1284</v>
      </c>
      <c r="AT1691" s="842" t="s">
        <v>1235</v>
      </c>
      <c r="AU1691" s="842" t="s">
        <v>4595</v>
      </c>
      <c r="AV1691" s="843" t="s">
        <v>5712</v>
      </c>
      <c r="AW1691" s="861">
        <v>45961</v>
      </c>
      <c r="AX1691" s="862">
        <v>45965</v>
      </c>
      <c r="AY1691" s="843" t="s">
        <v>5713</v>
      </c>
      <c r="AZ1691" s="842" t="s">
        <v>5714</v>
      </c>
      <c r="BA1691" s="842" t="s">
        <v>120</v>
      </c>
      <c r="BB1691" s="863" t="s">
        <v>121</v>
      </c>
      <c r="BC1691" s="864">
        <v>45967</v>
      </c>
      <c r="BD1691" s="860" t="s">
        <v>5708</v>
      </c>
      <c r="BE1691" s="865" cm="1">
        <f t="array" ref="BE1691">IF(BD1691="","",AC1691/SUMPRODUCT(--(BD1691=$BD$4:$BD$12824),$AC$4:$AC$12824))</f>
        <v>9.1561005075200212E-3</v>
      </c>
      <c r="BF1691" s="458"/>
      <c r="BG1691" s="458"/>
      <c r="BH1691" s="458"/>
      <c r="BI1691" s="458"/>
      <c r="BJ1691" s="458"/>
      <c r="BK1691" s="458"/>
      <c r="BL1691" s="458"/>
      <c r="BM1691" s="458"/>
      <c r="BN1691" s="458"/>
      <c r="BO1691" s="866">
        <f>VLOOKUP(BD1691,$BD$4:$BN$12824,3,0)*BE1691</f>
        <v>387438.09479448228</v>
      </c>
      <c r="BP1691" s="866"/>
      <c r="BQ1691" s="866"/>
      <c r="BR1691" s="866">
        <f>VLOOKUP(BD1691,$BD$4:$BN$12824,6,0)*BE1691</f>
        <v>73093.642068041067</v>
      </c>
      <c r="BS1691" s="866">
        <f>VLOOKUP(BD1691,$BD$4:$BN$12824,7,0)*BE1691</f>
        <v>63735.524071841784</v>
      </c>
      <c r="BT1691" s="866"/>
      <c r="BU1691" s="866">
        <f>VLOOKUP(BD1691,$BD$4:$BN$12824,9,0)*BE1691</f>
        <v>5127.4162842112119</v>
      </c>
      <c r="BV1691" s="867"/>
      <c r="BW1691" s="867">
        <f>VLOOKUP(BD1691,$BD$4:$BN$12824,11,0)*BE1691</f>
        <v>45967.015696086622</v>
      </c>
      <c r="BX1691" s="1146">
        <f t="shared" si="320"/>
        <v>575361.69291466288</v>
      </c>
      <c r="BY1691" s="867">
        <f t="shared" si="322"/>
        <v>72647741.506410629</v>
      </c>
      <c r="BZ1691" s="867">
        <f t="shared" si="321"/>
        <v>72647741.506410629</v>
      </c>
      <c r="CA1691" s="867">
        <f>_xlfn.MAXIFS($BY$4:$BY$12824,$S$4:$S$12824,$S1691)</f>
        <v>72647741.506410629</v>
      </c>
      <c r="CB1691" s="1032"/>
      <c r="CF1691" s="946">
        <f t="shared" si="326"/>
        <v>68402880</v>
      </c>
    </row>
    <row r="1692" spans="2:84">
      <c r="B1692" s="839" t="s">
        <v>98</v>
      </c>
      <c r="C1692" s="839" t="s">
        <v>5697</v>
      </c>
      <c r="D1692" s="839" t="s">
        <v>5698</v>
      </c>
      <c r="E1692" s="839" t="s">
        <v>5698</v>
      </c>
      <c r="F1692" s="841">
        <v>45761</v>
      </c>
      <c r="G1692" s="839" t="s">
        <v>5697</v>
      </c>
      <c r="H1692" s="842" t="s">
        <v>102</v>
      </c>
      <c r="I1692" s="883" t="s">
        <v>5699</v>
      </c>
      <c r="J1692" s="841">
        <v>45759</v>
      </c>
      <c r="K1692" s="841">
        <v>46034</v>
      </c>
      <c r="L1692" s="843" t="s">
        <v>5257</v>
      </c>
      <c r="M1692" s="844" t="s">
        <v>107</v>
      </c>
      <c r="N1692" s="841"/>
      <c r="O1692" s="884" t="s">
        <v>150</v>
      </c>
      <c r="P1692" s="842" t="s">
        <v>461</v>
      </c>
      <c r="Q1692" s="843"/>
      <c r="R1692" s="845" t="s">
        <v>5715</v>
      </c>
      <c r="S1692" s="1127" t="s">
        <v>5716</v>
      </c>
      <c r="T1692" s="885" t="s">
        <v>5717</v>
      </c>
      <c r="U1692" s="886">
        <v>1</v>
      </c>
      <c r="V1692" s="842" t="s">
        <v>3</v>
      </c>
      <c r="W1692" s="846">
        <v>5125</v>
      </c>
      <c r="X1692" s="847">
        <f t="shared" si="327"/>
        <v>5125</v>
      </c>
      <c r="Y1692" s="853" t="s">
        <v>5703</v>
      </c>
      <c r="Z1692" s="849">
        <v>2675.25</v>
      </c>
      <c r="AA1692" s="849"/>
      <c r="AB1692" s="849">
        <f t="shared" si="316"/>
        <v>2675.25</v>
      </c>
      <c r="AC1692" s="850">
        <f t="shared" si="317"/>
        <v>2675.25</v>
      </c>
      <c r="AD1692" s="851">
        <f t="shared" si="325"/>
        <v>32000</v>
      </c>
      <c r="AE1692" s="852">
        <v>30081.54</v>
      </c>
      <c r="AF1692" s="865">
        <v>0</v>
      </c>
      <c r="AG1692" s="854">
        <f t="shared" si="318"/>
        <v>0</v>
      </c>
      <c r="AH1692" s="853">
        <v>0.08</v>
      </c>
      <c r="AI1692" s="855">
        <f t="shared" si="319"/>
        <v>6438051.1908000009</v>
      </c>
      <c r="AJ1692" s="845" t="s">
        <v>5704</v>
      </c>
      <c r="AK1692" s="857">
        <v>45898</v>
      </c>
      <c r="AL1692" s="843" t="s">
        <v>5705</v>
      </c>
      <c r="AM1692" s="843" t="s">
        <v>5641</v>
      </c>
      <c r="AN1692" s="844" t="s">
        <v>5642</v>
      </c>
      <c r="AO1692" s="844" t="s">
        <v>141</v>
      </c>
      <c r="AP1692" s="841"/>
      <c r="AQ1692" s="841">
        <v>45906</v>
      </c>
      <c r="AR1692" s="841">
        <v>45958</v>
      </c>
      <c r="AS1692" s="842" t="s">
        <v>1284</v>
      </c>
      <c r="AT1692" s="842" t="s">
        <v>1235</v>
      </c>
      <c r="AU1692" s="842" t="s">
        <v>4595</v>
      </c>
      <c r="AV1692" s="843" t="s">
        <v>5718</v>
      </c>
      <c r="AW1692" s="861">
        <v>45961</v>
      </c>
      <c r="AX1692" s="862">
        <v>45965</v>
      </c>
      <c r="AY1692" s="843" t="s">
        <v>5719</v>
      </c>
      <c r="AZ1692" s="842" t="s">
        <v>4269</v>
      </c>
      <c r="BA1692" s="842" t="s">
        <v>120</v>
      </c>
      <c r="BB1692" s="863" t="s">
        <v>121</v>
      </c>
      <c r="BC1692" s="864">
        <v>45967</v>
      </c>
      <c r="BD1692" s="860" t="s">
        <v>5708</v>
      </c>
      <c r="BE1692" s="865" cm="1">
        <f t="array" ref="BE1692">IF(BD1692="","",AC1692/SUMPRODUCT(--(BD1692=$BD$4:$BD$12824),$AC$4:$AC$12824))</f>
        <v>1.1459100146774141E-2</v>
      </c>
      <c r="BF1692" s="458"/>
      <c r="BG1692" s="458"/>
      <c r="BH1692" s="458"/>
      <c r="BI1692" s="458"/>
      <c r="BJ1692" s="458"/>
      <c r="BK1692" s="458"/>
      <c r="BL1692" s="458"/>
      <c r="BM1692" s="458"/>
      <c r="BN1692" s="458"/>
      <c r="BO1692" s="866">
        <f>VLOOKUP(BD1692,$BD$4:$BN$12824,3,0)*BE1692</f>
        <v>484888.94647661096</v>
      </c>
      <c r="BP1692" s="866"/>
      <c r="BQ1692" s="866"/>
      <c r="BR1692" s="866">
        <f>VLOOKUP(BD1692,$BD$4:$BN$12824,6,0)*BE1692</f>
        <v>91478.611867816959</v>
      </c>
      <c r="BS1692" s="866">
        <f>VLOOKUP(BD1692,$BD$4:$BN$12824,7,0)*BE1692</f>
        <v>79766.681530693313</v>
      </c>
      <c r="BT1692" s="866"/>
      <c r="BU1692" s="866">
        <f>VLOOKUP(BD1692,$BD$4:$BN$12824,9,0)*BE1692</f>
        <v>6417.0960821935196</v>
      </c>
      <c r="BV1692" s="867"/>
      <c r="BW1692" s="867">
        <f>VLOOKUP(BD1692,$BD$4:$BN$12824,11,0)*BE1692</f>
        <v>57528.926847971663</v>
      </c>
      <c r="BX1692" s="1146">
        <f t="shared" si="320"/>
        <v>720080.26280528645</v>
      </c>
      <c r="BY1692" s="867">
        <f t="shared" si="322"/>
        <v>81195720.147805288</v>
      </c>
      <c r="BZ1692" s="867">
        <f t="shared" si="321"/>
        <v>81195720.147805288</v>
      </c>
      <c r="CA1692" s="867">
        <f>_xlfn.MAXIFS($BY$4:$BY$12824,$S$4:$S$12824,$S1692)</f>
        <v>81195720.147805288</v>
      </c>
      <c r="CB1692" s="1032"/>
      <c r="CF1692" s="946">
        <f t="shared" si="326"/>
        <v>85608000</v>
      </c>
    </row>
    <row r="1693" spans="2:84">
      <c r="B1693" s="839" t="s">
        <v>98</v>
      </c>
      <c r="C1693" s="839" t="s">
        <v>5697</v>
      </c>
      <c r="D1693" s="839" t="s">
        <v>5720</v>
      </c>
      <c r="E1693" s="839" t="s">
        <v>5720</v>
      </c>
      <c r="F1693" s="841">
        <v>45728</v>
      </c>
      <c r="G1693" s="839" t="s">
        <v>5697</v>
      </c>
      <c r="H1693" s="842" t="s">
        <v>102</v>
      </c>
      <c r="I1693" s="883" t="s">
        <v>4689</v>
      </c>
      <c r="J1693" s="841">
        <v>45964</v>
      </c>
      <c r="K1693" s="841" t="s">
        <v>4703</v>
      </c>
      <c r="L1693" s="843" t="s">
        <v>5257</v>
      </c>
      <c r="M1693" s="844" t="s">
        <v>107</v>
      </c>
      <c r="N1693" s="841"/>
      <c r="O1693" s="884" t="s">
        <v>150</v>
      </c>
      <c r="P1693" s="842" t="s">
        <v>384</v>
      </c>
      <c r="Q1693" s="843"/>
      <c r="R1693" s="845" t="s">
        <v>5721</v>
      </c>
      <c r="S1693" s="1127" t="s">
        <v>5722</v>
      </c>
      <c r="T1693" s="885" t="s">
        <v>5723</v>
      </c>
      <c r="U1693" s="886">
        <v>1</v>
      </c>
      <c r="V1693" s="842" t="s">
        <v>3</v>
      </c>
      <c r="W1693" s="846">
        <v>8295</v>
      </c>
      <c r="X1693" s="847">
        <f t="shared" si="327"/>
        <v>8295</v>
      </c>
      <c r="Y1693" s="842" t="s">
        <v>5703</v>
      </c>
      <c r="Z1693" s="849">
        <v>4329.99</v>
      </c>
      <c r="AA1693" s="849"/>
      <c r="AB1693" s="849">
        <f t="shared" si="316"/>
        <v>4329.99</v>
      </c>
      <c r="AC1693" s="850">
        <f t="shared" si="317"/>
        <v>4329.99</v>
      </c>
      <c r="AD1693" s="851">
        <f t="shared" si="325"/>
        <v>32000</v>
      </c>
      <c r="AE1693" s="852">
        <v>30081.54</v>
      </c>
      <c r="AF1693" s="865">
        <v>0</v>
      </c>
      <c r="AG1693" s="854">
        <f t="shared" si="318"/>
        <v>0</v>
      </c>
      <c r="AH1693" s="853">
        <v>0.08</v>
      </c>
      <c r="AI1693" s="855">
        <f t="shared" si="319"/>
        <v>10420221.390768001</v>
      </c>
      <c r="AJ1693" s="845" t="s">
        <v>5704</v>
      </c>
      <c r="AK1693" s="857">
        <v>45898</v>
      </c>
      <c r="AL1693" s="843" t="s">
        <v>5705</v>
      </c>
      <c r="AM1693" s="843" t="s">
        <v>5641</v>
      </c>
      <c r="AN1693" s="844" t="s">
        <v>5642</v>
      </c>
      <c r="AO1693" s="844" t="s">
        <v>141</v>
      </c>
      <c r="AP1693" s="841"/>
      <c r="AQ1693" s="841">
        <v>45906</v>
      </c>
      <c r="AR1693" s="841">
        <v>45958</v>
      </c>
      <c r="AS1693" s="842" t="s">
        <v>1284</v>
      </c>
      <c r="AT1693" s="842" t="s">
        <v>1235</v>
      </c>
      <c r="AU1693" s="842" t="s">
        <v>4595</v>
      </c>
      <c r="AV1693" s="843" t="s">
        <v>5706</v>
      </c>
      <c r="AW1693" s="861">
        <v>45961</v>
      </c>
      <c r="AX1693" s="862">
        <v>45965</v>
      </c>
      <c r="AY1693" s="843" t="s">
        <v>5724</v>
      </c>
      <c r="AZ1693" s="842" t="s">
        <v>3183</v>
      </c>
      <c r="BA1693" s="842" t="s">
        <v>120</v>
      </c>
      <c r="BB1693" s="863" t="s">
        <v>121</v>
      </c>
      <c r="BC1693" s="864">
        <v>45967</v>
      </c>
      <c r="BD1693" s="860" t="s">
        <v>5708</v>
      </c>
      <c r="BE1693" s="865" cm="1">
        <f t="array" ref="BE1693">IF(BD1693="","",AC1693/SUMPRODUCT(--(BD1693=$BD$4:$BD$12824),$AC$4:$AC$12824))</f>
        <v>1.8546972822925167E-2</v>
      </c>
      <c r="BF1693" s="458"/>
      <c r="BG1693" s="458"/>
      <c r="BH1693" s="458"/>
      <c r="BI1693" s="458"/>
      <c r="BJ1693" s="458"/>
      <c r="BK1693" s="458"/>
      <c r="BL1693" s="458"/>
      <c r="BM1693" s="458"/>
      <c r="BN1693" s="458"/>
      <c r="BO1693" s="866">
        <f>VLOOKUP(BD1693,$BD$4:$BN$12824,3,0)*BE1693</f>
        <v>784810.4997118999</v>
      </c>
      <c r="BP1693" s="866"/>
      <c r="BQ1693" s="866"/>
      <c r="BR1693" s="866">
        <f>VLOOKUP(BD1693,$BD$4:$BN$12824,6,0)*BE1693</f>
        <v>148061.48008654467</v>
      </c>
      <c r="BS1693" s="866">
        <f>VLOOKUP(BD1693,$BD$4:$BN$12824,7,0)*BE1693</f>
        <v>129105.29235065385</v>
      </c>
      <c r="BT1693" s="866"/>
      <c r="BU1693" s="866">
        <f>VLOOKUP(BD1693,$BD$4:$BN$12824,9,0)*BE1693</f>
        <v>10386.304780838094</v>
      </c>
      <c r="BV1693" s="867"/>
      <c r="BW1693" s="867">
        <f>VLOOKUP(BD1693,$BD$4:$BN$12824,11,0)*BE1693</f>
        <v>93112.672820278021</v>
      </c>
      <c r="BX1693" s="1146">
        <f t="shared" si="320"/>
        <v>1165476.2497502144</v>
      </c>
      <c r="BY1693" s="867">
        <f t="shared" si="322"/>
        <v>131418243.63435021</v>
      </c>
      <c r="BZ1693" s="867">
        <f t="shared" si="321"/>
        <v>131418243.63435021</v>
      </c>
      <c r="CA1693" s="867">
        <f>_xlfn.MAXIFS($BY$4:$BY$12824,$S$4:$S$12824,$S1693)</f>
        <v>131418243.63435021</v>
      </c>
      <c r="CB1693" s="1032"/>
      <c r="CF1693" s="946">
        <f t="shared" si="326"/>
        <v>138559680</v>
      </c>
    </row>
    <row r="1694" spans="2:84">
      <c r="B1694" s="839" t="s">
        <v>98</v>
      </c>
      <c r="C1694" s="839" t="s">
        <v>5697</v>
      </c>
      <c r="D1694" s="839" t="s">
        <v>5720</v>
      </c>
      <c r="E1694" s="839" t="s">
        <v>5720</v>
      </c>
      <c r="F1694" s="841">
        <v>45728</v>
      </c>
      <c r="G1694" s="839" t="s">
        <v>5697</v>
      </c>
      <c r="H1694" s="842" t="s">
        <v>102</v>
      </c>
      <c r="I1694" s="883" t="s">
        <v>4689</v>
      </c>
      <c r="J1694" s="841">
        <v>45964</v>
      </c>
      <c r="K1694" s="841" t="s">
        <v>4703</v>
      </c>
      <c r="L1694" s="843" t="s">
        <v>5257</v>
      </c>
      <c r="M1694" s="844" t="s">
        <v>107</v>
      </c>
      <c r="N1694" s="841"/>
      <c r="O1694" s="884" t="s">
        <v>150</v>
      </c>
      <c r="P1694" s="842" t="s">
        <v>384</v>
      </c>
      <c r="Q1694" s="843"/>
      <c r="R1694" s="845" t="s">
        <v>5725</v>
      </c>
      <c r="S1694" s="1127" t="s">
        <v>5726</v>
      </c>
      <c r="T1694" s="885" t="s">
        <v>5727</v>
      </c>
      <c r="U1694" s="886">
        <v>1</v>
      </c>
      <c r="V1694" s="842" t="s">
        <v>3</v>
      </c>
      <c r="W1694" s="846">
        <v>5120</v>
      </c>
      <c r="X1694" s="847">
        <f t="shared" si="327"/>
        <v>5120</v>
      </c>
      <c r="Y1694" s="842" t="s">
        <v>5703</v>
      </c>
      <c r="Z1694" s="849">
        <v>2672.64</v>
      </c>
      <c r="AA1694" s="849"/>
      <c r="AB1694" s="849">
        <f t="shared" si="316"/>
        <v>2672.64</v>
      </c>
      <c r="AC1694" s="850">
        <f t="shared" si="317"/>
        <v>2672.64</v>
      </c>
      <c r="AD1694" s="851">
        <f t="shared" si="325"/>
        <v>32000</v>
      </c>
      <c r="AE1694" s="852">
        <v>30081.54</v>
      </c>
      <c r="AF1694" s="865">
        <v>0</v>
      </c>
      <c r="AG1694" s="854">
        <f t="shared" si="318"/>
        <v>0</v>
      </c>
      <c r="AH1694" s="853">
        <v>0.08</v>
      </c>
      <c r="AI1694" s="855">
        <f t="shared" si="319"/>
        <v>6431770.1652479991</v>
      </c>
      <c r="AJ1694" s="845" t="s">
        <v>5704</v>
      </c>
      <c r="AK1694" s="857">
        <v>45898</v>
      </c>
      <c r="AL1694" s="843" t="s">
        <v>5705</v>
      </c>
      <c r="AM1694" s="843" t="s">
        <v>5641</v>
      </c>
      <c r="AN1694" s="844" t="s">
        <v>5642</v>
      </c>
      <c r="AO1694" s="844" t="s">
        <v>141</v>
      </c>
      <c r="AP1694" s="841"/>
      <c r="AQ1694" s="841">
        <v>45906</v>
      </c>
      <c r="AR1694" s="841">
        <v>45958</v>
      </c>
      <c r="AS1694" s="842" t="s">
        <v>1284</v>
      </c>
      <c r="AT1694" s="842" t="s">
        <v>1235</v>
      </c>
      <c r="AU1694" s="842" t="s">
        <v>4595</v>
      </c>
      <c r="AV1694" s="843" t="s">
        <v>5706</v>
      </c>
      <c r="AW1694" s="861">
        <v>45961</v>
      </c>
      <c r="AX1694" s="862">
        <v>45965</v>
      </c>
      <c r="AY1694" s="843" t="s">
        <v>5728</v>
      </c>
      <c r="AZ1694" s="842" t="s">
        <v>3183</v>
      </c>
      <c r="BA1694" s="842" t="s">
        <v>120</v>
      </c>
      <c r="BB1694" s="863" t="s">
        <v>121</v>
      </c>
      <c r="BC1694" s="864">
        <v>45967</v>
      </c>
      <c r="BD1694" s="860" t="s">
        <v>5708</v>
      </c>
      <c r="BE1694" s="865" cm="1">
        <f t="array" ref="BE1694">IF(BD1694="","",AC1694/SUMPRODUCT(--(BD1694=$BD$4:$BD$12824),$AC$4:$AC$12824))</f>
        <v>1.1447920536874849E-2</v>
      </c>
      <c r="BF1694" s="458"/>
      <c r="BG1694" s="458"/>
      <c r="BH1694" s="458"/>
      <c r="BI1694" s="458"/>
      <c r="BJ1694" s="458"/>
      <c r="BK1694" s="458"/>
      <c r="BL1694" s="458"/>
      <c r="BM1694" s="458"/>
      <c r="BN1694" s="458"/>
      <c r="BO1694" s="866">
        <f>VLOOKUP(BD1694,$BD$4:$BN$12824,3,0)*BE1694</f>
        <v>484415.88408980449</v>
      </c>
      <c r="BP1694" s="866"/>
      <c r="BQ1694" s="866"/>
      <c r="BR1694" s="866">
        <f>VLOOKUP(BD1694,$BD$4:$BN$12824,6,0)*BE1694</f>
        <v>91389.364441604455</v>
      </c>
      <c r="BS1694" s="866">
        <f>VLOOKUP(BD1694,$BD$4:$BN$12824,7,0)*BE1694</f>
        <v>79688.86037798044</v>
      </c>
      <c r="BT1694" s="866"/>
      <c r="BU1694" s="866">
        <f>VLOOKUP(BD1694,$BD$4:$BN$12824,9,0)*BE1694</f>
        <v>6410.835500649915</v>
      </c>
      <c r="BV1694" s="867"/>
      <c r="BW1694" s="867">
        <f>VLOOKUP(BD1694,$BD$4:$BN$12824,11,0)*BE1694</f>
        <v>57472.801065680957</v>
      </c>
      <c r="BX1694" s="1146">
        <f t="shared" si="320"/>
        <v>719377.74547572015</v>
      </c>
      <c r="BY1694" s="867">
        <f t="shared" si="322"/>
        <v>81116504.811075717</v>
      </c>
      <c r="BZ1694" s="867">
        <f t="shared" si="321"/>
        <v>81116504.811075717</v>
      </c>
      <c r="CA1694" s="867">
        <f>_xlfn.MAXIFS($BY$4:$BY$12824,$S$4:$S$12824,$S1694)</f>
        <v>81116504.811075717</v>
      </c>
      <c r="CB1694" s="1032"/>
      <c r="CF1694" s="946">
        <f t="shared" si="326"/>
        <v>85524480</v>
      </c>
    </row>
    <row r="1695" spans="2:84">
      <c r="B1695" s="839" t="s">
        <v>98</v>
      </c>
      <c r="C1695" s="839" t="s">
        <v>5697</v>
      </c>
      <c r="D1695" s="839" t="s">
        <v>5720</v>
      </c>
      <c r="E1695" s="839" t="s">
        <v>5720</v>
      </c>
      <c r="F1695" s="841">
        <v>45728</v>
      </c>
      <c r="G1695" s="839" t="s">
        <v>5697</v>
      </c>
      <c r="H1695" s="842" t="s">
        <v>102</v>
      </c>
      <c r="I1695" s="883" t="s">
        <v>4689</v>
      </c>
      <c r="J1695" s="841">
        <v>45964</v>
      </c>
      <c r="K1695" s="841" t="s">
        <v>4703</v>
      </c>
      <c r="L1695" s="843" t="s">
        <v>5257</v>
      </c>
      <c r="M1695" s="844" t="s">
        <v>107</v>
      </c>
      <c r="N1695" s="841"/>
      <c r="O1695" s="884" t="s">
        <v>150</v>
      </c>
      <c r="P1695" s="842" t="s">
        <v>384</v>
      </c>
      <c r="Q1695" s="843"/>
      <c r="R1695" s="845" t="s">
        <v>5729</v>
      </c>
      <c r="S1695" s="1127" t="s">
        <v>5730</v>
      </c>
      <c r="T1695" s="885" t="s">
        <v>5731</v>
      </c>
      <c r="U1695" s="886">
        <v>1</v>
      </c>
      <c r="V1695" s="842" t="s">
        <v>3</v>
      </c>
      <c r="W1695" s="846">
        <v>11260</v>
      </c>
      <c r="X1695" s="847">
        <f t="shared" si="327"/>
        <v>11260</v>
      </c>
      <c r="Y1695" s="842" t="s">
        <v>5703</v>
      </c>
      <c r="Z1695" s="849">
        <v>5877.72</v>
      </c>
      <c r="AA1695" s="849"/>
      <c r="AB1695" s="849">
        <f t="shared" si="316"/>
        <v>5877.72</v>
      </c>
      <c r="AC1695" s="850">
        <f t="shared" si="317"/>
        <v>5877.72</v>
      </c>
      <c r="AD1695" s="851">
        <f t="shared" si="325"/>
        <v>32000</v>
      </c>
      <c r="AE1695" s="852">
        <v>30081.54</v>
      </c>
      <c r="AF1695" s="865">
        <v>0</v>
      </c>
      <c r="AG1695" s="854">
        <f t="shared" si="318"/>
        <v>0</v>
      </c>
      <c r="AH1695" s="853">
        <v>0.08</v>
      </c>
      <c r="AI1695" s="855">
        <f t="shared" si="319"/>
        <v>14144869.543104</v>
      </c>
      <c r="AJ1695" s="845" t="s">
        <v>5704</v>
      </c>
      <c r="AK1695" s="857">
        <v>45898</v>
      </c>
      <c r="AL1695" s="843" t="s">
        <v>5705</v>
      </c>
      <c r="AM1695" s="843" t="s">
        <v>5641</v>
      </c>
      <c r="AN1695" s="844" t="s">
        <v>5642</v>
      </c>
      <c r="AO1695" s="844" t="s">
        <v>141</v>
      </c>
      <c r="AP1695" s="841"/>
      <c r="AQ1695" s="841">
        <v>45906</v>
      </c>
      <c r="AR1695" s="841">
        <v>45958</v>
      </c>
      <c r="AS1695" s="842" t="s">
        <v>1284</v>
      </c>
      <c r="AT1695" s="842" t="s">
        <v>1235</v>
      </c>
      <c r="AU1695" s="842" t="s">
        <v>4595</v>
      </c>
      <c r="AV1695" s="843" t="s">
        <v>5706</v>
      </c>
      <c r="AW1695" s="861">
        <v>45961</v>
      </c>
      <c r="AX1695" s="862">
        <v>45965</v>
      </c>
      <c r="AY1695" s="843" t="s">
        <v>5732</v>
      </c>
      <c r="AZ1695" s="842" t="s">
        <v>3183</v>
      </c>
      <c r="BA1695" s="842" t="s">
        <v>120</v>
      </c>
      <c r="BB1695" s="863" t="s">
        <v>121</v>
      </c>
      <c r="BC1695" s="864">
        <v>45967</v>
      </c>
      <c r="BD1695" s="860" t="s">
        <v>5708</v>
      </c>
      <c r="BE1695" s="865" cm="1">
        <f t="array" ref="BE1695">IF(BD1695="","",AC1695/SUMPRODUCT(--(BD1695=$BD$4:$BD$12824),$AC$4:$AC$12824))</f>
        <v>2.5176481493205234E-2</v>
      </c>
      <c r="BF1695" s="458"/>
      <c r="BG1695" s="458"/>
      <c r="BH1695" s="458"/>
      <c r="BI1695" s="458"/>
      <c r="BJ1695" s="458"/>
      <c r="BK1695" s="458"/>
      <c r="BL1695" s="458"/>
      <c r="BM1695" s="458"/>
      <c r="BN1695" s="458"/>
      <c r="BO1695" s="866">
        <f>VLOOKUP(BD1695,$BD$4:$BN$12824,3,0)*BE1695</f>
        <v>1065336.4950881246</v>
      </c>
      <c r="BP1695" s="866"/>
      <c r="BQ1695" s="866"/>
      <c r="BR1695" s="866">
        <f>VLOOKUP(BD1695,$BD$4:$BN$12824,6,0)*BE1695</f>
        <v>200985.2038305598</v>
      </c>
      <c r="BS1695" s="866">
        <f>VLOOKUP(BD1695,$BD$4:$BN$12824,7,0)*BE1695</f>
        <v>175253.23590938668</v>
      </c>
      <c r="BT1695" s="866"/>
      <c r="BU1695" s="866">
        <f>VLOOKUP(BD1695,$BD$4:$BN$12824,9,0)*BE1695</f>
        <v>14098.829636194931</v>
      </c>
      <c r="BV1695" s="867"/>
      <c r="BW1695" s="867">
        <f>VLOOKUP(BD1695,$BD$4:$BN$12824,11,0)*BE1695</f>
        <v>126395.26171866554</v>
      </c>
      <c r="BX1695" s="1146">
        <f t="shared" si="320"/>
        <v>1582069.0261829316</v>
      </c>
      <c r="BY1695" s="867">
        <f t="shared" si="322"/>
        <v>178392938.31498292</v>
      </c>
      <c r="BZ1695" s="867">
        <f t="shared" si="321"/>
        <v>178392938.31498292</v>
      </c>
      <c r="CA1695" s="867">
        <f>_xlfn.MAXIFS($BY$4:$BY$12824,$S$4:$S$12824,$S1695)</f>
        <v>178392938.31498292</v>
      </c>
      <c r="CB1695" s="1032"/>
      <c r="CF1695" s="946">
        <f t="shared" si="326"/>
        <v>188087040</v>
      </c>
    </row>
    <row r="1696" spans="2:84">
      <c r="B1696" s="839" t="s">
        <v>98</v>
      </c>
      <c r="C1696" s="839" t="s">
        <v>5697</v>
      </c>
      <c r="D1696" s="839" t="s">
        <v>5720</v>
      </c>
      <c r="E1696" s="839" t="s">
        <v>5720</v>
      </c>
      <c r="F1696" s="841">
        <v>45728</v>
      </c>
      <c r="G1696" s="839" t="s">
        <v>5697</v>
      </c>
      <c r="H1696" s="842" t="s">
        <v>102</v>
      </c>
      <c r="I1696" s="883" t="s">
        <v>4689</v>
      </c>
      <c r="J1696" s="841">
        <v>45964</v>
      </c>
      <c r="K1696" s="841" t="s">
        <v>4703</v>
      </c>
      <c r="L1696" s="843" t="s">
        <v>5257</v>
      </c>
      <c r="M1696" s="844" t="s">
        <v>107</v>
      </c>
      <c r="N1696" s="841"/>
      <c r="O1696" s="884" t="s">
        <v>150</v>
      </c>
      <c r="P1696" s="842" t="s">
        <v>5168</v>
      </c>
      <c r="Q1696" s="843"/>
      <c r="R1696" s="845" t="s">
        <v>5733</v>
      </c>
      <c r="S1696" s="1127" t="s">
        <v>5734</v>
      </c>
      <c r="T1696" s="885" t="s">
        <v>5735</v>
      </c>
      <c r="U1696" s="886">
        <v>1</v>
      </c>
      <c r="V1696" s="842" t="s">
        <v>3</v>
      </c>
      <c r="W1696" s="846">
        <v>1685</v>
      </c>
      <c r="X1696" s="847">
        <f t="shared" si="327"/>
        <v>1685</v>
      </c>
      <c r="Y1696" s="842" t="s">
        <v>5703</v>
      </c>
      <c r="Z1696" s="849">
        <v>879.57</v>
      </c>
      <c r="AA1696" s="849"/>
      <c r="AB1696" s="849">
        <f t="shared" si="316"/>
        <v>879.57</v>
      </c>
      <c r="AC1696" s="850">
        <f t="shared" si="317"/>
        <v>879.57</v>
      </c>
      <c r="AD1696" s="851">
        <f t="shared" si="325"/>
        <v>32000</v>
      </c>
      <c r="AE1696" s="852">
        <v>30081.54</v>
      </c>
      <c r="AF1696" s="865">
        <v>0</v>
      </c>
      <c r="AG1696" s="854">
        <f t="shared" si="318"/>
        <v>0</v>
      </c>
      <c r="AH1696" s="853">
        <v>0.08</v>
      </c>
      <c r="AI1696" s="855">
        <f t="shared" si="319"/>
        <v>2116705.6110240002</v>
      </c>
      <c r="AJ1696" s="845" t="s">
        <v>5704</v>
      </c>
      <c r="AK1696" s="857">
        <v>45898</v>
      </c>
      <c r="AL1696" s="843" t="s">
        <v>5705</v>
      </c>
      <c r="AM1696" s="843" t="s">
        <v>5641</v>
      </c>
      <c r="AN1696" s="844" t="s">
        <v>5642</v>
      </c>
      <c r="AO1696" s="844" t="s">
        <v>141</v>
      </c>
      <c r="AP1696" s="841"/>
      <c r="AQ1696" s="841">
        <v>45906</v>
      </c>
      <c r="AR1696" s="841">
        <v>45958</v>
      </c>
      <c r="AS1696" s="842" t="s">
        <v>1284</v>
      </c>
      <c r="AT1696" s="842" t="s">
        <v>1235</v>
      </c>
      <c r="AU1696" s="842" t="s">
        <v>4595</v>
      </c>
      <c r="AV1696" s="843" t="s">
        <v>5718</v>
      </c>
      <c r="AW1696" s="861">
        <v>45961</v>
      </c>
      <c r="AX1696" s="862">
        <v>45965</v>
      </c>
      <c r="AY1696" s="843" t="s">
        <v>5736</v>
      </c>
      <c r="AZ1696" s="842" t="s">
        <v>3183</v>
      </c>
      <c r="BA1696" s="842" t="s">
        <v>120</v>
      </c>
      <c r="BB1696" s="863" t="s">
        <v>121</v>
      </c>
      <c r="BC1696" s="864">
        <v>45967</v>
      </c>
      <c r="BD1696" s="860" t="s">
        <v>5708</v>
      </c>
      <c r="BE1696" s="865" cm="1">
        <f t="array" ref="BE1696">IF(BD1696="","",AC1696/SUMPRODUCT(--(BD1696=$BD$4:$BD$12824),$AC$4:$AC$12824))</f>
        <v>3.7675285360613516E-3</v>
      </c>
      <c r="BF1696" s="458"/>
      <c r="BG1696" s="458"/>
      <c r="BH1696" s="458"/>
      <c r="BI1696" s="458"/>
      <c r="BJ1696" s="458"/>
      <c r="BK1696" s="458"/>
      <c r="BL1696" s="458"/>
      <c r="BM1696" s="458"/>
      <c r="BN1696" s="458"/>
      <c r="BO1696" s="866">
        <f>VLOOKUP(BD1696,$BD$4:$BN$12824,3,0)*BE1696</f>
        <v>159422.02435377354</v>
      </c>
      <c r="BP1696" s="866"/>
      <c r="BQ1696" s="866"/>
      <c r="BR1696" s="866">
        <f>VLOOKUP(BD1696,$BD$4:$BN$12824,6,0)*BE1696</f>
        <v>30076.382633613965</v>
      </c>
      <c r="BS1696" s="866">
        <f>VLOOKUP(BD1696,$BD$4:$BN$12824,7,0)*BE1696</f>
        <v>26225.728464237705</v>
      </c>
      <c r="BT1696" s="866"/>
      <c r="BU1696" s="866">
        <f>VLOOKUP(BD1696,$BD$4:$BN$12824,9,0)*BE1696</f>
        <v>2109.8159801943571</v>
      </c>
      <c r="BV1696" s="867"/>
      <c r="BW1696" s="867">
        <f>VLOOKUP(BD1696,$BD$4:$BN$12824,11,0)*BE1696</f>
        <v>18914.388631967267</v>
      </c>
      <c r="BX1696" s="1146">
        <f t="shared" si="320"/>
        <v>236748.34006378686</v>
      </c>
      <c r="BY1696" s="867">
        <f t="shared" si="322"/>
        <v>26695568.477863789</v>
      </c>
      <c r="BZ1696" s="867">
        <f t="shared" si="321"/>
        <v>26695568.477863789</v>
      </c>
      <c r="CA1696" s="867">
        <f>_xlfn.MAXIFS($BY$4:$BY$12824,$S$4:$S$12824,$S1696)</f>
        <v>26695568.477863789</v>
      </c>
      <c r="CB1696" s="1032"/>
      <c r="CF1696" s="946">
        <f t="shared" si="326"/>
        <v>28146240</v>
      </c>
    </row>
    <row r="1697" spans="2:84">
      <c r="B1697" s="839" t="s">
        <v>98</v>
      </c>
      <c r="C1697" s="839" t="s">
        <v>5697</v>
      </c>
      <c r="D1697" s="839" t="s">
        <v>5720</v>
      </c>
      <c r="E1697" s="839" t="s">
        <v>5720</v>
      </c>
      <c r="F1697" s="841">
        <v>45728</v>
      </c>
      <c r="G1697" s="839" t="s">
        <v>5697</v>
      </c>
      <c r="H1697" s="842" t="s">
        <v>102</v>
      </c>
      <c r="I1697" s="883" t="s">
        <v>4689</v>
      </c>
      <c r="J1697" s="841">
        <v>45964</v>
      </c>
      <c r="K1697" s="841" t="s">
        <v>4703</v>
      </c>
      <c r="L1697" s="843" t="s">
        <v>5257</v>
      </c>
      <c r="M1697" s="844" t="s">
        <v>107</v>
      </c>
      <c r="N1697" s="841"/>
      <c r="O1697" s="884" t="s">
        <v>150</v>
      </c>
      <c r="P1697" s="842" t="s">
        <v>5168</v>
      </c>
      <c r="Q1697" s="843"/>
      <c r="R1697" s="845" t="s">
        <v>5733</v>
      </c>
      <c r="S1697" s="1127" t="s">
        <v>5737</v>
      </c>
      <c r="T1697" s="885" t="s">
        <v>5738</v>
      </c>
      <c r="U1697" s="886">
        <v>1</v>
      </c>
      <c r="V1697" s="842" t="s">
        <v>3</v>
      </c>
      <c r="W1697" s="846">
        <v>1685</v>
      </c>
      <c r="X1697" s="847">
        <f t="shared" si="327"/>
        <v>1685</v>
      </c>
      <c r="Y1697" s="842" t="s">
        <v>5703</v>
      </c>
      <c r="Z1697" s="849">
        <v>879.57</v>
      </c>
      <c r="AA1697" s="849"/>
      <c r="AB1697" s="849">
        <f t="shared" si="316"/>
        <v>879.57</v>
      </c>
      <c r="AC1697" s="850">
        <f t="shared" si="317"/>
        <v>879.57</v>
      </c>
      <c r="AD1697" s="851">
        <f t="shared" si="325"/>
        <v>32000</v>
      </c>
      <c r="AE1697" s="852">
        <v>30081.54</v>
      </c>
      <c r="AF1697" s="865">
        <v>0</v>
      </c>
      <c r="AG1697" s="854">
        <f t="shared" si="318"/>
        <v>0</v>
      </c>
      <c r="AH1697" s="853">
        <v>0.08</v>
      </c>
      <c r="AI1697" s="855">
        <f t="shared" si="319"/>
        <v>2116705.6110240002</v>
      </c>
      <c r="AJ1697" s="845" t="s">
        <v>5704</v>
      </c>
      <c r="AK1697" s="857">
        <v>45898</v>
      </c>
      <c r="AL1697" s="843" t="s">
        <v>5705</v>
      </c>
      <c r="AM1697" s="843" t="s">
        <v>5641</v>
      </c>
      <c r="AN1697" s="844" t="s">
        <v>5642</v>
      </c>
      <c r="AO1697" s="844" t="s">
        <v>141</v>
      </c>
      <c r="AP1697" s="841"/>
      <c r="AQ1697" s="841">
        <v>45906</v>
      </c>
      <c r="AR1697" s="841">
        <v>45958</v>
      </c>
      <c r="AS1697" s="842" t="s">
        <v>1284</v>
      </c>
      <c r="AT1697" s="842" t="s">
        <v>1235</v>
      </c>
      <c r="AU1697" s="842" t="s">
        <v>4595</v>
      </c>
      <c r="AV1697" s="843" t="s">
        <v>5718</v>
      </c>
      <c r="AW1697" s="861">
        <v>45961</v>
      </c>
      <c r="AX1697" s="862">
        <v>45965</v>
      </c>
      <c r="AY1697" s="843" t="s">
        <v>5736</v>
      </c>
      <c r="AZ1697" s="842" t="s">
        <v>3183</v>
      </c>
      <c r="BA1697" s="842" t="s">
        <v>120</v>
      </c>
      <c r="BB1697" s="863" t="s">
        <v>121</v>
      </c>
      <c r="BC1697" s="864">
        <v>45967</v>
      </c>
      <c r="BD1697" s="860" t="s">
        <v>5708</v>
      </c>
      <c r="BE1697" s="865" cm="1">
        <f t="array" ref="BE1697">IF(BD1697="","",AC1697/SUMPRODUCT(--(BD1697=$BD$4:$BD$12824),$AC$4:$AC$12824))</f>
        <v>3.7675285360613516E-3</v>
      </c>
      <c r="BF1697" s="458"/>
      <c r="BG1697" s="458"/>
      <c r="BH1697" s="458"/>
      <c r="BI1697" s="458"/>
      <c r="BJ1697" s="458"/>
      <c r="BK1697" s="458"/>
      <c r="BL1697" s="458"/>
      <c r="BM1697" s="458"/>
      <c r="BN1697" s="458"/>
      <c r="BO1697" s="866">
        <f>VLOOKUP(BD1697,$BD$4:$BN$12824,3,0)*BE1697</f>
        <v>159422.02435377354</v>
      </c>
      <c r="BP1697" s="866"/>
      <c r="BQ1697" s="866"/>
      <c r="BR1697" s="866">
        <f>VLOOKUP(BD1697,$BD$4:$BN$12824,6,0)*BE1697</f>
        <v>30076.382633613965</v>
      </c>
      <c r="BS1697" s="866">
        <f>VLOOKUP(BD1697,$BD$4:$BN$12824,7,0)*BE1697</f>
        <v>26225.728464237705</v>
      </c>
      <c r="BT1697" s="866"/>
      <c r="BU1697" s="866">
        <f>VLOOKUP(BD1697,$BD$4:$BN$12824,9,0)*BE1697</f>
        <v>2109.8159801943571</v>
      </c>
      <c r="BV1697" s="867"/>
      <c r="BW1697" s="867">
        <f>VLOOKUP(BD1697,$BD$4:$BN$12824,11,0)*BE1697</f>
        <v>18914.388631967267</v>
      </c>
      <c r="BX1697" s="1146">
        <f t="shared" si="320"/>
        <v>236748.34006378686</v>
      </c>
      <c r="BY1697" s="867">
        <f t="shared" si="322"/>
        <v>26695568.477863789</v>
      </c>
      <c r="BZ1697" s="867">
        <f t="shared" si="321"/>
        <v>26695568.477863789</v>
      </c>
      <c r="CA1697" s="867">
        <f>_xlfn.MAXIFS($BY$4:$BY$12824,$S$4:$S$12824,$S1697)</f>
        <v>26695568.477863789</v>
      </c>
      <c r="CB1697" s="1032"/>
      <c r="CF1697" s="946">
        <f t="shared" si="326"/>
        <v>28146240</v>
      </c>
    </row>
    <row r="1698" spans="2:84">
      <c r="B1698" s="839" t="s">
        <v>98</v>
      </c>
      <c r="C1698" s="839" t="s">
        <v>5697</v>
      </c>
      <c r="D1698" s="839" t="s">
        <v>5720</v>
      </c>
      <c r="E1698" s="839" t="s">
        <v>5720</v>
      </c>
      <c r="F1698" s="841">
        <v>45728</v>
      </c>
      <c r="G1698" s="839" t="s">
        <v>5697</v>
      </c>
      <c r="H1698" s="842" t="s">
        <v>102</v>
      </c>
      <c r="I1698" s="883" t="s">
        <v>4689</v>
      </c>
      <c r="J1698" s="841">
        <v>45964</v>
      </c>
      <c r="K1698" s="841" t="s">
        <v>4703</v>
      </c>
      <c r="L1698" s="843" t="s">
        <v>5257</v>
      </c>
      <c r="M1698" s="844" t="s">
        <v>107</v>
      </c>
      <c r="N1698" s="841"/>
      <c r="O1698" s="884" t="s">
        <v>150</v>
      </c>
      <c r="P1698" s="842" t="s">
        <v>5168</v>
      </c>
      <c r="Q1698" s="843"/>
      <c r="R1698" s="845" t="s">
        <v>5739</v>
      </c>
      <c r="S1698" s="1127" t="s">
        <v>5740</v>
      </c>
      <c r="T1698" s="885" t="s">
        <v>5741</v>
      </c>
      <c r="U1698" s="886">
        <v>1</v>
      </c>
      <c r="V1698" s="842" t="s">
        <v>3</v>
      </c>
      <c r="W1698" s="846">
        <v>2520</v>
      </c>
      <c r="X1698" s="847">
        <f t="shared" si="327"/>
        <v>2520</v>
      </c>
      <c r="Y1698" s="842" t="s">
        <v>5703</v>
      </c>
      <c r="Z1698" s="849">
        <v>1315.44</v>
      </c>
      <c r="AA1698" s="849"/>
      <c r="AB1698" s="849">
        <f t="shared" si="316"/>
        <v>1315.44</v>
      </c>
      <c r="AC1698" s="850">
        <f t="shared" si="317"/>
        <v>1315.44</v>
      </c>
      <c r="AD1698" s="851">
        <f t="shared" si="325"/>
        <v>32000</v>
      </c>
      <c r="AE1698" s="852">
        <v>30081.54</v>
      </c>
      <c r="AF1698" s="865">
        <v>0</v>
      </c>
      <c r="AG1698" s="854">
        <f t="shared" si="318"/>
        <v>0</v>
      </c>
      <c r="AH1698" s="853">
        <v>0.08</v>
      </c>
      <c r="AI1698" s="855">
        <f t="shared" si="319"/>
        <v>3165636.8782080002</v>
      </c>
      <c r="AJ1698" s="845" t="s">
        <v>5704</v>
      </c>
      <c r="AK1698" s="857">
        <v>45898</v>
      </c>
      <c r="AL1698" s="843" t="s">
        <v>5705</v>
      </c>
      <c r="AM1698" s="843" t="s">
        <v>5641</v>
      </c>
      <c r="AN1698" s="844" t="s">
        <v>5642</v>
      </c>
      <c r="AO1698" s="844" t="s">
        <v>141</v>
      </c>
      <c r="AP1698" s="841"/>
      <c r="AQ1698" s="841">
        <v>45906</v>
      </c>
      <c r="AR1698" s="841">
        <v>45958</v>
      </c>
      <c r="AS1698" s="842" t="s">
        <v>1284</v>
      </c>
      <c r="AT1698" s="842" t="s">
        <v>1235</v>
      </c>
      <c r="AU1698" s="842" t="s">
        <v>4595</v>
      </c>
      <c r="AV1698" s="843" t="s">
        <v>5718</v>
      </c>
      <c r="AW1698" s="861">
        <v>45961</v>
      </c>
      <c r="AX1698" s="862">
        <v>45965</v>
      </c>
      <c r="AY1698" s="843" t="s">
        <v>5742</v>
      </c>
      <c r="AZ1698" s="842" t="s">
        <v>3183</v>
      </c>
      <c r="BA1698" s="842" t="s">
        <v>120</v>
      </c>
      <c r="BB1698" s="863" t="s">
        <v>121</v>
      </c>
      <c r="BC1698" s="864">
        <v>45967</v>
      </c>
      <c r="BD1698" s="860" t="s">
        <v>5708</v>
      </c>
      <c r="BE1698" s="865" cm="1">
        <f t="array" ref="BE1698">IF(BD1698="","",AC1698/SUMPRODUCT(--(BD1698=$BD$4:$BD$12824),$AC$4:$AC$12824))</f>
        <v>5.6345233892430898E-3</v>
      </c>
      <c r="BF1698" s="458"/>
      <c r="BG1698" s="458"/>
      <c r="BH1698" s="458"/>
      <c r="BI1698" s="458"/>
      <c r="BJ1698" s="458"/>
      <c r="BK1698" s="458"/>
      <c r="BL1698" s="458"/>
      <c r="BM1698" s="458"/>
      <c r="BN1698" s="458"/>
      <c r="BO1698" s="866">
        <f>VLOOKUP(BD1698,$BD$4:$BN$12824,3,0)*BE1698</f>
        <v>238423.44295045064</v>
      </c>
      <c r="BP1698" s="866"/>
      <c r="BQ1698" s="866"/>
      <c r="BR1698" s="866">
        <f>VLOOKUP(BD1698,$BD$4:$BN$12824,6,0)*BE1698</f>
        <v>44980.702811102194</v>
      </c>
      <c r="BS1698" s="866">
        <f>VLOOKUP(BD1698,$BD$4:$BN$12824,7,0)*BE1698</f>
        <v>39221.860967287248</v>
      </c>
      <c r="BT1698" s="866"/>
      <c r="BU1698" s="866">
        <f>VLOOKUP(BD1698,$BD$4:$BN$12824,9,0)*BE1698</f>
        <v>3155.3330979761304</v>
      </c>
      <c r="BV1698" s="867"/>
      <c r="BW1698" s="867">
        <f>VLOOKUP(BD1698,$BD$4:$BN$12824,11,0)*BE1698</f>
        <v>28287.394274514845</v>
      </c>
      <c r="BX1698" s="1146">
        <f t="shared" si="320"/>
        <v>354068.73410133109</v>
      </c>
      <c r="BY1698" s="867">
        <f t="shared" si="322"/>
        <v>39924529.711701334</v>
      </c>
      <c r="BZ1698" s="867">
        <f t="shared" si="321"/>
        <v>39924529.711701334</v>
      </c>
      <c r="CA1698" s="867">
        <f>_xlfn.MAXIFS($BY$4:$BY$12824,$S$4:$S$12824,$S1698)</f>
        <v>39924529.711701334</v>
      </c>
      <c r="CB1698" s="1032"/>
      <c r="CF1698" s="946">
        <f t="shared" si="326"/>
        <v>42094080</v>
      </c>
    </row>
    <row r="1699" spans="2:84">
      <c r="B1699" s="839" t="s">
        <v>98</v>
      </c>
      <c r="C1699" s="839" t="s">
        <v>5697</v>
      </c>
      <c r="D1699" s="839" t="s">
        <v>5720</v>
      </c>
      <c r="E1699" s="839" t="s">
        <v>5720</v>
      </c>
      <c r="F1699" s="841">
        <v>45728</v>
      </c>
      <c r="G1699" s="839" t="s">
        <v>5697</v>
      </c>
      <c r="H1699" s="842" t="s">
        <v>102</v>
      </c>
      <c r="I1699" s="883" t="s">
        <v>4689</v>
      </c>
      <c r="J1699" s="841">
        <v>45964</v>
      </c>
      <c r="K1699" s="841" t="s">
        <v>4703</v>
      </c>
      <c r="L1699" s="843" t="s">
        <v>5257</v>
      </c>
      <c r="M1699" s="844" t="s">
        <v>107</v>
      </c>
      <c r="N1699" s="841"/>
      <c r="O1699" s="884" t="s">
        <v>150</v>
      </c>
      <c r="P1699" s="842" t="s">
        <v>5168</v>
      </c>
      <c r="Q1699" s="843"/>
      <c r="R1699" s="845" t="s">
        <v>5739</v>
      </c>
      <c r="S1699" s="1127" t="s">
        <v>5743</v>
      </c>
      <c r="T1699" s="885" t="s">
        <v>5744</v>
      </c>
      <c r="U1699" s="886">
        <v>1</v>
      </c>
      <c r="V1699" s="842" t="s">
        <v>3</v>
      </c>
      <c r="W1699" s="846">
        <v>2520</v>
      </c>
      <c r="X1699" s="847">
        <f t="shared" si="327"/>
        <v>2520</v>
      </c>
      <c r="Y1699" s="842" t="s">
        <v>5703</v>
      </c>
      <c r="Z1699" s="849">
        <v>1315.44</v>
      </c>
      <c r="AA1699" s="849"/>
      <c r="AB1699" s="849">
        <f t="shared" si="316"/>
        <v>1315.44</v>
      </c>
      <c r="AC1699" s="850">
        <f t="shared" si="317"/>
        <v>1315.44</v>
      </c>
      <c r="AD1699" s="851">
        <f t="shared" si="325"/>
        <v>32000</v>
      </c>
      <c r="AE1699" s="852">
        <v>30081.54</v>
      </c>
      <c r="AF1699" s="865">
        <v>0</v>
      </c>
      <c r="AG1699" s="854">
        <f t="shared" si="318"/>
        <v>0</v>
      </c>
      <c r="AH1699" s="853">
        <v>0.08</v>
      </c>
      <c r="AI1699" s="855">
        <f t="shared" si="319"/>
        <v>3165636.8782080002</v>
      </c>
      <c r="AJ1699" s="845" t="s">
        <v>5704</v>
      </c>
      <c r="AK1699" s="857">
        <v>45898</v>
      </c>
      <c r="AL1699" s="843" t="s">
        <v>5705</v>
      </c>
      <c r="AM1699" s="843" t="s">
        <v>5641</v>
      </c>
      <c r="AN1699" s="844" t="s">
        <v>5642</v>
      </c>
      <c r="AO1699" s="844" t="s">
        <v>141</v>
      </c>
      <c r="AP1699" s="841"/>
      <c r="AQ1699" s="841">
        <v>45906</v>
      </c>
      <c r="AR1699" s="841">
        <v>45958</v>
      </c>
      <c r="AS1699" s="842" t="s">
        <v>1284</v>
      </c>
      <c r="AT1699" s="842" t="s">
        <v>1235</v>
      </c>
      <c r="AU1699" s="842" t="s">
        <v>4595</v>
      </c>
      <c r="AV1699" s="843" t="s">
        <v>5718</v>
      </c>
      <c r="AW1699" s="861">
        <v>45961</v>
      </c>
      <c r="AX1699" s="862">
        <v>45965</v>
      </c>
      <c r="AY1699" s="843" t="s">
        <v>5742</v>
      </c>
      <c r="AZ1699" s="842" t="s">
        <v>3183</v>
      </c>
      <c r="BA1699" s="842" t="s">
        <v>120</v>
      </c>
      <c r="BB1699" s="863" t="s">
        <v>121</v>
      </c>
      <c r="BC1699" s="864">
        <v>45967</v>
      </c>
      <c r="BD1699" s="860" t="s">
        <v>5708</v>
      </c>
      <c r="BE1699" s="865" cm="1">
        <f t="array" ref="BE1699">IF(BD1699="","",AC1699/SUMPRODUCT(--(BD1699=$BD$4:$BD$12824),$AC$4:$AC$12824))</f>
        <v>5.6345233892430898E-3</v>
      </c>
      <c r="BF1699" s="458"/>
      <c r="BG1699" s="458"/>
      <c r="BH1699" s="458"/>
      <c r="BI1699" s="458"/>
      <c r="BJ1699" s="458"/>
      <c r="BK1699" s="458"/>
      <c r="BL1699" s="458"/>
      <c r="BM1699" s="458"/>
      <c r="BN1699" s="458"/>
      <c r="BO1699" s="866">
        <f>VLOOKUP(BD1699,$BD$4:$BN$12824,3,0)*BE1699</f>
        <v>238423.44295045064</v>
      </c>
      <c r="BP1699" s="866"/>
      <c r="BQ1699" s="866"/>
      <c r="BR1699" s="866">
        <f>VLOOKUP(BD1699,$BD$4:$BN$12824,6,0)*BE1699</f>
        <v>44980.702811102194</v>
      </c>
      <c r="BS1699" s="866">
        <f>VLOOKUP(BD1699,$BD$4:$BN$12824,7,0)*BE1699</f>
        <v>39221.860967287248</v>
      </c>
      <c r="BT1699" s="866"/>
      <c r="BU1699" s="866">
        <f>VLOOKUP(BD1699,$BD$4:$BN$12824,9,0)*BE1699</f>
        <v>3155.3330979761304</v>
      </c>
      <c r="BV1699" s="867"/>
      <c r="BW1699" s="867">
        <f>VLOOKUP(BD1699,$BD$4:$BN$12824,11,0)*BE1699</f>
        <v>28287.394274514845</v>
      </c>
      <c r="BX1699" s="1146">
        <f t="shared" si="320"/>
        <v>354068.73410133109</v>
      </c>
      <c r="BY1699" s="867">
        <f t="shared" si="322"/>
        <v>39924529.711701334</v>
      </c>
      <c r="BZ1699" s="867">
        <f t="shared" si="321"/>
        <v>39924529.711701334</v>
      </c>
      <c r="CA1699" s="867">
        <f>_xlfn.MAXIFS($BY$4:$BY$12824,$S$4:$S$12824,$S1699)</f>
        <v>39924529.711701334</v>
      </c>
      <c r="CB1699" s="1032"/>
      <c r="CF1699" s="946">
        <f t="shared" si="326"/>
        <v>42094080</v>
      </c>
    </row>
    <row r="1700" spans="2:84">
      <c r="B1700" s="839" t="s">
        <v>98</v>
      </c>
      <c r="C1700" s="839" t="s">
        <v>5697</v>
      </c>
      <c r="D1700" s="839" t="s">
        <v>5720</v>
      </c>
      <c r="E1700" s="839" t="s">
        <v>5720</v>
      </c>
      <c r="F1700" s="841">
        <v>45728</v>
      </c>
      <c r="G1700" s="839" t="s">
        <v>5697</v>
      </c>
      <c r="H1700" s="842" t="s">
        <v>102</v>
      </c>
      <c r="I1700" s="883" t="s">
        <v>4689</v>
      </c>
      <c r="J1700" s="841">
        <v>45964</v>
      </c>
      <c r="K1700" s="841" t="s">
        <v>4703</v>
      </c>
      <c r="L1700" s="843" t="s">
        <v>5257</v>
      </c>
      <c r="M1700" s="844" t="s">
        <v>107</v>
      </c>
      <c r="N1700" s="841"/>
      <c r="O1700" s="884" t="s">
        <v>150</v>
      </c>
      <c r="P1700" s="842" t="s">
        <v>5168</v>
      </c>
      <c r="Q1700" s="843"/>
      <c r="R1700" s="845" t="s">
        <v>5739</v>
      </c>
      <c r="S1700" s="1127" t="s">
        <v>5745</v>
      </c>
      <c r="T1700" s="885" t="s">
        <v>5746</v>
      </c>
      <c r="U1700" s="886">
        <v>1</v>
      </c>
      <c r="V1700" s="842" t="s">
        <v>3</v>
      </c>
      <c r="W1700" s="846">
        <v>2520</v>
      </c>
      <c r="X1700" s="847">
        <f t="shared" si="327"/>
        <v>2520</v>
      </c>
      <c r="Y1700" s="842" t="s">
        <v>5703</v>
      </c>
      <c r="Z1700" s="849">
        <v>1315.44</v>
      </c>
      <c r="AA1700" s="849"/>
      <c r="AB1700" s="849">
        <f t="shared" si="316"/>
        <v>1315.44</v>
      </c>
      <c r="AC1700" s="850">
        <f t="shared" si="317"/>
        <v>1315.44</v>
      </c>
      <c r="AD1700" s="851">
        <f t="shared" si="325"/>
        <v>32000</v>
      </c>
      <c r="AE1700" s="852">
        <v>30081.54</v>
      </c>
      <c r="AF1700" s="865">
        <v>0</v>
      </c>
      <c r="AG1700" s="854">
        <f t="shared" si="318"/>
        <v>0</v>
      </c>
      <c r="AH1700" s="853">
        <v>0.08</v>
      </c>
      <c r="AI1700" s="855">
        <f t="shared" si="319"/>
        <v>3165636.8782080002</v>
      </c>
      <c r="AJ1700" s="845" t="s">
        <v>5704</v>
      </c>
      <c r="AK1700" s="857">
        <v>45898</v>
      </c>
      <c r="AL1700" s="843" t="s">
        <v>5705</v>
      </c>
      <c r="AM1700" s="843" t="s">
        <v>5641</v>
      </c>
      <c r="AN1700" s="844" t="s">
        <v>5642</v>
      </c>
      <c r="AO1700" s="844" t="s">
        <v>141</v>
      </c>
      <c r="AP1700" s="841"/>
      <c r="AQ1700" s="841">
        <v>45906</v>
      </c>
      <c r="AR1700" s="841">
        <v>45958</v>
      </c>
      <c r="AS1700" s="842" t="s">
        <v>1284</v>
      </c>
      <c r="AT1700" s="842" t="s">
        <v>1235</v>
      </c>
      <c r="AU1700" s="842" t="s">
        <v>4595</v>
      </c>
      <c r="AV1700" s="843" t="s">
        <v>5718</v>
      </c>
      <c r="AW1700" s="861">
        <v>45961</v>
      </c>
      <c r="AX1700" s="862">
        <v>45965</v>
      </c>
      <c r="AY1700" s="843" t="s">
        <v>5742</v>
      </c>
      <c r="AZ1700" s="842" t="s">
        <v>3183</v>
      </c>
      <c r="BA1700" s="842" t="s">
        <v>120</v>
      </c>
      <c r="BB1700" s="863" t="s">
        <v>121</v>
      </c>
      <c r="BC1700" s="864">
        <v>45967</v>
      </c>
      <c r="BD1700" s="860" t="s">
        <v>5708</v>
      </c>
      <c r="BE1700" s="865" cm="1">
        <f t="array" ref="BE1700">IF(BD1700="","",AC1700/SUMPRODUCT(--(BD1700=$BD$4:$BD$12824),$AC$4:$AC$12824))</f>
        <v>5.6345233892430898E-3</v>
      </c>
      <c r="BF1700" s="458"/>
      <c r="BG1700" s="458"/>
      <c r="BH1700" s="458"/>
      <c r="BI1700" s="458"/>
      <c r="BJ1700" s="458"/>
      <c r="BK1700" s="458"/>
      <c r="BL1700" s="458"/>
      <c r="BM1700" s="458"/>
      <c r="BN1700" s="458"/>
      <c r="BO1700" s="866">
        <f>VLOOKUP(BD1700,$BD$4:$BN$12824,3,0)*BE1700</f>
        <v>238423.44295045064</v>
      </c>
      <c r="BP1700" s="866"/>
      <c r="BQ1700" s="866"/>
      <c r="BR1700" s="866">
        <f>VLOOKUP(BD1700,$BD$4:$BN$12824,6,0)*BE1700</f>
        <v>44980.702811102194</v>
      </c>
      <c r="BS1700" s="866">
        <f>VLOOKUP(BD1700,$BD$4:$BN$12824,7,0)*BE1700</f>
        <v>39221.860967287248</v>
      </c>
      <c r="BT1700" s="866"/>
      <c r="BU1700" s="866">
        <f>VLOOKUP(BD1700,$BD$4:$BN$12824,9,0)*BE1700</f>
        <v>3155.3330979761304</v>
      </c>
      <c r="BV1700" s="867"/>
      <c r="BW1700" s="867">
        <f>VLOOKUP(BD1700,$BD$4:$BN$12824,11,0)*BE1700</f>
        <v>28287.394274514845</v>
      </c>
      <c r="BX1700" s="1146">
        <f t="shared" si="320"/>
        <v>354068.73410133109</v>
      </c>
      <c r="BY1700" s="867">
        <f t="shared" si="322"/>
        <v>39924529.711701334</v>
      </c>
      <c r="BZ1700" s="867">
        <f t="shared" si="321"/>
        <v>39924529.711701334</v>
      </c>
      <c r="CA1700" s="867">
        <f>_xlfn.MAXIFS($BY$4:$BY$12824,$S$4:$S$12824,$S1700)</f>
        <v>39924529.711701334</v>
      </c>
      <c r="CB1700" s="1032"/>
      <c r="CF1700" s="946">
        <f t="shared" si="326"/>
        <v>42094080</v>
      </c>
    </row>
    <row r="1701" spans="2:84">
      <c r="B1701" s="839" t="s">
        <v>98</v>
      </c>
      <c r="C1701" s="839" t="s">
        <v>5697</v>
      </c>
      <c r="D1701" s="839" t="s">
        <v>5720</v>
      </c>
      <c r="E1701" s="839" t="s">
        <v>5720</v>
      </c>
      <c r="F1701" s="841">
        <v>45728</v>
      </c>
      <c r="G1701" s="839" t="s">
        <v>5697</v>
      </c>
      <c r="H1701" s="842" t="s">
        <v>102</v>
      </c>
      <c r="I1701" s="883" t="s">
        <v>4689</v>
      </c>
      <c r="J1701" s="841">
        <v>45964</v>
      </c>
      <c r="K1701" s="841" t="s">
        <v>4703</v>
      </c>
      <c r="L1701" s="843" t="s">
        <v>5257</v>
      </c>
      <c r="M1701" s="844" t="s">
        <v>107</v>
      </c>
      <c r="N1701" s="841"/>
      <c r="O1701" s="884" t="s">
        <v>150</v>
      </c>
      <c r="P1701" s="842" t="s">
        <v>5168</v>
      </c>
      <c r="Q1701" s="843"/>
      <c r="R1701" s="845" t="s">
        <v>5739</v>
      </c>
      <c r="S1701" s="1127" t="s">
        <v>5747</v>
      </c>
      <c r="T1701" s="885" t="s">
        <v>5748</v>
      </c>
      <c r="U1701" s="886">
        <v>1</v>
      </c>
      <c r="V1701" s="842" t="s">
        <v>3</v>
      </c>
      <c r="W1701" s="846">
        <v>2520</v>
      </c>
      <c r="X1701" s="847">
        <f t="shared" si="327"/>
        <v>2520</v>
      </c>
      <c r="Y1701" s="842" t="s">
        <v>5703</v>
      </c>
      <c r="Z1701" s="849">
        <v>1315.44</v>
      </c>
      <c r="AA1701" s="849"/>
      <c r="AB1701" s="849">
        <f t="shared" si="316"/>
        <v>1315.44</v>
      </c>
      <c r="AC1701" s="850">
        <f t="shared" si="317"/>
        <v>1315.44</v>
      </c>
      <c r="AD1701" s="851">
        <f t="shared" si="325"/>
        <v>32000</v>
      </c>
      <c r="AE1701" s="852">
        <v>30081.54</v>
      </c>
      <c r="AF1701" s="865">
        <v>0</v>
      </c>
      <c r="AG1701" s="854">
        <f t="shared" si="318"/>
        <v>0</v>
      </c>
      <c r="AH1701" s="853">
        <v>0.08</v>
      </c>
      <c r="AI1701" s="855">
        <f t="shared" si="319"/>
        <v>3165636.8782080002</v>
      </c>
      <c r="AJ1701" s="845" t="s">
        <v>5704</v>
      </c>
      <c r="AK1701" s="857">
        <v>45898</v>
      </c>
      <c r="AL1701" s="843" t="s">
        <v>5705</v>
      </c>
      <c r="AM1701" s="843" t="s">
        <v>5641</v>
      </c>
      <c r="AN1701" s="844" t="s">
        <v>5642</v>
      </c>
      <c r="AO1701" s="844" t="s">
        <v>141</v>
      </c>
      <c r="AP1701" s="841"/>
      <c r="AQ1701" s="841">
        <v>45906</v>
      </c>
      <c r="AR1701" s="841">
        <v>45958</v>
      </c>
      <c r="AS1701" s="842" t="s">
        <v>1284</v>
      </c>
      <c r="AT1701" s="842" t="s">
        <v>1235</v>
      </c>
      <c r="AU1701" s="842" t="s">
        <v>4595</v>
      </c>
      <c r="AV1701" s="843" t="s">
        <v>5718</v>
      </c>
      <c r="AW1701" s="861">
        <v>45961</v>
      </c>
      <c r="AX1701" s="862">
        <v>45965</v>
      </c>
      <c r="AY1701" s="843" t="s">
        <v>5742</v>
      </c>
      <c r="AZ1701" s="842" t="s">
        <v>3183</v>
      </c>
      <c r="BA1701" s="842" t="s">
        <v>120</v>
      </c>
      <c r="BB1701" s="863" t="s">
        <v>121</v>
      </c>
      <c r="BC1701" s="864">
        <v>45967</v>
      </c>
      <c r="BD1701" s="860" t="s">
        <v>5708</v>
      </c>
      <c r="BE1701" s="865" cm="1">
        <f t="array" ref="BE1701">IF(BD1701="","",AC1701/SUMPRODUCT(--(BD1701=$BD$4:$BD$12824),$AC$4:$AC$12824))</f>
        <v>5.6345233892430898E-3</v>
      </c>
      <c r="BF1701" s="458"/>
      <c r="BG1701" s="458"/>
      <c r="BH1701" s="458"/>
      <c r="BI1701" s="458"/>
      <c r="BJ1701" s="458"/>
      <c r="BK1701" s="458"/>
      <c r="BL1701" s="458"/>
      <c r="BM1701" s="458"/>
      <c r="BN1701" s="458"/>
      <c r="BO1701" s="866">
        <f>VLOOKUP(BD1701,$BD$4:$BN$12824,3,0)*BE1701</f>
        <v>238423.44295045064</v>
      </c>
      <c r="BP1701" s="866"/>
      <c r="BQ1701" s="866"/>
      <c r="BR1701" s="866">
        <f>VLOOKUP(BD1701,$BD$4:$BN$12824,6,0)*BE1701</f>
        <v>44980.702811102194</v>
      </c>
      <c r="BS1701" s="866">
        <f>VLOOKUP(BD1701,$BD$4:$BN$12824,7,0)*BE1701</f>
        <v>39221.860967287248</v>
      </c>
      <c r="BT1701" s="866"/>
      <c r="BU1701" s="866">
        <f>VLOOKUP(BD1701,$BD$4:$BN$12824,9,0)*BE1701</f>
        <v>3155.3330979761304</v>
      </c>
      <c r="BV1701" s="867"/>
      <c r="BW1701" s="867">
        <f>VLOOKUP(BD1701,$BD$4:$BN$12824,11,0)*BE1701</f>
        <v>28287.394274514845</v>
      </c>
      <c r="BX1701" s="1146">
        <f t="shared" si="320"/>
        <v>354068.73410133109</v>
      </c>
      <c r="BY1701" s="867">
        <f t="shared" si="322"/>
        <v>39924529.711701334</v>
      </c>
      <c r="BZ1701" s="867">
        <f t="shared" si="321"/>
        <v>39924529.711701334</v>
      </c>
      <c r="CA1701" s="867">
        <f>_xlfn.MAXIFS($BY$4:$BY$12824,$S$4:$S$12824,$S1701)</f>
        <v>39924529.711701334</v>
      </c>
      <c r="CB1701" s="1032"/>
      <c r="CF1701" s="946">
        <f t="shared" si="326"/>
        <v>42094080</v>
      </c>
    </row>
    <row r="1702" spans="2:84">
      <c r="B1702" s="839" t="s">
        <v>98</v>
      </c>
      <c r="C1702" s="839" t="s">
        <v>5697</v>
      </c>
      <c r="D1702" s="839" t="s">
        <v>5720</v>
      </c>
      <c r="E1702" s="839" t="s">
        <v>5720</v>
      </c>
      <c r="F1702" s="841">
        <v>45728</v>
      </c>
      <c r="G1702" s="839" t="s">
        <v>5697</v>
      </c>
      <c r="H1702" s="842" t="s">
        <v>102</v>
      </c>
      <c r="I1702" s="883" t="s">
        <v>4689</v>
      </c>
      <c r="J1702" s="841">
        <v>45964</v>
      </c>
      <c r="K1702" s="841" t="s">
        <v>4703</v>
      </c>
      <c r="L1702" s="843" t="s">
        <v>5257</v>
      </c>
      <c r="M1702" s="844" t="s">
        <v>107</v>
      </c>
      <c r="N1702" s="841"/>
      <c r="O1702" s="884" t="s">
        <v>150</v>
      </c>
      <c r="P1702" s="842" t="s">
        <v>461</v>
      </c>
      <c r="Q1702" s="843"/>
      <c r="R1702" s="845" t="s">
        <v>5749</v>
      </c>
      <c r="S1702" s="1127" t="s">
        <v>5750</v>
      </c>
      <c r="T1702" s="885" t="s">
        <v>5751</v>
      </c>
      <c r="U1702" s="886">
        <v>1</v>
      </c>
      <c r="V1702" s="842" t="s">
        <v>3</v>
      </c>
      <c r="W1702" s="846">
        <v>3735</v>
      </c>
      <c r="X1702" s="847">
        <f t="shared" si="327"/>
        <v>3735</v>
      </c>
      <c r="Y1702" s="842" t="s">
        <v>5752</v>
      </c>
      <c r="Z1702" s="849">
        <v>1733.04</v>
      </c>
      <c r="AA1702" s="849"/>
      <c r="AB1702" s="849">
        <f t="shared" si="316"/>
        <v>1733.04</v>
      </c>
      <c r="AC1702" s="850">
        <f t="shared" si="317"/>
        <v>1733.04</v>
      </c>
      <c r="AD1702" s="851">
        <f t="shared" si="325"/>
        <v>32000</v>
      </c>
      <c r="AE1702" s="852">
        <v>30081.54</v>
      </c>
      <c r="AF1702" s="865">
        <v>0</v>
      </c>
      <c r="AG1702" s="854">
        <f t="shared" si="318"/>
        <v>0</v>
      </c>
      <c r="AH1702" s="853">
        <v>0.08</v>
      </c>
      <c r="AI1702" s="855">
        <f t="shared" si="319"/>
        <v>4170600.9665280003</v>
      </c>
      <c r="AJ1702" s="845" t="s">
        <v>5704</v>
      </c>
      <c r="AK1702" s="857">
        <v>45898</v>
      </c>
      <c r="AL1702" s="843" t="s">
        <v>5705</v>
      </c>
      <c r="AM1702" s="843" t="s">
        <v>5641</v>
      </c>
      <c r="AN1702" s="844" t="s">
        <v>5642</v>
      </c>
      <c r="AO1702" s="844" t="s">
        <v>141</v>
      </c>
      <c r="AP1702" s="841"/>
      <c r="AQ1702" s="841">
        <v>45906</v>
      </c>
      <c r="AR1702" s="841">
        <v>45958</v>
      </c>
      <c r="AS1702" s="842" t="s">
        <v>1284</v>
      </c>
      <c r="AT1702" s="842" t="s">
        <v>1235</v>
      </c>
      <c r="AU1702" s="842" t="s">
        <v>4595</v>
      </c>
      <c r="AV1702" s="843" t="s">
        <v>5718</v>
      </c>
      <c r="AW1702" s="861">
        <v>45961</v>
      </c>
      <c r="AX1702" s="862">
        <v>45965</v>
      </c>
      <c r="AY1702" s="843" t="s">
        <v>5753</v>
      </c>
      <c r="AZ1702" s="842" t="s">
        <v>4269</v>
      </c>
      <c r="BA1702" s="842" t="s">
        <v>120</v>
      </c>
      <c r="BB1702" s="863" t="s">
        <v>121</v>
      </c>
      <c r="BC1702" s="864">
        <v>45967</v>
      </c>
      <c r="BD1702" s="860" t="s">
        <v>5708</v>
      </c>
      <c r="BE1702" s="865" cm="1">
        <f t="array" ref="BE1702">IF(BD1702="","",AC1702/SUMPRODUCT(--(BD1702=$BD$4:$BD$12824),$AC$4:$AC$12824))</f>
        <v>7.4232609731297843E-3</v>
      </c>
      <c r="BF1702" s="458"/>
      <c r="BG1702" s="458"/>
      <c r="BH1702" s="458"/>
      <c r="BI1702" s="458"/>
      <c r="BJ1702" s="458"/>
      <c r="BK1702" s="458"/>
      <c r="BL1702" s="458"/>
      <c r="BM1702" s="458"/>
      <c r="BN1702" s="458"/>
      <c r="BO1702" s="866">
        <f>VLOOKUP(BD1702,$BD$4:$BN$12824,3,0)*BE1702</f>
        <v>314113.42483948258</v>
      </c>
      <c r="BP1702" s="866"/>
      <c r="BQ1702" s="866"/>
      <c r="BR1702" s="866">
        <f>VLOOKUP(BD1702,$BD$4:$BN$12824,6,0)*BE1702</f>
        <v>59260.291005102881</v>
      </c>
      <c r="BS1702" s="866">
        <f>VLOOKUP(BD1702,$BD$4:$BN$12824,7,0)*BE1702</f>
        <v>51673.245401346692</v>
      </c>
      <c r="BT1702" s="866"/>
      <c r="BU1702" s="866">
        <f>VLOOKUP(BD1702,$BD$4:$BN$12824,9,0)*BE1702</f>
        <v>4157.0261449526788</v>
      </c>
      <c r="BV1702" s="867"/>
      <c r="BW1702" s="867">
        <f>VLOOKUP(BD1702,$BD$4:$BN$12824,11,0)*BE1702</f>
        <v>37267.519441027493</v>
      </c>
      <c r="BX1702" s="1146">
        <f t="shared" si="320"/>
        <v>466471.50683191232</v>
      </c>
      <c r="BY1702" s="867">
        <f t="shared" si="322"/>
        <v>52598983.588431917</v>
      </c>
      <c r="BZ1702" s="867">
        <f t="shared" si="321"/>
        <v>52598983.588431917</v>
      </c>
      <c r="CA1702" s="867">
        <f>_xlfn.MAXIFS($BY$4:$BY$12824,$S$4:$S$12824,$S1702)</f>
        <v>52598983.588431917</v>
      </c>
      <c r="CB1702" s="1032"/>
      <c r="CF1702" s="946">
        <f t="shared" si="326"/>
        <v>55457280</v>
      </c>
    </row>
    <row r="1703" spans="2:84">
      <c r="B1703" s="839" t="s">
        <v>98</v>
      </c>
      <c r="C1703" s="839" t="s">
        <v>5697</v>
      </c>
      <c r="D1703" s="839" t="s">
        <v>5754</v>
      </c>
      <c r="E1703" s="839" t="s">
        <v>5754</v>
      </c>
      <c r="F1703" s="841">
        <v>45805</v>
      </c>
      <c r="G1703" s="839" t="s">
        <v>5697</v>
      </c>
      <c r="H1703" s="883" t="s">
        <v>3457</v>
      </c>
      <c r="I1703" s="883"/>
      <c r="J1703" s="841"/>
      <c r="K1703" s="841"/>
      <c r="L1703" s="843" t="s">
        <v>5257</v>
      </c>
      <c r="M1703" s="844" t="s">
        <v>107</v>
      </c>
      <c r="N1703" s="841"/>
      <c r="O1703" s="884" t="s">
        <v>108</v>
      </c>
      <c r="P1703" s="842" t="s">
        <v>4990</v>
      </c>
      <c r="Q1703" s="843"/>
      <c r="R1703" s="845" t="s">
        <v>5755</v>
      </c>
      <c r="S1703" s="1127" t="s">
        <v>5756</v>
      </c>
      <c r="T1703" s="885" t="s">
        <v>5757</v>
      </c>
      <c r="U1703" s="886">
        <v>1</v>
      </c>
      <c r="V1703" s="842" t="s">
        <v>3</v>
      </c>
      <c r="W1703" s="846">
        <v>520</v>
      </c>
      <c r="X1703" s="847">
        <f t="shared" si="327"/>
        <v>520</v>
      </c>
      <c r="Y1703" s="853" t="s">
        <v>5703</v>
      </c>
      <c r="Z1703" s="849">
        <v>271.44</v>
      </c>
      <c r="AA1703" s="849"/>
      <c r="AB1703" s="849">
        <f t="shared" si="316"/>
        <v>271.44</v>
      </c>
      <c r="AC1703" s="850">
        <f t="shared" si="317"/>
        <v>271.44</v>
      </c>
      <c r="AD1703" s="851">
        <f t="shared" si="325"/>
        <v>32000</v>
      </c>
      <c r="AE1703" s="852">
        <v>30081.54</v>
      </c>
      <c r="AF1703" s="865">
        <v>0.25</v>
      </c>
      <c r="AG1703" s="854">
        <f t="shared" si="318"/>
        <v>2055656.2764275023</v>
      </c>
      <c r="AH1703" s="853">
        <v>0.08</v>
      </c>
      <c r="AI1703" s="855">
        <f t="shared" si="319"/>
        <v>817679.15952220024</v>
      </c>
      <c r="AJ1703" s="845" t="s">
        <v>5704</v>
      </c>
      <c r="AK1703" s="857">
        <v>45898</v>
      </c>
      <c r="AL1703" s="843" t="s">
        <v>5705</v>
      </c>
      <c r="AM1703" s="843" t="s">
        <v>5641</v>
      </c>
      <c r="AN1703" s="844" t="s">
        <v>5642</v>
      </c>
      <c r="AO1703" s="844" t="s">
        <v>141</v>
      </c>
      <c r="AP1703" s="841"/>
      <c r="AQ1703" s="841">
        <v>45906</v>
      </c>
      <c r="AR1703" s="841">
        <v>45958</v>
      </c>
      <c r="AS1703" s="842" t="s">
        <v>1284</v>
      </c>
      <c r="AT1703" s="842" t="s">
        <v>1235</v>
      </c>
      <c r="AU1703" s="842" t="s">
        <v>4595</v>
      </c>
      <c r="AV1703" s="843" t="s">
        <v>5718</v>
      </c>
      <c r="AW1703" s="861">
        <v>45961</v>
      </c>
      <c r="AX1703" s="862">
        <v>45965</v>
      </c>
      <c r="AY1703" s="843" t="s">
        <v>5758</v>
      </c>
      <c r="AZ1703" s="842" t="s">
        <v>4798</v>
      </c>
      <c r="BA1703" s="842" t="s">
        <v>120</v>
      </c>
      <c r="BB1703" s="863" t="s">
        <v>121</v>
      </c>
      <c r="BC1703" s="864">
        <v>45967</v>
      </c>
      <c r="BD1703" s="860" t="s">
        <v>5708</v>
      </c>
      <c r="BE1703" s="865" cm="1">
        <f t="array" ref="BE1703">IF(BD1703="","",AC1703/SUMPRODUCT(--(BD1703=$BD$4:$BD$12824),$AC$4:$AC$12824))</f>
        <v>1.1626794295263518E-3</v>
      </c>
      <c r="BF1703" s="458"/>
      <c r="BG1703" s="458"/>
      <c r="BH1703" s="458"/>
      <c r="BI1703" s="458"/>
      <c r="BJ1703" s="458"/>
      <c r="BK1703" s="458"/>
      <c r="BL1703" s="458"/>
      <c r="BM1703" s="458"/>
      <c r="BN1703" s="458"/>
      <c r="BO1703" s="866">
        <f>VLOOKUP(BD1703,$BD$4:$BN$12824,3,0)*BE1703</f>
        <v>49198.488227870766</v>
      </c>
      <c r="BP1703" s="866"/>
      <c r="BQ1703" s="866"/>
      <c r="BR1703" s="866">
        <f>VLOOKUP(BD1703,$BD$4:$BN$12824,6,0)*BE1703</f>
        <v>9281.7323261004512</v>
      </c>
      <c r="BS1703" s="866">
        <f>VLOOKUP(BD1703,$BD$4:$BN$12824,7,0)*BE1703</f>
        <v>8093.3998821386385</v>
      </c>
      <c r="BT1703" s="866"/>
      <c r="BU1703" s="866">
        <f>VLOOKUP(BD1703,$BD$4:$BN$12824,9,0)*BE1703</f>
        <v>651.10048053475703</v>
      </c>
      <c r="BV1703" s="867"/>
      <c r="BW1703" s="867">
        <f>VLOOKUP(BD1703,$BD$4:$BN$12824,11,0)*BE1703</f>
        <v>5837.0813582332212</v>
      </c>
      <c r="BX1703" s="1146">
        <f t="shared" si="320"/>
        <v>73061.802274877831</v>
      </c>
      <c r="BY1703" s="867">
        <f t="shared" si="322"/>
        <v>10294051.29630238</v>
      </c>
      <c r="BZ1703" s="867">
        <f t="shared" si="321"/>
        <v>10294051.29630238</v>
      </c>
      <c r="CA1703" s="867">
        <f>_xlfn.MAXIFS($BY$4:$BY$12824,$S$4:$S$12824,$S1703)</f>
        <v>10294051.29630238</v>
      </c>
      <c r="CB1703" s="1032"/>
      <c r="CF1703" s="946">
        <f t="shared" si="326"/>
        <v>8686080</v>
      </c>
    </row>
    <row r="1704" spans="2:84">
      <c r="B1704" s="839" t="s">
        <v>98</v>
      </c>
      <c r="C1704" s="839" t="s">
        <v>5697</v>
      </c>
      <c r="D1704" s="839" t="s">
        <v>5754</v>
      </c>
      <c r="E1704" s="839" t="s">
        <v>5754</v>
      </c>
      <c r="F1704" s="841">
        <v>45805</v>
      </c>
      <c r="G1704" s="839" t="s">
        <v>5697</v>
      </c>
      <c r="H1704" s="883" t="s">
        <v>3457</v>
      </c>
      <c r="I1704" s="883"/>
      <c r="J1704" s="841"/>
      <c r="K1704" s="841"/>
      <c r="L1704" s="843" t="s">
        <v>5257</v>
      </c>
      <c r="M1704" s="844" t="s">
        <v>107</v>
      </c>
      <c r="N1704" s="841"/>
      <c r="O1704" s="884" t="s">
        <v>108</v>
      </c>
      <c r="P1704" s="842" t="s">
        <v>4990</v>
      </c>
      <c r="Q1704" s="843"/>
      <c r="R1704" s="845" t="s">
        <v>5759</v>
      </c>
      <c r="S1704" s="1127" t="s">
        <v>5760</v>
      </c>
      <c r="T1704" s="885" t="s">
        <v>5761</v>
      </c>
      <c r="U1704" s="886">
        <v>1</v>
      </c>
      <c r="V1704" s="842" t="s">
        <v>3</v>
      </c>
      <c r="W1704" s="846">
        <v>1280</v>
      </c>
      <c r="X1704" s="847">
        <f t="shared" si="327"/>
        <v>1280</v>
      </c>
      <c r="Y1704" s="853" t="s">
        <v>5703</v>
      </c>
      <c r="Z1704" s="849">
        <v>668.16</v>
      </c>
      <c r="AA1704" s="849"/>
      <c r="AB1704" s="849">
        <f t="shared" si="316"/>
        <v>668.16</v>
      </c>
      <c r="AC1704" s="850">
        <f t="shared" si="317"/>
        <v>668.16</v>
      </c>
      <c r="AD1704" s="851">
        <f t="shared" si="325"/>
        <v>32000</v>
      </c>
      <c r="AE1704" s="852">
        <v>30081.54</v>
      </c>
      <c r="AF1704" s="865">
        <v>0.25</v>
      </c>
      <c r="AG1704" s="854">
        <f t="shared" si="318"/>
        <v>5060076.9881292358</v>
      </c>
      <c r="AH1704" s="853">
        <v>0.08</v>
      </c>
      <c r="AI1704" s="855">
        <f t="shared" si="319"/>
        <v>2012748.7003623387</v>
      </c>
      <c r="AJ1704" s="845" t="s">
        <v>5704</v>
      </c>
      <c r="AK1704" s="857">
        <v>45898</v>
      </c>
      <c r="AL1704" s="843" t="s">
        <v>5705</v>
      </c>
      <c r="AM1704" s="843" t="s">
        <v>5641</v>
      </c>
      <c r="AN1704" s="844" t="s">
        <v>5642</v>
      </c>
      <c r="AO1704" s="844" t="s">
        <v>141</v>
      </c>
      <c r="AP1704" s="841"/>
      <c r="AQ1704" s="841">
        <v>45906</v>
      </c>
      <c r="AR1704" s="841">
        <v>45958</v>
      </c>
      <c r="AS1704" s="842" t="s">
        <v>1284</v>
      </c>
      <c r="AT1704" s="842" t="s">
        <v>1235</v>
      </c>
      <c r="AU1704" s="842" t="s">
        <v>4595</v>
      </c>
      <c r="AV1704" s="843" t="s">
        <v>5718</v>
      </c>
      <c r="AW1704" s="861">
        <v>45961</v>
      </c>
      <c r="AX1704" s="862">
        <v>45965</v>
      </c>
      <c r="AY1704" s="843" t="s">
        <v>5762</v>
      </c>
      <c r="AZ1704" s="842" t="s">
        <v>4798</v>
      </c>
      <c r="BA1704" s="842" t="s">
        <v>120</v>
      </c>
      <c r="BB1704" s="863" t="s">
        <v>121</v>
      </c>
      <c r="BC1704" s="864">
        <v>45967</v>
      </c>
      <c r="BD1704" s="860" t="s">
        <v>5708</v>
      </c>
      <c r="BE1704" s="865" cm="1">
        <f t="array" ref="BE1704">IF(BD1704="","",AC1704/SUMPRODUCT(--(BD1704=$BD$4:$BD$12824),$AC$4:$AC$12824))</f>
        <v>2.8619801342187122E-3</v>
      </c>
      <c r="BF1704" s="458"/>
      <c r="BG1704" s="458"/>
      <c r="BH1704" s="458"/>
      <c r="BI1704" s="458"/>
      <c r="BJ1704" s="458"/>
      <c r="BK1704" s="458"/>
      <c r="BL1704" s="458"/>
      <c r="BM1704" s="458"/>
      <c r="BN1704" s="458"/>
      <c r="BO1704" s="866">
        <f>VLOOKUP(BD1704,$BD$4:$BN$12824,3,0)*BE1704</f>
        <v>121103.97102245112</v>
      </c>
      <c r="BP1704" s="866"/>
      <c r="BQ1704" s="866"/>
      <c r="BR1704" s="866">
        <f>VLOOKUP(BD1704,$BD$4:$BN$12824,6,0)*BE1704</f>
        <v>22847.341110401114</v>
      </c>
      <c r="BS1704" s="866">
        <f>VLOOKUP(BD1704,$BD$4:$BN$12824,7,0)*BE1704</f>
        <v>19922.21509449511</v>
      </c>
      <c r="BT1704" s="866"/>
      <c r="BU1704" s="866">
        <f>VLOOKUP(BD1704,$BD$4:$BN$12824,9,0)*BE1704</f>
        <v>1602.7088751624788</v>
      </c>
      <c r="BV1704" s="867"/>
      <c r="BW1704" s="867">
        <f>VLOOKUP(BD1704,$BD$4:$BN$12824,11,0)*BE1704</f>
        <v>14368.200266420239</v>
      </c>
      <c r="BX1704" s="1146">
        <f t="shared" si="320"/>
        <v>179844.43636893004</v>
      </c>
      <c r="BY1704" s="867">
        <f t="shared" si="322"/>
        <v>25339203.190898165</v>
      </c>
      <c r="BZ1704" s="867">
        <f t="shared" si="321"/>
        <v>25339203.190898165</v>
      </c>
      <c r="CA1704" s="867">
        <f>_xlfn.MAXIFS($BY$4:$BY$12824,$S$4:$S$12824,$S1704)</f>
        <v>25339203.190898165</v>
      </c>
      <c r="CB1704" s="1032"/>
      <c r="CF1704" s="946">
        <f t="shared" si="326"/>
        <v>21381120</v>
      </c>
    </row>
    <row r="1705" spans="2:84">
      <c r="B1705" s="839" t="s">
        <v>98</v>
      </c>
      <c r="C1705" s="839" t="s">
        <v>5697</v>
      </c>
      <c r="D1705" s="839" t="s">
        <v>5754</v>
      </c>
      <c r="E1705" s="839" t="s">
        <v>5754</v>
      </c>
      <c r="F1705" s="841">
        <v>45805</v>
      </c>
      <c r="G1705" s="839" t="s">
        <v>5697</v>
      </c>
      <c r="H1705" s="883" t="s">
        <v>3457</v>
      </c>
      <c r="I1705" s="883"/>
      <c r="J1705" s="841"/>
      <c r="K1705" s="841"/>
      <c r="L1705" s="843" t="s">
        <v>5257</v>
      </c>
      <c r="M1705" s="844" t="s">
        <v>107</v>
      </c>
      <c r="N1705" s="841"/>
      <c r="O1705" s="884" t="s">
        <v>108</v>
      </c>
      <c r="P1705" s="842" t="s">
        <v>4990</v>
      </c>
      <c r="Q1705" s="843"/>
      <c r="R1705" s="845" t="s">
        <v>5763</v>
      </c>
      <c r="S1705" s="1127" t="s">
        <v>5764</v>
      </c>
      <c r="T1705" s="885" t="s">
        <v>5765</v>
      </c>
      <c r="U1705" s="886">
        <v>1</v>
      </c>
      <c r="V1705" s="842" t="s">
        <v>3</v>
      </c>
      <c r="W1705" s="846">
        <v>690</v>
      </c>
      <c r="X1705" s="847">
        <f t="shared" si="327"/>
        <v>690</v>
      </c>
      <c r="Y1705" s="853" t="s">
        <v>5703</v>
      </c>
      <c r="Z1705" s="849">
        <v>360.18</v>
      </c>
      <c r="AA1705" s="849"/>
      <c r="AB1705" s="849">
        <f t="shared" si="316"/>
        <v>360.18</v>
      </c>
      <c r="AC1705" s="850">
        <f t="shared" si="317"/>
        <v>360.18</v>
      </c>
      <c r="AD1705" s="851">
        <f t="shared" si="325"/>
        <v>32000</v>
      </c>
      <c r="AE1705" s="852">
        <v>30081.54</v>
      </c>
      <c r="AF1705" s="865">
        <v>0.25</v>
      </c>
      <c r="AG1705" s="854">
        <f t="shared" si="318"/>
        <v>2727697.7514134166</v>
      </c>
      <c r="AH1705" s="853">
        <v>0.08</v>
      </c>
      <c r="AI1705" s="855">
        <f t="shared" si="319"/>
        <v>1084997.3462890733</v>
      </c>
      <c r="AJ1705" s="845" t="s">
        <v>5704</v>
      </c>
      <c r="AK1705" s="857">
        <v>45898</v>
      </c>
      <c r="AL1705" s="843" t="s">
        <v>5705</v>
      </c>
      <c r="AM1705" s="843" t="s">
        <v>5641</v>
      </c>
      <c r="AN1705" s="844" t="s">
        <v>5642</v>
      </c>
      <c r="AO1705" s="844" t="s">
        <v>141</v>
      </c>
      <c r="AP1705" s="841"/>
      <c r="AQ1705" s="841">
        <v>45906</v>
      </c>
      <c r="AR1705" s="841">
        <v>45958</v>
      </c>
      <c r="AS1705" s="842" t="s">
        <v>1284</v>
      </c>
      <c r="AT1705" s="842" t="s">
        <v>1235</v>
      </c>
      <c r="AU1705" s="842" t="s">
        <v>4595</v>
      </c>
      <c r="AV1705" s="843" t="s">
        <v>5718</v>
      </c>
      <c r="AW1705" s="861">
        <v>45961</v>
      </c>
      <c r="AX1705" s="862">
        <v>45965</v>
      </c>
      <c r="AY1705" s="843" t="s">
        <v>5766</v>
      </c>
      <c r="AZ1705" s="842" t="s">
        <v>4798</v>
      </c>
      <c r="BA1705" s="842" t="s">
        <v>120</v>
      </c>
      <c r="BB1705" s="863" t="s">
        <v>121</v>
      </c>
      <c r="BC1705" s="864">
        <v>45967</v>
      </c>
      <c r="BD1705" s="860" t="s">
        <v>5708</v>
      </c>
      <c r="BE1705" s="865" cm="1">
        <f t="array" ref="BE1705">IF(BD1705="","",AC1705/SUMPRODUCT(--(BD1705=$BD$4:$BD$12824),$AC$4:$AC$12824))</f>
        <v>1.5427861661022745E-3</v>
      </c>
      <c r="BF1705" s="458"/>
      <c r="BG1705" s="458"/>
      <c r="BH1705" s="458"/>
      <c r="BI1705" s="458"/>
      <c r="BJ1705" s="458"/>
      <c r="BK1705" s="458"/>
      <c r="BL1705" s="458"/>
      <c r="BM1705" s="458"/>
      <c r="BN1705" s="458"/>
      <c r="BO1705" s="866">
        <f>VLOOKUP(BD1705,$BD$4:$BN$12824,3,0)*BE1705</f>
        <v>65282.60937929005</v>
      </c>
      <c r="BP1705" s="866"/>
      <c r="BQ1705" s="866"/>
      <c r="BR1705" s="866">
        <f>VLOOKUP(BD1705,$BD$4:$BN$12824,6,0)*BE1705</f>
        <v>12316.144817325599</v>
      </c>
      <c r="BS1705" s="866">
        <f>VLOOKUP(BD1705,$BD$4:$BN$12824,7,0)*BE1705</f>
        <v>10739.31907437627</v>
      </c>
      <c r="BT1705" s="866"/>
      <c r="BU1705" s="866">
        <f>VLOOKUP(BD1705,$BD$4:$BN$12824,9,0)*BE1705</f>
        <v>863.96025301727377</v>
      </c>
      <c r="BV1705" s="867"/>
      <c r="BW1705" s="867">
        <f>VLOOKUP(BD1705,$BD$4:$BN$12824,11,0)*BE1705</f>
        <v>7745.3579561171591</v>
      </c>
      <c r="BX1705" s="1146">
        <f t="shared" si="320"/>
        <v>96947.39148012636</v>
      </c>
      <c r="BY1705" s="867">
        <f t="shared" si="322"/>
        <v>13659414.220093543</v>
      </c>
      <c r="BZ1705" s="867">
        <f t="shared" si="321"/>
        <v>13659414.220093543</v>
      </c>
      <c r="CA1705" s="867">
        <f>_xlfn.MAXIFS($BY$4:$BY$12824,$S$4:$S$12824,$S1705)</f>
        <v>13659414.220093543</v>
      </c>
      <c r="CB1705" s="1032"/>
      <c r="CF1705" s="946">
        <f t="shared" si="326"/>
        <v>11525760</v>
      </c>
    </row>
    <row r="1706" spans="2:84">
      <c r="B1706" s="839" t="s">
        <v>98</v>
      </c>
      <c r="C1706" s="839" t="s">
        <v>5697</v>
      </c>
      <c r="D1706" s="839" t="s">
        <v>5754</v>
      </c>
      <c r="E1706" s="839" t="s">
        <v>5754</v>
      </c>
      <c r="F1706" s="841">
        <v>45805</v>
      </c>
      <c r="G1706" s="839" t="s">
        <v>5697</v>
      </c>
      <c r="H1706" s="883" t="s">
        <v>3457</v>
      </c>
      <c r="I1706" s="883"/>
      <c r="J1706" s="841"/>
      <c r="K1706" s="841"/>
      <c r="L1706" s="843" t="s">
        <v>5257</v>
      </c>
      <c r="M1706" s="844" t="s">
        <v>107</v>
      </c>
      <c r="N1706" s="841"/>
      <c r="O1706" s="884" t="s">
        <v>108</v>
      </c>
      <c r="P1706" s="842" t="s">
        <v>4990</v>
      </c>
      <c r="Q1706" s="843"/>
      <c r="R1706" s="845" t="s">
        <v>5767</v>
      </c>
      <c r="S1706" s="1127" t="s">
        <v>5768</v>
      </c>
      <c r="T1706" s="885" t="s">
        <v>5769</v>
      </c>
      <c r="U1706" s="886">
        <v>1</v>
      </c>
      <c r="V1706" s="842" t="s">
        <v>3</v>
      </c>
      <c r="W1706" s="846">
        <v>1190</v>
      </c>
      <c r="X1706" s="847">
        <f t="shared" si="327"/>
        <v>1190</v>
      </c>
      <c r="Y1706" s="853" t="s">
        <v>5703</v>
      </c>
      <c r="Z1706" s="849">
        <v>621.17999999999995</v>
      </c>
      <c r="AA1706" s="849"/>
      <c r="AB1706" s="849">
        <f t="shared" si="316"/>
        <v>621.17999999999995</v>
      </c>
      <c r="AC1706" s="850">
        <f t="shared" si="317"/>
        <v>621.17999999999995</v>
      </c>
      <c r="AD1706" s="851">
        <f t="shared" si="325"/>
        <v>32000</v>
      </c>
      <c r="AE1706" s="852">
        <v>30081.54</v>
      </c>
      <c r="AF1706" s="865">
        <v>0.25</v>
      </c>
      <c r="AG1706" s="854">
        <f t="shared" si="318"/>
        <v>4704290.3249013992</v>
      </c>
      <c r="AH1706" s="853">
        <v>0.08</v>
      </c>
      <c r="AI1706" s="855">
        <f t="shared" si="319"/>
        <v>1871227.307368112</v>
      </c>
      <c r="AJ1706" s="845" t="s">
        <v>5704</v>
      </c>
      <c r="AK1706" s="857">
        <v>45898</v>
      </c>
      <c r="AL1706" s="843" t="s">
        <v>5705</v>
      </c>
      <c r="AM1706" s="843" t="s">
        <v>5641</v>
      </c>
      <c r="AN1706" s="844" t="s">
        <v>5642</v>
      </c>
      <c r="AO1706" s="844" t="s">
        <v>141</v>
      </c>
      <c r="AP1706" s="841"/>
      <c r="AQ1706" s="841">
        <v>45906</v>
      </c>
      <c r="AR1706" s="841">
        <v>45958</v>
      </c>
      <c r="AS1706" s="842" t="s">
        <v>1284</v>
      </c>
      <c r="AT1706" s="842" t="s">
        <v>1235</v>
      </c>
      <c r="AU1706" s="842" t="s">
        <v>4595</v>
      </c>
      <c r="AV1706" s="843" t="s">
        <v>5718</v>
      </c>
      <c r="AW1706" s="861">
        <v>45961</v>
      </c>
      <c r="AX1706" s="862">
        <v>45965</v>
      </c>
      <c r="AY1706" s="843" t="s">
        <v>5770</v>
      </c>
      <c r="AZ1706" s="842" t="s">
        <v>4798</v>
      </c>
      <c r="BA1706" s="842" t="s">
        <v>120</v>
      </c>
      <c r="BB1706" s="863" t="s">
        <v>121</v>
      </c>
      <c r="BC1706" s="864">
        <v>45967</v>
      </c>
      <c r="BD1706" s="860" t="s">
        <v>5708</v>
      </c>
      <c r="BE1706" s="865" cm="1">
        <f t="array" ref="BE1706">IF(BD1706="","",AC1706/SUMPRODUCT(--(BD1706=$BD$4:$BD$12824),$AC$4:$AC$12824))</f>
        <v>2.6607471560314588E-3</v>
      </c>
      <c r="BF1706" s="458"/>
      <c r="BG1706" s="458"/>
      <c r="BH1706" s="458"/>
      <c r="BI1706" s="458"/>
      <c r="BJ1706" s="458"/>
      <c r="BK1706" s="458"/>
      <c r="BL1706" s="458"/>
      <c r="BM1706" s="458"/>
      <c r="BN1706" s="458"/>
      <c r="BO1706" s="866">
        <f>VLOOKUP(BD1706,$BD$4:$BN$12824,3,0)*BE1706</f>
        <v>112588.84805993502</v>
      </c>
      <c r="BP1706" s="866"/>
      <c r="BQ1706" s="866"/>
      <c r="BR1706" s="866">
        <f>VLOOKUP(BD1706,$BD$4:$BN$12824,6,0)*BE1706</f>
        <v>21240.887438576032</v>
      </c>
      <c r="BS1706" s="866">
        <f>VLOOKUP(BD1706,$BD$4:$BN$12824,7,0)*BE1706</f>
        <v>18521.434345663423</v>
      </c>
      <c r="BT1706" s="866"/>
      <c r="BU1706" s="866">
        <f>VLOOKUP(BD1706,$BD$4:$BN$12824,9,0)*BE1706</f>
        <v>1490.018407377617</v>
      </c>
      <c r="BV1706" s="867"/>
      <c r="BW1706" s="867">
        <f>VLOOKUP(BD1706,$BD$4:$BN$12824,11,0)*BE1706</f>
        <v>13357.936185187564</v>
      </c>
      <c r="BX1706" s="1146">
        <f t="shared" si="320"/>
        <v>167199.12443673966</v>
      </c>
      <c r="BY1706" s="867">
        <f t="shared" si="322"/>
        <v>23557540.466538139</v>
      </c>
      <c r="BZ1706" s="867">
        <f t="shared" si="321"/>
        <v>23557540.466538139</v>
      </c>
      <c r="CA1706" s="867">
        <f>_xlfn.MAXIFS($BY$4:$BY$12824,$S$4:$S$12824,$S1706)</f>
        <v>23557540.466538139</v>
      </c>
      <c r="CB1706" s="1032"/>
      <c r="CF1706" s="946">
        <f t="shared" si="326"/>
        <v>19877760</v>
      </c>
    </row>
    <row r="1707" spans="2:84">
      <c r="B1707" s="839" t="s">
        <v>98</v>
      </c>
      <c r="C1707" s="839" t="s">
        <v>5697</v>
      </c>
      <c r="D1707" s="839" t="s">
        <v>5754</v>
      </c>
      <c r="E1707" s="839" t="s">
        <v>5754</v>
      </c>
      <c r="F1707" s="841">
        <v>45805</v>
      </c>
      <c r="G1707" s="839" t="s">
        <v>5697</v>
      </c>
      <c r="H1707" s="883" t="s">
        <v>3457</v>
      </c>
      <c r="I1707" s="883"/>
      <c r="J1707" s="841"/>
      <c r="K1707" s="841"/>
      <c r="L1707" s="843" t="s">
        <v>5257</v>
      </c>
      <c r="M1707" s="844" t="s">
        <v>107</v>
      </c>
      <c r="N1707" s="841"/>
      <c r="O1707" s="884" t="s">
        <v>108</v>
      </c>
      <c r="P1707" s="842" t="s">
        <v>4619</v>
      </c>
      <c r="Q1707" s="843"/>
      <c r="R1707" s="845" t="s">
        <v>5771</v>
      </c>
      <c r="S1707" s="1127" t="s">
        <v>5772</v>
      </c>
      <c r="T1707" s="885" t="s">
        <v>5773</v>
      </c>
      <c r="U1707" s="886">
        <v>1</v>
      </c>
      <c r="V1707" s="842" t="s">
        <v>3</v>
      </c>
      <c r="W1707" s="846">
        <v>420</v>
      </c>
      <c r="X1707" s="847">
        <f t="shared" si="327"/>
        <v>420</v>
      </c>
      <c r="Y1707" s="853" t="s">
        <v>5703</v>
      </c>
      <c r="Z1707" s="849">
        <v>219.24</v>
      </c>
      <c r="AA1707" s="849"/>
      <c r="AB1707" s="849">
        <f t="shared" si="316"/>
        <v>219.24</v>
      </c>
      <c r="AC1707" s="850">
        <f t="shared" si="317"/>
        <v>219.24</v>
      </c>
      <c r="AD1707" s="851">
        <f t="shared" si="325"/>
        <v>32000</v>
      </c>
      <c r="AE1707" s="852">
        <v>30081.54</v>
      </c>
      <c r="AF1707" s="865">
        <v>0.2</v>
      </c>
      <c r="AG1707" s="854">
        <f t="shared" si="318"/>
        <v>1328270.2093839247</v>
      </c>
      <c r="AH1707" s="853">
        <v>0.08</v>
      </c>
      <c r="AI1707" s="855">
        <f t="shared" si="319"/>
        <v>633867.76311871398</v>
      </c>
      <c r="AJ1707" s="845" t="s">
        <v>5704</v>
      </c>
      <c r="AK1707" s="857">
        <v>45898</v>
      </c>
      <c r="AL1707" s="843" t="s">
        <v>5705</v>
      </c>
      <c r="AM1707" s="843" t="s">
        <v>5641</v>
      </c>
      <c r="AN1707" s="844" t="s">
        <v>5642</v>
      </c>
      <c r="AO1707" s="844" t="s">
        <v>141</v>
      </c>
      <c r="AP1707" s="841"/>
      <c r="AQ1707" s="841">
        <v>45906</v>
      </c>
      <c r="AR1707" s="841">
        <v>45958</v>
      </c>
      <c r="AS1707" s="842" t="s">
        <v>1284</v>
      </c>
      <c r="AT1707" s="842" t="s">
        <v>1235</v>
      </c>
      <c r="AU1707" s="842" t="s">
        <v>4595</v>
      </c>
      <c r="AV1707" s="843" t="s">
        <v>5718</v>
      </c>
      <c r="AW1707" s="861">
        <v>45961</v>
      </c>
      <c r="AX1707" s="862">
        <v>45965</v>
      </c>
      <c r="AY1707" s="843" t="s">
        <v>5774</v>
      </c>
      <c r="AZ1707" s="842" t="s">
        <v>5472</v>
      </c>
      <c r="BA1707" s="842" t="s">
        <v>120</v>
      </c>
      <c r="BB1707" s="863" t="s">
        <v>121</v>
      </c>
      <c r="BC1707" s="864">
        <v>45967</v>
      </c>
      <c r="BD1707" s="860" t="s">
        <v>5708</v>
      </c>
      <c r="BE1707" s="865" cm="1">
        <f t="array" ref="BE1707">IF(BD1707="","",AC1707/SUMPRODUCT(--(BD1707=$BD$4:$BD$12824),$AC$4:$AC$12824))</f>
        <v>9.3908723154051497E-4</v>
      </c>
      <c r="BF1707" s="458"/>
      <c r="BG1707" s="458"/>
      <c r="BH1707" s="458"/>
      <c r="BI1707" s="458"/>
      <c r="BJ1707" s="458"/>
      <c r="BK1707" s="458"/>
      <c r="BL1707" s="458"/>
      <c r="BM1707" s="458"/>
      <c r="BN1707" s="458"/>
      <c r="BO1707" s="866">
        <f>VLOOKUP(BD1707,$BD$4:$BN$12824,3,0)*BE1707</f>
        <v>39737.240491741773</v>
      </c>
      <c r="BP1707" s="866"/>
      <c r="BQ1707" s="866"/>
      <c r="BR1707" s="866">
        <f>VLOOKUP(BD1707,$BD$4:$BN$12824,6,0)*BE1707</f>
        <v>7496.7838018503653</v>
      </c>
      <c r="BS1707" s="866">
        <f>VLOOKUP(BD1707,$BD$4:$BN$12824,7,0)*BE1707</f>
        <v>6536.976827881208</v>
      </c>
      <c r="BT1707" s="866"/>
      <c r="BU1707" s="866">
        <f>VLOOKUP(BD1707,$BD$4:$BN$12824,9,0)*BE1707</f>
        <v>525.88884966268836</v>
      </c>
      <c r="BV1707" s="867"/>
      <c r="BW1707" s="867">
        <f>VLOOKUP(BD1707,$BD$4:$BN$12824,11,0)*BE1707</f>
        <v>4714.5657124191412</v>
      </c>
      <c r="BX1707" s="1146">
        <f t="shared" si="320"/>
        <v>59011.455683555185</v>
      </c>
      <c r="BY1707" s="867">
        <f t="shared" si="322"/>
        <v>7982358.4946674807</v>
      </c>
      <c r="BZ1707" s="867">
        <f t="shared" si="321"/>
        <v>7982358.4946674807</v>
      </c>
      <c r="CA1707" s="867">
        <f>_xlfn.MAXIFS($BY$4:$BY$12824,$S$4:$S$12824,$S1707)</f>
        <v>7982358.4946674807</v>
      </c>
      <c r="CB1707" s="1032"/>
      <c r="CF1707" s="946">
        <f t="shared" si="326"/>
        <v>7015680</v>
      </c>
    </row>
    <row r="1708" spans="2:84">
      <c r="B1708" s="839" t="s">
        <v>98</v>
      </c>
      <c r="C1708" s="839" t="s">
        <v>5697</v>
      </c>
      <c r="D1708" s="839" t="s">
        <v>5754</v>
      </c>
      <c r="E1708" s="839" t="s">
        <v>5754</v>
      </c>
      <c r="F1708" s="841">
        <v>45805</v>
      </c>
      <c r="G1708" s="839" t="s">
        <v>5697</v>
      </c>
      <c r="H1708" s="883" t="s">
        <v>3457</v>
      </c>
      <c r="I1708" s="883"/>
      <c r="J1708" s="841"/>
      <c r="K1708" s="841"/>
      <c r="L1708" s="843" t="s">
        <v>5257</v>
      </c>
      <c r="M1708" s="844" t="s">
        <v>107</v>
      </c>
      <c r="N1708" s="841"/>
      <c r="O1708" s="884" t="s">
        <v>108</v>
      </c>
      <c r="P1708" s="842" t="s">
        <v>4619</v>
      </c>
      <c r="Q1708" s="843"/>
      <c r="R1708" s="845" t="s">
        <v>5775</v>
      </c>
      <c r="S1708" s="1127" t="s">
        <v>5776</v>
      </c>
      <c r="T1708" s="885" t="s">
        <v>5777</v>
      </c>
      <c r="U1708" s="886">
        <v>1</v>
      </c>
      <c r="V1708" s="842" t="s">
        <v>3</v>
      </c>
      <c r="W1708" s="846">
        <v>790</v>
      </c>
      <c r="X1708" s="847">
        <f t="shared" si="327"/>
        <v>790</v>
      </c>
      <c r="Y1708" s="853" t="s">
        <v>5703</v>
      </c>
      <c r="Z1708" s="849">
        <v>412.38</v>
      </c>
      <c r="AA1708" s="849"/>
      <c r="AB1708" s="849">
        <f t="shared" si="316"/>
        <v>412.38</v>
      </c>
      <c r="AC1708" s="850">
        <f t="shared" si="317"/>
        <v>412.38</v>
      </c>
      <c r="AD1708" s="851">
        <f t="shared" si="325"/>
        <v>32000</v>
      </c>
      <c r="AE1708" s="852">
        <v>30081.54</v>
      </c>
      <c r="AF1708" s="865">
        <v>0.05</v>
      </c>
      <c r="AG1708" s="854">
        <f t="shared" si="318"/>
        <v>624603.25322220265</v>
      </c>
      <c r="AH1708" s="853">
        <v>0.08</v>
      </c>
      <c r="AI1708" s="855">
        <f t="shared" si="319"/>
        <v>1042370.2974737763</v>
      </c>
      <c r="AJ1708" s="845" t="s">
        <v>5704</v>
      </c>
      <c r="AK1708" s="857">
        <v>45898</v>
      </c>
      <c r="AL1708" s="843" t="s">
        <v>5705</v>
      </c>
      <c r="AM1708" s="843" t="s">
        <v>5641</v>
      </c>
      <c r="AN1708" s="844" t="s">
        <v>5642</v>
      </c>
      <c r="AO1708" s="844" t="s">
        <v>141</v>
      </c>
      <c r="AP1708" s="841"/>
      <c r="AQ1708" s="841">
        <v>45906</v>
      </c>
      <c r="AR1708" s="841">
        <v>45958</v>
      </c>
      <c r="AS1708" s="842" t="s">
        <v>1284</v>
      </c>
      <c r="AT1708" s="842" t="s">
        <v>1235</v>
      </c>
      <c r="AU1708" s="842" t="s">
        <v>4595</v>
      </c>
      <c r="AV1708" s="843" t="s">
        <v>5718</v>
      </c>
      <c r="AW1708" s="861">
        <v>45961</v>
      </c>
      <c r="AX1708" s="862">
        <v>45965</v>
      </c>
      <c r="AY1708" s="843" t="s">
        <v>5778</v>
      </c>
      <c r="AZ1708" s="842" t="s">
        <v>1295</v>
      </c>
      <c r="BA1708" s="842" t="s">
        <v>120</v>
      </c>
      <c r="BB1708" s="863" t="s">
        <v>121</v>
      </c>
      <c r="BC1708" s="864">
        <v>45967</v>
      </c>
      <c r="BD1708" s="860" t="s">
        <v>5708</v>
      </c>
      <c r="BE1708" s="865" cm="1">
        <f t="array" ref="BE1708">IF(BD1708="","",AC1708/SUMPRODUCT(--(BD1708=$BD$4:$BD$12824),$AC$4:$AC$12824))</f>
        <v>1.7663783640881113E-3</v>
      </c>
      <c r="BF1708" s="458"/>
      <c r="BG1708" s="458"/>
      <c r="BH1708" s="458"/>
      <c r="BI1708" s="458"/>
      <c r="BJ1708" s="458"/>
      <c r="BK1708" s="458"/>
      <c r="BL1708" s="458"/>
      <c r="BM1708" s="458"/>
      <c r="BN1708" s="458"/>
      <c r="BO1708" s="866">
        <f>VLOOKUP(BD1708,$BD$4:$BN$12824,3,0)*BE1708</f>
        <v>74743.857115419043</v>
      </c>
      <c r="BP1708" s="866"/>
      <c r="BQ1708" s="866"/>
      <c r="BR1708" s="866">
        <f>VLOOKUP(BD1708,$BD$4:$BN$12824,6,0)*BE1708</f>
        <v>14101.093341575686</v>
      </c>
      <c r="BS1708" s="866">
        <f>VLOOKUP(BD1708,$BD$4:$BN$12824,7,0)*BE1708</f>
        <v>12295.742128633701</v>
      </c>
      <c r="BT1708" s="866"/>
      <c r="BU1708" s="866">
        <f>VLOOKUP(BD1708,$BD$4:$BN$12824,9,0)*BE1708</f>
        <v>989.17188388934233</v>
      </c>
      <c r="BV1708" s="867"/>
      <c r="BW1708" s="867">
        <f>VLOOKUP(BD1708,$BD$4:$BN$12824,11,0)*BE1708</f>
        <v>8867.87360193124</v>
      </c>
      <c r="BX1708" s="1146">
        <f t="shared" si="320"/>
        <v>110997.73807144901</v>
      </c>
      <c r="BY1708" s="867">
        <f t="shared" si="322"/>
        <v>13140626.456493651</v>
      </c>
      <c r="BZ1708" s="867">
        <f t="shared" si="321"/>
        <v>13140626.456493651</v>
      </c>
      <c r="CA1708" s="867">
        <f>_xlfn.MAXIFS($BY$4:$BY$12824,$S$4:$S$12824,$S1708)</f>
        <v>13140626.456493651</v>
      </c>
      <c r="CB1708" s="1032"/>
      <c r="CF1708" s="946">
        <f t="shared" si="326"/>
        <v>13196160</v>
      </c>
    </row>
    <row r="1709" spans="2:84">
      <c r="B1709" s="839" t="s">
        <v>98</v>
      </c>
      <c r="C1709" s="839" t="s">
        <v>5697</v>
      </c>
      <c r="D1709" s="839" t="s">
        <v>5754</v>
      </c>
      <c r="E1709" s="839" t="s">
        <v>5754</v>
      </c>
      <c r="F1709" s="841">
        <v>45805</v>
      </c>
      <c r="G1709" s="839" t="s">
        <v>5697</v>
      </c>
      <c r="H1709" s="883" t="s">
        <v>3457</v>
      </c>
      <c r="I1709" s="883"/>
      <c r="J1709" s="841"/>
      <c r="K1709" s="841"/>
      <c r="L1709" s="843" t="s">
        <v>5257</v>
      </c>
      <c r="M1709" s="844" t="s">
        <v>107</v>
      </c>
      <c r="N1709" s="841"/>
      <c r="O1709" s="884" t="s">
        <v>108</v>
      </c>
      <c r="P1709" s="842" t="s">
        <v>269</v>
      </c>
      <c r="Q1709" s="843"/>
      <c r="R1709" s="845" t="s">
        <v>5779</v>
      </c>
      <c r="S1709" s="1127" t="s">
        <v>5780</v>
      </c>
      <c r="T1709" s="885" t="s">
        <v>5781</v>
      </c>
      <c r="U1709" s="886">
        <v>1</v>
      </c>
      <c r="V1709" s="842" t="s">
        <v>3</v>
      </c>
      <c r="W1709" s="846">
        <v>625</v>
      </c>
      <c r="X1709" s="847">
        <f t="shared" si="327"/>
        <v>625</v>
      </c>
      <c r="Y1709" s="853" t="s">
        <v>5703</v>
      </c>
      <c r="Z1709" s="849">
        <v>326.25</v>
      </c>
      <c r="AA1709" s="849"/>
      <c r="AB1709" s="849">
        <f t="shared" si="316"/>
        <v>326.25</v>
      </c>
      <c r="AC1709" s="850">
        <f t="shared" si="317"/>
        <v>326.25</v>
      </c>
      <c r="AD1709" s="851">
        <f t="shared" si="325"/>
        <v>32000</v>
      </c>
      <c r="AE1709" s="852">
        <v>30081.54</v>
      </c>
      <c r="AF1709" s="865">
        <v>0.25</v>
      </c>
      <c r="AG1709" s="854">
        <f t="shared" si="318"/>
        <v>2470740.7168599786</v>
      </c>
      <c r="AH1709" s="853">
        <v>0.08</v>
      </c>
      <c r="AI1709" s="855">
        <f t="shared" si="319"/>
        <v>982787.45134879835</v>
      </c>
      <c r="AJ1709" s="845" t="s">
        <v>5704</v>
      </c>
      <c r="AK1709" s="857">
        <v>45898</v>
      </c>
      <c r="AL1709" s="843" t="s">
        <v>5705</v>
      </c>
      <c r="AM1709" s="843" t="s">
        <v>5641</v>
      </c>
      <c r="AN1709" s="844" t="s">
        <v>5642</v>
      </c>
      <c r="AO1709" s="844" t="s">
        <v>141</v>
      </c>
      <c r="AP1709" s="841"/>
      <c r="AQ1709" s="841">
        <v>45906</v>
      </c>
      <c r="AR1709" s="841">
        <v>45958</v>
      </c>
      <c r="AS1709" s="842" t="s">
        <v>1284</v>
      </c>
      <c r="AT1709" s="842" t="s">
        <v>1235</v>
      </c>
      <c r="AU1709" s="842" t="s">
        <v>4595</v>
      </c>
      <c r="AV1709" s="843" t="s">
        <v>5718</v>
      </c>
      <c r="AW1709" s="861">
        <v>45961</v>
      </c>
      <c r="AX1709" s="862">
        <v>45965</v>
      </c>
      <c r="AY1709" s="843" t="s">
        <v>5782</v>
      </c>
      <c r="AZ1709" s="842" t="s">
        <v>4798</v>
      </c>
      <c r="BA1709" s="842" t="s">
        <v>120</v>
      </c>
      <c r="BB1709" s="863" t="s">
        <v>121</v>
      </c>
      <c r="BC1709" s="864">
        <v>45967</v>
      </c>
      <c r="BD1709" s="860" t="s">
        <v>5708</v>
      </c>
      <c r="BE1709" s="865" cm="1">
        <f t="array" ref="BE1709">IF(BD1709="","",AC1709/SUMPRODUCT(--(BD1709=$BD$4:$BD$12824),$AC$4:$AC$12824))</f>
        <v>1.3974512374114805E-3</v>
      </c>
      <c r="BF1709" s="458"/>
      <c r="BG1709" s="458"/>
      <c r="BH1709" s="458"/>
      <c r="BI1709" s="458"/>
      <c r="BJ1709" s="458"/>
      <c r="BK1709" s="458"/>
      <c r="BL1709" s="458"/>
      <c r="BM1709" s="458"/>
      <c r="BN1709" s="458"/>
      <c r="BO1709" s="866">
        <f>VLOOKUP(BD1709,$BD$4:$BN$12824,3,0)*BE1709</f>
        <v>59132.79835080621</v>
      </c>
      <c r="BP1709" s="866"/>
      <c r="BQ1709" s="866"/>
      <c r="BR1709" s="866">
        <f>VLOOKUP(BD1709,$BD$4:$BN$12824,6,0)*BE1709</f>
        <v>11155.928276563043</v>
      </c>
      <c r="BS1709" s="866">
        <f>VLOOKUP(BD1709,$BD$4:$BN$12824,7,0)*BE1709</f>
        <v>9727.6440891089405</v>
      </c>
      <c r="BT1709" s="866"/>
      <c r="BU1709" s="866">
        <f>VLOOKUP(BD1709,$BD$4:$BN$12824,9,0)*BE1709</f>
        <v>782.57269295042909</v>
      </c>
      <c r="BV1709" s="867"/>
      <c r="BW1709" s="867">
        <f>VLOOKUP(BD1709,$BD$4:$BN$12824,11,0)*BE1709</f>
        <v>7015.7227863380067</v>
      </c>
      <c r="BX1709" s="1146">
        <f t="shared" si="320"/>
        <v>87814.666195766637</v>
      </c>
      <c r="BY1709" s="867">
        <f t="shared" si="322"/>
        <v>12372657.808055745</v>
      </c>
      <c r="BZ1709" s="867">
        <f t="shared" si="321"/>
        <v>12372657.808055745</v>
      </c>
      <c r="CA1709" s="867">
        <f>_xlfn.MAXIFS($BY$4:$BY$12824,$S$4:$S$12824,$S1709)</f>
        <v>12372657.808055745</v>
      </c>
      <c r="CB1709" s="1032"/>
      <c r="CF1709" s="946">
        <f t="shared" si="326"/>
        <v>10440000</v>
      </c>
    </row>
    <row r="1710" spans="2:84">
      <c r="B1710" s="839" t="s">
        <v>98</v>
      </c>
      <c r="C1710" s="839" t="s">
        <v>5697</v>
      </c>
      <c r="D1710" s="839" t="s">
        <v>5754</v>
      </c>
      <c r="E1710" s="839" t="s">
        <v>5754</v>
      </c>
      <c r="F1710" s="841">
        <v>45805</v>
      </c>
      <c r="G1710" s="839" t="s">
        <v>5697</v>
      </c>
      <c r="H1710" s="883" t="s">
        <v>3457</v>
      </c>
      <c r="I1710" s="883"/>
      <c r="J1710" s="841"/>
      <c r="K1710" s="841"/>
      <c r="L1710" s="843" t="s">
        <v>5257</v>
      </c>
      <c r="M1710" s="844" t="s">
        <v>107</v>
      </c>
      <c r="N1710" s="841"/>
      <c r="O1710" s="884" t="s">
        <v>108</v>
      </c>
      <c r="P1710" s="842" t="s">
        <v>269</v>
      </c>
      <c r="Q1710" s="843"/>
      <c r="R1710" s="845" t="s">
        <v>5783</v>
      </c>
      <c r="S1710" s="1127" t="s">
        <v>5784</v>
      </c>
      <c r="T1710" s="885" t="s">
        <v>5785</v>
      </c>
      <c r="U1710" s="886">
        <v>1</v>
      </c>
      <c r="V1710" s="842" t="s">
        <v>3</v>
      </c>
      <c r="W1710" s="846">
        <v>680</v>
      </c>
      <c r="X1710" s="847">
        <f t="shared" si="327"/>
        <v>680</v>
      </c>
      <c r="Y1710" s="853" t="s">
        <v>5703</v>
      </c>
      <c r="Z1710" s="849">
        <v>354.96</v>
      </c>
      <c r="AA1710" s="849"/>
      <c r="AB1710" s="849">
        <f t="shared" si="316"/>
        <v>354.96</v>
      </c>
      <c r="AC1710" s="850">
        <f t="shared" si="317"/>
        <v>354.96</v>
      </c>
      <c r="AD1710" s="851">
        <f t="shared" si="325"/>
        <v>32000</v>
      </c>
      <c r="AE1710" s="852">
        <v>30081.54</v>
      </c>
      <c r="AF1710" s="865">
        <v>0.25</v>
      </c>
      <c r="AG1710" s="854">
        <f t="shared" si="318"/>
        <v>2688165.8999436572</v>
      </c>
      <c r="AH1710" s="853">
        <v>0.08</v>
      </c>
      <c r="AI1710" s="855">
        <f t="shared" si="319"/>
        <v>1069272.7470674927</v>
      </c>
      <c r="AJ1710" s="845" t="s">
        <v>5704</v>
      </c>
      <c r="AK1710" s="857">
        <v>45898</v>
      </c>
      <c r="AL1710" s="843" t="s">
        <v>5705</v>
      </c>
      <c r="AM1710" s="843" t="s">
        <v>5641</v>
      </c>
      <c r="AN1710" s="844" t="s">
        <v>5642</v>
      </c>
      <c r="AO1710" s="844" t="s">
        <v>141</v>
      </c>
      <c r="AP1710" s="841"/>
      <c r="AQ1710" s="841">
        <v>45906</v>
      </c>
      <c r="AR1710" s="841">
        <v>45958</v>
      </c>
      <c r="AS1710" s="842" t="s">
        <v>1284</v>
      </c>
      <c r="AT1710" s="842" t="s">
        <v>1235</v>
      </c>
      <c r="AU1710" s="842" t="s">
        <v>4595</v>
      </c>
      <c r="AV1710" s="843" t="s">
        <v>5718</v>
      </c>
      <c r="AW1710" s="861">
        <v>45961</v>
      </c>
      <c r="AX1710" s="862">
        <v>45965</v>
      </c>
      <c r="AY1710" s="843" t="s">
        <v>5786</v>
      </c>
      <c r="AZ1710" s="842" t="s">
        <v>4798</v>
      </c>
      <c r="BA1710" s="842" t="s">
        <v>120</v>
      </c>
      <c r="BB1710" s="863" t="s">
        <v>121</v>
      </c>
      <c r="BC1710" s="864">
        <v>45967</v>
      </c>
      <c r="BD1710" s="860" t="s">
        <v>5708</v>
      </c>
      <c r="BE1710" s="865" cm="1">
        <f t="array" ref="BE1710">IF(BD1710="","",AC1710/SUMPRODUCT(--(BD1710=$BD$4:$BD$12824),$AC$4:$AC$12824))</f>
        <v>1.5204269463036906E-3</v>
      </c>
      <c r="BF1710" s="458"/>
      <c r="BG1710" s="458"/>
      <c r="BH1710" s="458"/>
      <c r="BI1710" s="458"/>
      <c r="BJ1710" s="458"/>
      <c r="BK1710" s="458"/>
      <c r="BL1710" s="458"/>
      <c r="BM1710" s="458"/>
      <c r="BN1710" s="458"/>
      <c r="BO1710" s="866">
        <f>VLOOKUP(BD1710,$BD$4:$BN$12824,3,0)*BE1710</f>
        <v>64336.484605677149</v>
      </c>
      <c r="BP1710" s="866"/>
      <c r="BQ1710" s="866"/>
      <c r="BR1710" s="866">
        <f>VLOOKUP(BD1710,$BD$4:$BN$12824,6,0)*BE1710</f>
        <v>12137.649964900589</v>
      </c>
      <c r="BS1710" s="866">
        <f>VLOOKUP(BD1710,$BD$4:$BN$12824,7,0)*BE1710</f>
        <v>10583.676768950527</v>
      </c>
      <c r="BT1710" s="866"/>
      <c r="BU1710" s="866">
        <f>VLOOKUP(BD1710,$BD$4:$BN$12824,9,0)*BE1710</f>
        <v>851.43908993006676</v>
      </c>
      <c r="BV1710" s="867"/>
      <c r="BW1710" s="867">
        <f>VLOOKUP(BD1710,$BD$4:$BN$12824,11,0)*BE1710</f>
        <v>7633.1063915357508</v>
      </c>
      <c r="BX1710" s="1146">
        <f t="shared" si="320"/>
        <v>95542.356820994071</v>
      </c>
      <c r="BY1710" s="867">
        <f t="shared" si="322"/>
        <v>13461451.695164653</v>
      </c>
      <c r="BZ1710" s="867">
        <f t="shared" si="321"/>
        <v>13461451.695164653</v>
      </c>
      <c r="CA1710" s="867">
        <f>_xlfn.MAXIFS($BY$4:$BY$12824,$S$4:$S$12824,$S1710)</f>
        <v>13461451.695164653</v>
      </c>
      <c r="CB1710" s="1032"/>
      <c r="CF1710" s="946">
        <f t="shared" si="326"/>
        <v>11358720</v>
      </c>
    </row>
    <row r="1711" spans="2:84">
      <c r="B1711" s="839" t="s">
        <v>98</v>
      </c>
      <c r="C1711" s="839" t="s">
        <v>5697</v>
      </c>
      <c r="D1711" s="839" t="s">
        <v>5754</v>
      </c>
      <c r="E1711" s="839" t="s">
        <v>5754</v>
      </c>
      <c r="F1711" s="841">
        <v>45805</v>
      </c>
      <c r="G1711" s="839" t="s">
        <v>5697</v>
      </c>
      <c r="H1711" s="883" t="s">
        <v>3457</v>
      </c>
      <c r="I1711" s="883"/>
      <c r="J1711" s="841"/>
      <c r="K1711" s="841"/>
      <c r="L1711" s="843" t="s">
        <v>5257</v>
      </c>
      <c r="M1711" s="844" t="s">
        <v>107</v>
      </c>
      <c r="N1711" s="841"/>
      <c r="O1711" s="884" t="s">
        <v>108</v>
      </c>
      <c r="P1711" s="842" t="s">
        <v>269</v>
      </c>
      <c r="Q1711" s="843"/>
      <c r="R1711" s="845" t="s">
        <v>5787</v>
      </c>
      <c r="S1711" s="1127" t="s">
        <v>5788</v>
      </c>
      <c r="T1711" s="885" t="s">
        <v>5789</v>
      </c>
      <c r="U1711" s="886">
        <v>1</v>
      </c>
      <c r="V1711" s="842" t="s">
        <v>3</v>
      </c>
      <c r="W1711" s="846">
        <v>1460</v>
      </c>
      <c r="X1711" s="847">
        <f t="shared" si="327"/>
        <v>1460</v>
      </c>
      <c r="Y1711" s="853" t="s">
        <v>5703</v>
      </c>
      <c r="Z1711" s="849">
        <v>762.12</v>
      </c>
      <c r="AA1711" s="849"/>
      <c r="AB1711" s="849">
        <f t="shared" si="316"/>
        <v>762.12</v>
      </c>
      <c r="AC1711" s="850">
        <f t="shared" si="317"/>
        <v>762.12</v>
      </c>
      <c r="AD1711" s="851">
        <f t="shared" ref="AD1711:AD1742" si="328">IF(V1711=$AD$2,$AE$2,$AE$3)</f>
        <v>32000</v>
      </c>
      <c r="AE1711" s="852">
        <v>30081.54</v>
      </c>
      <c r="AF1711" s="865">
        <v>0.25</v>
      </c>
      <c r="AG1711" s="854">
        <f t="shared" si="318"/>
        <v>5771650.3145849109</v>
      </c>
      <c r="AH1711" s="853">
        <v>0.08</v>
      </c>
      <c r="AI1711" s="855">
        <f t="shared" si="319"/>
        <v>2295791.4863507929</v>
      </c>
      <c r="AJ1711" s="845" t="s">
        <v>5704</v>
      </c>
      <c r="AK1711" s="857">
        <v>45898</v>
      </c>
      <c r="AL1711" s="843" t="s">
        <v>5705</v>
      </c>
      <c r="AM1711" s="843" t="s">
        <v>5641</v>
      </c>
      <c r="AN1711" s="844" t="s">
        <v>5642</v>
      </c>
      <c r="AO1711" s="844" t="s">
        <v>141</v>
      </c>
      <c r="AP1711" s="841"/>
      <c r="AQ1711" s="841">
        <v>45906</v>
      </c>
      <c r="AR1711" s="841">
        <v>45958</v>
      </c>
      <c r="AS1711" s="842" t="s">
        <v>1284</v>
      </c>
      <c r="AT1711" s="842" t="s">
        <v>1235</v>
      </c>
      <c r="AU1711" s="842" t="s">
        <v>4595</v>
      </c>
      <c r="AV1711" s="843" t="s">
        <v>5718</v>
      </c>
      <c r="AW1711" s="861">
        <v>45961</v>
      </c>
      <c r="AX1711" s="862">
        <v>45965</v>
      </c>
      <c r="AY1711" s="843" t="s">
        <v>5790</v>
      </c>
      <c r="AZ1711" s="842" t="s">
        <v>4798</v>
      </c>
      <c r="BA1711" s="842" t="s">
        <v>120</v>
      </c>
      <c r="BB1711" s="863" t="s">
        <v>121</v>
      </c>
      <c r="BC1711" s="864">
        <v>45967</v>
      </c>
      <c r="BD1711" s="860" t="s">
        <v>5708</v>
      </c>
      <c r="BE1711" s="865" cm="1">
        <f t="array" ref="BE1711">IF(BD1711="","",AC1711/SUMPRODUCT(--(BD1711=$BD$4:$BD$12824),$AC$4:$AC$12824))</f>
        <v>3.2644460905932185E-3</v>
      </c>
      <c r="BF1711" s="458"/>
      <c r="BG1711" s="458"/>
      <c r="BH1711" s="458"/>
      <c r="BI1711" s="458"/>
      <c r="BJ1711" s="458"/>
      <c r="BK1711" s="458"/>
      <c r="BL1711" s="458"/>
      <c r="BM1711" s="458"/>
      <c r="BN1711" s="458"/>
      <c r="BO1711" s="866">
        <f>VLOOKUP(BD1711,$BD$4:$BN$12824,3,0)*BE1711</f>
        <v>138134.21694748331</v>
      </c>
      <c r="BP1711" s="866"/>
      <c r="BQ1711" s="866"/>
      <c r="BR1711" s="866">
        <f>VLOOKUP(BD1711,$BD$4:$BN$12824,6,0)*BE1711</f>
        <v>26060.248454051267</v>
      </c>
      <c r="BS1711" s="866">
        <f>VLOOKUP(BD1711,$BD$4:$BN$12824,7,0)*BE1711</f>
        <v>22723.776592158487</v>
      </c>
      <c r="BT1711" s="866"/>
      <c r="BU1711" s="866">
        <f>VLOOKUP(BD1711,$BD$4:$BN$12824,9,0)*BE1711</f>
        <v>1828.0898107322023</v>
      </c>
      <c r="BV1711" s="867"/>
      <c r="BW1711" s="867">
        <f>VLOOKUP(BD1711,$BD$4:$BN$12824,11,0)*BE1711</f>
        <v>16388.728428885584</v>
      </c>
      <c r="BX1711" s="1146">
        <f t="shared" si="320"/>
        <v>205135.06023331083</v>
      </c>
      <c r="BY1711" s="867">
        <f t="shared" si="322"/>
        <v>28902528.639618222</v>
      </c>
      <c r="BZ1711" s="867">
        <f t="shared" si="321"/>
        <v>28902528.639618222</v>
      </c>
      <c r="CA1711" s="867">
        <f>_xlfn.MAXIFS($BY$4:$BY$12824,$S$4:$S$12824,$S1711)</f>
        <v>28902528.639618222</v>
      </c>
      <c r="CB1711" s="1032"/>
      <c r="CF1711" s="946">
        <f t="shared" ref="CF1711:CF1742" si="329">AC1711*AD1711</f>
        <v>24387840</v>
      </c>
    </row>
    <row r="1712" spans="2:84">
      <c r="B1712" s="839" t="s">
        <v>98</v>
      </c>
      <c r="C1712" s="839" t="s">
        <v>5697</v>
      </c>
      <c r="D1712" s="839" t="s">
        <v>5754</v>
      </c>
      <c r="E1712" s="839" t="s">
        <v>5754</v>
      </c>
      <c r="F1712" s="841">
        <v>45805</v>
      </c>
      <c r="G1712" s="839" t="s">
        <v>5697</v>
      </c>
      <c r="H1712" s="883" t="s">
        <v>3457</v>
      </c>
      <c r="I1712" s="883"/>
      <c r="J1712" s="841"/>
      <c r="K1712" s="841"/>
      <c r="L1712" s="843" t="s">
        <v>5257</v>
      </c>
      <c r="M1712" s="844" t="s">
        <v>107</v>
      </c>
      <c r="N1712" s="841"/>
      <c r="O1712" s="884" t="s">
        <v>108</v>
      </c>
      <c r="P1712" s="842" t="s">
        <v>269</v>
      </c>
      <c r="Q1712" s="843"/>
      <c r="R1712" s="845" t="s">
        <v>5791</v>
      </c>
      <c r="S1712" s="1127" t="s">
        <v>5792</v>
      </c>
      <c r="T1712" s="885" t="s">
        <v>5793</v>
      </c>
      <c r="U1712" s="886">
        <v>1</v>
      </c>
      <c r="V1712" s="842" t="s">
        <v>3</v>
      </c>
      <c r="W1712" s="846">
        <v>1795</v>
      </c>
      <c r="X1712" s="847">
        <f t="shared" si="327"/>
        <v>1795</v>
      </c>
      <c r="Y1712" s="853" t="s">
        <v>5703</v>
      </c>
      <c r="Z1712" s="849">
        <v>936.99</v>
      </c>
      <c r="AA1712" s="849"/>
      <c r="AB1712" s="849">
        <f t="shared" si="316"/>
        <v>936.99</v>
      </c>
      <c r="AC1712" s="850">
        <f t="shared" si="317"/>
        <v>936.99</v>
      </c>
      <c r="AD1712" s="851">
        <f t="shared" si="328"/>
        <v>32000</v>
      </c>
      <c r="AE1712" s="852">
        <v>30081.54</v>
      </c>
      <c r="AF1712" s="865">
        <v>0.25</v>
      </c>
      <c r="AG1712" s="854">
        <f t="shared" si="318"/>
        <v>7095967.3388218591</v>
      </c>
      <c r="AH1712" s="853">
        <v>0.08</v>
      </c>
      <c r="AI1712" s="855">
        <f t="shared" si="319"/>
        <v>2822565.5602737488</v>
      </c>
      <c r="AJ1712" s="845" t="s">
        <v>5704</v>
      </c>
      <c r="AK1712" s="857">
        <v>45898</v>
      </c>
      <c r="AL1712" s="843" t="s">
        <v>5705</v>
      </c>
      <c r="AM1712" s="843" t="s">
        <v>5641</v>
      </c>
      <c r="AN1712" s="844" t="s">
        <v>5642</v>
      </c>
      <c r="AO1712" s="844" t="s">
        <v>141</v>
      </c>
      <c r="AP1712" s="841"/>
      <c r="AQ1712" s="841">
        <v>45906</v>
      </c>
      <c r="AR1712" s="841">
        <v>45958</v>
      </c>
      <c r="AS1712" s="842" t="s">
        <v>1284</v>
      </c>
      <c r="AT1712" s="842" t="s">
        <v>1235</v>
      </c>
      <c r="AU1712" s="842" t="s">
        <v>4595</v>
      </c>
      <c r="AV1712" s="843" t="s">
        <v>5718</v>
      </c>
      <c r="AW1712" s="861">
        <v>45961</v>
      </c>
      <c r="AX1712" s="862">
        <v>45965</v>
      </c>
      <c r="AY1712" s="843" t="s">
        <v>5794</v>
      </c>
      <c r="AZ1712" s="842" t="s">
        <v>4798</v>
      </c>
      <c r="BA1712" s="842" t="s">
        <v>120</v>
      </c>
      <c r="BB1712" s="863" t="s">
        <v>121</v>
      </c>
      <c r="BC1712" s="864">
        <v>45967</v>
      </c>
      <c r="BD1712" s="860" t="s">
        <v>5708</v>
      </c>
      <c r="BE1712" s="865" cm="1">
        <f t="array" ref="BE1712">IF(BD1712="","",AC1712/SUMPRODUCT(--(BD1712=$BD$4:$BD$12824),$AC$4:$AC$12824))</f>
        <v>4.0134799538457718E-3</v>
      </c>
      <c r="BF1712" s="458"/>
      <c r="BG1712" s="458"/>
      <c r="BH1712" s="458"/>
      <c r="BI1712" s="458"/>
      <c r="BJ1712" s="458"/>
      <c r="BK1712" s="458"/>
      <c r="BL1712" s="458"/>
      <c r="BM1712" s="458"/>
      <c r="BN1712" s="458"/>
      <c r="BO1712" s="866">
        <f>VLOOKUP(BD1712,$BD$4:$BN$12824,3,0)*BE1712</f>
        <v>169829.39686351543</v>
      </c>
      <c r="BP1712" s="866"/>
      <c r="BQ1712" s="866"/>
      <c r="BR1712" s="866">
        <f>VLOOKUP(BD1712,$BD$4:$BN$12824,6,0)*BE1712</f>
        <v>32039.826010289056</v>
      </c>
      <c r="BS1712" s="866">
        <f>VLOOKUP(BD1712,$BD$4:$BN$12824,7,0)*BE1712</f>
        <v>27937.793823920874</v>
      </c>
      <c r="BT1712" s="866"/>
      <c r="BU1712" s="866">
        <f>VLOOKUP(BD1712,$BD$4:$BN$12824,9,0)*BE1712</f>
        <v>2247.5487741536322</v>
      </c>
      <c r="BV1712" s="867"/>
      <c r="BW1712" s="867">
        <f>VLOOKUP(BD1712,$BD$4:$BN$12824,11,0)*BE1712</f>
        <v>20149.155842362754</v>
      </c>
      <c r="BX1712" s="1146">
        <f t="shared" si="320"/>
        <v>252203.72131424173</v>
      </c>
      <c r="BY1712" s="867">
        <f t="shared" si="322"/>
        <v>35534273.224736102</v>
      </c>
      <c r="BZ1712" s="867">
        <f t="shared" si="321"/>
        <v>35534273.224736102</v>
      </c>
      <c r="CA1712" s="867">
        <f>_xlfn.MAXIFS($BY$4:$BY$12824,$S$4:$S$12824,$S1712)</f>
        <v>35534273.224736102</v>
      </c>
      <c r="CB1712" s="1032"/>
      <c r="CF1712" s="946">
        <f t="shared" si="329"/>
        <v>29983680</v>
      </c>
    </row>
    <row r="1713" spans="2:84">
      <c r="B1713" s="839" t="s">
        <v>98</v>
      </c>
      <c r="C1713" s="839" t="s">
        <v>5697</v>
      </c>
      <c r="D1713" s="839" t="s">
        <v>5754</v>
      </c>
      <c r="E1713" s="839" t="s">
        <v>5754</v>
      </c>
      <c r="F1713" s="841">
        <v>45805</v>
      </c>
      <c r="G1713" s="839" t="s">
        <v>5697</v>
      </c>
      <c r="H1713" s="883" t="s">
        <v>3457</v>
      </c>
      <c r="I1713" s="883"/>
      <c r="J1713" s="841"/>
      <c r="K1713" s="841"/>
      <c r="L1713" s="843" t="s">
        <v>5257</v>
      </c>
      <c r="M1713" s="844" t="s">
        <v>107</v>
      </c>
      <c r="N1713" s="841"/>
      <c r="O1713" s="884" t="s">
        <v>108</v>
      </c>
      <c r="P1713" s="842" t="s">
        <v>269</v>
      </c>
      <c r="Q1713" s="843"/>
      <c r="R1713" s="845" t="s">
        <v>5795</v>
      </c>
      <c r="S1713" s="1127" t="s">
        <v>5796</v>
      </c>
      <c r="T1713" s="885" t="s">
        <v>5797</v>
      </c>
      <c r="U1713" s="886">
        <v>1</v>
      </c>
      <c r="V1713" s="842" t="s">
        <v>3</v>
      </c>
      <c r="W1713" s="846">
        <v>3500</v>
      </c>
      <c r="X1713" s="847">
        <f t="shared" si="327"/>
        <v>3500</v>
      </c>
      <c r="Y1713" s="853" t="s">
        <v>5703</v>
      </c>
      <c r="Z1713" s="849">
        <v>1827</v>
      </c>
      <c r="AA1713" s="849"/>
      <c r="AB1713" s="849">
        <f t="shared" si="316"/>
        <v>1827</v>
      </c>
      <c r="AC1713" s="850">
        <f t="shared" si="317"/>
        <v>1827</v>
      </c>
      <c r="AD1713" s="851">
        <f t="shared" si="328"/>
        <v>32000</v>
      </c>
      <c r="AE1713" s="852">
        <v>30081.54</v>
      </c>
      <c r="AF1713" s="865">
        <v>0.25</v>
      </c>
      <c r="AG1713" s="854">
        <f t="shared" si="318"/>
        <v>13836148.014415881</v>
      </c>
      <c r="AH1713" s="853">
        <v>0.08</v>
      </c>
      <c r="AI1713" s="855">
        <f t="shared" si="319"/>
        <v>5503609.7275532698</v>
      </c>
      <c r="AJ1713" s="845" t="s">
        <v>5704</v>
      </c>
      <c r="AK1713" s="857">
        <v>45898</v>
      </c>
      <c r="AL1713" s="843" t="s">
        <v>5705</v>
      </c>
      <c r="AM1713" s="843" t="s">
        <v>5641</v>
      </c>
      <c r="AN1713" s="844" t="s">
        <v>5642</v>
      </c>
      <c r="AO1713" s="844" t="s">
        <v>141</v>
      </c>
      <c r="AP1713" s="841"/>
      <c r="AQ1713" s="841">
        <v>45906</v>
      </c>
      <c r="AR1713" s="841">
        <v>45958</v>
      </c>
      <c r="AS1713" s="842" t="s">
        <v>1284</v>
      </c>
      <c r="AT1713" s="842" t="s">
        <v>1235</v>
      </c>
      <c r="AU1713" s="842" t="s">
        <v>4595</v>
      </c>
      <c r="AV1713" s="843" t="s">
        <v>5718</v>
      </c>
      <c r="AW1713" s="861">
        <v>45961</v>
      </c>
      <c r="AX1713" s="862">
        <v>45965</v>
      </c>
      <c r="AY1713" s="843" t="s">
        <v>5798</v>
      </c>
      <c r="AZ1713" s="842" t="s">
        <v>4798</v>
      </c>
      <c r="BA1713" s="842" t="s">
        <v>120</v>
      </c>
      <c r="BB1713" s="863" t="s">
        <v>121</v>
      </c>
      <c r="BC1713" s="864">
        <v>45967</v>
      </c>
      <c r="BD1713" s="860" t="s">
        <v>5708</v>
      </c>
      <c r="BE1713" s="865" cm="1">
        <f t="array" ref="BE1713">IF(BD1713="","",AC1713/SUMPRODUCT(--(BD1713=$BD$4:$BD$12824),$AC$4:$AC$12824))</f>
        <v>7.8257269295042911E-3</v>
      </c>
      <c r="BF1713" s="458"/>
      <c r="BG1713" s="458"/>
      <c r="BH1713" s="458"/>
      <c r="BI1713" s="458"/>
      <c r="BJ1713" s="458"/>
      <c r="BK1713" s="458"/>
      <c r="BL1713" s="458"/>
      <c r="BM1713" s="458"/>
      <c r="BN1713" s="458"/>
      <c r="BO1713" s="866">
        <f>VLOOKUP(BD1713,$BD$4:$BN$12824,3,0)*BE1713</f>
        <v>331143.67076451477</v>
      </c>
      <c r="BP1713" s="866"/>
      <c r="BQ1713" s="866"/>
      <c r="BR1713" s="866">
        <f>VLOOKUP(BD1713,$BD$4:$BN$12824,6,0)*BE1713</f>
        <v>62473.198348753038</v>
      </c>
      <c r="BS1713" s="866">
        <f>VLOOKUP(BD1713,$BD$4:$BN$12824,7,0)*BE1713</f>
        <v>54474.806899010066</v>
      </c>
      <c r="BT1713" s="866"/>
      <c r="BU1713" s="866">
        <f>VLOOKUP(BD1713,$BD$4:$BN$12824,9,0)*BE1713</f>
        <v>4382.4070805224028</v>
      </c>
      <c r="BV1713" s="867"/>
      <c r="BW1713" s="867">
        <f>VLOOKUP(BD1713,$BD$4:$BN$12824,11,0)*BE1713</f>
        <v>39288.047603492836</v>
      </c>
      <c r="BX1713" s="1146">
        <f t="shared" si="320"/>
        <v>491762.13069629314</v>
      </c>
      <c r="BY1713" s="867">
        <f t="shared" si="322"/>
        <v>69286883.72511217</v>
      </c>
      <c r="BZ1713" s="867">
        <f t="shared" si="321"/>
        <v>69286883.72511217</v>
      </c>
      <c r="CA1713" s="867">
        <f>_xlfn.MAXIFS($BY$4:$BY$12824,$S$4:$S$12824,$S1713)</f>
        <v>69286883.72511217</v>
      </c>
      <c r="CB1713" s="1032"/>
      <c r="CF1713" s="946">
        <f t="shared" si="329"/>
        <v>58464000</v>
      </c>
    </row>
    <row r="1714" spans="2:84">
      <c r="B1714" s="839" t="s">
        <v>98</v>
      </c>
      <c r="C1714" s="839" t="s">
        <v>5697</v>
      </c>
      <c r="D1714" s="839" t="s">
        <v>5754</v>
      </c>
      <c r="E1714" s="839" t="s">
        <v>5754</v>
      </c>
      <c r="F1714" s="841">
        <v>45805</v>
      </c>
      <c r="G1714" s="839" t="s">
        <v>5697</v>
      </c>
      <c r="H1714" s="883" t="s">
        <v>3457</v>
      </c>
      <c r="I1714" s="883"/>
      <c r="J1714" s="841"/>
      <c r="K1714" s="841"/>
      <c r="L1714" s="843" t="s">
        <v>5257</v>
      </c>
      <c r="M1714" s="844" t="s">
        <v>107</v>
      </c>
      <c r="N1714" s="841"/>
      <c r="O1714" s="884" t="s">
        <v>108</v>
      </c>
      <c r="P1714" s="842" t="s">
        <v>269</v>
      </c>
      <c r="Q1714" s="843"/>
      <c r="R1714" s="845" t="s">
        <v>5799</v>
      </c>
      <c r="S1714" s="1127" t="s">
        <v>5800</v>
      </c>
      <c r="T1714" s="885" t="s">
        <v>5801</v>
      </c>
      <c r="U1714" s="886">
        <v>1</v>
      </c>
      <c r="V1714" s="842" t="s">
        <v>3</v>
      </c>
      <c r="W1714" s="846">
        <v>4440</v>
      </c>
      <c r="X1714" s="847">
        <f t="shared" si="327"/>
        <v>4440</v>
      </c>
      <c r="Y1714" s="853" t="s">
        <v>5703</v>
      </c>
      <c r="Z1714" s="849">
        <v>2317.6799999999998</v>
      </c>
      <c r="AA1714" s="849"/>
      <c r="AB1714" s="849">
        <f t="shared" si="316"/>
        <v>2317.6799999999998</v>
      </c>
      <c r="AC1714" s="850">
        <f t="shared" si="317"/>
        <v>2317.6799999999998</v>
      </c>
      <c r="AD1714" s="851">
        <f t="shared" si="328"/>
        <v>32000</v>
      </c>
      <c r="AE1714" s="852">
        <v>30081.54</v>
      </c>
      <c r="AF1714" s="865">
        <v>0.25</v>
      </c>
      <c r="AG1714" s="854">
        <f t="shared" si="318"/>
        <v>17552142.052573286</v>
      </c>
      <c r="AH1714" s="853">
        <v>0.08</v>
      </c>
      <c r="AI1714" s="855">
        <f t="shared" si="319"/>
        <v>6981722.0543818623</v>
      </c>
      <c r="AJ1714" s="845" t="s">
        <v>5704</v>
      </c>
      <c r="AK1714" s="857">
        <v>45898</v>
      </c>
      <c r="AL1714" s="843" t="s">
        <v>5705</v>
      </c>
      <c r="AM1714" s="843" t="s">
        <v>5641</v>
      </c>
      <c r="AN1714" s="844" t="s">
        <v>5642</v>
      </c>
      <c r="AO1714" s="844" t="s">
        <v>141</v>
      </c>
      <c r="AP1714" s="841"/>
      <c r="AQ1714" s="841">
        <v>45906</v>
      </c>
      <c r="AR1714" s="841">
        <v>45958</v>
      </c>
      <c r="AS1714" s="842" t="s">
        <v>1284</v>
      </c>
      <c r="AT1714" s="842" t="s">
        <v>1235</v>
      </c>
      <c r="AU1714" s="842" t="s">
        <v>4595</v>
      </c>
      <c r="AV1714" s="843" t="s">
        <v>5718</v>
      </c>
      <c r="AW1714" s="861">
        <v>45961</v>
      </c>
      <c r="AX1714" s="862">
        <v>45965</v>
      </c>
      <c r="AY1714" s="843" t="s">
        <v>5802</v>
      </c>
      <c r="AZ1714" s="842" t="s">
        <v>4798</v>
      </c>
      <c r="BA1714" s="842" t="s">
        <v>120</v>
      </c>
      <c r="BB1714" s="863" t="s">
        <v>121</v>
      </c>
      <c r="BC1714" s="864">
        <v>45967</v>
      </c>
      <c r="BD1714" s="860" t="s">
        <v>5708</v>
      </c>
      <c r="BE1714" s="865" cm="1">
        <f t="array" ref="BE1714">IF(BD1714="","",AC1714/SUMPRODUCT(--(BD1714=$BD$4:$BD$12824),$AC$4:$AC$12824))</f>
        <v>9.927493590571157E-3</v>
      </c>
      <c r="BF1714" s="458"/>
      <c r="BG1714" s="458"/>
      <c r="BH1714" s="458"/>
      <c r="BI1714" s="458"/>
      <c r="BJ1714" s="458"/>
      <c r="BK1714" s="458"/>
      <c r="BL1714" s="458"/>
      <c r="BM1714" s="458"/>
      <c r="BN1714" s="458"/>
      <c r="BO1714" s="866">
        <f>VLOOKUP(BD1714,$BD$4:$BN$12824,3,0)*BE1714</f>
        <v>420079.39948412729</v>
      </c>
      <c r="BP1714" s="866"/>
      <c r="BQ1714" s="866"/>
      <c r="BR1714" s="866">
        <f>VLOOKUP(BD1714,$BD$4:$BN$12824,6,0)*BE1714</f>
        <v>79251.714476703855</v>
      </c>
      <c r="BS1714" s="866">
        <f>VLOOKUP(BD1714,$BD$4:$BN$12824,7,0)*BE1714</f>
        <v>69105.183609029904</v>
      </c>
      <c r="BT1714" s="866"/>
      <c r="BU1714" s="866">
        <f>VLOOKUP(BD1714,$BD$4:$BN$12824,9,0)*BE1714</f>
        <v>5559.3964107198481</v>
      </c>
      <c r="BV1714" s="867"/>
      <c r="BW1714" s="867">
        <f>VLOOKUP(BD1714,$BD$4:$BN$12824,11,0)*BE1714</f>
        <v>49839.694674145197</v>
      </c>
      <c r="BX1714" s="1146">
        <f t="shared" si="320"/>
        <v>623835.38865472609</v>
      </c>
      <c r="BY1714" s="867">
        <f t="shared" si="322"/>
        <v>87895361.068427995</v>
      </c>
      <c r="BZ1714" s="867">
        <f t="shared" si="321"/>
        <v>87895361.068427995</v>
      </c>
      <c r="CA1714" s="867">
        <f>_xlfn.MAXIFS($BY$4:$BY$12824,$S$4:$S$12824,$S1714)</f>
        <v>87895361.068427995</v>
      </c>
      <c r="CB1714" s="1032"/>
      <c r="CF1714" s="946">
        <f t="shared" si="329"/>
        <v>74165760</v>
      </c>
    </row>
    <row r="1715" spans="2:84">
      <c r="B1715" s="839" t="s">
        <v>98</v>
      </c>
      <c r="C1715" s="839" t="s">
        <v>5697</v>
      </c>
      <c r="D1715" s="839" t="s">
        <v>5754</v>
      </c>
      <c r="E1715" s="839" t="s">
        <v>5754</v>
      </c>
      <c r="F1715" s="841">
        <v>45805</v>
      </c>
      <c r="G1715" s="839" t="s">
        <v>5697</v>
      </c>
      <c r="H1715" s="883" t="s">
        <v>3457</v>
      </c>
      <c r="I1715" s="883"/>
      <c r="J1715" s="841"/>
      <c r="K1715" s="841"/>
      <c r="L1715" s="843" t="s">
        <v>5257</v>
      </c>
      <c r="M1715" s="844" t="s">
        <v>107</v>
      </c>
      <c r="N1715" s="841"/>
      <c r="O1715" s="884" t="s">
        <v>108</v>
      </c>
      <c r="P1715" s="842" t="s">
        <v>5803</v>
      </c>
      <c r="Q1715" s="843"/>
      <c r="R1715" s="845" t="s">
        <v>5804</v>
      </c>
      <c r="S1715" s="1127" t="s">
        <v>5805</v>
      </c>
      <c r="T1715" s="885" t="s">
        <v>5806</v>
      </c>
      <c r="U1715" s="886">
        <v>1</v>
      </c>
      <c r="V1715" s="842" t="s">
        <v>3</v>
      </c>
      <c r="W1715" s="846">
        <v>1710</v>
      </c>
      <c r="X1715" s="847">
        <f t="shared" si="327"/>
        <v>1710</v>
      </c>
      <c r="Y1715" s="853" t="s">
        <v>5703</v>
      </c>
      <c r="Z1715" s="849">
        <v>892.62</v>
      </c>
      <c r="AA1715" s="849"/>
      <c r="AB1715" s="849">
        <f t="shared" si="316"/>
        <v>892.62</v>
      </c>
      <c r="AC1715" s="850">
        <f t="shared" si="317"/>
        <v>892.62</v>
      </c>
      <c r="AD1715" s="851">
        <f t="shared" si="328"/>
        <v>32000</v>
      </c>
      <c r="AE1715" s="852">
        <v>30081.54</v>
      </c>
      <c r="AF1715" s="865">
        <v>0.3</v>
      </c>
      <c r="AG1715" s="854">
        <f t="shared" si="318"/>
        <v>8111935.9215946812</v>
      </c>
      <c r="AH1715" s="853">
        <v>0.08</v>
      </c>
      <c r="AI1715" s="855">
        <f t="shared" si="319"/>
        <v>2797065.6125115748</v>
      </c>
      <c r="AJ1715" s="845" t="s">
        <v>5704</v>
      </c>
      <c r="AK1715" s="857">
        <v>45898</v>
      </c>
      <c r="AL1715" s="843" t="s">
        <v>5705</v>
      </c>
      <c r="AM1715" s="843" t="s">
        <v>5641</v>
      </c>
      <c r="AN1715" s="844" t="s">
        <v>5642</v>
      </c>
      <c r="AO1715" s="844" t="s">
        <v>141</v>
      </c>
      <c r="AP1715" s="841"/>
      <c r="AQ1715" s="841">
        <v>45906</v>
      </c>
      <c r="AR1715" s="841">
        <v>45958</v>
      </c>
      <c r="AS1715" s="842" t="s">
        <v>1284</v>
      </c>
      <c r="AT1715" s="842" t="s">
        <v>1235</v>
      </c>
      <c r="AU1715" s="842" t="s">
        <v>4595</v>
      </c>
      <c r="AV1715" s="843" t="s">
        <v>5718</v>
      </c>
      <c r="AW1715" s="861">
        <v>45961</v>
      </c>
      <c r="AX1715" s="862">
        <v>45965</v>
      </c>
      <c r="AY1715" s="843" t="s">
        <v>5807</v>
      </c>
      <c r="AZ1715" s="842" t="s">
        <v>4813</v>
      </c>
      <c r="BA1715" s="842" t="s">
        <v>120</v>
      </c>
      <c r="BB1715" s="863" t="s">
        <v>121</v>
      </c>
      <c r="BC1715" s="864">
        <v>45967</v>
      </c>
      <c r="BD1715" s="860" t="s">
        <v>5708</v>
      </c>
      <c r="BE1715" s="865" cm="1">
        <f t="array" ref="BE1715">IF(BD1715="","",AC1715/SUMPRODUCT(--(BD1715=$BD$4:$BD$12824),$AC$4:$AC$12824))</f>
        <v>3.8234265855578106E-3</v>
      </c>
      <c r="BF1715" s="458"/>
      <c r="BG1715" s="458"/>
      <c r="BH1715" s="458"/>
      <c r="BI1715" s="458"/>
      <c r="BJ1715" s="458"/>
      <c r="BK1715" s="458"/>
      <c r="BL1715" s="458"/>
      <c r="BM1715" s="458"/>
      <c r="BN1715" s="458"/>
      <c r="BO1715" s="866">
        <f>VLOOKUP(BD1715,$BD$4:$BN$12824,3,0)*BE1715</f>
        <v>161787.33628780578</v>
      </c>
      <c r="BP1715" s="866"/>
      <c r="BQ1715" s="866"/>
      <c r="BR1715" s="866">
        <f>VLOOKUP(BD1715,$BD$4:$BN$12824,6,0)*BE1715</f>
        <v>30522.619764676485</v>
      </c>
      <c r="BS1715" s="866">
        <f>VLOOKUP(BD1715,$BD$4:$BN$12824,7,0)*BE1715</f>
        <v>26614.834227802061</v>
      </c>
      <c r="BT1715" s="866"/>
      <c r="BU1715" s="866">
        <f>VLOOKUP(BD1715,$BD$4:$BN$12824,9,0)*BE1715</f>
        <v>2141.1188879123738</v>
      </c>
      <c r="BV1715" s="867"/>
      <c r="BW1715" s="867">
        <f>VLOOKUP(BD1715,$BD$4:$BN$12824,11,0)*BE1715</f>
        <v>19195.017543420785</v>
      </c>
      <c r="BX1715" s="1146">
        <f t="shared" si="320"/>
        <v>240260.92671161747</v>
      </c>
      <c r="BY1715" s="867">
        <f t="shared" si="322"/>
        <v>35203581.083106302</v>
      </c>
      <c r="BZ1715" s="867">
        <f t="shared" si="321"/>
        <v>35203581.083106302</v>
      </c>
      <c r="CA1715" s="867">
        <f>_xlfn.MAXIFS($BY$4:$BY$12824,$S$4:$S$12824,$S1715)</f>
        <v>35203581.083106302</v>
      </c>
      <c r="CB1715" s="1032"/>
      <c r="CF1715" s="946">
        <f t="shared" si="329"/>
        <v>28563840</v>
      </c>
    </row>
    <row r="1716" spans="2:84">
      <c r="B1716" s="839" t="s">
        <v>98</v>
      </c>
      <c r="C1716" s="839" t="s">
        <v>5697</v>
      </c>
      <c r="D1716" s="839" t="s">
        <v>5754</v>
      </c>
      <c r="E1716" s="839" t="s">
        <v>5754</v>
      </c>
      <c r="F1716" s="841">
        <v>45805</v>
      </c>
      <c r="G1716" s="839" t="s">
        <v>5697</v>
      </c>
      <c r="H1716" s="883" t="s">
        <v>3457</v>
      </c>
      <c r="I1716" s="883"/>
      <c r="J1716" s="841"/>
      <c r="K1716" s="841"/>
      <c r="L1716" s="843" t="s">
        <v>5257</v>
      </c>
      <c r="M1716" s="844" t="s">
        <v>107</v>
      </c>
      <c r="N1716" s="841"/>
      <c r="O1716" s="884" t="s">
        <v>150</v>
      </c>
      <c r="P1716" s="842" t="s">
        <v>5168</v>
      </c>
      <c r="Q1716" s="843"/>
      <c r="R1716" s="845" t="s">
        <v>5808</v>
      </c>
      <c r="S1716" s="1127" t="s">
        <v>5809</v>
      </c>
      <c r="T1716" s="885" t="s">
        <v>5810</v>
      </c>
      <c r="U1716" s="886">
        <v>1</v>
      </c>
      <c r="V1716" s="842" t="s">
        <v>3</v>
      </c>
      <c r="W1716" s="846">
        <v>670</v>
      </c>
      <c r="X1716" s="847">
        <f t="shared" si="327"/>
        <v>670</v>
      </c>
      <c r="Y1716" s="853" t="s">
        <v>5703</v>
      </c>
      <c r="Z1716" s="849">
        <v>349.74</v>
      </c>
      <c r="AA1716" s="849"/>
      <c r="AB1716" s="849">
        <f t="shared" si="316"/>
        <v>349.74</v>
      </c>
      <c r="AC1716" s="850">
        <f t="shared" si="317"/>
        <v>349.74</v>
      </c>
      <c r="AD1716" s="851">
        <f t="shared" si="328"/>
        <v>32000</v>
      </c>
      <c r="AE1716" s="852">
        <v>30081.54</v>
      </c>
      <c r="AF1716" s="865">
        <v>0</v>
      </c>
      <c r="AG1716" s="854">
        <f t="shared" si="318"/>
        <v>0</v>
      </c>
      <c r="AH1716" s="853">
        <v>0.08</v>
      </c>
      <c r="AI1716" s="855">
        <f t="shared" si="319"/>
        <v>841657.4239680001</v>
      </c>
      <c r="AJ1716" s="845" t="s">
        <v>5704</v>
      </c>
      <c r="AK1716" s="857">
        <v>45898</v>
      </c>
      <c r="AL1716" s="843" t="s">
        <v>5705</v>
      </c>
      <c r="AM1716" s="843" t="s">
        <v>5641</v>
      </c>
      <c r="AN1716" s="844" t="s">
        <v>5642</v>
      </c>
      <c r="AO1716" s="844" t="s">
        <v>141</v>
      </c>
      <c r="AP1716" s="841"/>
      <c r="AQ1716" s="841">
        <v>45906</v>
      </c>
      <c r="AR1716" s="841">
        <v>45958</v>
      </c>
      <c r="AS1716" s="842" t="s">
        <v>1284</v>
      </c>
      <c r="AT1716" s="842" t="s">
        <v>1235</v>
      </c>
      <c r="AU1716" s="842" t="s">
        <v>4595</v>
      </c>
      <c r="AV1716" s="843" t="s">
        <v>5718</v>
      </c>
      <c r="AW1716" s="861">
        <v>45961</v>
      </c>
      <c r="AX1716" s="862">
        <v>45965</v>
      </c>
      <c r="AY1716" s="843" t="s">
        <v>5811</v>
      </c>
      <c r="AZ1716" s="842" t="s">
        <v>5173</v>
      </c>
      <c r="BA1716" s="842" t="s">
        <v>120</v>
      </c>
      <c r="BB1716" s="863" t="s">
        <v>121</v>
      </c>
      <c r="BC1716" s="864">
        <v>45967</v>
      </c>
      <c r="BD1716" s="860" t="s">
        <v>5708</v>
      </c>
      <c r="BE1716" s="865" cm="1">
        <f t="array" ref="BE1716">IF(BD1716="","",AC1716/SUMPRODUCT(--(BD1716=$BD$4:$BD$12824),$AC$4:$AC$12824))</f>
        <v>1.4980677265051072E-3</v>
      </c>
      <c r="BF1716" s="458"/>
      <c r="BG1716" s="458"/>
      <c r="BH1716" s="458"/>
      <c r="BI1716" s="458"/>
      <c r="BJ1716" s="458"/>
      <c r="BK1716" s="458"/>
      <c r="BL1716" s="458"/>
      <c r="BM1716" s="458"/>
      <c r="BN1716" s="458"/>
      <c r="BO1716" s="866">
        <f>VLOOKUP(BD1716,$BD$4:$BN$12824,3,0)*BE1716</f>
        <v>63390.359832064256</v>
      </c>
      <c r="BP1716" s="866"/>
      <c r="BQ1716" s="866"/>
      <c r="BR1716" s="866">
        <f>VLOOKUP(BD1716,$BD$4:$BN$12824,6,0)*BE1716</f>
        <v>11959.155112475582</v>
      </c>
      <c r="BS1716" s="866">
        <f>VLOOKUP(BD1716,$BD$4:$BN$12824,7,0)*BE1716</f>
        <v>10428.034463524786</v>
      </c>
      <c r="BT1716" s="866"/>
      <c r="BU1716" s="866">
        <f>VLOOKUP(BD1716,$BD$4:$BN$12824,9,0)*BE1716</f>
        <v>838.91792684286008</v>
      </c>
      <c r="BV1716" s="867"/>
      <c r="BW1716" s="867">
        <f>VLOOKUP(BD1716,$BD$4:$BN$12824,11,0)*BE1716</f>
        <v>7520.8548269543435</v>
      </c>
      <c r="BX1716" s="1146">
        <f t="shared" si="320"/>
        <v>94137.322161861826</v>
      </c>
      <c r="BY1716" s="867">
        <f t="shared" si="322"/>
        <v>10614855.121761864</v>
      </c>
      <c r="BZ1716" s="867">
        <f t="shared" si="321"/>
        <v>10614855.121761864</v>
      </c>
      <c r="CA1716" s="867">
        <f>_xlfn.MAXIFS($BY$4:$BY$12824,$S$4:$S$12824,$S1716)</f>
        <v>10614855.121761864</v>
      </c>
      <c r="CB1716" s="1032"/>
      <c r="CF1716" s="946">
        <f t="shared" si="329"/>
        <v>11191680</v>
      </c>
    </row>
    <row r="1717" spans="2:84">
      <c r="B1717" s="839" t="s">
        <v>98</v>
      </c>
      <c r="C1717" s="839" t="s">
        <v>5697</v>
      </c>
      <c r="D1717" s="839" t="s">
        <v>5754</v>
      </c>
      <c r="E1717" s="839" t="s">
        <v>5754</v>
      </c>
      <c r="F1717" s="841">
        <v>45805</v>
      </c>
      <c r="G1717" s="839" t="s">
        <v>5697</v>
      </c>
      <c r="H1717" s="883" t="s">
        <v>3457</v>
      </c>
      <c r="I1717" s="883"/>
      <c r="J1717" s="841"/>
      <c r="K1717" s="841"/>
      <c r="L1717" s="843" t="s">
        <v>5257</v>
      </c>
      <c r="M1717" s="844" t="s">
        <v>107</v>
      </c>
      <c r="N1717" s="841"/>
      <c r="O1717" s="884" t="s">
        <v>150</v>
      </c>
      <c r="P1717" s="842" t="s">
        <v>5168</v>
      </c>
      <c r="Q1717" s="843"/>
      <c r="R1717" s="845" t="s">
        <v>5812</v>
      </c>
      <c r="S1717" s="1127" t="s">
        <v>5813</v>
      </c>
      <c r="T1717" s="885" t="s">
        <v>5814</v>
      </c>
      <c r="U1717" s="886">
        <v>1</v>
      </c>
      <c r="V1717" s="842" t="s">
        <v>3</v>
      </c>
      <c r="W1717" s="846">
        <v>790</v>
      </c>
      <c r="X1717" s="847">
        <f t="shared" si="327"/>
        <v>790</v>
      </c>
      <c r="Y1717" s="853" t="s">
        <v>5703</v>
      </c>
      <c r="Z1717" s="849">
        <v>412.38</v>
      </c>
      <c r="AA1717" s="849"/>
      <c r="AB1717" s="849">
        <f t="shared" si="316"/>
        <v>412.38</v>
      </c>
      <c r="AC1717" s="850">
        <f t="shared" si="317"/>
        <v>412.38</v>
      </c>
      <c r="AD1717" s="851">
        <f t="shared" si="328"/>
        <v>32000</v>
      </c>
      <c r="AE1717" s="852">
        <v>30081.54</v>
      </c>
      <c r="AF1717" s="865">
        <v>0</v>
      </c>
      <c r="AG1717" s="854">
        <f t="shared" si="318"/>
        <v>0</v>
      </c>
      <c r="AH1717" s="853">
        <v>0.08</v>
      </c>
      <c r="AI1717" s="855">
        <f t="shared" si="319"/>
        <v>992402.03721600003</v>
      </c>
      <c r="AJ1717" s="845" t="s">
        <v>5704</v>
      </c>
      <c r="AK1717" s="857">
        <v>45898</v>
      </c>
      <c r="AL1717" s="843" t="s">
        <v>5705</v>
      </c>
      <c r="AM1717" s="843" t="s">
        <v>5641</v>
      </c>
      <c r="AN1717" s="844" t="s">
        <v>5642</v>
      </c>
      <c r="AO1717" s="844" t="s">
        <v>141</v>
      </c>
      <c r="AP1717" s="841"/>
      <c r="AQ1717" s="841">
        <v>45906</v>
      </c>
      <c r="AR1717" s="841">
        <v>45958</v>
      </c>
      <c r="AS1717" s="842" t="s">
        <v>1284</v>
      </c>
      <c r="AT1717" s="842" t="s">
        <v>1235</v>
      </c>
      <c r="AU1717" s="842" t="s">
        <v>4595</v>
      </c>
      <c r="AV1717" s="843" t="s">
        <v>5718</v>
      </c>
      <c r="AW1717" s="861">
        <v>45961</v>
      </c>
      <c r="AX1717" s="862">
        <v>45965</v>
      </c>
      <c r="AY1717" s="843" t="s">
        <v>5815</v>
      </c>
      <c r="AZ1717" s="842" t="s">
        <v>5173</v>
      </c>
      <c r="BA1717" s="842" t="s">
        <v>120</v>
      </c>
      <c r="BB1717" s="863" t="s">
        <v>121</v>
      </c>
      <c r="BC1717" s="864">
        <v>45967</v>
      </c>
      <c r="BD1717" s="860" t="s">
        <v>5708</v>
      </c>
      <c r="BE1717" s="865" cm="1">
        <f t="array" ref="BE1717">IF(BD1717="","",AC1717/SUMPRODUCT(--(BD1717=$BD$4:$BD$12824),$AC$4:$AC$12824))</f>
        <v>1.7663783640881113E-3</v>
      </c>
      <c r="BF1717" s="458"/>
      <c r="BG1717" s="458"/>
      <c r="BH1717" s="458"/>
      <c r="BI1717" s="458"/>
      <c r="BJ1717" s="458"/>
      <c r="BK1717" s="458"/>
      <c r="BL1717" s="458"/>
      <c r="BM1717" s="458"/>
      <c r="BN1717" s="458"/>
      <c r="BO1717" s="866">
        <f>VLOOKUP(BD1717,$BD$4:$BN$12824,3,0)*BE1717</f>
        <v>74743.857115419043</v>
      </c>
      <c r="BP1717" s="866"/>
      <c r="BQ1717" s="866"/>
      <c r="BR1717" s="866">
        <f>VLOOKUP(BD1717,$BD$4:$BN$12824,6,0)*BE1717</f>
        <v>14101.093341575686</v>
      </c>
      <c r="BS1717" s="866">
        <f>VLOOKUP(BD1717,$BD$4:$BN$12824,7,0)*BE1717</f>
        <v>12295.742128633701</v>
      </c>
      <c r="BT1717" s="866"/>
      <c r="BU1717" s="866">
        <f>VLOOKUP(BD1717,$BD$4:$BN$12824,9,0)*BE1717</f>
        <v>989.17188388934233</v>
      </c>
      <c r="BV1717" s="867"/>
      <c r="BW1717" s="867">
        <f>VLOOKUP(BD1717,$BD$4:$BN$12824,11,0)*BE1717</f>
        <v>8867.87360193124</v>
      </c>
      <c r="BX1717" s="1146">
        <f t="shared" si="320"/>
        <v>110997.73807144901</v>
      </c>
      <c r="BY1717" s="867">
        <f t="shared" si="322"/>
        <v>12516023.203271449</v>
      </c>
      <c r="BZ1717" s="867">
        <f t="shared" si="321"/>
        <v>12516023.203271449</v>
      </c>
      <c r="CA1717" s="867">
        <f>_xlfn.MAXIFS($BY$4:$BY$12824,$S$4:$S$12824,$S1717)</f>
        <v>12516023.20327145</v>
      </c>
      <c r="CB1717" s="1032"/>
      <c r="CF1717" s="946">
        <f t="shared" si="329"/>
        <v>13196160</v>
      </c>
    </row>
    <row r="1718" spans="2:84">
      <c r="B1718" s="839" t="s">
        <v>98</v>
      </c>
      <c r="C1718" s="839" t="s">
        <v>5697</v>
      </c>
      <c r="D1718" s="839" t="s">
        <v>5754</v>
      </c>
      <c r="E1718" s="839" t="s">
        <v>5754</v>
      </c>
      <c r="F1718" s="841">
        <v>45805</v>
      </c>
      <c r="G1718" s="839" t="s">
        <v>5697</v>
      </c>
      <c r="H1718" s="883" t="s">
        <v>3457</v>
      </c>
      <c r="I1718" s="883"/>
      <c r="J1718" s="841"/>
      <c r="K1718" s="841"/>
      <c r="L1718" s="843" t="s">
        <v>5257</v>
      </c>
      <c r="M1718" s="844" t="s">
        <v>107</v>
      </c>
      <c r="N1718" s="841"/>
      <c r="O1718" s="884" t="s">
        <v>150</v>
      </c>
      <c r="P1718" s="842" t="s">
        <v>5168</v>
      </c>
      <c r="Q1718" s="843"/>
      <c r="R1718" s="845" t="s">
        <v>5816</v>
      </c>
      <c r="S1718" s="1127" t="s">
        <v>5817</v>
      </c>
      <c r="T1718" s="885" t="s">
        <v>5818</v>
      </c>
      <c r="U1718" s="886">
        <v>1</v>
      </c>
      <c r="V1718" s="842" t="s">
        <v>3</v>
      </c>
      <c r="W1718" s="846">
        <v>1810</v>
      </c>
      <c r="X1718" s="847">
        <f t="shared" si="327"/>
        <v>1810</v>
      </c>
      <c r="Y1718" s="853" t="s">
        <v>5703</v>
      </c>
      <c r="Z1718" s="849">
        <v>944.82</v>
      </c>
      <c r="AA1718" s="849"/>
      <c r="AB1718" s="849">
        <f t="shared" si="316"/>
        <v>944.82</v>
      </c>
      <c r="AC1718" s="850">
        <f t="shared" si="317"/>
        <v>944.82</v>
      </c>
      <c r="AD1718" s="851">
        <f t="shared" si="328"/>
        <v>32000</v>
      </c>
      <c r="AE1718" s="852">
        <v>30081.54</v>
      </c>
      <c r="AF1718" s="865">
        <v>0</v>
      </c>
      <c r="AG1718" s="854">
        <f t="shared" si="318"/>
        <v>0</v>
      </c>
      <c r="AH1718" s="853">
        <v>0.08</v>
      </c>
      <c r="AI1718" s="855">
        <f t="shared" si="319"/>
        <v>2273731.2498240005</v>
      </c>
      <c r="AJ1718" s="845" t="s">
        <v>5704</v>
      </c>
      <c r="AK1718" s="857">
        <v>45898</v>
      </c>
      <c r="AL1718" s="843" t="s">
        <v>5705</v>
      </c>
      <c r="AM1718" s="843" t="s">
        <v>5641</v>
      </c>
      <c r="AN1718" s="844" t="s">
        <v>5642</v>
      </c>
      <c r="AO1718" s="844" t="s">
        <v>141</v>
      </c>
      <c r="AP1718" s="841"/>
      <c r="AQ1718" s="841">
        <v>45906</v>
      </c>
      <c r="AR1718" s="841">
        <v>45958</v>
      </c>
      <c r="AS1718" s="842" t="s">
        <v>1284</v>
      </c>
      <c r="AT1718" s="842" t="s">
        <v>1235</v>
      </c>
      <c r="AU1718" s="842" t="s">
        <v>4595</v>
      </c>
      <c r="AV1718" s="843" t="s">
        <v>5718</v>
      </c>
      <c r="AW1718" s="861">
        <v>45961</v>
      </c>
      <c r="AX1718" s="862">
        <v>45965</v>
      </c>
      <c r="AY1718" s="843" t="s">
        <v>5819</v>
      </c>
      <c r="AZ1718" s="842" t="s">
        <v>5173</v>
      </c>
      <c r="BA1718" s="842" t="s">
        <v>120</v>
      </c>
      <c r="BB1718" s="863" t="s">
        <v>121</v>
      </c>
      <c r="BC1718" s="864">
        <v>45967</v>
      </c>
      <c r="BD1718" s="860" t="s">
        <v>5708</v>
      </c>
      <c r="BE1718" s="865" cm="1">
        <f t="array" ref="BE1718">IF(BD1718="","",AC1718/SUMPRODUCT(--(BD1718=$BD$4:$BD$12824),$AC$4:$AC$12824))</f>
        <v>4.0470187835436478E-3</v>
      </c>
      <c r="BF1718" s="458"/>
      <c r="BG1718" s="458"/>
      <c r="BH1718" s="458"/>
      <c r="BI1718" s="458"/>
      <c r="BJ1718" s="458"/>
      <c r="BK1718" s="458"/>
      <c r="BL1718" s="458"/>
      <c r="BM1718" s="458"/>
      <c r="BN1718" s="458"/>
      <c r="BO1718" s="866">
        <f>VLOOKUP(BD1718,$BD$4:$BN$12824,3,0)*BE1718</f>
        <v>171248.58402393479</v>
      </c>
      <c r="BP1718" s="866"/>
      <c r="BQ1718" s="866"/>
      <c r="BR1718" s="866">
        <f>VLOOKUP(BD1718,$BD$4:$BN$12824,6,0)*BE1718</f>
        <v>32307.568288926574</v>
      </c>
      <c r="BS1718" s="866">
        <f>VLOOKUP(BD1718,$BD$4:$BN$12824,7,0)*BE1718</f>
        <v>28171.257282059494</v>
      </c>
      <c r="BT1718" s="866"/>
      <c r="BU1718" s="866">
        <f>VLOOKUP(BD1718,$BD$4:$BN$12824,9,0)*BE1718</f>
        <v>2266.3305187844426</v>
      </c>
      <c r="BV1718" s="867"/>
      <c r="BW1718" s="867">
        <f>VLOOKUP(BD1718,$BD$4:$BN$12824,11,0)*BE1718</f>
        <v>20317.533189234869</v>
      </c>
      <c r="BX1718" s="1146">
        <f t="shared" si="320"/>
        <v>254311.27330294016</v>
      </c>
      <c r="BY1718" s="867">
        <f t="shared" si="322"/>
        <v>28675951.896102943</v>
      </c>
      <c r="BZ1718" s="867">
        <f t="shared" si="321"/>
        <v>28675951.896102943</v>
      </c>
      <c r="CA1718" s="867">
        <f>_xlfn.MAXIFS($BY$4:$BY$12824,$S$4:$S$12824,$S1718)</f>
        <v>29350441.901668433</v>
      </c>
      <c r="CB1718" s="1032"/>
      <c r="CF1718" s="946">
        <f t="shared" si="329"/>
        <v>30234240</v>
      </c>
    </row>
    <row r="1719" spans="2:84">
      <c r="B1719" s="839" t="s">
        <v>98</v>
      </c>
      <c r="C1719" s="839" t="s">
        <v>5697</v>
      </c>
      <c r="D1719" s="839" t="s">
        <v>5754</v>
      </c>
      <c r="E1719" s="839" t="s">
        <v>5754</v>
      </c>
      <c r="F1719" s="841">
        <v>45805</v>
      </c>
      <c r="G1719" s="839" t="s">
        <v>5697</v>
      </c>
      <c r="H1719" s="883" t="s">
        <v>3457</v>
      </c>
      <c r="I1719" s="883"/>
      <c r="J1719" s="841"/>
      <c r="K1719" s="841"/>
      <c r="L1719" s="843" t="s">
        <v>5257</v>
      </c>
      <c r="M1719" s="844" t="s">
        <v>107</v>
      </c>
      <c r="N1719" s="841"/>
      <c r="O1719" s="884" t="s">
        <v>150</v>
      </c>
      <c r="P1719" s="842" t="s">
        <v>5168</v>
      </c>
      <c r="Q1719" s="843"/>
      <c r="R1719" s="845" t="s">
        <v>5820</v>
      </c>
      <c r="S1719" s="1127" t="s">
        <v>5821</v>
      </c>
      <c r="T1719" s="885" t="s">
        <v>5822</v>
      </c>
      <c r="U1719" s="886">
        <v>1</v>
      </c>
      <c r="V1719" s="842" t="s">
        <v>3</v>
      </c>
      <c r="W1719" s="846">
        <v>1810</v>
      </c>
      <c r="X1719" s="847">
        <f t="shared" si="327"/>
        <v>1810</v>
      </c>
      <c r="Y1719" s="853" t="s">
        <v>5703</v>
      </c>
      <c r="Z1719" s="849">
        <v>944.82</v>
      </c>
      <c r="AA1719" s="849"/>
      <c r="AB1719" s="849">
        <f t="shared" si="316"/>
        <v>944.82</v>
      </c>
      <c r="AC1719" s="850">
        <f t="shared" si="317"/>
        <v>944.82</v>
      </c>
      <c r="AD1719" s="851">
        <f t="shared" si="328"/>
        <v>32000</v>
      </c>
      <c r="AE1719" s="852">
        <v>30081.54</v>
      </c>
      <c r="AF1719" s="865">
        <v>0</v>
      </c>
      <c r="AG1719" s="854">
        <f t="shared" si="318"/>
        <v>0</v>
      </c>
      <c r="AH1719" s="853">
        <v>0.08</v>
      </c>
      <c r="AI1719" s="855">
        <f t="shared" si="319"/>
        <v>2273731.2498240005</v>
      </c>
      <c r="AJ1719" s="845" t="s">
        <v>5704</v>
      </c>
      <c r="AK1719" s="857">
        <v>45898</v>
      </c>
      <c r="AL1719" s="843" t="s">
        <v>5705</v>
      </c>
      <c r="AM1719" s="843" t="s">
        <v>5641</v>
      </c>
      <c r="AN1719" s="844" t="s">
        <v>5642</v>
      </c>
      <c r="AO1719" s="844" t="s">
        <v>141</v>
      </c>
      <c r="AP1719" s="841"/>
      <c r="AQ1719" s="841">
        <v>45906</v>
      </c>
      <c r="AR1719" s="841">
        <v>45958</v>
      </c>
      <c r="AS1719" s="842" t="s">
        <v>1284</v>
      </c>
      <c r="AT1719" s="842" t="s">
        <v>1235</v>
      </c>
      <c r="AU1719" s="842" t="s">
        <v>4595</v>
      </c>
      <c r="AV1719" s="843" t="s">
        <v>5718</v>
      </c>
      <c r="AW1719" s="861">
        <v>45961</v>
      </c>
      <c r="AX1719" s="862">
        <v>45965</v>
      </c>
      <c r="AY1719" s="843" t="s">
        <v>5823</v>
      </c>
      <c r="AZ1719" s="842" t="s">
        <v>5173</v>
      </c>
      <c r="BA1719" s="842" t="s">
        <v>120</v>
      </c>
      <c r="BB1719" s="863" t="s">
        <v>121</v>
      </c>
      <c r="BC1719" s="864">
        <v>45967</v>
      </c>
      <c r="BD1719" s="860" t="s">
        <v>5708</v>
      </c>
      <c r="BE1719" s="865" cm="1">
        <f t="array" ref="BE1719">IF(BD1719="","",AC1719/SUMPRODUCT(--(BD1719=$BD$4:$BD$12824),$AC$4:$AC$12824))</f>
        <v>4.0470187835436478E-3</v>
      </c>
      <c r="BF1719" s="458"/>
      <c r="BG1719" s="458"/>
      <c r="BH1719" s="458"/>
      <c r="BI1719" s="458"/>
      <c r="BJ1719" s="458"/>
      <c r="BK1719" s="458"/>
      <c r="BL1719" s="458"/>
      <c r="BM1719" s="458"/>
      <c r="BN1719" s="458"/>
      <c r="BO1719" s="866">
        <f>VLOOKUP(BD1719,$BD$4:$BN$12824,3,0)*BE1719</f>
        <v>171248.58402393479</v>
      </c>
      <c r="BP1719" s="866"/>
      <c r="BQ1719" s="866"/>
      <c r="BR1719" s="866">
        <f>VLOOKUP(BD1719,$BD$4:$BN$12824,6,0)*BE1719</f>
        <v>32307.568288926574</v>
      </c>
      <c r="BS1719" s="866">
        <f>VLOOKUP(BD1719,$BD$4:$BN$12824,7,0)*BE1719</f>
        <v>28171.257282059494</v>
      </c>
      <c r="BT1719" s="866"/>
      <c r="BU1719" s="866">
        <f>VLOOKUP(BD1719,$BD$4:$BN$12824,9,0)*BE1719</f>
        <v>2266.3305187844426</v>
      </c>
      <c r="BV1719" s="867"/>
      <c r="BW1719" s="867">
        <f>VLOOKUP(BD1719,$BD$4:$BN$12824,11,0)*BE1719</f>
        <v>20317.533189234869</v>
      </c>
      <c r="BX1719" s="1146">
        <f t="shared" si="320"/>
        <v>254311.27330294016</v>
      </c>
      <c r="BY1719" s="867">
        <f t="shared" si="322"/>
        <v>28675951.896102943</v>
      </c>
      <c r="BZ1719" s="867">
        <f t="shared" si="321"/>
        <v>28675951.896102943</v>
      </c>
      <c r="CA1719" s="867">
        <f>_xlfn.MAXIFS($BY$4:$BY$12824,$S$4:$S$12824,$S1719)</f>
        <v>29297022.147473153</v>
      </c>
      <c r="CB1719" s="1032"/>
      <c r="CF1719" s="946">
        <f t="shared" si="329"/>
        <v>30234240</v>
      </c>
    </row>
    <row r="1720" spans="2:84">
      <c r="B1720" s="839" t="s">
        <v>98</v>
      </c>
      <c r="C1720" s="839" t="s">
        <v>5697</v>
      </c>
      <c r="D1720" s="839" t="s">
        <v>5754</v>
      </c>
      <c r="E1720" s="839" t="s">
        <v>5754</v>
      </c>
      <c r="F1720" s="841">
        <v>45805</v>
      </c>
      <c r="G1720" s="839" t="s">
        <v>5697</v>
      </c>
      <c r="H1720" s="883" t="s">
        <v>3457</v>
      </c>
      <c r="I1720" s="883"/>
      <c r="J1720" s="841"/>
      <c r="K1720" s="841"/>
      <c r="L1720" s="843" t="s">
        <v>5257</v>
      </c>
      <c r="M1720" s="844" t="s">
        <v>107</v>
      </c>
      <c r="N1720" s="841"/>
      <c r="O1720" s="884" t="s">
        <v>150</v>
      </c>
      <c r="P1720" s="842" t="s">
        <v>1947</v>
      </c>
      <c r="Q1720" s="843"/>
      <c r="R1720" s="845" t="s">
        <v>5824</v>
      </c>
      <c r="S1720" s="1127" t="s">
        <v>5825</v>
      </c>
      <c r="T1720" s="885" t="s">
        <v>5826</v>
      </c>
      <c r="U1720" s="886">
        <v>1</v>
      </c>
      <c r="V1720" s="842" t="s">
        <v>3</v>
      </c>
      <c r="W1720" s="846">
        <v>2980</v>
      </c>
      <c r="X1720" s="847">
        <f t="shared" si="327"/>
        <v>2980</v>
      </c>
      <c r="Y1720" s="853" t="s">
        <v>5703</v>
      </c>
      <c r="Z1720" s="849">
        <v>1555.56</v>
      </c>
      <c r="AA1720" s="849"/>
      <c r="AB1720" s="849">
        <f t="shared" si="316"/>
        <v>1555.56</v>
      </c>
      <c r="AC1720" s="850">
        <f t="shared" si="317"/>
        <v>1555.56</v>
      </c>
      <c r="AD1720" s="851">
        <f t="shared" si="328"/>
        <v>32000</v>
      </c>
      <c r="AE1720" s="852">
        <v>30081.54</v>
      </c>
      <c r="AF1720" s="865">
        <v>0</v>
      </c>
      <c r="AG1720" s="854">
        <f t="shared" si="318"/>
        <v>0</v>
      </c>
      <c r="AH1720" s="853">
        <v>0.08</v>
      </c>
      <c r="AI1720" s="855">
        <f t="shared" si="319"/>
        <v>3743491.2289920002</v>
      </c>
      <c r="AJ1720" s="845" t="s">
        <v>5704</v>
      </c>
      <c r="AK1720" s="857">
        <v>45898</v>
      </c>
      <c r="AL1720" s="843" t="s">
        <v>5705</v>
      </c>
      <c r="AM1720" s="843" t="s">
        <v>5641</v>
      </c>
      <c r="AN1720" s="844" t="s">
        <v>5642</v>
      </c>
      <c r="AO1720" s="844" t="s">
        <v>141</v>
      </c>
      <c r="AP1720" s="841"/>
      <c r="AQ1720" s="841">
        <v>45906</v>
      </c>
      <c r="AR1720" s="841">
        <v>45958</v>
      </c>
      <c r="AS1720" s="842" t="s">
        <v>1284</v>
      </c>
      <c r="AT1720" s="842" t="s">
        <v>1235</v>
      </c>
      <c r="AU1720" s="842" t="s">
        <v>4595</v>
      </c>
      <c r="AV1720" s="843" t="s">
        <v>5718</v>
      </c>
      <c r="AW1720" s="861">
        <v>45961</v>
      </c>
      <c r="AX1720" s="862">
        <v>45965</v>
      </c>
      <c r="AY1720" s="843" t="s">
        <v>5827</v>
      </c>
      <c r="AZ1720" s="842" t="s">
        <v>5173</v>
      </c>
      <c r="BA1720" s="842" t="s">
        <v>120</v>
      </c>
      <c r="BB1720" s="863" t="s">
        <v>121</v>
      </c>
      <c r="BC1720" s="864">
        <v>45967</v>
      </c>
      <c r="BD1720" s="860" t="s">
        <v>5708</v>
      </c>
      <c r="BE1720" s="865" cm="1">
        <f t="array" ref="BE1720">IF(BD1720="","",AC1720/SUMPRODUCT(--(BD1720=$BD$4:$BD$12824),$AC$4:$AC$12824))</f>
        <v>6.6630474999779393E-3</v>
      </c>
      <c r="BF1720" s="458"/>
      <c r="BG1720" s="458"/>
      <c r="BH1720" s="458"/>
      <c r="BI1720" s="458"/>
      <c r="BJ1720" s="458"/>
      <c r="BK1720" s="458"/>
      <c r="BL1720" s="458"/>
      <c r="BM1720" s="458"/>
      <c r="BN1720" s="458"/>
      <c r="BO1720" s="866">
        <f>VLOOKUP(BD1720,$BD$4:$BN$12824,3,0)*BE1720</f>
        <v>281945.18253664399</v>
      </c>
      <c r="BP1720" s="866"/>
      <c r="BQ1720" s="866"/>
      <c r="BR1720" s="866">
        <f>VLOOKUP(BD1720,$BD$4:$BN$12824,6,0)*BE1720</f>
        <v>53191.466022652588</v>
      </c>
      <c r="BS1720" s="866">
        <f>VLOOKUP(BD1720,$BD$4:$BN$12824,7,0)*BE1720</f>
        <v>46381.407016871432</v>
      </c>
      <c r="BT1720" s="866"/>
      <c r="BU1720" s="866">
        <f>VLOOKUP(BD1720,$BD$4:$BN$12824,9,0)*BE1720</f>
        <v>3731.3065999876462</v>
      </c>
      <c r="BV1720" s="867"/>
      <c r="BW1720" s="867">
        <f>VLOOKUP(BD1720,$BD$4:$BN$12824,11,0)*BE1720</f>
        <v>33450.966245259617</v>
      </c>
      <c r="BX1720" s="1146">
        <f t="shared" si="320"/>
        <v>418700.3284214153</v>
      </c>
      <c r="BY1720" s="867">
        <f t="shared" si="322"/>
        <v>47212340.690821417</v>
      </c>
      <c r="BZ1720" s="867">
        <f t="shared" si="321"/>
        <v>47212340.690821417</v>
      </c>
      <c r="CA1720" s="867">
        <f>_xlfn.MAXIFS($BY$4:$BY$12824,$S$4:$S$12824,$S1720)</f>
        <v>47212340.690821417</v>
      </c>
      <c r="CB1720" s="1032"/>
      <c r="CF1720" s="946">
        <f t="shared" si="329"/>
        <v>49777920</v>
      </c>
    </row>
    <row r="1721" spans="2:84">
      <c r="B1721" s="839" t="s">
        <v>98</v>
      </c>
      <c r="C1721" s="839" t="s">
        <v>5697</v>
      </c>
      <c r="D1721" s="839" t="s">
        <v>5754</v>
      </c>
      <c r="E1721" s="839" t="s">
        <v>5754</v>
      </c>
      <c r="F1721" s="841">
        <v>45805</v>
      </c>
      <c r="G1721" s="839" t="s">
        <v>5697</v>
      </c>
      <c r="H1721" s="883" t="s">
        <v>3457</v>
      </c>
      <c r="I1721" s="883"/>
      <c r="J1721" s="841"/>
      <c r="K1721" s="841"/>
      <c r="L1721" s="843" t="s">
        <v>5257</v>
      </c>
      <c r="M1721" s="844" t="s">
        <v>107</v>
      </c>
      <c r="N1721" s="841"/>
      <c r="O1721" s="884" t="s">
        <v>150</v>
      </c>
      <c r="P1721" s="842" t="s">
        <v>5168</v>
      </c>
      <c r="Q1721" s="843"/>
      <c r="R1721" s="845" t="s">
        <v>5828</v>
      </c>
      <c r="S1721" s="1127" t="s">
        <v>5829</v>
      </c>
      <c r="T1721" s="885" t="s">
        <v>5830</v>
      </c>
      <c r="U1721" s="886">
        <v>4</v>
      </c>
      <c r="V1721" s="842" t="s">
        <v>3</v>
      </c>
      <c r="W1721" s="846">
        <v>1285</v>
      </c>
      <c r="X1721" s="847">
        <f t="shared" si="327"/>
        <v>5140</v>
      </c>
      <c r="Y1721" s="853" t="s">
        <v>5703</v>
      </c>
      <c r="Z1721" s="849">
        <v>670.77</v>
      </c>
      <c r="AA1721" s="849"/>
      <c r="AB1721" s="849">
        <f t="shared" si="316"/>
        <v>2683.08</v>
      </c>
      <c r="AC1721" s="850">
        <f t="shared" si="317"/>
        <v>2683.08</v>
      </c>
      <c r="AD1721" s="851">
        <f t="shared" si="328"/>
        <v>32000</v>
      </c>
      <c r="AE1721" s="852">
        <v>30081.54</v>
      </c>
      <c r="AF1721" s="865">
        <v>0</v>
      </c>
      <c r="AG1721" s="854">
        <f t="shared" si="318"/>
        <v>0</v>
      </c>
      <c r="AH1721" s="853">
        <v>0.08</v>
      </c>
      <c r="AI1721" s="855">
        <f t="shared" si="319"/>
        <v>6456894.2674559997</v>
      </c>
      <c r="AJ1721" s="845" t="s">
        <v>5704</v>
      </c>
      <c r="AK1721" s="857">
        <v>45898</v>
      </c>
      <c r="AL1721" s="843" t="s">
        <v>5705</v>
      </c>
      <c r="AM1721" s="843" t="s">
        <v>5641</v>
      </c>
      <c r="AN1721" s="844" t="s">
        <v>5642</v>
      </c>
      <c r="AO1721" s="844" t="s">
        <v>141</v>
      </c>
      <c r="AP1721" s="841"/>
      <c r="AQ1721" s="841">
        <v>45906</v>
      </c>
      <c r="AR1721" s="841">
        <v>45958</v>
      </c>
      <c r="AS1721" s="842" t="s">
        <v>1284</v>
      </c>
      <c r="AT1721" s="842" t="s">
        <v>1235</v>
      </c>
      <c r="AU1721" s="842" t="s">
        <v>4595</v>
      </c>
      <c r="AV1721" s="843" t="s">
        <v>5718</v>
      </c>
      <c r="AW1721" s="861">
        <v>45961</v>
      </c>
      <c r="AX1721" s="862">
        <v>45965</v>
      </c>
      <c r="AY1721" s="843" t="s">
        <v>5831</v>
      </c>
      <c r="AZ1721" s="842" t="s">
        <v>3183</v>
      </c>
      <c r="BA1721" s="842" t="s">
        <v>120</v>
      </c>
      <c r="BB1721" s="863" t="s">
        <v>121</v>
      </c>
      <c r="BC1721" s="864">
        <v>45967</v>
      </c>
      <c r="BD1721" s="860" t="s">
        <v>5708</v>
      </c>
      <c r="BE1721" s="865" cm="1">
        <f t="array" ref="BE1721">IF(BD1721="","",AC1721/SUMPRODUCT(--(BD1721=$BD$4:$BD$12824),$AC$4:$AC$12824))</f>
        <v>1.1492638976472016E-2</v>
      </c>
      <c r="BF1721" s="458"/>
      <c r="BG1721" s="458"/>
      <c r="BH1721" s="458"/>
      <c r="BI1721" s="458"/>
      <c r="BJ1721" s="458"/>
      <c r="BK1721" s="458"/>
      <c r="BL1721" s="458"/>
      <c r="BM1721" s="458"/>
      <c r="BN1721" s="458"/>
      <c r="BO1721" s="866">
        <f>VLOOKUP(BD1721,$BD$4:$BN$12824,3,0)*BE1721</f>
        <v>486308.13363703026</v>
      </c>
      <c r="BP1721" s="866"/>
      <c r="BQ1721" s="866"/>
      <c r="BR1721" s="866">
        <f>VLOOKUP(BD1721,$BD$4:$BN$12824,6,0)*BE1721</f>
        <v>91746.354146454469</v>
      </c>
      <c r="BS1721" s="866">
        <f>VLOOKUP(BD1721,$BD$4:$BN$12824,7,0)*BE1721</f>
        <v>80000.144988831918</v>
      </c>
      <c r="BT1721" s="866"/>
      <c r="BU1721" s="866">
        <f>VLOOKUP(BD1721,$BD$4:$BN$12824,9,0)*BE1721</f>
        <v>6435.8778268243286</v>
      </c>
      <c r="BV1721" s="867"/>
      <c r="BW1721" s="867">
        <f>VLOOKUP(BD1721,$BD$4:$BN$12824,11,0)*BE1721</f>
        <v>57697.304194843768</v>
      </c>
      <c r="BX1721" s="1146">
        <f t="shared" si="320"/>
        <v>722187.81479398475</v>
      </c>
      <c r="BY1721" s="867">
        <f t="shared" si="322"/>
        <v>20358341.539498497</v>
      </c>
      <c r="BZ1721" s="867">
        <f t="shared" si="321"/>
        <v>81433366.157993987</v>
      </c>
      <c r="CA1721" s="867">
        <f>_xlfn.MAXIFS($BY$4:$BY$12824,$S$4:$S$12824,$S1721)</f>
        <v>20358341.539498497</v>
      </c>
      <c r="CB1721" s="1032"/>
      <c r="CF1721" s="946">
        <f t="shared" si="329"/>
        <v>85858560</v>
      </c>
    </row>
    <row r="1722" spans="2:84">
      <c r="B1722" s="839" t="s">
        <v>98</v>
      </c>
      <c r="C1722" s="839" t="s">
        <v>5697</v>
      </c>
      <c r="D1722" s="839" t="s">
        <v>5754</v>
      </c>
      <c r="E1722" s="839" t="s">
        <v>5754</v>
      </c>
      <c r="F1722" s="841">
        <v>45805</v>
      </c>
      <c r="G1722" s="839" t="s">
        <v>5697</v>
      </c>
      <c r="H1722" s="883" t="s">
        <v>3457</v>
      </c>
      <c r="I1722" s="883"/>
      <c r="J1722" s="841"/>
      <c r="K1722" s="841"/>
      <c r="L1722" s="843" t="s">
        <v>5257</v>
      </c>
      <c r="M1722" s="844" t="s">
        <v>107</v>
      </c>
      <c r="N1722" s="841"/>
      <c r="O1722" s="884" t="s">
        <v>150</v>
      </c>
      <c r="P1722" s="842" t="s">
        <v>5168</v>
      </c>
      <c r="Q1722" s="843"/>
      <c r="R1722" s="845" t="s">
        <v>5832</v>
      </c>
      <c r="S1722" s="1127" t="s">
        <v>5833</v>
      </c>
      <c r="T1722" s="885" t="s">
        <v>5834</v>
      </c>
      <c r="U1722" s="886">
        <v>4</v>
      </c>
      <c r="V1722" s="842" t="s">
        <v>3</v>
      </c>
      <c r="W1722" s="846">
        <v>1470</v>
      </c>
      <c r="X1722" s="847">
        <f t="shared" ref="X1722:X1753" si="330">W1722*U1722</f>
        <v>5880</v>
      </c>
      <c r="Y1722" s="853" t="s">
        <v>5703</v>
      </c>
      <c r="Z1722" s="849">
        <v>767.34</v>
      </c>
      <c r="AA1722" s="849"/>
      <c r="AB1722" s="849">
        <f t="shared" si="316"/>
        <v>3069.36</v>
      </c>
      <c r="AC1722" s="850">
        <f t="shared" si="317"/>
        <v>3069.36</v>
      </c>
      <c r="AD1722" s="851">
        <f t="shared" si="328"/>
        <v>32000</v>
      </c>
      <c r="AE1722" s="852">
        <v>30081.54</v>
      </c>
      <c r="AF1722" s="865">
        <v>0</v>
      </c>
      <c r="AG1722" s="854">
        <f t="shared" si="318"/>
        <v>0</v>
      </c>
      <c r="AH1722" s="853">
        <v>0.08</v>
      </c>
      <c r="AI1722" s="855">
        <f t="shared" si="319"/>
        <v>7386486.0491519999</v>
      </c>
      <c r="AJ1722" s="845" t="s">
        <v>5704</v>
      </c>
      <c r="AK1722" s="857">
        <v>45898</v>
      </c>
      <c r="AL1722" s="843" t="s">
        <v>5705</v>
      </c>
      <c r="AM1722" s="843" t="s">
        <v>5641</v>
      </c>
      <c r="AN1722" s="844" t="s">
        <v>5642</v>
      </c>
      <c r="AO1722" s="844" t="s">
        <v>141</v>
      </c>
      <c r="AP1722" s="841"/>
      <c r="AQ1722" s="841">
        <v>45906</v>
      </c>
      <c r="AR1722" s="841">
        <v>45958</v>
      </c>
      <c r="AS1722" s="842" t="s">
        <v>1284</v>
      </c>
      <c r="AT1722" s="842" t="s">
        <v>1235</v>
      </c>
      <c r="AU1722" s="842" t="s">
        <v>4595</v>
      </c>
      <c r="AV1722" s="843" t="s">
        <v>5718</v>
      </c>
      <c r="AW1722" s="861">
        <v>45961</v>
      </c>
      <c r="AX1722" s="862">
        <v>45965</v>
      </c>
      <c r="AY1722" s="843" t="s">
        <v>5835</v>
      </c>
      <c r="AZ1722" s="842" t="s">
        <v>3183</v>
      </c>
      <c r="BA1722" s="842" t="s">
        <v>120</v>
      </c>
      <c r="BB1722" s="863" t="s">
        <v>121</v>
      </c>
      <c r="BC1722" s="864">
        <v>45967</v>
      </c>
      <c r="BD1722" s="860" t="s">
        <v>5708</v>
      </c>
      <c r="BE1722" s="865" cm="1">
        <f t="array" ref="BE1722">IF(BD1722="","",AC1722/SUMPRODUCT(--(BD1722=$BD$4:$BD$12824),$AC$4:$AC$12824))</f>
        <v>1.314722124156721E-2</v>
      </c>
      <c r="BF1722" s="458"/>
      <c r="BG1722" s="458"/>
      <c r="BH1722" s="458"/>
      <c r="BI1722" s="458"/>
      <c r="BJ1722" s="458"/>
      <c r="BK1722" s="458"/>
      <c r="BL1722" s="458"/>
      <c r="BM1722" s="458"/>
      <c r="BN1722" s="458"/>
      <c r="BO1722" s="866">
        <f>VLOOKUP(BD1722,$BD$4:$BN$12824,3,0)*BE1722</f>
        <v>556321.36688438489</v>
      </c>
      <c r="BP1722" s="866"/>
      <c r="BQ1722" s="866"/>
      <c r="BR1722" s="866">
        <f>VLOOKUP(BD1722,$BD$4:$BN$12824,6,0)*BE1722</f>
        <v>104954.97322590511</v>
      </c>
      <c r="BS1722" s="866">
        <f>VLOOKUP(BD1722,$BD$4:$BN$12824,7,0)*BE1722</f>
        <v>91517.675590336919</v>
      </c>
      <c r="BT1722" s="866"/>
      <c r="BU1722" s="866">
        <f>VLOOKUP(BD1722,$BD$4:$BN$12824,9,0)*BE1722</f>
        <v>7362.4438952776372</v>
      </c>
      <c r="BV1722" s="867"/>
      <c r="BW1722" s="867">
        <f>VLOOKUP(BD1722,$BD$4:$BN$12824,11,0)*BE1722</f>
        <v>66003.919973867974</v>
      </c>
      <c r="BX1722" s="1146">
        <f t="shared" si="320"/>
        <v>826160.37956977251</v>
      </c>
      <c r="BY1722" s="867">
        <f t="shared" si="322"/>
        <v>23289308.998492442</v>
      </c>
      <c r="BZ1722" s="867">
        <f t="shared" si="321"/>
        <v>93157235.993969768</v>
      </c>
      <c r="CA1722" s="867">
        <f>_xlfn.MAXIFS($BY$4:$BY$12824,$S$4:$S$12824,$S1722)</f>
        <v>23289308.998492442</v>
      </c>
      <c r="CB1722" s="1032"/>
      <c r="CF1722" s="946">
        <f t="shared" si="329"/>
        <v>98219520</v>
      </c>
    </row>
    <row r="1723" spans="2:84">
      <c r="B1723" s="839" t="s">
        <v>98</v>
      </c>
      <c r="C1723" s="839" t="s">
        <v>5697</v>
      </c>
      <c r="D1723" s="839" t="s">
        <v>5754</v>
      </c>
      <c r="E1723" s="839" t="s">
        <v>5754</v>
      </c>
      <c r="F1723" s="841">
        <v>45805</v>
      </c>
      <c r="G1723" s="839" t="s">
        <v>5697</v>
      </c>
      <c r="H1723" s="883" t="s">
        <v>3457</v>
      </c>
      <c r="I1723" s="883"/>
      <c r="J1723" s="841"/>
      <c r="K1723" s="841"/>
      <c r="L1723" s="843" t="s">
        <v>5257</v>
      </c>
      <c r="M1723" s="844" t="s">
        <v>107</v>
      </c>
      <c r="N1723" s="841"/>
      <c r="O1723" s="884" t="s">
        <v>150</v>
      </c>
      <c r="P1723" s="842" t="s">
        <v>5168</v>
      </c>
      <c r="Q1723" s="843"/>
      <c r="R1723" s="845" t="s">
        <v>5836</v>
      </c>
      <c r="S1723" s="1127" t="s">
        <v>5837</v>
      </c>
      <c r="T1723" s="885" t="s">
        <v>5838</v>
      </c>
      <c r="U1723" s="886">
        <v>2</v>
      </c>
      <c r="V1723" s="842" t="s">
        <v>3</v>
      </c>
      <c r="W1723" s="846">
        <v>2065</v>
      </c>
      <c r="X1723" s="847">
        <f t="shared" si="330"/>
        <v>4130</v>
      </c>
      <c r="Y1723" s="853" t="s">
        <v>5703</v>
      </c>
      <c r="Z1723" s="849">
        <v>1077.93</v>
      </c>
      <c r="AA1723" s="849"/>
      <c r="AB1723" s="849">
        <f t="shared" si="316"/>
        <v>2155.86</v>
      </c>
      <c r="AC1723" s="850">
        <f t="shared" si="317"/>
        <v>2155.86</v>
      </c>
      <c r="AD1723" s="851">
        <f t="shared" si="328"/>
        <v>32000</v>
      </c>
      <c r="AE1723" s="852">
        <v>30081.54</v>
      </c>
      <c r="AF1723" s="865">
        <v>0</v>
      </c>
      <c r="AG1723" s="854">
        <f t="shared" si="318"/>
        <v>0</v>
      </c>
      <c r="AH1723" s="853">
        <v>0.08</v>
      </c>
      <c r="AI1723" s="855">
        <f t="shared" si="319"/>
        <v>5188127.1059520012</v>
      </c>
      <c r="AJ1723" s="845" t="s">
        <v>5704</v>
      </c>
      <c r="AK1723" s="857">
        <v>45898</v>
      </c>
      <c r="AL1723" s="843" t="s">
        <v>5705</v>
      </c>
      <c r="AM1723" s="843" t="s">
        <v>5641</v>
      </c>
      <c r="AN1723" s="844" t="s">
        <v>5642</v>
      </c>
      <c r="AO1723" s="844" t="s">
        <v>141</v>
      </c>
      <c r="AP1723" s="841"/>
      <c r="AQ1723" s="841">
        <v>45906</v>
      </c>
      <c r="AR1723" s="841">
        <v>45958</v>
      </c>
      <c r="AS1723" s="842" t="s">
        <v>1284</v>
      </c>
      <c r="AT1723" s="842" t="s">
        <v>1235</v>
      </c>
      <c r="AU1723" s="842" t="s">
        <v>4595</v>
      </c>
      <c r="AV1723" s="843" t="s">
        <v>5718</v>
      </c>
      <c r="AW1723" s="861">
        <v>45961</v>
      </c>
      <c r="AX1723" s="862">
        <v>45965</v>
      </c>
      <c r="AY1723" s="843" t="s">
        <v>5839</v>
      </c>
      <c r="AZ1723" s="842" t="s">
        <v>3183</v>
      </c>
      <c r="BA1723" s="842" t="s">
        <v>120</v>
      </c>
      <c r="BB1723" s="863" t="s">
        <v>121</v>
      </c>
      <c r="BC1723" s="864">
        <v>45967</v>
      </c>
      <c r="BD1723" s="860" t="s">
        <v>5708</v>
      </c>
      <c r="BE1723" s="865" cm="1">
        <f t="array" ref="BE1723">IF(BD1723="","",AC1723/SUMPRODUCT(--(BD1723=$BD$4:$BD$12824),$AC$4:$AC$12824))</f>
        <v>9.234357776815064E-3</v>
      </c>
      <c r="BF1723" s="458"/>
      <c r="BG1723" s="458"/>
      <c r="BH1723" s="458"/>
      <c r="BI1723" s="458"/>
      <c r="BJ1723" s="458"/>
      <c r="BK1723" s="458"/>
      <c r="BL1723" s="458"/>
      <c r="BM1723" s="458"/>
      <c r="BN1723" s="458"/>
      <c r="BO1723" s="866">
        <f>VLOOKUP(BD1723,$BD$4:$BN$12824,3,0)*BE1723</f>
        <v>390749.53150212747</v>
      </c>
      <c r="BP1723" s="866"/>
      <c r="BQ1723" s="866"/>
      <c r="BR1723" s="866">
        <f>VLOOKUP(BD1723,$BD$4:$BN$12824,6,0)*BE1723</f>
        <v>73718.37405152859</v>
      </c>
      <c r="BS1723" s="866">
        <f>VLOOKUP(BD1723,$BD$4:$BN$12824,7,0)*BE1723</f>
        <v>64280.272140831883</v>
      </c>
      <c r="BT1723" s="866"/>
      <c r="BU1723" s="866">
        <f>VLOOKUP(BD1723,$BD$4:$BN$12824,9,0)*BE1723</f>
        <v>5171.2403550164354</v>
      </c>
      <c r="BV1723" s="867"/>
      <c r="BW1723" s="867">
        <f>VLOOKUP(BD1723,$BD$4:$BN$12824,11,0)*BE1723</f>
        <v>46359.896172121553</v>
      </c>
      <c r="BX1723" s="1146">
        <f t="shared" si="320"/>
        <v>580279.31422162591</v>
      </c>
      <c r="BY1723" s="867">
        <f t="shared" si="322"/>
        <v>32715934.069310818</v>
      </c>
      <c r="BZ1723" s="867">
        <f t="shared" si="321"/>
        <v>65431868.138621636</v>
      </c>
      <c r="CA1723" s="867">
        <f>_xlfn.MAXIFS($BY$4:$BY$12824,$S$4:$S$12824,$S1723)</f>
        <v>32715934.069310818</v>
      </c>
      <c r="CB1723" s="1032"/>
      <c r="CF1723" s="946">
        <f t="shared" si="329"/>
        <v>68987520</v>
      </c>
    </row>
    <row r="1724" spans="2:84">
      <c r="B1724" s="839" t="s">
        <v>98</v>
      </c>
      <c r="C1724" s="839" t="s">
        <v>5697</v>
      </c>
      <c r="D1724" s="839" t="s">
        <v>5754</v>
      </c>
      <c r="E1724" s="839" t="s">
        <v>5754</v>
      </c>
      <c r="F1724" s="841">
        <v>45805</v>
      </c>
      <c r="G1724" s="839" t="s">
        <v>5697</v>
      </c>
      <c r="H1724" s="883" t="s">
        <v>3457</v>
      </c>
      <c r="I1724" s="883"/>
      <c r="J1724" s="841"/>
      <c r="K1724" s="841"/>
      <c r="L1724" s="843" t="s">
        <v>5257</v>
      </c>
      <c r="M1724" s="844" t="s">
        <v>107</v>
      </c>
      <c r="N1724" s="841"/>
      <c r="O1724" s="884" t="s">
        <v>150</v>
      </c>
      <c r="P1724" s="842" t="s">
        <v>5168</v>
      </c>
      <c r="Q1724" s="843"/>
      <c r="R1724" s="845" t="s">
        <v>5840</v>
      </c>
      <c r="S1724" s="1127" t="s">
        <v>5841</v>
      </c>
      <c r="T1724" s="885" t="s">
        <v>5842</v>
      </c>
      <c r="U1724" s="886">
        <v>2</v>
      </c>
      <c r="V1724" s="842" t="s">
        <v>3</v>
      </c>
      <c r="W1724" s="846">
        <v>2415</v>
      </c>
      <c r="X1724" s="847">
        <f t="shared" si="330"/>
        <v>4830</v>
      </c>
      <c r="Y1724" s="853" t="s">
        <v>5703</v>
      </c>
      <c r="Z1724" s="849">
        <v>1260.6300000000001</v>
      </c>
      <c r="AA1724" s="849"/>
      <c r="AB1724" s="849">
        <f t="shared" si="316"/>
        <v>2521.2600000000002</v>
      </c>
      <c r="AC1724" s="850">
        <f t="shared" si="317"/>
        <v>2521.2600000000002</v>
      </c>
      <c r="AD1724" s="851">
        <f t="shared" si="328"/>
        <v>32000</v>
      </c>
      <c r="AE1724" s="852">
        <v>30081.54</v>
      </c>
      <c r="AF1724" s="865">
        <v>0</v>
      </c>
      <c r="AG1724" s="854">
        <f t="shared" si="318"/>
        <v>0</v>
      </c>
      <c r="AH1724" s="853">
        <v>0.08</v>
      </c>
      <c r="AI1724" s="855">
        <f t="shared" si="319"/>
        <v>6067470.683232001</v>
      </c>
      <c r="AJ1724" s="845" t="s">
        <v>5704</v>
      </c>
      <c r="AK1724" s="857">
        <v>45898</v>
      </c>
      <c r="AL1724" s="843" t="s">
        <v>5705</v>
      </c>
      <c r="AM1724" s="843" t="s">
        <v>5641</v>
      </c>
      <c r="AN1724" s="844" t="s">
        <v>5642</v>
      </c>
      <c r="AO1724" s="844" t="s">
        <v>141</v>
      </c>
      <c r="AP1724" s="841"/>
      <c r="AQ1724" s="841">
        <v>45906</v>
      </c>
      <c r="AR1724" s="841">
        <v>45958</v>
      </c>
      <c r="AS1724" s="842" t="s">
        <v>1284</v>
      </c>
      <c r="AT1724" s="842" t="s">
        <v>1235</v>
      </c>
      <c r="AU1724" s="842" t="s">
        <v>4595</v>
      </c>
      <c r="AV1724" s="843" t="s">
        <v>5718</v>
      </c>
      <c r="AW1724" s="861">
        <v>45961</v>
      </c>
      <c r="AX1724" s="862">
        <v>45965</v>
      </c>
      <c r="AY1724" s="843" t="s">
        <v>5843</v>
      </c>
      <c r="AZ1724" s="842" t="s">
        <v>3183</v>
      </c>
      <c r="BA1724" s="842" t="s">
        <v>120</v>
      </c>
      <c r="BB1724" s="863" t="s">
        <v>121</v>
      </c>
      <c r="BC1724" s="864">
        <v>45967</v>
      </c>
      <c r="BD1724" s="860" t="s">
        <v>5708</v>
      </c>
      <c r="BE1724" s="865" cm="1">
        <f t="array" ref="BE1724">IF(BD1724="","",AC1724/SUMPRODUCT(--(BD1724=$BD$4:$BD$12824),$AC$4:$AC$12824))</f>
        <v>1.0799503162715923E-2</v>
      </c>
      <c r="BF1724" s="458"/>
      <c r="BG1724" s="458"/>
      <c r="BH1724" s="458"/>
      <c r="BI1724" s="458"/>
      <c r="BJ1724" s="458"/>
      <c r="BK1724" s="458"/>
      <c r="BL1724" s="458"/>
      <c r="BM1724" s="458"/>
      <c r="BN1724" s="458"/>
      <c r="BO1724" s="866">
        <f>VLOOKUP(BD1724,$BD$4:$BN$12824,3,0)*BE1724</f>
        <v>456978.26565503044</v>
      </c>
      <c r="BP1724" s="866"/>
      <c r="BQ1724" s="866"/>
      <c r="BR1724" s="866">
        <f>VLOOKUP(BD1724,$BD$4:$BN$12824,6,0)*BE1724</f>
        <v>86213.013721279203</v>
      </c>
      <c r="BS1724" s="866">
        <f>VLOOKUP(BD1724,$BD$4:$BN$12824,7,0)*BE1724</f>
        <v>75175.233520633905</v>
      </c>
      <c r="BT1724" s="866"/>
      <c r="BU1724" s="866">
        <f>VLOOKUP(BD1724,$BD$4:$BN$12824,9,0)*BE1724</f>
        <v>6047.7217711209169</v>
      </c>
      <c r="BV1724" s="867"/>
      <c r="BW1724" s="867">
        <f>VLOOKUP(BD1724,$BD$4:$BN$12824,11,0)*BE1724</f>
        <v>54217.505692820123</v>
      </c>
      <c r="BX1724" s="1146">
        <f t="shared" si="320"/>
        <v>678631.74036088446</v>
      </c>
      <c r="BY1724" s="867">
        <f t="shared" si="322"/>
        <v>38261007.64038045</v>
      </c>
      <c r="BZ1724" s="867">
        <f t="shared" si="321"/>
        <v>76522015.280760899</v>
      </c>
      <c r="CA1724" s="867">
        <f>_xlfn.MAXIFS($BY$4:$BY$12824,$S$4:$S$12824,$S1724)</f>
        <v>38261007.64038045</v>
      </c>
      <c r="CB1724" s="1032"/>
      <c r="CF1724" s="946">
        <f t="shared" si="329"/>
        <v>80680320</v>
      </c>
    </row>
    <row r="1725" spans="2:84">
      <c r="B1725" s="839" t="s">
        <v>98</v>
      </c>
      <c r="C1725" s="839" t="s">
        <v>5697</v>
      </c>
      <c r="D1725" s="839" t="s">
        <v>5754</v>
      </c>
      <c r="E1725" s="839" t="s">
        <v>5754</v>
      </c>
      <c r="F1725" s="841">
        <v>45805</v>
      </c>
      <c r="G1725" s="839" t="s">
        <v>5697</v>
      </c>
      <c r="H1725" s="883" t="s">
        <v>3457</v>
      </c>
      <c r="I1725" s="883"/>
      <c r="J1725" s="841"/>
      <c r="K1725" s="841"/>
      <c r="L1725" s="843" t="s">
        <v>5257</v>
      </c>
      <c r="M1725" s="844" t="s">
        <v>107</v>
      </c>
      <c r="N1725" s="841"/>
      <c r="O1725" s="884" t="s">
        <v>150</v>
      </c>
      <c r="P1725" s="842" t="s">
        <v>5168</v>
      </c>
      <c r="Q1725" s="843"/>
      <c r="R1725" s="845" t="s">
        <v>5844</v>
      </c>
      <c r="S1725" s="1127" t="s">
        <v>5845</v>
      </c>
      <c r="T1725" s="885" t="s">
        <v>5846</v>
      </c>
      <c r="U1725" s="886">
        <v>3</v>
      </c>
      <c r="V1725" s="842" t="s">
        <v>3</v>
      </c>
      <c r="W1725" s="846">
        <v>1850</v>
      </c>
      <c r="X1725" s="847">
        <f t="shared" si="330"/>
        <v>5550</v>
      </c>
      <c r="Y1725" s="853" t="s">
        <v>5703</v>
      </c>
      <c r="Z1725" s="849">
        <v>965.7</v>
      </c>
      <c r="AA1725" s="849"/>
      <c r="AB1725" s="849">
        <f t="shared" si="316"/>
        <v>2897.1000000000004</v>
      </c>
      <c r="AC1725" s="850">
        <f t="shared" si="317"/>
        <v>2897.1000000000004</v>
      </c>
      <c r="AD1725" s="851">
        <f t="shared" si="328"/>
        <v>32000</v>
      </c>
      <c r="AE1725" s="852">
        <v>30081.54</v>
      </c>
      <c r="AF1725" s="865">
        <v>0</v>
      </c>
      <c r="AG1725" s="854">
        <f t="shared" si="318"/>
        <v>0</v>
      </c>
      <c r="AH1725" s="853">
        <v>0.08</v>
      </c>
      <c r="AI1725" s="855">
        <f t="shared" si="319"/>
        <v>6971938.3627200006</v>
      </c>
      <c r="AJ1725" s="845" t="s">
        <v>5704</v>
      </c>
      <c r="AK1725" s="857">
        <v>45898</v>
      </c>
      <c r="AL1725" s="843" t="s">
        <v>5705</v>
      </c>
      <c r="AM1725" s="843" t="s">
        <v>5641</v>
      </c>
      <c r="AN1725" s="844" t="s">
        <v>5642</v>
      </c>
      <c r="AO1725" s="844" t="s">
        <v>141</v>
      </c>
      <c r="AP1725" s="841"/>
      <c r="AQ1725" s="841">
        <v>45906</v>
      </c>
      <c r="AR1725" s="841">
        <v>45958</v>
      </c>
      <c r="AS1725" s="842" t="s">
        <v>1284</v>
      </c>
      <c r="AT1725" s="842" t="s">
        <v>1235</v>
      </c>
      <c r="AU1725" s="842" t="s">
        <v>4595</v>
      </c>
      <c r="AV1725" s="843" t="s">
        <v>5718</v>
      </c>
      <c r="AW1725" s="861">
        <v>45961</v>
      </c>
      <c r="AX1725" s="862">
        <v>45965</v>
      </c>
      <c r="AY1725" s="843" t="s">
        <v>5847</v>
      </c>
      <c r="AZ1725" s="842" t="s">
        <v>3183</v>
      </c>
      <c r="BA1725" s="842" t="s">
        <v>120</v>
      </c>
      <c r="BB1725" s="863" t="s">
        <v>121</v>
      </c>
      <c r="BC1725" s="864">
        <v>45967</v>
      </c>
      <c r="BD1725" s="860" t="s">
        <v>5708</v>
      </c>
      <c r="BE1725" s="865" cm="1">
        <f t="array" ref="BE1725">IF(BD1725="","",AC1725/SUMPRODUCT(--(BD1725=$BD$4:$BD$12824),$AC$4:$AC$12824))</f>
        <v>1.2409366988213948E-2</v>
      </c>
      <c r="BF1725" s="458"/>
      <c r="BG1725" s="458"/>
      <c r="BH1725" s="458"/>
      <c r="BI1725" s="458"/>
      <c r="BJ1725" s="458"/>
      <c r="BK1725" s="458"/>
      <c r="BL1725" s="458"/>
      <c r="BM1725" s="458"/>
      <c r="BN1725" s="458"/>
      <c r="BO1725" s="866">
        <f>VLOOKUP(BD1725,$BD$4:$BN$12824,3,0)*BE1725</f>
        <v>525099.24935515912</v>
      </c>
      <c r="BP1725" s="866"/>
      <c r="BQ1725" s="866"/>
      <c r="BR1725" s="866">
        <f>VLOOKUP(BD1725,$BD$4:$BN$12824,6,0)*BE1725</f>
        <v>99064.64309587983</v>
      </c>
      <c r="BS1725" s="866">
        <f>VLOOKUP(BD1725,$BD$4:$BN$12824,7,0)*BE1725</f>
        <v>86381.479511287398</v>
      </c>
      <c r="BT1725" s="866"/>
      <c r="BU1725" s="866">
        <f>VLOOKUP(BD1725,$BD$4:$BN$12824,9,0)*BE1725</f>
        <v>6949.245513399811</v>
      </c>
      <c r="BV1725" s="867"/>
      <c r="BW1725" s="867">
        <f>VLOOKUP(BD1725,$BD$4:$BN$12824,11,0)*BE1725</f>
        <v>62299.618342681504</v>
      </c>
      <c r="BX1725" s="1146">
        <f t="shared" si="320"/>
        <v>779794.23581840773</v>
      </c>
      <c r="BY1725" s="867">
        <f t="shared" si="322"/>
        <v>29309674.589939471</v>
      </c>
      <c r="BZ1725" s="867">
        <f t="shared" si="321"/>
        <v>87929023.76981841</v>
      </c>
      <c r="CA1725" s="867">
        <f>_xlfn.MAXIFS($BY$4:$BY$12824,$S$4:$S$12824,$S1725)</f>
        <v>29309674.589939471</v>
      </c>
      <c r="CB1725" s="1032"/>
      <c r="CF1725" s="946">
        <f t="shared" si="329"/>
        <v>92707200.000000015</v>
      </c>
    </row>
    <row r="1726" spans="2:84">
      <c r="B1726" s="839" t="s">
        <v>98</v>
      </c>
      <c r="C1726" s="839" t="s">
        <v>5697</v>
      </c>
      <c r="D1726" s="839" t="s">
        <v>5754</v>
      </c>
      <c r="E1726" s="839" t="s">
        <v>5754</v>
      </c>
      <c r="F1726" s="841">
        <v>45805</v>
      </c>
      <c r="G1726" s="839" t="s">
        <v>5697</v>
      </c>
      <c r="H1726" s="883" t="s">
        <v>3457</v>
      </c>
      <c r="I1726" s="883"/>
      <c r="J1726" s="841"/>
      <c r="K1726" s="841"/>
      <c r="L1726" s="843" t="s">
        <v>5257</v>
      </c>
      <c r="M1726" s="844" t="s">
        <v>107</v>
      </c>
      <c r="N1726" s="841"/>
      <c r="O1726" s="884" t="s">
        <v>150</v>
      </c>
      <c r="P1726" s="842" t="s">
        <v>5168</v>
      </c>
      <c r="Q1726" s="843"/>
      <c r="R1726" s="845" t="s">
        <v>5848</v>
      </c>
      <c r="S1726" s="1127" t="s">
        <v>5849</v>
      </c>
      <c r="T1726" s="885" t="s">
        <v>5850</v>
      </c>
      <c r="U1726" s="886">
        <v>2</v>
      </c>
      <c r="V1726" s="842" t="s">
        <v>3</v>
      </c>
      <c r="W1726" s="846">
        <v>2695</v>
      </c>
      <c r="X1726" s="847">
        <f t="shared" si="330"/>
        <v>5390</v>
      </c>
      <c r="Y1726" s="853" t="s">
        <v>5703</v>
      </c>
      <c r="Z1726" s="849">
        <v>1406.79</v>
      </c>
      <c r="AA1726" s="849"/>
      <c r="AB1726" s="849">
        <f t="shared" si="316"/>
        <v>2813.58</v>
      </c>
      <c r="AC1726" s="850">
        <f t="shared" si="317"/>
        <v>2813.58</v>
      </c>
      <c r="AD1726" s="851">
        <f t="shared" si="328"/>
        <v>32000</v>
      </c>
      <c r="AE1726" s="852">
        <v>30081.54</v>
      </c>
      <c r="AF1726" s="865">
        <v>0</v>
      </c>
      <c r="AG1726" s="854">
        <f t="shared" si="318"/>
        <v>0</v>
      </c>
      <c r="AH1726" s="853">
        <v>0.08</v>
      </c>
      <c r="AI1726" s="855">
        <f t="shared" si="319"/>
        <v>6770945.5450560004</v>
      </c>
      <c r="AJ1726" s="845" t="s">
        <v>5704</v>
      </c>
      <c r="AK1726" s="857">
        <v>45898</v>
      </c>
      <c r="AL1726" s="843" t="s">
        <v>5705</v>
      </c>
      <c r="AM1726" s="843" t="s">
        <v>5641</v>
      </c>
      <c r="AN1726" s="844" t="s">
        <v>5642</v>
      </c>
      <c r="AO1726" s="844" t="s">
        <v>141</v>
      </c>
      <c r="AP1726" s="841"/>
      <c r="AQ1726" s="841">
        <v>45906</v>
      </c>
      <c r="AR1726" s="841">
        <v>45958</v>
      </c>
      <c r="AS1726" s="842" t="s">
        <v>1284</v>
      </c>
      <c r="AT1726" s="842" t="s">
        <v>1235</v>
      </c>
      <c r="AU1726" s="842" t="s">
        <v>4595</v>
      </c>
      <c r="AV1726" s="843" t="s">
        <v>5718</v>
      </c>
      <c r="AW1726" s="861">
        <v>45961</v>
      </c>
      <c r="AX1726" s="862">
        <v>45965</v>
      </c>
      <c r="AY1726" s="843" t="s">
        <v>5851</v>
      </c>
      <c r="AZ1726" s="842" t="s">
        <v>4276</v>
      </c>
      <c r="BA1726" s="842" t="s">
        <v>120</v>
      </c>
      <c r="BB1726" s="863" t="s">
        <v>121</v>
      </c>
      <c r="BC1726" s="864">
        <v>45967</v>
      </c>
      <c r="BD1726" s="860" t="s">
        <v>5708</v>
      </c>
      <c r="BE1726" s="865" cm="1">
        <f t="array" ref="BE1726">IF(BD1726="","",AC1726/SUMPRODUCT(--(BD1726=$BD$4:$BD$12824),$AC$4:$AC$12824))</f>
        <v>1.2051619471436608E-2</v>
      </c>
      <c r="BF1726" s="458"/>
      <c r="BG1726" s="458"/>
      <c r="BH1726" s="458"/>
      <c r="BI1726" s="458"/>
      <c r="BJ1726" s="458"/>
      <c r="BK1726" s="458"/>
      <c r="BL1726" s="458"/>
      <c r="BM1726" s="458"/>
      <c r="BN1726" s="458"/>
      <c r="BO1726" s="866">
        <f>VLOOKUP(BD1726,$BD$4:$BN$12824,3,0)*BE1726</f>
        <v>509961.25297735276</v>
      </c>
      <c r="BP1726" s="866"/>
      <c r="BQ1726" s="866"/>
      <c r="BR1726" s="866">
        <f>VLOOKUP(BD1726,$BD$4:$BN$12824,6,0)*BE1726</f>
        <v>96208.725457079679</v>
      </c>
      <c r="BS1726" s="866">
        <f>VLOOKUP(BD1726,$BD$4:$BN$12824,7,0)*BE1726</f>
        <v>83891.202624475496</v>
      </c>
      <c r="BT1726" s="866"/>
      <c r="BU1726" s="866">
        <f>VLOOKUP(BD1726,$BD$4:$BN$12824,9,0)*BE1726</f>
        <v>6748.9069040045006</v>
      </c>
      <c r="BV1726" s="867"/>
      <c r="BW1726" s="867">
        <f>VLOOKUP(BD1726,$BD$4:$BN$12824,11,0)*BE1726</f>
        <v>60503.593309378972</v>
      </c>
      <c r="BX1726" s="1146">
        <f t="shared" si="320"/>
        <v>757313.68127229135</v>
      </c>
      <c r="BY1726" s="867">
        <f t="shared" si="322"/>
        <v>42697066.497236148</v>
      </c>
      <c r="BZ1726" s="867">
        <f t="shared" si="321"/>
        <v>85394132.994472295</v>
      </c>
      <c r="CA1726" s="867">
        <f>_xlfn.MAXIFS($BY$4:$BY$12824,$S$4:$S$12824,$S1726)</f>
        <v>42697066.497236148</v>
      </c>
      <c r="CB1726" s="1032"/>
      <c r="CF1726" s="946">
        <f t="shared" si="329"/>
        <v>90034560</v>
      </c>
    </row>
    <row r="1727" spans="2:84">
      <c r="B1727" s="839" t="s">
        <v>98</v>
      </c>
      <c r="C1727" s="839" t="s">
        <v>5697</v>
      </c>
      <c r="D1727" s="839" t="s">
        <v>5754</v>
      </c>
      <c r="E1727" s="839" t="s">
        <v>5754</v>
      </c>
      <c r="F1727" s="841">
        <v>45805</v>
      </c>
      <c r="G1727" s="839" t="s">
        <v>5697</v>
      </c>
      <c r="H1727" s="883" t="s">
        <v>3457</v>
      </c>
      <c r="I1727" s="883"/>
      <c r="J1727" s="841"/>
      <c r="K1727" s="841"/>
      <c r="L1727" s="843" t="s">
        <v>5257</v>
      </c>
      <c r="M1727" s="844" t="s">
        <v>107</v>
      </c>
      <c r="N1727" s="841"/>
      <c r="O1727" s="884" t="s">
        <v>150</v>
      </c>
      <c r="P1727" s="842" t="s">
        <v>5168</v>
      </c>
      <c r="Q1727" s="843"/>
      <c r="R1727" s="845" t="s">
        <v>5852</v>
      </c>
      <c r="S1727" s="1127" t="s">
        <v>5853</v>
      </c>
      <c r="T1727" s="885" t="s">
        <v>5854</v>
      </c>
      <c r="U1727" s="886">
        <v>2</v>
      </c>
      <c r="V1727" s="842" t="s">
        <v>3</v>
      </c>
      <c r="W1727" s="846">
        <v>2025</v>
      </c>
      <c r="X1727" s="847">
        <f t="shared" si="330"/>
        <v>4050</v>
      </c>
      <c r="Y1727" s="853" t="s">
        <v>5703</v>
      </c>
      <c r="Z1727" s="849">
        <v>1057.05</v>
      </c>
      <c r="AA1727" s="849"/>
      <c r="AB1727" s="849">
        <f t="shared" si="316"/>
        <v>2114.1</v>
      </c>
      <c r="AC1727" s="850">
        <f t="shared" si="317"/>
        <v>2114.1</v>
      </c>
      <c r="AD1727" s="851">
        <f t="shared" si="328"/>
        <v>32000</v>
      </c>
      <c r="AE1727" s="852">
        <v>30081.54</v>
      </c>
      <c r="AF1727" s="865">
        <v>0</v>
      </c>
      <c r="AG1727" s="854">
        <f t="shared" si="318"/>
        <v>0</v>
      </c>
      <c r="AH1727" s="853">
        <v>0.08</v>
      </c>
      <c r="AI1727" s="855">
        <f t="shared" si="319"/>
        <v>5087630.6971200006</v>
      </c>
      <c r="AJ1727" s="845" t="s">
        <v>5704</v>
      </c>
      <c r="AK1727" s="857">
        <v>45898</v>
      </c>
      <c r="AL1727" s="843" t="s">
        <v>5705</v>
      </c>
      <c r="AM1727" s="843" t="s">
        <v>5641</v>
      </c>
      <c r="AN1727" s="844" t="s">
        <v>5642</v>
      </c>
      <c r="AO1727" s="844" t="s">
        <v>141</v>
      </c>
      <c r="AP1727" s="841"/>
      <c r="AQ1727" s="841">
        <v>45906</v>
      </c>
      <c r="AR1727" s="841">
        <v>45958</v>
      </c>
      <c r="AS1727" s="842" t="s">
        <v>1284</v>
      </c>
      <c r="AT1727" s="842" t="s">
        <v>1235</v>
      </c>
      <c r="AU1727" s="842" t="s">
        <v>4595</v>
      </c>
      <c r="AV1727" s="843" t="s">
        <v>5718</v>
      </c>
      <c r="AW1727" s="861">
        <v>45961</v>
      </c>
      <c r="AX1727" s="862">
        <v>45965</v>
      </c>
      <c r="AY1727" s="843" t="s">
        <v>5855</v>
      </c>
      <c r="AZ1727" s="842" t="s">
        <v>5856</v>
      </c>
      <c r="BA1727" s="842" t="s">
        <v>120</v>
      </c>
      <c r="BB1727" s="863" t="s">
        <v>121</v>
      </c>
      <c r="BC1727" s="864">
        <v>45967</v>
      </c>
      <c r="BD1727" s="860" t="s">
        <v>5708</v>
      </c>
      <c r="BE1727" s="865" cm="1">
        <f t="array" ref="BE1727">IF(BD1727="","",AC1727/SUMPRODUCT(--(BD1727=$BD$4:$BD$12824),$AC$4:$AC$12824))</f>
        <v>9.0554840184263932E-3</v>
      </c>
      <c r="BF1727" s="458"/>
      <c r="BG1727" s="458"/>
      <c r="BH1727" s="458"/>
      <c r="BI1727" s="458"/>
      <c r="BJ1727" s="458"/>
      <c r="BK1727" s="458"/>
      <c r="BL1727" s="458"/>
      <c r="BM1727" s="458"/>
      <c r="BN1727" s="458"/>
      <c r="BO1727" s="866">
        <f>VLOOKUP(BD1727,$BD$4:$BN$12824,3,0)*BE1727</f>
        <v>383180.53331322421</v>
      </c>
      <c r="BP1727" s="866"/>
      <c r="BQ1727" s="866"/>
      <c r="BR1727" s="866">
        <f>VLOOKUP(BD1727,$BD$4:$BN$12824,6,0)*BE1727</f>
        <v>72290.415232128507</v>
      </c>
      <c r="BS1727" s="866">
        <f>VLOOKUP(BD1727,$BD$4:$BN$12824,7,0)*BE1727</f>
        <v>63035.133697425932</v>
      </c>
      <c r="BT1727" s="866"/>
      <c r="BU1727" s="866">
        <f>VLOOKUP(BD1727,$BD$4:$BN$12824,9,0)*BE1727</f>
        <v>5071.0710503187802</v>
      </c>
      <c r="BV1727" s="867"/>
      <c r="BW1727" s="867">
        <f>VLOOKUP(BD1727,$BD$4:$BN$12824,11,0)*BE1727</f>
        <v>45461.883655470279</v>
      </c>
      <c r="BX1727" s="1146">
        <f t="shared" si="320"/>
        <v>569039.03694856772</v>
      </c>
      <c r="BY1727" s="867">
        <f t="shared" si="322"/>
        <v>32082211.375474285</v>
      </c>
      <c r="BZ1727" s="867">
        <f t="shared" si="321"/>
        <v>64164422.750948571</v>
      </c>
      <c r="CA1727" s="867">
        <f>_xlfn.MAXIFS($BY$4:$BY$12824,$S$4:$S$12824,$S1727)</f>
        <v>32082211.375474285</v>
      </c>
      <c r="CB1727" s="1032"/>
      <c r="CF1727" s="946">
        <f t="shared" si="329"/>
        <v>67651200</v>
      </c>
    </row>
    <row r="1728" spans="2:84">
      <c r="B1728" s="839" t="s">
        <v>98</v>
      </c>
      <c r="C1728" s="839" t="s">
        <v>5697</v>
      </c>
      <c r="D1728" s="839" t="s">
        <v>5754</v>
      </c>
      <c r="E1728" s="839" t="s">
        <v>5754</v>
      </c>
      <c r="F1728" s="841">
        <v>45805</v>
      </c>
      <c r="G1728" s="839" t="s">
        <v>5697</v>
      </c>
      <c r="H1728" s="883" t="s">
        <v>3457</v>
      </c>
      <c r="I1728" s="883"/>
      <c r="J1728" s="841"/>
      <c r="K1728" s="841"/>
      <c r="L1728" s="843" t="s">
        <v>5257</v>
      </c>
      <c r="M1728" s="844" t="s">
        <v>107</v>
      </c>
      <c r="N1728" s="841"/>
      <c r="O1728" s="884" t="s">
        <v>150</v>
      </c>
      <c r="P1728" s="842" t="s">
        <v>5168</v>
      </c>
      <c r="Q1728" s="843"/>
      <c r="R1728" s="845" t="s">
        <v>5857</v>
      </c>
      <c r="S1728" s="1127" t="s">
        <v>5858</v>
      </c>
      <c r="T1728" s="885" t="s">
        <v>5859</v>
      </c>
      <c r="U1728" s="886">
        <v>2</v>
      </c>
      <c r="V1728" s="842" t="s">
        <v>3</v>
      </c>
      <c r="W1728" s="846">
        <v>3200</v>
      </c>
      <c r="X1728" s="847">
        <f t="shared" si="330"/>
        <v>6400</v>
      </c>
      <c r="Y1728" s="853" t="s">
        <v>5703</v>
      </c>
      <c r="Z1728" s="849">
        <v>1670.4</v>
      </c>
      <c r="AA1728" s="849"/>
      <c r="AB1728" s="849">
        <f t="shared" si="316"/>
        <v>3340.8</v>
      </c>
      <c r="AC1728" s="850">
        <f t="shared" si="317"/>
        <v>3340.8</v>
      </c>
      <c r="AD1728" s="851">
        <f t="shared" si="328"/>
        <v>32000</v>
      </c>
      <c r="AE1728" s="852">
        <v>30081.54</v>
      </c>
      <c r="AF1728" s="865">
        <v>0</v>
      </c>
      <c r="AG1728" s="854">
        <f t="shared" si="318"/>
        <v>0</v>
      </c>
      <c r="AH1728" s="853">
        <v>0.08</v>
      </c>
      <c r="AI1728" s="855">
        <f t="shared" si="319"/>
        <v>8039712.7065600008</v>
      </c>
      <c r="AJ1728" s="845" t="s">
        <v>5704</v>
      </c>
      <c r="AK1728" s="857">
        <v>45898</v>
      </c>
      <c r="AL1728" s="843" t="s">
        <v>5705</v>
      </c>
      <c r="AM1728" s="843" t="s">
        <v>5641</v>
      </c>
      <c r="AN1728" s="844" t="s">
        <v>5642</v>
      </c>
      <c r="AO1728" s="844" t="s">
        <v>141</v>
      </c>
      <c r="AP1728" s="841"/>
      <c r="AQ1728" s="841">
        <v>45906</v>
      </c>
      <c r="AR1728" s="841">
        <v>45958</v>
      </c>
      <c r="AS1728" s="842" t="s">
        <v>1284</v>
      </c>
      <c r="AT1728" s="842" t="s">
        <v>1235</v>
      </c>
      <c r="AU1728" s="842" t="s">
        <v>4595</v>
      </c>
      <c r="AV1728" s="843" t="s">
        <v>5718</v>
      </c>
      <c r="AW1728" s="861">
        <v>45961</v>
      </c>
      <c r="AX1728" s="862">
        <v>45965</v>
      </c>
      <c r="AY1728" s="843" t="s">
        <v>5860</v>
      </c>
      <c r="AZ1728" s="842" t="s">
        <v>5856</v>
      </c>
      <c r="BA1728" s="842" t="s">
        <v>120</v>
      </c>
      <c r="BB1728" s="863" t="s">
        <v>121</v>
      </c>
      <c r="BC1728" s="864">
        <v>45967</v>
      </c>
      <c r="BD1728" s="860" t="s">
        <v>5708</v>
      </c>
      <c r="BE1728" s="865" cm="1">
        <f t="array" ref="BE1728">IF(BD1728="","",AC1728/SUMPRODUCT(--(BD1728=$BD$4:$BD$12824),$AC$4:$AC$12824))</f>
        <v>1.4309900671093561E-2</v>
      </c>
      <c r="BF1728" s="458"/>
      <c r="BG1728" s="458"/>
      <c r="BH1728" s="458"/>
      <c r="BI1728" s="458"/>
      <c r="BJ1728" s="458"/>
      <c r="BK1728" s="458"/>
      <c r="BL1728" s="458"/>
      <c r="BM1728" s="458"/>
      <c r="BN1728" s="458"/>
      <c r="BO1728" s="866">
        <f>VLOOKUP(BD1728,$BD$4:$BN$12824,3,0)*BE1728</f>
        <v>605519.85511225555</v>
      </c>
      <c r="BP1728" s="866"/>
      <c r="BQ1728" s="866"/>
      <c r="BR1728" s="866">
        <f>VLOOKUP(BD1728,$BD$4:$BN$12824,6,0)*BE1728</f>
        <v>114236.70555200556</v>
      </c>
      <c r="BS1728" s="866">
        <f>VLOOKUP(BD1728,$BD$4:$BN$12824,7,0)*BE1728</f>
        <v>99611.075472475553</v>
      </c>
      <c r="BT1728" s="866"/>
      <c r="BU1728" s="866">
        <f>VLOOKUP(BD1728,$BD$4:$BN$12824,9,0)*BE1728</f>
        <v>8013.5443758123947</v>
      </c>
      <c r="BV1728" s="867"/>
      <c r="BW1728" s="867">
        <f>VLOOKUP(BD1728,$BD$4:$BN$12824,11,0)*BE1728</f>
        <v>71841.001332101194</v>
      </c>
      <c r="BX1728" s="1146">
        <f t="shared" si="320"/>
        <v>899222.1818446503</v>
      </c>
      <c r="BY1728" s="867">
        <f t="shared" si="322"/>
        <v>50697815.506922327</v>
      </c>
      <c r="BZ1728" s="867">
        <f t="shared" si="321"/>
        <v>101395631.01384465</v>
      </c>
      <c r="CA1728" s="867">
        <f>_xlfn.MAXIFS($BY$4:$BY$12824,$S$4:$S$12824,$S1728)</f>
        <v>50697815.506922327</v>
      </c>
      <c r="CB1728" s="1032"/>
      <c r="CF1728" s="946">
        <f t="shared" si="329"/>
        <v>106905600</v>
      </c>
    </row>
    <row r="1729" spans="2:84">
      <c r="B1729" s="839" t="s">
        <v>98</v>
      </c>
      <c r="C1729" s="839" t="s">
        <v>5697</v>
      </c>
      <c r="D1729" s="839" t="s">
        <v>5754</v>
      </c>
      <c r="E1729" s="839" t="s">
        <v>5754</v>
      </c>
      <c r="F1729" s="841">
        <v>45805</v>
      </c>
      <c r="G1729" s="839" t="s">
        <v>5697</v>
      </c>
      <c r="H1729" s="883" t="s">
        <v>3457</v>
      </c>
      <c r="I1729" s="883"/>
      <c r="J1729" s="841"/>
      <c r="K1729" s="841"/>
      <c r="L1729" s="843" t="s">
        <v>5257</v>
      </c>
      <c r="M1729" s="844" t="s">
        <v>107</v>
      </c>
      <c r="N1729" s="841"/>
      <c r="O1729" s="884" t="s">
        <v>150</v>
      </c>
      <c r="P1729" s="842" t="s">
        <v>1947</v>
      </c>
      <c r="Q1729" s="843"/>
      <c r="R1729" s="845" t="s">
        <v>5861</v>
      </c>
      <c r="S1729" s="1127" t="s">
        <v>5862</v>
      </c>
      <c r="T1729" s="885" t="s">
        <v>5863</v>
      </c>
      <c r="U1729" s="886">
        <v>2</v>
      </c>
      <c r="V1729" s="842" t="s">
        <v>3</v>
      </c>
      <c r="W1729" s="846">
        <v>3625</v>
      </c>
      <c r="X1729" s="847">
        <f t="shared" si="330"/>
        <v>7250</v>
      </c>
      <c r="Y1729" s="853" t="s">
        <v>5703</v>
      </c>
      <c r="Z1729" s="849">
        <v>1892.25</v>
      </c>
      <c r="AA1729" s="849"/>
      <c r="AB1729" s="849">
        <f t="shared" si="316"/>
        <v>3784.5</v>
      </c>
      <c r="AC1729" s="850">
        <f t="shared" si="317"/>
        <v>3784.5</v>
      </c>
      <c r="AD1729" s="851">
        <f t="shared" si="328"/>
        <v>32000</v>
      </c>
      <c r="AE1729" s="852">
        <v>30081.54</v>
      </c>
      <c r="AF1729" s="865">
        <v>0</v>
      </c>
      <c r="AG1729" s="854">
        <f t="shared" si="318"/>
        <v>0</v>
      </c>
      <c r="AH1729" s="853">
        <v>0.08</v>
      </c>
      <c r="AI1729" s="855">
        <f t="shared" si="319"/>
        <v>9107487.0504000019</v>
      </c>
      <c r="AJ1729" s="845" t="s">
        <v>5704</v>
      </c>
      <c r="AK1729" s="857">
        <v>45898</v>
      </c>
      <c r="AL1729" s="843" t="s">
        <v>5705</v>
      </c>
      <c r="AM1729" s="843" t="s">
        <v>5641</v>
      </c>
      <c r="AN1729" s="844" t="s">
        <v>5642</v>
      </c>
      <c r="AO1729" s="844" t="s">
        <v>141</v>
      </c>
      <c r="AP1729" s="841"/>
      <c r="AQ1729" s="841">
        <v>45906</v>
      </c>
      <c r="AR1729" s="841">
        <v>45958</v>
      </c>
      <c r="AS1729" s="842" t="s">
        <v>1284</v>
      </c>
      <c r="AT1729" s="842" t="s">
        <v>1235</v>
      </c>
      <c r="AU1729" s="842" t="s">
        <v>4595</v>
      </c>
      <c r="AV1729" s="843" t="s">
        <v>5718</v>
      </c>
      <c r="AW1729" s="861">
        <v>45961</v>
      </c>
      <c r="AX1729" s="862">
        <v>45965</v>
      </c>
      <c r="AY1729" s="843" t="s">
        <v>5864</v>
      </c>
      <c r="AZ1729" s="842" t="s">
        <v>3183</v>
      </c>
      <c r="BA1729" s="842" t="s">
        <v>120</v>
      </c>
      <c r="BB1729" s="863" t="s">
        <v>121</v>
      </c>
      <c r="BC1729" s="864">
        <v>45967</v>
      </c>
      <c r="BD1729" s="860" t="s">
        <v>5708</v>
      </c>
      <c r="BE1729" s="865" cm="1">
        <f t="array" ref="BE1729">IF(BD1729="","",AC1729/SUMPRODUCT(--(BD1729=$BD$4:$BD$12824),$AC$4:$AC$12824))</f>
        <v>1.6210434353973173E-2</v>
      </c>
      <c r="BF1729" s="458"/>
      <c r="BG1729" s="458"/>
      <c r="BH1729" s="458"/>
      <c r="BI1729" s="458"/>
      <c r="BJ1729" s="458"/>
      <c r="BK1729" s="458"/>
      <c r="BL1729" s="458"/>
      <c r="BM1729" s="458"/>
      <c r="BN1729" s="458"/>
      <c r="BO1729" s="866">
        <f>VLOOKUP(BD1729,$BD$4:$BN$12824,3,0)*BE1729</f>
        <v>685940.46086935198</v>
      </c>
      <c r="BP1729" s="866"/>
      <c r="BQ1729" s="866"/>
      <c r="BR1729" s="866">
        <f>VLOOKUP(BD1729,$BD$4:$BN$12824,6,0)*BE1729</f>
        <v>129408.76800813129</v>
      </c>
      <c r="BS1729" s="866">
        <f>VLOOKUP(BD1729,$BD$4:$BN$12824,7,0)*BE1729</f>
        <v>112840.67143366371</v>
      </c>
      <c r="BT1729" s="866"/>
      <c r="BU1729" s="866">
        <f>VLOOKUP(BD1729,$BD$4:$BN$12824,9,0)*BE1729</f>
        <v>9077.8432382249775</v>
      </c>
      <c r="BV1729" s="867"/>
      <c r="BW1729" s="867">
        <f>VLOOKUP(BD1729,$BD$4:$BN$12824,11,0)*BE1729</f>
        <v>81382.384321520876</v>
      </c>
      <c r="BX1729" s="1146">
        <f t="shared" si="320"/>
        <v>1018650.1278708929</v>
      </c>
      <c r="BY1729" s="867">
        <f t="shared" si="322"/>
        <v>57431119.128935449</v>
      </c>
      <c r="BZ1729" s="867">
        <f t="shared" si="321"/>
        <v>114862238.2578709</v>
      </c>
      <c r="CA1729" s="867">
        <f>_xlfn.MAXIFS($BY$4:$BY$12824,$S$4:$S$12824,$S1729)</f>
        <v>57431119.128935449</v>
      </c>
      <c r="CB1729" s="1032"/>
      <c r="CF1729" s="946">
        <f t="shared" si="329"/>
        <v>121104000</v>
      </c>
    </row>
    <row r="1730" spans="2:84">
      <c r="B1730" s="839" t="s">
        <v>98</v>
      </c>
      <c r="C1730" s="839" t="s">
        <v>5697</v>
      </c>
      <c r="D1730" s="839" t="s">
        <v>5754</v>
      </c>
      <c r="E1730" s="839" t="s">
        <v>5754</v>
      </c>
      <c r="F1730" s="841">
        <v>45805</v>
      </c>
      <c r="G1730" s="839" t="s">
        <v>5697</v>
      </c>
      <c r="H1730" s="883" t="s">
        <v>3457</v>
      </c>
      <c r="I1730" s="883"/>
      <c r="J1730" s="841"/>
      <c r="K1730" s="841"/>
      <c r="L1730" s="843" t="s">
        <v>5257</v>
      </c>
      <c r="M1730" s="844" t="s">
        <v>107</v>
      </c>
      <c r="N1730" s="841"/>
      <c r="O1730" s="884" t="s">
        <v>150</v>
      </c>
      <c r="P1730" s="842" t="s">
        <v>1947</v>
      </c>
      <c r="Q1730" s="843"/>
      <c r="R1730" s="845" t="s">
        <v>5865</v>
      </c>
      <c r="S1730" s="1127" t="s">
        <v>5866</v>
      </c>
      <c r="T1730" s="885" t="s">
        <v>5867</v>
      </c>
      <c r="U1730" s="886">
        <v>1</v>
      </c>
      <c r="V1730" s="842" t="s">
        <v>3</v>
      </c>
      <c r="W1730" s="846">
        <v>4985</v>
      </c>
      <c r="X1730" s="847">
        <f t="shared" si="330"/>
        <v>4985</v>
      </c>
      <c r="Y1730" s="853" t="s">
        <v>5703</v>
      </c>
      <c r="Z1730" s="849">
        <v>2602.17</v>
      </c>
      <c r="AA1730" s="849"/>
      <c r="AB1730" s="849">
        <f t="shared" si="316"/>
        <v>2602.17</v>
      </c>
      <c r="AC1730" s="850">
        <f t="shared" si="317"/>
        <v>2602.17</v>
      </c>
      <c r="AD1730" s="851">
        <f t="shared" si="328"/>
        <v>32000</v>
      </c>
      <c r="AE1730" s="852">
        <v>30081.54</v>
      </c>
      <c r="AF1730" s="865">
        <v>0</v>
      </c>
      <c r="AG1730" s="854">
        <f t="shared" si="318"/>
        <v>0</v>
      </c>
      <c r="AH1730" s="853">
        <v>0.08</v>
      </c>
      <c r="AI1730" s="855">
        <f t="shared" si="319"/>
        <v>6262182.4753440004</v>
      </c>
      <c r="AJ1730" s="845" t="s">
        <v>5704</v>
      </c>
      <c r="AK1730" s="857">
        <v>45898</v>
      </c>
      <c r="AL1730" s="843" t="s">
        <v>5705</v>
      </c>
      <c r="AM1730" s="843" t="s">
        <v>5641</v>
      </c>
      <c r="AN1730" s="844" t="s">
        <v>5642</v>
      </c>
      <c r="AO1730" s="844" t="s">
        <v>141</v>
      </c>
      <c r="AP1730" s="841"/>
      <c r="AQ1730" s="841">
        <v>45906</v>
      </c>
      <c r="AR1730" s="841">
        <v>45958</v>
      </c>
      <c r="AS1730" s="842" t="s">
        <v>1284</v>
      </c>
      <c r="AT1730" s="842" t="s">
        <v>1235</v>
      </c>
      <c r="AU1730" s="842" t="s">
        <v>4595</v>
      </c>
      <c r="AV1730" s="843" t="s">
        <v>5706</v>
      </c>
      <c r="AW1730" s="861">
        <v>45961</v>
      </c>
      <c r="AX1730" s="862">
        <v>45965</v>
      </c>
      <c r="AY1730" s="843" t="s">
        <v>5868</v>
      </c>
      <c r="AZ1730" s="842" t="s">
        <v>3183</v>
      </c>
      <c r="BA1730" s="842" t="s">
        <v>120</v>
      </c>
      <c r="BB1730" s="863" t="s">
        <v>121</v>
      </c>
      <c r="BC1730" s="864">
        <v>45967</v>
      </c>
      <c r="BD1730" s="860" t="s">
        <v>5708</v>
      </c>
      <c r="BE1730" s="865" cm="1">
        <f t="array" ref="BE1730">IF(BD1730="","",AC1730/SUMPRODUCT(--(BD1730=$BD$4:$BD$12824),$AC$4:$AC$12824))</f>
        <v>1.114607106959397E-2</v>
      </c>
      <c r="BF1730" s="458"/>
      <c r="BG1730" s="458"/>
      <c r="BH1730" s="458"/>
      <c r="BI1730" s="458"/>
      <c r="BJ1730" s="458"/>
      <c r="BK1730" s="458"/>
      <c r="BL1730" s="458"/>
      <c r="BM1730" s="458"/>
      <c r="BN1730" s="458"/>
      <c r="BO1730" s="866">
        <f>VLOOKUP(BD1730,$BD$4:$BN$12824,3,0)*BE1730</f>
        <v>471643.19964603038</v>
      </c>
      <c r="BP1730" s="866"/>
      <c r="BQ1730" s="866"/>
      <c r="BR1730" s="866">
        <f>VLOOKUP(BD1730,$BD$4:$BN$12824,6,0)*BE1730</f>
        <v>88979.683933866836</v>
      </c>
      <c r="BS1730" s="866">
        <f>VLOOKUP(BD1730,$BD$4:$BN$12824,7,0)*BE1730</f>
        <v>77587.689254732919</v>
      </c>
      <c r="BT1730" s="866"/>
      <c r="BU1730" s="866">
        <f>VLOOKUP(BD1730,$BD$4:$BN$12824,9,0)*BE1730</f>
        <v>6241.7997989726227</v>
      </c>
      <c r="BV1730" s="867"/>
      <c r="BW1730" s="867">
        <f>VLOOKUP(BD1730,$BD$4:$BN$12824,11,0)*BE1730</f>
        <v>55957.404943831949</v>
      </c>
      <c r="BX1730" s="1146">
        <f t="shared" si="320"/>
        <v>700409.77757743478</v>
      </c>
      <c r="BY1730" s="867">
        <f t="shared" si="322"/>
        <v>78977690.719377428</v>
      </c>
      <c r="BZ1730" s="867">
        <f t="shared" si="321"/>
        <v>78977690.719377428</v>
      </c>
      <c r="CA1730" s="867">
        <f>_xlfn.MAXIFS($BY$4:$BY$12824,$S$4:$S$12824,$S1730)</f>
        <v>78977690.719377428</v>
      </c>
      <c r="CB1730" s="1032"/>
      <c r="CF1730" s="946">
        <f t="shared" si="329"/>
        <v>83269440</v>
      </c>
    </row>
    <row r="1731" spans="2:84">
      <c r="B1731" s="839" t="s">
        <v>98</v>
      </c>
      <c r="C1731" s="839" t="s">
        <v>5697</v>
      </c>
      <c r="D1731" s="839" t="s">
        <v>5754</v>
      </c>
      <c r="E1731" s="839" t="s">
        <v>5754</v>
      </c>
      <c r="F1731" s="841">
        <v>45805</v>
      </c>
      <c r="G1731" s="839" t="s">
        <v>5697</v>
      </c>
      <c r="H1731" s="883" t="s">
        <v>3457</v>
      </c>
      <c r="I1731" s="883"/>
      <c r="J1731" s="841"/>
      <c r="K1731" s="841"/>
      <c r="L1731" s="843" t="s">
        <v>5257</v>
      </c>
      <c r="M1731" s="844" t="s">
        <v>107</v>
      </c>
      <c r="N1731" s="841"/>
      <c r="O1731" s="884" t="s">
        <v>150</v>
      </c>
      <c r="P1731" s="842" t="s">
        <v>384</v>
      </c>
      <c r="Q1731" s="843"/>
      <c r="R1731" s="845" t="s">
        <v>5869</v>
      </c>
      <c r="S1731" s="1127" t="s">
        <v>5870</v>
      </c>
      <c r="T1731" s="885" t="s">
        <v>5871</v>
      </c>
      <c r="U1731" s="886">
        <v>2</v>
      </c>
      <c r="V1731" s="842" t="s">
        <v>3</v>
      </c>
      <c r="W1731" s="846">
        <v>4665</v>
      </c>
      <c r="X1731" s="847">
        <f t="shared" si="330"/>
        <v>9330</v>
      </c>
      <c r="Y1731" s="853" t="s">
        <v>5703</v>
      </c>
      <c r="Z1731" s="849">
        <v>2435.13</v>
      </c>
      <c r="AA1731" s="849"/>
      <c r="AB1731" s="849">
        <f t="shared" si="316"/>
        <v>4870.26</v>
      </c>
      <c r="AC1731" s="850">
        <f t="shared" si="317"/>
        <v>4870.26</v>
      </c>
      <c r="AD1731" s="851">
        <f t="shared" si="328"/>
        <v>32000</v>
      </c>
      <c r="AE1731" s="852">
        <v>30081.54</v>
      </c>
      <c r="AF1731" s="865">
        <v>0</v>
      </c>
      <c r="AG1731" s="854">
        <f t="shared" si="318"/>
        <v>0</v>
      </c>
      <c r="AH1731" s="853">
        <v>0.08</v>
      </c>
      <c r="AI1731" s="855">
        <f t="shared" si="319"/>
        <v>11720393.680032</v>
      </c>
      <c r="AJ1731" s="845" t="s">
        <v>5704</v>
      </c>
      <c r="AK1731" s="857">
        <v>45898</v>
      </c>
      <c r="AL1731" s="843" t="s">
        <v>5705</v>
      </c>
      <c r="AM1731" s="843" t="s">
        <v>5641</v>
      </c>
      <c r="AN1731" s="844" t="s">
        <v>5642</v>
      </c>
      <c r="AO1731" s="844" t="s">
        <v>141</v>
      </c>
      <c r="AP1731" s="841"/>
      <c r="AQ1731" s="841">
        <v>45906</v>
      </c>
      <c r="AR1731" s="841">
        <v>45958</v>
      </c>
      <c r="AS1731" s="842" t="s">
        <v>1284</v>
      </c>
      <c r="AT1731" s="842" t="s">
        <v>1235</v>
      </c>
      <c r="AU1731" s="842" t="s">
        <v>4595</v>
      </c>
      <c r="AV1731" s="843" t="s">
        <v>5706</v>
      </c>
      <c r="AW1731" s="861">
        <v>45961</v>
      </c>
      <c r="AX1731" s="862">
        <v>45965</v>
      </c>
      <c r="AY1731" s="843" t="s">
        <v>5872</v>
      </c>
      <c r="AZ1731" s="842" t="s">
        <v>5856</v>
      </c>
      <c r="BA1731" s="842" t="s">
        <v>120</v>
      </c>
      <c r="BB1731" s="863" t="s">
        <v>121</v>
      </c>
      <c r="BC1731" s="864">
        <v>45967</v>
      </c>
      <c r="BD1731" s="860" t="s">
        <v>5708</v>
      </c>
      <c r="BE1731" s="865" cm="1">
        <f t="array" ref="BE1731">IF(BD1731="","",AC1731/SUMPRODUCT(--(BD1731=$BD$4:$BD$12824),$AC$4:$AC$12824))</f>
        <v>2.0861152072078584E-2</v>
      </c>
      <c r="BF1731" s="458"/>
      <c r="BG1731" s="458"/>
      <c r="BH1731" s="458"/>
      <c r="BI1731" s="458"/>
      <c r="BJ1731" s="458"/>
      <c r="BK1731" s="458"/>
      <c r="BL1731" s="458"/>
      <c r="BM1731" s="458"/>
      <c r="BN1731" s="458"/>
      <c r="BO1731" s="866">
        <f>VLOOKUP(BD1731,$BD$4:$BN$12824,3,0)*BE1731</f>
        <v>882734.41378083522</v>
      </c>
      <c r="BP1731" s="866"/>
      <c r="BQ1731" s="866"/>
      <c r="BR1731" s="866">
        <f>VLOOKUP(BD1731,$BD$4:$BN$12824,6,0)*BE1731</f>
        <v>166535.69731253313</v>
      </c>
      <c r="BS1731" s="866">
        <f>VLOOKUP(BD1731,$BD$4:$BN$12824,7,0)*BE1731</f>
        <v>145214.27096221829</v>
      </c>
      <c r="BT1731" s="866"/>
      <c r="BU1731" s="866">
        <f>VLOOKUP(BD1731,$BD$4:$BN$12824,9,0)*BE1731</f>
        <v>11682.245160364007</v>
      </c>
      <c r="BV1731" s="867"/>
      <c r="BW1731" s="867">
        <f>VLOOKUP(BD1731,$BD$4:$BN$12824,11,0)*BE1731</f>
        <v>104730.70975445378</v>
      </c>
      <c r="BX1731" s="1146">
        <f t="shared" si="320"/>
        <v>1310897.3369704045</v>
      </c>
      <c r="BY1731" s="867">
        <f t="shared" si="322"/>
        <v>73907909.168685213</v>
      </c>
      <c r="BZ1731" s="867">
        <f t="shared" si="321"/>
        <v>147815818.33737043</v>
      </c>
      <c r="CA1731" s="867">
        <f>_xlfn.MAXIFS($BY$4:$BY$12824,$S$4:$S$12824,$S1731)</f>
        <v>73907909.168685213</v>
      </c>
      <c r="CB1731" s="1032"/>
      <c r="CF1731" s="946">
        <f t="shared" si="329"/>
        <v>155848320</v>
      </c>
    </row>
    <row r="1732" spans="2:84">
      <c r="B1732" s="839" t="s">
        <v>98</v>
      </c>
      <c r="C1732" s="839" t="s">
        <v>5697</v>
      </c>
      <c r="D1732" s="839" t="s">
        <v>5754</v>
      </c>
      <c r="E1732" s="839" t="s">
        <v>5754</v>
      </c>
      <c r="F1732" s="841">
        <v>45805</v>
      </c>
      <c r="G1732" s="839" t="s">
        <v>5697</v>
      </c>
      <c r="H1732" s="883" t="s">
        <v>3457</v>
      </c>
      <c r="I1732" s="883"/>
      <c r="J1732" s="841"/>
      <c r="K1732" s="841"/>
      <c r="L1732" s="843" t="s">
        <v>5257</v>
      </c>
      <c r="M1732" s="844" t="s">
        <v>107</v>
      </c>
      <c r="N1732" s="841"/>
      <c r="O1732" s="884" t="s">
        <v>150</v>
      </c>
      <c r="P1732" s="842" t="s">
        <v>384</v>
      </c>
      <c r="Q1732" s="843"/>
      <c r="R1732" s="845" t="s">
        <v>5873</v>
      </c>
      <c r="S1732" s="1127" t="s">
        <v>5874</v>
      </c>
      <c r="T1732" s="885" t="s">
        <v>5875</v>
      </c>
      <c r="U1732" s="886">
        <v>1</v>
      </c>
      <c r="V1732" s="842" t="s">
        <v>3</v>
      </c>
      <c r="W1732" s="846">
        <v>4715</v>
      </c>
      <c r="X1732" s="847">
        <f t="shared" si="330"/>
        <v>4715</v>
      </c>
      <c r="Y1732" s="853" t="s">
        <v>5703</v>
      </c>
      <c r="Z1732" s="849">
        <v>2461.23</v>
      </c>
      <c r="AA1732" s="849"/>
      <c r="AB1732" s="849">
        <f t="shared" si="316"/>
        <v>2461.23</v>
      </c>
      <c r="AC1732" s="850">
        <f t="shared" si="317"/>
        <v>2461.23</v>
      </c>
      <c r="AD1732" s="851">
        <f t="shared" si="328"/>
        <v>32000</v>
      </c>
      <c r="AE1732" s="852">
        <v>30081.54</v>
      </c>
      <c r="AF1732" s="865">
        <v>0</v>
      </c>
      <c r="AG1732" s="854">
        <f t="shared" si="318"/>
        <v>0</v>
      </c>
      <c r="AH1732" s="853">
        <v>0.08</v>
      </c>
      <c r="AI1732" s="855">
        <f t="shared" si="319"/>
        <v>5923007.095536001</v>
      </c>
      <c r="AJ1732" s="845" t="s">
        <v>5704</v>
      </c>
      <c r="AK1732" s="857">
        <v>45898</v>
      </c>
      <c r="AL1732" s="843" t="s">
        <v>5705</v>
      </c>
      <c r="AM1732" s="843" t="s">
        <v>5641</v>
      </c>
      <c r="AN1732" s="844" t="s">
        <v>5642</v>
      </c>
      <c r="AO1732" s="844" t="s">
        <v>141</v>
      </c>
      <c r="AP1732" s="841"/>
      <c r="AQ1732" s="841">
        <v>45906</v>
      </c>
      <c r="AR1732" s="841">
        <v>45958</v>
      </c>
      <c r="AS1732" s="842" t="s">
        <v>1284</v>
      </c>
      <c r="AT1732" s="842" t="s">
        <v>1235</v>
      </c>
      <c r="AU1732" s="842" t="s">
        <v>4595</v>
      </c>
      <c r="AV1732" s="843" t="s">
        <v>5706</v>
      </c>
      <c r="AW1732" s="861">
        <v>45961</v>
      </c>
      <c r="AX1732" s="862">
        <v>45965</v>
      </c>
      <c r="AY1732" s="843" t="s">
        <v>5876</v>
      </c>
      <c r="AZ1732" s="842" t="s">
        <v>3183</v>
      </c>
      <c r="BA1732" s="842" t="s">
        <v>120</v>
      </c>
      <c r="BB1732" s="863" t="s">
        <v>121</v>
      </c>
      <c r="BC1732" s="864">
        <v>45967</v>
      </c>
      <c r="BD1732" s="860" t="s">
        <v>5708</v>
      </c>
      <c r="BE1732" s="865" cm="1">
        <f t="array" ref="BE1732">IF(BD1732="","",AC1732/SUMPRODUCT(--(BD1732=$BD$4:$BD$12824),$AC$4:$AC$12824))</f>
        <v>1.0542372135032209E-2</v>
      </c>
      <c r="BF1732" s="458"/>
      <c r="BG1732" s="458"/>
      <c r="BH1732" s="458"/>
      <c r="BI1732" s="458"/>
      <c r="BJ1732" s="458"/>
      <c r="BK1732" s="458"/>
      <c r="BL1732" s="458"/>
      <c r="BM1732" s="458"/>
      <c r="BN1732" s="458"/>
      <c r="BO1732" s="866">
        <f>VLOOKUP(BD1732,$BD$4:$BN$12824,3,0)*BE1732</f>
        <v>446097.83075848204</v>
      </c>
      <c r="BP1732" s="866"/>
      <c r="BQ1732" s="866"/>
      <c r="BR1732" s="866">
        <f>VLOOKUP(BD1732,$BD$4:$BN$12824,6,0)*BE1732</f>
        <v>84160.322918391597</v>
      </c>
      <c r="BS1732" s="866">
        <f>VLOOKUP(BD1732,$BD$4:$BN$12824,7,0)*BE1732</f>
        <v>73385.347008237848</v>
      </c>
      <c r="BT1732" s="866"/>
      <c r="BU1732" s="866">
        <f>VLOOKUP(BD1732,$BD$4:$BN$12824,9,0)*BE1732</f>
        <v>5903.7283956180372</v>
      </c>
      <c r="BV1732" s="867"/>
      <c r="BW1732" s="867">
        <f>VLOOKUP(BD1732,$BD$4:$BN$12824,11,0)*BE1732</f>
        <v>52926.612700133919</v>
      </c>
      <c r="BX1732" s="1146">
        <f t="shared" si="320"/>
        <v>662473.84178086347</v>
      </c>
      <c r="BY1732" s="867">
        <f t="shared" si="322"/>
        <v>74700062.535980865</v>
      </c>
      <c r="BZ1732" s="867">
        <f t="shared" si="321"/>
        <v>74700062.535980865</v>
      </c>
      <c r="CA1732" s="867">
        <f>_xlfn.MAXIFS($BY$4:$BY$12824,$S$4:$S$12824,$S1732)</f>
        <v>76317933.384163484</v>
      </c>
      <c r="CB1732" s="1032"/>
      <c r="CF1732" s="946">
        <f t="shared" si="329"/>
        <v>78759360</v>
      </c>
    </row>
    <row r="1733" spans="2:84">
      <c r="B1733" s="839" t="s">
        <v>98</v>
      </c>
      <c r="C1733" s="839" t="s">
        <v>5697</v>
      </c>
      <c r="D1733" s="839" t="s">
        <v>5754</v>
      </c>
      <c r="E1733" s="839" t="s">
        <v>5754</v>
      </c>
      <c r="F1733" s="841">
        <v>45805</v>
      </c>
      <c r="G1733" s="839" t="s">
        <v>5697</v>
      </c>
      <c r="H1733" s="883" t="s">
        <v>3457</v>
      </c>
      <c r="I1733" s="883"/>
      <c r="J1733" s="841"/>
      <c r="K1733" s="841"/>
      <c r="L1733" s="843" t="s">
        <v>5257</v>
      </c>
      <c r="M1733" s="844" t="s">
        <v>107</v>
      </c>
      <c r="N1733" s="841"/>
      <c r="O1733" s="884" t="s">
        <v>150</v>
      </c>
      <c r="P1733" s="842" t="s">
        <v>384</v>
      </c>
      <c r="Q1733" s="843"/>
      <c r="R1733" s="845" t="s">
        <v>5877</v>
      </c>
      <c r="S1733" s="1127" t="s">
        <v>5878</v>
      </c>
      <c r="T1733" s="885" t="s">
        <v>5879</v>
      </c>
      <c r="U1733" s="886">
        <v>1</v>
      </c>
      <c r="V1733" s="842" t="s">
        <v>3</v>
      </c>
      <c r="W1733" s="846">
        <v>7945</v>
      </c>
      <c r="X1733" s="847">
        <f t="shared" si="330"/>
        <v>7945</v>
      </c>
      <c r="Y1733" s="853" t="s">
        <v>5703</v>
      </c>
      <c r="Z1733" s="849">
        <v>4147.29</v>
      </c>
      <c r="AA1733" s="849"/>
      <c r="AB1733" s="849">
        <f t="shared" ref="AB1733:AB1796" si="331">IF(AA1733="F.O.C", 0, Z1733*U1733)</f>
        <v>4147.29</v>
      </c>
      <c r="AC1733" s="850">
        <f t="shared" ref="AC1733:AC1796" si="332">Z1733*U1733</f>
        <v>4147.29</v>
      </c>
      <c r="AD1733" s="851">
        <f t="shared" si="328"/>
        <v>32000</v>
      </c>
      <c r="AE1733" s="852">
        <v>30081.54</v>
      </c>
      <c r="AF1733" s="865">
        <v>0</v>
      </c>
      <c r="AG1733" s="854">
        <f t="shared" ref="AG1733:AG1796" si="333">(AC1733*AE1733+BO1733+BP1733+BQ1733+BS1733)*AF1733</f>
        <v>0</v>
      </c>
      <c r="AH1733" s="853">
        <v>0.08</v>
      </c>
      <c r="AI1733" s="855">
        <f t="shared" ref="AI1733:AI1796" si="334">(AC1733*AE1733+AG1733+BF1733+BG1733+BH1733+BJ1733)*AH1733</f>
        <v>9980549.6021280009</v>
      </c>
      <c r="AJ1733" s="845" t="s">
        <v>5704</v>
      </c>
      <c r="AK1733" s="857">
        <v>45898</v>
      </c>
      <c r="AL1733" s="843" t="s">
        <v>5705</v>
      </c>
      <c r="AM1733" s="843" t="s">
        <v>5641</v>
      </c>
      <c r="AN1733" s="844" t="s">
        <v>5642</v>
      </c>
      <c r="AO1733" s="844" t="s">
        <v>141</v>
      </c>
      <c r="AP1733" s="841"/>
      <c r="AQ1733" s="841">
        <v>45906</v>
      </c>
      <c r="AR1733" s="841">
        <v>45958</v>
      </c>
      <c r="AS1733" s="842" t="s">
        <v>1284</v>
      </c>
      <c r="AT1733" s="842" t="s">
        <v>1235</v>
      </c>
      <c r="AU1733" s="842" t="s">
        <v>4595</v>
      </c>
      <c r="AV1733" s="843" t="s">
        <v>5706</v>
      </c>
      <c r="AW1733" s="861">
        <v>45961</v>
      </c>
      <c r="AX1733" s="862">
        <v>45965</v>
      </c>
      <c r="AY1733" s="843" t="s">
        <v>5880</v>
      </c>
      <c r="AZ1733" s="842" t="s">
        <v>3183</v>
      </c>
      <c r="BA1733" s="842" t="s">
        <v>120</v>
      </c>
      <c r="BB1733" s="863" t="s">
        <v>121</v>
      </c>
      <c r="BC1733" s="864">
        <v>45967</v>
      </c>
      <c r="BD1733" s="860" t="s">
        <v>5708</v>
      </c>
      <c r="BE1733" s="865" cm="1">
        <f t="array" ref="BE1733">IF(BD1733="","",AC1733/SUMPRODUCT(--(BD1733=$BD$4:$BD$12824),$AC$4:$AC$12824))</f>
        <v>1.7764400129974739E-2</v>
      </c>
      <c r="BF1733" s="458"/>
      <c r="BG1733" s="458"/>
      <c r="BH1733" s="458"/>
      <c r="BI1733" s="458"/>
      <c r="BJ1733" s="458"/>
      <c r="BK1733" s="458"/>
      <c r="BL1733" s="458"/>
      <c r="BM1733" s="458"/>
      <c r="BN1733" s="458"/>
      <c r="BO1733" s="866">
        <f>VLOOKUP(BD1733,$BD$4:$BN$12824,3,0)*BE1733</f>
        <v>751696.13263544848</v>
      </c>
      <c r="BP1733" s="866"/>
      <c r="BQ1733" s="866"/>
      <c r="BR1733" s="866">
        <f>VLOOKUP(BD1733,$BD$4:$BN$12824,6,0)*BE1733</f>
        <v>141814.16025166938</v>
      </c>
      <c r="BS1733" s="866">
        <f>VLOOKUP(BD1733,$BD$4:$BN$12824,7,0)*BE1733</f>
        <v>123657.81166075284</v>
      </c>
      <c r="BT1733" s="866"/>
      <c r="BU1733" s="866">
        <f>VLOOKUP(BD1733,$BD$4:$BN$12824,9,0)*BE1733</f>
        <v>9948.0640727858536</v>
      </c>
      <c r="BV1733" s="867"/>
      <c r="BW1733" s="867">
        <f>VLOOKUP(BD1733,$BD$4:$BN$12824,11,0)*BE1733</f>
        <v>89183.868059928733</v>
      </c>
      <c r="BX1733" s="1146">
        <f t="shared" ref="BX1733:BX1796" si="335">SUM(BO1733:BW1733)</f>
        <v>1116300.0366805852</v>
      </c>
      <c r="BY1733" s="867">
        <f t="shared" si="322"/>
        <v>125873170.06328058</v>
      </c>
      <c r="BZ1733" s="867">
        <f t="shared" ref="BZ1733:BZ1796" si="336">BY1733*U1733</f>
        <v>125873170.06328058</v>
      </c>
      <c r="CA1733" s="867">
        <f>_xlfn.MAXIFS($BY$4:$BY$12824,$S$4:$S$12824,$S1733)</f>
        <v>125873170.06328058</v>
      </c>
      <c r="CB1733" s="1032"/>
      <c r="CF1733" s="946">
        <f t="shared" si="329"/>
        <v>132713280</v>
      </c>
    </row>
    <row r="1734" spans="2:84">
      <c r="B1734" s="839" t="s">
        <v>98</v>
      </c>
      <c r="C1734" s="839" t="s">
        <v>5697</v>
      </c>
      <c r="D1734" s="839" t="s">
        <v>5754</v>
      </c>
      <c r="E1734" s="839" t="s">
        <v>5754</v>
      </c>
      <c r="F1734" s="841">
        <v>45805</v>
      </c>
      <c r="G1734" s="839" t="s">
        <v>5697</v>
      </c>
      <c r="H1734" s="883" t="s">
        <v>3457</v>
      </c>
      <c r="I1734" s="883"/>
      <c r="J1734" s="841"/>
      <c r="K1734" s="841"/>
      <c r="L1734" s="843" t="s">
        <v>5257</v>
      </c>
      <c r="M1734" s="844" t="s">
        <v>107</v>
      </c>
      <c r="N1734" s="841"/>
      <c r="O1734" s="884" t="s">
        <v>150</v>
      </c>
      <c r="P1734" s="842" t="s">
        <v>384</v>
      </c>
      <c r="Q1734" s="843"/>
      <c r="R1734" s="845" t="s">
        <v>5881</v>
      </c>
      <c r="S1734" s="1127" t="s">
        <v>5882</v>
      </c>
      <c r="T1734" s="885" t="s">
        <v>5883</v>
      </c>
      <c r="U1734" s="886">
        <v>2</v>
      </c>
      <c r="V1734" s="842" t="s">
        <v>3</v>
      </c>
      <c r="W1734" s="846">
        <v>4905</v>
      </c>
      <c r="X1734" s="847">
        <f t="shared" si="330"/>
        <v>9810</v>
      </c>
      <c r="Y1734" s="853" t="s">
        <v>5752</v>
      </c>
      <c r="Z1734" s="849">
        <v>2275.92</v>
      </c>
      <c r="AA1734" s="849"/>
      <c r="AB1734" s="849">
        <f t="shared" si="331"/>
        <v>4551.84</v>
      </c>
      <c r="AC1734" s="850">
        <f t="shared" si="332"/>
        <v>4551.84</v>
      </c>
      <c r="AD1734" s="851">
        <f t="shared" si="328"/>
        <v>32000</v>
      </c>
      <c r="AE1734" s="852">
        <v>30081.54</v>
      </c>
      <c r="AF1734" s="865">
        <v>0</v>
      </c>
      <c r="AG1734" s="854">
        <f t="shared" si="333"/>
        <v>0</v>
      </c>
      <c r="AH1734" s="853">
        <v>0.08</v>
      </c>
      <c r="AI1734" s="855">
        <f t="shared" si="334"/>
        <v>10954108.562688001</v>
      </c>
      <c r="AJ1734" s="845" t="s">
        <v>5704</v>
      </c>
      <c r="AK1734" s="857">
        <v>45898</v>
      </c>
      <c r="AL1734" s="843" t="s">
        <v>5705</v>
      </c>
      <c r="AM1734" s="843" t="s">
        <v>5641</v>
      </c>
      <c r="AN1734" s="844" t="s">
        <v>5642</v>
      </c>
      <c r="AO1734" s="844" t="s">
        <v>141</v>
      </c>
      <c r="AP1734" s="841"/>
      <c r="AQ1734" s="841">
        <v>45906</v>
      </c>
      <c r="AR1734" s="841">
        <v>45958</v>
      </c>
      <c r="AS1734" s="842" t="s">
        <v>1284</v>
      </c>
      <c r="AT1734" s="842" t="s">
        <v>1235</v>
      </c>
      <c r="AU1734" s="842" t="s">
        <v>4595</v>
      </c>
      <c r="AV1734" s="843" t="s">
        <v>5706</v>
      </c>
      <c r="AW1734" s="861">
        <v>45961</v>
      </c>
      <c r="AX1734" s="862">
        <v>45965</v>
      </c>
      <c r="AY1734" s="843" t="s">
        <v>5884</v>
      </c>
      <c r="AZ1734" s="842" t="s">
        <v>3183</v>
      </c>
      <c r="BA1734" s="842" t="s">
        <v>120</v>
      </c>
      <c r="BB1734" s="863" t="s">
        <v>121</v>
      </c>
      <c r="BC1734" s="864">
        <v>45967</v>
      </c>
      <c r="BD1734" s="860" t="s">
        <v>5708</v>
      </c>
      <c r="BE1734" s="865" cm="1">
        <f t="array" ref="BE1734">IF(BD1734="","",AC1734/SUMPRODUCT(--(BD1734=$BD$4:$BD$12824),$AC$4:$AC$12824))</f>
        <v>1.9497239664364976E-2</v>
      </c>
      <c r="BF1734" s="458"/>
      <c r="BG1734" s="458"/>
      <c r="BH1734" s="458"/>
      <c r="BI1734" s="458"/>
      <c r="BJ1734" s="458"/>
      <c r="BK1734" s="458"/>
      <c r="BL1734" s="458"/>
      <c r="BM1734" s="458"/>
      <c r="BN1734" s="458"/>
      <c r="BO1734" s="866">
        <f>VLOOKUP(BD1734,$BD$4:$BN$12824,3,0)*BE1734</f>
        <v>825020.80259044818</v>
      </c>
      <c r="BP1734" s="866"/>
      <c r="BQ1734" s="866"/>
      <c r="BR1734" s="866">
        <f>VLOOKUP(BD1734,$BD$4:$BN$12824,6,0)*BE1734</f>
        <v>155647.51131460757</v>
      </c>
      <c r="BS1734" s="866">
        <f>VLOOKUP(BD1734,$BD$4:$BN$12824,7,0)*BE1734</f>
        <v>135720.09033124792</v>
      </c>
      <c r="BT1734" s="866"/>
      <c r="BU1734" s="866">
        <f>VLOOKUP(BD1734,$BD$4:$BN$12824,9,0)*BE1734</f>
        <v>10918.454212044386</v>
      </c>
      <c r="BV1734" s="867"/>
      <c r="BW1734" s="867">
        <f>VLOOKUP(BD1734,$BD$4:$BN$12824,11,0)*BE1734</f>
        <v>97883.364314987863</v>
      </c>
      <c r="BX1734" s="1146">
        <f t="shared" si="335"/>
        <v>1225190.2227633358</v>
      </c>
      <c r="BY1734" s="867">
        <f t="shared" ref="BY1734:BY1797" si="337">(AB1734*AE1734+AG1734+BX1734)/U1734</f>
        <v>69075773.628181666</v>
      </c>
      <c r="BZ1734" s="867">
        <f t="shared" si="336"/>
        <v>138151547.25636333</v>
      </c>
      <c r="CA1734" s="867">
        <f>_xlfn.MAXIFS($BY$4:$BY$12824,$S$4:$S$12824,$S1734)</f>
        <v>69075773.628181666</v>
      </c>
      <c r="CB1734" s="1032"/>
      <c r="CF1734" s="946">
        <f t="shared" si="329"/>
        <v>145658880</v>
      </c>
    </row>
    <row r="1735" spans="2:84">
      <c r="B1735" s="839" t="s">
        <v>98</v>
      </c>
      <c r="C1735" s="839" t="s">
        <v>5697</v>
      </c>
      <c r="D1735" s="839" t="s">
        <v>5754</v>
      </c>
      <c r="E1735" s="839" t="s">
        <v>5754</v>
      </c>
      <c r="F1735" s="841">
        <v>45805</v>
      </c>
      <c r="G1735" s="839" t="s">
        <v>5697</v>
      </c>
      <c r="H1735" s="883" t="s">
        <v>3457</v>
      </c>
      <c r="I1735" s="883"/>
      <c r="J1735" s="841"/>
      <c r="K1735" s="841"/>
      <c r="L1735" s="843" t="s">
        <v>5257</v>
      </c>
      <c r="M1735" s="844" t="s">
        <v>107</v>
      </c>
      <c r="N1735" s="841"/>
      <c r="O1735" s="884" t="s">
        <v>150</v>
      </c>
      <c r="P1735" s="842" t="s">
        <v>384</v>
      </c>
      <c r="Q1735" s="843"/>
      <c r="R1735" s="845" t="s">
        <v>5885</v>
      </c>
      <c r="S1735" s="1127" t="s">
        <v>5886</v>
      </c>
      <c r="T1735" s="885" t="s">
        <v>5887</v>
      </c>
      <c r="U1735" s="886">
        <v>2</v>
      </c>
      <c r="V1735" s="842" t="s">
        <v>3</v>
      </c>
      <c r="W1735" s="846">
        <v>125</v>
      </c>
      <c r="X1735" s="847">
        <f t="shared" si="330"/>
        <v>250</v>
      </c>
      <c r="Y1735" s="853" t="s">
        <v>5752</v>
      </c>
      <c r="Z1735" s="849">
        <v>58</v>
      </c>
      <c r="AA1735" s="849"/>
      <c r="AB1735" s="849">
        <f t="shared" si="331"/>
        <v>116</v>
      </c>
      <c r="AC1735" s="850">
        <f t="shared" si="332"/>
        <v>116</v>
      </c>
      <c r="AD1735" s="851">
        <f t="shared" si="328"/>
        <v>32000</v>
      </c>
      <c r="AE1735" s="852">
        <v>30081.54</v>
      </c>
      <c r="AF1735" s="865">
        <v>0.12</v>
      </c>
      <c r="AG1735" s="854">
        <f t="shared" si="333"/>
        <v>421673.08234410302</v>
      </c>
      <c r="AH1735" s="853">
        <v>0.08</v>
      </c>
      <c r="AI1735" s="855">
        <f t="shared" si="334"/>
        <v>312890.53778752824</v>
      </c>
      <c r="AJ1735" s="845" t="s">
        <v>5704</v>
      </c>
      <c r="AK1735" s="857">
        <v>45898</v>
      </c>
      <c r="AL1735" s="843" t="s">
        <v>5705</v>
      </c>
      <c r="AM1735" s="843" t="s">
        <v>5641</v>
      </c>
      <c r="AN1735" s="844" t="s">
        <v>5642</v>
      </c>
      <c r="AO1735" s="844" t="s">
        <v>141</v>
      </c>
      <c r="AP1735" s="841"/>
      <c r="AQ1735" s="841">
        <v>45906</v>
      </c>
      <c r="AR1735" s="841">
        <v>45958</v>
      </c>
      <c r="AS1735" s="842" t="s">
        <v>1284</v>
      </c>
      <c r="AT1735" s="842" t="s">
        <v>1235</v>
      </c>
      <c r="AU1735" s="842" t="s">
        <v>4595</v>
      </c>
      <c r="AV1735" s="843" t="s">
        <v>5706</v>
      </c>
      <c r="AW1735" s="861">
        <v>45961</v>
      </c>
      <c r="AX1735" s="862">
        <v>45965</v>
      </c>
      <c r="AY1735" s="843" t="s">
        <v>5888</v>
      </c>
      <c r="AZ1735" s="842" t="s">
        <v>5889</v>
      </c>
      <c r="BA1735" s="842" t="s">
        <v>120</v>
      </c>
      <c r="BB1735" s="863" t="s">
        <v>121</v>
      </c>
      <c r="BC1735" s="864">
        <v>45967</v>
      </c>
      <c r="BD1735" s="860" t="s">
        <v>5708</v>
      </c>
      <c r="BE1735" s="865" cm="1">
        <f t="array" ref="BE1735">IF(BD1735="","",AC1735/SUMPRODUCT(--(BD1735=$BD$4:$BD$12824),$AC$4:$AC$12824))</f>
        <v>4.9687155107963751E-4</v>
      </c>
      <c r="BF1735" s="458"/>
      <c r="BG1735" s="458"/>
      <c r="BH1735" s="458"/>
      <c r="BI1735" s="458"/>
      <c r="BJ1735" s="458"/>
      <c r="BK1735" s="458"/>
      <c r="BL1735" s="458"/>
      <c r="BM1735" s="458"/>
      <c r="BN1735" s="458"/>
      <c r="BO1735" s="866">
        <f>VLOOKUP(BD1735,$BD$4:$BN$12824,3,0)*BE1735</f>
        <v>21024.994969175539</v>
      </c>
      <c r="BP1735" s="866"/>
      <c r="BQ1735" s="866"/>
      <c r="BR1735" s="866">
        <f>VLOOKUP(BD1735,$BD$4:$BN$12824,6,0)*BE1735</f>
        <v>3966.5522761113039</v>
      </c>
      <c r="BS1735" s="866">
        <f>VLOOKUP(BD1735,$BD$4:$BN$12824,7,0)*BE1735</f>
        <v>3458.7178983498457</v>
      </c>
      <c r="BT1735" s="866"/>
      <c r="BU1735" s="866">
        <f>VLOOKUP(BD1735,$BD$4:$BN$12824,9,0)*BE1735</f>
        <v>278.24806860459699</v>
      </c>
      <c r="BV1735" s="867"/>
      <c r="BW1735" s="867">
        <f>VLOOKUP(BD1735,$BD$4:$BN$12824,11,0)*BE1735</f>
        <v>2494.4792129201801</v>
      </c>
      <c r="BX1735" s="1146">
        <f t="shared" si="335"/>
        <v>31222.992425161465</v>
      </c>
      <c r="BY1735" s="867">
        <f t="shared" si="337"/>
        <v>1971177.3573846323</v>
      </c>
      <c r="BZ1735" s="867">
        <f t="shared" si="336"/>
        <v>3942354.7147692647</v>
      </c>
      <c r="CA1735" s="867">
        <f>_xlfn.MAXIFS($BY$4:$BY$12824,$S$4:$S$12824,$S1735)</f>
        <v>1971177.3573846323</v>
      </c>
      <c r="CB1735" s="1032"/>
      <c r="CF1735" s="946">
        <f t="shared" si="329"/>
        <v>3712000</v>
      </c>
    </row>
    <row r="1736" spans="2:84">
      <c r="B1736" s="839" t="s">
        <v>98</v>
      </c>
      <c r="C1736" s="839" t="s">
        <v>5697</v>
      </c>
      <c r="D1736" s="839" t="s">
        <v>5754</v>
      </c>
      <c r="E1736" s="839" t="s">
        <v>5754</v>
      </c>
      <c r="F1736" s="841">
        <v>45805</v>
      </c>
      <c r="G1736" s="839" t="s">
        <v>5697</v>
      </c>
      <c r="H1736" s="883" t="s">
        <v>3457</v>
      </c>
      <c r="I1736" s="883"/>
      <c r="J1736" s="841"/>
      <c r="K1736" s="841"/>
      <c r="L1736" s="843" t="s">
        <v>5257</v>
      </c>
      <c r="M1736" s="844" t="s">
        <v>107</v>
      </c>
      <c r="N1736" s="841"/>
      <c r="O1736" s="884" t="s">
        <v>150</v>
      </c>
      <c r="P1736" s="842" t="s">
        <v>384</v>
      </c>
      <c r="Q1736" s="843"/>
      <c r="R1736" s="845" t="s">
        <v>5890</v>
      </c>
      <c r="S1736" s="1127" t="s">
        <v>5891</v>
      </c>
      <c r="T1736" s="885" t="s">
        <v>5892</v>
      </c>
      <c r="U1736" s="886">
        <v>1</v>
      </c>
      <c r="V1736" s="842" t="s">
        <v>3</v>
      </c>
      <c r="W1736" s="846">
        <v>175</v>
      </c>
      <c r="X1736" s="847">
        <f t="shared" si="330"/>
        <v>175</v>
      </c>
      <c r="Y1736" s="853" t="s">
        <v>5752</v>
      </c>
      <c r="Z1736" s="849">
        <v>81.2</v>
      </c>
      <c r="AA1736" s="849"/>
      <c r="AB1736" s="849">
        <f t="shared" si="331"/>
        <v>81.2</v>
      </c>
      <c r="AC1736" s="850">
        <f t="shared" si="332"/>
        <v>81.2</v>
      </c>
      <c r="AD1736" s="851">
        <f t="shared" si="328"/>
        <v>32000</v>
      </c>
      <c r="AE1736" s="852">
        <v>30081.54</v>
      </c>
      <c r="AF1736" s="865">
        <v>0.12</v>
      </c>
      <c r="AG1736" s="854">
        <f t="shared" si="333"/>
        <v>295171.15764087212</v>
      </c>
      <c r="AH1736" s="853">
        <v>0.08</v>
      </c>
      <c r="AI1736" s="855">
        <f t="shared" si="334"/>
        <v>219023.37645126975</v>
      </c>
      <c r="AJ1736" s="845" t="s">
        <v>5704</v>
      </c>
      <c r="AK1736" s="857">
        <v>45898</v>
      </c>
      <c r="AL1736" s="843" t="s">
        <v>5705</v>
      </c>
      <c r="AM1736" s="843" t="s">
        <v>5641</v>
      </c>
      <c r="AN1736" s="844" t="s">
        <v>5642</v>
      </c>
      <c r="AO1736" s="844" t="s">
        <v>141</v>
      </c>
      <c r="AP1736" s="841"/>
      <c r="AQ1736" s="841">
        <v>45906</v>
      </c>
      <c r="AR1736" s="841">
        <v>45958</v>
      </c>
      <c r="AS1736" s="842" t="s">
        <v>1284</v>
      </c>
      <c r="AT1736" s="842" t="s">
        <v>1235</v>
      </c>
      <c r="AU1736" s="842" t="s">
        <v>4595</v>
      </c>
      <c r="AV1736" s="843" t="s">
        <v>5712</v>
      </c>
      <c r="AW1736" s="861">
        <v>45961</v>
      </c>
      <c r="AX1736" s="862">
        <v>45965</v>
      </c>
      <c r="AY1736" s="843" t="s">
        <v>5893</v>
      </c>
      <c r="AZ1736" s="842" t="s">
        <v>5889</v>
      </c>
      <c r="BA1736" s="842" t="s">
        <v>120</v>
      </c>
      <c r="BB1736" s="863" t="s">
        <v>121</v>
      </c>
      <c r="BC1736" s="864">
        <v>45967</v>
      </c>
      <c r="BD1736" s="860" t="s">
        <v>5708</v>
      </c>
      <c r="BE1736" s="865" cm="1">
        <f t="array" ref="BE1736">IF(BD1736="","",AC1736/SUMPRODUCT(--(BD1736=$BD$4:$BD$12824),$AC$4:$AC$12824))</f>
        <v>3.478100857557463E-4</v>
      </c>
      <c r="BF1736" s="458"/>
      <c r="BG1736" s="458"/>
      <c r="BH1736" s="458"/>
      <c r="BI1736" s="458"/>
      <c r="BJ1736" s="458"/>
      <c r="BK1736" s="458"/>
      <c r="BL1736" s="458"/>
      <c r="BM1736" s="458"/>
      <c r="BN1736" s="458"/>
      <c r="BO1736" s="866">
        <f>VLOOKUP(BD1736,$BD$4:$BN$12824,3,0)*BE1736</f>
        <v>14717.49647842288</v>
      </c>
      <c r="BP1736" s="866"/>
      <c r="BQ1736" s="866"/>
      <c r="BR1736" s="866">
        <f>VLOOKUP(BD1736,$BD$4:$BN$12824,6,0)*BE1736</f>
        <v>2776.5865932779134</v>
      </c>
      <c r="BS1736" s="866">
        <f>VLOOKUP(BD1736,$BD$4:$BN$12824,7,0)*BE1736</f>
        <v>2421.1025288448923</v>
      </c>
      <c r="BT1736" s="866"/>
      <c r="BU1736" s="866">
        <f>VLOOKUP(BD1736,$BD$4:$BN$12824,9,0)*BE1736</f>
        <v>194.77364802321793</v>
      </c>
      <c r="BV1736" s="867"/>
      <c r="BW1736" s="867">
        <f>VLOOKUP(BD1736,$BD$4:$BN$12824,11,0)*BE1736</f>
        <v>1746.1354490441263</v>
      </c>
      <c r="BX1736" s="1146">
        <f t="shared" si="335"/>
        <v>21856.094697613029</v>
      </c>
      <c r="BY1736" s="867">
        <f t="shared" si="337"/>
        <v>2759648.3003384848</v>
      </c>
      <c r="BZ1736" s="867">
        <f t="shared" si="336"/>
        <v>2759648.3003384848</v>
      </c>
      <c r="CA1736" s="867">
        <f>_xlfn.MAXIFS($BY$4:$BY$12824,$S$4:$S$12824,$S1736)</f>
        <v>2759648.3003384848</v>
      </c>
      <c r="CB1736" s="1032"/>
      <c r="CF1736" s="946">
        <f t="shared" si="329"/>
        <v>2598400</v>
      </c>
    </row>
    <row r="1737" spans="2:84">
      <c r="B1737" s="839" t="s">
        <v>98</v>
      </c>
      <c r="C1737" s="839" t="s">
        <v>5697</v>
      </c>
      <c r="D1737" s="839" t="s">
        <v>5754</v>
      </c>
      <c r="E1737" s="839" t="s">
        <v>5754</v>
      </c>
      <c r="F1737" s="841">
        <v>45805</v>
      </c>
      <c r="G1737" s="839" t="s">
        <v>5697</v>
      </c>
      <c r="H1737" s="883" t="s">
        <v>3457</v>
      </c>
      <c r="I1737" s="883"/>
      <c r="J1737" s="841"/>
      <c r="K1737" s="841"/>
      <c r="L1737" s="843" t="s">
        <v>5257</v>
      </c>
      <c r="M1737" s="844" t="s">
        <v>107</v>
      </c>
      <c r="N1737" s="841"/>
      <c r="O1737" s="884" t="s">
        <v>150</v>
      </c>
      <c r="P1737" s="842" t="s">
        <v>384</v>
      </c>
      <c r="Q1737" s="843"/>
      <c r="R1737" s="845" t="s">
        <v>5894</v>
      </c>
      <c r="S1737" s="1127" t="s">
        <v>5895</v>
      </c>
      <c r="T1737" s="885" t="s">
        <v>5896</v>
      </c>
      <c r="U1737" s="886">
        <v>2</v>
      </c>
      <c r="V1737" s="842" t="s">
        <v>3</v>
      </c>
      <c r="W1737" s="846">
        <v>6190</v>
      </c>
      <c r="X1737" s="847">
        <f t="shared" si="330"/>
        <v>12380</v>
      </c>
      <c r="Y1737" s="853" t="s">
        <v>5703</v>
      </c>
      <c r="Z1737" s="849">
        <v>3231.18</v>
      </c>
      <c r="AA1737" s="849"/>
      <c r="AB1737" s="849">
        <f t="shared" si="331"/>
        <v>6462.36</v>
      </c>
      <c r="AC1737" s="850">
        <f t="shared" si="332"/>
        <v>6462.36</v>
      </c>
      <c r="AD1737" s="851">
        <f t="shared" si="328"/>
        <v>32000</v>
      </c>
      <c r="AE1737" s="852">
        <v>30081.54</v>
      </c>
      <c r="AF1737" s="865">
        <v>0</v>
      </c>
      <c r="AG1737" s="854">
        <f t="shared" si="333"/>
        <v>0</v>
      </c>
      <c r="AH1737" s="853">
        <v>0.08</v>
      </c>
      <c r="AI1737" s="855">
        <f t="shared" si="334"/>
        <v>15551819.266752001</v>
      </c>
      <c r="AJ1737" s="845" t="s">
        <v>5704</v>
      </c>
      <c r="AK1737" s="857">
        <v>45898</v>
      </c>
      <c r="AL1737" s="843" t="s">
        <v>5705</v>
      </c>
      <c r="AM1737" s="843" t="s">
        <v>5641</v>
      </c>
      <c r="AN1737" s="844" t="s">
        <v>5642</v>
      </c>
      <c r="AO1737" s="844" t="s">
        <v>141</v>
      </c>
      <c r="AP1737" s="841"/>
      <c r="AQ1737" s="841">
        <v>45906</v>
      </c>
      <c r="AR1737" s="841">
        <v>45958</v>
      </c>
      <c r="AS1737" s="842" t="s">
        <v>1284</v>
      </c>
      <c r="AT1737" s="842" t="s">
        <v>1235</v>
      </c>
      <c r="AU1737" s="842" t="s">
        <v>4595</v>
      </c>
      <c r="AV1737" s="843" t="s">
        <v>5706</v>
      </c>
      <c r="AW1737" s="861">
        <v>45961</v>
      </c>
      <c r="AX1737" s="862">
        <v>45965</v>
      </c>
      <c r="AY1737" s="843" t="s">
        <v>5897</v>
      </c>
      <c r="AZ1737" s="842" t="s">
        <v>3183</v>
      </c>
      <c r="BA1737" s="842" t="s">
        <v>120</v>
      </c>
      <c r="BB1737" s="863" t="s">
        <v>121</v>
      </c>
      <c r="BC1737" s="864">
        <v>45967</v>
      </c>
      <c r="BD1737" s="860" t="s">
        <v>5708</v>
      </c>
      <c r="BE1737" s="865" cm="1">
        <f t="array" ref="BE1737">IF(BD1737="","",AC1737/SUMPRODUCT(--(BD1737=$BD$4:$BD$12824),$AC$4:$AC$12824))</f>
        <v>2.7680714110646605E-2</v>
      </c>
      <c r="BF1737" s="458"/>
      <c r="BG1737" s="458"/>
      <c r="BH1737" s="458"/>
      <c r="BI1737" s="458"/>
      <c r="BJ1737" s="458"/>
      <c r="BK1737" s="458"/>
      <c r="BL1737" s="458"/>
      <c r="BM1737" s="458"/>
      <c r="BN1737" s="458"/>
      <c r="BO1737" s="866">
        <f>VLOOKUP(BD1737,$BD$4:$BN$12824,3,0)*BE1737</f>
        <v>1171302.4697327693</v>
      </c>
      <c r="BP1737" s="866"/>
      <c r="BQ1737" s="866"/>
      <c r="BR1737" s="866">
        <f>VLOOKUP(BD1737,$BD$4:$BN$12824,6,0)*BE1737</f>
        <v>220976.62730216075</v>
      </c>
      <c r="BS1737" s="866">
        <f>VLOOKUP(BD1737,$BD$4:$BN$12824,7,0)*BE1737</f>
        <v>192685.1741170699</v>
      </c>
      <c r="BT1737" s="866"/>
      <c r="BU1737" s="866">
        <f>VLOOKUP(BD1737,$BD$4:$BN$12824,9,0)*BE1737</f>
        <v>15501.199901962098</v>
      </c>
      <c r="BV1737" s="867"/>
      <c r="BW1737" s="867">
        <f>VLOOKUP(BD1737,$BD$4:$BN$12824,11,0)*BE1737</f>
        <v>138967.43695178322</v>
      </c>
      <c r="BX1737" s="1146">
        <f t="shared" si="335"/>
        <v>1739432.9080057454</v>
      </c>
      <c r="BY1737" s="867">
        <f t="shared" si="337"/>
        <v>98068586.871202871</v>
      </c>
      <c r="BZ1737" s="867">
        <f t="shared" si="336"/>
        <v>196137173.74240574</v>
      </c>
      <c r="CA1737" s="867">
        <f>_xlfn.MAXIFS($BY$4:$BY$12824,$S$4:$S$12824,$S1737)</f>
        <v>98068586.871202871</v>
      </c>
      <c r="CB1737" s="1032"/>
      <c r="CF1737" s="946">
        <f t="shared" si="329"/>
        <v>206795520</v>
      </c>
    </row>
    <row r="1738" spans="2:84">
      <c r="B1738" s="839" t="s">
        <v>98</v>
      </c>
      <c r="C1738" s="839" t="s">
        <v>5697</v>
      </c>
      <c r="D1738" s="839" t="s">
        <v>5754</v>
      </c>
      <c r="E1738" s="839" t="s">
        <v>5754</v>
      </c>
      <c r="F1738" s="841">
        <v>45805</v>
      </c>
      <c r="G1738" s="839" t="s">
        <v>5697</v>
      </c>
      <c r="H1738" s="883" t="s">
        <v>3457</v>
      </c>
      <c r="I1738" s="883"/>
      <c r="J1738" s="841"/>
      <c r="K1738" s="841"/>
      <c r="L1738" s="843" t="s">
        <v>5257</v>
      </c>
      <c r="M1738" s="844" t="s">
        <v>107</v>
      </c>
      <c r="N1738" s="841"/>
      <c r="O1738" s="884" t="s">
        <v>150</v>
      </c>
      <c r="P1738" s="842" t="s">
        <v>384</v>
      </c>
      <c r="Q1738" s="843"/>
      <c r="R1738" s="845" t="s">
        <v>5898</v>
      </c>
      <c r="S1738" s="1127" t="s">
        <v>5899</v>
      </c>
      <c r="T1738" s="885" t="s">
        <v>5900</v>
      </c>
      <c r="U1738" s="886">
        <v>1</v>
      </c>
      <c r="V1738" s="842" t="s">
        <v>3</v>
      </c>
      <c r="W1738" s="846">
        <v>12780</v>
      </c>
      <c r="X1738" s="847">
        <f t="shared" si="330"/>
        <v>12780</v>
      </c>
      <c r="Y1738" s="853" t="s">
        <v>5703</v>
      </c>
      <c r="Z1738" s="849">
        <v>6671.16</v>
      </c>
      <c r="AA1738" s="849"/>
      <c r="AB1738" s="849">
        <f t="shared" si="331"/>
        <v>6671.16</v>
      </c>
      <c r="AC1738" s="850">
        <f t="shared" si="332"/>
        <v>6671.16</v>
      </c>
      <c r="AD1738" s="851">
        <f t="shared" si="328"/>
        <v>32000</v>
      </c>
      <c r="AE1738" s="852">
        <v>30081.54</v>
      </c>
      <c r="AF1738" s="865">
        <v>0</v>
      </c>
      <c r="AG1738" s="854">
        <f t="shared" si="333"/>
        <v>0</v>
      </c>
      <c r="AH1738" s="853">
        <v>0.08</v>
      </c>
      <c r="AI1738" s="855">
        <f t="shared" si="334"/>
        <v>16054301.310912002</v>
      </c>
      <c r="AJ1738" s="845" t="s">
        <v>5704</v>
      </c>
      <c r="AK1738" s="857">
        <v>45898</v>
      </c>
      <c r="AL1738" s="843" t="s">
        <v>5705</v>
      </c>
      <c r="AM1738" s="843" t="s">
        <v>5641</v>
      </c>
      <c r="AN1738" s="844" t="s">
        <v>5642</v>
      </c>
      <c r="AO1738" s="844" t="s">
        <v>141</v>
      </c>
      <c r="AP1738" s="841"/>
      <c r="AQ1738" s="841">
        <v>45906</v>
      </c>
      <c r="AR1738" s="841">
        <v>45958</v>
      </c>
      <c r="AS1738" s="842" t="s">
        <v>1284</v>
      </c>
      <c r="AT1738" s="842" t="s">
        <v>1235</v>
      </c>
      <c r="AU1738" s="842" t="s">
        <v>4595</v>
      </c>
      <c r="AV1738" s="843" t="s">
        <v>5706</v>
      </c>
      <c r="AW1738" s="861">
        <v>45961</v>
      </c>
      <c r="AX1738" s="862">
        <v>45965</v>
      </c>
      <c r="AY1738" s="843" t="s">
        <v>5901</v>
      </c>
      <c r="AZ1738" s="842" t="s">
        <v>3183</v>
      </c>
      <c r="BA1738" s="842" t="s">
        <v>120</v>
      </c>
      <c r="BB1738" s="863" t="s">
        <v>121</v>
      </c>
      <c r="BC1738" s="864">
        <v>45967</v>
      </c>
      <c r="BD1738" s="860" t="s">
        <v>5708</v>
      </c>
      <c r="BE1738" s="865" cm="1">
        <f t="array" ref="BE1738">IF(BD1738="","",AC1738/SUMPRODUCT(--(BD1738=$BD$4:$BD$12824),$AC$4:$AC$12824))</f>
        <v>2.8575082902589952E-2</v>
      </c>
      <c r="BF1738" s="458"/>
      <c r="BG1738" s="458"/>
      <c r="BH1738" s="458"/>
      <c r="BI1738" s="458"/>
      <c r="BJ1738" s="458"/>
      <c r="BK1738" s="458"/>
      <c r="BL1738" s="458"/>
      <c r="BM1738" s="458"/>
      <c r="BN1738" s="458"/>
      <c r="BO1738" s="866">
        <f>VLOOKUP(BD1738,$BD$4:$BN$12824,3,0)*BE1738</f>
        <v>1209147.4606772852</v>
      </c>
      <c r="BP1738" s="866"/>
      <c r="BQ1738" s="866"/>
      <c r="BR1738" s="866">
        <f>VLOOKUP(BD1738,$BD$4:$BN$12824,6,0)*BE1738</f>
        <v>228116.4213991611</v>
      </c>
      <c r="BS1738" s="866">
        <f>VLOOKUP(BD1738,$BD$4:$BN$12824,7,0)*BE1738</f>
        <v>198910.86633409961</v>
      </c>
      <c r="BT1738" s="866"/>
      <c r="BU1738" s="866">
        <f>VLOOKUP(BD1738,$BD$4:$BN$12824,9,0)*BE1738</f>
        <v>16002.046425450373</v>
      </c>
      <c r="BV1738" s="867"/>
      <c r="BW1738" s="867">
        <f>VLOOKUP(BD1738,$BD$4:$BN$12824,11,0)*BE1738</f>
        <v>143457.49953503956</v>
      </c>
      <c r="BX1738" s="1146">
        <f t="shared" si="335"/>
        <v>1795634.2943710359</v>
      </c>
      <c r="BY1738" s="867">
        <f t="shared" si="337"/>
        <v>202474400.68077105</v>
      </c>
      <c r="BZ1738" s="867">
        <f t="shared" si="336"/>
        <v>202474400.68077105</v>
      </c>
      <c r="CA1738" s="867">
        <f>_xlfn.MAXIFS($BY$4:$BY$12824,$S$4:$S$12824,$S1738)</f>
        <v>202474400.68077105</v>
      </c>
      <c r="CB1738" s="1032"/>
      <c r="CF1738" s="946">
        <f t="shared" si="329"/>
        <v>213477120</v>
      </c>
    </row>
    <row r="1739" spans="2:84">
      <c r="B1739" s="839" t="s">
        <v>98</v>
      </c>
      <c r="C1739" s="839" t="s">
        <v>5697</v>
      </c>
      <c r="D1739" s="839" t="s">
        <v>5754</v>
      </c>
      <c r="E1739" s="839" t="s">
        <v>5754</v>
      </c>
      <c r="F1739" s="841">
        <v>45805</v>
      </c>
      <c r="G1739" s="839" t="s">
        <v>5697</v>
      </c>
      <c r="H1739" s="883" t="s">
        <v>3457</v>
      </c>
      <c r="I1739" s="883"/>
      <c r="J1739" s="841"/>
      <c r="K1739" s="841"/>
      <c r="L1739" s="843" t="s">
        <v>5257</v>
      </c>
      <c r="M1739" s="844" t="s">
        <v>107</v>
      </c>
      <c r="N1739" s="841"/>
      <c r="O1739" s="884" t="s">
        <v>150</v>
      </c>
      <c r="P1739" s="842" t="s">
        <v>384</v>
      </c>
      <c r="Q1739" s="843"/>
      <c r="R1739" s="845" t="s">
        <v>5902</v>
      </c>
      <c r="S1739" s="1127" t="s">
        <v>5903</v>
      </c>
      <c r="T1739" s="885" t="s">
        <v>5904</v>
      </c>
      <c r="U1739" s="886">
        <v>1</v>
      </c>
      <c r="V1739" s="842" t="s">
        <v>3</v>
      </c>
      <c r="W1739" s="846">
        <v>13745</v>
      </c>
      <c r="X1739" s="847">
        <f t="shared" si="330"/>
        <v>13745</v>
      </c>
      <c r="Y1739" s="853" t="s">
        <v>5703</v>
      </c>
      <c r="Z1739" s="849">
        <v>7174.89</v>
      </c>
      <c r="AA1739" s="849"/>
      <c r="AB1739" s="849">
        <f t="shared" si="331"/>
        <v>7174.89</v>
      </c>
      <c r="AC1739" s="850">
        <f t="shared" si="332"/>
        <v>7174.89</v>
      </c>
      <c r="AD1739" s="851">
        <f t="shared" si="328"/>
        <v>32000</v>
      </c>
      <c r="AE1739" s="852">
        <v>30081.54</v>
      </c>
      <c r="AF1739" s="865">
        <v>0</v>
      </c>
      <c r="AG1739" s="854">
        <f t="shared" si="333"/>
        <v>0</v>
      </c>
      <c r="AH1739" s="853">
        <v>0.08</v>
      </c>
      <c r="AI1739" s="855">
        <f t="shared" si="334"/>
        <v>17266539.242448002</v>
      </c>
      <c r="AJ1739" s="845" t="s">
        <v>5704</v>
      </c>
      <c r="AK1739" s="857">
        <v>45898</v>
      </c>
      <c r="AL1739" s="843" t="s">
        <v>5705</v>
      </c>
      <c r="AM1739" s="843" t="s">
        <v>5641</v>
      </c>
      <c r="AN1739" s="844" t="s">
        <v>5642</v>
      </c>
      <c r="AO1739" s="844" t="s">
        <v>141</v>
      </c>
      <c r="AP1739" s="841"/>
      <c r="AQ1739" s="841">
        <v>45906</v>
      </c>
      <c r="AR1739" s="841">
        <v>45958</v>
      </c>
      <c r="AS1739" s="842" t="s">
        <v>1284</v>
      </c>
      <c r="AT1739" s="842" t="s">
        <v>1235</v>
      </c>
      <c r="AU1739" s="842" t="s">
        <v>4595</v>
      </c>
      <c r="AV1739" s="843" t="s">
        <v>5706</v>
      </c>
      <c r="AW1739" s="861">
        <v>45961</v>
      </c>
      <c r="AX1739" s="862">
        <v>45965</v>
      </c>
      <c r="AY1739" s="843" t="s">
        <v>5905</v>
      </c>
      <c r="AZ1739" s="842" t="s">
        <v>5856</v>
      </c>
      <c r="BA1739" s="842" t="s">
        <v>120</v>
      </c>
      <c r="BB1739" s="863" t="s">
        <v>121</v>
      </c>
      <c r="BC1739" s="864">
        <v>45967</v>
      </c>
      <c r="BD1739" s="860" t="s">
        <v>5708</v>
      </c>
      <c r="BE1739" s="865" cm="1">
        <f t="array" ref="BE1739">IF(BD1739="","",AC1739/SUMPRODUCT(--(BD1739=$BD$4:$BD$12824),$AC$4:$AC$12824))</f>
        <v>3.0732747613153283E-2</v>
      </c>
      <c r="BF1739" s="458"/>
      <c r="BG1739" s="458"/>
      <c r="BH1739" s="458"/>
      <c r="BI1739" s="458"/>
      <c r="BJ1739" s="458"/>
      <c r="BK1739" s="458"/>
      <c r="BL1739" s="458"/>
      <c r="BM1739" s="458"/>
      <c r="BN1739" s="458"/>
      <c r="BO1739" s="866">
        <f>VLOOKUP(BD1739,$BD$4:$BN$12824,3,0)*BE1739</f>
        <v>1300448.5013309303</v>
      </c>
      <c r="BP1739" s="866"/>
      <c r="BQ1739" s="866"/>
      <c r="BR1739" s="866">
        <f>VLOOKUP(BD1739,$BD$4:$BN$12824,6,0)*BE1739</f>
        <v>245341.17465817445</v>
      </c>
      <c r="BS1739" s="866">
        <f>VLOOKUP(BD1739,$BD$4:$BN$12824,7,0)*BE1739</f>
        <v>213930.34880768385</v>
      </c>
      <c r="BT1739" s="866"/>
      <c r="BU1739" s="866">
        <f>VLOOKUP(BD1739,$BD$4:$BN$12824,9,0)*BE1739</f>
        <v>17210.338663365837</v>
      </c>
      <c r="BV1739" s="867"/>
      <c r="BW1739" s="867">
        <f>VLOOKUP(BD1739,$BD$4:$BN$12824,11,0)*BE1739</f>
        <v>154289.77551714546</v>
      </c>
      <c r="BX1739" s="1146">
        <f t="shared" si="335"/>
        <v>1931220.1389772999</v>
      </c>
      <c r="BY1739" s="867">
        <f t="shared" si="337"/>
        <v>217762960.6695773</v>
      </c>
      <c r="BZ1739" s="867">
        <f t="shared" si="336"/>
        <v>217762960.6695773</v>
      </c>
      <c r="CA1739" s="867">
        <f>_xlfn.MAXIFS($BY$4:$BY$12824,$S$4:$S$12824,$S1739)</f>
        <v>217762960.6695773</v>
      </c>
      <c r="CB1739" s="1032"/>
      <c r="CF1739" s="946">
        <f t="shared" si="329"/>
        <v>229596480</v>
      </c>
    </row>
    <row r="1740" spans="2:84">
      <c r="B1740" s="839" t="s">
        <v>98</v>
      </c>
      <c r="C1740" s="839" t="s">
        <v>5697</v>
      </c>
      <c r="D1740" s="839" t="s">
        <v>5754</v>
      </c>
      <c r="E1740" s="839" t="s">
        <v>5754</v>
      </c>
      <c r="F1740" s="841">
        <v>45805</v>
      </c>
      <c r="G1740" s="839" t="s">
        <v>5697</v>
      </c>
      <c r="H1740" s="883" t="s">
        <v>3457</v>
      </c>
      <c r="I1740" s="883"/>
      <c r="J1740" s="841"/>
      <c r="K1740" s="841"/>
      <c r="L1740" s="843" t="s">
        <v>5257</v>
      </c>
      <c r="M1740" s="844" t="s">
        <v>107</v>
      </c>
      <c r="N1740" s="841"/>
      <c r="O1740" s="884" t="s">
        <v>150</v>
      </c>
      <c r="P1740" s="842" t="s">
        <v>384</v>
      </c>
      <c r="Q1740" s="843"/>
      <c r="R1740" s="845" t="s">
        <v>5906</v>
      </c>
      <c r="S1740" s="1127" t="s">
        <v>5907</v>
      </c>
      <c r="T1740" s="885" t="s">
        <v>5908</v>
      </c>
      <c r="U1740" s="886">
        <v>1</v>
      </c>
      <c r="V1740" s="842" t="s">
        <v>3</v>
      </c>
      <c r="W1740" s="846">
        <v>17530</v>
      </c>
      <c r="X1740" s="847">
        <f t="shared" si="330"/>
        <v>17530</v>
      </c>
      <c r="Y1740" s="853" t="s">
        <v>5703</v>
      </c>
      <c r="Z1740" s="849">
        <v>9150.66</v>
      </c>
      <c r="AA1740" s="849"/>
      <c r="AB1740" s="849">
        <f t="shared" si="331"/>
        <v>9150.66</v>
      </c>
      <c r="AC1740" s="850">
        <f t="shared" si="332"/>
        <v>9150.66</v>
      </c>
      <c r="AD1740" s="851">
        <f t="shared" si="328"/>
        <v>32000</v>
      </c>
      <c r="AE1740" s="852">
        <v>30081.54</v>
      </c>
      <c r="AF1740" s="865">
        <v>0</v>
      </c>
      <c r="AG1740" s="854">
        <f t="shared" si="333"/>
        <v>0</v>
      </c>
      <c r="AH1740" s="853">
        <v>0.08</v>
      </c>
      <c r="AI1740" s="855">
        <f t="shared" si="334"/>
        <v>22021275.585312001</v>
      </c>
      <c r="AJ1740" s="845" t="s">
        <v>5704</v>
      </c>
      <c r="AK1740" s="857">
        <v>45898</v>
      </c>
      <c r="AL1740" s="843" t="s">
        <v>5705</v>
      </c>
      <c r="AM1740" s="843" t="s">
        <v>5641</v>
      </c>
      <c r="AN1740" s="844" t="s">
        <v>5642</v>
      </c>
      <c r="AO1740" s="844" t="s">
        <v>141</v>
      </c>
      <c r="AP1740" s="841"/>
      <c r="AQ1740" s="841">
        <v>45906</v>
      </c>
      <c r="AR1740" s="841">
        <v>45958</v>
      </c>
      <c r="AS1740" s="842" t="s">
        <v>1284</v>
      </c>
      <c r="AT1740" s="842" t="s">
        <v>1235</v>
      </c>
      <c r="AU1740" s="842" t="s">
        <v>4595</v>
      </c>
      <c r="AV1740" s="843" t="s">
        <v>5706</v>
      </c>
      <c r="AW1740" s="861">
        <v>45961</v>
      </c>
      <c r="AX1740" s="862">
        <v>45965</v>
      </c>
      <c r="AY1740" s="843" t="s">
        <v>5909</v>
      </c>
      <c r="AZ1740" s="842" t="s">
        <v>5856</v>
      </c>
      <c r="BA1740" s="842" t="s">
        <v>120</v>
      </c>
      <c r="BB1740" s="863" t="s">
        <v>121</v>
      </c>
      <c r="BC1740" s="864">
        <v>45967</v>
      </c>
      <c r="BD1740" s="860" t="s">
        <v>5708</v>
      </c>
      <c r="BE1740" s="865" cm="1">
        <f t="array" ref="BE1740">IF(BD1740="","",AC1740/SUMPRODUCT(--(BD1740=$BD$4:$BD$12824),$AC$4:$AC$12824))</f>
        <v>3.9195712306917208E-2</v>
      </c>
      <c r="BF1740" s="458"/>
      <c r="BG1740" s="458"/>
      <c r="BH1740" s="458"/>
      <c r="BI1740" s="458"/>
      <c r="BJ1740" s="458"/>
      <c r="BK1740" s="458"/>
      <c r="BL1740" s="458"/>
      <c r="BM1740" s="458"/>
      <c r="BN1740" s="458"/>
      <c r="BO1740" s="866">
        <f>VLOOKUP(BD1740,$BD$4:$BN$12824,3,0)*BE1740</f>
        <v>1658556.7281434126</v>
      </c>
      <c r="BP1740" s="866"/>
      <c r="BQ1740" s="866"/>
      <c r="BR1740" s="866">
        <f>VLOOKUP(BD1740,$BD$4:$BN$12824,6,0)*BE1740</f>
        <v>312901.47630104027</v>
      </c>
      <c r="BS1740" s="866">
        <f>VLOOKUP(BD1740,$BD$4:$BN$12824,7,0)*BE1740</f>
        <v>272840.96141132759</v>
      </c>
      <c r="BT1740" s="866"/>
      <c r="BU1740" s="866">
        <f>VLOOKUP(BD1740,$BD$4:$BN$12824,9,0)*BE1740</f>
        <v>21949.598891873637</v>
      </c>
      <c r="BV1740" s="867"/>
      <c r="BW1740" s="867">
        <f>VLOOKUP(BD1740,$BD$4:$BN$12824,11,0)*BE1740</f>
        <v>196776.99271120841</v>
      </c>
      <c r="BX1740" s="1146">
        <f t="shared" si="335"/>
        <v>2463025.7574588624</v>
      </c>
      <c r="BY1740" s="867">
        <f t="shared" si="337"/>
        <v>277728970.57385886</v>
      </c>
      <c r="BZ1740" s="867">
        <f t="shared" si="336"/>
        <v>277728970.57385886</v>
      </c>
      <c r="CA1740" s="867">
        <f>_xlfn.MAXIFS($BY$4:$BY$12824,$S$4:$S$12824,$S1740)</f>
        <v>277728970.57385886</v>
      </c>
      <c r="CB1740" s="1032"/>
      <c r="CF1740" s="946">
        <f t="shared" si="329"/>
        <v>292821120</v>
      </c>
    </row>
    <row r="1741" spans="2:84">
      <c r="B1741" s="839" t="s">
        <v>98</v>
      </c>
      <c r="C1741" s="839" t="s">
        <v>5697</v>
      </c>
      <c r="D1741" s="839" t="s">
        <v>5754</v>
      </c>
      <c r="E1741" s="839" t="s">
        <v>5754</v>
      </c>
      <c r="F1741" s="841">
        <v>45805</v>
      </c>
      <c r="G1741" s="839" t="s">
        <v>5697</v>
      </c>
      <c r="H1741" s="883" t="s">
        <v>3457</v>
      </c>
      <c r="I1741" s="883"/>
      <c r="J1741" s="841"/>
      <c r="K1741" s="841"/>
      <c r="L1741" s="843" t="s">
        <v>5257</v>
      </c>
      <c r="M1741" s="844" t="s">
        <v>107</v>
      </c>
      <c r="N1741" s="841"/>
      <c r="O1741" s="884" t="s">
        <v>150</v>
      </c>
      <c r="P1741" s="842" t="s">
        <v>461</v>
      </c>
      <c r="Q1741" s="843"/>
      <c r="R1741" s="845" t="s">
        <v>5910</v>
      </c>
      <c r="S1741" s="1127" t="s">
        <v>5911</v>
      </c>
      <c r="T1741" s="885" t="s">
        <v>5912</v>
      </c>
      <c r="U1741" s="886">
        <v>1</v>
      </c>
      <c r="V1741" s="842" t="s">
        <v>3</v>
      </c>
      <c r="W1741" s="846">
        <v>2005</v>
      </c>
      <c r="X1741" s="847">
        <f t="shared" si="330"/>
        <v>2005</v>
      </c>
      <c r="Y1741" s="853" t="s">
        <v>5703</v>
      </c>
      <c r="Z1741" s="849">
        <v>1046.6099999999999</v>
      </c>
      <c r="AA1741" s="849"/>
      <c r="AB1741" s="849">
        <f t="shared" si="331"/>
        <v>1046.6099999999999</v>
      </c>
      <c r="AC1741" s="850">
        <f t="shared" si="332"/>
        <v>1046.6099999999999</v>
      </c>
      <c r="AD1741" s="851">
        <f t="shared" si="328"/>
        <v>32000</v>
      </c>
      <c r="AE1741" s="852">
        <v>30081.54</v>
      </c>
      <c r="AF1741" s="865">
        <v>0</v>
      </c>
      <c r="AG1741" s="854">
        <f t="shared" si="333"/>
        <v>0</v>
      </c>
      <c r="AH1741" s="853">
        <v>0.08</v>
      </c>
      <c r="AI1741" s="855">
        <f t="shared" si="334"/>
        <v>2518691.2463520002</v>
      </c>
      <c r="AJ1741" s="845" t="s">
        <v>5704</v>
      </c>
      <c r="AK1741" s="857">
        <v>45898</v>
      </c>
      <c r="AL1741" s="843" t="s">
        <v>5705</v>
      </c>
      <c r="AM1741" s="843" t="s">
        <v>5641</v>
      </c>
      <c r="AN1741" s="844" t="s">
        <v>5642</v>
      </c>
      <c r="AO1741" s="844" t="s">
        <v>141</v>
      </c>
      <c r="AP1741" s="841"/>
      <c r="AQ1741" s="841">
        <v>45906</v>
      </c>
      <c r="AR1741" s="841">
        <v>45958</v>
      </c>
      <c r="AS1741" s="842" t="s">
        <v>1284</v>
      </c>
      <c r="AT1741" s="842" t="s">
        <v>1235</v>
      </c>
      <c r="AU1741" s="842" t="s">
        <v>4595</v>
      </c>
      <c r="AV1741" s="843" t="s">
        <v>5718</v>
      </c>
      <c r="AW1741" s="861">
        <v>45961</v>
      </c>
      <c r="AX1741" s="862">
        <v>45965</v>
      </c>
      <c r="AY1741" s="843" t="s">
        <v>5913</v>
      </c>
      <c r="AZ1741" s="842" t="s">
        <v>4269</v>
      </c>
      <c r="BA1741" s="842" t="s">
        <v>120</v>
      </c>
      <c r="BB1741" s="863" t="s">
        <v>121</v>
      </c>
      <c r="BC1741" s="864">
        <v>45967</v>
      </c>
      <c r="BD1741" s="860" t="s">
        <v>5708</v>
      </c>
      <c r="BE1741" s="865" cm="1">
        <f t="array" ref="BE1741">IF(BD1741="","",AC1741/SUMPRODUCT(--(BD1741=$BD$4:$BD$12824),$AC$4:$AC$12824))</f>
        <v>4.4830235696160289E-3</v>
      </c>
      <c r="BF1741" s="458"/>
      <c r="BG1741" s="458"/>
      <c r="BH1741" s="458"/>
      <c r="BI1741" s="458"/>
      <c r="BJ1741" s="458"/>
      <c r="BK1741" s="458"/>
      <c r="BL1741" s="458"/>
      <c r="BM1741" s="458"/>
      <c r="BN1741" s="458"/>
      <c r="BO1741" s="866">
        <f>VLOOKUP(BD1741,$BD$4:$BN$12824,3,0)*BE1741</f>
        <v>189698.01710938627</v>
      </c>
      <c r="BP1741" s="866"/>
      <c r="BQ1741" s="866"/>
      <c r="BR1741" s="866">
        <f>VLOOKUP(BD1741,$BD$4:$BN$12824,6,0)*BE1741</f>
        <v>35788.217911214233</v>
      </c>
      <c r="BS1741" s="866">
        <f>VLOOKUP(BD1741,$BD$4:$BN$12824,7,0)*BE1741</f>
        <v>31206.282237861476</v>
      </c>
      <c r="BT1741" s="866"/>
      <c r="BU1741" s="866">
        <f>VLOOKUP(BD1741,$BD$4:$BN$12824,9,0)*BE1741</f>
        <v>2510.4931989849761</v>
      </c>
      <c r="BV1741" s="867"/>
      <c r="BW1741" s="867">
        <f>VLOOKUP(BD1741,$BD$4:$BN$12824,11,0)*BE1741</f>
        <v>22506.438698572321</v>
      </c>
      <c r="BX1741" s="1146">
        <f t="shared" si="335"/>
        <v>281709.44915601925</v>
      </c>
      <c r="BY1741" s="867">
        <f t="shared" si="337"/>
        <v>31765350.028556019</v>
      </c>
      <c r="BZ1741" s="867">
        <f t="shared" si="336"/>
        <v>31765350.028556019</v>
      </c>
      <c r="CA1741" s="867">
        <f>_xlfn.MAXIFS($BY$4:$BY$12824,$S$4:$S$12824,$S1741)</f>
        <v>31765350.028556019</v>
      </c>
      <c r="CB1741" s="1032"/>
      <c r="CF1741" s="946">
        <f t="shared" si="329"/>
        <v>33491519.999999996</v>
      </c>
    </row>
    <row r="1742" spans="2:84">
      <c r="B1742" s="839" t="s">
        <v>98</v>
      </c>
      <c r="C1742" s="839" t="s">
        <v>5697</v>
      </c>
      <c r="D1742" s="839" t="s">
        <v>5754</v>
      </c>
      <c r="E1742" s="839" t="s">
        <v>5754</v>
      </c>
      <c r="F1742" s="841">
        <v>45805</v>
      </c>
      <c r="G1742" s="839" t="s">
        <v>5697</v>
      </c>
      <c r="H1742" s="883" t="s">
        <v>3457</v>
      </c>
      <c r="I1742" s="883"/>
      <c r="J1742" s="841"/>
      <c r="K1742" s="841"/>
      <c r="L1742" s="843" t="s">
        <v>5257</v>
      </c>
      <c r="M1742" s="844" t="s">
        <v>107</v>
      </c>
      <c r="N1742" s="841"/>
      <c r="O1742" s="884" t="s">
        <v>150</v>
      </c>
      <c r="P1742" s="842" t="s">
        <v>461</v>
      </c>
      <c r="Q1742" s="843"/>
      <c r="R1742" s="845" t="s">
        <v>5914</v>
      </c>
      <c r="S1742" s="1127" t="s">
        <v>5915</v>
      </c>
      <c r="T1742" s="885" t="s">
        <v>5916</v>
      </c>
      <c r="U1742" s="886">
        <v>1</v>
      </c>
      <c r="V1742" s="842" t="s">
        <v>3</v>
      </c>
      <c r="W1742" s="846">
        <v>1660</v>
      </c>
      <c r="X1742" s="847">
        <f t="shared" si="330"/>
        <v>1660</v>
      </c>
      <c r="Y1742" s="853" t="s">
        <v>5703</v>
      </c>
      <c r="Z1742" s="849">
        <v>866.52</v>
      </c>
      <c r="AA1742" s="849"/>
      <c r="AB1742" s="849">
        <f t="shared" si="331"/>
        <v>866.52</v>
      </c>
      <c r="AC1742" s="850">
        <f t="shared" si="332"/>
        <v>866.52</v>
      </c>
      <c r="AD1742" s="851">
        <f t="shared" si="328"/>
        <v>32000</v>
      </c>
      <c r="AE1742" s="852">
        <v>30081.54</v>
      </c>
      <c r="AF1742" s="865">
        <v>0</v>
      </c>
      <c r="AG1742" s="854">
        <f t="shared" si="333"/>
        <v>0</v>
      </c>
      <c r="AH1742" s="853">
        <v>0.08</v>
      </c>
      <c r="AI1742" s="855">
        <f t="shared" si="334"/>
        <v>2085300.4832640002</v>
      </c>
      <c r="AJ1742" s="845" t="s">
        <v>5704</v>
      </c>
      <c r="AK1742" s="857">
        <v>45898</v>
      </c>
      <c r="AL1742" s="843" t="s">
        <v>5705</v>
      </c>
      <c r="AM1742" s="843" t="s">
        <v>5641</v>
      </c>
      <c r="AN1742" s="844" t="s">
        <v>5642</v>
      </c>
      <c r="AO1742" s="844" t="s">
        <v>141</v>
      </c>
      <c r="AP1742" s="841"/>
      <c r="AQ1742" s="841">
        <v>45906</v>
      </c>
      <c r="AR1742" s="841">
        <v>45958</v>
      </c>
      <c r="AS1742" s="842" t="s">
        <v>1284</v>
      </c>
      <c r="AT1742" s="842" t="s">
        <v>1235</v>
      </c>
      <c r="AU1742" s="842" t="s">
        <v>4595</v>
      </c>
      <c r="AV1742" s="843" t="s">
        <v>5718</v>
      </c>
      <c r="AW1742" s="861">
        <v>45961</v>
      </c>
      <c r="AX1742" s="862">
        <v>45965</v>
      </c>
      <c r="AY1742" s="843" t="s">
        <v>5917</v>
      </c>
      <c r="AZ1742" s="842" t="s">
        <v>4269</v>
      </c>
      <c r="BA1742" s="842" t="s">
        <v>120</v>
      </c>
      <c r="BB1742" s="863" t="s">
        <v>121</v>
      </c>
      <c r="BC1742" s="864">
        <v>45967</v>
      </c>
      <c r="BD1742" s="860" t="s">
        <v>5708</v>
      </c>
      <c r="BE1742" s="865" cm="1">
        <f t="array" ref="BE1742">IF(BD1742="","",AC1742/SUMPRODUCT(--(BD1742=$BD$4:$BD$12824),$AC$4:$AC$12824))</f>
        <v>3.7116304865648922E-3</v>
      </c>
      <c r="BF1742" s="458"/>
      <c r="BG1742" s="458"/>
      <c r="BH1742" s="458"/>
      <c r="BI1742" s="458"/>
      <c r="BJ1742" s="458"/>
      <c r="BK1742" s="458"/>
      <c r="BL1742" s="458"/>
      <c r="BM1742" s="458"/>
      <c r="BN1742" s="458"/>
      <c r="BO1742" s="866">
        <f>VLOOKUP(BD1742,$BD$4:$BN$12824,3,0)*BE1742</f>
        <v>157056.71241974129</v>
      </c>
      <c r="BP1742" s="866"/>
      <c r="BQ1742" s="866"/>
      <c r="BR1742" s="866">
        <f>VLOOKUP(BD1742,$BD$4:$BN$12824,6,0)*BE1742</f>
        <v>29630.145502551441</v>
      </c>
      <c r="BS1742" s="866">
        <f>VLOOKUP(BD1742,$BD$4:$BN$12824,7,0)*BE1742</f>
        <v>25836.622700673346</v>
      </c>
      <c r="BT1742" s="866"/>
      <c r="BU1742" s="866">
        <f>VLOOKUP(BD1742,$BD$4:$BN$12824,9,0)*BE1742</f>
        <v>2078.5130724763394</v>
      </c>
      <c r="BV1742" s="867"/>
      <c r="BW1742" s="867">
        <f>VLOOKUP(BD1742,$BD$4:$BN$12824,11,0)*BE1742</f>
        <v>18633.759720513746</v>
      </c>
      <c r="BX1742" s="1146">
        <f t="shared" si="335"/>
        <v>233235.75341595616</v>
      </c>
      <c r="BY1742" s="867">
        <f t="shared" si="337"/>
        <v>26299491.794215959</v>
      </c>
      <c r="BZ1742" s="867">
        <f t="shared" si="336"/>
        <v>26299491.794215959</v>
      </c>
      <c r="CA1742" s="867">
        <f>_xlfn.MAXIFS($BY$4:$BY$12824,$S$4:$S$12824,$S1742)</f>
        <v>26299491.794215959</v>
      </c>
      <c r="CB1742" s="1032"/>
      <c r="CF1742" s="946">
        <f t="shared" si="329"/>
        <v>27728640</v>
      </c>
    </row>
    <row r="1743" spans="2:84">
      <c r="B1743" s="839" t="s">
        <v>98</v>
      </c>
      <c r="C1743" s="839" t="s">
        <v>5697</v>
      </c>
      <c r="D1743" s="839" t="s">
        <v>5754</v>
      </c>
      <c r="E1743" s="839" t="s">
        <v>5754</v>
      </c>
      <c r="F1743" s="841">
        <v>45805</v>
      </c>
      <c r="G1743" s="839" t="s">
        <v>5697</v>
      </c>
      <c r="H1743" s="883" t="s">
        <v>3457</v>
      </c>
      <c r="I1743" s="883"/>
      <c r="J1743" s="841"/>
      <c r="K1743" s="841"/>
      <c r="L1743" s="843" t="s">
        <v>5257</v>
      </c>
      <c r="M1743" s="844" t="s">
        <v>107</v>
      </c>
      <c r="N1743" s="841"/>
      <c r="O1743" s="884" t="s">
        <v>150</v>
      </c>
      <c r="P1743" s="842" t="s">
        <v>461</v>
      </c>
      <c r="Q1743" s="843"/>
      <c r="R1743" s="845" t="s">
        <v>5918</v>
      </c>
      <c r="S1743" s="1127" t="s">
        <v>5919</v>
      </c>
      <c r="T1743" s="885" t="s">
        <v>5920</v>
      </c>
      <c r="U1743" s="886">
        <v>1</v>
      </c>
      <c r="V1743" s="842" t="s">
        <v>3</v>
      </c>
      <c r="W1743" s="846">
        <v>1450</v>
      </c>
      <c r="X1743" s="847">
        <f t="shared" si="330"/>
        <v>1450</v>
      </c>
      <c r="Y1743" s="853" t="s">
        <v>5703</v>
      </c>
      <c r="Z1743" s="849">
        <v>756.9</v>
      </c>
      <c r="AA1743" s="849"/>
      <c r="AB1743" s="849">
        <f t="shared" si="331"/>
        <v>756.9</v>
      </c>
      <c r="AC1743" s="850">
        <f t="shared" si="332"/>
        <v>756.9</v>
      </c>
      <c r="AD1743" s="851">
        <f t="shared" ref="AD1743:AD1774" si="338">IF(V1743=$AD$2,$AE$2,$AE$3)</f>
        <v>32000</v>
      </c>
      <c r="AE1743" s="852">
        <v>30081.54</v>
      </c>
      <c r="AF1743" s="865">
        <v>0</v>
      </c>
      <c r="AG1743" s="854">
        <f t="shared" si="333"/>
        <v>0</v>
      </c>
      <c r="AH1743" s="853">
        <v>0.08</v>
      </c>
      <c r="AI1743" s="855">
        <f t="shared" si="334"/>
        <v>1821497.4100799998</v>
      </c>
      <c r="AJ1743" s="845" t="s">
        <v>5704</v>
      </c>
      <c r="AK1743" s="857">
        <v>45898</v>
      </c>
      <c r="AL1743" s="843" t="s">
        <v>5705</v>
      </c>
      <c r="AM1743" s="843" t="s">
        <v>5641</v>
      </c>
      <c r="AN1743" s="844" t="s">
        <v>5642</v>
      </c>
      <c r="AO1743" s="844" t="s">
        <v>141</v>
      </c>
      <c r="AP1743" s="841"/>
      <c r="AQ1743" s="841">
        <v>45906</v>
      </c>
      <c r="AR1743" s="841">
        <v>45958</v>
      </c>
      <c r="AS1743" s="842" t="s">
        <v>1284</v>
      </c>
      <c r="AT1743" s="842" t="s">
        <v>1235</v>
      </c>
      <c r="AU1743" s="842" t="s">
        <v>4595</v>
      </c>
      <c r="AV1743" s="843" t="s">
        <v>5718</v>
      </c>
      <c r="AW1743" s="861">
        <v>45961</v>
      </c>
      <c r="AX1743" s="862">
        <v>45965</v>
      </c>
      <c r="AY1743" s="843" t="s">
        <v>5921</v>
      </c>
      <c r="AZ1743" s="842" t="s">
        <v>4269</v>
      </c>
      <c r="BA1743" s="842" t="s">
        <v>120</v>
      </c>
      <c r="BB1743" s="863" t="s">
        <v>121</v>
      </c>
      <c r="BC1743" s="864">
        <v>45967</v>
      </c>
      <c r="BD1743" s="860" t="s">
        <v>5708</v>
      </c>
      <c r="BE1743" s="865" cm="1">
        <f t="array" ref="BE1743">IF(BD1743="","",AC1743/SUMPRODUCT(--(BD1743=$BD$4:$BD$12824),$AC$4:$AC$12824))</f>
        <v>3.2420868707946347E-3</v>
      </c>
      <c r="BF1743" s="458"/>
      <c r="BG1743" s="458"/>
      <c r="BH1743" s="458"/>
      <c r="BI1743" s="458"/>
      <c r="BJ1743" s="458"/>
      <c r="BK1743" s="458"/>
      <c r="BL1743" s="458"/>
      <c r="BM1743" s="458"/>
      <c r="BN1743" s="458"/>
      <c r="BO1743" s="866">
        <f>VLOOKUP(BD1743,$BD$4:$BN$12824,3,0)*BE1743</f>
        <v>137188.09217387039</v>
      </c>
      <c r="BP1743" s="866"/>
      <c r="BQ1743" s="866"/>
      <c r="BR1743" s="866">
        <f>VLOOKUP(BD1743,$BD$4:$BN$12824,6,0)*BE1743</f>
        <v>25881.753601626257</v>
      </c>
      <c r="BS1743" s="866">
        <f>VLOOKUP(BD1743,$BD$4:$BN$12824,7,0)*BE1743</f>
        <v>22568.13428673274</v>
      </c>
      <c r="BT1743" s="866"/>
      <c r="BU1743" s="866">
        <f>VLOOKUP(BD1743,$BD$4:$BN$12824,9,0)*BE1743</f>
        <v>1815.5686476449955</v>
      </c>
      <c r="BV1743" s="867"/>
      <c r="BW1743" s="867">
        <f>VLOOKUP(BD1743,$BD$4:$BN$12824,11,0)*BE1743</f>
        <v>16276.476864304175</v>
      </c>
      <c r="BX1743" s="1146">
        <f t="shared" si="335"/>
        <v>203730.02557417855</v>
      </c>
      <c r="BY1743" s="867">
        <f t="shared" si="337"/>
        <v>22972447.651574176</v>
      </c>
      <c r="BZ1743" s="867">
        <f t="shared" si="336"/>
        <v>22972447.651574176</v>
      </c>
      <c r="CA1743" s="867">
        <f>_xlfn.MAXIFS($BY$4:$BY$12824,$S$4:$S$12824,$S1743)</f>
        <v>22972447.651574176</v>
      </c>
      <c r="CB1743" s="1032"/>
      <c r="CF1743" s="946">
        <f t="shared" ref="CF1743:CF1774" si="339">AC1743*AD1743</f>
        <v>24220800</v>
      </c>
    </row>
    <row r="1744" spans="2:84">
      <c r="B1744" s="839" t="s">
        <v>98</v>
      </c>
      <c r="C1744" s="839" t="s">
        <v>5697</v>
      </c>
      <c r="D1744" s="839" t="s">
        <v>5754</v>
      </c>
      <c r="E1744" s="839" t="s">
        <v>5754</v>
      </c>
      <c r="F1744" s="841">
        <v>45805</v>
      </c>
      <c r="G1744" s="839" t="s">
        <v>5697</v>
      </c>
      <c r="H1744" s="883" t="s">
        <v>3457</v>
      </c>
      <c r="I1744" s="883"/>
      <c r="J1744" s="841"/>
      <c r="K1744" s="841"/>
      <c r="L1744" s="843" t="s">
        <v>5257</v>
      </c>
      <c r="M1744" s="844" t="s">
        <v>107</v>
      </c>
      <c r="N1744" s="841"/>
      <c r="O1744" s="884" t="s">
        <v>150</v>
      </c>
      <c r="P1744" s="842" t="s">
        <v>461</v>
      </c>
      <c r="Q1744" s="843"/>
      <c r="R1744" s="845" t="s">
        <v>5922</v>
      </c>
      <c r="S1744" s="1127" t="s">
        <v>5923</v>
      </c>
      <c r="T1744" s="885" t="s">
        <v>5924</v>
      </c>
      <c r="U1744" s="886">
        <v>1</v>
      </c>
      <c r="V1744" s="842" t="s">
        <v>3</v>
      </c>
      <c r="W1744" s="846">
        <v>1675</v>
      </c>
      <c r="X1744" s="847">
        <f t="shared" si="330"/>
        <v>1675</v>
      </c>
      <c r="Y1744" s="853" t="s">
        <v>5703</v>
      </c>
      <c r="Z1744" s="849">
        <v>874.35</v>
      </c>
      <c r="AA1744" s="849"/>
      <c r="AB1744" s="849">
        <f t="shared" si="331"/>
        <v>874.35</v>
      </c>
      <c r="AC1744" s="850">
        <f t="shared" si="332"/>
        <v>874.35</v>
      </c>
      <c r="AD1744" s="851">
        <f t="shared" si="338"/>
        <v>32000</v>
      </c>
      <c r="AE1744" s="852">
        <v>30081.54</v>
      </c>
      <c r="AF1744" s="865">
        <v>0</v>
      </c>
      <c r="AG1744" s="854">
        <f t="shared" si="333"/>
        <v>0</v>
      </c>
      <c r="AH1744" s="853">
        <v>0.08</v>
      </c>
      <c r="AI1744" s="855">
        <f t="shared" si="334"/>
        <v>2104143.5599200004</v>
      </c>
      <c r="AJ1744" s="845" t="s">
        <v>5704</v>
      </c>
      <c r="AK1744" s="857">
        <v>45898</v>
      </c>
      <c r="AL1744" s="843" t="s">
        <v>5705</v>
      </c>
      <c r="AM1744" s="843" t="s">
        <v>5641</v>
      </c>
      <c r="AN1744" s="844" t="s">
        <v>5642</v>
      </c>
      <c r="AO1744" s="844" t="s">
        <v>141</v>
      </c>
      <c r="AP1744" s="841"/>
      <c r="AQ1744" s="841">
        <v>45906</v>
      </c>
      <c r="AR1744" s="841">
        <v>45958</v>
      </c>
      <c r="AS1744" s="842" t="s">
        <v>1284</v>
      </c>
      <c r="AT1744" s="842" t="s">
        <v>1235</v>
      </c>
      <c r="AU1744" s="842" t="s">
        <v>4595</v>
      </c>
      <c r="AV1744" s="843" t="s">
        <v>5718</v>
      </c>
      <c r="AW1744" s="861">
        <v>45961</v>
      </c>
      <c r="AX1744" s="862">
        <v>45965</v>
      </c>
      <c r="AY1744" s="843" t="s">
        <v>5925</v>
      </c>
      <c r="AZ1744" s="842" t="s">
        <v>4269</v>
      </c>
      <c r="BA1744" s="842" t="s">
        <v>120</v>
      </c>
      <c r="BB1744" s="863" t="s">
        <v>121</v>
      </c>
      <c r="BC1744" s="864">
        <v>45967</v>
      </c>
      <c r="BD1744" s="860" t="s">
        <v>5708</v>
      </c>
      <c r="BE1744" s="865" cm="1">
        <f t="array" ref="BE1744">IF(BD1744="","",AC1744/SUMPRODUCT(--(BD1744=$BD$4:$BD$12824),$AC$4:$AC$12824))</f>
        <v>3.7451693162627682E-3</v>
      </c>
      <c r="BF1744" s="458"/>
      <c r="BG1744" s="458"/>
      <c r="BH1744" s="458"/>
      <c r="BI1744" s="458"/>
      <c r="BJ1744" s="458"/>
      <c r="BK1744" s="458"/>
      <c r="BL1744" s="458"/>
      <c r="BM1744" s="458"/>
      <c r="BN1744" s="458"/>
      <c r="BO1744" s="866">
        <f>VLOOKUP(BD1744,$BD$4:$BN$12824,3,0)*BE1744</f>
        <v>158475.89958016065</v>
      </c>
      <c r="BP1744" s="866"/>
      <c r="BQ1744" s="866"/>
      <c r="BR1744" s="866">
        <f>VLOOKUP(BD1744,$BD$4:$BN$12824,6,0)*BE1744</f>
        <v>29897.887781188958</v>
      </c>
      <c r="BS1744" s="866">
        <f>VLOOKUP(BD1744,$BD$4:$BN$12824,7,0)*BE1744</f>
        <v>26070.086158811962</v>
      </c>
      <c r="BT1744" s="866"/>
      <c r="BU1744" s="866">
        <f>VLOOKUP(BD1744,$BD$4:$BN$12824,9,0)*BE1744</f>
        <v>2097.2948171071503</v>
      </c>
      <c r="BV1744" s="867"/>
      <c r="BW1744" s="867">
        <f>VLOOKUP(BD1744,$BD$4:$BN$12824,11,0)*BE1744</f>
        <v>18802.137067385858</v>
      </c>
      <c r="BX1744" s="1146">
        <f t="shared" si="335"/>
        <v>235343.30540465459</v>
      </c>
      <c r="BY1744" s="867">
        <f t="shared" si="337"/>
        <v>26537137.804404657</v>
      </c>
      <c r="BZ1744" s="867">
        <f t="shared" si="336"/>
        <v>26537137.804404657</v>
      </c>
      <c r="CA1744" s="867">
        <f>_xlfn.MAXIFS($BY$4:$BY$12824,$S$4:$S$12824,$S1744)</f>
        <v>26537137.804404657</v>
      </c>
      <c r="CB1744" s="1032"/>
      <c r="CF1744" s="946">
        <f t="shared" si="339"/>
        <v>27979200</v>
      </c>
    </row>
    <row r="1745" spans="2:84">
      <c r="B1745" s="839" t="s">
        <v>98</v>
      </c>
      <c r="C1745" s="839" t="s">
        <v>5697</v>
      </c>
      <c r="D1745" s="839" t="s">
        <v>5754</v>
      </c>
      <c r="E1745" s="839" t="s">
        <v>5754</v>
      </c>
      <c r="F1745" s="841">
        <v>45805</v>
      </c>
      <c r="G1745" s="839" t="s">
        <v>5697</v>
      </c>
      <c r="H1745" s="883" t="s">
        <v>3457</v>
      </c>
      <c r="I1745" s="883"/>
      <c r="J1745" s="841"/>
      <c r="K1745" s="841"/>
      <c r="L1745" s="843" t="s">
        <v>5257</v>
      </c>
      <c r="M1745" s="844" t="s">
        <v>107</v>
      </c>
      <c r="N1745" s="841"/>
      <c r="O1745" s="884" t="s">
        <v>150</v>
      </c>
      <c r="P1745" s="842" t="s">
        <v>461</v>
      </c>
      <c r="Q1745" s="843"/>
      <c r="R1745" s="845" t="s">
        <v>5926</v>
      </c>
      <c r="S1745" s="1127" t="s">
        <v>5927</v>
      </c>
      <c r="T1745" s="885" t="s">
        <v>5928</v>
      </c>
      <c r="U1745" s="886">
        <v>1</v>
      </c>
      <c r="V1745" s="842" t="s">
        <v>3</v>
      </c>
      <c r="W1745" s="846">
        <v>1675</v>
      </c>
      <c r="X1745" s="847">
        <f t="shared" si="330"/>
        <v>1675</v>
      </c>
      <c r="Y1745" s="853" t="s">
        <v>5703</v>
      </c>
      <c r="Z1745" s="849">
        <v>874.35</v>
      </c>
      <c r="AA1745" s="849"/>
      <c r="AB1745" s="849">
        <f t="shared" si="331"/>
        <v>874.35</v>
      </c>
      <c r="AC1745" s="850">
        <f t="shared" si="332"/>
        <v>874.35</v>
      </c>
      <c r="AD1745" s="851">
        <f t="shared" si="338"/>
        <v>32000</v>
      </c>
      <c r="AE1745" s="852">
        <v>30081.54</v>
      </c>
      <c r="AF1745" s="865">
        <v>0</v>
      </c>
      <c r="AG1745" s="854">
        <f t="shared" si="333"/>
        <v>0</v>
      </c>
      <c r="AH1745" s="853">
        <v>0.08</v>
      </c>
      <c r="AI1745" s="855">
        <f t="shared" si="334"/>
        <v>2104143.5599200004</v>
      </c>
      <c r="AJ1745" s="845" t="s">
        <v>5704</v>
      </c>
      <c r="AK1745" s="857">
        <v>45898</v>
      </c>
      <c r="AL1745" s="843" t="s">
        <v>5705</v>
      </c>
      <c r="AM1745" s="843" t="s">
        <v>5641</v>
      </c>
      <c r="AN1745" s="844" t="s">
        <v>5642</v>
      </c>
      <c r="AO1745" s="844" t="s">
        <v>141</v>
      </c>
      <c r="AP1745" s="841"/>
      <c r="AQ1745" s="841">
        <v>45906</v>
      </c>
      <c r="AR1745" s="841">
        <v>45958</v>
      </c>
      <c r="AS1745" s="842" t="s">
        <v>1284</v>
      </c>
      <c r="AT1745" s="842" t="s">
        <v>1235</v>
      </c>
      <c r="AU1745" s="842" t="s">
        <v>4595</v>
      </c>
      <c r="AV1745" s="843" t="s">
        <v>5718</v>
      </c>
      <c r="AW1745" s="861">
        <v>45961</v>
      </c>
      <c r="AX1745" s="862">
        <v>45965</v>
      </c>
      <c r="AY1745" s="843" t="s">
        <v>5929</v>
      </c>
      <c r="AZ1745" s="842" t="s">
        <v>4269</v>
      </c>
      <c r="BA1745" s="842" t="s">
        <v>120</v>
      </c>
      <c r="BB1745" s="863" t="s">
        <v>121</v>
      </c>
      <c r="BC1745" s="864">
        <v>45967</v>
      </c>
      <c r="BD1745" s="860" t="s">
        <v>5708</v>
      </c>
      <c r="BE1745" s="865" cm="1">
        <f t="array" ref="BE1745">IF(BD1745="","",AC1745/SUMPRODUCT(--(BD1745=$BD$4:$BD$12824),$AC$4:$AC$12824))</f>
        <v>3.7451693162627682E-3</v>
      </c>
      <c r="BF1745" s="458"/>
      <c r="BG1745" s="458"/>
      <c r="BH1745" s="458"/>
      <c r="BI1745" s="458"/>
      <c r="BJ1745" s="458"/>
      <c r="BK1745" s="458"/>
      <c r="BL1745" s="458"/>
      <c r="BM1745" s="458"/>
      <c r="BN1745" s="458"/>
      <c r="BO1745" s="866">
        <f>VLOOKUP(BD1745,$BD$4:$BN$12824,3,0)*BE1745</f>
        <v>158475.89958016065</v>
      </c>
      <c r="BP1745" s="866"/>
      <c r="BQ1745" s="866"/>
      <c r="BR1745" s="866">
        <f>VLOOKUP(BD1745,$BD$4:$BN$12824,6,0)*BE1745</f>
        <v>29897.887781188958</v>
      </c>
      <c r="BS1745" s="866">
        <f>VLOOKUP(BD1745,$BD$4:$BN$12824,7,0)*BE1745</f>
        <v>26070.086158811962</v>
      </c>
      <c r="BT1745" s="866"/>
      <c r="BU1745" s="866">
        <f>VLOOKUP(BD1745,$BD$4:$BN$12824,9,0)*BE1745</f>
        <v>2097.2948171071503</v>
      </c>
      <c r="BV1745" s="867"/>
      <c r="BW1745" s="867">
        <f>VLOOKUP(BD1745,$BD$4:$BN$12824,11,0)*BE1745</f>
        <v>18802.137067385858</v>
      </c>
      <c r="BX1745" s="1146">
        <f t="shared" si="335"/>
        <v>235343.30540465459</v>
      </c>
      <c r="BY1745" s="867">
        <f t="shared" si="337"/>
        <v>26537137.804404657</v>
      </c>
      <c r="BZ1745" s="867">
        <f t="shared" si="336"/>
        <v>26537137.804404657</v>
      </c>
      <c r="CA1745" s="867">
        <f>_xlfn.MAXIFS($BY$4:$BY$12824,$S$4:$S$12824,$S1745)</f>
        <v>26537137.804404657</v>
      </c>
      <c r="CB1745" s="1032"/>
      <c r="CF1745" s="946">
        <f t="shared" si="339"/>
        <v>27979200</v>
      </c>
    </row>
    <row r="1746" spans="2:84">
      <c r="B1746" s="839" t="s">
        <v>98</v>
      </c>
      <c r="C1746" s="839" t="s">
        <v>5697</v>
      </c>
      <c r="D1746" s="839" t="s">
        <v>5754</v>
      </c>
      <c r="E1746" s="839" t="s">
        <v>5754</v>
      </c>
      <c r="F1746" s="841">
        <v>45805</v>
      </c>
      <c r="G1746" s="839" t="s">
        <v>5697</v>
      </c>
      <c r="H1746" s="883" t="s">
        <v>3457</v>
      </c>
      <c r="I1746" s="883"/>
      <c r="J1746" s="841"/>
      <c r="K1746" s="841"/>
      <c r="L1746" s="843" t="s">
        <v>5257</v>
      </c>
      <c r="M1746" s="844" t="s">
        <v>107</v>
      </c>
      <c r="N1746" s="841"/>
      <c r="O1746" s="884" t="s">
        <v>150</v>
      </c>
      <c r="P1746" s="842" t="s">
        <v>461</v>
      </c>
      <c r="Q1746" s="843"/>
      <c r="R1746" s="845" t="s">
        <v>5930</v>
      </c>
      <c r="S1746" s="1127" t="s">
        <v>5931</v>
      </c>
      <c r="T1746" s="885" t="s">
        <v>5932</v>
      </c>
      <c r="U1746" s="886">
        <v>1</v>
      </c>
      <c r="V1746" s="842" t="s">
        <v>3</v>
      </c>
      <c r="W1746" s="846">
        <v>1895</v>
      </c>
      <c r="X1746" s="847">
        <f t="shared" si="330"/>
        <v>1895</v>
      </c>
      <c r="Y1746" s="853" t="s">
        <v>5703</v>
      </c>
      <c r="Z1746" s="849">
        <v>989.19</v>
      </c>
      <c r="AA1746" s="849"/>
      <c r="AB1746" s="849">
        <f t="shared" si="331"/>
        <v>989.19</v>
      </c>
      <c r="AC1746" s="850">
        <f t="shared" si="332"/>
        <v>989.19</v>
      </c>
      <c r="AD1746" s="851">
        <f t="shared" si="338"/>
        <v>32000</v>
      </c>
      <c r="AE1746" s="852">
        <v>30081.54</v>
      </c>
      <c r="AF1746" s="865">
        <v>0</v>
      </c>
      <c r="AG1746" s="854">
        <f t="shared" si="333"/>
        <v>0</v>
      </c>
      <c r="AH1746" s="853">
        <v>0.08</v>
      </c>
      <c r="AI1746" s="855">
        <f t="shared" si="334"/>
        <v>2380508.6842080005</v>
      </c>
      <c r="AJ1746" s="845" t="s">
        <v>5704</v>
      </c>
      <c r="AK1746" s="857">
        <v>45898</v>
      </c>
      <c r="AL1746" s="843" t="s">
        <v>5705</v>
      </c>
      <c r="AM1746" s="843" t="s">
        <v>5641</v>
      </c>
      <c r="AN1746" s="844" t="s">
        <v>5642</v>
      </c>
      <c r="AO1746" s="844" t="s">
        <v>141</v>
      </c>
      <c r="AP1746" s="841"/>
      <c r="AQ1746" s="841">
        <v>45906</v>
      </c>
      <c r="AR1746" s="841">
        <v>45958</v>
      </c>
      <c r="AS1746" s="842" t="s">
        <v>1284</v>
      </c>
      <c r="AT1746" s="842" t="s">
        <v>1235</v>
      </c>
      <c r="AU1746" s="842" t="s">
        <v>4595</v>
      </c>
      <c r="AV1746" s="843" t="s">
        <v>5718</v>
      </c>
      <c r="AW1746" s="861">
        <v>45961</v>
      </c>
      <c r="AX1746" s="862">
        <v>45965</v>
      </c>
      <c r="AY1746" s="843" t="s">
        <v>5933</v>
      </c>
      <c r="AZ1746" s="842" t="s">
        <v>4269</v>
      </c>
      <c r="BA1746" s="842" t="s">
        <v>120</v>
      </c>
      <c r="BB1746" s="863" t="s">
        <v>121</v>
      </c>
      <c r="BC1746" s="864">
        <v>45967</v>
      </c>
      <c r="BD1746" s="860" t="s">
        <v>5708</v>
      </c>
      <c r="BE1746" s="865" cm="1">
        <f t="array" ref="BE1746">IF(BD1746="","",AC1746/SUMPRODUCT(--(BD1746=$BD$4:$BD$12824),$AC$4:$AC$12824))</f>
        <v>4.2370721518316095E-3</v>
      </c>
      <c r="BF1746" s="458"/>
      <c r="BG1746" s="458"/>
      <c r="BH1746" s="458"/>
      <c r="BI1746" s="458"/>
      <c r="BJ1746" s="458"/>
      <c r="BK1746" s="458"/>
      <c r="BL1746" s="458"/>
      <c r="BM1746" s="458"/>
      <c r="BN1746" s="458"/>
      <c r="BO1746" s="866">
        <f>VLOOKUP(BD1746,$BD$4:$BN$12824,3,0)*BE1746</f>
        <v>179290.64459964444</v>
      </c>
      <c r="BP1746" s="866"/>
      <c r="BQ1746" s="866"/>
      <c r="BR1746" s="866">
        <f>VLOOKUP(BD1746,$BD$4:$BN$12824,6,0)*BE1746</f>
        <v>33824.774534539152</v>
      </c>
      <c r="BS1746" s="866">
        <f>VLOOKUP(BD1746,$BD$4:$BN$12824,7,0)*BE1746</f>
        <v>29494.216878178311</v>
      </c>
      <c r="BT1746" s="866"/>
      <c r="BU1746" s="866">
        <f>VLOOKUP(BD1746,$BD$4:$BN$12824,9,0)*BE1746</f>
        <v>2372.7604050257014</v>
      </c>
      <c r="BV1746" s="867"/>
      <c r="BW1746" s="867">
        <f>VLOOKUP(BD1746,$BD$4:$BN$12824,11,0)*BE1746</f>
        <v>21271.671488176838</v>
      </c>
      <c r="BX1746" s="1146">
        <f t="shared" si="335"/>
        <v>266254.06790556444</v>
      </c>
      <c r="BY1746" s="867">
        <f t="shared" si="337"/>
        <v>30022612.620505568</v>
      </c>
      <c r="BZ1746" s="867">
        <f t="shared" si="336"/>
        <v>30022612.620505568</v>
      </c>
      <c r="CA1746" s="867">
        <f>_xlfn.MAXIFS($BY$4:$BY$12824,$S$4:$S$12824,$S1746)</f>
        <v>30022612.620505568</v>
      </c>
      <c r="CB1746" s="1032"/>
      <c r="CF1746" s="946">
        <f t="shared" si="339"/>
        <v>31654080</v>
      </c>
    </row>
    <row r="1747" spans="2:84">
      <c r="B1747" s="839" t="s">
        <v>98</v>
      </c>
      <c r="C1747" s="839" t="s">
        <v>5697</v>
      </c>
      <c r="D1747" s="839" t="s">
        <v>5754</v>
      </c>
      <c r="E1747" s="839" t="s">
        <v>5754</v>
      </c>
      <c r="F1747" s="841">
        <v>45805</v>
      </c>
      <c r="G1747" s="839" t="s">
        <v>5697</v>
      </c>
      <c r="H1747" s="883" t="s">
        <v>3457</v>
      </c>
      <c r="I1747" s="883"/>
      <c r="J1747" s="841"/>
      <c r="K1747" s="841"/>
      <c r="L1747" s="843" t="s">
        <v>5257</v>
      </c>
      <c r="M1747" s="844" t="s">
        <v>107</v>
      </c>
      <c r="N1747" s="841"/>
      <c r="O1747" s="884" t="s">
        <v>150</v>
      </c>
      <c r="P1747" s="842" t="s">
        <v>461</v>
      </c>
      <c r="Q1747" s="843"/>
      <c r="R1747" s="845" t="s">
        <v>5934</v>
      </c>
      <c r="S1747" s="1127" t="s">
        <v>5935</v>
      </c>
      <c r="T1747" s="885" t="s">
        <v>5936</v>
      </c>
      <c r="U1747" s="886">
        <v>1</v>
      </c>
      <c r="V1747" s="842" t="s">
        <v>3</v>
      </c>
      <c r="W1747" s="846">
        <v>2075</v>
      </c>
      <c r="X1747" s="847">
        <f t="shared" si="330"/>
        <v>2075</v>
      </c>
      <c r="Y1747" s="853" t="s">
        <v>5703</v>
      </c>
      <c r="Z1747" s="849">
        <v>1083.1500000000001</v>
      </c>
      <c r="AA1747" s="849"/>
      <c r="AB1747" s="849">
        <f t="shared" si="331"/>
        <v>1083.1500000000001</v>
      </c>
      <c r="AC1747" s="850">
        <f t="shared" si="332"/>
        <v>1083.1500000000001</v>
      </c>
      <c r="AD1747" s="851">
        <f t="shared" si="338"/>
        <v>32000</v>
      </c>
      <c r="AE1747" s="852">
        <v>30081.54</v>
      </c>
      <c r="AF1747" s="865">
        <v>0</v>
      </c>
      <c r="AG1747" s="854">
        <f t="shared" si="333"/>
        <v>0</v>
      </c>
      <c r="AH1747" s="853">
        <v>0.08</v>
      </c>
      <c r="AI1747" s="855">
        <f t="shared" si="334"/>
        <v>2606625.6040800004</v>
      </c>
      <c r="AJ1747" s="845" t="s">
        <v>5704</v>
      </c>
      <c r="AK1747" s="857">
        <v>45898</v>
      </c>
      <c r="AL1747" s="843" t="s">
        <v>5705</v>
      </c>
      <c r="AM1747" s="843" t="s">
        <v>5641</v>
      </c>
      <c r="AN1747" s="844" t="s">
        <v>5642</v>
      </c>
      <c r="AO1747" s="844" t="s">
        <v>141</v>
      </c>
      <c r="AP1747" s="841"/>
      <c r="AQ1747" s="841">
        <v>45906</v>
      </c>
      <c r="AR1747" s="841">
        <v>45958</v>
      </c>
      <c r="AS1747" s="842" t="s">
        <v>1284</v>
      </c>
      <c r="AT1747" s="842" t="s">
        <v>1235</v>
      </c>
      <c r="AU1747" s="842" t="s">
        <v>4595</v>
      </c>
      <c r="AV1747" s="843" t="s">
        <v>5718</v>
      </c>
      <c r="AW1747" s="861">
        <v>45961</v>
      </c>
      <c r="AX1747" s="862">
        <v>45965</v>
      </c>
      <c r="AY1747" s="843" t="s">
        <v>5937</v>
      </c>
      <c r="AZ1747" s="842" t="s">
        <v>4269</v>
      </c>
      <c r="BA1747" s="842" t="s">
        <v>120</v>
      </c>
      <c r="BB1747" s="863" t="s">
        <v>121</v>
      </c>
      <c r="BC1747" s="864">
        <v>45967</v>
      </c>
      <c r="BD1747" s="860" t="s">
        <v>5708</v>
      </c>
      <c r="BE1747" s="865" cm="1">
        <f t="array" ref="BE1747">IF(BD1747="","",AC1747/SUMPRODUCT(--(BD1747=$BD$4:$BD$12824),$AC$4:$AC$12824))</f>
        <v>4.6395381082061154E-3</v>
      </c>
      <c r="BF1747" s="458"/>
      <c r="BG1747" s="458"/>
      <c r="BH1747" s="458"/>
      <c r="BI1747" s="458"/>
      <c r="BJ1747" s="458"/>
      <c r="BK1747" s="458"/>
      <c r="BL1747" s="458"/>
      <c r="BM1747" s="458"/>
      <c r="BN1747" s="458"/>
      <c r="BO1747" s="866">
        <f>VLOOKUP(BD1747,$BD$4:$BN$12824,3,0)*BE1747</f>
        <v>196320.89052467662</v>
      </c>
      <c r="BP1747" s="866"/>
      <c r="BQ1747" s="866"/>
      <c r="BR1747" s="866">
        <f>VLOOKUP(BD1747,$BD$4:$BN$12824,6,0)*BE1747</f>
        <v>37037.681878189302</v>
      </c>
      <c r="BS1747" s="866">
        <f>VLOOKUP(BD1747,$BD$4:$BN$12824,7,0)*BE1747</f>
        <v>32295.778375841684</v>
      </c>
      <c r="BT1747" s="866"/>
      <c r="BU1747" s="866">
        <f>VLOOKUP(BD1747,$BD$4:$BN$12824,9,0)*BE1747</f>
        <v>2598.1413405954245</v>
      </c>
      <c r="BV1747" s="867"/>
      <c r="BW1747" s="867">
        <f>VLOOKUP(BD1747,$BD$4:$BN$12824,11,0)*BE1747</f>
        <v>23292.199650642182</v>
      </c>
      <c r="BX1747" s="1146">
        <f t="shared" si="335"/>
        <v>291544.6917699452</v>
      </c>
      <c r="BY1747" s="867">
        <f t="shared" si="337"/>
        <v>32874364.742769949</v>
      </c>
      <c r="BZ1747" s="867">
        <f t="shared" si="336"/>
        <v>32874364.742769949</v>
      </c>
      <c r="CA1747" s="867">
        <f>_xlfn.MAXIFS($BY$4:$BY$12824,$S$4:$S$12824,$S1747)</f>
        <v>32874364.742769949</v>
      </c>
      <c r="CB1747" s="1032"/>
      <c r="CF1747" s="946">
        <f t="shared" si="339"/>
        <v>34660800</v>
      </c>
    </row>
    <row r="1748" spans="2:84">
      <c r="B1748" s="839" t="s">
        <v>98</v>
      </c>
      <c r="C1748" s="839" t="s">
        <v>5697</v>
      </c>
      <c r="D1748" s="839" t="s">
        <v>5754</v>
      </c>
      <c r="E1748" s="839" t="s">
        <v>5754</v>
      </c>
      <c r="F1748" s="841">
        <v>45805</v>
      </c>
      <c r="G1748" s="839" t="s">
        <v>5697</v>
      </c>
      <c r="H1748" s="883" t="s">
        <v>3457</v>
      </c>
      <c r="I1748" s="883"/>
      <c r="J1748" s="841"/>
      <c r="K1748" s="841"/>
      <c r="L1748" s="843" t="s">
        <v>5257</v>
      </c>
      <c r="M1748" s="844" t="s">
        <v>107</v>
      </c>
      <c r="N1748" s="841"/>
      <c r="O1748" s="884" t="s">
        <v>150</v>
      </c>
      <c r="P1748" s="842" t="s">
        <v>461</v>
      </c>
      <c r="Q1748" s="843"/>
      <c r="R1748" s="845" t="s">
        <v>5938</v>
      </c>
      <c r="S1748" s="1127" t="s">
        <v>5939</v>
      </c>
      <c r="T1748" s="885" t="s">
        <v>5940</v>
      </c>
      <c r="U1748" s="886">
        <v>1</v>
      </c>
      <c r="V1748" s="842" t="s">
        <v>3</v>
      </c>
      <c r="W1748" s="846">
        <v>1860</v>
      </c>
      <c r="X1748" s="847">
        <f t="shared" si="330"/>
        <v>1860</v>
      </c>
      <c r="Y1748" s="853" t="s">
        <v>5703</v>
      </c>
      <c r="Z1748" s="849">
        <v>970.92</v>
      </c>
      <c r="AA1748" s="849"/>
      <c r="AB1748" s="849">
        <f t="shared" si="331"/>
        <v>970.92</v>
      </c>
      <c r="AC1748" s="850">
        <f t="shared" si="332"/>
        <v>970.92</v>
      </c>
      <c r="AD1748" s="851">
        <f t="shared" si="338"/>
        <v>32000</v>
      </c>
      <c r="AE1748" s="852">
        <v>30081.54</v>
      </c>
      <c r="AF1748" s="865">
        <v>0</v>
      </c>
      <c r="AG1748" s="854">
        <f t="shared" si="333"/>
        <v>0</v>
      </c>
      <c r="AH1748" s="853">
        <v>0.08</v>
      </c>
      <c r="AI1748" s="855">
        <f t="shared" si="334"/>
        <v>2336541.5053439997</v>
      </c>
      <c r="AJ1748" s="845" t="s">
        <v>5704</v>
      </c>
      <c r="AK1748" s="857">
        <v>45898</v>
      </c>
      <c r="AL1748" s="843" t="s">
        <v>5705</v>
      </c>
      <c r="AM1748" s="843" t="s">
        <v>5641</v>
      </c>
      <c r="AN1748" s="844" t="s">
        <v>5642</v>
      </c>
      <c r="AO1748" s="844" t="s">
        <v>141</v>
      </c>
      <c r="AP1748" s="841"/>
      <c r="AQ1748" s="841">
        <v>45906</v>
      </c>
      <c r="AR1748" s="841">
        <v>45958</v>
      </c>
      <c r="AS1748" s="842" t="s">
        <v>1284</v>
      </c>
      <c r="AT1748" s="842" t="s">
        <v>1235</v>
      </c>
      <c r="AU1748" s="842" t="s">
        <v>4595</v>
      </c>
      <c r="AV1748" s="843" t="s">
        <v>5718</v>
      </c>
      <c r="AW1748" s="861">
        <v>45961</v>
      </c>
      <c r="AX1748" s="862">
        <v>45965</v>
      </c>
      <c r="AY1748" s="843" t="s">
        <v>5941</v>
      </c>
      <c r="AZ1748" s="842" t="s">
        <v>4269</v>
      </c>
      <c r="BA1748" s="842" t="s">
        <v>120</v>
      </c>
      <c r="BB1748" s="863" t="s">
        <v>121</v>
      </c>
      <c r="BC1748" s="864">
        <v>45967</v>
      </c>
      <c r="BD1748" s="860" t="s">
        <v>5708</v>
      </c>
      <c r="BE1748" s="865" cm="1">
        <f t="array" ref="BE1748">IF(BD1748="","",AC1748/SUMPRODUCT(--(BD1748=$BD$4:$BD$12824),$AC$4:$AC$12824))</f>
        <v>4.1588148825365658E-3</v>
      </c>
      <c r="BF1748" s="458"/>
      <c r="BG1748" s="458"/>
      <c r="BH1748" s="458"/>
      <c r="BI1748" s="458"/>
      <c r="BJ1748" s="458"/>
      <c r="BK1748" s="458"/>
      <c r="BL1748" s="458"/>
      <c r="BM1748" s="458"/>
      <c r="BN1748" s="458"/>
      <c r="BO1748" s="866">
        <f>VLOOKUP(BD1748,$BD$4:$BN$12824,3,0)*BE1748</f>
        <v>175979.20789199928</v>
      </c>
      <c r="BP1748" s="866"/>
      <c r="BQ1748" s="866"/>
      <c r="BR1748" s="866">
        <f>VLOOKUP(BD1748,$BD$4:$BN$12824,6,0)*BE1748</f>
        <v>33200.042551051614</v>
      </c>
      <c r="BS1748" s="866">
        <f>VLOOKUP(BD1748,$BD$4:$BN$12824,7,0)*BE1748</f>
        <v>28949.468809188205</v>
      </c>
      <c r="BT1748" s="866"/>
      <c r="BU1748" s="866">
        <f>VLOOKUP(BD1748,$BD$4:$BN$12824,9,0)*BE1748</f>
        <v>2328.936334220477</v>
      </c>
      <c r="BV1748" s="867"/>
      <c r="BW1748" s="867">
        <f>VLOOKUP(BD1748,$BD$4:$BN$12824,11,0)*BE1748</f>
        <v>20878.791012141908</v>
      </c>
      <c r="BX1748" s="1146">
        <f t="shared" si="335"/>
        <v>261336.4465986015</v>
      </c>
      <c r="BY1748" s="867">
        <f t="shared" si="337"/>
        <v>29468105.263398599</v>
      </c>
      <c r="BZ1748" s="867">
        <f t="shared" si="336"/>
        <v>29468105.263398599</v>
      </c>
      <c r="CA1748" s="867">
        <f>_xlfn.MAXIFS($BY$4:$BY$12824,$S$4:$S$12824,$S1748)</f>
        <v>29468105.263398599</v>
      </c>
      <c r="CB1748" s="1032"/>
      <c r="CF1748" s="946">
        <f t="shared" si="339"/>
        <v>31069440</v>
      </c>
    </row>
    <row r="1749" spans="2:84">
      <c r="B1749" s="839" t="s">
        <v>98</v>
      </c>
      <c r="C1749" s="839" t="s">
        <v>5697</v>
      </c>
      <c r="D1749" s="839" t="s">
        <v>5754</v>
      </c>
      <c r="E1749" s="839" t="s">
        <v>5754</v>
      </c>
      <c r="F1749" s="841">
        <v>45805</v>
      </c>
      <c r="G1749" s="839" t="s">
        <v>5697</v>
      </c>
      <c r="H1749" s="883" t="s">
        <v>3457</v>
      </c>
      <c r="I1749" s="883"/>
      <c r="J1749" s="841"/>
      <c r="K1749" s="841"/>
      <c r="L1749" s="843" t="s">
        <v>5257</v>
      </c>
      <c r="M1749" s="844" t="s">
        <v>107</v>
      </c>
      <c r="N1749" s="841"/>
      <c r="O1749" s="884" t="s">
        <v>150</v>
      </c>
      <c r="P1749" s="842" t="s">
        <v>461</v>
      </c>
      <c r="Q1749" s="843"/>
      <c r="R1749" s="845" t="s">
        <v>5942</v>
      </c>
      <c r="S1749" s="1127" t="s">
        <v>5943</v>
      </c>
      <c r="T1749" s="885" t="s">
        <v>5944</v>
      </c>
      <c r="U1749" s="886">
        <v>1</v>
      </c>
      <c r="V1749" s="842" t="s">
        <v>3</v>
      </c>
      <c r="W1749" s="846">
        <v>2205</v>
      </c>
      <c r="X1749" s="847">
        <f t="shared" si="330"/>
        <v>2205</v>
      </c>
      <c r="Y1749" s="853" t="s">
        <v>5703</v>
      </c>
      <c r="Z1749" s="849">
        <v>1151.01</v>
      </c>
      <c r="AA1749" s="849"/>
      <c r="AB1749" s="849">
        <f t="shared" si="331"/>
        <v>1151.01</v>
      </c>
      <c r="AC1749" s="850">
        <f t="shared" si="332"/>
        <v>1151.01</v>
      </c>
      <c r="AD1749" s="851">
        <f t="shared" si="338"/>
        <v>32000</v>
      </c>
      <c r="AE1749" s="852">
        <v>30081.54</v>
      </c>
      <c r="AF1749" s="865">
        <v>0</v>
      </c>
      <c r="AG1749" s="854">
        <f t="shared" si="333"/>
        <v>0</v>
      </c>
      <c r="AH1749" s="853">
        <v>0.08</v>
      </c>
      <c r="AI1749" s="855">
        <f t="shared" si="334"/>
        <v>2769932.2684320002</v>
      </c>
      <c r="AJ1749" s="845" t="s">
        <v>5704</v>
      </c>
      <c r="AK1749" s="857">
        <v>45898</v>
      </c>
      <c r="AL1749" s="843" t="s">
        <v>5705</v>
      </c>
      <c r="AM1749" s="843" t="s">
        <v>5641</v>
      </c>
      <c r="AN1749" s="844" t="s">
        <v>5642</v>
      </c>
      <c r="AO1749" s="844" t="s">
        <v>141</v>
      </c>
      <c r="AP1749" s="841"/>
      <c r="AQ1749" s="841">
        <v>45906</v>
      </c>
      <c r="AR1749" s="841">
        <v>45958</v>
      </c>
      <c r="AS1749" s="842" t="s">
        <v>1284</v>
      </c>
      <c r="AT1749" s="842" t="s">
        <v>1235</v>
      </c>
      <c r="AU1749" s="842" t="s">
        <v>4595</v>
      </c>
      <c r="AV1749" s="843" t="s">
        <v>5718</v>
      </c>
      <c r="AW1749" s="861">
        <v>45961</v>
      </c>
      <c r="AX1749" s="862">
        <v>45965</v>
      </c>
      <c r="AY1749" s="843" t="s">
        <v>5945</v>
      </c>
      <c r="AZ1749" s="842" t="s">
        <v>4269</v>
      </c>
      <c r="BA1749" s="842" t="s">
        <v>120</v>
      </c>
      <c r="BB1749" s="863" t="s">
        <v>121</v>
      </c>
      <c r="BC1749" s="864">
        <v>45967</v>
      </c>
      <c r="BD1749" s="860" t="s">
        <v>5708</v>
      </c>
      <c r="BE1749" s="865" cm="1">
        <f t="array" ref="BE1749">IF(BD1749="","",AC1749/SUMPRODUCT(--(BD1749=$BD$4:$BD$12824),$AC$4:$AC$12824))</f>
        <v>4.9302079655877034E-3</v>
      </c>
      <c r="BF1749" s="458"/>
      <c r="BG1749" s="458"/>
      <c r="BH1749" s="458"/>
      <c r="BI1749" s="458"/>
      <c r="BJ1749" s="458"/>
      <c r="BK1749" s="458"/>
      <c r="BL1749" s="458"/>
      <c r="BM1749" s="458"/>
      <c r="BN1749" s="458"/>
      <c r="BO1749" s="866">
        <f>VLOOKUP(BD1749,$BD$4:$BN$12824,3,0)*BE1749</f>
        <v>208620.51258164432</v>
      </c>
      <c r="BP1749" s="866"/>
      <c r="BQ1749" s="866"/>
      <c r="BR1749" s="866">
        <f>VLOOKUP(BD1749,$BD$4:$BN$12824,6,0)*BE1749</f>
        <v>39358.114959714418</v>
      </c>
      <c r="BS1749" s="866">
        <f>VLOOKUP(BD1749,$BD$4:$BN$12824,7,0)*BE1749</f>
        <v>34319.128346376339</v>
      </c>
      <c r="BT1749" s="866"/>
      <c r="BU1749" s="866">
        <f>VLOOKUP(BD1749,$BD$4:$BN$12824,9,0)*BE1749</f>
        <v>2760.9164607291141</v>
      </c>
      <c r="BV1749" s="867"/>
      <c r="BW1749" s="867">
        <f>VLOOKUP(BD1749,$BD$4:$BN$12824,11,0)*BE1749</f>
        <v>24751.469990200487</v>
      </c>
      <c r="BX1749" s="1146">
        <f t="shared" si="335"/>
        <v>309810.14233866462</v>
      </c>
      <c r="BY1749" s="867">
        <f t="shared" si="337"/>
        <v>34933963.497738667</v>
      </c>
      <c r="BZ1749" s="867">
        <f t="shared" si="336"/>
        <v>34933963.497738667</v>
      </c>
      <c r="CA1749" s="867">
        <f>_xlfn.MAXIFS($BY$4:$BY$12824,$S$4:$S$12824,$S1749)</f>
        <v>34933963.497738667</v>
      </c>
      <c r="CB1749" s="1032"/>
      <c r="CF1749" s="946">
        <f t="shared" si="339"/>
        <v>36832320</v>
      </c>
    </row>
    <row r="1750" spans="2:84">
      <c r="B1750" s="839" t="s">
        <v>98</v>
      </c>
      <c r="C1750" s="839" t="s">
        <v>5697</v>
      </c>
      <c r="D1750" s="839" t="s">
        <v>5754</v>
      </c>
      <c r="E1750" s="839" t="s">
        <v>5754</v>
      </c>
      <c r="F1750" s="841">
        <v>45805</v>
      </c>
      <c r="G1750" s="839" t="s">
        <v>5697</v>
      </c>
      <c r="H1750" s="883" t="s">
        <v>3457</v>
      </c>
      <c r="I1750" s="883"/>
      <c r="J1750" s="841"/>
      <c r="K1750" s="841"/>
      <c r="L1750" s="843" t="s">
        <v>5257</v>
      </c>
      <c r="M1750" s="844" t="s">
        <v>107</v>
      </c>
      <c r="N1750" s="841"/>
      <c r="O1750" s="884" t="s">
        <v>150</v>
      </c>
      <c r="P1750" s="842" t="s">
        <v>461</v>
      </c>
      <c r="Q1750" s="843"/>
      <c r="R1750" s="845" t="s">
        <v>5946</v>
      </c>
      <c r="S1750" s="1127" t="s">
        <v>5947</v>
      </c>
      <c r="T1750" s="885" t="s">
        <v>5948</v>
      </c>
      <c r="U1750" s="886">
        <v>1</v>
      </c>
      <c r="V1750" s="842" t="s">
        <v>3</v>
      </c>
      <c r="W1750" s="846">
        <v>3680</v>
      </c>
      <c r="X1750" s="847">
        <f t="shared" si="330"/>
        <v>3680</v>
      </c>
      <c r="Y1750" s="853" t="s">
        <v>5703</v>
      </c>
      <c r="Z1750" s="849">
        <v>1920.96</v>
      </c>
      <c r="AA1750" s="849"/>
      <c r="AB1750" s="849">
        <f t="shared" si="331"/>
        <v>1920.96</v>
      </c>
      <c r="AC1750" s="850">
        <f t="shared" si="332"/>
        <v>1920.96</v>
      </c>
      <c r="AD1750" s="851">
        <f t="shared" si="338"/>
        <v>32000</v>
      </c>
      <c r="AE1750" s="852">
        <v>30081.54</v>
      </c>
      <c r="AF1750" s="865">
        <v>0</v>
      </c>
      <c r="AG1750" s="854">
        <f t="shared" si="333"/>
        <v>0</v>
      </c>
      <c r="AH1750" s="853">
        <v>0.08</v>
      </c>
      <c r="AI1750" s="855">
        <f t="shared" si="334"/>
        <v>4622834.8062720001</v>
      </c>
      <c r="AJ1750" s="845" t="s">
        <v>5704</v>
      </c>
      <c r="AK1750" s="857">
        <v>45898</v>
      </c>
      <c r="AL1750" s="843" t="s">
        <v>5705</v>
      </c>
      <c r="AM1750" s="843" t="s">
        <v>5641</v>
      </c>
      <c r="AN1750" s="844" t="s">
        <v>5642</v>
      </c>
      <c r="AO1750" s="844" t="s">
        <v>141</v>
      </c>
      <c r="AP1750" s="841"/>
      <c r="AQ1750" s="841">
        <v>45906</v>
      </c>
      <c r="AR1750" s="841">
        <v>45958</v>
      </c>
      <c r="AS1750" s="842" t="s">
        <v>1284</v>
      </c>
      <c r="AT1750" s="842" t="s">
        <v>1235</v>
      </c>
      <c r="AU1750" s="842" t="s">
        <v>4595</v>
      </c>
      <c r="AV1750" s="843" t="s">
        <v>5718</v>
      </c>
      <c r="AW1750" s="861">
        <v>45961</v>
      </c>
      <c r="AX1750" s="862">
        <v>45965</v>
      </c>
      <c r="AY1750" s="843" t="s">
        <v>5949</v>
      </c>
      <c r="AZ1750" s="842" t="s">
        <v>4269</v>
      </c>
      <c r="BA1750" s="842" t="s">
        <v>120</v>
      </c>
      <c r="BB1750" s="863" t="s">
        <v>121</v>
      </c>
      <c r="BC1750" s="864">
        <v>45967</v>
      </c>
      <c r="BD1750" s="860" t="s">
        <v>5708</v>
      </c>
      <c r="BE1750" s="865" cm="1">
        <f t="array" ref="BE1750">IF(BD1750="","",AC1750/SUMPRODUCT(--(BD1750=$BD$4:$BD$12824),$AC$4:$AC$12824))</f>
        <v>8.2281928858787979E-3</v>
      </c>
      <c r="BF1750" s="458"/>
      <c r="BG1750" s="458"/>
      <c r="BH1750" s="458"/>
      <c r="BI1750" s="458"/>
      <c r="BJ1750" s="458"/>
      <c r="BK1750" s="458"/>
      <c r="BL1750" s="458"/>
      <c r="BM1750" s="458"/>
      <c r="BN1750" s="458"/>
      <c r="BO1750" s="866">
        <f>VLOOKUP(BD1750,$BD$4:$BN$12824,3,0)*BE1750</f>
        <v>348173.91668954695</v>
      </c>
      <c r="BP1750" s="866"/>
      <c r="BQ1750" s="866"/>
      <c r="BR1750" s="866">
        <f>VLOOKUP(BD1750,$BD$4:$BN$12824,6,0)*BE1750</f>
        <v>65686.105692403202</v>
      </c>
      <c r="BS1750" s="866">
        <f>VLOOKUP(BD1750,$BD$4:$BN$12824,7,0)*BE1750</f>
        <v>57276.368396673446</v>
      </c>
      <c r="BT1750" s="866"/>
      <c r="BU1750" s="866">
        <f>VLOOKUP(BD1750,$BD$4:$BN$12824,9,0)*BE1750</f>
        <v>4607.7880160921268</v>
      </c>
      <c r="BV1750" s="867"/>
      <c r="BW1750" s="867">
        <f>VLOOKUP(BD1750,$BD$4:$BN$12824,11,0)*BE1750</f>
        <v>41308.575765958187</v>
      </c>
      <c r="BX1750" s="1146">
        <f t="shared" si="335"/>
        <v>517052.75456067396</v>
      </c>
      <c r="BY1750" s="867">
        <f t="shared" si="337"/>
        <v>58302487.832960673</v>
      </c>
      <c r="BZ1750" s="867">
        <f t="shared" si="336"/>
        <v>58302487.832960673</v>
      </c>
      <c r="CA1750" s="867">
        <f>_xlfn.MAXIFS($BY$4:$BY$12824,$S$4:$S$12824,$S1750)</f>
        <v>58302487.832960673</v>
      </c>
      <c r="CB1750" s="1032"/>
      <c r="CF1750" s="946">
        <f t="shared" si="339"/>
        <v>61470720</v>
      </c>
    </row>
    <row r="1751" spans="2:84">
      <c r="B1751" s="839" t="s">
        <v>98</v>
      </c>
      <c r="C1751" s="839" t="s">
        <v>5697</v>
      </c>
      <c r="D1751" s="839" t="s">
        <v>5754</v>
      </c>
      <c r="E1751" s="839" t="s">
        <v>5754</v>
      </c>
      <c r="F1751" s="841">
        <v>45805</v>
      </c>
      <c r="G1751" s="839" t="s">
        <v>5697</v>
      </c>
      <c r="H1751" s="883" t="s">
        <v>3457</v>
      </c>
      <c r="I1751" s="883"/>
      <c r="J1751" s="841"/>
      <c r="K1751" s="841"/>
      <c r="L1751" s="843" t="s">
        <v>5257</v>
      </c>
      <c r="M1751" s="844" t="s">
        <v>107</v>
      </c>
      <c r="N1751" s="841"/>
      <c r="O1751" s="884" t="s">
        <v>150</v>
      </c>
      <c r="P1751" s="842" t="s">
        <v>461</v>
      </c>
      <c r="Q1751" s="843"/>
      <c r="R1751" s="845" t="s">
        <v>5950</v>
      </c>
      <c r="S1751" s="1127" t="s">
        <v>5951</v>
      </c>
      <c r="T1751" s="885" t="s">
        <v>5952</v>
      </c>
      <c r="U1751" s="886">
        <v>2</v>
      </c>
      <c r="V1751" s="842" t="s">
        <v>3</v>
      </c>
      <c r="W1751" s="846">
        <v>3995</v>
      </c>
      <c r="X1751" s="847">
        <f t="shared" si="330"/>
        <v>7990</v>
      </c>
      <c r="Y1751" s="853" t="s">
        <v>5703</v>
      </c>
      <c r="Z1751" s="849">
        <v>2085.39</v>
      </c>
      <c r="AA1751" s="849"/>
      <c r="AB1751" s="849">
        <f t="shared" si="331"/>
        <v>4170.78</v>
      </c>
      <c r="AC1751" s="850">
        <f t="shared" si="332"/>
        <v>4170.78</v>
      </c>
      <c r="AD1751" s="851">
        <f t="shared" si="338"/>
        <v>32000</v>
      </c>
      <c r="AE1751" s="852">
        <v>30081.54</v>
      </c>
      <c r="AF1751" s="865">
        <v>0</v>
      </c>
      <c r="AG1751" s="854">
        <f t="shared" si="333"/>
        <v>0</v>
      </c>
      <c r="AH1751" s="853">
        <v>0.08</v>
      </c>
      <c r="AI1751" s="855">
        <f t="shared" si="334"/>
        <v>10037078.832095999</v>
      </c>
      <c r="AJ1751" s="845" t="s">
        <v>5704</v>
      </c>
      <c r="AK1751" s="857">
        <v>45898</v>
      </c>
      <c r="AL1751" s="843" t="s">
        <v>5705</v>
      </c>
      <c r="AM1751" s="843" t="s">
        <v>5641</v>
      </c>
      <c r="AN1751" s="844" t="s">
        <v>5642</v>
      </c>
      <c r="AO1751" s="844" t="s">
        <v>141</v>
      </c>
      <c r="AP1751" s="841"/>
      <c r="AQ1751" s="841">
        <v>45906</v>
      </c>
      <c r="AR1751" s="841">
        <v>45958</v>
      </c>
      <c r="AS1751" s="842" t="s">
        <v>1284</v>
      </c>
      <c r="AT1751" s="842" t="s">
        <v>1235</v>
      </c>
      <c r="AU1751" s="842" t="s">
        <v>4595</v>
      </c>
      <c r="AV1751" s="843" t="s">
        <v>5718</v>
      </c>
      <c r="AW1751" s="861">
        <v>45961</v>
      </c>
      <c r="AX1751" s="862">
        <v>45965</v>
      </c>
      <c r="AY1751" s="843" t="s">
        <v>5953</v>
      </c>
      <c r="AZ1751" s="842" t="s">
        <v>4269</v>
      </c>
      <c r="BA1751" s="842" t="s">
        <v>120</v>
      </c>
      <c r="BB1751" s="863" t="s">
        <v>121</v>
      </c>
      <c r="BC1751" s="864">
        <v>45967</v>
      </c>
      <c r="BD1751" s="860" t="s">
        <v>5708</v>
      </c>
      <c r="BE1751" s="865" cm="1">
        <f t="array" ref="BE1751">IF(BD1751="","",AC1751/SUMPRODUCT(--(BD1751=$BD$4:$BD$12824),$AC$4:$AC$12824))</f>
        <v>1.7865016619068367E-2</v>
      </c>
      <c r="BF1751" s="458"/>
      <c r="BG1751" s="458"/>
      <c r="BH1751" s="458"/>
      <c r="BI1751" s="458"/>
      <c r="BJ1751" s="458"/>
      <c r="BK1751" s="458"/>
      <c r="BL1751" s="458"/>
      <c r="BM1751" s="458"/>
      <c r="BN1751" s="458"/>
      <c r="BO1751" s="866">
        <f>VLOOKUP(BD1751,$BD$4:$BN$12824,3,0)*BE1751</f>
        <v>755953.69411670661</v>
      </c>
      <c r="BP1751" s="866"/>
      <c r="BQ1751" s="866"/>
      <c r="BR1751" s="866">
        <f>VLOOKUP(BD1751,$BD$4:$BN$12824,6,0)*BE1751</f>
        <v>142617.38708758194</v>
      </c>
      <c r="BS1751" s="866">
        <f>VLOOKUP(BD1751,$BD$4:$BN$12824,7,0)*BE1751</f>
        <v>124358.2020351687</v>
      </c>
      <c r="BT1751" s="866"/>
      <c r="BU1751" s="866">
        <f>VLOOKUP(BD1751,$BD$4:$BN$12824,9,0)*BE1751</f>
        <v>10004.409306678286</v>
      </c>
      <c r="BV1751" s="867"/>
      <c r="BW1751" s="867">
        <f>VLOOKUP(BD1751,$BD$4:$BN$12824,11,0)*BE1751</f>
        <v>89689.000100545076</v>
      </c>
      <c r="BX1751" s="1146">
        <f t="shared" si="335"/>
        <v>1122622.6926466806</v>
      </c>
      <c r="BY1751" s="867">
        <f t="shared" si="337"/>
        <v>63293054.046923339</v>
      </c>
      <c r="BZ1751" s="867">
        <f t="shared" si="336"/>
        <v>126586108.09384668</v>
      </c>
      <c r="CA1751" s="867">
        <f>_xlfn.MAXIFS($BY$4:$BY$12824,$S$4:$S$12824,$S1751)</f>
        <v>63293054.046923339</v>
      </c>
      <c r="CB1751" s="1032"/>
      <c r="CF1751" s="946">
        <f t="shared" si="339"/>
        <v>133464959.99999999</v>
      </c>
    </row>
    <row r="1752" spans="2:84">
      <c r="B1752" s="839" t="s">
        <v>98</v>
      </c>
      <c r="C1752" s="839" t="s">
        <v>5697</v>
      </c>
      <c r="D1752" s="839" t="s">
        <v>5754</v>
      </c>
      <c r="E1752" s="839" t="s">
        <v>5754</v>
      </c>
      <c r="F1752" s="841">
        <v>45805</v>
      </c>
      <c r="G1752" s="839" t="s">
        <v>5697</v>
      </c>
      <c r="H1752" s="883" t="s">
        <v>3457</v>
      </c>
      <c r="I1752" s="883"/>
      <c r="J1752" s="841"/>
      <c r="K1752" s="841"/>
      <c r="L1752" s="843" t="s">
        <v>5257</v>
      </c>
      <c r="M1752" s="844" t="s">
        <v>107</v>
      </c>
      <c r="N1752" s="841"/>
      <c r="O1752" s="884" t="s">
        <v>150</v>
      </c>
      <c r="P1752" s="842" t="s">
        <v>461</v>
      </c>
      <c r="Q1752" s="843"/>
      <c r="R1752" s="845" t="s">
        <v>5954</v>
      </c>
      <c r="S1752" s="1127" t="s">
        <v>5955</v>
      </c>
      <c r="T1752" s="885" t="s">
        <v>5956</v>
      </c>
      <c r="U1752" s="886">
        <v>2</v>
      </c>
      <c r="V1752" s="842" t="s">
        <v>3</v>
      </c>
      <c r="W1752" s="846">
        <v>7330</v>
      </c>
      <c r="X1752" s="847">
        <f t="shared" si="330"/>
        <v>14660</v>
      </c>
      <c r="Y1752" s="853" t="s">
        <v>5703</v>
      </c>
      <c r="Z1752" s="849">
        <v>3826.26</v>
      </c>
      <c r="AA1752" s="849"/>
      <c r="AB1752" s="849">
        <f t="shared" si="331"/>
        <v>7652.52</v>
      </c>
      <c r="AC1752" s="850">
        <f t="shared" si="332"/>
        <v>7652.52</v>
      </c>
      <c r="AD1752" s="851">
        <f t="shared" si="338"/>
        <v>32000</v>
      </c>
      <c r="AE1752" s="852">
        <v>30081.54</v>
      </c>
      <c r="AF1752" s="865">
        <v>0</v>
      </c>
      <c r="AG1752" s="854">
        <f t="shared" si="333"/>
        <v>0</v>
      </c>
      <c r="AH1752" s="853">
        <v>0.08</v>
      </c>
      <c r="AI1752" s="855">
        <f t="shared" si="334"/>
        <v>18415966.918464001</v>
      </c>
      <c r="AJ1752" s="845" t="s">
        <v>5704</v>
      </c>
      <c r="AK1752" s="857">
        <v>45898</v>
      </c>
      <c r="AL1752" s="843" t="s">
        <v>5705</v>
      </c>
      <c r="AM1752" s="843" t="s">
        <v>5641</v>
      </c>
      <c r="AN1752" s="844" t="s">
        <v>5642</v>
      </c>
      <c r="AO1752" s="844" t="s">
        <v>141</v>
      </c>
      <c r="AP1752" s="841"/>
      <c r="AQ1752" s="841">
        <v>45906</v>
      </c>
      <c r="AR1752" s="841">
        <v>45958</v>
      </c>
      <c r="AS1752" s="842" t="s">
        <v>1284</v>
      </c>
      <c r="AT1752" s="842" t="s">
        <v>1235</v>
      </c>
      <c r="AU1752" s="842" t="s">
        <v>4595</v>
      </c>
      <c r="AV1752" s="843" t="s">
        <v>5718</v>
      </c>
      <c r="AW1752" s="861">
        <v>45961</v>
      </c>
      <c r="AX1752" s="862">
        <v>45965</v>
      </c>
      <c r="AY1752" s="843" t="s">
        <v>5957</v>
      </c>
      <c r="AZ1752" s="842" t="s">
        <v>4269</v>
      </c>
      <c r="BA1752" s="842" t="s">
        <v>120</v>
      </c>
      <c r="BB1752" s="863" t="s">
        <v>121</v>
      </c>
      <c r="BC1752" s="864">
        <v>45967</v>
      </c>
      <c r="BD1752" s="860" t="s">
        <v>5708</v>
      </c>
      <c r="BE1752" s="865" cm="1">
        <f t="array" ref="BE1752">IF(BD1752="","",AC1752/SUMPRODUCT(--(BD1752=$BD$4:$BD$12824),$AC$4:$AC$12824))</f>
        <v>3.2778616224723688E-2</v>
      </c>
      <c r="BF1752" s="458"/>
      <c r="BG1752" s="458"/>
      <c r="BH1752" s="458"/>
      <c r="BI1752" s="458"/>
      <c r="BJ1752" s="458"/>
      <c r="BK1752" s="458"/>
      <c r="BL1752" s="458"/>
      <c r="BM1752" s="458"/>
      <c r="BN1752" s="458"/>
      <c r="BO1752" s="866">
        <f>VLOOKUP(BD1752,$BD$4:$BN$12824,3,0)*BE1752</f>
        <v>1387018.9181165104</v>
      </c>
      <c r="BP1752" s="866"/>
      <c r="BQ1752" s="866"/>
      <c r="BR1752" s="866">
        <f>VLOOKUP(BD1752,$BD$4:$BN$12824,6,0)*BE1752</f>
        <v>261673.45365506274</v>
      </c>
      <c r="BS1752" s="866">
        <f>VLOOKUP(BD1752,$BD$4:$BN$12824,7,0)*BE1752</f>
        <v>228171.6197541393</v>
      </c>
      <c r="BT1752" s="866"/>
      <c r="BU1752" s="866">
        <f>VLOOKUP(BD1752,$BD$4:$BN$12824,9,0)*BE1752</f>
        <v>18356.025085845264</v>
      </c>
      <c r="BV1752" s="867"/>
      <c r="BW1752" s="867">
        <f>VLOOKUP(BD1752,$BD$4:$BN$12824,11,0)*BE1752</f>
        <v>164560.7936763443</v>
      </c>
      <c r="BX1752" s="1146">
        <f t="shared" si="335"/>
        <v>2059780.8102879019</v>
      </c>
      <c r="BY1752" s="867">
        <f t="shared" si="337"/>
        <v>116129683.64554396</v>
      </c>
      <c r="BZ1752" s="867">
        <f t="shared" si="336"/>
        <v>232259367.29108793</v>
      </c>
      <c r="CA1752" s="867">
        <f>_xlfn.MAXIFS($BY$4:$BY$12824,$S$4:$S$12824,$S1752)</f>
        <v>116129683.64554396</v>
      </c>
      <c r="CB1752" s="1032"/>
      <c r="CF1752" s="946">
        <f t="shared" si="339"/>
        <v>244880640</v>
      </c>
    </row>
    <row r="1753" spans="2:84">
      <c r="B1753" s="839" t="s">
        <v>98</v>
      </c>
      <c r="C1753" s="839" t="s">
        <v>5697</v>
      </c>
      <c r="D1753" s="839" t="s">
        <v>5754</v>
      </c>
      <c r="E1753" s="839" t="s">
        <v>5754</v>
      </c>
      <c r="F1753" s="841">
        <v>45805</v>
      </c>
      <c r="G1753" s="839" t="s">
        <v>5697</v>
      </c>
      <c r="H1753" s="883" t="s">
        <v>3457</v>
      </c>
      <c r="I1753" s="883"/>
      <c r="J1753" s="841"/>
      <c r="K1753" s="841"/>
      <c r="L1753" s="843" t="s">
        <v>5257</v>
      </c>
      <c r="M1753" s="844" t="s">
        <v>107</v>
      </c>
      <c r="N1753" s="841"/>
      <c r="O1753" s="884" t="s">
        <v>150</v>
      </c>
      <c r="P1753" s="842" t="s">
        <v>276</v>
      </c>
      <c r="Q1753" s="843"/>
      <c r="R1753" s="845" t="s">
        <v>5958</v>
      </c>
      <c r="S1753" s="1127" t="s">
        <v>5959</v>
      </c>
      <c r="T1753" s="885" t="s">
        <v>5960</v>
      </c>
      <c r="U1753" s="886">
        <v>1</v>
      </c>
      <c r="V1753" s="842" t="s">
        <v>3</v>
      </c>
      <c r="W1753" s="846">
        <v>4735</v>
      </c>
      <c r="X1753" s="847">
        <f t="shared" si="330"/>
        <v>4735</v>
      </c>
      <c r="Y1753" s="853" t="s">
        <v>5703</v>
      </c>
      <c r="Z1753" s="849">
        <v>2471.67</v>
      </c>
      <c r="AA1753" s="849"/>
      <c r="AB1753" s="849">
        <f t="shared" si="331"/>
        <v>2471.67</v>
      </c>
      <c r="AC1753" s="850">
        <f t="shared" si="332"/>
        <v>2471.67</v>
      </c>
      <c r="AD1753" s="851">
        <f t="shared" si="338"/>
        <v>32000</v>
      </c>
      <c r="AE1753" s="852">
        <v>30081.54</v>
      </c>
      <c r="AF1753" s="865">
        <v>0</v>
      </c>
      <c r="AG1753" s="854">
        <f t="shared" si="333"/>
        <v>0</v>
      </c>
      <c r="AH1753" s="853">
        <v>0.08</v>
      </c>
      <c r="AI1753" s="855">
        <f t="shared" si="334"/>
        <v>5948131.1977439998</v>
      </c>
      <c r="AJ1753" s="845" t="s">
        <v>5704</v>
      </c>
      <c r="AK1753" s="857">
        <v>45898</v>
      </c>
      <c r="AL1753" s="843" t="s">
        <v>5705</v>
      </c>
      <c r="AM1753" s="843" t="s">
        <v>5641</v>
      </c>
      <c r="AN1753" s="844" t="s">
        <v>5642</v>
      </c>
      <c r="AO1753" s="844" t="s">
        <v>141</v>
      </c>
      <c r="AP1753" s="841"/>
      <c r="AQ1753" s="841">
        <v>45906</v>
      </c>
      <c r="AR1753" s="841">
        <v>45958</v>
      </c>
      <c r="AS1753" s="842" t="s">
        <v>1284</v>
      </c>
      <c r="AT1753" s="842" t="s">
        <v>1235</v>
      </c>
      <c r="AU1753" s="842" t="s">
        <v>4595</v>
      </c>
      <c r="AV1753" s="843" t="s">
        <v>5706</v>
      </c>
      <c r="AW1753" s="861">
        <v>45961</v>
      </c>
      <c r="AX1753" s="862">
        <v>45965</v>
      </c>
      <c r="AY1753" s="843" t="s">
        <v>5961</v>
      </c>
      <c r="AZ1753" s="842" t="s">
        <v>5962</v>
      </c>
      <c r="BA1753" s="842" t="s">
        <v>120</v>
      </c>
      <c r="BB1753" s="863" t="s">
        <v>121</v>
      </c>
      <c r="BC1753" s="864">
        <v>45967</v>
      </c>
      <c r="BD1753" s="860" t="s">
        <v>5708</v>
      </c>
      <c r="BE1753" s="865" cm="1">
        <f t="array" ref="BE1753">IF(BD1753="","",AC1753/SUMPRODUCT(--(BD1753=$BD$4:$BD$12824),$AC$4:$AC$12824))</f>
        <v>1.0587090574629377E-2</v>
      </c>
      <c r="BF1753" s="458"/>
      <c r="BG1753" s="458"/>
      <c r="BH1753" s="458"/>
      <c r="BI1753" s="458"/>
      <c r="BJ1753" s="458"/>
      <c r="BK1753" s="458"/>
      <c r="BL1753" s="458"/>
      <c r="BM1753" s="458"/>
      <c r="BN1753" s="458"/>
      <c r="BO1753" s="866">
        <f>VLOOKUP(BD1753,$BD$4:$BN$12824,3,0)*BE1753</f>
        <v>447990.08030570787</v>
      </c>
      <c r="BP1753" s="866"/>
      <c r="BQ1753" s="866"/>
      <c r="BR1753" s="866">
        <f>VLOOKUP(BD1753,$BD$4:$BN$12824,6,0)*BE1753</f>
        <v>84517.312623241625</v>
      </c>
      <c r="BS1753" s="866">
        <f>VLOOKUP(BD1753,$BD$4:$BN$12824,7,0)*BE1753</f>
        <v>73696.631619089341</v>
      </c>
      <c r="BT1753" s="866"/>
      <c r="BU1753" s="866">
        <f>VLOOKUP(BD1753,$BD$4:$BN$12824,9,0)*BE1753</f>
        <v>5928.7707217924517</v>
      </c>
      <c r="BV1753" s="867"/>
      <c r="BW1753" s="867">
        <f>VLOOKUP(BD1753,$BD$4:$BN$12824,11,0)*BE1753</f>
        <v>53151.115829296745</v>
      </c>
      <c r="BX1753" s="1146">
        <f t="shared" si="335"/>
        <v>665283.91109912808</v>
      </c>
      <c r="BY1753" s="867">
        <f t="shared" si="337"/>
        <v>75016923.88289912</v>
      </c>
      <c r="BZ1753" s="867">
        <f t="shared" si="336"/>
        <v>75016923.88289912</v>
      </c>
      <c r="CA1753" s="867">
        <f>_xlfn.MAXIFS($BY$4:$BY$12824,$S$4:$S$12824,$S1753)</f>
        <v>75016923.88289912</v>
      </c>
      <c r="CB1753" s="1032"/>
      <c r="CF1753" s="946">
        <f t="shared" si="339"/>
        <v>79093440</v>
      </c>
    </row>
    <row r="1754" spans="2:84">
      <c r="B1754" s="839" t="s">
        <v>98</v>
      </c>
      <c r="C1754" s="839" t="s">
        <v>5697</v>
      </c>
      <c r="D1754" s="839" t="s">
        <v>5754</v>
      </c>
      <c r="E1754" s="839" t="s">
        <v>5754</v>
      </c>
      <c r="F1754" s="841">
        <v>45805</v>
      </c>
      <c r="G1754" s="839" t="s">
        <v>5697</v>
      </c>
      <c r="H1754" s="883" t="s">
        <v>3457</v>
      </c>
      <c r="I1754" s="883"/>
      <c r="J1754" s="841"/>
      <c r="K1754" s="841"/>
      <c r="L1754" s="843" t="s">
        <v>5257</v>
      </c>
      <c r="M1754" s="844" t="s">
        <v>107</v>
      </c>
      <c r="N1754" s="841"/>
      <c r="O1754" s="884" t="s">
        <v>150</v>
      </c>
      <c r="P1754" s="842" t="s">
        <v>276</v>
      </c>
      <c r="Q1754" s="843"/>
      <c r="R1754" s="845" t="s">
        <v>5963</v>
      </c>
      <c r="S1754" s="1127" t="s">
        <v>5964</v>
      </c>
      <c r="T1754" s="885" t="s">
        <v>5965</v>
      </c>
      <c r="U1754" s="886">
        <v>1</v>
      </c>
      <c r="V1754" s="842" t="s">
        <v>3</v>
      </c>
      <c r="W1754" s="846">
        <v>5905</v>
      </c>
      <c r="X1754" s="847">
        <f t="shared" ref="X1754:X1785" si="340">W1754*U1754</f>
        <v>5905</v>
      </c>
      <c r="Y1754" s="853" t="s">
        <v>5703</v>
      </c>
      <c r="Z1754" s="849">
        <v>3082.41</v>
      </c>
      <c r="AA1754" s="849"/>
      <c r="AB1754" s="849">
        <f t="shared" si="331"/>
        <v>3082.41</v>
      </c>
      <c r="AC1754" s="850">
        <f t="shared" si="332"/>
        <v>3082.41</v>
      </c>
      <c r="AD1754" s="851">
        <f t="shared" si="338"/>
        <v>32000</v>
      </c>
      <c r="AE1754" s="852">
        <v>30081.54</v>
      </c>
      <c r="AF1754" s="865">
        <v>0</v>
      </c>
      <c r="AG1754" s="854">
        <f t="shared" si="333"/>
        <v>0</v>
      </c>
      <c r="AH1754" s="853">
        <v>0.08</v>
      </c>
      <c r="AI1754" s="855">
        <f t="shared" si="334"/>
        <v>7417891.1769120004</v>
      </c>
      <c r="AJ1754" s="845" t="s">
        <v>5704</v>
      </c>
      <c r="AK1754" s="857">
        <v>45898</v>
      </c>
      <c r="AL1754" s="843" t="s">
        <v>5705</v>
      </c>
      <c r="AM1754" s="843" t="s">
        <v>5641</v>
      </c>
      <c r="AN1754" s="844" t="s">
        <v>5642</v>
      </c>
      <c r="AO1754" s="844" t="s">
        <v>141</v>
      </c>
      <c r="AP1754" s="841"/>
      <c r="AQ1754" s="841">
        <v>45906</v>
      </c>
      <c r="AR1754" s="841">
        <v>45958</v>
      </c>
      <c r="AS1754" s="842" t="s">
        <v>1284</v>
      </c>
      <c r="AT1754" s="842" t="s">
        <v>1235</v>
      </c>
      <c r="AU1754" s="842" t="s">
        <v>4595</v>
      </c>
      <c r="AV1754" s="843" t="s">
        <v>5706</v>
      </c>
      <c r="AW1754" s="861">
        <v>45961</v>
      </c>
      <c r="AX1754" s="862">
        <v>45965</v>
      </c>
      <c r="AY1754" s="843" t="s">
        <v>5966</v>
      </c>
      <c r="AZ1754" s="842" t="s">
        <v>5967</v>
      </c>
      <c r="BA1754" s="842" t="s">
        <v>120</v>
      </c>
      <c r="BB1754" s="863" t="s">
        <v>121</v>
      </c>
      <c r="BC1754" s="864">
        <v>45967</v>
      </c>
      <c r="BD1754" s="860" t="s">
        <v>5708</v>
      </c>
      <c r="BE1754" s="865" cm="1">
        <f t="array" ref="BE1754">IF(BD1754="","",AC1754/SUMPRODUCT(--(BD1754=$BD$4:$BD$12824),$AC$4:$AC$12824))</f>
        <v>1.3203119291063667E-2</v>
      </c>
      <c r="BF1754" s="458"/>
      <c r="BG1754" s="458"/>
      <c r="BH1754" s="458"/>
      <c r="BI1754" s="458"/>
      <c r="BJ1754" s="458"/>
      <c r="BK1754" s="458"/>
      <c r="BL1754" s="458"/>
      <c r="BM1754" s="458"/>
      <c r="BN1754" s="458"/>
      <c r="BO1754" s="866">
        <f>VLOOKUP(BD1754,$BD$4:$BN$12824,3,0)*BE1754</f>
        <v>558686.67881841701</v>
      </c>
      <c r="BP1754" s="866"/>
      <c r="BQ1754" s="866"/>
      <c r="BR1754" s="866">
        <f>VLOOKUP(BD1754,$BD$4:$BN$12824,6,0)*BE1754</f>
        <v>105401.21035696763</v>
      </c>
      <c r="BS1754" s="866">
        <f>VLOOKUP(BD1754,$BD$4:$BN$12824,7,0)*BE1754</f>
        <v>91906.781353901271</v>
      </c>
      <c r="BT1754" s="866"/>
      <c r="BU1754" s="866">
        <f>VLOOKUP(BD1754,$BD$4:$BN$12824,9,0)*BE1754</f>
        <v>7393.7468029956535</v>
      </c>
      <c r="BV1754" s="867"/>
      <c r="BW1754" s="867">
        <f>VLOOKUP(BD1754,$BD$4:$BN$12824,11,0)*BE1754</f>
        <v>66284.548885321477</v>
      </c>
      <c r="BX1754" s="1146">
        <f t="shared" si="335"/>
        <v>829672.96621760307</v>
      </c>
      <c r="BY1754" s="867">
        <f t="shared" si="337"/>
        <v>93553312.67761761</v>
      </c>
      <c r="BZ1754" s="867">
        <f t="shared" si="336"/>
        <v>93553312.67761761</v>
      </c>
      <c r="CA1754" s="867">
        <f>_xlfn.MAXIFS($BY$4:$BY$12824,$S$4:$S$12824,$S1754)</f>
        <v>93553312.67761761</v>
      </c>
      <c r="CB1754" s="1032"/>
      <c r="CF1754" s="946">
        <f t="shared" si="339"/>
        <v>98637120</v>
      </c>
    </row>
    <row r="1755" spans="2:84">
      <c r="B1755" s="839" t="s">
        <v>98</v>
      </c>
      <c r="C1755" s="839" t="s">
        <v>5697</v>
      </c>
      <c r="D1755" s="839" t="s">
        <v>5754</v>
      </c>
      <c r="E1755" s="839" t="s">
        <v>5754</v>
      </c>
      <c r="F1755" s="841">
        <v>45805</v>
      </c>
      <c r="G1755" s="839" t="s">
        <v>5697</v>
      </c>
      <c r="H1755" s="883" t="s">
        <v>3457</v>
      </c>
      <c r="I1755" s="883"/>
      <c r="J1755" s="841"/>
      <c r="K1755" s="841"/>
      <c r="L1755" s="843" t="s">
        <v>5257</v>
      </c>
      <c r="M1755" s="844" t="s">
        <v>107</v>
      </c>
      <c r="N1755" s="841"/>
      <c r="O1755" s="884" t="s">
        <v>150</v>
      </c>
      <c r="P1755" s="842" t="s">
        <v>276</v>
      </c>
      <c r="Q1755" s="843"/>
      <c r="R1755" s="845" t="s">
        <v>5968</v>
      </c>
      <c r="S1755" s="1127" t="s">
        <v>5969</v>
      </c>
      <c r="T1755" s="885" t="s">
        <v>5970</v>
      </c>
      <c r="U1755" s="886">
        <v>6</v>
      </c>
      <c r="V1755" s="842" t="s">
        <v>3</v>
      </c>
      <c r="W1755" s="846">
        <v>385</v>
      </c>
      <c r="X1755" s="847">
        <f t="shared" si="340"/>
        <v>2310</v>
      </c>
      <c r="Y1755" s="853" t="s">
        <v>5703</v>
      </c>
      <c r="Z1755" s="849">
        <v>200.97</v>
      </c>
      <c r="AA1755" s="849"/>
      <c r="AB1755" s="849">
        <f t="shared" si="331"/>
        <v>1205.82</v>
      </c>
      <c r="AC1755" s="850">
        <f t="shared" si="332"/>
        <v>1205.82</v>
      </c>
      <c r="AD1755" s="851">
        <f t="shared" si="338"/>
        <v>32000</v>
      </c>
      <c r="AE1755" s="852">
        <v>30081.54</v>
      </c>
      <c r="AF1755" s="865">
        <v>0</v>
      </c>
      <c r="AG1755" s="854">
        <f t="shared" si="333"/>
        <v>0</v>
      </c>
      <c r="AH1755" s="853">
        <v>0.08</v>
      </c>
      <c r="AI1755" s="855">
        <f t="shared" si="334"/>
        <v>2901833.8050239999</v>
      </c>
      <c r="AJ1755" s="845" t="s">
        <v>5704</v>
      </c>
      <c r="AK1755" s="857">
        <v>45898</v>
      </c>
      <c r="AL1755" s="843" t="s">
        <v>5705</v>
      </c>
      <c r="AM1755" s="843" t="s">
        <v>5641</v>
      </c>
      <c r="AN1755" s="844" t="s">
        <v>5642</v>
      </c>
      <c r="AO1755" s="844" t="s">
        <v>141</v>
      </c>
      <c r="AP1755" s="841"/>
      <c r="AQ1755" s="841">
        <v>45906</v>
      </c>
      <c r="AR1755" s="841">
        <v>45958</v>
      </c>
      <c r="AS1755" s="842" t="s">
        <v>1284</v>
      </c>
      <c r="AT1755" s="842" t="s">
        <v>1235</v>
      </c>
      <c r="AU1755" s="842" t="s">
        <v>4595</v>
      </c>
      <c r="AV1755" s="843" t="s">
        <v>5706</v>
      </c>
      <c r="AW1755" s="861">
        <v>45961</v>
      </c>
      <c r="AX1755" s="862">
        <v>45965</v>
      </c>
      <c r="AY1755" s="843" t="s">
        <v>5971</v>
      </c>
      <c r="AZ1755" s="842" t="s">
        <v>5972</v>
      </c>
      <c r="BA1755" s="842" t="s">
        <v>120</v>
      </c>
      <c r="BB1755" s="863" t="s">
        <v>121</v>
      </c>
      <c r="BC1755" s="864">
        <v>45967</v>
      </c>
      <c r="BD1755" s="860" t="s">
        <v>5708</v>
      </c>
      <c r="BE1755" s="865" cm="1">
        <f t="array" ref="BE1755">IF(BD1755="","",AC1755/SUMPRODUCT(--(BD1755=$BD$4:$BD$12824),$AC$4:$AC$12824))</f>
        <v>5.1649797734728319E-3</v>
      </c>
      <c r="BF1755" s="458"/>
      <c r="BG1755" s="458"/>
      <c r="BH1755" s="458"/>
      <c r="BI1755" s="458"/>
      <c r="BJ1755" s="458"/>
      <c r="BK1755" s="458"/>
      <c r="BL1755" s="458"/>
      <c r="BM1755" s="458"/>
      <c r="BN1755" s="458"/>
      <c r="BO1755" s="866">
        <f>VLOOKUP(BD1755,$BD$4:$BN$12824,3,0)*BE1755</f>
        <v>218554.82270457974</v>
      </c>
      <c r="BP1755" s="866"/>
      <c r="BQ1755" s="866"/>
      <c r="BR1755" s="866">
        <f>VLOOKUP(BD1755,$BD$4:$BN$12824,6,0)*BE1755</f>
        <v>41232.310910177002</v>
      </c>
      <c r="BS1755" s="866">
        <f>VLOOKUP(BD1755,$BD$4:$BN$12824,7,0)*BE1755</f>
        <v>35953.372553346642</v>
      </c>
      <c r="BT1755" s="866"/>
      <c r="BU1755" s="866">
        <f>VLOOKUP(BD1755,$BD$4:$BN$12824,9,0)*BE1755</f>
        <v>2892.388673144786</v>
      </c>
      <c r="BV1755" s="867"/>
      <c r="BW1755" s="867">
        <f>VLOOKUP(BD1755,$BD$4:$BN$12824,11,0)*BE1755</f>
        <v>25930.111418305274</v>
      </c>
      <c r="BX1755" s="1146">
        <f t="shared" si="335"/>
        <v>324563.00625955343</v>
      </c>
      <c r="BY1755" s="867">
        <f t="shared" si="337"/>
        <v>6099580.9281765921</v>
      </c>
      <c r="BZ1755" s="867">
        <f t="shared" si="336"/>
        <v>36597485.569059551</v>
      </c>
      <c r="CA1755" s="867">
        <f>_xlfn.MAXIFS($BY$4:$BY$12824,$S$4:$S$12824,$S1755)</f>
        <v>6099580.9281765921</v>
      </c>
      <c r="CB1755" s="1032"/>
      <c r="CF1755" s="946">
        <f t="shared" si="339"/>
        <v>38586240</v>
      </c>
    </row>
    <row r="1756" spans="2:84">
      <c r="B1756" s="839" t="s">
        <v>98</v>
      </c>
      <c r="C1756" s="839" t="s">
        <v>5697</v>
      </c>
      <c r="D1756" s="839" t="s">
        <v>5754</v>
      </c>
      <c r="E1756" s="839" t="s">
        <v>5754</v>
      </c>
      <c r="F1756" s="841">
        <v>45805</v>
      </c>
      <c r="G1756" s="839" t="s">
        <v>5697</v>
      </c>
      <c r="H1756" s="883" t="s">
        <v>3457</v>
      </c>
      <c r="I1756" s="883"/>
      <c r="J1756" s="841"/>
      <c r="K1756" s="841"/>
      <c r="L1756" s="843" t="s">
        <v>5257</v>
      </c>
      <c r="M1756" s="844" t="s">
        <v>107</v>
      </c>
      <c r="N1756" s="841"/>
      <c r="O1756" s="884" t="s">
        <v>150</v>
      </c>
      <c r="P1756" s="842" t="s">
        <v>276</v>
      </c>
      <c r="Q1756" s="843"/>
      <c r="R1756" s="845" t="s">
        <v>5973</v>
      </c>
      <c r="S1756" s="1127" t="s">
        <v>5974</v>
      </c>
      <c r="T1756" s="885" t="s">
        <v>5975</v>
      </c>
      <c r="U1756" s="886">
        <v>1</v>
      </c>
      <c r="V1756" s="842" t="s">
        <v>3</v>
      </c>
      <c r="W1756" s="846">
        <v>6830</v>
      </c>
      <c r="X1756" s="847">
        <f t="shared" si="340"/>
        <v>6830</v>
      </c>
      <c r="Y1756" s="853" t="s">
        <v>5703</v>
      </c>
      <c r="Z1756" s="849">
        <v>3565.26</v>
      </c>
      <c r="AA1756" s="849"/>
      <c r="AB1756" s="849">
        <f t="shared" si="331"/>
        <v>3565.26</v>
      </c>
      <c r="AC1756" s="850">
        <f t="shared" si="332"/>
        <v>3565.26</v>
      </c>
      <c r="AD1756" s="851">
        <f t="shared" si="338"/>
        <v>32000</v>
      </c>
      <c r="AE1756" s="852">
        <v>30081.54</v>
      </c>
      <c r="AF1756" s="865">
        <v>0</v>
      </c>
      <c r="AG1756" s="854">
        <f t="shared" si="333"/>
        <v>0</v>
      </c>
      <c r="AH1756" s="853">
        <v>0.08</v>
      </c>
      <c r="AI1756" s="855">
        <f t="shared" si="334"/>
        <v>8579880.9040320013</v>
      </c>
      <c r="AJ1756" s="845" t="s">
        <v>5704</v>
      </c>
      <c r="AK1756" s="857">
        <v>45898</v>
      </c>
      <c r="AL1756" s="843" t="s">
        <v>5705</v>
      </c>
      <c r="AM1756" s="843" t="s">
        <v>5641</v>
      </c>
      <c r="AN1756" s="844" t="s">
        <v>5642</v>
      </c>
      <c r="AO1756" s="844" t="s">
        <v>141</v>
      </c>
      <c r="AP1756" s="841"/>
      <c r="AQ1756" s="841">
        <v>45906</v>
      </c>
      <c r="AR1756" s="841">
        <v>45958</v>
      </c>
      <c r="AS1756" s="842" t="s">
        <v>1284</v>
      </c>
      <c r="AT1756" s="842" t="s">
        <v>1235</v>
      </c>
      <c r="AU1756" s="842" t="s">
        <v>4595</v>
      </c>
      <c r="AV1756" s="843" t="s">
        <v>5706</v>
      </c>
      <c r="AW1756" s="861">
        <v>45961</v>
      </c>
      <c r="AX1756" s="862">
        <v>45965</v>
      </c>
      <c r="AY1756" s="843" t="s">
        <v>5976</v>
      </c>
      <c r="AZ1756" s="842" t="s">
        <v>5962</v>
      </c>
      <c r="BA1756" s="842" t="s">
        <v>120</v>
      </c>
      <c r="BB1756" s="863" t="s">
        <v>121</v>
      </c>
      <c r="BC1756" s="864">
        <v>45967</v>
      </c>
      <c r="BD1756" s="860" t="s">
        <v>5708</v>
      </c>
      <c r="BE1756" s="865" cm="1">
        <f t="array" ref="BE1756">IF(BD1756="","",AC1756/SUMPRODUCT(--(BD1756=$BD$4:$BD$12824),$AC$4:$AC$12824))</f>
        <v>1.5271347122432661E-2</v>
      </c>
      <c r="BF1756" s="458"/>
      <c r="BG1756" s="458"/>
      <c r="BH1756" s="458"/>
      <c r="BI1756" s="458"/>
      <c r="BJ1756" s="458"/>
      <c r="BK1756" s="458"/>
      <c r="BL1756" s="458"/>
      <c r="BM1756" s="458"/>
      <c r="BN1756" s="458"/>
      <c r="BO1756" s="866">
        <f>VLOOKUP(BD1756,$BD$4:$BN$12824,3,0)*BE1756</f>
        <v>646203.2203776103</v>
      </c>
      <c r="BP1756" s="866"/>
      <c r="BQ1756" s="866"/>
      <c r="BR1756" s="866">
        <f>VLOOKUP(BD1756,$BD$4:$BN$12824,6,0)*BE1756</f>
        <v>121911.98420628095</v>
      </c>
      <c r="BS1756" s="866">
        <f>VLOOKUP(BD1756,$BD$4:$BN$12824,7,0)*BE1756</f>
        <v>106303.69460578251</v>
      </c>
      <c r="BT1756" s="866"/>
      <c r="BU1756" s="866">
        <f>VLOOKUP(BD1756,$BD$4:$BN$12824,9,0)*BE1756</f>
        <v>8551.9543885622898</v>
      </c>
      <c r="BV1756" s="867"/>
      <c r="BW1756" s="867">
        <f>VLOOKUP(BD1756,$BD$4:$BN$12824,11,0)*BE1756</f>
        <v>76667.818609101741</v>
      </c>
      <c r="BX1756" s="1146">
        <f t="shared" si="335"/>
        <v>959638.67218733765</v>
      </c>
      <c r="BY1756" s="867">
        <f t="shared" si="337"/>
        <v>108208149.97258735</v>
      </c>
      <c r="BZ1756" s="867">
        <f t="shared" si="336"/>
        <v>108208149.97258735</v>
      </c>
      <c r="CA1756" s="867">
        <f>_xlfn.MAXIFS($BY$4:$BY$12824,$S$4:$S$12824,$S1756)</f>
        <v>108208149.97258735</v>
      </c>
      <c r="CB1756" s="1032"/>
      <c r="CF1756" s="946">
        <f t="shared" si="339"/>
        <v>114088320</v>
      </c>
    </row>
    <row r="1757" spans="2:84">
      <c r="B1757" s="839" t="s">
        <v>98</v>
      </c>
      <c r="C1757" s="839" t="s">
        <v>5697</v>
      </c>
      <c r="D1757" s="839" t="s">
        <v>5754</v>
      </c>
      <c r="E1757" s="839" t="s">
        <v>5754</v>
      </c>
      <c r="F1757" s="841">
        <v>45805</v>
      </c>
      <c r="G1757" s="839" t="s">
        <v>5697</v>
      </c>
      <c r="H1757" s="883" t="s">
        <v>3457</v>
      </c>
      <c r="I1757" s="883"/>
      <c r="J1757" s="841"/>
      <c r="K1757" s="841"/>
      <c r="L1757" s="843" t="s">
        <v>5257</v>
      </c>
      <c r="M1757" s="844" t="s">
        <v>107</v>
      </c>
      <c r="N1757" s="841"/>
      <c r="O1757" s="884" t="s">
        <v>150</v>
      </c>
      <c r="P1757" s="842" t="s">
        <v>276</v>
      </c>
      <c r="Q1757" s="843"/>
      <c r="R1757" s="845" t="s">
        <v>5977</v>
      </c>
      <c r="S1757" s="1127" t="s">
        <v>5978</v>
      </c>
      <c r="T1757" s="885" t="s">
        <v>5979</v>
      </c>
      <c r="U1757" s="886">
        <v>1</v>
      </c>
      <c r="V1757" s="842" t="s">
        <v>3</v>
      </c>
      <c r="W1757" s="846">
        <v>1970</v>
      </c>
      <c r="X1757" s="847">
        <f t="shared" si="340"/>
        <v>1970</v>
      </c>
      <c r="Y1757" s="853" t="s">
        <v>5703</v>
      </c>
      <c r="Z1757" s="849">
        <v>1028.3399999999999</v>
      </c>
      <c r="AA1757" s="849"/>
      <c r="AB1757" s="849">
        <f t="shared" si="331"/>
        <v>1028.3399999999999</v>
      </c>
      <c r="AC1757" s="850">
        <f t="shared" si="332"/>
        <v>1028.3399999999999</v>
      </c>
      <c r="AD1757" s="851">
        <f t="shared" si="338"/>
        <v>32000</v>
      </c>
      <c r="AE1757" s="852">
        <v>30081.54</v>
      </c>
      <c r="AF1757" s="865">
        <v>0</v>
      </c>
      <c r="AG1757" s="854">
        <f t="shared" si="333"/>
        <v>0</v>
      </c>
      <c r="AH1757" s="853">
        <v>0.08</v>
      </c>
      <c r="AI1757" s="855">
        <f t="shared" si="334"/>
        <v>2474724.0674879998</v>
      </c>
      <c r="AJ1757" s="845" t="s">
        <v>5704</v>
      </c>
      <c r="AK1757" s="857">
        <v>45898</v>
      </c>
      <c r="AL1757" s="843" t="s">
        <v>5705</v>
      </c>
      <c r="AM1757" s="843" t="s">
        <v>5641</v>
      </c>
      <c r="AN1757" s="844" t="s">
        <v>5642</v>
      </c>
      <c r="AO1757" s="844" t="s">
        <v>141</v>
      </c>
      <c r="AP1757" s="841"/>
      <c r="AQ1757" s="841">
        <v>45906</v>
      </c>
      <c r="AR1757" s="841">
        <v>45958</v>
      </c>
      <c r="AS1757" s="842" t="s">
        <v>1284</v>
      </c>
      <c r="AT1757" s="842" t="s">
        <v>1235</v>
      </c>
      <c r="AU1757" s="842" t="s">
        <v>4595</v>
      </c>
      <c r="AV1757" s="843" t="s">
        <v>5706</v>
      </c>
      <c r="AW1757" s="861">
        <v>45961</v>
      </c>
      <c r="AX1757" s="862">
        <v>45965</v>
      </c>
      <c r="AY1757" s="843" t="s">
        <v>5980</v>
      </c>
      <c r="AZ1757" s="842" t="s">
        <v>5981</v>
      </c>
      <c r="BA1757" s="842" t="s">
        <v>120</v>
      </c>
      <c r="BB1757" s="863" t="s">
        <v>121</v>
      </c>
      <c r="BC1757" s="864">
        <v>45967</v>
      </c>
      <c r="BD1757" s="860" t="s">
        <v>5708</v>
      </c>
      <c r="BE1757" s="865" cm="1">
        <f t="array" ref="BE1757">IF(BD1757="","",AC1757/SUMPRODUCT(--(BD1757=$BD$4:$BD$12824),$AC$4:$AC$12824))</f>
        <v>4.404766300320986E-3</v>
      </c>
      <c r="BF1757" s="458"/>
      <c r="BG1757" s="458"/>
      <c r="BH1757" s="458"/>
      <c r="BI1757" s="458"/>
      <c r="BJ1757" s="458"/>
      <c r="BK1757" s="458"/>
      <c r="BL1757" s="458"/>
      <c r="BM1757" s="458"/>
      <c r="BN1757" s="458"/>
      <c r="BO1757" s="866">
        <f>VLOOKUP(BD1757,$BD$4:$BN$12824,3,0)*BE1757</f>
        <v>186386.58040174114</v>
      </c>
      <c r="BP1757" s="866"/>
      <c r="BQ1757" s="866"/>
      <c r="BR1757" s="866">
        <f>VLOOKUP(BD1757,$BD$4:$BN$12824,6,0)*BE1757</f>
        <v>35163.48592772671</v>
      </c>
      <c r="BS1757" s="866">
        <f>VLOOKUP(BD1757,$BD$4:$BN$12824,7,0)*BE1757</f>
        <v>30661.534168871378</v>
      </c>
      <c r="BT1757" s="866"/>
      <c r="BU1757" s="866">
        <f>VLOOKUP(BD1757,$BD$4:$BN$12824,9,0)*BE1757</f>
        <v>2466.6691281797521</v>
      </c>
      <c r="BV1757" s="867"/>
      <c r="BW1757" s="867">
        <f>VLOOKUP(BD1757,$BD$4:$BN$12824,11,0)*BE1757</f>
        <v>22113.558222537395</v>
      </c>
      <c r="BX1757" s="1146">
        <f t="shared" si="335"/>
        <v>276791.8278490564</v>
      </c>
      <c r="BY1757" s="867">
        <f t="shared" si="337"/>
        <v>31210842.671449054</v>
      </c>
      <c r="BZ1757" s="867">
        <f t="shared" si="336"/>
        <v>31210842.671449054</v>
      </c>
      <c r="CA1757" s="867">
        <f>_xlfn.MAXIFS($BY$4:$BY$12824,$S$4:$S$12824,$S1757)</f>
        <v>31210842.671449054</v>
      </c>
      <c r="CB1757" s="1032"/>
      <c r="CF1757" s="946">
        <f t="shared" si="339"/>
        <v>32906879.999999996</v>
      </c>
    </row>
    <row r="1758" spans="2:84">
      <c r="B1758" s="839" t="s">
        <v>98</v>
      </c>
      <c r="C1758" s="839" t="s">
        <v>5697</v>
      </c>
      <c r="D1758" s="839" t="s">
        <v>5754</v>
      </c>
      <c r="E1758" s="839" t="s">
        <v>5754</v>
      </c>
      <c r="F1758" s="841">
        <v>45805</v>
      </c>
      <c r="G1758" s="839" t="s">
        <v>5697</v>
      </c>
      <c r="H1758" s="883" t="s">
        <v>3457</v>
      </c>
      <c r="I1758" s="883"/>
      <c r="J1758" s="841"/>
      <c r="K1758" s="841"/>
      <c r="L1758" s="843" t="s">
        <v>5257</v>
      </c>
      <c r="M1758" s="844" t="s">
        <v>107</v>
      </c>
      <c r="N1758" s="841"/>
      <c r="O1758" s="884" t="s">
        <v>150</v>
      </c>
      <c r="P1758" s="842" t="s">
        <v>5982</v>
      </c>
      <c r="Q1758" s="843"/>
      <c r="R1758" s="845" t="s">
        <v>5983</v>
      </c>
      <c r="S1758" s="1127" t="s">
        <v>5984</v>
      </c>
      <c r="T1758" s="885" t="s">
        <v>5985</v>
      </c>
      <c r="U1758" s="886">
        <v>1</v>
      </c>
      <c r="V1758" s="842" t="s">
        <v>3</v>
      </c>
      <c r="W1758" s="846">
        <v>16965</v>
      </c>
      <c r="X1758" s="847">
        <f t="shared" si="340"/>
        <v>16965</v>
      </c>
      <c r="Y1758" s="853" t="s">
        <v>5703</v>
      </c>
      <c r="Z1758" s="849">
        <v>8855.73</v>
      </c>
      <c r="AA1758" s="849"/>
      <c r="AB1758" s="849">
        <f t="shared" si="331"/>
        <v>8855.73</v>
      </c>
      <c r="AC1758" s="850">
        <f t="shared" si="332"/>
        <v>8855.73</v>
      </c>
      <c r="AD1758" s="851">
        <f t="shared" si="338"/>
        <v>32000</v>
      </c>
      <c r="AE1758" s="852">
        <v>30081.54</v>
      </c>
      <c r="AF1758" s="865">
        <v>0</v>
      </c>
      <c r="AG1758" s="854">
        <f t="shared" si="333"/>
        <v>0</v>
      </c>
      <c r="AH1758" s="853">
        <v>0.08</v>
      </c>
      <c r="AI1758" s="855">
        <f t="shared" si="334"/>
        <v>21311519.697935998</v>
      </c>
      <c r="AJ1758" s="845" t="s">
        <v>5704</v>
      </c>
      <c r="AK1758" s="857">
        <v>45898</v>
      </c>
      <c r="AL1758" s="843" t="s">
        <v>5705</v>
      </c>
      <c r="AM1758" s="843" t="s">
        <v>5641</v>
      </c>
      <c r="AN1758" s="844" t="s">
        <v>5642</v>
      </c>
      <c r="AO1758" s="844" t="s">
        <v>141</v>
      </c>
      <c r="AP1758" s="841"/>
      <c r="AQ1758" s="841">
        <v>45906</v>
      </c>
      <c r="AR1758" s="841">
        <v>45958</v>
      </c>
      <c r="AS1758" s="842" t="s">
        <v>1284</v>
      </c>
      <c r="AT1758" s="842" t="s">
        <v>1235</v>
      </c>
      <c r="AU1758" s="842" t="s">
        <v>4595</v>
      </c>
      <c r="AV1758" s="843" t="s">
        <v>5706</v>
      </c>
      <c r="AW1758" s="861">
        <v>45961</v>
      </c>
      <c r="AX1758" s="862">
        <v>45965</v>
      </c>
      <c r="AY1758" s="843" t="s">
        <v>5986</v>
      </c>
      <c r="AZ1758" s="842" t="s">
        <v>4269</v>
      </c>
      <c r="BA1758" s="842" t="s">
        <v>120</v>
      </c>
      <c r="BB1758" s="863" t="s">
        <v>121</v>
      </c>
      <c r="BC1758" s="864">
        <v>45967</v>
      </c>
      <c r="BD1758" s="860" t="s">
        <v>5708</v>
      </c>
      <c r="BE1758" s="865" cm="1">
        <f t="array" ref="BE1758">IF(BD1758="","",AC1758/SUMPRODUCT(--(BD1758=$BD$4:$BD$12824),$AC$4:$AC$12824))</f>
        <v>3.7932416388297224E-2</v>
      </c>
      <c r="BF1758" s="458"/>
      <c r="BG1758" s="458"/>
      <c r="BH1758" s="458"/>
      <c r="BI1758" s="458"/>
      <c r="BJ1758" s="458"/>
      <c r="BK1758" s="458"/>
      <c r="BL1758" s="458"/>
      <c r="BM1758" s="458"/>
      <c r="BN1758" s="458"/>
      <c r="BO1758" s="866">
        <f>VLOOKUP(BD1758,$BD$4:$BN$12824,3,0)*BE1758</f>
        <v>1605100.6784342835</v>
      </c>
      <c r="BP1758" s="866"/>
      <c r="BQ1758" s="866"/>
      <c r="BR1758" s="866">
        <f>VLOOKUP(BD1758,$BD$4:$BN$12824,6,0)*BE1758</f>
        <v>302816.51713902719</v>
      </c>
      <c r="BS1758" s="866">
        <f>VLOOKUP(BD1758,$BD$4:$BN$12824,7,0)*BE1758</f>
        <v>264047.17115477304</v>
      </c>
      <c r="BT1758" s="866"/>
      <c r="BU1758" s="866">
        <f>VLOOKUP(BD1758,$BD$4:$BN$12824,9,0)*BE1758</f>
        <v>21242.153177446446</v>
      </c>
      <c r="BV1758" s="867"/>
      <c r="BW1758" s="867">
        <f>VLOOKUP(BD1758,$BD$4:$BN$12824,11,0)*BE1758</f>
        <v>190434.77931235885</v>
      </c>
      <c r="BX1758" s="1146">
        <f t="shared" si="335"/>
        <v>2383641.2992178886</v>
      </c>
      <c r="BY1758" s="867">
        <f t="shared" si="337"/>
        <v>268777637.52341789</v>
      </c>
      <c r="BZ1758" s="867">
        <f t="shared" si="336"/>
        <v>268777637.52341789</v>
      </c>
      <c r="CA1758" s="867">
        <f>_xlfn.MAXIFS($BY$4:$BY$12824,$S$4:$S$12824,$S1758)</f>
        <v>268777637.52341789</v>
      </c>
      <c r="CB1758" s="1032"/>
      <c r="CF1758" s="946">
        <f t="shared" si="339"/>
        <v>283383360</v>
      </c>
    </row>
    <row r="1759" spans="2:84">
      <c r="B1759" s="839" t="s">
        <v>98</v>
      </c>
      <c r="C1759" s="839" t="s">
        <v>5697</v>
      </c>
      <c r="D1759" s="839" t="s">
        <v>5754</v>
      </c>
      <c r="E1759" s="839" t="s">
        <v>5754</v>
      </c>
      <c r="F1759" s="841">
        <v>45805</v>
      </c>
      <c r="G1759" s="839" t="s">
        <v>5697</v>
      </c>
      <c r="H1759" s="883" t="s">
        <v>3457</v>
      </c>
      <c r="I1759" s="883"/>
      <c r="J1759" s="841"/>
      <c r="K1759" s="841"/>
      <c r="L1759" s="843" t="s">
        <v>5257</v>
      </c>
      <c r="M1759" s="844" t="s">
        <v>107</v>
      </c>
      <c r="N1759" s="841"/>
      <c r="O1759" s="884" t="s">
        <v>150</v>
      </c>
      <c r="P1759" s="842" t="s">
        <v>5982</v>
      </c>
      <c r="Q1759" s="843"/>
      <c r="R1759" s="845" t="s">
        <v>5987</v>
      </c>
      <c r="S1759" s="1127" t="s">
        <v>5988</v>
      </c>
      <c r="T1759" s="885" t="s">
        <v>5989</v>
      </c>
      <c r="U1759" s="886">
        <v>2</v>
      </c>
      <c r="V1759" s="842" t="s">
        <v>3</v>
      </c>
      <c r="W1759" s="846">
        <v>4665</v>
      </c>
      <c r="X1759" s="847">
        <f t="shared" si="340"/>
        <v>9330</v>
      </c>
      <c r="Y1759" s="853" t="s">
        <v>5703</v>
      </c>
      <c r="Z1759" s="849">
        <v>2435.13</v>
      </c>
      <c r="AA1759" s="849"/>
      <c r="AB1759" s="849">
        <f t="shared" si="331"/>
        <v>4870.26</v>
      </c>
      <c r="AC1759" s="850">
        <f t="shared" si="332"/>
        <v>4870.26</v>
      </c>
      <c r="AD1759" s="851">
        <f t="shared" si="338"/>
        <v>32000</v>
      </c>
      <c r="AE1759" s="852">
        <v>30081.54</v>
      </c>
      <c r="AF1759" s="865">
        <v>0</v>
      </c>
      <c r="AG1759" s="854">
        <f t="shared" si="333"/>
        <v>0</v>
      </c>
      <c r="AH1759" s="853">
        <v>0.08</v>
      </c>
      <c r="AI1759" s="855">
        <f t="shared" si="334"/>
        <v>11720393.680032</v>
      </c>
      <c r="AJ1759" s="845" t="s">
        <v>5704</v>
      </c>
      <c r="AK1759" s="857">
        <v>45898</v>
      </c>
      <c r="AL1759" s="843" t="s">
        <v>5705</v>
      </c>
      <c r="AM1759" s="843" t="s">
        <v>5641</v>
      </c>
      <c r="AN1759" s="844" t="s">
        <v>5642</v>
      </c>
      <c r="AO1759" s="844" t="s">
        <v>141</v>
      </c>
      <c r="AP1759" s="841"/>
      <c r="AQ1759" s="841">
        <v>45906</v>
      </c>
      <c r="AR1759" s="841">
        <v>45958</v>
      </c>
      <c r="AS1759" s="842" t="s">
        <v>1284</v>
      </c>
      <c r="AT1759" s="842" t="s">
        <v>1235</v>
      </c>
      <c r="AU1759" s="842" t="s">
        <v>4595</v>
      </c>
      <c r="AV1759" s="843" t="s">
        <v>5706</v>
      </c>
      <c r="AW1759" s="861">
        <v>45961</v>
      </c>
      <c r="AX1759" s="862">
        <v>45965</v>
      </c>
      <c r="AY1759" s="843" t="s">
        <v>5990</v>
      </c>
      <c r="AZ1759" s="842" t="s">
        <v>5962</v>
      </c>
      <c r="BA1759" s="842" t="s">
        <v>120</v>
      </c>
      <c r="BB1759" s="863" t="s">
        <v>121</v>
      </c>
      <c r="BC1759" s="864">
        <v>45967</v>
      </c>
      <c r="BD1759" s="860" t="s">
        <v>5708</v>
      </c>
      <c r="BE1759" s="865" cm="1">
        <f t="array" ref="BE1759">IF(BD1759="","",AC1759/SUMPRODUCT(--(BD1759=$BD$4:$BD$12824),$AC$4:$AC$12824))</f>
        <v>2.0861152072078584E-2</v>
      </c>
      <c r="BF1759" s="458"/>
      <c r="BG1759" s="458"/>
      <c r="BH1759" s="458"/>
      <c r="BI1759" s="458"/>
      <c r="BJ1759" s="458"/>
      <c r="BK1759" s="458"/>
      <c r="BL1759" s="458"/>
      <c r="BM1759" s="458"/>
      <c r="BN1759" s="458"/>
      <c r="BO1759" s="866">
        <f>VLOOKUP(BD1759,$BD$4:$BN$12824,3,0)*BE1759</f>
        <v>882734.41378083522</v>
      </c>
      <c r="BP1759" s="866"/>
      <c r="BQ1759" s="866"/>
      <c r="BR1759" s="866">
        <f>VLOOKUP(BD1759,$BD$4:$BN$12824,6,0)*BE1759</f>
        <v>166535.69731253313</v>
      </c>
      <c r="BS1759" s="866">
        <f>VLOOKUP(BD1759,$BD$4:$BN$12824,7,0)*BE1759</f>
        <v>145214.27096221829</v>
      </c>
      <c r="BT1759" s="866"/>
      <c r="BU1759" s="866">
        <f>VLOOKUP(BD1759,$BD$4:$BN$12824,9,0)*BE1759</f>
        <v>11682.245160364007</v>
      </c>
      <c r="BV1759" s="867"/>
      <c r="BW1759" s="867">
        <f>VLOOKUP(BD1759,$BD$4:$BN$12824,11,0)*BE1759</f>
        <v>104730.70975445378</v>
      </c>
      <c r="BX1759" s="1146">
        <f t="shared" si="335"/>
        <v>1310897.3369704045</v>
      </c>
      <c r="BY1759" s="867">
        <f t="shared" si="337"/>
        <v>73907909.168685213</v>
      </c>
      <c r="BZ1759" s="867">
        <f t="shared" si="336"/>
        <v>147815818.33737043</v>
      </c>
      <c r="CA1759" s="867">
        <f>_xlfn.MAXIFS($BY$4:$BY$12824,$S$4:$S$12824,$S1759)</f>
        <v>73907909.168685213</v>
      </c>
      <c r="CB1759" s="1032"/>
      <c r="CF1759" s="946">
        <f t="shared" si="339"/>
        <v>155848320</v>
      </c>
    </row>
    <row r="1760" spans="2:84">
      <c r="B1760" s="839" t="s">
        <v>98</v>
      </c>
      <c r="C1760" s="839" t="s">
        <v>5697</v>
      </c>
      <c r="D1760" s="839" t="s">
        <v>5754</v>
      </c>
      <c r="E1760" s="839" t="s">
        <v>5754</v>
      </c>
      <c r="F1760" s="841">
        <v>45805</v>
      </c>
      <c r="G1760" s="839" t="s">
        <v>5697</v>
      </c>
      <c r="H1760" s="883" t="s">
        <v>3457</v>
      </c>
      <c r="I1760" s="883"/>
      <c r="J1760" s="841"/>
      <c r="K1760" s="841"/>
      <c r="L1760" s="843" t="s">
        <v>5257</v>
      </c>
      <c r="M1760" s="844" t="s">
        <v>107</v>
      </c>
      <c r="N1760" s="841"/>
      <c r="O1760" s="884" t="s">
        <v>150</v>
      </c>
      <c r="P1760" s="842" t="s">
        <v>5982</v>
      </c>
      <c r="Q1760" s="843"/>
      <c r="R1760" s="845" t="s">
        <v>5991</v>
      </c>
      <c r="S1760" s="1127" t="s">
        <v>5992</v>
      </c>
      <c r="T1760" s="885" t="s">
        <v>5993</v>
      </c>
      <c r="U1760" s="886">
        <v>1</v>
      </c>
      <c r="V1760" s="842" t="s">
        <v>3</v>
      </c>
      <c r="W1760" s="846">
        <v>34825</v>
      </c>
      <c r="X1760" s="847">
        <f t="shared" si="340"/>
        <v>34825</v>
      </c>
      <c r="Y1760" s="853" t="s">
        <v>5752</v>
      </c>
      <c r="Z1760" s="849">
        <v>16158.8</v>
      </c>
      <c r="AA1760" s="849"/>
      <c r="AB1760" s="849">
        <f t="shared" si="331"/>
        <v>16158.8</v>
      </c>
      <c r="AC1760" s="850">
        <f t="shared" si="332"/>
        <v>16158.8</v>
      </c>
      <c r="AD1760" s="851">
        <f t="shared" si="338"/>
        <v>32000</v>
      </c>
      <c r="AE1760" s="852">
        <v>30081.54</v>
      </c>
      <c r="AF1760" s="865">
        <v>0</v>
      </c>
      <c r="AG1760" s="854">
        <f t="shared" si="333"/>
        <v>0</v>
      </c>
      <c r="AH1760" s="853">
        <v>0.08</v>
      </c>
      <c r="AI1760" s="855">
        <f t="shared" si="334"/>
        <v>38886527.08416</v>
      </c>
      <c r="AJ1760" s="845" t="s">
        <v>5704</v>
      </c>
      <c r="AK1760" s="857">
        <v>45898</v>
      </c>
      <c r="AL1760" s="843" t="s">
        <v>5705</v>
      </c>
      <c r="AM1760" s="843" t="s">
        <v>5641</v>
      </c>
      <c r="AN1760" s="844" t="s">
        <v>5642</v>
      </c>
      <c r="AO1760" s="844" t="s">
        <v>141</v>
      </c>
      <c r="AP1760" s="841"/>
      <c r="AQ1760" s="841">
        <v>45906</v>
      </c>
      <c r="AR1760" s="841">
        <v>45958</v>
      </c>
      <c r="AS1760" s="842" t="s">
        <v>1284</v>
      </c>
      <c r="AT1760" s="842" t="s">
        <v>1235</v>
      </c>
      <c r="AU1760" s="842" t="s">
        <v>4595</v>
      </c>
      <c r="AV1760" s="843" t="s">
        <v>5706</v>
      </c>
      <c r="AW1760" s="861">
        <v>45961</v>
      </c>
      <c r="AX1760" s="862">
        <v>45965</v>
      </c>
      <c r="AY1760" s="843" t="s">
        <v>5994</v>
      </c>
      <c r="AZ1760" s="842" t="s">
        <v>4269</v>
      </c>
      <c r="BA1760" s="842" t="s">
        <v>120</v>
      </c>
      <c r="BB1760" s="863" t="s">
        <v>121</v>
      </c>
      <c r="BC1760" s="864">
        <v>45967</v>
      </c>
      <c r="BD1760" s="860" t="s">
        <v>5708</v>
      </c>
      <c r="BE1760" s="865" cm="1">
        <f t="array" ref="BE1760">IF(BD1760="","",AC1760/SUMPRODUCT(--(BD1760=$BD$4:$BD$12824),$AC$4:$AC$12824))</f>
        <v>6.921420706539351E-2</v>
      </c>
      <c r="BF1760" s="458"/>
      <c r="BG1760" s="458"/>
      <c r="BH1760" s="458"/>
      <c r="BI1760" s="458"/>
      <c r="BJ1760" s="458"/>
      <c r="BK1760" s="458"/>
      <c r="BL1760" s="458"/>
      <c r="BM1760" s="458"/>
      <c r="BN1760" s="458"/>
      <c r="BO1760" s="866">
        <f>VLOOKUP(BD1760,$BD$4:$BN$12824,3,0)*BE1760</f>
        <v>2928781.799206153</v>
      </c>
      <c r="BP1760" s="866"/>
      <c r="BQ1760" s="866"/>
      <c r="BR1760" s="866">
        <f>VLOOKUP(BD1760,$BD$4:$BN$12824,6,0)*BE1760</f>
        <v>552540.73206230474</v>
      </c>
      <c r="BS1760" s="866">
        <f>VLOOKUP(BD1760,$BD$4:$BN$12824,7,0)*BE1760</f>
        <v>481799.40324013348</v>
      </c>
      <c r="BT1760" s="866"/>
      <c r="BU1760" s="866">
        <f>VLOOKUP(BD1760,$BD$4:$BN$12824,9,0)*BE1760</f>
        <v>38759.955956620368</v>
      </c>
      <c r="BV1760" s="867"/>
      <c r="BW1760" s="867">
        <f>VLOOKUP(BD1760,$BD$4:$BN$12824,11,0)*BE1760</f>
        <v>347480.95435978111</v>
      </c>
      <c r="BX1760" s="1146">
        <f t="shared" si="335"/>
        <v>4349362.8448249931</v>
      </c>
      <c r="BY1760" s="867">
        <f t="shared" si="337"/>
        <v>490430951.39682496</v>
      </c>
      <c r="BZ1760" s="867">
        <f t="shared" si="336"/>
        <v>490430951.39682496</v>
      </c>
      <c r="CA1760" s="867">
        <f>_xlfn.MAXIFS($BY$4:$BY$12824,$S$4:$S$12824,$S1760)</f>
        <v>490430951.39682496</v>
      </c>
      <c r="CB1760" s="1032"/>
      <c r="CF1760" s="946">
        <f t="shared" si="339"/>
        <v>517081600</v>
      </c>
    </row>
    <row r="1761" spans="2:84">
      <c r="B1761" s="839" t="s">
        <v>98</v>
      </c>
      <c r="C1761" s="839" t="s">
        <v>5697</v>
      </c>
      <c r="D1761" s="839" t="s">
        <v>5754</v>
      </c>
      <c r="E1761" s="839" t="s">
        <v>5754</v>
      </c>
      <c r="F1761" s="841">
        <v>45805</v>
      </c>
      <c r="G1761" s="839" t="s">
        <v>5697</v>
      </c>
      <c r="H1761" s="883" t="s">
        <v>3457</v>
      </c>
      <c r="I1761" s="883"/>
      <c r="J1761" s="841"/>
      <c r="K1761" s="841"/>
      <c r="L1761" s="843" t="s">
        <v>5257</v>
      </c>
      <c r="M1761" s="844" t="s">
        <v>107</v>
      </c>
      <c r="N1761" s="841"/>
      <c r="O1761" s="884" t="s">
        <v>135</v>
      </c>
      <c r="P1761" s="842" t="s">
        <v>2021</v>
      </c>
      <c r="Q1761" s="843"/>
      <c r="R1761" s="845" t="s">
        <v>5995</v>
      </c>
      <c r="S1761" s="1127" t="s">
        <v>5996</v>
      </c>
      <c r="T1761" s="885" t="s">
        <v>5997</v>
      </c>
      <c r="U1761" s="886">
        <v>6</v>
      </c>
      <c r="V1761" s="842" t="s">
        <v>3</v>
      </c>
      <c r="W1761" s="846">
        <v>25</v>
      </c>
      <c r="X1761" s="847">
        <f t="shared" si="340"/>
        <v>150</v>
      </c>
      <c r="Y1761" s="853" t="s">
        <v>5703</v>
      </c>
      <c r="Z1761" s="849">
        <v>13.05</v>
      </c>
      <c r="AA1761" s="849"/>
      <c r="AB1761" s="849">
        <f t="shared" si="331"/>
        <v>78.300000000000011</v>
      </c>
      <c r="AC1761" s="850">
        <f t="shared" si="332"/>
        <v>78.300000000000011</v>
      </c>
      <c r="AD1761" s="851">
        <f t="shared" si="338"/>
        <v>32000</v>
      </c>
      <c r="AE1761" s="852">
        <v>30081.54</v>
      </c>
      <c r="AF1761" s="865">
        <v>0.35</v>
      </c>
      <c r="AG1761" s="854">
        <f t="shared" si="333"/>
        <v>830168.88086495292</v>
      </c>
      <c r="AH1761" s="853">
        <v>0.08</v>
      </c>
      <c r="AI1761" s="855">
        <f t="shared" si="334"/>
        <v>254844.27702919627</v>
      </c>
      <c r="AJ1761" s="845" t="s">
        <v>5704</v>
      </c>
      <c r="AK1761" s="857">
        <v>45898</v>
      </c>
      <c r="AL1761" s="843" t="s">
        <v>5705</v>
      </c>
      <c r="AM1761" s="843" t="s">
        <v>5641</v>
      </c>
      <c r="AN1761" s="844" t="s">
        <v>5642</v>
      </c>
      <c r="AO1761" s="844" t="s">
        <v>141</v>
      </c>
      <c r="AP1761" s="841"/>
      <c r="AQ1761" s="841">
        <v>45906</v>
      </c>
      <c r="AR1761" s="841">
        <v>45958</v>
      </c>
      <c r="AS1761" s="842" t="s">
        <v>1284</v>
      </c>
      <c r="AT1761" s="842" t="s">
        <v>1235</v>
      </c>
      <c r="AU1761" s="842" t="s">
        <v>4595</v>
      </c>
      <c r="AV1761" s="843" t="s">
        <v>5706</v>
      </c>
      <c r="AW1761" s="861">
        <v>45961</v>
      </c>
      <c r="AX1761" s="862">
        <v>45965</v>
      </c>
      <c r="AY1761" s="843" t="s">
        <v>5998</v>
      </c>
      <c r="AZ1761" s="842" t="s">
        <v>5999</v>
      </c>
      <c r="BA1761" s="842" t="s">
        <v>120</v>
      </c>
      <c r="BB1761" s="863" t="s">
        <v>121</v>
      </c>
      <c r="BC1761" s="864">
        <v>45967</v>
      </c>
      <c r="BD1761" s="860" t="s">
        <v>5708</v>
      </c>
      <c r="BE1761" s="865" cm="1">
        <f t="array" ref="BE1761">IF(BD1761="","",AC1761/SUMPRODUCT(--(BD1761=$BD$4:$BD$12824),$AC$4:$AC$12824))</f>
        <v>3.3538829697875538E-4</v>
      </c>
      <c r="BF1761" s="458"/>
      <c r="BG1761" s="458"/>
      <c r="BH1761" s="458"/>
      <c r="BI1761" s="458"/>
      <c r="BJ1761" s="458"/>
      <c r="BK1761" s="458"/>
      <c r="BL1761" s="458"/>
      <c r="BM1761" s="458"/>
      <c r="BN1761" s="458"/>
      <c r="BO1761" s="866">
        <f>VLOOKUP(BD1761,$BD$4:$BN$12824,3,0)*BE1761</f>
        <v>14191.871604193493</v>
      </c>
      <c r="BP1761" s="866"/>
      <c r="BQ1761" s="866"/>
      <c r="BR1761" s="866">
        <f>VLOOKUP(BD1761,$BD$4:$BN$12824,6,0)*BE1761</f>
        <v>2677.4227863751307</v>
      </c>
      <c r="BS1761" s="866">
        <f>VLOOKUP(BD1761,$BD$4:$BN$12824,7,0)*BE1761</f>
        <v>2334.6345813861462</v>
      </c>
      <c r="BT1761" s="866"/>
      <c r="BU1761" s="866">
        <f>VLOOKUP(BD1761,$BD$4:$BN$12824,9,0)*BE1761</f>
        <v>187.817446308103</v>
      </c>
      <c r="BV1761" s="867"/>
      <c r="BW1761" s="867">
        <f>VLOOKUP(BD1761,$BD$4:$BN$12824,11,0)*BE1761</f>
        <v>1683.7734687211218</v>
      </c>
      <c r="BX1761" s="1146">
        <f t="shared" si="335"/>
        <v>21075.519886983991</v>
      </c>
      <c r="BY1761" s="867">
        <f t="shared" si="337"/>
        <v>534438.16379198956</v>
      </c>
      <c r="BZ1761" s="867">
        <f t="shared" si="336"/>
        <v>3206628.9827519376</v>
      </c>
      <c r="CA1761" s="867">
        <f>_xlfn.MAXIFS($BY$4:$BY$12824,$S$4:$S$12824,$S1761)</f>
        <v>534438.16379198956</v>
      </c>
      <c r="CB1761" s="1032"/>
      <c r="CF1761" s="946">
        <f t="shared" si="339"/>
        <v>2505600.0000000005</v>
      </c>
    </row>
    <row r="1762" spans="2:84">
      <c r="B1762" s="839" t="s">
        <v>98</v>
      </c>
      <c r="C1762" s="839" t="s">
        <v>5697</v>
      </c>
      <c r="D1762" s="839" t="s">
        <v>5754</v>
      </c>
      <c r="E1762" s="839" t="s">
        <v>5754</v>
      </c>
      <c r="F1762" s="841">
        <v>45805</v>
      </c>
      <c r="G1762" s="839" t="s">
        <v>5697</v>
      </c>
      <c r="H1762" s="883" t="s">
        <v>3457</v>
      </c>
      <c r="I1762" s="883"/>
      <c r="J1762" s="841"/>
      <c r="K1762" s="841"/>
      <c r="L1762" s="843" t="s">
        <v>5257</v>
      </c>
      <c r="M1762" s="844" t="s">
        <v>107</v>
      </c>
      <c r="N1762" s="841"/>
      <c r="O1762" s="884" t="s">
        <v>135</v>
      </c>
      <c r="P1762" s="842" t="s">
        <v>2021</v>
      </c>
      <c r="Q1762" s="843"/>
      <c r="R1762" s="845" t="s">
        <v>6000</v>
      </c>
      <c r="S1762" s="1127" t="s">
        <v>6001</v>
      </c>
      <c r="T1762" s="885" t="s">
        <v>6002</v>
      </c>
      <c r="U1762" s="886">
        <v>6</v>
      </c>
      <c r="V1762" s="842" t="s">
        <v>3</v>
      </c>
      <c r="W1762" s="846">
        <v>25</v>
      </c>
      <c r="X1762" s="847">
        <f t="shared" si="340"/>
        <v>150</v>
      </c>
      <c r="Y1762" s="853" t="s">
        <v>5703</v>
      </c>
      <c r="Z1762" s="849">
        <v>13.05</v>
      </c>
      <c r="AA1762" s="849"/>
      <c r="AB1762" s="849">
        <f t="shared" si="331"/>
        <v>78.300000000000011</v>
      </c>
      <c r="AC1762" s="850">
        <f t="shared" si="332"/>
        <v>78.300000000000011</v>
      </c>
      <c r="AD1762" s="851">
        <f t="shared" si="338"/>
        <v>32000</v>
      </c>
      <c r="AE1762" s="852">
        <v>30081.54</v>
      </c>
      <c r="AF1762" s="865">
        <v>0.35</v>
      </c>
      <c r="AG1762" s="854">
        <f t="shared" si="333"/>
        <v>830168.88086495292</v>
      </c>
      <c r="AH1762" s="853">
        <v>0.08</v>
      </c>
      <c r="AI1762" s="855">
        <f t="shared" si="334"/>
        <v>254844.27702919627</v>
      </c>
      <c r="AJ1762" s="845" t="s">
        <v>5704</v>
      </c>
      <c r="AK1762" s="857">
        <v>45898</v>
      </c>
      <c r="AL1762" s="843" t="s">
        <v>5705</v>
      </c>
      <c r="AM1762" s="843" t="s">
        <v>5641</v>
      </c>
      <c r="AN1762" s="844" t="s">
        <v>5642</v>
      </c>
      <c r="AO1762" s="844" t="s">
        <v>141</v>
      </c>
      <c r="AP1762" s="841"/>
      <c r="AQ1762" s="841">
        <v>45906</v>
      </c>
      <c r="AR1762" s="841">
        <v>45958</v>
      </c>
      <c r="AS1762" s="842" t="s">
        <v>1284</v>
      </c>
      <c r="AT1762" s="842" t="s">
        <v>1235</v>
      </c>
      <c r="AU1762" s="842" t="s">
        <v>4595</v>
      </c>
      <c r="AV1762" s="843" t="s">
        <v>5706</v>
      </c>
      <c r="AW1762" s="861">
        <v>45961</v>
      </c>
      <c r="AX1762" s="862">
        <v>45965</v>
      </c>
      <c r="AY1762" s="843" t="s">
        <v>6003</v>
      </c>
      <c r="AZ1762" s="842" t="s">
        <v>5999</v>
      </c>
      <c r="BA1762" s="842" t="s">
        <v>120</v>
      </c>
      <c r="BB1762" s="863" t="s">
        <v>121</v>
      </c>
      <c r="BC1762" s="864">
        <v>45967</v>
      </c>
      <c r="BD1762" s="860" t="s">
        <v>5708</v>
      </c>
      <c r="BE1762" s="865" cm="1">
        <f t="array" ref="BE1762">IF(BD1762="","",AC1762/SUMPRODUCT(--(BD1762=$BD$4:$BD$12824),$AC$4:$AC$12824))</f>
        <v>3.3538829697875538E-4</v>
      </c>
      <c r="BF1762" s="458"/>
      <c r="BG1762" s="458"/>
      <c r="BH1762" s="458"/>
      <c r="BI1762" s="458"/>
      <c r="BJ1762" s="458"/>
      <c r="BK1762" s="458"/>
      <c r="BL1762" s="458"/>
      <c r="BM1762" s="458"/>
      <c r="BN1762" s="458"/>
      <c r="BO1762" s="866">
        <f>VLOOKUP(BD1762,$BD$4:$BN$12824,3,0)*BE1762</f>
        <v>14191.871604193493</v>
      </c>
      <c r="BP1762" s="866"/>
      <c r="BQ1762" s="866"/>
      <c r="BR1762" s="866">
        <f>VLOOKUP(BD1762,$BD$4:$BN$12824,6,0)*BE1762</f>
        <v>2677.4227863751307</v>
      </c>
      <c r="BS1762" s="866">
        <f>VLOOKUP(BD1762,$BD$4:$BN$12824,7,0)*BE1762</f>
        <v>2334.6345813861462</v>
      </c>
      <c r="BT1762" s="866"/>
      <c r="BU1762" s="866">
        <f>VLOOKUP(BD1762,$BD$4:$BN$12824,9,0)*BE1762</f>
        <v>187.817446308103</v>
      </c>
      <c r="BV1762" s="867"/>
      <c r="BW1762" s="867">
        <f>VLOOKUP(BD1762,$BD$4:$BN$12824,11,0)*BE1762</f>
        <v>1683.7734687211218</v>
      </c>
      <c r="BX1762" s="1146">
        <f t="shared" si="335"/>
        <v>21075.519886983991</v>
      </c>
      <c r="BY1762" s="867">
        <f t="shared" si="337"/>
        <v>534438.16379198956</v>
      </c>
      <c r="BZ1762" s="867">
        <f t="shared" si="336"/>
        <v>3206628.9827519376</v>
      </c>
      <c r="CA1762" s="867">
        <f>_xlfn.MAXIFS($BY$4:$BY$12824,$S$4:$S$12824,$S1762)</f>
        <v>534438.16379198956</v>
      </c>
      <c r="CB1762" s="1032"/>
      <c r="CF1762" s="946">
        <f t="shared" si="339"/>
        <v>2505600.0000000005</v>
      </c>
    </row>
    <row r="1763" spans="2:84">
      <c r="B1763" s="839" t="s">
        <v>98</v>
      </c>
      <c r="C1763" s="839" t="s">
        <v>5697</v>
      </c>
      <c r="D1763" s="839" t="s">
        <v>5754</v>
      </c>
      <c r="E1763" s="839" t="s">
        <v>5754</v>
      </c>
      <c r="F1763" s="841">
        <v>45805</v>
      </c>
      <c r="G1763" s="839" t="s">
        <v>5697</v>
      </c>
      <c r="H1763" s="883" t="s">
        <v>3457</v>
      </c>
      <c r="I1763" s="883"/>
      <c r="J1763" s="841"/>
      <c r="K1763" s="841"/>
      <c r="L1763" s="843" t="s">
        <v>5257</v>
      </c>
      <c r="M1763" s="844" t="s">
        <v>107</v>
      </c>
      <c r="N1763" s="841"/>
      <c r="O1763" s="884" t="s">
        <v>135</v>
      </c>
      <c r="P1763" s="842" t="s">
        <v>2021</v>
      </c>
      <c r="Q1763" s="843"/>
      <c r="R1763" s="845" t="s">
        <v>6004</v>
      </c>
      <c r="S1763" s="1127" t="s">
        <v>6005</v>
      </c>
      <c r="T1763" s="885" t="s">
        <v>6006</v>
      </c>
      <c r="U1763" s="886">
        <v>6</v>
      </c>
      <c r="V1763" s="842" t="s">
        <v>3</v>
      </c>
      <c r="W1763" s="846">
        <v>25</v>
      </c>
      <c r="X1763" s="847">
        <f t="shared" si="340"/>
        <v>150</v>
      </c>
      <c r="Y1763" s="853" t="s">
        <v>5703</v>
      </c>
      <c r="Z1763" s="849">
        <v>13.05</v>
      </c>
      <c r="AA1763" s="849"/>
      <c r="AB1763" s="849">
        <f t="shared" si="331"/>
        <v>78.300000000000011</v>
      </c>
      <c r="AC1763" s="850">
        <f t="shared" si="332"/>
        <v>78.300000000000011</v>
      </c>
      <c r="AD1763" s="851">
        <f t="shared" si="338"/>
        <v>32000</v>
      </c>
      <c r="AE1763" s="852">
        <v>30081.54</v>
      </c>
      <c r="AF1763" s="865">
        <v>0.35</v>
      </c>
      <c r="AG1763" s="854">
        <f t="shared" si="333"/>
        <v>830168.88086495292</v>
      </c>
      <c r="AH1763" s="853">
        <v>0.08</v>
      </c>
      <c r="AI1763" s="855">
        <f t="shared" si="334"/>
        <v>254844.27702919627</v>
      </c>
      <c r="AJ1763" s="845" t="s">
        <v>5704</v>
      </c>
      <c r="AK1763" s="857">
        <v>45898</v>
      </c>
      <c r="AL1763" s="843" t="s">
        <v>5705</v>
      </c>
      <c r="AM1763" s="843" t="s">
        <v>5641</v>
      </c>
      <c r="AN1763" s="844" t="s">
        <v>5642</v>
      </c>
      <c r="AO1763" s="844" t="s">
        <v>141</v>
      </c>
      <c r="AP1763" s="841"/>
      <c r="AQ1763" s="841">
        <v>45906</v>
      </c>
      <c r="AR1763" s="841">
        <v>45958</v>
      </c>
      <c r="AS1763" s="842" t="s">
        <v>1284</v>
      </c>
      <c r="AT1763" s="842" t="s">
        <v>1235</v>
      </c>
      <c r="AU1763" s="842" t="s">
        <v>4595</v>
      </c>
      <c r="AV1763" s="843" t="s">
        <v>5706</v>
      </c>
      <c r="AW1763" s="861">
        <v>45961</v>
      </c>
      <c r="AX1763" s="862">
        <v>45965</v>
      </c>
      <c r="AY1763" s="843" t="s">
        <v>6007</v>
      </c>
      <c r="AZ1763" s="842" t="s">
        <v>5999</v>
      </c>
      <c r="BA1763" s="842" t="s">
        <v>120</v>
      </c>
      <c r="BB1763" s="863" t="s">
        <v>121</v>
      </c>
      <c r="BC1763" s="864">
        <v>45967</v>
      </c>
      <c r="BD1763" s="860" t="s">
        <v>5708</v>
      </c>
      <c r="BE1763" s="865" cm="1">
        <f t="array" ref="BE1763">IF(BD1763="","",AC1763/SUMPRODUCT(--(BD1763=$BD$4:$BD$12824),$AC$4:$AC$12824))</f>
        <v>3.3538829697875538E-4</v>
      </c>
      <c r="BF1763" s="458"/>
      <c r="BG1763" s="458"/>
      <c r="BH1763" s="458"/>
      <c r="BI1763" s="458"/>
      <c r="BJ1763" s="458"/>
      <c r="BK1763" s="458"/>
      <c r="BL1763" s="458"/>
      <c r="BM1763" s="458"/>
      <c r="BN1763" s="458"/>
      <c r="BO1763" s="866">
        <f>VLOOKUP(BD1763,$BD$4:$BN$12824,3,0)*BE1763</f>
        <v>14191.871604193493</v>
      </c>
      <c r="BP1763" s="866"/>
      <c r="BQ1763" s="866"/>
      <c r="BR1763" s="866">
        <f>VLOOKUP(BD1763,$BD$4:$BN$12824,6,0)*BE1763</f>
        <v>2677.4227863751307</v>
      </c>
      <c r="BS1763" s="866">
        <f>VLOOKUP(BD1763,$BD$4:$BN$12824,7,0)*BE1763</f>
        <v>2334.6345813861462</v>
      </c>
      <c r="BT1763" s="866"/>
      <c r="BU1763" s="866">
        <f>VLOOKUP(BD1763,$BD$4:$BN$12824,9,0)*BE1763</f>
        <v>187.817446308103</v>
      </c>
      <c r="BV1763" s="867"/>
      <c r="BW1763" s="867">
        <f>VLOOKUP(BD1763,$BD$4:$BN$12824,11,0)*BE1763</f>
        <v>1683.7734687211218</v>
      </c>
      <c r="BX1763" s="1146">
        <f t="shared" si="335"/>
        <v>21075.519886983991</v>
      </c>
      <c r="BY1763" s="867">
        <f t="shared" si="337"/>
        <v>534438.16379198956</v>
      </c>
      <c r="BZ1763" s="867">
        <f t="shared" si="336"/>
        <v>3206628.9827519376</v>
      </c>
      <c r="CA1763" s="867">
        <f>_xlfn.MAXIFS($BY$4:$BY$12824,$S$4:$S$12824,$S1763)</f>
        <v>534438.16379198956</v>
      </c>
      <c r="CB1763" s="1032"/>
      <c r="CF1763" s="946">
        <f t="shared" si="339"/>
        <v>2505600.0000000005</v>
      </c>
    </row>
    <row r="1764" spans="2:84">
      <c r="B1764" s="839" t="s">
        <v>98</v>
      </c>
      <c r="C1764" s="839" t="s">
        <v>5697</v>
      </c>
      <c r="D1764" s="839" t="s">
        <v>5754</v>
      </c>
      <c r="E1764" s="839" t="s">
        <v>5754</v>
      </c>
      <c r="F1764" s="841">
        <v>45805</v>
      </c>
      <c r="G1764" s="839" t="s">
        <v>5697</v>
      </c>
      <c r="H1764" s="883" t="s">
        <v>3457</v>
      </c>
      <c r="I1764" s="883"/>
      <c r="J1764" s="841"/>
      <c r="K1764" s="841"/>
      <c r="L1764" s="843" t="s">
        <v>5257</v>
      </c>
      <c r="M1764" s="844" t="s">
        <v>107</v>
      </c>
      <c r="N1764" s="841"/>
      <c r="O1764" s="884" t="s">
        <v>135</v>
      </c>
      <c r="P1764" s="842" t="s">
        <v>2021</v>
      </c>
      <c r="Q1764" s="843"/>
      <c r="R1764" s="845" t="s">
        <v>6008</v>
      </c>
      <c r="S1764" s="1127" t="s">
        <v>6009</v>
      </c>
      <c r="T1764" s="885" t="s">
        <v>6010</v>
      </c>
      <c r="U1764" s="886">
        <v>4</v>
      </c>
      <c r="V1764" s="842" t="s">
        <v>3</v>
      </c>
      <c r="W1764" s="846">
        <v>145</v>
      </c>
      <c r="X1764" s="847">
        <f t="shared" si="340"/>
        <v>580</v>
      </c>
      <c r="Y1764" s="853" t="s">
        <v>5703</v>
      </c>
      <c r="Z1764" s="849">
        <v>75.69</v>
      </c>
      <c r="AA1764" s="849"/>
      <c r="AB1764" s="849">
        <f t="shared" si="331"/>
        <v>302.76</v>
      </c>
      <c r="AC1764" s="850">
        <f t="shared" si="332"/>
        <v>302.76</v>
      </c>
      <c r="AD1764" s="851">
        <f t="shared" si="338"/>
        <v>32000</v>
      </c>
      <c r="AE1764" s="852">
        <v>30081.54</v>
      </c>
      <c r="AF1764" s="865">
        <v>0.3</v>
      </c>
      <c r="AG1764" s="854">
        <f t="shared" si="333"/>
        <v>2751416.8622952723</v>
      </c>
      <c r="AH1764" s="853">
        <v>0.08</v>
      </c>
      <c r="AI1764" s="855">
        <f t="shared" si="334"/>
        <v>948712.31301562174</v>
      </c>
      <c r="AJ1764" s="845" t="s">
        <v>5704</v>
      </c>
      <c r="AK1764" s="857">
        <v>45898</v>
      </c>
      <c r="AL1764" s="843" t="s">
        <v>5705</v>
      </c>
      <c r="AM1764" s="843" t="s">
        <v>5641</v>
      </c>
      <c r="AN1764" s="844" t="s">
        <v>5642</v>
      </c>
      <c r="AO1764" s="844" t="s">
        <v>141</v>
      </c>
      <c r="AP1764" s="841"/>
      <c r="AQ1764" s="841">
        <v>45906</v>
      </c>
      <c r="AR1764" s="841">
        <v>45958</v>
      </c>
      <c r="AS1764" s="842" t="s">
        <v>1284</v>
      </c>
      <c r="AT1764" s="842" t="s">
        <v>1235</v>
      </c>
      <c r="AU1764" s="842" t="s">
        <v>4595</v>
      </c>
      <c r="AV1764" s="843" t="s">
        <v>5706</v>
      </c>
      <c r="AW1764" s="861">
        <v>45961</v>
      </c>
      <c r="AX1764" s="862">
        <v>45965</v>
      </c>
      <c r="AY1764" s="843" t="s">
        <v>6011</v>
      </c>
      <c r="AZ1764" s="842" t="s">
        <v>6012</v>
      </c>
      <c r="BA1764" s="842" t="s">
        <v>120</v>
      </c>
      <c r="BB1764" s="863" t="s">
        <v>121</v>
      </c>
      <c r="BC1764" s="864">
        <v>45967</v>
      </c>
      <c r="BD1764" s="860" t="s">
        <v>5708</v>
      </c>
      <c r="BE1764" s="865" cm="1">
        <f t="array" ref="BE1764">IF(BD1764="","",AC1764/SUMPRODUCT(--(BD1764=$BD$4:$BD$12824),$AC$4:$AC$12824))</f>
        <v>1.2968347483178538E-3</v>
      </c>
      <c r="BF1764" s="458"/>
      <c r="BG1764" s="458"/>
      <c r="BH1764" s="458"/>
      <c r="BI1764" s="458"/>
      <c r="BJ1764" s="458"/>
      <c r="BK1764" s="458"/>
      <c r="BL1764" s="458"/>
      <c r="BM1764" s="458"/>
      <c r="BN1764" s="458"/>
      <c r="BO1764" s="866">
        <f>VLOOKUP(BD1764,$BD$4:$BN$12824,3,0)*BE1764</f>
        <v>54875.236869548156</v>
      </c>
      <c r="BP1764" s="866"/>
      <c r="BQ1764" s="866"/>
      <c r="BR1764" s="866">
        <f>VLOOKUP(BD1764,$BD$4:$BN$12824,6,0)*BE1764</f>
        <v>10352.701440650502</v>
      </c>
      <c r="BS1764" s="866">
        <f>VLOOKUP(BD1764,$BD$4:$BN$12824,7,0)*BE1764</f>
        <v>9027.2537146930954</v>
      </c>
      <c r="BT1764" s="866"/>
      <c r="BU1764" s="866">
        <f>VLOOKUP(BD1764,$BD$4:$BN$12824,9,0)*BE1764</f>
        <v>726.22745905799809</v>
      </c>
      <c r="BV1764" s="867"/>
      <c r="BW1764" s="867">
        <f>VLOOKUP(BD1764,$BD$4:$BN$12824,11,0)*BE1764</f>
        <v>6510.5907457216699</v>
      </c>
      <c r="BX1764" s="1146">
        <f t="shared" si="335"/>
        <v>81492.010229671418</v>
      </c>
      <c r="BY1764" s="867">
        <f t="shared" si="337"/>
        <v>2985098.9807312358</v>
      </c>
      <c r="BZ1764" s="867">
        <f t="shared" si="336"/>
        <v>11940395.922924943</v>
      </c>
      <c r="CA1764" s="867">
        <f>_xlfn.MAXIFS($BY$4:$BY$12824,$S$4:$S$12824,$S1764)</f>
        <v>2985098.9807312358</v>
      </c>
      <c r="CB1764" s="1032"/>
      <c r="CF1764" s="946">
        <f t="shared" si="339"/>
        <v>9688320</v>
      </c>
    </row>
    <row r="1765" spans="2:84">
      <c r="B1765" s="839" t="s">
        <v>98</v>
      </c>
      <c r="C1765" s="839" t="s">
        <v>5697</v>
      </c>
      <c r="D1765" s="839" t="s">
        <v>5754</v>
      </c>
      <c r="E1765" s="839" t="s">
        <v>5754</v>
      </c>
      <c r="F1765" s="841">
        <v>45805</v>
      </c>
      <c r="G1765" s="839" t="s">
        <v>5697</v>
      </c>
      <c r="H1765" s="883" t="s">
        <v>3457</v>
      </c>
      <c r="I1765" s="883"/>
      <c r="J1765" s="841"/>
      <c r="K1765" s="841"/>
      <c r="L1765" s="843" t="s">
        <v>5257</v>
      </c>
      <c r="M1765" s="844" t="s">
        <v>107</v>
      </c>
      <c r="N1765" s="841"/>
      <c r="O1765" s="884" t="s">
        <v>135</v>
      </c>
      <c r="P1765" s="842" t="s">
        <v>2021</v>
      </c>
      <c r="Q1765" s="843"/>
      <c r="R1765" s="845" t="s">
        <v>6013</v>
      </c>
      <c r="S1765" s="1127" t="s">
        <v>6014</v>
      </c>
      <c r="T1765" s="885" t="s">
        <v>6015</v>
      </c>
      <c r="U1765" s="886">
        <v>1</v>
      </c>
      <c r="V1765" s="842" t="s">
        <v>3</v>
      </c>
      <c r="W1765" s="846">
        <v>245</v>
      </c>
      <c r="X1765" s="847">
        <f t="shared" si="340"/>
        <v>245</v>
      </c>
      <c r="Y1765" s="853" t="s">
        <v>5703</v>
      </c>
      <c r="Z1765" s="849">
        <v>127.89</v>
      </c>
      <c r="AA1765" s="849"/>
      <c r="AB1765" s="849">
        <f t="shared" si="331"/>
        <v>127.89</v>
      </c>
      <c r="AC1765" s="850">
        <f t="shared" si="332"/>
        <v>127.89</v>
      </c>
      <c r="AD1765" s="851">
        <f t="shared" si="338"/>
        <v>32000</v>
      </c>
      <c r="AE1765" s="852">
        <v>30081.54</v>
      </c>
      <c r="AF1765" s="865">
        <v>0.3</v>
      </c>
      <c r="AG1765" s="854">
        <f t="shared" si="333"/>
        <v>1162236.433210934</v>
      </c>
      <c r="AH1765" s="853">
        <v>0.08</v>
      </c>
      <c r="AI1765" s="855">
        <f t="shared" si="334"/>
        <v>400749.16670487478</v>
      </c>
      <c r="AJ1765" s="845" t="s">
        <v>5704</v>
      </c>
      <c r="AK1765" s="857">
        <v>45898</v>
      </c>
      <c r="AL1765" s="843" t="s">
        <v>5705</v>
      </c>
      <c r="AM1765" s="843" t="s">
        <v>5641</v>
      </c>
      <c r="AN1765" s="844" t="s">
        <v>5642</v>
      </c>
      <c r="AO1765" s="844" t="s">
        <v>141</v>
      </c>
      <c r="AP1765" s="841"/>
      <c r="AQ1765" s="841">
        <v>45906</v>
      </c>
      <c r="AR1765" s="841">
        <v>45958</v>
      </c>
      <c r="AS1765" s="842" t="s">
        <v>1284</v>
      </c>
      <c r="AT1765" s="842" t="s">
        <v>1235</v>
      </c>
      <c r="AU1765" s="842" t="s">
        <v>4595</v>
      </c>
      <c r="AV1765" s="843" t="s">
        <v>5706</v>
      </c>
      <c r="AW1765" s="861">
        <v>45961</v>
      </c>
      <c r="AX1765" s="862">
        <v>45965</v>
      </c>
      <c r="AY1765" s="843" t="s">
        <v>6016</v>
      </c>
      <c r="AZ1765" s="842" t="s">
        <v>6012</v>
      </c>
      <c r="BA1765" s="842" t="s">
        <v>120</v>
      </c>
      <c r="BB1765" s="863" t="s">
        <v>121</v>
      </c>
      <c r="BC1765" s="864">
        <v>45967</v>
      </c>
      <c r="BD1765" s="860" t="s">
        <v>5708</v>
      </c>
      <c r="BE1765" s="865" cm="1">
        <f t="array" ref="BE1765">IF(BD1765="","",AC1765/SUMPRODUCT(--(BD1765=$BD$4:$BD$12824),$AC$4:$AC$12824))</f>
        <v>5.4780088506530033E-4</v>
      </c>
      <c r="BF1765" s="458"/>
      <c r="BG1765" s="458"/>
      <c r="BH1765" s="458"/>
      <c r="BI1765" s="458"/>
      <c r="BJ1765" s="458"/>
      <c r="BK1765" s="458"/>
      <c r="BL1765" s="458"/>
      <c r="BM1765" s="458"/>
      <c r="BN1765" s="458"/>
      <c r="BO1765" s="866">
        <f>VLOOKUP(BD1765,$BD$4:$BN$12824,3,0)*BE1765</f>
        <v>23180.056953516032</v>
      </c>
      <c r="BP1765" s="866"/>
      <c r="BQ1765" s="866"/>
      <c r="BR1765" s="866">
        <f>VLOOKUP(BD1765,$BD$4:$BN$12824,6,0)*BE1765</f>
        <v>4373.1238844127129</v>
      </c>
      <c r="BS1765" s="866">
        <f>VLOOKUP(BD1765,$BD$4:$BN$12824,7,0)*BE1765</f>
        <v>3813.2364829307044</v>
      </c>
      <c r="BT1765" s="866"/>
      <c r="BU1765" s="866">
        <f>VLOOKUP(BD1765,$BD$4:$BN$12824,9,0)*BE1765</f>
        <v>306.76849563656816</v>
      </c>
      <c r="BV1765" s="867"/>
      <c r="BW1765" s="867">
        <f>VLOOKUP(BD1765,$BD$4:$BN$12824,11,0)*BE1765</f>
        <v>2750.1633322444986</v>
      </c>
      <c r="BX1765" s="1146">
        <f t="shared" si="335"/>
        <v>34423.349148740519</v>
      </c>
      <c r="BY1765" s="867">
        <f t="shared" si="337"/>
        <v>5043787.9329596749</v>
      </c>
      <c r="BZ1765" s="867">
        <f t="shared" si="336"/>
        <v>5043787.9329596749</v>
      </c>
      <c r="CA1765" s="867">
        <f>_xlfn.MAXIFS($BY$4:$BY$12824,$S$4:$S$12824,$S1765)</f>
        <v>5043787.9329596749</v>
      </c>
      <c r="CB1765" s="1032"/>
      <c r="CF1765" s="946">
        <f t="shared" si="339"/>
        <v>4092480</v>
      </c>
    </row>
    <row r="1766" spans="2:84">
      <c r="B1766" s="839" t="s">
        <v>98</v>
      </c>
      <c r="C1766" s="839" t="s">
        <v>5697</v>
      </c>
      <c r="D1766" s="839" t="s">
        <v>5754</v>
      </c>
      <c r="E1766" s="839" t="s">
        <v>5754</v>
      </c>
      <c r="F1766" s="841">
        <v>45805</v>
      </c>
      <c r="G1766" s="839" t="s">
        <v>5697</v>
      </c>
      <c r="H1766" s="883" t="s">
        <v>3457</v>
      </c>
      <c r="I1766" s="883"/>
      <c r="J1766" s="841"/>
      <c r="K1766" s="841"/>
      <c r="L1766" s="843" t="s">
        <v>5257</v>
      </c>
      <c r="M1766" s="844" t="s">
        <v>107</v>
      </c>
      <c r="N1766" s="841"/>
      <c r="O1766" s="884" t="s">
        <v>135</v>
      </c>
      <c r="P1766" s="842" t="s">
        <v>2021</v>
      </c>
      <c r="Q1766" s="843"/>
      <c r="R1766" s="845" t="s">
        <v>6017</v>
      </c>
      <c r="S1766" s="1127" t="s">
        <v>6018</v>
      </c>
      <c r="T1766" s="885" t="s">
        <v>6019</v>
      </c>
      <c r="U1766" s="886">
        <v>3</v>
      </c>
      <c r="V1766" s="842" t="s">
        <v>3</v>
      </c>
      <c r="W1766" s="846">
        <v>100</v>
      </c>
      <c r="X1766" s="847">
        <f t="shared" si="340"/>
        <v>300</v>
      </c>
      <c r="Y1766" s="853" t="s">
        <v>5703</v>
      </c>
      <c r="Z1766" s="849">
        <v>52.2</v>
      </c>
      <c r="AA1766" s="849"/>
      <c r="AB1766" s="849">
        <f t="shared" si="331"/>
        <v>156.60000000000002</v>
      </c>
      <c r="AC1766" s="850">
        <f t="shared" si="332"/>
        <v>156.60000000000002</v>
      </c>
      <c r="AD1766" s="851">
        <f t="shared" si="338"/>
        <v>32000</v>
      </c>
      <c r="AE1766" s="852">
        <v>30081.54</v>
      </c>
      <c r="AF1766" s="865">
        <v>0.3</v>
      </c>
      <c r="AG1766" s="854">
        <f t="shared" si="333"/>
        <v>1423146.652911348</v>
      </c>
      <c r="AH1766" s="853">
        <v>0.08</v>
      </c>
      <c r="AI1766" s="855">
        <f t="shared" si="334"/>
        <v>490713.26535290794</v>
      </c>
      <c r="AJ1766" s="845" t="s">
        <v>5704</v>
      </c>
      <c r="AK1766" s="857">
        <v>45898</v>
      </c>
      <c r="AL1766" s="843" t="s">
        <v>5705</v>
      </c>
      <c r="AM1766" s="843" t="s">
        <v>5641</v>
      </c>
      <c r="AN1766" s="844" t="s">
        <v>5642</v>
      </c>
      <c r="AO1766" s="844" t="s">
        <v>141</v>
      </c>
      <c r="AP1766" s="841"/>
      <c r="AQ1766" s="841">
        <v>45906</v>
      </c>
      <c r="AR1766" s="841">
        <v>45958</v>
      </c>
      <c r="AS1766" s="842" t="s">
        <v>1284</v>
      </c>
      <c r="AT1766" s="842" t="s">
        <v>1235</v>
      </c>
      <c r="AU1766" s="842" t="s">
        <v>4595</v>
      </c>
      <c r="AV1766" s="843" t="s">
        <v>5706</v>
      </c>
      <c r="AW1766" s="861">
        <v>45961</v>
      </c>
      <c r="AX1766" s="862">
        <v>45965</v>
      </c>
      <c r="AY1766" s="843" t="s">
        <v>6020</v>
      </c>
      <c r="AZ1766" s="842" t="s">
        <v>6012</v>
      </c>
      <c r="BA1766" s="842" t="s">
        <v>120</v>
      </c>
      <c r="BB1766" s="863" t="s">
        <v>121</v>
      </c>
      <c r="BC1766" s="864">
        <v>45967</v>
      </c>
      <c r="BD1766" s="860" t="s">
        <v>5708</v>
      </c>
      <c r="BE1766" s="865" cm="1">
        <f t="array" ref="BE1766">IF(BD1766="","",AC1766/SUMPRODUCT(--(BD1766=$BD$4:$BD$12824),$AC$4:$AC$12824))</f>
        <v>6.7077659395751077E-4</v>
      </c>
      <c r="BF1766" s="458"/>
      <c r="BG1766" s="458"/>
      <c r="BH1766" s="458"/>
      <c r="BI1766" s="458"/>
      <c r="BJ1766" s="458"/>
      <c r="BK1766" s="458"/>
      <c r="BL1766" s="458"/>
      <c r="BM1766" s="458"/>
      <c r="BN1766" s="458"/>
      <c r="BO1766" s="866">
        <f>VLOOKUP(BD1766,$BD$4:$BN$12824,3,0)*BE1766</f>
        <v>28383.743208386986</v>
      </c>
      <c r="BP1766" s="866"/>
      <c r="BQ1766" s="866"/>
      <c r="BR1766" s="866">
        <f>VLOOKUP(BD1766,$BD$4:$BN$12824,6,0)*BE1766</f>
        <v>5354.8455727502615</v>
      </c>
      <c r="BS1766" s="866">
        <f>VLOOKUP(BD1766,$BD$4:$BN$12824,7,0)*BE1766</f>
        <v>4669.2691627722925</v>
      </c>
      <c r="BT1766" s="866"/>
      <c r="BU1766" s="866">
        <f>VLOOKUP(BD1766,$BD$4:$BN$12824,9,0)*BE1766</f>
        <v>375.634892616206</v>
      </c>
      <c r="BV1766" s="867"/>
      <c r="BW1766" s="867">
        <f>VLOOKUP(BD1766,$BD$4:$BN$12824,11,0)*BE1766</f>
        <v>3367.5469374422437</v>
      </c>
      <c r="BX1766" s="1146">
        <f t="shared" si="335"/>
        <v>42151.039773967983</v>
      </c>
      <c r="BY1766" s="867">
        <f t="shared" si="337"/>
        <v>2058688.952228439</v>
      </c>
      <c r="BZ1766" s="867">
        <f t="shared" si="336"/>
        <v>6176066.8566853171</v>
      </c>
      <c r="CA1766" s="867">
        <f>_xlfn.MAXIFS($BY$4:$BY$12824,$S$4:$S$12824,$S1766)</f>
        <v>2058688.952228439</v>
      </c>
      <c r="CB1766" s="1032"/>
      <c r="CF1766" s="946">
        <f t="shared" si="339"/>
        <v>5011200.0000000009</v>
      </c>
    </row>
    <row r="1767" spans="2:84">
      <c r="B1767" s="839" t="s">
        <v>98</v>
      </c>
      <c r="C1767" s="839" t="s">
        <v>5697</v>
      </c>
      <c r="D1767" s="839" t="s">
        <v>5754</v>
      </c>
      <c r="E1767" s="839" t="s">
        <v>5754</v>
      </c>
      <c r="F1767" s="841">
        <v>45805</v>
      </c>
      <c r="G1767" s="839" t="s">
        <v>5697</v>
      </c>
      <c r="H1767" s="883" t="s">
        <v>3457</v>
      </c>
      <c r="I1767" s="883"/>
      <c r="J1767" s="841"/>
      <c r="K1767" s="841"/>
      <c r="L1767" s="843" t="s">
        <v>5257</v>
      </c>
      <c r="M1767" s="844" t="s">
        <v>107</v>
      </c>
      <c r="N1767" s="841"/>
      <c r="O1767" s="884" t="s">
        <v>135</v>
      </c>
      <c r="P1767" s="842" t="s">
        <v>2021</v>
      </c>
      <c r="Q1767" s="843"/>
      <c r="R1767" s="845" t="s">
        <v>6021</v>
      </c>
      <c r="S1767" s="1127" t="s">
        <v>6022</v>
      </c>
      <c r="T1767" s="885" t="s">
        <v>6023</v>
      </c>
      <c r="U1767" s="886">
        <v>3</v>
      </c>
      <c r="V1767" s="842" t="s">
        <v>3</v>
      </c>
      <c r="W1767" s="846">
        <v>100</v>
      </c>
      <c r="X1767" s="847">
        <f t="shared" si="340"/>
        <v>300</v>
      </c>
      <c r="Y1767" s="853" t="s">
        <v>5703</v>
      </c>
      <c r="Z1767" s="849">
        <v>52.2</v>
      </c>
      <c r="AA1767" s="849"/>
      <c r="AB1767" s="849">
        <f t="shared" si="331"/>
        <v>156.60000000000002</v>
      </c>
      <c r="AC1767" s="850">
        <f t="shared" si="332"/>
        <v>156.60000000000002</v>
      </c>
      <c r="AD1767" s="851">
        <f t="shared" si="338"/>
        <v>32000</v>
      </c>
      <c r="AE1767" s="852">
        <v>30081.54</v>
      </c>
      <c r="AF1767" s="865">
        <v>0.3</v>
      </c>
      <c r="AG1767" s="854">
        <f t="shared" si="333"/>
        <v>1423146.652911348</v>
      </c>
      <c r="AH1767" s="853">
        <v>0.08</v>
      </c>
      <c r="AI1767" s="855">
        <f t="shared" si="334"/>
        <v>490713.26535290794</v>
      </c>
      <c r="AJ1767" s="845" t="s">
        <v>5704</v>
      </c>
      <c r="AK1767" s="857">
        <v>45898</v>
      </c>
      <c r="AL1767" s="843" t="s">
        <v>5705</v>
      </c>
      <c r="AM1767" s="843" t="s">
        <v>5641</v>
      </c>
      <c r="AN1767" s="844" t="s">
        <v>5642</v>
      </c>
      <c r="AO1767" s="844" t="s">
        <v>141</v>
      </c>
      <c r="AP1767" s="841"/>
      <c r="AQ1767" s="841">
        <v>45906</v>
      </c>
      <c r="AR1767" s="841">
        <v>45958</v>
      </c>
      <c r="AS1767" s="842" t="s">
        <v>1284</v>
      </c>
      <c r="AT1767" s="842" t="s">
        <v>1235</v>
      </c>
      <c r="AU1767" s="842" t="s">
        <v>4595</v>
      </c>
      <c r="AV1767" s="843" t="s">
        <v>5706</v>
      </c>
      <c r="AW1767" s="861">
        <v>45961</v>
      </c>
      <c r="AX1767" s="862">
        <v>45965</v>
      </c>
      <c r="AY1767" s="843" t="s">
        <v>6024</v>
      </c>
      <c r="AZ1767" s="842" t="s">
        <v>6012</v>
      </c>
      <c r="BA1767" s="842" t="s">
        <v>120</v>
      </c>
      <c r="BB1767" s="863" t="s">
        <v>121</v>
      </c>
      <c r="BC1767" s="864">
        <v>45967</v>
      </c>
      <c r="BD1767" s="860" t="s">
        <v>5708</v>
      </c>
      <c r="BE1767" s="865" cm="1">
        <f t="array" ref="BE1767">IF(BD1767="","",AC1767/SUMPRODUCT(--(BD1767=$BD$4:$BD$12824),$AC$4:$AC$12824))</f>
        <v>6.7077659395751077E-4</v>
      </c>
      <c r="BF1767" s="458"/>
      <c r="BG1767" s="458"/>
      <c r="BH1767" s="458"/>
      <c r="BI1767" s="458"/>
      <c r="BJ1767" s="458"/>
      <c r="BK1767" s="458"/>
      <c r="BL1767" s="458"/>
      <c r="BM1767" s="458"/>
      <c r="BN1767" s="458"/>
      <c r="BO1767" s="866">
        <f>VLOOKUP(BD1767,$BD$4:$BN$12824,3,0)*BE1767</f>
        <v>28383.743208386986</v>
      </c>
      <c r="BP1767" s="866"/>
      <c r="BQ1767" s="866"/>
      <c r="BR1767" s="866">
        <f>VLOOKUP(BD1767,$BD$4:$BN$12824,6,0)*BE1767</f>
        <v>5354.8455727502615</v>
      </c>
      <c r="BS1767" s="866">
        <f>VLOOKUP(BD1767,$BD$4:$BN$12824,7,0)*BE1767</f>
        <v>4669.2691627722925</v>
      </c>
      <c r="BT1767" s="866"/>
      <c r="BU1767" s="866">
        <f>VLOOKUP(BD1767,$BD$4:$BN$12824,9,0)*BE1767</f>
        <v>375.634892616206</v>
      </c>
      <c r="BV1767" s="867"/>
      <c r="BW1767" s="867">
        <f>VLOOKUP(BD1767,$BD$4:$BN$12824,11,0)*BE1767</f>
        <v>3367.5469374422437</v>
      </c>
      <c r="BX1767" s="1146">
        <f t="shared" si="335"/>
        <v>42151.039773967983</v>
      </c>
      <c r="BY1767" s="867">
        <f t="shared" si="337"/>
        <v>2058688.952228439</v>
      </c>
      <c r="BZ1767" s="867">
        <f t="shared" si="336"/>
        <v>6176066.8566853171</v>
      </c>
      <c r="CA1767" s="867">
        <f>_xlfn.MAXIFS($BY$4:$BY$12824,$S$4:$S$12824,$S1767)</f>
        <v>2058688.952228439</v>
      </c>
      <c r="CB1767" s="1032"/>
      <c r="CF1767" s="946">
        <f t="shared" si="339"/>
        <v>5011200.0000000009</v>
      </c>
    </row>
    <row r="1768" spans="2:84">
      <c r="B1768" s="839" t="s">
        <v>98</v>
      </c>
      <c r="C1768" s="839" t="s">
        <v>5697</v>
      </c>
      <c r="D1768" s="839" t="s">
        <v>5754</v>
      </c>
      <c r="E1768" s="839" t="s">
        <v>5754</v>
      </c>
      <c r="F1768" s="841">
        <v>45805</v>
      </c>
      <c r="G1768" s="839" t="s">
        <v>5697</v>
      </c>
      <c r="H1768" s="883" t="s">
        <v>3457</v>
      </c>
      <c r="I1768" s="883"/>
      <c r="J1768" s="841"/>
      <c r="K1768" s="841"/>
      <c r="L1768" s="843" t="s">
        <v>5257</v>
      </c>
      <c r="M1768" s="844" t="s">
        <v>107</v>
      </c>
      <c r="N1768" s="841"/>
      <c r="O1768" s="884" t="s">
        <v>135</v>
      </c>
      <c r="P1768" s="842" t="s">
        <v>2021</v>
      </c>
      <c r="Q1768" s="843"/>
      <c r="R1768" s="845" t="s">
        <v>6025</v>
      </c>
      <c r="S1768" s="1127" t="s">
        <v>6026</v>
      </c>
      <c r="T1768" s="885" t="s">
        <v>6027</v>
      </c>
      <c r="U1768" s="886">
        <v>3</v>
      </c>
      <c r="V1768" s="842" t="s">
        <v>3</v>
      </c>
      <c r="W1768" s="846">
        <v>125</v>
      </c>
      <c r="X1768" s="847">
        <f t="shared" si="340"/>
        <v>375</v>
      </c>
      <c r="Y1768" s="853" t="s">
        <v>5703</v>
      </c>
      <c r="Z1768" s="849">
        <v>65.25</v>
      </c>
      <c r="AA1768" s="849"/>
      <c r="AB1768" s="849">
        <f t="shared" si="331"/>
        <v>195.75</v>
      </c>
      <c r="AC1768" s="850">
        <f t="shared" si="332"/>
        <v>195.75</v>
      </c>
      <c r="AD1768" s="851">
        <f t="shared" si="338"/>
        <v>32000</v>
      </c>
      <c r="AE1768" s="852">
        <v>30081.54</v>
      </c>
      <c r="AF1768" s="865">
        <v>0.3</v>
      </c>
      <c r="AG1768" s="854">
        <f t="shared" si="333"/>
        <v>1778933.3161391846</v>
      </c>
      <c r="AH1768" s="853">
        <v>0.08</v>
      </c>
      <c r="AI1768" s="855">
        <f t="shared" si="334"/>
        <v>613391.58169113484</v>
      </c>
      <c r="AJ1768" s="845" t="s">
        <v>5704</v>
      </c>
      <c r="AK1768" s="857">
        <v>45898</v>
      </c>
      <c r="AL1768" s="843" t="s">
        <v>5705</v>
      </c>
      <c r="AM1768" s="843" t="s">
        <v>5641</v>
      </c>
      <c r="AN1768" s="844" t="s">
        <v>5642</v>
      </c>
      <c r="AO1768" s="844" t="s">
        <v>141</v>
      </c>
      <c r="AP1768" s="841"/>
      <c r="AQ1768" s="841">
        <v>45906</v>
      </c>
      <c r="AR1768" s="841">
        <v>45958</v>
      </c>
      <c r="AS1768" s="842" t="s">
        <v>1284</v>
      </c>
      <c r="AT1768" s="842" t="s">
        <v>1235</v>
      </c>
      <c r="AU1768" s="842" t="s">
        <v>4595</v>
      </c>
      <c r="AV1768" s="843" t="s">
        <v>5706</v>
      </c>
      <c r="AW1768" s="861">
        <v>45961</v>
      </c>
      <c r="AX1768" s="862">
        <v>45965</v>
      </c>
      <c r="AY1768" s="843" t="s">
        <v>6028</v>
      </c>
      <c r="AZ1768" s="842" t="s">
        <v>6012</v>
      </c>
      <c r="BA1768" s="842" t="s">
        <v>120</v>
      </c>
      <c r="BB1768" s="863" t="s">
        <v>121</v>
      </c>
      <c r="BC1768" s="864">
        <v>45967</v>
      </c>
      <c r="BD1768" s="860" t="s">
        <v>5708</v>
      </c>
      <c r="BE1768" s="865" cm="1">
        <f t="array" ref="BE1768">IF(BD1768="","",AC1768/SUMPRODUCT(--(BD1768=$BD$4:$BD$12824),$AC$4:$AC$12824))</f>
        <v>8.3847074244688827E-4</v>
      </c>
      <c r="BF1768" s="458"/>
      <c r="BG1768" s="458"/>
      <c r="BH1768" s="458"/>
      <c r="BI1768" s="458"/>
      <c r="BJ1768" s="458"/>
      <c r="BK1768" s="458"/>
      <c r="BL1768" s="458"/>
      <c r="BM1768" s="458"/>
      <c r="BN1768" s="458"/>
      <c r="BO1768" s="866">
        <f>VLOOKUP(BD1768,$BD$4:$BN$12824,3,0)*BE1768</f>
        <v>35479.67901048372</v>
      </c>
      <c r="BP1768" s="866"/>
      <c r="BQ1768" s="866"/>
      <c r="BR1768" s="866">
        <f>VLOOKUP(BD1768,$BD$4:$BN$12824,6,0)*BE1768</f>
        <v>6693.5569659378252</v>
      </c>
      <c r="BS1768" s="866">
        <f>VLOOKUP(BD1768,$BD$4:$BN$12824,7,0)*BE1768</f>
        <v>5836.5864534653638</v>
      </c>
      <c r="BT1768" s="866"/>
      <c r="BU1768" s="866">
        <f>VLOOKUP(BD1768,$BD$4:$BN$12824,9,0)*BE1768</f>
        <v>469.54361577025742</v>
      </c>
      <c r="BV1768" s="867"/>
      <c r="BW1768" s="867">
        <f>VLOOKUP(BD1768,$BD$4:$BN$12824,11,0)*BE1768</f>
        <v>4209.4336718028035</v>
      </c>
      <c r="BX1768" s="1146">
        <f t="shared" si="335"/>
        <v>52688.799717459973</v>
      </c>
      <c r="BY1768" s="867">
        <f t="shared" si="337"/>
        <v>2573361.1902855481</v>
      </c>
      <c r="BZ1768" s="867">
        <f t="shared" si="336"/>
        <v>7720083.5708566438</v>
      </c>
      <c r="CA1768" s="867">
        <f>_xlfn.MAXIFS($BY$4:$BY$12824,$S$4:$S$12824,$S1768)</f>
        <v>2573361.1902855481</v>
      </c>
      <c r="CB1768" s="1032"/>
      <c r="CF1768" s="946">
        <f t="shared" si="339"/>
        <v>6264000</v>
      </c>
    </row>
    <row r="1769" spans="2:84">
      <c r="B1769" s="839" t="s">
        <v>98</v>
      </c>
      <c r="C1769" s="839" t="s">
        <v>5697</v>
      </c>
      <c r="D1769" s="839" t="s">
        <v>5754</v>
      </c>
      <c r="E1769" s="839" t="s">
        <v>5754</v>
      </c>
      <c r="F1769" s="841">
        <v>45805</v>
      </c>
      <c r="G1769" s="839" t="s">
        <v>5697</v>
      </c>
      <c r="H1769" s="883" t="s">
        <v>3457</v>
      </c>
      <c r="I1769" s="883"/>
      <c r="J1769" s="841"/>
      <c r="K1769" s="841"/>
      <c r="L1769" s="843" t="s">
        <v>5257</v>
      </c>
      <c r="M1769" s="844" t="s">
        <v>107</v>
      </c>
      <c r="N1769" s="841"/>
      <c r="O1769" s="884" t="s">
        <v>135</v>
      </c>
      <c r="P1769" s="842" t="s">
        <v>2021</v>
      </c>
      <c r="Q1769" s="843"/>
      <c r="R1769" s="845" t="s">
        <v>6029</v>
      </c>
      <c r="S1769" s="1127" t="s">
        <v>6030</v>
      </c>
      <c r="T1769" s="885" t="s">
        <v>6031</v>
      </c>
      <c r="U1769" s="886">
        <v>2</v>
      </c>
      <c r="V1769" s="842" t="s">
        <v>3</v>
      </c>
      <c r="W1769" s="846">
        <v>505</v>
      </c>
      <c r="X1769" s="847">
        <f t="shared" si="340"/>
        <v>1010</v>
      </c>
      <c r="Y1769" s="853" t="s">
        <v>5703</v>
      </c>
      <c r="Z1769" s="849">
        <v>263.61</v>
      </c>
      <c r="AA1769" s="849"/>
      <c r="AB1769" s="849">
        <f t="shared" si="331"/>
        <v>527.22</v>
      </c>
      <c r="AC1769" s="850">
        <f t="shared" si="332"/>
        <v>527.22</v>
      </c>
      <c r="AD1769" s="851">
        <f t="shared" si="338"/>
        <v>32000</v>
      </c>
      <c r="AE1769" s="852">
        <v>30081.54</v>
      </c>
      <c r="AF1769" s="865">
        <v>0.2</v>
      </c>
      <c r="AG1769" s="854">
        <f t="shared" si="333"/>
        <v>3194173.5987565811</v>
      </c>
      <c r="AH1769" s="853">
        <v>0.1</v>
      </c>
      <c r="AI1769" s="855">
        <f t="shared" si="334"/>
        <v>1905376.3117556584</v>
      </c>
      <c r="AJ1769" s="845" t="s">
        <v>5704</v>
      </c>
      <c r="AK1769" s="857">
        <v>45898</v>
      </c>
      <c r="AL1769" s="843" t="s">
        <v>5705</v>
      </c>
      <c r="AM1769" s="843" t="s">
        <v>5641</v>
      </c>
      <c r="AN1769" s="844" t="s">
        <v>5642</v>
      </c>
      <c r="AO1769" s="844" t="s">
        <v>141</v>
      </c>
      <c r="AP1769" s="841"/>
      <c r="AQ1769" s="841">
        <v>45906</v>
      </c>
      <c r="AR1769" s="841">
        <v>45958</v>
      </c>
      <c r="AS1769" s="842" t="s">
        <v>1284</v>
      </c>
      <c r="AT1769" s="842" t="s">
        <v>1235</v>
      </c>
      <c r="AU1769" s="842" t="s">
        <v>4595</v>
      </c>
      <c r="AV1769" s="843" t="s">
        <v>5706</v>
      </c>
      <c r="AW1769" s="861">
        <v>45961</v>
      </c>
      <c r="AX1769" s="862">
        <v>45965</v>
      </c>
      <c r="AY1769" s="843" t="s">
        <v>6032</v>
      </c>
      <c r="AZ1769" s="842" t="s">
        <v>6033</v>
      </c>
      <c r="BA1769" s="842" t="s">
        <v>120</v>
      </c>
      <c r="BB1769" s="863" t="s">
        <v>121</v>
      </c>
      <c r="BC1769" s="864">
        <v>45967</v>
      </c>
      <c r="BD1769" s="860" t="s">
        <v>5708</v>
      </c>
      <c r="BE1769" s="865" cm="1">
        <f t="array" ref="BE1769">IF(BD1769="","",AC1769/SUMPRODUCT(--(BD1769=$BD$4:$BD$12824),$AC$4:$AC$12824))</f>
        <v>2.2582811996569529E-3</v>
      </c>
      <c r="BF1769" s="458"/>
      <c r="BG1769" s="458"/>
      <c r="BH1769" s="458"/>
      <c r="BI1769" s="458"/>
      <c r="BJ1769" s="458"/>
      <c r="BK1769" s="458"/>
      <c r="BL1769" s="458"/>
      <c r="BM1769" s="458"/>
      <c r="BN1769" s="458"/>
      <c r="BO1769" s="866">
        <f>VLOOKUP(BD1769,$BD$4:$BN$12824,3,0)*BE1769</f>
        <v>95558.602134902845</v>
      </c>
      <c r="BP1769" s="866"/>
      <c r="BQ1769" s="866"/>
      <c r="BR1769" s="866">
        <f>VLOOKUP(BD1769,$BD$4:$BN$12824,6,0)*BE1769</f>
        <v>18027.980094925879</v>
      </c>
      <c r="BS1769" s="866">
        <f>VLOOKUP(BD1769,$BD$4:$BN$12824,7,0)*BE1769</f>
        <v>15719.87284800005</v>
      </c>
      <c r="BT1769" s="866"/>
      <c r="BU1769" s="866">
        <f>VLOOKUP(BD1769,$BD$4:$BN$12824,9,0)*BE1769</f>
        <v>1264.6374718078937</v>
      </c>
      <c r="BV1769" s="867"/>
      <c r="BW1769" s="867">
        <f>VLOOKUP(BD1769,$BD$4:$BN$12824,11,0)*BE1769</f>
        <v>11337.40802272222</v>
      </c>
      <c r="BX1769" s="1146">
        <f t="shared" si="335"/>
        <v>141908.5005723589</v>
      </c>
      <c r="BY1769" s="867">
        <f t="shared" si="337"/>
        <v>9597835.8090644702</v>
      </c>
      <c r="BZ1769" s="867">
        <f t="shared" si="336"/>
        <v>19195671.61812894</v>
      </c>
      <c r="CA1769" s="867">
        <f>_xlfn.MAXIFS($BY$4:$BY$12824,$S$4:$S$12824,$S1769)</f>
        <v>9597835.8090644702</v>
      </c>
      <c r="CB1769" s="1032"/>
      <c r="CF1769" s="946">
        <f t="shared" si="339"/>
        <v>16871040</v>
      </c>
    </row>
    <row r="1770" spans="2:84">
      <c r="B1770" s="839" t="s">
        <v>98</v>
      </c>
      <c r="C1770" s="839" t="s">
        <v>5697</v>
      </c>
      <c r="D1770" s="839" t="s">
        <v>5754</v>
      </c>
      <c r="E1770" s="839" t="s">
        <v>5754</v>
      </c>
      <c r="F1770" s="841">
        <v>45805</v>
      </c>
      <c r="G1770" s="839" t="s">
        <v>5697</v>
      </c>
      <c r="H1770" s="883" t="s">
        <v>3457</v>
      </c>
      <c r="I1770" s="883"/>
      <c r="J1770" s="841"/>
      <c r="K1770" s="841"/>
      <c r="L1770" s="843" t="s">
        <v>5257</v>
      </c>
      <c r="M1770" s="844" t="s">
        <v>107</v>
      </c>
      <c r="N1770" s="841"/>
      <c r="O1770" s="884" t="s">
        <v>135</v>
      </c>
      <c r="P1770" s="842" t="s">
        <v>2021</v>
      </c>
      <c r="Q1770" s="843"/>
      <c r="R1770" s="845" t="s">
        <v>6034</v>
      </c>
      <c r="S1770" s="1127" t="s">
        <v>6035</v>
      </c>
      <c r="T1770" s="885" t="s">
        <v>6036</v>
      </c>
      <c r="U1770" s="886">
        <v>3</v>
      </c>
      <c r="V1770" s="842" t="s">
        <v>3</v>
      </c>
      <c r="W1770" s="846">
        <v>215</v>
      </c>
      <c r="X1770" s="847">
        <f t="shared" si="340"/>
        <v>645</v>
      </c>
      <c r="Y1770" s="853" t="s">
        <v>5703</v>
      </c>
      <c r="Z1770" s="849">
        <v>112.23</v>
      </c>
      <c r="AA1770" s="849"/>
      <c r="AB1770" s="849">
        <f t="shared" si="331"/>
        <v>336.69</v>
      </c>
      <c r="AC1770" s="850">
        <f t="shared" si="332"/>
        <v>336.69</v>
      </c>
      <c r="AD1770" s="851">
        <f t="shared" si="338"/>
        <v>32000</v>
      </c>
      <c r="AE1770" s="852">
        <v>30081.54</v>
      </c>
      <c r="AF1770" s="865">
        <v>0.12</v>
      </c>
      <c r="AG1770" s="854">
        <f t="shared" si="333"/>
        <v>1223906.1215037592</v>
      </c>
      <c r="AH1770" s="853">
        <v>0.08</v>
      </c>
      <c r="AI1770" s="855">
        <f t="shared" si="334"/>
        <v>908164.78592830081</v>
      </c>
      <c r="AJ1770" s="845" t="s">
        <v>5704</v>
      </c>
      <c r="AK1770" s="857">
        <v>45898</v>
      </c>
      <c r="AL1770" s="843" t="s">
        <v>5705</v>
      </c>
      <c r="AM1770" s="843" t="s">
        <v>5641</v>
      </c>
      <c r="AN1770" s="844" t="s">
        <v>5642</v>
      </c>
      <c r="AO1770" s="844" t="s">
        <v>141</v>
      </c>
      <c r="AP1770" s="841"/>
      <c r="AQ1770" s="841">
        <v>45906</v>
      </c>
      <c r="AR1770" s="841">
        <v>45958</v>
      </c>
      <c r="AS1770" s="842" t="s">
        <v>1284</v>
      </c>
      <c r="AT1770" s="842" t="s">
        <v>1235</v>
      </c>
      <c r="AU1770" s="842" t="s">
        <v>4595</v>
      </c>
      <c r="AV1770" s="843" t="s">
        <v>5706</v>
      </c>
      <c r="AW1770" s="861">
        <v>45961</v>
      </c>
      <c r="AX1770" s="862">
        <v>45965</v>
      </c>
      <c r="AY1770" s="843" t="s">
        <v>6037</v>
      </c>
      <c r="AZ1770" s="842" t="s">
        <v>6038</v>
      </c>
      <c r="BA1770" s="842" t="s">
        <v>120</v>
      </c>
      <c r="BB1770" s="863" t="s">
        <v>121</v>
      </c>
      <c r="BC1770" s="864">
        <v>45967</v>
      </c>
      <c r="BD1770" s="860" t="s">
        <v>5708</v>
      </c>
      <c r="BE1770" s="865" cm="1">
        <f t="array" ref="BE1770">IF(BD1770="","",AC1770/SUMPRODUCT(--(BD1770=$BD$4:$BD$12824),$AC$4:$AC$12824))</f>
        <v>1.442169677008648E-3</v>
      </c>
      <c r="BF1770" s="458"/>
      <c r="BG1770" s="458"/>
      <c r="BH1770" s="458"/>
      <c r="BI1770" s="458"/>
      <c r="BJ1770" s="458"/>
      <c r="BK1770" s="458"/>
      <c r="BL1770" s="458"/>
      <c r="BM1770" s="458"/>
      <c r="BN1770" s="458"/>
      <c r="BO1770" s="866">
        <f>VLOOKUP(BD1770,$BD$4:$BN$12824,3,0)*BE1770</f>
        <v>61025.047898032011</v>
      </c>
      <c r="BP1770" s="866"/>
      <c r="BQ1770" s="866"/>
      <c r="BR1770" s="866">
        <f>VLOOKUP(BD1770,$BD$4:$BN$12824,6,0)*BE1770</f>
        <v>11512.91798141306</v>
      </c>
      <c r="BS1770" s="866">
        <f>VLOOKUP(BD1770,$BD$4:$BN$12824,7,0)*BE1770</f>
        <v>10038.928699960428</v>
      </c>
      <c r="BT1770" s="866"/>
      <c r="BU1770" s="866">
        <f>VLOOKUP(BD1770,$BD$4:$BN$12824,9,0)*BE1770</f>
        <v>807.61501912484289</v>
      </c>
      <c r="BV1770" s="867"/>
      <c r="BW1770" s="867">
        <f>VLOOKUP(BD1770,$BD$4:$BN$12824,11,0)*BE1770</f>
        <v>7240.2259155008232</v>
      </c>
      <c r="BX1770" s="1146">
        <f t="shared" si="335"/>
        <v>90624.735514031156</v>
      </c>
      <c r="BY1770" s="867">
        <f t="shared" si="337"/>
        <v>3814228.1865392639</v>
      </c>
      <c r="BZ1770" s="867">
        <f t="shared" si="336"/>
        <v>11442684.559617791</v>
      </c>
      <c r="CA1770" s="867">
        <f>_xlfn.MAXIFS($BY$4:$BY$12824,$S$4:$S$12824,$S1770)</f>
        <v>3814228.1865392639</v>
      </c>
      <c r="CB1770" s="1032"/>
      <c r="CF1770" s="946">
        <f t="shared" si="339"/>
        <v>10774080</v>
      </c>
    </row>
    <row r="1771" spans="2:84">
      <c r="B1771" s="839" t="s">
        <v>98</v>
      </c>
      <c r="C1771" s="839" t="s">
        <v>5697</v>
      </c>
      <c r="D1771" s="839" t="s">
        <v>5754</v>
      </c>
      <c r="E1771" s="839" t="s">
        <v>5754</v>
      </c>
      <c r="F1771" s="841">
        <v>45805</v>
      </c>
      <c r="G1771" s="839" t="s">
        <v>5697</v>
      </c>
      <c r="H1771" s="883" t="s">
        <v>3457</v>
      </c>
      <c r="I1771" s="883"/>
      <c r="J1771" s="841"/>
      <c r="K1771" s="841"/>
      <c r="L1771" s="843" t="s">
        <v>5257</v>
      </c>
      <c r="M1771" s="844" t="s">
        <v>107</v>
      </c>
      <c r="N1771" s="841"/>
      <c r="O1771" s="884" t="s">
        <v>135</v>
      </c>
      <c r="P1771" s="842" t="s">
        <v>2021</v>
      </c>
      <c r="Q1771" s="843"/>
      <c r="R1771" s="845" t="s">
        <v>6039</v>
      </c>
      <c r="S1771" s="1127" t="s">
        <v>6040</v>
      </c>
      <c r="T1771" s="885" t="s">
        <v>6041</v>
      </c>
      <c r="U1771" s="886">
        <v>1</v>
      </c>
      <c r="V1771" s="842" t="s">
        <v>3</v>
      </c>
      <c r="W1771" s="846">
        <v>3100</v>
      </c>
      <c r="X1771" s="847">
        <f t="shared" si="340"/>
        <v>3100</v>
      </c>
      <c r="Y1771" s="853" t="s">
        <v>5703</v>
      </c>
      <c r="Z1771" s="849">
        <v>1618.2</v>
      </c>
      <c r="AA1771" s="849"/>
      <c r="AB1771" s="849">
        <f t="shared" si="331"/>
        <v>1618.2</v>
      </c>
      <c r="AC1771" s="850">
        <f t="shared" si="332"/>
        <v>1618.2</v>
      </c>
      <c r="AD1771" s="851">
        <f t="shared" si="338"/>
        <v>32000</v>
      </c>
      <c r="AE1771" s="852">
        <v>30081.54</v>
      </c>
      <c r="AF1771" s="865">
        <v>0</v>
      </c>
      <c r="AG1771" s="854">
        <f t="shared" si="333"/>
        <v>0</v>
      </c>
      <c r="AH1771" s="853">
        <v>0.08</v>
      </c>
      <c r="AI1771" s="855">
        <f t="shared" si="334"/>
        <v>3894235.8422400006</v>
      </c>
      <c r="AJ1771" s="845" t="s">
        <v>5704</v>
      </c>
      <c r="AK1771" s="857">
        <v>45898</v>
      </c>
      <c r="AL1771" s="843" t="s">
        <v>5705</v>
      </c>
      <c r="AM1771" s="843" t="s">
        <v>5641</v>
      </c>
      <c r="AN1771" s="844" t="s">
        <v>5642</v>
      </c>
      <c r="AO1771" s="844" t="s">
        <v>141</v>
      </c>
      <c r="AP1771" s="841"/>
      <c r="AQ1771" s="841">
        <v>45906</v>
      </c>
      <c r="AR1771" s="841">
        <v>45958</v>
      </c>
      <c r="AS1771" s="842" t="s">
        <v>1284</v>
      </c>
      <c r="AT1771" s="842" t="s">
        <v>1235</v>
      </c>
      <c r="AU1771" s="842" t="s">
        <v>4595</v>
      </c>
      <c r="AV1771" s="843" t="s">
        <v>5706</v>
      </c>
      <c r="AW1771" s="861">
        <v>45961</v>
      </c>
      <c r="AX1771" s="862">
        <v>45965</v>
      </c>
      <c r="AY1771" s="843" t="s">
        <v>6042</v>
      </c>
      <c r="AZ1771" s="842" t="s">
        <v>5962</v>
      </c>
      <c r="BA1771" s="842" t="s">
        <v>120</v>
      </c>
      <c r="BB1771" s="863" t="s">
        <v>121</v>
      </c>
      <c r="BC1771" s="864">
        <v>45967</v>
      </c>
      <c r="BD1771" s="860" t="s">
        <v>5708</v>
      </c>
      <c r="BE1771" s="865" cm="1">
        <f t="array" ref="BE1771">IF(BD1771="","",AC1771/SUMPRODUCT(--(BD1771=$BD$4:$BD$12824),$AC$4:$AC$12824))</f>
        <v>6.9313581375609438E-3</v>
      </c>
      <c r="BF1771" s="458"/>
      <c r="BG1771" s="458"/>
      <c r="BH1771" s="458"/>
      <c r="BI1771" s="458"/>
      <c r="BJ1771" s="458"/>
      <c r="BK1771" s="458"/>
      <c r="BL1771" s="458"/>
      <c r="BM1771" s="458"/>
      <c r="BN1771" s="458"/>
      <c r="BO1771" s="866">
        <f>VLOOKUP(BD1771,$BD$4:$BN$12824,3,0)*BE1771</f>
        <v>293298.6798199988</v>
      </c>
      <c r="BP1771" s="866"/>
      <c r="BQ1771" s="866"/>
      <c r="BR1771" s="866">
        <f>VLOOKUP(BD1771,$BD$4:$BN$12824,6,0)*BE1771</f>
        <v>55333.404251752698</v>
      </c>
      <c r="BS1771" s="866">
        <f>VLOOKUP(BD1771,$BD$4:$BN$12824,7,0)*BE1771</f>
        <v>48249.114681980347</v>
      </c>
      <c r="BT1771" s="866"/>
      <c r="BU1771" s="866">
        <f>VLOOKUP(BD1771,$BD$4:$BN$12824,9,0)*BE1771</f>
        <v>3881.5605570341286</v>
      </c>
      <c r="BV1771" s="867"/>
      <c r="BW1771" s="867">
        <f>VLOOKUP(BD1771,$BD$4:$BN$12824,11,0)*BE1771</f>
        <v>34797.98502023652</v>
      </c>
      <c r="BX1771" s="1146">
        <f t="shared" si="335"/>
        <v>435560.74433100253</v>
      </c>
      <c r="BY1771" s="867">
        <f t="shared" si="337"/>
        <v>49113508.772331007</v>
      </c>
      <c r="BZ1771" s="867">
        <f t="shared" si="336"/>
        <v>49113508.772331007</v>
      </c>
      <c r="CA1771" s="867">
        <f>_xlfn.MAXIFS($BY$4:$BY$12824,$S$4:$S$12824,$S1771)</f>
        <v>49113508.772331007</v>
      </c>
      <c r="CB1771" s="1032"/>
      <c r="CF1771" s="946">
        <f t="shared" si="339"/>
        <v>51782400</v>
      </c>
    </row>
    <row r="1772" spans="2:84">
      <c r="B1772" s="839" t="s">
        <v>98</v>
      </c>
      <c r="C1772" s="839" t="s">
        <v>5697</v>
      </c>
      <c r="D1772" s="839" t="s">
        <v>5754</v>
      </c>
      <c r="E1772" s="839" t="s">
        <v>5754</v>
      </c>
      <c r="F1772" s="841">
        <v>45805</v>
      </c>
      <c r="G1772" s="839" t="s">
        <v>5697</v>
      </c>
      <c r="H1772" s="883" t="s">
        <v>3457</v>
      </c>
      <c r="I1772" s="883"/>
      <c r="J1772" s="841"/>
      <c r="K1772" s="841"/>
      <c r="L1772" s="843" t="s">
        <v>5257</v>
      </c>
      <c r="M1772" s="844" t="s">
        <v>107</v>
      </c>
      <c r="N1772" s="841"/>
      <c r="O1772" s="884" t="s">
        <v>135</v>
      </c>
      <c r="P1772" s="842" t="s">
        <v>2021</v>
      </c>
      <c r="Q1772" s="843"/>
      <c r="R1772" s="845" t="s">
        <v>6043</v>
      </c>
      <c r="S1772" s="1127" t="s">
        <v>6044</v>
      </c>
      <c r="T1772" s="885" t="s">
        <v>6045</v>
      </c>
      <c r="U1772" s="886">
        <v>1</v>
      </c>
      <c r="V1772" s="842" t="s">
        <v>3</v>
      </c>
      <c r="W1772" s="846">
        <v>150</v>
      </c>
      <c r="X1772" s="847">
        <f t="shared" si="340"/>
        <v>150</v>
      </c>
      <c r="Y1772" s="853" t="s">
        <v>5703</v>
      </c>
      <c r="Z1772" s="849">
        <v>78.3</v>
      </c>
      <c r="AA1772" s="849"/>
      <c r="AB1772" s="849">
        <f t="shared" si="331"/>
        <v>78.3</v>
      </c>
      <c r="AC1772" s="850">
        <f t="shared" si="332"/>
        <v>78.3</v>
      </c>
      <c r="AD1772" s="851">
        <f t="shared" si="338"/>
        <v>32000</v>
      </c>
      <c r="AE1772" s="852">
        <v>30081.54</v>
      </c>
      <c r="AF1772" s="865">
        <v>0.2</v>
      </c>
      <c r="AG1772" s="854">
        <f t="shared" si="333"/>
        <v>474382.21763711591</v>
      </c>
      <c r="AH1772" s="853">
        <v>0.1</v>
      </c>
      <c r="AI1772" s="855">
        <f t="shared" si="334"/>
        <v>282976.67996371159</v>
      </c>
      <c r="AJ1772" s="845" t="s">
        <v>5704</v>
      </c>
      <c r="AK1772" s="857">
        <v>45898</v>
      </c>
      <c r="AL1772" s="843" t="s">
        <v>5705</v>
      </c>
      <c r="AM1772" s="843" t="s">
        <v>5641</v>
      </c>
      <c r="AN1772" s="844" t="s">
        <v>5642</v>
      </c>
      <c r="AO1772" s="844" t="s">
        <v>141</v>
      </c>
      <c r="AP1772" s="841"/>
      <c r="AQ1772" s="841">
        <v>45906</v>
      </c>
      <c r="AR1772" s="841">
        <v>45958</v>
      </c>
      <c r="AS1772" s="842" t="s">
        <v>1284</v>
      </c>
      <c r="AT1772" s="842" t="s">
        <v>1235</v>
      </c>
      <c r="AU1772" s="842" t="s">
        <v>4595</v>
      </c>
      <c r="AV1772" s="843" t="s">
        <v>5706</v>
      </c>
      <c r="AW1772" s="861">
        <v>45961</v>
      </c>
      <c r="AX1772" s="862">
        <v>45965</v>
      </c>
      <c r="AY1772" s="843" t="s">
        <v>6046</v>
      </c>
      <c r="AZ1772" s="842" t="s">
        <v>6047</v>
      </c>
      <c r="BA1772" s="842" t="s">
        <v>120</v>
      </c>
      <c r="BB1772" s="863" t="s">
        <v>121</v>
      </c>
      <c r="BC1772" s="864">
        <v>45967</v>
      </c>
      <c r="BD1772" s="860" t="s">
        <v>5708</v>
      </c>
      <c r="BE1772" s="865" cm="1">
        <f t="array" ref="BE1772">IF(BD1772="","",AC1772/SUMPRODUCT(--(BD1772=$BD$4:$BD$12824),$AC$4:$AC$12824))</f>
        <v>3.3538829697875533E-4</v>
      </c>
      <c r="BF1772" s="458"/>
      <c r="BG1772" s="458"/>
      <c r="BH1772" s="458"/>
      <c r="BI1772" s="458"/>
      <c r="BJ1772" s="458"/>
      <c r="BK1772" s="458"/>
      <c r="BL1772" s="458"/>
      <c r="BM1772" s="458"/>
      <c r="BN1772" s="458"/>
      <c r="BO1772" s="866">
        <f>VLOOKUP(BD1772,$BD$4:$BN$12824,3,0)*BE1772</f>
        <v>14191.871604193489</v>
      </c>
      <c r="BP1772" s="866"/>
      <c r="BQ1772" s="866"/>
      <c r="BR1772" s="866">
        <f>VLOOKUP(BD1772,$BD$4:$BN$12824,6,0)*BE1772</f>
        <v>2677.4227863751303</v>
      </c>
      <c r="BS1772" s="866">
        <f>VLOOKUP(BD1772,$BD$4:$BN$12824,7,0)*BE1772</f>
        <v>2334.6345813861458</v>
      </c>
      <c r="BT1772" s="866"/>
      <c r="BU1772" s="866">
        <f>VLOOKUP(BD1772,$BD$4:$BN$12824,9,0)*BE1772</f>
        <v>187.81744630810297</v>
      </c>
      <c r="BV1772" s="867"/>
      <c r="BW1772" s="867">
        <f>VLOOKUP(BD1772,$BD$4:$BN$12824,11,0)*BE1772</f>
        <v>1683.7734687211216</v>
      </c>
      <c r="BX1772" s="1146">
        <f t="shared" si="335"/>
        <v>21075.519886983988</v>
      </c>
      <c r="BY1772" s="867">
        <f t="shared" si="337"/>
        <v>2850842.3195241001</v>
      </c>
      <c r="BZ1772" s="867">
        <f t="shared" si="336"/>
        <v>2850842.3195241001</v>
      </c>
      <c r="CA1772" s="867">
        <f>_xlfn.MAXIFS($BY$4:$BY$12824,$S$4:$S$12824,$S1772)</f>
        <v>2850842.3195241001</v>
      </c>
      <c r="CB1772" s="1032"/>
      <c r="CF1772" s="946">
        <f t="shared" si="339"/>
        <v>2505600</v>
      </c>
    </row>
    <row r="1773" spans="2:84">
      <c r="B1773" s="839" t="s">
        <v>98</v>
      </c>
      <c r="C1773" s="839" t="s">
        <v>5697</v>
      </c>
      <c r="D1773" s="839" t="s">
        <v>5754</v>
      </c>
      <c r="E1773" s="839" t="s">
        <v>5754</v>
      </c>
      <c r="F1773" s="841">
        <v>45805</v>
      </c>
      <c r="G1773" s="839" t="s">
        <v>5697</v>
      </c>
      <c r="H1773" s="883" t="s">
        <v>3457</v>
      </c>
      <c r="I1773" s="883"/>
      <c r="J1773" s="841"/>
      <c r="K1773" s="841"/>
      <c r="L1773" s="843" t="s">
        <v>5257</v>
      </c>
      <c r="M1773" s="844" t="s">
        <v>107</v>
      </c>
      <c r="N1773" s="841"/>
      <c r="O1773" s="884" t="s">
        <v>135</v>
      </c>
      <c r="P1773" s="842" t="s">
        <v>2021</v>
      </c>
      <c r="Q1773" s="843"/>
      <c r="R1773" s="845" t="s">
        <v>6048</v>
      </c>
      <c r="S1773" s="1127" t="s">
        <v>6049</v>
      </c>
      <c r="T1773" s="885" t="s">
        <v>6050</v>
      </c>
      <c r="U1773" s="886">
        <v>1</v>
      </c>
      <c r="V1773" s="842" t="s">
        <v>3</v>
      </c>
      <c r="W1773" s="846">
        <v>215</v>
      </c>
      <c r="X1773" s="847">
        <f t="shared" si="340"/>
        <v>215</v>
      </c>
      <c r="Y1773" s="853" t="s">
        <v>5703</v>
      </c>
      <c r="Z1773" s="849">
        <v>112.23</v>
      </c>
      <c r="AA1773" s="849"/>
      <c r="AB1773" s="849">
        <f t="shared" si="331"/>
        <v>112.23</v>
      </c>
      <c r="AC1773" s="850">
        <f t="shared" si="332"/>
        <v>112.23</v>
      </c>
      <c r="AD1773" s="851">
        <f t="shared" si="338"/>
        <v>32000</v>
      </c>
      <c r="AE1773" s="852">
        <v>30081.54</v>
      </c>
      <c r="AF1773" s="865">
        <v>0.3</v>
      </c>
      <c r="AG1773" s="854">
        <f t="shared" si="333"/>
        <v>1019921.7679197992</v>
      </c>
      <c r="AH1773" s="853">
        <v>0.1</v>
      </c>
      <c r="AI1773" s="855">
        <f t="shared" si="334"/>
        <v>439597.30021197995</v>
      </c>
      <c r="AJ1773" s="845" t="s">
        <v>5704</v>
      </c>
      <c r="AK1773" s="857">
        <v>45898</v>
      </c>
      <c r="AL1773" s="843" t="s">
        <v>5705</v>
      </c>
      <c r="AM1773" s="843" t="s">
        <v>5641</v>
      </c>
      <c r="AN1773" s="844" t="s">
        <v>5642</v>
      </c>
      <c r="AO1773" s="844" t="s">
        <v>141</v>
      </c>
      <c r="AP1773" s="841"/>
      <c r="AQ1773" s="841">
        <v>45906</v>
      </c>
      <c r="AR1773" s="841">
        <v>45958</v>
      </c>
      <c r="AS1773" s="842" t="s">
        <v>1284</v>
      </c>
      <c r="AT1773" s="842" t="s">
        <v>1235</v>
      </c>
      <c r="AU1773" s="842" t="s">
        <v>4595</v>
      </c>
      <c r="AV1773" s="843" t="s">
        <v>5706</v>
      </c>
      <c r="AW1773" s="861">
        <v>45961</v>
      </c>
      <c r="AX1773" s="862">
        <v>45965</v>
      </c>
      <c r="AY1773" s="843" t="s">
        <v>6051</v>
      </c>
      <c r="AZ1773" s="842" t="s">
        <v>6052</v>
      </c>
      <c r="BA1773" s="842" t="s">
        <v>120</v>
      </c>
      <c r="BB1773" s="863" t="s">
        <v>121</v>
      </c>
      <c r="BC1773" s="864">
        <v>45967</v>
      </c>
      <c r="BD1773" s="860" t="s">
        <v>5708</v>
      </c>
      <c r="BE1773" s="865" cm="1">
        <f t="array" ref="BE1773">IF(BD1773="","",AC1773/SUMPRODUCT(--(BD1773=$BD$4:$BD$12824),$AC$4:$AC$12824))</f>
        <v>4.807232256695493E-4</v>
      </c>
      <c r="BF1773" s="458"/>
      <c r="BG1773" s="458"/>
      <c r="BH1773" s="458"/>
      <c r="BI1773" s="458"/>
      <c r="BJ1773" s="458"/>
      <c r="BK1773" s="458"/>
      <c r="BL1773" s="458"/>
      <c r="BM1773" s="458"/>
      <c r="BN1773" s="458"/>
      <c r="BO1773" s="866">
        <f>VLOOKUP(BD1773,$BD$4:$BN$12824,3,0)*BE1773</f>
        <v>20341.682632677337</v>
      </c>
      <c r="BP1773" s="866"/>
      <c r="BQ1773" s="866"/>
      <c r="BR1773" s="866">
        <f>VLOOKUP(BD1773,$BD$4:$BN$12824,6,0)*BE1773</f>
        <v>3837.6393271376869</v>
      </c>
      <c r="BS1773" s="866">
        <f>VLOOKUP(BD1773,$BD$4:$BN$12824,7,0)*BE1773</f>
        <v>3346.3095666534755</v>
      </c>
      <c r="BT1773" s="866"/>
      <c r="BU1773" s="866">
        <f>VLOOKUP(BD1773,$BD$4:$BN$12824,9,0)*BE1773</f>
        <v>269.20500637494763</v>
      </c>
      <c r="BV1773" s="867"/>
      <c r="BW1773" s="867">
        <f>VLOOKUP(BD1773,$BD$4:$BN$12824,11,0)*BE1773</f>
        <v>2413.4086385002743</v>
      </c>
      <c r="BX1773" s="1146">
        <f t="shared" si="335"/>
        <v>30208.245171343722</v>
      </c>
      <c r="BY1773" s="867">
        <f t="shared" si="337"/>
        <v>4426181.2472911431</v>
      </c>
      <c r="BZ1773" s="867">
        <f t="shared" si="336"/>
        <v>4426181.2472911431</v>
      </c>
      <c r="CA1773" s="867">
        <f>_xlfn.MAXIFS($BY$4:$BY$12824,$S$4:$S$12824,$S1773)</f>
        <v>4426181.2472911431</v>
      </c>
      <c r="CB1773" s="1032"/>
      <c r="CF1773" s="946">
        <f t="shared" si="339"/>
        <v>3591360</v>
      </c>
    </row>
    <row r="1774" spans="2:84">
      <c r="B1774" s="839" t="s">
        <v>98</v>
      </c>
      <c r="C1774" s="839" t="s">
        <v>5697</v>
      </c>
      <c r="D1774" s="839" t="s">
        <v>5754</v>
      </c>
      <c r="E1774" s="839" t="s">
        <v>5754</v>
      </c>
      <c r="F1774" s="841">
        <v>45805</v>
      </c>
      <c r="G1774" s="839" t="s">
        <v>5697</v>
      </c>
      <c r="H1774" s="883" t="s">
        <v>3457</v>
      </c>
      <c r="I1774" s="883"/>
      <c r="J1774" s="841"/>
      <c r="K1774" s="841"/>
      <c r="L1774" s="843" t="s">
        <v>5257</v>
      </c>
      <c r="M1774" s="844" t="s">
        <v>107</v>
      </c>
      <c r="N1774" s="841"/>
      <c r="O1774" s="884" t="s">
        <v>135</v>
      </c>
      <c r="P1774" s="842" t="s">
        <v>2021</v>
      </c>
      <c r="Q1774" s="843"/>
      <c r="R1774" s="845" t="s">
        <v>6053</v>
      </c>
      <c r="S1774" s="1127" t="s">
        <v>6054</v>
      </c>
      <c r="T1774" s="885" t="s">
        <v>6055</v>
      </c>
      <c r="U1774" s="886">
        <v>1</v>
      </c>
      <c r="V1774" s="842" t="s">
        <v>3</v>
      </c>
      <c r="W1774" s="846">
        <v>215</v>
      </c>
      <c r="X1774" s="847">
        <f t="shared" si="340"/>
        <v>215</v>
      </c>
      <c r="Y1774" s="853" t="s">
        <v>5703</v>
      </c>
      <c r="Z1774" s="849">
        <v>112.23</v>
      </c>
      <c r="AA1774" s="849"/>
      <c r="AB1774" s="849">
        <f t="shared" si="331"/>
        <v>112.23</v>
      </c>
      <c r="AC1774" s="850">
        <f t="shared" si="332"/>
        <v>112.23</v>
      </c>
      <c r="AD1774" s="851">
        <f t="shared" si="338"/>
        <v>32000</v>
      </c>
      <c r="AE1774" s="852">
        <v>30081.54</v>
      </c>
      <c r="AF1774" s="865">
        <v>0.3</v>
      </c>
      <c r="AG1774" s="854">
        <f t="shared" si="333"/>
        <v>1019921.7679197992</v>
      </c>
      <c r="AH1774" s="853">
        <v>0.1</v>
      </c>
      <c r="AI1774" s="855">
        <f t="shared" si="334"/>
        <v>439597.30021197995</v>
      </c>
      <c r="AJ1774" s="845" t="s">
        <v>5704</v>
      </c>
      <c r="AK1774" s="857">
        <v>45898</v>
      </c>
      <c r="AL1774" s="843" t="s">
        <v>5705</v>
      </c>
      <c r="AM1774" s="843" t="s">
        <v>5641</v>
      </c>
      <c r="AN1774" s="844" t="s">
        <v>5642</v>
      </c>
      <c r="AO1774" s="844" t="s">
        <v>141</v>
      </c>
      <c r="AP1774" s="841"/>
      <c r="AQ1774" s="841">
        <v>45906</v>
      </c>
      <c r="AR1774" s="841">
        <v>45958</v>
      </c>
      <c r="AS1774" s="842" t="s">
        <v>1284</v>
      </c>
      <c r="AT1774" s="842" t="s">
        <v>1235</v>
      </c>
      <c r="AU1774" s="842" t="s">
        <v>4595</v>
      </c>
      <c r="AV1774" s="843" t="s">
        <v>5706</v>
      </c>
      <c r="AW1774" s="861">
        <v>45961</v>
      </c>
      <c r="AX1774" s="862">
        <v>45965</v>
      </c>
      <c r="AY1774" s="843" t="s">
        <v>6056</v>
      </c>
      <c r="AZ1774" s="842" t="s">
        <v>6052</v>
      </c>
      <c r="BA1774" s="842" t="s">
        <v>120</v>
      </c>
      <c r="BB1774" s="863" t="s">
        <v>121</v>
      </c>
      <c r="BC1774" s="864">
        <v>45967</v>
      </c>
      <c r="BD1774" s="860" t="s">
        <v>5708</v>
      </c>
      <c r="BE1774" s="865" cm="1">
        <f t="array" ref="BE1774">IF(BD1774="","",AC1774/SUMPRODUCT(--(BD1774=$BD$4:$BD$12824),$AC$4:$AC$12824))</f>
        <v>4.807232256695493E-4</v>
      </c>
      <c r="BF1774" s="458"/>
      <c r="BG1774" s="458"/>
      <c r="BH1774" s="458"/>
      <c r="BI1774" s="458"/>
      <c r="BJ1774" s="458"/>
      <c r="BK1774" s="458"/>
      <c r="BL1774" s="458"/>
      <c r="BM1774" s="458"/>
      <c r="BN1774" s="458"/>
      <c r="BO1774" s="866">
        <f>VLOOKUP(BD1774,$BD$4:$BN$12824,3,0)*BE1774</f>
        <v>20341.682632677337</v>
      </c>
      <c r="BP1774" s="866"/>
      <c r="BQ1774" s="866"/>
      <c r="BR1774" s="866">
        <f>VLOOKUP(BD1774,$BD$4:$BN$12824,6,0)*BE1774</f>
        <v>3837.6393271376869</v>
      </c>
      <c r="BS1774" s="866">
        <f>VLOOKUP(BD1774,$BD$4:$BN$12824,7,0)*BE1774</f>
        <v>3346.3095666534755</v>
      </c>
      <c r="BT1774" s="866"/>
      <c r="BU1774" s="866">
        <f>VLOOKUP(BD1774,$BD$4:$BN$12824,9,0)*BE1774</f>
        <v>269.20500637494763</v>
      </c>
      <c r="BV1774" s="867"/>
      <c r="BW1774" s="867">
        <f>VLOOKUP(BD1774,$BD$4:$BN$12824,11,0)*BE1774</f>
        <v>2413.4086385002743</v>
      </c>
      <c r="BX1774" s="1146">
        <f t="shared" si="335"/>
        <v>30208.245171343722</v>
      </c>
      <c r="BY1774" s="867">
        <f t="shared" si="337"/>
        <v>4426181.2472911431</v>
      </c>
      <c r="BZ1774" s="867">
        <f t="shared" si="336"/>
        <v>4426181.2472911431</v>
      </c>
      <c r="CA1774" s="867">
        <f>_xlfn.MAXIFS($BY$4:$BY$12824,$S$4:$S$12824,$S1774)</f>
        <v>4426181.2472911431</v>
      </c>
      <c r="CB1774" s="1032"/>
      <c r="CF1774" s="946">
        <f t="shared" si="339"/>
        <v>3591360</v>
      </c>
    </row>
    <row r="1775" spans="2:84">
      <c r="B1775" s="839" t="s">
        <v>98</v>
      </c>
      <c r="C1775" s="839" t="s">
        <v>5697</v>
      </c>
      <c r="D1775" s="839" t="s">
        <v>5754</v>
      </c>
      <c r="E1775" s="839" t="s">
        <v>5754</v>
      </c>
      <c r="F1775" s="841">
        <v>45805</v>
      </c>
      <c r="G1775" s="839" t="s">
        <v>5697</v>
      </c>
      <c r="H1775" s="883" t="s">
        <v>3457</v>
      </c>
      <c r="I1775" s="883"/>
      <c r="J1775" s="841"/>
      <c r="K1775" s="841"/>
      <c r="L1775" s="843" t="s">
        <v>5257</v>
      </c>
      <c r="M1775" s="844" t="s">
        <v>107</v>
      </c>
      <c r="N1775" s="841"/>
      <c r="O1775" s="884" t="s">
        <v>135</v>
      </c>
      <c r="P1775" s="842" t="s">
        <v>220</v>
      </c>
      <c r="Q1775" s="843"/>
      <c r="R1775" s="845" t="s">
        <v>6057</v>
      </c>
      <c r="S1775" s="1127" t="s">
        <v>6058</v>
      </c>
      <c r="T1775" s="885" t="s">
        <v>6059</v>
      </c>
      <c r="U1775" s="886">
        <v>8</v>
      </c>
      <c r="V1775" s="842" t="s">
        <v>3</v>
      </c>
      <c r="W1775" s="846">
        <v>75</v>
      </c>
      <c r="X1775" s="847">
        <f t="shared" si="340"/>
        <v>600</v>
      </c>
      <c r="Y1775" s="853" t="s">
        <v>6060</v>
      </c>
      <c r="Z1775" s="849">
        <v>36.979999999999997</v>
      </c>
      <c r="AA1775" s="849"/>
      <c r="AB1775" s="849">
        <f t="shared" si="331"/>
        <v>295.83999999999997</v>
      </c>
      <c r="AC1775" s="850">
        <f t="shared" si="332"/>
        <v>295.83999999999997</v>
      </c>
      <c r="AD1775" s="851">
        <f t="shared" ref="AD1775:AD1806" si="341">IF(V1775=$AD$2,$AE$2,$AE$3)</f>
        <v>32000</v>
      </c>
      <c r="AE1775" s="852">
        <v>30081.54</v>
      </c>
      <c r="AF1775" s="865">
        <v>0.2</v>
      </c>
      <c r="AG1775" s="854">
        <f t="shared" si="333"/>
        <v>1792352.9408143596</v>
      </c>
      <c r="AH1775" s="853">
        <v>0.08</v>
      </c>
      <c r="AI1775" s="855">
        <f t="shared" si="334"/>
        <v>855334.05875314865</v>
      </c>
      <c r="AJ1775" s="845" t="s">
        <v>5704</v>
      </c>
      <c r="AK1775" s="857">
        <v>45898</v>
      </c>
      <c r="AL1775" s="843" t="s">
        <v>5705</v>
      </c>
      <c r="AM1775" s="843" t="s">
        <v>5641</v>
      </c>
      <c r="AN1775" s="844" t="s">
        <v>5642</v>
      </c>
      <c r="AO1775" s="844" t="s">
        <v>141</v>
      </c>
      <c r="AP1775" s="841"/>
      <c r="AQ1775" s="841">
        <v>45906</v>
      </c>
      <c r="AR1775" s="841">
        <v>45958</v>
      </c>
      <c r="AS1775" s="842" t="s">
        <v>1284</v>
      </c>
      <c r="AT1775" s="842" t="s">
        <v>1235</v>
      </c>
      <c r="AU1775" s="842" t="s">
        <v>4595</v>
      </c>
      <c r="AV1775" s="843" t="s">
        <v>5706</v>
      </c>
      <c r="AW1775" s="861">
        <v>45961</v>
      </c>
      <c r="AX1775" s="862">
        <v>45965</v>
      </c>
      <c r="AY1775" s="843" t="s">
        <v>6061</v>
      </c>
      <c r="AZ1775" s="842" t="s">
        <v>4927</v>
      </c>
      <c r="BA1775" s="842" t="s">
        <v>120</v>
      </c>
      <c r="BB1775" s="863" t="s">
        <v>121</v>
      </c>
      <c r="BC1775" s="864">
        <v>45967</v>
      </c>
      <c r="BD1775" s="860" t="s">
        <v>5708</v>
      </c>
      <c r="BE1775" s="865" cm="1">
        <f t="array" ref="BE1775">IF(BD1775="","",AC1775/SUMPRODUCT(--(BD1775=$BD$4:$BD$12824),$AC$4:$AC$12824))</f>
        <v>1.2671937902706892E-3</v>
      </c>
      <c r="BF1775" s="458"/>
      <c r="BG1775" s="458"/>
      <c r="BH1775" s="458"/>
      <c r="BI1775" s="458"/>
      <c r="BJ1775" s="458"/>
      <c r="BK1775" s="458"/>
      <c r="BL1775" s="458"/>
      <c r="BM1775" s="458"/>
      <c r="BN1775" s="458"/>
      <c r="BO1775" s="866">
        <f>VLOOKUP(BD1775,$BD$4:$BN$12824,3,0)*BE1775</f>
        <v>53620.987169662854</v>
      </c>
      <c r="BP1775" s="866"/>
      <c r="BQ1775" s="866"/>
      <c r="BR1775" s="866">
        <f>VLOOKUP(BD1775,$BD$4:$BN$12824,6,0)*BE1775</f>
        <v>10116.07608073076</v>
      </c>
      <c r="BS1775" s="866">
        <f>VLOOKUP(BD1775,$BD$4:$BN$12824,7,0)*BE1775</f>
        <v>8820.9233021363634</v>
      </c>
      <c r="BT1775" s="866"/>
      <c r="BU1775" s="866">
        <f>VLOOKUP(BD1775,$BD$4:$BN$12824,9,0)*BE1775</f>
        <v>709.62852255158589</v>
      </c>
      <c r="BV1775" s="867"/>
      <c r="BW1775" s="867">
        <f>VLOOKUP(BD1775,$BD$4:$BN$12824,11,0)*BE1775</f>
        <v>6361.7821581922935</v>
      </c>
      <c r="BX1775" s="1146">
        <f t="shared" si="335"/>
        <v>79629.397233273863</v>
      </c>
      <c r="BY1775" s="867">
        <f t="shared" si="337"/>
        <v>1346413.1414559539</v>
      </c>
      <c r="BZ1775" s="867">
        <f t="shared" si="336"/>
        <v>10771305.131647632</v>
      </c>
      <c r="CA1775" s="867">
        <f>_xlfn.MAXIFS($BY$4:$BY$12824,$S$4:$S$12824,$S1775)</f>
        <v>1346413.1414559539</v>
      </c>
      <c r="CB1775" s="1032"/>
      <c r="CF1775" s="946">
        <f t="shared" ref="CF1775:CF1806" si="342">AC1775*AD1775</f>
        <v>9466880</v>
      </c>
    </row>
    <row r="1776" spans="2:84">
      <c r="B1776" s="839" t="s">
        <v>98</v>
      </c>
      <c r="C1776" s="839" t="s">
        <v>5697</v>
      </c>
      <c r="D1776" s="839" t="s">
        <v>5754</v>
      </c>
      <c r="E1776" s="839" t="s">
        <v>5754</v>
      </c>
      <c r="F1776" s="841">
        <v>45805</v>
      </c>
      <c r="G1776" s="839" t="s">
        <v>5697</v>
      </c>
      <c r="H1776" s="883" t="s">
        <v>3457</v>
      </c>
      <c r="I1776" s="883"/>
      <c r="J1776" s="841"/>
      <c r="K1776" s="841"/>
      <c r="L1776" s="843" t="s">
        <v>5257</v>
      </c>
      <c r="M1776" s="844" t="s">
        <v>107</v>
      </c>
      <c r="N1776" s="841"/>
      <c r="O1776" s="884" t="s">
        <v>135</v>
      </c>
      <c r="P1776" s="842" t="s">
        <v>220</v>
      </c>
      <c r="Q1776" s="843"/>
      <c r="R1776" s="845" t="s">
        <v>6062</v>
      </c>
      <c r="S1776" s="1127" t="s">
        <v>6063</v>
      </c>
      <c r="T1776" s="885" t="s">
        <v>6064</v>
      </c>
      <c r="U1776" s="886">
        <v>8</v>
      </c>
      <c r="V1776" s="842" t="s">
        <v>3</v>
      </c>
      <c r="W1776" s="846">
        <v>75</v>
      </c>
      <c r="X1776" s="847">
        <f t="shared" si="340"/>
        <v>600</v>
      </c>
      <c r="Y1776" s="853" t="s">
        <v>6060</v>
      </c>
      <c r="Z1776" s="849">
        <v>36.979999999999997</v>
      </c>
      <c r="AA1776" s="849"/>
      <c r="AB1776" s="849">
        <f t="shared" si="331"/>
        <v>295.83999999999997</v>
      </c>
      <c r="AC1776" s="850">
        <f t="shared" si="332"/>
        <v>295.83999999999997</v>
      </c>
      <c r="AD1776" s="851">
        <f t="shared" si="341"/>
        <v>32000</v>
      </c>
      <c r="AE1776" s="852">
        <v>30081.54</v>
      </c>
      <c r="AF1776" s="865">
        <v>0.2</v>
      </c>
      <c r="AG1776" s="854">
        <f t="shared" si="333"/>
        <v>1792352.9408143596</v>
      </c>
      <c r="AH1776" s="853">
        <v>0.08</v>
      </c>
      <c r="AI1776" s="855">
        <f t="shared" si="334"/>
        <v>855334.05875314865</v>
      </c>
      <c r="AJ1776" s="845" t="s">
        <v>5704</v>
      </c>
      <c r="AK1776" s="857">
        <v>45898</v>
      </c>
      <c r="AL1776" s="843" t="s">
        <v>5705</v>
      </c>
      <c r="AM1776" s="843" t="s">
        <v>5641</v>
      </c>
      <c r="AN1776" s="844" t="s">
        <v>5642</v>
      </c>
      <c r="AO1776" s="844" t="s">
        <v>141</v>
      </c>
      <c r="AP1776" s="841"/>
      <c r="AQ1776" s="841">
        <v>45906</v>
      </c>
      <c r="AR1776" s="841">
        <v>45958</v>
      </c>
      <c r="AS1776" s="842" t="s">
        <v>1284</v>
      </c>
      <c r="AT1776" s="842" t="s">
        <v>1235</v>
      </c>
      <c r="AU1776" s="842" t="s">
        <v>4595</v>
      </c>
      <c r="AV1776" s="843" t="s">
        <v>5706</v>
      </c>
      <c r="AW1776" s="861">
        <v>45961</v>
      </c>
      <c r="AX1776" s="862">
        <v>45965</v>
      </c>
      <c r="AY1776" s="843" t="s">
        <v>6065</v>
      </c>
      <c r="AZ1776" s="842" t="s">
        <v>4927</v>
      </c>
      <c r="BA1776" s="842" t="s">
        <v>120</v>
      </c>
      <c r="BB1776" s="863" t="s">
        <v>121</v>
      </c>
      <c r="BC1776" s="864">
        <v>45967</v>
      </c>
      <c r="BD1776" s="860" t="s">
        <v>5708</v>
      </c>
      <c r="BE1776" s="865" cm="1">
        <f t="array" ref="BE1776">IF(BD1776="","",AC1776/SUMPRODUCT(--(BD1776=$BD$4:$BD$12824),$AC$4:$AC$12824))</f>
        <v>1.2671937902706892E-3</v>
      </c>
      <c r="BF1776" s="458"/>
      <c r="BG1776" s="458"/>
      <c r="BH1776" s="458"/>
      <c r="BI1776" s="458"/>
      <c r="BJ1776" s="458"/>
      <c r="BK1776" s="458"/>
      <c r="BL1776" s="458"/>
      <c r="BM1776" s="458"/>
      <c r="BN1776" s="458"/>
      <c r="BO1776" s="866">
        <f>VLOOKUP(BD1776,$BD$4:$BN$12824,3,0)*BE1776</f>
        <v>53620.987169662854</v>
      </c>
      <c r="BP1776" s="866"/>
      <c r="BQ1776" s="866"/>
      <c r="BR1776" s="866">
        <f>VLOOKUP(BD1776,$BD$4:$BN$12824,6,0)*BE1776</f>
        <v>10116.07608073076</v>
      </c>
      <c r="BS1776" s="866">
        <f>VLOOKUP(BD1776,$BD$4:$BN$12824,7,0)*BE1776</f>
        <v>8820.9233021363634</v>
      </c>
      <c r="BT1776" s="866"/>
      <c r="BU1776" s="866">
        <f>VLOOKUP(BD1776,$BD$4:$BN$12824,9,0)*BE1776</f>
        <v>709.62852255158589</v>
      </c>
      <c r="BV1776" s="867"/>
      <c r="BW1776" s="867">
        <f>VLOOKUP(BD1776,$BD$4:$BN$12824,11,0)*BE1776</f>
        <v>6361.7821581922935</v>
      </c>
      <c r="BX1776" s="1146">
        <f t="shared" si="335"/>
        <v>79629.397233273863</v>
      </c>
      <c r="BY1776" s="867">
        <f t="shared" si="337"/>
        <v>1346413.1414559539</v>
      </c>
      <c r="BZ1776" s="867">
        <f t="shared" si="336"/>
        <v>10771305.131647632</v>
      </c>
      <c r="CA1776" s="867">
        <f>_xlfn.MAXIFS($BY$4:$BY$12824,$S$4:$S$12824,$S1776)</f>
        <v>1346413.1414559539</v>
      </c>
      <c r="CB1776" s="1032"/>
      <c r="CF1776" s="946">
        <f t="shared" si="342"/>
        <v>9466880</v>
      </c>
    </row>
    <row r="1777" spans="2:84">
      <c r="B1777" s="839" t="s">
        <v>98</v>
      </c>
      <c r="C1777" s="839" t="s">
        <v>5697</v>
      </c>
      <c r="D1777" s="839" t="s">
        <v>5754</v>
      </c>
      <c r="E1777" s="839" t="s">
        <v>5754</v>
      </c>
      <c r="F1777" s="841">
        <v>45805</v>
      </c>
      <c r="G1777" s="839" t="s">
        <v>5697</v>
      </c>
      <c r="H1777" s="883" t="s">
        <v>3457</v>
      </c>
      <c r="I1777" s="883"/>
      <c r="J1777" s="841"/>
      <c r="K1777" s="841"/>
      <c r="L1777" s="843" t="s">
        <v>5257</v>
      </c>
      <c r="M1777" s="844" t="s">
        <v>107</v>
      </c>
      <c r="N1777" s="841"/>
      <c r="O1777" s="884" t="s">
        <v>135</v>
      </c>
      <c r="P1777" s="842" t="s">
        <v>220</v>
      </c>
      <c r="Q1777" s="843"/>
      <c r="R1777" s="845" t="s">
        <v>6066</v>
      </c>
      <c r="S1777" s="1127" t="s">
        <v>6067</v>
      </c>
      <c r="T1777" s="885" t="s">
        <v>6068</v>
      </c>
      <c r="U1777" s="886">
        <v>8</v>
      </c>
      <c r="V1777" s="842" t="s">
        <v>3</v>
      </c>
      <c r="W1777" s="846">
        <v>105</v>
      </c>
      <c r="X1777" s="847">
        <f t="shared" si="340"/>
        <v>840</v>
      </c>
      <c r="Y1777" s="853" t="s">
        <v>6060</v>
      </c>
      <c r="Z1777" s="849">
        <v>51.77</v>
      </c>
      <c r="AA1777" s="849"/>
      <c r="AB1777" s="849">
        <f t="shared" si="331"/>
        <v>414.16</v>
      </c>
      <c r="AC1777" s="850">
        <f t="shared" si="332"/>
        <v>414.16</v>
      </c>
      <c r="AD1777" s="851">
        <f t="shared" si="341"/>
        <v>32000</v>
      </c>
      <c r="AE1777" s="852">
        <v>30081.54</v>
      </c>
      <c r="AF1777" s="865">
        <v>0.2</v>
      </c>
      <c r="AG1777" s="854">
        <f t="shared" si="333"/>
        <v>2509197.1807993357</v>
      </c>
      <c r="AH1777" s="853">
        <v>0.08</v>
      </c>
      <c r="AI1777" s="855">
        <f t="shared" si="334"/>
        <v>1197421.4229759469</v>
      </c>
      <c r="AJ1777" s="845" t="s">
        <v>5704</v>
      </c>
      <c r="AK1777" s="857">
        <v>45898</v>
      </c>
      <c r="AL1777" s="843" t="s">
        <v>5705</v>
      </c>
      <c r="AM1777" s="843" t="s">
        <v>5641</v>
      </c>
      <c r="AN1777" s="844" t="s">
        <v>5642</v>
      </c>
      <c r="AO1777" s="844" t="s">
        <v>141</v>
      </c>
      <c r="AP1777" s="841"/>
      <c r="AQ1777" s="841">
        <v>45906</v>
      </c>
      <c r="AR1777" s="841">
        <v>45958</v>
      </c>
      <c r="AS1777" s="842" t="s">
        <v>1284</v>
      </c>
      <c r="AT1777" s="842" t="s">
        <v>1235</v>
      </c>
      <c r="AU1777" s="842" t="s">
        <v>4595</v>
      </c>
      <c r="AV1777" s="843" t="s">
        <v>5706</v>
      </c>
      <c r="AW1777" s="861">
        <v>45961</v>
      </c>
      <c r="AX1777" s="862">
        <v>45965</v>
      </c>
      <c r="AY1777" s="843" t="s">
        <v>6069</v>
      </c>
      <c r="AZ1777" s="842" t="s">
        <v>4927</v>
      </c>
      <c r="BA1777" s="842" t="s">
        <v>120</v>
      </c>
      <c r="BB1777" s="863" t="s">
        <v>121</v>
      </c>
      <c r="BC1777" s="864">
        <v>45967</v>
      </c>
      <c r="BD1777" s="860" t="s">
        <v>5708</v>
      </c>
      <c r="BE1777" s="865" cm="1">
        <f t="array" ref="BE1777">IF(BD1777="","",AC1777/SUMPRODUCT(--(BD1777=$BD$4:$BD$12824),$AC$4:$AC$12824))</f>
        <v>1.7740027723719197E-3</v>
      </c>
      <c r="BF1777" s="458"/>
      <c r="BG1777" s="458"/>
      <c r="BH1777" s="458"/>
      <c r="BI1777" s="458"/>
      <c r="BJ1777" s="458"/>
      <c r="BK1777" s="458"/>
      <c r="BL1777" s="458"/>
      <c r="BM1777" s="458"/>
      <c r="BN1777" s="458"/>
      <c r="BO1777" s="866">
        <f>VLOOKUP(BD1777,$BD$4:$BN$12824,3,0)*BE1777</f>
        <v>75066.482038221919</v>
      </c>
      <c r="BP1777" s="866"/>
      <c r="BQ1777" s="866"/>
      <c r="BR1777" s="866">
        <f>VLOOKUP(BD1777,$BD$4:$BN$12824,6,0)*BE1777</f>
        <v>14161.959402364291</v>
      </c>
      <c r="BS1777" s="866">
        <f>VLOOKUP(BD1777,$BD$4:$BN$12824,7,0)*BE1777</f>
        <v>12348.815558453207</v>
      </c>
      <c r="BT1777" s="866"/>
      <c r="BU1777" s="866">
        <f>VLOOKUP(BD1777,$BD$4:$BN$12824,9,0)*BE1777</f>
        <v>993.441552528275</v>
      </c>
      <c r="BV1777" s="867"/>
      <c r="BW1777" s="867">
        <f>VLOOKUP(BD1777,$BD$4:$BN$12824,11,0)*BE1777</f>
        <v>8906.1509553708784</v>
      </c>
      <c r="BX1777" s="1146">
        <f t="shared" si="335"/>
        <v>111476.84950693857</v>
      </c>
      <c r="BY1777" s="867">
        <f t="shared" si="337"/>
        <v>1884905.5795882845</v>
      </c>
      <c r="BZ1777" s="867">
        <f t="shared" si="336"/>
        <v>15079244.636706276</v>
      </c>
      <c r="CA1777" s="867">
        <f>_xlfn.MAXIFS($BY$4:$BY$12824,$S$4:$S$12824,$S1777)</f>
        <v>1884905.5795882845</v>
      </c>
      <c r="CB1777" s="1032"/>
      <c r="CF1777" s="946">
        <f t="shared" si="342"/>
        <v>13253120</v>
      </c>
    </row>
    <row r="1778" spans="2:84">
      <c r="B1778" s="839" t="s">
        <v>98</v>
      </c>
      <c r="C1778" s="839" t="s">
        <v>5697</v>
      </c>
      <c r="D1778" s="839" t="s">
        <v>5754</v>
      </c>
      <c r="E1778" s="839" t="s">
        <v>5754</v>
      </c>
      <c r="F1778" s="841">
        <v>45805</v>
      </c>
      <c r="G1778" s="839" t="s">
        <v>5697</v>
      </c>
      <c r="H1778" s="883" t="s">
        <v>3457</v>
      </c>
      <c r="I1778" s="883"/>
      <c r="J1778" s="841"/>
      <c r="K1778" s="841"/>
      <c r="L1778" s="843" t="s">
        <v>5257</v>
      </c>
      <c r="M1778" s="844" t="s">
        <v>107</v>
      </c>
      <c r="N1778" s="841"/>
      <c r="O1778" s="884" t="s">
        <v>135</v>
      </c>
      <c r="P1778" s="842" t="s">
        <v>220</v>
      </c>
      <c r="Q1778" s="843"/>
      <c r="R1778" s="845" t="s">
        <v>6070</v>
      </c>
      <c r="S1778" s="1127" t="s">
        <v>6071</v>
      </c>
      <c r="T1778" s="885" t="s">
        <v>6072</v>
      </c>
      <c r="U1778" s="886">
        <v>8</v>
      </c>
      <c r="V1778" s="842" t="s">
        <v>3</v>
      </c>
      <c r="W1778" s="846">
        <v>105</v>
      </c>
      <c r="X1778" s="847">
        <f t="shared" si="340"/>
        <v>840</v>
      </c>
      <c r="Y1778" s="853" t="s">
        <v>6060</v>
      </c>
      <c r="Z1778" s="849">
        <v>51.77</v>
      </c>
      <c r="AA1778" s="849"/>
      <c r="AB1778" s="849">
        <f t="shared" si="331"/>
        <v>414.16</v>
      </c>
      <c r="AC1778" s="850">
        <f t="shared" si="332"/>
        <v>414.16</v>
      </c>
      <c r="AD1778" s="851">
        <f t="shared" si="341"/>
        <v>32000</v>
      </c>
      <c r="AE1778" s="852">
        <v>30081.54</v>
      </c>
      <c r="AF1778" s="865">
        <v>0.2</v>
      </c>
      <c r="AG1778" s="854">
        <f t="shared" si="333"/>
        <v>2509197.1807993357</v>
      </c>
      <c r="AH1778" s="853">
        <v>0.08</v>
      </c>
      <c r="AI1778" s="855">
        <f t="shared" si="334"/>
        <v>1197421.4229759469</v>
      </c>
      <c r="AJ1778" s="845" t="s">
        <v>5704</v>
      </c>
      <c r="AK1778" s="857">
        <v>45898</v>
      </c>
      <c r="AL1778" s="843" t="s">
        <v>5705</v>
      </c>
      <c r="AM1778" s="843" t="s">
        <v>5641</v>
      </c>
      <c r="AN1778" s="844" t="s">
        <v>5642</v>
      </c>
      <c r="AO1778" s="844" t="s">
        <v>141</v>
      </c>
      <c r="AP1778" s="841"/>
      <c r="AQ1778" s="841">
        <v>45906</v>
      </c>
      <c r="AR1778" s="841">
        <v>45958</v>
      </c>
      <c r="AS1778" s="842" t="s">
        <v>1284</v>
      </c>
      <c r="AT1778" s="842" t="s">
        <v>1235</v>
      </c>
      <c r="AU1778" s="842" t="s">
        <v>4595</v>
      </c>
      <c r="AV1778" s="843" t="s">
        <v>5706</v>
      </c>
      <c r="AW1778" s="861">
        <v>45961</v>
      </c>
      <c r="AX1778" s="862">
        <v>45965</v>
      </c>
      <c r="AY1778" s="843" t="s">
        <v>6073</v>
      </c>
      <c r="AZ1778" s="842" t="s">
        <v>4927</v>
      </c>
      <c r="BA1778" s="842" t="s">
        <v>120</v>
      </c>
      <c r="BB1778" s="863" t="s">
        <v>121</v>
      </c>
      <c r="BC1778" s="864">
        <v>45967</v>
      </c>
      <c r="BD1778" s="860" t="s">
        <v>5708</v>
      </c>
      <c r="BE1778" s="865" cm="1">
        <f t="array" ref="BE1778">IF(BD1778="","",AC1778/SUMPRODUCT(--(BD1778=$BD$4:$BD$12824),$AC$4:$AC$12824))</f>
        <v>1.7740027723719197E-3</v>
      </c>
      <c r="BF1778" s="458"/>
      <c r="BG1778" s="458"/>
      <c r="BH1778" s="458"/>
      <c r="BI1778" s="458"/>
      <c r="BJ1778" s="458"/>
      <c r="BK1778" s="458"/>
      <c r="BL1778" s="458"/>
      <c r="BM1778" s="458"/>
      <c r="BN1778" s="458"/>
      <c r="BO1778" s="866">
        <f>VLOOKUP(BD1778,$BD$4:$BN$12824,3,0)*BE1778</f>
        <v>75066.482038221919</v>
      </c>
      <c r="BP1778" s="866"/>
      <c r="BQ1778" s="866"/>
      <c r="BR1778" s="866">
        <f>VLOOKUP(BD1778,$BD$4:$BN$12824,6,0)*BE1778</f>
        <v>14161.959402364291</v>
      </c>
      <c r="BS1778" s="866">
        <f>VLOOKUP(BD1778,$BD$4:$BN$12824,7,0)*BE1778</f>
        <v>12348.815558453207</v>
      </c>
      <c r="BT1778" s="866"/>
      <c r="BU1778" s="866">
        <f>VLOOKUP(BD1778,$BD$4:$BN$12824,9,0)*BE1778</f>
        <v>993.441552528275</v>
      </c>
      <c r="BV1778" s="867"/>
      <c r="BW1778" s="867">
        <f>VLOOKUP(BD1778,$BD$4:$BN$12824,11,0)*BE1778</f>
        <v>8906.1509553708784</v>
      </c>
      <c r="BX1778" s="1146">
        <f t="shared" si="335"/>
        <v>111476.84950693857</v>
      </c>
      <c r="BY1778" s="867">
        <f t="shared" si="337"/>
        <v>1884905.5795882845</v>
      </c>
      <c r="BZ1778" s="867">
        <f t="shared" si="336"/>
        <v>15079244.636706276</v>
      </c>
      <c r="CA1778" s="867">
        <f>_xlfn.MAXIFS($BY$4:$BY$12824,$S$4:$S$12824,$S1778)</f>
        <v>1884905.5795882845</v>
      </c>
      <c r="CB1778" s="1032"/>
      <c r="CF1778" s="946">
        <f t="shared" si="342"/>
        <v>13253120</v>
      </c>
    </row>
    <row r="1779" spans="2:84">
      <c r="B1779" s="839" t="s">
        <v>98</v>
      </c>
      <c r="C1779" s="839" t="s">
        <v>5697</v>
      </c>
      <c r="D1779" s="839" t="s">
        <v>5754</v>
      </c>
      <c r="E1779" s="839" t="s">
        <v>5754</v>
      </c>
      <c r="F1779" s="841">
        <v>45805</v>
      </c>
      <c r="G1779" s="839" t="s">
        <v>5697</v>
      </c>
      <c r="H1779" s="883" t="s">
        <v>3457</v>
      </c>
      <c r="I1779" s="883"/>
      <c r="J1779" s="841"/>
      <c r="K1779" s="841"/>
      <c r="L1779" s="843" t="s">
        <v>5257</v>
      </c>
      <c r="M1779" s="844" t="s">
        <v>107</v>
      </c>
      <c r="N1779" s="841"/>
      <c r="O1779" s="884" t="s">
        <v>135</v>
      </c>
      <c r="P1779" s="842" t="s">
        <v>220</v>
      </c>
      <c r="Q1779" s="843"/>
      <c r="R1779" s="845" t="s">
        <v>6074</v>
      </c>
      <c r="S1779" s="1127" t="s">
        <v>6075</v>
      </c>
      <c r="T1779" s="885" t="s">
        <v>6076</v>
      </c>
      <c r="U1779" s="886">
        <v>12</v>
      </c>
      <c r="V1779" s="842" t="s">
        <v>3</v>
      </c>
      <c r="W1779" s="846">
        <v>120</v>
      </c>
      <c r="X1779" s="847">
        <f t="shared" si="340"/>
        <v>1440</v>
      </c>
      <c r="Y1779" s="853" t="s">
        <v>6060</v>
      </c>
      <c r="Z1779" s="849">
        <v>59.16</v>
      </c>
      <c r="AA1779" s="849"/>
      <c r="AB1779" s="849">
        <f t="shared" si="331"/>
        <v>709.92</v>
      </c>
      <c r="AC1779" s="850">
        <f t="shared" si="332"/>
        <v>709.92</v>
      </c>
      <c r="AD1779" s="851">
        <f t="shared" si="341"/>
        <v>32000</v>
      </c>
      <c r="AE1779" s="852">
        <v>30081.54</v>
      </c>
      <c r="AF1779" s="865">
        <v>0.2</v>
      </c>
      <c r="AG1779" s="854">
        <f t="shared" si="333"/>
        <v>4301065.4399098521</v>
      </c>
      <c r="AH1779" s="853">
        <v>0.08</v>
      </c>
      <c r="AI1779" s="855">
        <f t="shared" si="334"/>
        <v>2052524.1853367884</v>
      </c>
      <c r="AJ1779" s="845" t="s">
        <v>5704</v>
      </c>
      <c r="AK1779" s="857">
        <v>45898</v>
      </c>
      <c r="AL1779" s="843" t="s">
        <v>5705</v>
      </c>
      <c r="AM1779" s="843" t="s">
        <v>5641</v>
      </c>
      <c r="AN1779" s="844" t="s">
        <v>5642</v>
      </c>
      <c r="AO1779" s="844" t="s">
        <v>141</v>
      </c>
      <c r="AP1779" s="841"/>
      <c r="AQ1779" s="841">
        <v>45906</v>
      </c>
      <c r="AR1779" s="841">
        <v>45958</v>
      </c>
      <c r="AS1779" s="842" t="s">
        <v>1284</v>
      </c>
      <c r="AT1779" s="842" t="s">
        <v>1235</v>
      </c>
      <c r="AU1779" s="842" t="s">
        <v>4595</v>
      </c>
      <c r="AV1779" s="843" t="s">
        <v>5706</v>
      </c>
      <c r="AW1779" s="861">
        <v>45961</v>
      </c>
      <c r="AX1779" s="862">
        <v>45965</v>
      </c>
      <c r="AY1779" s="843" t="s">
        <v>6077</v>
      </c>
      <c r="AZ1779" s="842" t="s">
        <v>6078</v>
      </c>
      <c r="BA1779" s="842" t="s">
        <v>120</v>
      </c>
      <c r="BB1779" s="863" t="s">
        <v>121</v>
      </c>
      <c r="BC1779" s="864">
        <v>45967</v>
      </c>
      <c r="BD1779" s="860" t="s">
        <v>5708</v>
      </c>
      <c r="BE1779" s="865" cm="1">
        <f t="array" ref="BE1779">IF(BD1779="","",AC1779/SUMPRODUCT(--(BD1779=$BD$4:$BD$12824),$AC$4:$AC$12824))</f>
        <v>3.0408538926073813E-3</v>
      </c>
      <c r="BF1779" s="458"/>
      <c r="BG1779" s="458"/>
      <c r="BH1779" s="458"/>
      <c r="BI1779" s="458"/>
      <c r="BJ1779" s="458"/>
      <c r="BK1779" s="458"/>
      <c r="BL1779" s="458"/>
      <c r="BM1779" s="458"/>
      <c r="BN1779" s="458"/>
      <c r="BO1779" s="866">
        <f>VLOOKUP(BD1779,$BD$4:$BN$12824,3,0)*BE1779</f>
        <v>128672.9692113543</v>
      </c>
      <c r="BP1779" s="866"/>
      <c r="BQ1779" s="866"/>
      <c r="BR1779" s="866">
        <f>VLOOKUP(BD1779,$BD$4:$BN$12824,6,0)*BE1779</f>
        <v>24275.299929801178</v>
      </c>
      <c r="BS1779" s="866">
        <f>VLOOKUP(BD1779,$BD$4:$BN$12824,7,0)*BE1779</f>
        <v>21167.353537901054</v>
      </c>
      <c r="BT1779" s="866"/>
      <c r="BU1779" s="866">
        <f>VLOOKUP(BD1779,$BD$4:$BN$12824,9,0)*BE1779</f>
        <v>1702.8781798601335</v>
      </c>
      <c r="BV1779" s="867"/>
      <c r="BW1779" s="867">
        <f>VLOOKUP(BD1779,$BD$4:$BN$12824,11,0)*BE1779</f>
        <v>15266.212783071502</v>
      </c>
      <c r="BX1779" s="1146">
        <f t="shared" si="335"/>
        <v>191084.71364198814</v>
      </c>
      <c r="BY1779" s="867">
        <f t="shared" si="337"/>
        <v>2153969.7525293203</v>
      </c>
      <c r="BZ1779" s="867">
        <f t="shared" si="336"/>
        <v>25847637.030351844</v>
      </c>
      <c r="CA1779" s="867">
        <f>_xlfn.MAXIFS($BY$4:$BY$12824,$S$4:$S$12824,$S1779)</f>
        <v>2153969.7525293203</v>
      </c>
      <c r="CB1779" s="1032"/>
      <c r="CF1779" s="946">
        <f t="shared" si="342"/>
        <v>22717440</v>
      </c>
    </row>
    <row r="1780" spans="2:84">
      <c r="B1780" s="839" t="s">
        <v>98</v>
      </c>
      <c r="C1780" s="839" t="s">
        <v>5697</v>
      </c>
      <c r="D1780" s="839" t="s">
        <v>5754</v>
      </c>
      <c r="E1780" s="839" t="s">
        <v>5754</v>
      </c>
      <c r="F1780" s="841">
        <v>45805</v>
      </c>
      <c r="G1780" s="839" t="s">
        <v>5697</v>
      </c>
      <c r="H1780" s="883" t="s">
        <v>3457</v>
      </c>
      <c r="I1780" s="883"/>
      <c r="J1780" s="841"/>
      <c r="K1780" s="841"/>
      <c r="L1780" s="843" t="s">
        <v>5257</v>
      </c>
      <c r="M1780" s="844" t="s">
        <v>107</v>
      </c>
      <c r="N1780" s="841"/>
      <c r="O1780" s="884" t="s">
        <v>135</v>
      </c>
      <c r="P1780" s="842" t="s">
        <v>220</v>
      </c>
      <c r="Q1780" s="843"/>
      <c r="R1780" s="845" t="s">
        <v>6079</v>
      </c>
      <c r="S1780" s="1127" t="s">
        <v>6080</v>
      </c>
      <c r="T1780" s="885" t="s">
        <v>6081</v>
      </c>
      <c r="U1780" s="886">
        <v>12</v>
      </c>
      <c r="V1780" s="842" t="s">
        <v>3</v>
      </c>
      <c r="W1780" s="846">
        <v>120</v>
      </c>
      <c r="X1780" s="847">
        <f t="shared" si="340"/>
        <v>1440</v>
      </c>
      <c r="Y1780" s="853" t="s">
        <v>6060</v>
      </c>
      <c r="Z1780" s="849">
        <v>59.16</v>
      </c>
      <c r="AA1780" s="849"/>
      <c r="AB1780" s="849">
        <f t="shared" si="331"/>
        <v>709.92</v>
      </c>
      <c r="AC1780" s="850">
        <f t="shared" si="332"/>
        <v>709.92</v>
      </c>
      <c r="AD1780" s="851">
        <f t="shared" si="341"/>
        <v>32000</v>
      </c>
      <c r="AE1780" s="852">
        <v>30081.54</v>
      </c>
      <c r="AF1780" s="865">
        <v>0.2</v>
      </c>
      <c r="AG1780" s="854">
        <f t="shared" si="333"/>
        <v>4301065.4399098521</v>
      </c>
      <c r="AH1780" s="853">
        <v>0.08</v>
      </c>
      <c r="AI1780" s="855">
        <f t="shared" si="334"/>
        <v>2052524.1853367884</v>
      </c>
      <c r="AJ1780" s="845" t="s">
        <v>5704</v>
      </c>
      <c r="AK1780" s="857">
        <v>45898</v>
      </c>
      <c r="AL1780" s="843" t="s">
        <v>5705</v>
      </c>
      <c r="AM1780" s="843" t="s">
        <v>5641</v>
      </c>
      <c r="AN1780" s="844" t="s">
        <v>5642</v>
      </c>
      <c r="AO1780" s="844" t="s">
        <v>141</v>
      </c>
      <c r="AP1780" s="841"/>
      <c r="AQ1780" s="841">
        <v>45906</v>
      </c>
      <c r="AR1780" s="841">
        <v>45958</v>
      </c>
      <c r="AS1780" s="842" t="s">
        <v>1284</v>
      </c>
      <c r="AT1780" s="842" t="s">
        <v>1235</v>
      </c>
      <c r="AU1780" s="842" t="s">
        <v>4595</v>
      </c>
      <c r="AV1780" s="843" t="s">
        <v>5706</v>
      </c>
      <c r="AW1780" s="861">
        <v>45961</v>
      </c>
      <c r="AX1780" s="862">
        <v>45965</v>
      </c>
      <c r="AY1780" s="843" t="s">
        <v>6082</v>
      </c>
      <c r="AZ1780" s="842" t="s">
        <v>6078</v>
      </c>
      <c r="BA1780" s="842" t="s">
        <v>120</v>
      </c>
      <c r="BB1780" s="863" t="s">
        <v>121</v>
      </c>
      <c r="BC1780" s="864">
        <v>45967</v>
      </c>
      <c r="BD1780" s="860" t="s">
        <v>5708</v>
      </c>
      <c r="BE1780" s="865" cm="1">
        <f t="array" ref="BE1780">IF(BD1780="","",AC1780/SUMPRODUCT(--(BD1780=$BD$4:$BD$12824),$AC$4:$AC$12824))</f>
        <v>3.0408538926073813E-3</v>
      </c>
      <c r="BF1780" s="458"/>
      <c r="BG1780" s="458"/>
      <c r="BH1780" s="458"/>
      <c r="BI1780" s="458"/>
      <c r="BJ1780" s="458"/>
      <c r="BK1780" s="458"/>
      <c r="BL1780" s="458"/>
      <c r="BM1780" s="458"/>
      <c r="BN1780" s="458"/>
      <c r="BO1780" s="866">
        <f>VLOOKUP(BD1780,$BD$4:$BN$12824,3,0)*BE1780</f>
        <v>128672.9692113543</v>
      </c>
      <c r="BP1780" s="866"/>
      <c r="BQ1780" s="866"/>
      <c r="BR1780" s="866">
        <f>VLOOKUP(BD1780,$BD$4:$BN$12824,6,0)*BE1780</f>
        <v>24275.299929801178</v>
      </c>
      <c r="BS1780" s="866">
        <f>VLOOKUP(BD1780,$BD$4:$BN$12824,7,0)*BE1780</f>
        <v>21167.353537901054</v>
      </c>
      <c r="BT1780" s="866"/>
      <c r="BU1780" s="866">
        <f>VLOOKUP(BD1780,$BD$4:$BN$12824,9,0)*BE1780</f>
        <v>1702.8781798601335</v>
      </c>
      <c r="BV1780" s="867"/>
      <c r="BW1780" s="867">
        <f>VLOOKUP(BD1780,$BD$4:$BN$12824,11,0)*BE1780</f>
        <v>15266.212783071502</v>
      </c>
      <c r="BX1780" s="1146">
        <f t="shared" si="335"/>
        <v>191084.71364198814</v>
      </c>
      <c r="BY1780" s="867">
        <f t="shared" si="337"/>
        <v>2153969.7525293203</v>
      </c>
      <c r="BZ1780" s="867">
        <f t="shared" si="336"/>
        <v>25847637.030351844</v>
      </c>
      <c r="CA1780" s="867">
        <f>_xlfn.MAXIFS($BY$4:$BY$12824,$S$4:$S$12824,$S1780)</f>
        <v>2153969.7525293203</v>
      </c>
      <c r="CB1780" s="1032"/>
      <c r="CF1780" s="946">
        <f t="shared" si="342"/>
        <v>22717440</v>
      </c>
    </row>
    <row r="1781" spans="2:84">
      <c r="B1781" s="839" t="s">
        <v>98</v>
      </c>
      <c r="C1781" s="839" t="s">
        <v>5697</v>
      </c>
      <c r="D1781" s="839" t="s">
        <v>5754</v>
      </c>
      <c r="E1781" s="839" t="s">
        <v>5754</v>
      </c>
      <c r="F1781" s="841">
        <v>45805</v>
      </c>
      <c r="G1781" s="839" t="s">
        <v>5697</v>
      </c>
      <c r="H1781" s="883" t="s">
        <v>3457</v>
      </c>
      <c r="I1781" s="883"/>
      <c r="J1781" s="841"/>
      <c r="K1781" s="841"/>
      <c r="L1781" s="843" t="s">
        <v>5257</v>
      </c>
      <c r="M1781" s="844" t="s">
        <v>107</v>
      </c>
      <c r="N1781" s="841"/>
      <c r="O1781" s="884" t="s">
        <v>135</v>
      </c>
      <c r="P1781" s="842" t="s">
        <v>182</v>
      </c>
      <c r="Q1781" s="843"/>
      <c r="R1781" s="845" t="s">
        <v>6083</v>
      </c>
      <c r="S1781" s="1127" t="s">
        <v>6084</v>
      </c>
      <c r="T1781" s="885" t="s">
        <v>6085</v>
      </c>
      <c r="U1781" s="886">
        <v>1</v>
      </c>
      <c r="V1781" s="842" t="s">
        <v>3</v>
      </c>
      <c r="W1781" s="846">
        <v>225</v>
      </c>
      <c r="X1781" s="847">
        <f t="shared" si="340"/>
        <v>225</v>
      </c>
      <c r="Y1781" s="853" t="s">
        <v>5703</v>
      </c>
      <c r="Z1781" s="849">
        <v>117.45</v>
      </c>
      <c r="AA1781" s="849"/>
      <c r="AB1781" s="849">
        <f t="shared" si="331"/>
        <v>117.45</v>
      </c>
      <c r="AC1781" s="850">
        <f t="shared" si="332"/>
        <v>117.45</v>
      </c>
      <c r="AD1781" s="851">
        <f t="shared" si="341"/>
        <v>32000</v>
      </c>
      <c r="AE1781" s="852">
        <v>30081.54</v>
      </c>
      <c r="AF1781" s="865">
        <v>0.15</v>
      </c>
      <c r="AG1781" s="854">
        <f t="shared" si="333"/>
        <v>533679.99484175548</v>
      </c>
      <c r="AH1781" s="853">
        <v>0.08</v>
      </c>
      <c r="AI1781" s="855">
        <f t="shared" si="334"/>
        <v>325340.54942734045</v>
      </c>
      <c r="AJ1781" s="845" t="s">
        <v>5704</v>
      </c>
      <c r="AK1781" s="857">
        <v>45898</v>
      </c>
      <c r="AL1781" s="843" t="s">
        <v>5705</v>
      </c>
      <c r="AM1781" s="843" t="s">
        <v>5641</v>
      </c>
      <c r="AN1781" s="844" t="s">
        <v>5642</v>
      </c>
      <c r="AO1781" s="844" t="s">
        <v>141</v>
      </c>
      <c r="AP1781" s="841"/>
      <c r="AQ1781" s="841">
        <v>45906</v>
      </c>
      <c r="AR1781" s="841">
        <v>45958</v>
      </c>
      <c r="AS1781" s="842" t="s">
        <v>1284</v>
      </c>
      <c r="AT1781" s="842" t="s">
        <v>1235</v>
      </c>
      <c r="AU1781" s="842" t="s">
        <v>4595</v>
      </c>
      <c r="AV1781" s="843" t="s">
        <v>5706</v>
      </c>
      <c r="AW1781" s="861">
        <v>45961</v>
      </c>
      <c r="AX1781" s="862">
        <v>45965</v>
      </c>
      <c r="AY1781" s="843" t="s">
        <v>6086</v>
      </c>
      <c r="AZ1781" s="842" t="s">
        <v>5103</v>
      </c>
      <c r="BA1781" s="842" t="s">
        <v>120</v>
      </c>
      <c r="BB1781" s="863" t="s">
        <v>121</v>
      </c>
      <c r="BC1781" s="864">
        <v>45967</v>
      </c>
      <c r="BD1781" s="860" t="s">
        <v>5708</v>
      </c>
      <c r="BE1781" s="865" cm="1">
        <f t="array" ref="BE1781">IF(BD1781="","",AC1781/SUMPRODUCT(--(BD1781=$BD$4:$BD$12824),$AC$4:$AC$12824))</f>
        <v>5.0308244546813305E-4</v>
      </c>
      <c r="BF1781" s="458"/>
      <c r="BG1781" s="458"/>
      <c r="BH1781" s="458"/>
      <c r="BI1781" s="458"/>
      <c r="BJ1781" s="458"/>
      <c r="BK1781" s="458"/>
      <c r="BL1781" s="458"/>
      <c r="BM1781" s="458"/>
      <c r="BN1781" s="458"/>
      <c r="BO1781" s="866">
        <f>VLOOKUP(BD1781,$BD$4:$BN$12824,3,0)*BE1781</f>
        <v>21287.807406290238</v>
      </c>
      <c r="BP1781" s="866"/>
      <c r="BQ1781" s="866"/>
      <c r="BR1781" s="866">
        <f>VLOOKUP(BD1781,$BD$4:$BN$12824,6,0)*BE1781</f>
        <v>4016.1341795626959</v>
      </c>
      <c r="BS1781" s="866">
        <f>VLOOKUP(BD1781,$BD$4:$BN$12824,7,0)*BE1781</f>
        <v>3501.9518720792189</v>
      </c>
      <c r="BT1781" s="866"/>
      <c r="BU1781" s="866">
        <f>VLOOKUP(BD1781,$BD$4:$BN$12824,9,0)*BE1781</f>
        <v>281.72616946215453</v>
      </c>
      <c r="BV1781" s="867"/>
      <c r="BW1781" s="867">
        <f>VLOOKUP(BD1781,$BD$4:$BN$12824,11,0)*BE1781</f>
        <v>2525.6602030816825</v>
      </c>
      <c r="BX1781" s="1146">
        <f t="shared" si="335"/>
        <v>31613.279830475989</v>
      </c>
      <c r="BY1781" s="867">
        <f t="shared" si="337"/>
        <v>4098370.1476722313</v>
      </c>
      <c r="BZ1781" s="867">
        <f t="shared" si="336"/>
        <v>4098370.1476722313</v>
      </c>
      <c r="CA1781" s="867">
        <f>_xlfn.MAXIFS($BY$4:$BY$12824,$S$4:$S$12824,$S1781)</f>
        <v>4098370.1476722313</v>
      </c>
      <c r="CB1781" s="1032"/>
      <c r="CF1781" s="946">
        <f t="shared" si="342"/>
        <v>3758400</v>
      </c>
    </row>
    <row r="1782" spans="2:84">
      <c r="B1782" s="839" t="s">
        <v>98</v>
      </c>
      <c r="C1782" s="839" t="s">
        <v>5697</v>
      </c>
      <c r="D1782" s="839" t="s">
        <v>5754</v>
      </c>
      <c r="E1782" s="839" t="s">
        <v>5754</v>
      </c>
      <c r="F1782" s="841">
        <v>45805</v>
      </c>
      <c r="G1782" s="839" t="s">
        <v>5697</v>
      </c>
      <c r="H1782" s="883" t="s">
        <v>3457</v>
      </c>
      <c r="I1782" s="883"/>
      <c r="J1782" s="841"/>
      <c r="K1782" s="841"/>
      <c r="L1782" s="843" t="s">
        <v>5257</v>
      </c>
      <c r="M1782" s="844" t="s">
        <v>107</v>
      </c>
      <c r="N1782" s="841"/>
      <c r="O1782" s="884" t="s">
        <v>135</v>
      </c>
      <c r="P1782" s="842" t="s">
        <v>182</v>
      </c>
      <c r="Q1782" s="843"/>
      <c r="R1782" s="845" t="s">
        <v>6087</v>
      </c>
      <c r="S1782" s="1127" t="s">
        <v>6088</v>
      </c>
      <c r="T1782" s="885" t="s">
        <v>6089</v>
      </c>
      <c r="U1782" s="886">
        <v>1</v>
      </c>
      <c r="V1782" s="842" t="s">
        <v>3</v>
      </c>
      <c r="W1782" s="846">
        <v>295</v>
      </c>
      <c r="X1782" s="847">
        <f t="shared" si="340"/>
        <v>295</v>
      </c>
      <c r="Y1782" s="853" t="s">
        <v>5703</v>
      </c>
      <c r="Z1782" s="849">
        <v>153.99</v>
      </c>
      <c r="AA1782" s="849"/>
      <c r="AB1782" s="849">
        <f t="shared" si="331"/>
        <v>153.99</v>
      </c>
      <c r="AC1782" s="850">
        <f t="shared" si="332"/>
        <v>153.99</v>
      </c>
      <c r="AD1782" s="851">
        <f t="shared" si="341"/>
        <v>32000</v>
      </c>
      <c r="AE1782" s="852">
        <v>30081.54</v>
      </c>
      <c r="AF1782" s="865">
        <v>0.15</v>
      </c>
      <c r="AG1782" s="854">
        <f t="shared" si="333"/>
        <v>699713.77101474605</v>
      </c>
      <c r="AH1782" s="853">
        <v>0.08</v>
      </c>
      <c r="AI1782" s="855">
        <f t="shared" si="334"/>
        <v>426557.60924917972</v>
      </c>
      <c r="AJ1782" s="845" t="s">
        <v>5704</v>
      </c>
      <c r="AK1782" s="857">
        <v>45898</v>
      </c>
      <c r="AL1782" s="843" t="s">
        <v>5705</v>
      </c>
      <c r="AM1782" s="843" t="s">
        <v>5641</v>
      </c>
      <c r="AN1782" s="844" t="s">
        <v>5642</v>
      </c>
      <c r="AO1782" s="844" t="s">
        <v>141</v>
      </c>
      <c r="AP1782" s="841"/>
      <c r="AQ1782" s="841">
        <v>45906</v>
      </c>
      <c r="AR1782" s="841">
        <v>45958</v>
      </c>
      <c r="AS1782" s="842" t="s">
        <v>1284</v>
      </c>
      <c r="AT1782" s="842" t="s">
        <v>1235</v>
      </c>
      <c r="AU1782" s="842" t="s">
        <v>4595</v>
      </c>
      <c r="AV1782" s="843" t="s">
        <v>5706</v>
      </c>
      <c r="AW1782" s="861">
        <v>45961</v>
      </c>
      <c r="AX1782" s="862">
        <v>45965</v>
      </c>
      <c r="AY1782" s="843" t="s">
        <v>6090</v>
      </c>
      <c r="AZ1782" s="842" t="s">
        <v>5103</v>
      </c>
      <c r="BA1782" s="842" t="s">
        <v>120</v>
      </c>
      <c r="BB1782" s="863" t="s">
        <v>121</v>
      </c>
      <c r="BC1782" s="864">
        <v>45967</v>
      </c>
      <c r="BD1782" s="860" t="s">
        <v>5708</v>
      </c>
      <c r="BE1782" s="865" cm="1">
        <f t="array" ref="BE1782">IF(BD1782="","",AC1782/SUMPRODUCT(--(BD1782=$BD$4:$BD$12824),$AC$4:$AC$12824))</f>
        <v>6.5959698405821884E-4</v>
      </c>
      <c r="BF1782" s="458"/>
      <c r="BG1782" s="458"/>
      <c r="BH1782" s="458"/>
      <c r="BI1782" s="458"/>
      <c r="BJ1782" s="458"/>
      <c r="BK1782" s="458"/>
      <c r="BL1782" s="458"/>
      <c r="BM1782" s="458"/>
      <c r="BN1782" s="458"/>
      <c r="BO1782" s="866">
        <f>VLOOKUP(BD1782,$BD$4:$BN$12824,3,0)*BE1782</f>
        <v>27910.680821580532</v>
      </c>
      <c r="BP1782" s="866"/>
      <c r="BQ1782" s="866"/>
      <c r="BR1782" s="866">
        <f>VLOOKUP(BD1782,$BD$4:$BN$12824,6,0)*BE1782</f>
        <v>5265.5981465377563</v>
      </c>
      <c r="BS1782" s="866">
        <f>VLOOKUP(BD1782,$BD$4:$BN$12824,7,0)*BE1782</f>
        <v>4591.4480100594201</v>
      </c>
      <c r="BT1782" s="866"/>
      <c r="BU1782" s="866">
        <f>VLOOKUP(BD1782,$BD$4:$BN$12824,9,0)*BE1782</f>
        <v>369.37431107260255</v>
      </c>
      <c r="BV1782" s="867"/>
      <c r="BW1782" s="867">
        <f>VLOOKUP(BD1782,$BD$4:$BN$12824,11,0)*BE1782</f>
        <v>3311.4211551515396</v>
      </c>
      <c r="BX1782" s="1146">
        <f t="shared" si="335"/>
        <v>41448.522444401853</v>
      </c>
      <c r="BY1782" s="867">
        <f t="shared" si="337"/>
        <v>5373418.6380591486</v>
      </c>
      <c r="BZ1782" s="867">
        <f t="shared" si="336"/>
        <v>5373418.6380591486</v>
      </c>
      <c r="CA1782" s="867">
        <f>_xlfn.MAXIFS($BY$4:$BY$12824,$S$4:$S$12824,$S1782)</f>
        <v>5373418.6380591486</v>
      </c>
      <c r="CB1782" s="1032"/>
      <c r="CF1782" s="946">
        <f t="shared" si="342"/>
        <v>4927680</v>
      </c>
    </row>
    <row r="1783" spans="2:84">
      <c r="B1783" s="839" t="s">
        <v>98</v>
      </c>
      <c r="C1783" s="839" t="s">
        <v>5697</v>
      </c>
      <c r="D1783" s="839" t="s">
        <v>5754</v>
      </c>
      <c r="E1783" s="839" t="s">
        <v>5754</v>
      </c>
      <c r="F1783" s="841">
        <v>45805</v>
      </c>
      <c r="G1783" s="839" t="s">
        <v>5697</v>
      </c>
      <c r="H1783" s="883" t="s">
        <v>3457</v>
      </c>
      <c r="I1783" s="883"/>
      <c r="J1783" s="841"/>
      <c r="K1783" s="841"/>
      <c r="L1783" s="843" t="s">
        <v>5257</v>
      </c>
      <c r="M1783" s="844" t="s">
        <v>107</v>
      </c>
      <c r="N1783" s="841"/>
      <c r="O1783" s="884" t="s">
        <v>135</v>
      </c>
      <c r="P1783" s="842" t="s">
        <v>182</v>
      </c>
      <c r="Q1783" s="843"/>
      <c r="R1783" s="845" t="s">
        <v>6091</v>
      </c>
      <c r="S1783" s="1127" t="s">
        <v>6092</v>
      </c>
      <c r="T1783" s="885" t="s">
        <v>6093</v>
      </c>
      <c r="U1783" s="886">
        <v>1</v>
      </c>
      <c r="V1783" s="842" t="s">
        <v>3</v>
      </c>
      <c r="W1783" s="846">
        <v>295</v>
      </c>
      <c r="X1783" s="847">
        <f t="shared" si="340"/>
        <v>295</v>
      </c>
      <c r="Y1783" s="853" t="s">
        <v>5703</v>
      </c>
      <c r="Z1783" s="849">
        <v>153.99</v>
      </c>
      <c r="AA1783" s="849"/>
      <c r="AB1783" s="849">
        <f t="shared" si="331"/>
        <v>153.99</v>
      </c>
      <c r="AC1783" s="850">
        <f t="shared" si="332"/>
        <v>153.99</v>
      </c>
      <c r="AD1783" s="851">
        <f t="shared" si="341"/>
        <v>32000</v>
      </c>
      <c r="AE1783" s="852">
        <v>30081.54</v>
      </c>
      <c r="AF1783" s="865">
        <v>0.15</v>
      </c>
      <c r="AG1783" s="854">
        <f t="shared" si="333"/>
        <v>699713.77101474605</v>
      </c>
      <c r="AH1783" s="853">
        <v>0.08</v>
      </c>
      <c r="AI1783" s="855">
        <f t="shared" si="334"/>
        <v>426557.60924917972</v>
      </c>
      <c r="AJ1783" s="845" t="s">
        <v>5704</v>
      </c>
      <c r="AK1783" s="857">
        <v>45898</v>
      </c>
      <c r="AL1783" s="843" t="s">
        <v>5705</v>
      </c>
      <c r="AM1783" s="843" t="s">
        <v>5641</v>
      </c>
      <c r="AN1783" s="844" t="s">
        <v>5642</v>
      </c>
      <c r="AO1783" s="844" t="s">
        <v>141</v>
      </c>
      <c r="AP1783" s="841"/>
      <c r="AQ1783" s="841">
        <v>45906</v>
      </c>
      <c r="AR1783" s="841">
        <v>45958</v>
      </c>
      <c r="AS1783" s="842" t="s">
        <v>1284</v>
      </c>
      <c r="AT1783" s="842" t="s">
        <v>1235</v>
      </c>
      <c r="AU1783" s="842" t="s">
        <v>4595</v>
      </c>
      <c r="AV1783" s="843" t="s">
        <v>5706</v>
      </c>
      <c r="AW1783" s="861">
        <v>45961</v>
      </c>
      <c r="AX1783" s="862">
        <v>45965</v>
      </c>
      <c r="AY1783" s="843" t="s">
        <v>6094</v>
      </c>
      <c r="AZ1783" s="842" t="s">
        <v>5103</v>
      </c>
      <c r="BA1783" s="842" t="s">
        <v>120</v>
      </c>
      <c r="BB1783" s="863" t="s">
        <v>121</v>
      </c>
      <c r="BC1783" s="864">
        <v>45967</v>
      </c>
      <c r="BD1783" s="860" t="s">
        <v>5708</v>
      </c>
      <c r="BE1783" s="865" cm="1">
        <f t="array" ref="BE1783">IF(BD1783="","",AC1783/SUMPRODUCT(--(BD1783=$BD$4:$BD$12824),$AC$4:$AC$12824))</f>
        <v>6.5959698405821884E-4</v>
      </c>
      <c r="BF1783" s="458"/>
      <c r="BG1783" s="458"/>
      <c r="BH1783" s="458"/>
      <c r="BI1783" s="458"/>
      <c r="BJ1783" s="458"/>
      <c r="BK1783" s="458"/>
      <c r="BL1783" s="458"/>
      <c r="BM1783" s="458"/>
      <c r="BN1783" s="458"/>
      <c r="BO1783" s="866">
        <f>VLOOKUP(BD1783,$BD$4:$BN$12824,3,0)*BE1783</f>
        <v>27910.680821580532</v>
      </c>
      <c r="BP1783" s="866"/>
      <c r="BQ1783" s="866"/>
      <c r="BR1783" s="866">
        <f>VLOOKUP(BD1783,$BD$4:$BN$12824,6,0)*BE1783</f>
        <v>5265.5981465377563</v>
      </c>
      <c r="BS1783" s="866">
        <f>VLOOKUP(BD1783,$BD$4:$BN$12824,7,0)*BE1783</f>
        <v>4591.4480100594201</v>
      </c>
      <c r="BT1783" s="866"/>
      <c r="BU1783" s="866">
        <f>VLOOKUP(BD1783,$BD$4:$BN$12824,9,0)*BE1783</f>
        <v>369.37431107260255</v>
      </c>
      <c r="BV1783" s="867"/>
      <c r="BW1783" s="867">
        <f>VLOOKUP(BD1783,$BD$4:$BN$12824,11,0)*BE1783</f>
        <v>3311.4211551515396</v>
      </c>
      <c r="BX1783" s="1146">
        <f t="shared" si="335"/>
        <v>41448.522444401853</v>
      </c>
      <c r="BY1783" s="867">
        <f t="shared" si="337"/>
        <v>5373418.6380591486</v>
      </c>
      <c r="BZ1783" s="867">
        <f t="shared" si="336"/>
        <v>5373418.6380591486</v>
      </c>
      <c r="CA1783" s="867">
        <f>_xlfn.MAXIFS($BY$4:$BY$12824,$S$4:$S$12824,$S1783)</f>
        <v>5373418.6380591486</v>
      </c>
      <c r="CB1783" s="1032"/>
      <c r="CF1783" s="946">
        <f t="shared" si="342"/>
        <v>4927680</v>
      </c>
    </row>
    <row r="1784" spans="2:84">
      <c r="B1784" s="839" t="s">
        <v>98</v>
      </c>
      <c r="C1784" s="839" t="s">
        <v>5697</v>
      </c>
      <c r="D1784" s="839" t="s">
        <v>5754</v>
      </c>
      <c r="E1784" s="839" t="s">
        <v>5754</v>
      </c>
      <c r="F1784" s="841">
        <v>45805</v>
      </c>
      <c r="G1784" s="839" t="s">
        <v>5697</v>
      </c>
      <c r="H1784" s="883" t="s">
        <v>3457</v>
      </c>
      <c r="I1784" s="883"/>
      <c r="J1784" s="841"/>
      <c r="K1784" s="841"/>
      <c r="L1784" s="843" t="s">
        <v>5257</v>
      </c>
      <c r="M1784" s="844" t="s">
        <v>107</v>
      </c>
      <c r="N1784" s="841"/>
      <c r="O1784" s="884" t="s">
        <v>135</v>
      </c>
      <c r="P1784" s="842" t="s">
        <v>182</v>
      </c>
      <c r="Q1784" s="843"/>
      <c r="R1784" s="845" t="s">
        <v>6095</v>
      </c>
      <c r="S1784" s="1127" t="s">
        <v>6096</v>
      </c>
      <c r="T1784" s="885" t="s">
        <v>6097</v>
      </c>
      <c r="U1784" s="886">
        <v>2</v>
      </c>
      <c r="V1784" s="842" t="s">
        <v>3</v>
      </c>
      <c r="W1784" s="846">
        <v>335</v>
      </c>
      <c r="X1784" s="847">
        <f t="shared" si="340"/>
        <v>670</v>
      </c>
      <c r="Y1784" s="853" t="s">
        <v>5703</v>
      </c>
      <c r="Z1784" s="849">
        <v>174.87</v>
      </c>
      <c r="AA1784" s="849"/>
      <c r="AB1784" s="849">
        <f t="shared" si="331"/>
        <v>349.74</v>
      </c>
      <c r="AC1784" s="850">
        <f t="shared" si="332"/>
        <v>349.74</v>
      </c>
      <c r="AD1784" s="851">
        <f t="shared" si="341"/>
        <v>32000</v>
      </c>
      <c r="AE1784" s="852">
        <v>30081.54</v>
      </c>
      <c r="AF1784" s="865">
        <v>0.15</v>
      </c>
      <c r="AG1784" s="854">
        <f t="shared" si="333"/>
        <v>1589180.4290843387</v>
      </c>
      <c r="AH1784" s="853">
        <v>0.08</v>
      </c>
      <c r="AI1784" s="855">
        <f t="shared" si="334"/>
        <v>968791.85829474719</v>
      </c>
      <c r="AJ1784" s="845" t="s">
        <v>5704</v>
      </c>
      <c r="AK1784" s="857">
        <v>45898</v>
      </c>
      <c r="AL1784" s="843" t="s">
        <v>5705</v>
      </c>
      <c r="AM1784" s="843" t="s">
        <v>5641</v>
      </c>
      <c r="AN1784" s="844" t="s">
        <v>5642</v>
      </c>
      <c r="AO1784" s="844" t="s">
        <v>141</v>
      </c>
      <c r="AP1784" s="841"/>
      <c r="AQ1784" s="841">
        <v>45906</v>
      </c>
      <c r="AR1784" s="841">
        <v>45958</v>
      </c>
      <c r="AS1784" s="842" t="s">
        <v>1284</v>
      </c>
      <c r="AT1784" s="842" t="s">
        <v>1235</v>
      </c>
      <c r="AU1784" s="842" t="s">
        <v>4595</v>
      </c>
      <c r="AV1784" s="843" t="s">
        <v>5706</v>
      </c>
      <c r="AW1784" s="861">
        <v>45961</v>
      </c>
      <c r="AX1784" s="862">
        <v>45965</v>
      </c>
      <c r="AY1784" s="843" t="s">
        <v>6098</v>
      </c>
      <c r="AZ1784" s="842" t="s">
        <v>5103</v>
      </c>
      <c r="BA1784" s="842" t="s">
        <v>120</v>
      </c>
      <c r="BB1784" s="863" t="s">
        <v>121</v>
      </c>
      <c r="BC1784" s="864">
        <v>45967</v>
      </c>
      <c r="BD1784" s="860" t="s">
        <v>5708</v>
      </c>
      <c r="BE1784" s="865" cm="1">
        <f t="array" ref="BE1784">IF(BD1784="","",AC1784/SUMPRODUCT(--(BD1784=$BD$4:$BD$12824),$AC$4:$AC$12824))</f>
        <v>1.4980677265051072E-3</v>
      </c>
      <c r="BF1784" s="458"/>
      <c r="BG1784" s="458"/>
      <c r="BH1784" s="458"/>
      <c r="BI1784" s="458"/>
      <c r="BJ1784" s="458"/>
      <c r="BK1784" s="458"/>
      <c r="BL1784" s="458"/>
      <c r="BM1784" s="458"/>
      <c r="BN1784" s="458"/>
      <c r="BO1784" s="866">
        <f>VLOOKUP(BD1784,$BD$4:$BN$12824,3,0)*BE1784</f>
        <v>63390.359832064256</v>
      </c>
      <c r="BP1784" s="866"/>
      <c r="BQ1784" s="866"/>
      <c r="BR1784" s="866">
        <f>VLOOKUP(BD1784,$BD$4:$BN$12824,6,0)*BE1784</f>
        <v>11959.155112475582</v>
      </c>
      <c r="BS1784" s="866">
        <f>VLOOKUP(BD1784,$BD$4:$BN$12824,7,0)*BE1784</f>
        <v>10428.034463524786</v>
      </c>
      <c r="BT1784" s="866"/>
      <c r="BU1784" s="866">
        <f>VLOOKUP(BD1784,$BD$4:$BN$12824,9,0)*BE1784</f>
        <v>838.91792684286008</v>
      </c>
      <c r="BV1784" s="867"/>
      <c r="BW1784" s="867">
        <f>VLOOKUP(BD1784,$BD$4:$BN$12824,11,0)*BE1784</f>
        <v>7520.8548269543435</v>
      </c>
      <c r="BX1784" s="1146">
        <f t="shared" si="335"/>
        <v>94137.322161861826</v>
      </c>
      <c r="BY1784" s="867">
        <f t="shared" si="337"/>
        <v>6102017.7754231011</v>
      </c>
      <c r="BZ1784" s="867">
        <f t="shared" si="336"/>
        <v>12204035.550846202</v>
      </c>
      <c r="CA1784" s="867">
        <f>_xlfn.MAXIFS($BY$4:$BY$12824,$S$4:$S$12824,$S1784)</f>
        <v>6102017.7754231011</v>
      </c>
      <c r="CB1784" s="1032"/>
      <c r="CF1784" s="946">
        <f t="shared" si="342"/>
        <v>11191680</v>
      </c>
    </row>
    <row r="1785" spans="2:84">
      <c r="B1785" s="839" t="s">
        <v>98</v>
      </c>
      <c r="C1785" s="839" t="s">
        <v>5697</v>
      </c>
      <c r="D1785" s="839" t="s">
        <v>5754</v>
      </c>
      <c r="E1785" s="839" t="s">
        <v>5754</v>
      </c>
      <c r="F1785" s="841">
        <v>45805</v>
      </c>
      <c r="G1785" s="839" t="s">
        <v>5697</v>
      </c>
      <c r="H1785" s="883" t="s">
        <v>3457</v>
      </c>
      <c r="I1785" s="883"/>
      <c r="J1785" s="841"/>
      <c r="K1785" s="841"/>
      <c r="L1785" s="843" t="s">
        <v>5257</v>
      </c>
      <c r="M1785" s="844" t="s">
        <v>107</v>
      </c>
      <c r="N1785" s="841"/>
      <c r="O1785" s="884" t="s">
        <v>135</v>
      </c>
      <c r="P1785" s="842" t="s">
        <v>182</v>
      </c>
      <c r="Q1785" s="843"/>
      <c r="R1785" s="856" t="s">
        <v>6099</v>
      </c>
      <c r="S1785" s="1127" t="s">
        <v>6100</v>
      </c>
      <c r="T1785" s="885" t="s">
        <v>6101</v>
      </c>
      <c r="U1785" s="886">
        <v>3</v>
      </c>
      <c r="V1785" s="842" t="s">
        <v>3</v>
      </c>
      <c r="W1785" s="846">
        <v>300</v>
      </c>
      <c r="X1785" s="847">
        <f t="shared" si="340"/>
        <v>900</v>
      </c>
      <c r="Y1785" s="853" t="s">
        <v>5703</v>
      </c>
      <c r="Z1785" s="849">
        <v>156.6</v>
      </c>
      <c r="AA1785" s="849"/>
      <c r="AB1785" s="849">
        <f t="shared" si="331"/>
        <v>469.79999999999995</v>
      </c>
      <c r="AC1785" s="850">
        <f t="shared" si="332"/>
        <v>469.79999999999995</v>
      </c>
      <c r="AD1785" s="851">
        <f t="shared" si="341"/>
        <v>32000</v>
      </c>
      <c r="AE1785" s="852">
        <v>30081.54</v>
      </c>
      <c r="AF1785" s="865">
        <v>0.15</v>
      </c>
      <c r="AG1785" s="854">
        <f t="shared" si="333"/>
        <v>2134719.9793670215</v>
      </c>
      <c r="AH1785" s="853">
        <v>0.08</v>
      </c>
      <c r="AI1785" s="855">
        <f t="shared" si="334"/>
        <v>1301362.1977093616</v>
      </c>
      <c r="AJ1785" s="845" t="s">
        <v>5704</v>
      </c>
      <c r="AK1785" s="857">
        <v>45898</v>
      </c>
      <c r="AL1785" s="843" t="s">
        <v>5705</v>
      </c>
      <c r="AM1785" s="843" t="s">
        <v>5641</v>
      </c>
      <c r="AN1785" s="844" t="s">
        <v>5642</v>
      </c>
      <c r="AO1785" s="844" t="s">
        <v>141</v>
      </c>
      <c r="AP1785" s="841"/>
      <c r="AQ1785" s="841">
        <v>45906</v>
      </c>
      <c r="AR1785" s="841">
        <v>45958</v>
      </c>
      <c r="AS1785" s="842" t="s">
        <v>1284</v>
      </c>
      <c r="AT1785" s="842" t="s">
        <v>1235</v>
      </c>
      <c r="AU1785" s="842" t="s">
        <v>4595</v>
      </c>
      <c r="AV1785" s="843" t="s">
        <v>5706</v>
      </c>
      <c r="AW1785" s="861">
        <v>45961</v>
      </c>
      <c r="AX1785" s="862">
        <v>45965</v>
      </c>
      <c r="AY1785" s="843" t="s">
        <v>6102</v>
      </c>
      <c r="AZ1785" s="842" t="s">
        <v>5103</v>
      </c>
      <c r="BA1785" s="842" t="s">
        <v>120</v>
      </c>
      <c r="BB1785" s="863" t="s">
        <v>121</v>
      </c>
      <c r="BC1785" s="864">
        <v>45967</v>
      </c>
      <c r="BD1785" s="860" t="s">
        <v>5708</v>
      </c>
      <c r="BE1785" s="865" cm="1">
        <f t="array" ref="BE1785">IF(BD1785="","",AC1785/SUMPRODUCT(--(BD1785=$BD$4:$BD$12824),$AC$4:$AC$12824))</f>
        <v>2.0123297818725318E-3</v>
      </c>
      <c r="BF1785" s="458"/>
      <c r="BG1785" s="458"/>
      <c r="BH1785" s="458"/>
      <c r="BI1785" s="458"/>
      <c r="BJ1785" s="458"/>
      <c r="BK1785" s="458"/>
      <c r="BL1785" s="458"/>
      <c r="BM1785" s="458"/>
      <c r="BN1785" s="458"/>
      <c r="BO1785" s="866">
        <f>VLOOKUP(BD1785,$BD$4:$BN$12824,3,0)*BE1785</f>
        <v>85151.229625160937</v>
      </c>
      <c r="BP1785" s="866"/>
      <c r="BQ1785" s="866"/>
      <c r="BR1785" s="866">
        <f>VLOOKUP(BD1785,$BD$4:$BN$12824,6,0)*BE1785</f>
        <v>16064.53671825078</v>
      </c>
      <c r="BS1785" s="866">
        <f>VLOOKUP(BD1785,$BD$4:$BN$12824,7,0)*BE1785</f>
        <v>14007.807488316874</v>
      </c>
      <c r="BT1785" s="866"/>
      <c r="BU1785" s="866">
        <f>VLOOKUP(BD1785,$BD$4:$BN$12824,9,0)*BE1785</f>
        <v>1126.9046778486179</v>
      </c>
      <c r="BV1785" s="867"/>
      <c r="BW1785" s="867">
        <f>VLOOKUP(BD1785,$BD$4:$BN$12824,11,0)*BE1785</f>
        <v>10102.640812326728</v>
      </c>
      <c r="BX1785" s="1146">
        <f t="shared" si="335"/>
        <v>126453.11932190394</v>
      </c>
      <c r="BY1785" s="867">
        <f t="shared" si="337"/>
        <v>5464493.5302296411</v>
      </c>
      <c r="BZ1785" s="867">
        <f t="shared" si="336"/>
        <v>16393480.590688923</v>
      </c>
      <c r="CA1785" s="867">
        <f>_xlfn.MAXIFS($BY$4:$BY$12824,$S$4:$S$12824,$S1785)</f>
        <v>5464493.5302296411</v>
      </c>
      <c r="CB1785" s="1032"/>
      <c r="CF1785" s="946">
        <f t="shared" si="342"/>
        <v>15033599.999999998</v>
      </c>
    </row>
    <row r="1786" spans="2:84">
      <c r="B1786" s="839" t="s">
        <v>98</v>
      </c>
      <c r="C1786" s="839" t="s">
        <v>5697</v>
      </c>
      <c r="D1786" s="839" t="s">
        <v>5754</v>
      </c>
      <c r="E1786" s="839" t="s">
        <v>5754</v>
      </c>
      <c r="F1786" s="841">
        <v>45805</v>
      </c>
      <c r="G1786" s="839" t="s">
        <v>5697</v>
      </c>
      <c r="H1786" s="883" t="s">
        <v>3457</v>
      </c>
      <c r="I1786" s="883"/>
      <c r="J1786" s="841"/>
      <c r="K1786" s="841"/>
      <c r="L1786" s="843" t="s">
        <v>5257</v>
      </c>
      <c r="M1786" s="844" t="s">
        <v>107</v>
      </c>
      <c r="N1786" s="841"/>
      <c r="O1786" s="884" t="s">
        <v>135</v>
      </c>
      <c r="P1786" s="842" t="s">
        <v>182</v>
      </c>
      <c r="Q1786" s="843"/>
      <c r="R1786" s="845" t="s">
        <v>6103</v>
      </c>
      <c r="S1786" s="1127" t="s">
        <v>6104</v>
      </c>
      <c r="T1786" s="885" t="s">
        <v>6105</v>
      </c>
      <c r="U1786" s="886">
        <v>1</v>
      </c>
      <c r="V1786" s="842" t="s">
        <v>3</v>
      </c>
      <c r="W1786" s="846">
        <v>305</v>
      </c>
      <c r="X1786" s="847">
        <f t="shared" ref="X1786:X1817" si="343">W1786*U1786</f>
        <v>305</v>
      </c>
      <c r="Y1786" s="853" t="s">
        <v>5703</v>
      </c>
      <c r="Z1786" s="849">
        <v>159.21</v>
      </c>
      <c r="AA1786" s="849"/>
      <c r="AB1786" s="849">
        <f t="shared" si="331"/>
        <v>159.21</v>
      </c>
      <c r="AC1786" s="850">
        <f t="shared" si="332"/>
        <v>159.21</v>
      </c>
      <c r="AD1786" s="851">
        <f t="shared" si="341"/>
        <v>32000</v>
      </c>
      <c r="AE1786" s="852">
        <v>30081.54</v>
      </c>
      <c r="AF1786" s="865">
        <v>0.3</v>
      </c>
      <c r="AG1786" s="854">
        <f t="shared" si="333"/>
        <v>1446865.7637932035</v>
      </c>
      <c r="AH1786" s="853">
        <v>0.08</v>
      </c>
      <c r="AI1786" s="855">
        <f t="shared" si="334"/>
        <v>498891.81977545633</v>
      </c>
      <c r="AJ1786" s="845" t="s">
        <v>5704</v>
      </c>
      <c r="AK1786" s="857">
        <v>45898</v>
      </c>
      <c r="AL1786" s="843" t="s">
        <v>5705</v>
      </c>
      <c r="AM1786" s="843" t="s">
        <v>5641</v>
      </c>
      <c r="AN1786" s="844" t="s">
        <v>5642</v>
      </c>
      <c r="AO1786" s="844" t="s">
        <v>141</v>
      </c>
      <c r="AP1786" s="841"/>
      <c r="AQ1786" s="841">
        <v>45906</v>
      </c>
      <c r="AR1786" s="841">
        <v>45958</v>
      </c>
      <c r="AS1786" s="842" t="s">
        <v>1284</v>
      </c>
      <c r="AT1786" s="842" t="s">
        <v>1235</v>
      </c>
      <c r="AU1786" s="842" t="s">
        <v>4595</v>
      </c>
      <c r="AV1786" s="843" t="s">
        <v>5706</v>
      </c>
      <c r="AW1786" s="861">
        <v>45961</v>
      </c>
      <c r="AX1786" s="862">
        <v>45965</v>
      </c>
      <c r="AY1786" s="843" t="s">
        <v>6106</v>
      </c>
      <c r="AZ1786" s="842" t="s">
        <v>3033</v>
      </c>
      <c r="BA1786" s="842" t="s">
        <v>120</v>
      </c>
      <c r="BB1786" s="863" t="s">
        <v>121</v>
      </c>
      <c r="BC1786" s="864">
        <v>45967</v>
      </c>
      <c r="BD1786" s="860" t="s">
        <v>5708</v>
      </c>
      <c r="BE1786" s="865" cm="1">
        <f t="array" ref="BE1786">IF(BD1786="","",AC1786/SUMPRODUCT(--(BD1786=$BD$4:$BD$12824),$AC$4:$AC$12824))</f>
        <v>6.8195620385680259E-4</v>
      </c>
      <c r="BF1786" s="458"/>
      <c r="BG1786" s="458"/>
      <c r="BH1786" s="458"/>
      <c r="BI1786" s="458"/>
      <c r="BJ1786" s="458"/>
      <c r="BK1786" s="458"/>
      <c r="BL1786" s="458"/>
      <c r="BM1786" s="458"/>
      <c r="BN1786" s="458"/>
      <c r="BO1786" s="866">
        <f>VLOOKUP(BD1786,$BD$4:$BN$12824,3,0)*BE1786</f>
        <v>28856.805595193433</v>
      </c>
      <c r="BP1786" s="866"/>
      <c r="BQ1786" s="866"/>
      <c r="BR1786" s="866">
        <f>VLOOKUP(BD1786,$BD$4:$BN$12824,6,0)*BE1786</f>
        <v>5444.0929989627657</v>
      </c>
      <c r="BS1786" s="866">
        <f>VLOOKUP(BD1786,$BD$4:$BN$12824,7,0)*BE1786</f>
        <v>4747.090315485164</v>
      </c>
      <c r="BT1786" s="866"/>
      <c r="BU1786" s="866">
        <f>VLOOKUP(BD1786,$BD$4:$BN$12824,9,0)*BE1786</f>
        <v>381.89547415980945</v>
      </c>
      <c r="BV1786" s="867"/>
      <c r="BW1786" s="867">
        <f>VLOOKUP(BD1786,$BD$4:$BN$12824,11,0)*BE1786</f>
        <v>3423.6727197329478</v>
      </c>
      <c r="BX1786" s="1146">
        <f t="shared" si="335"/>
        <v>42853.557103534113</v>
      </c>
      <c r="BY1786" s="867">
        <f t="shared" si="337"/>
        <v>6279001.3042967385</v>
      </c>
      <c r="BZ1786" s="867">
        <f t="shared" si="336"/>
        <v>6279001.3042967385</v>
      </c>
      <c r="CA1786" s="867">
        <f>_xlfn.MAXIFS($BY$4:$BY$12824,$S$4:$S$12824,$S1786)</f>
        <v>6279001.3042967385</v>
      </c>
      <c r="CB1786" s="1032"/>
      <c r="CF1786" s="946">
        <f t="shared" si="342"/>
        <v>5094720</v>
      </c>
    </row>
    <row r="1787" spans="2:84">
      <c r="B1787" s="839" t="s">
        <v>98</v>
      </c>
      <c r="C1787" s="839" t="s">
        <v>5697</v>
      </c>
      <c r="D1787" s="839" t="s">
        <v>5754</v>
      </c>
      <c r="E1787" s="839" t="s">
        <v>5754</v>
      </c>
      <c r="F1787" s="841">
        <v>45805</v>
      </c>
      <c r="G1787" s="839" t="s">
        <v>5697</v>
      </c>
      <c r="H1787" s="883" t="s">
        <v>3457</v>
      </c>
      <c r="I1787" s="883"/>
      <c r="J1787" s="841"/>
      <c r="K1787" s="841"/>
      <c r="L1787" s="843" t="s">
        <v>5257</v>
      </c>
      <c r="M1787" s="844" t="s">
        <v>107</v>
      </c>
      <c r="N1787" s="841"/>
      <c r="O1787" s="884" t="s">
        <v>135</v>
      </c>
      <c r="P1787" s="842" t="s">
        <v>182</v>
      </c>
      <c r="Q1787" s="843"/>
      <c r="R1787" s="845" t="s">
        <v>6107</v>
      </c>
      <c r="S1787" s="1127" t="s">
        <v>6108</v>
      </c>
      <c r="T1787" s="885" t="s">
        <v>6109</v>
      </c>
      <c r="U1787" s="886">
        <v>1</v>
      </c>
      <c r="V1787" s="842" t="s">
        <v>3</v>
      </c>
      <c r="W1787" s="846">
        <v>305</v>
      </c>
      <c r="X1787" s="847">
        <f t="shared" si="343"/>
        <v>305</v>
      </c>
      <c r="Y1787" s="853" t="s">
        <v>5703</v>
      </c>
      <c r="Z1787" s="849">
        <v>159.21</v>
      </c>
      <c r="AA1787" s="849"/>
      <c r="AB1787" s="849">
        <f t="shared" si="331"/>
        <v>159.21</v>
      </c>
      <c r="AC1787" s="850">
        <f t="shared" si="332"/>
        <v>159.21</v>
      </c>
      <c r="AD1787" s="851">
        <f t="shared" si="341"/>
        <v>32000</v>
      </c>
      <c r="AE1787" s="852">
        <v>30081.54</v>
      </c>
      <c r="AF1787" s="865">
        <v>0.3</v>
      </c>
      <c r="AG1787" s="854">
        <f t="shared" si="333"/>
        <v>1446865.7637932035</v>
      </c>
      <c r="AH1787" s="853">
        <v>0.08</v>
      </c>
      <c r="AI1787" s="855">
        <f t="shared" si="334"/>
        <v>498891.81977545633</v>
      </c>
      <c r="AJ1787" s="845" t="s">
        <v>5704</v>
      </c>
      <c r="AK1787" s="857">
        <v>45898</v>
      </c>
      <c r="AL1787" s="843" t="s">
        <v>5705</v>
      </c>
      <c r="AM1787" s="843" t="s">
        <v>5641</v>
      </c>
      <c r="AN1787" s="844" t="s">
        <v>5642</v>
      </c>
      <c r="AO1787" s="844" t="s">
        <v>141</v>
      </c>
      <c r="AP1787" s="841"/>
      <c r="AQ1787" s="841">
        <v>45906</v>
      </c>
      <c r="AR1787" s="841">
        <v>45958</v>
      </c>
      <c r="AS1787" s="842" t="s">
        <v>1284</v>
      </c>
      <c r="AT1787" s="842" t="s">
        <v>1235</v>
      </c>
      <c r="AU1787" s="842" t="s">
        <v>4595</v>
      </c>
      <c r="AV1787" s="843" t="s">
        <v>5712</v>
      </c>
      <c r="AW1787" s="861">
        <v>45961</v>
      </c>
      <c r="AX1787" s="862">
        <v>45965</v>
      </c>
      <c r="AY1787" s="843" t="s">
        <v>6110</v>
      </c>
      <c r="AZ1787" s="842" t="s">
        <v>3033</v>
      </c>
      <c r="BA1787" s="842" t="s">
        <v>120</v>
      </c>
      <c r="BB1787" s="863" t="s">
        <v>121</v>
      </c>
      <c r="BC1787" s="864">
        <v>45967</v>
      </c>
      <c r="BD1787" s="860" t="s">
        <v>5708</v>
      </c>
      <c r="BE1787" s="865" cm="1">
        <f t="array" ref="BE1787">IF(BD1787="","",AC1787/SUMPRODUCT(--(BD1787=$BD$4:$BD$12824),$AC$4:$AC$12824))</f>
        <v>6.8195620385680259E-4</v>
      </c>
      <c r="BF1787" s="458"/>
      <c r="BG1787" s="458"/>
      <c r="BH1787" s="458"/>
      <c r="BI1787" s="458"/>
      <c r="BJ1787" s="458"/>
      <c r="BK1787" s="458"/>
      <c r="BL1787" s="458"/>
      <c r="BM1787" s="458"/>
      <c r="BN1787" s="458"/>
      <c r="BO1787" s="866">
        <f>VLOOKUP(BD1787,$BD$4:$BN$12824,3,0)*BE1787</f>
        <v>28856.805595193433</v>
      </c>
      <c r="BP1787" s="866"/>
      <c r="BQ1787" s="866"/>
      <c r="BR1787" s="866">
        <f>VLOOKUP(BD1787,$BD$4:$BN$12824,6,0)*BE1787</f>
        <v>5444.0929989627657</v>
      </c>
      <c r="BS1787" s="866">
        <f>VLOOKUP(BD1787,$BD$4:$BN$12824,7,0)*BE1787</f>
        <v>4747.090315485164</v>
      </c>
      <c r="BT1787" s="866"/>
      <c r="BU1787" s="866">
        <f>VLOOKUP(BD1787,$BD$4:$BN$12824,9,0)*BE1787</f>
        <v>381.89547415980945</v>
      </c>
      <c r="BV1787" s="867"/>
      <c r="BW1787" s="867">
        <f>VLOOKUP(BD1787,$BD$4:$BN$12824,11,0)*BE1787</f>
        <v>3423.6727197329478</v>
      </c>
      <c r="BX1787" s="1146">
        <f t="shared" si="335"/>
        <v>42853.557103534113</v>
      </c>
      <c r="BY1787" s="867">
        <f t="shared" si="337"/>
        <v>6279001.3042967385</v>
      </c>
      <c r="BZ1787" s="867">
        <f t="shared" si="336"/>
        <v>6279001.3042967385</v>
      </c>
      <c r="CA1787" s="867">
        <f>_xlfn.MAXIFS($BY$4:$BY$12824,$S$4:$S$12824,$S1787)</f>
        <v>6279001.3042967385</v>
      </c>
      <c r="CB1787" s="1032"/>
      <c r="CF1787" s="946">
        <f t="shared" si="342"/>
        <v>5094720</v>
      </c>
    </row>
    <row r="1788" spans="2:84">
      <c r="B1788" s="839" t="s">
        <v>98</v>
      </c>
      <c r="C1788" s="839" t="s">
        <v>5697</v>
      </c>
      <c r="D1788" s="839" t="s">
        <v>5754</v>
      </c>
      <c r="E1788" s="839" t="s">
        <v>5754</v>
      </c>
      <c r="F1788" s="841">
        <v>45805</v>
      </c>
      <c r="G1788" s="839" t="s">
        <v>5697</v>
      </c>
      <c r="H1788" s="883" t="s">
        <v>3457</v>
      </c>
      <c r="I1788" s="883"/>
      <c r="J1788" s="841"/>
      <c r="K1788" s="841"/>
      <c r="L1788" s="843" t="s">
        <v>5257</v>
      </c>
      <c r="M1788" s="844" t="s">
        <v>107</v>
      </c>
      <c r="N1788" s="841"/>
      <c r="O1788" s="884" t="s">
        <v>135</v>
      </c>
      <c r="P1788" s="842" t="s">
        <v>182</v>
      </c>
      <c r="Q1788" s="843"/>
      <c r="R1788" s="845" t="s">
        <v>6111</v>
      </c>
      <c r="S1788" s="1127" t="s">
        <v>6112</v>
      </c>
      <c r="T1788" s="885" t="s">
        <v>6113</v>
      </c>
      <c r="U1788" s="886">
        <v>1</v>
      </c>
      <c r="V1788" s="842" t="s">
        <v>3</v>
      </c>
      <c r="W1788" s="846">
        <v>415</v>
      </c>
      <c r="X1788" s="847">
        <f t="shared" si="343"/>
        <v>415</v>
      </c>
      <c r="Y1788" s="853" t="s">
        <v>5703</v>
      </c>
      <c r="Z1788" s="849">
        <v>216.63</v>
      </c>
      <c r="AA1788" s="849"/>
      <c r="AB1788" s="849">
        <f t="shared" si="331"/>
        <v>216.63</v>
      </c>
      <c r="AC1788" s="850">
        <f t="shared" si="332"/>
        <v>216.63</v>
      </c>
      <c r="AD1788" s="851">
        <f t="shared" si="341"/>
        <v>32000</v>
      </c>
      <c r="AE1788" s="852">
        <v>30081.54</v>
      </c>
      <c r="AF1788" s="865">
        <v>0.3</v>
      </c>
      <c r="AG1788" s="854">
        <f t="shared" si="333"/>
        <v>1968686.203194031</v>
      </c>
      <c r="AH1788" s="853">
        <v>0.08</v>
      </c>
      <c r="AI1788" s="855">
        <f t="shared" si="334"/>
        <v>678820.01707152254</v>
      </c>
      <c r="AJ1788" s="845" t="s">
        <v>5704</v>
      </c>
      <c r="AK1788" s="857">
        <v>45898</v>
      </c>
      <c r="AL1788" s="843" t="s">
        <v>5705</v>
      </c>
      <c r="AM1788" s="843" t="s">
        <v>5641</v>
      </c>
      <c r="AN1788" s="844" t="s">
        <v>5642</v>
      </c>
      <c r="AO1788" s="844" t="s">
        <v>141</v>
      </c>
      <c r="AP1788" s="841"/>
      <c r="AQ1788" s="841">
        <v>45906</v>
      </c>
      <c r="AR1788" s="841">
        <v>45958</v>
      </c>
      <c r="AS1788" s="842" t="s">
        <v>1284</v>
      </c>
      <c r="AT1788" s="842" t="s">
        <v>1235</v>
      </c>
      <c r="AU1788" s="842" t="s">
        <v>4595</v>
      </c>
      <c r="AV1788" s="843" t="s">
        <v>5712</v>
      </c>
      <c r="AW1788" s="861">
        <v>45961</v>
      </c>
      <c r="AX1788" s="862">
        <v>45965</v>
      </c>
      <c r="AY1788" s="843" t="s">
        <v>6114</v>
      </c>
      <c r="AZ1788" s="842" t="s">
        <v>3033</v>
      </c>
      <c r="BA1788" s="842" t="s">
        <v>120</v>
      </c>
      <c r="BB1788" s="863" t="s">
        <v>121</v>
      </c>
      <c r="BC1788" s="864">
        <v>45967</v>
      </c>
      <c r="BD1788" s="860" t="s">
        <v>5708</v>
      </c>
      <c r="BE1788" s="865" cm="1">
        <f t="array" ref="BE1788">IF(BD1788="","",AC1788/SUMPRODUCT(--(BD1788=$BD$4:$BD$12824),$AC$4:$AC$12824))</f>
        <v>9.2790762164122304E-4</v>
      </c>
      <c r="BF1788" s="458"/>
      <c r="BG1788" s="458"/>
      <c r="BH1788" s="458"/>
      <c r="BI1788" s="458"/>
      <c r="BJ1788" s="458"/>
      <c r="BK1788" s="458"/>
      <c r="BL1788" s="458"/>
      <c r="BM1788" s="458"/>
      <c r="BN1788" s="458"/>
      <c r="BO1788" s="866">
        <f>VLOOKUP(BD1788,$BD$4:$BN$12824,3,0)*BE1788</f>
        <v>39264.178104935323</v>
      </c>
      <c r="BP1788" s="866"/>
      <c r="BQ1788" s="866"/>
      <c r="BR1788" s="866">
        <f>VLOOKUP(BD1788,$BD$4:$BN$12824,6,0)*BE1788</f>
        <v>7407.5363756378601</v>
      </c>
      <c r="BS1788" s="866">
        <f>VLOOKUP(BD1788,$BD$4:$BN$12824,7,0)*BE1788</f>
        <v>6459.1556751683365</v>
      </c>
      <c r="BT1788" s="866"/>
      <c r="BU1788" s="866">
        <f>VLOOKUP(BD1788,$BD$4:$BN$12824,9,0)*BE1788</f>
        <v>519.62826811908485</v>
      </c>
      <c r="BV1788" s="867"/>
      <c r="BW1788" s="867">
        <f>VLOOKUP(BD1788,$BD$4:$BN$12824,11,0)*BE1788</f>
        <v>4658.4399301284366</v>
      </c>
      <c r="BX1788" s="1146">
        <f t="shared" si="335"/>
        <v>58308.93835398904</v>
      </c>
      <c r="BY1788" s="867">
        <f t="shared" si="337"/>
        <v>8543559.1517480202</v>
      </c>
      <c r="BZ1788" s="867">
        <f t="shared" si="336"/>
        <v>8543559.1517480202</v>
      </c>
      <c r="CA1788" s="867">
        <f>_xlfn.MAXIFS($BY$4:$BY$12824,$S$4:$S$12824,$S1788)</f>
        <v>8543559.1517480202</v>
      </c>
      <c r="CB1788" s="1032"/>
      <c r="CF1788" s="946">
        <f t="shared" si="342"/>
        <v>6932160</v>
      </c>
    </row>
    <row r="1789" spans="2:84">
      <c r="B1789" s="839" t="s">
        <v>98</v>
      </c>
      <c r="C1789" s="839" t="s">
        <v>5697</v>
      </c>
      <c r="D1789" s="839" t="s">
        <v>5754</v>
      </c>
      <c r="E1789" s="839" t="s">
        <v>5754</v>
      </c>
      <c r="F1789" s="841">
        <v>45805</v>
      </c>
      <c r="G1789" s="839" t="s">
        <v>5697</v>
      </c>
      <c r="H1789" s="883" t="s">
        <v>3457</v>
      </c>
      <c r="I1789" s="883"/>
      <c r="J1789" s="841"/>
      <c r="K1789" s="841"/>
      <c r="L1789" s="843" t="s">
        <v>5257</v>
      </c>
      <c r="M1789" s="844" t="s">
        <v>107</v>
      </c>
      <c r="N1789" s="841"/>
      <c r="O1789" s="884" t="s">
        <v>135</v>
      </c>
      <c r="P1789" s="842" t="s">
        <v>182</v>
      </c>
      <c r="Q1789" s="843"/>
      <c r="R1789" s="856" t="s">
        <v>6115</v>
      </c>
      <c r="S1789" s="1127" t="s">
        <v>6116</v>
      </c>
      <c r="T1789" s="885" t="s">
        <v>6117</v>
      </c>
      <c r="U1789" s="886">
        <v>1</v>
      </c>
      <c r="V1789" s="842" t="s">
        <v>3</v>
      </c>
      <c r="W1789" s="846">
        <v>305</v>
      </c>
      <c r="X1789" s="847">
        <f t="shared" si="343"/>
        <v>305</v>
      </c>
      <c r="Y1789" s="853" t="s">
        <v>5703</v>
      </c>
      <c r="Z1789" s="849">
        <v>159.21</v>
      </c>
      <c r="AA1789" s="849"/>
      <c r="AB1789" s="849">
        <f t="shared" si="331"/>
        <v>159.21</v>
      </c>
      <c r="AC1789" s="850">
        <f t="shared" si="332"/>
        <v>159.21</v>
      </c>
      <c r="AD1789" s="851">
        <f t="shared" si="341"/>
        <v>32000</v>
      </c>
      <c r="AE1789" s="852">
        <v>30081.54</v>
      </c>
      <c r="AF1789" s="865">
        <v>0.3</v>
      </c>
      <c r="AG1789" s="854">
        <f t="shared" si="333"/>
        <v>1446865.7637932035</v>
      </c>
      <c r="AH1789" s="853">
        <v>0.08</v>
      </c>
      <c r="AI1789" s="855">
        <f t="shared" si="334"/>
        <v>498891.81977545633</v>
      </c>
      <c r="AJ1789" s="845" t="s">
        <v>5704</v>
      </c>
      <c r="AK1789" s="857">
        <v>45898</v>
      </c>
      <c r="AL1789" s="843" t="s">
        <v>5705</v>
      </c>
      <c r="AM1789" s="843" t="s">
        <v>5641</v>
      </c>
      <c r="AN1789" s="844" t="s">
        <v>5642</v>
      </c>
      <c r="AO1789" s="844" t="s">
        <v>141</v>
      </c>
      <c r="AP1789" s="841"/>
      <c r="AQ1789" s="841">
        <v>45906</v>
      </c>
      <c r="AR1789" s="841">
        <v>45958</v>
      </c>
      <c r="AS1789" s="842" t="s">
        <v>1284</v>
      </c>
      <c r="AT1789" s="842" t="s">
        <v>1235</v>
      </c>
      <c r="AU1789" s="842" t="s">
        <v>4595</v>
      </c>
      <c r="AV1789" s="843" t="s">
        <v>5712</v>
      </c>
      <c r="AW1789" s="861">
        <v>45961</v>
      </c>
      <c r="AX1789" s="862">
        <v>45965</v>
      </c>
      <c r="AY1789" s="843" t="s">
        <v>6118</v>
      </c>
      <c r="AZ1789" s="842" t="s">
        <v>3033</v>
      </c>
      <c r="BA1789" s="842" t="s">
        <v>120</v>
      </c>
      <c r="BB1789" s="863" t="s">
        <v>121</v>
      </c>
      <c r="BC1789" s="864">
        <v>45967</v>
      </c>
      <c r="BD1789" s="860" t="s">
        <v>5708</v>
      </c>
      <c r="BE1789" s="865" cm="1">
        <f t="array" ref="BE1789">IF(BD1789="","",AC1789/SUMPRODUCT(--(BD1789=$BD$4:$BD$12824),$AC$4:$AC$12824))</f>
        <v>6.8195620385680259E-4</v>
      </c>
      <c r="BF1789" s="458"/>
      <c r="BG1789" s="458"/>
      <c r="BH1789" s="458"/>
      <c r="BI1789" s="458"/>
      <c r="BJ1789" s="458"/>
      <c r="BK1789" s="458"/>
      <c r="BL1789" s="458"/>
      <c r="BM1789" s="458"/>
      <c r="BN1789" s="458"/>
      <c r="BO1789" s="866">
        <f>VLOOKUP(BD1789,$BD$4:$BN$12824,3,0)*BE1789</f>
        <v>28856.805595193433</v>
      </c>
      <c r="BP1789" s="866"/>
      <c r="BQ1789" s="866"/>
      <c r="BR1789" s="866">
        <f>VLOOKUP(BD1789,$BD$4:$BN$12824,6,0)*BE1789</f>
        <v>5444.0929989627657</v>
      </c>
      <c r="BS1789" s="866">
        <f>VLOOKUP(BD1789,$BD$4:$BN$12824,7,0)*BE1789</f>
        <v>4747.090315485164</v>
      </c>
      <c r="BT1789" s="866"/>
      <c r="BU1789" s="866">
        <f>VLOOKUP(BD1789,$BD$4:$BN$12824,9,0)*BE1789</f>
        <v>381.89547415980945</v>
      </c>
      <c r="BV1789" s="867"/>
      <c r="BW1789" s="867">
        <f>VLOOKUP(BD1789,$BD$4:$BN$12824,11,0)*BE1789</f>
        <v>3423.6727197329478</v>
      </c>
      <c r="BX1789" s="1146">
        <f t="shared" si="335"/>
        <v>42853.557103534113</v>
      </c>
      <c r="BY1789" s="867">
        <f t="shared" si="337"/>
        <v>6279001.3042967385</v>
      </c>
      <c r="BZ1789" s="867">
        <f t="shared" si="336"/>
        <v>6279001.3042967385</v>
      </c>
      <c r="CA1789" s="867">
        <f>_xlfn.MAXIFS($BY$4:$BY$12824,$S$4:$S$12824,$S1789)</f>
        <v>6279001.3042967385</v>
      </c>
      <c r="CB1789" s="1032"/>
      <c r="CF1789" s="946">
        <f t="shared" si="342"/>
        <v>5094720</v>
      </c>
    </row>
    <row r="1790" spans="2:84">
      <c r="B1790" s="839" t="s">
        <v>98</v>
      </c>
      <c r="C1790" s="839" t="s">
        <v>5697</v>
      </c>
      <c r="D1790" s="839" t="s">
        <v>5754</v>
      </c>
      <c r="E1790" s="839" t="s">
        <v>5754</v>
      </c>
      <c r="F1790" s="841">
        <v>45805</v>
      </c>
      <c r="G1790" s="839" t="s">
        <v>5697</v>
      </c>
      <c r="H1790" s="883" t="s">
        <v>3457</v>
      </c>
      <c r="I1790" s="883"/>
      <c r="J1790" s="841"/>
      <c r="K1790" s="841"/>
      <c r="L1790" s="843" t="s">
        <v>5257</v>
      </c>
      <c r="M1790" s="844" t="s">
        <v>107</v>
      </c>
      <c r="N1790" s="841"/>
      <c r="O1790" s="884" t="s">
        <v>135</v>
      </c>
      <c r="P1790" s="842" t="s">
        <v>182</v>
      </c>
      <c r="Q1790" s="843"/>
      <c r="R1790" s="845" t="s">
        <v>6119</v>
      </c>
      <c r="S1790" s="1127" t="s">
        <v>6120</v>
      </c>
      <c r="T1790" s="885" t="s">
        <v>6121</v>
      </c>
      <c r="U1790" s="886">
        <v>1</v>
      </c>
      <c r="V1790" s="842" t="s">
        <v>3</v>
      </c>
      <c r="W1790" s="846">
        <v>305</v>
      </c>
      <c r="X1790" s="847">
        <f t="shared" si="343"/>
        <v>305</v>
      </c>
      <c r="Y1790" s="853" t="s">
        <v>5703</v>
      </c>
      <c r="Z1790" s="849">
        <v>159.21</v>
      </c>
      <c r="AA1790" s="849"/>
      <c r="AB1790" s="849">
        <f t="shared" si="331"/>
        <v>159.21</v>
      </c>
      <c r="AC1790" s="850">
        <f t="shared" si="332"/>
        <v>159.21</v>
      </c>
      <c r="AD1790" s="851">
        <f t="shared" si="341"/>
        <v>32000</v>
      </c>
      <c r="AE1790" s="852">
        <v>30081.54</v>
      </c>
      <c r="AF1790" s="865">
        <v>0.3</v>
      </c>
      <c r="AG1790" s="854">
        <f t="shared" si="333"/>
        <v>1446865.7637932035</v>
      </c>
      <c r="AH1790" s="853">
        <v>0.08</v>
      </c>
      <c r="AI1790" s="855">
        <f t="shared" si="334"/>
        <v>498891.81977545633</v>
      </c>
      <c r="AJ1790" s="845" t="s">
        <v>5704</v>
      </c>
      <c r="AK1790" s="857">
        <v>45898</v>
      </c>
      <c r="AL1790" s="843" t="s">
        <v>5705</v>
      </c>
      <c r="AM1790" s="843" t="s">
        <v>5641</v>
      </c>
      <c r="AN1790" s="844" t="s">
        <v>5642</v>
      </c>
      <c r="AO1790" s="844" t="s">
        <v>141</v>
      </c>
      <c r="AP1790" s="841"/>
      <c r="AQ1790" s="841">
        <v>45906</v>
      </c>
      <c r="AR1790" s="841">
        <v>45958</v>
      </c>
      <c r="AS1790" s="842" t="s">
        <v>1284</v>
      </c>
      <c r="AT1790" s="842" t="s">
        <v>1235</v>
      </c>
      <c r="AU1790" s="842" t="s">
        <v>4595</v>
      </c>
      <c r="AV1790" s="843" t="s">
        <v>5712</v>
      </c>
      <c r="AW1790" s="861">
        <v>45961</v>
      </c>
      <c r="AX1790" s="862">
        <v>45965</v>
      </c>
      <c r="AY1790" s="843" t="s">
        <v>6122</v>
      </c>
      <c r="AZ1790" s="842" t="s">
        <v>3033</v>
      </c>
      <c r="BA1790" s="842" t="s">
        <v>120</v>
      </c>
      <c r="BB1790" s="863" t="s">
        <v>121</v>
      </c>
      <c r="BC1790" s="864">
        <v>45967</v>
      </c>
      <c r="BD1790" s="860" t="s">
        <v>5708</v>
      </c>
      <c r="BE1790" s="865" cm="1">
        <f t="array" ref="BE1790">IF(BD1790="","",AC1790/SUMPRODUCT(--(BD1790=$BD$4:$BD$12824),$AC$4:$AC$12824))</f>
        <v>6.8195620385680259E-4</v>
      </c>
      <c r="BF1790" s="458"/>
      <c r="BG1790" s="458"/>
      <c r="BH1790" s="458"/>
      <c r="BI1790" s="458"/>
      <c r="BJ1790" s="458"/>
      <c r="BK1790" s="458"/>
      <c r="BL1790" s="458"/>
      <c r="BM1790" s="458"/>
      <c r="BN1790" s="458"/>
      <c r="BO1790" s="866">
        <f>VLOOKUP(BD1790,$BD$4:$BN$12824,3,0)*BE1790</f>
        <v>28856.805595193433</v>
      </c>
      <c r="BP1790" s="866"/>
      <c r="BQ1790" s="866"/>
      <c r="BR1790" s="866">
        <f>VLOOKUP(BD1790,$BD$4:$BN$12824,6,0)*BE1790</f>
        <v>5444.0929989627657</v>
      </c>
      <c r="BS1790" s="866">
        <f>VLOOKUP(BD1790,$BD$4:$BN$12824,7,0)*BE1790</f>
        <v>4747.090315485164</v>
      </c>
      <c r="BT1790" s="866"/>
      <c r="BU1790" s="866">
        <f>VLOOKUP(BD1790,$BD$4:$BN$12824,9,0)*BE1790</f>
        <v>381.89547415980945</v>
      </c>
      <c r="BV1790" s="867"/>
      <c r="BW1790" s="867">
        <f>VLOOKUP(BD1790,$BD$4:$BN$12824,11,0)*BE1790</f>
        <v>3423.6727197329478</v>
      </c>
      <c r="BX1790" s="1146">
        <f t="shared" si="335"/>
        <v>42853.557103534113</v>
      </c>
      <c r="BY1790" s="867">
        <f t="shared" si="337"/>
        <v>6279001.3042967385</v>
      </c>
      <c r="BZ1790" s="867">
        <f t="shared" si="336"/>
        <v>6279001.3042967385</v>
      </c>
      <c r="CA1790" s="867">
        <f>_xlfn.MAXIFS($BY$4:$BY$12824,$S$4:$S$12824,$S1790)</f>
        <v>6279001.3042967385</v>
      </c>
      <c r="CB1790" s="1032"/>
      <c r="CF1790" s="946">
        <f t="shared" si="342"/>
        <v>5094720</v>
      </c>
    </row>
    <row r="1791" spans="2:84">
      <c r="B1791" s="839" t="s">
        <v>98</v>
      </c>
      <c r="C1791" s="839" t="s">
        <v>5697</v>
      </c>
      <c r="D1791" s="839" t="s">
        <v>5754</v>
      </c>
      <c r="E1791" s="839" t="s">
        <v>5754</v>
      </c>
      <c r="F1791" s="841">
        <v>45805</v>
      </c>
      <c r="G1791" s="839" t="s">
        <v>5697</v>
      </c>
      <c r="H1791" s="883" t="s">
        <v>3457</v>
      </c>
      <c r="I1791" s="883"/>
      <c r="J1791" s="841"/>
      <c r="K1791" s="841"/>
      <c r="L1791" s="843" t="s">
        <v>5257</v>
      </c>
      <c r="M1791" s="844" t="s">
        <v>107</v>
      </c>
      <c r="N1791" s="841"/>
      <c r="O1791" s="884" t="s">
        <v>135</v>
      </c>
      <c r="P1791" s="842" t="s">
        <v>182</v>
      </c>
      <c r="Q1791" s="843"/>
      <c r="R1791" s="845" t="s">
        <v>6123</v>
      </c>
      <c r="S1791" s="1127" t="s">
        <v>6124</v>
      </c>
      <c r="T1791" s="885" t="s">
        <v>6125</v>
      </c>
      <c r="U1791" s="886">
        <v>1</v>
      </c>
      <c r="V1791" s="842" t="s">
        <v>3</v>
      </c>
      <c r="W1791" s="846">
        <v>475</v>
      </c>
      <c r="X1791" s="847">
        <f t="shared" si="343"/>
        <v>475</v>
      </c>
      <c r="Y1791" s="853" t="s">
        <v>5703</v>
      </c>
      <c r="Z1791" s="849">
        <v>247.95</v>
      </c>
      <c r="AA1791" s="849"/>
      <c r="AB1791" s="849">
        <f t="shared" si="331"/>
        <v>247.95</v>
      </c>
      <c r="AC1791" s="850">
        <f t="shared" si="332"/>
        <v>247.95</v>
      </c>
      <c r="AD1791" s="851">
        <f t="shared" si="341"/>
        <v>32000</v>
      </c>
      <c r="AE1791" s="852">
        <v>30081.54</v>
      </c>
      <c r="AF1791" s="865">
        <v>0.3</v>
      </c>
      <c r="AG1791" s="854">
        <f t="shared" si="333"/>
        <v>2253315.5337763005</v>
      </c>
      <c r="AH1791" s="853">
        <v>0.08</v>
      </c>
      <c r="AI1791" s="855">
        <f t="shared" si="334"/>
        <v>776962.67014210403</v>
      </c>
      <c r="AJ1791" s="845" t="s">
        <v>5704</v>
      </c>
      <c r="AK1791" s="857">
        <v>45898</v>
      </c>
      <c r="AL1791" s="843" t="s">
        <v>5705</v>
      </c>
      <c r="AM1791" s="843" t="s">
        <v>5641</v>
      </c>
      <c r="AN1791" s="844" t="s">
        <v>5642</v>
      </c>
      <c r="AO1791" s="844" t="s">
        <v>141</v>
      </c>
      <c r="AP1791" s="841"/>
      <c r="AQ1791" s="841">
        <v>45906</v>
      </c>
      <c r="AR1791" s="841">
        <v>45958</v>
      </c>
      <c r="AS1791" s="842" t="s">
        <v>1284</v>
      </c>
      <c r="AT1791" s="842" t="s">
        <v>1235</v>
      </c>
      <c r="AU1791" s="842" t="s">
        <v>4595</v>
      </c>
      <c r="AV1791" s="843" t="s">
        <v>5712</v>
      </c>
      <c r="AW1791" s="861">
        <v>45961</v>
      </c>
      <c r="AX1791" s="862">
        <v>45965</v>
      </c>
      <c r="AY1791" s="843" t="s">
        <v>6126</v>
      </c>
      <c r="AZ1791" s="842" t="s">
        <v>3033</v>
      </c>
      <c r="BA1791" s="842" t="s">
        <v>120</v>
      </c>
      <c r="BB1791" s="863" t="s">
        <v>121</v>
      </c>
      <c r="BC1791" s="864">
        <v>45967</v>
      </c>
      <c r="BD1791" s="860" t="s">
        <v>5708</v>
      </c>
      <c r="BE1791" s="865" cm="1">
        <f t="array" ref="BE1791">IF(BD1791="","",AC1791/SUMPRODUCT(--(BD1791=$BD$4:$BD$12824),$AC$4:$AC$12824))</f>
        <v>1.0620629404327251E-3</v>
      </c>
      <c r="BF1791" s="458"/>
      <c r="BG1791" s="458"/>
      <c r="BH1791" s="458"/>
      <c r="BI1791" s="458"/>
      <c r="BJ1791" s="458"/>
      <c r="BK1791" s="458"/>
      <c r="BL1791" s="458"/>
      <c r="BM1791" s="458"/>
      <c r="BN1791" s="458"/>
      <c r="BO1791" s="866">
        <f>VLOOKUP(BD1791,$BD$4:$BN$12824,3,0)*BE1791</f>
        <v>44940.926746612713</v>
      </c>
      <c r="BP1791" s="866"/>
      <c r="BQ1791" s="866"/>
      <c r="BR1791" s="866">
        <f>VLOOKUP(BD1791,$BD$4:$BN$12824,6,0)*BE1791</f>
        <v>8478.5054901879121</v>
      </c>
      <c r="BS1791" s="866">
        <f>VLOOKUP(BD1791,$BD$4:$BN$12824,7,0)*BE1791</f>
        <v>7393.0095077227943</v>
      </c>
      <c r="BT1791" s="866"/>
      <c r="BU1791" s="866">
        <f>VLOOKUP(BD1791,$BD$4:$BN$12824,9,0)*BE1791</f>
        <v>594.75524664232603</v>
      </c>
      <c r="BV1791" s="867"/>
      <c r="BW1791" s="867">
        <f>VLOOKUP(BD1791,$BD$4:$BN$12824,11,0)*BE1791</f>
        <v>5331.9493176168844</v>
      </c>
      <c r="BX1791" s="1146">
        <f t="shared" si="335"/>
        <v>66739.146308782641</v>
      </c>
      <c r="BY1791" s="867">
        <f t="shared" si="337"/>
        <v>9778772.5230850838</v>
      </c>
      <c r="BZ1791" s="867">
        <f t="shared" si="336"/>
        <v>9778772.5230850838</v>
      </c>
      <c r="CA1791" s="867">
        <f>_xlfn.MAXIFS($BY$4:$BY$12824,$S$4:$S$12824,$S1791)</f>
        <v>9778772.5230850838</v>
      </c>
      <c r="CB1791" s="1032"/>
      <c r="CF1791" s="946">
        <f t="shared" si="342"/>
        <v>7934400</v>
      </c>
    </row>
    <row r="1792" spans="2:84">
      <c r="B1792" s="839" t="s">
        <v>98</v>
      </c>
      <c r="C1792" s="839" t="s">
        <v>5697</v>
      </c>
      <c r="D1792" s="839" t="s">
        <v>5754</v>
      </c>
      <c r="E1792" s="839" t="s">
        <v>5754</v>
      </c>
      <c r="F1792" s="841">
        <v>45805</v>
      </c>
      <c r="G1792" s="839" t="s">
        <v>5697</v>
      </c>
      <c r="H1792" s="883" t="s">
        <v>3457</v>
      </c>
      <c r="I1792" s="883"/>
      <c r="J1792" s="841"/>
      <c r="K1792" s="841"/>
      <c r="L1792" s="843" t="s">
        <v>5257</v>
      </c>
      <c r="M1792" s="844" t="s">
        <v>107</v>
      </c>
      <c r="N1792" s="841"/>
      <c r="O1792" s="884" t="s">
        <v>135</v>
      </c>
      <c r="P1792" s="842" t="s">
        <v>182</v>
      </c>
      <c r="Q1792" s="843"/>
      <c r="R1792" s="845" t="s">
        <v>6127</v>
      </c>
      <c r="S1792" s="1127" t="s">
        <v>6128</v>
      </c>
      <c r="T1792" s="885" t="s">
        <v>6129</v>
      </c>
      <c r="U1792" s="886">
        <v>1</v>
      </c>
      <c r="V1792" s="842" t="s">
        <v>3</v>
      </c>
      <c r="W1792" s="846">
        <v>1320</v>
      </c>
      <c r="X1792" s="847">
        <f t="shared" si="343"/>
        <v>1320</v>
      </c>
      <c r="Y1792" s="853" t="s">
        <v>5703</v>
      </c>
      <c r="Z1792" s="849">
        <v>689.04</v>
      </c>
      <c r="AA1792" s="849"/>
      <c r="AB1792" s="849">
        <f t="shared" si="331"/>
        <v>689.04</v>
      </c>
      <c r="AC1792" s="850">
        <f t="shared" si="332"/>
        <v>689.04</v>
      </c>
      <c r="AD1792" s="851">
        <f t="shared" si="341"/>
        <v>32000</v>
      </c>
      <c r="AE1792" s="852">
        <v>30081.54</v>
      </c>
      <c r="AF1792" s="865">
        <v>0.15</v>
      </c>
      <c r="AG1792" s="854">
        <f t="shared" si="333"/>
        <v>3130922.6364049651</v>
      </c>
      <c r="AH1792" s="853">
        <v>0.08</v>
      </c>
      <c r="AI1792" s="855">
        <f t="shared" si="334"/>
        <v>1908664.5566403973</v>
      </c>
      <c r="AJ1792" s="845" t="s">
        <v>5704</v>
      </c>
      <c r="AK1792" s="857">
        <v>45898</v>
      </c>
      <c r="AL1792" s="843" t="s">
        <v>5705</v>
      </c>
      <c r="AM1792" s="843" t="s">
        <v>5641</v>
      </c>
      <c r="AN1792" s="844" t="s">
        <v>5642</v>
      </c>
      <c r="AO1792" s="844" t="s">
        <v>141</v>
      </c>
      <c r="AP1792" s="841"/>
      <c r="AQ1792" s="841">
        <v>45906</v>
      </c>
      <c r="AR1792" s="841">
        <v>45958</v>
      </c>
      <c r="AS1792" s="842" t="s">
        <v>1284</v>
      </c>
      <c r="AT1792" s="842" t="s">
        <v>1235</v>
      </c>
      <c r="AU1792" s="842" t="s">
        <v>4595</v>
      </c>
      <c r="AV1792" s="843" t="s">
        <v>5712</v>
      </c>
      <c r="AW1792" s="861">
        <v>45961</v>
      </c>
      <c r="AX1792" s="862">
        <v>45965</v>
      </c>
      <c r="AY1792" s="843" t="s">
        <v>6130</v>
      </c>
      <c r="AZ1792" s="842" t="s">
        <v>5103</v>
      </c>
      <c r="BA1792" s="842" t="s">
        <v>120</v>
      </c>
      <c r="BB1792" s="863" t="s">
        <v>121</v>
      </c>
      <c r="BC1792" s="864">
        <v>45967</v>
      </c>
      <c r="BD1792" s="860" t="s">
        <v>5708</v>
      </c>
      <c r="BE1792" s="865" cm="1">
        <f t="array" ref="BE1792">IF(BD1792="","",AC1792/SUMPRODUCT(--(BD1792=$BD$4:$BD$12824),$AC$4:$AC$12824))</f>
        <v>2.9514170134130467E-3</v>
      </c>
      <c r="BF1792" s="458"/>
      <c r="BG1792" s="458"/>
      <c r="BH1792" s="458"/>
      <c r="BI1792" s="458"/>
      <c r="BJ1792" s="458"/>
      <c r="BK1792" s="458"/>
      <c r="BL1792" s="458"/>
      <c r="BM1792" s="458"/>
      <c r="BN1792" s="458"/>
      <c r="BO1792" s="866">
        <f>VLOOKUP(BD1792,$BD$4:$BN$12824,3,0)*BE1792</f>
        <v>124888.47011690271</v>
      </c>
      <c r="BP1792" s="866"/>
      <c r="BQ1792" s="866"/>
      <c r="BR1792" s="866">
        <f>VLOOKUP(BD1792,$BD$4:$BN$12824,6,0)*BE1792</f>
        <v>23561.320520101144</v>
      </c>
      <c r="BS1792" s="866">
        <f>VLOOKUP(BD1792,$BD$4:$BN$12824,7,0)*BE1792</f>
        <v>20544.784316198082</v>
      </c>
      <c r="BT1792" s="866"/>
      <c r="BU1792" s="866">
        <f>VLOOKUP(BD1792,$BD$4:$BN$12824,9,0)*BE1792</f>
        <v>1652.7935275113061</v>
      </c>
      <c r="BV1792" s="867"/>
      <c r="BW1792" s="867">
        <f>VLOOKUP(BD1792,$BD$4:$BN$12824,11,0)*BE1792</f>
        <v>14817.20652474587</v>
      </c>
      <c r="BX1792" s="1146">
        <f t="shared" si="335"/>
        <v>185464.5750054591</v>
      </c>
      <c r="BY1792" s="867">
        <f t="shared" si="337"/>
        <v>24043771.533010427</v>
      </c>
      <c r="BZ1792" s="867">
        <f t="shared" si="336"/>
        <v>24043771.533010427</v>
      </c>
      <c r="CA1792" s="867">
        <f>_xlfn.MAXIFS($BY$4:$BY$12824,$S$4:$S$12824,$S1792)</f>
        <v>24043771.533010427</v>
      </c>
      <c r="CB1792" s="1032"/>
      <c r="CF1792" s="946">
        <f t="shared" si="342"/>
        <v>22049280</v>
      </c>
    </row>
    <row r="1793" spans="2:84">
      <c r="B1793" s="839" t="s">
        <v>98</v>
      </c>
      <c r="C1793" s="839" t="s">
        <v>5697</v>
      </c>
      <c r="D1793" s="839" t="s">
        <v>5754</v>
      </c>
      <c r="E1793" s="839" t="s">
        <v>5754</v>
      </c>
      <c r="F1793" s="841">
        <v>45805</v>
      </c>
      <c r="G1793" s="839" t="s">
        <v>5697</v>
      </c>
      <c r="H1793" s="883" t="s">
        <v>3457</v>
      </c>
      <c r="I1793" s="883"/>
      <c r="J1793" s="841"/>
      <c r="K1793" s="841"/>
      <c r="L1793" s="843" t="s">
        <v>5257</v>
      </c>
      <c r="M1793" s="844" t="s">
        <v>107</v>
      </c>
      <c r="N1793" s="841"/>
      <c r="O1793" s="884" t="s">
        <v>135</v>
      </c>
      <c r="P1793" s="842" t="s">
        <v>182</v>
      </c>
      <c r="Q1793" s="843"/>
      <c r="R1793" s="845" t="s">
        <v>6131</v>
      </c>
      <c r="S1793" s="1127" t="s">
        <v>6132</v>
      </c>
      <c r="T1793" s="885" t="s">
        <v>6133</v>
      </c>
      <c r="U1793" s="886">
        <v>1</v>
      </c>
      <c r="V1793" s="842" t="s">
        <v>3</v>
      </c>
      <c r="W1793" s="846">
        <v>1500</v>
      </c>
      <c r="X1793" s="847">
        <f t="shared" si="343"/>
        <v>1500</v>
      </c>
      <c r="Y1793" s="853" t="s">
        <v>5703</v>
      </c>
      <c r="Z1793" s="849">
        <v>783</v>
      </c>
      <c r="AA1793" s="849"/>
      <c r="AB1793" s="849">
        <f t="shared" si="331"/>
        <v>783</v>
      </c>
      <c r="AC1793" s="850">
        <f t="shared" si="332"/>
        <v>783</v>
      </c>
      <c r="AD1793" s="851">
        <f t="shared" si="341"/>
        <v>32000</v>
      </c>
      <c r="AE1793" s="852">
        <v>30081.54</v>
      </c>
      <c r="AF1793" s="865">
        <v>0.15</v>
      </c>
      <c r="AG1793" s="854">
        <f t="shared" si="333"/>
        <v>3557866.6322783693</v>
      </c>
      <c r="AH1793" s="853">
        <v>0.08</v>
      </c>
      <c r="AI1793" s="855">
        <f t="shared" si="334"/>
        <v>2168936.9961822694</v>
      </c>
      <c r="AJ1793" s="845" t="s">
        <v>5704</v>
      </c>
      <c r="AK1793" s="857">
        <v>45898</v>
      </c>
      <c r="AL1793" s="843" t="s">
        <v>5705</v>
      </c>
      <c r="AM1793" s="843" t="s">
        <v>5641</v>
      </c>
      <c r="AN1793" s="844" t="s">
        <v>5642</v>
      </c>
      <c r="AO1793" s="844" t="s">
        <v>141</v>
      </c>
      <c r="AP1793" s="841"/>
      <c r="AQ1793" s="841">
        <v>45906</v>
      </c>
      <c r="AR1793" s="841">
        <v>45958</v>
      </c>
      <c r="AS1793" s="842" t="s">
        <v>1284</v>
      </c>
      <c r="AT1793" s="842" t="s">
        <v>1235</v>
      </c>
      <c r="AU1793" s="842" t="s">
        <v>4595</v>
      </c>
      <c r="AV1793" s="843" t="s">
        <v>5712</v>
      </c>
      <c r="AW1793" s="861">
        <v>45961</v>
      </c>
      <c r="AX1793" s="862">
        <v>45965</v>
      </c>
      <c r="AY1793" s="843" t="s">
        <v>6134</v>
      </c>
      <c r="AZ1793" s="842" t="s">
        <v>5103</v>
      </c>
      <c r="BA1793" s="842" t="s">
        <v>120</v>
      </c>
      <c r="BB1793" s="863" t="s">
        <v>121</v>
      </c>
      <c r="BC1793" s="864">
        <v>45967</v>
      </c>
      <c r="BD1793" s="860" t="s">
        <v>5708</v>
      </c>
      <c r="BE1793" s="865" cm="1">
        <f t="array" ref="BE1793">IF(BD1793="","",AC1793/SUMPRODUCT(--(BD1793=$BD$4:$BD$12824),$AC$4:$AC$12824))</f>
        <v>3.3538829697875531E-3</v>
      </c>
      <c r="BF1793" s="458"/>
      <c r="BG1793" s="458"/>
      <c r="BH1793" s="458"/>
      <c r="BI1793" s="458"/>
      <c r="BJ1793" s="458"/>
      <c r="BK1793" s="458"/>
      <c r="BL1793" s="458"/>
      <c r="BM1793" s="458"/>
      <c r="BN1793" s="458"/>
      <c r="BO1793" s="866">
        <f>VLOOKUP(BD1793,$BD$4:$BN$12824,3,0)*BE1793</f>
        <v>141918.71604193488</v>
      </c>
      <c r="BP1793" s="866"/>
      <c r="BQ1793" s="866"/>
      <c r="BR1793" s="866">
        <f>VLOOKUP(BD1793,$BD$4:$BN$12824,6,0)*BE1793</f>
        <v>26774.227863751301</v>
      </c>
      <c r="BS1793" s="866">
        <f>VLOOKUP(BD1793,$BD$4:$BN$12824,7,0)*BE1793</f>
        <v>23346.345813861455</v>
      </c>
      <c r="BT1793" s="866"/>
      <c r="BU1793" s="866">
        <f>VLOOKUP(BD1793,$BD$4:$BN$12824,9,0)*BE1793</f>
        <v>1878.1744630810297</v>
      </c>
      <c r="BV1793" s="867"/>
      <c r="BW1793" s="867">
        <f>VLOOKUP(BD1793,$BD$4:$BN$12824,11,0)*BE1793</f>
        <v>16837.734687211214</v>
      </c>
      <c r="BX1793" s="1146">
        <f t="shared" si="335"/>
        <v>210755.19886983989</v>
      </c>
      <c r="BY1793" s="867">
        <f t="shared" si="337"/>
        <v>27322467.651148207</v>
      </c>
      <c r="BZ1793" s="867">
        <f t="shared" si="336"/>
        <v>27322467.651148207</v>
      </c>
      <c r="CA1793" s="867">
        <f>_xlfn.MAXIFS($BY$4:$BY$12824,$S$4:$S$12824,$S1793)</f>
        <v>27322467.651148207</v>
      </c>
      <c r="CB1793" s="1032"/>
      <c r="CF1793" s="946">
        <f t="shared" si="342"/>
        <v>25056000</v>
      </c>
    </row>
    <row r="1794" spans="2:84">
      <c r="B1794" s="839" t="s">
        <v>98</v>
      </c>
      <c r="C1794" s="839" t="s">
        <v>5697</v>
      </c>
      <c r="D1794" s="839" t="s">
        <v>5754</v>
      </c>
      <c r="E1794" s="839" t="s">
        <v>5754</v>
      </c>
      <c r="F1794" s="841">
        <v>45805</v>
      </c>
      <c r="G1794" s="839" t="s">
        <v>5697</v>
      </c>
      <c r="H1794" s="883" t="s">
        <v>3457</v>
      </c>
      <c r="I1794" s="883"/>
      <c r="J1794" s="841"/>
      <c r="K1794" s="841"/>
      <c r="L1794" s="843" t="s">
        <v>5257</v>
      </c>
      <c r="M1794" s="844" t="s">
        <v>107</v>
      </c>
      <c r="N1794" s="841"/>
      <c r="O1794" s="884" t="s">
        <v>135</v>
      </c>
      <c r="P1794" s="842" t="s">
        <v>182</v>
      </c>
      <c r="Q1794" s="843"/>
      <c r="R1794" s="845" t="s">
        <v>6135</v>
      </c>
      <c r="S1794" s="1127" t="s">
        <v>6136</v>
      </c>
      <c r="T1794" s="885" t="s">
        <v>6137</v>
      </c>
      <c r="U1794" s="886">
        <v>1</v>
      </c>
      <c r="V1794" s="842" t="s">
        <v>3</v>
      </c>
      <c r="W1794" s="846">
        <v>1500</v>
      </c>
      <c r="X1794" s="847">
        <f t="shared" si="343"/>
        <v>1500</v>
      </c>
      <c r="Y1794" s="853" t="s">
        <v>5703</v>
      </c>
      <c r="Z1794" s="849">
        <v>783</v>
      </c>
      <c r="AA1794" s="849"/>
      <c r="AB1794" s="849">
        <f t="shared" si="331"/>
        <v>783</v>
      </c>
      <c r="AC1794" s="850">
        <f t="shared" si="332"/>
        <v>783</v>
      </c>
      <c r="AD1794" s="851">
        <f t="shared" si="341"/>
        <v>32000</v>
      </c>
      <c r="AE1794" s="852">
        <v>30081.54</v>
      </c>
      <c r="AF1794" s="865">
        <v>0.15</v>
      </c>
      <c r="AG1794" s="854">
        <f t="shared" si="333"/>
        <v>3557866.6322783693</v>
      </c>
      <c r="AH1794" s="853">
        <v>0.08</v>
      </c>
      <c r="AI1794" s="855">
        <f t="shared" si="334"/>
        <v>2168936.9961822694</v>
      </c>
      <c r="AJ1794" s="845" t="s">
        <v>5704</v>
      </c>
      <c r="AK1794" s="857">
        <v>45898</v>
      </c>
      <c r="AL1794" s="843" t="s">
        <v>5705</v>
      </c>
      <c r="AM1794" s="843" t="s">
        <v>5641</v>
      </c>
      <c r="AN1794" s="844" t="s">
        <v>5642</v>
      </c>
      <c r="AO1794" s="844" t="s">
        <v>141</v>
      </c>
      <c r="AP1794" s="841"/>
      <c r="AQ1794" s="841">
        <v>45906</v>
      </c>
      <c r="AR1794" s="841">
        <v>45958</v>
      </c>
      <c r="AS1794" s="842" t="s">
        <v>1284</v>
      </c>
      <c r="AT1794" s="842" t="s">
        <v>1235</v>
      </c>
      <c r="AU1794" s="842" t="s">
        <v>4595</v>
      </c>
      <c r="AV1794" s="843" t="s">
        <v>5712</v>
      </c>
      <c r="AW1794" s="861">
        <v>45961</v>
      </c>
      <c r="AX1794" s="862">
        <v>45965</v>
      </c>
      <c r="AY1794" s="843" t="s">
        <v>6138</v>
      </c>
      <c r="AZ1794" s="842" t="s">
        <v>5103</v>
      </c>
      <c r="BA1794" s="842" t="s">
        <v>120</v>
      </c>
      <c r="BB1794" s="863" t="s">
        <v>121</v>
      </c>
      <c r="BC1794" s="864">
        <v>45967</v>
      </c>
      <c r="BD1794" s="860" t="s">
        <v>5708</v>
      </c>
      <c r="BE1794" s="865" cm="1">
        <f t="array" ref="BE1794">IF(BD1794="","",AC1794/SUMPRODUCT(--(BD1794=$BD$4:$BD$12824),$AC$4:$AC$12824))</f>
        <v>3.3538829697875531E-3</v>
      </c>
      <c r="BF1794" s="458"/>
      <c r="BG1794" s="458"/>
      <c r="BH1794" s="458"/>
      <c r="BI1794" s="458"/>
      <c r="BJ1794" s="458"/>
      <c r="BK1794" s="458"/>
      <c r="BL1794" s="458"/>
      <c r="BM1794" s="458"/>
      <c r="BN1794" s="458"/>
      <c r="BO1794" s="866">
        <f>VLOOKUP(BD1794,$BD$4:$BN$12824,3,0)*BE1794</f>
        <v>141918.71604193488</v>
      </c>
      <c r="BP1794" s="866"/>
      <c r="BQ1794" s="866"/>
      <c r="BR1794" s="866">
        <f>VLOOKUP(BD1794,$BD$4:$BN$12824,6,0)*BE1794</f>
        <v>26774.227863751301</v>
      </c>
      <c r="BS1794" s="866">
        <f>VLOOKUP(BD1794,$BD$4:$BN$12824,7,0)*BE1794</f>
        <v>23346.345813861455</v>
      </c>
      <c r="BT1794" s="866"/>
      <c r="BU1794" s="866">
        <f>VLOOKUP(BD1794,$BD$4:$BN$12824,9,0)*BE1794</f>
        <v>1878.1744630810297</v>
      </c>
      <c r="BV1794" s="867"/>
      <c r="BW1794" s="867">
        <f>VLOOKUP(BD1794,$BD$4:$BN$12824,11,0)*BE1794</f>
        <v>16837.734687211214</v>
      </c>
      <c r="BX1794" s="1146">
        <f t="shared" si="335"/>
        <v>210755.19886983989</v>
      </c>
      <c r="BY1794" s="867">
        <f t="shared" si="337"/>
        <v>27322467.651148207</v>
      </c>
      <c r="BZ1794" s="867">
        <f t="shared" si="336"/>
        <v>27322467.651148207</v>
      </c>
      <c r="CA1794" s="867">
        <f>_xlfn.MAXIFS($BY$4:$BY$12824,$S$4:$S$12824,$S1794)</f>
        <v>27322467.651148207</v>
      </c>
      <c r="CB1794" s="1032"/>
      <c r="CF1794" s="946">
        <f t="shared" si="342"/>
        <v>25056000</v>
      </c>
    </row>
    <row r="1795" spans="2:84">
      <c r="B1795" s="839" t="s">
        <v>98</v>
      </c>
      <c r="C1795" s="839" t="s">
        <v>5697</v>
      </c>
      <c r="D1795" s="839" t="s">
        <v>5754</v>
      </c>
      <c r="E1795" s="839" t="s">
        <v>5754</v>
      </c>
      <c r="F1795" s="841">
        <v>45805</v>
      </c>
      <c r="G1795" s="839" t="s">
        <v>5697</v>
      </c>
      <c r="H1795" s="883" t="s">
        <v>3457</v>
      </c>
      <c r="I1795" s="883"/>
      <c r="J1795" s="841"/>
      <c r="K1795" s="841"/>
      <c r="L1795" s="843" t="s">
        <v>5257</v>
      </c>
      <c r="M1795" s="844" t="s">
        <v>107</v>
      </c>
      <c r="N1795" s="841"/>
      <c r="O1795" s="884" t="s">
        <v>135</v>
      </c>
      <c r="P1795" s="842" t="s">
        <v>1258</v>
      </c>
      <c r="Q1795" s="843"/>
      <c r="R1795" s="845" t="s">
        <v>6139</v>
      </c>
      <c r="S1795" s="1127" t="s">
        <v>6140</v>
      </c>
      <c r="T1795" s="885" t="s">
        <v>6141</v>
      </c>
      <c r="U1795" s="886">
        <v>1</v>
      </c>
      <c r="V1795" s="842" t="s">
        <v>3</v>
      </c>
      <c r="W1795" s="846">
        <v>1105</v>
      </c>
      <c r="X1795" s="847">
        <f t="shared" si="343"/>
        <v>1105</v>
      </c>
      <c r="Y1795" s="853" t="s">
        <v>5703</v>
      </c>
      <c r="Z1795" s="849">
        <v>576.80999999999995</v>
      </c>
      <c r="AA1795" s="849"/>
      <c r="AB1795" s="849">
        <f t="shared" si="331"/>
        <v>576.80999999999995</v>
      </c>
      <c r="AC1795" s="850">
        <f t="shared" si="332"/>
        <v>576.80999999999995</v>
      </c>
      <c r="AD1795" s="851">
        <f t="shared" si="341"/>
        <v>32000</v>
      </c>
      <c r="AE1795" s="852">
        <v>30081.54</v>
      </c>
      <c r="AF1795" s="865">
        <v>7.4999999999999997E-2</v>
      </c>
      <c r="AG1795" s="854">
        <f t="shared" si="333"/>
        <v>1310480.8762225325</v>
      </c>
      <c r="AH1795" s="853">
        <v>0.08</v>
      </c>
      <c r="AI1795" s="855">
        <f t="shared" si="334"/>
        <v>1492945.1170898026</v>
      </c>
      <c r="AJ1795" s="845" t="s">
        <v>5704</v>
      </c>
      <c r="AK1795" s="857">
        <v>45898</v>
      </c>
      <c r="AL1795" s="843" t="s">
        <v>5705</v>
      </c>
      <c r="AM1795" s="843" t="s">
        <v>5641</v>
      </c>
      <c r="AN1795" s="844" t="s">
        <v>5642</v>
      </c>
      <c r="AO1795" s="844" t="s">
        <v>141</v>
      </c>
      <c r="AP1795" s="841"/>
      <c r="AQ1795" s="841">
        <v>45906</v>
      </c>
      <c r="AR1795" s="841">
        <v>45958</v>
      </c>
      <c r="AS1795" s="842" t="s">
        <v>1284</v>
      </c>
      <c r="AT1795" s="842" t="s">
        <v>1235</v>
      </c>
      <c r="AU1795" s="842" t="s">
        <v>4595</v>
      </c>
      <c r="AV1795" s="843" t="s">
        <v>5712</v>
      </c>
      <c r="AW1795" s="861">
        <v>45961</v>
      </c>
      <c r="AX1795" s="862">
        <v>45965</v>
      </c>
      <c r="AY1795" s="843" t="s">
        <v>6142</v>
      </c>
      <c r="AZ1795" s="842" t="s">
        <v>6143</v>
      </c>
      <c r="BA1795" s="842" t="s">
        <v>120</v>
      </c>
      <c r="BB1795" s="863" t="s">
        <v>121</v>
      </c>
      <c r="BC1795" s="864">
        <v>45967</v>
      </c>
      <c r="BD1795" s="860" t="s">
        <v>5708</v>
      </c>
      <c r="BE1795" s="865" cm="1">
        <f t="array" ref="BE1795">IF(BD1795="","",AC1795/SUMPRODUCT(--(BD1795=$BD$4:$BD$12824),$AC$4:$AC$12824))</f>
        <v>2.4706937877434975E-3</v>
      </c>
      <c r="BF1795" s="458"/>
      <c r="BG1795" s="458"/>
      <c r="BH1795" s="458"/>
      <c r="BI1795" s="458"/>
      <c r="BJ1795" s="458"/>
      <c r="BK1795" s="458"/>
      <c r="BL1795" s="458"/>
      <c r="BM1795" s="458"/>
      <c r="BN1795" s="458"/>
      <c r="BO1795" s="866">
        <f>VLOOKUP(BD1795,$BD$4:$BN$12824,3,0)*BE1795</f>
        <v>104546.78748422538</v>
      </c>
      <c r="BP1795" s="866"/>
      <c r="BQ1795" s="866"/>
      <c r="BR1795" s="866">
        <f>VLOOKUP(BD1795,$BD$4:$BN$12824,6,0)*BE1795</f>
        <v>19723.68119296346</v>
      </c>
      <c r="BS1795" s="866">
        <f>VLOOKUP(BD1795,$BD$4:$BN$12824,7,0)*BE1795</f>
        <v>17198.474749544606</v>
      </c>
      <c r="BT1795" s="866"/>
      <c r="BU1795" s="866">
        <f>VLOOKUP(BD1795,$BD$4:$BN$12824,9,0)*BE1795</f>
        <v>1383.5885211363586</v>
      </c>
      <c r="BV1795" s="867"/>
      <c r="BW1795" s="867">
        <f>VLOOKUP(BD1795,$BD$4:$BN$12824,11,0)*BE1795</f>
        <v>12403.797886245597</v>
      </c>
      <c r="BX1795" s="1146">
        <f t="shared" si="335"/>
        <v>155256.32983411537</v>
      </c>
      <c r="BY1795" s="867">
        <f t="shared" si="337"/>
        <v>18817070.293456648</v>
      </c>
      <c r="BZ1795" s="867">
        <f t="shared" si="336"/>
        <v>18817070.293456648</v>
      </c>
      <c r="CA1795" s="867">
        <f>_xlfn.MAXIFS($BY$4:$BY$12824,$S$4:$S$12824,$S1795)</f>
        <v>18817070.293456648</v>
      </c>
      <c r="CB1795" s="1032"/>
      <c r="CF1795" s="946">
        <f t="shared" si="342"/>
        <v>18457920</v>
      </c>
    </row>
    <row r="1796" spans="2:84">
      <c r="B1796" s="839" t="s">
        <v>98</v>
      </c>
      <c r="C1796" s="839" t="s">
        <v>5697</v>
      </c>
      <c r="D1796" s="839" t="s">
        <v>5754</v>
      </c>
      <c r="E1796" s="839" t="s">
        <v>5754</v>
      </c>
      <c r="F1796" s="841">
        <v>45805</v>
      </c>
      <c r="G1796" s="839" t="s">
        <v>5697</v>
      </c>
      <c r="H1796" s="883" t="s">
        <v>3457</v>
      </c>
      <c r="I1796" s="883"/>
      <c r="J1796" s="841"/>
      <c r="K1796" s="841"/>
      <c r="L1796" s="843" t="s">
        <v>5257</v>
      </c>
      <c r="M1796" s="844" t="s">
        <v>107</v>
      </c>
      <c r="N1796" s="841"/>
      <c r="O1796" s="884" t="s">
        <v>135</v>
      </c>
      <c r="P1796" s="842" t="s">
        <v>1258</v>
      </c>
      <c r="Q1796" s="843"/>
      <c r="R1796" s="845" t="s">
        <v>6144</v>
      </c>
      <c r="S1796" s="1127" t="s">
        <v>6145</v>
      </c>
      <c r="T1796" s="885" t="s">
        <v>6146</v>
      </c>
      <c r="U1796" s="886">
        <v>1</v>
      </c>
      <c r="V1796" s="842" t="s">
        <v>3</v>
      </c>
      <c r="W1796" s="846">
        <v>1105</v>
      </c>
      <c r="X1796" s="847">
        <f t="shared" si="343"/>
        <v>1105</v>
      </c>
      <c r="Y1796" s="853" t="s">
        <v>5703</v>
      </c>
      <c r="Z1796" s="849">
        <v>576.80999999999995</v>
      </c>
      <c r="AA1796" s="849"/>
      <c r="AB1796" s="849">
        <f t="shared" si="331"/>
        <v>576.80999999999995</v>
      </c>
      <c r="AC1796" s="850">
        <f t="shared" si="332"/>
        <v>576.80999999999995</v>
      </c>
      <c r="AD1796" s="851">
        <f t="shared" si="341"/>
        <v>32000</v>
      </c>
      <c r="AE1796" s="852">
        <v>30081.54</v>
      </c>
      <c r="AF1796" s="865">
        <v>7.4999999999999997E-2</v>
      </c>
      <c r="AG1796" s="854">
        <f t="shared" si="333"/>
        <v>1310480.8762225325</v>
      </c>
      <c r="AH1796" s="853">
        <v>0.08</v>
      </c>
      <c r="AI1796" s="855">
        <f t="shared" si="334"/>
        <v>1492945.1170898026</v>
      </c>
      <c r="AJ1796" s="845" t="s">
        <v>5704</v>
      </c>
      <c r="AK1796" s="857">
        <v>45898</v>
      </c>
      <c r="AL1796" s="843" t="s">
        <v>5705</v>
      </c>
      <c r="AM1796" s="843" t="s">
        <v>5641</v>
      </c>
      <c r="AN1796" s="844" t="s">
        <v>5642</v>
      </c>
      <c r="AO1796" s="844" t="s">
        <v>141</v>
      </c>
      <c r="AP1796" s="841"/>
      <c r="AQ1796" s="841">
        <v>45906</v>
      </c>
      <c r="AR1796" s="841">
        <v>45958</v>
      </c>
      <c r="AS1796" s="842" t="s">
        <v>1284</v>
      </c>
      <c r="AT1796" s="842" t="s">
        <v>1235</v>
      </c>
      <c r="AU1796" s="842" t="s">
        <v>4595</v>
      </c>
      <c r="AV1796" s="843" t="s">
        <v>5712</v>
      </c>
      <c r="AW1796" s="861">
        <v>45961</v>
      </c>
      <c r="AX1796" s="862">
        <v>45965</v>
      </c>
      <c r="AY1796" s="843" t="s">
        <v>6147</v>
      </c>
      <c r="AZ1796" s="842" t="s">
        <v>6143</v>
      </c>
      <c r="BA1796" s="842" t="s">
        <v>120</v>
      </c>
      <c r="BB1796" s="863" t="s">
        <v>121</v>
      </c>
      <c r="BC1796" s="864">
        <v>45967</v>
      </c>
      <c r="BD1796" s="860" t="s">
        <v>5708</v>
      </c>
      <c r="BE1796" s="865" cm="1">
        <f t="array" ref="BE1796">IF(BD1796="","",AC1796/SUMPRODUCT(--(BD1796=$BD$4:$BD$12824),$AC$4:$AC$12824))</f>
        <v>2.4706937877434975E-3</v>
      </c>
      <c r="BF1796" s="458"/>
      <c r="BG1796" s="458"/>
      <c r="BH1796" s="458"/>
      <c r="BI1796" s="458"/>
      <c r="BJ1796" s="458"/>
      <c r="BK1796" s="458"/>
      <c r="BL1796" s="458"/>
      <c r="BM1796" s="458"/>
      <c r="BN1796" s="458"/>
      <c r="BO1796" s="866">
        <f>VLOOKUP(BD1796,$BD$4:$BN$12824,3,0)*BE1796</f>
        <v>104546.78748422538</v>
      </c>
      <c r="BP1796" s="866"/>
      <c r="BQ1796" s="866"/>
      <c r="BR1796" s="866">
        <f>VLOOKUP(BD1796,$BD$4:$BN$12824,6,0)*BE1796</f>
        <v>19723.68119296346</v>
      </c>
      <c r="BS1796" s="866">
        <f>VLOOKUP(BD1796,$BD$4:$BN$12824,7,0)*BE1796</f>
        <v>17198.474749544606</v>
      </c>
      <c r="BT1796" s="866"/>
      <c r="BU1796" s="866">
        <f>VLOOKUP(BD1796,$BD$4:$BN$12824,9,0)*BE1796</f>
        <v>1383.5885211363586</v>
      </c>
      <c r="BV1796" s="867"/>
      <c r="BW1796" s="867">
        <f>VLOOKUP(BD1796,$BD$4:$BN$12824,11,0)*BE1796</f>
        <v>12403.797886245597</v>
      </c>
      <c r="BX1796" s="1146">
        <f t="shared" si="335"/>
        <v>155256.32983411537</v>
      </c>
      <c r="BY1796" s="867">
        <f t="shared" si="337"/>
        <v>18817070.293456648</v>
      </c>
      <c r="BZ1796" s="867">
        <f t="shared" si="336"/>
        <v>18817070.293456648</v>
      </c>
      <c r="CA1796" s="867">
        <f>_xlfn.MAXIFS($BY$4:$BY$12824,$S$4:$S$12824,$S1796)</f>
        <v>18817070.293456648</v>
      </c>
      <c r="CB1796" s="1032"/>
      <c r="CF1796" s="946">
        <f t="shared" si="342"/>
        <v>18457920</v>
      </c>
    </row>
    <row r="1797" spans="2:84">
      <c r="B1797" s="839" t="s">
        <v>98</v>
      </c>
      <c r="C1797" s="839" t="s">
        <v>5697</v>
      </c>
      <c r="D1797" s="839" t="s">
        <v>5754</v>
      </c>
      <c r="E1797" s="839" t="s">
        <v>5754</v>
      </c>
      <c r="F1797" s="841">
        <v>45805</v>
      </c>
      <c r="G1797" s="839" t="s">
        <v>5697</v>
      </c>
      <c r="H1797" s="883" t="s">
        <v>3457</v>
      </c>
      <c r="I1797" s="883"/>
      <c r="J1797" s="841"/>
      <c r="K1797" s="841"/>
      <c r="L1797" s="843" t="s">
        <v>5257</v>
      </c>
      <c r="M1797" s="844" t="s">
        <v>107</v>
      </c>
      <c r="N1797" s="841"/>
      <c r="O1797" s="884" t="s">
        <v>135</v>
      </c>
      <c r="P1797" s="842" t="s">
        <v>1258</v>
      </c>
      <c r="Q1797" s="843"/>
      <c r="R1797" s="845" t="s">
        <v>6148</v>
      </c>
      <c r="S1797" s="1127" t="s">
        <v>6149</v>
      </c>
      <c r="T1797" s="885" t="s">
        <v>6150</v>
      </c>
      <c r="U1797" s="886">
        <v>1</v>
      </c>
      <c r="V1797" s="842" t="s">
        <v>3</v>
      </c>
      <c r="W1797" s="846">
        <v>1105</v>
      </c>
      <c r="X1797" s="847">
        <f t="shared" si="343"/>
        <v>1105</v>
      </c>
      <c r="Y1797" s="853" t="s">
        <v>5703</v>
      </c>
      <c r="Z1797" s="849">
        <v>576.80999999999995</v>
      </c>
      <c r="AA1797" s="849"/>
      <c r="AB1797" s="849">
        <f t="shared" ref="AB1797:AB1860" si="344">IF(AA1797="F.O.C", 0, Z1797*U1797)</f>
        <v>576.80999999999995</v>
      </c>
      <c r="AC1797" s="850">
        <f t="shared" ref="AC1797:AC1860" si="345">Z1797*U1797</f>
        <v>576.80999999999995</v>
      </c>
      <c r="AD1797" s="851">
        <f t="shared" si="341"/>
        <v>32000</v>
      </c>
      <c r="AE1797" s="852">
        <v>30081.54</v>
      </c>
      <c r="AF1797" s="865">
        <v>7.4999999999999997E-2</v>
      </c>
      <c r="AG1797" s="854">
        <f t="shared" ref="AG1797:AG1860" si="346">(AC1797*AE1797+BO1797+BP1797+BQ1797+BS1797)*AF1797</f>
        <v>1310480.8762225325</v>
      </c>
      <c r="AH1797" s="853">
        <v>0.08</v>
      </c>
      <c r="AI1797" s="855">
        <f t="shared" ref="AI1797:AI1860" si="347">(AC1797*AE1797+AG1797+BF1797+BG1797+BH1797+BJ1797)*AH1797</f>
        <v>1492945.1170898026</v>
      </c>
      <c r="AJ1797" s="845" t="s">
        <v>5704</v>
      </c>
      <c r="AK1797" s="857">
        <v>45898</v>
      </c>
      <c r="AL1797" s="843" t="s">
        <v>5705</v>
      </c>
      <c r="AM1797" s="843" t="s">
        <v>5641</v>
      </c>
      <c r="AN1797" s="844" t="s">
        <v>5642</v>
      </c>
      <c r="AO1797" s="844" t="s">
        <v>141</v>
      </c>
      <c r="AP1797" s="841"/>
      <c r="AQ1797" s="841">
        <v>45906</v>
      </c>
      <c r="AR1797" s="841">
        <v>45958</v>
      </c>
      <c r="AS1797" s="842" t="s">
        <v>1284</v>
      </c>
      <c r="AT1797" s="842" t="s">
        <v>1235</v>
      </c>
      <c r="AU1797" s="842" t="s">
        <v>4595</v>
      </c>
      <c r="AV1797" s="843" t="s">
        <v>5712</v>
      </c>
      <c r="AW1797" s="861">
        <v>45961</v>
      </c>
      <c r="AX1797" s="862">
        <v>45965</v>
      </c>
      <c r="AY1797" s="843" t="s">
        <v>6151</v>
      </c>
      <c r="AZ1797" s="842" t="s">
        <v>6143</v>
      </c>
      <c r="BA1797" s="842" t="s">
        <v>120</v>
      </c>
      <c r="BB1797" s="863" t="s">
        <v>121</v>
      </c>
      <c r="BC1797" s="864">
        <v>45967</v>
      </c>
      <c r="BD1797" s="860" t="s">
        <v>5708</v>
      </c>
      <c r="BE1797" s="865" cm="1">
        <f t="array" ref="BE1797">IF(BD1797="","",AC1797/SUMPRODUCT(--(BD1797=$BD$4:$BD$12824),$AC$4:$AC$12824))</f>
        <v>2.4706937877434975E-3</v>
      </c>
      <c r="BF1797" s="458"/>
      <c r="BG1797" s="458"/>
      <c r="BH1797" s="458"/>
      <c r="BI1797" s="458"/>
      <c r="BJ1797" s="458"/>
      <c r="BK1797" s="458"/>
      <c r="BL1797" s="458"/>
      <c r="BM1797" s="458"/>
      <c r="BN1797" s="458"/>
      <c r="BO1797" s="866">
        <f>VLOOKUP(BD1797,$BD$4:$BN$12824,3,0)*BE1797</f>
        <v>104546.78748422538</v>
      </c>
      <c r="BP1797" s="866"/>
      <c r="BQ1797" s="866"/>
      <c r="BR1797" s="866">
        <f>VLOOKUP(BD1797,$BD$4:$BN$12824,6,0)*BE1797</f>
        <v>19723.68119296346</v>
      </c>
      <c r="BS1797" s="866">
        <f>VLOOKUP(BD1797,$BD$4:$BN$12824,7,0)*BE1797</f>
        <v>17198.474749544606</v>
      </c>
      <c r="BT1797" s="866"/>
      <c r="BU1797" s="866">
        <f>VLOOKUP(BD1797,$BD$4:$BN$12824,9,0)*BE1797</f>
        <v>1383.5885211363586</v>
      </c>
      <c r="BV1797" s="867"/>
      <c r="BW1797" s="867">
        <f>VLOOKUP(BD1797,$BD$4:$BN$12824,11,0)*BE1797</f>
        <v>12403.797886245597</v>
      </c>
      <c r="BX1797" s="1146">
        <f t="shared" ref="BX1797:BX1860" si="348">SUM(BO1797:BW1797)</f>
        <v>155256.32983411537</v>
      </c>
      <c r="BY1797" s="867">
        <f t="shared" si="337"/>
        <v>18817070.293456648</v>
      </c>
      <c r="BZ1797" s="867">
        <f t="shared" ref="BZ1797:BZ1860" si="349">BY1797*U1797</f>
        <v>18817070.293456648</v>
      </c>
      <c r="CA1797" s="867">
        <f>_xlfn.MAXIFS($BY$4:$BY$12824,$S$4:$S$12824,$S1797)</f>
        <v>18817070.293456648</v>
      </c>
      <c r="CB1797" s="1032"/>
      <c r="CF1797" s="946">
        <f t="shared" si="342"/>
        <v>18457920</v>
      </c>
    </row>
    <row r="1798" spans="2:84">
      <c r="B1798" s="839" t="s">
        <v>98</v>
      </c>
      <c r="C1798" s="839" t="s">
        <v>5697</v>
      </c>
      <c r="D1798" s="839" t="s">
        <v>5754</v>
      </c>
      <c r="E1798" s="839" t="s">
        <v>5754</v>
      </c>
      <c r="F1798" s="841">
        <v>45805</v>
      </c>
      <c r="G1798" s="839" t="s">
        <v>5697</v>
      </c>
      <c r="H1798" s="883" t="s">
        <v>3457</v>
      </c>
      <c r="I1798" s="883"/>
      <c r="J1798" s="841"/>
      <c r="K1798" s="841"/>
      <c r="L1798" s="843" t="s">
        <v>5257</v>
      </c>
      <c r="M1798" s="844" t="s">
        <v>107</v>
      </c>
      <c r="N1798" s="841"/>
      <c r="O1798" s="884" t="s">
        <v>135</v>
      </c>
      <c r="P1798" s="842" t="s">
        <v>1258</v>
      </c>
      <c r="Q1798" s="843"/>
      <c r="R1798" s="845" t="s">
        <v>6152</v>
      </c>
      <c r="S1798" s="1127" t="s">
        <v>6153</v>
      </c>
      <c r="T1798" s="885" t="s">
        <v>6154</v>
      </c>
      <c r="U1798" s="886">
        <v>1</v>
      </c>
      <c r="V1798" s="842" t="s">
        <v>3</v>
      </c>
      <c r="W1798" s="846">
        <v>1465</v>
      </c>
      <c r="X1798" s="847">
        <f t="shared" si="343"/>
        <v>1465</v>
      </c>
      <c r="Y1798" s="853" t="s">
        <v>5703</v>
      </c>
      <c r="Z1798" s="849">
        <v>764.73</v>
      </c>
      <c r="AA1798" s="849"/>
      <c r="AB1798" s="849">
        <f t="shared" si="344"/>
        <v>764.73</v>
      </c>
      <c r="AC1798" s="850">
        <f t="shared" si="345"/>
        <v>764.73</v>
      </c>
      <c r="AD1798" s="851">
        <f t="shared" si="341"/>
        <v>32000</v>
      </c>
      <c r="AE1798" s="852">
        <v>30081.54</v>
      </c>
      <c r="AF1798" s="865">
        <v>6.2E-2</v>
      </c>
      <c r="AG1798" s="854">
        <f t="shared" si="346"/>
        <v>1436271.2275993079</v>
      </c>
      <c r="AH1798" s="853">
        <v>0.08</v>
      </c>
      <c r="AI1798" s="855">
        <f t="shared" si="347"/>
        <v>1955242.1849439449</v>
      </c>
      <c r="AJ1798" s="845" t="s">
        <v>5704</v>
      </c>
      <c r="AK1798" s="857">
        <v>45898</v>
      </c>
      <c r="AL1798" s="843" t="s">
        <v>5705</v>
      </c>
      <c r="AM1798" s="843" t="s">
        <v>5641</v>
      </c>
      <c r="AN1798" s="844" t="s">
        <v>5642</v>
      </c>
      <c r="AO1798" s="844" t="s">
        <v>141</v>
      </c>
      <c r="AP1798" s="841"/>
      <c r="AQ1798" s="841">
        <v>45906</v>
      </c>
      <c r="AR1798" s="841">
        <v>45958</v>
      </c>
      <c r="AS1798" s="842" t="s">
        <v>1284</v>
      </c>
      <c r="AT1798" s="842" t="s">
        <v>1235</v>
      </c>
      <c r="AU1798" s="842" t="s">
        <v>4595</v>
      </c>
      <c r="AV1798" s="843" t="s">
        <v>5712</v>
      </c>
      <c r="AW1798" s="861">
        <v>45961</v>
      </c>
      <c r="AX1798" s="862">
        <v>45965</v>
      </c>
      <c r="AY1798" s="843" t="s">
        <v>6155</v>
      </c>
      <c r="AZ1798" s="842" t="s">
        <v>6156</v>
      </c>
      <c r="BA1798" s="842" t="s">
        <v>120</v>
      </c>
      <c r="BB1798" s="863" t="s">
        <v>121</v>
      </c>
      <c r="BC1798" s="864">
        <v>45967</v>
      </c>
      <c r="BD1798" s="860" t="s">
        <v>5708</v>
      </c>
      <c r="BE1798" s="865" cm="1">
        <f t="array" ref="BE1798">IF(BD1798="","",AC1798/SUMPRODUCT(--(BD1798=$BD$4:$BD$12824),$AC$4:$AC$12824))</f>
        <v>3.2756257004925107E-3</v>
      </c>
      <c r="BF1798" s="458"/>
      <c r="BG1798" s="458"/>
      <c r="BH1798" s="458"/>
      <c r="BI1798" s="458"/>
      <c r="BJ1798" s="458"/>
      <c r="BK1798" s="458"/>
      <c r="BL1798" s="458"/>
      <c r="BM1798" s="458"/>
      <c r="BN1798" s="458"/>
      <c r="BO1798" s="866">
        <f>VLOOKUP(BD1798,$BD$4:$BN$12824,3,0)*BE1798</f>
        <v>138607.27933428978</v>
      </c>
      <c r="BP1798" s="866"/>
      <c r="BQ1798" s="866"/>
      <c r="BR1798" s="866">
        <f>VLOOKUP(BD1798,$BD$4:$BN$12824,6,0)*BE1798</f>
        <v>26149.495880263774</v>
      </c>
      <c r="BS1798" s="866">
        <f>VLOOKUP(BD1798,$BD$4:$BN$12824,7,0)*BE1798</f>
        <v>22801.59774487136</v>
      </c>
      <c r="BT1798" s="866"/>
      <c r="BU1798" s="866">
        <f>VLOOKUP(BD1798,$BD$4:$BN$12824,9,0)*BE1798</f>
        <v>1834.3503922758059</v>
      </c>
      <c r="BV1798" s="867"/>
      <c r="BW1798" s="867">
        <f>VLOOKUP(BD1798,$BD$4:$BN$12824,11,0)*BE1798</f>
        <v>16444.854211176291</v>
      </c>
      <c r="BX1798" s="1146">
        <f t="shared" si="348"/>
        <v>205837.57756287701</v>
      </c>
      <c r="BY1798" s="867">
        <f t="shared" ref="BY1798:BY1861" si="350">(AB1798*AE1798+AG1798+BX1798)/U1798</f>
        <v>24646364.889362186</v>
      </c>
      <c r="BZ1798" s="867">
        <f t="shared" si="349"/>
        <v>24646364.889362186</v>
      </c>
      <c r="CA1798" s="867">
        <f>_xlfn.MAXIFS($BY$4:$BY$12824,$S$4:$S$12824,$S1798)</f>
        <v>24646364.889362186</v>
      </c>
      <c r="CB1798" s="1032"/>
      <c r="CF1798" s="946">
        <f t="shared" si="342"/>
        <v>24471360</v>
      </c>
    </row>
    <row r="1799" spans="2:84">
      <c r="B1799" s="839" t="s">
        <v>98</v>
      </c>
      <c r="C1799" s="839" t="s">
        <v>5697</v>
      </c>
      <c r="D1799" s="839" t="s">
        <v>5754</v>
      </c>
      <c r="E1799" s="839" t="s">
        <v>5754</v>
      </c>
      <c r="F1799" s="841">
        <v>45805</v>
      </c>
      <c r="G1799" s="839" t="s">
        <v>5697</v>
      </c>
      <c r="H1799" s="883" t="s">
        <v>3457</v>
      </c>
      <c r="I1799" s="883"/>
      <c r="J1799" s="841"/>
      <c r="K1799" s="841"/>
      <c r="L1799" s="843" t="s">
        <v>5257</v>
      </c>
      <c r="M1799" s="844" t="s">
        <v>107</v>
      </c>
      <c r="N1799" s="841"/>
      <c r="O1799" s="884" t="s">
        <v>135</v>
      </c>
      <c r="P1799" s="842" t="s">
        <v>1258</v>
      </c>
      <c r="Q1799" s="843"/>
      <c r="R1799" s="845" t="s">
        <v>6157</v>
      </c>
      <c r="S1799" s="1127" t="s">
        <v>6158</v>
      </c>
      <c r="T1799" s="885" t="s">
        <v>6159</v>
      </c>
      <c r="U1799" s="886">
        <v>1</v>
      </c>
      <c r="V1799" s="842" t="s">
        <v>3</v>
      </c>
      <c r="W1799" s="846">
        <v>1560</v>
      </c>
      <c r="X1799" s="847">
        <f t="shared" si="343"/>
        <v>1560</v>
      </c>
      <c r="Y1799" s="853" t="s">
        <v>5703</v>
      </c>
      <c r="Z1799" s="849">
        <v>814.32</v>
      </c>
      <c r="AA1799" s="849"/>
      <c r="AB1799" s="849">
        <f t="shared" si="344"/>
        <v>814.32</v>
      </c>
      <c r="AC1799" s="850">
        <f t="shared" si="345"/>
        <v>814.32</v>
      </c>
      <c r="AD1799" s="851">
        <f t="shared" si="341"/>
        <v>32000</v>
      </c>
      <c r="AE1799" s="852">
        <v>30081.54</v>
      </c>
      <c r="AF1799" s="865">
        <v>6.2E-2</v>
      </c>
      <c r="AG1799" s="854">
        <f t="shared" si="346"/>
        <v>1529408.2696620617</v>
      </c>
      <c r="AH1799" s="853">
        <v>0.08</v>
      </c>
      <c r="AI1799" s="855">
        <f t="shared" si="347"/>
        <v>2082032.633796965</v>
      </c>
      <c r="AJ1799" s="845" t="s">
        <v>5704</v>
      </c>
      <c r="AK1799" s="857">
        <v>45898</v>
      </c>
      <c r="AL1799" s="843" t="s">
        <v>5705</v>
      </c>
      <c r="AM1799" s="843" t="s">
        <v>5641</v>
      </c>
      <c r="AN1799" s="844" t="s">
        <v>5642</v>
      </c>
      <c r="AO1799" s="844" t="s">
        <v>141</v>
      </c>
      <c r="AP1799" s="841"/>
      <c r="AQ1799" s="841">
        <v>45906</v>
      </c>
      <c r="AR1799" s="841">
        <v>45958</v>
      </c>
      <c r="AS1799" s="842" t="s">
        <v>1284</v>
      </c>
      <c r="AT1799" s="842" t="s">
        <v>1235</v>
      </c>
      <c r="AU1799" s="842" t="s">
        <v>4595</v>
      </c>
      <c r="AV1799" s="843" t="s">
        <v>5712</v>
      </c>
      <c r="AW1799" s="861">
        <v>45961</v>
      </c>
      <c r="AX1799" s="862">
        <v>45965</v>
      </c>
      <c r="AY1799" s="843" t="s">
        <v>6160</v>
      </c>
      <c r="AZ1799" s="842" t="s">
        <v>6156</v>
      </c>
      <c r="BA1799" s="842" t="s">
        <v>120</v>
      </c>
      <c r="BB1799" s="863" t="s">
        <v>121</v>
      </c>
      <c r="BC1799" s="864">
        <v>45967</v>
      </c>
      <c r="BD1799" s="860" t="s">
        <v>5708</v>
      </c>
      <c r="BE1799" s="865" cm="1">
        <f t="array" ref="BE1799">IF(BD1799="","",AC1799/SUMPRODUCT(--(BD1799=$BD$4:$BD$12824),$AC$4:$AC$12824))</f>
        <v>3.4880382885790558E-3</v>
      </c>
      <c r="BF1799" s="458"/>
      <c r="BG1799" s="458"/>
      <c r="BH1799" s="458"/>
      <c r="BI1799" s="458"/>
      <c r="BJ1799" s="458"/>
      <c r="BK1799" s="458"/>
      <c r="BL1799" s="458"/>
      <c r="BM1799" s="458"/>
      <c r="BN1799" s="458"/>
      <c r="BO1799" s="866">
        <f>VLOOKUP(BD1799,$BD$4:$BN$12824,3,0)*BE1799</f>
        <v>147595.46468361231</v>
      </c>
      <c r="BP1799" s="866"/>
      <c r="BQ1799" s="866"/>
      <c r="BR1799" s="866">
        <f>VLOOKUP(BD1799,$BD$4:$BN$12824,6,0)*BE1799</f>
        <v>27845.196978301359</v>
      </c>
      <c r="BS1799" s="866">
        <f>VLOOKUP(BD1799,$BD$4:$BN$12824,7,0)*BE1799</f>
        <v>24280.199646415917</v>
      </c>
      <c r="BT1799" s="866"/>
      <c r="BU1799" s="866">
        <f>VLOOKUP(BD1799,$BD$4:$BN$12824,9,0)*BE1799</f>
        <v>1953.3014416042713</v>
      </c>
      <c r="BV1799" s="867"/>
      <c r="BW1799" s="867">
        <f>VLOOKUP(BD1799,$BD$4:$BN$12824,11,0)*BE1799</f>
        <v>17511.244074699665</v>
      </c>
      <c r="BX1799" s="1146">
        <f t="shared" si="348"/>
        <v>219185.40682463354</v>
      </c>
      <c r="BY1799" s="867">
        <f t="shared" si="350"/>
        <v>26244593.329286695</v>
      </c>
      <c r="BZ1799" s="867">
        <f t="shared" si="349"/>
        <v>26244593.329286695</v>
      </c>
      <c r="CA1799" s="867">
        <f>_xlfn.MAXIFS($BY$4:$BY$12824,$S$4:$S$12824,$S1799)</f>
        <v>26328710.615598518</v>
      </c>
      <c r="CB1799" s="1032"/>
      <c r="CF1799" s="946">
        <f t="shared" si="342"/>
        <v>26058240</v>
      </c>
    </row>
    <row r="1800" spans="2:84">
      <c r="B1800" s="839" t="s">
        <v>98</v>
      </c>
      <c r="C1800" s="839" t="s">
        <v>5697</v>
      </c>
      <c r="D1800" s="839" t="s">
        <v>5754</v>
      </c>
      <c r="E1800" s="839" t="s">
        <v>5754</v>
      </c>
      <c r="F1800" s="841">
        <v>45805</v>
      </c>
      <c r="G1800" s="839" t="s">
        <v>5697</v>
      </c>
      <c r="H1800" s="883" t="s">
        <v>3457</v>
      </c>
      <c r="I1800" s="883"/>
      <c r="J1800" s="841"/>
      <c r="K1800" s="841"/>
      <c r="L1800" s="843" t="s">
        <v>5257</v>
      </c>
      <c r="M1800" s="844" t="s">
        <v>107</v>
      </c>
      <c r="N1800" s="841"/>
      <c r="O1800" s="884" t="s">
        <v>135</v>
      </c>
      <c r="P1800" s="842" t="s">
        <v>1258</v>
      </c>
      <c r="Q1800" s="843"/>
      <c r="R1800" s="845" t="s">
        <v>6161</v>
      </c>
      <c r="S1800" s="1127" t="s">
        <v>6162</v>
      </c>
      <c r="T1800" s="885" t="s">
        <v>6163</v>
      </c>
      <c r="U1800" s="886">
        <v>1</v>
      </c>
      <c r="V1800" s="842" t="s">
        <v>3</v>
      </c>
      <c r="W1800" s="846">
        <v>1565</v>
      </c>
      <c r="X1800" s="847">
        <f t="shared" si="343"/>
        <v>1565</v>
      </c>
      <c r="Y1800" s="853" t="s">
        <v>5703</v>
      </c>
      <c r="Z1800" s="849">
        <v>816.93</v>
      </c>
      <c r="AA1800" s="849"/>
      <c r="AB1800" s="849">
        <f t="shared" si="344"/>
        <v>816.93</v>
      </c>
      <c r="AC1800" s="850">
        <f t="shared" si="345"/>
        <v>816.93</v>
      </c>
      <c r="AD1800" s="851">
        <f t="shared" si="341"/>
        <v>32000</v>
      </c>
      <c r="AE1800" s="852">
        <v>30081.54</v>
      </c>
      <c r="AF1800" s="865">
        <v>6.2E-2</v>
      </c>
      <c r="AG1800" s="854">
        <f t="shared" si="346"/>
        <v>1534310.2192443118</v>
      </c>
      <c r="AH1800" s="853">
        <v>0.08</v>
      </c>
      <c r="AI1800" s="855">
        <f t="shared" si="347"/>
        <v>2088705.8153155448</v>
      </c>
      <c r="AJ1800" s="845" t="s">
        <v>5704</v>
      </c>
      <c r="AK1800" s="857">
        <v>45898</v>
      </c>
      <c r="AL1800" s="843" t="s">
        <v>5705</v>
      </c>
      <c r="AM1800" s="843" t="s">
        <v>5641</v>
      </c>
      <c r="AN1800" s="844" t="s">
        <v>5642</v>
      </c>
      <c r="AO1800" s="844" t="s">
        <v>141</v>
      </c>
      <c r="AP1800" s="841"/>
      <c r="AQ1800" s="841">
        <v>45906</v>
      </c>
      <c r="AR1800" s="841">
        <v>45958</v>
      </c>
      <c r="AS1800" s="842" t="s">
        <v>1284</v>
      </c>
      <c r="AT1800" s="842" t="s">
        <v>1235</v>
      </c>
      <c r="AU1800" s="842" t="s">
        <v>4595</v>
      </c>
      <c r="AV1800" s="843" t="s">
        <v>5712</v>
      </c>
      <c r="AW1800" s="861">
        <v>45961</v>
      </c>
      <c r="AX1800" s="862">
        <v>45965</v>
      </c>
      <c r="AY1800" s="843" t="s">
        <v>6164</v>
      </c>
      <c r="AZ1800" s="842" t="s">
        <v>6156</v>
      </c>
      <c r="BA1800" s="842" t="s">
        <v>120</v>
      </c>
      <c r="BB1800" s="863" t="s">
        <v>121</v>
      </c>
      <c r="BC1800" s="864">
        <v>45967</v>
      </c>
      <c r="BD1800" s="860" t="s">
        <v>5708</v>
      </c>
      <c r="BE1800" s="865" cm="1">
        <f t="array" ref="BE1800">IF(BD1800="","",AC1800/SUMPRODUCT(--(BD1800=$BD$4:$BD$12824),$AC$4:$AC$12824))</f>
        <v>3.4992178984783471E-3</v>
      </c>
      <c r="BF1800" s="458"/>
      <c r="BG1800" s="458"/>
      <c r="BH1800" s="458"/>
      <c r="BI1800" s="458"/>
      <c r="BJ1800" s="458"/>
      <c r="BK1800" s="458"/>
      <c r="BL1800" s="458"/>
      <c r="BM1800" s="458"/>
      <c r="BN1800" s="458"/>
      <c r="BO1800" s="866">
        <f>VLOOKUP(BD1800,$BD$4:$BN$12824,3,0)*BE1800</f>
        <v>148068.52707041873</v>
      </c>
      <c r="BP1800" s="866"/>
      <c r="BQ1800" s="866"/>
      <c r="BR1800" s="866">
        <f>VLOOKUP(BD1800,$BD$4:$BN$12824,6,0)*BE1800</f>
        <v>27934.444404513859</v>
      </c>
      <c r="BS1800" s="866">
        <f>VLOOKUP(BD1800,$BD$4:$BN$12824,7,0)*BE1800</f>
        <v>24358.020799128786</v>
      </c>
      <c r="BT1800" s="866"/>
      <c r="BU1800" s="866">
        <f>VLOOKUP(BD1800,$BD$4:$BN$12824,9,0)*BE1800</f>
        <v>1959.5620231478742</v>
      </c>
      <c r="BV1800" s="867"/>
      <c r="BW1800" s="867">
        <f>VLOOKUP(BD1800,$BD$4:$BN$12824,11,0)*BE1800</f>
        <v>17567.369856990368</v>
      </c>
      <c r="BX1800" s="1146">
        <f t="shared" si="348"/>
        <v>219887.92415419963</v>
      </c>
      <c r="BY1800" s="867">
        <f t="shared" si="350"/>
        <v>26328710.615598511</v>
      </c>
      <c r="BZ1800" s="867">
        <f t="shared" si="349"/>
        <v>26328710.615598511</v>
      </c>
      <c r="CA1800" s="867">
        <f>_xlfn.MAXIFS($BY$4:$BY$12824,$S$4:$S$12824,$S1800)</f>
        <v>26893316.14011845</v>
      </c>
      <c r="CB1800" s="1032"/>
      <c r="CF1800" s="946">
        <f t="shared" si="342"/>
        <v>26141760</v>
      </c>
    </row>
    <row r="1801" spans="2:84">
      <c r="B1801" s="839" t="s">
        <v>98</v>
      </c>
      <c r="C1801" s="839" t="s">
        <v>5697</v>
      </c>
      <c r="D1801" s="839" t="s">
        <v>5754</v>
      </c>
      <c r="E1801" s="839" t="s">
        <v>5754</v>
      </c>
      <c r="F1801" s="841">
        <v>45805</v>
      </c>
      <c r="G1801" s="839" t="s">
        <v>5697</v>
      </c>
      <c r="H1801" s="883" t="s">
        <v>3457</v>
      </c>
      <c r="I1801" s="883"/>
      <c r="J1801" s="841"/>
      <c r="K1801" s="841"/>
      <c r="L1801" s="843" t="s">
        <v>5257</v>
      </c>
      <c r="M1801" s="844" t="s">
        <v>107</v>
      </c>
      <c r="N1801" s="841"/>
      <c r="O1801" s="884" t="s">
        <v>135</v>
      </c>
      <c r="P1801" s="842" t="s">
        <v>1258</v>
      </c>
      <c r="Q1801" s="843"/>
      <c r="R1801" s="845" t="s">
        <v>6165</v>
      </c>
      <c r="S1801" s="1127" t="s">
        <v>6166</v>
      </c>
      <c r="T1801" s="885" t="s">
        <v>6167</v>
      </c>
      <c r="U1801" s="886">
        <v>1</v>
      </c>
      <c r="V1801" s="842" t="s">
        <v>3</v>
      </c>
      <c r="W1801" s="846">
        <v>1600</v>
      </c>
      <c r="X1801" s="847">
        <f t="shared" si="343"/>
        <v>1600</v>
      </c>
      <c r="Y1801" s="853" t="s">
        <v>5703</v>
      </c>
      <c r="Z1801" s="849">
        <v>835.2</v>
      </c>
      <c r="AA1801" s="849"/>
      <c r="AB1801" s="849">
        <f t="shared" si="344"/>
        <v>835.2</v>
      </c>
      <c r="AC1801" s="850">
        <f t="shared" si="345"/>
        <v>835.2</v>
      </c>
      <c r="AD1801" s="851">
        <f t="shared" si="341"/>
        <v>32000</v>
      </c>
      <c r="AE1801" s="852">
        <v>30081.54</v>
      </c>
      <c r="AF1801" s="865">
        <v>7.4999999999999997E-2</v>
      </c>
      <c r="AG1801" s="854">
        <f t="shared" si="346"/>
        <v>1897528.8705484637</v>
      </c>
      <c r="AH1801" s="853">
        <v>0.08</v>
      </c>
      <c r="AI1801" s="855">
        <f t="shared" si="347"/>
        <v>2161730.4862838774</v>
      </c>
      <c r="AJ1801" s="845" t="s">
        <v>5704</v>
      </c>
      <c r="AK1801" s="857">
        <v>45898</v>
      </c>
      <c r="AL1801" s="843" t="s">
        <v>5705</v>
      </c>
      <c r="AM1801" s="843" t="s">
        <v>5641</v>
      </c>
      <c r="AN1801" s="844" t="s">
        <v>5642</v>
      </c>
      <c r="AO1801" s="844" t="s">
        <v>141</v>
      </c>
      <c r="AP1801" s="841"/>
      <c r="AQ1801" s="841">
        <v>45906</v>
      </c>
      <c r="AR1801" s="841">
        <v>45958</v>
      </c>
      <c r="AS1801" s="842" t="s">
        <v>1284</v>
      </c>
      <c r="AT1801" s="842" t="s">
        <v>1235</v>
      </c>
      <c r="AU1801" s="842" t="s">
        <v>4595</v>
      </c>
      <c r="AV1801" s="843" t="s">
        <v>5712</v>
      </c>
      <c r="AW1801" s="861">
        <v>45961</v>
      </c>
      <c r="AX1801" s="862">
        <v>45965</v>
      </c>
      <c r="AY1801" s="843" t="s">
        <v>6168</v>
      </c>
      <c r="AZ1801" s="842" t="s">
        <v>6143</v>
      </c>
      <c r="BA1801" s="842" t="s">
        <v>120</v>
      </c>
      <c r="BB1801" s="863" t="s">
        <v>121</v>
      </c>
      <c r="BC1801" s="864">
        <v>45967</v>
      </c>
      <c r="BD1801" s="860" t="s">
        <v>5708</v>
      </c>
      <c r="BE1801" s="865" cm="1">
        <f t="array" ref="BE1801">IF(BD1801="","",AC1801/SUMPRODUCT(--(BD1801=$BD$4:$BD$12824),$AC$4:$AC$12824))</f>
        <v>3.5774751677733903E-3</v>
      </c>
      <c r="BF1801" s="458"/>
      <c r="BG1801" s="458"/>
      <c r="BH1801" s="458"/>
      <c r="BI1801" s="458"/>
      <c r="BJ1801" s="458"/>
      <c r="BK1801" s="458"/>
      <c r="BL1801" s="458"/>
      <c r="BM1801" s="458"/>
      <c r="BN1801" s="458"/>
      <c r="BO1801" s="866">
        <f>VLOOKUP(BD1801,$BD$4:$BN$12824,3,0)*BE1801</f>
        <v>151379.96377806389</v>
      </c>
      <c r="BP1801" s="866"/>
      <c r="BQ1801" s="866"/>
      <c r="BR1801" s="866">
        <f>VLOOKUP(BD1801,$BD$4:$BN$12824,6,0)*BE1801</f>
        <v>28559.17638800139</v>
      </c>
      <c r="BS1801" s="866">
        <f>VLOOKUP(BD1801,$BD$4:$BN$12824,7,0)*BE1801</f>
        <v>24902.768868118888</v>
      </c>
      <c r="BT1801" s="866"/>
      <c r="BU1801" s="866">
        <f>VLOOKUP(BD1801,$BD$4:$BN$12824,9,0)*BE1801</f>
        <v>2003.3860939530987</v>
      </c>
      <c r="BV1801" s="867"/>
      <c r="BW1801" s="867">
        <f>VLOOKUP(BD1801,$BD$4:$BN$12824,11,0)*BE1801</f>
        <v>17960.250333025298</v>
      </c>
      <c r="BX1801" s="1146">
        <f t="shared" si="348"/>
        <v>224805.54546116258</v>
      </c>
      <c r="BY1801" s="867">
        <f t="shared" si="350"/>
        <v>27246436.624009628</v>
      </c>
      <c r="BZ1801" s="867">
        <f t="shared" si="349"/>
        <v>27246436.624009628</v>
      </c>
      <c r="CA1801" s="867">
        <f>_xlfn.MAXIFS($BY$4:$BY$12824,$S$4:$S$12824,$S1801)</f>
        <v>27246436.624009628</v>
      </c>
      <c r="CB1801" s="1032"/>
      <c r="CF1801" s="946">
        <f t="shared" si="342"/>
        <v>26726400</v>
      </c>
    </row>
    <row r="1802" spans="2:84">
      <c r="B1802" s="839" t="s">
        <v>98</v>
      </c>
      <c r="C1802" s="839" t="s">
        <v>5697</v>
      </c>
      <c r="D1802" s="839" t="s">
        <v>5754</v>
      </c>
      <c r="E1802" s="839" t="s">
        <v>5754</v>
      </c>
      <c r="F1802" s="841">
        <v>45805</v>
      </c>
      <c r="G1802" s="839" t="s">
        <v>5697</v>
      </c>
      <c r="H1802" s="883" t="s">
        <v>3457</v>
      </c>
      <c r="I1802" s="883"/>
      <c r="J1802" s="841"/>
      <c r="K1802" s="841"/>
      <c r="L1802" s="843" t="s">
        <v>5257</v>
      </c>
      <c r="M1802" s="844" t="s">
        <v>107</v>
      </c>
      <c r="N1802" s="841"/>
      <c r="O1802" s="884" t="s">
        <v>135</v>
      </c>
      <c r="P1802" s="842" t="s">
        <v>1258</v>
      </c>
      <c r="Q1802" s="843"/>
      <c r="R1802" s="845" t="s">
        <v>6169</v>
      </c>
      <c r="S1802" s="1127" t="s">
        <v>6170</v>
      </c>
      <c r="T1802" s="885" t="s">
        <v>6171</v>
      </c>
      <c r="U1802" s="886">
        <v>1</v>
      </c>
      <c r="V1802" s="842" t="s">
        <v>3</v>
      </c>
      <c r="W1802" s="846">
        <v>1600</v>
      </c>
      <c r="X1802" s="847">
        <f t="shared" si="343"/>
        <v>1600</v>
      </c>
      <c r="Y1802" s="853" t="s">
        <v>5703</v>
      </c>
      <c r="Z1802" s="849">
        <v>835.2</v>
      </c>
      <c r="AA1802" s="849"/>
      <c r="AB1802" s="849">
        <f t="shared" si="344"/>
        <v>835.2</v>
      </c>
      <c r="AC1802" s="850">
        <f t="shared" si="345"/>
        <v>835.2</v>
      </c>
      <c r="AD1802" s="851">
        <f t="shared" si="341"/>
        <v>32000</v>
      </c>
      <c r="AE1802" s="852">
        <v>30081.54</v>
      </c>
      <c r="AF1802" s="865">
        <v>7.4999999999999997E-2</v>
      </c>
      <c r="AG1802" s="854">
        <f t="shared" si="346"/>
        <v>1897528.8705484637</v>
      </c>
      <c r="AH1802" s="853">
        <v>0.08</v>
      </c>
      <c r="AI1802" s="855">
        <f t="shared" si="347"/>
        <v>2161730.4862838774</v>
      </c>
      <c r="AJ1802" s="845" t="s">
        <v>5704</v>
      </c>
      <c r="AK1802" s="857">
        <v>45898</v>
      </c>
      <c r="AL1802" s="843" t="s">
        <v>5705</v>
      </c>
      <c r="AM1802" s="843" t="s">
        <v>5641</v>
      </c>
      <c r="AN1802" s="844" t="s">
        <v>5642</v>
      </c>
      <c r="AO1802" s="844" t="s">
        <v>141</v>
      </c>
      <c r="AP1802" s="841"/>
      <c r="AQ1802" s="841">
        <v>45906</v>
      </c>
      <c r="AR1802" s="841">
        <v>45958</v>
      </c>
      <c r="AS1802" s="842" t="s">
        <v>1284</v>
      </c>
      <c r="AT1802" s="842" t="s">
        <v>1235</v>
      </c>
      <c r="AU1802" s="842" t="s">
        <v>4595</v>
      </c>
      <c r="AV1802" s="843" t="s">
        <v>5712</v>
      </c>
      <c r="AW1802" s="861">
        <v>45961</v>
      </c>
      <c r="AX1802" s="862">
        <v>45965</v>
      </c>
      <c r="AY1802" s="843" t="s">
        <v>6172</v>
      </c>
      <c r="AZ1802" s="842" t="s">
        <v>6143</v>
      </c>
      <c r="BA1802" s="842" t="s">
        <v>120</v>
      </c>
      <c r="BB1802" s="863" t="s">
        <v>121</v>
      </c>
      <c r="BC1802" s="864">
        <v>45967</v>
      </c>
      <c r="BD1802" s="860" t="s">
        <v>5708</v>
      </c>
      <c r="BE1802" s="865" cm="1">
        <f t="array" ref="BE1802">IF(BD1802="","",AC1802/SUMPRODUCT(--(BD1802=$BD$4:$BD$12824),$AC$4:$AC$12824))</f>
        <v>3.5774751677733903E-3</v>
      </c>
      <c r="BF1802" s="458"/>
      <c r="BG1802" s="458"/>
      <c r="BH1802" s="458"/>
      <c r="BI1802" s="458"/>
      <c r="BJ1802" s="458"/>
      <c r="BK1802" s="458"/>
      <c r="BL1802" s="458"/>
      <c r="BM1802" s="458"/>
      <c r="BN1802" s="458"/>
      <c r="BO1802" s="866">
        <f>VLOOKUP(BD1802,$BD$4:$BN$12824,3,0)*BE1802</f>
        <v>151379.96377806389</v>
      </c>
      <c r="BP1802" s="866"/>
      <c r="BQ1802" s="866"/>
      <c r="BR1802" s="866">
        <f>VLOOKUP(BD1802,$BD$4:$BN$12824,6,0)*BE1802</f>
        <v>28559.17638800139</v>
      </c>
      <c r="BS1802" s="866">
        <f>VLOOKUP(BD1802,$BD$4:$BN$12824,7,0)*BE1802</f>
        <v>24902.768868118888</v>
      </c>
      <c r="BT1802" s="866"/>
      <c r="BU1802" s="866">
        <f>VLOOKUP(BD1802,$BD$4:$BN$12824,9,0)*BE1802</f>
        <v>2003.3860939530987</v>
      </c>
      <c r="BV1802" s="867"/>
      <c r="BW1802" s="867">
        <f>VLOOKUP(BD1802,$BD$4:$BN$12824,11,0)*BE1802</f>
        <v>17960.250333025298</v>
      </c>
      <c r="BX1802" s="1146">
        <f t="shared" si="348"/>
        <v>224805.54546116258</v>
      </c>
      <c r="BY1802" s="867">
        <f t="shared" si="350"/>
        <v>27246436.624009628</v>
      </c>
      <c r="BZ1802" s="867">
        <f t="shared" si="349"/>
        <v>27246436.624009628</v>
      </c>
      <c r="CA1802" s="867">
        <f>_xlfn.MAXIFS($BY$4:$BY$12824,$S$4:$S$12824,$S1802)</f>
        <v>27246436.624009628</v>
      </c>
      <c r="CB1802" s="1032"/>
      <c r="CF1802" s="946">
        <f t="shared" si="342"/>
        <v>26726400</v>
      </c>
    </row>
    <row r="1803" spans="2:84">
      <c r="B1803" s="839" t="s">
        <v>98</v>
      </c>
      <c r="C1803" s="839" t="s">
        <v>5697</v>
      </c>
      <c r="D1803" s="839" t="s">
        <v>5754</v>
      </c>
      <c r="E1803" s="839" t="s">
        <v>5754</v>
      </c>
      <c r="F1803" s="841">
        <v>45805</v>
      </c>
      <c r="G1803" s="839" t="s">
        <v>5697</v>
      </c>
      <c r="H1803" s="883" t="s">
        <v>3457</v>
      </c>
      <c r="I1803" s="883"/>
      <c r="J1803" s="841"/>
      <c r="K1803" s="841"/>
      <c r="L1803" s="843" t="s">
        <v>5257</v>
      </c>
      <c r="M1803" s="844" t="s">
        <v>107</v>
      </c>
      <c r="N1803" s="841"/>
      <c r="O1803" s="884" t="s">
        <v>135</v>
      </c>
      <c r="P1803" s="842" t="s">
        <v>1258</v>
      </c>
      <c r="Q1803" s="843"/>
      <c r="R1803" s="845" t="s">
        <v>6173</v>
      </c>
      <c r="S1803" s="1127" t="s">
        <v>6174</v>
      </c>
      <c r="T1803" s="885" t="s">
        <v>6175</v>
      </c>
      <c r="U1803" s="886">
        <v>1</v>
      </c>
      <c r="V1803" s="842" t="s">
        <v>3</v>
      </c>
      <c r="W1803" s="846">
        <v>2350</v>
      </c>
      <c r="X1803" s="847">
        <f t="shared" si="343"/>
        <v>2350</v>
      </c>
      <c r="Y1803" s="853" t="s">
        <v>5703</v>
      </c>
      <c r="Z1803" s="849">
        <v>1226.7</v>
      </c>
      <c r="AA1803" s="849"/>
      <c r="AB1803" s="849">
        <f t="shared" si="344"/>
        <v>1226.7</v>
      </c>
      <c r="AC1803" s="850">
        <f t="shared" si="345"/>
        <v>1226.7</v>
      </c>
      <c r="AD1803" s="851">
        <f t="shared" si="341"/>
        <v>32000</v>
      </c>
      <c r="AE1803" s="852">
        <v>30081.54</v>
      </c>
      <c r="AF1803" s="865">
        <v>6.2E-2</v>
      </c>
      <c r="AG1803" s="854">
        <f t="shared" si="346"/>
        <v>2303916.3036575927</v>
      </c>
      <c r="AH1803" s="853">
        <v>0.08</v>
      </c>
      <c r="AI1803" s="855">
        <f t="shared" si="347"/>
        <v>3136395.3137326073</v>
      </c>
      <c r="AJ1803" s="845" t="s">
        <v>5704</v>
      </c>
      <c r="AK1803" s="857">
        <v>45898</v>
      </c>
      <c r="AL1803" s="843" t="s">
        <v>5705</v>
      </c>
      <c r="AM1803" s="843" t="s">
        <v>5641</v>
      </c>
      <c r="AN1803" s="844" t="s">
        <v>5642</v>
      </c>
      <c r="AO1803" s="844" t="s">
        <v>141</v>
      </c>
      <c r="AP1803" s="841"/>
      <c r="AQ1803" s="841">
        <v>45906</v>
      </c>
      <c r="AR1803" s="841">
        <v>45958</v>
      </c>
      <c r="AS1803" s="842" t="s">
        <v>1284</v>
      </c>
      <c r="AT1803" s="842" t="s">
        <v>1235</v>
      </c>
      <c r="AU1803" s="842" t="s">
        <v>4595</v>
      </c>
      <c r="AV1803" s="843" t="s">
        <v>5712</v>
      </c>
      <c r="AW1803" s="861">
        <v>45961</v>
      </c>
      <c r="AX1803" s="862">
        <v>45965</v>
      </c>
      <c r="AY1803" s="843" t="s">
        <v>6176</v>
      </c>
      <c r="AZ1803" s="842" t="s">
        <v>6156</v>
      </c>
      <c r="BA1803" s="842" t="s">
        <v>120</v>
      </c>
      <c r="BB1803" s="863" t="s">
        <v>121</v>
      </c>
      <c r="BC1803" s="864">
        <v>45967</v>
      </c>
      <c r="BD1803" s="860" t="s">
        <v>5708</v>
      </c>
      <c r="BE1803" s="865" cm="1">
        <f t="array" ref="BE1803">IF(BD1803="","",AC1803/SUMPRODUCT(--(BD1803=$BD$4:$BD$12824),$AC$4:$AC$12824))</f>
        <v>5.2544166526671673E-3</v>
      </c>
      <c r="BF1803" s="458"/>
      <c r="BG1803" s="458"/>
      <c r="BH1803" s="458"/>
      <c r="BI1803" s="458"/>
      <c r="BJ1803" s="458"/>
      <c r="BK1803" s="458"/>
      <c r="BL1803" s="458"/>
      <c r="BM1803" s="458"/>
      <c r="BN1803" s="458"/>
      <c r="BO1803" s="866">
        <f>VLOOKUP(BD1803,$BD$4:$BN$12824,3,0)*BE1803</f>
        <v>222339.32179903137</v>
      </c>
      <c r="BP1803" s="866"/>
      <c r="BQ1803" s="866"/>
      <c r="BR1803" s="866">
        <f>VLOOKUP(BD1803,$BD$4:$BN$12824,6,0)*BE1803</f>
        <v>41946.290319877044</v>
      </c>
      <c r="BS1803" s="866">
        <f>VLOOKUP(BD1803,$BD$4:$BN$12824,7,0)*BE1803</f>
        <v>36575.941775049621</v>
      </c>
      <c r="BT1803" s="866"/>
      <c r="BU1803" s="866">
        <f>VLOOKUP(BD1803,$BD$4:$BN$12824,9,0)*BE1803</f>
        <v>2942.4733254936136</v>
      </c>
      <c r="BV1803" s="867"/>
      <c r="BW1803" s="867">
        <f>VLOOKUP(BD1803,$BD$4:$BN$12824,11,0)*BE1803</f>
        <v>26379.117676630907</v>
      </c>
      <c r="BX1803" s="1146">
        <f t="shared" si="348"/>
        <v>330183.14489608258</v>
      </c>
      <c r="BY1803" s="867">
        <f t="shared" si="350"/>
        <v>39535124.566553675</v>
      </c>
      <c r="BZ1803" s="867">
        <f t="shared" si="349"/>
        <v>39535124.566553675</v>
      </c>
      <c r="CA1803" s="867">
        <f>_xlfn.MAXIFS($BY$4:$BY$12824,$S$4:$S$12824,$S1803)</f>
        <v>39535124.566553675</v>
      </c>
      <c r="CB1803" s="1032"/>
      <c r="CF1803" s="946">
        <f t="shared" si="342"/>
        <v>39254400</v>
      </c>
    </row>
    <row r="1804" spans="2:84">
      <c r="B1804" s="839" t="s">
        <v>98</v>
      </c>
      <c r="C1804" s="839" t="s">
        <v>5697</v>
      </c>
      <c r="D1804" s="839" t="s">
        <v>5754</v>
      </c>
      <c r="E1804" s="839" t="s">
        <v>5754</v>
      </c>
      <c r="F1804" s="841">
        <v>45805</v>
      </c>
      <c r="G1804" s="839" t="s">
        <v>5697</v>
      </c>
      <c r="H1804" s="883" t="s">
        <v>3457</v>
      </c>
      <c r="I1804" s="883"/>
      <c r="J1804" s="841"/>
      <c r="K1804" s="841"/>
      <c r="L1804" s="843" t="s">
        <v>5257</v>
      </c>
      <c r="M1804" s="844" t="s">
        <v>107</v>
      </c>
      <c r="N1804" s="841"/>
      <c r="O1804" s="884" t="s">
        <v>135</v>
      </c>
      <c r="P1804" s="842" t="s">
        <v>1258</v>
      </c>
      <c r="Q1804" s="843"/>
      <c r="R1804" s="845" t="s">
        <v>6177</v>
      </c>
      <c r="S1804" s="1127" t="s">
        <v>6178</v>
      </c>
      <c r="T1804" s="885" t="s">
        <v>6179</v>
      </c>
      <c r="U1804" s="886">
        <v>1</v>
      </c>
      <c r="V1804" s="842" t="s">
        <v>3</v>
      </c>
      <c r="W1804" s="846">
        <v>2350</v>
      </c>
      <c r="X1804" s="847">
        <f t="shared" si="343"/>
        <v>2350</v>
      </c>
      <c r="Y1804" s="853" t="s">
        <v>5703</v>
      </c>
      <c r="Z1804" s="849">
        <v>1226.7</v>
      </c>
      <c r="AA1804" s="849"/>
      <c r="AB1804" s="849">
        <f t="shared" si="344"/>
        <v>1226.7</v>
      </c>
      <c r="AC1804" s="850">
        <f t="shared" si="345"/>
        <v>1226.7</v>
      </c>
      <c r="AD1804" s="851">
        <f t="shared" si="341"/>
        <v>32000</v>
      </c>
      <c r="AE1804" s="852">
        <v>30081.54</v>
      </c>
      <c r="AF1804" s="865">
        <v>6.2E-2</v>
      </c>
      <c r="AG1804" s="854">
        <f t="shared" si="346"/>
        <v>2303916.3036575927</v>
      </c>
      <c r="AH1804" s="853">
        <v>0.08</v>
      </c>
      <c r="AI1804" s="855">
        <f t="shared" si="347"/>
        <v>3136395.3137326073</v>
      </c>
      <c r="AJ1804" s="845" t="s">
        <v>5704</v>
      </c>
      <c r="AK1804" s="857">
        <v>45898</v>
      </c>
      <c r="AL1804" s="843" t="s">
        <v>5705</v>
      </c>
      <c r="AM1804" s="843" t="s">
        <v>5641</v>
      </c>
      <c r="AN1804" s="844" t="s">
        <v>5642</v>
      </c>
      <c r="AO1804" s="844" t="s">
        <v>141</v>
      </c>
      <c r="AP1804" s="841"/>
      <c r="AQ1804" s="841">
        <v>45906</v>
      </c>
      <c r="AR1804" s="841">
        <v>45958</v>
      </c>
      <c r="AS1804" s="842" t="s">
        <v>1284</v>
      </c>
      <c r="AT1804" s="842" t="s">
        <v>1235</v>
      </c>
      <c r="AU1804" s="842" t="s">
        <v>4595</v>
      </c>
      <c r="AV1804" s="843" t="s">
        <v>5712</v>
      </c>
      <c r="AW1804" s="861">
        <v>45961</v>
      </c>
      <c r="AX1804" s="862">
        <v>45965</v>
      </c>
      <c r="AY1804" s="843" t="s">
        <v>6180</v>
      </c>
      <c r="AZ1804" s="842" t="s">
        <v>6156</v>
      </c>
      <c r="BA1804" s="842" t="s">
        <v>120</v>
      </c>
      <c r="BB1804" s="863" t="s">
        <v>121</v>
      </c>
      <c r="BC1804" s="864">
        <v>45967</v>
      </c>
      <c r="BD1804" s="860" t="s">
        <v>5708</v>
      </c>
      <c r="BE1804" s="865" cm="1">
        <f t="array" ref="BE1804">IF(BD1804="","",AC1804/SUMPRODUCT(--(BD1804=$BD$4:$BD$12824),$AC$4:$AC$12824))</f>
        <v>5.2544166526671673E-3</v>
      </c>
      <c r="BF1804" s="458"/>
      <c r="BG1804" s="458"/>
      <c r="BH1804" s="458"/>
      <c r="BI1804" s="458"/>
      <c r="BJ1804" s="458"/>
      <c r="BK1804" s="458"/>
      <c r="BL1804" s="458"/>
      <c r="BM1804" s="458"/>
      <c r="BN1804" s="458"/>
      <c r="BO1804" s="866">
        <f>VLOOKUP(BD1804,$BD$4:$BN$12824,3,0)*BE1804</f>
        <v>222339.32179903137</v>
      </c>
      <c r="BP1804" s="866"/>
      <c r="BQ1804" s="866"/>
      <c r="BR1804" s="866">
        <f>VLOOKUP(BD1804,$BD$4:$BN$12824,6,0)*BE1804</f>
        <v>41946.290319877044</v>
      </c>
      <c r="BS1804" s="866">
        <f>VLOOKUP(BD1804,$BD$4:$BN$12824,7,0)*BE1804</f>
        <v>36575.941775049621</v>
      </c>
      <c r="BT1804" s="866"/>
      <c r="BU1804" s="866">
        <f>VLOOKUP(BD1804,$BD$4:$BN$12824,9,0)*BE1804</f>
        <v>2942.4733254936136</v>
      </c>
      <c r="BV1804" s="867"/>
      <c r="BW1804" s="867">
        <f>VLOOKUP(BD1804,$BD$4:$BN$12824,11,0)*BE1804</f>
        <v>26379.117676630907</v>
      </c>
      <c r="BX1804" s="1146">
        <f t="shared" si="348"/>
        <v>330183.14489608258</v>
      </c>
      <c r="BY1804" s="867">
        <f t="shared" si="350"/>
        <v>39535124.566553675</v>
      </c>
      <c r="BZ1804" s="867">
        <f t="shared" si="349"/>
        <v>39535124.566553675</v>
      </c>
      <c r="CA1804" s="867">
        <f>_xlfn.MAXIFS($BY$4:$BY$12824,$S$4:$S$12824,$S1804)</f>
        <v>39535124.566553675</v>
      </c>
      <c r="CB1804" s="1032"/>
      <c r="CF1804" s="946">
        <f t="shared" si="342"/>
        <v>39254400</v>
      </c>
    </row>
    <row r="1805" spans="2:84">
      <c r="B1805" s="839" t="s">
        <v>98</v>
      </c>
      <c r="C1805" s="839" t="s">
        <v>5697</v>
      </c>
      <c r="D1805" s="839" t="s">
        <v>5754</v>
      </c>
      <c r="E1805" s="839" t="s">
        <v>5754</v>
      </c>
      <c r="F1805" s="841">
        <v>45805</v>
      </c>
      <c r="G1805" s="839" t="s">
        <v>5697</v>
      </c>
      <c r="H1805" s="883" t="s">
        <v>3457</v>
      </c>
      <c r="I1805" s="883"/>
      <c r="J1805" s="841"/>
      <c r="K1805" s="841"/>
      <c r="L1805" s="843" t="s">
        <v>5257</v>
      </c>
      <c r="M1805" s="844" t="s">
        <v>107</v>
      </c>
      <c r="N1805" s="841"/>
      <c r="O1805" s="884" t="s">
        <v>135</v>
      </c>
      <c r="P1805" s="842" t="s">
        <v>1258</v>
      </c>
      <c r="Q1805" s="843"/>
      <c r="R1805" s="845" t="s">
        <v>6181</v>
      </c>
      <c r="S1805" s="1127" t="s">
        <v>6182</v>
      </c>
      <c r="T1805" s="885" t="s">
        <v>6183</v>
      </c>
      <c r="U1805" s="886">
        <v>1</v>
      </c>
      <c r="V1805" s="842" t="s">
        <v>3</v>
      </c>
      <c r="W1805" s="846">
        <v>3670</v>
      </c>
      <c r="X1805" s="847">
        <f t="shared" si="343"/>
        <v>3670</v>
      </c>
      <c r="Y1805" s="853" t="s">
        <v>5703</v>
      </c>
      <c r="Z1805" s="849">
        <v>1915.74</v>
      </c>
      <c r="AA1805" s="849"/>
      <c r="AB1805" s="849">
        <f t="shared" si="344"/>
        <v>1915.74</v>
      </c>
      <c r="AC1805" s="850">
        <f t="shared" si="345"/>
        <v>1915.74</v>
      </c>
      <c r="AD1805" s="851">
        <f t="shared" si="341"/>
        <v>32000</v>
      </c>
      <c r="AE1805" s="852">
        <v>30081.54</v>
      </c>
      <c r="AF1805" s="865">
        <v>6.2E-2</v>
      </c>
      <c r="AG1805" s="854">
        <f t="shared" si="346"/>
        <v>3598030.993371645</v>
      </c>
      <c r="AH1805" s="853">
        <v>0.08</v>
      </c>
      <c r="AI1805" s="855">
        <f t="shared" si="347"/>
        <v>4898115.2346377317</v>
      </c>
      <c r="AJ1805" s="845" t="s">
        <v>5704</v>
      </c>
      <c r="AK1805" s="857">
        <v>45898</v>
      </c>
      <c r="AL1805" s="843" t="s">
        <v>5705</v>
      </c>
      <c r="AM1805" s="843" t="s">
        <v>5641</v>
      </c>
      <c r="AN1805" s="844" t="s">
        <v>5642</v>
      </c>
      <c r="AO1805" s="844" t="s">
        <v>141</v>
      </c>
      <c r="AP1805" s="841"/>
      <c r="AQ1805" s="841">
        <v>45906</v>
      </c>
      <c r="AR1805" s="841">
        <v>45958</v>
      </c>
      <c r="AS1805" s="842" t="s">
        <v>1284</v>
      </c>
      <c r="AT1805" s="842" t="s">
        <v>1235</v>
      </c>
      <c r="AU1805" s="842" t="s">
        <v>4595</v>
      </c>
      <c r="AV1805" s="843" t="s">
        <v>5712</v>
      </c>
      <c r="AW1805" s="861">
        <v>45961</v>
      </c>
      <c r="AX1805" s="862">
        <v>45965</v>
      </c>
      <c r="AY1805" s="843" t="s">
        <v>6184</v>
      </c>
      <c r="AZ1805" s="842" t="s">
        <v>6156</v>
      </c>
      <c r="BA1805" s="842" t="s">
        <v>120</v>
      </c>
      <c r="BB1805" s="863" t="s">
        <v>121</v>
      </c>
      <c r="BC1805" s="864">
        <v>45967</v>
      </c>
      <c r="BD1805" s="860" t="s">
        <v>5708</v>
      </c>
      <c r="BE1805" s="865" cm="1">
        <f t="array" ref="BE1805">IF(BD1805="","",AC1805/SUMPRODUCT(--(BD1805=$BD$4:$BD$12824),$AC$4:$AC$12824))</f>
        <v>8.2058336660802145E-3</v>
      </c>
      <c r="BF1805" s="458"/>
      <c r="BG1805" s="458"/>
      <c r="BH1805" s="458"/>
      <c r="BI1805" s="458"/>
      <c r="BJ1805" s="458"/>
      <c r="BK1805" s="458"/>
      <c r="BL1805" s="458"/>
      <c r="BM1805" s="458"/>
      <c r="BN1805" s="458"/>
      <c r="BO1805" s="866">
        <f>VLOOKUP(BD1805,$BD$4:$BN$12824,3,0)*BE1805</f>
        <v>347227.79191593407</v>
      </c>
      <c r="BP1805" s="866"/>
      <c r="BQ1805" s="866"/>
      <c r="BR1805" s="866">
        <f>VLOOKUP(BD1805,$BD$4:$BN$12824,6,0)*BE1805</f>
        <v>65507.610839978195</v>
      </c>
      <c r="BS1805" s="866">
        <f>VLOOKUP(BD1805,$BD$4:$BN$12824,7,0)*BE1805</f>
        <v>57120.726091247707</v>
      </c>
      <c r="BT1805" s="866"/>
      <c r="BU1805" s="866">
        <f>VLOOKUP(BD1805,$BD$4:$BN$12824,9,0)*BE1805</f>
        <v>4595.2668530049204</v>
      </c>
      <c r="BV1805" s="867"/>
      <c r="BW1805" s="867">
        <f>VLOOKUP(BD1805,$BD$4:$BN$12824,11,0)*BE1805</f>
        <v>41196.324201376781</v>
      </c>
      <c r="BX1805" s="1146">
        <f t="shared" si="348"/>
        <v>515647.71990154166</v>
      </c>
      <c r="BY1805" s="867">
        <f t="shared" si="350"/>
        <v>61742088.152873181</v>
      </c>
      <c r="BZ1805" s="867">
        <f t="shared" si="349"/>
        <v>61742088.152873181</v>
      </c>
      <c r="CA1805" s="867">
        <f>_xlfn.MAXIFS($BY$4:$BY$12824,$S$4:$S$12824,$S1805)</f>
        <v>61742088.152873181</v>
      </c>
      <c r="CB1805" s="1032"/>
      <c r="CF1805" s="946">
        <f t="shared" si="342"/>
        <v>61303680</v>
      </c>
    </row>
    <row r="1806" spans="2:84">
      <c r="B1806" s="839" t="s">
        <v>98</v>
      </c>
      <c r="C1806" s="839" t="s">
        <v>5697</v>
      </c>
      <c r="D1806" s="839" t="s">
        <v>5754</v>
      </c>
      <c r="E1806" s="839" t="s">
        <v>5754</v>
      </c>
      <c r="F1806" s="841">
        <v>45805</v>
      </c>
      <c r="G1806" s="839" t="s">
        <v>5697</v>
      </c>
      <c r="H1806" s="883" t="s">
        <v>3457</v>
      </c>
      <c r="I1806" s="883"/>
      <c r="J1806" s="841"/>
      <c r="K1806" s="841"/>
      <c r="L1806" s="843" t="s">
        <v>5257</v>
      </c>
      <c r="M1806" s="844" t="s">
        <v>107</v>
      </c>
      <c r="N1806" s="841"/>
      <c r="O1806" s="884" t="s">
        <v>135</v>
      </c>
      <c r="P1806" s="842" t="s">
        <v>1258</v>
      </c>
      <c r="Q1806" s="843"/>
      <c r="R1806" s="845" t="s">
        <v>6185</v>
      </c>
      <c r="S1806" s="1127" t="s">
        <v>6186</v>
      </c>
      <c r="T1806" s="885" t="s">
        <v>6187</v>
      </c>
      <c r="U1806" s="886">
        <v>1</v>
      </c>
      <c r="V1806" s="842" t="s">
        <v>3</v>
      </c>
      <c r="W1806" s="846">
        <v>2020</v>
      </c>
      <c r="X1806" s="847">
        <f t="shared" si="343"/>
        <v>2020</v>
      </c>
      <c r="Y1806" s="853" t="s">
        <v>5703</v>
      </c>
      <c r="Z1806" s="849">
        <v>1054.44</v>
      </c>
      <c r="AA1806" s="849"/>
      <c r="AB1806" s="849">
        <f t="shared" si="344"/>
        <v>1054.44</v>
      </c>
      <c r="AC1806" s="850">
        <f t="shared" si="345"/>
        <v>1054.44</v>
      </c>
      <c r="AD1806" s="851">
        <f t="shared" si="341"/>
        <v>32000</v>
      </c>
      <c r="AE1806" s="852">
        <v>30081.54</v>
      </c>
      <c r="AF1806" s="865">
        <v>6.2E-2</v>
      </c>
      <c r="AG1806" s="854">
        <f t="shared" si="346"/>
        <v>1980387.63122908</v>
      </c>
      <c r="AH1806" s="853">
        <v>0.08</v>
      </c>
      <c r="AI1806" s="855">
        <f t="shared" si="347"/>
        <v>2695965.3335063267</v>
      </c>
      <c r="AJ1806" s="845" t="s">
        <v>5704</v>
      </c>
      <c r="AK1806" s="857">
        <v>45898</v>
      </c>
      <c r="AL1806" s="843" t="s">
        <v>5705</v>
      </c>
      <c r="AM1806" s="843" t="s">
        <v>5641</v>
      </c>
      <c r="AN1806" s="844" t="s">
        <v>5642</v>
      </c>
      <c r="AO1806" s="844" t="s">
        <v>141</v>
      </c>
      <c r="AP1806" s="841"/>
      <c r="AQ1806" s="841">
        <v>45906</v>
      </c>
      <c r="AR1806" s="841">
        <v>45958</v>
      </c>
      <c r="AS1806" s="842" t="s">
        <v>1284</v>
      </c>
      <c r="AT1806" s="842" t="s">
        <v>1235</v>
      </c>
      <c r="AU1806" s="842" t="s">
        <v>4595</v>
      </c>
      <c r="AV1806" s="843" t="s">
        <v>5712</v>
      </c>
      <c r="AW1806" s="861">
        <v>45961</v>
      </c>
      <c r="AX1806" s="862">
        <v>45965</v>
      </c>
      <c r="AY1806" s="843" t="s">
        <v>6188</v>
      </c>
      <c r="AZ1806" s="842" t="s">
        <v>6156</v>
      </c>
      <c r="BA1806" s="842" t="s">
        <v>120</v>
      </c>
      <c r="BB1806" s="863" t="s">
        <v>121</v>
      </c>
      <c r="BC1806" s="864">
        <v>45967</v>
      </c>
      <c r="BD1806" s="860" t="s">
        <v>5708</v>
      </c>
      <c r="BE1806" s="865" cm="1">
        <f t="array" ref="BE1806">IF(BD1806="","",AC1806/SUMPRODUCT(--(BD1806=$BD$4:$BD$12824),$AC$4:$AC$12824))</f>
        <v>4.5165623993139057E-3</v>
      </c>
      <c r="BF1806" s="458"/>
      <c r="BG1806" s="458"/>
      <c r="BH1806" s="458"/>
      <c r="BI1806" s="458"/>
      <c r="BJ1806" s="458"/>
      <c r="BK1806" s="458"/>
      <c r="BL1806" s="458"/>
      <c r="BM1806" s="458"/>
      <c r="BN1806" s="458"/>
      <c r="BO1806" s="866">
        <f>VLOOKUP(BD1806,$BD$4:$BN$12824,3,0)*BE1806</f>
        <v>191117.20426980569</v>
      </c>
      <c r="BP1806" s="866"/>
      <c r="BQ1806" s="866"/>
      <c r="BR1806" s="866">
        <f>VLOOKUP(BD1806,$BD$4:$BN$12824,6,0)*BE1806</f>
        <v>36055.960189851758</v>
      </c>
      <c r="BS1806" s="866">
        <f>VLOOKUP(BD1806,$BD$4:$BN$12824,7,0)*BE1806</f>
        <v>31439.7456960001</v>
      </c>
      <c r="BT1806" s="866"/>
      <c r="BU1806" s="866">
        <f>VLOOKUP(BD1806,$BD$4:$BN$12824,9,0)*BE1806</f>
        <v>2529.2749436157874</v>
      </c>
      <c r="BV1806" s="867"/>
      <c r="BW1806" s="867">
        <f>VLOOKUP(BD1806,$BD$4:$BN$12824,11,0)*BE1806</f>
        <v>22674.816045444441</v>
      </c>
      <c r="BX1806" s="1146">
        <f t="shared" si="348"/>
        <v>283817.0011447178</v>
      </c>
      <c r="BY1806" s="867">
        <f t="shared" si="350"/>
        <v>33983383.669973798</v>
      </c>
      <c r="BZ1806" s="867">
        <f t="shared" si="349"/>
        <v>33983383.669973798</v>
      </c>
      <c r="CA1806" s="867">
        <f>_xlfn.MAXIFS($BY$4:$BY$12824,$S$4:$S$12824,$S1806)</f>
        <v>33983383.669973798</v>
      </c>
      <c r="CB1806" s="1032"/>
      <c r="CF1806" s="946">
        <f t="shared" si="342"/>
        <v>33742080</v>
      </c>
    </row>
    <row r="1807" spans="2:84">
      <c r="B1807" s="839" t="s">
        <v>98</v>
      </c>
      <c r="C1807" s="839" t="s">
        <v>5697</v>
      </c>
      <c r="D1807" s="839" t="s">
        <v>5754</v>
      </c>
      <c r="E1807" s="839" t="s">
        <v>5754</v>
      </c>
      <c r="F1807" s="841">
        <v>45805</v>
      </c>
      <c r="G1807" s="839" t="s">
        <v>5697</v>
      </c>
      <c r="H1807" s="883" t="s">
        <v>3457</v>
      </c>
      <c r="I1807" s="883"/>
      <c r="J1807" s="841"/>
      <c r="K1807" s="841"/>
      <c r="L1807" s="843" t="s">
        <v>5257</v>
      </c>
      <c r="M1807" s="844" t="s">
        <v>107</v>
      </c>
      <c r="N1807" s="841"/>
      <c r="O1807" s="884" t="s">
        <v>135</v>
      </c>
      <c r="P1807" s="842" t="s">
        <v>914</v>
      </c>
      <c r="Q1807" s="843"/>
      <c r="R1807" s="845" t="s">
        <v>6189</v>
      </c>
      <c r="S1807" s="1127" t="s">
        <v>6190</v>
      </c>
      <c r="T1807" s="885" t="s">
        <v>6191</v>
      </c>
      <c r="U1807" s="886">
        <v>1</v>
      </c>
      <c r="V1807" s="842" t="s">
        <v>3</v>
      </c>
      <c r="W1807" s="846">
        <v>2620</v>
      </c>
      <c r="X1807" s="847">
        <f t="shared" si="343"/>
        <v>2620</v>
      </c>
      <c r="Y1807" s="853" t="s">
        <v>5752</v>
      </c>
      <c r="Z1807" s="849">
        <v>1215.68</v>
      </c>
      <c r="AA1807" s="849"/>
      <c r="AB1807" s="849">
        <f t="shared" si="344"/>
        <v>1215.68</v>
      </c>
      <c r="AC1807" s="850">
        <f t="shared" si="345"/>
        <v>1215.68</v>
      </c>
      <c r="AD1807" s="851">
        <f t="shared" ref="AD1807:AD1822" si="351">IF(V1807=$AD$2,$AE$2,$AE$3)</f>
        <v>32000</v>
      </c>
      <c r="AE1807" s="852">
        <v>30081.54</v>
      </c>
      <c r="AF1807" s="865">
        <v>0.12</v>
      </c>
      <c r="AG1807" s="854">
        <f t="shared" si="346"/>
        <v>4419133.9029661994</v>
      </c>
      <c r="AH1807" s="853">
        <v>0.08</v>
      </c>
      <c r="AI1807" s="855">
        <f t="shared" si="347"/>
        <v>3279092.8360132962</v>
      </c>
      <c r="AJ1807" s="845" t="s">
        <v>5704</v>
      </c>
      <c r="AK1807" s="857">
        <v>45898</v>
      </c>
      <c r="AL1807" s="843" t="s">
        <v>5705</v>
      </c>
      <c r="AM1807" s="843" t="s">
        <v>5641</v>
      </c>
      <c r="AN1807" s="844" t="s">
        <v>5642</v>
      </c>
      <c r="AO1807" s="844" t="s">
        <v>141</v>
      </c>
      <c r="AP1807" s="841"/>
      <c r="AQ1807" s="841">
        <v>45906</v>
      </c>
      <c r="AR1807" s="841">
        <v>45958</v>
      </c>
      <c r="AS1807" s="842" t="s">
        <v>1284</v>
      </c>
      <c r="AT1807" s="842" t="s">
        <v>1235</v>
      </c>
      <c r="AU1807" s="842" t="s">
        <v>4595</v>
      </c>
      <c r="AV1807" s="843" t="s">
        <v>5712</v>
      </c>
      <c r="AW1807" s="861">
        <v>45961</v>
      </c>
      <c r="AX1807" s="862">
        <v>45965</v>
      </c>
      <c r="AY1807" s="843" t="s">
        <v>6192</v>
      </c>
      <c r="AZ1807" s="842" t="s">
        <v>6193</v>
      </c>
      <c r="BA1807" s="842" t="s">
        <v>120</v>
      </c>
      <c r="BB1807" s="863" t="s">
        <v>121</v>
      </c>
      <c r="BC1807" s="864">
        <v>45967</v>
      </c>
      <c r="BD1807" s="860" t="s">
        <v>5708</v>
      </c>
      <c r="BE1807" s="865" cm="1">
        <f t="array" ref="BE1807">IF(BD1807="","",AC1807/SUMPRODUCT(--(BD1807=$BD$4:$BD$12824),$AC$4:$AC$12824))</f>
        <v>5.2072138553146017E-3</v>
      </c>
      <c r="BF1807" s="458"/>
      <c r="BG1807" s="458"/>
      <c r="BH1807" s="458"/>
      <c r="BI1807" s="458"/>
      <c r="BJ1807" s="458"/>
      <c r="BK1807" s="458"/>
      <c r="BL1807" s="458"/>
      <c r="BM1807" s="458"/>
      <c r="BN1807" s="458"/>
      <c r="BO1807" s="866">
        <f>VLOOKUP(BD1807,$BD$4:$BN$12824,3,0)*BE1807</f>
        <v>220341.94727695969</v>
      </c>
      <c r="BP1807" s="866"/>
      <c r="BQ1807" s="866"/>
      <c r="BR1807" s="866">
        <f>VLOOKUP(BD1807,$BD$4:$BN$12824,6,0)*BE1807</f>
        <v>41569.467853646471</v>
      </c>
      <c r="BS1807" s="866">
        <f>VLOOKUP(BD1807,$BD$4:$BN$12824,7,0)*BE1807</f>
        <v>36247.363574706382</v>
      </c>
      <c r="BT1807" s="866"/>
      <c r="BU1807" s="866">
        <f>VLOOKUP(BD1807,$BD$4:$BN$12824,9,0)*BE1807</f>
        <v>2916.0397589761769</v>
      </c>
      <c r="BV1807" s="867"/>
      <c r="BW1807" s="867">
        <f>VLOOKUP(BD1807,$BD$4:$BN$12824,11,0)*BE1807</f>
        <v>26142.142151403492</v>
      </c>
      <c r="BX1807" s="1146">
        <f t="shared" si="348"/>
        <v>327216.96061569219</v>
      </c>
      <c r="BY1807" s="867">
        <f t="shared" si="350"/>
        <v>41315877.410781898</v>
      </c>
      <c r="BZ1807" s="867">
        <f t="shared" si="349"/>
        <v>41315877.410781898</v>
      </c>
      <c r="CA1807" s="867">
        <f>_xlfn.MAXIFS($BY$4:$BY$12824,$S$4:$S$12824,$S1807)</f>
        <v>41315877.410781898</v>
      </c>
      <c r="CB1807" s="1032"/>
      <c r="CF1807" s="946">
        <f t="shared" ref="CF1807:CF1826" si="352">AC1807*AD1807</f>
        <v>38901760</v>
      </c>
    </row>
    <row r="1808" spans="2:84">
      <c r="B1808" s="839" t="s">
        <v>98</v>
      </c>
      <c r="C1808" s="839" t="s">
        <v>5697</v>
      </c>
      <c r="D1808" s="839" t="s">
        <v>5754</v>
      </c>
      <c r="E1808" s="839" t="s">
        <v>5754</v>
      </c>
      <c r="F1808" s="841">
        <v>45805</v>
      </c>
      <c r="G1808" s="839" t="s">
        <v>5697</v>
      </c>
      <c r="H1808" s="883" t="s">
        <v>3457</v>
      </c>
      <c r="I1808" s="883"/>
      <c r="J1808" s="841"/>
      <c r="K1808" s="841"/>
      <c r="L1808" s="843" t="s">
        <v>5257</v>
      </c>
      <c r="M1808" s="844" t="s">
        <v>107</v>
      </c>
      <c r="N1808" s="841"/>
      <c r="O1808" s="884" t="s">
        <v>135</v>
      </c>
      <c r="P1808" s="842" t="s">
        <v>914</v>
      </c>
      <c r="Q1808" s="843"/>
      <c r="R1808" s="845" t="s">
        <v>6194</v>
      </c>
      <c r="S1808" s="1127" t="s">
        <v>6195</v>
      </c>
      <c r="T1808" s="885" t="s">
        <v>6196</v>
      </c>
      <c r="U1808" s="886">
        <v>1</v>
      </c>
      <c r="V1808" s="842" t="s">
        <v>3</v>
      </c>
      <c r="W1808" s="846">
        <v>3350</v>
      </c>
      <c r="X1808" s="847">
        <f t="shared" si="343"/>
        <v>3350</v>
      </c>
      <c r="Y1808" s="853" t="s">
        <v>5752</v>
      </c>
      <c r="Z1808" s="849">
        <v>1554.4</v>
      </c>
      <c r="AA1808" s="849"/>
      <c r="AB1808" s="849">
        <f t="shared" si="344"/>
        <v>1554.4</v>
      </c>
      <c r="AC1808" s="850">
        <f t="shared" si="345"/>
        <v>1554.4</v>
      </c>
      <c r="AD1808" s="851">
        <f t="shared" si="351"/>
        <v>32000</v>
      </c>
      <c r="AE1808" s="852">
        <v>30081.54</v>
      </c>
      <c r="AF1808" s="865">
        <v>0.12</v>
      </c>
      <c r="AG1808" s="854">
        <f t="shared" si="346"/>
        <v>5650419.3034109809</v>
      </c>
      <c r="AH1808" s="853">
        <v>0.08</v>
      </c>
      <c r="AI1808" s="855">
        <f t="shared" si="347"/>
        <v>4192733.2063528788</v>
      </c>
      <c r="AJ1808" s="845" t="s">
        <v>5704</v>
      </c>
      <c r="AK1808" s="857">
        <v>45898</v>
      </c>
      <c r="AL1808" s="843" t="s">
        <v>5705</v>
      </c>
      <c r="AM1808" s="843" t="s">
        <v>5641</v>
      </c>
      <c r="AN1808" s="844" t="s">
        <v>5642</v>
      </c>
      <c r="AO1808" s="844" t="s">
        <v>141</v>
      </c>
      <c r="AP1808" s="841"/>
      <c r="AQ1808" s="841">
        <v>45906</v>
      </c>
      <c r="AR1808" s="841">
        <v>45958</v>
      </c>
      <c r="AS1808" s="842" t="s">
        <v>1284</v>
      </c>
      <c r="AT1808" s="842" t="s">
        <v>1235</v>
      </c>
      <c r="AU1808" s="842" t="s">
        <v>4595</v>
      </c>
      <c r="AV1808" s="843" t="s">
        <v>5712</v>
      </c>
      <c r="AW1808" s="861">
        <v>45961</v>
      </c>
      <c r="AX1808" s="862">
        <v>45965</v>
      </c>
      <c r="AY1808" s="843" t="s">
        <v>6197</v>
      </c>
      <c r="AZ1808" s="842" t="s">
        <v>6198</v>
      </c>
      <c r="BA1808" s="842" t="s">
        <v>120</v>
      </c>
      <c r="BB1808" s="863" t="s">
        <v>121</v>
      </c>
      <c r="BC1808" s="864">
        <v>45967</v>
      </c>
      <c r="BD1808" s="860" t="s">
        <v>5708</v>
      </c>
      <c r="BE1808" s="865" cm="1">
        <f t="array" ref="BE1808">IF(BD1808="","",AC1808/SUMPRODUCT(--(BD1808=$BD$4:$BD$12824),$AC$4:$AC$12824))</f>
        <v>6.6580787844671436E-3</v>
      </c>
      <c r="BF1808" s="458"/>
      <c r="BG1808" s="458"/>
      <c r="BH1808" s="458"/>
      <c r="BI1808" s="458"/>
      <c r="BJ1808" s="458"/>
      <c r="BK1808" s="458"/>
      <c r="BL1808" s="458"/>
      <c r="BM1808" s="458"/>
      <c r="BN1808" s="458"/>
      <c r="BO1808" s="866">
        <f>VLOOKUP(BD1808,$BD$4:$BN$12824,3,0)*BE1808</f>
        <v>281734.93258695229</v>
      </c>
      <c r="BP1808" s="866"/>
      <c r="BQ1808" s="866"/>
      <c r="BR1808" s="866">
        <f>VLOOKUP(BD1808,$BD$4:$BN$12824,6,0)*BE1808</f>
        <v>53151.800499891484</v>
      </c>
      <c r="BS1808" s="866">
        <f>VLOOKUP(BD1808,$BD$4:$BN$12824,7,0)*BE1808</f>
        <v>46346.819837887939</v>
      </c>
      <c r="BT1808" s="866"/>
      <c r="BU1808" s="866">
        <f>VLOOKUP(BD1808,$BD$4:$BN$12824,9,0)*BE1808</f>
        <v>3728.5241193016004</v>
      </c>
      <c r="BV1808" s="867"/>
      <c r="BW1808" s="867">
        <f>VLOOKUP(BD1808,$BD$4:$BN$12824,11,0)*BE1808</f>
        <v>33426.021453130415</v>
      </c>
      <c r="BX1808" s="1146">
        <f t="shared" si="348"/>
        <v>418388.09849716368</v>
      </c>
      <c r="BY1808" s="867">
        <f t="shared" si="350"/>
        <v>52827553.177908152</v>
      </c>
      <c r="BZ1808" s="867">
        <f t="shared" si="349"/>
        <v>52827553.177908152</v>
      </c>
      <c r="CA1808" s="867">
        <f>_xlfn.MAXIFS($BY$4:$BY$12824,$S$4:$S$12824,$S1808)</f>
        <v>52827553.177908152</v>
      </c>
      <c r="CB1808" s="1032"/>
      <c r="CF1808" s="946">
        <f t="shared" si="352"/>
        <v>49740800</v>
      </c>
    </row>
    <row r="1809" spans="2:84">
      <c r="B1809" s="839" t="s">
        <v>98</v>
      </c>
      <c r="C1809" s="839" t="s">
        <v>5697</v>
      </c>
      <c r="D1809" s="839" t="s">
        <v>5754</v>
      </c>
      <c r="E1809" s="839" t="s">
        <v>5754</v>
      </c>
      <c r="F1809" s="841">
        <v>45805</v>
      </c>
      <c r="G1809" s="839" t="s">
        <v>5697</v>
      </c>
      <c r="H1809" s="883" t="s">
        <v>3457</v>
      </c>
      <c r="I1809" s="883"/>
      <c r="J1809" s="841"/>
      <c r="K1809" s="841"/>
      <c r="L1809" s="843" t="s">
        <v>5257</v>
      </c>
      <c r="M1809" s="844" t="s">
        <v>107</v>
      </c>
      <c r="N1809" s="841"/>
      <c r="O1809" s="884" t="s">
        <v>135</v>
      </c>
      <c r="P1809" s="842" t="s">
        <v>914</v>
      </c>
      <c r="Q1809" s="843"/>
      <c r="R1809" s="845" t="s">
        <v>6199</v>
      </c>
      <c r="S1809" s="1127" t="s">
        <v>6200</v>
      </c>
      <c r="T1809" s="885" t="s">
        <v>6201</v>
      </c>
      <c r="U1809" s="886">
        <v>1</v>
      </c>
      <c r="V1809" s="842" t="s">
        <v>3</v>
      </c>
      <c r="W1809" s="846">
        <v>4755</v>
      </c>
      <c r="X1809" s="847">
        <f t="shared" si="343"/>
        <v>4755</v>
      </c>
      <c r="Y1809" s="853" t="s">
        <v>5752</v>
      </c>
      <c r="Z1809" s="849">
        <v>2206.3200000000002</v>
      </c>
      <c r="AA1809" s="849"/>
      <c r="AB1809" s="849">
        <f t="shared" si="344"/>
        <v>2206.3200000000002</v>
      </c>
      <c r="AC1809" s="850">
        <f t="shared" si="345"/>
        <v>2206.3200000000002</v>
      </c>
      <c r="AD1809" s="851">
        <f t="shared" si="351"/>
        <v>32000</v>
      </c>
      <c r="AE1809" s="852">
        <v>30081.54</v>
      </c>
      <c r="AF1809" s="865">
        <v>0.12</v>
      </c>
      <c r="AG1809" s="854">
        <f t="shared" si="346"/>
        <v>8020222.0261848411</v>
      </c>
      <c r="AH1809" s="853">
        <v>0.08</v>
      </c>
      <c r="AI1809" s="855">
        <f t="shared" si="347"/>
        <v>5951178.0287187872</v>
      </c>
      <c r="AJ1809" s="845" t="s">
        <v>5704</v>
      </c>
      <c r="AK1809" s="857">
        <v>45898</v>
      </c>
      <c r="AL1809" s="843" t="s">
        <v>5705</v>
      </c>
      <c r="AM1809" s="843" t="s">
        <v>5641</v>
      </c>
      <c r="AN1809" s="844" t="s">
        <v>5642</v>
      </c>
      <c r="AO1809" s="844" t="s">
        <v>141</v>
      </c>
      <c r="AP1809" s="841"/>
      <c r="AQ1809" s="841">
        <v>45906</v>
      </c>
      <c r="AR1809" s="841">
        <v>45958</v>
      </c>
      <c r="AS1809" s="842" t="s">
        <v>1284</v>
      </c>
      <c r="AT1809" s="842" t="s">
        <v>1235</v>
      </c>
      <c r="AU1809" s="842" t="s">
        <v>4595</v>
      </c>
      <c r="AV1809" s="843" t="s">
        <v>5712</v>
      </c>
      <c r="AW1809" s="861">
        <v>45961</v>
      </c>
      <c r="AX1809" s="862">
        <v>45965</v>
      </c>
      <c r="AY1809" s="843" t="s">
        <v>6202</v>
      </c>
      <c r="AZ1809" s="842" t="s">
        <v>5714</v>
      </c>
      <c r="BA1809" s="842" t="s">
        <v>120</v>
      </c>
      <c r="BB1809" s="863" t="s">
        <v>121</v>
      </c>
      <c r="BC1809" s="864">
        <v>45967</v>
      </c>
      <c r="BD1809" s="860" t="s">
        <v>5708</v>
      </c>
      <c r="BE1809" s="865" cm="1">
        <f t="array" ref="BE1809">IF(BD1809="","",AC1809/SUMPRODUCT(--(BD1809=$BD$4:$BD$12824),$AC$4:$AC$12824))</f>
        <v>9.4504969015347072E-3</v>
      </c>
      <c r="BF1809" s="458"/>
      <c r="BG1809" s="458"/>
      <c r="BH1809" s="458"/>
      <c r="BI1809" s="458"/>
      <c r="BJ1809" s="458"/>
      <c r="BK1809" s="458"/>
      <c r="BL1809" s="458"/>
      <c r="BM1809" s="458"/>
      <c r="BN1809" s="458"/>
      <c r="BO1809" s="866">
        <f>VLOOKUP(BD1809,$BD$4:$BN$12824,3,0)*BE1809</f>
        <v>399895.40431371884</v>
      </c>
      <c r="BP1809" s="866"/>
      <c r="BQ1809" s="866"/>
      <c r="BR1809" s="866">
        <f>VLOOKUP(BD1809,$BD$4:$BN$12824,6,0)*BE1809</f>
        <v>75443.824291637022</v>
      </c>
      <c r="BS1809" s="866">
        <f>VLOOKUP(BD1809,$BD$4:$BN$12824,7,0)*BE1809</f>
        <v>65784.814426614073</v>
      </c>
      <c r="BT1809" s="866"/>
      <c r="BU1809" s="866">
        <f>VLOOKUP(BD1809,$BD$4:$BN$12824,9,0)*BE1809</f>
        <v>5292.2782648594357</v>
      </c>
      <c r="BV1809" s="867"/>
      <c r="BW1809" s="867">
        <f>VLOOKUP(BD1809,$BD$4:$BN$12824,11,0)*BE1809</f>
        <v>47444.994629741836</v>
      </c>
      <c r="BX1809" s="1146">
        <f t="shared" si="348"/>
        <v>593861.31592657126</v>
      </c>
      <c r="BY1809" s="867">
        <f t="shared" si="350"/>
        <v>74983586.67491141</v>
      </c>
      <c r="BZ1809" s="867">
        <f t="shared" si="349"/>
        <v>74983586.67491141</v>
      </c>
      <c r="CA1809" s="867">
        <f>_xlfn.MAXIFS($BY$4:$BY$12824,$S$4:$S$12824,$S1809)</f>
        <v>74983586.67491141</v>
      </c>
      <c r="CB1809" s="1032"/>
      <c r="CF1809" s="946">
        <f t="shared" si="352"/>
        <v>70602240</v>
      </c>
    </row>
    <row r="1810" spans="2:84">
      <c r="B1810" s="839" t="s">
        <v>98</v>
      </c>
      <c r="C1810" s="839" t="s">
        <v>5697</v>
      </c>
      <c r="D1810" s="839" t="s">
        <v>5754</v>
      </c>
      <c r="E1810" s="839" t="s">
        <v>5754</v>
      </c>
      <c r="F1810" s="841">
        <v>45805</v>
      </c>
      <c r="G1810" s="839" t="s">
        <v>5697</v>
      </c>
      <c r="H1810" s="883" t="s">
        <v>3457</v>
      </c>
      <c r="I1810" s="883"/>
      <c r="J1810" s="841"/>
      <c r="K1810" s="841"/>
      <c r="L1810" s="843" t="s">
        <v>5257</v>
      </c>
      <c r="M1810" s="844" t="s">
        <v>107</v>
      </c>
      <c r="N1810" s="841"/>
      <c r="O1810" s="884" t="s">
        <v>135</v>
      </c>
      <c r="P1810" s="842" t="s">
        <v>914</v>
      </c>
      <c r="Q1810" s="843"/>
      <c r="R1810" s="845" t="s">
        <v>6203</v>
      </c>
      <c r="S1810" s="1127" t="s">
        <v>6204</v>
      </c>
      <c r="T1810" s="885" t="s">
        <v>6205</v>
      </c>
      <c r="U1810" s="886">
        <v>1</v>
      </c>
      <c r="V1810" s="842" t="s">
        <v>3</v>
      </c>
      <c r="W1810" s="846">
        <v>3765</v>
      </c>
      <c r="X1810" s="847">
        <f t="shared" si="343"/>
        <v>3765</v>
      </c>
      <c r="Y1810" s="853" t="s">
        <v>5752</v>
      </c>
      <c r="Z1810" s="849">
        <v>1746.96</v>
      </c>
      <c r="AA1810" s="849"/>
      <c r="AB1810" s="849">
        <f t="shared" si="344"/>
        <v>1746.96</v>
      </c>
      <c r="AC1810" s="850">
        <f t="shared" si="345"/>
        <v>1746.96</v>
      </c>
      <c r="AD1810" s="851">
        <f t="shared" si="351"/>
        <v>32000</v>
      </c>
      <c r="AE1810" s="852">
        <v>30081.54</v>
      </c>
      <c r="AF1810" s="865">
        <v>0.12</v>
      </c>
      <c r="AG1810" s="854">
        <f t="shared" si="346"/>
        <v>6350396.6201021913</v>
      </c>
      <c r="AH1810" s="853">
        <v>0.08</v>
      </c>
      <c r="AI1810" s="855">
        <f t="shared" si="347"/>
        <v>4712131.4990801755</v>
      </c>
      <c r="AJ1810" s="845" t="s">
        <v>5704</v>
      </c>
      <c r="AK1810" s="857">
        <v>45898</v>
      </c>
      <c r="AL1810" s="843" t="s">
        <v>5705</v>
      </c>
      <c r="AM1810" s="843" t="s">
        <v>5641</v>
      </c>
      <c r="AN1810" s="844" t="s">
        <v>5642</v>
      </c>
      <c r="AO1810" s="844" t="s">
        <v>141</v>
      </c>
      <c r="AP1810" s="841"/>
      <c r="AQ1810" s="841">
        <v>45906</v>
      </c>
      <c r="AR1810" s="841">
        <v>45958</v>
      </c>
      <c r="AS1810" s="842" t="s">
        <v>1284</v>
      </c>
      <c r="AT1810" s="842" t="s">
        <v>1235</v>
      </c>
      <c r="AU1810" s="842" t="s">
        <v>4595</v>
      </c>
      <c r="AV1810" s="843" t="s">
        <v>5712</v>
      </c>
      <c r="AW1810" s="861">
        <v>45961</v>
      </c>
      <c r="AX1810" s="862">
        <v>45965</v>
      </c>
      <c r="AY1810" s="843" t="s">
        <v>6206</v>
      </c>
      <c r="AZ1810" s="842" t="s">
        <v>6198</v>
      </c>
      <c r="BA1810" s="842" t="s">
        <v>120</v>
      </c>
      <c r="BB1810" s="863" t="s">
        <v>121</v>
      </c>
      <c r="BC1810" s="864">
        <v>45967</v>
      </c>
      <c r="BD1810" s="860" t="s">
        <v>5708</v>
      </c>
      <c r="BE1810" s="865" cm="1">
        <f t="array" ref="BE1810">IF(BD1810="","",AC1810/SUMPRODUCT(--(BD1810=$BD$4:$BD$12824),$AC$4:$AC$12824))</f>
        <v>7.482885559259341E-3</v>
      </c>
      <c r="BF1810" s="458"/>
      <c r="BG1810" s="458"/>
      <c r="BH1810" s="458"/>
      <c r="BI1810" s="458"/>
      <c r="BJ1810" s="458"/>
      <c r="BK1810" s="458"/>
      <c r="BL1810" s="458"/>
      <c r="BM1810" s="458"/>
      <c r="BN1810" s="458"/>
      <c r="BO1810" s="866">
        <f>VLOOKUP(BD1810,$BD$4:$BN$12824,3,0)*BE1810</f>
        <v>316636.42423578363</v>
      </c>
      <c r="BP1810" s="866"/>
      <c r="BQ1810" s="866"/>
      <c r="BR1810" s="866">
        <f>VLOOKUP(BD1810,$BD$4:$BN$12824,6,0)*BE1810</f>
        <v>59736.277278236237</v>
      </c>
      <c r="BS1810" s="866">
        <f>VLOOKUP(BD1810,$BD$4:$BN$12824,7,0)*BE1810</f>
        <v>52088.291549148671</v>
      </c>
      <c r="BT1810" s="866"/>
      <c r="BU1810" s="866">
        <f>VLOOKUP(BD1810,$BD$4:$BN$12824,9,0)*BE1810</f>
        <v>4190.4159131852311</v>
      </c>
      <c r="BV1810" s="867"/>
      <c r="BW1810" s="867">
        <f>VLOOKUP(BD1810,$BD$4:$BN$12824,11,0)*BE1810</f>
        <v>37566.856946577915</v>
      </c>
      <c r="BX1810" s="1146">
        <f t="shared" si="348"/>
        <v>470218.26592293166</v>
      </c>
      <c r="BY1810" s="867">
        <f t="shared" si="350"/>
        <v>59371862.004425123</v>
      </c>
      <c r="BZ1810" s="867">
        <f t="shared" si="349"/>
        <v>59371862.004425123</v>
      </c>
      <c r="CA1810" s="867">
        <f>_xlfn.MAXIFS($BY$4:$BY$12824,$S$4:$S$12824,$S1810)</f>
        <v>59371862.004425123</v>
      </c>
      <c r="CB1810" s="1032"/>
      <c r="CF1810" s="946">
        <f t="shared" si="352"/>
        <v>55902720</v>
      </c>
    </row>
    <row r="1811" spans="2:84">
      <c r="B1811" s="839" t="s">
        <v>98</v>
      </c>
      <c r="C1811" s="839" t="s">
        <v>5697</v>
      </c>
      <c r="D1811" s="839" t="s">
        <v>6207</v>
      </c>
      <c r="E1811" s="839" t="s">
        <v>6207</v>
      </c>
      <c r="F1811" s="841">
        <v>45842</v>
      </c>
      <c r="G1811" s="839" t="s">
        <v>5697</v>
      </c>
      <c r="H1811" s="842" t="s">
        <v>134</v>
      </c>
      <c r="I1811" s="883"/>
      <c r="J1811" s="841"/>
      <c r="K1811" s="841"/>
      <c r="L1811" s="843" t="s">
        <v>5257</v>
      </c>
      <c r="M1811" s="844" t="s">
        <v>107</v>
      </c>
      <c r="N1811" s="841"/>
      <c r="O1811" s="884" t="s">
        <v>150</v>
      </c>
      <c r="P1811" s="842" t="s">
        <v>5168</v>
      </c>
      <c r="Q1811" s="843"/>
      <c r="R1811" s="845" t="s">
        <v>5808</v>
      </c>
      <c r="S1811" s="1127" t="s">
        <v>5809</v>
      </c>
      <c r="T1811" s="885" t="s">
        <v>6208</v>
      </c>
      <c r="U1811" s="886">
        <v>4</v>
      </c>
      <c r="V1811" s="842" t="s">
        <v>3</v>
      </c>
      <c r="W1811" s="846">
        <v>670</v>
      </c>
      <c r="X1811" s="847">
        <f t="shared" si="343"/>
        <v>2680</v>
      </c>
      <c r="Y1811" s="853" t="s">
        <v>6209</v>
      </c>
      <c r="Z1811" s="849">
        <v>349.74</v>
      </c>
      <c r="AA1811" s="849"/>
      <c r="AB1811" s="849">
        <f t="shared" si="344"/>
        <v>1398.96</v>
      </c>
      <c r="AC1811" s="850">
        <f t="shared" si="345"/>
        <v>1398.96</v>
      </c>
      <c r="AD1811" s="851">
        <f t="shared" si="351"/>
        <v>32000</v>
      </c>
      <c r="AE1811" s="852">
        <v>30081.54</v>
      </c>
      <c r="AF1811" s="865">
        <v>0</v>
      </c>
      <c r="AG1811" s="854">
        <f t="shared" si="346"/>
        <v>0</v>
      </c>
      <c r="AH1811" s="853">
        <v>0.08</v>
      </c>
      <c r="AI1811" s="855">
        <f t="shared" si="347"/>
        <v>3366629.6958720004</v>
      </c>
      <c r="AJ1811" s="845" t="s">
        <v>5704</v>
      </c>
      <c r="AK1811" s="857">
        <v>45898</v>
      </c>
      <c r="AL1811" s="843" t="s">
        <v>5705</v>
      </c>
      <c r="AM1811" s="843" t="s">
        <v>5641</v>
      </c>
      <c r="AN1811" s="844" t="s">
        <v>5642</v>
      </c>
      <c r="AO1811" s="844" t="s">
        <v>141</v>
      </c>
      <c r="AP1811" s="841"/>
      <c r="AQ1811" s="841">
        <v>45906</v>
      </c>
      <c r="AR1811" s="841">
        <v>45958</v>
      </c>
      <c r="AS1811" s="842" t="s">
        <v>1284</v>
      </c>
      <c r="AT1811" s="842" t="s">
        <v>1235</v>
      </c>
      <c r="AU1811" s="842" t="s">
        <v>4595</v>
      </c>
      <c r="AV1811" s="843" t="s">
        <v>5718</v>
      </c>
      <c r="AW1811" s="861">
        <v>45961</v>
      </c>
      <c r="AX1811" s="862">
        <v>45965</v>
      </c>
      <c r="AY1811" s="843" t="s">
        <v>5811</v>
      </c>
      <c r="AZ1811" s="842" t="s">
        <v>5173</v>
      </c>
      <c r="BA1811" s="842" t="s">
        <v>120</v>
      </c>
      <c r="BB1811" s="863" t="s">
        <v>121</v>
      </c>
      <c r="BC1811" s="864">
        <v>45967</v>
      </c>
      <c r="BD1811" s="860" t="s">
        <v>5708</v>
      </c>
      <c r="BE1811" s="865" cm="1">
        <f t="array" ref="BE1811">IF(BD1811="","",AC1811/SUMPRODUCT(--(BD1811=$BD$4:$BD$12824),$AC$4:$AC$12824))</f>
        <v>5.9922709060204289E-3</v>
      </c>
      <c r="BF1811" s="458"/>
      <c r="BG1811" s="458"/>
      <c r="BH1811" s="458"/>
      <c r="BI1811" s="458"/>
      <c r="BJ1811" s="458"/>
      <c r="BK1811" s="458"/>
      <c r="BL1811" s="458"/>
      <c r="BM1811" s="458"/>
      <c r="BN1811" s="458"/>
      <c r="BO1811" s="866">
        <f>VLOOKUP(BD1811,$BD$4:$BN$12824,3,0)*BE1811</f>
        <v>253561.43932825702</v>
      </c>
      <c r="BP1811" s="866"/>
      <c r="BQ1811" s="866"/>
      <c r="BR1811" s="866">
        <f>VLOOKUP(BD1811,$BD$4:$BN$12824,6,0)*BE1811</f>
        <v>47836.62044990233</v>
      </c>
      <c r="BS1811" s="866">
        <f>VLOOKUP(BD1811,$BD$4:$BN$12824,7,0)*BE1811</f>
        <v>41712.137854099143</v>
      </c>
      <c r="BT1811" s="866"/>
      <c r="BU1811" s="866">
        <f>VLOOKUP(BD1811,$BD$4:$BN$12824,9,0)*BE1811</f>
        <v>3355.6717073714403</v>
      </c>
      <c r="BV1811" s="867"/>
      <c r="BW1811" s="867">
        <f>VLOOKUP(BD1811,$BD$4:$BN$12824,11,0)*BE1811</f>
        <v>30083.419307817374</v>
      </c>
      <c r="BX1811" s="1146">
        <f t="shared" si="348"/>
        <v>376549.28864744731</v>
      </c>
      <c r="BY1811" s="867">
        <f t="shared" si="350"/>
        <v>10614855.121761864</v>
      </c>
      <c r="BZ1811" s="867">
        <f t="shared" si="349"/>
        <v>42459420.487047456</v>
      </c>
      <c r="CA1811" s="867">
        <f>_xlfn.MAXIFS($BY$4:$BY$12824,$S$4:$S$12824,$S1811)</f>
        <v>10614855.121761864</v>
      </c>
      <c r="CB1811" s="1032"/>
      <c r="CF1811" s="946">
        <f t="shared" si="352"/>
        <v>44766720</v>
      </c>
    </row>
    <row r="1812" spans="2:84">
      <c r="B1812" s="839" t="s">
        <v>98</v>
      </c>
      <c r="C1812" s="839" t="s">
        <v>5697</v>
      </c>
      <c r="D1812" s="839" t="s">
        <v>6207</v>
      </c>
      <c r="E1812" s="839" t="s">
        <v>6207</v>
      </c>
      <c r="F1812" s="841">
        <v>45842</v>
      </c>
      <c r="G1812" s="839" t="s">
        <v>5697</v>
      </c>
      <c r="H1812" s="842" t="s">
        <v>134</v>
      </c>
      <c r="I1812" s="883"/>
      <c r="J1812" s="841"/>
      <c r="K1812" s="841"/>
      <c r="L1812" s="843" t="s">
        <v>5257</v>
      </c>
      <c r="M1812" s="844" t="s">
        <v>107</v>
      </c>
      <c r="N1812" s="841"/>
      <c r="O1812" s="884" t="s">
        <v>150</v>
      </c>
      <c r="P1812" s="842" t="s">
        <v>5168</v>
      </c>
      <c r="Q1812" s="843"/>
      <c r="R1812" s="845" t="s">
        <v>6210</v>
      </c>
      <c r="S1812" s="1127" t="s">
        <v>6211</v>
      </c>
      <c r="T1812" s="885" t="s">
        <v>6212</v>
      </c>
      <c r="U1812" s="886">
        <v>4</v>
      </c>
      <c r="V1812" s="842" t="s">
        <v>3</v>
      </c>
      <c r="W1812" s="846">
        <v>640</v>
      </c>
      <c r="X1812" s="847">
        <f t="shared" si="343"/>
        <v>2560</v>
      </c>
      <c r="Y1812" s="853" t="s">
        <v>6209</v>
      </c>
      <c r="Z1812" s="849">
        <v>334.08000000000004</v>
      </c>
      <c r="AA1812" s="849"/>
      <c r="AB1812" s="849">
        <f t="shared" si="344"/>
        <v>1336.3200000000002</v>
      </c>
      <c r="AC1812" s="850">
        <f t="shared" si="345"/>
        <v>1336.3200000000002</v>
      </c>
      <c r="AD1812" s="851">
        <f t="shared" si="351"/>
        <v>32000</v>
      </c>
      <c r="AE1812" s="852">
        <v>30081.54</v>
      </c>
      <c r="AF1812" s="865">
        <v>0</v>
      </c>
      <c r="AG1812" s="854">
        <f t="shared" si="346"/>
        <v>0</v>
      </c>
      <c r="AH1812" s="853">
        <v>0.08</v>
      </c>
      <c r="AI1812" s="855">
        <f t="shared" si="347"/>
        <v>3215885.0826240005</v>
      </c>
      <c r="AJ1812" s="845" t="s">
        <v>5704</v>
      </c>
      <c r="AK1812" s="857">
        <v>45898</v>
      </c>
      <c r="AL1812" s="843" t="s">
        <v>5705</v>
      </c>
      <c r="AM1812" s="843" t="s">
        <v>5641</v>
      </c>
      <c r="AN1812" s="844" t="s">
        <v>5642</v>
      </c>
      <c r="AO1812" s="844" t="s">
        <v>141</v>
      </c>
      <c r="AP1812" s="841"/>
      <c r="AQ1812" s="841">
        <v>45906</v>
      </c>
      <c r="AR1812" s="841">
        <v>45958</v>
      </c>
      <c r="AS1812" s="842" t="s">
        <v>1284</v>
      </c>
      <c r="AT1812" s="842" t="s">
        <v>1235</v>
      </c>
      <c r="AU1812" s="842" t="s">
        <v>4595</v>
      </c>
      <c r="AV1812" s="843" t="s">
        <v>5718</v>
      </c>
      <c r="AW1812" s="861">
        <v>45961</v>
      </c>
      <c r="AX1812" s="862">
        <v>45965</v>
      </c>
      <c r="AY1812" s="843" t="s">
        <v>6213</v>
      </c>
      <c r="AZ1812" s="842" t="s">
        <v>5173</v>
      </c>
      <c r="BA1812" s="842" t="s">
        <v>120</v>
      </c>
      <c r="BB1812" s="863" t="s">
        <v>121</v>
      </c>
      <c r="BC1812" s="864">
        <v>45967</v>
      </c>
      <c r="BD1812" s="860" t="s">
        <v>5708</v>
      </c>
      <c r="BE1812" s="865" cm="1">
        <f t="array" ref="BE1812">IF(BD1812="","",AC1812/SUMPRODUCT(--(BD1812=$BD$4:$BD$12824),$AC$4:$AC$12824))</f>
        <v>5.7239602684374252E-3</v>
      </c>
      <c r="BF1812" s="458"/>
      <c r="BG1812" s="458"/>
      <c r="BH1812" s="458"/>
      <c r="BI1812" s="458"/>
      <c r="BJ1812" s="458"/>
      <c r="BK1812" s="458"/>
      <c r="BL1812" s="458"/>
      <c r="BM1812" s="458"/>
      <c r="BN1812" s="458"/>
      <c r="BO1812" s="866">
        <f>VLOOKUP(BD1812,$BD$4:$BN$12824,3,0)*BE1812</f>
        <v>242207.94204490227</v>
      </c>
      <c r="BP1812" s="866"/>
      <c r="BQ1812" s="866"/>
      <c r="BR1812" s="866">
        <f>VLOOKUP(BD1812,$BD$4:$BN$12824,6,0)*BE1812</f>
        <v>45694.682220802235</v>
      </c>
      <c r="BS1812" s="866">
        <f>VLOOKUP(BD1812,$BD$4:$BN$12824,7,0)*BE1812</f>
        <v>39844.430188990227</v>
      </c>
      <c r="BT1812" s="866"/>
      <c r="BU1812" s="866">
        <f>VLOOKUP(BD1812,$BD$4:$BN$12824,9,0)*BE1812</f>
        <v>3205.417750324958</v>
      </c>
      <c r="BV1812" s="867"/>
      <c r="BW1812" s="867">
        <f>VLOOKUP(BD1812,$BD$4:$BN$12824,11,0)*BE1812</f>
        <v>28736.400532840482</v>
      </c>
      <c r="BX1812" s="1146">
        <f t="shared" si="348"/>
        <v>359688.87273786013</v>
      </c>
      <c r="BY1812" s="867">
        <f t="shared" si="350"/>
        <v>10139563.101384467</v>
      </c>
      <c r="BZ1812" s="867">
        <f t="shared" si="349"/>
        <v>40558252.405537866</v>
      </c>
      <c r="CA1812" s="867">
        <f>_xlfn.MAXIFS($BY$4:$BY$12824,$S$4:$S$12824,$S1812)</f>
        <v>10139563.101384467</v>
      </c>
      <c r="CB1812" s="1032"/>
      <c r="CF1812" s="946">
        <f t="shared" si="352"/>
        <v>42762240.000000007</v>
      </c>
    </row>
    <row r="1813" spans="2:84">
      <c r="B1813" s="839" t="s">
        <v>98</v>
      </c>
      <c r="C1813" s="839" t="s">
        <v>5697</v>
      </c>
      <c r="D1813" s="839" t="s">
        <v>6207</v>
      </c>
      <c r="E1813" s="839" t="s">
        <v>6207</v>
      </c>
      <c r="F1813" s="841">
        <v>45842</v>
      </c>
      <c r="G1813" s="839" t="s">
        <v>5697</v>
      </c>
      <c r="H1813" s="842" t="s">
        <v>134</v>
      </c>
      <c r="I1813" s="883"/>
      <c r="J1813" s="841"/>
      <c r="K1813" s="841"/>
      <c r="L1813" s="843" t="s">
        <v>5257</v>
      </c>
      <c r="M1813" s="844" t="s">
        <v>107</v>
      </c>
      <c r="N1813" s="841"/>
      <c r="O1813" s="884" t="s">
        <v>150</v>
      </c>
      <c r="P1813" s="842" t="s">
        <v>5168</v>
      </c>
      <c r="Q1813" s="843"/>
      <c r="R1813" s="845" t="s">
        <v>6214</v>
      </c>
      <c r="S1813" s="1127" t="s">
        <v>6215</v>
      </c>
      <c r="T1813" s="885" t="s">
        <v>6216</v>
      </c>
      <c r="U1813" s="886">
        <v>4</v>
      </c>
      <c r="V1813" s="842" t="s">
        <v>3</v>
      </c>
      <c r="W1813" s="846">
        <v>640</v>
      </c>
      <c r="X1813" s="847">
        <f t="shared" si="343"/>
        <v>2560</v>
      </c>
      <c r="Y1813" s="853" t="s">
        <v>6209</v>
      </c>
      <c r="Z1813" s="849">
        <v>334.08000000000004</v>
      </c>
      <c r="AA1813" s="849"/>
      <c r="AB1813" s="849">
        <f t="shared" si="344"/>
        <v>1336.3200000000002</v>
      </c>
      <c r="AC1813" s="850">
        <f t="shared" si="345"/>
        <v>1336.3200000000002</v>
      </c>
      <c r="AD1813" s="851">
        <f t="shared" si="351"/>
        <v>32000</v>
      </c>
      <c r="AE1813" s="852">
        <v>30081.54</v>
      </c>
      <c r="AF1813" s="865">
        <v>0</v>
      </c>
      <c r="AG1813" s="854">
        <f t="shared" si="346"/>
        <v>0</v>
      </c>
      <c r="AH1813" s="853">
        <v>0.08</v>
      </c>
      <c r="AI1813" s="855">
        <f t="shared" si="347"/>
        <v>3215885.0826240005</v>
      </c>
      <c r="AJ1813" s="845" t="s">
        <v>5704</v>
      </c>
      <c r="AK1813" s="857">
        <v>45898</v>
      </c>
      <c r="AL1813" s="843" t="s">
        <v>5705</v>
      </c>
      <c r="AM1813" s="843" t="s">
        <v>5641</v>
      </c>
      <c r="AN1813" s="844" t="s">
        <v>5642</v>
      </c>
      <c r="AO1813" s="844" t="s">
        <v>141</v>
      </c>
      <c r="AP1813" s="841"/>
      <c r="AQ1813" s="841">
        <v>45906</v>
      </c>
      <c r="AR1813" s="841">
        <v>45958</v>
      </c>
      <c r="AS1813" s="842" t="s">
        <v>1284</v>
      </c>
      <c r="AT1813" s="842" t="s">
        <v>1235</v>
      </c>
      <c r="AU1813" s="842" t="s">
        <v>4595</v>
      </c>
      <c r="AV1813" s="843" t="s">
        <v>5718</v>
      </c>
      <c r="AW1813" s="861">
        <v>45961</v>
      </c>
      <c r="AX1813" s="862">
        <v>45965</v>
      </c>
      <c r="AY1813" s="843" t="s">
        <v>6217</v>
      </c>
      <c r="AZ1813" s="842" t="s">
        <v>5173</v>
      </c>
      <c r="BA1813" s="842" t="s">
        <v>120</v>
      </c>
      <c r="BB1813" s="863" t="s">
        <v>121</v>
      </c>
      <c r="BC1813" s="864">
        <v>45967</v>
      </c>
      <c r="BD1813" s="860" t="s">
        <v>5708</v>
      </c>
      <c r="BE1813" s="865" cm="1">
        <f t="array" ref="BE1813">IF(BD1813="","",AC1813/SUMPRODUCT(--(BD1813=$BD$4:$BD$12824),$AC$4:$AC$12824))</f>
        <v>5.7239602684374252E-3</v>
      </c>
      <c r="BF1813" s="458"/>
      <c r="BG1813" s="458"/>
      <c r="BH1813" s="458"/>
      <c r="BI1813" s="458"/>
      <c r="BJ1813" s="458"/>
      <c r="BK1813" s="458"/>
      <c r="BL1813" s="458"/>
      <c r="BM1813" s="458"/>
      <c r="BN1813" s="458"/>
      <c r="BO1813" s="866">
        <f>VLOOKUP(BD1813,$BD$4:$BN$12824,3,0)*BE1813</f>
        <v>242207.94204490227</v>
      </c>
      <c r="BP1813" s="866"/>
      <c r="BQ1813" s="866"/>
      <c r="BR1813" s="866">
        <f>VLOOKUP(BD1813,$BD$4:$BN$12824,6,0)*BE1813</f>
        <v>45694.682220802235</v>
      </c>
      <c r="BS1813" s="866">
        <f>VLOOKUP(BD1813,$BD$4:$BN$12824,7,0)*BE1813</f>
        <v>39844.430188990227</v>
      </c>
      <c r="BT1813" s="866"/>
      <c r="BU1813" s="866">
        <f>VLOOKUP(BD1813,$BD$4:$BN$12824,9,0)*BE1813</f>
        <v>3205.417750324958</v>
      </c>
      <c r="BV1813" s="867"/>
      <c r="BW1813" s="867">
        <f>VLOOKUP(BD1813,$BD$4:$BN$12824,11,0)*BE1813</f>
        <v>28736.400532840482</v>
      </c>
      <c r="BX1813" s="1146">
        <f t="shared" si="348"/>
        <v>359688.87273786013</v>
      </c>
      <c r="BY1813" s="867">
        <f t="shared" si="350"/>
        <v>10139563.101384467</v>
      </c>
      <c r="BZ1813" s="867">
        <f t="shared" si="349"/>
        <v>40558252.405537866</v>
      </c>
      <c r="CA1813" s="867">
        <f>_xlfn.MAXIFS($BY$4:$BY$12824,$S$4:$S$12824,$S1813)</f>
        <v>10139563.101384467</v>
      </c>
      <c r="CB1813" s="1032"/>
      <c r="CF1813" s="946">
        <f t="shared" si="352"/>
        <v>42762240.000000007</v>
      </c>
    </row>
    <row r="1814" spans="2:84">
      <c r="B1814" s="839" t="s">
        <v>98</v>
      </c>
      <c r="C1814" s="839" t="s">
        <v>5697</v>
      </c>
      <c r="D1814" s="839" t="s">
        <v>6207</v>
      </c>
      <c r="E1814" s="839" t="s">
        <v>6207</v>
      </c>
      <c r="F1814" s="841">
        <v>45842</v>
      </c>
      <c r="G1814" s="839" t="s">
        <v>5697</v>
      </c>
      <c r="H1814" s="842" t="s">
        <v>134</v>
      </c>
      <c r="I1814" s="883"/>
      <c r="J1814" s="841"/>
      <c r="K1814" s="841"/>
      <c r="L1814" s="843" t="s">
        <v>5257</v>
      </c>
      <c r="M1814" s="844" t="s">
        <v>107</v>
      </c>
      <c r="N1814" s="841"/>
      <c r="O1814" s="884" t="s">
        <v>150</v>
      </c>
      <c r="P1814" s="842" t="s">
        <v>5168</v>
      </c>
      <c r="Q1814" s="843"/>
      <c r="R1814" s="845" t="s">
        <v>5812</v>
      </c>
      <c r="S1814" s="1127" t="s">
        <v>5813</v>
      </c>
      <c r="T1814" s="885" t="s">
        <v>6218</v>
      </c>
      <c r="U1814" s="886">
        <v>4</v>
      </c>
      <c r="V1814" s="842" t="s">
        <v>3</v>
      </c>
      <c r="W1814" s="846">
        <v>790</v>
      </c>
      <c r="X1814" s="847">
        <f t="shared" si="343"/>
        <v>3160</v>
      </c>
      <c r="Y1814" s="853" t="s">
        <v>6209</v>
      </c>
      <c r="Z1814" s="849">
        <v>412.38000000000005</v>
      </c>
      <c r="AA1814" s="849"/>
      <c r="AB1814" s="849">
        <f t="shared" si="344"/>
        <v>1649.5200000000002</v>
      </c>
      <c r="AC1814" s="850">
        <f t="shared" si="345"/>
        <v>1649.5200000000002</v>
      </c>
      <c r="AD1814" s="851">
        <f t="shared" si="351"/>
        <v>32000</v>
      </c>
      <c r="AE1814" s="852">
        <v>30081.54</v>
      </c>
      <c r="AF1814" s="865">
        <v>0</v>
      </c>
      <c r="AG1814" s="854">
        <f t="shared" si="346"/>
        <v>0</v>
      </c>
      <c r="AH1814" s="853">
        <v>0.08</v>
      </c>
      <c r="AI1814" s="855">
        <f t="shared" si="347"/>
        <v>3969608.1488640006</v>
      </c>
      <c r="AJ1814" s="845" t="s">
        <v>5704</v>
      </c>
      <c r="AK1814" s="857">
        <v>45898</v>
      </c>
      <c r="AL1814" s="843" t="s">
        <v>5705</v>
      </c>
      <c r="AM1814" s="843" t="s">
        <v>5641</v>
      </c>
      <c r="AN1814" s="844" t="s">
        <v>5642</v>
      </c>
      <c r="AO1814" s="844" t="s">
        <v>141</v>
      </c>
      <c r="AP1814" s="841"/>
      <c r="AQ1814" s="841">
        <v>45906</v>
      </c>
      <c r="AR1814" s="841">
        <v>45958</v>
      </c>
      <c r="AS1814" s="842" t="s">
        <v>1284</v>
      </c>
      <c r="AT1814" s="842" t="s">
        <v>1235</v>
      </c>
      <c r="AU1814" s="842" t="s">
        <v>4595</v>
      </c>
      <c r="AV1814" s="843" t="s">
        <v>5718</v>
      </c>
      <c r="AW1814" s="861">
        <v>45961</v>
      </c>
      <c r="AX1814" s="862">
        <v>45965</v>
      </c>
      <c r="AY1814" s="843" t="s">
        <v>5815</v>
      </c>
      <c r="AZ1814" s="842" t="s">
        <v>5173</v>
      </c>
      <c r="BA1814" s="842" t="s">
        <v>120</v>
      </c>
      <c r="BB1814" s="863" t="s">
        <v>121</v>
      </c>
      <c r="BC1814" s="864">
        <v>45967</v>
      </c>
      <c r="BD1814" s="860" t="s">
        <v>5708</v>
      </c>
      <c r="BE1814" s="865" cm="1">
        <f t="array" ref="BE1814">IF(BD1814="","",AC1814/SUMPRODUCT(--(BD1814=$BD$4:$BD$12824),$AC$4:$AC$12824))</f>
        <v>7.0655134563524461E-3</v>
      </c>
      <c r="BF1814" s="458"/>
      <c r="BG1814" s="458"/>
      <c r="BH1814" s="458"/>
      <c r="BI1814" s="458"/>
      <c r="BJ1814" s="458"/>
      <c r="BK1814" s="458"/>
      <c r="BL1814" s="458"/>
      <c r="BM1814" s="458"/>
      <c r="BN1814" s="458"/>
      <c r="BO1814" s="866">
        <f>VLOOKUP(BD1814,$BD$4:$BN$12824,3,0)*BE1814</f>
        <v>298975.42846167623</v>
      </c>
      <c r="BP1814" s="866"/>
      <c r="BQ1814" s="866"/>
      <c r="BR1814" s="866">
        <f>VLOOKUP(BD1814,$BD$4:$BN$12824,6,0)*BE1814</f>
        <v>56404.373366302752</v>
      </c>
      <c r="BS1814" s="866">
        <f>VLOOKUP(BD1814,$BD$4:$BN$12824,7,0)*BE1814</f>
        <v>49182.968514534805</v>
      </c>
      <c r="BT1814" s="866"/>
      <c r="BU1814" s="866">
        <f>VLOOKUP(BD1814,$BD$4:$BN$12824,9,0)*BE1814</f>
        <v>3956.6875355573698</v>
      </c>
      <c r="BV1814" s="867"/>
      <c r="BW1814" s="867">
        <f>VLOOKUP(BD1814,$BD$4:$BN$12824,11,0)*BE1814</f>
        <v>35471.494407724967</v>
      </c>
      <c r="BX1814" s="1146">
        <f t="shared" si="348"/>
        <v>443990.95228579617</v>
      </c>
      <c r="BY1814" s="867">
        <f t="shared" si="350"/>
        <v>12516023.20327145</v>
      </c>
      <c r="BZ1814" s="867">
        <f t="shared" si="349"/>
        <v>50064092.813085802</v>
      </c>
      <c r="CA1814" s="867">
        <f>_xlfn.MAXIFS($BY$4:$BY$12824,$S$4:$S$12824,$S1814)</f>
        <v>12516023.20327145</v>
      </c>
      <c r="CB1814" s="1032"/>
      <c r="CF1814" s="946">
        <f t="shared" si="352"/>
        <v>52784640.000000007</v>
      </c>
    </row>
    <row r="1815" spans="2:84">
      <c r="B1815" s="839" t="s">
        <v>98</v>
      </c>
      <c r="C1815" s="839" t="s">
        <v>5697</v>
      </c>
      <c r="D1815" s="839" t="s">
        <v>6207</v>
      </c>
      <c r="E1815" s="839" t="s">
        <v>6207</v>
      </c>
      <c r="F1815" s="841">
        <v>45842</v>
      </c>
      <c r="G1815" s="839" t="s">
        <v>5697</v>
      </c>
      <c r="H1815" s="842" t="s">
        <v>134</v>
      </c>
      <c r="I1815" s="883"/>
      <c r="J1815" s="841"/>
      <c r="K1815" s="841"/>
      <c r="L1815" s="843" t="s">
        <v>5257</v>
      </c>
      <c r="M1815" s="844" t="s">
        <v>107</v>
      </c>
      <c r="N1815" s="841"/>
      <c r="O1815" s="884" t="s">
        <v>150</v>
      </c>
      <c r="P1815" s="842" t="s">
        <v>5168</v>
      </c>
      <c r="Q1815" s="843"/>
      <c r="R1815" s="845" t="s">
        <v>6219</v>
      </c>
      <c r="S1815" s="1127" t="s">
        <v>6220</v>
      </c>
      <c r="T1815" s="885" t="s">
        <v>6221</v>
      </c>
      <c r="U1815" s="886">
        <v>4</v>
      </c>
      <c r="V1815" s="842" t="s">
        <v>3</v>
      </c>
      <c r="W1815" s="846">
        <v>820</v>
      </c>
      <c r="X1815" s="847">
        <f t="shared" si="343"/>
        <v>3280</v>
      </c>
      <c r="Y1815" s="853" t="s">
        <v>6209</v>
      </c>
      <c r="Z1815" s="849">
        <v>428.04000000000008</v>
      </c>
      <c r="AA1815" s="849"/>
      <c r="AB1815" s="849">
        <f t="shared" si="344"/>
        <v>1712.1600000000003</v>
      </c>
      <c r="AC1815" s="850">
        <f t="shared" si="345"/>
        <v>1712.1600000000003</v>
      </c>
      <c r="AD1815" s="851">
        <f t="shared" si="351"/>
        <v>32000</v>
      </c>
      <c r="AE1815" s="852">
        <v>30081.54</v>
      </c>
      <c r="AF1815" s="865">
        <v>0</v>
      </c>
      <c r="AG1815" s="854">
        <f t="shared" si="346"/>
        <v>0</v>
      </c>
      <c r="AH1815" s="853">
        <v>0.08</v>
      </c>
      <c r="AI1815" s="855">
        <f t="shared" si="347"/>
        <v>4120352.7621120005</v>
      </c>
      <c r="AJ1815" s="845" t="s">
        <v>5704</v>
      </c>
      <c r="AK1815" s="857">
        <v>45898</v>
      </c>
      <c r="AL1815" s="843" t="s">
        <v>5705</v>
      </c>
      <c r="AM1815" s="843" t="s">
        <v>5641</v>
      </c>
      <c r="AN1815" s="844" t="s">
        <v>5642</v>
      </c>
      <c r="AO1815" s="844" t="s">
        <v>141</v>
      </c>
      <c r="AP1815" s="841"/>
      <c r="AQ1815" s="841">
        <v>45906</v>
      </c>
      <c r="AR1815" s="841">
        <v>45958</v>
      </c>
      <c r="AS1815" s="842" t="s">
        <v>1284</v>
      </c>
      <c r="AT1815" s="842" t="s">
        <v>1235</v>
      </c>
      <c r="AU1815" s="842" t="s">
        <v>4595</v>
      </c>
      <c r="AV1815" s="843" t="s">
        <v>5718</v>
      </c>
      <c r="AW1815" s="861">
        <v>45961</v>
      </c>
      <c r="AX1815" s="862">
        <v>45965</v>
      </c>
      <c r="AY1815" s="843" t="s">
        <v>6222</v>
      </c>
      <c r="AZ1815" s="842" t="s">
        <v>5173</v>
      </c>
      <c r="BA1815" s="842" t="s">
        <v>120</v>
      </c>
      <c r="BB1815" s="863" t="s">
        <v>121</v>
      </c>
      <c r="BC1815" s="864">
        <v>45967</v>
      </c>
      <c r="BD1815" s="860" t="s">
        <v>5708</v>
      </c>
      <c r="BE1815" s="865" cm="1">
        <f t="array" ref="BE1815">IF(BD1815="","",AC1815/SUMPRODUCT(--(BD1815=$BD$4:$BD$12824),$AC$4:$AC$12824))</f>
        <v>7.3338240939354515E-3</v>
      </c>
      <c r="BF1815" s="458"/>
      <c r="BG1815" s="458"/>
      <c r="BH1815" s="458"/>
      <c r="BI1815" s="458"/>
      <c r="BJ1815" s="458"/>
      <c r="BK1815" s="458"/>
      <c r="BL1815" s="458"/>
      <c r="BM1815" s="458"/>
      <c r="BN1815" s="458"/>
      <c r="BO1815" s="866">
        <f>VLOOKUP(BD1815,$BD$4:$BN$12824,3,0)*BE1815</f>
        <v>310328.92574503104</v>
      </c>
      <c r="BP1815" s="866"/>
      <c r="BQ1815" s="866"/>
      <c r="BR1815" s="866">
        <f>VLOOKUP(BD1815,$BD$4:$BN$12824,6,0)*BE1815</f>
        <v>58546.311595402862</v>
      </c>
      <c r="BS1815" s="866">
        <f>VLOOKUP(BD1815,$BD$4:$BN$12824,7,0)*BE1815</f>
        <v>51050.676179643735</v>
      </c>
      <c r="BT1815" s="866"/>
      <c r="BU1815" s="866">
        <f>VLOOKUP(BD1815,$BD$4:$BN$12824,9,0)*BE1815</f>
        <v>4106.9414926038526</v>
      </c>
      <c r="BV1815" s="867"/>
      <c r="BW1815" s="867">
        <f>VLOOKUP(BD1815,$BD$4:$BN$12824,11,0)*BE1815</f>
        <v>36818.51318270187</v>
      </c>
      <c r="BX1815" s="1146">
        <f t="shared" si="348"/>
        <v>460851.36819538334</v>
      </c>
      <c r="BY1815" s="867">
        <f t="shared" si="350"/>
        <v>12991315.223648848</v>
      </c>
      <c r="BZ1815" s="867">
        <f t="shared" si="349"/>
        <v>51965260.894595392</v>
      </c>
      <c r="CA1815" s="867">
        <f>_xlfn.MAXIFS($BY$4:$BY$12824,$S$4:$S$12824,$S1815)</f>
        <v>12991315.223648848</v>
      </c>
      <c r="CB1815" s="1032"/>
      <c r="CF1815" s="946">
        <f t="shared" si="352"/>
        <v>54789120.000000007</v>
      </c>
    </row>
    <row r="1816" spans="2:84">
      <c r="B1816" s="839" t="s">
        <v>98</v>
      </c>
      <c r="C1816" s="839" t="s">
        <v>5697</v>
      </c>
      <c r="D1816" s="839" t="s">
        <v>6207</v>
      </c>
      <c r="E1816" s="839" t="s">
        <v>6207</v>
      </c>
      <c r="F1816" s="841">
        <v>45842</v>
      </c>
      <c r="G1816" s="839" t="s">
        <v>5697</v>
      </c>
      <c r="H1816" s="842" t="s">
        <v>134</v>
      </c>
      <c r="I1816" s="883"/>
      <c r="J1816" s="841"/>
      <c r="K1816" s="841"/>
      <c r="L1816" s="843" t="s">
        <v>5257</v>
      </c>
      <c r="M1816" s="844" t="s">
        <v>107</v>
      </c>
      <c r="N1816" s="841"/>
      <c r="O1816" s="884" t="s">
        <v>150</v>
      </c>
      <c r="P1816" s="842" t="s">
        <v>5168</v>
      </c>
      <c r="Q1816" s="843"/>
      <c r="R1816" s="845" t="s">
        <v>6223</v>
      </c>
      <c r="S1816" s="1127" t="s">
        <v>6224</v>
      </c>
      <c r="T1816" s="885" t="s">
        <v>6225</v>
      </c>
      <c r="U1816" s="886">
        <v>4</v>
      </c>
      <c r="V1816" s="842" t="s">
        <v>3</v>
      </c>
      <c r="W1816" s="846">
        <v>790</v>
      </c>
      <c r="X1816" s="847">
        <f t="shared" si="343"/>
        <v>3160</v>
      </c>
      <c r="Y1816" s="853" t="s">
        <v>6209</v>
      </c>
      <c r="Z1816" s="849">
        <v>412.38000000000005</v>
      </c>
      <c r="AA1816" s="849"/>
      <c r="AB1816" s="849">
        <f t="shared" si="344"/>
        <v>1649.5200000000002</v>
      </c>
      <c r="AC1816" s="850">
        <f t="shared" si="345"/>
        <v>1649.5200000000002</v>
      </c>
      <c r="AD1816" s="851">
        <f t="shared" si="351"/>
        <v>32000</v>
      </c>
      <c r="AE1816" s="852">
        <v>30081.54</v>
      </c>
      <c r="AF1816" s="865">
        <v>0</v>
      </c>
      <c r="AG1816" s="854">
        <f t="shared" si="346"/>
        <v>0</v>
      </c>
      <c r="AH1816" s="853">
        <v>0.08</v>
      </c>
      <c r="AI1816" s="855">
        <f t="shared" si="347"/>
        <v>3969608.1488640006</v>
      </c>
      <c r="AJ1816" s="845" t="s">
        <v>5704</v>
      </c>
      <c r="AK1816" s="857">
        <v>45898</v>
      </c>
      <c r="AL1816" s="843" t="s">
        <v>5705</v>
      </c>
      <c r="AM1816" s="843" t="s">
        <v>5641</v>
      </c>
      <c r="AN1816" s="844" t="s">
        <v>5642</v>
      </c>
      <c r="AO1816" s="844" t="s">
        <v>141</v>
      </c>
      <c r="AP1816" s="841"/>
      <c r="AQ1816" s="841">
        <v>45906</v>
      </c>
      <c r="AR1816" s="841">
        <v>45958</v>
      </c>
      <c r="AS1816" s="842" t="s">
        <v>1284</v>
      </c>
      <c r="AT1816" s="842" t="s">
        <v>1235</v>
      </c>
      <c r="AU1816" s="842" t="s">
        <v>4595</v>
      </c>
      <c r="AV1816" s="843" t="s">
        <v>5718</v>
      </c>
      <c r="AW1816" s="861">
        <v>45961</v>
      </c>
      <c r="AX1816" s="862">
        <v>45965</v>
      </c>
      <c r="AY1816" s="843" t="s">
        <v>6226</v>
      </c>
      <c r="AZ1816" s="842" t="s">
        <v>5173</v>
      </c>
      <c r="BA1816" s="842" t="s">
        <v>120</v>
      </c>
      <c r="BB1816" s="863" t="s">
        <v>121</v>
      </c>
      <c r="BC1816" s="864">
        <v>45967</v>
      </c>
      <c r="BD1816" s="860" t="s">
        <v>5708</v>
      </c>
      <c r="BE1816" s="865" cm="1">
        <f t="array" ref="BE1816">IF(BD1816="","",AC1816/SUMPRODUCT(--(BD1816=$BD$4:$BD$12824),$AC$4:$AC$12824))</f>
        <v>7.0655134563524461E-3</v>
      </c>
      <c r="BF1816" s="458"/>
      <c r="BG1816" s="458"/>
      <c r="BH1816" s="458"/>
      <c r="BI1816" s="458"/>
      <c r="BJ1816" s="458"/>
      <c r="BK1816" s="458"/>
      <c r="BL1816" s="458"/>
      <c r="BM1816" s="458"/>
      <c r="BN1816" s="458"/>
      <c r="BO1816" s="866">
        <f>VLOOKUP(BD1816,$BD$4:$BN$12824,3,0)*BE1816</f>
        <v>298975.42846167623</v>
      </c>
      <c r="BP1816" s="866"/>
      <c r="BQ1816" s="866"/>
      <c r="BR1816" s="866">
        <f>VLOOKUP(BD1816,$BD$4:$BN$12824,6,0)*BE1816</f>
        <v>56404.373366302752</v>
      </c>
      <c r="BS1816" s="866">
        <f>VLOOKUP(BD1816,$BD$4:$BN$12824,7,0)*BE1816</f>
        <v>49182.968514534805</v>
      </c>
      <c r="BT1816" s="866"/>
      <c r="BU1816" s="866">
        <f>VLOOKUP(BD1816,$BD$4:$BN$12824,9,0)*BE1816</f>
        <v>3956.6875355573698</v>
      </c>
      <c r="BV1816" s="867"/>
      <c r="BW1816" s="867">
        <f>VLOOKUP(BD1816,$BD$4:$BN$12824,11,0)*BE1816</f>
        <v>35471.494407724967</v>
      </c>
      <c r="BX1816" s="1146">
        <f t="shared" si="348"/>
        <v>443990.95228579617</v>
      </c>
      <c r="BY1816" s="867">
        <f t="shared" si="350"/>
        <v>12516023.20327145</v>
      </c>
      <c r="BZ1816" s="867">
        <f t="shared" si="349"/>
        <v>50064092.813085802</v>
      </c>
      <c r="CA1816" s="867">
        <f>_xlfn.MAXIFS($BY$4:$BY$12824,$S$4:$S$12824,$S1816)</f>
        <v>12516023.20327145</v>
      </c>
      <c r="CB1816" s="1032"/>
      <c r="CF1816" s="946">
        <f t="shared" si="352"/>
        <v>52784640.000000007</v>
      </c>
    </row>
    <row r="1817" spans="2:84">
      <c r="B1817" s="839" t="s">
        <v>98</v>
      </c>
      <c r="C1817" s="839" t="s">
        <v>5697</v>
      </c>
      <c r="D1817" s="839" t="s">
        <v>6207</v>
      </c>
      <c r="E1817" s="839" t="s">
        <v>6207</v>
      </c>
      <c r="F1817" s="841">
        <v>45842</v>
      </c>
      <c r="G1817" s="839" t="s">
        <v>5697</v>
      </c>
      <c r="H1817" s="842" t="s">
        <v>134</v>
      </c>
      <c r="I1817" s="883"/>
      <c r="J1817" s="841"/>
      <c r="K1817" s="841"/>
      <c r="L1817" s="843" t="s">
        <v>5257</v>
      </c>
      <c r="M1817" s="844" t="s">
        <v>107</v>
      </c>
      <c r="N1817" s="841"/>
      <c r="O1817" s="884" t="s">
        <v>150</v>
      </c>
      <c r="P1817" s="842" t="s">
        <v>5168</v>
      </c>
      <c r="Q1817" s="843"/>
      <c r="R1817" s="845" t="s">
        <v>6227</v>
      </c>
      <c r="S1817" s="1127" t="s">
        <v>6228</v>
      </c>
      <c r="T1817" s="885" t="s">
        <v>6229</v>
      </c>
      <c r="U1817" s="886">
        <v>1</v>
      </c>
      <c r="V1817" s="842" t="s">
        <v>3</v>
      </c>
      <c r="W1817" s="846">
        <v>1810</v>
      </c>
      <c r="X1817" s="847">
        <f t="shared" si="343"/>
        <v>1810</v>
      </c>
      <c r="Y1817" s="853" t="s">
        <v>6209</v>
      </c>
      <c r="Z1817" s="849">
        <v>944.82000000000016</v>
      </c>
      <c r="AA1817" s="849"/>
      <c r="AB1817" s="849">
        <f t="shared" si="344"/>
        <v>944.82000000000016</v>
      </c>
      <c r="AC1817" s="850">
        <f t="shared" si="345"/>
        <v>944.82000000000016</v>
      </c>
      <c r="AD1817" s="851">
        <f t="shared" si="351"/>
        <v>32000</v>
      </c>
      <c r="AE1817" s="852">
        <v>30081.54</v>
      </c>
      <c r="AF1817" s="865">
        <v>0</v>
      </c>
      <c r="AG1817" s="854">
        <f t="shared" si="346"/>
        <v>0</v>
      </c>
      <c r="AH1817" s="853">
        <v>0.08</v>
      </c>
      <c r="AI1817" s="855">
        <f t="shared" si="347"/>
        <v>2273731.2498240005</v>
      </c>
      <c r="AJ1817" s="845" t="s">
        <v>5704</v>
      </c>
      <c r="AK1817" s="857">
        <v>45898</v>
      </c>
      <c r="AL1817" s="843" t="s">
        <v>5705</v>
      </c>
      <c r="AM1817" s="843" t="s">
        <v>5641</v>
      </c>
      <c r="AN1817" s="844" t="s">
        <v>5642</v>
      </c>
      <c r="AO1817" s="844" t="s">
        <v>141</v>
      </c>
      <c r="AP1817" s="841"/>
      <c r="AQ1817" s="841">
        <v>45906</v>
      </c>
      <c r="AR1817" s="841">
        <v>45958</v>
      </c>
      <c r="AS1817" s="842" t="s">
        <v>1284</v>
      </c>
      <c r="AT1817" s="842" t="s">
        <v>1235</v>
      </c>
      <c r="AU1817" s="842" t="s">
        <v>4595</v>
      </c>
      <c r="AV1817" s="843" t="s">
        <v>5718</v>
      </c>
      <c r="AW1817" s="861">
        <v>45961</v>
      </c>
      <c r="AX1817" s="862">
        <v>45965</v>
      </c>
      <c r="AY1817" s="843" t="s">
        <v>6230</v>
      </c>
      <c r="AZ1817" s="842" t="s">
        <v>5173</v>
      </c>
      <c r="BA1817" s="842" t="s">
        <v>120</v>
      </c>
      <c r="BB1817" s="863" t="s">
        <v>121</v>
      </c>
      <c r="BC1817" s="864">
        <v>45967</v>
      </c>
      <c r="BD1817" s="860" t="s">
        <v>5708</v>
      </c>
      <c r="BE1817" s="865" cm="1">
        <f t="array" ref="BE1817">IF(BD1817="","",AC1817/SUMPRODUCT(--(BD1817=$BD$4:$BD$12824),$AC$4:$AC$12824))</f>
        <v>4.0470187835436487E-3</v>
      </c>
      <c r="BF1817" s="458"/>
      <c r="BG1817" s="458"/>
      <c r="BH1817" s="458"/>
      <c r="BI1817" s="458"/>
      <c r="BJ1817" s="458"/>
      <c r="BK1817" s="458"/>
      <c r="BL1817" s="458"/>
      <c r="BM1817" s="458"/>
      <c r="BN1817" s="458"/>
      <c r="BO1817" s="866">
        <f>VLOOKUP(BD1817,$BD$4:$BN$12824,3,0)*BE1817</f>
        <v>171248.58402393482</v>
      </c>
      <c r="BP1817" s="866"/>
      <c r="BQ1817" s="866"/>
      <c r="BR1817" s="866">
        <f>VLOOKUP(BD1817,$BD$4:$BN$12824,6,0)*BE1817</f>
        <v>32307.568288926581</v>
      </c>
      <c r="BS1817" s="866">
        <f>VLOOKUP(BD1817,$BD$4:$BN$12824,7,0)*BE1817</f>
        <v>28171.257282059498</v>
      </c>
      <c r="BT1817" s="866"/>
      <c r="BU1817" s="866">
        <f>VLOOKUP(BD1817,$BD$4:$BN$12824,9,0)*BE1817</f>
        <v>2266.3305187844435</v>
      </c>
      <c r="BV1817" s="867"/>
      <c r="BW1817" s="867">
        <f>VLOOKUP(BD1817,$BD$4:$BN$12824,11,0)*BE1817</f>
        <v>20317.533189234873</v>
      </c>
      <c r="BX1817" s="1146">
        <f t="shared" si="348"/>
        <v>254311.27330294022</v>
      </c>
      <c r="BY1817" s="867">
        <f t="shared" si="350"/>
        <v>28675951.896102946</v>
      </c>
      <c r="BZ1817" s="867">
        <f t="shared" si="349"/>
        <v>28675951.896102946</v>
      </c>
      <c r="CA1817" s="867">
        <f>_xlfn.MAXIFS($BY$4:$BY$12824,$S$4:$S$12824,$S1817)</f>
        <v>28675951.896102946</v>
      </c>
      <c r="CB1817" s="1032"/>
      <c r="CF1817" s="946">
        <f t="shared" si="352"/>
        <v>30234240.000000004</v>
      </c>
    </row>
    <row r="1818" spans="2:84">
      <c r="B1818" s="839" t="s">
        <v>98</v>
      </c>
      <c r="C1818" s="839" t="s">
        <v>5697</v>
      </c>
      <c r="D1818" s="839" t="s">
        <v>6207</v>
      </c>
      <c r="E1818" s="839" t="s">
        <v>6207</v>
      </c>
      <c r="F1818" s="841">
        <v>45842</v>
      </c>
      <c r="G1818" s="839" t="s">
        <v>5697</v>
      </c>
      <c r="H1818" s="842" t="s">
        <v>134</v>
      </c>
      <c r="I1818" s="883"/>
      <c r="J1818" s="841"/>
      <c r="K1818" s="841"/>
      <c r="L1818" s="843" t="s">
        <v>5257</v>
      </c>
      <c r="M1818" s="844" t="s">
        <v>107</v>
      </c>
      <c r="N1818" s="841"/>
      <c r="O1818" s="884" t="s">
        <v>150</v>
      </c>
      <c r="P1818" s="842" t="s">
        <v>5168</v>
      </c>
      <c r="Q1818" s="843"/>
      <c r="R1818" s="845" t="s">
        <v>6231</v>
      </c>
      <c r="S1818" s="1127" t="s">
        <v>6232</v>
      </c>
      <c r="T1818" s="885" t="s">
        <v>6233</v>
      </c>
      <c r="U1818" s="886">
        <v>1</v>
      </c>
      <c r="V1818" s="842" t="s">
        <v>3</v>
      </c>
      <c r="W1818" s="846">
        <v>1810</v>
      </c>
      <c r="X1818" s="847">
        <f t="shared" ref="X1818:X1822" si="353">W1818*U1818</f>
        <v>1810</v>
      </c>
      <c r="Y1818" s="853" t="s">
        <v>6209</v>
      </c>
      <c r="Z1818" s="849">
        <v>944.82000000000016</v>
      </c>
      <c r="AA1818" s="849"/>
      <c r="AB1818" s="849">
        <f t="shared" si="344"/>
        <v>944.82000000000016</v>
      </c>
      <c r="AC1818" s="850">
        <f t="shared" si="345"/>
        <v>944.82000000000016</v>
      </c>
      <c r="AD1818" s="851">
        <f t="shared" si="351"/>
        <v>32000</v>
      </c>
      <c r="AE1818" s="852">
        <v>30081.54</v>
      </c>
      <c r="AF1818" s="865">
        <v>0</v>
      </c>
      <c r="AG1818" s="854">
        <f t="shared" si="346"/>
        <v>0</v>
      </c>
      <c r="AH1818" s="853">
        <v>0.08</v>
      </c>
      <c r="AI1818" s="855">
        <f t="shared" si="347"/>
        <v>2273731.2498240005</v>
      </c>
      <c r="AJ1818" s="845" t="s">
        <v>5704</v>
      </c>
      <c r="AK1818" s="857">
        <v>45898</v>
      </c>
      <c r="AL1818" s="843" t="s">
        <v>5705</v>
      </c>
      <c r="AM1818" s="843" t="s">
        <v>5641</v>
      </c>
      <c r="AN1818" s="844" t="s">
        <v>5642</v>
      </c>
      <c r="AO1818" s="844" t="s">
        <v>141</v>
      </c>
      <c r="AP1818" s="841"/>
      <c r="AQ1818" s="841">
        <v>45906</v>
      </c>
      <c r="AR1818" s="841">
        <v>45958</v>
      </c>
      <c r="AS1818" s="842" t="s">
        <v>1284</v>
      </c>
      <c r="AT1818" s="842" t="s">
        <v>1235</v>
      </c>
      <c r="AU1818" s="842" t="s">
        <v>4595</v>
      </c>
      <c r="AV1818" s="843" t="s">
        <v>5718</v>
      </c>
      <c r="AW1818" s="861">
        <v>45961</v>
      </c>
      <c r="AX1818" s="862">
        <v>45965</v>
      </c>
      <c r="AY1818" s="843" t="s">
        <v>6234</v>
      </c>
      <c r="AZ1818" s="842" t="s">
        <v>5173</v>
      </c>
      <c r="BA1818" s="842" t="s">
        <v>120</v>
      </c>
      <c r="BB1818" s="863" t="s">
        <v>121</v>
      </c>
      <c r="BC1818" s="864">
        <v>45967</v>
      </c>
      <c r="BD1818" s="860" t="s">
        <v>5708</v>
      </c>
      <c r="BE1818" s="865" cm="1">
        <f t="array" ref="BE1818">IF(BD1818="","",AC1818/SUMPRODUCT(--(BD1818=$BD$4:$BD$12824),$AC$4:$AC$12824))</f>
        <v>4.0470187835436487E-3</v>
      </c>
      <c r="BF1818" s="458"/>
      <c r="BG1818" s="458"/>
      <c r="BH1818" s="458"/>
      <c r="BI1818" s="458"/>
      <c r="BJ1818" s="458"/>
      <c r="BK1818" s="458"/>
      <c r="BL1818" s="458"/>
      <c r="BM1818" s="458"/>
      <c r="BN1818" s="458"/>
      <c r="BO1818" s="866">
        <f>VLOOKUP(BD1818,$BD$4:$BN$12824,3,0)*BE1818</f>
        <v>171248.58402393482</v>
      </c>
      <c r="BP1818" s="866"/>
      <c r="BQ1818" s="866"/>
      <c r="BR1818" s="866">
        <f>VLOOKUP(BD1818,$BD$4:$BN$12824,6,0)*BE1818</f>
        <v>32307.568288926581</v>
      </c>
      <c r="BS1818" s="866">
        <f>VLOOKUP(BD1818,$BD$4:$BN$12824,7,0)*BE1818</f>
        <v>28171.257282059498</v>
      </c>
      <c r="BT1818" s="866"/>
      <c r="BU1818" s="866">
        <f>VLOOKUP(BD1818,$BD$4:$BN$12824,9,0)*BE1818</f>
        <v>2266.3305187844435</v>
      </c>
      <c r="BV1818" s="867"/>
      <c r="BW1818" s="867">
        <f>VLOOKUP(BD1818,$BD$4:$BN$12824,11,0)*BE1818</f>
        <v>20317.533189234873</v>
      </c>
      <c r="BX1818" s="1146">
        <f t="shared" si="348"/>
        <v>254311.27330294022</v>
      </c>
      <c r="BY1818" s="867">
        <f t="shared" si="350"/>
        <v>28675951.896102946</v>
      </c>
      <c r="BZ1818" s="867">
        <f t="shared" si="349"/>
        <v>28675951.896102946</v>
      </c>
      <c r="CA1818" s="867">
        <f>_xlfn.MAXIFS($BY$4:$BY$12824,$S$4:$S$12824,$S1818)</f>
        <v>28675951.896102946</v>
      </c>
      <c r="CB1818" s="1032"/>
      <c r="CF1818" s="946">
        <f t="shared" si="352"/>
        <v>30234240.000000004</v>
      </c>
    </row>
    <row r="1819" spans="2:84">
      <c r="B1819" s="839" t="s">
        <v>98</v>
      </c>
      <c r="C1819" s="839" t="s">
        <v>5697</v>
      </c>
      <c r="D1819" s="839" t="s">
        <v>6207</v>
      </c>
      <c r="E1819" s="839" t="s">
        <v>6207</v>
      </c>
      <c r="F1819" s="841">
        <v>45842</v>
      </c>
      <c r="G1819" s="839" t="s">
        <v>5697</v>
      </c>
      <c r="H1819" s="842" t="s">
        <v>134</v>
      </c>
      <c r="I1819" s="883"/>
      <c r="J1819" s="841"/>
      <c r="K1819" s="841"/>
      <c r="L1819" s="843" t="s">
        <v>5257</v>
      </c>
      <c r="M1819" s="844" t="s">
        <v>107</v>
      </c>
      <c r="N1819" s="841"/>
      <c r="O1819" s="884" t="s">
        <v>150</v>
      </c>
      <c r="P1819" s="842" t="s">
        <v>5168</v>
      </c>
      <c r="Q1819" s="843"/>
      <c r="R1819" s="845" t="s">
        <v>6235</v>
      </c>
      <c r="S1819" s="1127" t="s">
        <v>6236</v>
      </c>
      <c r="T1819" s="885" t="s">
        <v>6237</v>
      </c>
      <c r="U1819" s="886">
        <v>2</v>
      </c>
      <c r="V1819" s="842" t="s">
        <v>3</v>
      </c>
      <c r="W1819" s="846">
        <v>2810</v>
      </c>
      <c r="X1819" s="847">
        <f t="shared" si="353"/>
        <v>5620</v>
      </c>
      <c r="Y1819" s="853" t="s">
        <v>6209</v>
      </c>
      <c r="Z1819" s="849">
        <v>1466.82</v>
      </c>
      <c r="AA1819" s="849"/>
      <c r="AB1819" s="849">
        <f t="shared" si="344"/>
        <v>2933.64</v>
      </c>
      <c r="AC1819" s="850">
        <f t="shared" si="345"/>
        <v>2933.64</v>
      </c>
      <c r="AD1819" s="851">
        <f t="shared" si="351"/>
        <v>32000</v>
      </c>
      <c r="AE1819" s="852">
        <v>30081.54</v>
      </c>
      <c r="AF1819" s="865">
        <v>0</v>
      </c>
      <c r="AG1819" s="854">
        <f t="shared" si="346"/>
        <v>0</v>
      </c>
      <c r="AH1819" s="853">
        <v>0.08</v>
      </c>
      <c r="AI1819" s="855">
        <f t="shared" si="347"/>
        <v>7059872.7204480004</v>
      </c>
      <c r="AJ1819" s="845" t="s">
        <v>5704</v>
      </c>
      <c r="AK1819" s="857">
        <v>45898</v>
      </c>
      <c r="AL1819" s="843" t="s">
        <v>5705</v>
      </c>
      <c r="AM1819" s="843" t="s">
        <v>5641</v>
      </c>
      <c r="AN1819" s="844" t="s">
        <v>5642</v>
      </c>
      <c r="AO1819" s="844" t="s">
        <v>141</v>
      </c>
      <c r="AP1819" s="841"/>
      <c r="AQ1819" s="841">
        <v>45906</v>
      </c>
      <c r="AR1819" s="841">
        <v>45958</v>
      </c>
      <c r="AS1819" s="842" t="s">
        <v>1284</v>
      </c>
      <c r="AT1819" s="842" t="s">
        <v>1235</v>
      </c>
      <c r="AU1819" s="842" t="s">
        <v>4595</v>
      </c>
      <c r="AV1819" s="843" t="s">
        <v>5718</v>
      </c>
      <c r="AW1819" s="861">
        <v>45961</v>
      </c>
      <c r="AX1819" s="862">
        <v>45965</v>
      </c>
      <c r="AY1819" s="843" t="s">
        <v>6238</v>
      </c>
      <c r="AZ1819" s="842" t="s">
        <v>4276</v>
      </c>
      <c r="BA1819" s="842" t="s">
        <v>120</v>
      </c>
      <c r="BB1819" s="863" t="s">
        <v>121</v>
      </c>
      <c r="BC1819" s="864">
        <v>45967</v>
      </c>
      <c r="BD1819" s="860" t="s">
        <v>5708</v>
      </c>
      <c r="BE1819" s="865" cm="1">
        <f t="array" ref="BE1819">IF(BD1819="","",AC1819/SUMPRODUCT(--(BD1819=$BD$4:$BD$12824),$AC$4:$AC$12824))</f>
        <v>1.2565881526804032E-2</v>
      </c>
      <c r="BF1819" s="458"/>
      <c r="BG1819" s="458"/>
      <c r="BH1819" s="458"/>
      <c r="BI1819" s="458"/>
      <c r="BJ1819" s="458"/>
      <c r="BK1819" s="458"/>
      <c r="BL1819" s="458"/>
      <c r="BM1819" s="458"/>
      <c r="BN1819" s="458"/>
      <c r="BO1819" s="866">
        <f>VLOOKUP(BD1819,$BD$4:$BN$12824,3,0)*BE1819</f>
        <v>531722.12277044938</v>
      </c>
      <c r="BP1819" s="866"/>
      <c r="BQ1819" s="866"/>
      <c r="BR1819" s="866">
        <f>VLOOKUP(BD1819,$BD$4:$BN$12824,6,0)*BE1819</f>
        <v>100314.10706285488</v>
      </c>
      <c r="BS1819" s="866">
        <f>VLOOKUP(BD1819,$BD$4:$BN$12824,7,0)*BE1819</f>
        <v>87470.975649267581</v>
      </c>
      <c r="BT1819" s="866"/>
      <c r="BU1819" s="866">
        <f>VLOOKUP(BD1819,$BD$4:$BN$12824,9,0)*BE1819</f>
        <v>7036.893655010258</v>
      </c>
      <c r="BV1819" s="867"/>
      <c r="BW1819" s="867">
        <f>VLOOKUP(BD1819,$BD$4:$BN$12824,11,0)*BE1819</f>
        <v>63085.37929475135</v>
      </c>
      <c r="BX1819" s="1146">
        <f t="shared" si="348"/>
        <v>789629.47843233345</v>
      </c>
      <c r="BY1819" s="867">
        <f t="shared" si="350"/>
        <v>44519019.242016166</v>
      </c>
      <c r="BZ1819" s="867">
        <f t="shared" si="349"/>
        <v>89038038.484032333</v>
      </c>
      <c r="CA1819" s="867">
        <f>_xlfn.MAXIFS($BY$4:$BY$12824,$S$4:$S$12824,$S1819)</f>
        <v>44519019.242016166</v>
      </c>
      <c r="CB1819" s="1032"/>
      <c r="CF1819" s="946">
        <f t="shared" si="352"/>
        <v>93876480</v>
      </c>
    </row>
    <row r="1820" spans="2:84">
      <c r="B1820" s="839" t="s">
        <v>98</v>
      </c>
      <c r="C1820" s="839" t="s">
        <v>5697</v>
      </c>
      <c r="D1820" s="839" t="s">
        <v>6207</v>
      </c>
      <c r="E1820" s="839" t="s">
        <v>6207</v>
      </c>
      <c r="F1820" s="841">
        <v>45842</v>
      </c>
      <c r="G1820" s="839" t="s">
        <v>5697</v>
      </c>
      <c r="H1820" s="842" t="s">
        <v>134</v>
      </c>
      <c r="I1820" s="883"/>
      <c r="J1820" s="841"/>
      <c r="K1820" s="841"/>
      <c r="L1820" s="843" t="s">
        <v>5257</v>
      </c>
      <c r="M1820" s="844" t="s">
        <v>107</v>
      </c>
      <c r="N1820" s="841"/>
      <c r="O1820" s="884" t="s">
        <v>150</v>
      </c>
      <c r="P1820" s="842" t="s">
        <v>1947</v>
      </c>
      <c r="Q1820" s="843"/>
      <c r="R1820" s="845" t="s">
        <v>5865</v>
      </c>
      <c r="S1820" s="1127" t="s">
        <v>6239</v>
      </c>
      <c r="T1820" s="885" t="s">
        <v>6240</v>
      </c>
      <c r="U1820" s="886">
        <v>1</v>
      </c>
      <c r="V1820" s="842" t="s">
        <v>3</v>
      </c>
      <c r="W1820" s="846">
        <v>4775</v>
      </c>
      <c r="X1820" s="847">
        <f t="shared" si="353"/>
        <v>4775</v>
      </c>
      <c r="Y1820" s="853" t="s">
        <v>6209</v>
      </c>
      <c r="Z1820" s="849">
        <v>2492.5500000000006</v>
      </c>
      <c r="AA1820" s="849"/>
      <c r="AB1820" s="849">
        <f t="shared" si="344"/>
        <v>2492.5500000000006</v>
      </c>
      <c r="AC1820" s="850">
        <f t="shared" si="345"/>
        <v>2492.5500000000006</v>
      </c>
      <c r="AD1820" s="851">
        <f t="shared" si="351"/>
        <v>32000</v>
      </c>
      <c r="AE1820" s="852">
        <v>30081.54</v>
      </c>
      <c r="AF1820" s="865">
        <v>0</v>
      </c>
      <c r="AG1820" s="854">
        <f t="shared" si="346"/>
        <v>0</v>
      </c>
      <c r="AH1820" s="853">
        <v>0.08</v>
      </c>
      <c r="AI1820" s="855">
        <f t="shared" si="347"/>
        <v>5998379.4021600019</v>
      </c>
      <c r="AJ1820" s="845" t="s">
        <v>5704</v>
      </c>
      <c r="AK1820" s="857">
        <v>45898</v>
      </c>
      <c r="AL1820" s="843" t="s">
        <v>5705</v>
      </c>
      <c r="AM1820" s="843" t="s">
        <v>5641</v>
      </c>
      <c r="AN1820" s="844" t="s">
        <v>5642</v>
      </c>
      <c r="AO1820" s="844" t="s">
        <v>141</v>
      </c>
      <c r="AP1820" s="841"/>
      <c r="AQ1820" s="841">
        <v>45906</v>
      </c>
      <c r="AR1820" s="841">
        <v>45958</v>
      </c>
      <c r="AS1820" s="842" t="s">
        <v>1284</v>
      </c>
      <c r="AT1820" s="842" t="s">
        <v>1235</v>
      </c>
      <c r="AU1820" s="842" t="s">
        <v>4595</v>
      </c>
      <c r="AV1820" s="843" t="s">
        <v>5706</v>
      </c>
      <c r="AW1820" s="861">
        <v>45961</v>
      </c>
      <c r="AX1820" s="862">
        <v>45965</v>
      </c>
      <c r="AY1820" s="843" t="s">
        <v>6241</v>
      </c>
      <c r="AZ1820" s="842" t="s">
        <v>3183</v>
      </c>
      <c r="BA1820" s="842" t="s">
        <v>120</v>
      </c>
      <c r="BB1820" s="863" t="s">
        <v>121</v>
      </c>
      <c r="BC1820" s="864">
        <v>45967</v>
      </c>
      <c r="BD1820" s="860" t="s">
        <v>5708</v>
      </c>
      <c r="BE1820" s="865" cm="1">
        <f t="array" ref="BE1820">IF(BD1820="","",AC1820/SUMPRODUCT(--(BD1820=$BD$4:$BD$12824),$AC$4:$AC$12824))</f>
        <v>1.0676527453823715E-2</v>
      </c>
      <c r="BF1820" s="458"/>
      <c r="BG1820" s="458"/>
      <c r="BH1820" s="458"/>
      <c r="BI1820" s="458"/>
      <c r="BJ1820" s="458"/>
      <c r="BK1820" s="458"/>
      <c r="BL1820" s="458"/>
      <c r="BM1820" s="458"/>
      <c r="BN1820" s="458"/>
      <c r="BO1820" s="866">
        <f>VLOOKUP(BD1820,$BD$4:$BN$12824,3,0)*BE1820</f>
        <v>451774.57940015959</v>
      </c>
      <c r="BP1820" s="866"/>
      <c r="BQ1820" s="866"/>
      <c r="BR1820" s="866">
        <f>VLOOKUP(BD1820,$BD$4:$BN$12824,6,0)*BE1820</f>
        <v>85231.292032941681</v>
      </c>
      <c r="BS1820" s="866">
        <f>VLOOKUP(BD1820,$BD$4:$BN$12824,7,0)*BE1820</f>
        <v>74319.200840792328</v>
      </c>
      <c r="BT1820" s="866"/>
      <c r="BU1820" s="866">
        <f>VLOOKUP(BD1820,$BD$4:$BN$12824,9,0)*BE1820</f>
        <v>5978.8553741412798</v>
      </c>
      <c r="BV1820" s="867"/>
      <c r="BW1820" s="867">
        <f>VLOOKUP(BD1820,$BD$4:$BN$12824,11,0)*BE1820</f>
        <v>53600.122087622389</v>
      </c>
      <c r="BX1820" s="1146">
        <f t="shared" si="348"/>
        <v>670904.04973565717</v>
      </c>
      <c r="BY1820" s="867">
        <f t="shared" si="350"/>
        <v>75650646.576735675</v>
      </c>
      <c r="BZ1820" s="867">
        <f t="shared" si="349"/>
        <v>75650646.576735675</v>
      </c>
      <c r="CA1820" s="867">
        <f>_xlfn.MAXIFS($BY$4:$BY$12824,$S$4:$S$12824,$S1820)</f>
        <v>75650646.576735675</v>
      </c>
      <c r="CB1820" s="1032"/>
      <c r="CF1820" s="946">
        <f t="shared" si="352"/>
        <v>79761600.000000015</v>
      </c>
    </row>
    <row r="1821" spans="2:84">
      <c r="B1821" s="839" t="s">
        <v>98</v>
      </c>
      <c r="C1821" s="839" t="s">
        <v>5697</v>
      </c>
      <c r="D1821" s="839" t="s">
        <v>6207</v>
      </c>
      <c r="E1821" s="839" t="s">
        <v>6207</v>
      </c>
      <c r="F1821" s="841">
        <v>45842</v>
      </c>
      <c r="G1821" s="839" t="s">
        <v>5697</v>
      </c>
      <c r="H1821" s="842" t="s">
        <v>134</v>
      </c>
      <c r="I1821" s="883"/>
      <c r="J1821" s="841"/>
      <c r="K1821" s="841"/>
      <c r="L1821" s="843" t="s">
        <v>5257</v>
      </c>
      <c r="M1821" s="844" t="s">
        <v>107</v>
      </c>
      <c r="N1821" s="841"/>
      <c r="O1821" s="884" t="s">
        <v>150</v>
      </c>
      <c r="P1821" s="842" t="s">
        <v>1947</v>
      </c>
      <c r="Q1821" s="843"/>
      <c r="R1821" s="845" t="s">
        <v>5865</v>
      </c>
      <c r="S1821" s="1127" t="s">
        <v>6242</v>
      </c>
      <c r="T1821" s="885" t="s">
        <v>6243</v>
      </c>
      <c r="U1821" s="886">
        <v>1</v>
      </c>
      <c r="V1821" s="842" t="s">
        <v>3</v>
      </c>
      <c r="W1821" s="846">
        <v>4775</v>
      </c>
      <c r="X1821" s="847">
        <f t="shared" si="353"/>
        <v>4775</v>
      </c>
      <c r="Y1821" s="853" t="s">
        <v>6209</v>
      </c>
      <c r="Z1821" s="849">
        <v>2492.5500000000006</v>
      </c>
      <c r="AA1821" s="849"/>
      <c r="AB1821" s="849">
        <f t="shared" si="344"/>
        <v>2492.5500000000006</v>
      </c>
      <c r="AC1821" s="850">
        <f t="shared" si="345"/>
        <v>2492.5500000000006</v>
      </c>
      <c r="AD1821" s="851">
        <f t="shared" si="351"/>
        <v>32000</v>
      </c>
      <c r="AE1821" s="852">
        <v>30081.54</v>
      </c>
      <c r="AF1821" s="865">
        <v>0</v>
      </c>
      <c r="AG1821" s="854">
        <f t="shared" si="346"/>
        <v>0</v>
      </c>
      <c r="AH1821" s="853">
        <v>0.08</v>
      </c>
      <c r="AI1821" s="855">
        <f t="shared" si="347"/>
        <v>5998379.4021600019</v>
      </c>
      <c r="AJ1821" s="845" t="s">
        <v>5704</v>
      </c>
      <c r="AK1821" s="857">
        <v>45898</v>
      </c>
      <c r="AL1821" s="843" t="s">
        <v>5705</v>
      </c>
      <c r="AM1821" s="843" t="s">
        <v>5641</v>
      </c>
      <c r="AN1821" s="844" t="s">
        <v>5642</v>
      </c>
      <c r="AO1821" s="844" t="s">
        <v>141</v>
      </c>
      <c r="AP1821" s="841"/>
      <c r="AQ1821" s="841">
        <v>45906</v>
      </c>
      <c r="AR1821" s="841">
        <v>45958</v>
      </c>
      <c r="AS1821" s="842" t="s">
        <v>1284</v>
      </c>
      <c r="AT1821" s="842" t="s">
        <v>1235</v>
      </c>
      <c r="AU1821" s="842" t="s">
        <v>4595</v>
      </c>
      <c r="AV1821" s="843" t="s">
        <v>5706</v>
      </c>
      <c r="AW1821" s="861">
        <v>45961</v>
      </c>
      <c r="AX1821" s="862">
        <v>45965</v>
      </c>
      <c r="AY1821" s="843" t="s">
        <v>6244</v>
      </c>
      <c r="AZ1821" s="842" t="s">
        <v>3183</v>
      </c>
      <c r="BA1821" s="842" t="s">
        <v>120</v>
      </c>
      <c r="BB1821" s="863" t="s">
        <v>121</v>
      </c>
      <c r="BC1821" s="864">
        <v>45967</v>
      </c>
      <c r="BD1821" s="860" t="s">
        <v>5708</v>
      </c>
      <c r="BE1821" s="865" cm="1">
        <f t="array" ref="BE1821">IF(BD1821="","",AC1821/SUMPRODUCT(--(BD1821=$BD$4:$BD$12824),$AC$4:$AC$12824))</f>
        <v>1.0676527453823715E-2</v>
      </c>
      <c r="BF1821" s="458"/>
      <c r="BG1821" s="458"/>
      <c r="BH1821" s="458"/>
      <c r="BI1821" s="458"/>
      <c r="BJ1821" s="458"/>
      <c r="BK1821" s="458"/>
      <c r="BL1821" s="458"/>
      <c r="BM1821" s="458"/>
      <c r="BN1821" s="458"/>
      <c r="BO1821" s="866">
        <f>VLOOKUP(BD1821,$BD$4:$BN$12824,3,0)*BE1821</f>
        <v>451774.57940015959</v>
      </c>
      <c r="BP1821" s="866"/>
      <c r="BQ1821" s="866"/>
      <c r="BR1821" s="866">
        <f>VLOOKUP(BD1821,$BD$4:$BN$12824,6,0)*BE1821</f>
        <v>85231.292032941681</v>
      </c>
      <c r="BS1821" s="866">
        <f>VLOOKUP(BD1821,$BD$4:$BN$12824,7,0)*BE1821</f>
        <v>74319.200840792328</v>
      </c>
      <c r="BT1821" s="866"/>
      <c r="BU1821" s="866">
        <f>VLOOKUP(BD1821,$BD$4:$BN$12824,9,0)*BE1821</f>
        <v>5978.8553741412798</v>
      </c>
      <c r="BV1821" s="867"/>
      <c r="BW1821" s="867">
        <f>VLOOKUP(BD1821,$BD$4:$BN$12824,11,0)*BE1821</f>
        <v>53600.122087622389</v>
      </c>
      <c r="BX1821" s="1146">
        <f t="shared" si="348"/>
        <v>670904.04973565717</v>
      </c>
      <c r="BY1821" s="867">
        <f t="shared" si="350"/>
        <v>75650646.576735675</v>
      </c>
      <c r="BZ1821" s="867">
        <f t="shared" si="349"/>
        <v>75650646.576735675</v>
      </c>
      <c r="CA1821" s="867">
        <f>_xlfn.MAXIFS($BY$4:$BY$12824,$S$4:$S$12824,$S1821)</f>
        <v>75650646.576735675</v>
      </c>
      <c r="CB1821" s="1032"/>
      <c r="CF1821" s="946">
        <f t="shared" si="352"/>
        <v>79761600.000000015</v>
      </c>
    </row>
    <row r="1822" spans="2:84">
      <c r="B1822" s="839" t="s">
        <v>98</v>
      </c>
      <c r="C1822" s="839" t="s">
        <v>5697</v>
      </c>
      <c r="D1822" s="839" t="s">
        <v>6207</v>
      </c>
      <c r="E1822" s="839" t="s">
        <v>6207</v>
      </c>
      <c r="F1822" s="841">
        <v>45842</v>
      </c>
      <c r="G1822" s="839" t="s">
        <v>5697</v>
      </c>
      <c r="H1822" s="842" t="s">
        <v>134</v>
      </c>
      <c r="I1822" s="883"/>
      <c r="J1822" s="841"/>
      <c r="K1822" s="841"/>
      <c r="L1822" s="843" t="s">
        <v>5257</v>
      </c>
      <c r="M1822" s="844" t="s">
        <v>107</v>
      </c>
      <c r="N1822" s="841"/>
      <c r="O1822" s="884" t="s">
        <v>135</v>
      </c>
      <c r="P1822" s="842" t="s">
        <v>1258</v>
      </c>
      <c r="Q1822" s="843"/>
      <c r="R1822" s="845" t="s">
        <v>6157</v>
      </c>
      <c r="S1822" s="1127" t="s">
        <v>6158</v>
      </c>
      <c r="T1822" s="885" t="s">
        <v>6159</v>
      </c>
      <c r="U1822" s="886">
        <v>4</v>
      </c>
      <c r="V1822" s="842" t="s">
        <v>3</v>
      </c>
      <c r="W1822" s="846">
        <v>1565</v>
      </c>
      <c r="X1822" s="847">
        <f t="shared" si="353"/>
        <v>6260</v>
      </c>
      <c r="Y1822" s="853" t="s">
        <v>6209</v>
      </c>
      <c r="Z1822" s="849">
        <v>816.93000000000018</v>
      </c>
      <c r="AA1822" s="849"/>
      <c r="AB1822" s="849">
        <f t="shared" si="344"/>
        <v>3267.7200000000007</v>
      </c>
      <c r="AC1822" s="850">
        <f t="shared" si="345"/>
        <v>3267.7200000000007</v>
      </c>
      <c r="AD1822" s="851">
        <f t="shared" si="351"/>
        <v>32000</v>
      </c>
      <c r="AE1822" s="852">
        <v>30081.54</v>
      </c>
      <c r="AF1822" s="865">
        <v>6.2E-2</v>
      </c>
      <c r="AG1822" s="854">
        <f t="shared" si="346"/>
        <v>6137240.876977249</v>
      </c>
      <c r="AH1822" s="853">
        <v>0.08</v>
      </c>
      <c r="AI1822" s="855">
        <f t="shared" si="347"/>
        <v>8354823.2612621821</v>
      </c>
      <c r="AJ1822" s="845" t="s">
        <v>5704</v>
      </c>
      <c r="AK1822" s="857">
        <v>45898</v>
      </c>
      <c r="AL1822" s="843" t="s">
        <v>5705</v>
      </c>
      <c r="AM1822" s="843" t="s">
        <v>5641</v>
      </c>
      <c r="AN1822" s="844" t="s">
        <v>5642</v>
      </c>
      <c r="AO1822" s="844" t="s">
        <v>141</v>
      </c>
      <c r="AP1822" s="841"/>
      <c r="AQ1822" s="841">
        <v>45906</v>
      </c>
      <c r="AR1822" s="841">
        <v>45958</v>
      </c>
      <c r="AS1822" s="842" t="s">
        <v>1284</v>
      </c>
      <c r="AT1822" s="842" t="s">
        <v>1235</v>
      </c>
      <c r="AU1822" s="842" t="s">
        <v>4595</v>
      </c>
      <c r="AV1822" s="843" t="s">
        <v>5712</v>
      </c>
      <c r="AW1822" s="861">
        <v>45961</v>
      </c>
      <c r="AX1822" s="862">
        <v>45965</v>
      </c>
      <c r="AY1822" s="843" t="s">
        <v>6160</v>
      </c>
      <c r="AZ1822" s="842" t="s">
        <v>6156</v>
      </c>
      <c r="BA1822" s="842" t="s">
        <v>120</v>
      </c>
      <c r="BB1822" s="863" t="s">
        <v>121</v>
      </c>
      <c r="BC1822" s="864">
        <v>45967</v>
      </c>
      <c r="BD1822" s="860" t="s">
        <v>5708</v>
      </c>
      <c r="BE1822" s="865" cm="1">
        <f t="array" ref="BE1822">IF(BD1822="","",AC1822/SUMPRODUCT(--(BD1822=$BD$4:$BD$12824),$AC$4:$AC$12824))</f>
        <v>1.3996871593913392E-2</v>
      </c>
      <c r="BF1822" s="458"/>
      <c r="BG1822" s="458"/>
      <c r="BH1822" s="458"/>
      <c r="BI1822" s="458"/>
      <c r="BJ1822" s="458"/>
      <c r="BK1822" s="458"/>
      <c r="BL1822" s="458"/>
      <c r="BM1822" s="458"/>
      <c r="BN1822" s="458"/>
      <c r="BO1822" s="866">
        <f>VLOOKUP(BD1822,$BD$4:$BN$12824,3,0)*BE1822</f>
        <v>592274.10828167514</v>
      </c>
      <c r="BP1822" s="866"/>
      <c r="BQ1822" s="866"/>
      <c r="BR1822" s="866">
        <f>VLOOKUP(BD1822,$BD$4:$BN$12824,6,0)*BE1822</f>
        <v>111737.77761805546</v>
      </c>
      <c r="BS1822" s="866">
        <f>VLOOKUP(BD1822,$BD$4:$BN$12824,7,0)*BE1822</f>
        <v>97432.083196515174</v>
      </c>
      <c r="BT1822" s="866"/>
      <c r="BU1822" s="866">
        <f>VLOOKUP(BD1822,$BD$4:$BN$12824,9,0)*BE1822</f>
        <v>7838.2480925914997</v>
      </c>
      <c r="BV1822" s="867"/>
      <c r="BW1822" s="867">
        <f>VLOOKUP(BD1822,$BD$4:$BN$12824,11,0)*BE1822</f>
        <v>70269.479427961487</v>
      </c>
      <c r="BX1822" s="1146">
        <f t="shared" si="348"/>
        <v>879551.69661679887</v>
      </c>
      <c r="BY1822" s="867">
        <f t="shared" si="350"/>
        <v>26328710.615598518</v>
      </c>
      <c r="BZ1822" s="867">
        <f t="shared" si="349"/>
        <v>105314842.46239407</v>
      </c>
      <c r="CA1822" s="867">
        <f>_xlfn.MAXIFS($BY$4:$BY$12824,$S$4:$S$12824,$S1822)</f>
        <v>26328710.615598518</v>
      </c>
      <c r="CB1822" s="1032"/>
      <c r="CF1822" s="946">
        <f t="shared" si="352"/>
        <v>104567040.00000003</v>
      </c>
    </row>
    <row r="1823" spans="2:84">
      <c r="B1823" s="839" t="s">
        <v>98</v>
      </c>
      <c r="C1823" s="839" t="s">
        <v>5697</v>
      </c>
      <c r="D1823" s="839" t="s">
        <v>5754</v>
      </c>
      <c r="E1823" s="839" t="s">
        <v>6245</v>
      </c>
      <c r="F1823" s="841">
        <v>45842</v>
      </c>
      <c r="G1823" s="839" t="s">
        <v>5697</v>
      </c>
      <c r="H1823" s="842" t="s">
        <v>6246</v>
      </c>
      <c r="I1823" s="883"/>
      <c r="J1823" s="841"/>
      <c r="K1823" s="841"/>
      <c r="L1823" s="843" t="s">
        <v>6247</v>
      </c>
      <c r="M1823" s="844" t="s">
        <v>107</v>
      </c>
      <c r="N1823" s="841"/>
      <c r="O1823" s="884" t="s">
        <v>150</v>
      </c>
      <c r="P1823" s="842"/>
      <c r="Q1823" s="843"/>
      <c r="R1823" s="845" t="s">
        <v>6248</v>
      </c>
      <c r="S1823" s="1127" t="s">
        <v>6249</v>
      </c>
      <c r="T1823" s="885" t="s">
        <v>6250</v>
      </c>
      <c r="U1823" s="886">
        <v>1</v>
      </c>
      <c r="V1823" s="842"/>
      <c r="W1823" s="846"/>
      <c r="X1823" s="847"/>
      <c r="Y1823" s="853"/>
      <c r="Z1823" s="849">
        <v>10</v>
      </c>
      <c r="AA1823" s="849" t="s">
        <v>40</v>
      </c>
      <c r="AB1823" s="849">
        <f t="shared" si="344"/>
        <v>0</v>
      </c>
      <c r="AC1823" s="850">
        <f t="shared" si="345"/>
        <v>10</v>
      </c>
      <c r="AD1823" s="851">
        <v>32000</v>
      </c>
      <c r="AE1823" s="852">
        <v>30081.54</v>
      </c>
      <c r="AF1823" s="865">
        <v>0</v>
      </c>
      <c r="AG1823" s="854">
        <f t="shared" si="346"/>
        <v>0</v>
      </c>
      <c r="AH1823" s="853">
        <v>0.08</v>
      </c>
      <c r="AI1823" s="855">
        <f t="shared" si="347"/>
        <v>24065.232000000004</v>
      </c>
      <c r="AJ1823" s="845" t="s">
        <v>5704</v>
      </c>
      <c r="AK1823" s="857">
        <v>45898</v>
      </c>
      <c r="AL1823" s="843" t="s">
        <v>5705</v>
      </c>
      <c r="AM1823" s="843" t="s">
        <v>5641</v>
      </c>
      <c r="AN1823" s="844" t="s">
        <v>5642</v>
      </c>
      <c r="AO1823" s="844" t="s">
        <v>141</v>
      </c>
      <c r="AP1823" s="841"/>
      <c r="AQ1823" s="841">
        <v>45906</v>
      </c>
      <c r="AR1823" s="841">
        <v>45958</v>
      </c>
      <c r="AS1823" s="842" t="s">
        <v>1284</v>
      </c>
      <c r="AT1823" s="842" t="s">
        <v>1235</v>
      </c>
      <c r="AU1823" s="842" t="s">
        <v>4595</v>
      </c>
      <c r="AV1823" s="843" t="s">
        <v>5712</v>
      </c>
      <c r="AW1823" s="861">
        <v>45961</v>
      </c>
      <c r="AX1823" s="862">
        <v>45965</v>
      </c>
      <c r="AY1823" s="843" t="s">
        <v>6251</v>
      </c>
      <c r="AZ1823" s="842" t="s">
        <v>5188</v>
      </c>
      <c r="BA1823" s="842" t="s">
        <v>120</v>
      </c>
      <c r="BB1823" s="863" t="s">
        <v>121</v>
      </c>
      <c r="BC1823" s="864">
        <v>45967</v>
      </c>
      <c r="BD1823" s="860" t="s">
        <v>5708</v>
      </c>
      <c r="BE1823" s="865" cm="1">
        <f t="array" ref="BE1823">IF(BD1823="","",AC1823/SUMPRODUCT(--(BD1823=$BD$4:$BD$12824),$AC$4:$AC$12824))</f>
        <v>4.283375440341703E-5</v>
      </c>
      <c r="BF1823" s="458"/>
      <c r="BG1823" s="458"/>
      <c r="BH1823" s="458"/>
      <c r="BI1823" s="458"/>
      <c r="BJ1823" s="458"/>
      <c r="BK1823" s="458"/>
      <c r="BL1823" s="458"/>
      <c r="BM1823" s="458"/>
      <c r="BN1823" s="458"/>
      <c r="BO1823" s="866">
        <f>VLOOKUP(BD1823,$BD$4:$BN$12824,3,0)*BE1823</f>
        <v>1812.4995663082364</v>
      </c>
      <c r="BP1823" s="866"/>
      <c r="BQ1823" s="866"/>
      <c r="BR1823" s="866">
        <f>VLOOKUP(BD1823,$BD$4:$BN$12824,6,0)*BE1823</f>
        <v>341.94416173373315</v>
      </c>
      <c r="BS1823" s="866">
        <f>VLOOKUP(BD1823,$BD$4:$BN$12824,7,0)*BE1823</f>
        <v>298.16533606464185</v>
      </c>
      <c r="BT1823" s="866"/>
      <c r="BU1823" s="866">
        <f>VLOOKUP(BD1823,$BD$4:$BN$12824,9,0)*BE1823</f>
        <v>23.986902465913538</v>
      </c>
      <c r="BV1823" s="867"/>
      <c r="BW1823" s="867">
        <f>VLOOKUP(BD1823,$BD$4:$BN$12824,11,0)*BE1823</f>
        <v>215.04131145863624</v>
      </c>
      <c r="BX1823" s="1146">
        <f t="shared" si="348"/>
        <v>2691.6372780311613</v>
      </c>
      <c r="BY1823" s="867">
        <f t="shared" si="350"/>
        <v>2691.6372780311613</v>
      </c>
      <c r="BZ1823" s="867">
        <f t="shared" si="349"/>
        <v>2691.6372780311613</v>
      </c>
      <c r="CA1823" s="867">
        <f>_xlfn.MAXIFS($BY$4:$BY$12824,$S$4:$S$12824,$S1823)</f>
        <v>2691.6372780311613</v>
      </c>
      <c r="CB1823" s="1032"/>
      <c r="CF1823" s="946">
        <f t="shared" si="352"/>
        <v>320000</v>
      </c>
    </row>
    <row r="1824" spans="2:84">
      <c r="B1824" s="839" t="s">
        <v>98</v>
      </c>
      <c r="C1824" s="839" t="s">
        <v>273</v>
      </c>
      <c r="D1824" s="839" t="s">
        <v>6252</v>
      </c>
      <c r="E1824" s="839" t="s">
        <v>6253</v>
      </c>
      <c r="F1824" s="841">
        <v>45876</v>
      </c>
      <c r="G1824" s="868" t="s">
        <v>273</v>
      </c>
      <c r="H1824" s="842" t="s">
        <v>102</v>
      </c>
      <c r="I1824" s="883" t="s">
        <v>6254</v>
      </c>
      <c r="J1824" s="841">
        <v>45870</v>
      </c>
      <c r="K1824" s="841">
        <v>45967</v>
      </c>
      <c r="L1824" s="843" t="s">
        <v>106</v>
      </c>
      <c r="M1824" s="844" t="s">
        <v>275</v>
      </c>
      <c r="N1824" s="841"/>
      <c r="O1824" s="884" t="s">
        <v>150</v>
      </c>
      <c r="P1824" s="842" t="s">
        <v>124</v>
      </c>
      <c r="Q1824" s="843"/>
      <c r="R1824" s="845">
        <v>11139.22</v>
      </c>
      <c r="S1824" s="1128" t="s">
        <v>4502</v>
      </c>
      <c r="T1824" s="894" t="s">
        <v>4503</v>
      </c>
      <c r="U1824" s="886">
        <v>2</v>
      </c>
      <c r="V1824" s="842" t="s">
        <v>3</v>
      </c>
      <c r="W1824" s="846">
        <v>45.51</v>
      </c>
      <c r="X1824" s="847">
        <f t="shared" ref="X1824:X1887" si="354">W1824*U1824</f>
        <v>91.02</v>
      </c>
      <c r="Y1824" s="853" t="s">
        <v>6255</v>
      </c>
      <c r="Z1824" s="849">
        <v>22.76</v>
      </c>
      <c r="AA1824" s="849"/>
      <c r="AB1824" s="849">
        <f t="shared" si="344"/>
        <v>45.52</v>
      </c>
      <c r="AC1824" s="850">
        <f t="shared" si="345"/>
        <v>45.52</v>
      </c>
      <c r="AD1824" s="851">
        <f t="shared" ref="AD1824:AD1887" si="355">IF(V1824=$AD$2,$AE$2,$AE$3)</f>
        <v>32000</v>
      </c>
      <c r="AE1824" s="852">
        <v>29816.25</v>
      </c>
      <c r="AF1824" s="853">
        <v>0.1</v>
      </c>
      <c r="AG1824" s="854">
        <f t="shared" si="346"/>
        <v>231503.55736165657</v>
      </c>
      <c r="AH1824" s="853">
        <v>0.08</v>
      </c>
      <c r="AI1824" s="855">
        <f t="shared" si="347"/>
        <v>504293.86058893258</v>
      </c>
      <c r="AJ1824" s="845" t="s">
        <v>6256</v>
      </c>
      <c r="AK1824" s="857">
        <v>45960</v>
      </c>
      <c r="AL1824" s="899" t="s">
        <v>6257</v>
      </c>
      <c r="AM1824" s="843"/>
      <c r="AN1824" s="844"/>
      <c r="AO1824" s="844" t="s">
        <v>6258</v>
      </c>
      <c r="AP1824" s="841"/>
      <c r="AQ1824" s="841">
        <v>45965</v>
      </c>
      <c r="AR1824" s="841">
        <v>45972</v>
      </c>
      <c r="AS1824" s="842"/>
      <c r="AT1824" s="842" t="s">
        <v>6259</v>
      </c>
      <c r="AU1824" s="842" t="s">
        <v>6258</v>
      </c>
      <c r="AV1824" s="845" t="s">
        <v>6260</v>
      </c>
      <c r="AW1824" s="861">
        <v>45972</v>
      </c>
      <c r="AX1824" s="862">
        <v>45973</v>
      </c>
      <c r="AY1824" s="843" t="s">
        <v>6261</v>
      </c>
      <c r="AZ1824" s="842">
        <v>94031000</v>
      </c>
      <c r="BA1824" s="842" t="s">
        <v>120</v>
      </c>
      <c r="BB1824" s="863" t="s">
        <v>4775</v>
      </c>
      <c r="BC1824" s="864">
        <v>45974</v>
      </c>
      <c r="BD1824" s="860" t="s">
        <v>6262</v>
      </c>
      <c r="BE1824" s="865" cm="1">
        <f t="array" ref="BE1824">IF(BD1824="","",AC1824/SUMPRODUCT(--(BD1824=$BD$4:$BD$12824),$AC$4:$AC$12824))</f>
        <v>0.20314173509460909</v>
      </c>
      <c r="BF1824" s="458" cm="1">
        <f t="array" ref="BF1824">SUM(_xlfn._xlws.FILTER( INDEX(Cost!$B$3:$BK$77,MATCH(LDL!$BD1824, Cost!$F$3:$F$77, 0),0),Cost!$B$3:$BK$3 = BF$3))</f>
        <v>4714934</v>
      </c>
      <c r="BG1824" s="458"/>
      <c r="BH1824" s="458"/>
      <c r="BI1824" s="458" cm="1">
        <f t="array" ref="BI1824">SUM(_xlfn._xlws.FILTER( INDEX(Cost!$B$3:$BK$77,MATCH(LDL!$BD1824, Cost!$F$3:$F$77, 0),0),Cost!$B$3:$BK$3 = BI$3))/1.08</f>
        <v>0</v>
      </c>
      <c r="BJ1824" s="458" cm="1">
        <f t="array" ref="BJ1824">SUM(_xlfn._xlws.FILTER( INDEX(Cost!$B$3:$BK$77,MATCH(LDL!$BD1824, Cost!$F$3:$F$77, 0),0),Cost!$B$3:$BK$3 = BJ$3))</f>
        <v>0</v>
      </c>
      <c r="BK1824" s="458"/>
      <c r="BL1824" s="458" cm="1">
        <f t="array" ref="BL1824">SUM(_xlfn._xlws.FILTER( INDEX(Cost!$B$3:$BK$77,MATCH(LDL!$BD1824, Cost!$F$3:$F$77, 0),0),Cost!$B$3:$BK$3 = BL$3))</f>
        <v>0</v>
      </c>
      <c r="BM1824" s="458"/>
      <c r="BN1824" s="458" cm="1">
        <f t="array" ref="BN1824">SUM(_xlfn._xlws.FILTER( INDEX(Cost!$B$3:$BK$77,MATCH(LDL!$BD1824, Cost!$F$3:$F$77, 0),0),Cost!$B$3:$BK$3 = BN$3))/1.08</f>
        <v>0</v>
      </c>
      <c r="BO1824" s="866">
        <f>VLOOKUP(BD1824,$BD$4:$BN$12824,3,0)*BE1824</f>
        <v>957799.8736165656</v>
      </c>
      <c r="BP1824" s="866"/>
      <c r="BQ1824" s="866"/>
      <c r="BR1824" s="866">
        <f>VLOOKUP(BD1824,$BD$4:$BN$12824,6,0)*BE1824</f>
        <v>0</v>
      </c>
      <c r="BS1824" s="866">
        <f>VLOOKUP(BD1824,$BD$4:$BN$12824,7,0)*BE1824</f>
        <v>0</v>
      </c>
      <c r="BT1824" s="866"/>
      <c r="BU1824" s="866">
        <f>VLOOKUP(BD1824,$BD$4:$BN$12824,9,0)*BE1824</f>
        <v>0</v>
      </c>
      <c r="BV1824" s="867"/>
      <c r="BW1824" s="867">
        <f>VLOOKUP(BD1824,$BD$4:$BN$12824,11,0)*BE1824</f>
        <v>0</v>
      </c>
      <c r="BX1824" s="1146">
        <f t="shared" si="348"/>
        <v>957799.8736165656</v>
      </c>
      <c r="BY1824" s="867">
        <f t="shared" si="350"/>
        <v>1273269.5654891112</v>
      </c>
      <c r="BZ1824" s="867">
        <f t="shared" si="349"/>
        <v>2546539.1309782225</v>
      </c>
      <c r="CA1824" s="867">
        <f>_xlfn.MAXIFS($BY$4:$BY$12824,$S$4:$S$12824,$S1824)</f>
        <v>1273269.5654891112</v>
      </c>
      <c r="CB1824" s="1032"/>
      <c r="CF1824" s="946">
        <f t="shared" si="352"/>
        <v>1456640</v>
      </c>
    </row>
    <row r="1825" spans="2:84">
      <c r="B1825" s="839" t="s">
        <v>98</v>
      </c>
      <c r="C1825" s="839" t="s">
        <v>273</v>
      </c>
      <c r="D1825" s="839" t="s">
        <v>6252</v>
      </c>
      <c r="E1825" s="839" t="s">
        <v>6263</v>
      </c>
      <c r="F1825" s="841">
        <v>45901</v>
      </c>
      <c r="G1825" s="868" t="s">
        <v>273</v>
      </c>
      <c r="H1825" s="842" t="s">
        <v>102</v>
      </c>
      <c r="I1825" s="883" t="s">
        <v>6264</v>
      </c>
      <c r="J1825" s="841">
        <v>45901</v>
      </c>
      <c r="K1825" s="841">
        <v>45992</v>
      </c>
      <c r="L1825" s="843" t="s">
        <v>106</v>
      </c>
      <c r="M1825" s="844" t="s">
        <v>275</v>
      </c>
      <c r="N1825" s="841"/>
      <c r="O1825" s="884" t="s">
        <v>150</v>
      </c>
      <c r="P1825" s="842" t="s">
        <v>124</v>
      </c>
      <c r="Q1825" s="843"/>
      <c r="R1825" s="845">
        <v>15532</v>
      </c>
      <c r="S1825" s="1128" t="s">
        <v>2443</v>
      </c>
      <c r="T1825" s="885" t="s">
        <v>2444</v>
      </c>
      <c r="U1825" s="886">
        <v>2</v>
      </c>
      <c r="V1825" s="842" t="s">
        <v>3</v>
      </c>
      <c r="W1825" s="846">
        <v>114.76</v>
      </c>
      <c r="X1825" s="847">
        <f t="shared" si="354"/>
        <v>229.52</v>
      </c>
      <c r="Y1825" s="853" t="s">
        <v>6255</v>
      </c>
      <c r="Z1825" s="849">
        <v>57.38</v>
      </c>
      <c r="AA1825" s="849"/>
      <c r="AB1825" s="849">
        <f t="shared" si="344"/>
        <v>114.76</v>
      </c>
      <c r="AC1825" s="850">
        <f t="shared" si="345"/>
        <v>114.76</v>
      </c>
      <c r="AD1825" s="851">
        <f t="shared" si="355"/>
        <v>32000</v>
      </c>
      <c r="AE1825" s="852">
        <v>29816.25</v>
      </c>
      <c r="AF1825" s="853">
        <v>0.1</v>
      </c>
      <c r="AG1825" s="854">
        <f t="shared" si="346"/>
        <v>583641.21798821853</v>
      </c>
      <c r="AH1825" s="853">
        <v>0.08</v>
      </c>
      <c r="AI1825" s="855">
        <f t="shared" si="347"/>
        <v>320428.32543905749</v>
      </c>
      <c r="AJ1825" s="845" t="s">
        <v>6256</v>
      </c>
      <c r="AK1825" s="857">
        <v>45960</v>
      </c>
      <c r="AL1825" s="899" t="s">
        <v>6257</v>
      </c>
      <c r="AM1825" s="843"/>
      <c r="AN1825" s="844"/>
      <c r="AO1825" s="844" t="s">
        <v>6258</v>
      </c>
      <c r="AP1825" s="841"/>
      <c r="AQ1825" s="841">
        <v>45965</v>
      </c>
      <c r="AR1825" s="841">
        <v>45972</v>
      </c>
      <c r="AS1825" s="842"/>
      <c r="AT1825" s="842" t="s">
        <v>6259</v>
      </c>
      <c r="AU1825" s="842" t="s">
        <v>6258</v>
      </c>
      <c r="AV1825" s="845" t="s">
        <v>6260</v>
      </c>
      <c r="AW1825" s="861">
        <v>45972</v>
      </c>
      <c r="AX1825" s="862">
        <v>45973</v>
      </c>
      <c r="AY1825" s="843" t="s">
        <v>6261</v>
      </c>
      <c r="AZ1825" s="842">
        <v>94031000</v>
      </c>
      <c r="BA1825" s="842" t="s">
        <v>120</v>
      </c>
      <c r="BB1825" s="863" t="s">
        <v>4775</v>
      </c>
      <c r="BC1825" s="864">
        <v>45974</v>
      </c>
      <c r="BD1825" s="860" t="s">
        <v>6262</v>
      </c>
      <c r="BE1825" s="865" cm="1">
        <f t="array" ref="BE1825">IF(BD1825="","",AC1825/SUMPRODUCT(--(BD1825=$BD$4:$BD$12824),$AC$4:$AC$12824))</f>
        <v>0.51213852195644416</v>
      </c>
      <c r="BF1825" s="458"/>
      <c r="BG1825" s="458"/>
      <c r="BH1825" s="458"/>
      <c r="BI1825" s="458"/>
      <c r="BJ1825" s="458"/>
      <c r="BK1825" s="458"/>
      <c r="BL1825" s="458"/>
      <c r="BM1825" s="458"/>
      <c r="BN1825" s="458"/>
      <c r="BO1825" s="866">
        <f>VLOOKUP(BD1825,$BD$4:$BN$12824,3,0)*BE1825</f>
        <v>2414699.329882185</v>
      </c>
      <c r="BP1825" s="866"/>
      <c r="BQ1825" s="866"/>
      <c r="BR1825" s="866">
        <f>VLOOKUP(BD1825,$BD$4:$BN$12824,6,0)*BE1825</f>
        <v>0</v>
      </c>
      <c r="BS1825" s="866">
        <f>VLOOKUP(BD1825,$BD$4:$BN$12824,7,0)*BE1825</f>
        <v>0</v>
      </c>
      <c r="BT1825" s="866"/>
      <c r="BU1825" s="866">
        <f>VLOOKUP(BD1825,$BD$4:$BN$12824,9,0)*BE1825</f>
        <v>0</v>
      </c>
      <c r="BV1825" s="867"/>
      <c r="BW1825" s="867">
        <f>VLOOKUP(BD1825,$BD$4:$BN$12824,11,0)*BE1825</f>
        <v>0</v>
      </c>
      <c r="BX1825" s="1146">
        <f t="shared" si="348"/>
        <v>2414699.329882185</v>
      </c>
      <c r="BY1825" s="867">
        <f t="shared" si="350"/>
        <v>3210026.6989352019</v>
      </c>
      <c r="BZ1825" s="867">
        <f t="shared" si="349"/>
        <v>6420053.3978704037</v>
      </c>
      <c r="CA1825" s="867">
        <f>_xlfn.MAXIFS($BY$4:$BY$12824,$S$4:$S$12824,$S1825)</f>
        <v>3210026.6989352019</v>
      </c>
      <c r="CB1825" s="1032"/>
      <c r="CF1825" s="946">
        <f t="shared" si="352"/>
        <v>3672320</v>
      </c>
    </row>
    <row r="1826" spans="2:84">
      <c r="B1826" s="839" t="s">
        <v>98</v>
      </c>
      <c r="C1826" s="839" t="s">
        <v>273</v>
      </c>
      <c r="D1826" s="839" t="s">
        <v>6252</v>
      </c>
      <c r="E1826" s="839" t="s">
        <v>6263</v>
      </c>
      <c r="F1826" s="841">
        <v>45901</v>
      </c>
      <c r="G1826" s="868" t="s">
        <v>273</v>
      </c>
      <c r="H1826" s="842" t="s">
        <v>102</v>
      </c>
      <c r="I1826" s="883" t="s">
        <v>6264</v>
      </c>
      <c r="J1826" s="841">
        <v>45901</v>
      </c>
      <c r="K1826" s="841">
        <v>45992</v>
      </c>
      <c r="L1826" s="843" t="s">
        <v>106</v>
      </c>
      <c r="M1826" s="844" t="s">
        <v>275</v>
      </c>
      <c r="N1826" s="841"/>
      <c r="O1826" s="884" t="s">
        <v>150</v>
      </c>
      <c r="P1826" s="842" t="s">
        <v>124</v>
      </c>
      <c r="Q1826" s="843"/>
      <c r="R1826" s="845">
        <v>15523.24</v>
      </c>
      <c r="S1826" s="1128" t="s">
        <v>2441</v>
      </c>
      <c r="T1826" s="885" t="s">
        <v>2442</v>
      </c>
      <c r="U1826" s="886">
        <v>2</v>
      </c>
      <c r="V1826" s="842" t="s">
        <v>3</v>
      </c>
      <c r="W1826" s="846">
        <v>63.79</v>
      </c>
      <c r="X1826" s="847">
        <f t="shared" si="354"/>
        <v>127.58</v>
      </c>
      <c r="Y1826" s="853" t="s">
        <v>6255</v>
      </c>
      <c r="Z1826" s="849">
        <v>31.9</v>
      </c>
      <c r="AA1826" s="849"/>
      <c r="AB1826" s="849">
        <f t="shared" si="344"/>
        <v>63.8</v>
      </c>
      <c r="AC1826" s="850">
        <f t="shared" si="345"/>
        <v>63.8</v>
      </c>
      <c r="AD1826" s="851">
        <f t="shared" si="355"/>
        <v>32000</v>
      </c>
      <c r="AE1826" s="852">
        <v>29816.25</v>
      </c>
      <c r="AF1826" s="853">
        <v>0.1</v>
      </c>
      <c r="AG1826" s="854">
        <f t="shared" si="346"/>
        <v>324471.15465012495</v>
      </c>
      <c r="AH1826" s="853">
        <v>0.08</v>
      </c>
      <c r="AI1826" s="855">
        <f t="shared" si="347"/>
        <v>178139.83237200999</v>
      </c>
      <c r="AJ1826" s="845" t="s">
        <v>6256</v>
      </c>
      <c r="AK1826" s="857">
        <v>45960</v>
      </c>
      <c r="AL1826" s="899" t="s">
        <v>6257</v>
      </c>
      <c r="AM1826" s="843"/>
      <c r="AN1826" s="844"/>
      <c r="AO1826" s="844" t="s">
        <v>6258</v>
      </c>
      <c r="AP1826" s="841"/>
      <c r="AQ1826" s="841">
        <v>45965</v>
      </c>
      <c r="AR1826" s="841">
        <v>45972</v>
      </c>
      <c r="AS1826" s="842"/>
      <c r="AT1826" s="842" t="s">
        <v>6259</v>
      </c>
      <c r="AU1826" s="842" t="s">
        <v>6258</v>
      </c>
      <c r="AV1826" s="845" t="s">
        <v>6260</v>
      </c>
      <c r="AW1826" s="861">
        <v>45972</v>
      </c>
      <c r="AX1826" s="862">
        <v>45973</v>
      </c>
      <c r="AY1826" s="843" t="s">
        <v>6261</v>
      </c>
      <c r="AZ1826" s="842">
        <v>94031000</v>
      </c>
      <c r="BA1826" s="842" t="s">
        <v>120</v>
      </c>
      <c r="BB1826" s="863" t="s">
        <v>4775</v>
      </c>
      <c r="BC1826" s="864">
        <v>45974</v>
      </c>
      <c r="BD1826" s="860" t="s">
        <v>6262</v>
      </c>
      <c r="BE1826" s="865" cm="1">
        <f t="array" ref="BE1826">IF(BD1826="","",AC1826/SUMPRODUCT(--(BD1826=$BD$4:$BD$12824),$AC$4:$AC$12824))</f>
        <v>0.28471974294894681</v>
      </c>
      <c r="BF1826" s="458"/>
      <c r="BG1826" s="458"/>
      <c r="BH1826" s="458"/>
      <c r="BI1826" s="458"/>
      <c r="BJ1826" s="458"/>
      <c r="BK1826" s="458"/>
      <c r="BL1826" s="458"/>
      <c r="BM1826" s="458"/>
      <c r="BN1826" s="458"/>
      <c r="BO1826" s="866">
        <f>VLOOKUP(BD1826,$BD$4:$BN$12824,3,0)*BE1826</f>
        <v>1342434.7965012495</v>
      </c>
      <c r="BP1826" s="866"/>
      <c r="BQ1826" s="866"/>
      <c r="BR1826" s="866">
        <f>VLOOKUP(BD1826,$BD$4:$BN$12824,6,0)*BE1826</f>
        <v>0</v>
      </c>
      <c r="BS1826" s="866">
        <f>VLOOKUP(BD1826,$BD$4:$BN$12824,7,0)*BE1826</f>
        <v>0</v>
      </c>
      <c r="BT1826" s="866"/>
      <c r="BU1826" s="866">
        <f>VLOOKUP(BD1826,$BD$4:$BN$12824,9,0)*BE1826</f>
        <v>0</v>
      </c>
      <c r="BV1826" s="867"/>
      <c r="BW1826" s="867">
        <f>VLOOKUP(BD1826,$BD$4:$BN$12824,11,0)*BE1826</f>
        <v>0</v>
      </c>
      <c r="BX1826" s="1146">
        <f t="shared" si="348"/>
        <v>1342434.7965012495</v>
      </c>
      <c r="BY1826" s="867">
        <f t="shared" si="350"/>
        <v>1784591.3505756871</v>
      </c>
      <c r="BZ1826" s="867">
        <f t="shared" si="349"/>
        <v>3569182.7011513743</v>
      </c>
      <c r="CA1826" s="867">
        <f>_xlfn.MAXIFS($BY$4:$BY$12824,$S$4:$S$12824,$S1826)</f>
        <v>1784591.3505756871</v>
      </c>
      <c r="CB1826" s="1032"/>
      <c r="CF1826" s="946">
        <f t="shared" si="352"/>
        <v>2041600</v>
      </c>
    </row>
    <row r="1827" spans="2:84">
      <c r="B1827" s="839" t="s">
        <v>98</v>
      </c>
      <c r="C1827" s="839" t="s">
        <v>3454</v>
      </c>
      <c r="D1827" s="839" t="s">
        <v>6265</v>
      </c>
      <c r="E1827" s="839" t="s">
        <v>6265</v>
      </c>
      <c r="F1827" s="841">
        <v>45926</v>
      </c>
      <c r="G1827" s="868" t="s">
        <v>3456</v>
      </c>
      <c r="H1827" s="883" t="s">
        <v>102</v>
      </c>
      <c r="I1827" s="883" t="s">
        <v>6266</v>
      </c>
      <c r="J1827" s="841"/>
      <c r="K1827" s="841"/>
      <c r="L1827" s="843" t="s">
        <v>106</v>
      </c>
      <c r="M1827" s="844" t="s">
        <v>107</v>
      </c>
      <c r="N1827" s="841"/>
      <c r="O1827" s="884" t="s">
        <v>3459</v>
      </c>
      <c r="P1827" s="842" t="s">
        <v>3460</v>
      </c>
      <c r="Q1827" s="843"/>
      <c r="R1827" s="845" t="s">
        <v>6267</v>
      </c>
      <c r="S1827" s="1127" t="s">
        <v>6267</v>
      </c>
      <c r="T1827" s="885" t="s">
        <v>6268</v>
      </c>
      <c r="U1827" s="886">
        <v>5</v>
      </c>
      <c r="V1827" s="842" t="s">
        <v>8</v>
      </c>
      <c r="W1827" s="846">
        <v>12.8</v>
      </c>
      <c r="X1827" s="847">
        <f t="shared" si="354"/>
        <v>64</v>
      </c>
      <c r="Y1827" s="853">
        <v>0</v>
      </c>
      <c r="Z1827" s="849">
        <v>12.8</v>
      </c>
      <c r="AA1827" s="849"/>
      <c r="AB1827" s="849">
        <f t="shared" si="344"/>
        <v>64</v>
      </c>
      <c r="AC1827" s="850">
        <f t="shared" si="345"/>
        <v>64</v>
      </c>
      <c r="AD1827" s="851">
        <f t="shared" si="355"/>
        <v>27000</v>
      </c>
      <c r="AE1827" s="852">
        <v>26115</v>
      </c>
      <c r="AF1827" s="853">
        <v>0</v>
      </c>
      <c r="AG1827" s="854">
        <f t="shared" si="346"/>
        <v>0</v>
      </c>
      <c r="AH1827" s="853">
        <v>0.08</v>
      </c>
      <c r="AI1827" s="855">
        <f t="shared" si="347"/>
        <v>450184.8</v>
      </c>
      <c r="AJ1827" s="845" t="s">
        <v>6269</v>
      </c>
      <c r="AK1827" s="857">
        <v>45926</v>
      </c>
      <c r="AL1827" s="843" t="s">
        <v>6270</v>
      </c>
      <c r="AM1827" s="843" t="s">
        <v>6271</v>
      </c>
      <c r="AN1827" s="844" t="s">
        <v>3951</v>
      </c>
      <c r="AO1827" s="844" t="s">
        <v>141</v>
      </c>
      <c r="AP1827" s="841"/>
      <c r="AQ1827" s="841">
        <v>45969</v>
      </c>
      <c r="AR1827" s="841">
        <v>45973</v>
      </c>
      <c r="AS1827" s="842" t="s">
        <v>1581</v>
      </c>
      <c r="AT1827" s="842" t="s">
        <v>1235</v>
      </c>
      <c r="AU1827" s="842" t="s">
        <v>1565</v>
      </c>
      <c r="AV1827" s="845" t="s">
        <v>6272</v>
      </c>
      <c r="AW1827" s="861">
        <v>45972</v>
      </c>
      <c r="AX1827" s="862">
        <v>45973</v>
      </c>
      <c r="AY1827" s="843" t="s">
        <v>6273</v>
      </c>
      <c r="AZ1827" s="842">
        <v>94059950</v>
      </c>
      <c r="BA1827" s="842" t="s">
        <v>120</v>
      </c>
      <c r="BB1827" s="863" t="s">
        <v>4775</v>
      </c>
      <c r="BC1827" s="864">
        <v>45975</v>
      </c>
      <c r="BD1827" s="860" t="s">
        <v>6274</v>
      </c>
      <c r="BE1827" s="865" cm="1">
        <f t="array" ref="BE1827">IF(BD1827="","",AC1827/SUMPRODUCT(--(BD1827=$BD$4:$BD$12824),$AC$4:$AC$12824))</f>
        <v>3.1787026919638424E-2</v>
      </c>
      <c r="BF1827" s="458" cm="1">
        <f t="array" ref="BF1827">SUM(_xlfn._xlws.FILTER( INDEX(Cost!$B$3:$BK$77,MATCH(LDL!$BD1827, Cost!$F$3:$F$77, 0),0),Cost!$B$3:$BK$3 = BF$3))</f>
        <v>3955950</v>
      </c>
      <c r="BG1827" s="458"/>
      <c r="BH1827" s="458"/>
      <c r="BI1827" s="458" cm="1">
        <f t="array" ref="BI1827">SUM(_xlfn._xlws.FILTER( INDEX(Cost!$B$3:$BK$77,MATCH(LDL!$BD1827, Cost!$F$3:$F$77, 0),0),Cost!$B$3:$BK$3 = BI$3))/1.08</f>
        <v>1977974.9999999998</v>
      </c>
      <c r="BJ1827" s="458" cm="1">
        <f t="array" ref="BJ1827">SUM(_xlfn._xlws.FILTER( INDEX(Cost!$B$3:$BK$77,MATCH(LDL!$BD1827, Cost!$F$3:$F$77, 0),0),Cost!$B$3:$BK$3 = BJ$3))</f>
        <v>0</v>
      </c>
      <c r="BK1827" s="458"/>
      <c r="BL1827" s="458" cm="1">
        <f t="array" ref="BL1827">SUM(_xlfn._xlws.FILTER( INDEX(Cost!$B$3:$BK$77,MATCH(LDL!$BD1827, Cost!$F$3:$F$77, 0),0),Cost!$B$3:$BK$3 = BL$3))</f>
        <v>21785</v>
      </c>
      <c r="BM1827" s="458"/>
      <c r="BN1827" s="458" cm="1">
        <f t="array" ref="BN1827">SUM(_xlfn._xlws.FILTER( INDEX(Cost!$B$3:$BK$77,MATCH(LDL!$BD1827, Cost!$F$3:$F$77, 0),0),Cost!$B$3:$BK$3 = BN$3))/1.08</f>
        <v>1200000</v>
      </c>
      <c r="BO1827" s="866">
        <f>VLOOKUP(BD1827,$BD$4:$BN$12824,3,0)*BE1827</f>
        <v>125747.88914274362</v>
      </c>
      <c r="BP1827" s="866"/>
      <c r="BQ1827" s="866"/>
      <c r="BR1827" s="866">
        <f>VLOOKUP(BD1827,$BD$4:$BN$12824,6,0)*BE1827</f>
        <v>62873.944571371801</v>
      </c>
      <c r="BS1827" s="866">
        <f>VLOOKUP(BD1827,$BD$4:$BN$12824,7,0)*BE1827</f>
        <v>0</v>
      </c>
      <c r="BT1827" s="866"/>
      <c r="BU1827" s="866">
        <f>VLOOKUP(BD1827,$BD$4:$BN$12824,9,0)*BE1827</f>
        <v>692.48038144432303</v>
      </c>
      <c r="BV1827" s="867"/>
      <c r="BW1827" s="867">
        <f>VLOOKUP(BD1827,$BD$4:$BN$12824,11,0)*BE1827</f>
        <v>38144.432303566107</v>
      </c>
      <c r="BX1827" s="1146">
        <f t="shared" si="348"/>
        <v>227458.74639912587</v>
      </c>
      <c r="BY1827" s="867">
        <f t="shared" si="350"/>
        <v>379763.74927982513</v>
      </c>
      <c r="BZ1827" s="867">
        <f t="shared" si="349"/>
        <v>1898818.7463991255</v>
      </c>
      <c r="CA1827" s="867">
        <f>_xlfn.MAXIFS($BY$4:$BY$12824,$S$4:$S$12824,$S1827)</f>
        <v>379763.74927982513</v>
      </c>
      <c r="CB1827" s="1032"/>
      <c r="CF1827" s="946">
        <f t="shared" ref="CF1827:CF1832" si="356">AC1827*AE1827</f>
        <v>1671360</v>
      </c>
    </row>
    <row r="1828" spans="2:84">
      <c r="B1828" s="839" t="s">
        <v>98</v>
      </c>
      <c r="C1828" s="839" t="s">
        <v>3454</v>
      </c>
      <c r="D1828" s="839" t="s">
        <v>6265</v>
      </c>
      <c r="E1828" s="839" t="s">
        <v>6265</v>
      </c>
      <c r="F1828" s="841">
        <v>45926</v>
      </c>
      <c r="G1828" s="868" t="s">
        <v>3456</v>
      </c>
      <c r="H1828" s="883" t="s">
        <v>102</v>
      </c>
      <c r="I1828" s="883" t="s">
        <v>6266</v>
      </c>
      <c r="J1828" s="841"/>
      <c r="K1828" s="841"/>
      <c r="L1828" s="843" t="s">
        <v>106</v>
      </c>
      <c r="M1828" s="844" t="s">
        <v>107</v>
      </c>
      <c r="N1828" s="841"/>
      <c r="O1828" s="884" t="s">
        <v>3459</v>
      </c>
      <c r="P1828" s="842" t="s">
        <v>3460</v>
      </c>
      <c r="Q1828" s="843"/>
      <c r="R1828" s="845" t="s">
        <v>6275</v>
      </c>
      <c r="S1828" s="1127" t="s">
        <v>6275</v>
      </c>
      <c r="T1828" s="885" t="s">
        <v>6276</v>
      </c>
      <c r="U1828" s="886">
        <v>7</v>
      </c>
      <c r="V1828" s="842" t="s">
        <v>8</v>
      </c>
      <c r="W1828" s="846">
        <v>12.1</v>
      </c>
      <c r="X1828" s="847">
        <f t="shared" si="354"/>
        <v>84.7</v>
      </c>
      <c r="Y1828" s="853">
        <v>0</v>
      </c>
      <c r="Z1828" s="849">
        <v>12.1</v>
      </c>
      <c r="AA1828" s="849"/>
      <c r="AB1828" s="849">
        <f t="shared" si="344"/>
        <v>84.7</v>
      </c>
      <c r="AC1828" s="850">
        <f t="shared" si="345"/>
        <v>84.7</v>
      </c>
      <c r="AD1828" s="851">
        <f t="shared" si="355"/>
        <v>27000</v>
      </c>
      <c r="AE1828" s="852">
        <v>26115</v>
      </c>
      <c r="AF1828" s="853">
        <v>0</v>
      </c>
      <c r="AG1828" s="854">
        <f t="shared" si="346"/>
        <v>0</v>
      </c>
      <c r="AH1828" s="853">
        <v>0.08</v>
      </c>
      <c r="AI1828" s="855">
        <f t="shared" si="347"/>
        <v>176955.24</v>
      </c>
      <c r="AJ1828" s="845" t="s">
        <v>6269</v>
      </c>
      <c r="AK1828" s="857">
        <v>45926</v>
      </c>
      <c r="AL1828" s="843" t="s">
        <v>6270</v>
      </c>
      <c r="AM1828" s="843" t="s">
        <v>6271</v>
      </c>
      <c r="AN1828" s="844" t="s">
        <v>3951</v>
      </c>
      <c r="AO1828" s="844" t="s">
        <v>141</v>
      </c>
      <c r="AP1828" s="841"/>
      <c r="AQ1828" s="841">
        <v>45969</v>
      </c>
      <c r="AR1828" s="841">
        <v>45973</v>
      </c>
      <c r="AS1828" s="842" t="s">
        <v>1581</v>
      </c>
      <c r="AT1828" s="842" t="s">
        <v>1235</v>
      </c>
      <c r="AU1828" s="842" t="s">
        <v>1565</v>
      </c>
      <c r="AV1828" s="845" t="s">
        <v>6272</v>
      </c>
      <c r="AW1828" s="861">
        <v>45972</v>
      </c>
      <c r="AX1828" s="862">
        <v>45973</v>
      </c>
      <c r="AY1828" s="843" t="s">
        <v>6277</v>
      </c>
      <c r="AZ1828" s="842">
        <v>94059950</v>
      </c>
      <c r="BA1828" s="842" t="s">
        <v>120</v>
      </c>
      <c r="BB1828" s="863" t="s">
        <v>4775</v>
      </c>
      <c r="BC1828" s="864">
        <v>45975</v>
      </c>
      <c r="BD1828" s="860" t="s">
        <v>6274</v>
      </c>
      <c r="BE1828" s="865" cm="1">
        <f t="array" ref="BE1828">IF(BD1828="","",AC1828/SUMPRODUCT(--(BD1828=$BD$4:$BD$12824),$AC$4:$AC$12824))</f>
        <v>4.2068143438958976E-2</v>
      </c>
      <c r="BF1828" s="458"/>
      <c r="BG1828" s="458"/>
      <c r="BH1828" s="458"/>
      <c r="BI1828" s="458"/>
      <c r="BJ1828" s="458"/>
      <c r="BK1828" s="458"/>
      <c r="BL1828" s="458"/>
      <c r="BM1828" s="458"/>
      <c r="BN1828" s="458"/>
      <c r="BO1828" s="866">
        <f>VLOOKUP(BD1828,$BD$4:$BN$12824,3,0)*BE1828</f>
        <v>166419.47203734977</v>
      </c>
      <c r="BP1828" s="866"/>
      <c r="BQ1828" s="866"/>
      <c r="BR1828" s="866">
        <f>VLOOKUP(BD1828,$BD$4:$BN$12824,6,0)*BE1828</f>
        <v>83209.73601867487</v>
      </c>
      <c r="BS1828" s="866">
        <f>VLOOKUP(BD1828,$BD$4:$BN$12824,7,0)*BE1828</f>
        <v>0</v>
      </c>
      <c r="BT1828" s="866"/>
      <c r="BU1828" s="866">
        <f>VLOOKUP(BD1828,$BD$4:$BN$12824,9,0)*BE1828</f>
        <v>916.45450481772127</v>
      </c>
      <c r="BV1828" s="867"/>
      <c r="BW1828" s="867">
        <f>VLOOKUP(BD1828,$BD$4:$BN$12824,11,0)*BE1828</f>
        <v>50481.772126750773</v>
      </c>
      <c r="BX1828" s="1146">
        <f t="shared" si="348"/>
        <v>301027.43468759314</v>
      </c>
      <c r="BY1828" s="867">
        <f t="shared" si="350"/>
        <v>358995.41924108472</v>
      </c>
      <c r="BZ1828" s="867">
        <f t="shared" si="349"/>
        <v>2512967.934687593</v>
      </c>
      <c r="CA1828" s="867">
        <f>_xlfn.MAXIFS($BY$4:$BY$12824,$S$4:$S$12824,$S1828)</f>
        <v>358995.41924108472</v>
      </c>
      <c r="CB1828" s="1032"/>
      <c r="CF1828" s="946">
        <f t="shared" si="356"/>
        <v>2211940.5</v>
      </c>
    </row>
    <row r="1829" spans="2:84">
      <c r="B1829" s="839" t="s">
        <v>98</v>
      </c>
      <c r="C1829" s="839" t="s">
        <v>3454</v>
      </c>
      <c r="D1829" s="839" t="s">
        <v>6265</v>
      </c>
      <c r="E1829" s="839" t="s">
        <v>6265</v>
      </c>
      <c r="F1829" s="841">
        <v>45926</v>
      </c>
      <c r="G1829" s="868" t="s">
        <v>3456</v>
      </c>
      <c r="H1829" s="883" t="s">
        <v>102</v>
      </c>
      <c r="I1829" s="883" t="s">
        <v>6266</v>
      </c>
      <c r="J1829" s="841"/>
      <c r="K1829" s="841"/>
      <c r="L1829" s="843" t="s">
        <v>106</v>
      </c>
      <c r="M1829" s="844" t="s">
        <v>107</v>
      </c>
      <c r="N1829" s="841"/>
      <c r="O1829" s="884" t="s">
        <v>3459</v>
      </c>
      <c r="P1829" s="842" t="s">
        <v>3460</v>
      </c>
      <c r="Q1829" s="843"/>
      <c r="R1829" s="845" t="s">
        <v>6278</v>
      </c>
      <c r="S1829" s="1127" t="s">
        <v>6278</v>
      </c>
      <c r="T1829" s="885" t="s">
        <v>6279</v>
      </c>
      <c r="U1829" s="886">
        <v>71</v>
      </c>
      <c r="V1829" s="842" t="s">
        <v>8</v>
      </c>
      <c r="W1829" s="846">
        <v>22.1</v>
      </c>
      <c r="X1829" s="847">
        <f t="shared" si="354"/>
        <v>1569.1000000000001</v>
      </c>
      <c r="Y1829" s="853">
        <v>0</v>
      </c>
      <c r="Z1829" s="849">
        <v>22.1</v>
      </c>
      <c r="AA1829" s="849"/>
      <c r="AB1829" s="849">
        <f t="shared" si="344"/>
        <v>1569.1000000000001</v>
      </c>
      <c r="AC1829" s="850">
        <f t="shared" si="345"/>
        <v>1569.1000000000001</v>
      </c>
      <c r="AD1829" s="851">
        <f t="shared" si="355"/>
        <v>27000</v>
      </c>
      <c r="AE1829" s="852">
        <v>26115</v>
      </c>
      <c r="AF1829" s="853">
        <v>0</v>
      </c>
      <c r="AG1829" s="854">
        <f t="shared" si="346"/>
        <v>0</v>
      </c>
      <c r="AH1829" s="853">
        <v>0.08</v>
      </c>
      <c r="AI1829" s="855">
        <f t="shared" si="347"/>
        <v>3278163.72</v>
      </c>
      <c r="AJ1829" s="845" t="s">
        <v>6269</v>
      </c>
      <c r="AK1829" s="857">
        <v>45926</v>
      </c>
      <c r="AL1829" s="843" t="s">
        <v>6270</v>
      </c>
      <c r="AM1829" s="843" t="s">
        <v>6271</v>
      </c>
      <c r="AN1829" s="844" t="s">
        <v>3951</v>
      </c>
      <c r="AO1829" s="844" t="s">
        <v>141</v>
      </c>
      <c r="AP1829" s="841"/>
      <c r="AQ1829" s="841">
        <v>45969</v>
      </c>
      <c r="AR1829" s="841">
        <v>45973</v>
      </c>
      <c r="AS1829" s="842" t="s">
        <v>1581</v>
      </c>
      <c r="AT1829" s="842" t="s">
        <v>1235</v>
      </c>
      <c r="AU1829" s="842" t="s">
        <v>1565</v>
      </c>
      <c r="AV1829" s="845" t="s">
        <v>6272</v>
      </c>
      <c r="AW1829" s="861">
        <v>45972</v>
      </c>
      <c r="AX1829" s="862">
        <v>45973</v>
      </c>
      <c r="AY1829" s="843" t="s">
        <v>6280</v>
      </c>
      <c r="AZ1829" s="842">
        <v>94059950</v>
      </c>
      <c r="BA1829" s="842" t="s">
        <v>120</v>
      </c>
      <c r="BB1829" s="863" t="s">
        <v>4775</v>
      </c>
      <c r="BC1829" s="864">
        <v>45975</v>
      </c>
      <c r="BD1829" s="860" t="s">
        <v>6274</v>
      </c>
      <c r="BE1829" s="865" cm="1">
        <f t="array" ref="BE1829">IF(BD1829="","",AC1829/SUMPRODUCT(--(BD1829=$BD$4:$BD$12824),$AC$4:$AC$12824))</f>
        <v>0.77932849905632262</v>
      </c>
      <c r="BF1829" s="458"/>
      <c r="BG1829" s="458"/>
      <c r="BH1829" s="458"/>
      <c r="BI1829" s="458"/>
      <c r="BJ1829" s="458"/>
      <c r="BK1829" s="458"/>
      <c r="BL1829" s="458"/>
      <c r="BM1829" s="458"/>
      <c r="BN1829" s="458"/>
      <c r="BO1829" s="866">
        <f>VLOOKUP(BD1829,$BD$4:$BN$12824,3,0)*BE1829</f>
        <v>3082984.5758418594</v>
      </c>
      <c r="BP1829" s="866"/>
      <c r="BQ1829" s="866"/>
      <c r="BR1829" s="866">
        <f>VLOOKUP(BD1829,$BD$4:$BN$12824,6,0)*BE1829</f>
        <v>1541492.2879209295</v>
      </c>
      <c r="BS1829" s="866">
        <f>VLOOKUP(BD1829,$BD$4:$BN$12824,7,0)*BE1829</f>
        <v>0</v>
      </c>
      <c r="BT1829" s="866"/>
      <c r="BU1829" s="866">
        <f>VLOOKUP(BD1829,$BD$4:$BN$12824,9,0)*BE1829</f>
        <v>16977.67135194199</v>
      </c>
      <c r="BV1829" s="867"/>
      <c r="BW1829" s="867">
        <f>VLOOKUP(BD1829,$BD$4:$BN$12824,11,0)*BE1829</f>
        <v>935194.19886758714</v>
      </c>
      <c r="BX1829" s="1146">
        <f t="shared" si="348"/>
        <v>5576648.7339823181</v>
      </c>
      <c r="BY1829" s="867">
        <f t="shared" si="350"/>
        <v>655685.84836594819</v>
      </c>
      <c r="BZ1829" s="867">
        <f t="shared" si="349"/>
        <v>46553695.233982325</v>
      </c>
      <c r="CA1829" s="867">
        <f>_xlfn.MAXIFS($BY$4:$BY$12824,$S$4:$S$12824,$S1829)</f>
        <v>655685.84836594819</v>
      </c>
      <c r="CB1829" s="1032"/>
      <c r="CF1829" s="946">
        <f t="shared" si="356"/>
        <v>40977046.5</v>
      </c>
    </row>
    <row r="1830" spans="2:84">
      <c r="B1830" s="839" t="s">
        <v>98</v>
      </c>
      <c r="C1830" s="839" t="s">
        <v>3454</v>
      </c>
      <c r="D1830" s="839" t="s">
        <v>6265</v>
      </c>
      <c r="E1830" s="839" t="s">
        <v>6265</v>
      </c>
      <c r="F1830" s="841">
        <v>45926</v>
      </c>
      <c r="G1830" s="868" t="s">
        <v>3482</v>
      </c>
      <c r="H1830" s="883" t="s">
        <v>102</v>
      </c>
      <c r="I1830" s="883" t="s">
        <v>6266</v>
      </c>
      <c r="J1830" s="841"/>
      <c r="K1830" s="841"/>
      <c r="L1830" s="843" t="s">
        <v>106</v>
      </c>
      <c r="M1830" s="844" t="s">
        <v>107</v>
      </c>
      <c r="N1830" s="841"/>
      <c r="O1830" s="884" t="s">
        <v>3459</v>
      </c>
      <c r="P1830" s="842" t="s">
        <v>124</v>
      </c>
      <c r="Q1830" s="843"/>
      <c r="R1830" s="845" t="s">
        <v>6281</v>
      </c>
      <c r="S1830" s="1127" t="s">
        <v>6282</v>
      </c>
      <c r="T1830" s="885" t="s">
        <v>6283</v>
      </c>
      <c r="U1830" s="886">
        <v>2</v>
      </c>
      <c r="V1830" s="842" t="s">
        <v>8</v>
      </c>
      <c r="W1830" s="846">
        <v>42.9</v>
      </c>
      <c r="X1830" s="847">
        <f t="shared" si="354"/>
        <v>85.8</v>
      </c>
      <c r="Y1830" s="853">
        <v>0</v>
      </c>
      <c r="Z1830" s="849">
        <v>42.9</v>
      </c>
      <c r="AA1830" s="849"/>
      <c r="AB1830" s="849">
        <f t="shared" si="344"/>
        <v>85.8</v>
      </c>
      <c r="AC1830" s="850">
        <f t="shared" si="345"/>
        <v>85.8</v>
      </c>
      <c r="AD1830" s="851">
        <f t="shared" si="355"/>
        <v>27000</v>
      </c>
      <c r="AE1830" s="852">
        <v>26115</v>
      </c>
      <c r="AF1830" s="853">
        <v>0</v>
      </c>
      <c r="AG1830" s="854">
        <f t="shared" si="346"/>
        <v>0</v>
      </c>
      <c r="AH1830" s="853">
        <v>0.08</v>
      </c>
      <c r="AI1830" s="855">
        <f t="shared" si="347"/>
        <v>179253.36000000002</v>
      </c>
      <c r="AJ1830" s="845" t="s">
        <v>6269</v>
      </c>
      <c r="AK1830" s="857">
        <v>45926</v>
      </c>
      <c r="AL1830" s="843" t="s">
        <v>6270</v>
      </c>
      <c r="AM1830" s="843" t="s">
        <v>6271</v>
      </c>
      <c r="AN1830" s="844" t="s">
        <v>3951</v>
      </c>
      <c r="AO1830" s="844" t="s">
        <v>141</v>
      </c>
      <c r="AP1830" s="841"/>
      <c r="AQ1830" s="841">
        <v>45969</v>
      </c>
      <c r="AR1830" s="841">
        <v>45973</v>
      </c>
      <c r="AS1830" s="842" t="s">
        <v>1581</v>
      </c>
      <c r="AT1830" s="842" t="s">
        <v>1235</v>
      </c>
      <c r="AU1830" s="842" t="s">
        <v>1565</v>
      </c>
      <c r="AV1830" s="845" t="s">
        <v>6272</v>
      </c>
      <c r="AW1830" s="861">
        <v>45972</v>
      </c>
      <c r="AX1830" s="862">
        <v>45973</v>
      </c>
      <c r="AY1830" s="843" t="s">
        <v>6284</v>
      </c>
      <c r="AZ1830" s="842">
        <v>85371019</v>
      </c>
      <c r="BA1830" s="842" t="s">
        <v>120</v>
      </c>
      <c r="BB1830" s="863" t="s">
        <v>4775</v>
      </c>
      <c r="BC1830" s="864">
        <v>45975</v>
      </c>
      <c r="BD1830" s="860" t="s">
        <v>6274</v>
      </c>
      <c r="BE1830" s="865" cm="1">
        <f t="array" ref="BE1830">IF(BD1830="","",AC1830/SUMPRODUCT(--(BD1830=$BD$4:$BD$12824),$AC$4:$AC$12824))</f>
        <v>4.2614482964140256E-2</v>
      </c>
      <c r="BF1830" s="458"/>
      <c r="BG1830" s="458"/>
      <c r="BH1830" s="458"/>
      <c r="BI1830" s="458"/>
      <c r="BJ1830" s="458"/>
      <c r="BK1830" s="458"/>
      <c r="BL1830" s="458"/>
      <c r="BM1830" s="458"/>
      <c r="BN1830" s="458"/>
      <c r="BO1830" s="866">
        <f>VLOOKUP(BD1830,$BD$4:$BN$12824,3,0)*BE1830</f>
        <v>168580.76388199066</v>
      </c>
      <c r="BP1830" s="866"/>
      <c r="BQ1830" s="866"/>
      <c r="BR1830" s="866">
        <f>VLOOKUP(BD1830,$BD$4:$BN$12824,6,0)*BE1830</f>
        <v>84290.381940995314</v>
      </c>
      <c r="BS1830" s="866">
        <f>VLOOKUP(BD1830,$BD$4:$BN$12824,7,0)*BE1830</f>
        <v>0</v>
      </c>
      <c r="BT1830" s="866"/>
      <c r="BU1830" s="866">
        <f>VLOOKUP(BD1830,$BD$4:$BN$12824,9,0)*BE1830</f>
        <v>928.35651137379546</v>
      </c>
      <c r="BV1830" s="867"/>
      <c r="BW1830" s="867">
        <f>VLOOKUP(BD1830,$BD$4:$BN$12824,11,0)*BE1830</f>
        <v>51137.379556968306</v>
      </c>
      <c r="BX1830" s="1146">
        <f t="shared" si="348"/>
        <v>304936.88189132808</v>
      </c>
      <c r="BY1830" s="867">
        <f t="shared" si="350"/>
        <v>1272801.940945664</v>
      </c>
      <c r="BZ1830" s="867">
        <f t="shared" si="349"/>
        <v>2545603.8818913279</v>
      </c>
      <c r="CA1830" s="867">
        <f>_xlfn.MAXIFS($BY$4:$BY$12824,$S$4:$S$12824,$S1830)</f>
        <v>1272801.940945664</v>
      </c>
      <c r="CB1830" s="1032"/>
      <c r="CF1830" s="946">
        <f t="shared" si="356"/>
        <v>2240667</v>
      </c>
    </row>
    <row r="1831" spans="2:84">
      <c r="B1831" s="839" t="s">
        <v>98</v>
      </c>
      <c r="C1831" s="839" t="s">
        <v>3454</v>
      </c>
      <c r="D1831" s="839" t="s">
        <v>6265</v>
      </c>
      <c r="E1831" s="839" t="s">
        <v>6265</v>
      </c>
      <c r="F1831" s="841">
        <v>45926</v>
      </c>
      <c r="G1831" s="868" t="s">
        <v>3482</v>
      </c>
      <c r="H1831" s="883" t="s">
        <v>102</v>
      </c>
      <c r="I1831" s="883" t="s">
        <v>6266</v>
      </c>
      <c r="J1831" s="841"/>
      <c r="K1831" s="841"/>
      <c r="L1831" s="843" t="s">
        <v>106</v>
      </c>
      <c r="M1831" s="844" t="s">
        <v>107</v>
      </c>
      <c r="N1831" s="841"/>
      <c r="O1831" s="884" t="s">
        <v>3459</v>
      </c>
      <c r="P1831" s="842" t="s">
        <v>124</v>
      </c>
      <c r="Q1831" s="843"/>
      <c r="R1831" s="845" t="s">
        <v>6285</v>
      </c>
      <c r="S1831" s="1127" t="s">
        <v>6285</v>
      </c>
      <c r="T1831" s="885" t="s">
        <v>6286</v>
      </c>
      <c r="U1831" s="886">
        <v>3</v>
      </c>
      <c r="V1831" s="842" t="s">
        <v>8</v>
      </c>
      <c r="W1831" s="846">
        <v>48</v>
      </c>
      <c r="X1831" s="847">
        <f t="shared" si="354"/>
        <v>144</v>
      </c>
      <c r="Y1831" s="853">
        <v>0</v>
      </c>
      <c r="Z1831" s="849">
        <v>48</v>
      </c>
      <c r="AA1831" s="849"/>
      <c r="AB1831" s="849">
        <f t="shared" si="344"/>
        <v>144</v>
      </c>
      <c r="AC1831" s="850">
        <f t="shared" si="345"/>
        <v>144</v>
      </c>
      <c r="AD1831" s="851">
        <f t="shared" si="355"/>
        <v>27000</v>
      </c>
      <c r="AE1831" s="852">
        <v>26115</v>
      </c>
      <c r="AF1831" s="853">
        <v>0</v>
      </c>
      <c r="AG1831" s="854">
        <f t="shared" si="346"/>
        <v>0</v>
      </c>
      <c r="AH1831" s="853">
        <v>0.08</v>
      </c>
      <c r="AI1831" s="855">
        <f t="shared" si="347"/>
        <v>300844.79999999999</v>
      </c>
      <c r="AJ1831" s="845" t="s">
        <v>6269</v>
      </c>
      <c r="AK1831" s="857">
        <v>45926</v>
      </c>
      <c r="AL1831" s="843" t="s">
        <v>6270</v>
      </c>
      <c r="AM1831" s="843" t="s">
        <v>6271</v>
      </c>
      <c r="AN1831" s="844" t="s">
        <v>3951</v>
      </c>
      <c r="AO1831" s="844" t="s">
        <v>141</v>
      </c>
      <c r="AP1831" s="841"/>
      <c r="AQ1831" s="841">
        <v>45969</v>
      </c>
      <c r="AR1831" s="841">
        <v>45973</v>
      </c>
      <c r="AS1831" s="842" t="s">
        <v>1581</v>
      </c>
      <c r="AT1831" s="842" t="s">
        <v>1235</v>
      </c>
      <c r="AU1831" s="842" t="s">
        <v>1565</v>
      </c>
      <c r="AV1831" s="845" t="s">
        <v>6272</v>
      </c>
      <c r="AW1831" s="861">
        <v>45972</v>
      </c>
      <c r="AX1831" s="862">
        <v>45973</v>
      </c>
      <c r="AY1831" s="843" t="s">
        <v>6287</v>
      </c>
      <c r="AZ1831" s="842">
        <v>85371019</v>
      </c>
      <c r="BA1831" s="842" t="s">
        <v>120</v>
      </c>
      <c r="BB1831" s="863" t="s">
        <v>4775</v>
      </c>
      <c r="BC1831" s="864">
        <v>45975</v>
      </c>
      <c r="BD1831" s="860" t="s">
        <v>6274</v>
      </c>
      <c r="BE1831" s="865" cm="1">
        <f t="array" ref="BE1831">IF(BD1831="","",AC1831/SUMPRODUCT(--(BD1831=$BD$4:$BD$12824),$AC$4:$AC$12824))</f>
        <v>7.1520810569186452E-2</v>
      </c>
      <c r="BF1831" s="458"/>
      <c r="BG1831" s="458"/>
      <c r="BH1831" s="458"/>
      <c r="BI1831" s="458"/>
      <c r="BJ1831" s="458"/>
      <c r="BK1831" s="458"/>
      <c r="BL1831" s="458"/>
      <c r="BM1831" s="458"/>
      <c r="BN1831" s="458"/>
      <c r="BO1831" s="866">
        <f>VLOOKUP(BD1831,$BD$4:$BN$12824,3,0)*BE1831</f>
        <v>282932.75057117315</v>
      </c>
      <c r="BP1831" s="866"/>
      <c r="BQ1831" s="866"/>
      <c r="BR1831" s="866">
        <f>VLOOKUP(BD1831,$BD$4:$BN$12824,6,0)*BE1831</f>
        <v>141466.37528558655</v>
      </c>
      <c r="BS1831" s="866">
        <f>VLOOKUP(BD1831,$BD$4:$BN$12824,7,0)*BE1831</f>
        <v>0</v>
      </c>
      <c r="BT1831" s="866"/>
      <c r="BU1831" s="866">
        <f>VLOOKUP(BD1831,$BD$4:$BN$12824,9,0)*BE1831</f>
        <v>1558.0808582497268</v>
      </c>
      <c r="BV1831" s="867"/>
      <c r="BW1831" s="867">
        <f>VLOOKUP(BD1831,$BD$4:$BN$12824,11,0)*BE1831</f>
        <v>85824.972683023749</v>
      </c>
      <c r="BX1831" s="1146">
        <f t="shared" si="348"/>
        <v>511782.17939803319</v>
      </c>
      <c r="BY1831" s="867">
        <f t="shared" si="350"/>
        <v>1424114.0597993443</v>
      </c>
      <c r="BZ1831" s="867">
        <f t="shared" si="349"/>
        <v>4272342.1793980328</v>
      </c>
      <c r="CA1831" s="867">
        <f>_xlfn.MAXIFS($BY$4:$BY$12824,$S$4:$S$12824,$S1831)</f>
        <v>1424114.0597993443</v>
      </c>
      <c r="CB1831" s="1032"/>
      <c r="CF1831" s="946">
        <f t="shared" si="356"/>
        <v>3760560</v>
      </c>
    </row>
    <row r="1832" spans="2:84">
      <c r="B1832" s="839" t="s">
        <v>98</v>
      </c>
      <c r="C1832" s="839" t="s">
        <v>3454</v>
      </c>
      <c r="D1832" s="839" t="s">
        <v>6265</v>
      </c>
      <c r="E1832" s="839" t="s">
        <v>6265</v>
      </c>
      <c r="F1832" s="841">
        <v>45926</v>
      </c>
      <c r="G1832" s="868" t="s">
        <v>3456</v>
      </c>
      <c r="H1832" s="883" t="s">
        <v>102</v>
      </c>
      <c r="I1832" s="883" t="s">
        <v>6266</v>
      </c>
      <c r="J1832" s="841"/>
      <c r="K1832" s="841"/>
      <c r="L1832" s="843" t="s">
        <v>106</v>
      </c>
      <c r="M1832" s="844" t="s">
        <v>107</v>
      </c>
      <c r="N1832" s="841"/>
      <c r="O1832" s="884" t="s">
        <v>3459</v>
      </c>
      <c r="P1832" s="842" t="s">
        <v>124</v>
      </c>
      <c r="Q1832" s="843"/>
      <c r="R1832" s="845" t="s">
        <v>5459</v>
      </c>
      <c r="S1832" s="1127" t="s">
        <v>5459</v>
      </c>
      <c r="T1832" s="885" t="s">
        <v>6288</v>
      </c>
      <c r="U1832" s="886">
        <v>14</v>
      </c>
      <c r="V1832" s="842" t="s">
        <v>8</v>
      </c>
      <c r="W1832" s="846">
        <v>4.7</v>
      </c>
      <c r="X1832" s="847">
        <f t="shared" si="354"/>
        <v>65.8</v>
      </c>
      <c r="Y1832" s="853">
        <v>0</v>
      </c>
      <c r="Z1832" s="849">
        <v>4.7</v>
      </c>
      <c r="AA1832" s="849"/>
      <c r="AB1832" s="849">
        <f t="shared" si="344"/>
        <v>65.8</v>
      </c>
      <c r="AC1832" s="850">
        <f t="shared" si="345"/>
        <v>65.8</v>
      </c>
      <c r="AD1832" s="851">
        <f t="shared" si="355"/>
        <v>27000</v>
      </c>
      <c r="AE1832" s="852">
        <v>26115</v>
      </c>
      <c r="AF1832" s="853">
        <v>0</v>
      </c>
      <c r="AG1832" s="854">
        <f t="shared" si="346"/>
        <v>0</v>
      </c>
      <c r="AH1832" s="853">
        <v>0.08</v>
      </c>
      <c r="AI1832" s="855">
        <f t="shared" si="347"/>
        <v>137469.36000000002</v>
      </c>
      <c r="AJ1832" s="845" t="s">
        <v>6269</v>
      </c>
      <c r="AK1832" s="857">
        <v>45926</v>
      </c>
      <c r="AL1832" s="843" t="s">
        <v>6270</v>
      </c>
      <c r="AM1832" s="843" t="s">
        <v>6271</v>
      </c>
      <c r="AN1832" s="844" t="s">
        <v>3951</v>
      </c>
      <c r="AO1832" s="844" t="s">
        <v>141</v>
      </c>
      <c r="AP1832" s="841"/>
      <c r="AQ1832" s="841">
        <v>45969</v>
      </c>
      <c r="AR1832" s="841">
        <v>45973</v>
      </c>
      <c r="AS1832" s="842" t="s">
        <v>1581</v>
      </c>
      <c r="AT1832" s="842" t="s">
        <v>1235</v>
      </c>
      <c r="AU1832" s="842" t="s">
        <v>1565</v>
      </c>
      <c r="AV1832" s="845" t="s">
        <v>6272</v>
      </c>
      <c r="AW1832" s="861">
        <v>45972</v>
      </c>
      <c r="AX1832" s="862">
        <v>45973</v>
      </c>
      <c r="AY1832" s="843" t="s">
        <v>5461</v>
      </c>
      <c r="AZ1832" s="842">
        <v>85044030</v>
      </c>
      <c r="BA1832" s="842" t="s">
        <v>120</v>
      </c>
      <c r="BB1832" s="863" t="s">
        <v>4775</v>
      </c>
      <c r="BC1832" s="864">
        <v>45975</v>
      </c>
      <c r="BD1832" s="860" t="s">
        <v>6274</v>
      </c>
      <c r="BE1832" s="865" cm="1">
        <f t="array" ref="BE1832">IF(BD1832="","",AC1832/SUMPRODUCT(--(BD1832=$BD$4:$BD$12824),$AC$4:$AC$12824))</f>
        <v>3.2681037051753251E-2</v>
      </c>
      <c r="BF1832" s="458"/>
      <c r="BG1832" s="458"/>
      <c r="BH1832" s="458"/>
      <c r="BI1832" s="458"/>
      <c r="BJ1832" s="458"/>
      <c r="BK1832" s="458"/>
      <c r="BL1832" s="458"/>
      <c r="BM1832" s="458"/>
      <c r="BN1832" s="458"/>
      <c r="BO1832" s="866">
        <f>VLOOKUP(BD1832,$BD$4:$BN$12824,3,0)*BE1832</f>
        <v>129284.54852488327</v>
      </c>
      <c r="BP1832" s="866"/>
      <c r="BQ1832" s="866"/>
      <c r="BR1832" s="866">
        <f>VLOOKUP(BD1832,$BD$4:$BN$12824,6,0)*BE1832</f>
        <v>64642.274262441628</v>
      </c>
      <c r="BS1832" s="866">
        <f>VLOOKUP(BD1832,$BD$4:$BN$12824,7,0)*BE1832</f>
        <v>0</v>
      </c>
      <c r="BT1832" s="866"/>
      <c r="BU1832" s="866">
        <f>VLOOKUP(BD1832,$BD$4:$BN$12824,9,0)*BE1832</f>
        <v>711.95639217244457</v>
      </c>
      <c r="BV1832" s="867"/>
      <c r="BW1832" s="867">
        <f>VLOOKUP(BD1832,$BD$4:$BN$12824,11,0)*BE1832</f>
        <v>39217.244462103903</v>
      </c>
      <c r="BX1832" s="1146">
        <f t="shared" si="348"/>
        <v>233856.02364160123</v>
      </c>
      <c r="BY1832" s="867">
        <f t="shared" si="350"/>
        <v>139444.50168868579</v>
      </c>
      <c r="BZ1832" s="867">
        <f t="shared" si="349"/>
        <v>1952223.0236416012</v>
      </c>
      <c r="CA1832" s="867">
        <f>_xlfn.MAXIFS($BY$4:$BY$12824,$S$4:$S$12824,$S1832)</f>
        <v>139444.50168868579</v>
      </c>
      <c r="CB1832" s="1032"/>
      <c r="CF1832" s="946">
        <f t="shared" si="356"/>
        <v>1718367</v>
      </c>
    </row>
    <row r="1833" spans="2:84">
      <c r="B1833" s="839" t="s">
        <v>98</v>
      </c>
      <c r="C1833" s="839" t="s">
        <v>273</v>
      </c>
      <c r="D1833" s="839" t="s">
        <v>6289</v>
      </c>
      <c r="E1833" s="839" t="s">
        <v>6290</v>
      </c>
      <c r="F1833" s="841">
        <v>45841</v>
      </c>
      <c r="G1833" s="868" t="s">
        <v>273</v>
      </c>
      <c r="H1833" s="842" t="s">
        <v>134</v>
      </c>
      <c r="I1833" s="883"/>
      <c r="J1833" s="841"/>
      <c r="K1833" s="841"/>
      <c r="L1833" s="843" t="s">
        <v>106</v>
      </c>
      <c r="M1833" s="844" t="s">
        <v>275</v>
      </c>
      <c r="N1833" s="841"/>
      <c r="O1833" s="884" t="s">
        <v>150</v>
      </c>
      <c r="P1833" s="842" t="s">
        <v>124</v>
      </c>
      <c r="Q1833" s="843"/>
      <c r="R1833" s="845" t="str">
        <f t="shared" ref="R1833:R1847" si="357">RIGHT(S1833,5)</f>
        <v>10731</v>
      </c>
      <c r="S1833" s="1127" t="s">
        <v>3957</v>
      </c>
      <c r="T1833" s="885" t="s">
        <v>3958</v>
      </c>
      <c r="U1833" s="886">
        <v>200</v>
      </c>
      <c r="V1833" s="842" t="s">
        <v>3</v>
      </c>
      <c r="W1833" s="846" t="s">
        <v>6291</v>
      </c>
      <c r="X1833" s="847">
        <f t="shared" si="354"/>
        <v>1318</v>
      </c>
      <c r="Y1833" s="853" t="s">
        <v>4582</v>
      </c>
      <c r="Z1833" s="902">
        <v>3.13</v>
      </c>
      <c r="AA1833" s="849"/>
      <c r="AB1833" s="849">
        <f t="shared" si="344"/>
        <v>626</v>
      </c>
      <c r="AC1833" s="850">
        <f t="shared" si="345"/>
        <v>626</v>
      </c>
      <c r="AD1833" s="851">
        <f t="shared" si="355"/>
        <v>32000</v>
      </c>
      <c r="AE1833" s="852">
        <v>29936.21</v>
      </c>
      <c r="AF1833" s="853">
        <v>0.1</v>
      </c>
      <c r="AG1833" s="854">
        <f t="shared" si="346"/>
        <v>1899229.8388424059</v>
      </c>
      <c r="AH1833" s="853">
        <v>0.08</v>
      </c>
      <c r="AI1833" s="855">
        <f t="shared" si="347"/>
        <v>4985483.2239073925</v>
      </c>
      <c r="AJ1833" s="856" t="s">
        <v>6292</v>
      </c>
      <c r="AK1833" s="857">
        <v>45911</v>
      </c>
      <c r="AL1833" s="843" t="s">
        <v>6293</v>
      </c>
      <c r="AM1833" s="843" t="s">
        <v>6294</v>
      </c>
      <c r="AN1833" s="844" t="s">
        <v>3951</v>
      </c>
      <c r="AO1833" s="844" t="s">
        <v>141</v>
      </c>
      <c r="AP1833" s="841"/>
      <c r="AQ1833" s="841">
        <v>45929</v>
      </c>
      <c r="AR1833" s="841">
        <v>45987</v>
      </c>
      <c r="AS1833" s="842" t="s">
        <v>1284</v>
      </c>
      <c r="AT1833" s="842" t="s">
        <v>1743</v>
      </c>
      <c r="AU1833" s="842" t="s">
        <v>6295</v>
      </c>
      <c r="AV1833" s="845" t="s">
        <v>6296</v>
      </c>
      <c r="AW1833" s="861">
        <v>45986</v>
      </c>
      <c r="AX1833" s="862">
        <v>45987</v>
      </c>
      <c r="AY1833" s="843"/>
      <c r="AZ1833" s="842">
        <v>94031000</v>
      </c>
      <c r="BA1833" s="842" t="s">
        <v>120</v>
      </c>
      <c r="BB1833" s="863" t="s">
        <v>121</v>
      </c>
      <c r="BC1833" s="864">
        <v>45990</v>
      </c>
      <c r="BD1833" s="860" t="s">
        <v>6297</v>
      </c>
      <c r="BE1833" s="865" cm="1">
        <f t="array" ref="BE1833">IF(BD1833="","",AC1833/SUMPRODUCT(--(BD1833=$BD$4:$BD$12824),$AC$4:$AC$12824))</f>
        <v>6.0517156807300444E-3</v>
      </c>
      <c r="BF1833" s="458" cm="1">
        <f t="array" ref="BF1833">SUM(_xlfn._xlws.FILTER( INDEX(Cost!$B$3:$BK$77,MATCH(LDL!$BD1833, Cost!$F$3:$F$77, 0),0),Cost!$B$3:$BK$3 = BF$3))</f>
        <v>38558073</v>
      </c>
      <c r="BG1833" s="458"/>
      <c r="BH1833" s="458"/>
      <c r="BI1833" s="458" cm="1">
        <f t="array" ref="BI1833">SUM(_xlfn._xlws.FILTER( INDEX(Cost!$B$3:$BK$77,MATCH(LDL!$BD1833, Cost!$F$3:$F$77, 0),0),Cost!$B$3:$BK$3 = BI$3))/1.08</f>
        <v>16427020.370370369</v>
      </c>
      <c r="BJ1833" s="458" cm="1">
        <f t="array" ref="BJ1833">SUM(_xlfn._xlws.FILTER( INDEX(Cost!$B$3:$BK$77,MATCH(LDL!$BD1833, Cost!$F$3:$F$77, 0),0),Cost!$B$3:$BK$3 = BJ$3))</f>
        <v>3121169.9999999995</v>
      </c>
      <c r="BK1833" s="458"/>
      <c r="BL1833" s="458" cm="1">
        <f t="array" ref="BL1833">SUM(_xlfn._xlws.FILTER( INDEX(Cost!$B$3:$BK$77,MATCH(LDL!$BD1833, Cost!$F$3:$F$77, 0),0),Cost!$B$3:$BK$3 = BL$3))</f>
        <v>121115</v>
      </c>
      <c r="BM1833" s="458"/>
      <c r="BN1833" s="458" cm="1">
        <f t="array" ref="BN1833">SUM(_xlfn._xlws.FILTER( INDEX(Cost!$B$3:$BK$77,MATCH(LDL!$BD1833, Cost!$F$3:$F$77, 0),0),Cost!$B$3:$BK$3 = BN$3))/1.08</f>
        <v>0</v>
      </c>
      <c r="BO1833" s="866">
        <f>VLOOKUP(BD1833,$BD$4:$BN$12824,3,0)*BE1833</f>
        <v>233342.49499283376</v>
      </c>
      <c r="BP1833" s="866"/>
      <c r="BQ1833" s="866"/>
      <c r="BR1833" s="866">
        <f>VLOOKUP(BD1833,$BD$4:$BN$12824,6,0)*BE1833</f>
        <v>99411.656763042221</v>
      </c>
      <c r="BS1833" s="866">
        <f>VLOOKUP(BD1833,$BD$4:$BN$12824,7,0)*BE1833</f>
        <v>18888.433431224192</v>
      </c>
      <c r="BT1833" s="866"/>
      <c r="BU1833" s="866">
        <f>VLOOKUP(BD1833,$BD$4:$BN$12824,9,0)*BE1833</f>
        <v>732.95354467161928</v>
      </c>
      <c r="BV1833" s="867"/>
      <c r="BW1833" s="867">
        <f>VLOOKUP(BD1833,$BD$4:$BN$12824,11,0)*BE1833</f>
        <v>0</v>
      </c>
      <c r="BX1833" s="1146">
        <f t="shared" si="348"/>
        <v>352375.53873177181</v>
      </c>
      <c r="BY1833" s="867">
        <f t="shared" si="350"/>
        <v>104958.3641878709</v>
      </c>
      <c r="BZ1833" s="867">
        <f t="shared" si="349"/>
        <v>20991672.83757418</v>
      </c>
      <c r="CA1833" s="867">
        <f>_xlfn.MAXIFS($BY$4:$BY$12824,$S$4:$S$12824,$S1833)</f>
        <v>104958.3641878709</v>
      </c>
      <c r="CB1833" s="1032"/>
      <c r="CF1833" s="946">
        <f t="shared" ref="CF1833:CF1896" si="358">AC1833*AD1833</f>
        <v>20032000</v>
      </c>
    </row>
    <row r="1834" spans="2:84">
      <c r="B1834" s="839" t="s">
        <v>98</v>
      </c>
      <c r="C1834" s="839" t="s">
        <v>273</v>
      </c>
      <c r="D1834" s="839" t="s">
        <v>6289</v>
      </c>
      <c r="E1834" s="839" t="s">
        <v>6290</v>
      </c>
      <c r="F1834" s="841">
        <v>45841</v>
      </c>
      <c r="G1834" s="868" t="s">
        <v>273</v>
      </c>
      <c r="H1834" s="842" t="s">
        <v>134</v>
      </c>
      <c r="I1834" s="883"/>
      <c r="J1834" s="841"/>
      <c r="K1834" s="841"/>
      <c r="L1834" s="843" t="s">
        <v>106</v>
      </c>
      <c r="M1834" s="844" t="s">
        <v>275</v>
      </c>
      <c r="N1834" s="841"/>
      <c r="O1834" s="884" t="s">
        <v>150</v>
      </c>
      <c r="P1834" s="842" t="s">
        <v>124</v>
      </c>
      <c r="Q1834" s="843"/>
      <c r="R1834" s="845" t="str">
        <f t="shared" si="357"/>
        <v>16170</v>
      </c>
      <c r="S1834" s="1127" t="s">
        <v>2470</v>
      </c>
      <c r="T1834" s="885" t="s">
        <v>2471</v>
      </c>
      <c r="U1834" s="886">
        <v>100</v>
      </c>
      <c r="V1834" s="842" t="s">
        <v>3</v>
      </c>
      <c r="W1834" s="846" t="s">
        <v>6291</v>
      </c>
      <c r="X1834" s="847">
        <f t="shared" si="354"/>
        <v>659</v>
      </c>
      <c r="Y1834" s="853" t="s">
        <v>4582</v>
      </c>
      <c r="Z1834" s="902">
        <v>3.13</v>
      </c>
      <c r="AA1834" s="849"/>
      <c r="AB1834" s="849">
        <f t="shared" si="344"/>
        <v>313</v>
      </c>
      <c r="AC1834" s="850">
        <f t="shared" si="345"/>
        <v>313</v>
      </c>
      <c r="AD1834" s="851">
        <f t="shared" si="355"/>
        <v>32000</v>
      </c>
      <c r="AE1834" s="852">
        <v>29936.21</v>
      </c>
      <c r="AF1834" s="853">
        <v>0.1</v>
      </c>
      <c r="AG1834" s="854">
        <f t="shared" si="346"/>
        <v>949614.91942120297</v>
      </c>
      <c r="AH1834" s="853">
        <v>0.08</v>
      </c>
      <c r="AI1834" s="855">
        <f t="shared" si="347"/>
        <v>825571.89195369638</v>
      </c>
      <c r="AJ1834" s="856" t="s">
        <v>6292</v>
      </c>
      <c r="AK1834" s="857">
        <v>45911</v>
      </c>
      <c r="AL1834" s="843" t="s">
        <v>6293</v>
      </c>
      <c r="AM1834" s="843" t="s">
        <v>6294</v>
      </c>
      <c r="AN1834" s="844" t="s">
        <v>3951</v>
      </c>
      <c r="AO1834" s="844" t="s">
        <v>141</v>
      </c>
      <c r="AP1834" s="841"/>
      <c r="AQ1834" s="841">
        <v>45929</v>
      </c>
      <c r="AR1834" s="841">
        <v>45987</v>
      </c>
      <c r="AS1834" s="842" t="s">
        <v>1284</v>
      </c>
      <c r="AT1834" s="842" t="s">
        <v>1743</v>
      </c>
      <c r="AU1834" s="842" t="s">
        <v>6295</v>
      </c>
      <c r="AV1834" s="845" t="s">
        <v>6296</v>
      </c>
      <c r="AW1834" s="861">
        <v>45986</v>
      </c>
      <c r="AX1834" s="862">
        <v>45987</v>
      </c>
      <c r="AY1834" s="843"/>
      <c r="AZ1834" s="842">
        <v>94031000</v>
      </c>
      <c r="BA1834" s="842" t="s">
        <v>120</v>
      </c>
      <c r="BB1834" s="863" t="s">
        <v>121</v>
      </c>
      <c r="BC1834" s="864">
        <v>45990</v>
      </c>
      <c r="BD1834" s="860" t="s">
        <v>6297</v>
      </c>
      <c r="BE1834" s="865" cm="1">
        <f t="array" ref="BE1834">IF(BD1834="","",AC1834/SUMPRODUCT(--(BD1834=$BD$4:$BD$12824),$AC$4:$AC$12824))</f>
        <v>3.0258578403650222E-3</v>
      </c>
      <c r="BF1834" s="458"/>
      <c r="BG1834" s="458"/>
      <c r="BH1834" s="458"/>
      <c r="BI1834" s="458"/>
      <c r="BJ1834" s="458"/>
      <c r="BK1834" s="458"/>
      <c r="BL1834" s="458"/>
      <c r="BM1834" s="458"/>
      <c r="BN1834" s="458"/>
      <c r="BO1834" s="866">
        <f>VLOOKUP(BD1834,$BD$4:$BN$12824,3,0)*BE1834</f>
        <v>116671.24749641688</v>
      </c>
      <c r="BP1834" s="866"/>
      <c r="BQ1834" s="866"/>
      <c r="BR1834" s="866">
        <f>VLOOKUP(BD1834,$BD$4:$BN$12824,6,0)*BE1834</f>
        <v>49705.828381521111</v>
      </c>
      <c r="BS1834" s="866">
        <f>VLOOKUP(BD1834,$BD$4:$BN$12824,7,0)*BE1834</f>
        <v>9444.2167156120959</v>
      </c>
      <c r="BT1834" s="866"/>
      <c r="BU1834" s="866">
        <f>VLOOKUP(BD1834,$BD$4:$BN$12824,9,0)*BE1834</f>
        <v>366.47677233580964</v>
      </c>
      <c r="BV1834" s="867"/>
      <c r="BW1834" s="867">
        <f>VLOOKUP(BD1834,$BD$4:$BN$12824,11,0)*BE1834</f>
        <v>0</v>
      </c>
      <c r="BX1834" s="1146">
        <f t="shared" si="348"/>
        <v>176187.76936588591</v>
      </c>
      <c r="BY1834" s="867">
        <f t="shared" si="350"/>
        <v>104958.3641878709</v>
      </c>
      <c r="BZ1834" s="867">
        <f t="shared" si="349"/>
        <v>10495836.41878709</v>
      </c>
      <c r="CA1834" s="867">
        <f>_xlfn.MAXIFS($BY$4:$BY$12824,$S$4:$S$12824,$S1834)</f>
        <v>139164.2712355862</v>
      </c>
      <c r="CB1834" s="1032"/>
      <c r="CF1834" s="946">
        <f t="shared" si="358"/>
        <v>10016000</v>
      </c>
    </row>
    <row r="1835" spans="2:84">
      <c r="B1835" s="839" t="s">
        <v>98</v>
      </c>
      <c r="C1835" s="839" t="s">
        <v>273</v>
      </c>
      <c r="D1835" s="839" t="s">
        <v>6289</v>
      </c>
      <c r="E1835" s="839" t="s">
        <v>6290</v>
      </c>
      <c r="F1835" s="841">
        <v>45841</v>
      </c>
      <c r="G1835" s="868" t="s">
        <v>273</v>
      </c>
      <c r="H1835" s="842" t="s">
        <v>134</v>
      </c>
      <c r="I1835" s="883"/>
      <c r="J1835" s="841"/>
      <c r="K1835" s="841"/>
      <c r="L1835" s="843" t="s">
        <v>106</v>
      </c>
      <c r="M1835" s="844" t="s">
        <v>275</v>
      </c>
      <c r="N1835" s="841"/>
      <c r="O1835" s="884" t="s">
        <v>150</v>
      </c>
      <c r="P1835" s="842" t="s">
        <v>124</v>
      </c>
      <c r="Q1835" s="843"/>
      <c r="R1835" s="845" t="str">
        <f t="shared" si="357"/>
        <v>10732</v>
      </c>
      <c r="S1835" s="1127" t="s">
        <v>6298</v>
      </c>
      <c r="T1835" s="885" t="s">
        <v>6299</v>
      </c>
      <c r="U1835" s="886">
        <v>300</v>
      </c>
      <c r="V1835" s="842" t="s">
        <v>3</v>
      </c>
      <c r="W1835" s="846" t="s">
        <v>6291</v>
      </c>
      <c r="X1835" s="847">
        <f t="shared" si="354"/>
        <v>1977</v>
      </c>
      <c r="Y1835" s="853" t="s">
        <v>4582</v>
      </c>
      <c r="Z1835" s="902">
        <v>3.13</v>
      </c>
      <c r="AA1835" s="849"/>
      <c r="AB1835" s="849">
        <f t="shared" si="344"/>
        <v>939</v>
      </c>
      <c r="AC1835" s="850">
        <f t="shared" si="345"/>
        <v>939</v>
      </c>
      <c r="AD1835" s="851">
        <f t="shared" si="355"/>
        <v>32000</v>
      </c>
      <c r="AE1835" s="852">
        <v>29936.21</v>
      </c>
      <c r="AF1835" s="853">
        <v>0.1</v>
      </c>
      <c r="AG1835" s="854">
        <f t="shared" si="346"/>
        <v>2848844.7582636084</v>
      </c>
      <c r="AH1835" s="853">
        <v>0.08</v>
      </c>
      <c r="AI1835" s="855">
        <f t="shared" si="347"/>
        <v>2476715.6758610886</v>
      </c>
      <c r="AJ1835" s="856" t="s">
        <v>6292</v>
      </c>
      <c r="AK1835" s="857">
        <v>45911</v>
      </c>
      <c r="AL1835" s="843" t="s">
        <v>6293</v>
      </c>
      <c r="AM1835" s="843" t="s">
        <v>6294</v>
      </c>
      <c r="AN1835" s="844" t="s">
        <v>3951</v>
      </c>
      <c r="AO1835" s="844" t="s">
        <v>141</v>
      </c>
      <c r="AP1835" s="841"/>
      <c r="AQ1835" s="841">
        <v>45929</v>
      </c>
      <c r="AR1835" s="841">
        <v>45987</v>
      </c>
      <c r="AS1835" s="842" t="s">
        <v>1284</v>
      </c>
      <c r="AT1835" s="842" t="s">
        <v>1743</v>
      </c>
      <c r="AU1835" s="842" t="s">
        <v>6295</v>
      </c>
      <c r="AV1835" s="845" t="s">
        <v>6296</v>
      </c>
      <c r="AW1835" s="861">
        <v>45986</v>
      </c>
      <c r="AX1835" s="862">
        <v>45987</v>
      </c>
      <c r="AY1835" s="843"/>
      <c r="AZ1835" s="842">
        <v>94031000</v>
      </c>
      <c r="BA1835" s="842" t="s">
        <v>120</v>
      </c>
      <c r="BB1835" s="863" t="s">
        <v>121</v>
      </c>
      <c r="BC1835" s="864">
        <v>45990</v>
      </c>
      <c r="BD1835" s="860" t="s">
        <v>6297</v>
      </c>
      <c r="BE1835" s="865" cm="1">
        <f t="array" ref="BE1835">IF(BD1835="","",AC1835/SUMPRODUCT(--(BD1835=$BD$4:$BD$12824),$AC$4:$AC$12824))</f>
        <v>9.0775735210950666E-3</v>
      </c>
      <c r="BF1835" s="458"/>
      <c r="BG1835" s="458"/>
      <c r="BH1835" s="458"/>
      <c r="BI1835" s="458"/>
      <c r="BJ1835" s="458"/>
      <c r="BK1835" s="458"/>
      <c r="BL1835" s="458"/>
      <c r="BM1835" s="458"/>
      <c r="BN1835" s="458"/>
      <c r="BO1835" s="866">
        <f>VLOOKUP(BD1835,$BD$4:$BN$12824,3,0)*BE1835</f>
        <v>350013.74248925061</v>
      </c>
      <c r="BP1835" s="866"/>
      <c r="BQ1835" s="866"/>
      <c r="BR1835" s="866">
        <f>VLOOKUP(BD1835,$BD$4:$BN$12824,6,0)*BE1835</f>
        <v>149117.48514456334</v>
      </c>
      <c r="BS1835" s="866">
        <f>VLOOKUP(BD1835,$BD$4:$BN$12824,7,0)*BE1835</f>
        <v>28332.650146836284</v>
      </c>
      <c r="BT1835" s="866"/>
      <c r="BU1835" s="866">
        <f>VLOOKUP(BD1835,$BD$4:$BN$12824,9,0)*BE1835</f>
        <v>1099.430317007429</v>
      </c>
      <c r="BV1835" s="867"/>
      <c r="BW1835" s="867">
        <f>VLOOKUP(BD1835,$BD$4:$BN$12824,11,0)*BE1835</f>
        <v>0</v>
      </c>
      <c r="BX1835" s="1146">
        <f t="shared" si="348"/>
        <v>528563.30809765775</v>
      </c>
      <c r="BY1835" s="867">
        <f t="shared" si="350"/>
        <v>104958.36418787089</v>
      </c>
      <c r="BZ1835" s="867">
        <f t="shared" si="349"/>
        <v>31487509.256361265</v>
      </c>
      <c r="CA1835" s="867">
        <f>_xlfn.MAXIFS($BY$4:$BY$12824,$S$4:$S$12824,$S1835)</f>
        <v>104958.36418787089</v>
      </c>
      <c r="CB1835" s="1032"/>
      <c r="CF1835" s="946">
        <f t="shared" si="358"/>
        <v>30048000</v>
      </c>
    </row>
    <row r="1836" spans="2:84">
      <c r="B1836" s="839" t="s">
        <v>98</v>
      </c>
      <c r="C1836" s="839" t="s">
        <v>273</v>
      </c>
      <c r="D1836" s="839" t="s">
        <v>6289</v>
      </c>
      <c r="E1836" s="839" t="s">
        <v>6290</v>
      </c>
      <c r="F1836" s="841">
        <v>45841</v>
      </c>
      <c r="G1836" s="868" t="s">
        <v>273</v>
      </c>
      <c r="H1836" s="842" t="s">
        <v>134</v>
      </c>
      <c r="I1836" s="883"/>
      <c r="J1836" s="841"/>
      <c r="K1836" s="841"/>
      <c r="L1836" s="843" t="s">
        <v>106</v>
      </c>
      <c r="M1836" s="844" t="s">
        <v>275</v>
      </c>
      <c r="N1836" s="841"/>
      <c r="O1836" s="884" t="s">
        <v>150</v>
      </c>
      <c r="P1836" s="842" t="s">
        <v>124</v>
      </c>
      <c r="Q1836" s="843"/>
      <c r="R1836" s="845" t="str">
        <f t="shared" si="357"/>
        <v>10736</v>
      </c>
      <c r="S1836" s="1127" t="s">
        <v>1113</v>
      </c>
      <c r="T1836" s="885" t="s">
        <v>1114</v>
      </c>
      <c r="U1836" s="886">
        <v>2100</v>
      </c>
      <c r="V1836" s="842" t="s">
        <v>3</v>
      </c>
      <c r="W1836" s="846" t="s">
        <v>4513</v>
      </c>
      <c r="X1836" s="847">
        <f t="shared" si="354"/>
        <v>23415</v>
      </c>
      <c r="Y1836" s="853" t="s">
        <v>4582</v>
      </c>
      <c r="Z1836" s="902">
        <v>5.2960000000000003</v>
      </c>
      <c r="AA1836" s="849"/>
      <c r="AB1836" s="849">
        <f t="shared" si="344"/>
        <v>11121.6</v>
      </c>
      <c r="AC1836" s="850">
        <f t="shared" si="345"/>
        <v>11121.6</v>
      </c>
      <c r="AD1836" s="851">
        <f t="shared" si="355"/>
        <v>32000</v>
      </c>
      <c r="AE1836" s="852">
        <v>29936.21</v>
      </c>
      <c r="AF1836" s="853">
        <v>0.1</v>
      </c>
      <c r="AG1836" s="854">
        <f t="shared" si="346"/>
        <v>33741972.165606551</v>
      </c>
      <c r="AH1836" s="853">
        <v>0.08</v>
      </c>
      <c r="AI1836" s="855">
        <f t="shared" si="347"/>
        <v>29334442.024128523</v>
      </c>
      <c r="AJ1836" s="856" t="s">
        <v>6292</v>
      </c>
      <c r="AK1836" s="857">
        <v>45911</v>
      </c>
      <c r="AL1836" s="843" t="s">
        <v>6293</v>
      </c>
      <c r="AM1836" s="843" t="s">
        <v>6294</v>
      </c>
      <c r="AN1836" s="844" t="s">
        <v>3951</v>
      </c>
      <c r="AO1836" s="844" t="s">
        <v>141</v>
      </c>
      <c r="AP1836" s="841"/>
      <c r="AQ1836" s="841">
        <v>45929</v>
      </c>
      <c r="AR1836" s="841">
        <v>45987</v>
      </c>
      <c r="AS1836" s="842" t="s">
        <v>1284</v>
      </c>
      <c r="AT1836" s="842" t="s">
        <v>1743</v>
      </c>
      <c r="AU1836" s="842" t="s">
        <v>6295</v>
      </c>
      <c r="AV1836" s="845" t="s">
        <v>6296</v>
      </c>
      <c r="AW1836" s="861">
        <v>45986</v>
      </c>
      <c r="AX1836" s="862">
        <v>45987</v>
      </c>
      <c r="AY1836" s="843"/>
      <c r="AZ1836" s="842">
        <v>94031000</v>
      </c>
      <c r="BA1836" s="842" t="s">
        <v>120</v>
      </c>
      <c r="BB1836" s="863" t="s">
        <v>121</v>
      </c>
      <c r="BC1836" s="864">
        <v>45990</v>
      </c>
      <c r="BD1836" s="860" t="s">
        <v>6297</v>
      </c>
      <c r="BE1836" s="865" cm="1">
        <f t="array" ref="BE1836">IF(BD1836="","",AC1836/SUMPRODUCT(--(BD1836=$BD$4:$BD$12824),$AC$4:$AC$12824))</f>
        <v>0.10751559283515537</v>
      </c>
      <c r="BF1836" s="458"/>
      <c r="BG1836" s="458"/>
      <c r="BH1836" s="458"/>
      <c r="BI1836" s="458"/>
      <c r="BJ1836" s="458"/>
      <c r="BK1836" s="458"/>
      <c r="BL1836" s="458"/>
      <c r="BM1836" s="458"/>
      <c r="BN1836" s="458"/>
      <c r="BO1836" s="866">
        <f>VLOOKUP(BD1836,$BD$4:$BN$12824,3,0)*BE1836</f>
        <v>4145594.0771761979</v>
      </c>
      <c r="BP1836" s="866"/>
      <c r="BQ1836" s="866"/>
      <c r="BR1836" s="866">
        <f>VLOOKUP(BD1836,$BD$4:$BN$12824,6,0)*BE1836</f>
        <v>1766160.8336355437</v>
      </c>
      <c r="BS1836" s="866">
        <f>VLOOKUP(BD1836,$BD$4:$BN$12824,7,0)*BE1836</f>
        <v>335574.4428893018</v>
      </c>
      <c r="BT1836" s="866"/>
      <c r="BU1836" s="866">
        <f>VLOOKUP(BD1836,$BD$4:$BN$12824,9,0)*BE1836</f>
        <v>13021.751026229842</v>
      </c>
      <c r="BV1836" s="867"/>
      <c r="BW1836" s="867">
        <f>VLOOKUP(BD1836,$BD$4:$BN$12824,11,0)*BE1836</f>
        <v>0</v>
      </c>
      <c r="BX1836" s="1146">
        <f t="shared" si="348"/>
        <v>6260351.1047272738</v>
      </c>
      <c r="BY1836" s="867">
        <f t="shared" si="350"/>
        <v>177590.89352682562</v>
      </c>
      <c r="BZ1836" s="867">
        <f t="shared" si="349"/>
        <v>372940876.4063338</v>
      </c>
      <c r="CA1836" s="867">
        <f>_xlfn.MAXIFS($BY$4:$BY$12824,$S$4:$S$12824,$S1836)</f>
        <v>209011.24719546674</v>
      </c>
      <c r="CB1836" s="1032"/>
      <c r="CF1836" s="946">
        <f t="shared" si="358"/>
        <v>355891200</v>
      </c>
    </row>
    <row r="1837" spans="2:84">
      <c r="B1837" s="839" t="s">
        <v>98</v>
      </c>
      <c r="C1837" s="839" t="s">
        <v>273</v>
      </c>
      <c r="D1837" s="839" t="s">
        <v>6289</v>
      </c>
      <c r="E1837" s="839" t="s">
        <v>6290</v>
      </c>
      <c r="F1837" s="841">
        <v>45841</v>
      </c>
      <c r="G1837" s="868" t="s">
        <v>273</v>
      </c>
      <c r="H1837" s="842" t="s">
        <v>134</v>
      </c>
      <c r="I1837" s="883"/>
      <c r="J1837" s="841"/>
      <c r="K1837" s="841"/>
      <c r="L1837" s="843" t="s">
        <v>106</v>
      </c>
      <c r="M1837" s="844" t="s">
        <v>275</v>
      </c>
      <c r="N1837" s="841"/>
      <c r="O1837" s="884" t="s">
        <v>150</v>
      </c>
      <c r="P1837" s="842" t="s">
        <v>124</v>
      </c>
      <c r="Q1837" s="843"/>
      <c r="R1837" s="845" t="str">
        <f t="shared" si="357"/>
        <v>10737</v>
      </c>
      <c r="S1837" s="1127" t="s">
        <v>6300</v>
      </c>
      <c r="T1837" s="885" t="s">
        <v>6301</v>
      </c>
      <c r="U1837" s="886">
        <v>100</v>
      </c>
      <c r="V1837" s="842" t="s">
        <v>3</v>
      </c>
      <c r="W1837" s="846" t="s">
        <v>4513</v>
      </c>
      <c r="X1837" s="847">
        <f t="shared" si="354"/>
        <v>1115</v>
      </c>
      <c r="Y1837" s="853" t="s">
        <v>4582</v>
      </c>
      <c r="Z1837" s="902">
        <v>5.2960000000000003</v>
      </c>
      <c r="AA1837" s="849"/>
      <c r="AB1837" s="849">
        <f t="shared" si="344"/>
        <v>529.6</v>
      </c>
      <c r="AC1837" s="850">
        <f t="shared" si="345"/>
        <v>529.6</v>
      </c>
      <c r="AD1837" s="851">
        <f t="shared" si="355"/>
        <v>32000</v>
      </c>
      <c r="AE1837" s="852">
        <v>29936.21</v>
      </c>
      <c r="AF1837" s="853">
        <v>0.1</v>
      </c>
      <c r="AG1837" s="854">
        <f t="shared" si="346"/>
        <v>1606760.5793145979</v>
      </c>
      <c r="AH1837" s="853">
        <v>0.08</v>
      </c>
      <c r="AI1837" s="855">
        <f t="shared" si="347"/>
        <v>1396878.1916251678</v>
      </c>
      <c r="AJ1837" s="856" t="s">
        <v>6292</v>
      </c>
      <c r="AK1837" s="857">
        <v>45911</v>
      </c>
      <c r="AL1837" s="843" t="s">
        <v>6293</v>
      </c>
      <c r="AM1837" s="843" t="s">
        <v>6294</v>
      </c>
      <c r="AN1837" s="844" t="s">
        <v>3951</v>
      </c>
      <c r="AO1837" s="844" t="s">
        <v>141</v>
      </c>
      <c r="AP1837" s="841"/>
      <c r="AQ1837" s="841">
        <v>45929</v>
      </c>
      <c r="AR1837" s="841">
        <v>45987</v>
      </c>
      <c r="AS1837" s="842" t="s">
        <v>1284</v>
      </c>
      <c r="AT1837" s="842" t="s">
        <v>1743</v>
      </c>
      <c r="AU1837" s="842" t="s">
        <v>6295</v>
      </c>
      <c r="AV1837" s="845" t="s">
        <v>6296</v>
      </c>
      <c r="AW1837" s="861">
        <v>45986</v>
      </c>
      <c r="AX1837" s="862">
        <v>45987</v>
      </c>
      <c r="AY1837" s="843"/>
      <c r="AZ1837" s="842">
        <v>94031000</v>
      </c>
      <c r="BA1837" s="842" t="s">
        <v>120</v>
      </c>
      <c r="BB1837" s="863" t="s">
        <v>121</v>
      </c>
      <c r="BC1837" s="864">
        <v>45990</v>
      </c>
      <c r="BD1837" s="860" t="s">
        <v>6297</v>
      </c>
      <c r="BE1837" s="865" cm="1">
        <f t="array" ref="BE1837">IF(BD1837="","",AC1837/SUMPRODUCT(--(BD1837=$BD$4:$BD$12824),$AC$4:$AC$12824))</f>
        <v>5.1197901350073984E-3</v>
      </c>
      <c r="BF1837" s="458"/>
      <c r="BG1837" s="458"/>
      <c r="BH1837" s="458"/>
      <c r="BI1837" s="458"/>
      <c r="BJ1837" s="458"/>
      <c r="BK1837" s="458"/>
      <c r="BL1837" s="458"/>
      <c r="BM1837" s="458"/>
      <c r="BN1837" s="458"/>
      <c r="BO1837" s="866">
        <f>VLOOKUP(BD1837,$BD$4:$BN$12824,3,0)*BE1837</f>
        <v>197409.24177029514</v>
      </c>
      <c r="BP1837" s="866"/>
      <c r="BQ1837" s="866"/>
      <c r="BR1837" s="866">
        <f>VLOOKUP(BD1837,$BD$4:$BN$12824,6,0)*BE1837</f>
        <v>84102.896839787791</v>
      </c>
      <c r="BS1837" s="866">
        <f>VLOOKUP(BD1837,$BD$4:$BN$12824,7,0)*BE1837</f>
        <v>15979.735375681039</v>
      </c>
      <c r="BT1837" s="866"/>
      <c r="BU1837" s="866">
        <f>VLOOKUP(BD1837,$BD$4:$BN$12824,9,0)*BE1837</f>
        <v>620.08338220142105</v>
      </c>
      <c r="BV1837" s="867"/>
      <c r="BW1837" s="867">
        <f>VLOOKUP(BD1837,$BD$4:$BN$12824,11,0)*BE1837</f>
        <v>0</v>
      </c>
      <c r="BX1837" s="1146">
        <f t="shared" si="348"/>
        <v>298111.95736796537</v>
      </c>
      <c r="BY1837" s="867">
        <f t="shared" si="350"/>
        <v>177590.89352682562</v>
      </c>
      <c r="BZ1837" s="867">
        <f t="shared" si="349"/>
        <v>17759089.352682561</v>
      </c>
      <c r="CA1837" s="867">
        <f>_xlfn.MAXIFS($BY$4:$BY$12824,$S$4:$S$12824,$S1837)</f>
        <v>177590.89352682562</v>
      </c>
      <c r="CB1837" s="1032"/>
      <c r="CF1837" s="946">
        <f t="shared" si="358"/>
        <v>16947200</v>
      </c>
    </row>
    <row r="1838" spans="2:84">
      <c r="B1838" s="839" t="s">
        <v>98</v>
      </c>
      <c r="C1838" s="839" t="s">
        <v>273</v>
      </c>
      <c r="D1838" s="839" t="s">
        <v>6289</v>
      </c>
      <c r="E1838" s="839" t="s">
        <v>6290</v>
      </c>
      <c r="F1838" s="841">
        <v>45841</v>
      </c>
      <c r="G1838" s="868" t="s">
        <v>273</v>
      </c>
      <c r="H1838" s="842" t="s">
        <v>134</v>
      </c>
      <c r="I1838" s="883"/>
      <c r="J1838" s="841"/>
      <c r="K1838" s="841"/>
      <c r="L1838" s="843" t="s">
        <v>106</v>
      </c>
      <c r="M1838" s="844" t="s">
        <v>275</v>
      </c>
      <c r="N1838" s="841"/>
      <c r="O1838" s="884" t="s">
        <v>150</v>
      </c>
      <c r="P1838" s="842" t="s">
        <v>124</v>
      </c>
      <c r="Q1838" s="843"/>
      <c r="R1838" s="845" t="str">
        <f t="shared" si="357"/>
        <v>10738</v>
      </c>
      <c r="S1838" s="1127" t="s">
        <v>4509</v>
      </c>
      <c r="T1838" s="885" t="s">
        <v>4510</v>
      </c>
      <c r="U1838" s="886">
        <v>700</v>
      </c>
      <c r="V1838" s="842" t="s">
        <v>3</v>
      </c>
      <c r="W1838" s="846" t="s">
        <v>4511</v>
      </c>
      <c r="X1838" s="847">
        <f t="shared" si="354"/>
        <v>8379</v>
      </c>
      <c r="Y1838" s="853" t="s">
        <v>4582</v>
      </c>
      <c r="Z1838" s="902">
        <v>5.6859999999999999</v>
      </c>
      <c r="AA1838" s="849"/>
      <c r="AB1838" s="849">
        <f t="shared" si="344"/>
        <v>3980.2</v>
      </c>
      <c r="AC1838" s="850">
        <f t="shared" si="345"/>
        <v>3980.2</v>
      </c>
      <c r="AD1838" s="851">
        <f t="shared" si="355"/>
        <v>32000</v>
      </c>
      <c r="AE1838" s="852">
        <v>29936.21</v>
      </c>
      <c r="AF1838" s="853">
        <v>0.1</v>
      </c>
      <c r="AG1838" s="854">
        <f t="shared" si="346"/>
        <v>12075582.435400229</v>
      </c>
      <c r="AH1838" s="853">
        <v>0.08</v>
      </c>
      <c r="AI1838" s="855">
        <f t="shared" si="347"/>
        <v>10498214.838192018</v>
      </c>
      <c r="AJ1838" s="856" t="s">
        <v>6292</v>
      </c>
      <c r="AK1838" s="857">
        <v>45911</v>
      </c>
      <c r="AL1838" s="843" t="s">
        <v>6293</v>
      </c>
      <c r="AM1838" s="843" t="s">
        <v>6294</v>
      </c>
      <c r="AN1838" s="844" t="s">
        <v>3951</v>
      </c>
      <c r="AO1838" s="844" t="s">
        <v>141</v>
      </c>
      <c r="AP1838" s="841"/>
      <c r="AQ1838" s="841">
        <v>45929</v>
      </c>
      <c r="AR1838" s="841">
        <v>45987</v>
      </c>
      <c r="AS1838" s="842" t="s">
        <v>1284</v>
      </c>
      <c r="AT1838" s="842" t="s">
        <v>1743</v>
      </c>
      <c r="AU1838" s="842" t="s">
        <v>6295</v>
      </c>
      <c r="AV1838" s="845" t="s">
        <v>6296</v>
      </c>
      <c r="AW1838" s="861">
        <v>45986</v>
      </c>
      <c r="AX1838" s="862">
        <v>45987</v>
      </c>
      <c r="AY1838" s="843"/>
      <c r="AZ1838" s="842">
        <v>94031000</v>
      </c>
      <c r="BA1838" s="842" t="s">
        <v>120</v>
      </c>
      <c r="BB1838" s="863" t="s">
        <v>121</v>
      </c>
      <c r="BC1838" s="864">
        <v>45990</v>
      </c>
      <c r="BD1838" s="860" t="s">
        <v>6297</v>
      </c>
      <c r="BE1838" s="865" cm="1">
        <f t="array" ref="BE1838">IF(BD1838="","",AC1838/SUMPRODUCT(--(BD1838=$BD$4:$BD$12824),$AC$4:$AC$12824))</f>
        <v>3.8477697687606581E-2</v>
      </c>
      <c r="BF1838" s="458"/>
      <c r="BG1838" s="458"/>
      <c r="BH1838" s="458"/>
      <c r="BI1838" s="458"/>
      <c r="BJ1838" s="458"/>
      <c r="BK1838" s="458"/>
      <c r="BL1838" s="458"/>
      <c r="BM1838" s="458"/>
      <c r="BN1838" s="458"/>
      <c r="BO1838" s="866">
        <f>VLOOKUP(BD1838,$BD$4:$BN$12824,3,0)*BE1838</f>
        <v>1483625.8763106659</v>
      </c>
      <c r="BP1838" s="866"/>
      <c r="BQ1838" s="866"/>
      <c r="BR1838" s="866">
        <f>VLOOKUP(BD1838,$BD$4:$BN$12824,6,0)*BE1838</f>
        <v>632073.9237192662</v>
      </c>
      <c r="BS1838" s="866">
        <f>VLOOKUP(BD1838,$BD$4:$BN$12824,7,0)*BE1838</f>
        <v>120095.43569162702</v>
      </c>
      <c r="BT1838" s="866"/>
      <c r="BU1838" s="866">
        <f>VLOOKUP(BD1838,$BD$4:$BN$12824,9,0)*BE1838</f>
        <v>4660.2263554344709</v>
      </c>
      <c r="BV1838" s="867"/>
      <c r="BW1838" s="867">
        <f>VLOOKUP(BD1838,$BD$4:$BN$12824,11,0)*BE1838</f>
        <v>0</v>
      </c>
      <c r="BX1838" s="1146">
        <f t="shared" si="348"/>
        <v>2240455.4620769937</v>
      </c>
      <c r="BY1838" s="867">
        <f t="shared" si="350"/>
        <v>190668.77277068174</v>
      </c>
      <c r="BZ1838" s="867">
        <f t="shared" si="349"/>
        <v>133468140.93947722</v>
      </c>
      <c r="CA1838" s="867">
        <f>_xlfn.MAXIFS($BY$4:$BY$12824,$S$4:$S$12824,$S1838)</f>
        <v>236222.14541525388</v>
      </c>
      <c r="CB1838" s="1032"/>
      <c r="CF1838" s="946">
        <f t="shared" si="358"/>
        <v>127366400</v>
      </c>
    </row>
    <row r="1839" spans="2:84">
      <c r="B1839" s="839" t="s">
        <v>98</v>
      </c>
      <c r="C1839" s="839" t="s">
        <v>273</v>
      </c>
      <c r="D1839" s="839" t="s">
        <v>6289</v>
      </c>
      <c r="E1839" s="839" t="s">
        <v>6290</v>
      </c>
      <c r="F1839" s="841">
        <v>45841</v>
      </c>
      <c r="G1839" s="868" t="s">
        <v>273</v>
      </c>
      <c r="H1839" s="842" t="s">
        <v>134</v>
      </c>
      <c r="I1839" s="883"/>
      <c r="J1839" s="841"/>
      <c r="K1839" s="841"/>
      <c r="L1839" s="843" t="s">
        <v>106</v>
      </c>
      <c r="M1839" s="844" t="s">
        <v>275</v>
      </c>
      <c r="N1839" s="841"/>
      <c r="O1839" s="884" t="s">
        <v>150</v>
      </c>
      <c r="P1839" s="842" t="s">
        <v>124</v>
      </c>
      <c r="Q1839" s="843"/>
      <c r="R1839" s="845" t="str">
        <f t="shared" si="357"/>
        <v>10742</v>
      </c>
      <c r="S1839" s="1127" t="s">
        <v>6302</v>
      </c>
      <c r="T1839" s="885" t="s">
        <v>6303</v>
      </c>
      <c r="U1839" s="886">
        <v>1400</v>
      </c>
      <c r="V1839" s="842" t="s">
        <v>3</v>
      </c>
      <c r="W1839" s="846" t="s">
        <v>6304</v>
      </c>
      <c r="X1839" s="847">
        <f t="shared" si="354"/>
        <v>20608</v>
      </c>
      <c r="Y1839" s="853" t="s">
        <v>4582</v>
      </c>
      <c r="Z1839" s="902">
        <v>6.992</v>
      </c>
      <c r="AA1839" s="849"/>
      <c r="AB1839" s="849">
        <f t="shared" si="344"/>
        <v>9788.7999999999993</v>
      </c>
      <c r="AC1839" s="850">
        <f t="shared" si="345"/>
        <v>9788.7999999999993</v>
      </c>
      <c r="AD1839" s="851">
        <f t="shared" si="355"/>
        <v>32000</v>
      </c>
      <c r="AE1839" s="852">
        <v>29936.21</v>
      </c>
      <c r="AF1839" s="853">
        <v>0.1</v>
      </c>
      <c r="AG1839" s="854">
        <f t="shared" si="346"/>
        <v>29698372.278690953</v>
      </c>
      <c r="AH1839" s="853">
        <v>0.08</v>
      </c>
      <c r="AI1839" s="855">
        <f t="shared" si="347"/>
        <v>25819035.578135271</v>
      </c>
      <c r="AJ1839" s="856" t="s">
        <v>6292</v>
      </c>
      <c r="AK1839" s="857">
        <v>45911</v>
      </c>
      <c r="AL1839" s="843" t="s">
        <v>6293</v>
      </c>
      <c r="AM1839" s="843" t="s">
        <v>6294</v>
      </c>
      <c r="AN1839" s="844" t="s">
        <v>3951</v>
      </c>
      <c r="AO1839" s="844" t="s">
        <v>141</v>
      </c>
      <c r="AP1839" s="841"/>
      <c r="AQ1839" s="841">
        <v>45929</v>
      </c>
      <c r="AR1839" s="841">
        <v>45987</v>
      </c>
      <c r="AS1839" s="842" t="s">
        <v>1284</v>
      </c>
      <c r="AT1839" s="842" t="s">
        <v>1743</v>
      </c>
      <c r="AU1839" s="842" t="s">
        <v>6295</v>
      </c>
      <c r="AV1839" s="845" t="s">
        <v>6296</v>
      </c>
      <c r="AW1839" s="861">
        <v>45986</v>
      </c>
      <c r="AX1839" s="862">
        <v>45987</v>
      </c>
      <c r="AY1839" s="843"/>
      <c r="AZ1839" s="842">
        <v>94031000</v>
      </c>
      <c r="BA1839" s="842" t="s">
        <v>120</v>
      </c>
      <c r="BB1839" s="863" t="s">
        <v>121</v>
      </c>
      <c r="BC1839" s="864">
        <v>45990</v>
      </c>
      <c r="BD1839" s="860" t="s">
        <v>6297</v>
      </c>
      <c r="BE1839" s="865" cm="1">
        <f t="array" ref="BE1839">IF(BD1839="","",AC1839/SUMPRODUCT(--(BD1839=$BD$4:$BD$12824),$AC$4:$AC$12824))</f>
        <v>9.4631045456118612E-2</v>
      </c>
      <c r="BF1839" s="458"/>
      <c r="BG1839" s="458"/>
      <c r="BH1839" s="458"/>
      <c r="BI1839" s="458"/>
      <c r="BJ1839" s="458"/>
      <c r="BK1839" s="458"/>
      <c r="BL1839" s="458"/>
      <c r="BM1839" s="458"/>
      <c r="BN1839" s="458"/>
      <c r="BO1839" s="866">
        <f>VLOOKUP(BD1839,$BD$4:$BN$12824,3,0)*BE1839</f>
        <v>3648790.7587633398</v>
      </c>
      <c r="BP1839" s="866"/>
      <c r="BQ1839" s="866"/>
      <c r="BR1839" s="866">
        <f>VLOOKUP(BD1839,$BD$4:$BN$12824,6,0)*BE1839</f>
        <v>1554506.1113771049</v>
      </c>
      <c r="BS1839" s="866">
        <f>VLOOKUP(BD1839,$BD$4:$BN$12824,7,0)*BE1839</f>
        <v>295359.58014627366</v>
      </c>
      <c r="BT1839" s="866"/>
      <c r="BU1839" s="866">
        <f>VLOOKUP(BD1839,$BD$4:$BN$12824,9,0)*BE1839</f>
        <v>11461.239070417805</v>
      </c>
      <c r="BV1839" s="867"/>
      <c r="BW1839" s="867">
        <f>VLOOKUP(BD1839,$BD$4:$BN$12824,11,0)*BE1839</f>
        <v>0</v>
      </c>
      <c r="BX1839" s="1146">
        <f t="shared" si="348"/>
        <v>5510117.6893571354</v>
      </c>
      <c r="BY1839" s="867">
        <f t="shared" si="350"/>
        <v>234462.90172574861</v>
      </c>
      <c r="BZ1839" s="867">
        <f t="shared" si="349"/>
        <v>328248062.41604805</v>
      </c>
      <c r="CA1839" s="867">
        <f>_xlfn.MAXIFS($BY$4:$BY$12824,$S$4:$S$12824,$S1839)</f>
        <v>234462.90172574864</v>
      </c>
      <c r="CB1839" s="1032"/>
      <c r="CF1839" s="946">
        <f t="shared" si="358"/>
        <v>313241600</v>
      </c>
    </row>
    <row r="1840" spans="2:84">
      <c r="B1840" s="839" t="s">
        <v>98</v>
      </c>
      <c r="C1840" s="839" t="s">
        <v>273</v>
      </c>
      <c r="D1840" s="839" t="s">
        <v>6289</v>
      </c>
      <c r="E1840" s="839" t="s">
        <v>6290</v>
      </c>
      <c r="F1840" s="841">
        <v>45841</v>
      </c>
      <c r="G1840" s="868" t="s">
        <v>273</v>
      </c>
      <c r="H1840" s="842" t="s">
        <v>134</v>
      </c>
      <c r="I1840" s="883"/>
      <c r="J1840" s="841"/>
      <c r="K1840" s="841"/>
      <c r="L1840" s="843" t="s">
        <v>106</v>
      </c>
      <c r="M1840" s="844" t="s">
        <v>275</v>
      </c>
      <c r="N1840" s="841"/>
      <c r="O1840" s="884" t="s">
        <v>150</v>
      </c>
      <c r="P1840" s="842" t="s">
        <v>124</v>
      </c>
      <c r="Q1840" s="843"/>
      <c r="R1840" s="845" t="str">
        <f t="shared" si="357"/>
        <v>10751</v>
      </c>
      <c r="S1840" s="1127" t="s">
        <v>4515</v>
      </c>
      <c r="T1840" s="885" t="s">
        <v>4516</v>
      </c>
      <c r="U1840" s="886">
        <v>2000</v>
      </c>
      <c r="V1840" s="842" t="s">
        <v>3</v>
      </c>
      <c r="W1840" s="846" t="s">
        <v>4517</v>
      </c>
      <c r="X1840" s="847">
        <f t="shared" si="354"/>
        <v>9280</v>
      </c>
      <c r="Y1840" s="853" t="s">
        <v>4582</v>
      </c>
      <c r="Z1840" s="902">
        <v>2.2040000000000002</v>
      </c>
      <c r="AA1840" s="849"/>
      <c r="AB1840" s="849">
        <f t="shared" si="344"/>
        <v>4408</v>
      </c>
      <c r="AC1840" s="850">
        <f t="shared" si="345"/>
        <v>4408</v>
      </c>
      <c r="AD1840" s="851">
        <f t="shared" si="355"/>
        <v>32000</v>
      </c>
      <c r="AE1840" s="852">
        <v>29936.21</v>
      </c>
      <c r="AF1840" s="853">
        <v>0.1</v>
      </c>
      <c r="AG1840" s="854">
        <f t="shared" si="346"/>
        <v>13373490.622391893</v>
      </c>
      <c r="AH1840" s="853">
        <v>0.08</v>
      </c>
      <c r="AI1840" s="855">
        <f t="shared" si="347"/>
        <v>11626584.344191352</v>
      </c>
      <c r="AJ1840" s="856" t="s">
        <v>6292</v>
      </c>
      <c r="AK1840" s="857">
        <v>45911</v>
      </c>
      <c r="AL1840" s="843" t="s">
        <v>6293</v>
      </c>
      <c r="AM1840" s="843" t="s">
        <v>6294</v>
      </c>
      <c r="AN1840" s="844" t="s">
        <v>3951</v>
      </c>
      <c r="AO1840" s="844" t="s">
        <v>141</v>
      </c>
      <c r="AP1840" s="841"/>
      <c r="AQ1840" s="841">
        <v>45929</v>
      </c>
      <c r="AR1840" s="841">
        <v>45987</v>
      </c>
      <c r="AS1840" s="842" t="s">
        <v>1284</v>
      </c>
      <c r="AT1840" s="842" t="s">
        <v>1743</v>
      </c>
      <c r="AU1840" s="842" t="s">
        <v>6295</v>
      </c>
      <c r="AV1840" s="845" t="s">
        <v>6296</v>
      </c>
      <c r="AW1840" s="861">
        <v>45986</v>
      </c>
      <c r="AX1840" s="862">
        <v>45987</v>
      </c>
      <c r="AY1840" s="843"/>
      <c r="AZ1840" s="842">
        <v>94031000</v>
      </c>
      <c r="BA1840" s="842" t="s">
        <v>120</v>
      </c>
      <c r="BB1840" s="863" t="s">
        <v>121</v>
      </c>
      <c r="BC1840" s="864">
        <v>45990</v>
      </c>
      <c r="BD1840" s="860" t="s">
        <v>6297</v>
      </c>
      <c r="BE1840" s="865" cm="1">
        <f t="array" ref="BE1840">IF(BD1840="","",AC1840/SUMPRODUCT(--(BD1840=$BD$4:$BD$12824),$AC$4:$AC$12824))</f>
        <v>4.2613358978686955E-2</v>
      </c>
      <c r="BF1840" s="458"/>
      <c r="BG1840" s="458"/>
      <c r="BH1840" s="458"/>
      <c r="BI1840" s="458"/>
      <c r="BJ1840" s="458"/>
      <c r="BK1840" s="458"/>
      <c r="BL1840" s="458"/>
      <c r="BM1840" s="458"/>
      <c r="BN1840" s="458"/>
      <c r="BO1840" s="866">
        <f>VLOOKUP(BD1840,$BD$4:$BN$12824,3,0)*BE1840</f>
        <v>1643089.0062754171</v>
      </c>
      <c r="BP1840" s="866"/>
      <c r="BQ1840" s="866"/>
      <c r="BR1840" s="866">
        <f>VLOOKUP(BD1840,$BD$4:$BN$12824,6,0)*BE1840</f>
        <v>700010.5159927957</v>
      </c>
      <c r="BS1840" s="866">
        <f>VLOOKUP(BD1840,$BD$4:$BN$12824,7,0)*BE1840</f>
        <v>133003.53764350835</v>
      </c>
      <c r="BT1840" s="866"/>
      <c r="BU1840" s="866">
        <f>VLOOKUP(BD1840,$BD$4:$BN$12824,9,0)*BE1840</f>
        <v>5161.1169727036704</v>
      </c>
      <c r="BV1840" s="867"/>
      <c r="BW1840" s="867">
        <f>VLOOKUP(BD1840,$BD$4:$BN$12824,11,0)*BE1840</f>
        <v>0</v>
      </c>
      <c r="BX1840" s="1146">
        <f t="shared" si="348"/>
        <v>2481264.1768844249</v>
      </c>
      <c r="BY1840" s="867">
        <f t="shared" si="350"/>
        <v>73906.784239638146</v>
      </c>
      <c r="BZ1840" s="867">
        <f t="shared" si="349"/>
        <v>147813568.4792763</v>
      </c>
      <c r="CA1840" s="867">
        <f>_xlfn.MAXIFS($BY$4:$BY$12824,$S$4:$S$12824,$S1840)</f>
        <v>86759.385628306947</v>
      </c>
      <c r="CB1840" s="1032"/>
      <c r="CF1840" s="946">
        <f t="shared" si="358"/>
        <v>141056000</v>
      </c>
    </row>
    <row r="1841" spans="2:84">
      <c r="B1841" s="839" t="s">
        <v>98</v>
      </c>
      <c r="C1841" s="839" t="s">
        <v>273</v>
      </c>
      <c r="D1841" s="839" t="s">
        <v>6289</v>
      </c>
      <c r="E1841" s="839" t="s">
        <v>6290</v>
      </c>
      <c r="F1841" s="841">
        <v>45841</v>
      </c>
      <c r="G1841" s="868" t="s">
        <v>273</v>
      </c>
      <c r="H1841" s="842" t="s">
        <v>134</v>
      </c>
      <c r="I1841" s="883"/>
      <c r="J1841" s="841"/>
      <c r="K1841" s="841"/>
      <c r="L1841" s="843" t="s">
        <v>106</v>
      </c>
      <c r="M1841" s="844" t="s">
        <v>275</v>
      </c>
      <c r="N1841" s="841"/>
      <c r="O1841" s="884" t="s">
        <v>150</v>
      </c>
      <c r="P1841" s="842" t="s">
        <v>124</v>
      </c>
      <c r="Q1841" s="843"/>
      <c r="R1841" s="845" t="str">
        <f t="shared" si="357"/>
        <v>12451</v>
      </c>
      <c r="S1841" s="1127" t="s">
        <v>4519</v>
      </c>
      <c r="T1841" s="885" t="s">
        <v>4520</v>
      </c>
      <c r="U1841" s="886">
        <v>11400</v>
      </c>
      <c r="V1841" s="842" t="s">
        <v>3</v>
      </c>
      <c r="W1841" s="846" t="s">
        <v>4521</v>
      </c>
      <c r="X1841" s="847">
        <f t="shared" si="354"/>
        <v>16188</v>
      </c>
      <c r="Y1841" s="853" t="s">
        <v>4582</v>
      </c>
      <c r="Z1841" s="902">
        <v>0.67500000000000004</v>
      </c>
      <c r="AA1841" s="849"/>
      <c r="AB1841" s="849">
        <f t="shared" si="344"/>
        <v>7695.0000000000009</v>
      </c>
      <c r="AC1841" s="850">
        <f t="shared" si="345"/>
        <v>7695.0000000000009</v>
      </c>
      <c r="AD1841" s="851">
        <f t="shared" si="355"/>
        <v>32000</v>
      </c>
      <c r="AE1841" s="852">
        <v>29936.21</v>
      </c>
      <c r="AF1841" s="853">
        <v>0.1</v>
      </c>
      <c r="AG1841" s="854">
        <f t="shared" si="346"/>
        <v>23345964.233054817</v>
      </c>
      <c r="AH1841" s="853">
        <v>0.08</v>
      </c>
      <c r="AI1841" s="855">
        <f t="shared" si="347"/>
        <v>20296408.014644388</v>
      </c>
      <c r="AJ1841" s="856" t="s">
        <v>6292</v>
      </c>
      <c r="AK1841" s="857">
        <v>45911</v>
      </c>
      <c r="AL1841" s="843" t="s">
        <v>6293</v>
      </c>
      <c r="AM1841" s="843" t="s">
        <v>6294</v>
      </c>
      <c r="AN1841" s="844" t="s">
        <v>3951</v>
      </c>
      <c r="AO1841" s="844" t="s">
        <v>141</v>
      </c>
      <c r="AP1841" s="841"/>
      <c r="AQ1841" s="841">
        <v>45929</v>
      </c>
      <c r="AR1841" s="841">
        <v>45987</v>
      </c>
      <c r="AS1841" s="842" t="s">
        <v>1284</v>
      </c>
      <c r="AT1841" s="842" t="s">
        <v>1743</v>
      </c>
      <c r="AU1841" s="842" t="s">
        <v>6295</v>
      </c>
      <c r="AV1841" s="845" t="s">
        <v>6296</v>
      </c>
      <c r="AW1841" s="861">
        <v>45986</v>
      </c>
      <c r="AX1841" s="862">
        <v>45987</v>
      </c>
      <c r="AY1841" s="843"/>
      <c r="AZ1841" s="842">
        <v>94031000</v>
      </c>
      <c r="BA1841" s="842" t="s">
        <v>120</v>
      </c>
      <c r="BB1841" s="863" t="s">
        <v>121</v>
      </c>
      <c r="BC1841" s="864">
        <v>45990</v>
      </c>
      <c r="BD1841" s="860" t="s">
        <v>6297</v>
      </c>
      <c r="BE1841" s="865" cm="1">
        <f t="array" ref="BE1841">IF(BD1841="","",AC1841/SUMPRODUCT(--(BD1841=$BD$4:$BD$12824),$AC$4:$AC$12824))</f>
        <v>7.4389699941242324E-2</v>
      </c>
      <c r="BF1841" s="458"/>
      <c r="BG1841" s="458"/>
      <c r="BH1841" s="458"/>
      <c r="BI1841" s="458"/>
      <c r="BJ1841" s="458"/>
      <c r="BK1841" s="458"/>
      <c r="BL1841" s="458"/>
      <c r="BM1841" s="458"/>
      <c r="BN1841" s="458"/>
      <c r="BO1841" s="866">
        <f>VLOOKUP(BD1841,$BD$4:$BN$12824,3,0)*BE1841</f>
        <v>2868323.4807825172</v>
      </c>
      <c r="BP1841" s="866"/>
      <c r="BQ1841" s="866"/>
      <c r="BR1841" s="866">
        <f>VLOOKUP(BD1841,$BD$4:$BN$12824,6,0)*BE1841</f>
        <v>1222001.1162805271</v>
      </c>
      <c r="BS1841" s="866">
        <f>VLOOKUP(BD1841,$BD$4:$BN$12824,7,0)*BE1841</f>
        <v>232182.89976560726</v>
      </c>
      <c r="BT1841" s="866"/>
      <c r="BU1841" s="866">
        <f>VLOOKUP(BD1841,$BD$4:$BN$12824,9,0)*BE1841</f>
        <v>9009.7085083835645</v>
      </c>
      <c r="BV1841" s="867"/>
      <c r="BW1841" s="867">
        <f>VLOOKUP(BD1841,$BD$4:$BN$12824,11,0)*BE1841</f>
        <v>0</v>
      </c>
      <c r="BX1841" s="1146">
        <f t="shared" si="348"/>
        <v>4331517.2053370345</v>
      </c>
      <c r="BY1841" s="867">
        <f t="shared" si="350"/>
        <v>22634.790998981745</v>
      </c>
      <c r="BZ1841" s="867">
        <f t="shared" si="349"/>
        <v>258036617.38839191</v>
      </c>
      <c r="CA1841" s="867">
        <f>_xlfn.MAXIFS($BY$4:$BY$12824,$S$4:$S$12824,$S1841)</f>
        <v>27999.619907317239</v>
      </c>
      <c r="CB1841" s="1032"/>
      <c r="CF1841" s="946">
        <f t="shared" si="358"/>
        <v>246240000.00000003</v>
      </c>
    </row>
    <row r="1842" spans="2:84">
      <c r="B1842" s="839" t="s">
        <v>98</v>
      </c>
      <c r="C1842" s="839" t="s">
        <v>273</v>
      </c>
      <c r="D1842" s="839" t="s">
        <v>6289</v>
      </c>
      <c r="E1842" s="839" t="s">
        <v>6290</v>
      </c>
      <c r="F1842" s="841">
        <v>45841</v>
      </c>
      <c r="G1842" s="868" t="s">
        <v>273</v>
      </c>
      <c r="H1842" s="842" t="s">
        <v>134</v>
      </c>
      <c r="I1842" s="883"/>
      <c r="J1842" s="841"/>
      <c r="K1842" s="841"/>
      <c r="L1842" s="843" t="s">
        <v>106</v>
      </c>
      <c r="M1842" s="844" t="s">
        <v>275</v>
      </c>
      <c r="N1842" s="841"/>
      <c r="O1842" s="884" t="s">
        <v>150</v>
      </c>
      <c r="P1842" s="842" t="s">
        <v>124</v>
      </c>
      <c r="Q1842" s="843"/>
      <c r="R1842" s="845" t="str">
        <f t="shared" si="357"/>
        <v>15167</v>
      </c>
      <c r="S1842" s="1127" t="s">
        <v>6305</v>
      </c>
      <c r="T1842" s="885" t="s">
        <v>6306</v>
      </c>
      <c r="U1842" s="886">
        <v>600</v>
      </c>
      <c r="V1842" s="842" t="s">
        <v>3</v>
      </c>
      <c r="W1842" s="846" t="s">
        <v>4508</v>
      </c>
      <c r="X1842" s="847">
        <f t="shared" si="354"/>
        <v>2202</v>
      </c>
      <c r="Y1842" s="853" t="s">
        <v>4582</v>
      </c>
      <c r="Z1842" s="902">
        <v>1.7430000000000001</v>
      </c>
      <c r="AA1842" s="849"/>
      <c r="AB1842" s="849">
        <f t="shared" si="344"/>
        <v>1045.8</v>
      </c>
      <c r="AC1842" s="850">
        <f t="shared" si="345"/>
        <v>1045.8</v>
      </c>
      <c r="AD1842" s="851">
        <f t="shared" si="355"/>
        <v>32000</v>
      </c>
      <c r="AE1842" s="852">
        <v>29936.21</v>
      </c>
      <c r="AF1842" s="853">
        <v>0.1</v>
      </c>
      <c r="AG1842" s="854">
        <f t="shared" si="346"/>
        <v>3172866.7179894373</v>
      </c>
      <c r="AH1842" s="853">
        <v>0.08</v>
      </c>
      <c r="AI1842" s="855">
        <f t="shared" si="347"/>
        <v>2758412.4108791547</v>
      </c>
      <c r="AJ1842" s="856" t="s">
        <v>6292</v>
      </c>
      <c r="AK1842" s="857">
        <v>45911</v>
      </c>
      <c r="AL1842" s="843" t="s">
        <v>6293</v>
      </c>
      <c r="AM1842" s="843" t="s">
        <v>6294</v>
      </c>
      <c r="AN1842" s="844" t="s">
        <v>3951</v>
      </c>
      <c r="AO1842" s="844" t="s">
        <v>141</v>
      </c>
      <c r="AP1842" s="841"/>
      <c r="AQ1842" s="841">
        <v>45929</v>
      </c>
      <c r="AR1842" s="841">
        <v>45987</v>
      </c>
      <c r="AS1842" s="842" t="s">
        <v>1284</v>
      </c>
      <c r="AT1842" s="842" t="s">
        <v>1743</v>
      </c>
      <c r="AU1842" s="842" t="s">
        <v>6295</v>
      </c>
      <c r="AV1842" s="845" t="s">
        <v>6296</v>
      </c>
      <c r="AW1842" s="861">
        <v>45986</v>
      </c>
      <c r="AX1842" s="862">
        <v>45987</v>
      </c>
      <c r="AY1842" s="843"/>
      <c r="AZ1842" s="842">
        <v>94031000</v>
      </c>
      <c r="BA1842" s="842" t="s">
        <v>120</v>
      </c>
      <c r="BB1842" s="863" t="s">
        <v>121</v>
      </c>
      <c r="BC1842" s="864">
        <v>45990</v>
      </c>
      <c r="BD1842" s="860" t="s">
        <v>6297</v>
      </c>
      <c r="BE1842" s="865" cm="1">
        <f t="array" ref="BE1842">IF(BD1842="","",AC1842/SUMPRODUCT(--(BD1842=$BD$4:$BD$12824),$AC$4:$AC$12824))</f>
        <v>1.011003875224837E-2</v>
      </c>
      <c r="BF1842" s="458"/>
      <c r="BG1842" s="458"/>
      <c r="BH1842" s="458"/>
      <c r="BI1842" s="458"/>
      <c r="BJ1842" s="458"/>
      <c r="BK1842" s="458"/>
      <c r="BL1842" s="458"/>
      <c r="BM1842" s="458"/>
      <c r="BN1842" s="458"/>
      <c r="BO1842" s="866">
        <f>VLOOKUP(BD1842,$BD$4:$BN$12824,3,0)*BE1842</f>
        <v>389823.61224202154</v>
      </c>
      <c r="BP1842" s="866"/>
      <c r="BQ1842" s="866"/>
      <c r="BR1842" s="866">
        <f>VLOOKUP(BD1842,$BD$4:$BN$12824,6,0)*BE1842</f>
        <v>166077.81252841779</v>
      </c>
      <c r="BS1842" s="866">
        <f>VLOOKUP(BD1842,$BD$4:$BN$12824,7,0)*BE1842</f>
        <v>31555.149652355038</v>
      </c>
      <c r="BT1842" s="866"/>
      <c r="BU1842" s="866">
        <f>VLOOKUP(BD1842,$BD$4:$BN$12824,9,0)*BE1842</f>
        <v>1224.4773434785614</v>
      </c>
      <c r="BV1842" s="867"/>
      <c r="BW1842" s="867">
        <f>VLOOKUP(BD1842,$BD$4:$BN$12824,11,0)*BE1842</f>
        <v>0</v>
      </c>
      <c r="BX1842" s="1146">
        <f t="shared" si="348"/>
        <v>588681.05176627287</v>
      </c>
      <c r="BY1842" s="867">
        <f t="shared" si="350"/>
        <v>58448.060312926187</v>
      </c>
      <c r="BZ1842" s="867">
        <f t="shared" si="349"/>
        <v>35068836.187755711</v>
      </c>
      <c r="CA1842" s="867">
        <f>_xlfn.MAXIFS($BY$4:$BY$12824,$S$4:$S$12824,$S1842)</f>
        <v>61533.098493528138</v>
      </c>
      <c r="CB1842" s="1032"/>
      <c r="CF1842" s="946">
        <f t="shared" si="358"/>
        <v>33465600</v>
      </c>
    </row>
    <row r="1843" spans="2:84">
      <c r="B1843" s="839" t="s">
        <v>98</v>
      </c>
      <c r="C1843" s="839" t="s">
        <v>273</v>
      </c>
      <c r="D1843" s="839" t="s">
        <v>6289</v>
      </c>
      <c r="E1843" s="839" t="s">
        <v>6290</v>
      </c>
      <c r="F1843" s="841">
        <v>45841</v>
      </c>
      <c r="G1843" s="868" t="s">
        <v>273</v>
      </c>
      <c r="H1843" s="842" t="s">
        <v>134</v>
      </c>
      <c r="I1843" s="883"/>
      <c r="J1843" s="841"/>
      <c r="K1843" s="841"/>
      <c r="L1843" s="843" t="s">
        <v>106</v>
      </c>
      <c r="M1843" s="844" t="s">
        <v>275</v>
      </c>
      <c r="N1843" s="841"/>
      <c r="O1843" s="884" t="s">
        <v>150</v>
      </c>
      <c r="P1843" s="842" t="s">
        <v>124</v>
      </c>
      <c r="Q1843" s="843"/>
      <c r="R1843" s="845" t="str">
        <f t="shared" si="357"/>
        <v>15168</v>
      </c>
      <c r="S1843" s="1127" t="s">
        <v>4007</v>
      </c>
      <c r="T1843" s="885" t="s">
        <v>4008</v>
      </c>
      <c r="U1843" s="886">
        <v>100</v>
      </c>
      <c r="V1843" s="842" t="s">
        <v>3</v>
      </c>
      <c r="W1843" s="846" t="s">
        <v>4508</v>
      </c>
      <c r="X1843" s="847">
        <f t="shared" si="354"/>
        <v>367</v>
      </c>
      <c r="Y1843" s="853" t="s">
        <v>4582</v>
      </c>
      <c r="Z1843" s="902">
        <v>1.7430000000000001</v>
      </c>
      <c r="AA1843" s="849"/>
      <c r="AB1843" s="849">
        <f t="shared" si="344"/>
        <v>174.3</v>
      </c>
      <c r="AC1843" s="850">
        <f t="shared" si="345"/>
        <v>174.3</v>
      </c>
      <c r="AD1843" s="851">
        <f t="shared" si="355"/>
        <v>32000</v>
      </c>
      <c r="AE1843" s="852">
        <v>29936.21</v>
      </c>
      <c r="AF1843" s="853">
        <v>0.1</v>
      </c>
      <c r="AG1843" s="854">
        <f t="shared" si="346"/>
        <v>528811.11966490641</v>
      </c>
      <c r="AH1843" s="853">
        <v>0.08</v>
      </c>
      <c r="AI1843" s="855">
        <f t="shared" si="347"/>
        <v>459735.40181319253</v>
      </c>
      <c r="AJ1843" s="856" t="s">
        <v>6292</v>
      </c>
      <c r="AK1843" s="857">
        <v>45911</v>
      </c>
      <c r="AL1843" s="843" t="s">
        <v>6293</v>
      </c>
      <c r="AM1843" s="843" t="s">
        <v>6294</v>
      </c>
      <c r="AN1843" s="844" t="s">
        <v>3951</v>
      </c>
      <c r="AO1843" s="844" t="s">
        <v>141</v>
      </c>
      <c r="AP1843" s="841"/>
      <c r="AQ1843" s="841">
        <v>45929</v>
      </c>
      <c r="AR1843" s="841">
        <v>45987</v>
      </c>
      <c r="AS1843" s="842" t="s">
        <v>1284</v>
      </c>
      <c r="AT1843" s="842" t="s">
        <v>1743</v>
      </c>
      <c r="AU1843" s="842" t="s">
        <v>6295</v>
      </c>
      <c r="AV1843" s="845" t="s">
        <v>6296</v>
      </c>
      <c r="AW1843" s="861">
        <v>45986</v>
      </c>
      <c r="AX1843" s="862">
        <v>45987</v>
      </c>
      <c r="AY1843" s="843"/>
      <c r="AZ1843" s="842">
        <v>94031000</v>
      </c>
      <c r="BA1843" s="842" t="s">
        <v>120</v>
      </c>
      <c r="BB1843" s="863" t="s">
        <v>121</v>
      </c>
      <c r="BC1843" s="864">
        <v>45990</v>
      </c>
      <c r="BD1843" s="860" t="s">
        <v>6297</v>
      </c>
      <c r="BE1843" s="865" cm="1">
        <f t="array" ref="BE1843">IF(BD1843="","",AC1843/SUMPRODUCT(--(BD1843=$BD$4:$BD$12824),$AC$4:$AC$12824))</f>
        <v>1.6850064587080619E-3</v>
      </c>
      <c r="BF1843" s="458"/>
      <c r="BG1843" s="458"/>
      <c r="BH1843" s="458"/>
      <c r="BI1843" s="458"/>
      <c r="BJ1843" s="458"/>
      <c r="BK1843" s="458"/>
      <c r="BL1843" s="458"/>
      <c r="BM1843" s="458"/>
      <c r="BN1843" s="458"/>
      <c r="BO1843" s="866">
        <f>VLOOKUP(BD1843,$BD$4:$BN$12824,3,0)*BE1843</f>
        <v>64970.60204033694</v>
      </c>
      <c r="BP1843" s="866"/>
      <c r="BQ1843" s="866"/>
      <c r="BR1843" s="866">
        <f>VLOOKUP(BD1843,$BD$4:$BN$12824,6,0)*BE1843</f>
        <v>27679.635421402971</v>
      </c>
      <c r="BS1843" s="866">
        <f>VLOOKUP(BD1843,$BD$4:$BN$12824,7,0)*BE1843</f>
        <v>5259.1916087258405</v>
      </c>
      <c r="BT1843" s="866"/>
      <c r="BU1843" s="866">
        <f>VLOOKUP(BD1843,$BD$4:$BN$12824,9,0)*BE1843</f>
        <v>204.07955724642693</v>
      </c>
      <c r="BV1843" s="867"/>
      <c r="BW1843" s="867">
        <f>VLOOKUP(BD1843,$BD$4:$BN$12824,11,0)*BE1843</f>
        <v>0</v>
      </c>
      <c r="BX1843" s="1146">
        <f t="shared" si="348"/>
        <v>98113.508627712188</v>
      </c>
      <c r="BY1843" s="867">
        <f t="shared" si="350"/>
        <v>58448.06031292618</v>
      </c>
      <c r="BZ1843" s="867">
        <f t="shared" si="349"/>
        <v>5844806.0312926183</v>
      </c>
      <c r="CA1843" s="867">
        <f>_xlfn.MAXIFS($BY$4:$BY$12824,$S$4:$S$12824,$S1843)</f>
        <v>72562.395252765811</v>
      </c>
      <c r="CB1843" s="1032"/>
      <c r="CF1843" s="946">
        <f t="shared" si="358"/>
        <v>5577600</v>
      </c>
    </row>
    <row r="1844" spans="2:84">
      <c r="B1844" s="839" t="s">
        <v>98</v>
      </c>
      <c r="C1844" s="839" t="s">
        <v>273</v>
      </c>
      <c r="D1844" s="839" t="s">
        <v>6289</v>
      </c>
      <c r="E1844" s="839" t="s">
        <v>6290</v>
      </c>
      <c r="F1844" s="841">
        <v>45841</v>
      </c>
      <c r="G1844" s="868" t="s">
        <v>273</v>
      </c>
      <c r="H1844" s="842" t="s">
        <v>134</v>
      </c>
      <c r="I1844" s="883"/>
      <c r="J1844" s="841"/>
      <c r="K1844" s="841"/>
      <c r="L1844" s="843" t="s">
        <v>106</v>
      </c>
      <c r="M1844" s="844" t="s">
        <v>275</v>
      </c>
      <c r="N1844" s="841"/>
      <c r="O1844" s="884" t="s">
        <v>150</v>
      </c>
      <c r="P1844" s="842" t="s">
        <v>124</v>
      </c>
      <c r="Q1844" s="843"/>
      <c r="R1844" s="845" t="str">
        <f t="shared" si="357"/>
        <v>18442</v>
      </c>
      <c r="S1844" s="1127" t="s">
        <v>6307</v>
      </c>
      <c r="T1844" s="885" t="s">
        <v>6308</v>
      </c>
      <c r="U1844" s="886">
        <v>20</v>
      </c>
      <c r="V1844" s="842" t="s">
        <v>3</v>
      </c>
      <c r="W1844" s="846" t="s">
        <v>4684</v>
      </c>
      <c r="X1844" s="847">
        <f t="shared" si="354"/>
        <v>373.40000000000003</v>
      </c>
      <c r="Y1844" s="853" t="s">
        <v>4582</v>
      </c>
      <c r="Z1844" s="902">
        <v>8.8680000000000003</v>
      </c>
      <c r="AA1844" s="849"/>
      <c r="AB1844" s="849">
        <f t="shared" si="344"/>
        <v>177.36</v>
      </c>
      <c r="AC1844" s="850">
        <f t="shared" si="345"/>
        <v>177.36</v>
      </c>
      <c r="AD1844" s="851">
        <f t="shared" si="355"/>
        <v>32000</v>
      </c>
      <c r="AE1844" s="852">
        <v>29936.21</v>
      </c>
      <c r="AF1844" s="853">
        <v>0.1</v>
      </c>
      <c r="AG1844" s="854">
        <f t="shared" si="346"/>
        <v>538094.89491547784</v>
      </c>
      <c r="AH1844" s="853">
        <v>0.08</v>
      </c>
      <c r="AI1844" s="855">
        <f t="shared" si="347"/>
        <v>467806.48804123822</v>
      </c>
      <c r="AJ1844" s="856" t="s">
        <v>6292</v>
      </c>
      <c r="AK1844" s="857">
        <v>45911</v>
      </c>
      <c r="AL1844" s="843" t="s">
        <v>6293</v>
      </c>
      <c r="AM1844" s="843" t="s">
        <v>6294</v>
      </c>
      <c r="AN1844" s="844" t="s">
        <v>3951</v>
      </c>
      <c r="AO1844" s="844" t="s">
        <v>141</v>
      </c>
      <c r="AP1844" s="841"/>
      <c r="AQ1844" s="841">
        <v>45929</v>
      </c>
      <c r="AR1844" s="841">
        <v>45987</v>
      </c>
      <c r="AS1844" s="842" t="s">
        <v>1284</v>
      </c>
      <c r="AT1844" s="842" t="s">
        <v>1743</v>
      </c>
      <c r="AU1844" s="842" t="s">
        <v>6295</v>
      </c>
      <c r="AV1844" s="845" t="s">
        <v>6296</v>
      </c>
      <c r="AW1844" s="861">
        <v>45986</v>
      </c>
      <c r="AX1844" s="862">
        <v>45987</v>
      </c>
      <c r="AY1844" s="843"/>
      <c r="AZ1844" s="842">
        <v>94031000</v>
      </c>
      <c r="BA1844" s="842" t="s">
        <v>120</v>
      </c>
      <c r="BB1844" s="863" t="s">
        <v>121</v>
      </c>
      <c r="BC1844" s="864">
        <v>45990</v>
      </c>
      <c r="BD1844" s="860" t="s">
        <v>6297</v>
      </c>
      <c r="BE1844" s="865" cm="1">
        <f t="array" ref="BE1844">IF(BD1844="","",AC1844/SUMPRODUCT(--(BD1844=$BD$4:$BD$12824),$AC$4:$AC$12824))</f>
        <v>1.7145883276905442E-3</v>
      </c>
      <c r="BF1844" s="458"/>
      <c r="BG1844" s="458"/>
      <c r="BH1844" s="458"/>
      <c r="BI1844" s="458"/>
      <c r="BJ1844" s="458"/>
      <c r="BK1844" s="458"/>
      <c r="BL1844" s="458"/>
      <c r="BM1844" s="458"/>
      <c r="BN1844" s="458"/>
      <c r="BO1844" s="866">
        <f>VLOOKUP(BD1844,$BD$4:$BN$12824,3,0)*BE1844</f>
        <v>66111.221904039921</v>
      </c>
      <c r="BP1844" s="866"/>
      <c r="BQ1844" s="866"/>
      <c r="BR1844" s="866">
        <f>VLOOKUP(BD1844,$BD$4:$BN$12824,6,0)*BE1844</f>
        <v>28165.577385771834</v>
      </c>
      <c r="BS1844" s="866">
        <f>VLOOKUP(BD1844,$BD$4:$BN$12824,7,0)*BE1844</f>
        <v>5351.5216507378946</v>
      </c>
      <c r="BT1844" s="866"/>
      <c r="BU1844" s="866">
        <f>VLOOKUP(BD1844,$BD$4:$BN$12824,9,0)*BE1844</f>
        <v>207.66236530824025</v>
      </c>
      <c r="BV1844" s="867"/>
      <c r="BW1844" s="867">
        <f>VLOOKUP(BD1844,$BD$4:$BN$12824,11,0)*BE1844</f>
        <v>0</v>
      </c>
      <c r="BX1844" s="1146">
        <f t="shared" si="348"/>
        <v>99835.983305857881</v>
      </c>
      <c r="BY1844" s="867">
        <f t="shared" si="350"/>
        <v>297370.85419106676</v>
      </c>
      <c r="BZ1844" s="867">
        <f t="shared" si="349"/>
        <v>5947417.0838213349</v>
      </c>
      <c r="CA1844" s="867">
        <f>_xlfn.MAXIFS($BY$4:$BY$12824,$S$4:$S$12824,$S1844)</f>
        <v>297370.85419106676</v>
      </c>
      <c r="CB1844" s="1032"/>
      <c r="CF1844" s="946">
        <f t="shared" si="358"/>
        <v>5675520</v>
      </c>
    </row>
    <row r="1845" spans="2:84">
      <c r="B1845" s="839" t="s">
        <v>98</v>
      </c>
      <c r="C1845" s="839" t="s">
        <v>273</v>
      </c>
      <c r="D1845" s="839" t="s">
        <v>6289</v>
      </c>
      <c r="E1845" s="839" t="s">
        <v>6290</v>
      </c>
      <c r="F1845" s="841">
        <v>45841</v>
      </c>
      <c r="G1845" s="868" t="s">
        <v>273</v>
      </c>
      <c r="H1845" s="842" t="s">
        <v>134</v>
      </c>
      <c r="I1845" s="883"/>
      <c r="J1845" s="841"/>
      <c r="K1845" s="841"/>
      <c r="L1845" s="843" t="s">
        <v>106</v>
      </c>
      <c r="M1845" s="844" t="s">
        <v>275</v>
      </c>
      <c r="N1845" s="841"/>
      <c r="O1845" s="884" t="s">
        <v>150</v>
      </c>
      <c r="P1845" s="842" t="s">
        <v>124</v>
      </c>
      <c r="Q1845" s="843"/>
      <c r="R1845" s="845" t="str">
        <f t="shared" si="357"/>
        <v>18444</v>
      </c>
      <c r="S1845" s="1127" t="s">
        <v>6309</v>
      </c>
      <c r="T1845" s="885" t="s">
        <v>6310</v>
      </c>
      <c r="U1845" s="886">
        <v>300</v>
      </c>
      <c r="V1845" s="842" t="s">
        <v>3</v>
      </c>
      <c r="W1845" s="846" t="s">
        <v>4684</v>
      </c>
      <c r="X1845" s="847">
        <f t="shared" si="354"/>
        <v>5601.0000000000009</v>
      </c>
      <c r="Y1845" s="853" t="s">
        <v>4582</v>
      </c>
      <c r="Z1845" s="902">
        <v>8.8680000000000003</v>
      </c>
      <c r="AA1845" s="849"/>
      <c r="AB1845" s="849">
        <f t="shared" si="344"/>
        <v>2660.4</v>
      </c>
      <c r="AC1845" s="850">
        <f t="shared" si="345"/>
        <v>2660.4</v>
      </c>
      <c r="AD1845" s="851">
        <f t="shared" si="355"/>
        <v>32000</v>
      </c>
      <c r="AE1845" s="852">
        <v>29936.21</v>
      </c>
      <c r="AF1845" s="853">
        <v>0.1</v>
      </c>
      <c r="AG1845" s="854">
        <f t="shared" si="346"/>
        <v>8071423.423732168</v>
      </c>
      <c r="AH1845" s="853">
        <v>0.08</v>
      </c>
      <c r="AI1845" s="855">
        <f t="shared" si="347"/>
        <v>7017097.3206185736</v>
      </c>
      <c r="AJ1845" s="856" t="s">
        <v>6292</v>
      </c>
      <c r="AK1845" s="857">
        <v>45911</v>
      </c>
      <c r="AL1845" s="843" t="s">
        <v>6293</v>
      </c>
      <c r="AM1845" s="843" t="s">
        <v>6294</v>
      </c>
      <c r="AN1845" s="844" t="s">
        <v>3951</v>
      </c>
      <c r="AO1845" s="844" t="s">
        <v>141</v>
      </c>
      <c r="AP1845" s="841"/>
      <c r="AQ1845" s="841">
        <v>45929</v>
      </c>
      <c r="AR1845" s="841">
        <v>45987</v>
      </c>
      <c r="AS1845" s="842" t="s">
        <v>1284</v>
      </c>
      <c r="AT1845" s="842" t="s">
        <v>1743</v>
      </c>
      <c r="AU1845" s="842" t="s">
        <v>6295</v>
      </c>
      <c r="AV1845" s="845" t="s">
        <v>6296</v>
      </c>
      <c r="AW1845" s="861">
        <v>45986</v>
      </c>
      <c r="AX1845" s="862">
        <v>45987</v>
      </c>
      <c r="AY1845" s="843"/>
      <c r="AZ1845" s="842">
        <v>94031000</v>
      </c>
      <c r="BA1845" s="842" t="s">
        <v>120</v>
      </c>
      <c r="BB1845" s="863" t="s">
        <v>121</v>
      </c>
      <c r="BC1845" s="864">
        <v>45990</v>
      </c>
      <c r="BD1845" s="860" t="s">
        <v>6297</v>
      </c>
      <c r="BE1845" s="865" cm="1">
        <f t="array" ref="BE1845">IF(BD1845="","",AC1845/SUMPRODUCT(--(BD1845=$BD$4:$BD$12824),$AC$4:$AC$12824))</f>
        <v>2.5718824915358162E-2</v>
      </c>
      <c r="BF1845" s="458"/>
      <c r="BG1845" s="458"/>
      <c r="BH1845" s="458"/>
      <c r="BI1845" s="458"/>
      <c r="BJ1845" s="458"/>
      <c r="BK1845" s="458"/>
      <c r="BL1845" s="458"/>
      <c r="BM1845" s="458"/>
      <c r="BN1845" s="458"/>
      <c r="BO1845" s="866">
        <f>VLOOKUP(BD1845,$BD$4:$BN$12824,3,0)*BE1845</f>
        <v>991668.32856059878</v>
      </c>
      <c r="BP1845" s="866"/>
      <c r="BQ1845" s="866"/>
      <c r="BR1845" s="866">
        <f>VLOOKUP(BD1845,$BD$4:$BN$12824,6,0)*BE1845</f>
        <v>422483.6607865775</v>
      </c>
      <c r="BS1845" s="866">
        <f>VLOOKUP(BD1845,$BD$4:$BN$12824,7,0)*BE1845</f>
        <v>80272.824761068419</v>
      </c>
      <c r="BT1845" s="866"/>
      <c r="BU1845" s="866">
        <f>VLOOKUP(BD1845,$BD$4:$BN$12824,9,0)*BE1845</f>
        <v>3114.9354796236039</v>
      </c>
      <c r="BV1845" s="867"/>
      <c r="BW1845" s="867">
        <f>VLOOKUP(BD1845,$BD$4:$BN$12824,11,0)*BE1845</f>
        <v>0</v>
      </c>
      <c r="BX1845" s="1146">
        <f t="shared" si="348"/>
        <v>1497539.7495878681</v>
      </c>
      <c r="BY1845" s="867">
        <f t="shared" si="350"/>
        <v>297370.85419106676</v>
      </c>
      <c r="BZ1845" s="867">
        <f t="shared" si="349"/>
        <v>89211256.257320032</v>
      </c>
      <c r="CA1845" s="867">
        <f>_xlfn.MAXIFS($BY$4:$BY$12824,$S$4:$S$12824,$S1845)</f>
        <v>297370.85419106676</v>
      </c>
      <c r="CB1845" s="1032"/>
      <c r="CF1845" s="946">
        <f t="shared" si="358"/>
        <v>85132800</v>
      </c>
    </row>
    <row r="1846" spans="2:84">
      <c r="B1846" s="839" t="s">
        <v>98</v>
      </c>
      <c r="C1846" s="839" t="s">
        <v>273</v>
      </c>
      <c r="D1846" s="839" t="s">
        <v>6289</v>
      </c>
      <c r="E1846" s="839" t="s">
        <v>6290</v>
      </c>
      <c r="F1846" s="841">
        <v>45841</v>
      </c>
      <c r="G1846" s="868" t="s">
        <v>273</v>
      </c>
      <c r="H1846" s="842" t="s">
        <v>134</v>
      </c>
      <c r="I1846" s="883"/>
      <c r="J1846" s="841"/>
      <c r="K1846" s="841"/>
      <c r="L1846" s="843" t="s">
        <v>106</v>
      </c>
      <c r="M1846" s="844" t="s">
        <v>275</v>
      </c>
      <c r="N1846" s="841"/>
      <c r="O1846" s="884" t="s">
        <v>150</v>
      </c>
      <c r="P1846" s="842" t="s">
        <v>124</v>
      </c>
      <c r="Q1846" s="843"/>
      <c r="R1846" s="845" t="str">
        <f t="shared" si="357"/>
        <v>18450</v>
      </c>
      <c r="S1846" s="1127" t="s">
        <v>2401</v>
      </c>
      <c r="T1846" s="885" t="s">
        <v>6311</v>
      </c>
      <c r="U1846" s="886">
        <v>400</v>
      </c>
      <c r="V1846" s="842" t="s">
        <v>3</v>
      </c>
      <c r="W1846" s="846" t="s">
        <v>6312</v>
      </c>
      <c r="X1846" s="847">
        <f t="shared" si="354"/>
        <v>1180</v>
      </c>
      <c r="Y1846" s="853" t="s">
        <v>4582</v>
      </c>
      <c r="Z1846" s="902">
        <v>1.401</v>
      </c>
      <c r="AA1846" s="849"/>
      <c r="AB1846" s="849">
        <f t="shared" si="344"/>
        <v>560.4</v>
      </c>
      <c r="AC1846" s="850">
        <f t="shared" si="345"/>
        <v>560.4</v>
      </c>
      <c r="AD1846" s="851">
        <f t="shared" si="355"/>
        <v>32000</v>
      </c>
      <c r="AE1846" s="852">
        <v>29936.21</v>
      </c>
      <c r="AF1846" s="853">
        <v>0.1</v>
      </c>
      <c r="AG1846" s="854">
        <f t="shared" si="346"/>
        <v>1700205.1145164287</v>
      </c>
      <c r="AH1846" s="853">
        <v>0.08</v>
      </c>
      <c r="AI1846" s="855">
        <f t="shared" si="347"/>
        <v>1478116.5758813142</v>
      </c>
      <c r="AJ1846" s="856" t="s">
        <v>6292</v>
      </c>
      <c r="AK1846" s="857">
        <v>45911</v>
      </c>
      <c r="AL1846" s="843" t="s">
        <v>6293</v>
      </c>
      <c r="AM1846" s="843" t="s">
        <v>6294</v>
      </c>
      <c r="AN1846" s="844" t="s">
        <v>3951</v>
      </c>
      <c r="AO1846" s="844" t="s">
        <v>141</v>
      </c>
      <c r="AP1846" s="841"/>
      <c r="AQ1846" s="841">
        <v>45929</v>
      </c>
      <c r="AR1846" s="841">
        <v>45987</v>
      </c>
      <c r="AS1846" s="842" t="s">
        <v>1284</v>
      </c>
      <c r="AT1846" s="842" t="s">
        <v>1743</v>
      </c>
      <c r="AU1846" s="842" t="s">
        <v>6295</v>
      </c>
      <c r="AV1846" s="845" t="s">
        <v>6296</v>
      </c>
      <c r="AW1846" s="861">
        <v>45986</v>
      </c>
      <c r="AX1846" s="862">
        <v>45987</v>
      </c>
      <c r="AY1846" s="843"/>
      <c r="AZ1846" s="842">
        <v>94031000</v>
      </c>
      <c r="BA1846" s="842" t="s">
        <v>120</v>
      </c>
      <c r="BB1846" s="863" t="s">
        <v>121</v>
      </c>
      <c r="BC1846" s="864">
        <v>45990</v>
      </c>
      <c r="BD1846" s="860" t="s">
        <v>6297</v>
      </c>
      <c r="BE1846" s="865" cm="1">
        <f t="array" ref="BE1846">IF(BD1846="","",AC1846/SUMPRODUCT(--(BD1846=$BD$4:$BD$12824),$AC$4:$AC$12824))</f>
        <v>5.4175422803212723E-3</v>
      </c>
      <c r="BF1846" s="458"/>
      <c r="BG1846" s="458"/>
      <c r="BH1846" s="458"/>
      <c r="BI1846" s="458"/>
      <c r="BJ1846" s="458"/>
      <c r="BK1846" s="458"/>
      <c r="BL1846" s="458"/>
      <c r="BM1846" s="458"/>
      <c r="BN1846" s="458"/>
      <c r="BO1846" s="866">
        <f>VLOOKUP(BD1846,$BD$4:$BN$12824,3,0)*BE1846</f>
        <v>208889.99072521407</v>
      </c>
      <c r="BP1846" s="866"/>
      <c r="BQ1846" s="866"/>
      <c r="BR1846" s="866">
        <f>VLOOKUP(BD1846,$BD$4:$BN$12824,6,0)*BE1846</f>
        <v>88994.077396180277</v>
      </c>
      <c r="BS1846" s="866">
        <f>VLOOKUP(BD1846,$BD$4:$BN$12824,7,0)*BE1846</f>
        <v>16909.070439070343</v>
      </c>
      <c r="BT1846" s="866"/>
      <c r="BU1846" s="866">
        <f>VLOOKUP(BD1846,$BD$4:$BN$12824,9,0)*BE1846</f>
        <v>656.14563328111092</v>
      </c>
      <c r="BV1846" s="867"/>
      <c r="BW1846" s="867">
        <f>VLOOKUP(BD1846,$BD$4:$BN$12824,11,0)*BE1846</f>
        <v>0</v>
      </c>
      <c r="BX1846" s="1146">
        <f t="shared" si="348"/>
        <v>315449.28419374581</v>
      </c>
      <c r="BY1846" s="867">
        <f t="shared" si="350"/>
        <v>46979.766206775435</v>
      </c>
      <c r="BZ1846" s="867">
        <f t="shared" si="349"/>
        <v>18791906.482710175</v>
      </c>
      <c r="CA1846" s="867">
        <f>_xlfn.MAXIFS($BY$4:$BY$12824,$S$4:$S$12824,$S1846)</f>
        <v>46979.766206775435</v>
      </c>
      <c r="CB1846" s="1032"/>
      <c r="CF1846" s="946">
        <f t="shared" si="358"/>
        <v>17932800</v>
      </c>
    </row>
    <row r="1847" spans="2:84">
      <c r="B1847" s="839" t="s">
        <v>98</v>
      </c>
      <c r="C1847" s="839" t="s">
        <v>273</v>
      </c>
      <c r="D1847" s="839" t="s">
        <v>6289</v>
      </c>
      <c r="E1847" s="839" t="s">
        <v>6290</v>
      </c>
      <c r="F1847" s="841">
        <v>45841</v>
      </c>
      <c r="G1847" s="868" t="s">
        <v>273</v>
      </c>
      <c r="H1847" s="842" t="s">
        <v>134</v>
      </c>
      <c r="I1847" s="883"/>
      <c r="J1847" s="841"/>
      <c r="K1847" s="841"/>
      <c r="L1847" s="843" t="s">
        <v>106</v>
      </c>
      <c r="M1847" s="844" t="s">
        <v>275</v>
      </c>
      <c r="N1847" s="841"/>
      <c r="O1847" s="884" t="s">
        <v>150</v>
      </c>
      <c r="P1847" s="842" t="s">
        <v>124</v>
      </c>
      <c r="Q1847" s="843"/>
      <c r="R1847" s="845" t="str">
        <f t="shared" si="357"/>
        <v>12066</v>
      </c>
      <c r="S1847" s="1127" t="s">
        <v>6313</v>
      </c>
      <c r="T1847" s="885" t="s">
        <v>6314</v>
      </c>
      <c r="U1847" s="886">
        <v>32</v>
      </c>
      <c r="V1847" s="842" t="s">
        <v>3</v>
      </c>
      <c r="W1847" s="846" t="s">
        <v>6315</v>
      </c>
      <c r="X1847" s="847">
        <f t="shared" si="354"/>
        <v>464.32</v>
      </c>
      <c r="Y1847" s="853" t="s">
        <v>4582</v>
      </c>
      <c r="Z1847" s="902">
        <v>6.8920000000000003</v>
      </c>
      <c r="AA1847" s="849"/>
      <c r="AB1847" s="849">
        <f t="shared" si="344"/>
        <v>220.54400000000001</v>
      </c>
      <c r="AC1847" s="850">
        <f t="shared" si="345"/>
        <v>220.54400000000001</v>
      </c>
      <c r="AD1847" s="851">
        <f t="shared" si="355"/>
        <v>32000</v>
      </c>
      <c r="AE1847" s="852">
        <v>29936.21</v>
      </c>
      <c r="AF1847" s="853">
        <v>0.1</v>
      </c>
      <c r="AG1847" s="854">
        <f t="shared" si="346"/>
        <v>669111.41466079804</v>
      </c>
      <c r="AH1847" s="853">
        <v>0.08</v>
      </c>
      <c r="AI1847" s="855">
        <f t="shared" si="347"/>
        <v>581709.03303206398</v>
      </c>
      <c r="AJ1847" s="856" t="s">
        <v>6292</v>
      </c>
      <c r="AK1847" s="857">
        <v>45911</v>
      </c>
      <c r="AL1847" s="843" t="s">
        <v>6293</v>
      </c>
      <c r="AM1847" s="843" t="s">
        <v>6294</v>
      </c>
      <c r="AN1847" s="844" t="s">
        <v>3951</v>
      </c>
      <c r="AO1847" s="844" t="s">
        <v>141</v>
      </c>
      <c r="AP1847" s="841"/>
      <c r="AQ1847" s="841">
        <v>45929</v>
      </c>
      <c r="AR1847" s="841">
        <v>45987</v>
      </c>
      <c r="AS1847" s="842" t="s">
        <v>1284</v>
      </c>
      <c r="AT1847" s="842" t="s">
        <v>1743</v>
      </c>
      <c r="AU1847" s="842" t="s">
        <v>6295</v>
      </c>
      <c r="AV1847" s="845" t="s">
        <v>6296</v>
      </c>
      <c r="AW1847" s="861">
        <v>45986</v>
      </c>
      <c r="AX1847" s="862">
        <v>45987</v>
      </c>
      <c r="AY1847" s="843"/>
      <c r="AZ1847" s="842">
        <v>94031000</v>
      </c>
      <c r="BA1847" s="842" t="s">
        <v>120</v>
      </c>
      <c r="BB1847" s="863" t="s">
        <v>121</v>
      </c>
      <c r="BC1847" s="864">
        <v>45990</v>
      </c>
      <c r="BD1847" s="860" t="s">
        <v>6297</v>
      </c>
      <c r="BE1847" s="865" cm="1">
        <f t="array" ref="BE1847">IF(BD1847="","",AC1847/SUMPRODUCT(--(BD1847=$BD$4:$BD$12824),$AC$4:$AC$12824))</f>
        <v>2.1320600368864647E-3</v>
      </c>
      <c r="BF1847" s="458"/>
      <c r="BG1847" s="458"/>
      <c r="BH1847" s="458"/>
      <c r="BI1847" s="458"/>
      <c r="BJ1847" s="458"/>
      <c r="BK1847" s="458"/>
      <c r="BL1847" s="458"/>
      <c r="BM1847" s="458"/>
      <c r="BN1847" s="458"/>
      <c r="BO1847" s="866">
        <f>VLOOKUP(BD1847,$BD$4:$BN$12824,3,0)*BE1847</f>
        <v>82208.126542650993</v>
      </c>
      <c r="BP1847" s="866"/>
      <c r="BQ1847" s="866"/>
      <c r="BR1847" s="866">
        <f>VLOOKUP(BD1847,$BD$4:$BN$12824,6,0)*BE1847</f>
        <v>35023.393656786553</v>
      </c>
      <c r="BS1847" s="866">
        <f>VLOOKUP(BD1847,$BD$4:$BN$12824,7,0)*BE1847</f>
        <v>6654.5218253289258</v>
      </c>
      <c r="BT1847" s="866"/>
      <c r="BU1847" s="866">
        <f>VLOOKUP(BD1847,$BD$4:$BN$12824,9,0)*BE1847</f>
        <v>258.22445136750417</v>
      </c>
      <c r="BV1847" s="867"/>
      <c r="BW1847" s="867">
        <f>VLOOKUP(BD1847,$BD$4:$BN$12824,11,0)*BE1847</f>
        <v>0</v>
      </c>
      <c r="BX1847" s="1146">
        <f t="shared" si="348"/>
        <v>124144.26647613397</v>
      </c>
      <c r="BY1847" s="867">
        <f t="shared" si="350"/>
        <v>231109.59935552915</v>
      </c>
      <c r="BZ1847" s="867">
        <f t="shared" si="349"/>
        <v>7395507.1793769328</v>
      </c>
      <c r="CA1847" s="867">
        <f>_xlfn.MAXIFS($BY$4:$BY$12824,$S$4:$S$12824,$S1847)</f>
        <v>231109.59935552915</v>
      </c>
      <c r="CB1847" s="1032"/>
      <c r="CF1847" s="946">
        <f t="shared" si="358"/>
        <v>7057408</v>
      </c>
    </row>
    <row r="1848" spans="2:84">
      <c r="B1848" s="839" t="s">
        <v>98</v>
      </c>
      <c r="C1848" s="839" t="s">
        <v>273</v>
      </c>
      <c r="D1848" s="839" t="s">
        <v>6289</v>
      </c>
      <c r="E1848" s="839" t="s">
        <v>6290</v>
      </c>
      <c r="F1848" s="841">
        <v>45841</v>
      </c>
      <c r="G1848" s="868" t="s">
        <v>273</v>
      </c>
      <c r="H1848" s="842" t="s">
        <v>134</v>
      </c>
      <c r="I1848" s="883"/>
      <c r="J1848" s="841"/>
      <c r="K1848" s="841"/>
      <c r="L1848" s="843" t="s">
        <v>106</v>
      </c>
      <c r="M1848" s="844" t="s">
        <v>275</v>
      </c>
      <c r="N1848" s="841"/>
      <c r="O1848" s="884" t="s">
        <v>150</v>
      </c>
      <c r="P1848" s="842" t="s">
        <v>124</v>
      </c>
      <c r="Q1848" s="843"/>
      <c r="R1848" s="845">
        <v>11103.24</v>
      </c>
      <c r="S1848" s="1127" t="s">
        <v>4019</v>
      </c>
      <c r="T1848" s="885" t="s">
        <v>4020</v>
      </c>
      <c r="U1848" s="886">
        <v>2</v>
      </c>
      <c r="V1848" s="842" t="s">
        <v>3</v>
      </c>
      <c r="W1848" s="846" t="s">
        <v>6316</v>
      </c>
      <c r="X1848" s="847">
        <f t="shared" si="354"/>
        <v>156.58000000000001</v>
      </c>
      <c r="Y1848" s="853" t="s">
        <v>4582</v>
      </c>
      <c r="Z1848" s="902">
        <v>37.188000000000002</v>
      </c>
      <c r="AA1848" s="849"/>
      <c r="AB1848" s="849">
        <f t="shared" si="344"/>
        <v>74.376000000000005</v>
      </c>
      <c r="AC1848" s="850">
        <f t="shared" si="345"/>
        <v>74.376000000000005</v>
      </c>
      <c r="AD1848" s="851">
        <f t="shared" si="355"/>
        <v>32000</v>
      </c>
      <c r="AE1848" s="852">
        <v>29936.21</v>
      </c>
      <c r="AF1848" s="853">
        <v>0.1</v>
      </c>
      <c r="AG1848" s="854">
        <f t="shared" si="346"/>
        <v>225650.34903153797</v>
      </c>
      <c r="AH1848" s="853">
        <v>0.08</v>
      </c>
      <c r="AI1848" s="855">
        <f t="shared" si="347"/>
        <v>196174.87231932301</v>
      </c>
      <c r="AJ1848" s="856" t="s">
        <v>6292</v>
      </c>
      <c r="AK1848" s="857">
        <v>45911</v>
      </c>
      <c r="AL1848" s="843" t="s">
        <v>6293</v>
      </c>
      <c r="AM1848" s="843" t="s">
        <v>6294</v>
      </c>
      <c r="AN1848" s="844" t="s">
        <v>3951</v>
      </c>
      <c r="AO1848" s="844" t="s">
        <v>141</v>
      </c>
      <c r="AP1848" s="841"/>
      <c r="AQ1848" s="841">
        <v>45929</v>
      </c>
      <c r="AR1848" s="841">
        <v>45987</v>
      </c>
      <c r="AS1848" s="842" t="s">
        <v>1284</v>
      </c>
      <c r="AT1848" s="842" t="s">
        <v>1743</v>
      </c>
      <c r="AU1848" s="842" t="s">
        <v>6295</v>
      </c>
      <c r="AV1848" s="845" t="s">
        <v>6296</v>
      </c>
      <c r="AW1848" s="861">
        <v>45986</v>
      </c>
      <c r="AX1848" s="862">
        <v>45987</v>
      </c>
      <c r="AY1848" s="843"/>
      <c r="AZ1848" s="842">
        <v>94031000</v>
      </c>
      <c r="BA1848" s="842" t="s">
        <v>120</v>
      </c>
      <c r="BB1848" s="863" t="s">
        <v>121</v>
      </c>
      <c r="BC1848" s="864">
        <v>45990</v>
      </c>
      <c r="BD1848" s="860" t="s">
        <v>6297</v>
      </c>
      <c r="BE1848" s="865" cm="1">
        <f t="array" ref="BE1848">IF(BD1848="","",AC1848/SUMPRODUCT(--(BD1848=$BD$4:$BD$12824),$AC$4:$AC$12824))</f>
        <v>7.1901342726833509E-4</v>
      </c>
      <c r="BF1848" s="458"/>
      <c r="BG1848" s="458"/>
      <c r="BH1848" s="458"/>
      <c r="BI1848" s="458"/>
      <c r="BJ1848" s="458"/>
      <c r="BK1848" s="458"/>
      <c r="BL1848" s="458"/>
      <c r="BM1848" s="458"/>
      <c r="BN1848" s="458"/>
      <c r="BO1848" s="866">
        <f>VLOOKUP(BD1848,$BD$4:$BN$12824,3,0)*BE1848</f>
        <v>27723.772216592653</v>
      </c>
      <c r="BP1848" s="866"/>
      <c r="BQ1848" s="866"/>
      <c r="BR1848" s="866">
        <f>VLOOKUP(BD1848,$BD$4:$BN$12824,6,0)*BE1848</f>
        <v>11811.248216306754</v>
      </c>
      <c r="BS1848" s="866">
        <f>VLOOKUP(BD1848,$BD$4:$BN$12824,7,0)*BE1848</f>
        <v>2244.1631387871089</v>
      </c>
      <c r="BT1848" s="866"/>
      <c r="BU1848" s="866">
        <f>VLOOKUP(BD1848,$BD$4:$BN$12824,9,0)*BE1848</f>
        <v>87.083311243604399</v>
      </c>
      <c r="BV1848" s="867"/>
      <c r="BW1848" s="867">
        <f>VLOOKUP(BD1848,$BD$4:$BN$12824,11,0)*BE1848</f>
        <v>0</v>
      </c>
      <c r="BX1848" s="1146">
        <f t="shared" si="348"/>
        <v>41866.266882930118</v>
      </c>
      <c r="BY1848" s="867">
        <f t="shared" si="350"/>
        <v>1247026.0854372338</v>
      </c>
      <c r="BZ1848" s="867">
        <f t="shared" si="349"/>
        <v>2494052.1708744676</v>
      </c>
      <c r="CA1848" s="867">
        <f>_xlfn.MAXIFS($BY$4:$BY$12824,$S$4:$S$12824,$S1848)</f>
        <v>1720626.9149939986</v>
      </c>
      <c r="CB1848" s="1032"/>
      <c r="CF1848" s="946">
        <f t="shared" si="358"/>
        <v>2380032</v>
      </c>
    </row>
    <row r="1849" spans="2:84">
      <c r="B1849" s="839" t="s">
        <v>98</v>
      </c>
      <c r="C1849" s="839" t="s">
        <v>273</v>
      </c>
      <c r="D1849" s="839" t="s">
        <v>6289</v>
      </c>
      <c r="E1849" s="839" t="s">
        <v>6290</v>
      </c>
      <c r="F1849" s="841">
        <v>45841</v>
      </c>
      <c r="G1849" s="868" t="s">
        <v>273</v>
      </c>
      <c r="H1849" s="842" t="s">
        <v>134</v>
      </c>
      <c r="I1849" s="883"/>
      <c r="J1849" s="841"/>
      <c r="K1849" s="841"/>
      <c r="L1849" s="843" t="s">
        <v>106</v>
      </c>
      <c r="M1849" s="844" t="s">
        <v>275</v>
      </c>
      <c r="N1849" s="841"/>
      <c r="O1849" s="884" t="s">
        <v>150</v>
      </c>
      <c r="P1849" s="842" t="s">
        <v>124</v>
      </c>
      <c r="Q1849" s="843"/>
      <c r="R1849" s="845">
        <v>16171.24</v>
      </c>
      <c r="S1849" s="1127" t="s">
        <v>6317</v>
      </c>
      <c r="T1849" s="885" t="s">
        <v>6318</v>
      </c>
      <c r="U1849" s="886">
        <v>2</v>
      </c>
      <c r="V1849" s="842" t="s">
        <v>3</v>
      </c>
      <c r="W1849" s="846" t="s">
        <v>6319</v>
      </c>
      <c r="X1849" s="847">
        <f t="shared" si="354"/>
        <v>91.74</v>
      </c>
      <c r="Y1849" s="853" t="s">
        <v>4582</v>
      </c>
      <c r="Z1849" s="902">
        <v>21.788</v>
      </c>
      <c r="AA1849" s="849"/>
      <c r="AB1849" s="849">
        <f t="shared" si="344"/>
        <v>43.576000000000001</v>
      </c>
      <c r="AC1849" s="850">
        <f t="shared" si="345"/>
        <v>43.576000000000001</v>
      </c>
      <c r="AD1849" s="851">
        <f t="shared" si="355"/>
        <v>32000</v>
      </c>
      <c r="AE1849" s="852">
        <v>29936.21</v>
      </c>
      <c r="AF1849" s="853">
        <v>0.1</v>
      </c>
      <c r="AG1849" s="854">
        <f t="shared" si="346"/>
        <v>132205.81382970716</v>
      </c>
      <c r="AH1849" s="853">
        <v>0.08</v>
      </c>
      <c r="AI1849" s="855">
        <f t="shared" si="347"/>
        <v>114936.48806317657</v>
      </c>
      <c r="AJ1849" s="856" t="s">
        <v>6292</v>
      </c>
      <c r="AK1849" s="857">
        <v>45911</v>
      </c>
      <c r="AL1849" s="843" t="s">
        <v>6293</v>
      </c>
      <c r="AM1849" s="843" t="s">
        <v>6294</v>
      </c>
      <c r="AN1849" s="844" t="s">
        <v>3951</v>
      </c>
      <c r="AO1849" s="844" t="s">
        <v>141</v>
      </c>
      <c r="AP1849" s="841"/>
      <c r="AQ1849" s="841">
        <v>45929</v>
      </c>
      <c r="AR1849" s="841">
        <v>45987</v>
      </c>
      <c r="AS1849" s="842" t="s">
        <v>1284</v>
      </c>
      <c r="AT1849" s="842" t="s">
        <v>1743</v>
      </c>
      <c r="AU1849" s="842" t="s">
        <v>6295</v>
      </c>
      <c r="AV1849" s="845" t="s">
        <v>6296</v>
      </c>
      <c r="AW1849" s="861">
        <v>45986</v>
      </c>
      <c r="AX1849" s="862">
        <v>45987</v>
      </c>
      <c r="AY1849" s="843"/>
      <c r="AZ1849" s="842">
        <v>94031000</v>
      </c>
      <c r="BA1849" s="842" t="s">
        <v>120</v>
      </c>
      <c r="BB1849" s="863" t="s">
        <v>121</v>
      </c>
      <c r="BC1849" s="864">
        <v>45990</v>
      </c>
      <c r="BD1849" s="860" t="s">
        <v>6297</v>
      </c>
      <c r="BE1849" s="865" cm="1">
        <f t="array" ref="BE1849">IF(BD1849="","",AC1849/SUMPRODUCT(--(BD1849=$BD$4:$BD$12824),$AC$4:$AC$12824))</f>
        <v>4.2126128195446073E-4</v>
      </c>
      <c r="BF1849" s="458"/>
      <c r="BG1849" s="458"/>
      <c r="BH1849" s="458"/>
      <c r="BI1849" s="458"/>
      <c r="BJ1849" s="458"/>
      <c r="BK1849" s="458"/>
      <c r="BL1849" s="458"/>
      <c r="BM1849" s="458"/>
      <c r="BN1849" s="458"/>
      <c r="BO1849" s="866">
        <f>VLOOKUP(BD1849,$BD$4:$BN$12824,3,0)*BE1849</f>
        <v>16243.023261673679</v>
      </c>
      <c r="BP1849" s="866"/>
      <c r="BQ1849" s="866"/>
      <c r="BR1849" s="866">
        <f>VLOOKUP(BD1849,$BD$4:$BN$12824,6,0)*BE1849</f>
        <v>6920.0676599142625</v>
      </c>
      <c r="BS1849" s="866">
        <f>VLOOKUP(BD1849,$BD$4:$BN$12824,7,0)*BE1849</f>
        <v>1314.828075397804</v>
      </c>
      <c r="BT1849" s="866"/>
      <c r="BU1849" s="866">
        <f>VLOOKUP(BD1849,$BD$4:$BN$12824,9,0)*BE1849</f>
        <v>51.021060163914512</v>
      </c>
      <c r="BV1849" s="867"/>
      <c r="BW1849" s="867">
        <f>VLOOKUP(BD1849,$BD$4:$BN$12824,11,0)*BE1849</f>
        <v>0</v>
      </c>
      <c r="BX1849" s="1146">
        <f t="shared" si="348"/>
        <v>24528.940057149663</v>
      </c>
      <c r="BY1849" s="867">
        <f t="shared" si="350"/>
        <v>730617.52042342839</v>
      </c>
      <c r="BZ1849" s="867">
        <f t="shared" si="349"/>
        <v>1461235.0408468568</v>
      </c>
      <c r="CA1849" s="867">
        <f>_xlfn.MAXIFS($BY$4:$BY$12824,$S$4:$S$12824,$S1849)</f>
        <v>730617.52042342839</v>
      </c>
      <c r="CB1849" s="1032"/>
      <c r="CF1849" s="946">
        <f t="shared" si="358"/>
        <v>1394432</v>
      </c>
    </row>
    <row r="1850" spans="2:84">
      <c r="B1850" s="839" t="s">
        <v>98</v>
      </c>
      <c r="C1850" s="839" t="s">
        <v>273</v>
      </c>
      <c r="D1850" s="839" t="s">
        <v>6289</v>
      </c>
      <c r="E1850" s="839" t="s">
        <v>6290</v>
      </c>
      <c r="F1850" s="841">
        <v>45841</v>
      </c>
      <c r="G1850" s="868" t="s">
        <v>273</v>
      </c>
      <c r="H1850" s="842" t="s">
        <v>134</v>
      </c>
      <c r="I1850" s="883"/>
      <c r="J1850" s="841"/>
      <c r="K1850" s="841"/>
      <c r="L1850" s="843" t="s">
        <v>106</v>
      </c>
      <c r="M1850" s="844" t="s">
        <v>275</v>
      </c>
      <c r="N1850" s="841"/>
      <c r="O1850" s="884" t="s">
        <v>150</v>
      </c>
      <c r="P1850" s="842" t="s">
        <v>124</v>
      </c>
      <c r="Q1850" s="843"/>
      <c r="R1850" s="845" t="str">
        <f t="shared" ref="R1850:R1881" si="359">RIGHT(S1850,8)</f>
        <v>16171.25</v>
      </c>
      <c r="S1850" s="1127" t="s">
        <v>6320</v>
      </c>
      <c r="T1850" s="885" t="s">
        <v>6321</v>
      </c>
      <c r="U1850" s="886">
        <v>2</v>
      </c>
      <c r="V1850" s="842" t="s">
        <v>3</v>
      </c>
      <c r="W1850" s="846" t="s">
        <v>6319</v>
      </c>
      <c r="X1850" s="847">
        <f t="shared" si="354"/>
        <v>91.74</v>
      </c>
      <c r="Y1850" s="853" t="s">
        <v>4582</v>
      </c>
      <c r="Z1850" s="902">
        <v>21.788</v>
      </c>
      <c r="AA1850" s="849"/>
      <c r="AB1850" s="849">
        <f t="shared" si="344"/>
        <v>43.576000000000001</v>
      </c>
      <c r="AC1850" s="850">
        <f t="shared" si="345"/>
        <v>43.576000000000001</v>
      </c>
      <c r="AD1850" s="851">
        <f t="shared" si="355"/>
        <v>32000</v>
      </c>
      <c r="AE1850" s="852">
        <v>29936.21</v>
      </c>
      <c r="AF1850" s="853">
        <v>0.1</v>
      </c>
      <c r="AG1850" s="854">
        <f t="shared" si="346"/>
        <v>132205.81382970716</v>
      </c>
      <c r="AH1850" s="853">
        <v>0.08</v>
      </c>
      <c r="AI1850" s="855">
        <f t="shared" si="347"/>
        <v>114936.48806317657</v>
      </c>
      <c r="AJ1850" s="856" t="s">
        <v>6292</v>
      </c>
      <c r="AK1850" s="857">
        <v>45911</v>
      </c>
      <c r="AL1850" s="843" t="s">
        <v>6293</v>
      </c>
      <c r="AM1850" s="843" t="s">
        <v>6294</v>
      </c>
      <c r="AN1850" s="844" t="s">
        <v>3951</v>
      </c>
      <c r="AO1850" s="844" t="s">
        <v>141</v>
      </c>
      <c r="AP1850" s="841"/>
      <c r="AQ1850" s="841">
        <v>45929</v>
      </c>
      <c r="AR1850" s="841">
        <v>45987</v>
      </c>
      <c r="AS1850" s="842" t="s">
        <v>1284</v>
      </c>
      <c r="AT1850" s="842" t="s">
        <v>1743</v>
      </c>
      <c r="AU1850" s="842" t="s">
        <v>6295</v>
      </c>
      <c r="AV1850" s="845" t="s">
        <v>6296</v>
      </c>
      <c r="AW1850" s="861">
        <v>45986</v>
      </c>
      <c r="AX1850" s="862">
        <v>45987</v>
      </c>
      <c r="AY1850" s="843"/>
      <c r="AZ1850" s="842">
        <v>94031000</v>
      </c>
      <c r="BA1850" s="842" t="s">
        <v>120</v>
      </c>
      <c r="BB1850" s="863" t="s">
        <v>121</v>
      </c>
      <c r="BC1850" s="864">
        <v>45990</v>
      </c>
      <c r="BD1850" s="860" t="s">
        <v>6297</v>
      </c>
      <c r="BE1850" s="865" cm="1">
        <f t="array" ref="BE1850">IF(BD1850="","",AC1850/SUMPRODUCT(--(BD1850=$BD$4:$BD$12824),$AC$4:$AC$12824))</f>
        <v>4.2126128195446073E-4</v>
      </c>
      <c r="BF1850" s="458"/>
      <c r="BG1850" s="458"/>
      <c r="BH1850" s="458"/>
      <c r="BI1850" s="458"/>
      <c r="BJ1850" s="458"/>
      <c r="BK1850" s="458"/>
      <c r="BL1850" s="458"/>
      <c r="BM1850" s="458"/>
      <c r="BN1850" s="458"/>
      <c r="BO1850" s="866">
        <f>VLOOKUP(BD1850,$BD$4:$BN$12824,3,0)*BE1850</f>
        <v>16243.023261673679</v>
      </c>
      <c r="BP1850" s="866"/>
      <c r="BQ1850" s="866"/>
      <c r="BR1850" s="866">
        <f>VLOOKUP(BD1850,$BD$4:$BN$12824,6,0)*BE1850</f>
        <v>6920.0676599142625</v>
      </c>
      <c r="BS1850" s="866">
        <f>VLOOKUP(BD1850,$BD$4:$BN$12824,7,0)*BE1850</f>
        <v>1314.828075397804</v>
      </c>
      <c r="BT1850" s="866"/>
      <c r="BU1850" s="866">
        <f>VLOOKUP(BD1850,$BD$4:$BN$12824,9,0)*BE1850</f>
        <v>51.021060163914512</v>
      </c>
      <c r="BV1850" s="867"/>
      <c r="BW1850" s="867">
        <f>VLOOKUP(BD1850,$BD$4:$BN$12824,11,0)*BE1850</f>
        <v>0</v>
      </c>
      <c r="BX1850" s="1146">
        <f t="shared" si="348"/>
        <v>24528.940057149663</v>
      </c>
      <c r="BY1850" s="867">
        <f t="shared" si="350"/>
        <v>730617.52042342839</v>
      </c>
      <c r="BZ1850" s="867">
        <f t="shared" si="349"/>
        <v>1461235.0408468568</v>
      </c>
      <c r="CA1850" s="867">
        <f>_xlfn.MAXIFS($BY$4:$BY$12824,$S$4:$S$12824,$S1850)</f>
        <v>730617.52042342839</v>
      </c>
      <c r="CB1850" s="1032"/>
      <c r="CF1850" s="946">
        <f t="shared" si="358"/>
        <v>1394432</v>
      </c>
    </row>
    <row r="1851" spans="2:84">
      <c r="B1851" s="839" t="s">
        <v>98</v>
      </c>
      <c r="C1851" s="839" t="s">
        <v>273</v>
      </c>
      <c r="D1851" s="839" t="s">
        <v>6289</v>
      </c>
      <c r="E1851" s="839" t="s">
        <v>6290</v>
      </c>
      <c r="F1851" s="841">
        <v>45841</v>
      </c>
      <c r="G1851" s="868" t="s">
        <v>273</v>
      </c>
      <c r="H1851" s="842" t="s">
        <v>134</v>
      </c>
      <c r="I1851" s="883"/>
      <c r="J1851" s="841"/>
      <c r="K1851" s="841"/>
      <c r="L1851" s="843" t="s">
        <v>106</v>
      </c>
      <c r="M1851" s="844" t="s">
        <v>275</v>
      </c>
      <c r="N1851" s="841"/>
      <c r="O1851" s="884" t="s">
        <v>150</v>
      </c>
      <c r="P1851" s="842" t="s">
        <v>124</v>
      </c>
      <c r="Q1851" s="843"/>
      <c r="R1851" s="845" t="str">
        <f t="shared" si="359"/>
        <v>11207.22</v>
      </c>
      <c r="S1851" s="1127" t="s">
        <v>1116</v>
      </c>
      <c r="T1851" s="885" t="s">
        <v>1117</v>
      </c>
      <c r="U1851" s="886">
        <v>30</v>
      </c>
      <c r="V1851" s="842" t="s">
        <v>3</v>
      </c>
      <c r="W1851" s="846" t="s">
        <v>4532</v>
      </c>
      <c r="X1851" s="847">
        <f t="shared" si="354"/>
        <v>1284.3000000000002</v>
      </c>
      <c r="Y1851" s="853" t="s">
        <v>4582</v>
      </c>
      <c r="Z1851" s="902">
        <v>20.335000000000001</v>
      </c>
      <c r="AA1851" s="849"/>
      <c r="AB1851" s="849">
        <f t="shared" si="344"/>
        <v>610.05000000000007</v>
      </c>
      <c r="AC1851" s="850">
        <f t="shared" si="345"/>
        <v>610.05000000000007</v>
      </c>
      <c r="AD1851" s="851">
        <f t="shared" si="355"/>
        <v>32000</v>
      </c>
      <c r="AE1851" s="852">
        <v>29936.21</v>
      </c>
      <c r="AF1851" s="853">
        <v>0.1</v>
      </c>
      <c r="AG1851" s="854">
        <f t="shared" si="346"/>
        <v>1850838.9188271721</v>
      </c>
      <c r="AH1851" s="853">
        <v>0.08</v>
      </c>
      <c r="AI1851" s="855">
        <f t="shared" si="347"/>
        <v>1609073.906346174</v>
      </c>
      <c r="AJ1851" s="856" t="s">
        <v>6292</v>
      </c>
      <c r="AK1851" s="857">
        <v>45911</v>
      </c>
      <c r="AL1851" s="843" t="s">
        <v>6293</v>
      </c>
      <c r="AM1851" s="843" t="s">
        <v>6294</v>
      </c>
      <c r="AN1851" s="844" t="s">
        <v>3951</v>
      </c>
      <c r="AO1851" s="844" t="s">
        <v>141</v>
      </c>
      <c r="AP1851" s="841"/>
      <c r="AQ1851" s="841">
        <v>45929</v>
      </c>
      <c r="AR1851" s="841">
        <v>45987</v>
      </c>
      <c r="AS1851" s="842" t="s">
        <v>1284</v>
      </c>
      <c r="AT1851" s="842" t="s">
        <v>1743</v>
      </c>
      <c r="AU1851" s="842" t="s">
        <v>6295</v>
      </c>
      <c r="AV1851" s="845" t="s">
        <v>6296</v>
      </c>
      <c r="AW1851" s="861">
        <v>45986</v>
      </c>
      <c r="AX1851" s="862">
        <v>45987</v>
      </c>
      <c r="AY1851" s="843"/>
      <c r="AZ1851" s="842">
        <v>94031000</v>
      </c>
      <c r="BA1851" s="842" t="s">
        <v>120</v>
      </c>
      <c r="BB1851" s="863" t="s">
        <v>121</v>
      </c>
      <c r="BC1851" s="864">
        <v>45990</v>
      </c>
      <c r="BD1851" s="860" t="s">
        <v>6297</v>
      </c>
      <c r="BE1851" s="865" cm="1">
        <f t="array" ref="BE1851">IF(BD1851="","",AC1851/SUMPRODUCT(--(BD1851=$BD$4:$BD$12824),$AC$4:$AC$12824))</f>
        <v>5.8975226054782167E-3</v>
      </c>
      <c r="BF1851" s="458"/>
      <c r="BG1851" s="458"/>
      <c r="BH1851" s="458"/>
      <c r="BI1851" s="458"/>
      <c r="BJ1851" s="458"/>
      <c r="BK1851" s="458"/>
      <c r="BL1851" s="458"/>
      <c r="BM1851" s="458"/>
      <c r="BN1851" s="458"/>
      <c r="BO1851" s="866">
        <f>VLOOKUP(BD1851,$BD$4:$BN$12824,3,0)*BE1851</f>
        <v>227397.10714117927</v>
      </c>
      <c r="BP1851" s="866"/>
      <c r="BQ1851" s="866"/>
      <c r="BR1851" s="866">
        <f>VLOOKUP(BD1851,$BD$4:$BN$12824,6,0)*BE1851</f>
        <v>96878.723974910405</v>
      </c>
      <c r="BS1851" s="866">
        <f>VLOOKUP(BD1851,$BD$4:$BN$12824,7,0)*BE1851</f>
        <v>18407.170630540444</v>
      </c>
      <c r="BT1851" s="866"/>
      <c r="BU1851" s="866">
        <f>VLOOKUP(BD1851,$BD$4:$BN$12824,9,0)*BE1851</f>
        <v>714.27845036249425</v>
      </c>
      <c r="BV1851" s="867"/>
      <c r="BW1851" s="867">
        <f>VLOOKUP(BD1851,$BD$4:$BN$12824,11,0)*BE1851</f>
        <v>0</v>
      </c>
      <c r="BX1851" s="1146">
        <f t="shared" si="348"/>
        <v>343397.28019699262</v>
      </c>
      <c r="BY1851" s="867">
        <f t="shared" si="350"/>
        <v>681894.03698413877</v>
      </c>
      <c r="BZ1851" s="867">
        <f t="shared" si="349"/>
        <v>20456821.109524164</v>
      </c>
      <c r="CA1851" s="867">
        <f>_xlfn.MAXIFS($BY$4:$BY$12824,$S$4:$S$12824,$S1851)</f>
        <v>780120.11084672064</v>
      </c>
      <c r="CB1851" s="1032"/>
      <c r="CF1851" s="946">
        <f t="shared" si="358"/>
        <v>19521600.000000004</v>
      </c>
    </row>
    <row r="1852" spans="2:84">
      <c r="B1852" s="839" t="s">
        <v>98</v>
      </c>
      <c r="C1852" s="839" t="s">
        <v>273</v>
      </c>
      <c r="D1852" s="839" t="s">
        <v>6289</v>
      </c>
      <c r="E1852" s="839" t="s">
        <v>6290</v>
      </c>
      <c r="F1852" s="841">
        <v>45841</v>
      </c>
      <c r="G1852" s="868" t="s">
        <v>273</v>
      </c>
      <c r="H1852" s="842" t="s">
        <v>134</v>
      </c>
      <c r="I1852" s="883"/>
      <c r="J1852" s="841"/>
      <c r="K1852" s="841"/>
      <c r="L1852" s="843" t="s">
        <v>106</v>
      </c>
      <c r="M1852" s="844" t="s">
        <v>275</v>
      </c>
      <c r="N1852" s="841"/>
      <c r="O1852" s="884" t="s">
        <v>150</v>
      </c>
      <c r="P1852" s="842" t="s">
        <v>124</v>
      </c>
      <c r="Q1852" s="843"/>
      <c r="R1852" s="845" t="str">
        <f t="shared" si="359"/>
        <v>11207.23</v>
      </c>
      <c r="S1852" s="1127" t="s">
        <v>6322</v>
      </c>
      <c r="T1852" s="885" t="s">
        <v>6323</v>
      </c>
      <c r="U1852" s="886">
        <v>70</v>
      </c>
      <c r="V1852" s="842" t="s">
        <v>3</v>
      </c>
      <c r="W1852" s="846" t="s">
        <v>4532</v>
      </c>
      <c r="X1852" s="847">
        <f t="shared" si="354"/>
        <v>2996.7000000000003</v>
      </c>
      <c r="Y1852" s="853" t="s">
        <v>4582</v>
      </c>
      <c r="Z1852" s="902">
        <v>20.335000000000001</v>
      </c>
      <c r="AA1852" s="849"/>
      <c r="AB1852" s="849">
        <f t="shared" si="344"/>
        <v>1423.45</v>
      </c>
      <c r="AC1852" s="850">
        <f t="shared" si="345"/>
        <v>1423.45</v>
      </c>
      <c r="AD1852" s="851">
        <f t="shared" si="355"/>
        <v>32000</v>
      </c>
      <c r="AE1852" s="852">
        <v>29936.21</v>
      </c>
      <c r="AF1852" s="853">
        <v>0.1</v>
      </c>
      <c r="AG1852" s="854">
        <f t="shared" si="346"/>
        <v>4318624.1439300682</v>
      </c>
      <c r="AH1852" s="853">
        <v>0.08</v>
      </c>
      <c r="AI1852" s="855">
        <f t="shared" si="347"/>
        <v>3754505.7814744054</v>
      </c>
      <c r="AJ1852" s="856" t="s">
        <v>6292</v>
      </c>
      <c r="AK1852" s="857">
        <v>45911</v>
      </c>
      <c r="AL1852" s="843" t="s">
        <v>6293</v>
      </c>
      <c r="AM1852" s="843" t="s">
        <v>6294</v>
      </c>
      <c r="AN1852" s="844" t="s">
        <v>3951</v>
      </c>
      <c r="AO1852" s="844" t="s">
        <v>141</v>
      </c>
      <c r="AP1852" s="841"/>
      <c r="AQ1852" s="841">
        <v>45929</v>
      </c>
      <c r="AR1852" s="841">
        <v>45987</v>
      </c>
      <c r="AS1852" s="842" t="s">
        <v>1284</v>
      </c>
      <c r="AT1852" s="842" t="s">
        <v>1743</v>
      </c>
      <c r="AU1852" s="842" t="s">
        <v>6295</v>
      </c>
      <c r="AV1852" s="845" t="s">
        <v>6296</v>
      </c>
      <c r="AW1852" s="861">
        <v>45986</v>
      </c>
      <c r="AX1852" s="862">
        <v>45987</v>
      </c>
      <c r="AY1852" s="843"/>
      <c r="AZ1852" s="842">
        <v>94031000</v>
      </c>
      <c r="BA1852" s="842" t="s">
        <v>120</v>
      </c>
      <c r="BB1852" s="863" t="s">
        <v>121</v>
      </c>
      <c r="BC1852" s="864">
        <v>45990</v>
      </c>
      <c r="BD1852" s="860" t="s">
        <v>6297</v>
      </c>
      <c r="BE1852" s="865" cm="1">
        <f t="array" ref="BE1852">IF(BD1852="","",AC1852/SUMPRODUCT(--(BD1852=$BD$4:$BD$12824),$AC$4:$AC$12824))</f>
        <v>1.3760886079449171E-2</v>
      </c>
      <c r="BF1852" s="458"/>
      <c r="BG1852" s="458"/>
      <c r="BH1852" s="458"/>
      <c r="BI1852" s="458"/>
      <c r="BJ1852" s="458"/>
      <c r="BK1852" s="458"/>
      <c r="BL1852" s="458"/>
      <c r="BM1852" s="458"/>
      <c r="BN1852" s="458"/>
      <c r="BO1852" s="866">
        <f>VLOOKUP(BD1852,$BD$4:$BN$12824,3,0)*BE1852</f>
        <v>530593.24999608495</v>
      </c>
      <c r="BP1852" s="866"/>
      <c r="BQ1852" s="866"/>
      <c r="BR1852" s="866">
        <f>VLOOKUP(BD1852,$BD$4:$BN$12824,6,0)*BE1852</f>
        <v>226050.35594145759</v>
      </c>
      <c r="BS1852" s="866">
        <f>VLOOKUP(BD1852,$BD$4:$BN$12824,7,0)*BE1852</f>
        <v>42950.06480459436</v>
      </c>
      <c r="BT1852" s="866"/>
      <c r="BU1852" s="866">
        <f>VLOOKUP(BD1852,$BD$4:$BN$12824,9,0)*BE1852</f>
        <v>1666.6497175124864</v>
      </c>
      <c r="BV1852" s="867"/>
      <c r="BW1852" s="867">
        <f>VLOOKUP(BD1852,$BD$4:$BN$12824,11,0)*BE1852</f>
        <v>0</v>
      </c>
      <c r="BX1852" s="1146">
        <f t="shared" si="348"/>
        <v>801260.32045964943</v>
      </c>
      <c r="BY1852" s="867">
        <f t="shared" si="350"/>
        <v>681894.03698413877</v>
      </c>
      <c r="BZ1852" s="867">
        <f t="shared" si="349"/>
        <v>47732582.588889711</v>
      </c>
      <c r="CA1852" s="867">
        <f>_xlfn.MAXIFS($BY$4:$BY$12824,$S$4:$S$12824,$S1852)</f>
        <v>681894.03698413877</v>
      </c>
      <c r="CB1852" s="1032"/>
      <c r="CF1852" s="946">
        <f t="shared" si="358"/>
        <v>45550400</v>
      </c>
    </row>
    <row r="1853" spans="2:84">
      <c r="B1853" s="839" t="s">
        <v>98</v>
      </c>
      <c r="C1853" s="839" t="s">
        <v>273</v>
      </c>
      <c r="D1853" s="839" t="s">
        <v>6289</v>
      </c>
      <c r="E1853" s="839" t="s">
        <v>6290</v>
      </c>
      <c r="F1853" s="841">
        <v>45841</v>
      </c>
      <c r="G1853" s="868" t="s">
        <v>273</v>
      </c>
      <c r="H1853" s="842" t="s">
        <v>134</v>
      </c>
      <c r="I1853" s="883"/>
      <c r="J1853" s="841"/>
      <c r="K1853" s="841"/>
      <c r="L1853" s="843" t="s">
        <v>106</v>
      </c>
      <c r="M1853" s="844" t="s">
        <v>275</v>
      </c>
      <c r="N1853" s="841"/>
      <c r="O1853" s="884" t="s">
        <v>150</v>
      </c>
      <c r="P1853" s="842" t="s">
        <v>124</v>
      </c>
      <c r="Q1853" s="843"/>
      <c r="R1853" s="845" t="str">
        <f t="shared" si="359"/>
        <v>11207.24</v>
      </c>
      <c r="S1853" s="1127" t="s">
        <v>3955</v>
      </c>
      <c r="T1853" s="885" t="s">
        <v>3956</v>
      </c>
      <c r="U1853" s="886">
        <v>300</v>
      </c>
      <c r="V1853" s="842" t="s">
        <v>3</v>
      </c>
      <c r="W1853" s="846" t="s">
        <v>4532</v>
      </c>
      <c r="X1853" s="847">
        <f t="shared" si="354"/>
        <v>12843</v>
      </c>
      <c r="Y1853" s="853" t="s">
        <v>4582</v>
      </c>
      <c r="Z1853" s="902">
        <v>20.335000000000001</v>
      </c>
      <c r="AA1853" s="849"/>
      <c r="AB1853" s="849">
        <f t="shared" si="344"/>
        <v>6100.5</v>
      </c>
      <c r="AC1853" s="850">
        <f t="shared" si="345"/>
        <v>6100.5</v>
      </c>
      <c r="AD1853" s="851">
        <f t="shared" si="355"/>
        <v>32000</v>
      </c>
      <c r="AE1853" s="852">
        <v>29936.21</v>
      </c>
      <c r="AF1853" s="853">
        <v>0.1</v>
      </c>
      <c r="AG1853" s="854">
        <f t="shared" si="346"/>
        <v>18508389.18827172</v>
      </c>
      <c r="AH1853" s="853">
        <v>0.08</v>
      </c>
      <c r="AI1853" s="855">
        <f t="shared" si="347"/>
        <v>16090739.063461738</v>
      </c>
      <c r="AJ1853" s="856" t="s">
        <v>6292</v>
      </c>
      <c r="AK1853" s="857">
        <v>45911</v>
      </c>
      <c r="AL1853" s="843" t="s">
        <v>6293</v>
      </c>
      <c r="AM1853" s="843" t="s">
        <v>6294</v>
      </c>
      <c r="AN1853" s="844" t="s">
        <v>3951</v>
      </c>
      <c r="AO1853" s="844" t="s">
        <v>141</v>
      </c>
      <c r="AP1853" s="841"/>
      <c r="AQ1853" s="841">
        <v>45929</v>
      </c>
      <c r="AR1853" s="841">
        <v>45987</v>
      </c>
      <c r="AS1853" s="842" t="s">
        <v>1284</v>
      </c>
      <c r="AT1853" s="842" t="s">
        <v>1743</v>
      </c>
      <c r="AU1853" s="842" t="s">
        <v>6295</v>
      </c>
      <c r="AV1853" s="845" t="s">
        <v>6296</v>
      </c>
      <c r="AW1853" s="861">
        <v>45986</v>
      </c>
      <c r="AX1853" s="862">
        <v>45987</v>
      </c>
      <c r="AY1853" s="843"/>
      <c r="AZ1853" s="842">
        <v>94031000</v>
      </c>
      <c r="BA1853" s="842" t="s">
        <v>120</v>
      </c>
      <c r="BB1853" s="863" t="s">
        <v>121</v>
      </c>
      <c r="BC1853" s="864">
        <v>45990</v>
      </c>
      <c r="BD1853" s="860" t="s">
        <v>6297</v>
      </c>
      <c r="BE1853" s="865" cm="1">
        <f t="array" ref="BE1853">IF(BD1853="","",AC1853/SUMPRODUCT(--(BD1853=$BD$4:$BD$12824),$AC$4:$AC$12824))</f>
        <v>5.8975226054782164E-2</v>
      </c>
      <c r="BF1853" s="458"/>
      <c r="BG1853" s="458"/>
      <c r="BH1853" s="458"/>
      <c r="BI1853" s="458"/>
      <c r="BJ1853" s="458"/>
      <c r="BK1853" s="458"/>
      <c r="BL1853" s="458"/>
      <c r="BM1853" s="458"/>
      <c r="BN1853" s="458"/>
      <c r="BO1853" s="866">
        <f>VLOOKUP(BD1853,$BD$4:$BN$12824,3,0)*BE1853</f>
        <v>2273971.0714117927</v>
      </c>
      <c r="BP1853" s="866"/>
      <c r="BQ1853" s="866"/>
      <c r="BR1853" s="866">
        <f>VLOOKUP(BD1853,$BD$4:$BN$12824,6,0)*BE1853</f>
        <v>968787.2397491039</v>
      </c>
      <c r="BS1853" s="866">
        <f>VLOOKUP(BD1853,$BD$4:$BN$12824,7,0)*BE1853</f>
        <v>184071.70630540443</v>
      </c>
      <c r="BT1853" s="866"/>
      <c r="BU1853" s="866">
        <f>VLOOKUP(BD1853,$BD$4:$BN$12824,9,0)*BE1853</f>
        <v>7142.7845036249419</v>
      </c>
      <c r="BV1853" s="867"/>
      <c r="BW1853" s="867">
        <f>VLOOKUP(BD1853,$BD$4:$BN$12824,11,0)*BE1853</f>
        <v>0</v>
      </c>
      <c r="BX1853" s="1146">
        <f t="shared" si="348"/>
        <v>3433972.8019699259</v>
      </c>
      <c r="BY1853" s="867">
        <f t="shared" si="350"/>
        <v>681894.03698413877</v>
      </c>
      <c r="BZ1853" s="867">
        <f t="shared" si="349"/>
        <v>204568211.09524164</v>
      </c>
      <c r="CA1853" s="867">
        <f>_xlfn.MAXIFS($BY$4:$BY$12824,$S$4:$S$12824,$S1853)</f>
        <v>681894.03698413877</v>
      </c>
      <c r="CB1853" s="1032"/>
      <c r="CF1853" s="946">
        <f t="shared" si="358"/>
        <v>195216000</v>
      </c>
    </row>
    <row r="1854" spans="2:84">
      <c r="B1854" s="839" t="s">
        <v>98</v>
      </c>
      <c r="C1854" s="839" t="s">
        <v>273</v>
      </c>
      <c r="D1854" s="839" t="s">
        <v>6289</v>
      </c>
      <c r="E1854" s="839" t="s">
        <v>6290</v>
      </c>
      <c r="F1854" s="841">
        <v>45841</v>
      </c>
      <c r="G1854" s="868" t="s">
        <v>273</v>
      </c>
      <c r="H1854" s="842" t="s">
        <v>134</v>
      </c>
      <c r="I1854" s="883"/>
      <c r="J1854" s="841"/>
      <c r="K1854" s="841"/>
      <c r="L1854" s="843" t="s">
        <v>106</v>
      </c>
      <c r="M1854" s="844" t="s">
        <v>275</v>
      </c>
      <c r="N1854" s="841"/>
      <c r="O1854" s="884" t="s">
        <v>150</v>
      </c>
      <c r="P1854" s="842" t="s">
        <v>124</v>
      </c>
      <c r="Q1854" s="843"/>
      <c r="R1854" s="845" t="str">
        <f t="shared" si="359"/>
        <v>11207.25</v>
      </c>
      <c r="S1854" s="1127" t="s">
        <v>1102</v>
      </c>
      <c r="T1854" s="885" t="s">
        <v>1103</v>
      </c>
      <c r="U1854" s="886">
        <v>50</v>
      </c>
      <c r="V1854" s="842" t="s">
        <v>3</v>
      </c>
      <c r="W1854" s="846" t="s">
        <v>4532</v>
      </c>
      <c r="X1854" s="847">
        <f t="shared" si="354"/>
        <v>2140.5</v>
      </c>
      <c r="Y1854" s="853" t="s">
        <v>4582</v>
      </c>
      <c r="Z1854" s="902">
        <v>20.335000000000001</v>
      </c>
      <c r="AA1854" s="849"/>
      <c r="AB1854" s="849">
        <f t="shared" si="344"/>
        <v>1016.75</v>
      </c>
      <c r="AC1854" s="850">
        <f t="shared" si="345"/>
        <v>1016.75</v>
      </c>
      <c r="AD1854" s="851">
        <f t="shared" si="355"/>
        <v>32000</v>
      </c>
      <c r="AE1854" s="852">
        <v>29936.21</v>
      </c>
      <c r="AF1854" s="853">
        <v>0.1</v>
      </c>
      <c r="AG1854" s="854">
        <f t="shared" si="346"/>
        <v>3084731.5313786198</v>
      </c>
      <c r="AH1854" s="853">
        <v>0.08</v>
      </c>
      <c r="AI1854" s="855">
        <f t="shared" si="347"/>
        <v>2681789.8439102895</v>
      </c>
      <c r="AJ1854" s="856" t="s">
        <v>6292</v>
      </c>
      <c r="AK1854" s="857">
        <v>45911</v>
      </c>
      <c r="AL1854" s="843" t="s">
        <v>6293</v>
      </c>
      <c r="AM1854" s="843" t="s">
        <v>6294</v>
      </c>
      <c r="AN1854" s="844" t="s">
        <v>3951</v>
      </c>
      <c r="AO1854" s="844" t="s">
        <v>141</v>
      </c>
      <c r="AP1854" s="841"/>
      <c r="AQ1854" s="841">
        <v>45929</v>
      </c>
      <c r="AR1854" s="841">
        <v>45987</v>
      </c>
      <c r="AS1854" s="842" t="s">
        <v>1284</v>
      </c>
      <c r="AT1854" s="842" t="s">
        <v>1743</v>
      </c>
      <c r="AU1854" s="842" t="s">
        <v>6295</v>
      </c>
      <c r="AV1854" s="845" t="s">
        <v>6296</v>
      </c>
      <c r="AW1854" s="861">
        <v>45986</v>
      </c>
      <c r="AX1854" s="862">
        <v>45987</v>
      </c>
      <c r="AY1854" s="843"/>
      <c r="AZ1854" s="842">
        <v>94031000</v>
      </c>
      <c r="BA1854" s="842" t="s">
        <v>120</v>
      </c>
      <c r="BB1854" s="863" t="s">
        <v>121</v>
      </c>
      <c r="BC1854" s="864">
        <v>45990</v>
      </c>
      <c r="BD1854" s="860" t="s">
        <v>6297</v>
      </c>
      <c r="BE1854" s="865" cm="1">
        <f t="array" ref="BE1854">IF(BD1854="","",AC1854/SUMPRODUCT(--(BD1854=$BD$4:$BD$12824),$AC$4:$AC$12824))</f>
        <v>9.8292043424636939E-3</v>
      </c>
      <c r="BF1854" s="458"/>
      <c r="BG1854" s="458"/>
      <c r="BH1854" s="458"/>
      <c r="BI1854" s="458"/>
      <c r="BJ1854" s="458"/>
      <c r="BK1854" s="458"/>
      <c r="BL1854" s="458"/>
      <c r="BM1854" s="458"/>
      <c r="BN1854" s="458"/>
      <c r="BO1854" s="866">
        <f>VLOOKUP(BD1854,$BD$4:$BN$12824,3,0)*BE1854</f>
        <v>378995.17856863211</v>
      </c>
      <c r="BP1854" s="866"/>
      <c r="BQ1854" s="866"/>
      <c r="BR1854" s="866">
        <f>VLOOKUP(BD1854,$BD$4:$BN$12824,6,0)*BE1854</f>
        <v>161464.539958184</v>
      </c>
      <c r="BS1854" s="866">
        <f>VLOOKUP(BD1854,$BD$4:$BN$12824,7,0)*BE1854</f>
        <v>30678.617717567402</v>
      </c>
      <c r="BT1854" s="866"/>
      <c r="BU1854" s="866">
        <f>VLOOKUP(BD1854,$BD$4:$BN$12824,9,0)*BE1854</f>
        <v>1190.4640839374904</v>
      </c>
      <c r="BV1854" s="867"/>
      <c r="BW1854" s="867">
        <f>VLOOKUP(BD1854,$BD$4:$BN$12824,11,0)*BE1854</f>
        <v>0</v>
      </c>
      <c r="BX1854" s="1146">
        <f t="shared" si="348"/>
        <v>572328.80032832094</v>
      </c>
      <c r="BY1854" s="867">
        <f t="shared" si="350"/>
        <v>681894.03698413877</v>
      </c>
      <c r="BZ1854" s="867">
        <f t="shared" si="349"/>
        <v>34094701.849206939</v>
      </c>
      <c r="CA1854" s="867">
        <f>_xlfn.MAXIFS($BY$4:$BY$12824,$S$4:$S$12824,$S1854)</f>
        <v>780120.11084672064</v>
      </c>
      <c r="CB1854" s="1032"/>
      <c r="CF1854" s="946">
        <f t="shared" si="358"/>
        <v>32536000</v>
      </c>
    </row>
    <row r="1855" spans="2:84">
      <c r="B1855" s="839" t="s">
        <v>98</v>
      </c>
      <c r="C1855" s="839" t="s">
        <v>273</v>
      </c>
      <c r="D1855" s="839" t="s">
        <v>6289</v>
      </c>
      <c r="E1855" s="839" t="s">
        <v>6290</v>
      </c>
      <c r="F1855" s="841">
        <v>45841</v>
      </c>
      <c r="G1855" s="868" t="s">
        <v>273</v>
      </c>
      <c r="H1855" s="842" t="s">
        <v>134</v>
      </c>
      <c r="I1855" s="883"/>
      <c r="J1855" s="841"/>
      <c r="K1855" s="841"/>
      <c r="L1855" s="843" t="s">
        <v>106</v>
      </c>
      <c r="M1855" s="844" t="s">
        <v>275</v>
      </c>
      <c r="N1855" s="841"/>
      <c r="O1855" s="884" t="s">
        <v>150</v>
      </c>
      <c r="P1855" s="842" t="s">
        <v>124</v>
      </c>
      <c r="Q1855" s="843"/>
      <c r="R1855" s="845" t="str">
        <f t="shared" si="359"/>
        <v>11207.30</v>
      </c>
      <c r="S1855" s="1127" t="s">
        <v>6324</v>
      </c>
      <c r="T1855" s="885" t="s">
        <v>6325</v>
      </c>
      <c r="U1855" s="886">
        <v>100</v>
      </c>
      <c r="V1855" s="842" t="s">
        <v>3</v>
      </c>
      <c r="W1855" s="846" t="s">
        <v>4532</v>
      </c>
      <c r="X1855" s="847">
        <f t="shared" si="354"/>
        <v>4281</v>
      </c>
      <c r="Y1855" s="853" t="s">
        <v>4582</v>
      </c>
      <c r="Z1855" s="902">
        <v>20.335000000000001</v>
      </c>
      <c r="AA1855" s="849"/>
      <c r="AB1855" s="849">
        <f t="shared" si="344"/>
        <v>2033.5</v>
      </c>
      <c r="AC1855" s="850">
        <f t="shared" si="345"/>
        <v>2033.5</v>
      </c>
      <c r="AD1855" s="851">
        <f t="shared" si="355"/>
        <v>32000</v>
      </c>
      <c r="AE1855" s="852">
        <v>29936.21</v>
      </c>
      <c r="AF1855" s="853">
        <v>0.1</v>
      </c>
      <c r="AG1855" s="854">
        <f t="shared" si="346"/>
        <v>6169463.0627572397</v>
      </c>
      <c r="AH1855" s="853">
        <v>0.08</v>
      </c>
      <c r="AI1855" s="855">
        <f t="shared" si="347"/>
        <v>5363579.6878205789</v>
      </c>
      <c r="AJ1855" s="856" t="s">
        <v>6292</v>
      </c>
      <c r="AK1855" s="857">
        <v>45911</v>
      </c>
      <c r="AL1855" s="843" t="s">
        <v>6293</v>
      </c>
      <c r="AM1855" s="843" t="s">
        <v>6294</v>
      </c>
      <c r="AN1855" s="844" t="s">
        <v>3951</v>
      </c>
      <c r="AO1855" s="844" t="s">
        <v>141</v>
      </c>
      <c r="AP1855" s="841"/>
      <c r="AQ1855" s="841">
        <v>45929</v>
      </c>
      <c r="AR1855" s="841">
        <v>45987</v>
      </c>
      <c r="AS1855" s="842" t="s">
        <v>1284</v>
      </c>
      <c r="AT1855" s="842" t="s">
        <v>1743</v>
      </c>
      <c r="AU1855" s="842" t="s">
        <v>6295</v>
      </c>
      <c r="AV1855" s="845" t="s">
        <v>6296</v>
      </c>
      <c r="AW1855" s="861">
        <v>45986</v>
      </c>
      <c r="AX1855" s="862">
        <v>45987</v>
      </c>
      <c r="AY1855" s="843"/>
      <c r="AZ1855" s="842">
        <v>94031000</v>
      </c>
      <c r="BA1855" s="842" t="s">
        <v>120</v>
      </c>
      <c r="BB1855" s="863" t="s">
        <v>121</v>
      </c>
      <c r="BC1855" s="864">
        <v>45990</v>
      </c>
      <c r="BD1855" s="860" t="s">
        <v>6297</v>
      </c>
      <c r="BE1855" s="865" cm="1">
        <f t="array" ref="BE1855">IF(BD1855="","",AC1855/SUMPRODUCT(--(BD1855=$BD$4:$BD$12824),$AC$4:$AC$12824))</f>
        <v>1.9658408684927388E-2</v>
      </c>
      <c r="BF1855" s="458"/>
      <c r="BG1855" s="458"/>
      <c r="BH1855" s="458"/>
      <c r="BI1855" s="458"/>
      <c r="BJ1855" s="458"/>
      <c r="BK1855" s="458"/>
      <c r="BL1855" s="458"/>
      <c r="BM1855" s="458"/>
      <c r="BN1855" s="458"/>
      <c r="BO1855" s="866">
        <f>VLOOKUP(BD1855,$BD$4:$BN$12824,3,0)*BE1855</f>
        <v>757990.35713726422</v>
      </c>
      <c r="BP1855" s="866"/>
      <c r="BQ1855" s="866"/>
      <c r="BR1855" s="866">
        <f>VLOOKUP(BD1855,$BD$4:$BN$12824,6,0)*BE1855</f>
        <v>322929.07991636801</v>
      </c>
      <c r="BS1855" s="866">
        <f>VLOOKUP(BD1855,$BD$4:$BN$12824,7,0)*BE1855</f>
        <v>61357.235435134804</v>
      </c>
      <c r="BT1855" s="866"/>
      <c r="BU1855" s="866">
        <f>VLOOKUP(BD1855,$BD$4:$BN$12824,9,0)*BE1855</f>
        <v>2380.9281678749808</v>
      </c>
      <c r="BV1855" s="867"/>
      <c r="BW1855" s="867">
        <f>VLOOKUP(BD1855,$BD$4:$BN$12824,11,0)*BE1855</f>
        <v>0</v>
      </c>
      <c r="BX1855" s="1146">
        <f t="shared" si="348"/>
        <v>1144657.6006566419</v>
      </c>
      <c r="BY1855" s="867">
        <f t="shared" si="350"/>
        <v>681894.03698413877</v>
      </c>
      <c r="BZ1855" s="867">
        <f t="shared" si="349"/>
        <v>68189403.698413879</v>
      </c>
      <c r="CA1855" s="867">
        <f>_xlfn.MAXIFS($BY$4:$BY$12824,$S$4:$S$12824,$S1855)</f>
        <v>681894.03698413877</v>
      </c>
      <c r="CB1855" s="1032"/>
      <c r="CF1855" s="946">
        <f t="shared" si="358"/>
        <v>65072000</v>
      </c>
    </row>
    <row r="1856" spans="2:84">
      <c r="B1856" s="839" t="s">
        <v>98</v>
      </c>
      <c r="C1856" s="839" t="s">
        <v>273</v>
      </c>
      <c r="D1856" s="839" t="s">
        <v>6289</v>
      </c>
      <c r="E1856" s="839" t="s">
        <v>6290</v>
      </c>
      <c r="F1856" s="841">
        <v>45841</v>
      </c>
      <c r="G1856" s="868" t="s">
        <v>273</v>
      </c>
      <c r="H1856" s="842" t="s">
        <v>134</v>
      </c>
      <c r="I1856" s="883"/>
      <c r="J1856" s="841"/>
      <c r="K1856" s="841"/>
      <c r="L1856" s="843" t="s">
        <v>106</v>
      </c>
      <c r="M1856" s="844" t="s">
        <v>275</v>
      </c>
      <c r="N1856" s="841"/>
      <c r="O1856" s="884" t="s">
        <v>150</v>
      </c>
      <c r="P1856" s="842" t="s">
        <v>124</v>
      </c>
      <c r="Q1856" s="843"/>
      <c r="R1856" s="845" t="str">
        <f t="shared" si="359"/>
        <v>11207.31</v>
      </c>
      <c r="S1856" s="1127" t="s">
        <v>3961</v>
      </c>
      <c r="T1856" s="885" t="s">
        <v>3962</v>
      </c>
      <c r="U1856" s="886">
        <v>300</v>
      </c>
      <c r="V1856" s="842" t="s">
        <v>3</v>
      </c>
      <c r="W1856" s="846" t="s">
        <v>4532</v>
      </c>
      <c r="X1856" s="847">
        <f t="shared" si="354"/>
        <v>12843</v>
      </c>
      <c r="Y1856" s="853" t="s">
        <v>4582</v>
      </c>
      <c r="Z1856" s="902">
        <v>20.335000000000001</v>
      </c>
      <c r="AA1856" s="849"/>
      <c r="AB1856" s="849">
        <f t="shared" si="344"/>
        <v>6100.5</v>
      </c>
      <c r="AC1856" s="850">
        <f t="shared" si="345"/>
        <v>6100.5</v>
      </c>
      <c r="AD1856" s="851">
        <f t="shared" si="355"/>
        <v>32000</v>
      </c>
      <c r="AE1856" s="852">
        <v>29936.21</v>
      </c>
      <c r="AF1856" s="853">
        <v>0.1</v>
      </c>
      <c r="AG1856" s="854">
        <f t="shared" si="346"/>
        <v>18508389.18827172</v>
      </c>
      <c r="AH1856" s="853">
        <v>0.08</v>
      </c>
      <c r="AI1856" s="855">
        <f t="shared" si="347"/>
        <v>16090739.063461738</v>
      </c>
      <c r="AJ1856" s="856" t="s">
        <v>6292</v>
      </c>
      <c r="AK1856" s="857">
        <v>45911</v>
      </c>
      <c r="AL1856" s="843" t="s">
        <v>6293</v>
      </c>
      <c r="AM1856" s="843" t="s">
        <v>6294</v>
      </c>
      <c r="AN1856" s="844" t="s">
        <v>3951</v>
      </c>
      <c r="AO1856" s="844" t="s">
        <v>141</v>
      </c>
      <c r="AP1856" s="841"/>
      <c r="AQ1856" s="841">
        <v>45929</v>
      </c>
      <c r="AR1856" s="841">
        <v>45987</v>
      </c>
      <c r="AS1856" s="842" t="s">
        <v>1284</v>
      </c>
      <c r="AT1856" s="842" t="s">
        <v>1743</v>
      </c>
      <c r="AU1856" s="842" t="s">
        <v>6295</v>
      </c>
      <c r="AV1856" s="845" t="s">
        <v>6296</v>
      </c>
      <c r="AW1856" s="861">
        <v>45986</v>
      </c>
      <c r="AX1856" s="862">
        <v>45987</v>
      </c>
      <c r="AY1856" s="843"/>
      <c r="AZ1856" s="842">
        <v>94031000</v>
      </c>
      <c r="BA1856" s="842" t="s">
        <v>120</v>
      </c>
      <c r="BB1856" s="863" t="s">
        <v>121</v>
      </c>
      <c r="BC1856" s="864">
        <v>45990</v>
      </c>
      <c r="BD1856" s="860" t="s">
        <v>6297</v>
      </c>
      <c r="BE1856" s="865" cm="1">
        <f t="array" ref="BE1856">IF(BD1856="","",AC1856/SUMPRODUCT(--(BD1856=$BD$4:$BD$12824),$AC$4:$AC$12824))</f>
        <v>5.8975226054782164E-2</v>
      </c>
      <c r="BF1856" s="458"/>
      <c r="BG1856" s="458"/>
      <c r="BH1856" s="458"/>
      <c r="BI1856" s="458"/>
      <c r="BJ1856" s="458"/>
      <c r="BK1856" s="458"/>
      <c r="BL1856" s="458"/>
      <c r="BM1856" s="458"/>
      <c r="BN1856" s="458"/>
      <c r="BO1856" s="866">
        <f>VLOOKUP(BD1856,$BD$4:$BN$12824,3,0)*BE1856</f>
        <v>2273971.0714117927</v>
      </c>
      <c r="BP1856" s="866"/>
      <c r="BQ1856" s="866"/>
      <c r="BR1856" s="866">
        <f>VLOOKUP(BD1856,$BD$4:$BN$12824,6,0)*BE1856</f>
        <v>968787.2397491039</v>
      </c>
      <c r="BS1856" s="866">
        <f>VLOOKUP(BD1856,$BD$4:$BN$12824,7,0)*BE1856</f>
        <v>184071.70630540443</v>
      </c>
      <c r="BT1856" s="866"/>
      <c r="BU1856" s="866">
        <f>VLOOKUP(BD1856,$BD$4:$BN$12824,9,0)*BE1856</f>
        <v>7142.7845036249419</v>
      </c>
      <c r="BV1856" s="867"/>
      <c r="BW1856" s="867">
        <f>VLOOKUP(BD1856,$BD$4:$BN$12824,11,0)*BE1856</f>
        <v>0</v>
      </c>
      <c r="BX1856" s="1146">
        <f t="shared" si="348"/>
        <v>3433972.8019699259</v>
      </c>
      <c r="BY1856" s="867">
        <f t="shared" si="350"/>
        <v>681894.03698413877</v>
      </c>
      <c r="BZ1856" s="867">
        <f t="shared" si="349"/>
        <v>204568211.09524164</v>
      </c>
      <c r="CA1856" s="867">
        <f>_xlfn.MAXIFS($BY$4:$BY$12824,$S$4:$S$12824,$S1856)</f>
        <v>717774.37234548759</v>
      </c>
      <c r="CB1856" s="1032"/>
      <c r="CF1856" s="946">
        <f t="shared" si="358"/>
        <v>195216000</v>
      </c>
    </row>
    <row r="1857" spans="2:84">
      <c r="B1857" s="839" t="s">
        <v>98</v>
      </c>
      <c r="C1857" s="839" t="s">
        <v>273</v>
      </c>
      <c r="D1857" s="839" t="s">
        <v>6289</v>
      </c>
      <c r="E1857" s="839" t="s">
        <v>6290</v>
      </c>
      <c r="F1857" s="841">
        <v>45841</v>
      </c>
      <c r="G1857" s="868" t="s">
        <v>273</v>
      </c>
      <c r="H1857" s="842" t="s">
        <v>134</v>
      </c>
      <c r="I1857" s="883"/>
      <c r="J1857" s="841"/>
      <c r="K1857" s="841"/>
      <c r="L1857" s="843" t="s">
        <v>106</v>
      </c>
      <c r="M1857" s="844" t="s">
        <v>275</v>
      </c>
      <c r="N1857" s="841"/>
      <c r="O1857" s="884" t="s">
        <v>150</v>
      </c>
      <c r="P1857" s="842" t="s">
        <v>124</v>
      </c>
      <c r="Q1857" s="843"/>
      <c r="R1857" s="845" t="str">
        <f t="shared" si="359"/>
        <v>11207.34</v>
      </c>
      <c r="S1857" s="1127" t="s">
        <v>6326</v>
      </c>
      <c r="T1857" s="885" t="s">
        <v>6327</v>
      </c>
      <c r="U1857" s="886">
        <v>18</v>
      </c>
      <c r="V1857" s="842" t="s">
        <v>3</v>
      </c>
      <c r="W1857" s="846" t="s">
        <v>4532</v>
      </c>
      <c r="X1857" s="847">
        <f t="shared" si="354"/>
        <v>770.58</v>
      </c>
      <c r="Y1857" s="853" t="s">
        <v>4582</v>
      </c>
      <c r="Z1857" s="902">
        <v>20.335000000000001</v>
      </c>
      <c r="AA1857" s="849"/>
      <c r="AB1857" s="849">
        <f t="shared" si="344"/>
        <v>366.03000000000003</v>
      </c>
      <c r="AC1857" s="850">
        <f t="shared" si="345"/>
        <v>366.03000000000003</v>
      </c>
      <c r="AD1857" s="851">
        <f t="shared" si="355"/>
        <v>32000</v>
      </c>
      <c r="AE1857" s="852">
        <v>29936.21</v>
      </c>
      <c r="AF1857" s="853">
        <v>0.1</v>
      </c>
      <c r="AG1857" s="854">
        <f t="shared" si="346"/>
        <v>1110503.3512963033</v>
      </c>
      <c r="AH1857" s="853">
        <v>0.08</v>
      </c>
      <c r="AI1857" s="855">
        <f t="shared" si="347"/>
        <v>965444.34380770428</v>
      </c>
      <c r="AJ1857" s="856" t="s">
        <v>6292</v>
      </c>
      <c r="AK1857" s="857">
        <v>45911</v>
      </c>
      <c r="AL1857" s="843" t="s">
        <v>6293</v>
      </c>
      <c r="AM1857" s="843" t="s">
        <v>6294</v>
      </c>
      <c r="AN1857" s="844" t="s">
        <v>3951</v>
      </c>
      <c r="AO1857" s="844" t="s">
        <v>141</v>
      </c>
      <c r="AP1857" s="841"/>
      <c r="AQ1857" s="841">
        <v>45929</v>
      </c>
      <c r="AR1857" s="841">
        <v>45987</v>
      </c>
      <c r="AS1857" s="842" t="s">
        <v>1284</v>
      </c>
      <c r="AT1857" s="842" t="s">
        <v>1743</v>
      </c>
      <c r="AU1857" s="842" t="s">
        <v>6295</v>
      </c>
      <c r="AV1857" s="845" t="s">
        <v>6296</v>
      </c>
      <c r="AW1857" s="861">
        <v>45986</v>
      </c>
      <c r="AX1857" s="862">
        <v>45987</v>
      </c>
      <c r="AY1857" s="843"/>
      <c r="AZ1857" s="842">
        <v>94031000</v>
      </c>
      <c r="BA1857" s="842" t="s">
        <v>120</v>
      </c>
      <c r="BB1857" s="863" t="s">
        <v>121</v>
      </c>
      <c r="BC1857" s="864">
        <v>45990</v>
      </c>
      <c r="BD1857" s="860" t="s">
        <v>6297</v>
      </c>
      <c r="BE1857" s="865" cm="1">
        <f t="array" ref="BE1857">IF(BD1857="","",AC1857/SUMPRODUCT(--(BD1857=$BD$4:$BD$12824),$AC$4:$AC$12824))</f>
        <v>3.5385135632869302E-3</v>
      </c>
      <c r="BF1857" s="458"/>
      <c r="BG1857" s="458"/>
      <c r="BH1857" s="458"/>
      <c r="BI1857" s="458"/>
      <c r="BJ1857" s="458"/>
      <c r="BK1857" s="458"/>
      <c r="BL1857" s="458"/>
      <c r="BM1857" s="458"/>
      <c r="BN1857" s="458"/>
      <c r="BO1857" s="866">
        <f>VLOOKUP(BD1857,$BD$4:$BN$12824,3,0)*BE1857</f>
        <v>136438.26428470758</v>
      </c>
      <c r="BP1857" s="866"/>
      <c r="BQ1857" s="866"/>
      <c r="BR1857" s="866">
        <f>VLOOKUP(BD1857,$BD$4:$BN$12824,6,0)*BE1857</f>
        <v>58127.234384946241</v>
      </c>
      <c r="BS1857" s="866">
        <f>VLOOKUP(BD1857,$BD$4:$BN$12824,7,0)*BE1857</f>
        <v>11044.302378324266</v>
      </c>
      <c r="BT1857" s="866"/>
      <c r="BU1857" s="866">
        <f>VLOOKUP(BD1857,$BD$4:$BN$12824,9,0)*BE1857</f>
        <v>428.56707021749656</v>
      </c>
      <c r="BV1857" s="867"/>
      <c r="BW1857" s="867">
        <f>VLOOKUP(BD1857,$BD$4:$BN$12824,11,0)*BE1857</f>
        <v>0</v>
      </c>
      <c r="BX1857" s="1146">
        <f t="shared" si="348"/>
        <v>206038.36811819556</v>
      </c>
      <c r="BY1857" s="867">
        <f t="shared" si="350"/>
        <v>681894.03698413877</v>
      </c>
      <c r="BZ1857" s="867">
        <f t="shared" si="349"/>
        <v>12274092.665714499</v>
      </c>
      <c r="CA1857" s="867">
        <f>_xlfn.MAXIFS($BY$4:$BY$12824,$S$4:$S$12824,$S1857)</f>
        <v>681894.03698413877</v>
      </c>
      <c r="CB1857" s="1032"/>
      <c r="CF1857" s="946">
        <f t="shared" si="358"/>
        <v>11712960.000000002</v>
      </c>
    </row>
    <row r="1858" spans="2:84">
      <c r="B1858" s="839" t="s">
        <v>98</v>
      </c>
      <c r="C1858" s="839" t="s">
        <v>273</v>
      </c>
      <c r="D1858" s="839" t="s">
        <v>6289</v>
      </c>
      <c r="E1858" s="839" t="s">
        <v>6290</v>
      </c>
      <c r="F1858" s="841">
        <v>45841</v>
      </c>
      <c r="G1858" s="868" t="s">
        <v>273</v>
      </c>
      <c r="H1858" s="842" t="s">
        <v>134</v>
      </c>
      <c r="I1858" s="883"/>
      <c r="J1858" s="841"/>
      <c r="K1858" s="841"/>
      <c r="L1858" s="843" t="s">
        <v>106</v>
      </c>
      <c r="M1858" s="844" t="s">
        <v>275</v>
      </c>
      <c r="N1858" s="841"/>
      <c r="O1858" s="884" t="s">
        <v>150</v>
      </c>
      <c r="P1858" s="842" t="s">
        <v>124</v>
      </c>
      <c r="Q1858" s="843"/>
      <c r="R1858" s="845" t="str">
        <f t="shared" si="359"/>
        <v>11360.24</v>
      </c>
      <c r="S1858" s="1127" t="s">
        <v>4665</v>
      </c>
      <c r="T1858" s="885" t="s">
        <v>4666</v>
      </c>
      <c r="U1858" s="886">
        <v>2</v>
      </c>
      <c r="V1858" s="842" t="s">
        <v>3</v>
      </c>
      <c r="W1858" s="846" t="s">
        <v>4532</v>
      </c>
      <c r="X1858" s="847">
        <f t="shared" si="354"/>
        <v>85.62</v>
      </c>
      <c r="Y1858" s="853" t="s">
        <v>4582</v>
      </c>
      <c r="Z1858" s="902">
        <v>20.335000000000001</v>
      </c>
      <c r="AA1858" s="849"/>
      <c r="AB1858" s="849">
        <f t="shared" si="344"/>
        <v>40.67</v>
      </c>
      <c r="AC1858" s="850">
        <f t="shared" si="345"/>
        <v>40.67</v>
      </c>
      <c r="AD1858" s="851">
        <f t="shared" si="355"/>
        <v>32000</v>
      </c>
      <c r="AE1858" s="852">
        <v>29936.21</v>
      </c>
      <c r="AF1858" s="853">
        <v>0.1</v>
      </c>
      <c r="AG1858" s="854">
        <f t="shared" si="346"/>
        <v>123389.26125514483</v>
      </c>
      <c r="AH1858" s="853">
        <v>0.08</v>
      </c>
      <c r="AI1858" s="855">
        <f t="shared" si="347"/>
        <v>107271.5937564116</v>
      </c>
      <c r="AJ1858" s="856" t="s">
        <v>6292</v>
      </c>
      <c r="AK1858" s="857">
        <v>45911</v>
      </c>
      <c r="AL1858" s="843" t="s">
        <v>6293</v>
      </c>
      <c r="AM1858" s="843" t="s">
        <v>6294</v>
      </c>
      <c r="AN1858" s="844" t="s">
        <v>3951</v>
      </c>
      <c r="AO1858" s="844" t="s">
        <v>141</v>
      </c>
      <c r="AP1858" s="841"/>
      <c r="AQ1858" s="841">
        <v>45929</v>
      </c>
      <c r="AR1858" s="841">
        <v>45987</v>
      </c>
      <c r="AS1858" s="842" t="s">
        <v>1284</v>
      </c>
      <c r="AT1858" s="842" t="s">
        <v>1743</v>
      </c>
      <c r="AU1858" s="842" t="s">
        <v>6295</v>
      </c>
      <c r="AV1858" s="845" t="s">
        <v>6296</v>
      </c>
      <c r="AW1858" s="861">
        <v>45986</v>
      </c>
      <c r="AX1858" s="862">
        <v>45987</v>
      </c>
      <c r="AY1858" s="843"/>
      <c r="AZ1858" s="842">
        <v>94031000</v>
      </c>
      <c r="BA1858" s="842" t="s">
        <v>120</v>
      </c>
      <c r="BB1858" s="863" t="s">
        <v>121</v>
      </c>
      <c r="BC1858" s="864">
        <v>45990</v>
      </c>
      <c r="BD1858" s="860" t="s">
        <v>6297</v>
      </c>
      <c r="BE1858" s="865" cm="1">
        <f t="array" ref="BE1858">IF(BD1858="","",AC1858/SUMPRODUCT(--(BD1858=$BD$4:$BD$12824),$AC$4:$AC$12824))</f>
        <v>3.9316817369854779E-4</v>
      </c>
      <c r="BF1858" s="458"/>
      <c r="BG1858" s="458"/>
      <c r="BH1858" s="458"/>
      <c r="BI1858" s="458"/>
      <c r="BJ1858" s="458"/>
      <c r="BK1858" s="458"/>
      <c r="BL1858" s="458"/>
      <c r="BM1858" s="458"/>
      <c r="BN1858" s="458"/>
      <c r="BO1858" s="866">
        <f>VLOOKUP(BD1858,$BD$4:$BN$12824,3,0)*BE1858</f>
        <v>15159.807142745285</v>
      </c>
      <c r="BP1858" s="866"/>
      <c r="BQ1858" s="866"/>
      <c r="BR1858" s="866">
        <f>VLOOKUP(BD1858,$BD$4:$BN$12824,6,0)*BE1858</f>
        <v>6458.5815983273606</v>
      </c>
      <c r="BS1858" s="866">
        <f>VLOOKUP(BD1858,$BD$4:$BN$12824,7,0)*BE1858</f>
        <v>1227.1447087026961</v>
      </c>
      <c r="BT1858" s="866"/>
      <c r="BU1858" s="866">
        <f>VLOOKUP(BD1858,$BD$4:$BN$12824,9,0)*BE1858</f>
        <v>47.618563357499617</v>
      </c>
      <c r="BV1858" s="867"/>
      <c r="BW1858" s="867">
        <f>VLOOKUP(BD1858,$BD$4:$BN$12824,11,0)*BE1858</f>
        <v>0</v>
      </c>
      <c r="BX1858" s="1146">
        <f t="shared" si="348"/>
        <v>22893.152013132843</v>
      </c>
      <c r="BY1858" s="867">
        <f t="shared" si="350"/>
        <v>681894.03698413889</v>
      </c>
      <c r="BZ1858" s="867">
        <f t="shared" si="349"/>
        <v>1363788.0739682778</v>
      </c>
      <c r="CA1858" s="867">
        <f>_xlfn.MAXIFS($BY$4:$BY$12824,$S$4:$S$12824,$S1858)</f>
        <v>744527.24371412012</v>
      </c>
      <c r="CB1858" s="1032"/>
      <c r="CF1858" s="946">
        <f t="shared" si="358"/>
        <v>1301440</v>
      </c>
    </row>
    <row r="1859" spans="2:84">
      <c r="B1859" s="839" t="s">
        <v>98</v>
      </c>
      <c r="C1859" s="839" t="s">
        <v>273</v>
      </c>
      <c r="D1859" s="839" t="s">
        <v>6289</v>
      </c>
      <c r="E1859" s="839" t="s">
        <v>6290</v>
      </c>
      <c r="F1859" s="841">
        <v>45841</v>
      </c>
      <c r="G1859" s="868" t="s">
        <v>273</v>
      </c>
      <c r="H1859" s="842" t="s">
        <v>134</v>
      </c>
      <c r="I1859" s="883"/>
      <c r="J1859" s="841"/>
      <c r="K1859" s="841"/>
      <c r="L1859" s="843" t="s">
        <v>106</v>
      </c>
      <c r="M1859" s="844" t="s">
        <v>275</v>
      </c>
      <c r="N1859" s="841"/>
      <c r="O1859" s="884" t="s">
        <v>150</v>
      </c>
      <c r="P1859" s="842" t="s">
        <v>124</v>
      </c>
      <c r="Q1859" s="843"/>
      <c r="R1859" s="845" t="str">
        <f t="shared" si="359"/>
        <v>16189.24</v>
      </c>
      <c r="S1859" s="1127" t="s">
        <v>6328</v>
      </c>
      <c r="T1859" s="885" t="s">
        <v>6329</v>
      </c>
      <c r="U1859" s="886">
        <v>5</v>
      </c>
      <c r="V1859" s="842" t="s">
        <v>3</v>
      </c>
      <c r="W1859" s="846" t="s">
        <v>4483</v>
      </c>
      <c r="X1859" s="847">
        <f t="shared" si="354"/>
        <v>161.20000000000002</v>
      </c>
      <c r="Y1859" s="853" t="s">
        <v>4582</v>
      </c>
      <c r="Z1859" s="902">
        <v>15.314</v>
      </c>
      <c r="AA1859" s="849"/>
      <c r="AB1859" s="849">
        <f t="shared" si="344"/>
        <v>76.569999999999993</v>
      </c>
      <c r="AC1859" s="850">
        <f t="shared" si="345"/>
        <v>76.569999999999993</v>
      </c>
      <c r="AD1859" s="851">
        <f t="shared" si="355"/>
        <v>32000</v>
      </c>
      <c r="AE1859" s="852">
        <v>29936.21</v>
      </c>
      <c r="AF1859" s="853">
        <v>0.1</v>
      </c>
      <c r="AG1859" s="854">
        <f t="shared" si="346"/>
        <v>232306.7552079281</v>
      </c>
      <c r="AH1859" s="853">
        <v>0.08</v>
      </c>
      <c r="AI1859" s="855">
        <f t="shared" si="347"/>
        <v>201961.78839263422</v>
      </c>
      <c r="AJ1859" s="856" t="s">
        <v>6292</v>
      </c>
      <c r="AK1859" s="857">
        <v>45911</v>
      </c>
      <c r="AL1859" s="843" t="s">
        <v>6293</v>
      </c>
      <c r="AM1859" s="843" t="s">
        <v>6294</v>
      </c>
      <c r="AN1859" s="844" t="s">
        <v>3951</v>
      </c>
      <c r="AO1859" s="844" t="s">
        <v>141</v>
      </c>
      <c r="AP1859" s="841"/>
      <c r="AQ1859" s="841">
        <v>45929</v>
      </c>
      <c r="AR1859" s="841">
        <v>45987</v>
      </c>
      <c r="AS1859" s="842" t="s">
        <v>1284</v>
      </c>
      <c r="AT1859" s="842" t="s">
        <v>1743</v>
      </c>
      <c r="AU1859" s="842" t="s">
        <v>6295</v>
      </c>
      <c r="AV1859" s="845" t="s">
        <v>6296</v>
      </c>
      <c r="AW1859" s="861">
        <v>45986</v>
      </c>
      <c r="AX1859" s="862">
        <v>45987</v>
      </c>
      <c r="AY1859" s="843"/>
      <c r="AZ1859" s="842">
        <v>94031000</v>
      </c>
      <c r="BA1859" s="842" t="s">
        <v>120</v>
      </c>
      <c r="BB1859" s="863" t="s">
        <v>121</v>
      </c>
      <c r="BC1859" s="864">
        <v>45990</v>
      </c>
      <c r="BD1859" s="860" t="s">
        <v>6297</v>
      </c>
      <c r="BE1859" s="865" cm="1">
        <f t="array" ref="BE1859">IF(BD1859="","",AC1859/SUMPRODUCT(--(BD1859=$BD$4:$BD$12824),$AC$4:$AC$12824))</f>
        <v>7.4022343398322591E-4</v>
      </c>
      <c r="BF1859" s="458"/>
      <c r="BG1859" s="458"/>
      <c r="BH1859" s="458"/>
      <c r="BI1859" s="458"/>
      <c r="BJ1859" s="458"/>
      <c r="BK1859" s="458"/>
      <c r="BL1859" s="458"/>
      <c r="BM1859" s="458"/>
      <c r="BN1859" s="458"/>
      <c r="BO1859" s="866">
        <f>VLOOKUP(BD1859,$BD$4:$BN$12824,3,0)*BE1859</f>
        <v>28541.589203835905</v>
      </c>
      <c r="BP1859" s="866"/>
      <c r="BQ1859" s="866"/>
      <c r="BR1859" s="866">
        <f>VLOOKUP(BD1859,$BD$4:$BN$12824,6,0)*BE1859</f>
        <v>12159.665428667959</v>
      </c>
      <c r="BS1859" s="866">
        <f>VLOOKUP(BD1859,$BD$4:$BN$12824,7,0)*BE1859</f>
        <v>2310.363175445425</v>
      </c>
      <c r="BT1859" s="866"/>
      <c r="BU1859" s="866">
        <f>VLOOKUP(BD1859,$BD$4:$BN$12824,9,0)*BE1859</f>
        <v>89.652161206878404</v>
      </c>
      <c r="BV1859" s="867"/>
      <c r="BW1859" s="867">
        <f>VLOOKUP(BD1859,$BD$4:$BN$12824,11,0)*BE1859</f>
        <v>0</v>
      </c>
      <c r="BX1859" s="1146">
        <f t="shared" si="348"/>
        <v>43101.269969156165</v>
      </c>
      <c r="BY1859" s="867">
        <f t="shared" si="350"/>
        <v>513524.72497541673</v>
      </c>
      <c r="BZ1859" s="867">
        <f t="shared" si="349"/>
        <v>2567623.6248770836</v>
      </c>
      <c r="CA1859" s="867">
        <f>_xlfn.MAXIFS($BY$4:$BY$12824,$S$4:$S$12824,$S1859)</f>
        <v>513524.72497541673</v>
      </c>
      <c r="CB1859" s="1032"/>
      <c r="CF1859" s="946">
        <f t="shared" si="358"/>
        <v>2450240</v>
      </c>
    </row>
    <row r="1860" spans="2:84">
      <c r="B1860" s="839" t="s">
        <v>98</v>
      </c>
      <c r="C1860" s="839" t="s">
        <v>273</v>
      </c>
      <c r="D1860" s="839" t="s">
        <v>6289</v>
      </c>
      <c r="E1860" s="839" t="s">
        <v>6290</v>
      </c>
      <c r="F1860" s="841">
        <v>45841</v>
      </c>
      <c r="G1860" s="868" t="s">
        <v>273</v>
      </c>
      <c r="H1860" s="842" t="s">
        <v>134</v>
      </c>
      <c r="I1860" s="883"/>
      <c r="J1860" s="841"/>
      <c r="K1860" s="841"/>
      <c r="L1860" s="843" t="s">
        <v>106</v>
      </c>
      <c r="M1860" s="844" t="s">
        <v>275</v>
      </c>
      <c r="N1860" s="841"/>
      <c r="O1860" s="884" t="s">
        <v>150</v>
      </c>
      <c r="P1860" s="842" t="s">
        <v>124</v>
      </c>
      <c r="Q1860" s="843"/>
      <c r="R1860" s="845" t="str">
        <f t="shared" si="359"/>
        <v>16189.31</v>
      </c>
      <c r="S1860" s="1127" t="s">
        <v>4481</v>
      </c>
      <c r="T1860" s="885" t="s">
        <v>4482</v>
      </c>
      <c r="U1860" s="886">
        <v>4</v>
      </c>
      <c r="V1860" s="842" t="s">
        <v>3</v>
      </c>
      <c r="W1860" s="846" t="s">
        <v>4483</v>
      </c>
      <c r="X1860" s="847">
        <f t="shared" si="354"/>
        <v>128.96</v>
      </c>
      <c r="Y1860" s="853" t="s">
        <v>4582</v>
      </c>
      <c r="Z1860" s="902">
        <v>15.314</v>
      </c>
      <c r="AA1860" s="849"/>
      <c r="AB1860" s="849">
        <f t="shared" si="344"/>
        <v>61.256</v>
      </c>
      <c r="AC1860" s="850">
        <f t="shared" si="345"/>
        <v>61.256</v>
      </c>
      <c r="AD1860" s="851">
        <f t="shared" si="355"/>
        <v>32000</v>
      </c>
      <c r="AE1860" s="852">
        <v>29936.21</v>
      </c>
      <c r="AF1860" s="853">
        <v>0.1</v>
      </c>
      <c r="AG1860" s="854">
        <f t="shared" si="346"/>
        <v>185845.40416634255</v>
      </c>
      <c r="AH1860" s="853">
        <v>0.08</v>
      </c>
      <c r="AI1860" s="855">
        <f t="shared" si="347"/>
        <v>161569.43071410741</v>
      </c>
      <c r="AJ1860" s="856" t="s">
        <v>6292</v>
      </c>
      <c r="AK1860" s="857">
        <v>45911</v>
      </c>
      <c r="AL1860" s="843" t="s">
        <v>6293</v>
      </c>
      <c r="AM1860" s="843" t="s">
        <v>6294</v>
      </c>
      <c r="AN1860" s="844" t="s">
        <v>3951</v>
      </c>
      <c r="AO1860" s="844" t="s">
        <v>141</v>
      </c>
      <c r="AP1860" s="841"/>
      <c r="AQ1860" s="841">
        <v>45929</v>
      </c>
      <c r="AR1860" s="841">
        <v>45987</v>
      </c>
      <c r="AS1860" s="842" t="s">
        <v>1284</v>
      </c>
      <c r="AT1860" s="842" t="s">
        <v>1743</v>
      </c>
      <c r="AU1860" s="842" t="s">
        <v>6295</v>
      </c>
      <c r="AV1860" s="845" t="s">
        <v>6296</v>
      </c>
      <c r="AW1860" s="861">
        <v>45986</v>
      </c>
      <c r="AX1860" s="862">
        <v>45987</v>
      </c>
      <c r="AY1860" s="843"/>
      <c r="AZ1860" s="842">
        <v>94031000</v>
      </c>
      <c r="BA1860" s="842" t="s">
        <v>120</v>
      </c>
      <c r="BB1860" s="863" t="s">
        <v>121</v>
      </c>
      <c r="BC1860" s="864">
        <v>45990</v>
      </c>
      <c r="BD1860" s="860" t="s">
        <v>6297</v>
      </c>
      <c r="BE1860" s="865" cm="1">
        <f t="array" ref="BE1860">IF(BD1860="","",AC1860/SUMPRODUCT(--(BD1860=$BD$4:$BD$12824),$AC$4:$AC$12824))</f>
        <v>5.9217874718658079E-4</v>
      </c>
      <c r="BF1860" s="458"/>
      <c r="BG1860" s="458"/>
      <c r="BH1860" s="458"/>
      <c r="BI1860" s="458"/>
      <c r="BJ1860" s="458"/>
      <c r="BK1860" s="458"/>
      <c r="BL1860" s="458"/>
      <c r="BM1860" s="458"/>
      <c r="BN1860" s="458"/>
      <c r="BO1860" s="866">
        <f>VLOOKUP(BD1860,$BD$4:$BN$12824,3,0)*BE1860</f>
        <v>22833.271363068729</v>
      </c>
      <c r="BP1860" s="866"/>
      <c r="BQ1860" s="866"/>
      <c r="BR1860" s="866">
        <f>VLOOKUP(BD1860,$BD$4:$BN$12824,6,0)*BE1860</f>
        <v>9727.7323429343669</v>
      </c>
      <c r="BS1860" s="866">
        <f>VLOOKUP(BD1860,$BD$4:$BN$12824,7,0)*BE1860</f>
        <v>1848.29054035634</v>
      </c>
      <c r="BT1860" s="866"/>
      <c r="BU1860" s="866">
        <f>VLOOKUP(BD1860,$BD$4:$BN$12824,9,0)*BE1860</f>
        <v>71.721728965502734</v>
      </c>
      <c r="BV1860" s="867"/>
      <c r="BW1860" s="867">
        <f>VLOOKUP(BD1860,$BD$4:$BN$12824,11,0)*BE1860</f>
        <v>0</v>
      </c>
      <c r="BX1860" s="1146">
        <f t="shared" si="348"/>
        <v>34481.015975324939</v>
      </c>
      <c r="BY1860" s="867">
        <f t="shared" si="350"/>
        <v>513524.72497541684</v>
      </c>
      <c r="BZ1860" s="867">
        <f t="shared" si="349"/>
        <v>2054098.8999016674</v>
      </c>
      <c r="CA1860" s="867">
        <f>_xlfn.MAXIFS($BY$4:$BY$12824,$S$4:$S$12824,$S1860)</f>
        <v>635709.68014923087</v>
      </c>
      <c r="CB1860" s="1032"/>
      <c r="CF1860" s="946">
        <f t="shared" si="358"/>
        <v>1960192</v>
      </c>
    </row>
    <row r="1861" spans="2:84">
      <c r="B1861" s="839" t="s">
        <v>98</v>
      </c>
      <c r="C1861" s="839" t="s">
        <v>273</v>
      </c>
      <c r="D1861" s="839" t="s">
        <v>6289</v>
      </c>
      <c r="E1861" s="839" t="s">
        <v>6290</v>
      </c>
      <c r="F1861" s="841">
        <v>45841</v>
      </c>
      <c r="G1861" s="868" t="s">
        <v>273</v>
      </c>
      <c r="H1861" s="842" t="s">
        <v>134</v>
      </c>
      <c r="I1861" s="883"/>
      <c r="J1861" s="841"/>
      <c r="K1861" s="841"/>
      <c r="L1861" s="843" t="s">
        <v>106</v>
      </c>
      <c r="M1861" s="844" t="s">
        <v>275</v>
      </c>
      <c r="N1861" s="841"/>
      <c r="O1861" s="884" t="s">
        <v>150</v>
      </c>
      <c r="P1861" s="842" t="s">
        <v>124</v>
      </c>
      <c r="Q1861" s="843"/>
      <c r="R1861" s="845" t="str">
        <f t="shared" si="359"/>
        <v>16189.34</v>
      </c>
      <c r="S1861" s="1127" t="s">
        <v>6330</v>
      </c>
      <c r="T1861" s="885" t="s">
        <v>6331</v>
      </c>
      <c r="U1861" s="886">
        <v>2</v>
      </c>
      <c r="V1861" s="842" t="s">
        <v>3</v>
      </c>
      <c r="W1861" s="846" t="s">
        <v>4483</v>
      </c>
      <c r="X1861" s="847">
        <f t="shared" si="354"/>
        <v>64.48</v>
      </c>
      <c r="Y1861" s="853" t="s">
        <v>4582</v>
      </c>
      <c r="Z1861" s="902">
        <v>15.314</v>
      </c>
      <c r="AA1861" s="849"/>
      <c r="AB1861" s="849">
        <f t="shared" ref="AB1861:AB1924" si="360">IF(AA1861="F.O.C", 0, Z1861*U1861)</f>
        <v>30.628</v>
      </c>
      <c r="AC1861" s="850">
        <f t="shared" ref="AC1861:AC1924" si="361">Z1861*U1861</f>
        <v>30.628</v>
      </c>
      <c r="AD1861" s="851">
        <f t="shared" si="355"/>
        <v>32000</v>
      </c>
      <c r="AE1861" s="852">
        <v>29936.21</v>
      </c>
      <c r="AF1861" s="853">
        <v>0.1</v>
      </c>
      <c r="AG1861" s="854">
        <f t="shared" ref="AG1861:AG1924" si="362">(AC1861*AE1861+BO1861+BP1861+BQ1861+BS1861)*AF1861</f>
        <v>92922.702083171273</v>
      </c>
      <c r="AH1861" s="853">
        <v>0.08</v>
      </c>
      <c r="AI1861" s="855">
        <f t="shared" ref="AI1861:AI1924" si="363">(AC1861*AE1861+AG1861+BF1861+BG1861+BH1861+BJ1861)*AH1861</f>
        <v>80784.715357053705</v>
      </c>
      <c r="AJ1861" s="856" t="s">
        <v>6292</v>
      </c>
      <c r="AK1861" s="857">
        <v>45911</v>
      </c>
      <c r="AL1861" s="843" t="s">
        <v>6293</v>
      </c>
      <c r="AM1861" s="843" t="s">
        <v>6294</v>
      </c>
      <c r="AN1861" s="844" t="s">
        <v>3951</v>
      </c>
      <c r="AO1861" s="844" t="s">
        <v>141</v>
      </c>
      <c r="AP1861" s="841"/>
      <c r="AQ1861" s="841">
        <v>45929</v>
      </c>
      <c r="AR1861" s="841">
        <v>45987</v>
      </c>
      <c r="AS1861" s="842" t="s">
        <v>1284</v>
      </c>
      <c r="AT1861" s="842" t="s">
        <v>1743</v>
      </c>
      <c r="AU1861" s="842" t="s">
        <v>6295</v>
      </c>
      <c r="AV1861" s="845" t="s">
        <v>6296</v>
      </c>
      <c r="AW1861" s="861">
        <v>45986</v>
      </c>
      <c r="AX1861" s="862">
        <v>45987</v>
      </c>
      <c r="AY1861" s="843"/>
      <c r="AZ1861" s="842">
        <v>94031000</v>
      </c>
      <c r="BA1861" s="842" t="s">
        <v>120</v>
      </c>
      <c r="BB1861" s="863" t="s">
        <v>121</v>
      </c>
      <c r="BC1861" s="864">
        <v>45990</v>
      </c>
      <c r="BD1861" s="860" t="s">
        <v>6297</v>
      </c>
      <c r="BE1861" s="865" cm="1">
        <f t="array" ref="BE1861">IF(BD1861="","",AC1861/SUMPRODUCT(--(BD1861=$BD$4:$BD$12824),$AC$4:$AC$12824))</f>
        <v>2.9608937359329039E-4</v>
      </c>
      <c r="BF1861" s="458"/>
      <c r="BG1861" s="458"/>
      <c r="BH1861" s="458"/>
      <c r="BI1861" s="458"/>
      <c r="BJ1861" s="458"/>
      <c r="BK1861" s="458"/>
      <c r="BL1861" s="458"/>
      <c r="BM1861" s="458"/>
      <c r="BN1861" s="458"/>
      <c r="BO1861" s="866">
        <f>VLOOKUP(BD1861,$BD$4:$BN$12824,3,0)*BE1861</f>
        <v>11416.635681534364</v>
      </c>
      <c r="BP1861" s="866"/>
      <c r="BQ1861" s="866"/>
      <c r="BR1861" s="866">
        <f>VLOOKUP(BD1861,$BD$4:$BN$12824,6,0)*BE1861</f>
        <v>4863.8661714671834</v>
      </c>
      <c r="BS1861" s="866">
        <f>VLOOKUP(BD1861,$BD$4:$BN$12824,7,0)*BE1861</f>
        <v>924.14527017816999</v>
      </c>
      <c r="BT1861" s="866"/>
      <c r="BU1861" s="866">
        <f>VLOOKUP(BD1861,$BD$4:$BN$12824,9,0)*BE1861</f>
        <v>35.860864482751367</v>
      </c>
      <c r="BV1861" s="867"/>
      <c r="BW1861" s="867">
        <f>VLOOKUP(BD1861,$BD$4:$BN$12824,11,0)*BE1861</f>
        <v>0</v>
      </c>
      <c r="BX1861" s="1146">
        <f t="shared" ref="BX1861:BX1924" si="364">SUM(BO1861:BW1861)</f>
        <v>17240.50798766247</v>
      </c>
      <c r="BY1861" s="867">
        <f t="shared" si="350"/>
        <v>513524.72497541684</v>
      </c>
      <c r="BZ1861" s="867">
        <f t="shared" ref="BZ1861:BZ1924" si="365">BY1861*U1861</f>
        <v>1027049.4499508337</v>
      </c>
      <c r="CA1861" s="867">
        <f>_xlfn.MAXIFS($BY$4:$BY$12824,$S$4:$S$12824,$S1861)</f>
        <v>513524.72497541684</v>
      </c>
      <c r="CB1861" s="1032"/>
      <c r="CF1861" s="946">
        <f t="shared" si="358"/>
        <v>980096</v>
      </c>
    </row>
    <row r="1862" spans="2:84">
      <c r="B1862" s="839" t="s">
        <v>98</v>
      </c>
      <c r="C1862" s="839" t="s">
        <v>273</v>
      </c>
      <c r="D1862" s="839" t="s">
        <v>6289</v>
      </c>
      <c r="E1862" s="839" t="s">
        <v>6290</v>
      </c>
      <c r="F1862" s="841">
        <v>45841</v>
      </c>
      <c r="G1862" s="868" t="s">
        <v>273</v>
      </c>
      <c r="H1862" s="842" t="s">
        <v>134</v>
      </c>
      <c r="I1862" s="883"/>
      <c r="J1862" s="841"/>
      <c r="K1862" s="841"/>
      <c r="L1862" s="843" t="s">
        <v>106</v>
      </c>
      <c r="M1862" s="844" t="s">
        <v>275</v>
      </c>
      <c r="N1862" s="841"/>
      <c r="O1862" s="884" t="s">
        <v>150</v>
      </c>
      <c r="P1862" s="842" t="s">
        <v>124</v>
      </c>
      <c r="Q1862" s="843"/>
      <c r="R1862" s="845" t="str">
        <f t="shared" si="359"/>
        <v>16189.27</v>
      </c>
      <c r="S1862" s="1127" t="s">
        <v>6332</v>
      </c>
      <c r="T1862" s="885" t="s">
        <v>6333</v>
      </c>
      <c r="U1862" s="886">
        <v>2</v>
      </c>
      <c r="V1862" s="842" t="s">
        <v>3</v>
      </c>
      <c r="W1862" s="846" t="s">
        <v>4483</v>
      </c>
      <c r="X1862" s="847">
        <f t="shared" si="354"/>
        <v>64.48</v>
      </c>
      <c r="Y1862" s="853" t="s">
        <v>4582</v>
      </c>
      <c r="Z1862" s="902">
        <v>15.314</v>
      </c>
      <c r="AA1862" s="849"/>
      <c r="AB1862" s="849">
        <f t="shared" si="360"/>
        <v>30.628</v>
      </c>
      <c r="AC1862" s="850">
        <f t="shared" si="361"/>
        <v>30.628</v>
      </c>
      <c r="AD1862" s="851">
        <f t="shared" si="355"/>
        <v>32000</v>
      </c>
      <c r="AE1862" s="852">
        <v>29936.21</v>
      </c>
      <c r="AF1862" s="853">
        <v>0.1</v>
      </c>
      <c r="AG1862" s="854">
        <f t="shared" si="362"/>
        <v>92922.702083171273</v>
      </c>
      <c r="AH1862" s="853">
        <v>0.08</v>
      </c>
      <c r="AI1862" s="855">
        <f t="shared" si="363"/>
        <v>80784.715357053705</v>
      </c>
      <c r="AJ1862" s="856" t="s">
        <v>6292</v>
      </c>
      <c r="AK1862" s="857">
        <v>45911</v>
      </c>
      <c r="AL1862" s="843" t="s">
        <v>6293</v>
      </c>
      <c r="AM1862" s="843" t="s">
        <v>6294</v>
      </c>
      <c r="AN1862" s="844" t="s">
        <v>3951</v>
      </c>
      <c r="AO1862" s="844" t="s">
        <v>141</v>
      </c>
      <c r="AP1862" s="841"/>
      <c r="AQ1862" s="841">
        <v>45929</v>
      </c>
      <c r="AR1862" s="841">
        <v>45987</v>
      </c>
      <c r="AS1862" s="842" t="s">
        <v>1284</v>
      </c>
      <c r="AT1862" s="842" t="s">
        <v>1743</v>
      </c>
      <c r="AU1862" s="842" t="s">
        <v>6295</v>
      </c>
      <c r="AV1862" s="845" t="s">
        <v>6296</v>
      </c>
      <c r="AW1862" s="861">
        <v>45986</v>
      </c>
      <c r="AX1862" s="862">
        <v>45987</v>
      </c>
      <c r="AY1862" s="843"/>
      <c r="AZ1862" s="842">
        <v>94031000</v>
      </c>
      <c r="BA1862" s="842" t="s">
        <v>120</v>
      </c>
      <c r="BB1862" s="863" t="s">
        <v>121</v>
      </c>
      <c r="BC1862" s="864">
        <v>45990</v>
      </c>
      <c r="BD1862" s="860" t="s">
        <v>6297</v>
      </c>
      <c r="BE1862" s="865" cm="1">
        <f t="array" ref="BE1862">IF(BD1862="","",AC1862/SUMPRODUCT(--(BD1862=$BD$4:$BD$12824),$AC$4:$AC$12824))</f>
        <v>2.9608937359329039E-4</v>
      </c>
      <c r="BF1862" s="458"/>
      <c r="BG1862" s="458"/>
      <c r="BH1862" s="458"/>
      <c r="BI1862" s="458"/>
      <c r="BJ1862" s="458"/>
      <c r="BK1862" s="458"/>
      <c r="BL1862" s="458"/>
      <c r="BM1862" s="458"/>
      <c r="BN1862" s="458"/>
      <c r="BO1862" s="866">
        <f>VLOOKUP(BD1862,$BD$4:$BN$12824,3,0)*BE1862</f>
        <v>11416.635681534364</v>
      </c>
      <c r="BP1862" s="866"/>
      <c r="BQ1862" s="866"/>
      <c r="BR1862" s="866">
        <f>VLOOKUP(BD1862,$BD$4:$BN$12824,6,0)*BE1862</f>
        <v>4863.8661714671834</v>
      </c>
      <c r="BS1862" s="866">
        <f>VLOOKUP(BD1862,$BD$4:$BN$12824,7,0)*BE1862</f>
        <v>924.14527017816999</v>
      </c>
      <c r="BT1862" s="866"/>
      <c r="BU1862" s="866">
        <f>VLOOKUP(BD1862,$BD$4:$BN$12824,9,0)*BE1862</f>
        <v>35.860864482751367</v>
      </c>
      <c r="BV1862" s="867"/>
      <c r="BW1862" s="867">
        <f>VLOOKUP(BD1862,$BD$4:$BN$12824,11,0)*BE1862</f>
        <v>0</v>
      </c>
      <c r="BX1862" s="1146">
        <f t="shared" si="364"/>
        <v>17240.50798766247</v>
      </c>
      <c r="BY1862" s="867">
        <f t="shared" ref="BY1862:BY1925" si="366">(AB1862*AE1862+AG1862+BX1862)/U1862</f>
        <v>513524.72497541684</v>
      </c>
      <c r="BZ1862" s="867">
        <f t="shared" si="365"/>
        <v>1027049.4499508337</v>
      </c>
      <c r="CA1862" s="867">
        <f>_xlfn.MAXIFS($BY$4:$BY$12824,$S$4:$S$12824,$S1862)</f>
        <v>513524.72497541684</v>
      </c>
      <c r="CB1862" s="1032"/>
      <c r="CF1862" s="946">
        <f t="shared" si="358"/>
        <v>980096</v>
      </c>
    </row>
    <row r="1863" spans="2:84">
      <c r="B1863" s="839" t="s">
        <v>98</v>
      </c>
      <c r="C1863" s="839" t="s">
        <v>273</v>
      </c>
      <c r="D1863" s="839" t="s">
        <v>6289</v>
      </c>
      <c r="E1863" s="839" t="s">
        <v>6290</v>
      </c>
      <c r="F1863" s="841">
        <v>45841</v>
      </c>
      <c r="G1863" s="868" t="s">
        <v>273</v>
      </c>
      <c r="H1863" s="842" t="s">
        <v>134</v>
      </c>
      <c r="I1863" s="883"/>
      <c r="J1863" s="841"/>
      <c r="K1863" s="841"/>
      <c r="L1863" s="843" t="s">
        <v>106</v>
      </c>
      <c r="M1863" s="844" t="s">
        <v>275</v>
      </c>
      <c r="N1863" s="841"/>
      <c r="O1863" s="884" t="s">
        <v>150</v>
      </c>
      <c r="P1863" s="842" t="s">
        <v>124</v>
      </c>
      <c r="Q1863" s="843"/>
      <c r="R1863" s="845" t="str">
        <f t="shared" si="359"/>
        <v>11208.23</v>
      </c>
      <c r="S1863" s="1127" t="s">
        <v>6334</v>
      </c>
      <c r="T1863" s="885" t="s">
        <v>6335</v>
      </c>
      <c r="U1863" s="886">
        <v>10</v>
      </c>
      <c r="V1863" s="842" t="s">
        <v>3</v>
      </c>
      <c r="W1863" s="846" t="s">
        <v>4462</v>
      </c>
      <c r="X1863" s="847">
        <f t="shared" si="354"/>
        <v>337.5</v>
      </c>
      <c r="Y1863" s="853" t="s">
        <v>4582</v>
      </c>
      <c r="Z1863" s="902">
        <v>16.030999999999999</v>
      </c>
      <c r="AA1863" s="849"/>
      <c r="AB1863" s="849">
        <f t="shared" si="360"/>
        <v>160.31</v>
      </c>
      <c r="AC1863" s="850">
        <f t="shared" si="361"/>
        <v>160.31</v>
      </c>
      <c r="AD1863" s="851">
        <f t="shared" si="355"/>
        <v>32000</v>
      </c>
      <c r="AE1863" s="852">
        <v>29936.21</v>
      </c>
      <c r="AF1863" s="853">
        <v>0.1</v>
      </c>
      <c r="AG1863" s="854">
        <f t="shared" si="362"/>
        <v>486366.67007160722</v>
      </c>
      <c r="AH1863" s="853">
        <v>0.08</v>
      </c>
      <c r="AI1863" s="855">
        <f t="shared" si="363"/>
        <v>422835.2396137286</v>
      </c>
      <c r="AJ1863" s="856" t="s">
        <v>6292</v>
      </c>
      <c r="AK1863" s="857">
        <v>45911</v>
      </c>
      <c r="AL1863" s="843" t="s">
        <v>6293</v>
      </c>
      <c r="AM1863" s="843" t="s">
        <v>6294</v>
      </c>
      <c r="AN1863" s="844" t="s">
        <v>3951</v>
      </c>
      <c r="AO1863" s="844" t="s">
        <v>141</v>
      </c>
      <c r="AP1863" s="841"/>
      <c r="AQ1863" s="841">
        <v>45929</v>
      </c>
      <c r="AR1863" s="841">
        <v>45987</v>
      </c>
      <c r="AS1863" s="842" t="s">
        <v>1284</v>
      </c>
      <c r="AT1863" s="842" t="s">
        <v>1743</v>
      </c>
      <c r="AU1863" s="842" t="s">
        <v>6295</v>
      </c>
      <c r="AV1863" s="845" t="s">
        <v>6296</v>
      </c>
      <c r="AW1863" s="861">
        <v>45986</v>
      </c>
      <c r="AX1863" s="862">
        <v>45987</v>
      </c>
      <c r="AY1863" s="843"/>
      <c r="AZ1863" s="842">
        <v>94031000</v>
      </c>
      <c r="BA1863" s="842" t="s">
        <v>120</v>
      </c>
      <c r="BB1863" s="863" t="s">
        <v>121</v>
      </c>
      <c r="BC1863" s="864">
        <v>45990</v>
      </c>
      <c r="BD1863" s="860" t="s">
        <v>6297</v>
      </c>
      <c r="BE1863" s="865" cm="1">
        <f t="array" ref="BE1863">IF(BD1863="","",AC1863/SUMPRODUCT(--(BD1863=$BD$4:$BD$12824),$AC$4:$AC$12824))</f>
        <v>1.5497612472489351E-3</v>
      </c>
      <c r="BF1863" s="458"/>
      <c r="BG1863" s="458"/>
      <c r="BH1863" s="458"/>
      <c r="BI1863" s="458"/>
      <c r="BJ1863" s="458"/>
      <c r="BK1863" s="458"/>
      <c r="BL1863" s="458"/>
      <c r="BM1863" s="458"/>
      <c r="BN1863" s="458"/>
      <c r="BO1863" s="866">
        <f>VLOOKUP(BD1863,$BD$4:$BN$12824,3,0)*BE1863</f>
        <v>59755.807303995491</v>
      </c>
      <c r="BP1863" s="866"/>
      <c r="BQ1863" s="866"/>
      <c r="BR1863" s="866">
        <f>VLOOKUP(BD1863,$BD$4:$BN$12824,6,0)*BE1863</f>
        <v>25457.959577768848</v>
      </c>
      <c r="BS1863" s="866">
        <f>VLOOKUP(BD1863,$BD$4:$BN$12824,7,0)*BE1863</f>
        <v>4837.0683120759577</v>
      </c>
      <c r="BT1863" s="866"/>
      <c r="BU1863" s="866">
        <f>VLOOKUP(BD1863,$BD$4:$BN$12824,9,0)*BE1863</f>
        <v>187.69933346055478</v>
      </c>
      <c r="BV1863" s="867"/>
      <c r="BW1863" s="867">
        <f>VLOOKUP(BD1863,$BD$4:$BN$12824,11,0)*BE1863</f>
        <v>0</v>
      </c>
      <c r="BX1863" s="1146">
        <f t="shared" si="364"/>
        <v>90238.534527300857</v>
      </c>
      <c r="BY1863" s="867">
        <f t="shared" si="366"/>
        <v>537567.90296989086</v>
      </c>
      <c r="BZ1863" s="867">
        <f t="shared" si="365"/>
        <v>5375679.0296989083</v>
      </c>
      <c r="CA1863" s="867">
        <f>_xlfn.MAXIFS($BY$4:$BY$12824,$S$4:$S$12824,$S1863)</f>
        <v>742028.43666908715</v>
      </c>
      <c r="CB1863" s="1032"/>
      <c r="CF1863" s="946">
        <f t="shared" si="358"/>
        <v>5129920</v>
      </c>
    </row>
    <row r="1864" spans="2:84">
      <c r="B1864" s="839" t="s">
        <v>98</v>
      </c>
      <c r="C1864" s="839" t="s">
        <v>273</v>
      </c>
      <c r="D1864" s="839" t="s">
        <v>6289</v>
      </c>
      <c r="E1864" s="839" t="s">
        <v>6290</v>
      </c>
      <c r="F1864" s="841">
        <v>45841</v>
      </c>
      <c r="G1864" s="868" t="s">
        <v>273</v>
      </c>
      <c r="H1864" s="842" t="s">
        <v>134</v>
      </c>
      <c r="I1864" s="883"/>
      <c r="J1864" s="841"/>
      <c r="K1864" s="841"/>
      <c r="L1864" s="843" t="s">
        <v>106</v>
      </c>
      <c r="M1864" s="844" t="s">
        <v>275</v>
      </c>
      <c r="N1864" s="841"/>
      <c r="O1864" s="884" t="s">
        <v>150</v>
      </c>
      <c r="P1864" s="842" t="s">
        <v>124</v>
      </c>
      <c r="Q1864" s="843"/>
      <c r="R1864" s="845" t="str">
        <f t="shared" si="359"/>
        <v>11208.24</v>
      </c>
      <c r="S1864" s="1127" t="s">
        <v>6336</v>
      </c>
      <c r="T1864" s="885" t="s">
        <v>6337</v>
      </c>
      <c r="U1864" s="886">
        <v>14</v>
      </c>
      <c r="V1864" s="842" t="s">
        <v>3</v>
      </c>
      <c r="W1864" s="846" t="s">
        <v>4462</v>
      </c>
      <c r="X1864" s="847">
        <f t="shared" si="354"/>
        <v>472.5</v>
      </c>
      <c r="Y1864" s="853" t="s">
        <v>4582</v>
      </c>
      <c r="Z1864" s="902">
        <v>16.030999999999999</v>
      </c>
      <c r="AA1864" s="849"/>
      <c r="AB1864" s="849">
        <f t="shared" si="360"/>
        <v>224.43399999999997</v>
      </c>
      <c r="AC1864" s="850">
        <f t="shared" si="361"/>
        <v>224.43399999999997</v>
      </c>
      <c r="AD1864" s="851">
        <f t="shared" si="355"/>
        <v>32000</v>
      </c>
      <c r="AE1864" s="852">
        <v>29936.21</v>
      </c>
      <c r="AF1864" s="853">
        <v>0.1</v>
      </c>
      <c r="AG1864" s="854">
        <f t="shared" si="362"/>
        <v>680913.33810024988</v>
      </c>
      <c r="AH1864" s="853">
        <v>0.08</v>
      </c>
      <c r="AI1864" s="855">
        <f t="shared" si="363"/>
        <v>591969.33545921987</v>
      </c>
      <c r="AJ1864" s="856" t="s">
        <v>6292</v>
      </c>
      <c r="AK1864" s="857">
        <v>45911</v>
      </c>
      <c r="AL1864" s="843" t="s">
        <v>6293</v>
      </c>
      <c r="AM1864" s="843" t="s">
        <v>6294</v>
      </c>
      <c r="AN1864" s="844" t="s">
        <v>3951</v>
      </c>
      <c r="AO1864" s="844" t="s">
        <v>141</v>
      </c>
      <c r="AP1864" s="841"/>
      <c r="AQ1864" s="841">
        <v>45929</v>
      </c>
      <c r="AR1864" s="841">
        <v>45987</v>
      </c>
      <c r="AS1864" s="842" t="s">
        <v>1284</v>
      </c>
      <c r="AT1864" s="842" t="s">
        <v>1743</v>
      </c>
      <c r="AU1864" s="842" t="s">
        <v>6295</v>
      </c>
      <c r="AV1864" s="845" t="s">
        <v>6296</v>
      </c>
      <c r="AW1864" s="861">
        <v>45986</v>
      </c>
      <c r="AX1864" s="862">
        <v>45987</v>
      </c>
      <c r="AY1864" s="843"/>
      <c r="AZ1864" s="842">
        <v>94031000</v>
      </c>
      <c r="BA1864" s="842" t="s">
        <v>120</v>
      </c>
      <c r="BB1864" s="863" t="s">
        <v>121</v>
      </c>
      <c r="BC1864" s="864">
        <v>45990</v>
      </c>
      <c r="BD1864" s="860" t="s">
        <v>6297</v>
      </c>
      <c r="BE1864" s="865" cm="1">
        <f t="array" ref="BE1864">IF(BD1864="","",AC1864/SUMPRODUCT(--(BD1864=$BD$4:$BD$12824),$AC$4:$AC$12824))</f>
        <v>2.1696657461485087E-3</v>
      </c>
      <c r="BF1864" s="458"/>
      <c r="BG1864" s="458"/>
      <c r="BH1864" s="458"/>
      <c r="BI1864" s="458"/>
      <c r="BJ1864" s="458"/>
      <c r="BK1864" s="458"/>
      <c r="BL1864" s="458"/>
      <c r="BM1864" s="458"/>
      <c r="BN1864" s="458"/>
      <c r="BO1864" s="866">
        <f>VLOOKUP(BD1864,$BD$4:$BN$12824,3,0)*BE1864</f>
        <v>83658.130225593675</v>
      </c>
      <c r="BP1864" s="866"/>
      <c r="BQ1864" s="866"/>
      <c r="BR1864" s="866">
        <f>VLOOKUP(BD1864,$BD$4:$BN$12824,6,0)*BE1864</f>
        <v>35641.143408876378</v>
      </c>
      <c r="BS1864" s="866">
        <f>VLOOKUP(BD1864,$BD$4:$BN$12824,7,0)*BE1864</f>
        <v>6771.8956369063399</v>
      </c>
      <c r="BT1864" s="866"/>
      <c r="BU1864" s="866">
        <f>VLOOKUP(BD1864,$BD$4:$BN$12824,9,0)*BE1864</f>
        <v>262.77906684477665</v>
      </c>
      <c r="BV1864" s="867"/>
      <c r="BW1864" s="867">
        <f>VLOOKUP(BD1864,$BD$4:$BN$12824,11,0)*BE1864</f>
        <v>0</v>
      </c>
      <c r="BX1864" s="1146">
        <f t="shared" si="364"/>
        <v>126333.94833822116</v>
      </c>
      <c r="BY1864" s="867">
        <f t="shared" si="366"/>
        <v>537567.90296989062</v>
      </c>
      <c r="BZ1864" s="867">
        <f t="shared" si="365"/>
        <v>7525950.6415784685</v>
      </c>
      <c r="CA1864" s="867">
        <f>_xlfn.MAXIFS($BY$4:$BY$12824,$S$4:$S$12824,$S1864)</f>
        <v>537567.90296989062</v>
      </c>
      <c r="CB1864" s="1032"/>
      <c r="CF1864" s="946">
        <f t="shared" si="358"/>
        <v>7181887.9999999991</v>
      </c>
    </row>
    <row r="1865" spans="2:84">
      <c r="B1865" s="839" t="s">
        <v>98</v>
      </c>
      <c r="C1865" s="839" t="s">
        <v>273</v>
      </c>
      <c r="D1865" s="839" t="s">
        <v>6289</v>
      </c>
      <c r="E1865" s="839" t="s">
        <v>6290</v>
      </c>
      <c r="F1865" s="841">
        <v>45841</v>
      </c>
      <c r="G1865" s="868" t="s">
        <v>273</v>
      </c>
      <c r="H1865" s="842" t="s">
        <v>134</v>
      </c>
      <c r="I1865" s="883"/>
      <c r="J1865" s="841"/>
      <c r="K1865" s="841"/>
      <c r="L1865" s="843" t="s">
        <v>106</v>
      </c>
      <c r="M1865" s="844" t="s">
        <v>275</v>
      </c>
      <c r="N1865" s="841"/>
      <c r="O1865" s="884" t="s">
        <v>150</v>
      </c>
      <c r="P1865" s="842" t="s">
        <v>124</v>
      </c>
      <c r="Q1865" s="843"/>
      <c r="R1865" s="845" t="str">
        <f t="shared" si="359"/>
        <v>11208.27</v>
      </c>
      <c r="S1865" s="1127" t="s">
        <v>6338</v>
      </c>
      <c r="T1865" s="885" t="s">
        <v>6339</v>
      </c>
      <c r="U1865" s="886">
        <v>6</v>
      </c>
      <c r="V1865" s="842" t="s">
        <v>3</v>
      </c>
      <c r="W1865" s="846" t="s">
        <v>4462</v>
      </c>
      <c r="X1865" s="847">
        <f t="shared" si="354"/>
        <v>202.5</v>
      </c>
      <c r="Y1865" s="853" t="s">
        <v>4582</v>
      </c>
      <c r="Z1865" s="902">
        <v>16.030999999999999</v>
      </c>
      <c r="AA1865" s="849"/>
      <c r="AB1865" s="849">
        <f t="shared" si="360"/>
        <v>96.185999999999993</v>
      </c>
      <c r="AC1865" s="850">
        <f t="shared" si="361"/>
        <v>96.185999999999993</v>
      </c>
      <c r="AD1865" s="851">
        <f t="shared" si="355"/>
        <v>32000</v>
      </c>
      <c r="AE1865" s="852">
        <v>29936.21</v>
      </c>
      <c r="AF1865" s="853">
        <v>0.1</v>
      </c>
      <c r="AG1865" s="854">
        <f t="shared" si="362"/>
        <v>291820.00204296428</v>
      </c>
      <c r="AH1865" s="853">
        <v>0.08</v>
      </c>
      <c r="AI1865" s="855">
        <f t="shared" si="363"/>
        <v>253701.14376823712</v>
      </c>
      <c r="AJ1865" s="856" t="s">
        <v>6292</v>
      </c>
      <c r="AK1865" s="857">
        <v>45911</v>
      </c>
      <c r="AL1865" s="843" t="s">
        <v>6293</v>
      </c>
      <c r="AM1865" s="843" t="s">
        <v>6294</v>
      </c>
      <c r="AN1865" s="844" t="s">
        <v>3951</v>
      </c>
      <c r="AO1865" s="844" t="s">
        <v>141</v>
      </c>
      <c r="AP1865" s="841"/>
      <c r="AQ1865" s="841">
        <v>45929</v>
      </c>
      <c r="AR1865" s="841">
        <v>45987</v>
      </c>
      <c r="AS1865" s="842" t="s">
        <v>1284</v>
      </c>
      <c r="AT1865" s="842" t="s">
        <v>1743</v>
      </c>
      <c r="AU1865" s="842" t="s">
        <v>6295</v>
      </c>
      <c r="AV1865" s="845" t="s">
        <v>6296</v>
      </c>
      <c r="AW1865" s="861">
        <v>45986</v>
      </c>
      <c r="AX1865" s="862">
        <v>45987</v>
      </c>
      <c r="AY1865" s="843"/>
      <c r="AZ1865" s="842">
        <v>94031000</v>
      </c>
      <c r="BA1865" s="842" t="s">
        <v>120</v>
      </c>
      <c r="BB1865" s="863" t="s">
        <v>121</v>
      </c>
      <c r="BC1865" s="864">
        <v>45990</v>
      </c>
      <c r="BD1865" s="860" t="s">
        <v>6297</v>
      </c>
      <c r="BE1865" s="865" cm="1">
        <f t="array" ref="BE1865">IF(BD1865="","",AC1865/SUMPRODUCT(--(BD1865=$BD$4:$BD$12824),$AC$4:$AC$12824))</f>
        <v>9.2985674834936095E-4</v>
      </c>
      <c r="BF1865" s="458"/>
      <c r="BG1865" s="458"/>
      <c r="BH1865" s="458"/>
      <c r="BI1865" s="458"/>
      <c r="BJ1865" s="458"/>
      <c r="BK1865" s="458"/>
      <c r="BL1865" s="458"/>
      <c r="BM1865" s="458"/>
      <c r="BN1865" s="458"/>
      <c r="BO1865" s="866">
        <f>VLOOKUP(BD1865,$BD$4:$BN$12824,3,0)*BE1865</f>
        <v>35853.484382397291</v>
      </c>
      <c r="BP1865" s="866"/>
      <c r="BQ1865" s="866"/>
      <c r="BR1865" s="866">
        <f>VLOOKUP(BD1865,$BD$4:$BN$12824,6,0)*BE1865</f>
        <v>15274.775746661307</v>
      </c>
      <c r="BS1865" s="866">
        <f>VLOOKUP(BD1865,$BD$4:$BN$12824,7,0)*BE1865</f>
        <v>2902.2409872455746</v>
      </c>
      <c r="BT1865" s="866"/>
      <c r="BU1865" s="866">
        <f>VLOOKUP(BD1865,$BD$4:$BN$12824,9,0)*BE1865</f>
        <v>112.61960007633286</v>
      </c>
      <c r="BV1865" s="867"/>
      <c r="BW1865" s="867">
        <f>VLOOKUP(BD1865,$BD$4:$BN$12824,11,0)*BE1865</f>
        <v>0</v>
      </c>
      <c r="BX1865" s="1146">
        <f t="shared" si="364"/>
        <v>54143.120716380508</v>
      </c>
      <c r="BY1865" s="867">
        <f t="shared" si="366"/>
        <v>537567.90296989074</v>
      </c>
      <c r="BZ1865" s="867">
        <f t="shared" si="365"/>
        <v>3225407.4178193444</v>
      </c>
      <c r="CA1865" s="867">
        <f>_xlfn.MAXIFS($BY$4:$BY$12824,$S$4:$S$12824,$S1865)</f>
        <v>537567.90296989074</v>
      </c>
      <c r="CB1865" s="1032"/>
      <c r="CF1865" s="946">
        <f t="shared" si="358"/>
        <v>3077952</v>
      </c>
    </row>
    <row r="1866" spans="2:84">
      <c r="B1866" s="839" t="s">
        <v>98</v>
      </c>
      <c r="C1866" s="839" t="s">
        <v>273</v>
      </c>
      <c r="D1866" s="839" t="s">
        <v>6289</v>
      </c>
      <c r="E1866" s="839" t="s">
        <v>6290</v>
      </c>
      <c r="F1866" s="841">
        <v>45841</v>
      </c>
      <c r="G1866" s="868" t="s">
        <v>273</v>
      </c>
      <c r="H1866" s="842" t="s">
        <v>134</v>
      </c>
      <c r="I1866" s="883"/>
      <c r="J1866" s="841"/>
      <c r="K1866" s="841"/>
      <c r="L1866" s="843" t="s">
        <v>106</v>
      </c>
      <c r="M1866" s="844" t="s">
        <v>275</v>
      </c>
      <c r="N1866" s="841"/>
      <c r="O1866" s="884" t="s">
        <v>150</v>
      </c>
      <c r="P1866" s="842" t="s">
        <v>124</v>
      </c>
      <c r="Q1866" s="843"/>
      <c r="R1866" s="845" t="str">
        <f t="shared" si="359"/>
        <v>11208.30</v>
      </c>
      <c r="S1866" s="1127" t="s">
        <v>6340</v>
      </c>
      <c r="T1866" s="885" t="s">
        <v>6341</v>
      </c>
      <c r="U1866" s="886">
        <v>13</v>
      </c>
      <c r="V1866" s="842" t="s">
        <v>3</v>
      </c>
      <c r="W1866" s="846" t="s">
        <v>4462</v>
      </c>
      <c r="X1866" s="847">
        <f t="shared" si="354"/>
        <v>438.75</v>
      </c>
      <c r="Y1866" s="853" t="s">
        <v>4582</v>
      </c>
      <c r="Z1866" s="902">
        <v>16.030999999999999</v>
      </c>
      <c r="AA1866" s="849"/>
      <c r="AB1866" s="849">
        <f t="shared" si="360"/>
        <v>208.40299999999999</v>
      </c>
      <c r="AC1866" s="850">
        <f t="shared" si="361"/>
        <v>208.40299999999999</v>
      </c>
      <c r="AD1866" s="851">
        <f t="shared" si="355"/>
        <v>32000</v>
      </c>
      <c r="AE1866" s="852">
        <v>29936.21</v>
      </c>
      <c r="AF1866" s="853">
        <v>0.1</v>
      </c>
      <c r="AG1866" s="854">
        <f t="shared" si="362"/>
        <v>632276.67109308927</v>
      </c>
      <c r="AH1866" s="853">
        <v>0.08</v>
      </c>
      <c r="AI1866" s="855">
        <f t="shared" si="363"/>
        <v>549685.8114978472</v>
      </c>
      <c r="AJ1866" s="856" t="s">
        <v>6292</v>
      </c>
      <c r="AK1866" s="857">
        <v>45911</v>
      </c>
      <c r="AL1866" s="843" t="s">
        <v>6293</v>
      </c>
      <c r="AM1866" s="843" t="s">
        <v>6294</v>
      </c>
      <c r="AN1866" s="844" t="s">
        <v>3951</v>
      </c>
      <c r="AO1866" s="844" t="s">
        <v>141</v>
      </c>
      <c r="AP1866" s="841"/>
      <c r="AQ1866" s="841">
        <v>45929</v>
      </c>
      <c r="AR1866" s="841">
        <v>45987</v>
      </c>
      <c r="AS1866" s="842" t="s">
        <v>1284</v>
      </c>
      <c r="AT1866" s="842" t="s">
        <v>1743</v>
      </c>
      <c r="AU1866" s="842" t="s">
        <v>6295</v>
      </c>
      <c r="AV1866" s="845" t="s">
        <v>6296</v>
      </c>
      <c r="AW1866" s="861">
        <v>45986</v>
      </c>
      <c r="AX1866" s="862">
        <v>45987</v>
      </c>
      <c r="AY1866" s="843"/>
      <c r="AZ1866" s="842">
        <v>94031000</v>
      </c>
      <c r="BA1866" s="842" t="s">
        <v>120</v>
      </c>
      <c r="BB1866" s="863" t="s">
        <v>121</v>
      </c>
      <c r="BC1866" s="864">
        <v>45990</v>
      </c>
      <c r="BD1866" s="860" t="s">
        <v>6297</v>
      </c>
      <c r="BE1866" s="865" cm="1">
        <f t="array" ref="BE1866">IF(BD1866="","",AC1866/SUMPRODUCT(--(BD1866=$BD$4:$BD$12824),$AC$4:$AC$12824))</f>
        <v>2.0146896214236158E-3</v>
      </c>
      <c r="BF1866" s="458"/>
      <c r="BG1866" s="458"/>
      <c r="BH1866" s="458"/>
      <c r="BI1866" s="458"/>
      <c r="BJ1866" s="458"/>
      <c r="BK1866" s="458"/>
      <c r="BL1866" s="458"/>
      <c r="BM1866" s="458"/>
      <c r="BN1866" s="458"/>
      <c r="BO1866" s="866">
        <f>VLOOKUP(BD1866,$BD$4:$BN$12824,3,0)*BE1866</f>
        <v>77682.549495194136</v>
      </c>
      <c r="BP1866" s="866"/>
      <c r="BQ1866" s="866"/>
      <c r="BR1866" s="866">
        <f>VLOOKUP(BD1866,$BD$4:$BN$12824,6,0)*BE1866</f>
        <v>33095.3474510995</v>
      </c>
      <c r="BS1866" s="866">
        <f>VLOOKUP(BD1866,$BD$4:$BN$12824,7,0)*BE1866</f>
        <v>6288.1888056987455</v>
      </c>
      <c r="BT1866" s="866"/>
      <c r="BU1866" s="866">
        <f>VLOOKUP(BD1866,$BD$4:$BN$12824,9,0)*BE1866</f>
        <v>244.00913349872121</v>
      </c>
      <c r="BV1866" s="867"/>
      <c r="BW1866" s="867">
        <f>VLOOKUP(BD1866,$BD$4:$BN$12824,11,0)*BE1866</f>
        <v>0</v>
      </c>
      <c r="BX1866" s="1146">
        <f t="shared" si="364"/>
        <v>117310.09488549111</v>
      </c>
      <c r="BY1866" s="867">
        <f t="shared" si="366"/>
        <v>537567.90296989074</v>
      </c>
      <c r="BZ1866" s="867">
        <f t="shared" si="365"/>
        <v>6988382.7386085801</v>
      </c>
      <c r="CA1866" s="867">
        <f>_xlfn.MAXIFS($BY$4:$BY$12824,$S$4:$S$12824,$S1866)</f>
        <v>565869.77497454348</v>
      </c>
      <c r="CB1866" s="1032"/>
      <c r="CF1866" s="946">
        <f t="shared" si="358"/>
        <v>6668896</v>
      </c>
    </row>
    <row r="1867" spans="2:84">
      <c r="B1867" s="839" t="s">
        <v>98</v>
      </c>
      <c r="C1867" s="839" t="s">
        <v>273</v>
      </c>
      <c r="D1867" s="839" t="s">
        <v>6289</v>
      </c>
      <c r="E1867" s="839" t="s">
        <v>6290</v>
      </c>
      <c r="F1867" s="841">
        <v>45841</v>
      </c>
      <c r="G1867" s="868" t="s">
        <v>273</v>
      </c>
      <c r="H1867" s="842" t="s">
        <v>134</v>
      </c>
      <c r="I1867" s="883"/>
      <c r="J1867" s="841"/>
      <c r="K1867" s="841"/>
      <c r="L1867" s="843" t="s">
        <v>106</v>
      </c>
      <c r="M1867" s="844" t="s">
        <v>275</v>
      </c>
      <c r="N1867" s="841"/>
      <c r="O1867" s="884" t="s">
        <v>150</v>
      </c>
      <c r="P1867" s="842" t="s">
        <v>124</v>
      </c>
      <c r="Q1867" s="843"/>
      <c r="R1867" s="845" t="str">
        <f t="shared" si="359"/>
        <v>11208.34</v>
      </c>
      <c r="S1867" s="1127" t="s">
        <v>6342</v>
      </c>
      <c r="T1867" s="885" t="s">
        <v>6343</v>
      </c>
      <c r="U1867" s="886">
        <v>6</v>
      </c>
      <c r="V1867" s="842" t="s">
        <v>3</v>
      </c>
      <c r="W1867" s="846" t="s">
        <v>4462</v>
      </c>
      <c r="X1867" s="847">
        <f t="shared" si="354"/>
        <v>202.5</v>
      </c>
      <c r="Y1867" s="853" t="s">
        <v>4582</v>
      </c>
      <c r="Z1867" s="902">
        <v>16.030999999999999</v>
      </c>
      <c r="AA1867" s="849"/>
      <c r="AB1867" s="849">
        <f t="shared" si="360"/>
        <v>96.185999999999993</v>
      </c>
      <c r="AC1867" s="850">
        <f t="shared" si="361"/>
        <v>96.185999999999993</v>
      </c>
      <c r="AD1867" s="851">
        <f t="shared" si="355"/>
        <v>32000</v>
      </c>
      <c r="AE1867" s="852">
        <v>29936.21</v>
      </c>
      <c r="AF1867" s="853">
        <v>0.1</v>
      </c>
      <c r="AG1867" s="854">
        <f t="shared" si="362"/>
        <v>291820.00204296428</v>
      </c>
      <c r="AH1867" s="853">
        <v>0.08</v>
      </c>
      <c r="AI1867" s="855">
        <f t="shared" si="363"/>
        <v>253701.14376823712</v>
      </c>
      <c r="AJ1867" s="856" t="s">
        <v>6292</v>
      </c>
      <c r="AK1867" s="857">
        <v>45911</v>
      </c>
      <c r="AL1867" s="843" t="s">
        <v>6293</v>
      </c>
      <c r="AM1867" s="843" t="s">
        <v>6294</v>
      </c>
      <c r="AN1867" s="844" t="s">
        <v>3951</v>
      </c>
      <c r="AO1867" s="844" t="s">
        <v>141</v>
      </c>
      <c r="AP1867" s="841"/>
      <c r="AQ1867" s="841">
        <v>45929</v>
      </c>
      <c r="AR1867" s="841">
        <v>45987</v>
      </c>
      <c r="AS1867" s="842" t="s">
        <v>1284</v>
      </c>
      <c r="AT1867" s="842" t="s">
        <v>1743</v>
      </c>
      <c r="AU1867" s="842" t="s">
        <v>6295</v>
      </c>
      <c r="AV1867" s="845" t="s">
        <v>6296</v>
      </c>
      <c r="AW1867" s="861">
        <v>45986</v>
      </c>
      <c r="AX1867" s="862">
        <v>45987</v>
      </c>
      <c r="AY1867" s="843"/>
      <c r="AZ1867" s="842">
        <v>94031000</v>
      </c>
      <c r="BA1867" s="842" t="s">
        <v>120</v>
      </c>
      <c r="BB1867" s="863" t="s">
        <v>121</v>
      </c>
      <c r="BC1867" s="864">
        <v>45990</v>
      </c>
      <c r="BD1867" s="860" t="s">
        <v>6297</v>
      </c>
      <c r="BE1867" s="865" cm="1">
        <f t="array" ref="BE1867">IF(BD1867="","",AC1867/SUMPRODUCT(--(BD1867=$BD$4:$BD$12824),$AC$4:$AC$12824))</f>
        <v>9.2985674834936095E-4</v>
      </c>
      <c r="BF1867" s="458"/>
      <c r="BG1867" s="458"/>
      <c r="BH1867" s="458"/>
      <c r="BI1867" s="458"/>
      <c r="BJ1867" s="458"/>
      <c r="BK1867" s="458"/>
      <c r="BL1867" s="458"/>
      <c r="BM1867" s="458"/>
      <c r="BN1867" s="458"/>
      <c r="BO1867" s="866">
        <f>VLOOKUP(BD1867,$BD$4:$BN$12824,3,0)*BE1867</f>
        <v>35853.484382397291</v>
      </c>
      <c r="BP1867" s="866"/>
      <c r="BQ1867" s="866"/>
      <c r="BR1867" s="866">
        <f>VLOOKUP(BD1867,$BD$4:$BN$12824,6,0)*BE1867</f>
        <v>15274.775746661307</v>
      </c>
      <c r="BS1867" s="866">
        <f>VLOOKUP(BD1867,$BD$4:$BN$12824,7,0)*BE1867</f>
        <v>2902.2409872455746</v>
      </c>
      <c r="BT1867" s="866"/>
      <c r="BU1867" s="866">
        <f>VLOOKUP(BD1867,$BD$4:$BN$12824,9,0)*BE1867</f>
        <v>112.61960007633286</v>
      </c>
      <c r="BV1867" s="867"/>
      <c r="BW1867" s="867">
        <f>VLOOKUP(BD1867,$BD$4:$BN$12824,11,0)*BE1867</f>
        <v>0</v>
      </c>
      <c r="BX1867" s="1146">
        <f t="shared" si="364"/>
        <v>54143.120716380508</v>
      </c>
      <c r="BY1867" s="867">
        <f t="shared" si="366"/>
        <v>537567.90296989074</v>
      </c>
      <c r="BZ1867" s="867">
        <f t="shared" si="365"/>
        <v>3225407.4178193444</v>
      </c>
      <c r="CA1867" s="867">
        <f>_xlfn.MAXIFS($BY$4:$BY$12824,$S$4:$S$12824,$S1867)</f>
        <v>537567.90296989074</v>
      </c>
      <c r="CB1867" s="1032"/>
      <c r="CF1867" s="946">
        <f t="shared" si="358"/>
        <v>3077952</v>
      </c>
    </row>
    <row r="1868" spans="2:84">
      <c r="B1868" s="839" t="s">
        <v>98</v>
      </c>
      <c r="C1868" s="839" t="s">
        <v>273</v>
      </c>
      <c r="D1868" s="839" t="s">
        <v>6289</v>
      </c>
      <c r="E1868" s="839" t="s">
        <v>6290</v>
      </c>
      <c r="F1868" s="841">
        <v>45841</v>
      </c>
      <c r="G1868" s="868" t="s">
        <v>273</v>
      </c>
      <c r="H1868" s="842" t="s">
        <v>134</v>
      </c>
      <c r="I1868" s="883"/>
      <c r="J1868" s="841"/>
      <c r="K1868" s="841"/>
      <c r="L1868" s="843" t="s">
        <v>106</v>
      </c>
      <c r="M1868" s="844" t="s">
        <v>275</v>
      </c>
      <c r="N1868" s="841"/>
      <c r="O1868" s="884" t="s">
        <v>150</v>
      </c>
      <c r="P1868" s="842" t="s">
        <v>124</v>
      </c>
      <c r="Q1868" s="843"/>
      <c r="R1868" s="845" t="str">
        <f t="shared" si="359"/>
        <v>11208.31</v>
      </c>
      <c r="S1868" s="1127" t="s">
        <v>4469</v>
      </c>
      <c r="T1868" s="885" t="s">
        <v>4470</v>
      </c>
      <c r="U1868" s="886">
        <v>15</v>
      </c>
      <c r="V1868" s="842" t="s">
        <v>3</v>
      </c>
      <c r="W1868" s="846" t="s">
        <v>4462</v>
      </c>
      <c r="X1868" s="847">
        <f t="shared" si="354"/>
        <v>506.25</v>
      </c>
      <c r="Y1868" s="853" t="s">
        <v>4582</v>
      </c>
      <c r="Z1868" s="902">
        <v>16.030999999999999</v>
      </c>
      <c r="AA1868" s="849"/>
      <c r="AB1868" s="849">
        <f t="shared" si="360"/>
        <v>240.46499999999997</v>
      </c>
      <c r="AC1868" s="850">
        <f t="shared" si="361"/>
        <v>240.46499999999997</v>
      </c>
      <c r="AD1868" s="851">
        <f t="shared" si="355"/>
        <v>32000</v>
      </c>
      <c r="AE1868" s="852">
        <v>29936.21</v>
      </c>
      <c r="AF1868" s="853">
        <v>0.1</v>
      </c>
      <c r="AG1868" s="854">
        <f t="shared" si="362"/>
        <v>729550.00510741072</v>
      </c>
      <c r="AH1868" s="853">
        <v>0.08</v>
      </c>
      <c r="AI1868" s="855">
        <f t="shared" si="363"/>
        <v>634252.85942059278</v>
      </c>
      <c r="AJ1868" s="856" t="s">
        <v>6292</v>
      </c>
      <c r="AK1868" s="857">
        <v>45911</v>
      </c>
      <c r="AL1868" s="843" t="s">
        <v>6293</v>
      </c>
      <c r="AM1868" s="843" t="s">
        <v>6294</v>
      </c>
      <c r="AN1868" s="844" t="s">
        <v>3951</v>
      </c>
      <c r="AO1868" s="844" t="s">
        <v>141</v>
      </c>
      <c r="AP1868" s="841"/>
      <c r="AQ1868" s="841">
        <v>45929</v>
      </c>
      <c r="AR1868" s="841">
        <v>45987</v>
      </c>
      <c r="AS1868" s="842" t="s">
        <v>1284</v>
      </c>
      <c r="AT1868" s="842" t="s">
        <v>1743</v>
      </c>
      <c r="AU1868" s="842" t="s">
        <v>6295</v>
      </c>
      <c r="AV1868" s="845" t="s">
        <v>6296</v>
      </c>
      <c r="AW1868" s="861">
        <v>45986</v>
      </c>
      <c r="AX1868" s="862">
        <v>45987</v>
      </c>
      <c r="AY1868" s="843"/>
      <c r="AZ1868" s="842">
        <v>94031000</v>
      </c>
      <c r="BA1868" s="842" t="s">
        <v>120</v>
      </c>
      <c r="BB1868" s="863" t="s">
        <v>121</v>
      </c>
      <c r="BC1868" s="864">
        <v>45990</v>
      </c>
      <c r="BD1868" s="860" t="s">
        <v>6297</v>
      </c>
      <c r="BE1868" s="865" cm="1">
        <f t="array" ref="BE1868">IF(BD1868="","",AC1868/SUMPRODUCT(--(BD1868=$BD$4:$BD$12824),$AC$4:$AC$12824))</f>
        <v>2.3246418708734026E-3</v>
      </c>
      <c r="BF1868" s="458"/>
      <c r="BG1868" s="458"/>
      <c r="BH1868" s="458"/>
      <c r="BI1868" s="458"/>
      <c r="BJ1868" s="458"/>
      <c r="BK1868" s="458"/>
      <c r="BL1868" s="458"/>
      <c r="BM1868" s="458"/>
      <c r="BN1868" s="458"/>
      <c r="BO1868" s="866">
        <f>VLOOKUP(BD1868,$BD$4:$BN$12824,3,0)*BE1868</f>
        <v>89633.710955993229</v>
      </c>
      <c r="BP1868" s="866"/>
      <c r="BQ1868" s="866"/>
      <c r="BR1868" s="866">
        <f>VLOOKUP(BD1868,$BD$4:$BN$12824,6,0)*BE1868</f>
        <v>38186.939366653271</v>
      </c>
      <c r="BS1868" s="866">
        <f>VLOOKUP(BD1868,$BD$4:$BN$12824,7,0)*BE1868</f>
        <v>7255.602468113937</v>
      </c>
      <c r="BT1868" s="866"/>
      <c r="BU1868" s="866">
        <f>VLOOKUP(BD1868,$BD$4:$BN$12824,9,0)*BE1868</f>
        <v>281.54900019083215</v>
      </c>
      <c r="BV1868" s="867"/>
      <c r="BW1868" s="867">
        <f>VLOOKUP(BD1868,$BD$4:$BN$12824,11,0)*BE1868</f>
        <v>0</v>
      </c>
      <c r="BX1868" s="1146">
        <f t="shared" si="364"/>
        <v>135357.80179095126</v>
      </c>
      <c r="BY1868" s="867">
        <f t="shared" si="366"/>
        <v>537567.90296989074</v>
      </c>
      <c r="BZ1868" s="867">
        <f t="shared" si="365"/>
        <v>8063518.5445483606</v>
      </c>
      <c r="CA1868" s="867">
        <f>_xlfn.MAXIFS($BY$4:$BY$12824,$S$4:$S$12824,$S1868)</f>
        <v>665681.10427537316</v>
      </c>
      <c r="CB1868" s="1032"/>
      <c r="CF1868" s="946">
        <f t="shared" si="358"/>
        <v>7694879.9999999991</v>
      </c>
    </row>
    <row r="1869" spans="2:84">
      <c r="B1869" s="839" t="s">
        <v>98</v>
      </c>
      <c r="C1869" s="839" t="s">
        <v>273</v>
      </c>
      <c r="D1869" s="839" t="s">
        <v>6289</v>
      </c>
      <c r="E1869" s="839" t="s">
        <v>6290</v>
      </c>
      <c r="F1869" s="841">
        <v>45841</v>
      </c>
      <c r="G1869" s="868" t="s">
        <v>273</v>
      </c>
      <c r="H1869" s="842" t="s">
        <v>134</v>
      </c>
      <c r="I1869" s="883"/>
      <c r="J1869" s="841"/>
      <c r="K1869" s="841"/>
      <c r="L1869" s="843" t="s">
        <v>106</v>
      </c>
      <c r="M1869" s="844" t="s">
        <v>275</v>
      </c>
      <c r="N1869" s="841"/>
      <c r="O1869" s="884" t="s">
        <v>150</v>
      </c>
      <c r="P1869" s="842" t="s">
        <v>124</v>
      </c>
      <c r="Q1869" s="843"/>
      <c r="R1869" s="845" t="str">
        <f t="shared" si="359"/>
        <v>11204.24</v>
      </c>
      <c r="S1869" s="1127" t="s">
        <v>3395</v>
      </c>
      <c r="T1869" s="885" t="s">
        <v>3396</v>
      </c>
      <c r="U1869" s="886">
        <v>6</v>
      </c>
      <c r="V1869" s="842" t="s">
        <v>3</v>
      </c>
      <c r="W1869" s="846" t="s">
        <v>4532</v>
      </c>
      <c r="X1869" s="847">
        <f t="shared" si="354"/>
        <v>256.86</v>
      </c>
      <c r="Y1869" s="853" t="s">
        <v>4582</v>
      </c>
      <c r="Z1869" s="902">
        <v>20.335000000000001</v>
      </c>
      <c r="AA1869" s="849"/>
      <c r="AB1869" s="849">
        <f t="shared" si="360"/>
        <v>122.01</v>
      </c>
      <c r="AC1869" s="850">
        <f t="shared" si="361"/>
        <v>122.01</v>
      </c>
      <c r="AD1869" s="851">
        <f t="shared" si="355"/>
        <v>32000</v>
      </c>
      <c r="AE1869" s="852">
        <v>29936.21</v>
      </c>
      <c r="AF1869" s="853">
        <v>0.1</v>
      </c>
      <c r="AG1869" s="854">
        <f t="shared" si="362"/>
        <v>370167.7837654344</v>
      </c>
      <c r="AH1869" s="853">
        <v>0.08</v>
      </c>
      <c r="AI1869" s="855">
        <f t="shared" si="363"/>
        <v>321814.78126923478</v>
      </c>
      <c r="AJ1869" s="856" t="s">
        <v>6292</v>
      </c>
      <c r="AK1869" s="857">
        <v>45911</v>
      </c>
      <c r="AL1869" s="843" t="s">
        <v>6293</v>
      </c>
      <c r="AM1869" s="843" t="s">
        <v>6294</v>
      </c>
      <c r="AN1869" s="844" t="s">
        <v>3951</v>
      </c>
      <c r="AO1869" s="844" t="s">
        <v>141</v>
      </c>
      <c r="AP1869" s="841"/>
      <c r="AQ1869" s="841">
        <v>45929</v>
      </c>
      <c r="AR1869" s="841">
        <v>45987</v>
      </c>
      <c r="AS1869" s="842" t="s">
        <v>1284</v>
      </c>
      <c r="AT1869" s="842" t="s">
        <v>1743</v>
      </c>
      <c r="AU1869" s="842" t="s">
        <v>6295</v>
      </c>
      <c r="AV1869" s="845" t="s">
        <v>6296</v>
      </c>
      <c r="AW1869" s="861">
        <v>45986</v>
      </c>
      <c r="AX1869" s="862">
        <v>45987</v>
      </c>
      <c r="AY1869" s="843"/>
      <c r="AZ1869" s="842">
        <v>94031000</v>
      </c>
      <c r="BA1869" s="842" t="s">
        <v>120</v>
      </c>
      <c r="BB1869" s="863" t="s">
        <v>121</v>
      </c>
      <c r="BC1869" s="864">
        <v>45990</v>
      </c>
      <c r="BD1869" s="860" t="s">
        <v>6297</v>
      </c>
      <c r="BE1869" s="865" cm="1">
        <f t="array" ref="BE1869">IF(BD1869="","",AC1869/SUMPRODUCT(--(BD1869=$BD$4:$BD$12824),$AC$4:$AC$12824))</f>
        <v>1.1795045210956433E-3</v>
      </c>
      <c r="BF1869" s="458"/>
      <c r="BG1869" s="458"/>
      <c r="BH1869" s="458"/>
      <c r="BI1869" s="458"/>
      <c r="BJ1869" s="458"/>
      <c r="BK1869" s="458"/>
      <c r="BL1869" s="458"/>
      <c r="BM1869" s="458"/>
      <c r="BN1869" s="458"/>
      <c r="BO1869" s="866">
        <f>VLOOKUP(BD1869,$BD$4:$BN$12824,3,0)*BE1869</f>
        <v>45479.421428235852</v>
      </c>
      <c r="BP1869" s="866"/>
      <c r="BQ1869" s="866"/>
      <c r="BR1869" s="866">
        <f>VLOOKUP(BD1869,$BD$4:$BN$12824,6,0)*BE1869</f>
        <v>19375.744794982078</v>
      </c>
      <c r="BS1869" s="866">
        <f>VLOOKUP(BD1869,$BD$4:$BN$12824,7,0)*BE1869</f>
        <v>3681.4341261080881</v>
      </c>
      <c r="BT1869" s="866"/>
      <c r="BU1869" s="866">
        <f>VLOOKUP(BD1869,$BD$4:$BN$12824,9,0)*BE1869</f>
        <v>142.85569007249885</v>
      </c>
      <c r="BV1869" s="867"/>
      <c r="BW1869" s="867">
        <f>VLOOKUP(BD1869,$BD$4:$BN$12824,11,0)*BE1869</f>
        <v>0</v>
      </c>
      <c r="BX1869" s="1146">
        <f t="shared" si="364"/>
        <v>68679.456039398516</v>
      </c>
      <c r="BY1869" s="867">
        <f t="shared" si="366"/>
        <v>681894.03698413877</v>
      </c>
      <c r="BZ1869" s="867">
        <f t="shared" si="365"/>
        <v>4091364.2219048329</v>
      </c>
      <c r="CA1869" s="867">
        <f>_xlfn.MAXIFS($BY$4:$BY$12824,$S$4:$S$12824,$S1869)</f>
        <v>1239609.8870550967</v>
      </c>
      <c r="CB1869" s="1032"/>
      <c r="CF1869" s="946">
        <f t="shared" si="358"/>
        <v>3904320</v>
      </c>
    </row>
    <row r="1870" spans="2:84">
      <c r="B1870" s="839" t="s">
        <v>98</v>
      </c>
      <c r="C1870" s="839" t="s">
        <v>273</v>
      </c>
      <c r="D1870" s="839" t="s">
        <v>6289</v>
      </c>
      <c r="E1870" s="839" t="s">
        <v>6290</v>
      </c>
      <c r="F1870" s="841">
        <v>45841</v>
      </c>
      <c r="G1870" s="868" t="s">
        <v>273</v>
      </c>
      <c r="H1870" s="842" t="s">
        <v>134</v>
      </c>
      <c r="I1870" s="883"/>
      <c r="J1870" s="841"/>
      <c r="K1870" s="841"/>
      <c r="L1870" s="843" t="s">
        <v>106</v>
      </c>
      <c r="M1870" s="844" t="s">
        <v>275</v>
      </c>
      <c r="N1870" s="841"/>
      <c r="O1870" s="884" t="s">
        <v>150</v>
      </c>
      <c r="P1870" s="842" t="s">
        <v>124</v>
      </c>
      <c r="Q1870" s="843"/>
      <c r="R1870" s="845" t="str">
        <f t="shared" si="359"/>
        <v>11204.31</v>
      </c>
      <c r="S1870" s="1127" t="s">
        <v>6344</v>
      </c>
      <c r="T1870" s="885" t="s">
        <v>6345</v>
      </c>
      <c r="U1870" s="886">
        <v>6</v>
      </c>
      <c r="V1870" s="842" t="s">
        <v>3</v>
      </c>
      <c r="W1870" s="846" t="s">
        <v>4532</v>
      </c>
      <c r="X1870" s="847">
        <f t="shared" si="354"/>
        <v>256.86</v>
      </c>
      <c r="Y1870" s="853" t="s">
        <v>4582</v>
      </c>
      <c r="Z1870" s="902">
        <v>20.335000000000001</v>
      </c>
      <c r="AA1870" s="849"/>
      <c r="AB1870" s="849">
        <f t="shared" si="360"/>
        <v>122.01</v>
      </c>
      <c r="AC1870" s="850">
        <f t="shared" si="361"/>
        <v>122.01</v>
      </c>
      <c r="AD1870" s="851">
        <f t="shared" si="355"/>
        <v>32000</v>
      </c>
      <c r="AE1870" s="852">
        <v>29936.21</v>
      </c>
      <c r="AF1870" s="853">
        <v>0.1</v>
      </c>
      <c r="AG1870" s="854">
        <f t="shared" si="362"/>
        <v>370167.7837654344</v>
      </c>
      <c r="AH1870" s="853">
        <v>0.08</v>
      </c>
      <c r="AI1870" s="855">
        <f t="shared" si="363"/>
        <v>321814.78126923478</v>
      </c>
      <c r="AJ1870" s="856" t="s">
        <v>6292</v>
      </c>
      <c r="AK1870" s="857">
        <v>45911</v>
      </c>
      <c r="AL1870" s="843" t="s">
        <v>6293</v>
      </c>
      <c r="AM1870" s="843" t="s">
        <v>6294</v>
      </c>
      <c r="AN1870" s="844" t="s">
        <v>3951</v>
      </c>
      <c r="AO1870" s="844" t="s">
        <v>141</v>
      </c>
      <c r="AP1870" s="841"/>
      <c r="AQ1870" s="841">
        <v>45929</v>
      </c>
      <c r="AR1870" s="841">
        <v>45987</v>
      </c>
      <c r="AS1870" s="842" t="s">
        <v>1284</v>
      </c>
      <c r="AT1870" s="842" t="s">
        <v>1743</v>
      </c>
      <c r="AU1870" s="842" t="s">
        <v>6295</v>
      </c>
      <c r="AV1870" s="845" t="s">
        <v>6296</v>
      </c>
      <c r="AW1870" s="861">
        <v>45986</v>
      </c>
      <c r="AX1870" s="862">
        <v>45987</v>
      </c>
      <c r="AY1870" s="843"/>
      <c r="AZ1870" s="842">
        <v>94031000</v>
      </c>
      <c r="BA1870" s="842" t="s">
        <v>120</v>
      </c>
      <c r="BB1870" s="863" t="s">
        <v>121</v>
      </c>
      <c r="BC1870" s="864">
        <v>45990</v>
      </c>
      <c r="BD1870" s="860" t="s">
        <v>6297</v>
      </c>
      <c r="BE1870" s="865" cm="1">
        <f t="array" ref="BE1870">IF(BD1870="","",AC1870/SUMPRODUCT(--(BD1870=$BD$4:$BD$12824),$AC$4:$AC$12824))</f>
        <v>1.1795045210956433E-3</v>
      </c>
      <c r="BF1870" s="458"/>
      <c r="BG1870" s="458"/>
      <c r="BH1870" s="458"/>
      <c r="BI1870" s="458"/>
      <c r="BJ1870" s="458"/>
      <c r="BK1870" s="458"/>
      <c r="BL1870" s="458"/>
      <c r="BM1870" s="458"/>
      <c r="BN1870" s="458"/>
      <c r="BO1870" s="866">
        <f>VLOOKUP(BD1870,$BD$4:$BN$12824,3,0)*BE1870</f>
        <v>45479.421428235852</v>
      </c>
      <c r="BP1870" s="866"/>
      <c r="BQ1870" s="866"/>
      <c r="BR1870" s="866">
        <f>VLOOKUP(BD1870,$BD$4:$BN$12824,6,0)*BE1870</f>
        <v>19375.744794982078</v>
      </c>
      <c r="BS1870" s="866">
        <f>VLOOKUP(BD1870,$BD$4:$BN$12824,7,0)*BE1870</f>
        <v>3681.4341261080881</v>
      </c>
      <c r="BT1870" s="866"/>
      <c r="BU1870" s="866">
        <f>VLOOKUP(BD1870,$BD$4:$BN$12824,9,0)*BE1870</f>
        <v>142.85569007249885</v>
      </c>
      <c r="BV1870" s="867"/>
      <c r="BW1870" s="867">
        <f>VLOOKUP(BD1870,$BD$4:$BN$12824,11,0)*BE1870</f>
        <v>0</v>
      </c>
      <c r="BX1870" s="1146">
        <f t="shared" si="364"/>
        <v>68679.456039398516</v>
      </c>
      <c r="BY1870" s="867">
        <f t="shared" si="366"/>
        <v>681894.03698413877</v>
      </c>
      <c r="BZ1870" s="867">
        <f t="shared" si="365"/>
        <v>4091364.2219048329</v>
      </c>
      <c r="CA1870" s="867">
        <f>_xlfn.MAXIFS($BY$4:$BY$12824,$S$4:$S$12824,$S1870)</f>
        <v>717774.3723454877</v>
      </c>
      <c r="CB1870" s="1032"/>
      <c r="CF1870" s="946">
        <f t="shared" si="358"/>
        <v>3904320</v>
      </c>
    </row>
    <row r="1871" spans="2:84">
      <c r="B1871" s="839" t="s">
        <v>98</v>
      </c>
      <c r="C1871" s="839" t="s">
        <v>273</v>
      </c>
      <c r="D1871" s="839" t="s">
        <v>6289</v>
      </c>
      <c r="E1871" s="839" t="s">
        <v>6290</v>
      </c>
      <c r="F1871" s="841">
        <v>45841</v>
      </c>
      <c r="G1871" s="868" t="s">
        <v>273</v>
      </c>
      <c r="H1871" s="842" t="s">
        <v>134</v>
      </c>
      <c r="I1871" s="883"/>
      <c r="J1871" s="841"/>
      <c r="K1871" s="841"/>
      <c r="L1871" s="843" t="s">
        <v>106</v>
      </c>
      <c r="M1871" s="844" t="s">
        <v>275</v>
      </c>
      <c r="N1871" s="841"/>
      <c r="O1871" s="884" t="s">
        <v>150</v>
      </c>
      <c r="P1871" s="842" t="s">
        <v>124</v>
      </c>
      <c r="Q1871" s="843"/>
      <c r="R1871" s="845" t="str">
        <f t="shared" si="359"/>
        <v>11211.22</v>
      </c>
      <c r="S1871" s="1127" t="s">
        <v>1119</v>
      </c>
      <c r="T1871" s="885" t="s">
        <v>1120</v>
      </c>
      <c r="U1871" s="886">
        <v>18</v>
      </c>
      <c r="V1871" s="842" t="s">
        <v>3</v>
      </c>
      <c r="W1871" s="846" t="s">
        <v>4498</v>
      </c>
      <c r="X1871" s="847">
        <f t="shared" si="354"/>
        <v>525.6</v>
      </c>
      <c r="Y1871" s="853" t="s">
        <v>4582</v>
      </c>
      <c r="Z1871" s="902">
        <v>13.87</v>
      </c>
      <c r="AA1871" s="849"/>
      <c r="AB1871" s="849">
        <f t="shared" si="360"/>
        <v>249.66</v>
      </c>
      <c r="AC1871" s="850">
        <f t="shared" si="361"/>
        <v>249.66</v>
      </c>
      <c r="AD1871" s="851">
        <f t="shared" si="355"/>
        <v>32000</v>
      </c>
      <c r="AE1871" s="852">
        <v>29936.21</v>
      </c>
      <c r="AF1871" s="853">
        <v>0.1</v>
      </c>
      <c r="AG1871" s="854">
        <f t="shared" si="362"/>
        <v>757446.83956133388</v>
      </c>
      <c r="AH1871" s="853">
        <v>0.08</v>
      </c>
      <c r="AI1871" s="855">
        <f t="shared" si="363"/>
        <v>658505.68225290673</v>
      </c>
      <c r="AJ1871" s="856" t="s">
        <v>6292</v>
      </c>
      <c r="AK1871" s="857">
        <v>45911</v>
      </c>
      <c r="AL1871" s="843" t="s">
        <v>6293</v>
      </c>
      <c r="AM1871" s="843" t="s">
        <v>6294</v>
      </c>
      <c r="AN1871" s="844" t="s">
        <v>3951</v>
      </c>
      <c r="AO1871" s="844" t="s">
        <v>141</v>
      </c>
      <c r="AP1871" s="841"/>
      <c r="AQ1871" s="841">
        <v>45929</v>
      </c>
      <c r="AR1871" s="841">
        <v>45987</v>
      </c>
      <c r="AS1871" s="842" t="s">
        <v>1284</v>
      </c>
      <c r="AT1871" s="842" t="s">
        <v>1743</v>
      </c>
      <c r="AU1871" s="842" t="s">
        <v>6295</v>
      </c>
      <c r="AV1871" s="845" t="s">
        <v>6296</v>
      </c>
      <c r="AW1871" s="861">
        <v>45986</v>
      </c>
      <c r="AX1871" s="862">
        <v>45987</v>
      </c>
      <c r="AY1871" s="843"/>
      <c r="AZ1871" s="842">
        <v>94031000</v>
      </c>
      <c r="BA1871" s="842" t="s">
        <v>120</v>
      </c>
      <c r="BB1871" s="863" t="s">
        <v>121</v>
      </c>
      <c r="BC1871" s="864">
        <v>45990</v>
      </c>
      <c r="BD1871" s="860" t="s">
        <v>6297</v>
      </c>
      <c r="BE1871" s="865" cm="1">
        <f t="array" ref="BE1871">IF(BD1871="","",AC1871/SUMPRODUCT(--(BD1871=$BD$4:$BD$12824),$AC$4:$AC$12824))</f>
        <v>2.4135324869825284E-3</v>
      </c>
      <c r="BF1871" s="458"/>
      <c r="BG1871" s="458"/>
      <c r="BH1871" s="458"/>
      <c r="BI1871" s="458"/>
      <c r="BJ1871" s="458"/>
      <c r="BK1871" s="458"/>
      <c r="BL1871" s="458"/>
      <c r="BM1871" s="458"/>
      <c r="BN1871" s="458"/>
      <c r="BO1871" s="866">
        <f>VLOOKUP(BD1871,$BD$4:$BN$12824,3,0)*BE1871</f>
        <v>93061.161820943875</v>
      </c>
      <c r="BP1871" s="866"/>
      <c r="BQ1871" s="866"/>
      <c r="BR1871" s="866">
        <f>VLOOKUP(BD1871,$BD$4:$BN$12824,6,0)*BE1871</f>
        <v>39647.147328212654</v>
      </c>
      <c r="BS1871" s="866">
        <f>VLOOKUP(BD1871,$BD$4:$BN$12824,7,0)*BE1871</f>
        <v>7533.0451923952569</v>
      </c>
      <c r="BT1871" s="866"/>
      <c r="BU1871" s="866">
        <f>VLOOKUP(BD1871,$BD$4:$BN$12824,9,0)*BE1871</f>
        <v>292.3149871608889</v>
      </c>
      <c r="BV1871" s="867"/>
      <c r="BW1871" s="867">
        <f>VLOOKUP(BD1871,$BD$4:$BN$12824,11,0)*BE1871</f>
        <v>0</v>
      </c>
      <c r="BX1871" s="1146">
        <f t="shared" si="364"/>
        <v>140533.66932871265</v>
      </c>
      <c r="BY1871" s="867">
        <f t="shared" si="366"/>
        <v>465103.03874944703</v>
      </c>
      <c r="BZ1871" s="867">
        <f t="shared" si="365"/>
        <v>8371854.6974900467</v>
      </c>
      <c r="CA1871" s="867">
        <f>_xlfn.MAXIFS($BY$4:$BY$12824,$S$4:$S$12824,$S1871)</f>
        <v>532154.69504862465</v>
      </c>
      <c r="CB1871" s="1032"/>
      <c r="CF1871" s="946">
        <f t="shared" si="358"/>
        <v>7989120</v>
      </c>
    </row>
    <row r="1872" spans="2:84">
      <c r="B1872" s="839" t="s">
        <v>98</v>
      </c>
      <c r="C1872" s="839" t="s">
        <v>273</v>
      </c>
      <c r="D1872" s="839" t="s">
        <v>6289</v>
      </c>
      <c r="E1872" s="839" t="s">
        <v>6290</v>
      </c>
      <c r="F1872" s="841">
        <v>45841</v>
      </c>
      <c r="G1872" s="868" t="s">
        <v>273</v>
      </c>
      <c r="H1872" s="842" t="s">
        <v>134</v>
      </c>
      <c r="I1872" s="883"/>
      <c r="J1872" s="841"/>
      <c r="K1872" s="841"/>
      <c r="L1872" s="843" t="s">
        <v>106</v>
      </c>
      <c r="M1872" s="844" t="s">
        <v>275</v>
      </c>
      <c r="N1872" s="841"/>
      <c r="O1872" s="884" t="s">
        <v>150</v>
      </c>
      <c r="P1872" s="842" t="s">
        <v>124</v>
      </c>
      <c r="Q1872" s="843"/>
      <c r="R1872" s="845" t="str">
        <f t="shared" si="359"/>
        <v>11211.23</v>
      </c>
      <c r="S1872" s="1127" t="s">
        <v>6346</v>
      </c>
      <c r="T1872" s="885" t="s">
        <v>6347</v>
      </c>
      <c r="U1872" s="886">
        <v>36</v>
      </c>
      <c r="V1872" s="842" t="s">
        <v>3</v>
      </c>
      <c r="W1872" s="846" t="s">
        <v>4498</v>
      </c>
      <c r="X1872" s="847">
        <f t="shared" si="354"/>
        <v>1051.2</v>
      </c>
      <c r="Y1872" s="853" t="s">
        <v>4582</v>
      </c>
      <c r="Z1872" s="902">
        <v>13.87</v>
      </c>
      <c r="AA1872" s="849"/>
      <c r="AB1872" s="849">
        <f t="shared" si="360"/>
        <v>499.32</v>
      </c>
      <c r="AC1872" s="850">
        <f t="shared" si="361"/>
        <v>499.32</v>
      </c>
      <c r="AD1872" s="851">
        <f t="shared" si="355"/>
        <v>32000</v>
      </c>
      <c r="AE1872" s="852">
        <v>29936.21</v>
      </c>
      <c r="AF1872" s="853">
        <v>0.1</v>
      </c>
      <c r="AG1872" s="854">
        <f t="shared" si="362"/>
        <v>1514893.6791226678</v>
      </c>
      <c r="AH1872" s="853">
        <v>0.08</v>
      </c>
      <c r="AI1872" s="855">
        <f t="shared" si="363"/>
        <v>1317011.3645058135</v>
      </c>
      <c r="AJ1872" s="856" t="s">
        <v>6292</v>
      </c>
      <c r="AK1872" s="857">
        <v>45911</v>
      </c>
      <c r="AL1872" s="843" t="s">
        <v>6293</v>
      </c>
      <c r="AM1872" s="843" t="s">
        <v>6294</v>
      </c>
      <c r="AN1872" s="844" t="s">
        <v>3951</v>
      </c>
      <c r="AO1872" s="844" t="s">
        <v>141</v>
      </c>
      <c r="AP1872" s="841"/>
      <c r="AQ1872" s="841">
        <v>45929</v>
      </c>
      <c r="AR1872" s="841">
        <v>45987</v>
      </c>
      <c r="AS1872" s="842" t="s">
        <v>1284</v>
      </c>
      <c r="AT1872" s="842" t="s">
        <v>1743</v>
      </c>
      <c r="AU1872" s="842" t="s">
        <v>6295</v>
      </c>
      <c r="AV1872" s="845" t="s">
        <v>6296</v>
      </c>
      <c r="AW1872" s="861">
        <v>45986</v>
      </c>
      <c r="AX1872" s="862">
        <v>45987</v>
      </c>
      <c r="AY1872" s="843"/>
      <c r="AZ1872" s="842">
        <v>94031000</v>
      </c>
      <c r="BA1872" s="842" t="s">
        <v>120</v>
      </c>
      <c r="BB1872" s="863" t="s">
        <v>121</v>
      </c>
      <c r="BC1872" s="864">
        <v>45990</v>
      </c>
      <c r="BD1872" s="860" t="s">
        <v>6297</v>
      </c>
      <c r="BE1872" s="865" cm="1">
        <f t="array" ref="BE1872">IF(BD1872="","",AC1872/SUMPRODUCT(--(BD1872=$BD$4:$BD$12824),$AC$4:$AC$12824))</f>
        <v>4.8270649739650569E-3</v>
      </c>
      <c r="BF1872" s="458"/>
      <c r="BG1872" s="458"/>
      <c r="BH1872" s="458"/>
      <c r="BI1872" s="458"/>
      <c r="BJ1872" s="458"/>
      <c r="BK1872" s="458"/>
      <c r="BL1872" s="458"/>
      <c r="BM1872" s="458"/>
      <c r="BN1872" s="458"/>
      <c r="BO1872" s="866">
        <f>VLOOKUP(BD1872,$BD$4:$BN$12824,3,0)*BE1872</f>
        <v>186122.32364188775</v>
      </c>
      <c r="BP1872" s="866"/>
      <c r="BQ1872" s="866"/>
      <c r="BR1872" s="866">
        <f>VLOOKUP(BD1872,$BD$4:$BN$12824,6,0)*BE1872</f>
        <v>79294.294656425307</v>
      </c>
      <c r="BS1872" s="866">
        <f>VLOOKUP(BD1872,$BD$4:$BN$12824,7,0)*BE1872</f>
        <v>15066.090384790514</v>
      </c>
      <c r="BT1872" s="866"/>
      <c r="BU1872" s="866">
        <f>VLOOKUP(BD1872,$BD$4:$BN$12824,9,0)*BE1872</f>
        <v>584.62997432177781</v>
      </c>
      <c r="BV1872" s="867"/>
      <c r="BW1872" s="867">
        <f>VLOOKUP(BD1872,$BD$4:$BN$12824,11,0)*BE1872</f>
        <v>0</v>
      </c>
      <c r="BX1872" s="1146">
        <f t="shared" si="364"/>
        <v>281067.33865742531</v>
      </c>
      <c r="BY1872" s="867">
        <f t="shared" si="366"/>
        <v>465103.03874944703</v>
      </c>
      <c r="BZ1872" s="867">
        <f t="shared" si="365"/>
        <v>16743709.394980093</v>
      </c>
      <c r="CA1872" s="867">
        <f>_xlfn.MAXIFS($BY$4:$BY$12824,$S$4:$S$12824,$S1872)</f>
        <v>465103.03874944703</v>
      </c>
      <c r="CB1872" s="1032"/>
      <c r="CF1872" s="946">
        <f t="shared" si="358"/>
        <v>15978240</v>
      </c>
    </row>
    <row r="1873" spans="2:84">
      <c r="B1873" s="839" t="s">
        <v>98</v>
      </c>
      <c r="C1873" s="839" t="s">
        <v>273</v>
      </c>
      <c r="D1873" s="839" t="s">
        <v>6289</v>
      </c>
      <c r="E1873" s="839" t="s">
        <v>6290</v>
      </c>
      <c r="F1873" s="841">
        <v>45841</v>
      </c>
      <c r="G1873" s="868" t="s">
        <v>273</v>
      </c>
      <c r="H1873" s="842" t="s">
        <v>134</v>
      </c>
      <c r="I1873" s="883"/>
      <c r="J1873" s="841"/>
      <c r="K1873" s="841"/>
      <c r="L1873" s="843" t="s">
        <v>106</v>
      </c>
      <c r="M1873" s="844" t="s">
        <v>275</v>
      </c>
      <c r="N1873" s="841"/>
      <c r="O1873" s="884" t="s">
        <v>150</v>
      </c>
      <c r="P1873" s="842" t="s">
        <v>124</v>
      </c>
      <c r="Q1873" s="843"/>
      <c r="R1873" s="845" t="str">
        <f t="shared" si="359"/>
        <v>11211.24</v>
      </c>
      <c r="S1873" s="1127" t="s">
        <v>3959</v>
      </c>
      <c r="T1873" s="885" t="s">
        <v>3960</v>
      </c>
      <c r="U1873" s="886">
        <v>80</v>
      </c>
      <c r="V1873" s="842" t="s">
        <v>3</v>
      </c>
      <c r="W1873" s="846" t="s">
        <v>4498</v>
      </c>
      <c r="X1873" s="847">
        <f t="shared" si="354"/>
        <v>2336</v>
      </c>
      <c r="Y1873" s="853" t="s">
        <v>4582</v>
      </c>
      <c r="Z1873" s="902">
        <v>13.87</v>
      </c>
      <c r="AA1873" s="849"/>
      <c r="AB1873" s="849">
        <f t="shared" si="360"/>
        <v>1109.5999999999999</v>
      </c>
      <c r="AC1873" s="850">
        <f t="shared" si="361"/>
        <v>1109.5999999999999</v>
      </c>
      <c r="AD1873" s="851">
        <f t="shared" si="355"/>
        <v>32000</v>
      </c>
      <c r="AE1873" s="852">
        <v>29936.21</v>
      </c>
      <c r="AF1873" s="853">
        <v>0.1</v>
      </c>
      <c r="AG1873" s="854">
        <f t="shared" si="362"/>
        <v>3366430.3980503734</v>
      </c>
      <c r="AH1873" s="853">
        <v>0.08</v>
      </c>
      <c r="AI1873" s="855">
        <f t="shared" si="363"/>
        <v>2926691.9211240299</v>
      </c>
      <c r="AJ1873" s="856" t="s">
        <v>6292</v>
      </c>
      <c r="AK1873" s="857">
        <v>45911</v>
      </c>
      <c r="AL1873" s="843" t="s">
        <v>6293</v>
      </c>
      <c r="AM1873" s="843" t="s">
        <v>6294</v>
      </c>
      <c r="AN1873" s="844" t="s">
        <v>3951</v>
      </c>
      <c r="AO1873" s="844" t="s">
        <v>141</v>
      </c>
      <c r="AP1873" s="841"/>
      <c r="AQ1873" s="841">
        <v>45929</v>
      </c>
      <c r="AR1873" s="841">
        <v>45987</v>
      </c>
      <c r="AS1873" s="842" t="s">
        <v>1284</v>
      </c>
      <c r="AT1873" s="842" t="s">
        <v>1743</v>
      </c>
      <c r="AU1873" s="842" t="s">
        <v>6295</v>
      </c>
      <c r="AV1873" s="845" t="s">
        <v>6296</v>
      </c>
      <c r="AW1873" s="861">
        <v>45986</v>
      </c>
      <c r="AX1873" s="862">
        <v>45987</v>
      </c>
      <c r="AY1873" s="843"/>
      <c r="AZ1873" s="842">
        <v>94031000</v>
      </c>
      <c r="BA1873" s="842" t="s">
        <v>120</v>
      </c>
      <c r="BB1873" s="863" t="s">
        <v>121</v>
      </c>
      <c r="BC1873" s="864">
        <v>45990</v>
      </c>
      <c r="BD1873" s="860" t="s">
        <v>6297</v>
      </c>
      <c r="BE1873" s="865" cm="1">
        <f t="array" ref="BE1873">IF(BD1873="","",AC1873/SUMPRODUCT(--(BD1873=$BD$4:$BD$12824),$AC$4:$AC$12824))</f>
        <v>1.072681105325568E-2</v>
      </c>
      <c r="BF1873" s="458"/>
      <c r="BG1873" s="458"/>
      <c r="BH1873" s="458"/>
      <c r="BI1873" s="458"/>
      <c r="BJ1873" s="458"/>
      <c r="BK1873" s="458"/>
      <c r="BL1873" s="458"/>
      <c r="BM1873" s="458"/>
      <c r="BN1873" s="458"/>
      <c r="BO1873" s="866">
        <f>VLOOKUP(BD1873,$BD$4:$BN$12824,3,0)*BE1873</f>
        <v>413605.1636486394</v>
      </c>
      <c r="BP1873" s="866"/>
      <c r="BQ1873" s="866"/>
      <c r="BR1873" s="866">
        <f>VLOOKUP(BD1873,$BD$4:$BN$12824,6,0)*BE1873</f>
        <v>176209.54368094509</v>
      </c>
      <c r="BS1873" s="866">
        <f>VLOOKUP(BD1873,$BD$4:$BN$12824,7,0)*BE1873</f>
        <v>33480.200855090028</v>
      </c>
      <c r="BT1873" s="866"/>
      <c r="BU1873" s="866">
        <f>VLOOKUP(BD1873,$BD$4:$BN$12824,9,0)*BE1873</f>
        <v>1299.1777207150617</v>
      </c>
      <c r="BV1873" s="867"/>
      <c r="BW1873" s="867">
        <f>VLOOKUP(BD1873,$BD$4:$BN$12824,11,0)*BE1873</f>
        <v>0</v>
      </c>
      <c r="BX1873" s="1146">
        <f t="shared" si="364"/>
        <v>624594.08590538963</v>
      </c>
      <c r="BY1873" s="867">
        <f t="shared" si="366"/>
        <v>465103.03874944698</v>
      </c>
      <c r="BZ1873" s="867">
        <f t="shared" si="365"/>
        <v>37208243.09995576</v>
      </c>
      <c r="CA1873" s="867">
        <f>_xlfn.MAXIFS($BY$4:$BY$12824,$S$4:$S$12824,$S1873)</f>
        <v>465103.03874944698</v>
      </c>
      <c r="CB1873" s="1032"/>
      <c r="CF1873" s="946">
        <f t="shared" si="358"/>
        <v>35507200</v>
      </c>
    </row>
    <row r="1874" spans="2:84">
      <c r="B1874" s="839" t="s">
        <v>98</v>
      </c>
      <c r="C1874" s="839" t="s">
        <v>273</v>
      </c>
      <c r="D1874" s="839" t="s">
        <v>6289</v>
      </c>
      <c r="E1874" s="839" t="s">
        <v>6290</v>
      </c>
      <c r="F1874" s="841">
        <v>45841</v>
      </c>
      <c r="G1874" s="868" t="s">
        <v>273</v>
      </c>
      <c r="H1874" s="842" t="s">
        <v>134</v>
      </c>
      <c r="I1874" s="883"/>
      <c r="J1874" s="841"/>
      <c r="K1874" s="841"/>
      <c r="L1874" s="843" t="s">
        <v>106</v>
      </c>
      <c r="M1874" s="844" t="s">
        <v>275</v>
      </c>
      <c r="N1874" s="841"/>
      <c r="O1874" s="884" t="s">
        <v>150</v>
      </c>
      <c r="P1874" s="842" t="s">
        <v>124</v>
      </c>
      <c r="Q1874" s="843"/>
      <c r="R1874" s="845" t="str">
        <f t="shared" si="359"/>
        <v>11211.25</v>
      </c>
      <c r="S1874" s="1127" t="s">
        <v>6348</v>
      </c>
      <c r="T1874" s="885" t="s">
        <v>6349</v>
      </c>
      <c r="U1874" s="886">
        <v>6</v>
      </c>
      <c r="V1874" s="842" t="s">
        <v>3</v>
      </c>
      <c r="W1874" s="846" t="s">
        <v>4498</v>
      </c>
      <c r="X1874" s="847">
        <f t="shared" si="354"/>
        <v>175.2</v>
      </c>
      <c r="Y1874" s="853" t="s">
        <v>4582</v>
      </c>
      <c r="Z1874" s="902">
        <v>13.87</v>
      </c>
      <c r="AA1874" s="849"/>
      <c r="AB1874" s="849">
        <f t="shared" si="360"/>
        <v>83.22</v>
      </c>
      <c r="AC1874" s="850">
        <f t="shared" si="361"/>
        <v>83.22</v>
      </c>
      <c r="AD1874" s="851">
        <f t="shared" si="355"/>
        <v>32000</v>
      </c>
      <c r="AE1874" s="852">
        <v>29936.21</v>
      </c>
      <c r="AF1874" s="853">
        <v>0.1</v>
      </c>
      <c r="AG1874" s="854">
        <f t="shared" si="362"/>
        <v>252482.27985377796</v>
      </c>
      <c r="AH1874" s="853">
        <v>0.08</v>
      </c>
      <c r="AI1874" s="855">
        <f t="shared" si="363"/>
        <v>219501.89408430224</v>
      </c>
      <c r="AJ1874" s="856" t="s">
        <v>6292</v>
      </c>
      <c r="AK1874" s="857">
        <v>45911</v>
      </c>
      <c r="AL1874" s="843" t="s">
        <v>6293</v>
      </c>
      <c r="AM1874" s="843" t="s">
        <v>6294</v>
      </c>
      <c r="AN1874" s="844" t="s">
        <v>3951</v>
      </c>
      <c r="AO1874" s="844" t="s">
        <v>141</v>
      </c>
      <c r="AP1874" s="841"/>
      <c r="AQ1874" s="841">
        <v>45929</v>
      </c>
      <c r="AR1874" s="841">
        <v>45987</v>
      </c>
      <c r="AS1874" s="842" t="s">
        <v>1284</v>
      </c>
      <c r="AT1874" s="842" t="s">
        <v>1743</v>
      </c>
      <c r="AU1874" s="842" t="s">
        <v>6295</v>
      </c>
      <c r="AV1874" s="845" t="s">
        <v>6296</v>
      </c>
      <c r="AW1874" s="861">
        <v>45986</v>
      </c>
      <c r="AX1874" s="862">
        <v>45987</v>
      </c>
      <c r="AY1874" s="843"/>
      <c r="AZ1874" s="842">
        <v>94031000</v>
      </c>
      <c r="BA1874" s="842" t="s">
        <v>120</v>
      </c>
      <c r="BB1874" s="863" t="s">
        <v>121</v>
      </c>
      <c r="BC1874" s="864">
        <v>45990</v>
      </c>
      <c r="BD1874" s="860" t="s">
        <v>6297</v>
      </c>
      <c r="BE1874" s="865" cm="1">
        <f t="array" ref="BE1874">IF(BD1874="","",AC1874/SUMPRODUCT(--(BD1874=$BD$4:$BD$12824),$AC$4:$AC$12824))</f>
        <v>8.0451082899417618E-4</v>
      </c>
      <c r="BF1874" s="458"/>
      <c r="BG1874" s="458"/>
      <c r="BH1874" s="458"/>
      <c r="BI1874" s="458"/>
      <c r="BJ1874" s="458"/>
      <c r="BK1874" s="458"/>
      <c r="BL1874" s="458"/>
      <c r="BM1874" s="458"/>
      <c r="BN1874" s="458"/>
      <c r="BO1874" s="866">
        <f>VLOOKUP(BD1874,$BD$4:$BN$12824,3,0)*BE1874</f>
        <v>31020.387273647961</v>
      </c>
      <c r="BP1874" s="866"/>
      <c r="BQ1874" s="866"/>
      <c r="BR1874" s="866">
        <f>VLOOKUP(BD1874,$BD$4:$BN$12824,6,0)*BE1874</f>
        <v>13215.715776070885</v>
      </c>
      <c r="BS1874" s="866">
        <f>VLOOKUP(BD1874,$BD$4:$BN$12824,7,0)*BE1874</f>
        <v>2511.0150641317523</v>
      </c>
      <c r="BT1874" s="866"/>
      <c r="BU1874" s="866">
        <f>VLOOKUP(BD1874,$BD$4:$BN$12824,9,0)*BE1874</f>
        <v>97.438329053629644</v>
      </c>
      <c r="BV1874" s="867"/>
      <c r="BW1874" s="867">
        <f>VLOOKUP(BD1874,$BD$4:$BN$12824,11,0)*BE1874</f>
        <v>0</v>
      </c>
      <c r="BX1874" s="1146">
        <f t="shared" si="364"/>
        <v>46844.556442904228</v>
      </c>
      <c r="BY1874" s="867">
        <f t="shared" si="366"/>
        <v>465103.03874944703</v>
      </c>
      <c r="BZ1874" s="867">
        <f t="shared" si="365"/>
        <v>2790618.2324966821</v>
      </c>
      <c r="CA1874" s="867">
        <f>_xlfn.MAXIFS($BY$4:$BY$12824,$S$4:$S$12824,$S1874)</f>
        <v>465103.03874944703</v>
      </c>
      <c r="CB1874" s="1032"/>
      <c r="CF1874" s="946">
        <f t="shared" si="358"/>
        <v>2663040</v>
      </c>
    </row>
    <row r="1875" spans="2:84">
      <c r="B1875" s="839" t="s">
        <v>98</v>
      </c>
      <c r="C1875" s="839" t="s">
        <v>273</v>
      </c>
      <c r="D1875" s="839" t="s">
        <v>6289</v>
      </c>
      <c r="E1875" s="839" t="s">
        <v>6290</v>
      </c>
      <c r="F1875" s="841">
        <v>45841</v>
      </c>
      <c r="G1875" s="868" t="s">
        <v>273</v>
      </c>
      <c r="H1875" s="842" t="s">
        <v>134</v>
      </c>
      <c r="I1875" s="883"/>
      <c r="J1875" s="841"/>
      <c r="K1875" s="841"/>
      <c r="L1875" s="843" t="s">
        <v>106</v>
      </c>
      <c r="M1875" s="844" t="s">
        <v>275</v>
      </c>
      <c r="N1875" s="841"/>
      <c r="O1875" s="884" t="s">
        <v>150</v>
      </c>
      <c r="P1875" s="842" t="s">
        <v>124</v>
      </c>
      <c r="Q1875" s="843"/>
      <c r="R1875" s="845" t="str">
        <f t="shared" si="359"/>
        <v>11211.26</v>
      </c>
      <c r="S1875" s="1127" t="s">
        <v>6350</v>
      </c>
      <c r="T1875" s="885" t="s">
        <v>6351</v>
      </c>
      <c r="U1875" s="886">
        <v>6</v>
      </c>
      <c r="V1875" s="842" t="s">
        <v>3</v>
      </c>
      <c r="W1875" s="846" t="s">
        <v>4498</v>
      </c>
      <c r="X1875" s="847">
        <f t="shared" si="354"/>
        <v>175.2</v>
      </c>
      <c r="Y1875" s="853" t="s">
        <v>4582</v>
      </c>
      <c r="Z1875" s="902">
        <v>13.87</v>
      </c>
      <c r="AA1875" s="849"/>
      <c r="AB1875" s="849">
        <f t="shared" si="360"/>
        <v>83.22</v>
      </c>
      <c r="AC1875" s="850">
        <f t="shared" si="361"/>
        <v>83.22</v>
      </c>
      <c r="AD1875" s="851">
        <f t="shared" si="355"/>
        <v>32000</v>
      </c>
      <c r="AE1875" s="852">
        <v>29936.21</v>
      </c>
      <c r="AF1875" s="853">
        <v>0.1</v>
      </c>
      <c r="AG1875" s="854">
        <f t="shared" si="362"/>
        <v>252482.27985377796</v>
      </c>
      <c r="AH1875" s="853">
        <v>0.08</v>
      </c>
      <c r="AI1875" s="855">
        <f t="shared" si="363"/>
        <v>219501.89408430224</v>
      </c>
      <c r="AJ1875" s="856" t="s">
        <v>6292</v>
      </c>
      <c r="AK1875" s="857">
        <v>45911</v>
      </c>
      <c r="AL1875" s="843" t="s">
        <v>6293</v>
      </c>
      <c r="AM1875" s="843" t="s">
        <v>6294</v>
      </c>
      <c r="AN1875" s="844" t="s">
        <v>3951</v>
      </c>
      <c r="AO1875" s="844" t="s">
        <v>141</v>
      </c>
      <c r="AP1875" s="841"/>
      <c r="AQ1875" s="841">
        <v>45929</v>
      </c>
      <c r="AR1875" s="841">
        <v>45987</v>
      </c>
      <c r="AS1875" s="842" t="s">
        <v>1284</v>
      </c>
      <c r="AT1875" s="842" t="s">
        <v>1743</v>
      </c>
      <c r="AU1875" s="842" t="s">
        <v>6295</v>
      </c>
      <c r="AV1875" s="845" t="s">
        <v>6296</v>
      </c>
      <c r="AW1875" s="861">
        <v>45986</v>
      </c>
      <c r="AX1875" s="862">
        <v>45987</v>
      </c>
      <c r="AY1875" s="843"/>
      <c r="AZ1875" s="842">
        <v>94031000</v>
      </c>
      <c r="BA1875" s="842" t="s">
        <v>120</v>
      </c>
      <c r="BB1875" s="863" t="s">
        <v>121</v>
      </c>
      <c r="BC1875" s="864">
        <v>45990</v>
      </c>
      <c r="BD1875" s="860" t="s">
        <v>6297</v>
      </c>
      <c r="BE1875" s="865" cm="1">
        <f t="array" ref="BE1875">IF(BD1875="","",AC1875/SUMPRODUCT(--(BD1875=$BD$4:$BD$12824),$AC$4:$AC$12824))</f>
        <v>8.0451082899417618E-4</v>
      </c>
      <c r="BF1875" s="458"/>
      <c r="BG1875" s="458"/>
      <c r="BH1875" s="458"/>
      <c r="BI1875" s="458"/>
      <c r="BJ1875" s="458"/>
      <c r="BK1875" s="458"/>
      <c r="BL1875" s="458"/>
      <c r="BM1875" s="458"/>
      <c r="BN1875" s="458"/>
      <c r="BO1875" s="866">
        <f>VLOOKUP(BD1875,$BD$4:$BN$12824,3,0)*BE1875</f>
        <v>31020.387273647961</v>
      </c>
      <c r="BP1875" s="866"/>
      <c r="BQ1875" s="866"/>
      <c r="BR1875" s="866">
        <f>VLOOKUP(BD1875,$BD$4:$BN$12824,6,0)*BE1875</f>
        <v>13215.715776070885</v>
      </c>
      <c r="BS1875" s="866">
        <f>VLOOKUP(BD1875,$BD$4:$BN$12824,7,0)*BE1875</f>
        <v>2511.0150641317523</v>
      </c>
      <c r="BT1875" s="866"/>
      <c r="BU1875" s="866">
        <f>VLOOKUP(BD1875,$BD$4:$BN$12824,9,0)*BE1875</f>
        <v>97.438329053629644</v>
      </c>
      <c r="BV1875" s="867"/>
      <c r="BW1875" s="867">
        <f>VLOOKUP(BD1875,$BD$4:$BN$12824,11,0)*BE1875</f>
        <v>0</v>
      </c>
      <c r="BX1875" s="1146">
        <f t="shared" si="364"/>
        <v>46844.556442904228</v>
      </c>
      <c r="BY1875" s="867">
        <f t="shared" si="366"/>
        <v>465103.03874944703</v>
      </c>
      <c r="BZ1875" s="867">
        <f t="shared" si="365"/>
        <v>2790618.2324966821</v>
      </c>
      <c r="CA1875" s="867">
        <f>_xlfn.MAXIFS($BY$4:$BY$12824,$S$4:$S$12824,$S1875)</f>
        <v>465103.03874944703</v>
      </c>
      <c r="CB1875" s="1032"/>
      <c r="CF1875" s="946">
        <f t="shared" si="358"/>
        <v>2663040</v>
      </c>
    </row>
    <row r="1876" spans="2:84">
      <c r="B1876" s="839" t="s">
        <v>98</v>
      </c>
      <c r="C1876" s="839" t="s">
        <v>273</v>
      </c>
      <c r="D1876" s="839" t="s">
        <v>6289</v>
      </c>
      <c r="E1876" s="839" t="s">
        <v>6290</v>
      </c>
      <c r="F1876" s="841">
        <v>45841</v>
      </c>
      <c r="G1876" s="868" t="s">
        <v>273</v>
      </c>
      <c r="H1876" s="842" t="s">
        <v>134</v>
      </c>
      <c r="I1876" s="883"/>
      <c r="J1876" s="841"/>
      <c r="K1876" s="841"/>
      <c r="L1876" s="843" t="s">
        <v>106</v>
      </c>
      <c r="M1876" s="844" t="s">
        <v>275</v>
      </c>
      <c r="N1876" s="841"/>
      <c r="O1876" s="884" t="s">
        <v>150</v>
      </c>
      <c r="P1876" s="842" t="s">
        <v>124</v>
      </c>
      <c r="Q1876" s="843"/>
      <c r="R1876" s="845" t="str">
        <f t="shared" si="359"/>
        <v>11211.27</v>
      </c>
      <c r="S1876" s="1127" t="s">
        <v>6352</v>
      </c>
      <c r="T1876" s="885" t="s">
        <v>6353</v>
      </c>
      <c r="U1876" s="886">
        <v>6</v>
      </c>
      <c r="V1876" s="842" t="s">
        <v>3</v>
      </c>
      <c r="W1876" s="846" t="s">
        <v>4498</v>
      </c>
      <c r="X1876" s="847">
        <f t="shared" si="354"/>
        <v>175.2</v>
      </c>
      <c r="Y1876" s="853" t="s">
        <v>4582</v>
      </c>
      <c r="Z1876" s="902">
        <v>13.87</v>
      </c>
      <c r="AA1876" s="849"/>
      <c r="AB1876" s="849">
        <f t="shared" si="360"/>
        <v>83.22</v>
      </c>
      <c r="AC1876" s="850">
        <f t="shared" si="361"/>
        <v>83.22</v>
      </c>
      <c r="AD1876" s="851">
        <f t="shared" si="355"/>
        <v>32000</v>
      </c>
      <c r="AE1876" s="852">
        <v>29936.21</v>
      </c>
      <c r="AF1876" s="853">
        <v>0.1</v>
      </c>
      <c r="AG1876" s="854">
        <f t="shared" si="362"/>
        <v>252482.27985377796</v>
      </c>
      <c r="AH1876" s="853">
        <v>0.08</v>
      </c>
      <c r="AI1876" s="855">
        <f t="shared" si="363"/>
        <v>219501.89408430224</v>
      </c>
      <c r="AJ1876" s="856" t="s">
        <v>6292</v>
      </c>
      <c r="AK1876" s="857">
        <v>45911</v>
      </c>
      <c r="AL1876" s="843" t="s">
        <v>6293</v>
      </c>
      <c r="AM1876" s="843" t="s">
        <v>6294</v>
      </c>
      <c r="AN1876" s="844" t="s">
        <v>3951</v>
      </c>
      <c r="AO1876" s="844" t="s">
        <v>141</v>
      </c>
      <c r="AP1876" s="841"/>
      <c r="AQ1876" s="841">
        <v>45929</v>
      </c>
      <c r="AR1876" s="841">
        <v>45987</v>
      </c>
      <c r="AS1876" s="842" t="s">
        <v>1284</v>
      </c>
      <c r="AT1876" s="842" t="s">
        <v>1743</v>
      </c>
      <c r="AU1876" s="842" t="s">
        <v>6295</v>
      </c>
      <c r="AV1876" s="845" t="s">
        <v>6296</v>
      </c>
      <c r="AW1876" s="861">
        <v>45986</v>
      </c>
      <c r="AX1876" s="862">
        <v>45987</v>
      </c>
      <c r="AY1876" s="843"/>
      <c r="AZ1876" s="842">
        <v>94031000</v>
      </c>
      <c r="BA1876" s="842" t="s">
        <v>120</v>
      </c>
      <c r="BB1876" s="863" t="s">
        <v>121</v>
      </c>
      <c r="BC1876" s="864">
        <v>45990</v>
      </c>
      <c r="BD1876" s="860" t="s">
        <v>6297</v>
      </c>
      <c r="BE1876" s="865" cm="1">
        <f t="array" ref="BE1876">IF(BD1876="","",AC1876/SUMPRODUCT(--(BD1876=$BD$4:$BD$12824),$AC$4:$AC$12824))</f>
        <v>8.0451082899417618E-4</v>
      </c>
      <c r="BF1876" s="458"/>
      <c r="BG1876" s="458"/>
      <c r="BH1876" s="458"/>
      <c r="BI1876" s="458"/>
      <c r="BJ1876" s="458"/>
      <c r="BK1876" s="458"/>
      <c r="BL1876" s="458"/>
      <c r="BM1876" s="458"/>
      <c r="BN1876" s="458"/>
      <c r="BO1876" s="866">
        <f>VLOOKUP(BD1876,$BD$4:$BN$12824,3,0)*BE1876</f>
        <v>31020.387273647961</v>
      </c>
      <c r="BP1876" s="866"/>
      <c r="BQ1876" s="866"/>
      <c r="BR1876" s="866">
        <f>VLOOKUP(BD1876,$BD$4:$BN$12824,6,0)*BE1876</f>
        <v>13215.715776070885</v>
      </c>
      <c r="BS1876" s="866">
        <f>VLOOKUP(BD1876,$BD$4:$BN$12824,7,0)*BE1876</f>
        <v>2511.0150641317523</v>
      </c>
      <c r="BT1876" s="866"/>
      <c r="BU1876" s="866">
        <f>VLOOKUP(BD1876,$BD$4:$BN$12824,9,0)*BE1876</f>
        <v>97.438329053629644</v>
      </c>
      <c r="BV1876" s="867"/>
      <c r="BW1876" s="867">
        <f>VLOOKUP(BD1876,$BD$4:$BN$12824,11,0)*BE1876</f>
        <v>0</v>
      </c>
      <c r="BX1876" s="1146">
        <f t="shared" si="364"/>
        <v>46844.556442904228</v>
      </c>
      <c r="BY1876" s="867">
        <f t="shared" si="366"/>
        <v>465103.03874944703</v>
      </c>
      <c r="BZ1876" s="867">
        <f t="shared" si="365"/>
        <v>2790618.2324966821</v>
      </c>
      <c r="CA1876" s="867">
        <f>_xlfn.MAXIFS($BY$4:$BY$12824,$S$4:$S$12824,$S1876)</f>
        <v>465103.03874944703</v>
      </c>
      <c r="CB1876" s="1032"/>
      <c r="CF1876" s="946">
        <f t="shared" si="358"/>
        <v>2663040</v>
      </c>
    </row>
    <row r="1877" spans="2:84">
      <c r="B1877" s="839" t="s">
        <v>98</v>
      </c>
      <c r="C1877" s="839" t="s">
        <v>273</v>
      </c>
      <c r="D1877" s="839" t="s">
        <v>6289</v>
      </c>
      <c r="E1877" s="839" t="s">
        <v>6290</v>
      </c>
      <c r="F1877" s="841">
        <v>45841</v>
      </c>
      <c r="G1877" s="868" t="s">
        <v>273</v>
      </c>
      <c r="H1877" s="842" t="s">
        <v>134</v>
      </c>
      <c r="I1877" s="883"/>
      <c r="J1877" s="841"/>
      <c r="K1877" s="841"/>
      <c r="L1877" s="843" t="s">
        <v>106</v>
      </c>
      <c r="M1877" s="844" t="s">
        <v>275</v>
      </c>
      <c r="N1877" s="841"/>
      <c r="O1877" s="884" t="s">
        <v>150</v>
      </c>
      <c r="P1877" s="842" t="s">
        <v>124</v>
      </c>
      <c r="Q1877" s="843"/>
      <c r="R1877" s="845" t="str">
        <f t="shared" si="359"/>
        <v>11211.30</v>
      </c>
      <c r="S1877" s="1127" t="s">
        <v>6354</v>
      </c>
      <c r="T1877" s="885" t="s">
        <v>6355</v>
      </c>
      <c r="U1877" s="886">
        <v>26</v>
      </c>
      <c r="V1877" s="842" t="s">
        <v>3</v>
      </c>
      <c r="W1877" s="846" t="s">
        <v>4498</v>
      </c>
      <c r="X1877" s="847">
        <f t="shared" si="354"/>
        <v>759.19999999999993</v>
      </c>
      <c r="Y1877" s="853" t="s">
        <v>4582</v>
      </c>
      <c r="Z1877" s="902">
        <v>13.87</v>
      </c>
      <c r="AA1877" s="849"/>
      <c r="AB1877" s="849">
        <f t="shared" si="360"/>
        <v>360.62</v>
      </c>
      <c r="AC1877" s="850">
        <f t="shared" si="361"/>
        <v>360.62</v>
      </c>
      <c r="AD1877" s="851">
        <f t="shared" si="355"/>
        <v>32000</v>
      </c>
      <c r="AE1877" s="852">
        <v>29936.21</v>
      </c>
      <c r="AF1877" s="853">
        <v>0.1</v>
      </c>
      <c r="AG1877" s="854">
        <f t="shared" si="362"/>
        <v>1094089.8793663713</v>
      </c>
      <c r="AH1877" s="853">
        <v>0.08</v>
      </c>
      <c r="AI1877" s="855">
        <f t="shared" si="363"/>
        <v>951174.87436530984</v>
      </c>
      <c r="AJ1877" s="856" t="s">
        <v>6292</v>
      </c>
      <c r="AK1877" s="857">
        <v>45911</v>
      </c>
      <c r="AL1877" s="843" t="s">
        <v>6293</v>
      </c>
      <c r="AM1877" s="843" t="s">
        <v>6294</v>
      </c>
      <c r="AN1877" s="844" t="s">
        <v>3951</v>
      </c>
      <c r="AO1877" s="844" t="s">
        <v>141</v>
      </c>
      <c r="AP1877" s="841"/>
      <c r="AQ1877" s="841">
        <v>45929</v>
      </c>
      <c r="AR1877" s="841">
        <v>45987</v>
      </c>
      <c r="AS1877" s="842" t="s">
        <v>1284</v>
      </c>
      <c r="AT1877" s="842" t="s">
        <v>1743</v>
      </c>
      <c r="AU1877" s="842" t="s">
        <v>6295</v>
      </c>
      <c r="AV1877" s="845" t="s">
        <v>6296</v>
      </c>
      <c r="AW1877" s="861">
        <v>45986</v>
      </c>
      <c r="AX1877" s="862">
        <v>45987</v>
      </c>
      <c r="AY1877" s="843"/>
      <c r="AZ1877" s="842">
        <v>94031000</v>
      </c>
      <c r="BA1877" s="842" t="s">
        <v>120</v>
      </c>
      <c r="BB1877" s="863" t="s">
        <v>121</v>
      </c>
      <c r="BC1877" s="864">
        <v>45990</v>
      </c>
      <c r="BD1877" s="860" t="s">
        <v>6297</v>
      </c>
      <c r="BE1877" s="865" cm="1">
        <f t="array" ref="BE1877">IF(BD1877="","",AC1877/SUMPRODUCT(--(BD1877=$BD$4:$BD$12824),$AC$4:$AC$12824))</f>
        <v>3.4862135923080968E-3</v>
      </c>
      <c r="BF1877" s="458"/>
      <c r="BG1877" s="458"/>
      <c r="BH1877" s="458"/>
      <c r="BI1877" s="458"/>
      <c r="BJ1877" s="458"/>
      <c r="BK1877" s="458"/>
      <c r="BL1877" s="458"/>
      <c r="BM1877" s="458"/>
      <c r="BN1877" s="458"/>
      <c r="BO1877" s="866">
        <f>VLOOKUP(BD1877,$BD$4:$BN$12824,3,0)*BE1877</f>
        <v>134421.67818580783</v>
      </c>
      <c r="BP1877" s="866"/>
      <c r="BQ1877" s="866"/>
      <c r="BR1877" s="866">
        <f>VLOOKUP(BD1877,$BD$4:$BN$12824,6,0)*BE1877</f>
        <v>57268.101696307167</v>
      </c>
      <c r="BS1877" s="866">
        <f>VLOOKUP(BD1877,$BD$4:$BN$12824,7,0)*BE1877</f>
        <v>10881.065277904261</v>
      </c>
      <c r="BT1877" s="866"/>
      <c r="BU1877" s="866">
        <f>VLOOKUP(BD1877,$BD$4:$BN$12824,9,0)*BE1877</f>
        <v>422.23275923239515</v>
      </c>
      <c r="BV1877" s="867"/>
      <c r="BW1877" s="867">
        <f>VLOOKUP(BD1877,$BD$4:$BN$12824,11,0)*BE1877</f>
        <v>0</v>
      </c>
      <c r="BX1877" s="1146">
        <f t="shared" si="364"/>
        <v>202993.07791925166</v>
      </c>
      <c r="BY1877" s="867">
        <f t="shared" si="366"/>
        <v>465103.03874944709</v>
      </c>
      <c r="BZ1877" s="867">
        <f t="shared" si="365"/>
        <v>12092679.007485624</v>
      </c>
      <c r="CA1877" s="867">
        <f>_xlfn.MAXIFS($BY$4:$BY$12824,$S$4:$S$12824,$S1877)</f>
        <v>465103.03874944709</v>
      </c>
      <c r="CB1877" s="1032"/>
      <c r="CF1877" s="946">
        <f t="shared" si="358"/>
        <v>11539840</v>
      </c>
    </row>
    <row r="1878" spans="2:84">
      <c r="B1878" s="839" t="s">
        <v>98</v>
      </c>
      <c r="C1878" s="839" t="s">
        <v>273</v>
      </c>
      <c r="D1878" s="839" t="s">
        <v>6289</v>
      </c>
      <c r="E1878" s="839" t="s">
        <v>6290</v>
      </c>
      <c r="F1878" s="841">
        <v>45841</v>
      </c>
      <c r="G1878" s="868" t="s">
        <v>273</v>
      </c>
      <c r="H1878" s="842" t="s">
        <v>134</v>
      </c>
      <c r="I1878" s="883"/>
      <c r="J1878" s="841"/>
      <c r="K1878" s="841"/>
      <c r="L1878" s="843" t="s">
        <v>106</v>
      </c>
      <c r="M1878" s="844" t="s">
        <v>275</v>
      </c>
      <c r="N1878" s="841"/>
      <c r="O1878" s="884" t="s">
        <v>150</v>
      </c>
      <c r="P1878" s="842" t="s">
        <v>124</v>
      </c>
      <c r="Q1878" s="843"/>
      <c r="R1878" s="845" t="str">
        <f t="shared" si="359"/>
        <v>11211.31</v>
      </c>
      <c r="S1878" s="1127" t="s">
        <v>4011</v>
      </c>
      <c r="T1878" s="885" t="s">
        <v>6356</v>
      </c>
      <c r="U1878" s="886">
        <v>30</v>
      </c>
      <c r="V1878" s="842" t="s">
        <v>3</v>
      </c>
      <c r="W1878" s="846" t="s">
        <v>4498</v>
      </c>
      <c r="X1878" s="847">
        <f t="shared" si="354"/>
        <v>876</v>
      </c>
      <c r="Y1878" s="853" t="s">
        <v>4582</v>
      </c>
      <c r="Z1878" s="902">
        <v>13.87</v>
      </c>
      <c r="AA1878" s="849"/>
      <c r="AB1878" s="849">
        <f t="shared" si="360"/>
        <v>416.09999999999997</v>
      </c>
      <c r="AC1878" s="850">
        <f t="shared" si="361"/>
        <v>416.09999999999997</v>
      </c>
      <c r="AD1878" s="851">
        <f t="shared" si="355"/>
        <v>32000</v>
      </c>
      <c r="AE1878" s="852">
        <v>29936.21</v>
      </c>
      <c r="AF1878" s="853">
        <v>0.1</v>
      </c>
      <c r="AG1878" s="854">
        <f t="shared" si="362"/>
        <v>1262411.3992688898</v>
      </c>
      <c r="AH1878" s="853">
        <v>0.08</v>
      </c>
      <c r="AI1878" s="855">
        <f t="shared" si="363"/>
        <v>1097509.4704215112</v>
      </c>
      <c r="AJ1878" s="856" t="s">
        <v>6292</v>
      </c>
      <c r="AK1878" s="857">
        <v>45911</v>
      </c>
      <c r="AL1878" s="843" t="s">
        <v>6293</v>
      </c>
      <c r="AM1878" s="843" t="s">
        <v>6294</v>
      </c>
      <c r="AN1878" s="844" t="s">
        <v>3951</v>
      </c>
      <c r="AO1878" s="844" t="s">
        <v>141</v>
      </c>
      <c r="AP1878" s="841"/>
      <c r="AQ1878" s="841">
        <v>45929</v>
      </c>
      <c r="AR1878" s="841">
        <v>45987</v>
      </c>
      <c r="AS1878" s="842" t="s">
        <v>1284</v>
      </c>
      <c r="AT1878" s="842" t="s">
        <v>1743</v>
      </c>
      <c r="AU1878" s="842" t="s">
        <v>6295</v>
      </c>
      <c r="AV1878" s="845" t="s">
        <v>6296</v>
      </c>
      <c r="AW1878" s="861">
        <v>45986</v>
      </c>
      <c r="AX1878" s="862">
        <v>45987</v>
      </c>
      <c r="AY1878" s="843"/>
      <c r="AZ1878" s="842">
        <v>94031000</v>
      </c>
      <c r="BA1878" s="842" t="s">
        <v>120</v>
      </c>
      <c r="BB1878" s="863" t="s">
        <v>121</v>
      </c>
      <c r="BC1878" s="864">
        <v>45990</v>
      </c>
      <c r="BD1878" s="860" t="s">
        <v>6297</v>
      </c>
      <c r="BE1878" s="865" cm="1">
        <f t="array" ref="BE1878">IF(BD1878="","",AC1878/SUMPRODUCT(--(BD1878=$BD$4:$BD$12824),$AC$4:$AC$12824))</f>
        <v>4.0225541449708802E-3</v>
      </c>
      <c r="BF1878" s="458"/>
      <c r="BG1878" s="458"/>
      <c r="BH1878" s="458"/>
      <c r="BI1878" s="458"/>
      <c r="BJ1878" s="458"/>
      <c r="BK1878" s="458"/>
      <c r="BL1878" s="458"/>
      <c r="BM1878" s="458"/>
      <c r="BN1878" s="458"/>
      <c r="BO1878" s="866">
        <f>VLOOKUP(BD1878,$BD$4:$BN$12824,3,0)*BE1878</f>
        <v>155101.93636823978</v>
      </c>
      <c r="BP1878" s="866"/>
      <c r="BQ1878" s="866"/>
      <c r="BR1878" s="866">
        <f>VLOOKUP(BD1878,$BD$4:$BN$12824,6,0)*BE1878</f>
        <v>66078.578880354413</v>
      </c>
      <c r="BS1878" s="866">
        <f>VLOOKUP(BD1878,$BD$4:$BN$12824,7,0)*BE1878</f>
        <v>12555.07532065876</v>
      </c>
      <c r="BT1878" s="866"/>
      <c r="BU1878" s="866">
        <f>VLOOKUP(BD1878,$BD$4:$BN$12824,9,0)*BE1878</f>
        <v>487.19164526814814</v>
      </c>
      <c r="BV1878" s="867"/>
      <c r="BW1878" s="867">
        <f>VLOOKUP(BD1878,$BD$4:$BN$12824,11,0)*BE1878</f>
        <v>0</v>
      </c>
      <c r="BX1878" s="1146">
        <f t="shared" si="364"/>
        <v>234222.78221452111</v>
      </c>
      <c r="BY1878" s="867">
        <f t="shared" si="366"/>
        <v>465103.03874944698</v>
      </c>
      <c r="BZ1878" s="867">
        <f t="shared" si="365"/>
        <v>13953091.162483409</v>
      </c>
      <c r="CA1878" s="867">
        <f>_xlfn.MAXIFS($BY$4:$BY$12824,$S$4:$S$12824,$S1878)</f>
        <v>465103.03874944698</v>
      </c>
      <c r="CB1878" s="1032"/>
      <c r="CF1878" s="946">
        <f t="shared" si="358"/>
        <v>13315199.999999998</v>
      </c>
    </row>
    <row r="1879" spans="2:84">
      <c r="B1879" s="839" t="s">
        <v>98</v>
      </c>
      <c r="C1879" s="839" t="s">
        <v>273</v>
      </c>
      <c r="D1879" s="839" t="s">
        <v>6289</v>
      </c>
      <c r="E1879" s="839" t="s">
        <v>6290</v>
      </c>
      <c r="F1879" s="841">
        <v>45841</v>
      </c>
      <c r="G1879" s="868" t="s">
        <v>273</v>
      </c>
      <c r="H1879" s="842" t="s">
        <v>134</v>
      </c>
      <c r="I1879" s="883"/>
      <c r="J1879" s="841"/>
      <c r="K1879" s="841"/>
      <c r="L1879" s="843" t="s">
        <v>106</v>
      </c>
      <c r="M1879" s="844" t="s">
        <v>275</v>
      </c>
      <c r="N1879" s="841"/>
      <c r="O1879" s="884" t="s">
        <v>150</v>
      </c>
      <c r="P1879" s="842" t="s">
        <v>124</v>
      </c>
      <c r="Q1879" s="843"/>
      <c r="R1879" s="845" t="str">
        <f t="shared" si="359"/>
        <v>11211.34</v>
      </c>
      <c r="S1879" s="1127" t="s">
        <v>6357</v>
      </c>
      <c r="T1879" s="885" t="s">
        <v>6358</v>
      </c>
      <c r="U1879" s="886">
        <v>18</v>
      </c>
      <c r="V1879" s="842" t="s">
        <v>3</v>
      </c>
      <c r="W1879" s="846" t="s">
        <v>4498</v>
      </c>
      <c r="X1879" s="847">
        <f t="shared" si="354"/>
        <v>525.6</v>
      </c>
      <c r="Y1879" s="853" t="s">
        <v>4582</v>
      </c>
      <c r="Z1879" s="902">
        <v>13.87</v>
      </c>
      <c r="AA1879" s="849"/>
      <c r="AB1879" s="849">
        <f t="shared" si="360"/>
        <v>249.66</v>
      </c>
      <c r="AC1879" s="850">
        <f t="shared" si="361"/>
        <v>249.66</v>
      </c>
      <c r="AD1879" s="851">
        <f t="shared" si="355"/>
        <v>32000</v>
      </c>
      <c r="AE1879" s="852">
        <v>29936.21</v>
      </c>
      <c r="AF1879" s="853">
        <v>0.1</v>
      </c>
      <c r="AG1879" s="854">
        <f t="shared" si="362"/>
        <v>757446.83956133388</v>
      </c>
      <c r="AH1879" s="853">
        <v>0.08</v>
      </c>
      <c r="AI1879" s="855">
        <f t="shared" si="363"/>
        <v>658505.68225290673</v>
      </c>
      <c r="AJ1879" s="856" t="s">
        <v>6292</v>
      </c>
      <c r="AK1879" s="857">
        <v>45911</v>
      </c>
      <c r="AL1879" s="843" t="s">
        <v>6293</v>
      </c>
      <c r="AM1879" s="843" t="s">
        <v>6294</v>
      </c>
      <c r="AN1879" s="844" t="s">
        <v>3951</v>
      </c>
      <c r="AO1879" s="844" t="s">
        <v>141</v>
      </c>
      <c r="AP1879" s="841"/>
      <c r="AQ1879" s="841">
        <v>45929</v>
      </c>
      <c r="AR1879" s="841">
        <v>45987</v>
      </c>
      <c r="AS1879" s="842" t="s">
        <v>1284</v>
      </c>
      <c r="AT1879" s="842" t="s">
        <v>1743</v>
      </c>
      <c r="AU1879" s="842" t="s">
        <v>6295</v>
      </c>
      <c r="AV1879" s="845" t="s">
        <v>6296</v>
      </c>
      <c r="AW1879" s="861">
        <v>45986</v>
      </c>
      <c r="AX1879" s="862">
        <v>45987</v>
      </c>
      <c r="AY1879" s="843"/>
      <c r="AZ1879" s="842">
        <v>94031000</v>
      </c>
      <c r="BA1879" s="842" t="s">
        <v>120</v>
      </c>
      <c r="BB1879" s="863" t="s">
        <v>121</v>
      </c>
      <c r="BC1879" s="864">
        <v>45990</v>
      </c>
      <c r="BD1879" s="860" t="s">
        <v>6297</v>
      </c>
      <c r="BE1879" s="865" cm="1">
        <f t="array" ref="BE1879">IF(BD1879="","",AC1879/SUMPRODUCT(--(BD1879=$BD$4:$BD$12824),$AC$4:$AC$12824))</f>
        <v>2.4135324869825284E-3</v>
      </c>
      <c r="BF1879" s="458"/>
      <c r="BG1879" s="458"/>
      <c r="BH1879" s="458"/>
      <c r="BI1879" s="458"/>
      <c r="BJ1879" s="458"/>
      <c r="BK1879" s="458"/>
      <c r="BL1879" s="458"/>
      <c r="BM1879" s="458"/>
      <c r="BN1879" s="458"/>
      <c r="BO1879" s="866">
        <f>VLOOKUP(BD1879,$BD$4:$BN$12824,3,0)*BE1879</f>
        <v>93061.161820943875</v>
      </c>
      <c r="BP1879" s="866"/>
      <c r="BQ1879" s="866"/>
      <c r="BR1879" s="866">
        <f>VLOOKUP(BD1879,$BD$4:$BN$12824,6,0)*BE1879</f>
        <v>39647.147328212654</v>
      </c>
      <c r="BS1879" s="866">
        <f>VLOOKUP(BD1879,$BD$4:$BN$12824,7,0)*BE1879</f>
        <v>7533.0451923952569</v>
      </c>
      <c r="BT1879" s="866"/>
      <c r="BU1879" s="866">
        <f>VLOOKUP(BD1879,$BD$4:$BN$12824,9,0)*BE1879</f>
        <v>292.3149871608889</v>
      </c>
      <c r="BV1879" s="867"/>
      <c r="BW1879" s="867">
        <f>VLOOKUP(BD1879,$BD$4:$BN$12824,11,0)*BE1879</f>
        <v>0</v>
      </c>
      <c r="BX1879" s="1146">
        <f t="shared" si="364"/>
        <v>140533.66932871265</v>
      </c>
      <c r="BY1879" s="867">
        <f t="shared" si="366"/>
        <v>465103.03874944703</v>
      </c>
      <c r="BZ1879" s="867">
        <f t="shared" si="365"/>
        <v>8371854.6974900467</v>
      </c>
      <c r="CA1879" s="867">
        <f>_xlfn.MAXIFS($BY$4:$BY$12824,$S$4:$S$12824,$S1879)</f>
        <v>465103.03874944703</v>
      </c>
      <c r="CB1879" s="1032"/>
      <c r="CF1879" s="946">
        <f t="shared" si="358"/>
        <v>7989120</v>
      </c>
    </row>
    <row r="1880" spans="2:84">
      <c r="B1880" s="839" t="s">
        <v>98</v>
      </c>
      <c r="C1880" s="839" t="s">
        <v>273</v>
      </c>
      <c r="D1880" s="839" t="s">
        <v>6289</v>
      </c>
      <c r="E1880" s="839" t="s">
        <v>6290</v>
      </c>
      <c r="F1880" s="841">
        <v>45841</v>
      </c>
      <c r="G1880" s="868" t="s">
        <v>273</v>
      </c>
      <c r="H1880" s="842" t="s">
        <v>134</v>
      </c>
      <c r="I1880" s="883"/>
      <c r="J1880" s="841"/>
      <c r="K1880" s="841"/>
      <c r="L1880" s="843" t="s">
        <v>106</v>
      </c>
      <c r="M1880" s="844" t="s">
        <v>275</v>
      </c>
      <c r="N1880" s="841"/>
      <c r="O1880" s="884" t="s">
        <v>150</v>
      </c>
      <c r="P1880" s="842" t="s">
        <v>124</v>
      </c>
      <c r="Q1880" s="843"/>
      <c r="R1880" s="845" t="str">
        <f t="shared" si="359"/>
        <v>11212.22</v>
      </c>
      <c r="S1880" s="1127" t="s">
        <v>3975</v>
      </c>
      <c r="T1880" s="885" t="s">
        <v>6359</v>
      </c>
      <c r="U1880" s="886">
        <v>10</v>
      </c>
      <c r="V1880" s="842" t="s">
        <v>3</v>
      </c>
      <c r="W1880" s="846" t="s">
        <v>4498</v>
      </c>
      <c r="X1880" s="847">
        <f t="shared" si="354"/>
        <v>292</v>
      </c>
      <c r="Y1880" s="853" t="s">
        <v>4582</v>
      </c>
      <c r="Z1880" s="902">
        <v>13.87</v>
      </c>
      <c r="AA1880" s="849"/>
      <c r="AB1880" s="849">
        <f t="shared" si="360"/>
        <v>138.69999999999999</v>
      </c>
      <c r="AC1880" s="850">
        <f t="shared" si="361"/>
        <v>138.69999999999999</v>
      </c>
      <c r="AD1880" s="851">
        <f t="shared" si="355"/>
        <v>32000</v>
      </c>
      <c r="AE1880" s="852">
        <v>29936.21</v>
      </c>
      <c r="AF1880" s="853">
        <v>0.1</v>
      </c>
      <c r="AG1880" s="854">
        <f t="shared" si="362"/>
        <v>420803.79975629668</v>
      </c>
      <c r="AH1880" s="853">
        <v>0.08</v>
      </c>
      <c r="AI1880" s="855">
        <f t="shared" si="363"/>
        <v>365836.49014050374</v>
      </c>
      <c r="AJ1880" s="856" t="s">
        <v>6292</v>
      </c>
      <c r="AK1880" s="857">
        <v>45911</v>
      </c>
      <c r="AL1880" s="843" t="s">
        <v>6293</v>
      </c>
      <c r="AM1880" s="843" t="s">
        <v>6294</v>
      </c>
      <c r="AN1880" s="844" t="s">
        <v>3951</v>
      </c>
      <c r="AO1880" s="844" t="s">
        <v>141</v>
      </c>
      <c r="AP1880" s="841"/>
      <c r="AQ1880" s="841">
        <v>45929</v>
      </c>
      <c r="AR1880" s="841">
        <v>45987</v>
      </c>
      <c r="AS1880" s="842" t="s">
        <v>1284</v>
      </c>
      <c r="AT1880" s="842" t="s">
        <v>1743</v>
      </c>
      <c r="AU1880" s="842" t="s">
        <v>6295</v>
      </c>
      <c r="AV1880" s="845" t="s">
        <v>6296</v>
      </c>
      <c r="AW1880" s="861">
        <v>45986</v>
      </c>
      <c r="AX1880" s="862">
        <v>45987</v>
      </c>
      <c r="AY1880" s="843"/>
      <c r="AZ1880" s="842">
        <v>94031000</v>
      </c>
      <c r="BA1880" s="842" t="s">
        <v>120</v>
      </c>
      <c r="BB1880" s="863" t="s">
        <v>121</v>
      </c>
      <c r="BC1880" s="864">
        <v>45990</v>
      </c>
      <c r="BD1880" s="860" t="s">
        <v>6297</v>
      </c>
      <c r="BE1880" s="865" cm="1">
        <f t="array" ref="BE1880">IF(BD1880="","",AC1880/SUMPRODUCT(--(BD1880=$BD$4:$BD$12824),$AC$4:$AC$12824))</f>
        <v>1.3408513816569601E-3</v>
      </c>
      <c r="BF1880" s="458"/>
      <c r="BG1880" s="458"/>
      <c r="BH1880" s="458"/>
      <c r="BI1880" s="458"/>
      <c r="BJ1880" s="458"/>
      <c r="BK1880" s="458"/>
      <c r="BL1880" s="458"/>
      <c r="BM1880" s="458"/>
      <c r="BN1880" s="458"/>
      <c r="BO1880" s="866">
        <f>VLOOKUP(BD1880,$BD$4:$BN$12824,3,0)*BE1880</f>
        <v>51700.645456079925</v>
      </c>
      <c r="BP1880" s="866"/>
      <c r="BQ1880" s="866"/>
      <c r="BR1880" s="866">
        <f>VLOOKUP(BD1880,$BD$4:$BN$12824,6,0)*BE1880</f>
        <v>22026.192960118136</v>
      </c>
      <c r="BS1880" s="866">
        <f>VLOOKUP(BD1880,$BD$4:$BN$12824,7,0)*BE1880</f>
        <v>4185.0251068862535</v>
      </c>
      <c r="BT1880" s="866"/>
      <c r="BU1880" s="866">
        <f>VLOOKUP(BD1880,$BD$4:$BN$12824,9,0)*BE1880</f>
        <v>162.39721508938271</v>
      </c>
      <c r="BV1880" s="867"/>
      <c r="BW1880" s="867">
        <f>VLOOKUP(BD1880,$BD$4:$BN$12824,11,0)*BE1880</f>
        <v>0</v>
      </c>
      <c r="BX1880" s="1146">
        <f t="shared" si="364"/>
        <v>78074.260738173703</v>
      </c>
      <c r="BY1880" s="867">
        <f t="shared" si="366"/>
        <v>465103.03874944698</v>
      </c>
      <c r="BZ1880" s="867">
        <f t="shared" si="365"/>
        <v>4651030.38749447</v>
      </c>
      <c r="CA1880" s="867">
        <f>_xlfn.MAXIFS($BY$4:$BY$12824,$S$4:$S$12824,$S1880)</f>
        <v>465103.03874944698</v>
      </c>
      <c r="CB1880" s="1032"/>
      <c r="CF1880" s="946">
        <f t="shared" si="358"/>
        <v>4438400</v>
      </c>
    </row>
    <row r="1881" spans="2:84">
      <c r="B1881" s="839" t="s">
        <v>98</v>
      </c>
      <c r="C1881" s="839" t="s">
        <v>273</v>
      </c>
      <c r="D1881" s="839" t="s">
        <v>6289</v>
      </c>
      <c r="E1881" s="839" t="s">
        <v>6290</v>
      </c>
      <c r="F1881" s="841">
        <v>45841</v>
      </c>
      <c r="G1881" s="868" t="s">
        <v>273</v>
      </c>
      <c r="H1881" s="842" t="s">
        <v>134</v>
      </c>
      <c r="I1881" s="883"/>
      <c r="J1881" s="841"/>
      <c r="K1881" s="841"/>
      <c r="L1881" s="843" t="s">
        <v>106</v>
      </c>
      <c r="M1881" s="844" t="s">
        <v>275</v>
      </c>
      <c r="N1881" s="841"/>
      <c r="O1881" s="884" t="s">
        <v>150</v>
      </c>
      <c r="P1881" s="842" t="s">
        <v>124</v>
      </c>
      <c r="Q1881" s="843"/>
      <c r="R1881" s="845" t="str">
        <f t="shared" si="359"/>
        <v>11212.23</v>
      </c>
      <c r="S1881" s="1127" t="s">
        <v>6360</v>
      </c>
      <c r="T1881" s="885" t="s">
        <v>6361</v>
      </c>
      <c r="U1881" s="886">
        <v>20</v>
      </c>
      <c r="V1881" s="842" t="s">
        <v>3</v>
      </c>
      <c r="W1881" s="846" t="s">
        <v>4498</v>
      </c>
      <c r="X1881" s="847">
        <f t="shared" si="354"/>
        <v>584</v>
      </c>
      <c r="Y1881" s="853" t="s">
        <v>4582</v>
      </c>
      <c r="Z1881" s="902">
        <v>13.87</v>
      </c>
      <c r="AA1881" s="849"/>
      <c r="AB1881" s="849">
        <f t="shared" si="360"/>
        <v>277.39999999999998</v>
      </c>
      <c r="AC1881" s="850">
        <f t="shared" si="361"/>
        <v>277.39999999999998</v>
      </c>
      <c r="AD1881" s="851">
        <f t="shared" si="355"/>
        <v>32000</v>
      </c>
      <c r="AE1881" s="852">
        <v>29936.21</v>
      </c>
      <c r="AF1881" s="853">
        <v>0.1</v>
      </c>
      <c r="AG1881" s="854">
        <f t="shared" si="362"/>
        <v>841607.59951259336</v>
      </c>
      <c r="AH1881" s="853">
        <v>0.08</v>
      </c>
      <c r="AI1881" s="855">
        <f t="shared" si="363"/>
        <v>731672.98028100748</v>
      </c>
      <c r="AJ1881" s="856" t="s">
        <v>6292</v>
      </c>
      <c r="AK1881" s="857">
        <v>45911</v>
      </c>
      <c r="AL1881" s="843" t="s">
        <v>6293</v>
      </c>
      <c r="AM1881" s="843" t="s">
        <v>6294</v>
      </c>
      <c r="AN1881" s="844" t="s">
        <v>3951</v>
      </c>
      <c r="AO1881" s="844" t="s">
        <v>141</v>
      </c>
      <c r="AP1881" s="841"/>
      <c r="AQ1881" s="841">
        <v>45929</v>
      </c>
      <c r="AR1881" s="841">
        <v>45987</v>
      </c>
      <c r="AS1881" s="842" t="s">
        <v>1284</v>
      </c>
      <c r="AT1881" s="842" t="s">
        <v>1743</v>
      </c>
      <c r="AU1881" s="842" t="s">
        <v>6295</v>
      </c>
      <c r="AV1881" s="845" t="s">
        <v>6296</v>
      </c>
      <c r="AW1881" s="861">
        <v>45986</v>
      </c>
      <c r="AX1881" s="862">
        <v>45987</v>
      </c>
      <c r="AY1881" s="843"/>
      <c r="AZ1881" s="842">
        <v>94031000</v>
      </c>
      <c r="BA1881" s="842" t="s">
        <v>120</v>
      </c>
      <c r="BB1881" s="863" t="s">
        <v>121</v>
      </c>
      <c r="BC1881" s="864">
        <v>45990</v>
      </c>
      <c r="BD1881" s="860" t="s">
        <v>6297</v>
      </c>
      <c r="BE1881" s="865" cm="1">
        <f t="array" ref="BE1881">IF(BD1881="","",AC1881/SUMPRODUCT(--(BD1881=$BD$4:$BD$12824),$AC$4:$AC$12824))</f>
        <v>2.6817027633139201E-3</v>
      </c>
      <c r="BF1881" s="458"/>
      <c r="BG1881" s="458"/>
      <c r="BH1881" s="458"/>
      <c r="BI1881" s="458"/>
      <c r="BJ1881" s="458"/>
      <c r="BK1881" s="458"/>
      <c r="BL1881" s="458"/>
      <c r="BM1881" s="458"/>
      <c r="BN1881" s="458"/>
      <c r="BO1881" s="866">
        <f>VLOOKUP(BD1881,$BD$4:$BN$12824,3,0)*BE1881</f>
        <v>103401.29091215985</v>
      </c>
      <c r="BP1881" s="866"/>
      <c r="BQ1881" s="866"/>
      <c r="BR1881" s="866">
        <f>VLOOKUP(BD1881,$BD$4:$BN$12824,6,0)*BE1881</f>
        <v>44052.385920236273</v>
      </c>
      <c r="BS1881" s="866">
        <f>VLOOKUP(BD1881,$BD$4:$BN$12824,7,0)*BE1881</f>
        <v>8370.050213772507</v>
      </c>
      <c r="BT1881" s="866"/>
      <c r="BU1881" s="866">
        <f>VLOOKUP(BD1881,$BD$4:$BN$12824,9,0)*BE1881</f>
        <v>324.79443017876542</v>
      </c>
      <c r="BV1881" s="867"/>
      <c r="BW1881" s="867">
        <f>VLOOKUP(BD1881,$BD$4:$BN$12824,11,0)*BE1881</f>
        <v>0</v>
      </c>
      <c r="BX1881" s="1146">
        <f t="shared" si="364"/>
        <v>156148.52147634741</v>
      </c>
      <c r="BY1881" s="867">
        <f t="shared" si="366"/>
        <v>465103.03874944698</v>
      </c>
      <c r="BZ1881" s="867">
        <f t="shared" si="365"/>
        <v>9302060.77498894</v>
      </c>
      <c r="CA1881" s="867">
        <f>_xlfn.MAXIFS($BY$4:$BY$12824,$S$4:$S$12824,$S1881)</f>
        <v>465103.03874944698</v>
      </c>
      <c r="CB1881" s="1032"/>
      <c r="CF1881" s="946">
        <f t="shared" si="358"/>
        <v>8876800</v>
      </c>
    </row>
    <row r="1882" spans="2:84">
      <c r="B1882" s="839" t="s">
        <v>98</v>
      </c>
      <c r="C1882" s="839" t="s">
        <v>273</v>
      </c>
      <c r="D1882" s="839" t="s">
        <v>6289</v>
      </c>
      <c r="E1882" s="839" t="s">
        <v>6290</v>
      </c>
      <c r="F1882" s="841">
        <v>45841</v>
      </c>
      <c r="G1882" s="868" t="s">
        <v>273</v>
      </c>
      <c r="H1882" s="842" t="s">
        <v>134</v>
      </c>
      <c r="I1882" s="883"/>
      <c r="J1882" s="841"/>
      <c r="K1882" s="841"/>
      <c r="L1882" s="843" t="s">
        <v>106</v>
      </c>
      <c r="M1882" s="844" t="s">
        <v>275</v>
      </c>
      <c r="N1882" s="841"/>
      <c r="O1882" s="884" t="s">
        <v>150</v>
      </c>
      <c r="P1882" s="842" t="s">
        <v>124</v>
      </c>
      <c r="Q1882" s="843"/>
      <c r="R1882" s="845" t="str">
        <f t="shared" ref="R1882:R1905" si="367">RIGHT(S1882,8)</f>
        <v>11212.24</v>
      </c>
      <c r="S1882" s="1127" t="s">
        <v>3967</v>
      </c>
      <c r="T1882" s="885" t="s">
        <v>3968</v>
      </c>
      <c r="U1882" s="886">
        <v>60</v>
      </c>
      <c r="V1882" s="842" t="s">
        <v>3</v>
      </c>
      <c r="W1882" s="846" t="s">
        <v>4498</v>
      </c>
      <c r="X1882" s="847">
        <f t="shared" si="354"/>
        <v>1752</v>
      </c>
      <c r="Y1882" s="853" t="s">
        <v>4582</v>
      </c>
      <c r="Z1882" s="902">
        <v>13.87</v>
      </c>
      <c r="AA1882" s="849"/>
      <c r="AB1882" s="849">
        <f t="shared" si="360"/>
        <v>832.19999999999993</v>
      </c>
      <c r="AC1882" s="850">
        <f t="shared" si="361"/>
        <v>832.19999999999993</v>
      </c>
      <c r="AD1882" s="851">
        <f t="shared" si="355"/>
        <v>32000</v>
      </c>
      <c r="AE1882" s="852">
        <v>29936.21</v>
      </c>
      <c r="AF1882" s="853">
        <v>0.1</v>
      </c>
      <c r="AG1882" s="854">
        <f t="shared" si="362"/>
        <v>2524822.7985377796</v>
      </c>
      <c r="AH1882" s="853">
        <v>0.08</v>
      </c>
      <c r="AI1882" s="855">
        <f t="shared" si="363"/>
        <v>2195018.9408430224</v>
      </c>
      <c r="AJ1882" s="856" t="s">
        <v>6292</v>
      </c>
      <c r="AK1882" s="857">
        <v>45911</v>
      </c>
      <c r="AL1882" s="843" t="s">
        <v>6293</v>
      </c>
      <c r="AM1882" s="843" t="s">
        <v>6294</v>
      </c>
      <c r="AN1882" s="844" t="s">
        <v>3951</v>
      </c>
      <c r="AO1882" s="844" t="s">
        <v>141</v>
      </c>
      <c r="AP1882" s="841"/>
      <c r="AQ1882" s="841">
        <v>45929</v>
      </c>
      <c r="AR1882" s="841">
        <v>45987</v>
      </c>
      <c r="AS1882" s="842" t="s">
        <v>1284</v>
      </c>
      <c r="AT1882" s="842" t="s">
        <v>1743</v>
      </c>
      <c r="AU1882" s="842" t="s">
        <v>6295</v>
      </c>
      <c r="AV1882" s="845" t="s">
        <v>6296</v>
      </c>
      <c r="AW1882" s="861">
        <v>45986</v>
      </c>
      <c r="AX1882" s="862">
        <v>45987</v>
      </c>
      <c r="AY1882" s="843"/>
      <c r="AZ1882" s="842">
        <v>94031000</v>
      </c>
      <c r="BA1882" s="842" t="s">
        <v>120</v>
      </c>
      <c r="BB1882" s="863" t="s">
        <v>121</v>
      </c>
      <c r="BC1882" s="864">
        <v>45990</v>
      </c>
      <c r="BD1882" s="860" t="s">
        <v>6297</v>
      </c>
      <c r="BE1882" s="865" cm="1">
        <f t="array" ref="BE1882">IF(BD1882="","",AC1882/SUMPRODUCT(--(BD1882=$BD$4:$BD$12824),$AC$4:$AC$12824))</f>
        <v>8.0451082899417603E-3</v>
      </c>
      <c r="BF1882" s="458"/>
      <c r="BG1882" s="458"/>
      <c r="BH1882" s="458"/>
      <c r="BI1882" s="458"/>
      <c r="BJ1882" s="458"/>
      <c r="BK1882" s="458"/>
      <c r="BL1882" s="458"/>
      <c r="BM1882" s="458"/>
      <c r="BN1882" s="458"/>
      <c r="BO1882" s="866">
        <f>VLOOKUP(BD1882,$BD$4:$BN$12824,3,0)*BE1882</f>
        <v>310203.87273647956</v>
      </c>
      <c r="BP1882" s="866"/>
      <c r="BQ1882" s="866"/>
      <c r="BR1882" s="866">
        <f>VLOOKUP(BD1882,$BD$4:$BN$12824,6,0)*BE1882</f>
        <v>132157.15776070883</v>
      </c>
      <c r="BS1882" s="866">
        <f>VLOOKUP(BD1882,$BD$4:$BN$12824,7,0)*BE1882</f>
        <v>25110.150641317519</v>
      </c>
      <c r="BT1882" s="866"/>
      <c r="BU1882" s="866">
        <f>VLOOKUP(BD1882,$BD$4:$BN$12824,9,0)*BE1882</f>
        <v>974.38329053629627</v>
      </c>
      <c r="BV1882" s="867"/>
      <c r="BW1882" s="867">
        <f>VLOOKUP(BD1882,$BD$4:$BN$12824,11,0)*BE1882</f>
        <v>0</v>
      </c>
      <c r="BX1882" s="1146">
        <f t="shared" si="364"/>
        <v>468445.56442904222</v>
      </c>
      <c r="BY1882" s="867">
        <f t="shared" si="366"/>
        <v>465103.03874944698</v>
      </c>
      <c r="BZ1882" s="867">
        <f t="shared" si="365"/>
        <v>27906182.324966818</v>
      </c>
      <c r="CA1882" s="867">
        <f>_xlfn.MAXIFS($BY$4:$BY$12824,$S$4:$S$12824,$S1882)</f>
        <v>465103.03874944698</v>
      </c>
      <c r="CB1882" s="1032"/>
      <c r="CF1882" s="946">
        <f t="shared" si="358"/>
        <v>26630399.999999996</v>
      </c>
    </row>
    <row r="1883" spans="2:84">
      <c r="B1883" s="839" t="s">
        <v>98</v>
      </c>
      <c r="C1883" s="839" t="s">
        <v>273</v>
      </c>
      <c r="D1883" s="839" t="s">
        <v>6289</v>
      </c>
      <c r="E1883" s="839" t="s">
        <v>6290</v>
      </c>
      <c r="F1883" s="841">
        <v>45841</v>
      </c>
      <c r="G1883" s="868" t="s">
        <v>273</v>
      </c>
      <c r="H1883" s="842" t="s">
        <v>134</v>
      </c>
      <c r="I1883" s="883"/>
      <c r="J1883" s="841"/>
      <c r="K1883" s="841"/>
      <c r="L1883" s="843" t="s">
        <v>106</v>
      </c>
      <c r="M1883" s="844" t="s">
        <v>275</v>
      </c>
      <c r="N1883" s="841"/>
      <c r="O1883" s="884" t="s">
        <v>150</v>
      </c>
      <c r="P1883" s="842" t="s">
        <v>124</v>
      </c>
      <c r="Q1883" s="843"/>
      <c r="R1883" s="845" t="str">
        <f t="shared" si="367"/>
        <v>11212.27</v>
      </c>
      <c r="S1883" s="1127" t="s">
        <v>6362</v>
      </c>
      <c r="T1883" s="885" t="s">
        <v>6363</v>
      </c>
      <c r="U1883" s="886">
        <v>10</v>
      </c>
      <c r="V1883" s="842" t="s">
        <v>3</v>
      </c>
      <c r="W1883" s="846" t="s">
        <v>4498</v>
      </c>
      <c r="X1883" s="847">
        <f t="shared" si="354"/>
        <v>292</v>
      </c>
      <c r="Y1883" s="853" t="s">
        <v>4582</v>
      </c>
      <c r="Z1883" s="902">
        <v>13.87</v>
      </c>
      <c r="AA1883" s="849"/>
      <c r="AB1883" s="849">
        <f t="shared" si="360"/>
        <v>138.69999999999999</v>
      </c>
      <c r="AC1883" s="850">
        <f t="shared" si="361"/>
        <v>138.69999999999999</v>
      </c>
      <c r="AD1883" s="851">
        <f t="shared" si="355"/>
        <v>32000</v>
      </c>
      <c r="AE1883" s="852">
        <v>29936.21</v>
      </c>
      <c r="AF1883" s="853">
        <v>0.1</v>
      </c>
      <c r="AG1883" s="854">
        <f t="shared" si="362"/>
        <v>420803.79975629668</v>
      </c>
      <c r="AH1883" s="853">
        <v>0.08</v>
      </c>
      <c r="AI1883" s="855">
        <f t="shared" si="363"/>
        <v>365836.49014050374</v>
      </c>
      <c r="AJ1883" s="856" t="s">
        <v>6292</v>
      </c>
      <c r="AK1883" s="857">
        <v>45911</v>
      </c>
      <c r="AL1883" s="843" t="s">
        <v>6293</v>
      </c>
      <c r="AM1883" s="843" t="s">
        <v>6294</v>
      </c>
      <c r="AN1883" s="844" t="s">
        <v>3951</v>
      </c>
      <c r="AO1883" s="844" t="s">
        <v>141</v>
      </c>
      <c r="AP1883" s="841"/>
      <c r="AQ1883" s="841">
        <v>45929</v>
      </c>
      <c r="AR1883" s="841">
        <v>45987</v>
      </c>
      <c r="AS1883" s="842" t="s">
        <v>1284</v>
      </c>
      <c r="AT1883" s="842" t="s">
        <v>1743</v>
      </c>
      <c r="AU1883" s="842" t="s">
        <v>6295</v>
      </c>
      <c r="AV1883" s="845" t="s">
        <v>6296</v>
      </c>
      <c r="AW1883" s="861">
        <v>45986</v>
      </c>
      <c r="AX1883" s="862">
        <v>45987</v>
      </c>
      <c r="AY1883" s="843"/>
      <c r="AZ1883" s="842">
        <v>94031000</v>
      </c>
      <c r="BA1883" s="842" t="s">
        <v>120</v>
      </c>
      <c r="BB1883" s="863" t="s">
        <v>121</v>
      </c>
      <c r="BC1883" s="864">
        <v>45990</v>
      </c>
      <c r="BD1883" s="860" t="s">
        <v>6297</v>
      </c>
      <c r="BE1883" s="865" cm="1">
        <f t="array" ref="BE1883">IF(BD1883="","",AC1883/SUMPRODUCT(--(BD1883=$BD$4:$BD$12824),$AC$4:$AC$12824))</f>
        <v>1.3408513816569601E-3</v>
      </c>
      <c r="BF1883" s="458"/>
      <c r="BG1883" s="458"/>
      <c r="BH1883" s="458"/>
      <c r="BI1883" s="458"/>
      <c r="BJ1883" s="458"/>
      <c r="BK1883" s="458"/>
      <c r="BL1883" s="458"/>
      <c r="BM1883" s="458"/>
      <c r="BN1883" s="458"/>
      <c r="BO1883" s="866">
        <f>VLOOKUP(BD1883,$BD$4:$BN$12824,3,0)*BE1883</f>
        <v>51700.645456079925</v>
      </c>
      <c r="BP1883" s="866"/>
      <c r="BQ1883" s="866"/>
      <c r="BR1883" s="866">
        <f>VLOOKUP(BD1883,$BD$4:$BN$12824,6,0)*BE1883</f>
        <v>22026.192960118136</v>
      </c>
      <c r="BS1883" s="866">
        <f>VLOOKUP(BD1883,$BD$4:$BN$12824,7,0)*BE1883</f>
        <v>4185.0251068862535</v>
      </c>
      <c r="BT1883" s="866"/>
      <c r="BU1883" s="866">
        <f>VLOOKUP(BD1883,$BD$4:$BN$12824,9,0)*BE1883</f>
        <v>162.39721508938271</v>
      </c>
      <c r="BV1883" s="867"/>
      <c r="BW1883" s="867">
        <f>VLOOKUP(BD1883,$BD$4:$BN$12824,11,0)*BE1883</f>
        <v>0</v>
      </c>
      <c r="BX1883" s="1146">
        <f t="shared" si="364"/>
        <v>78074.260738173703</v>
      </c>
      <c r="BY1883" s="867">
        <f t="shared" si="366"/>
        <v>465103.03874944698</v>
      </c>
      <c r="BZ1883" s="867">
        <f t="shared" si="365"/>
        <v>4651030.38749447</v>
      </c>
      <c r="CA1883" s="867">
        <f>_xlfn.MAXIFS($BY$4:$BY$12824,$S$4:$S$12824,$S1883)</f>
        <v>465103.03874944698</v>
      </c>
      <c r="CB1883" s="1032"/>
      <c r="CF1883" s="946">
        <f t="shared" si="358"/>
        <v>4438400</v>
      </c>
    </row>
    <row r="1884" spans="2:84">
      <c r="B1884" s="839" t="s">
        <v>98</v>
      </c>
      <c r="C1884" s="839" t="s">
        <v>273</v>
      </c>
      <c r="D1884" s="839" t="s">
        <v>6289</v>
      </c>
      <c r="E1884" s="839" t="s">
        <v>6290</v>
      </c>
      <c r="F1884" s="841">
        <v>45841</v>
      </c>
      <c r="G1884" s="868" t="s">
        <v>273</v>
      </c>
      <c r="H1884" s="842" t="s">
        <v>134</v>
      </c>
      <c r="I1884" s="883"/>
      <c r="J1884" s="841"/>
      <c r="K1884" s="841"/>
      <c r="L1884" s="843" t="s">
        <v>106</v>
      </c>
      <c r="M1884" s="844" t="s">
        <v>275</v>
      </c>
      <c r="N1884" s="841"/>
      <c r="O1884" s="884" t="s">
        <v>150</v>
      </c>
      <c r="P1884" s="842" t="s">
        <v>124</v>
      </c>
      <c r="Q1884" s="843"/>
      <c r="R1884" s="845" t="str">
        <f t="shared" si="367"/>
        <v>11212.30</v>
      </c>
      <c r="S1884" s="1127" t="s">
        <v>6364</v>
      </c>
      <c r="T1884" s="885" t="s">
        <v>6365</v>
      </c>
      <c r="U1884" s="886">
        <v>20</v>
      </c>
      <c r="V1884" s="842" t="s">
        <v>3</v>
      </c>
      <c r="W1884" s="846" t="s">
        <v>4498</v>
      </c>
      <c r="X1884" s="847">
        <f t="shared" si="354"/>
        <v>584</v>
      </c>
      <c r="Y1884" s="853" t="s">
        <v>4582</v>
      </c>
      <c r="Z1884" s="902">
        <v>13.87</v>
      </c>
      <c r="AA1884" s="849"/>
      <c r="AB1884" s="849">
        <f t="shared" si="360"/>
        <v>277.39999999999998</v>
      </c>
      <c r="AC1884" s="850">
        <f t="shared" si="361"/>
        <v>277.39999999999998</v>
      </c>
      <c r="AD1884" s="851">
        <f t="shared" si="355"/>
        <v>32000</v>
      </c>
      <c r="AE1884" s="852">
        <v>29936.21</v>
      </c>
      <c r="AF1884" s="853">
        <v>0.1</v>
      </c>
      <c r="AG1884" s="854">
        <f t="shared" si="362"/>
        <v>841607.59951259336</v>
      </c>
      <c r="AH1884" s="853">
        <v>0.08</v>
      </c>
      <c r="AI1884" s="855">
        <f t="shared" si="363"/>
        <v>731672.98028100748</v>
      </c>
      <c r="AJ1884" s="856" t="s">
        <v>6292</v>
      </c>
      <c r="AK1884" s="857">
        <v>45911</v>
      </c>
      <c r="AL1884" s="843" t="s">
        <v>6293</v>
      </c>
      <c r="AM1884" s="843" t="s">
        <v>6294</v>
      </c>
      <c r="AN1884" s="844" t="s">
        <v>3951</v>
      </c>
      <c r="AO1884" s="844" t="s">
        <v>141</v>
      </c>
      <c r="AP1884" s="841"/>
      <c r="AQ1884" s="841">
        <v>45929</v>
      </c>
      <c r="AR1884" s="841">
        <v>45987</v>
      </c>
      <c r="AS1884" s="842" t="s">
        <v>1284</v>
      </c>
      <c r="AT1884" s="842" t="s">
        <v>1743</v>
      </c>
      <c r="AU1884" s="842" t="s">
        <v>6295</v>
      </c>
      <c r="AV1884" s="845" t="s">
        <v>6296</v>
      </c>
      <c r="AW1884" s="861">
        <v>45986</v>
      </c>
      <c r="AX1884" s="862">
        <v>45987</v>
      </c>
      <c r="AY1884" s="843"/>
      <c r="AZ1884" s="842">
        <v>94031000</v>
      </c>
      <c r="BA1884" s="842" t="s">
        <v>120</v>
      </c>
      <c r="BB1884" s="863" t="s">
        <v>121</v>
      </c>
      <c r="BC1884" s="864">
        <v>45990</v>
      </c>
      <c r="BD1884" s="860" t="s">
        <v>6297</v>
      </c>
      <c r="BE1884" s="865" cm="1">
        <f t="array" ref="BE1884">IF(BD1884="","",AC1884/SUMPRODUCT(--(BD1884=$BD$4:$BD$12824),$AC$4:$AC$12824))</f>
        <v>2.6817027633139201E-3</v>
      </c>
      <c r="BF1884" s="458"/>
      <c r="BG1884" s="458"/>
      <c r="BH1884" s="458"/>
      <c r="BI1884" s="458"/>
      <c r="BJ1884" s="458"/>
      <c r="BK1884" s="458"/>
      <c r="BL1884" s="458"/>
      <c r="BM1884" s="458"/>
      <c r="BN1884" s="458"/>
      <c r="BO1884" s="866">
        <f>VLOOKUP(BD1884,$BD$4:$BN$12824,3,0)*BE1884</f>
        <v>103401.29091215985</v>
      </c>
      <c r="BP1884" s="866"/>
      <c r="BQ1884" s="866"/>
      <c r="BR1884" s="866">
        <f>VLOOKUP(BD1884,$BD$4:$BN$12824,6,0)*BE1884</f>
        <v>44052.385920236273</v>
      </c>
      <c r="BS1884" s="866">
        <f>VLOOKUP(BD1884,$BD$4:$BN$12824,7,0)*BE1884</f>
        <v>8370.050213772507</v>
      </c>
      <c r="BT1884" s="866"/>
      <c r="BU1884" s="866">
        <f>VLOOKUP(BD1884,$BD$4:$BN$12824,9,0)*BE1884</f>
        <v>324.79443017876542</v>
      </c>
      <c r="BV1884" s="867"/>
      <c r="BW1884" s="867">
        <f>VLOOKUP(BD1884,$BD$4:$BN$12824,11,0)*BE1884</f>
        <v>0</v>
      </c>
      <c r="BX1884" s="1146">
        <f t="shared" si="364"/>
        <v>156148.52147634741</v>
      </c>
      <c r="BY1884" s="867">
        <f t="shared" si="366"/>
        <v>465103.03874944698</v>
      </c>
      <c r="BZ1884" s="867">
        <f t="shared" si="365"/>
        <v>9302060.77498894</v>
      </c>
      <c r="CA1884" s="867">
        <f>_xlfn.MAXIFS($BY$4:$BY$12824,$S$4:$S$12824,$S1884)</f>
        <v>465103.03874944698</v>
      </c>
      <c r="CB1884" s="1032"/>
      <c r="CF1884" s="946">
        <f t="shared" si="358"/>
        <v>8876800</v>
      </c>
    </row>
    <row r="1885" spans="2:84">
      <c r="B1885" s="839" t="s">
        <v>98</v>
      </c>
      <c r="C1885" s="839" t="s">
        <v>273</v>
      </c>
      <c r="D1885" s="839" t="s">
        <v>6289</v>
      </c>
      <c r="E1885" s="839" t="s">
        <v>6290</v>
      </c>
      <c r="F1885" s="841">
        <v>45841</v>
      </c>
      <c r="G1885" s="868" t="s">
        <v>273</v>
      </c>
      <c r="H1885" s="842" t="s">
        <v>134</v>
      </c>
      <c r="I1885" s="883"/>
      <c r="J1885" s="841"/>
      <c r="K1885" s="841"/>
      <c r="L1885" s="843" t="s">
        <v>106</v>
      </c>
      <c r="M1885" s="844" t="s">
        <v>275</v>
      </c>
      <c r="N1885" s="841"/>
      <c r="O1885" s="884" t="s">
        <v>150</v>
      </c>
      <c r="P1885" s="842" t="s">
        <v>124</v>
      </c>
      <c r="Q1885" s="843"/>
      <c r="R1885" s="845" t="str">
        <f t="shared" si="367"/>
        <v>11212.31</v>
      </c>
      <c r="S1885" s="1127" t="s">
        <v>3969</v>
      </c>
      <c r="T1885" s="885" t="s">
        <v>3970</v>
      </c>
      <c r="U1885" s="886">
        <v>30</v>
      </c>
      <c r="V1885" s="842" t="s">
        <v>3</v>
      </c>
      <c r="W1885" s="846" t="s">
        <v>4498</v>
      </c>
      <c r="X1885" s="847">
        <f t="shared" si="354"/>
        <v>876</v>
      </c>
      <c r="Y1885" s="853" t="s">
        <v>4582</v>
      </c>
      <c r="Z1885" s="902">
        <v>13.87</v>
      </c>
      <c r="AA1885" s="849"/>
      <c r="AB1885" s="849">
        <f t="shared" si="360"/>
        <v>416.09999999999997</v>
      </c>
      <c r="AC1885" s="850">
        <f t="shared" si="361"/>
        <v>416.09999999999997</v>
      </c>
      <c r="AD1885" s="851">
        <f t="shared" si="355"/>
        <v>32000</v>
      </c>
      <c r="AE1885" s="852">
        <v>29936.21</v>
      </c>
      <c r="AF1885" s="853">
        <v>0.1</v>
      </c>
      <c r="AG1885" s="854">
        <f t="shared" si="362"/>
        <v>1262411.3992688898</v>
      </c>
      <c r="AH1885" s="853">
        <v>0.08</v>
      </c>
      <c r="AI1885" s="855">
        <f t="shared" si="363"/>
        <v>1097509.4704215112</v>
      </c>
      <c r="AJ1885" s="856" t="s">
        <v>6292</v>
      </c>
      <c r="AK1885" s="857">
        <v>45911</v>
      </c>
      <c r="AL1885" s="843" t="s">
        <v>6293</v>
      </c>
      <c r="AM1885" s="843" t="s">
        <v>6294</v>
      </c>
      <c r="AN1885" s="844" t="s">
        <v>3951</v>
      </c>
      <c r="AO1885" s="844" t="s">
        <v>141</v>
      </c>
      <c r="AP1885" s="841"/>
      <c r="AQ1885" s="841">
        <v>45929</v>
      </c>
      <c r="AR1885" s="841">
        <v>45987</v>
      </c>
      <c r="AS1885" s="842" t="s">
        <v>1284</v>
      </c>
      <c r="AT1885" s="842" t="s">
        <v>1743</v>
      </c>
      <c r="AU1885" s="842" t="s">
        <v>6295</v>
      </c>
      <c r="AV1885" s="845" t="s">
        <v>6296</v>
      </c>
      <c r="AW1885" s="861">
        <v>45986</v>
      </c>
      <c r="AX1885" s="862">
        <v>45987</v>
      </c>
      <c r="AY1885" s="843"/>
      <c r="AZ1885" s="842">
        <v>94031000</v>
      </c>
      <c r="BA1885" s="842" t="s">
        <v>120</v>
      </c>
      <c r="BB1885" s="863" t="s">
        <v>121</v>
      </c>
      <c r="BC1885" s="864">
        <v>45990</v>
      </c>
      <c r="BD1885" s="860" t="s">
        <v>6297</v>
      </c>
      <c r="BE1885" s="865" cm="1">
        <f t="array" ref="BE1885">IF(BD1885="","",AC1885/SUMPRODUCT(--(BD1885=$BD$4:$BD$12824),$AC$4:$AC$12824))</f>
        <v>4.0225541449708802E-3</v>
      </c>
      <c r="BF1885" s="458"/>
      <c r="BG1885" s="458"/>
      <c r="BH1885" s="458"/>
      <c r="BI1885" s="458"/>
      <c r="BJ1885" s="458"/>
      <c r="BK1885" s="458"/>
      <c r="BL1885" s="458"/>
      <c r="BM1885" s="458"/>
      <c r="BN1885" s="458"/>
      <c r="BO1885" s="866">
        <f>VLOOKUP(BD1885,$BD$4:$BN$12824,3,0)*BE1885</f>
        <v>155101.93636823978</v>
      </c>
      <c r="BP1885" s="866"/>
      <c r="BQ1885" s="866"/>
      <c r="BR1885" s="866">
        <f>VLOOKUP(BD1885,$BD$4:$BN$12824,6,0)*BE1885</f>
        <v>66078.578880354413</v>
      </c>
      <c r="BS1885" s="866">
        <f>VLOOKUP(BD1885,$BD$4:$BN$12824,7,0)*BE1885</f>
        <v>12555.07532065876</v>
      </c>
      <c r="BT1885" s="866"/>
      <c r="BU1885" s="866">
        <f>VLOOKUP(BD1885,$BD$4:$BN$12824,9,0)*BE1885</f>
        <v>487.19164526814814</v>
      </c>
      <c r="BV1885" s="867"/>
      <c r="BW1885" s="867">
        <f>VLOOKUP(BD1885,$BD$4:$BN$12824,11,0)*BE1885</f>
        <v>0</v>
      </c>
      <c r="BX1885" s="1146">
        <f t="shared" si="364"/>
        <v>234222.78221452111</v>
      </c>
      <c r="BY1885" s="867">
        <f t="shared" si="366"/>
        <v>465103.03874944698</v>
      </c>
      <c r="BZ1885" s="867">
        <f t="shared" si="365"/>
        <v>13953091.162483409</v>
      </c>
      <c r="CA1885" s="867">
        <f>_xlfn.MAXIFS($BY$4:$BY$12824,$S$4:$S$12824,$S1885)</f>
        <v>465103.03874944698</v>
      </c>
      <c r="CB1885" s="1032"/>
      <c r="CF1885" s="946">
        <f t="shared" si="358"/>
        <v>13315199.999999998</v>
      </c>
    </row>
    <row r="1886" spans="2:84">
      <c r="B1886" s="839" t="s">
        <v>98</v>
      </c>
      <c r="C1886" s="839" t="s">
        <v>273</v>
      </c>
      <c r="D1886" s="839" t="s">
        <v>6289</v>
      </c>
      <c r="E1886" s="839" t="s">
        <v>6290</v>
      </c>
      <c r="F1886" s="841">
        <v>45841</v>
      </c>
      <c r="G1886" s="868" t="s">
        <v>273</v>
      </c>
      <c r="H1886" s="842" t="s">
        <v>134</v>
      </c>
      <c r="I1886" s="883"/>
      <c r="J1886" s="841"/>
      <c r="K1886" s="841"/>
      <c r="L1886" s="843" t="s">
        <v>106</v>
      </c>
      <c r="M1886" s="844" t="s">
        <v>275</v>
      </c>
      <c r="N1886" s="841"/>
      <c r="O1886" s="884" t="s">
        <v>150</v>
      </c>
      <c r="P1886" s="842" t="s">
        <v>124</v>
      </c>
      <c r="Q1886" s="843"/>
      <c r="R1886" s="845" t="str">
        <f t="shared" si="367"/>
        <v>11212.34</v>
      </c>
      <c r="S1886" s="1127" t="s">
        <v>6366</v>
      </c>
      <c r="T1886" s="885" t="s">
        <v>6367</v>
      </c>
      <c r="U1886" s="886">
        <v>10</v>
      </c>
      <c r="V1886" s="842" t="s">
        <v>3</v>
      </c>
      <c r="W1886" s="846" t="s">
        <v>4498</v>
      </c>
      <c r="X1886" s="847">
        <f t="shared" si="354"/>
        <v>292</v>
      </c>
      <c r="Y1886" s="853" t="s">
        <v>4582</v>
      </c>
      <c r="Z1886" s="902">
        <v>13.87</v>
      </c>
      <c r="AA1886" s="849"/>
      <c r="AB1886" s="849">
        <f t="shared" si="360"/>
        <v>138.69999999999999</v>
      </c>
      <c r="AC1886" s="850">
        <f t="shared" si="361"/>
        <v>138.69999999999999</v>
      </c>
      <c r="AD1886" s="851">
        <f t="shared" si="355"/>
        <v>32000</v>
      </c>
      <c r="AE1886" s="852">
        <v>29936.21</v>
      </c>
      <c r="AF1886" s="853">
        <v>0.1</v>
      </c>
      <c r="AG1886" s="854">
        <f t="shared" si="362"/>
        <v>420803.79975629668</v>
      </c>
      <c r="AH1886" s="853">
        <v>0.08</v>
      </c>
      <c r="AI1886" s="855">
        <f t="shared" si="363"/>
        <v>365836.49014050374</v>
      </c>
      <c r="AJ1886" s="856" t="s">
        <v>6292</v>
      </c>
      <c r="AK1886" s="857">
        <v>45911</v>
      </c>
      <c r="AL1886" s="843" t="s">
        <v>6293</v>
      </c>
      <c r="AM1886" s="843" t="s">
        <v>6294</v>
      </c>
      <c r="AN1886" s="844" t="s">
        <v>3951</v>
      </c>
      <c r="AO1886" s="844" t="s">
        <v>141</v>
      </c>
      <c r="AP1886" s="841"/>
      <c r="AQ1886" s="841">
        <v>45929</v>
      </c>
      <c r="AR1886" s="841">
        <v>45987</v>
      </c>
      <c r="AS1886" s="842" t="s">
        <v>1284</v>
      </c>
      <c r="AT1886" s="842" t="s">
        <v>1743</v>
      </c>
      <c r="AU1886" s="842" t="s">
        <v>6295</v>
      </c>
      <c r="AV1886" s="845" t="s">
        <v>6296</v>
      </c>
      <c r="AW1886" s="861">
        <v>45986</v>
      </c>
      <c r="AX1886" s="862">
        <v>45987</v>
      </c>
      <c r="AY1886" s="843"/>
      <c r="AZ1886" s="842">
        <v>94031000</v>
      </c>
      <c r="BA1886" s="842" t="s">
        <v>120</v>
      </c>
      <c r="BB1886" s="863" t="s">
        <v>121</v>
      </c>
      <c r="BC1886" s="864">
        <v>45990</v>
      </c>
      <c r="BD1886" s="860" t="s">
        <v>6297</v>
      </c>
      <c r="BE1886" s="865" cm="1">
        <f t="array" ref="BE1886">IF(BD1886="","",AC1886/SUMPRODUCT(--(BD1886=$BD$4:$BD$12824),$AC$4:$AC$12824))</f>
        <v>1.3408513816569601E-3</v>
      </c>
      <c r="BF1886" s="458"/>
      <c r="BG1886" s="458"/>
      <c r="BH1886" s="458"/>
      <c r="BI1886" s="458"/>
      <c r="BJ1886" s="458"/>
      <c r="BK1886" s="458"/>
      <c r="BL1886" s="458"/>
      <c r="BM1886" s="458"/>
      <c r="BN1886" s="458"/>
      <c r="BO1886" s="866">
        <f>VLOOKUP(BD1886,$BD$4:$BN$12824,3,0)*BE1886</f>
        <v>51700.645456079925</v>
      </c>
      <c r="BP1886" s="866"/>
      <c r="BQ1886" s="866"/>
      <c r="BR1886" s="866">
        <f>VLOOKUP(BD1886,$BD$4:$BN$12824,6,0)*BE1886</f>
        <v>22026.192960118136</v>
      </c>
      <c r="BS1886" s="866">
        <f>VLOOKUP(BD1886,$BD$4:$BN$12824,7,0)*BE1886</f>
        <v>4185.0251068862535</v>
      </c>
      <c r="BT1886" s="866"/>
      <c r="BU1886" s="866">
        <f>VLOOKUP(BD1886,$BD$4:$BN$12824,9,0)*BE1886</f>
        <v>162.39721508938271</v>
      </c>
      <c r="BV1886" s="867"/>
      <c r="BW1886" s="867">
        <f>VLOOKUP(BD1886,$BD$4:$BN$12824,11,0)*BE1886</f>
        <v>0</v>
      </c>
      <c r="BX1886" s="1146">
        <f t="shared" si="364"/>
        <v>78074.260738173703</v>
      </c>
      <c r="BY1886" s="867">
        <f t="shared" si="366"/>
        <v>465103.03874944698</v>
      </c>
      <c r="BZ1886" s="867">
        <f t="shared" si="365"/>
        <v>4651030.38749447</v>
      </c>
      <c r="CA1886" s="867">
        <f>_xlfn.MAXIFS($BY$4:$BY$12824,$S$4:$S$12824,$S1886)</f>
        <v>465103.03874944698</v>
      </c>
      <c r="CB1886" s="1032"/>
      <c r="CF1886" s="946">
        <f t="shared" si="358"/>
        <v>4438400</v>
      </c>
    </row>
    <row r="1887" spans="2:84">
      <c r="B1887" s="839" t="s">
        <v>98</v>
      </c>
      <c r="C1887" s="839" t="s">
        <v>273</v>
      </c>
      <c r="D1887" s="839" t="s">
        <v>6289</v>
      </c>
      <c r="E1887" s="839" t="s">
        <v>6290</v>
      </c>
      <c r="F1887" s="841">
        <v>45841</v>
      </c>
      <c r="G1887" s="868" t="s">
        <v>273</v>
      </c>
      <c r="H1887" s="842" t="s">
        <v>134</v>
      </c>
      <c r="I1887" s="883"/>
      <c r="J1887" s="841"/>
      <c r="K1887" s="841"/>
      <c r="L1887" s="843" t="s">
        <v>106</v>
      </c>
      <c r="M1887" s="844" t="s">
        <v>275</v>
      </c>
      <c r="N1887" s="841"/>
      <c r="O1887" s="884" t="s">
        <v>150</v>
      </c>
      <c r="P1887" s="842" t="s">
        <v>124</v>
      </c>
      <c r="Q1887" s="843"/>
      <c r="R1887" s="845" t="str">
        <f t="shared" si="367"/>
        <v>11212.25</v>
      </c>
      <c r="S1887" s="1127" t="s">
        <v>6368</v>
      </c>
      <c r="T1887" s="885" t="s">
        <v>6369</v>
      </c>
      <c r="U1887" s="886">
        <v>10</v>
      </c>
      <c r="V1887" s="842" t="s">
        <v>3</v>
      </c>
      <c r="W1887" s="846" t="s">
        <v>4498</v>
      </c>
      <c r="X1887" s="847">
        <f t="shared" si="354"/>
        <v>292</v>
      </c>
      <c r="Y1887" s="853" t="s">
        <v>4582</v>
      </c>
      <c r="Z1887" s="902">
        <v>13.87</v>
      </c>
      <c r="AA1887" s="849"/>
      <c r="AB1887" s="849">
        <f t="shared" si="360"/>
        <v>138.69999999999999</v>
      </c>
      <c r="AC1887" s="850">
        <f t="shared" si="361"/>
        <v>138.69999999999999</v>
      </c>
      <c r="AD1887" s="851">
        <f t="shared" si="355"/>
        <v>32000</v>
      </c>
      <c r="AE1887" s="852">
        <v>29936.21</v>
      </c>
      <c r="AF1887" s="853">
        <v>0.1</v>
      </c>
      <c r="AG1887" s="854">
        <f t="shared" si="362"/>
        <v>420803.79975629668</v>
      </c>
      <c r="AH1887" s="853">
        <v>0.08</v>
      </c>
      <c r="AI1887" s="855">
        <f t="shared" si="363"/>
        <v>365836.49014050374</v>
      </c>
      <c r="AJ1887" s="856" t="s">
        <v>6292</v>
      </c>
      <c r="AK1887" s="857">
        <v>45911</v>
      </c>
      <c r="AL1887" s="843" t="s">
        <v>6293</v>
      </c>
      <c r="AM1887" s="843" t="s">
        <v>6294</v>
      </c>
      <c r="AN1887" s="844" t="s">
        <v>3951</v>
      </c>
      <c r="AO1887" s="844" t="s">
        <v>141</v>
      </c>
      <c r="AP1887" s="841"/>
      <c r="AQ1887" s="841">
        <v>45929</v>
      </c>
      <c r="AR1887" s="841">
        <v>45987</v>
      </c>
      <c r="AS1887" s="842" t="s">
        <v>1284</v>
      </c>
      <c r="AT1887" s="842" t="s">
        <v>1743</v>
      </c>
      <c r="AU1887" s="842" t="s">
        <v>6295</v>
      </c>
      <c r="AV1887" s="845" t="s">
        <v>6296</v>
      </c>
      <c r="AW1887" s="861">
        <v>45986</v>
      </c>
      <c r="AX1887" s="862">
        <v>45987</v>
      </c>
      <c r="AY1887" s="843"/>
      <c r="AZ1887" s="842">
        <v>94031000</v>
      </c>
      <c r="BA1887" s="842" t="s">
        <v>120</v>
      </c>
      <c r="BB1887" s="863" t="s">
        <v>121</v>
      </c>
      <c r="BC1887" s="864">
        <v>45990</v>
      </c>
      <c r="BD1887" s="860" t="s">
        <v>6297</v>
      </c>
      <c r="BE1887" s="865" cm="1">
        <f t="array" ref="BE1887">IF(BD1887="","",AC1887/SUMPRODUCT(--(BD1887=$BD$4:$BD$12824),$AC$4:$AC$12824))</f>
        <v>1.3408513816569601E-3</v>
      </c>
      <c r="BF1887" s="458"/>
      <c r="BG1887" s="458"/>
      <c r="BH1887" s="458"/>
      <c r="BI1887" s="458"/>
      <c r="BJ1887" s="458"/>
      <c r="BK1887" s="458"/>
      <c r="BL1887" s="458"/>
      <c r="BM1887" s="458"/>
      <c r="BN1887" s="458"/>
      <c r="BO1887" s="866">
        <f>VLOOKUP(BD1887,$BD$4:$BN$12824,3,0)*BE1887</f>
        <v>51700.645456079925</v>
      </c>
      <c r="BP1887" s="866"/>
      <c r="BQ1887" s="866"/>
      <c r="BR1887" s="866">
        <f>VLOOKUP(BD1887,$BD$4:$BN$12824,6,0)*BE1887</f>
        <v>22026.192960118136</v>
      </c>
      <c r="BS1887" s="866">
        <f>VLOOKUP(BD1887,$BD$4:$BN$12824,7,0)*BE1887</f>
        <v>4185.0251068862535</v>
      </c>
      <c r="BT1887" s="866"/>
      <c r="BU1887" s="866">
        <f>VLOOKUP(BD1887,$BD$4:$BN$12824,9,0)*BE1887</f>
        <v>162.39721508938271</v>
      </c>
      <c r="BV1887" s="867"/>
      <c r="BW1887" s="867">
        <f>VLOOKUP(BD1887,$BD$4:$BN$12824,11,0)*BE1887</f>
        <v>0</v>
      </c>
      <c r="BX1887" s="1146">
        <f t="shared" si="364"/>
        <v>78074.260738173703</v>
      </c>
      <c r="BY1887" s="867">
        <f t="shared" si="366"/>
        <v>465103.03874944698</v>
      </c>
      <c r="BZ1887" s="867">
        <f t="shared" si="365"/>
        <v>4651030.38749447</v>
      </c>
      <c r="CA1887" s="867">
        <f>_xlfn.MAXIFS($BY$4:$BY$12824,$S$4:$S$12824,$S1887)</f>
        <v>465103.03874944698</v>
      </c>
      <c r="CB1887" s="1032"/>
      <c r="CF1887" s="946">
        <f t="shared" si="358"/>
        <v>4438400</v>
      </c>
    </row>
    <row r="1888" spans="2:84">
      <c r="B1888" s="839" t="s">
        <v>98</v>
      </c>
      <c r="C1888" s="839" t="s">
        <v>273</v>
      </c>
      <c r="D1888" s="839" t="s">
        <v>6289</v>
      </c>
      <c r="E1888" s="839" t="s">
        <v>6290</v>
      </c>
      <c r="F1888" s="841">
        <v>45841</v>
      </c>
      <c r="G1888" s="868" t="s">
        <v>273</v>
      </c>
      <c r="H1888" s="842" t="s">
        <v>134</v>
      </c>
      <c r="I1888" s="883"/>
      <c r="J1888" s="841"/>
      <c r="K1888" s="841"/>
      <c r="L1888" s="843" t="s">
        <v>106</v>
      </c>
      <c r="M1888" s="844" t="s">
        <v>275</v>
      </c>
      <c r="N1888" s="841"/>
      <c r="O1888" s="884" t="s">
        <v>150</v>
      </c>
      <c r="P1888" s="842" t="s">
        <v>124</v>
      </c>
      <c r="Q1888" s="843"/>
      <c r="R1888" s="845" t="str">
        <f t="shared" si="367"/>
        <v>16187.22</v>
      </c>
      <c r="S1888" s="1127" t="s">
        <v>6370</v>
      </c>
      <c r="T1888" s="885" t="s">
        <v>6371</v>
      </c>
      <c r="U1888" s="886">
        <v>4</v>
      </c>
      <c r="V1888" s="842" t="s">
        <v>3</v>
      </c>
      <c r="W1888" s="846" t="s">
        <v>6372</v>
      </c>
      <c r="X1888" s="847">
        <f t="shared" ref="X1888:X1951" si="368">W1888*U1888</f>
        <v>115</v>
      </c>
      <c r="Y1888" s="853" t="s">
        <v>4582</v>
      </c>
      <c r="Z1888" s="902">
        <v>13.656000000000001</v>
      </c>
      <c r="AA1888" s="849"/>
      <c r="AB1888" s="849">
        <f t="shared" si="360"/>
        <v>54.624000000000002</v>
      </c>
      <c r="AC1888" s="850">
        <f t="shared" si="361"/>
        <v>54.624000000000002</v>
      </c>
      <c r="AD1888" s="851">
        <f t="shared" ref="AD1888:AD1951" si="369">IF(V1888=$AD$2,$AE$2,$AE$3)</f>
        <v>32000</v>
      </c>
      <c r="AE1888" s="852">
        <v>29936.21</v>
      </c>
      <c r="AF1888" s="853">
        <v>0.1</v>
      </c>
      <c r="AG1888" s="854">
        <f t="shared" si="362"/>
        <v>165724.4899631431</v>
      </c>
      <c r="AH1888" s="853">
        <v>0.08</v>
      </c>
      <c r="AI1888" s="855">
        <f t="shared" si="363"/>
        <v>144076.80200025145</v>
      </c>
      <c r="AJ1888" s="856" t="s">
        <v>6292</v>
      </c>
      <c r="AK1888" s="857">
        <v>45911</v>
      </c>
      <c r="AL1888" s="843" t="s">
        <v>6293</v>
      </c>
      <c r="AM1888" s="843" t="s">
        <v>6294</v>
      </c>
      <c r="AN1888" s="844" t="s">
        <v>3951</v>
      </c>
      <c r="AO1888" s="844" t="s">
        <v>141</v>
      </c>
      <c r="AP1888" s="841"/>
      <c r="AQ1888" s="841">
        <v>45929</v>
      </c>
      <c r="AR1888" s="841">
        <v>45987</v>
      </c>
      <c r="AS1888" s="842" t="s">
        <v>1284</v>
      </c>
      <c r="AT1888" s="842" t="s">
        <v>1743</v>
      </c>
      <c r="AU1888" s="842" t="s">
        <v>6295</v>
      </c>
      <c r="AV1888" s="845" t="s">
        <v>6296</v>
      </c>
      <c r="AW1888" s="861">
        <v>45986</v>
      </c>
      <c r="AX1888" s="862">
        <v>45987</v>
      </c>
      <c r="AY1888" s="843"/>
      <c r="AZ1888" s="842">
        <v>94031000</v>
      </c>
      <c r="BA1888" s="842" t="s">
        <v>120</v>
      </c>
      <c r="BB1888" s="863" t="s">
        <v>121</v>
      </c>
      <c r="BC1888" s="864">
        <v>45990</v>
      </c>
      <c r="BD1888" s="860" t="s">
        <v>6297</v>
      </c>
      <c r="BE1888" s="865" cm="1">
        <f t="array" ref="BE1888">IF(BD1888="","",AC1888/SUMPRODUCT(--(BD1888=$BD$4:$BD$12824),$AC$4:$AC$12824))</f>
        <v>5.2806536316964527E-4</v>
      </c>
      <c r="BF1888" s="458"/>
      <c r="BG1888" s="458"/>
      <c r="BH1888" s="458"/>
      <c r="BI1888" s="458"/>
      <c r="BJ1888" s="458"/>
      <c r="BK1888" s="458"/>
      <c r="BL1888" s="458"/>
      <c r="BM1888" s="458"/>
      <c r="BN1888" s="458"/>
      <c r="BO1888" s="866">
        <f>VLOOKUP(BD1888,$BD$4:$BN$12824,3,0)*BE1888</f>
        <v>20361.182821866692</v>
      </c>
      <c r="BP1888" s="866"/>
      <c r="BQ1888" s="866"/>
      <c r="BR1888" s="866">
        <f>VLOOKUP(BD1888,$BD$4:$BN$12824,6,0)*BE1888</f>
        <v>8674.5404776747891</v>
      </c>
      <c r="BS1888" s="866">
        <f>VLOOKUP(BD1888,$BD$4:$BN$12824,7,0)*BE1888</f>
        <v>1648.1817695642014</v>
      </c>
      <c r="BT1888" s="866"/>
      <c r="BU1888" s="866">
        <f>VLOOKUP(BD1888,$BD$4:$BN$12824,9,0)*BE1888</f>
        <v>63.956636460291584</v>
      </c>
      <c r="BV1888" s="867"/>
      <c r="BW1888" s="867">
        <f>VLOOKUP(BD1888,$BD$4:$BN$12824,11,0)*BE1888</f>
        <v>0</v>
      </c>
      <c r="BX1888" s="1146">
        <f t="shared" si="364"/>
        <v>30747.861705565974</v>
      </c>
      <c r="BY1888" s="867">
        <f t="shared" si="366"/>
        <v>457926.97167717729</v>
      </c>
      <c r="BZ1888" s="867">
        <f t="shared" si="365"/>
        <v>1831707.8867087092</v>
      </c>
      <c r="CA1888" s="867">
        <f>_xlfn.MAXIFS($BY$4:$BY$12824,$S$4:$S$12824,$S1888)</f>
        <v>457926.97167717729</v>
      </c>
      <c r="CB1888" s="1032"/>
      <c r="CF1888" s="946">
        <f t="shared" si="358"/>
        <v>1747968</v>
      </c>
    </row>
    <row r="1889" spans="2:84">
      <c r="B1889" s="839" t="s">
        <v>98</v>
      </c>
      <c r="C1889" s="839" t="s">
        <v>273</v>
      </c>
      <c r="D1889" s="839" t="s">
        <v>6289</v>
      </c>
      <c r="E1889" s="839" t="s">
        <v>6290</v>
      </c>
      <c r="F1889" s="841">
        <v>45841</v>
      </c>
      <c r="G1889" s="868" t="s">
        <v>273</v>
      </c>
      <c r="H1889" s="842" t="s">
        <v>134</v>
      </c>
      <c r="I1889" s="883"/>
      <c r="J1889" s="841"/>
      <c r="K1889" s="841"/>
      <c r="L1889" s="843" t="s">
        <v>106</v>
      </c>
      <c r="M1889" s="844" t="s">
        <v>275</v>
      </c>
      <c r="N1889" s="841"/>
      <c r="O1889" s="884" t="s">
        <v>150</v>
      </c>
      <c r="P1889" s="842" t="s">
        <v>124</v>
      </c>
      <c r="Q1889" s="843"/>
      <c r="R1889" s="845" t="str">
        <f t="shared" si="367"/>
        <v>16187.24</v>
      </c>
      <c r="S1889" s="1127" t="s">
        <v>3979</v>
      </c>
      <c r="T1889" s="885" t="s">
        <v>3980</v>
      </c>
      <c r="U1889" s="886">
        <v>10</v>
      </c>
      <c r="V1889" s="842" t="s">
        <v>3</v>
      </c>
      <c r="W1889" s="846" t="s">
        <v>6372</v>
      </c>
      <c r="X1889" s="847">
        <f t="shared" si="368"/>
        <v>287.5</v>
      </c>
      <c r="Y1889" s="853" t="s">
        <v>4582</v>
      </c>
      <c r="Z1889" s="902">
        <v>13.656000000000001</v>
      </c>
      <c r="AA1889" s="849"/>
      <c r="AB1889" s="849">
        <f t="shared" si="360"/>
        <v>136.56</v>
      </c>
      <c r="AC1889" s="850">
        <f t="shared" si="361"/>
        <v>136.56</v>
      </c>
      <c r="AD1889" s="851">
        <f t="shared" si="369"/>
        <v>32000</v>
      </c>
      <c r="AE1889" s="852">
        <v>29936.21</v>
      </c>
      <c r="AF1889" s="853">
        <v>0.1</v>
      </c>
      <c r="AG1889" s="854">
        <f t="shared" si="362"/>
        <v>414311.22490785772</v>
      </c>
      <c r="AH1889" s="853">
        <v>0.08</v>
      </c>
      <c r="AI1889" s="855">
        <f t="shared" si="363"/>
        <v>360192.00500062859</v>
      </c>
      <c r="AJ1889" s="856" t="s">
        <v>6292</v>
      </c>
      <c r="AK1889" s="857">
        <v>45911</v>
      </c>
      <c r="AL1889" s="843" t="s">
        <v>6293</v>
      </c>
      <c r="AM1889" s="843" t="s">
        <v>6294</v>
      </c>
      <c r="AN1889" s="844" t="s">
        <v>3951</v>
      </c>
      <c r="AO1889" s="844" t="s">
        <v>141</v>
      </c>
      <c r="AP1889" s="841"/>
      <c r="AQ1889" s="841">
        <v>45929</v>
      </c>
      <c r="AR1889" s="841">
        <v>45987</v>
      </c>
      <c r="AS1889" s="842" t="s">
        <v>1284</v>
      </c>
      <c r="AT1889" s="842" t="s">
        <v>1743</v>
      </c>
      <c r="AU1889" s="842" t="s">
        <v>6295</v>
      </c>
      <c r="AV1889" s="845" t="s">
        <v>6296</v>
      </c>
      <c r="AW1889" s="861">
        <v>45986</v>
      </c>
      <c r="AX1889" s="862">
        <v>45987</v>
      </c>
      <c r="AY1889" s="843"/>
      <c r="AZ1889" s="842">
        <v>94031000</v>
      </c>
      <c r="BA1889" s="842" t="s">
        <v>120</v>
      </c>
      <c r="BB1889" s="863" t="s">
        <v>121</v>
      </c>
      <c r="BC1889" s="864">
        <v>45990</v>
      </c>
      <c r="BD1889" s="860" t="s">
        <v>6297</v>
      </c>
      <c r="BE1889" s="865" cm="1">
        <f t="array" ref="BE1889">IF(BD1889="","",AC1889/SUMPRODUCT(--(BD1889=$BD$4:$BD$12824),$AC$4:$AC$12824))</f>
        <v>1.3201634079241132E-3</v>
      </c>
      <c r="BF1889" s="458"/>
      <c r="BG1889" s="458"/>
      <c r="BH1889" s="458"/>
      <c r="BI1889" s="458"/>
      <c r="BJ1889" s="458"/>
      <c r="BK1889" s="458"/>
      <c r="BL1889" s="458"/>
      <c r="BM1889" s="458"/>
      <c r="BN1889" s="458"/>
      <c r="BO1889" s="866">
        <f>VLOOKUP(BD1889,$BD$4:$BN$12824,3,0)*BE1889</f>
        <v>50902.957054666731</v>
      </c>
      <c r="BP1889" s="866"/>
      <c r="BQ1889" s="866"/>
      <c r="BR1889" s="866">
        <f>VLOOKUP(BD1889,$BD$4:$BN$12824,6,0)*BE1889</f>
        <v>21686.351194186973</v>
      </c>
      <c r="BS1889" s="866">
        <f>VLOOKUP(BD1889,$BD$4:$BN$12824,7,0)*BE1889</f>
        <v>4120.4544239105035</v>
      </c>
      <c r="BT1889" s="866"/>
      <c r="BU1889" s="866">
        <f>VLOOKUP(BD1889,$BD$4:$BN$12824,9,0)*BE1889</f>
        <v>159.89159115072897</v>
      </c>
      <c r="BV1889" s="867"/>
      <c r="BW1889" s="867">
        <f>VLOOKUP(BD1889,$BD$4:$BN$12824,11,0)*BE1889</f>
        <v>0</v>
      </c>
      <c r="BX1889" s="1146">
        <f t="shared" si="364"/>
        <v>76869.654263914941</v>
      </c>
      <c r="BY1889" s="867">
        <f t="shared" si="366"/>
        <v>457926.97167717724</v>
      </c>
      <c r="BZ1889" s="867">
        <f t="shared" si="365"/>
        <v>4579269.7167717721</v>
      </c>
      <c r="CA1889" s="867">
        <f>_xlfn.MAXIFS($BY$4:$BY$12824,$S$4:$S$12824,$S1889)</f>
        <v>457926.97167717724</v>
      </c>
      <c r="CB1889" s="1032"/>
      <c r="CF1889" s="946">
        <f t="shared" si="358"/>
        <v>4369920</v>
      </c>
    </row>
    <row r="1890" spans="2:84">
      <c r="B1890" s="839" t="s">
        <v>98</v>
      </c>
      <c r="C1890" s="839" t="s">
        <v>273</v>
      </c>
      <c r="D1890" s="839" t="s">
        <v>6289</v>
      </c>
      <c r="E1890" s="839" t="s">
        <v>6290</v>
      </c>
      <c r="F1890" s="841">
        <v>45841</v>
      </c>
      <c r="G1890" s="868" t="s">
        <v>273</v>
      </c>
      <c r="H1890" s="842" t="s">
        <v>134</v>
      </c>
      <c r="I1890" s="883"/>
      <c r="J1890" s="841"/>
      <c r="K1890" s="841"/>
      <c r="L1890" s="843" t="s">
        <v>106</v>
      </c>
      <c r="M1890" s="844" t="s">
        <v>275</v>
      </c>
      <c r="N1890" s="841"/>
      <c r="O1890" s="884" t="s">
        <v>150</v>
      </c>
      <c r="P1890" s="842" t="s">
        <v>124</v>
      </c>
      <c r="Q1890" s="843"/>
      <c r="R1890" s="845" t="str">
        <f t="shared" si="367"/>
        <v>16187.31</v>
      </c>
      <c r="S1890" s="1127" t="s">
        <v>3981</v>
      </c>
      <c r="T1890" s="885" t="s">
        <v>3982</v>
      </c>
      <c r="U1890" s="886">
        <v>10</v>
      </c>
      <c r="V1890" s="842" t="s">
        <v>3</v>
      </c>
      <c r="W1890" s="846" t="s">
        <v>6372</v>
      </c>
      <c r="X1890" s="847">
        <f t="shared" si="368"/>
        <v>287.5</v>
      </c>
      <c r="Y1890" s="853" t="s">
        <v>4582</v>
      </c>
      <c r="Z1890" s="902">
        <v>13.656000000000001</v>
      </c>
      <c r="AA1890" s="849"/>
      <c r="AB1890" s="849">
        <f t="shared" si="360"/>
        <v>136.56</v>
      </c>
      <c r="AC1890" s="850">
        <f t="shared" si="361"/>
        <v>136.56</v>
      </c>
      <c r="AD1890" s="851">
        <f t="shared" si="369"/>
        <v>32000</v>
      </c>
      <c r="AE1890" s="852">
        <v>29936.21</v>
      </c>
      <c r="AF1890" s="853">
        <v>0.1</v>
      </c>
      <c r="AG1890" s="854">
        <f t="shared" si="362"/>
        <v>414311.22490785772</v>
      </c>
      <c r="AH1890" s="853">
        <v>0.08</v>
      </c>
      <c r="AI1890" s="855">
        <f t="shared" si="363"/>
        <v>360192.00500062859</v>
      </c>
      <c r="AJ1890" s="856" t="s">
        <v>6292</v>
      </c>
      <c r="AK1890" s="857">
        <v>45911</v>
      </c>
      <c r="AL1890" s="843" t="s">
        <v>6293</v>
      </c>
      <c r="AM1890" s="843" t="s">
        <v>6294</v>
      </c>
      <c r="AN1890" s="844" t="s">
        <v>3951</v>
      </c>
      <c r="AO1890" s="844" t="s">
        <v>141</v>
      </c>
      <c r="AP1890" s="841"/>
      <c r="AQ1890" s="841">
        <v>45929</v>
      </c>
      <c r="AR1890" s="841">
        <v>45987</v>
      </c>
      <c r="AS1890" s="842" t="s">
        <v>1284</v>
      </c>
      <c r="AT1890" s="842" t="s">
        <v>1743</v>
      </c>
      <c r="AU1890" s="842" t="s">
        <v>6295</v>
      </c>
      <c r="AV1890" s="845" t="s">
        <v>6296</v>
      </c>
      <c r="AW1890" s="861">
        <v>45986</v>
      </c>
      <c r="AX1890" s="862">
        <v>45987</v>
      </c>
      <c r="AY1890" s="843"/>
      <c r="AZ1890" s="842">
        <v>94031000</v>
      </c>
      <c r="BA1890" s="842" t="s">
        <v>120</v>
      </c>
      <c r="BB1890" s="863" t="s">
        <v>121</v>
      </c>
      <c r="BC1890" s="864">
        <v>45990</v>
      </c>
      <c r="BD1890" s="860" t="s">
        <v>6297</v>
      </c>
      <c r="BE1890" s="865" cm="1">
        <f t="array" ref="BE1890">IF(BD1890="","",AC1890/SUMPRODUCT(--(BD1890=$BD$4:$BD$12824),$AC$4:$AC$12824))</f>
        <v>1.3201634079241132E-3</v>
      </c>
      <c r="BF1890" s="458"/>
      <c r="BG1890" s="458"/>
      <c r="BH1890" s="458"/>
      <c r="BI1890" s="458"/>
      <c r="BJ1890" s="458"/>
      <c r="BK1890" s="458"/>
      <c r="BL1890" s="458"/>
      <c r="BM1890" s="458"/>
      <c r="BN1890" s="458"/>
      <c r="BO1890" s="866">
        <f>VLOOKUP(BD1890,$BD$4:$BN$12824,3,0)*BE1890</f>
        <v>50902.957054666731</v>
      </c>
      <c r="BP1890" s="866"/>
      <c r="BQ1890" s="866"/>
      <c r="BR1890" s="866">
        <f>VLOOKUP(BD1890,$BD$4:$BN$12824,6,0)*BE1890</f>
        <v>21686.351194186973</v>
      </c>
      <c r="BS1890" s="866">
        <f>VLOOKUP(BD1890,$BD$4:$BN$12824,7,0)*BE1890</f>
        <v>4120.4544239105035</v>
      </c>
      <c r="BT1890" s="866"/>
      <c r="BU1890" s="866">
        <f>VLOOKUP(BD1890,$BD$4:$BN$12824,9,0)*BE1890</f>
        <v>159.89159115072897</v>
      </c>
      <c r="BV1890" s="867"/>
      <c r="BW1890" s="867">
        <f>VLOOKUP(BD1890,$BD$4:$BN$12824,11,0)*BE1890</f>
        <v>0</v>
      </c>
      <c r="BX1890" s="1146">
        <f t="shared" si="364"/>
        <v>76869.654263914941</v>
      </c>
      <c r="BY1890" s="867">
        <f t="shared" si="366"/>
        <v>457926.97167717724</v>
      </c>
      <c r="BZ1890" s="867">
        <f t="shared" si="365"/>
        <v>4579269.7167717721</v>
      </c>
      <c r="CA1890" s="867">
        <f>_xlfn.MAXIFS($BY$4:$BY$12824,$S$4:$S$12824,$S1890)</f>
        <v>457926.97167717724</v>
      </c>
      <c r="CB1890" s="1032"/>
      <c r="CF1890" s="946">
        <f t="shared" si="358"/>
        <v>4369920</v>
      </c>
    </row>
    <row r="1891" spans="2:84">
      <c r="B1891" s="839" t="s">
        <v>98</v>
      </c>
      <c r="C1891" s="839" t="s">
        <v>273</v>
      </c>
      <c r="D1891" s="839" t="s">
        <v>6289</v>
      </c>
      <c r="E1891" s="839" t="s">
        <v>6290</v>
      </c>
      <c r="F1891" s="841">
        <v>45841</v>
      </c>
      <c r="G1891" s="868" t="s">
        <v>273</v>
      </c>
      <c r="H1891" s="842" t="s">
        <v>134</v>
      </c>
      <c r="I1891" s="883"/>
      <c r="J1891" s="841"/>
      <c r="K1891" s="841"/>
      <c r="L1891" s="843" t="s">
        <v>106</v>
      </c>
      <c r="M1891" s="844" t="s">
        <v>275</v>
      </c>
      <c r="N1891" s="841"/>
      <c r="O1891" s="884" t="s">
        <v>150</v>
      </c>
      <c r="P1891" s="842" t="s">
        <v>124</v>
      </c>
      <c r="Q1891" s="843"/>
      <c r="R1891" s="845" t="str">
        <f t="shared" si="367"/>
        <v>16187.34</v>
      </c>
      <c r="S1891" s="1127" t="s">
        <v>2399</v>
      </c>
      <c r="T1891" s="885" t="s">
        <v>6373</v>
      </c>
      <c r="U1891" s="886">
        <v>4</v>
      </c>
      <c r="V1891" s="842" t="s">
        <v>3</v>
      </c>
      <c r="W1891" s="846" t="s">
        <v>6372</v>
      </c>
      <c r="X1891" s="847">
        <f t="shared" si="368"/>
        <v>115</v>
      </c>
      <c r="Y1891" s="853" t="s">
        <v>4582</v>
      </c>
      <c r="Z1891" s="902">
        <v>13.656000000000001</v>
      </c>
      <c r="AA1891" s="849"/>
      <c r="AB1891" s="849">
        <f t="shared" si="360"/>
        <v>54.624000000000002</v>
      </c>
      <c r="AC1891" s="850">
        <f t="shared" si="361"/>
        <v>54.624000000000002</v>
      </c>
      <c r="AD1891" s="851">
        <f t="shared" si="369"/>
        <v>32000</v>
      </c>
      <c r="AE1891" s="852">
        <v>29936.21</v>
      </c>
      <c r="AF1891" s="853">
        <v>0.1</v>
      </c>
      <c r="AG1891" s="854">
        <f t="shared" si="362"/>
        <v>165724.4899631431</v>
      </c>
      <c r="AH1891" s="853">
        <v>0.08</v>
      </c>
      <c r="AI1891" s="855">
        <f t="shared" si="363"/>
        <v>144076.80200025145</v>
      </c>
      <c r="AJ1891" s="856" t="s">
        <v>6292</v>
      </c>
      <c r="AK1891" s="857">
        <v>45911</v>
      </c>
      <c r="AL1891" s="843" t="s">
        <v>6293</v>
      </c>
      <c r="AM1891" s="843" t="s">
        <v>6294</v>
      </c>
      <c r="AN1891" s="844" t="s">
        <v>3951</v>
      </c>
      <c r="AO1891" s="844" t="s">
        <v>141</v>
      </c>
      <c r="AP1891" s="841"/>
      <c r="AQ1891" s="841">
        <v>45929</v>
      </c>
      <c r="AR1891" s="841">
        <v>45987</v>
      </c>
      <c r="AS1891" s="842" t="s">
        <v>1284</v>
      </c>
      <c r="AT1891" s="842" t="s">
        <v>1743</v>
      </c>
      <c r="AU1891" s="842" t="s">
        <v>6295</v>
      </c>
      <c r="AV1891" s="845" t="s">
        <v>6296</v>
      </c>
      <c r="AW1891" s="861">
        <v>45986</v>
      </c>
      <c r="AX1891" s="862">
        <v>45987</v>
      </c>
      <c r="AY1891" s="843"/>
      <c r="AZ1891" s="842">
        <v>94031000</v>
      </c>
      <c r="BA1891" s="842" t="s">
        <v>120</v>
      </c>
      <c r="BB1891" s="863" t="s">
        <v>121</v>
      </c>
      <c r="BC1891" s="864">
        <v>45990</v>
      </c>
      <c r="BD1891" s="860" t="s">
        <v>6297</v>
      </c>
      <c r="BE1891" s="865" cm="1">
        <f t="array" ref="BE1891">IF(BD1891="","",AC1891/SUMPRODUCT(--(BD1891=$BD$4:$BD$12824),$AC$4:$AC$12824))</f>
        <v>5.2806536316964527E-4</v>
      </c>
      <c r="BF1891" s="458"/>
      <c r="BG1891" s="458"/>
      <c r="BH1891" s="458"/>
      <c r="BI1891" s="458"/>
      <c r="BJ1891" s="458"/>
      <c r="BK1891" s="458"/>
      <c r="BL1891" s="458"/>
      <c r="BM1891" s="458"/>
      <c r="BN1891" s="458"/>
      <c r="BO1891" s="866">
        <f>VLOOKUP(BD1891,$BD$4:$BN$12824,3,0)*BE1891</f>
        <v>20361.182821866692</v>
      </c>
      <c r="BP1891" s="866"/>
      <c r="BQ1891" s="866"/>
      <c r="BR1891" s="866">
        <f>VLOOKUP(BD1891,$BD$4:$BN$12824,6,0)*BE1891</f>
        <v>8674.5404776747891</v>
      </c>
      <c r="BS1891" s="866">
        <f>VLOOKUP(BD1891,$BD$4:$BN$12824,7,0)*BE1891</f>
        <v>1648.1817695642014</v>
      </c>
      <c r="BT1891" s="866"/>
      <c r="BU1891" s="866">
        <f>VLOOKUP(BD1891,$BD$4:$BN$12824,9,0)*BE1891</f>
        <v>63.956636460291584</v>
      </c>
      <c r="BV1891" s="867"/>
      <c r="BW1891" s="867">
        <f>VLOOKUP(BD1891,$BD$4:$BN$12824,11,0)*BE1891</f>
        <v>0</v>
      </c>
      <c r="BX1891" s="1146">
        <f t="shared" si="364"/>
        <v>30747.861705565974</v>
      </c>
      <c r="BY1891" s="867">
        <f t="shared" si="366"/>
        <v>457926.97167717729</v>
      </c>
      <c r="BZ1891" s="867">
        <f t="shared" si="365"/>
        <v>1831707.8867087092</v>
      </c>
      <c r="CA1891" s="867">
        <f>_xlfn.MAXIFS($BY$4:$BY$12824,$S$4:$S$12824,$S1891)</f>
        <v>457926.97167717729</v>
      </c>
      <c r="CB1891" s="1032"/>
      <c r="CF1891" s="946">
        <f t="shared" si="358"/>
        <v>1747968</v>
      </c>
    </row>
    <row r="1892" spans="2:84">
      <c r="B1892" s="839" t="s">
        <v>98</v>
      </c>
      <c r="C1892" s="839" t="s">
        <v>273</v>
      </c>
      <c r="D1892" s="839" t="s">
        <v>6289</v>
      </c>
      <c r="E1892" s="839" t="s">
        <v>6290</v>
      </c>
      <c r="F1892" s="841">
        <v>45841</v>
      </c>
      <c r="G1892" s="868" t="s">
        <v>273</v>
      </c>
      <c r="H1892" s="842" t="s">
        <v>134</v>
      </c>
      <c r="I1892" s="883"/>
      <c r="J1892" s="841"/>
      <c r="K1892" s="841"/>
      <c r="L1892" s="843" t="s">
        <v>106</v>
      </c>
      <c r="M1892" s="844" t="s">
        <v>275</v>
      </c>
      <c r="N1892" s="841"/>
      <c r="O1892" s="884" t="s">
        <v>150</v>
      </c>
      <c r="P1892" s="842" t="s">
        <v>124</v>
      </c>
      <c r="Q1892" s="843"/>
      <c r="R1892" s="845" t="str">
        <f t="shared" si="367"/>
        <v>16187.27</v>
      </c>
      <c r="S1892" s="1127" t="s">
        <v>6374</v>
      </c>
      <c r="T1892" s="885" t="s">
        <v>6375</v>
      </c>
      <c r="U1892" s="886">
        <v>4</v>
      </c>
      <c r="V1892" s="842" t="s">
        <v>3</v>
      </c>
      <c r="W1892" s="846" t="s">
        <v>6372</v>
      </c>
      <c r="X1892" s="847">
        <f t="shared" si="368"/>
        <v>115</v>
      </c>
      <c r="Y1892" s="853" t="s">
        <v>4582</v>
      </c>
      <c r="Z1892" s="902">
        <v>13.656000000000001</v>
      </c>
      <c r="AA1892" s="849"/>
      <c r="AB1892" s="849">
        <f t="shared" si="360"/>
        <v>54.624000000000002</v>
      </c>
      <c r="AC1892" s="850">
        <f t="shared" si="361"/>
        <v>54.624000000000002</v>
      </c>
      <c r="AD1892" s="851">
        <f t="shared" si="369"/>
        <v>32000</v>
      </c>
      <c r="AE1892" s="852">
        <v>29936.21</v>
      </c>
      <c r="AF1892" s="853">
        <v>0.1</v>
      </c>
      <c r="AG1892" s="854">
        <f t="shared" si="362"/>
        <v>165724.4899631431</v>
      </c>
      <c r="AH1892" s="853">
        <v>0.08</v>
      </c>
      <c r="AI1892" s="855">
        <f t="shared" si="363"/>
        <v>144076.80200025145</v>
      </c>
      <c r="AJ1892" s="856" t="s">
        <v>6292</v>
      </c>
      <c r="AK1892" s="857">
        <v>45911</v>
      </c>
      <c r="AL1892" s="843" t="s">
        <v>6293</v>
      </c>
      <c r="AM1892" s="843" t="s">
        <v>6294</v>
      </c>
      <c r="AN1892" s="844" t="s">
        <v>3951</v>
      </c>
      <c r="AO1892" s="844" t="s">
        <v>141</v>
      </c>
      <c r="AP1892" s="841"/>
      <c r="AQ1892" s="841">
        <v>45929</v>
      </c>
      <c r="AR1892" s="841">
        <v>45987</v>
      </c>
      <c r="AS1892" s="842" t="s">
        <v>1284</v>
      </c>
      <c r="AT1892" s="842" t="s">
        <v>1743</v>
      </c>
      <c r="AU1892" s="842" t="s">
        <v>6295</v>
      </c>
      <c r="AV1892" s="845" t="s">
        <v>6296</v>
      </c>
      <c r="AW1892" s="861">
        <v>45986</v>
      </c>
      <c r="AX1892" s="862">
        <v>45987</v>
      </c>
      <c r="AY1892" s="843"/>
      <c r="AZ1892" s="842">
        <v>94031000</v>
      </c>
      <c r="BA1892" s="842" t="s">
        <v>120</v>
      </c>
      <c r="BB1892" s="863" t="s">
        <v>121</v>
      </c>
      <c r="BC1892" s="864">
        <v>45990</v>
      </c>
      <c r="BD1892" s="860" t="s">
        <v>6297</v>
      </c>
      <c r="BE1892" s="865" cm="1">
        <f t="array" ref="BE1892">IF(BD1892="","",AC1892/SUMPRODUCT(--(BD1892=$BD$4:$BD$12824),$AC$4:$AC$12824))</f>
        <v>5.2806536316964527E-4</v>
      </c>
      <c r="BF1892" s="458"/>
      <c r="BG1892" s="458"/>
      <c r="BH1892" s="458"/>
      <c r="BI1892" s="458"/>
      <c r="BJ1892" s="458"/>
      <c r="BK1892" s="458"/>
      <c r="BL1892" s="458"/>
      <c r="BM1892" s="458"/>
      <c r="BN1892" s="458"/>
      <c r="BO1892" s="866">
        <f>VLOOKUP(BD1892,$BD$4:$BN$12824,3,0)*BE1892</f>
        <v>20361.182821866692</v>
      </c>
      <c r="BP1892" s="866"/>
      <c r="BQ1892" s="866"/>
      <c r="BR1892" s="866">
        <f>VLOOKUP(BD1892,$BD$4:$BN$12824,6,0)*BE1892</f>
        <v>8674.5404776747891</v>
      </c>
      <c r="BS1892" s="866">
        <f>VLOOKUP(BD1892,$BD$4:$BN$12824,7,0)*BE1892</f>
        <v>1648.1817695642014</v>
      </c>
      <c r="BT1892" s="866"/>
      <c r="BU1892" s="866">
        <f>VLOOKUP(BD1892,$BD$4:$BN$12824,9,0)*BE1892</f>
        <v>63.956636460291584</v>
      </c>
      <c r="BV1892" s="867"/>
      <c r="BW1892" s="867">
        <f>VLOOKUP(BD1892,$BD$4:$BN$12824,11,0)*BE1892</f>
        <v>0</v>
      </c>
      <c r="BX1892" s="1146">
        <f t="shared" si="364"/>
        <v>30747.861705565974</v>
      </c>
      <c r="BY1892" s="867">
        <f t="shared" si="366"/>
        <v>457926.97167717729</v>
      </c>
      <c r="BZ1892" s="867">
        <f t="shared" si="365"/>
        <v>1831707.8867087092</v>
      </c>
      <c r="CA1892" s="867">
        <f>_xlfn.MAXIFS($BY$4:$BY$12824,$S$4:$S$12824,$S1892)</f>
        <v>457926.97167717729</v>
      </c>
      <c r="CB1892" s="1032"/>
      <c r="CF1892" s="946">
        <f t="shared" si="358"/>
        <v>1747968</v>
      </c>
    </row>
    <row r="1893" spans="2:84">
      <c r="B1893" s="839" t="s">
        <v>98</v>
      </c>
      <c r="C1893" s="839" t="s">
        <v>273</v>
      </c>
      <c r="D1893" s="839" t="s">
        <v>6289</v>
      </c>
      <c r="E1893" s="839" t="s">
        <v>6290</v>
      </c>
      <c r="F1893" s="841">
        <v>45841</v>
      </c>
      <c r="G1893" s="868" t="s">
        <v>273</v>
      </c>
      <c r="H1893" s="842" t="s">
        <v>134</v>
      </c>
      <c r="I1893" s="883"/>
      <c r="J1893" s="841"/>
      <c r="K1893" s="841"/>
      <c r="L1893" s="843" t="s">
        <v>106</v>
      </c>
      <c r="M1893" s="844" t="s">
        <v>275</v>
      </c>
      <c r="N1893" s="841"/>
      <c r="O1893" s="884" t="s">
        <v>150</v>
      </c>
      <c r="P1893" s="842" t="s">
        <v>124</v>
      </c>
      <c r="Q1893" s="843"/>
      <c r="R1893" s="845" t="str">
        <f t="shared" si="367"/>
        <v>16187.30</v>
      </c>
      <c r="S1893" s="1127" t="s">
        <v>2435</v>
      </c>
      <c r="T1893" s="885" t="s">
        <v>2436</v>
      </c>
      <c r="U1893" s="886">
        <v>4</v>
      </c>
      <c r="V1893" s="842" t="s">
        <v>3</v>
      </c>
      <c r="W1893" s="846" t="s">
        <v>6372</v>
      </c>
      <c r="X1893" s="847">
        <f t="shared" si="368"/>
        <v>115</v>
      </c>
      <c r="Y1893" s="853" t="s">
        <v>4582</v>
      </c>
      <c r="Z1893" s="902">
        <v>13.656000000000001</v>
      </c>
      <c r="AA1893" s="849"/>
      <c r="AB1893" s="849">
        <f t="shared" si="360"/>
        <v>54.624000000000002</v>
      </c>
      <c r="AC1893" s="850">
        <f t="shared" si="361"/>
        <v>54.624000000000002</v>
      </c>
      <c r="AD1893" s="851">
        <f t="shared" si="369"/>
        <v>32000</v>
      </c>
      <c r="AE1893" s="852">
        <v>29936.21</v>
      </c>
      <c r="AF1893" s="853">
        <v>0.1</v>
      </c>
      <c r="AG1893" s="854">
        <f t="shared" si="362"/>
        <v>165724.4899631431</v>
      </c>
      <c r="AH1893" s="853">
        <v>0.08</v>
      </c>
      <c r="AI1893" s="855">
        <f t="shared" si="363"/>
        <v>144076.80200025145</v>
      </c>
      <c r="AJ1893" s="856" t="s">
        <v>6292</v>
      </c>
      <c r="AK1893" s="857">
        <v>45911</v>
      </c>
      <c r="AL1893" s="843" t="s">
        <v>6293</v>
      </c>
      <c r="AM1893" s="843" t="s">
        <v>6294</v>
      </c>
      <c r="AN1893" s="844" t="s">
        <v>3951</v>
      </c>
      <c r="AO1893" s="844" t="s">
        <v>141</v>
      </c>
      <c r="AP1893" s="841"/>
      <c r="AQ1893" s="841">
        <v>45929</v>
      </c>
      <c r="AR1893" s="841">
        <v>45987</v>
      </c>
      <c r="AS1893" s="842" t="s">
        <v>1284</v>
      </c>
      <c r="AT1893" s="842" t="s">
        <v>1743</v>
      </c>
      <c r="AU1893" s="842" t="s">
        <v>6295</v>
      </c>
      <c r="AV1893" s="845" t="s">
        <v>6296</v>
      </c>
      <c r="AW1893" s="861">
        <v>45986</v>
      </c>
      <c r="AX1893" s="862">
        <v>45987</v>
      </c>
      <c r="AY1893" s="843"/>
      <c r="AZ1893" s="842">
        <v>94031000</v>
      </c>
      <c r="BA1893" s="842" t="s">
        <v>120</v>
      </c>
      <c r="BB1893" s="863" t="s">
        <v>121</v>
      </c>
      <c r="BC1893" s="864">
        <v>45990</v>
      </c>
      <c r="BD1893" s="860" t="s">
        <v>6297</v>
      </c>
      <c r="BE1893" s="865" cm="1">
        <f t="array" ref="BE1893">IF(BD1893="","",AC1893/SUMPRODUCT(--(BD1893=$BD$4:$BD$12824),$AC$4:$AC$12824))</f>
        <v>5.2806536316964527E-4</v>
      </c>
      <c r="BF1893" s="458"/>
      <c r="BG1893" s="458"/>
      <c r="BH1893" s="458"/>
      <c r="BI1893" s="458"/>
      <c r="BJ1893" s="458"/>
      <c r="BK1893" s="458"/>
      <c r="BL1893" s="458"/>
      <c r="BM1893" s="458"/>
      <c r="BN1893" s="458"/>
      <c r="BO1893" s="866">
        <f>VLOOKUP(BD1893,$BD$4:$BN$12824,3,0)*BE1893</f>
        <v>20361.182821866692</v>
      </c>
      <c r="BP1893" s="866"/>
      <c r="BQ1893" s="866"/>
      <c r="BR1893" s="866">
        <f>VLOOKUP(BD1893,$BD$4:$BN$12824,6,0)*BE1893</f>
        <v>8674.5404776747891</v>
      </c>
      <c r="BS1893" s="866">
        <f>VLOOKUP(BD1893,$BD$4:$BN$12824,7,0)*BE1893</f>
        <v>1648.1817695642014</v>
      </c>
      <c r="BT1893" s="866"/>
      <c r="BU1893" s="866">
        <f>VLOOKUP(BD1893,$BD$4:$BN$12824,9,0)*BE1893</f>
        <v>63.956636460291584</v>
      </c>
      <c r="BV1893" s="867"/>
      <c r="BW1893" s="867">
        <f>VLOOKUP(BD1893,$BD$4:$BN$12824,11,0)*BE1893</f>
        <v>0</v>
      </c>
      <c r="BX1893" s="1146">
        <f t="shared" si="364"/>
        <v>30747.861705565974</v>
      </c>
      <c r="BY1893" s="867">
        <f t="shared" si="366"/>
        <v>457926.97167717729</v>
      </c>
      <c r="BZ1893" s="867">
        <f t="shared" si="365"/>
        <v>1831707.8867087092</v>
      </c>
      <c r="CA1893" s="867">
        <f>_xlfn.MAXIFS($BY$4:$BY$12824,$S$4:$S$12824,$S1893)</f>
        <v>607085.19567001448</v>
      </c>
      <c r="CB1893" s="1032"/>
      <c r="CF1893" s="946">
        <f t="shared" si="358"/>
        <v>1747968</v>
      </c>
    </row>
    <row r="1894" spans="2:84">
      <c r="B1894" s="839" t="s">
        <v>98</v>
      </c>
      <c r="C1894" s="839" t="s">
        <v>273</v>
      </c>
      <c r="D1894" s="839" t="s">
        <v>6289</v>
      </c>
      <c r="E1894" s="839" t="s">
        <v>6290</v>
      </c>
      <c r="F1894" s="841">
        <v>45841</v>
      </c>
      <c r="G1894" s="868" t="s">
        <v>273</v>
      </c>
      <c r="H1894" s="842" t="s">
        <v>134</v>
      </c>
      <c r="I1894" s="883"/>
      <c r="J1894" s="841"/>
      <c r="K1894" s="841"/>
      <c r="L1894" s="843" t="s">
        <v>106</v>
      </c>
      <c r="M1894" s="844" t="s">
        <v>275</v>
      </c>
      <c r="N1894" s="841"/>
      <c r="O1894" s="884" t="s">
        <v>150</v>
      </c>
      <c r="P1894" s="842" t="s">
        <v>124</v>
      </c>
      <c r="Q1894" s="843"/>
      <c r="R1894" s="845" t="str">
        <f t="shared" si="367"/>
        <v>16187.36</v>
      </c>
      <c r="S1894" s="1127" t="s">
        <v>3763</v>
      </c>
      <c r="T1894" s="885" t="s">
        <v>6376</v>
      </c>
      <c r="U1894" s="886">
        <v>10</v>
      </c>
      <c r="V1894" s="842" t="s">
        <v>3</v>
      </c>
      <c r="W1894" s="846" t="s">
        <v>6372</v>
      </c>
      <c r="X1894" s="847">
        <f t="shared" si="368"/>
        <v>287.5</v>
      </c>
      <c r="Y1894" s="853" t="s">
        <v>4582</v>
      </c>
      <c r="Z1894" s="902">
        <v>13.656000000000001</v>
      </c>
      <c r="AA1894" s="849"/>
      <c r="AB1894" s="849">
        <f t="shared" si="360"/>
        <v>136.56</v>
      </c>
      <c r="AC1894" s="850">
        <f t="shared" si="361"/>
        <v>136.56</v>
      </c>
      <c r="AD1894" s="851">
        <f t="shared" si="369"/>
        <v>32000</v>
      </c>
      <c r="AE1894" s="852">
        <v>29936.21</v>
      </c>
      <c r="AF1894" s="853">
        <v>0.1</v>
      </c>
      <c r="AG1894" s="854">
        <f t="shared" si="362"/>
        <v>414311.22490785772</v>
      </c>
      <c r="AH1894" s="853">
        <v>0.08</v>
      </c>
      <c r="AI1894" s="855">
        <f t="shared" si="363"/>
        <v>360192.00500062859</v>
      </c>
      <c r="AJ1894" s="856" t="s">
        <v>6292</v>
      </c>
      <c r="AK1894" s="857">
        <v>45911</v>
      </c>
      <c r="AL1894" s="843" t="s">
        <v>6293</v>
      </c>
      <c r="AM1894" s="843" t="s">
        <v>6294</v>
      </c>
      <c r="AN1894" s="844" t="s">
        <v>3951</v>
      </c>
      <c r="AO1894" s="844" t="s">
        <v>141</v>
      </c>
      <c r="AP1894" s="841"/>
      <c r="AQ1894" s="841">
        <v>45929</v>
      </c>
      <c r="AR1894" s="841">
        <v>45987</v>
      </c>
      <c r="AS1894" s="842" t="s">
        <v>1284</v>
      </c>
      <c r="AT1894" s="842" t="s">
        <v>1743</v>
      </c>
      <c r="AU1894" s="842" t="s">
        <v>6295</v>
      </c>
      <c r="AV1894" s="845" t="s">
        <v>6296</v>
      </c>
      <c r="AW1894" s="861">
        <v>45986</v>
      </c>
      <c r="AX1894" s="862">
        <v>45987</v>
      </c>
      <c r="AY1894" s="843"/>
      <c r="AZ1894" s="842">
        <v>94031000</v>
      </c>
      <c r="BA1894" s="842" t="s">
        <v>120</v>
      </c>
      <c r="BB1894" s="863" t="s">
        <v>121</v>
      </c>
      <c r="BC1894" s="864">
        <v>45990</v>
      </c>
      <c r="BD1894" s="860" t="s">
        <v>6297</v>
      </c>
      <c r="BE1894" s="865" cm="1">
        <f t="array" ref="BE1894">IF(BD1894="","",AC1894/SUMPRODUCT(--(BD1894=$BD$4:$BD$12824),$AC$4:$AC$12824))</f>
        <v>1.3201634079241132E-3</v>
      </c>
      <c r="BF1894" s="458"/>
      <c r="BG1894" s="458"/>
      <c r="BH1894" s="458"/>
      <c r="BI1894" s="458"/>
      <c r="BJ1894" s="458"/>
      <c r="BK1894" s="458"/>
      <c r="BL1894" s="458"/>
      <c r="BM1894" s="458"/>
      <c r="BN1894" s="458"/>
      <c r="BO1894" s="866">
        <f>VLOOKUP(BD1894,$BD$4:$BN$12824,3,0)*BE1894</f>
        <v>50902.957054666731</v>
      </c>
      <c r="BP1894" s="866"/>
      <c r="BQ1894" s="866"/>
      <c r="BR1894" s="866">
        <f>VLOOKUP(BD1894,$BD$4:$BN$12824,6,0)*BE1894</f>
        <v>21686.351194186973</v>
      </c>
      <c r="BS1894" s="866">
        <f>VLOOKUP(BD1894,$BD$4:$BN$12824,7,0)*BE1894</f>
        <v>4120.4544239105035</v>
      </c>
      <c r="BT1894" s="866"/>
      <c r="BU1894" s="866">
        <f>VLOOKUP(BD1894,$BD$4:$BN$12824,9,0)*BE1894</f>
        <v>159.89159115072897</v>
      </c>
      <c r="BV1894" s="867"/>
      <c r="BW1894" s="867">
        <f>VLOOKUP(BD1894,$BD$4:$BN$12824,11,0)*BE1894</f>
        <v>0</v>
      </c>
      <c r="BX1894" s="1146">
        <f t="shared" si="364"/>
        <v>76869.654263914941</v>
      </c>
      <c r="BY1894" s="867">
        <f t="shared" si="366"/>
        <v>457926.97167717724</v>
      </c>
      <c r="BZ1894" s="867">
        <f t="shared" si="365"/>
        <v>4579269.7167717721</v>
      </c>
      <c r="CA1894" s="867">
        <f>_xlfn.MAXIFS($BY$4:$BY$12824,$S$4:$S$12824,$S1894)</f>
        <v>582740.59484189982</v>
      </c>
      <c r="CB1894" s="1032"/>
      <c r="CF1894" s="946">
        <f t="shared" si="358"/>
        <v>4369920</v>
      </c>
    </row>
    <row r="1895" spans="2:84">
      <c r="B1895" s="839" t="s">
        <v>98</v>
      </c>
      <c r="C1895" s="839" t="s">
        <v>273</v>
      </c>
      <c r="D1895" s="839" t="s">
        <v>6289</v>
      </c>
      <c r="E1895" s="839" t="s">
        <v>6290</v>
      </c>
      <c r="F1895" s="841">
        <v>45841</v>
      </c>
      <c r="G1895" s="868" t="s">
        <v>273</v>
      </c>
      <c r="H1895" s="842" t="s">
        <v>134</v>
      </c>
      <c r="I1895" s="883"/>
      <c r="J1895" s="841"/>
      <c r="K1895" s="841"/>
      <c r="L1895" s="843" t="s">
        <v>106</v>
      </c>
      <c r="M1895" s="844" t="s">
        <v>275</v>
      </c>
      <c r="N1895" s="841"/>
      <c r="O1895" s="884" t="s">
        <v>150</v>
      </c>
      <c r="P1895" s="842" t="s">
        <v>124</v>
      </c>
      <c r="Q1895" s="843"/>
      <c r="R1895" s="845" t="str">
        <f t="shared" si="367"/>
        <v>14263.22</v>
      </c>
      <c r="S1895" s="1127" t="s">
        <v>1122</v>
      </c>
      <c r="T1895" s="885" t="s">
        <v>1123</v>
      </c>
      <c r="U1895" s="886">
        <v>10</v>
      </c>
      <c r="V1895" s="842" t="s">
        <v>3</v>
      </c>
      <c r="W1895" s="846" t="s">
        <v>4546</v>
      </c>
      <c r="X1895" s="847">
        <f t="shared" si="368"/>
        <v>837.6</v>
      </c>
      <c r="Y1895" s="853" t="s">
        <v>4582</v>
      </c>
      <c r="Z1895" s="902">
        <v>39.786000000000001</v>
      </c>
      <c r="AA1895" s="849"/>
      <c r="AB1895" s="849">
        <f t="shared" si="360"/>
        <v>397.86</v>
      </c>
      <c r="AC1895" s="850">
        <f t="shared" si="361"/>
        <v>397.86</v>
      </c>
      <c r="AD1895" s="851">
        <f t="shared" si="369"/>
        <v>32000</v>
      </c>
      <c r="AE1895" s="852">
        <v>29936.21</v>
      </c>
      <c r="AF1895" s="853">
        <v>0.1</v>
      </c>
      <c r="AG1895" s="854">
        <f t="shared" si="362"/>
        <v>1207072.8173831305</v>
      </c>
      <c r="AH1895" s="853">
        <v>0.08</v>
      </c>
      <c r="AI1895" s="855">
        <f t="shared" si="363"/>
        <v>1049399.4662386505</v>
      </c>
      <c r="AJ1895" s="856" t="s">
        <v>6292</v>
      </c>
      <c r="AK1895" s="857">
        <v>45911</v>
      </c>
      <c r="AL1895" s="843" t="s">
        <v>6293</v>
      </c>
      <c r="AM1895" s="843" t="s">
        <v>6294</v>
      </c>
      <c r="AN1895" s="844" t="s">
        <v>3951</v>
      </c>
      <c r="AO1895" s="844" t="s">
        <v>141</v>
      </c>
      <c r="AP1895" s="841"/>
      <c r="AQ1895" s="841">
        <v>45929</v>
      </c>
      <c r="AR1895" s="841">
        <v>45987</v>
      </c>
      <c r="AS1895" s="842" t="s">
        <v>1284</v>
      </c>
      <c r="AT1895" s="842" t="s">
        <v>1743</v>
      </c>
      <c r="AU1895" s="842" t="s">
        <v>6295</v>
      </c>
      <c r="AV1895" s="845" t="s">
        <v>6296</v>
      </c>
      <c r="AW1895" s="861">
        <v>45986</v>
      </c>
      <c r="AX1895" s="862">
        <v>45987</v>
      </c>
      <c r="AY1895" s="843"/>
      <c r="AZ1895" s="842">
        <v>94031000</v>
      </c>
      <c r="BA1895" s="842" t="s">
        <v>120</v>
      </c>
      <c r="BB1895" s="863" t="s">
        <v>121</v>
      </c>
      <c r="BC1895" s="864">
        <v>45990</v>
      </c>
      <c r="BD1895" s="860" t="s">
        <v>6297</v>
      </c>
      <c r="BE1895" s="865" cm="1">
        <f t="array" ref="BE1895">IF(BD1895="","",AC1895/SUMPRODUCT(--(BD1895=$BD$4:$BD$12824),$AC$4:$AC$12824))</f>
        <v>3.8462230043694178E-3</v>
      </c>
      <c r="BF1895" s="458"/>
      <c r="BG1895" s="458"/>
      <c r="BH1895" s="458"/>
      <c r="BI1895" s="458"/>
      <c r="BJ1895" s="458"/>
      <c r="BK1895" s="458"/>
      <c r="BL1895" s="458"/>
      <c r="BM1895" s="458"/>
      <c r="BN1895" s="458"/>
      <c r="BO1895" s="866">
        <f>VLOOKUP(BD1895,$BD$4:$BN$12824,3,0)*BE1895</f>
        <v>148302.94737675533</v>
      </c>
      <c r="BP1895" s="866"/>
      <c r="BQ1895" s="866"/>
      <c r="BR1895" s="866">
        <f>VLOOKUP(BD1895,$BD$4:$BN$12824,6,0)*BE1895</f>
        <v>63181.983641763545</v>
      </c>
      <c r="BS1895" s="866">
        <f>VLOOKUP(BD1895,$BD$4:$BN$12824,7,0)*BE1895</f>
        <v>12004.715854547694</v>
      </c>
      <c r="BT1895" s="866"/>
      <c r="BU1895" s="866">
        <f>VLOOKUP(BD1895,$BD$4:$BN$12824,9,0)*BE1895</f>
        <v>465.83529917420202</v>
      </c>
      <c r="BV1895" s="867"/>
      <c r="BW1895" s="867">
        <f>VLOOKUP(BD1895,$BD$4:$BN$12824,11,0)*BE1895</f>
        <v>0</v>
      </c>
      <c r="BX1895" s="1146">
        <f t="shared" si="364"/>
        <v>223955.48217224077</v>
      </c>
      <c r="BY1895" s="867">
        <f t="shared" si="366"/>
        <v>1334144.8810155373</v>
      </c>
      <c r="BZ1895" s="867">
        <f t="shared" si="365"/>
        <v>13341448.810155373</v>
      </c>
      <c r="CA1895" s="867">
        <f>_xlfn.MAXIFS($BY$4:$BY$12824,$S$4:$S$12824,$S1895)</f>
        <v>1525883.5676973194</v>
      </c>
      <c r="CB1895" s="1032"/>
      <c r="CF1895" s="946">
        <f t="shared" si="358"/>
        <v>12731520</v>
      </c>
    </row>
    <row r="1896" spans="2:84">
      <c r="B1896" s="839" t="s">
        <v>98</v>
      </c>
      <c r="C1896" s="839" t="s">
        <v>273</v>
      </c>
      <c r="D1896" s="839" t="s">
        <v>6289</v>
      </c>
      <c r="E1896" s="839" t="s">
        <v>6290</v>
      </c>
      <c r="F1896" s="841">
        <v>45841</v>
      </c>
      <c r="G1896" s="868" t="s">
        <v>273</v>
      </c>
      <c r="H1896" s="842" t="s">
        <v>134</v>
      </c>
      <c r="I1896" s="883"/>
      <c r="J1896" s="841"/>
      <c r="K1896" s="841"/>
      <c r="L1896" s="843" t="s">
        <v>106</v>
      </c>
      <c r="M1896" s="844" t="s">
        <v>275</v>
      </c>
      <c r="N1896" s="841"/>
      <c r="O1896" s="884" t="s">
        <v>150</v>
      </c>
      <c r="P1896" s="842" t="s">
        <v>124</v>
      </c>
      <c r="Q1896" s="843"/>
      <c r="R1896" s="845" t="str">
        <f t="shared" si="367"/>
        <v>14263.23</v>
      </c>
      <c r="S1896" s="1127" t="s">
        <v>6377</v>
      </c>
      <c r="T1896" s="885" t="s">
        <v>6378</v>
      </c>
      <c r="U1896" s="886">
        <v>10</v>
      </c>
      <c r="V1896" s="842" t="s">
        <v>3</v>
      </c>
      <c r="W1896" s="846" t="s">
        <v>4546</v>
      </c>
      <c r="X1896" s="847">
        <f t="shared" si="368"/>
        <v>837.6</v>
      </c>
      <c r="Y1896" s="853" t="s">
        <v>4582</v>
      </c>
      <c r="Z1896" s="902">
        <v>39.786000000000001</v>
      </c>
      <c r="AA1896" s="849"/>
      <c r="AB1896" s="849">
        <f t="shared" si="360"/>
        <v>397.86</v>
      </c>
      <c r="AC1896" s="850">
        <f t="shared" si="361"/>
        <v>397.86</v>
      </c>
      <c r="AD1896" s="851">
        <f t="shared" si="369"/>
        <v>32000</v>
      </c>
      <c r="AE1896" s="852">
        <v>29936.21</v>
      </c>
      <c r="AF1896" s="853">
        <v>0.1</v>
      </c>
      <c r="AG1896" s="854">
        <f t="shared" si="362"/>
        <v>1207072.8173831305</v>
      </c>
      <c r="AH1896" s="853">
        <v>0.08</v>
      </c>
      <c r="AI1896" s="855">
        <f t="shared" si="363"/>
        <v>1049399.4662386505</v>
      </c>
      <c r="AJ1896" s="856" t="s">
        <v>6292</v>
      </c>
      <c r="AK1896" s="857">
        <v>45911</v>
      </c>
      <c r="AL1896" s="843" t="s">
        <v>6293</v>
      </c>
      <c r="AM1896" s="843" t="s">
        <v>6294</v>
      </c>
      <c r="AN1896" s="844" t="s">
        <v>3951</v>
      </c>
      <c r="AO1896" s="844" t="s">
        <v>141</v>
      </c>
      <c r="AP1896" s="841"/>
      <c r="AQ1896" s="841">
        <v>45929</v>
      </c>
      <c r="AR1896" s="841">
        <v>45987</v>
      </c>
      <c r="AS1896" s="842" t="s">
        <v>1284</v>
      </c>
      <c r="AT1896" s="842" t="s">
        <v>1743</v>
      </c>
      <c r="AU1896" s="842" t="s">
        <v>6295</v>
      </c>
      <c r="AV1896" s="845" t="s">
        <v>6296</v>
      </c>
      <c r="AW1896" s="861">
        <v>45986</v>
      </c>
      <c r="AX1896" s="862">
        <v>45987</v>
      </c>
      <c r="AY1896" s="843"/>
      <c r="AZ1896" s="842">
        <v>94031000</v>
      </c>
      <c r="BA1896" s="842" t="s">
        <v>120</v>
      </c>
      <c r="BB1896" s="863" t="s">
        <v>121</v>
      </c>
      <c r="BC1896" s="864">
        <v>45990</v>
      </c>
      <c r="BD1896" s="860" t="s">
        <v>6297</v>
      </c>
      <c r="BE1896" s="865" cm="1">
        <f t="array" ref="BE1896">IF(BD1896="","",AC1896/SUMPRODUCT(--(BD1896=$BD$4:$BD$12824),$AC$4:$AC$12824))</f>
        <v>3.8462230043694178E-3</v>
      </c>
      <c r="BF1896" s="458"/>
      <c r="BG1896" s="458"/>
      <c r="BH1896" s="458"/>
      <c r="BI1896" s="458"/>
      <c r="BJ1896" s="458"/>
      <c r="BK1896" s="458"/>
      <c r="BL1896" s="458"/>
      <c r="BM1896" s="458"/>
      <c r="BN1896" s="458"/>
      <c r="BO1896" s="866">
        <f>VLOOKUP(BD1896,$BD$4:$BN$12824,3,0)*BE1896</f>
        <v>148302.94737675533</v>
      </c>
      <c r="BP1896" s="866"/>
      <c r="BQ1896" s="866"/>
      <c r="BR1896" s="866">
        <f>VLOOKUP(BD1896,$BD$4:$BN$12824,6,0)*BE1896</f>
        <v>63181.983641763545</v>
      </c>
      <c r="BS1896" s="866">
        <f>VLOOKUP(BD1896,$BD$4:$BN$12824,7,0)*BE1896</f>
        <v>12004.715854547694</v>
      </c>
      <c r="BT1896" s="866"/>
      <c r="BU1896" s="866">
        <f>VLOOKUP(BD1896,$BD$4:$BN$12824,9,0)*BE1896</f>
        <v>465.83529917420202</v>
      </c>
      <c r="BV1896" s="867"/>
      <c r="BW1896" s="867">
        <f>VLOOKUP(BD1896,$BD$4:$BN$12824,11,0)*BE1896</f>
        <v>0</v>
      </c>
      <c r="BX1896" s="1146">
        <f t="shared" si="364"/>
        <v>223955.48217224077</v>
      </c>
      <c r="BY1896" s="867">
        <f t="shared" si="366"/>
        <v>1334144.8810155373</v>
      </c>
      <c r="BZ1896" s="867">
        <f t="shared" si="365"/>
        <v>13341448.810155373</v>
      </c>
      <c r="CA1896" s="867">
        <f>_xlfn.MAXIFS($BY$4:$BY$12824,$S$4:$S$12824,$S1896)</f>
        <v>1334144.8810155373</v>
      </c>
      <c r="CB1896" s="1032"/>
      <c r="CF1896" s="946">
        <f t="shared" si="358"/>
        <v>12731520</v>
      </c>
    </row>
    <row r="1897" spans="2:84">
      <c r="B1897" s="839" t="s">
        <v>98</v>
      </c>
      <c r="C1897" s="839" t="s">
        <v>273</v>
      </c>
      <c r="D1897" s="839" t="s">
        <v>6289</v>
      </c>
      <c r="E1897" s="839" t="s">
        <v>6290</v>
      </c>
      <c r="F1897" s="841">
        <v>45841</v>
      </c>
      <c r="G1897" s="868" t="s">
        <v>273</v>
      </c>
      <c r="H1897" s="842" t="s">
        <v>134</v>
      </c>
      <c r="I1897" s="883"/>
      <c r="J1897" s="841"/>
      <c r="K1897" s="841"/>
      <c r="L1897" s="843" t="s">
        <v>106</v>
      </c>
      <c r="M1897" s="844" t="s">
        <v>275</v>
      </c>
      <c r="N1897" s="841"/>
      <c r="O1897" s="884" t="s">
        <v>150</v>
      </c>
      <c r="P1897" s="842" t="s">
        <v>124</v>
      </c>
      <c r="Q1897" s="843"/>
      <c r="R1897" s="845" t="str">
        <f t="shared" si="367"/>
        <v>14263.24</v>
      </c>
      <c r="S1897" s="1127" t="s">
        <v>3965</v>
      </c>
      <c r="T1897" s="885" t="s">
        <v>3966</v>
      </c>
      <c r="U1897" s="886">
        <v>50</v>
      </c>
      <c r="V1897" s="842" t="s">
        <v>3</v>
      </c>
      <c r="W1897" s="846" t="s">
        <v>4546</v>
      </c>
      <c r="X1897" s="847">
        <f t="shared" si="368"/>
        <v>4188</v>
      </c>
      <c r="Y1897" s="853" t="s">
        <v>4582</v>
      </c>
      <c r="Z1897" s="902">
        <v>39.786000000000001</v>
      </c>
      <c r="AA1897" s="849"/>
      <c r="AB1897" s="849">
        <f t="shared" si="360"/>
        <v>1989.3000000000002</v>
      </c>
      <c r="AC1897" s="850">
        <f t="shared" si="361"/>
        <v>1989.3000000000002</v>
      </c>
      <c r="AD1897" s="851">
        <f t="shared" si="369"/>
        <v>32000</v>
      </c>
      <c r="AE1897" s="852">
        <v>29936.21</v>
      </c>
      <c r="AF1897" s="853">
        <v>0.1</v>
      </c>
      <c r="AG1897" s="854">
        <f t="shared" si="362"/>
        <v>6035364.0869156523</v>
      </c>
      <c r="AH1897" s="853">
        <v>0.08</v>
      </c>
      <c r="AI1897" s="855">
        <f t="shared" si="363"/>
        <v>5246997.3311932525</v>
      </c>
      <c r="AJ1897" s="856" t="s">
        <v>6292</v>
      </c>
      <c r="AK1897" s="857">
        <v>45911</v>
      </c>
      <c r="AL1897" s="843" t="s">
        <v>6293</v>
      </c>
      <c r="AM1897" s="843" t="s">
        <v>6294</v>
      </c>
      <c r="AN1897" s="844" t="s">
        <v>3951</v>
      </c>
      <c r="AO1897" s="844" t="s">
        <v>141</v>
      </c>
      <c r="AP1897" s="841"/>
      <c r="AQ1897" s="841">
        <v>45929</v>
      </c>
      <c r="AR1897" s="841">
        <v>45987</v>
      </c>
      <c r="AS1897" s="842" t="s">
        <v>1284</v>
      </c>
      <c r="AT1897" s="842" t="s">
        <v>1743</v>
      </c>
      <c r="AU1897" s="842" t="s">
        <v>6295</v>
      </c>
      <c r="AV1897" s="845" t="s">
        <v>6296</v>
      </c>
      <c r="AW1897" s="861">
        <v>45986</v>
      </c>
      <c r="AX1897" s="862">
        <v>45987</v>
      </c>
      <c r="AY1897" s="843"/>
      <c r="AZ1897" s="842">
        <v>94031000</v>
      </c>
      <c r="BA1897" s="842" t="s">
        <v>120</v>
      </c>
      <c r="BB1897" s="863" t="s">
        <v>121</v>
      </c>
      <c r="BC1897" s="864">
        <v>45990</v>
      </c>
      <c r="BD1897" s="860" t="s">
        <v>6297</v>
      </c>
      <c r="BE1897" s="865" cm="1">
        <f t="array" ref="BE1897">IF(BD1897="","",AC1897/SUMPRODUCT(--(BD1897=$BD$4:$BD$12824),$AC$4:$AC$12824))</f>
        <v>1.923111502184709E-2</v>
      </c>
      <c r="BF1897" s="458"/>
      <c r="BG1897" s="458"/>
      <c r="BH1897" s="458"/>
      <c r="BI1897" s="458"/>
      <c r="BJ1897" s="458"/>
      <c r="BK1897" s="458"/>
      <c r="BL1897" s="458"/>
      <c r="BM1897" s="458"/>
      <c r="BN1897" s="458"/>
      <c r="BO1897" s="866">
        <f>VLOOKUP(BD1897,$BD$4:$BN$12824,3,0)*BE1897</f>
        <v>741514.73688377673</v>
      </c>
      <c r="BP1897" s="866"/>
      <c r="BQ1897" s="866"/>
      <c r="BR1897" s="866">
        <f>VLOOKUP(BD1897,$BD$4:$BN$12824,6,0)*BE1897</f>
        <v>315909.91820881778</v>
      </c>
      <c r="BS1897" s="866">
        <f>VLOOKUP(BD1897,$BD$4:$BN$12824,7,0)*BE1897</f>
        <v>60023.579272738476</v>
      </c>
      <c r="BT1897" s="866"/>
      <c r="BU1897" s="866">
        <f>VLOOKUP(BD1897,$BD$4:$BN$12824,9,0)*BE1897</f>
        <v>2329.1764958710105</v>
      </c>
      <c r="BV1897" s="867"/>
      <c r="BW1897" s="867">
        <f>VLOOKUP(BD1897,$BD$4:$BN$12824,11,0)*BE1897</f>
        <v>0</v>
      </c>
      <c r="BX1897" s="1146">
        <f t="shared" si="364"/>
        <v>1119777.4108612039</v>
      </c>
      <c r="BY1897" s="867">
        <f t="shared" si="366"/>
        <v>1334144.8810155371</v>
      </c>
      <c r="BZ1897" s="867">
        <f t="shared" si="365"/>
        <v>66707244.050776854</v>
      </c>
      <c r="CA1897" s="867">
        <f>_xlfn.MAXIFS($BY$4:$BY$12824,$S$4:$S$12824,$S1897)</f>
        <v>1334144.8810155371</v>
      </c>
      <c r="CB1897" s="1032"/>
      <c r="CF1897" s="946">
        <f t="shared" ref="CF1897:CF1960" si="370">AC1897*AD1897</f>
        <v>63657600.000000007</v>
      </c>
    </row>
    <row r="1898" spans="2:84">
      <c r="B1898" s="839" t="s">
        <v>98</v>
      </c>
      <c r="C1898" s="839" t="s">
        <v>273</v>
      </c>
      <c r="D1898" s="839" t="s">
        <v>6289</v>
      </c>
      <c r="E1898" s="839" t="s">
        <v>6290</v>
      </c>
      <c r="F1898" s="841">
        <v>45841</v>
      </c>
      <c r="G1898" s="868" t="s">
        <v>273</v>
      </c>
      <c r="H1898" s="842" t="s">
        <v>134</v>
      </c>
      <c r="I1898" s="883"/>
      <c r="J1898" s="841"/>
      <c r="K1898" s="841"/>
      <c r="L1898" s="843" t="s">
        <v>106</v>
      </c>
      <c r="M1898" s="844" t="s">
        <v>275</v>
      </c>
      <c r="N1898" s="841"/>
      <c r="O1898" s="884" t="s">
        <v>150</v>
      </c>
      <c r="P1898" s="842" t="s">
        <v>124</v>
      </c>
      <c r="Q1898" s="843"/>
      <c r="R1898" s="845" t="str">
        <f t="shared" si="367"/>
        <v>14263.25</v>
      </c>
      <c r="S1898" s="1127" t="s">
        <v>6379</v>
      </c>
      <c r="T1898" s="885" t="s">
        <v>6380</v>
      </c>
      <c r="U1898" s="886">
        <v>5</v>
      </c>
      <c r="V1898" s="842" t="s">
        <v>3</v>
      </c>
      <c r="W1898" s="846" t="s">
        <v>4546</v>
      </c>
      <c r="X1898" s="847">
        <f t="shared" si="368"/>
        <v>418.8</v>
      </c>
      <c r="Y1898" s="853" t="s">
        <v>4582</v>
      </c>
      <c r="Z1898" s="902">
        <v>39.786000000000001</v>
      </c>
      <c r="AA1898" s="849"/>
      <c r="AB1898" s="849">
        <f t="shared" si="360"/>
        <v>198.93</v>
      </c>
      <c r="AC1898" s="850">
        <f t="shared" si="361"/>
        <v>198.93</v>
      </c>
      <c r="AD1898" s="851">
        <f t="shared" si="369"/>
        <v>32000</v>
      </c>
      <c r="AE1898" s="852">
        <v>29936.21</v>
      </c>
      <c r="AF1898" s="853">
        <v>0.1</v>
      </c>
      <c r="AG1898" s="854">
        <f t="shared" si="362"/>
        <v>603536.40869156527</v>
      </c>
      <c r="AH1898" s="853">
        <v>0.08</v>
      </c>
      <c r="AI1898" s="855">
        <f t="shared" si="363"/>
        <v>524699.73311932525</v>
      </c>
      <c r="AJ1898" s="856" t="s">
        <v>6292</v>
      </c>
      <c r="AK1898" s="857">
        <v>45911</v>
      </c>
      <c r="AL1898" s="843" t="s">
        <v>6293</v>
      </c>
      <c r="AM1898" s="843" t="s">
        <v>6294</v>
      </c>
      <c r="AN1898" s="844" t="s">
        <v>3951</v>
      </c>
      <c r="AO1898" s="844" t="s">
        <v>141</v>
      </c>
      <c r="AP1898" s="841"/>
      <c r="AQ1898" s="841">
        <v>45929</v>
      </c>
      <c r="AR1898" s="841">
        <v>45987</v>
      </c>
      <c r="AS1898" s="842" t="s">
        <v>1284</v>
      </c>
      <c r="AT1898" s="842" t="s">
        <v>1743</v>
      </c>
      <c r="AU1898" s="842" t="s">
        <v>6295</v>
      </c>
      <c r="AV1898" s="845" t="s">
        <v>6296</v>
      </c>
      <c r="AW1898" s="861">
        <v>45986</v>
      </c>
      <c r="AX1898" s="862">
        <v>45987</v>
      </c>
      <c r="AY1898" s="843"/>
      <c r="AZ1898" s="842">
        <v>94031000</v>
      </c>
      <c r="BA1898" s="842" t="s">
        <v>120</v>
      </c>
      <c r="BB1898" s="863" t="s">
        <v>121</v>
      </c>
      <c r="BC1898" s="864">
        <v>45990</v>
      </c>
      <c r="BD1898" s="860" t="s">
        <v>6297</v>
      </c>
      <c r="BE1898" s="865" cm="1">
        <f t="array" ref="BE1898">IF(BD1898="","",AC1898/SUMPRODUCT(--(BD1898=$BD$4:$BD$12824),$AC$4:$AC$12824))</f>
        <v>1.9231115021847089E-3</v>
      </c>
      <c r="BF1898" s="458"/>
      <c r="BG1898" s="458"/>
      <c r="BH1898" s="458"/>
      <c r="BI1898" s="458"/>
      <c r="BJ1898" s="458"/>
      <c r="BK1898" s="458"/>
      <c r="BL1898" s="458"/>
      <c r="BM1898" s="458"/>
      <c r="BN1898" s="458"/>
      <c r="BO1898" s="866">
        <f>VLOOKUP(BD1898,$BD$4:$BN$12824,3,0)*BE1898</f>
        <v>74151.473688377664</v>
      </c>
      <c r="BP1898" s="866"/>
      <c r="BQ1898" s="866"/>
      <c r="BR1898" s="866">
        <f>VLOOKUP(BD1898,$BD$4:$BN$12824,6,0)*BE1898</f>
        <v>31590.991820881773</v>
      </c>
      <c r="BS1898" s="866">
        <f>VLOOKUP(BD1898,$BD$4:$BN$12824,7,0)*BE1898</f>
        <v>6002.3579272738471</v>
      </c>
      <c r="BT1898" s="866"/>
      <c r="BU1898" s="866">
        <f>VLOOKUP(BD1898,$BD$4:$BN$12824,9,0)*BE1898</f>
        <v>232.91764958710101</v>
      </c>
      <c r="BV1898" s="867"/>
      <c r="BW1898" s="867">
        <f>VLOOKUP(BD1898,$BD$4:$BN$12824,11,0)*BE1898</f>
        <v>0</v>
      </c>
      <c r="BX1898" s="1146">
        <f t="shared" si="364"/>
        <v>111977.74108612038</v>
      </c>
      <c r="BY1898" s="867">
        <f t="shared" si="366"/>
        <v>1334144.8810155373</v>
      </c>
      <c r="BZ1898" s="867">
        <f t="shared" si="365"/>
        <v>6670724.4050776865</v>
      </c>
      <c r="CA1898" s="867">
        <f>_xlfn.MAXIFS($BY$4:$BY$12824,$S$4:$S$12824,$S1898)</f>
        <v>1334144.8810155373</v>
      </c>
      <c r="CB1898" s="1032"/>
      <c r="CF1898" s="946">
        <f t="shared" si="370"/>
        <v>6365760</v>
      </c>
    </row>
    <row r="1899" spans="2:84">
      <c r="B1899" s="839" t="s">
        <v>98</v>
      </c>
      <c r="C1899" s="839" t="s">
        <v>273</v>
      </c>
      <c r="D1899" s="839" t="s">
        <v>6289</v>
      </c>
      <c r="E1899" s="839" t="s">
        <v>6290</v>
      </c>
      <c r="F1899" s="841">
        <v>45841</v>
      </c>
      <c r="G1899" s="868" t="s">
        <v>273</v>
      </c>
      <c r="H1899" s="842" t="s">
        <v>134</v>
      </c>
      <c r="I1899" s="883"/>
      <c r="J1899" s="841"/>
      <c r="K1899" s="841"/>
      <c r="L1899" s="843" t="s">
        <v>106</v>
      </c>
      <c r="M1899" s="844" t="s">
        <v>275</v>
      </c>
      <c r="N1899" s="841"/>
      <c r="O1899" s="884" t="s">
        <v>150</v>
      </c>
      <c r="P1899" s="842" t="s">
        <v>124</v>
      </c>
      <c r="Q1899" s="843"/>
      <c r="R1899" s="845" t="str">
        <f t="shared" si="367"/>
        <v>14263.30</v>
      </c>
      <c r="S1899" s="1127" t="s">
        <v>6381</v>
      </c>
      <c r="T1899" s="885" t="s">
        <v>6382</v>
      </c>
      <c r="U1899" s="886">
        <v>16</v>
      </c>
      <c r="V1899" s="842" t="s">
        <v>3</v>
      </c>
      <c r="W1899" s="846" t="s">
        <v>4546</v>
      </c>
      <c r="X1899" s="847">
        <f t="shared" si="368"/>
        <v>1340.16</v>
      </c>
      <c r="Y1899" s="853" t="s">
        <v>4582</v>
      </c>
      <c r="Z1899" s="902">
        <v>39.786000000000001</v>
      </c>
      <c r="AA1899" s="849"/>
      <c r="AB1899" s="849">
        <f t="shared" si="360"/>
        <v>636.57600000000002</v>
      </c>
      <c r="AC1899" s="850">
        <f t="shared" si="361"/>
        <v>636.57600000000002</v>
      </c>
      <c r="AD1899" s="851">
        <f t="shared" si="369"/>
        <v>32000</v>
      </c>
      <c r="AE1899" s="852">
        <v>29936.21</v>
      </c>
      <c r="AF1899" s="853">
        <v>0.1</v>
      </c>
      <c r="AG1899" s="854">
        <f t="shared" si="362"/>
        <v>1931316.5078130085</v>
      </c>
      <c r="AH1899" s="853">
        <v>0.08</v>
      </c>
      <c r="AI1899" s="855">
        <f t="shared" si="363"/>
        <v>1679039.1459818406</v>
      </c>
      <c r="AJ1899" s="856" t="s">
        <v>6292</v>
      </c>
      <c r="AK1899" s="857">
        <v>45911</v>
      </c>
      <c r="AL1899" s="843" t="s">
        <v>6293</v>
      </c>
      <c r="AM1899" s="843" t="s">
        <v>6294</v>
      </c>
      <c r="AN1899" s="844" t="s">
        <v>3951</v>
      </c>
      <c r="AO1899" s="844" t="s">
        <v>141</v>
      </c>
      <c r="AP1899" s="841"/>
      <c r="AQ1899" s="841">
        <v>45929</v>
      </c>
      <c r="AR1899" s="841">
        <v>45987</v>
      </c>
      <c r="AS1899" s="842" t="s">
        <v>1284</v>
      </c>
      <c r="AT1899" s="842" t="s">
        <v>1743</v>
      </c>
      <c r="AU1899" s="842" t="s">
        <v>6295</v>
      </c>
      <c r="AV1899" s="845" t="s">
        <v>6296</v>
      </c>
      <c r="AW1899" s="861">
        <v>45986</v>
      </c>
      <c r="AX1899" s="862">
        <v>45987</v>
      </c>
      <c r="AY1899" s="843"/>
      <c r="AZ1899" s="842">
        <v>94031000</v>
      </c>
      <c r="BA1899" s="842" t="s">
        <v>120</v>
      </c>
      <c r="BB1899" s="863" t="s">
        <v>121</v>
      </c>
      <c r="BC1899" s="864">
        <v>45990</v>
      </c>
      <c r="BD1899" s="860" t="s">
        <v>6297</v>
      </c>
      <c r="BE1899" s="865" cm="1">
        <f t="array" ref="BE1899">IF(BD1899="","",AC1899/SUMPRODUCT(--(BD1899=$BD$4:$BD$12824),$AC$4:$AC$12824))</f>
        <v>6.1539568069910681E-3</v>
      </c>
      <c r="BF1899" s="458"/>
      <c r="BG1899" s="458"/>
      <c r="BH1899" s="458"/>
      <c r="BI1899" s="458"/>
      <c r="BJ1899" s="458"/>
      <c r="BK1899" s="458"/>
      <c r="BL1899" s="458"/>
      <c r="BM1899" s="458"/>
      <c r="BN1899" s="458"/>
      <c r="BO1899" s="866">
        <f>VLOOKUP(BD1899,$BD$4:$BN$12824,3,0)*BE1899</f>
        <v>237284.71580280853</v>
      </c>
      <c r="BP1899" s="866"/>
      <c r="BQ1899" s="866"/>
      <c r="BR1899" s="866">
        <f>VLOOKUP(BD1899,$BD$4:$BN$12824,6,0)*BE1899</f>
        <v>101091.17382682167</v>
      </c>
      <c r="BS1899" s="866">
        <f>VLOOKUP(BD1899,$BD$4:$BN$12824,7,0)*BE1899</f>
        <v>19207.545367276311</v>
      </c>
      <c r="BT1899" s="866"/>
      <c r="BU1899" s="866">
        <f>VLOOKUP(BD1899,$BD$4:$BN$12824,9,0)*BE1899</f>
        <v>745.33647867872321</v>
      </c>
      <c r="BV1899" s="867"/>
      <c r="BW1899" s="867">
        <f>VLOOKUP(BD1899,$BD$4:$BN$12824,11,0)*BE1899</f>
        <v>0</v>
      </c>
      <c r="BX1899" s="1146">
        <f t="shared" si="364"/>
        <v>358328.77147558524</v>
      </c>
      <c r="BY1899" s="867">
        <f t="shared" si="366"/>
        <v>1334144.8810155371</v>
      </c>
      <c r="BZ1899" s="867">
        <f t="shared" si="365"/>
        <v>21346318.096248593</v>
      </c>
      <c r="CA1899" s="867">
        <f>_xlfn.MAXIFS($BY$4:$BY$12824,$S$4:$S$12824,$S1899)</f>
        <v>1334144.8810155371</v>
      </c>
      <c r="CB1899" s="1032"/>
      <c r="CF1899" s="946">
        <f t="shared" si="370"/>
        <v>20370432</v>
      </c>
    </row>
    <row r="1900" spans="2:84">
      <c r="B1900" s="839" t="s">
        <v>98</v>
      </c>
      <c r="C1900" s="839" t="s">
        <v>273</v>
      </c>
      <c r="D1900" s="839" t="s">
        <v>6289</v>
      </c>
      <c r="E1900" s="839" t="s">
        <v>6290</v>
      </c>
      <c r="F1900" s="841">
        <v>45841</v>
      </c>
      <c r="G1900" s="868" t="s">
        <v>273</v>
      </c>
      <c r="H1900" s="842" t="s">
        <v>134</v>
      </c>
      <c r="I1900" s="883"/>
      <c r="J1900" s="841"/>
      <c r="K1900" s="841"/>
      <c r="L1900" s="843" t="s">
        <v>106</v>
      </c>
      <c r="M1900" s="844" t="s">
        <v>275</v>
      </c>
      <c r="N1900" s="841"/>
      <c r="O1900" s="884" t="s">
        <v>150</v>
      </c>
      <c r="P1900" s="842" t="s">
        <v>124</v>
      </c>
      <c r="Q1900" s="843"/>
      <c r="R1900" s="845" t="str">
        <f t="shared" si="367"/>
        <v>14263.31</v>
      </c>
      <c r="S1900" s="1127" t="s">
        <v>3971</v>
      </c>
      <c r="T1900" s="885" t="s">
        <v>3972</v>
      </c>
      <c r="U1900" s="886">
        <v>50</v>
      </c>
      <c r="V1900" s="842" t="s">
        <v>3</v>
      </c>
      <c r="W1900" s="846" t="s">
        <v>4546</v>
      </c>
      <c r="X1900" s="847">
        <f t="shared" si="368"/>
        <v>4188</v>
      </c>
      <c r="Y1900" s="853" t="s">
        <v>4582</v>
      </c>
      <c r="Z1900" s="902">
        <v>39.786000000000001</v>
      </c>
      <c r="AA1900" s="849"/>
      <c r="AB1900" s="849">
        <f t="shared" si="360"/>
        <v>1989.3000000000002</v>
      </c>
      <c r="AC1900" s="850">
        <f t="shared" si="361"/>
        <v>1989.3000000000002</v>
      </c>
      <c r="AD1900" s="851">
        <f t="shared" si="369"/>
        <v>32000</v>
      </c>
      <c r="AE1900" s="852">
        <v>29936.21</v>
      </c>
      <c r="AF1900" s="853">
        <v>0.1</v>
      </c>
      <c r="AG1900" s="854">
        <f t="shared" si="362"/>
        <v>6035364.0869156523</v>
      </c>
      <c r="AH1900" s="853">
        <v>0.08</v>
      </c>
      <c r="AI1900" s="855">
        <f t="shared" si="363"/>
        <v>5246997.3311932525</v>
      </c>
      <c r="AJ1900" s="856" t="s">
        <v>6292</v>
      </c>
      <c r="AK1900" s="857">
        <v>45911</v>
      </c>
      <c r="AL1900" s="843" t="s">
        <v>6293</v>
      </c>
      <c r="AM1900" s="843" t="s">
        <v>6294</v>
      </c>
      <c r="AN1900" s="844" t="s">
        <v>3951</v>
      </c>
      <c r="AO1900" s="844" t="s">
        <v>141</v>
      </c>
      <c r="AP1900" s="841"/>
      <c r="AQ1900" s="841">
        <v>45929</v>
      </c>
      <c r="AR1900" s="841">
        <v>45987</v>
      </c>
      <c r="AS1900" s="842" t="s">
        <v>1284</v>
      </c>
      <c r="AT1900" s="842" t="s">
        <v>1743</v>
      </c>
      <c r="AU1900" s="842" t="s">
        <v>6295</v>
      </c>
      <c r="AV1900" s="845" t="s">
        <v>6296</v>
      </c>
      <c r="AW1900" s="861">
        <v>45986</v>
      </c>
      <c r="AX1900" s="862">
        <v>45987</v>
      </c>
      <c r="AY1900" s="843"/>
      <c r="AZ1900" s="842">
        <v>94031000</v>
      </c>
      <c r="BA1900" s="842" t="s">
        <v>120</v>
      </c>
      <c r="BB1900" s="863" t="s">
        <v>121</v>
      </c>
      <c r="BC1900" s="864">
        <v>45990</v>
      </c>
      <c r="BD1900" s="860" t="s">
        <v>6297</v>
      </c>
      <c r="BE1900" s="865" cm="1">
        <f t="array" ref="BE1900">IF(BD1900="","",AC1900/SUMPRODUCT(--(BD1900=$BD$4:$BD$12824),$AC$4:$AC$12824))</f>
        <v>1.923111502184709E-2</v>
      </c>
      <c r="BF1900" s="458"/>
      <c r="BG1900" s="458"/>
      <c r="BH1900" s="458"/>
      <c r="BI1900" s="458"/>
      <c r="BJ1900" s="458"/>
      <c r="BK1900" s="458"/>
      <c r="BL1900" s="458"/>
      <c r="BM1900" s="458"/>
      <c r="BN1900" s="458"/>
      <c r="BO1900" s="866">
        <f>VLOOKUP(BD1900,$BD$4:$BN$12824,3,0)*BE1900</f>
        <v>741514.73688377673</v>
      </c>
      <c r="BP1900" s="866"/>
      <c r="BQ1900" s="866"/>
      <c r="BR1900" s="866">
        <f>VLOOKUP(BD1900,$BD$4:$BN$12824,6,0)*BE1900</f>
        <v>315909.91820881778</v>
      </c>
      <c r="BS1900" s="866">
        <f>VLOOKUP(BD1900,$BD$4:$BN$12824,7,0)*BE1900</f>
        <v>60023.579272738476</v>
      </c>
      <c r="BT1900" s="866"/>
      <c r="BU1900" s="866">
        <f>VLOOKUP(BD1900,$BD$4:$BN$12824,9,0)*BE1900</f>
        <v>2329.1764958710105</v>
      </c>
      <c r="BV1900" s="867"/>
      <c r="BW1900" s="867">
        <f>VLOOKUP(BD1900,$BD$4:$BN$12824,11,0)*BE1900</f>
        <v>0</v>
      </c>
      <c r="BX1900" s="1146">
        <f t="shared" si="364"/>
        <v>1119777.4108612039</v>
      </c>
      <c r="BY1900" s="867">
        <f t="shared" si="366"/>
        <v>1334144.8810155371</v>
      </c>
      <c r="BZ1900" s="867">
        <f t="shared" si="365"/>
        <v>66707244.050776854</v>
      </c>
      <c r="CA1900" s="867">
        <f>_xlfn.MAXIFS($BY$4:$BY$12824,$S$4:$S$12824,$S1900)</f>
        <v>1334144.8810155371</v>
      </c>
      <c r="CB1900" s="1032"/>
      <c r="CF1900" s="946">
        <f t="shared" si="370"/>
        <v>63657600.000000007</v>
      </c>
    </row>
    <row r="1901" spans="2:84">
      <c r="B1901" s="839" t="s">
        <v>98</v>
      </c>
      <c r="C1901" s="839" t="s">
        <v>273</v>
      </c>
      <c r="D1901" s="839" t="s">
        <v>6289</v>
      </c>
      <c r="E1901" s="839" t="s">
        <v>6290</v>
      </c>
      <c r="F1901" s="841">
        <v>45841</v>
      </c>
      <c r="G1901" s="868" t="s">
        <v>273</v>
      </c>
      <c r="H1901" s="842" t="s">
        <v>134</v>
      </c>
      <c r="I1901" s="883"/>
      <c r="J1901" s="841"/>
      <c r="K1901" s="841"/>
      <c r="L1901" s="843" t="s">
        <v>106</v>
      </c>
      <c r="M1901" s="844" t="s">
        <v>275</v>
      </c>
      <c r="N1901" s="841"/>
      <c r="O1901" s="884" t="s">
        <v>150</v>
      </c>
      <c r="P1901" s="842" t="s">
        <v>124</v>
      </c>
      <c r="Q1901" s="843"/>
      <c r="R1901" s="845" t="str">
        <f t="shared" si="367"/>
        <v>14263.34</v>
      </c>
      <c r="S1901" s="1127" t="s">
        <v>6383</v>
      </c>
      <c r="T1901" s="885" t="s">
        <v>6384</v>
      </c>
      <c r="U1901" s="886">
        <v>5</v>
      </c>
      <c r="V1901" s="842" t="s">
        <v>3</v>
      </c>
      <c r="W1901" s="846" t="s">
        <v>4546</v>
      </c>
      <c r="X1901" s="847">
        <f t="shared" si="368"/>
        <v>418.8</v>
      </c>
      <c r="Y1901" s="853" t="s">
        <v>4582</v>
      </c>
      <c r="Z1901" s="902">
        <v>39.786000000000001</v>
      </c>
      <c r="AA1901" s="849"/>
      <c r="AB1901" s="849">
        <f t="shared" si="360"/>
        <v>198.93</v>
      </c>
      <c r="AC1901" s="850">
        <f t="shared" si="361"/>
        <v>198.93</v>
      </c>
      <c r="AD1901" s="851">
        <f t="shared" si="369"/>
        <v>32000</v>
      </c>
      <c r="AE1901" s="852">
        <v>29936.21</v>
      </c>
      <c r="AF1901" s="853">
        <v>0.1</v>
      </c>
      <c r="AG1901" s="854">
        <f t="shared" si="362"/>
        <v>603536.40869156527</v>
      </c>
      <c r="AH1901" s="853">
        <v>0.08</v>
      </c>
      <c r="AI1901" s="855">
        <f t="shared" si="363"/>
        <v>524699.73311932525</v>
      </c>
      <c r="AJ1901" s="856" t="s">
        <v>6292</v>
      </c>
      <c r="AK1901" s="857">
        <v>45911</v>
      </c>
      <c r="AL1901" s="843" t="s">
        <v>6293</v>
      </c>
      <c r="AM1901" s="843" t="s">
        <v>6294</v>
      </c>
      <c r="AN1901" s="844" t="s">
        <v>3951</v>
      </c>
      <c r="AO1901" s="844" t="s">
        <v>141</v>
      </c>
      <c r="AP1901" s="841"/>
      <c r="AQ1901" s="841">
        <v>45929</v>
      </c>
      <c r="AR1901" s="841">
        <v>45987</v>
      </c>
      <c r="AS1901" s="842" t="s">
        <v>1284</v>
      </c>
      <c r="AT1901" s="842" t="s">
        <v>1743</v>
      </c>
      <c r="AU1901" s="842" t="s">
        <v>6295</v>
      </c>
      <c r="AV1901" s="845" t="s">
        <v>6296</v>
      </c>
      <c r="AW1901" s="861">
        <v>45986</v>
      </c>
      <c r="AX1901" s="862">
        <v>45987</v>
      </c>
      <c r="AY1901" s="843"/>
      <c r="AZ1901" s="842">
        <v>94031000</v>
      </c>
      <c r="BA1901" s="842" t="s">
        <v>120</v>
      </c>
      <c r="BB1901" s="863" t="s">
        <v>121</v>
      </c>
      <c r="BC1901" s="864">
        <v>45990</v>
      </c>
      <c r="BD1901" s="860" t="s">
        <v>6297</v>
      </c>
      <c r="BE1901" s="865" cm="1">
        <f t="array" ref="BE1901">IF(BD1901="","",AC1901/SUMPRODUCT(--(BD1901=$BD$4:$BD$12824),$AC$4:$AC$12824))</f>
        <v>1.9231115021847089E-3</v>
      </c>
      <c r="BF1901" s="458"/>
      <c r="BG1901" s="458"/>
      <c r="BH1901" s="458"/>
      <c r="BI1901" s="458"/>
      <c r="BJ1901" s="458"/>
      <c r="BK1901" s="458"/>
      <c r="BL1901" s="458"/>
      <c r="BM1901" s="458"/>
      <c r="BN1901" s="458"/>
      <c r="BO1901" s="866">
        <f>VLOOKUP(BD1901,$BD$4:$BN$12824,3,0)*BE1901</f>
        <v>74151.473688377664</v>
      </c>
      <c r="BP1901" s="866"/>
      <c r="BQ1901" s="866"/>
      <c r="BR1901" s="866">
        <f>VLOOKUP(BD1901,$BD$4:$BN$12824,6,0)*BE1901</f>
        <v>31590.991820881773</v>
      </c>
      <c r="BS1901" s="866">
        <f>VLOOKUP(BD1901,$BD$4:$BN$12824,7,0)*BE1901</f>
        <v>6002.3579272738471</v>
      </c>
      <c r="BT1901" s="866"/>
      <c r="BU1901" s="866">
        <f>VLOOKUP(BD1901,$BD$4:$BN$12824,9,0)*BE1901</f>
        <v>232.91764958710101</v>
      </c>
      <c r="BV1901" s="867"/>
      <c r="BW1901" s="867">
        <f>VLOOKUP(BD1901,$BD$4:$BN$12824,11,0)*BE1901</f>
        <v>0</v>
      </c>
      <c r="BX1901" s="1146">
        <f t="shared" si="364"/>
        <v>111977.74108612038</v>
      </c>
      <c r="BY1901" s="867">
        <f t="shared" si="366"/>
        <v>1334144.8810155373</v>
      </c>
      <c r="BZ1901" s="867">
        <f t="shared" si="365"/>
        <v>6670724.4050776865</v>
      </c>
      <c r="CA1901" s="867">
        <f>_xlfn.MAXIFS($BY$4:$BY$12824,$S$4:$S$12824,$S1901)</f>
        <v>1334144.8810155373</v>
      </c>
      <c r="CB1901" s="1032"/>
      <c r="CF1901" s="946">
        <f t="shared" si="370"/>
        <v>6365760</v>
      </c>
    </row>
    <row r="1902" spans="2:84">
      <c r="B1902" s="839" t="s">
        <v>98</v>
      </c>
      <c r="C1902" s="839" t="s">
        <v>273</v>
      </c>
      <c r="D1902" s="839" t="s">
        <v>6289</v>
      </c>
      <c r="E1902" s="839" t="s">
        <v>6290</v>
      </c>
      <c r="F1902" s="841">
        <v>45841</v>
      </c>
      <c r="G1902" s="868" t="s">
        <v>273</v>
      </c>
      <c r="H1902" s="842" t="s">
        <v>134</v>
      </c>
      <c r="I1902" s="883"/>
      <c r="J1902" s="841"/>
      <c r="K1902" s="841"/>
      <c r="L1902" s="843" t="s">
        <v>106</v>
      </c>
      <c r="M1902" s="844" t="s">
        <v>275</v>
      </c>
      <c r="N1902" s="841"/>
      <c r="O1902" s="884" t="s">
        <v>150</v>
      </c>
      <c r="P1902" s="842" t="s">
        <v>124</v>
      </c>
      <c r="Q1902" s="843"/>
      <c r="R1902" s="845" t="str">
        <f t="shared" si="367"/>
        <v>16850.24</v>
      </c>
      <c r="S1902" s="1127" t="s">
        <v>3995</v>
      </c>
      <c r="T1902" s="885" t="s">
        <v>3996</v>
      </c>
      <c r="U1902" s="886">
        <v>2</v>
      </c>
      <c r="V1902" s="842" t="s">
        <v>3</v>
      </c>
      <c r="W1902" s="846" t="s">
        <v>4492</v>
      </c>
      <c r="X1902" s="847">
        <f t="shared" si="368"/>
        <v>152.97999999999999</v>
      </c>
      <c r="Y1902" s="853" t="s">
        <v>4582</v>
      </c>
      <c r="Z1902" s="902">
        <v>36.332999999999998</v>
      </c>
      <c r="AA1902" s="849"/>
      <c r="AB1902" s="849">
        <f t="shared" si="360"/>
        <v>72.665999999999997</v>
      </c>
      <c r="AC1902" s="850">
        <f t="shared" si="361"/>
        <v>72.665999999999997</v>
      </c>
      <c r="AD1902" s="851">
        <f t="shared" si="369"/>
        <v>32000</v>
      </c>
      <c r="AE1902" s="852">
        <v>29936.21</v>
      </c>
      <c r="AF1902" s="853">
        <v>0.1</v>
      </c>
      <c r="AG1902" s="854">
        <f t="shared" si="362"/>
        <v>220462.356979748</v>
      </c>
      <c r="AH1902" s="853">
        <v>0.08</v>
      </c>
      <c r="AI1902" s="855">
        <f t="shared" si="363"/>
        <v>191664.55942717983</v>
      </c>
      <c r="AJ1902" s="856" t="s">
        <v>6292</v>
      </c>
      <c r="AK1902" s="857">
        <v>45911</v>
      </c>
      <c r="AL1902" s="843" t="s">
        <v>6293</v>
      </c>
      <c r="AM1902" s="843" t="s">
        <v>6294</v>
      </c>
      <c r="AN1902" s="844" t="s">
        <v>3951</v>
      </c>
      <c r="AO1902" s="844" t="s">
        <v>141</v>
      </c>
      <c r="AP1902" s="841"/>
      <c r="AQ1902" s="841">
        <v>45929</v>
      </c>
      <c r="AR1902" s="841">
        <v>45987</v>
      </c>
      <c r="AS1902" s="842" t="s">
        <v>1284</v>
      </c>
      <c r="AT1902" s="842" t="s">
        <v>1743</v>
      </c>
      <c r="AU1902" s="842" t="s">
        <v>6295</v>
      </c>
      <c r="AV1902" s="845" t="s">
        <v>6296</v>
      </c>
      <c r="AW1902" s="861">
        <v>45986</v>
      </c>
      <c r="AX1902" s="862">
        <v>45987</v>
      </c>
      <c r="AY1902" s="843"/>
      <c r="AZ1902" s="842">
        <v>94031000</v>
      </c>
      <c r="BA1902" s="842" t="s">
        <v>120</v>
      </c>
      <c r="BB1902" s="863" t="s">
        <v>121</v>
      </c>
      <c r="BC1902" s="864">
        <v>45990</v>
      </c>
      <c r="BD1902" s="860" t="s">
        <v>6297</v>
      </c>
      <c r="BE1902" s="865" cm="1">
        <f t="array" ref="BE1902">IF(BD1902="","",AC1902/SUMPRODUCT(--(BD1902=$BD$4:$BD$12824),$AC$4:$AC$12824))</f>
        <v>7.0248238283694784E-4</v>
      </c>
      <c r="BF1902" s="458"/>
      <c r="BG1902" s="458"/>
      <c r="BH1902" s="458"/>
      <c r="BI1902" s="458"/>
      <c r="BJ1902" s="458"/>
      <c r="BK1902" s="458"/>
      <c r="BL1902" s="458"/>
      <c r="BM1902" s="458"/>
      <c r="BN1902" s="458"/>
      <c r="BO1902" s="866">
        <f>VLOOKUP(BD1902,$BD$4:$BN$12824,3,0)*BE1902</f>
        <v>27086.36699864098</v>
      </c>
      <c r="BP1902" s="866"/>
      <c r="BQ1902" s="866"/>
      <c r="BR1902" s="866">
        <f>VLOOKUP(BD1902,$BD$4:$BN$12824,6,0)*BE1902</f>
        <v>11539.692412688859</v>
      </c>
      <c r="BS1902" s="866">
        <f>VLOOKUP(BD1902,$BD$4:$BN$12824,7,0)*BE1902</f>
        <v>2192.5669388391962</v>
      </c>
      <c r="BT1902" s="866"/>
      <c r="BU1902" s="866">
        <f>VLOOKUP(BD1902,$BD$4:$BN$12824,9,0)*BE1902</f>
        <v>85.081153797296935</v>
      </c>
      <c r="BV1902" s="867"/>
      <c r="BW1902" s="867">
        <f>VLOOKUP(BD1902,$BD$4:$BN$12824,11,0)*BE1902</f>
        <v>0</v>
      </c>
      <c r="BX1902" s="1146">
        <f t="shared" si="364"/>
        <v>40903.70750396634</v>
      </c>
      <c r="BY1902" s="867">
        <f t="shared" si="366"/>
        <v>1218355.3501718573</v>
      </c>
      <c r="BZ1902" s="867">
        <f t="shared" si="365"/>
        <v>2436710.7003437146</v>
      </c>
      <c r="CA1902" s="867">
        <f>_xlfn.MAXIFS($BY$4:$BY$12824,$S$4:$S$12824,$S1902)</f>
        <v>1218355.3501718573</v>
      </c>
      <c r="CB1902" s="1032"/>
      <c r="CF1902" s="946">
        <f t="shared" si="370"/>
        <v>2325312</v>
      </c>
    </row>
    <row r="1903" spans="2:84">
      <c r="B1903" s="839" t="s">
        <v>98</v>
      </c>
      <c r="C1903" s="839" t="s">
        <v>273</v>
      </c>
      <c r="D1903" s="839" t="s">
        <v>6289</v>
      </c>
      <c r="E1903" s="839" t="s">
        <v>6290</v>
      </c>
      <c r="F1903" s="841">
        <v>45841</v>
      </c>
      <c r="G1903" s="868" t="s">
        <v>273</v>
      </c>
      <c r="H1903" s="842" t="s">
        <v>134</v>
      </c>
      <c r="I1903" s="883"/>
      <c r="J1903" s="841"/>
      <c r="K1903" s="841"/>
      <c r="L1903" s="843" t="s">
        <v>106</v>
      </c>
      <c r="M1903" s="844" t="s">
        <v>275</v>
      </c>
      <c r="N1903" s="841"/>
      <c r="O1903" s="884" t="s">
        <v>150</v>
      </c>
      <c r="P1903" s="842" t="s">
        <v>124</v>
      </c>
      <c r="Q1903" s="843"/>
      <c r="R1903" s="845" t="str">
        <f t="shared" si="367"/>
        <v>16850.31</v>
      </c>
      <c r="S1903" s="1127" t="s">
        <v>4490</v>
      </c>
      <c r="T1903" s="885" t="s">
        <v>4491</v>
      </c>
      <c r="U1903" s="886">
        <v>4</v>
      </c>
      <c r="V1903" s="842" t="s">
        <v>3</v>
      </c>
      <c r="W1903" s="846" t="s">
        <v>4492</v>
      </c>
      <c r="X1903" s="847">
        <f t="shared" si="368"/>
        <v>305.95999999999998</v>
      </c>
      <c r="Y1903" s="853" t="s">
        <v>4582</v>
      </c>
      <c r="Z1903" s="902">
        <v>36.332999999999998</v>
      </c>
      <c r="AA1903" s="849"/>
      <c r="AB1903" s="849">
        <f t="shared" si="360"/>
        <v>145.33199999999999</v>
      </c>
      <c r="AC1903" s="850">
        <f t="shared" si="361"/>
        <v>145.33199999999999</v>
      </c>
      <c r="AD1903" s="851">
        <f t="shared" si="369"/>
        <v>32000</v>
      </c>
      <c r="AE1903" s="852">
        <v>29936.21</v>
      </c>
      <c r="AF1903" s="853">
        <v>0.1</v>
      </c>
      <c r="AG1903" s="854">
        <f t="shared" si="362"/>
        <v>440924.713959496</v>
      </c>
      <c r="AH1903" s="853">
        <v>0.08</v>
      </c>
      <c r="AI1903" s="855">
        <f t="shared" si="363"/>
        <v>383329.11885435967</v>
      </c>
      <c r="AJ1903" s="856" t="s">
        <v>6292</v>
      </c>
      <c r="AK1903" s="857">
        <v>45911</v>
      </c>
      <c r="AL1903" s="843" t="s">
        <v>6293</v>
      </c>
      <c r="AM1903" s="843" t="s">
        <v>6294</v>
      </c>
      <c r="AN1903" s="844" t="s">
        <v>3951</v>
      </c>
      <c r="AO1903" s="844" t="s">
        <v>141</v>
      </c>
      <c r="AP1903" s="841"/>
      <c r="AQ1903" s="841">
        <v>45929</v>
      </c>
      <c r="AR1903" s="841">
        <v>45987</v>
      </c>
      <c r="AS1903" s="842" t="s">
        <v>1284</v>
      </c>
      <c r="AT1903" s="842" t="s">
        <v>1743</v>
      </c>
      <c r="AU1903" s="842" t="s">
        <v>6295</v>
      </c>
      <c r="AV1903" s="845" t="s">
        <v>6296</v>
      </c>
      <c r="AW1903" s="861">
        <v>45986</v>
      </c>
      <c r="AX1903" s="862">
        <v>45987</v>
      </c>
      <c r="AY1903" s="843"/>
      <c r="AZ1903" s="842">
        <v>94031000</v>
      </c>
      <c r="BA1903" s="842" t="s">
        <v>120</v>
      </c>
      <c r="BB1903" s="863" t="s">
        <v>121</v>
      </c>
      <c r="BC1903" s="864">
        <v>45990</v>
      </c>
      <c r="BD1903" s="860" t="s">
        <v>6297</v>
      </c>
      <c r="BE1903" s="865" cm="1">
        <f t="array" ref="BE1903">IF(BD1903="","",AC1903/SUMPRODUCT(--(BD1903=$BD$4:$BD$12824),$AC$4:$AC$12824))</f>
        <v>1.4049647656738957E-3</v>
      </c>
      <c r="BF1903" s="458"/>
      <c r="BG1903" s="458"/>
      <c r="BH1903" s="458"/>
      <c r="BI1903" s="458"/>
      <c r="BJ1903" s="458"/>
      <c r="BK1903" s="458"/>
      <c r="BL1903" s="458"/>
      <c r="BM1903" s="458"/>
      <c r="BN1903" s="458"/>
      <c r="BO1903" s="866">
        <f>VLOOKUP(BD1903,$BD$4:$BN$12824,3,0)*BE1903</f>
        <v>54172.733997281961</v>
      </c>
      <c r="BP1903" s="866"/>
      <c r="BQ1903" s="866"/>
      <c r="BR1903" s="866">
        <f>VLOOKUP(BD1903,$BD$4:$BN$12824,6,0)*BE1903</f>
        <v>23079.384825377718</v>
      </c>
      <c r="BS1903" s="866">
        <f>VLOOKUP(BD1903,$BD$4:$BN$12824,7,0)*BE1903</f>
        <v>4385.1338776783923</v>
      </c>
      <c r="BT1903" s="866"/>
      <c r="BU1903" s="866">
        <f>VLOOKUP(BD1903,$BD$4:$BN$12824,9,0)*BE1903</f>
        <v>170.16230759459387</v>
      </c>
      <c r="BV1903" s="867"/>
      <c r="BW1903" s="867">
        <f>VLOOKUP(BD1903,$BD$4:$BN$12824,11,0)*BE1903</f>
        <v>0</v>
      </c>
      <c r="BX1903" s="1146">
        <f t="shared" si="364"/>
        <v>81807.415007932679</v>
      </c>
      <c r="BY1903" s="867">
        <f t="shared" si="366"/>
        <v>1218355.3501718573</v>
      </c>
      <c r="BZ1903" s="867">
        <f t="shared" si="365"/>
        <v>4873421.4006874291</v>
      </c>
      <c r="CA1903" s="867">
        <f>_xlfn.MAXIFS($BY$4:$BY$12824,$S$4:$S$12824,$S1903)</f>
        <v>1508430.2274012456</v>
      </c>
      <c r="CB1903" s="1032"/>
      <c r="CF1903" s="946">
        <f t="shared" si="370"/>
        <v>4650624</v>
      </c>
    </row>
    <row r="1904" spans="2:84">
      <c r="B1904" s="839" t="s">
        <v>98</v>
      </c>
      <c r="C1904" s="839" t="s">
        <v>273</v>
      </c>
      <c r="D1904" s="839" t="s">
        <v>6289</v>
      </c>
      <c r="E1904" s="839" t="s">
        <v>6290</v>
      </c>
      <c r="F1904" s="841">
        <v>45841</v>
      </c>
      <c r="G1904" s="868" t="s">
        <v>273</v>
      </c>
      <c r="H1904" s="842" t="s">
        <v>134</v>
      </c>
      <c r="I1904" s="883"/>
      <c r="J1904" s="841"/>
      <c r="K1904" s="841"/>
      <c r="L1904" s="843" t="s">
        <v>106</v>
      </c>
      <c r="M1904" s="844" t="s">
        <v>275</v>
      </c>
      <c r="N1904" s="841"/>
      <c r="O1904" s="884" t="s">
        <v>150</v>
      </c>
      <c r="P1904" s="842" t="s">
        <v>124</v>
      </c>
      <c r="Q1904" s="843"/>
      <c r="R1904" s="845" t="str">
        <f t="shared" si="367"/>
        <v>16658.24</v>
      </c>
      <c r="S1904" s="1127" t="s">
        <v>4678</v>
      </c>
      <c r="T1904" s="885" t="s">
        <v>4679</v>
      </c>
      <c r="U1904" s="886">
        <v>4</v>
      </c>
      <c r="V1904" s="842" t="s">
        <v>3</v>
      </c>
      <c r="W1904" s="846" t="s">
        <v>4680</v>
      </c>
      <c r="X1904" s="847">
        <f t="shared" si="368"/>
        <v>247.64</v>
      </c>
      <c r="Y1904" s="853" t="s">
        <v>4582</v>
      </c>
      <c r="Z1904" s="902">
        <v>29.407</v>
      </c>
      <c r="AA1904" s="849"/>
      <c r="AB1904" s="849">
        <f t="shared" si="360"/>
        <v>117.628</v>
      </c>
      <c r="AC1904" s="850">
        <f t="shared" si="361"/>
        <v>117.628</v>
      </c>
      <c r="AD1904" s="851">
        <f t="shared" si="369"/>
        <v>32000</v>
      </c>
      <c r="AE1904" s="852">
        <v>29936.21</v>
      </c>
      <c r="AF1904" s="853">
        <v>0.1</v>
      </c>
      <c r="AG1904" s="854">
        <f t="shared" si="362"/>
        <v>356873.17489353754</v>
      </c>
      <c r="AH1904" s="853">
        <v>0.08</v>
      </c>
      <c r="AI1904" s="855">
        <f t="shared" si="363"/>
        <v>310256.774781883</v>
      </c>
      <c r="AJ1904" s="856" t="s">
        <v>6292</v>
      </c>
      <c r="AK1904" s="857">
        <v>45911</v>
      </c>
      <c r="AL1904" s="843" t="s">
        <v>6293</v>
      </c>
      <c r="AM1904" s="843" t="s">
        <v>6294</v>
      </c>
      <c r="AN1904" s="844" t="s">
        <v>3951</v>
      </c>
      <c r="AO1904" s="844" t="s">
        <v>141</v>
      </c>
      <c r="AP1904" s="841"/>
      <c r="AQ1904" s="841">
        <v>45929</v>
      </c>
      <c r="AR1904" s="841">
        <v>45987</v>
      </c>
      <c r="AS1904" s="842" t="s">
        <v>1284</v>
      </c>
      <c r="AT1904" s="842" t="s">
        <v>1743</v>
      </c>
      <c r="AU1904" s="842" t="s">
        <v>6295</v>
      </c>
      <c r="AV1904" s="845" t="s">
        <v>6296</v>
      </c>
      <c r="AW1904" s="861">
        <v>45986</v>
      </c>
      <c r="AX1904" s="862">
        <v>45987</v>
      </c>
      <c r="AY1904" s="843"/>
      <c r="AZ1904" s="842">
        <v>94031000</v>
      </c>
      <c r="BA1904" s="842" t="s">
        <v>120</v>
      </c>
      <c r="BB1904" s="863" t="s">
        <v>121</v>
      </c>
      <c r="BC1904" s="864">
        <v>45990</v>
      </c>
      <c r="BD1904" s="860" t="s">
        <v>6297</v>
      </c>
      <c r="BE1904" s="865" cm="1">
        <f t="array" ref="BE1904">IF(BD1904="","",AC1904/SUMPRODUCT(--(BD1904=$BD$4:$BD$12824),$AC$4:$AC$12824))</f>
        <v>1.1371425113305329E-3</v>
      </c>
      <c r="BF1904" s="458"/>
      <c r="BG1904" s="458"/>
      <c r="BH1904" s="458"/>
      <c r="BI1904" s="458"/>
      <c r="BJ1904" s="458"/>
      <c r="BK1904" s="458"/>
      <c r="BL1904" s="458"/>
      <c r="BM1904" s="458"/>
      <c r="BN1904" s="458"/>
      <c r="BO1904" s="866">
        <f>VLOOKUP(BD1904,$BD$4:$BN$12824,3,0)*BE1904</f>
        <v>43846.02396328601</v>
      </c>
      <c r="BP1904" s="866"/>
      <c r="BQ1904" s="866"/>
      <c r="BR1904" s="866">
        <f>VLOOKUP(BD1904,$BD$4:$BN$12824,6,0)*BE1904</f>
        <v>18679.863197640781</v>
      </c>
      <c r="BS1904" s="866">
        <f>VLOOKUP(BD1904,$BD$4:$BN$12824,7,0)*BE1904</f>
        <v>3549.2150920895187</v>
      </c>
      <c r="BT1904" s="866"/>
      <c r="BU1904" s="866">
        <f>VLOOKUP(BD1904,$BD$4:$BN$12824,9,0)*BE1904</f>
        <v>137.72501525979749</v>
      </c>
      <c r="BV1904" s="867"/>
      <c r="BW1904" s="867">
        <f>VLOOKUP(BD1904,$BD$4:$BN$12824,11,0)*BE1904</f>
        <v>0</v>
      </c>
      <c r="BX1904" s="1146">
        <f t="shared" si="364"/>
        <v>66212.827268276116</v>
      </c>
      <c r="BY1904" s="867">
        <f t="shared" si="366"/>
        <v>986105.62801045331</v>
      </c>
      <c r="BZ1904" s="867">
        <f t="shared" si="365"/>
        <v>3944422.5120418132</v>
      </c>
      <c r="CA1904" s="867">
        <f>_xlfn.MAXIFS($BY$4:$BY$12824,$S$4:$S$12824,$S1904)</f>
        <v>1076703.6126685629</v>
      </c>
      <c r="CB1904" s="1032"/>
      <c r="CF1904" s="946">
        <f t="shared" si="370"/>
        <v>3764096</v>
      </c>
    </row>
    <row r="1905" spans="2:84">
      <c r="B1905" s="839" t="s">
        <v>98</v>
      </c>
      <c r="C1905" s="839" t="s">
        <v>273</v>
      </c>
      <c r="D1905" s="839" t="s">
        <v>6289</v>
      </c>
      <c r="E1905" s="839" t="s">
        <v>6290</v>
      </c>
      <c r="F1905" s="841">
        <v>45841</v>
      </c>
      <c r="G1905" s="868" t="s">
        <v>273</v>
      </c>
      <c r="H1905" s="842" t="s">
        <v>134</v>
      </c>
      <c r="I1905" s="883"/>
      <c r="J1905" s="841"/>
      <c r="K1905" s="841"/>
      <c r="L1905" s="843" t="s">
        <v>106</v>
      </c>
      <c r="M1905" s="844" t="s">
        <v>275</v>
      </c>
      <c r="N1905" s="841"/>
      <c r="O1905" s="884" t="s">
        <v>150</v>
      </c>
      <c r="P1905" s="842" t="s">
        <v>124</v>
      </c>
      <c r="Q1905" s="843"/>
      <c r="R1905" s="845" t="str">
        <f t="shared" si="367"/>
        <v>16658.31</v>
      </c>
      <c r="S1905" s="1127" t="s">
        <v>6385</v>
      </c>
      <c r="T1905" s="885" t="s">
        <v>6386</v>
      </c>
      <c r="U1905" s="886">
        <v>4</v>
      </c>
      <c r="V1905" s="842" t="s">
        <v>3</v>
      </c>
      <c r="W1905" s="846" t="s">
        <v>4680</v>
      </c>
      <c r="X1905" s="847">
        <f t="shared" si="368"/>
        <v>247.64</v>
      </c>
      <c r="Y1905" s="853" t="s">
        <v>4582</v>
      </c>
      <c r="Z1905" s="902">
        <v>29.407</v>
      </c>
      <c r="AA1905" s="849"/>
      <c r="AB1905" s="849">
        <f t="shared" si="360"/>
        <v>117.628</v>
      </c>
      <c r="AC1905" s="850">
        <f t="shared" si="361"/>
        <v>117.628</v>
      </c>
      <c r="AD1905" s="851">
        <f t="shared" si="369"/>
        <v>32000</v>
      </c>
      <c r="AE1905" s="852">
        <v>29936.21</v>
      </c>
      <c r="AF1905" s="853">
        <v>0.1</v>
      </c>
      <c r="AG1905" s="854">
        <f t="shared" si="362"/>
        <v>356873.17489353754</v>
      </c>
      <c r="AH1905" s="853">
        <v>0.08</v>
      </c>
      <c r="AI1905" s="855">
        <f t="shared" si="363"/>
        <v>310256.774781883</v>
      </c>
      <c r="AJ1905" s="856" t="s">
        <v>6292</v>
      </c>
      <c r="AK1905" s="857">
        <v>45911</v>
      </c>
      <c r="AL1905" s="843" t="s">
        <v>6293</v>
      </c>
      <c r="AM1905" s="843" t="s">
        <v>6294</v>
      </c>
      <c r="AN1905" s="844" t="s">
        <v>3951</v>
      </c>
      <c r="AO1905" s="844" t="s">
        <v>141</v>
      </c>
      <c r="AP1905" s="841"/>
      <c r="AQ1905" s="841">
        <v>45929</v>
      </c>
      <c r="AR1905" s="841">
        <v>45987</v>
      </c>
      <c r="AS1905" s="842" t="s">
        <v>1284</v>
      </c>
      <c r="AT1905" s="842" t="s">
        <v>1743</v>
      </c>
      <c r="AU1905" s="842" t="s">
        <v>6295</v>
      </c>
      <c r="AV1905" s="845" t="s">
        <v>6296</v>
      </c>
      <c r="AW1905" s="861">
        <v>45986</v>
      </c>
      <c r="AX1905" s="862">
        <v>45987</v>
      </c>
      <c r="AY1905" s="843"/>
      <c r="AZ1905" s="842">
        <v>94031000</v>
      </c>
      <c r="BA1905" s="842" t="s">
        <v>120</v>
      </c>
      <c r="BB1905" s="863" t="s">
        <v>121</v>
      </c>
      <c r="BC1905" s="864">
        <v>45990</v>
      </c>
      <c r="BD1905" s="860" t="s">
        <v>6297</v>
      </c>
      <c r="BE1905" s="865" cm="1">
        <f t="array" ref="BE1905">IF(BD1905="","",AC1905/SUMPRODUCT(--(BD1905=$BD$4:$BD$12824),$AC$4:$AC$12824))</f>
        <v>1.1371425113305329E-3</v>
      </c>
      <c r="BF1905" s="458"/>
      <c r="BG1905" s="458"/>
      <c r="BH1905" s="458"/>
      <c r="BI1905" s="458"/>
      <c r="BJ1905" s="458"/>
      <c r="BK1905" s="458"/>
      <c r="BL1905" s="458"/>
      <c r="BM1905" s="458"/>
      <c r="BN1905" s="458"/>
      <c r="BO1905" s="866">
        <f>VLOOKUP(BD1905,$BD$4:$BN$12824,3,0)*BE1905</f>
        <v>43846.02396328601</v>
      </c>
      <c r="BP1905" s="866"/>
      <c r="BQ1905" s="866"/>
      <c r="BR1905" s="866">
        <f>VLOOKUP(BD1905,$BD$4:$BN$12824,6,0)*BE1905</f>
        <v>18679.863197640781</v>
      </c>
      <c r="BS1905" s="866">
        <f>VLOOKUP(BD1905,$BD$4:$BN$12824,7,0)*BE1905</f>
        <v>3549.2150920895187</v>
      </c>
      <c r="BT1905" s="866"/>
      <c r="BU1905" s="866">
        <f>VLOOKUP(BD1905,$BD$4:$BN$12824,9,0)*BE1905</f>
        <v>137.72501525979749</v>
      </c>
      <c r="BV1905" s="867"/>
      <c r="BW1905" s="867">
        <f>VLOOKUP(BD1905,$BD$4:$BN$12824,11,0)*BE1905</f>
        <v>0</v>
      </c>
      <c r="BX1905" s="1146">
        <f t="shared" si="364"/>
        <v>66212.827268276116</v>
      </c>
      <c r="BY1905" s="867">
        <f t="shared" si="366"/>
        <v>986105.62801045331</v>
      </c>
      <c r="BZ1905" s="867">
        <f t="shared" si="365"/>
        <v>3944422.5120418132</v>
      </c>
      <c r="CA1905" s="867">
        <f>_xlfn.MAXIFS($BY$4:$BY$12824,$S$4:$S$12824,$S1905)</f>
        <v>986105.62801045331</v>
      </c>
      <c r="CB1905" s="1032"/>
      <c r="CF1905" s="946">
        <f t="shared" si="370"/>
        <v>3764096</v>
      </c>
    </row>
    <row r="1906" spans="2:84">
      <c r="B1906" s="839" t="s">
        <v>98</v>
      </c>
      <c r="C1906" s="839" t="s">
        <v>273</v>
      </c>
      <c r="D1906" s="839" t="s">
        <v>6289</v>
      </c>
      <c r="E1906" s="839" t="s">
        <v>6290</v>
      </c>
      <c r="F1906" s="841">
        <v>45841</v>
      </c>
      <c r="G1906" s="868" t="s">
        <v>273</v>
      </c>
      <c r="H1906" s="842" t="s">
        <v>134</v>
      </c>
      <c r="I1906" s="883"/>
      <c r="J1906" s="841"/>
      <c r="K1906" s="841"/>
      <c r="L1906" s="843" t="s">
        <v>106</v>
      </c>
      <c r="M1906" s="844" t="s">
        <v>275</v>
      </c>
      <c r="N1906" s="841"/>
      <c r="O1906" s="884" t="s">
        <v>150</v>
      </c>
      <c r="P1906" s="842" t="s">
        <v>124</v>
      </c>
      <c r="Q1906" s="843"/>
      <c r="R1906" s="845" t="str">
        <f>RIGHT(S1906,5)</f>
        <v>18641</v>
      </c>
      <c r="S1906" s="1127" t="s">
        <v>6387</v>
      </c>
      <c r="T1906" s="885" t="s">
        <v>6388</v>
      </c>
      <c r="U1906" s="886">
        <v>6</v>
      </c>
      <c r="V1906" s="842" t="s">
        <v>3</v>
      </c>
      <c r="W1906" s="846" t="s">
        <v>6389</v>
      </c>
      <c r="X1906" s="847">
        <f t="shared" si="368"/>
        <v>421.62</v>
      </c>
      <c r="Y1906" s="853" t="s">
        <v>4582</v>
      </c>
      <c r="Z1906" s="902">
        <v>33.378</v>
      </c>
      <c r="AA1906" s="849"/>
      <c r="AB1906" s="849">
        <f t="shared" si="360"/>
        <v>200.268</v>
      </c>
      <c r="AC1906" s="850">
        <f t="shared" si="361"/>
        <v>200.268</v>
      </c>
      <c r="AD1906" s="851">
        <f t="shared" si="369"/>
        <v>32000</v>
      </c>
      <c r="AE1906" s="852">
        <v>29936.21</v>
      </c>
      <c r="AF1906" s="853">
        <v>0.1</v>
      </c>
      <c r="AG1906" s="854">
        <f t="shared" si="362"/>
        <v>607595.7849285797</v>
      </c>
      <c r="AH1906" s="853">
        <v>0.08</v>
      </c>
      <c r="AI1906" s="855">
        <f t="shared" si="363"/>
        <v>528228.85513668635</v>
      </c>
      <c r="AJ1906" s="856" t="s">
        <v>6292</v>
      </c>
      <c r="AK1906" s="857">
        <v>45911</v>
      </c>
      <c r="AL1906" s="843" t="s">
        <v>6293</v>
      </c>
      <c r="AM1906" s="843" t="s">
        <v>6294</v>
      </c>
      <c r="AN1906" s="844" t="s">
        <v>3951</v>
      </c>
      <c r="AO1906" s="844" t="s">
        <v>141</v>
      </c>
      <c r="AP1906" s="841"/>
      <c r="AQ1906" s="841">
        <v>45929</v>
      </c>
      <c r="AR1906" s="841">
        <v>45987</v>
      </c>
      <c r="AS1906" s="842" t="s">
        <v>1284</v>
      </c>
      <c r="AT1906" s="842" t="s">
        <v>1743</v>
      </c>
      <c r="AU1906" s="842" t="s">
        <v>6295</v>
      </c>
      <c r="AV1906" s="845" t="s">
        <v>6296</v>
      </c>
      <c r="AW1906" s="861">
        <v>45986</v>
      </c>
      <c r="AX1906" s="862">
        <v>45987</v>
      </c>
      <c r="AY1906" s="843"/>
      <c r="AZ1906" s="842">
        <v>94031000</v>
      </c>
      <c r="BA1906" s="842" t="s">
        <v>120</v>
      </c>
      <c r="BB1906" s="863" t="s">
        <v>121</v>
      </c>
      <c r="BC1906" s="864">
        <v>45990</v>
      </c>
      <c r="BD1906" s="860" t="s">
        <v>6297</v>
      </c>
      <c r="BE1906" s="865" cm="1">
        <f t="array" ref="BE1906">IF(BD1906="","",AC1906/SUMPRODUCT(--(BD1906=$BD$4:$BD$12824),$AC$4:$AC$12824))</f>
        <v>1.9360463194064608E-3</v>
      </c>
      <c r="BF1906" s="458"/>
      <c r="BG1906" s="458"/>
      <c r="BH1906" s="458"/>
      <c r="BI1906" s="458"/>
      <c r="BJ1906" s="458"/>
      <c r="BK1906" s="458"/>
      <c r="BL1906" s="458"/>
      <c r="BM1906" s="458"/>
      <c r="BN1906" s="458"/>
      <c r="BO1906" s="866">
        <f>VLOOKUP(BD1906,$BD$4:$BN$12824,3,0)*BE1906</f>
        <v>74650.215315055626</v>
      </c>
      <c r="BP1906" s="866"/>
      <c r="BQ1906" s="866"/>
      <c r="BR1906" s="866">
        <f>VLOOKUP(BD1906,$BD$4:$BN$12824,6,0)*BE1906</f>
        <v>31803.472326870509</v>
      </c>
      <c r="BS1906" s="866">
        <f>VLOOKUP(BD1906,$BD$4:$BN$12824,7,0)*BE1906</f>
        <v>6042.7296907418622</v>
      </c>
      <c r="BT1906" s="866"/>
      <c r="BU1906" s="866">
        <f>VLOOKUP(BD1906,$BD$4:$BN$12824,9,0)*BE1906</f>
        <v>234.4842499749135</v>
      </c>
      <c r="BV1906" s="867"/>
      <c r="BW1906" s="867">
        <f>VLOOKUP(BD1906,$BD$4:$BN$12824,11,0)*BE1906</f>
        <v>0</v>
      </c>
      <c r="BX1906" s="1146">
        <f t="shared" si="364"/>
        <v>112730.90158264291</v>
      </c>
      <c r="BY1906" s="867">
        <f t="shared" si="366"/>
        <v>1119265.2651318703</v>
      </c>
      <c r="BZ1906" s="867">
        <f t="shared" si="365"/>
        <v>6715591.5907912217</v>
      </c>
      <c r="CA1906" s="867">
        <f>_xlfn.MAXIFS($BY$4:$BY$12824,$S$4:$S$12824,$S1906)</f>
        <v>1119265.2651318703</v>
      </c>
      <c r="CB1906" s="1032"/>
      <c r="CF1906" s="946">
        <f t="shared" si="370"/>
        <v>6408576</v>
      </c>
    </row>
    <row r="1907" spans="2:84">
      <c r="B1907" s="839" t="s">
        <v>98</v>
      </c>
      <c r="C1907" s="839" t="s">
        <v>273</v>
      </c>
      <c r="D1907" s="839" t="s">
        <v>6289</v>
      </c>
      <c r="E1907" s="839" t="s">
        <v>6290</v>
      </c>
      <c r="F1907" s="841">
        <v>45841</v>
      </c>
      <c r="G1907" s="868" t="s">
        <v>273</v>
      </c>
      <c r="H1907" s="842" t="s">
        <v>134</v>
      </c>
      <c r="I1907" s="883"/>
      <c r="J1907" s="841"/>
      <c r="K1907" s="841"/>
      <c r="L1907" s="843" t="s">
        <v>106</v>
      </c>
      <c r="M1907" s="844" t="s">
        <v>275</v>
      </c>
      <c r="N1907" s="841"/>
      <c r="O1907" s="884" t="s">
        <v>150</v>
      </c>
      <c r="P1907" s="842" t="s">
        <v>124</v>
      </c>
      <c r="Q1907" s="843"/>
      <c r="R1907" s="845" t="str">
        <f>RIGHT(S1907,5)</f>
        <v>18646</v>
      </c>
      <c r="S1907" s="1127" t="s">
        <v>3976</v>
      </c>
      <c r="T1907" s="885" t="s">
        <v>3977</v>
      </c>
      <c r="U1907" s="886">
        <v>10</v>
      </c>
      <c r="V1907" s="842" t="s">
        <v>3</v>
      </c>
      <c r="W1907" s="846" t="s">
        <v>6390</v>
      </c>
      <c r="X1907" s="847">
        <f t="shared" si="368"/>
        <v>478.40000000000003</v>
      </c>
      <c r="Y1907" s="853" t="s">
        <v>4582</v>
      </c>
      <c r="Z1907" s="902">
        <v>22.724</v>
      </c>
      <c r="AA1907" s="849"/>
      <c r="AB1907" s="849">
        <f t="shared" si="360"/>
        <v>227.24</v>
      </c>
      <c r="AC1907" s="850">
        <f t="shared" si="361"/>
        <v>227.24</v>
      </c>
      <c r="AD1907" s="851">
        <f t="shared" si="369"/>
        <v>32000</v>
      </c>
      <c r="AE1907" s="852">
        <v>29936.21</v>
      </c>
      <c r="AF1907" s="853">
        <v>0.1</v>
      </c>
      <c r="AG1907" s="854">
        <f t="shared" si="362"/>
        <v>689426.49932675448</v>
      </c>
      <c r="AH1907" s="853">
        <v>0.08</v>
      </c>
      <c r="AI1907" s="855">
        <f t="shared" si="363"/>
        <v>599370.46877814038</v>
      </c>
      <c r="AJ1907" s="856" t="s">
        <v>6292</v>
      </c>
      <c r="AK1907" s="857">
        <v>45911</v>
      </c>
      <c r="AL1907" s="843" t="s">
        <v>6293</v>
      </c>
      <c r="AM1907" s="843" t="s">
        <v>6294</v>
      </c>
      <c r="AN1907" s="844" t="s">
        <v>3951</v>
      </c>
      <c r="AO1907" s="844" t="s">
        <v>141</v>
      </c>
      <c r="AP1907" s="841"/>
      <c r="AQ1907" s="841">
        <v>45929</v>
      </c>
      <c r="AR1907" s="841">
        <v>45987</v>
      </c>
      <c r="AS1907" s="842" t="s">
        <v>1284</v>
      </c>
      <c r="AT1907" s="842" t="s">
        <v>1743</v>
      </c>
      <c r="AU1907" s="842" t="s">
        <v>6295</v>
      </c>
      <c r="AV1907" s="845" t="s">
        <v>6296</v>
      </c>
      <c r="AW1907" s="861">
        <v>45986</v>
      </c>
      <c r="AX1907" s="862">
        <v>45987</v>
      </c>
      <c r="AY1907" s="843"/>
      <c r="AZ1907" s="842">
        <v>94031000</v>
      </c>
      <c r="BA1907" s="842" t="s">
        <v>120</v>
      </c>
      <c r="BB1907" s="863" t="s">
        <v>121</v>
      </c>
      <c r="BC1907" s="864">
        <v>45990</v>
      </c>
      <c r="BD1907" s="860" t="s">
        <v>6297</v>
      </c>
      <c r="BE1907" s="865" cm="1">
        <f t="array" ref="BE1907">IF(BD1907="","",AC1907/SUMPRODUCT(--(BD1907=$BD$4:$BD$12824),$AC$4:$AC$12824))</f>
        <v>2.1967921266598965E-3</v>
      </c>
      <c r="BF1907" s="458"/>
      <c r="BG1907" s="458"/>
      <c r="BH1907" s="458"/>
      <c r="BI1907" s="458"/>
      <c r="BJ1907" s="458"/>
      <c r="BK1907" s="458"/>
      <c r="BL1907" s="458"/>
      <c r="BM1907" s="458"/>
      <c r="BN1907" s="458"/>
      <c r="BO1907" s="866">
        <f>VLOOKUP(BD1907,$BD$4:$BN$12824,3,0)*BE1907</f>
        <v>84704.07118557753</v>
      </c>
      <c r="BP1907" s="866"/>
      <c r="BQ1907" s="866"/>
      <c r="BR1907" s="866">
        <f>VLOOKUP(BD1907,$BD$4:$BN$12824,6,0)*BE1907</f>
        <v>36086.749014111367</v>
      </c>
      <c r="BS1907" s="866">
        <f>VLOOKUP(BD1907,$BD$4:$BN$12824,7,0)*BE1907</f>
        <v>6856.5616819670677</v>
      </c>
      <c r="BT1907" s="866"/>
      <c r="BU1907" s="866">
        <f>VLOOKUP(BD1907,$BD$4:$BN$12824,9,0)*BE1907</f>
        <v>266.06447842041337</v>
      </c>
      <c r="BV1907" s="867"/>
      <c r="BW1907" s="867">
        <f>VLOOKUP(BD1907,$BD$4:$BN$12824,11,0)*BE1907</f>
        <v>0</v>
      </c>
      <c r="BX1907" s="1146">
        <f t="shared" si="364"/>
        <v>127913.44636007638</v>
      </c>
      <c r="BY1907" s="867">
        <f t="shared" si="366"/>
        <v>762004.43060868303</v>
      </c>
      <c r="BZ1907" s="867">
        <f t="shared" si="365"/>
        <v>7620044.3060868308</v>
      </c>
      <c r="CA1907" s="867">
        <f>_xlfn.MAXIFS($BY$4:$BY$12824,$S$4:$S$12824,$S1907)</f>
        <v>802109.92695650866</v>
      </c>
      <c r="CB1907" s="1032"/>
      <c r="CF1907" s="946">
        <f t="shared" si="370"/>
        <v>7271680</v>
      </c>
    </row>
    <row r="1908" spans="2:84">
      <c r="B1908" s="839" t="s">
        <v>98</v>
      </c>
      <c r="C1908" s="839" t="s">
        <v>273</v>
      </c>
      <c r="D1908" s="839" t="s">
        <v>6289</v>
      </c>
      <c r="E1908" s="839" t="s">
        <v>6290</v>
      </c>
      <c r="F1908" s="841">
        <v>45841</v>
      </c>
      <c r="G1908" s="868" t="s">
        <v>273</v>
      </c>
      <c r="H1908" s="842" t="s">
        <v>134</v>
      </c>
      <c r="I1908" s="883"/>
      <c r="J1908" s="841"/>
      <c r="K1908" s="841"/>
      <c r="L1908" s="843" t="s">
        <v>106</v>
      </c>
      <c r="M1908" s="844" t="s">
        <v>275</v>
      </c>
      <c r="N1908" s="841"/>
      <c r="O1908" s="884" t="s">
        <v>150</v>
      </c>
      <c r="P1908" s="842" t="s">
        <v>124</v>
      </c>
      <c r="Q1908" s="843"/>
      <c r="R1908" s="845" t="str">
        <f>RIGHT(S1908,5)</f>
        <v>15082</v>
      </c>
      <c r="S1908" s="1127" t="s">
        <v>4675</v>
      </c>
      <c r="T1908" s="885" t="s">
        <v>4676</v>
      </c>
      <c r="U1908" s="886">
        <v>168</v>
      </c>
      <c r="V1908" s="842" t="s">
        <v>3</v>
      </c>
      <c r="W1908" s="846" t="s">
        <v>4677</v>
      </c>
      <c r="X1908" s="847">
        <f t="shared" si="368"/>
        <v>1987.44</v>
      </c>
      <c r="Y1908" s="853" t="s">
        <v>4582</v>
      </c>
      <c r="Z1908" s="902">
        <v>5.6189999999999998</v>
      </c>
      <c r="AA1908" s="849"/>
      <c r="AB1908" s="849">
        <f t="shared" si="360"/>
        <v>943.99199999999996</v>
      </c>
      <c r="AC1908" s="850">
        <f t="shared" si="361"/>
        <v>943.99199999999996</v>
      </c>
      <c r="AD1908" s="851">
        <f t="shared" si="369"/>
        <v>32000</v>
      </c>
      <c r="AE1908" s="852">
        <v>29936.21</v>
      </c>
      <c r="AF1908" s="853">
        <v>0.1</v>
      </c>
      <c r="AG1908" s="854">
        <f t="shared" si="362"/>
        <v>2863990.0543586588</v>
      </c>
      <c r="AH1908" s="853">
        <v>0.08</v>
      </c>
      <c r="AI1908" s="855">
        <f t="shared" si="363"/>
        <v>2489882.6243742923</v>
      </c>
      <c r="AJ1908" s="856" t="s">
        <v>6292</v>
      </c>
      <c r="AK1908" s="857">
        <v>45911</v>
      </c>
      <c r="AL1908" s="843" t="s">
        <v>6293</v>
      </c>
      <c r="AM1908" s="843" t="s">
        <v>6294</v>
      </c>
      <c r="AN1908" s="844" t="s">
        <v>3951</v>
      </c>
      <c r="AO1908" s="844" t="s">
        <v>141</v>
      </c>
      <c r="AP1908" s="841"/>
      <c r="AQ1908" s="841">
        <v>45929</v>
      </c>
      <c r="AR1908" s="841">
        <v>45987</v>
      </c>
      <c r="AS1908" s="842" t="s">
        <v>1284</v>
      </c>
      <c r="AT1908" s="842" t="s">
        <v>1743</v>
      </c>
      <c r="AU1908" s="842" t="s">
        <v>6295</v>
      </c>
      <c r="AV1908" s="845" t="s">
        <v>6296</v>
      </c>
      <c r="AW1908" s="861">
        <v>45986</v>
      </c>
      <c r="AX1908" s="862">
        <v>45987</v>
      </c>
      <c r="AY1908" s="843"/>
      <c r="AZ1908" s="842">
        <v>94031000</v>
      </c>
      <c r="BA1908" s="842" t="s">
        <v>120</v>
      </c>
      <c r="BB1908" s="863" t="s">
        <v>121</v>
      </c>
      <c r="BC1908" s="864">
        <v>45990</v>
      </c>
      <c r="BD1908" s="860" t="s">
        <v>6297</v>
      </c>
      <c r="BE1908" s="865" cm="1">
        <f t="array" ref="BE1908">IF(BD1908="","",AC1908/SUMPRODUCT(--(BD1908=$BD$4:$BD$12824),$AC$4:$AC$12824))</f>
        <v>9.1258325701017821E-3</v>
      </c>
      <c r="BF1908" s="458"/>
      <c r="BG1908" s="458"/>
      <c r="BH1908" s="458"/>
      <c r="BI1908" s="458"/>
      <c r="BJ1908" s="458"/>
      <c r="BK1908" s="458"/>
      <c r="BL1908" s="458"/>
      <c r="BM1908" s="458"/>
      <c r="BN1908" s="458"/>
      <c r="BO1908" s="866">
        <f>VLOOKUP(BD1908,$BD$4:$BN$12824,3,0)*BE1908</f>
        <v>351874.51842376211</v>
      </c>
      <c r="BP1908" s="866"/>
      <c r="BQ1908" s="866"/>
      <c r="BR1908" s="866">
        <f>VLOOKUP(BD1908,$BD$4:$BN$12824,6,0)*BE1908</f>
        <v>149910.23752565135</v>
      </c>
      <c r="BS1908" s="866">
        <f>VLOOKUP(BD1908,$BD$4:$BN$12824,7,0)*BE1908</f>
        <v>28483.274842824576</v>
      </c>
      <c r="BT1908" s="866"/>
      <c r="BU1908" s="866">
        <f>VLOOKUP(BD1908,$BD$4:$BN$12824,9,0)*BE1908</f>
        <v>1105.2752117278774</v>
      </c>
      <c r="BV1908" s="867"/>
      <c r="BW1908" s="867">
        <f>VLOOKUP(BD1908,$BD$4:$BN$12824,11,0)*BE1908</f>
        <v>0</v>
      </c>
      <c r="BX1908" s="1146">
        <f t="shared" si="364"/>
        <v>531373.3060039659</v>
      </c>
      <c r="BY1908" s="867">
        <f t="shared" si="366"/>
        <v>188422.06018263465</v>
      </c>
      <c r="BZ1908" s="867">
        <f t="shared" si="365"/>
        <v>31654906.110682622</v>
      </c>
      <c r="CA1908" s="867">
        <f>_xlfn.MAXIFS($BY$4:$BY$12824,$S$4:$S$12824,$S1908)</f>
        <v>205740.65155659986</v>
      </c>
      <c r="CB1908" s="1032"/>
      <c r="CF1908" s="946">
        <f t="shared" si="370"/>
        <v>30207744</v>
      </c>
    </row>
    <row r="1909" spans="2:84">
      <c r="B1909" s="839" t="s">
        <v>98</v>
      </c>
      <c r="C1909" s="839" t="s">
        <v>273</v>
      </c>
      <c r="D1909" s="839" t="s">
        <v>6289</v>
      </c>
      <c r="E1909" s="839" t="s">
        <v>6290</v>
      </c>
      <c r="F1909" s="841">
        <v>45841</v>
      </c>
      <c r="G1909" s="868" t="s">
        <v>273</v>
      </c>
      <c r="H1909" s="842" t="s">
        <v>134</v>
      </c>
      <c r="I1909" s="883"/>
      <c r="J1909" s="841"/>
      <c r="K1909" s="841"/>
      <c r="L1909" s="843" t="s">
        <v>106</v>
      </c>
      <c r="M1909" s="844" t="s">
        <v>275</v>
      </c>
      <c r="N1909" s="841"/>
      <c r="O1909" s="884" t="s">
        <v>150</v>
      </c>
      <c r="P1909" s="842" t="s">
        <v>124</v>
      </c>
      <c r="Q1909" s="843"/>
      <c r="R1909" s="845" t="str">
        <f>RIGHT(S1909,8)</f>
        <v>14108.24</v>
      </c>
      <c r="S1909" s="1127" t="s">
        <v>4021</v>
      </c>
      <c r="T1909" s="885" t="s">
        <v>4022</v>
      </c>
      <c r="U1909" s="886">
        <v>2</v>
      </c>
      <c r="V1909" s="842" t="s">
        <v>3</v>
      </c>
      <c r="W1909" s="846" t="s">
        <v>4478</v>
      </c>
      <c r="X1909" s="847">
        <f t="shared" si="368"/>
        <v>9.92</v>
      </c>
      <c r="Y1909" s="853" t="s">
        <v>4582</v>
      </c>
      <c r="Z1909" s="902">
        <v>2.3559999999999999</v>
      </c>
      <c r="AA1909" s="849"/>
      <c r="AB1909" s="849">
        <f t="shared" si="360"/>
        <v>4.7119999999999997</v>
      </c>
      <c r="AC1909" s="850">
        <f t="shared" si="361"/>
        <v>4.7119999999999997</v>
      </c>
      <c r="AD1909" s="851">
        <f t="shared" si="369"/>
        <v>32000</v>
      </c>
      <c r="AE1909" s="852">
        <v>29936.21</v>
      </c>
      <c r="AF1909" s="853">
        <v>0.1</v>
      </c>
      <c r="AG1909" s="854">
        <f t="shared" si="362"/>
        <v>14295.800320487884</v>
      </c>
      <c r="AH1909" s="853">
        <v>0.08</v>
      </c>
      <c r="AI1909" s="855">
        <f t="shared" si="363"/>
        <v>12428.417747239029</v>
      </c>
      <c r="AJ1909" s="856" t="s">
        <v>6292</v>
      </c>
      <c r="AK1909" s="857">
        <v>45911</v>
      </c>
      <c r="AL1909" s="843" t="s">
        <v>6293</v>
      </c>
      <c r="AM1909" s="843" t="s">
        <v>6294</v>
      </c>
      <c r="AN1909" s="844" t="s">
        <v>3951</v>
      </c>
      <c r="AO1909" s="844" t="s">
        <v>141</v>
      </c>
      <c r="AP1909" s="841"/>
      <c r="AQ1909" s="841">
        <v>45929</v>
      </c>
      <c r="AR1909" s="841">
        <v>45987</v>
      </c>
      <c r="AS1909" s="842" t="s">
        <v>1284</v>
      </c>
      <c r="AT1909" s="842" t="s">
        <v>1743</v>
      </c>
      <c r="AU1909" s="842" t="s">
        <v>6295</v>
      </c>
      <c r="AV1909" s="845" t="s">
        <v>6296</v>
      </c>
      <c r="AW1909" s="861">
        <v>45986</v>
      </c>
      <c r="AX1909" s="862">
        <v>45987</v>
      </c>
      <c r="AY1909" s="843"/>
      <c r="AZ1909" s="842">
        <v>94031000</v>
      </c>
      <c r="BA1909" s="842" t="s">
        <v>120</v>
      </c>
      <c r="BB1909" s="863" t="s">
        <v>121</v>
      </c>
      <c r="BC1909" s="864">
        <v>45990</v>
      </c>
      <c r="BD1909" s="860" t="s">
        <v>6297</v>
      </c>
      <c r="BE1909" s="865" cm="1">
        <f t="array" ref="BE1909">IF(BD1909="","",AC1909/SUMPRODUCT(--(BD1909=$BD$4:$BD$12824),$AC$4:$AC$12824))</f>
        <v>4.5552211322044675E-5</v>
      </c>
      <c r="BF1909" s="458"/>
      <c r="BG1909" s="458"/>
      <c r="BH1909" s="458"/>
      <c r="BI1909" s="458"/>
      <c r="BJ1909" s="458"/>
      <c r="BK1909" s="458"/>
      <c r="BL1909" s="458"/>
      <c r="BM1909" s="458"/>
      <c r="BN1909" s="458"/>
      <c r="BO1909" s="866">
        <f>VLOOKUP(BD1909,$BD$4:$BN$12824,3,0)*BE1909</f>
        <v>1756.4054894668252</v>
      </c>
      <c r="BP1909" s="866"/>
      <c r="BQ1909" s="866"/>
      <c r="BR1909" s="866">
        <f>VLOOKUP(BD1909,$BD$4:$BN$12824,6,0)*BE1909</f>
        <v>748.28710330264369</v>
      </c>
      <c r="BS1909" s="866">
        <f>VLOOKUP(BD1909,$BD$4:$BN$12824,7,0)*BE1909</f>
        <v>142.17619541202615</v>
      </c>
      <c r="BT1909" s="866"/>
      <c r="BU1909" s="866">
        <f>VLOOKUP(BD1909,$BD$4:$BN$12824,9,0)*BE1909</f>
        <v>5.5170560742694406</v>
      </c>
      <c r="BV1909" s="867"/>
      <c r="BW1909" s="867">
        <f>VLOOKUP(BD1909,$BD$4:$BN$12824,11,0)*BE1909</f>
        <v>0</v>
      </c>
      <c r="BX1909" s="1146">
        <f t="shared" si="364"/>
        <v>2652.3858442557644</v>
      </c>
      <c r="BY1909" s="867">
        <f t="shared" si="366"/>
        <v>79003.80384237181</v>
      </c>
      <c r="BZ1909" s="867">
        <f t="shared" si="365"/>
        <v>158007.60768474362</v>
      </c>
      <c r="CA1909" s="867">
        <f>_xlfn.MAXIFS($BY$4:$BY$12824,$S$4:$S$12824,$S1909)</f>
        <v>97385.845927534101</v>
      </c>
      <c r="CB1909" s="1032"/>
      <c r="CF1909" s="946">
        <f t="shared" si="370"/>
        <v>150784</v>
      </c>
    </row>
    <row r="1910" spans="2:84">
      <c r="B1910" s="839" t="s">
        <v>98</v>
      </c>
      <c r="C1910" s="839" t="s">
        <v>273</v>
      </c>
      <c r="D1910" s="839" t="s">
        <v>6289</v>
      </c>
      <c r="E1910" s="839" t="s">
        <v>6290</v>
      </c>
      <c r="F1910" s="841">
        <v>45841</v>
      </c>
      <c r="G1910" s="868" t="s">
        <v>273</v>
      </c>
      <c r="H1910" s="842" t="s">
        <v>134</v>
      </c>
      <c r="I1910" s="883"/>
      <c r="J1910" s="841"/>
      <c r="K1910" s="841"/>
      <c r="L1910" s="843" t="s">
        <v>106</v>
      </c>
      <c r="M1910" s="844" t="s">
        <v>275</v>
      </c>
      <c r="N1910" s="841"/>
      <c r="O1910" s="884" t="s">
        <v>150</v>
      </c>
      <c r="P1910" s="842" t="s">
        <v>124</v>
      </c>
      <c r="Q1910" s="843"/>
      <c r="R1910" s="845" t="str">
        <f>RIGHT(S1910,8)</f>
        <v>14109.24</v>
      </c>
      <c r="S1910" s="1127" t="s">
        <v>4023</v>
      </c>
      <c r="T1910" s="885" t="s">
        <v>4024</v>
      </c>
      <c r="U1910" s="886">
        <v>2</v>
      </c>
      <c r="V1910" s="842" t="s">
        <v>3</v>
      </c>
      <c r="W1910" s="846" t="s">
        <v>4478</v>
      </c>
      <c r="X1910" s="847">
        <f t="shared" si="368"/>
        <v>9.92</v>
      </c>
      <c r="Y1910" s="853" t="s">
        <v>4582</v>
      </c>
      <c r="Z1910" s="902">
        <v>2.3559999999999999</v>
      </c>
      <c r="AA1910" s="849"/>
      <c r="AB1910" s="849">
        <f t="shared" si="360"/>
        <v>4.7119999999999997</v>
      </c>
      <c r="AC1910" s="850">
        <f t="shared" si="361"/>
        <v>4.7119999999999997</v>
      </c>
      <c r="AD1910" s="851">
        <f t="shared" si="369"/>
        <v>32000</v>
      </c>
      <c r="AE1910" s="852">
        <v>29936.21</v>
      </c>
      <c r="AF1910" s="853">
        <v>0.1</v>
      </c>
      <c r="AG1910" s="854">
        <f t="shared" si="362"/>
        <v>14295.800320487884</v>
      </c>
      <c r="AH1910" s="853">
        <v>0.08</v>
      </c>
      <c r="AI1910" s="855">
        <f t="shared" si="363"/>
        <v>12428.417747239029</v>
      </c>
      <c r="AJ1910" s="856" t="s">
        <v>6292</v>
      </c>
      <c r="AK1910" s="857">
        <v>45911</v>
      </c>
      <c r="AL1910" s="843" t="s">
        <v>6293</v>
      </c>
      <c r="AM1910" s="843" t="s">
        <v>6294</v>
      </c>
      <c r="AN1910" s="844" t="s">
        <v>3951</v>
      </c>
      <c r="AO1910" s="844" t="s">
        <v>141</v>
      </c>
      <c r="AP1910" s="841"/>
      <c r="AQ1910" s="841">
        <v>45929</v>
      </c>
      <c r="AR1910" s="841">
        <v>45987</v>
      </c>
      <c r="AS1910" s="842" t="s">
        <v>1284</v>
      </c>
      <c r="AT1910" s="842" t="s">
        <v>1743</v>
      </c>
      <c r="AU1910" s="842" t="s">
        <v>6295</v>
      </c>
      <c r="AV1910" s="845" t="s">
        <v>6296</v>
      </c>
      <c r="AW1910" s="861">
        <v>45986</v>
      </c>
      <c r="AX1910" s="862">
        <v>45987</v>
      </c>
      <c r="AY1910" s="843"/>
      <c r="AZ1910" s="842">
        <v>94031000</v>
      </c>
      <c r="BA1910" s="842" t="s">
        <v>120</v>
      </c>
      <c r="BB1910" s="863" t="s">
        <v>121</v>
      </c>
      <c r="BC1910" s="864">
        <v>45990</v>
      </c>
      <c r="BD1910" s="860" t="s">
        <v>6297</v>
      </c>
      <c r="BE1910" s="865" cm="1">
        <f t="array" ref="BE1910">IF(BD1910="","",AC1910/SUMPRODUCT(--(BD1910=$BD$4:$BD$12824),$AC$4:$AC$12824))</f>
        <v>4.5552211322044675E-5</v>
      </c>
      <c r="BF1910" s="458"/>
      <c r="BG1910" s="458"/>
      <c r="BH1910" s="458"/>
      <c r="BI1910" s="458"/>
      <c r="BJ1910" s="458"/>
      <c r="BK1910" s="458"/>
      <c r="BL1910" s="458"/>
      <c r="BM1910" s="458"/>
      <c r="BN1910" s="458"/>
      <c r="BO1910" s="866">
        <f>VLOOKUP(BD1910,$BD$4:$BN$12824,3,0)*BE1910</f>
        <v>1756.4054894668252</v>
      </c>
      <c r="BP1910" s="866"/>
      <c r="BQ1910" s="866"/>
      <c r="BR1910" s="866">
        <f>VLOOKUP(BD1910,$BD$4:$BN$12824,6,0)*BE1910</f>
        <v>748.28710330264369</v>
      </c>
      <c r="BS1910" s="866">
        <f>VLOOKUP(BD1910,$BD$4:$BN$12824,7,0)*BE1910</f>
        <v>142.17619541202615</v>
      </c>
      <c r="BT1910" s="866"/>
      <c r="BU1910" s="866">
        <f>VLOOKUP(BD1910,$BD$4:$BN$12824,9,0)*BE1910</f>
        <v>5.5170560742694406</v>
      </c>
      <c r="BV1910" s="867"/>
      <c r="BW1910" s="867">
        <f>VLOOKUP(BD1910,$BD$4:$BN$12824,11,0)*BE1910</f>
        <v>0</v>
      </c>
      <c r="BX1910" s="1146">
        <f t="shared" si="364"/>
        <v>2652.3858442557644</v>
      </c>
      <c r="BY1910" s="867">
        <f t="shared" si="366"/>
        <v>79003.80384237181</v>
      </c>
      <c r="BZ1910" s="867">
        <f t="shared" si="365"/>
        <v>158007.60768474362</v>
      </c>
      <c r="CA1910" s="867">
        <f>_xlfn.MAXIFS($BY$4:$BY$12824,$S$4:$S$12824,$S1910)</f>
        <v>86261.507330577806</v>
      </c>
      <c r="CB1910" s="1032"/>
      <c r="CF1910" s="946">
        <f t="shared" si="370"/>
        <v>150784</v>
      </c>
    </row>
    <row r="1911" spans="2:84">
      <c r="B1911" s="839" t="s">
        <v>98</v>
      </c>
      <c r="C1911" s="839" t="s">
        <v>273</v>
      </c>
      <c r="D1911" s="839" t="s">
        <v>6289</v>
      </c>
      <c r="E1911" s="839" t="s">
        <v>6290</v>
      </c>
      <c r="F1911" s="841">
        <v>45841</v>
      </c>
      <c r="G1911" s="868" t="s">
        <v>273</v>
      </c>
      <c r="H1911" s="842" t="s">
        <v>134</v>
      </c>
      <c r="I1911" s="883"/>
      <c r="J1911" s="841"/>
      <c r="K1911" s="841"/>
      <c r="L1911" s="843" t="s">
        <v>106</v>
      </c>
      <c r="M1911" s="844" t="s">
        <v>275</v>
      </c>
      <c r="N1911" s="841"/>
      <c r="O1911" s="884" t="s">
        <v>150</v>
      </c>
      <c r="P1911" s="842" t="s">
        <v>124</v>
      </c>
      <c r="Q1911" s="843"/>
      <c r="R1911" s="845" t="str">
        <f>RIGHT(S1911,5)</f>
        <v>15532</v>
      </c>
      <c r="S1911" s="1127" t="s">
        <v>2443</v>
      </c>
      <c r="T1911" s="885" t="s">
        <v>2444</v>
      </c>
      <c r="U1911" s="886">
        <v>8</v>
      </c>
      <c r="V1911" s="842" t="s">
        <v>3</v>
      </c>
      <c r="W1911" s="846" t="s">
        <v>6391</v>
      </c>
      <c r="X1911" s="847">
        <f t="shared" si="368"/>
        <v>918.08</v>
      </c>
      <c r="Y1911" s="853" t="s">
        <v>4582</v>
      </c>
      <c r="Z1911" s="902">
        <v>54.511000000000003</v>
      </c>
      <c r="AA1911" s="849"/>
      <c r="AB1911" s="849">
        <f t="shared" si="360"/>
        <v>436.08800000000002</v>
      </c>
      <c r="AC1911" s="850">
        <f t="shared" si="361"/>
        <v>436.08800000000002</v>
      </c>
      <c r="AD1911" s="851">
        <f t="shared" si="369"/>
        <v>32000</v>
      </c>
      <c r="AE1911" s="852">
        <v>29936.21</v>
      </c>
      <c r="AF1911" s="853">
        <v>0.1</v>
      </c>
      <c r="AG1911" s="854">
        <f t="shared" si="362"/>
        <v>1323053.2619187015</v>
      </c>
      <c r="AH1911" s="853">
        <v>0.08</v>
      </c>
      <c r="AI1911" s="855">
        <f t="shared" si="363"/>
        <v>1150230.0166718962</v>
      </c>
      <c r="AJ1911" s="856" t="s">
        <v>6292</v>
      </c>
      <c r="AK1911" s="857">
        <v>45911</v>
      </c>
      <c r="AL1911" s="843" t="s">
        <v>6293</v>
      </c>
      <c r="AM1911" s="843" t="s">
        <v>6294</v>
      </c>
      <c r="AN1911" s="844" t="s">
        <v>3951</v>
      </c>
      <c r="AO1911" s="844" t="s">
        <v>141</v>
      </c>
      <c r="AP1911" s="841"/>
      <c r="AQ1911" s="841">
        <v>45929</v>
      </c>
      <c r="AR1911" s="841">
        <v>45987</v>
      </c>
      <c r="AS1911" s="842" t="s">
        <v>1284</v>
      </c>
      <c r="AT1911" s="842" t="s">
        <v>1743</v>
      </c>
      <c r="AU1911" s="842" t="s">
        <v>6295</v>
      </c>
      <c r="AV1911" s="845" t="s">
        <v>6296</v>
      </c>
      <c r="AW1911" s="861">
        <v>45986</v>
      </c>
      <c r="AX1911" s="862">
        <v>45987</v>
      </c>
      <c r="AY1911" s="843"/>
      <c r="AZ1911" s="842">
        <v>94031000</v>
      </c>
      <c r="BA1911" s="842" t="s">
        <v>120</v>
      </c>
      <c r="BB1911" s="863" t="s">
        <v>121</v>
      </c>
      <c r="BC1911" s="864">
        <v>45990</v>
      </c>
      <c r="BD1911" s="860" t="s">
        <v>6297</v>
      </c>
      <c r="BE1911" s="865" cm="1">
        <f t="array" ref="BE1911">IF(BD1911="","",AC1911/SUMPRODUCT(--(BD1911=$BD$4:$BD$12824),$AC$4:$AC$12824))</f>
        <v>4.215783686546651E-3</v>
      </c>
      <c r="BF1911" s="458"/>
      <c r="BG1911" s="458"/>
      <c r="BH1911" s="458"/>
      <c r="BI1911" s="458"/>
      <c r="BJ1911" s="458"/>
      <c r="BK1911" s="458"/>
      <c r="BL1911" s="458"/>
      <c r="BM1911" s="458"/>
      <c r="BN1911" s="458"/>
      <c r="BO1911" s="866">
        <f>VLOOKUP(BD1911,$BD$4:$BN$12824,3,0)*BE1911</f>
        <v>162552.49513807488</v>
      </c>
      <c r="BP1911" s="866"/>
      <c r="BQ1911" s="866"/>
      <c r="BR1911" s="866">
        <f>VLOOKUP(BD1911,$BD$4:$BN$12824,6,0)*BE1911</f>
        <v>69252.764495976924</v>
      </c>
      <c r="BS1911" s="866">
        <f>VLOOKUP(BD1911,$BD$4:$BN$12824,7,0)*BE1911</f>
        <v>13158.177568938809</v>
      </c>
      <c r="BT1911" s="866"/>
      <c r="BU1911" s="866">
        <f>VLOOKUP(BD1911,$BD$4:$BN$12824,9,0)*BE1911</f>
        <v>510.59464119609765</v>
      </c>
      <c r="BV1911" s="867"/>
      <c r="BW1911" s="867">
        <f>VLOOKUP(BD1911,$BD$4:$BN$12824,11,0)*BE1911</f>
        <v>0</v>
      </c>
      <c r="BX1911" s="1146">
        <f t="shared" si="364"/>
        <v>245474.03184418674</v>
      </c>
      <c r="BY1911" s="867">
        <f t="shared" si="366"/>
        <v>1827918.6550303611</v>
      </c>
      <c r="BZ1911" s="867">
        <f t="shared" si="365"/>
        <v>14623349.240242889</v>
      </c>
      <c r="CA1911" s="867">
        <f>_xlfn.MAXIFS($BY$4:$BY$12824,$S$4:$S$12824,$S1911)</f>
        <v>3210026.6989352019</v>
      </c>
      <c r="CB1911" s="1032"/>
      <c r="CF1911" s="946">
        <f t="shared" si="370"/>
        <v>13954816</v>
      </c>
    </row>
    <row r="1912" spans="2:84">
      <c r="B1912" s="839" t="s">
        <v>98</v>
      </c>
      <c r="C1912" s="839" t="s">
        <v>273</v>
      </c>
      <c r="D1912" s="839" t="s">
        <v>6289</v>
      </c>
      <c r="E1912" s="839" t="s">
        <v>6290</v>
      </c>
      <c r="F1912" s="841">
        <v>45841</v>
      </c>
      <c r="G1912" s="868" t="s">
        <v>273</v>
      </c>
      <c r="H1912" s="842" t="s">
        <v>134</v>
      </c>
      <c r="I1912" s="883"/>
      <c r="J1912" s="841"/>
      <c r="K1912" s="841"/>
      <c r="L1912" s="843" t="s">
        <v>106</v>
      </c>
      <c r="M1912" s="844" t="s">
        <v>275</v>
      </c>
      <c r="N1912" s="841"/>
      <c r="O1912" s="884" t="s">
        <v>150</v>
      </c>
      <c r="P1912" s="842" t="s">
        <v>124</v>
      </c>
      <c r="Q1912" s="843"/>
      <c r="R1912" s="845" t="str">
        <f>RIGHT(S1912,8)</f>
        <v>16785.24</v>
      </c>
      <c r="S1912" s="1127" t="s">
        <v>4669</v>
      </c>
      <c r="T1912" s="885" t="s">
        <v>4670</v>
      </c>
      <c r="U1912" s="886">
        <v>4</v>
      </c>
      <c r="V1912" s="842" t="s">
        <v>3</v>
      </c>
      <c r="W1912" s="846" t="s">
        <v>4486</v>
      </c>
      <c r="X1912" s="847">
        <f t="shared" si="368"/>
        <v>87.12</v>
      </c>
      <c r="Y1912" s="853" t="s">
        <v>4582</v>
      </c>
      <c r="Z1912" s="902">
        <v>10.346</v>
      </c>
      <c r="AA1912" s="849"/>
      <c r="AB1912" s="849">
        <f t="shared" si="360"/>
        <v>41.384</v>
      </c>
      <c r="AC1912" s="850">
        <f t="shared" si="361"/>
        <v>41.384</v>
      </c>
      <c r="AD1912" s="851">
        <f t="shared" si="369"/>
        <v>32000</v>
      </c>
      <c r="AE1912" s="852">
        <v>29936.21</v>
      </c>
      <c r="AF1912" s="853">
        <v>0.1</v>
      </c>
      <c r="AG1912" s="854">
        <f t="shared" si="362"/>
        <v>125555.47548027817</v>
      </c>
      <c r="AH1912" s="853">
        <v>0.08</v>
      </c>
      <c r="AI1912" s="855">
        <f t="shared" si="363"/>
        <v>109154.84720962227</v>
      </c>
      <c r="AJ1912" s="856" t="s">
        <v>6292</v>
      </c>
      <c r="AK1912" s="857">
        <v>45911</v>
      </c>
      <c r="AL1912" s="843" t="s">
        <v>6293</v>
      </c>
      <c r="AM1912" s="843" t="s">
        <v>6294</v>
      </c>
      <c r="AN1912" s="844" t="s">
        <v>3951</v>
      </c>
      <c r="AO1912" s="844" t="s">
        <v>141</v>
      </c>
      <c r="AP1912" s="841"/>
      <c r="AQ1912" s="841">
        <v>45929</v>
      </c>
      <c r="AR1912" s="841">
        <v>45987</v>
      </c>
      <c r="AS1912" s="842" t="s">
        <v>1284</v>
      </c>
      <c r="AT1912" s="842" t="s">
        <v>1743</v>
      </c>
      <c r="AU1912" s="842" t="s">
        <v>6295</v>
      </c>
      <c r="AV1912" s="845" t="s">
        <v>6296</v>
      </c>
      <c r="AW1912" s="861">
        <v>45986</v>
      </c>
      <c r="AX1912" s="862">
        <v>45987</v>
      </c>
      <c r="AY1912" s="843"/>
      <c r="AZ1912" s="842">
        <v>94031000</v>
      </c>
      <c r="BA1912" s="842" t="s">
        <v>120</v>
      </c>
      <c r="BB1912" s="863" t="s">
        <v>121</v>
      </c>
      <c r="BC1912" s="864">
        <v>45990</v>
      </c>
      <c r="BD1912" s="860" t="s">
        <v>6297</v>
      </c>
      <c r="BE1912" s="865" cm="1">
        <f t="array" ref="BE1912">IF(BD1912="","",AC1912/SUMPRODUCT(--(BD1912=$BD$4:$BD$12824),$AC$4:$AC$12824))</f>
        <v>4.000706097944603E-4</v>
      </c>
      <c r="BF1912" s="458"/>
      <c r="BG1912" s="458"/>
      <c r="BH1912" s="458"/>
      <c r="BI1912" s="458"/>
      <c r="BJ1912" s="458"/>
      <c r="BK1912" s="458"/>
      <c r="BL1912" s="458"/>
      <c r="BM1912" s="458"/>
      <c r="BN1912" s="458"/>
      <c r="BO1912" s="866">
        <f>VLOOKUP(BD1912,$BD$4:$BN$12824,3,0)*BE1912</f>
        <v>15425.951777609314</v>
      </c>
      <c r="BP1912" s="866"/>
      <c r="BQ1912" s="866"/>
      <c r="BR1912" s="866">
        <f>VLOOKUP(BD1912,$BD$4:$BN$12824,6,0)*BE1912</f>
        <v>6571.9680566800944</v>
      </c>
      <c r="BS1912" s="866">
        <f>VLOOKUP(BD1912,$BD$4:$BN$12824,7,0)*BE1912</f>
        <v>1248.6883851721755</v>
      </c>
      <c r="BT1912" s="866"/>
      <c r="BU1912" s="866">
        <f>VLOOKUP(BD1912,$BD$4:$BN$12824,9,0)*BE1912</f>
        <v>48.454551905256061</v>
      </c>
      <c r="BV1912" s="867"/>
      <c r="BW1912" s="867">
        <f>VLOOKUP(BD1912,$BD$4:$BN$12824,11,0)*BE1912</f>
        <v>0</v>
      </c>
      <c r="BX1912" s="1146">
        <f t="shared" si="364"/>
        <v>23295.06277136684</v>
      </c>
      <c r="BY1912" s="867">
        <f t="shared" si="366"/>
        <v>346932.6632229113</v>
      </c>
      <c r="BZ1912" s="867">
        <f t="shared" si="365"/>
        <v>1387730.6528916452</v>
      </c>
      <c r="CA1912" s="867">
        <f>_xlfn.MAXIFS($BY$4:$BY$12824,$S$4:$S$12824,$S1912)</f>
        <v>378785.40920564212</v>
      </c>
      <c r="CB1912" s="1032"/>
      <c r="CF1912" s="946">
        <f t="shared" si="370"/>
        <v>1324288</v>
      </c>
    </row>
    <row r="1913" spans="2:84">
      <c r="B1913" s="839" t="s">
        <v>98</v>
      </c>
      <c r="C1913" s="839" t="s">
        <v>273</v>
      </c>
      <c r="D1913" s="839" t="s">
        <v>6289</v>
      </c>
      <c r="E1913" s="839" t="s">
        <v>6290</v>
      </c>
      <c r="F1913" s="841">
        <v>45841</v>
      </c>
      <c r="G1913" s="868" t="s">
        <v>273</v>
      </c>
      <c r="H1913" s="842" t="s">
        <v>134</v>
      </c>
      <c r="I1913" s="883"/>
      <c r="J1913" s="841"/>
      <c r="K1913" s="841"/>
      <c r="L1913" s="843" t="s">
        <v>106</v>
      </c>
      <c r="M1913" s="844" t="s">
        <v>275</v>
      </c>
      <c r="N1913" s="841"/>
      <c r="O1913" s="884" t="s">
        <v>150</v>
      </c>
      <c r="P1913" s="842" t="s">
        <v>124</v>
      </c>
      <c r="Q1913" s="843"/>
      <c r="R1913" s="845" t="str">
        <f t="shared" ref="R1913:R1922" si="371">RIGHT(S1913,5)</f>
        <v>18453</v>
      </c>
      <c r="S1913" s="1127" t="s">
        <v>4029</v>
      </c>
      <c r="T1913" s="885" t="s">
        <v>4030</v>
      </c>
      <c r="U1913" s="886">
        <v>2</v>
      </c>
      <c r="V1913" s="842" t="s">
        <v>3</v>
      </c>
      <c r="W1913" s="846" t="s">
        <v>4493</v>
      </c>
      <c r="X1913" s="847">
        <f t="shared" si="368"/>
        <v>62.16</v>
      </c>
      <c r="Y1913" s="853" t="s">
        <v>4582</v>
      </c>
      <c r="Z1913" s="902">
        <v>14.763</v>
      </c>
      <c r="AA1913" s="849"/>
      <c r="AB1913" s="849">
        <f t="shared" si="360"/>
        <v>29.526</v>
      </c>
      <c r="AC1913" s="850">
        <f t="shared" si="361"/>
        <v>29.526</v>
      </c>
      <c r="AD1913" s="851">
        <f t="shared" si="369"/>
        <v>32000</v>
      </c>
      <c r="AE1913" s="852">
        <v>29936.21</v>
      </c>
      <c r="AF1913" s="853">
        <v>0.1</v>
      </c>
      <c r="AG1913" s="854">
        <f t="shared" si="362"/>
        <v>89579.329427573291</v>
      </c>
      <c r="AH1913" s="853">
        <v>0.08</v>
      </c>
      <c r="AI1913" s="855">
        <f t="shared" si="363"/>
        <v>77878.069271005865</v>
      </c>
      <c r="AJ1913" s="856" t="s">
        <v>6292</v>
      </c>
      <c r="AK1913" s="857">
        <v>45911</v>
      </c>
      <c r="AL1913" s="843" t="s">
        <v>6293</v>
      </c>
      <c r="AM1913" s="843" t="s">
        <v>6294</v>
      </c>
      <c r="AN1913" s="844" t="s">
        <v>3951</v>
      </c>
      <c r="AO1913" s="844" t="s">
        <v>141</v>
      </c>
      <c r="AP1913" s="841"/>
      <c r="AQ1913" s="841">
        <v>45929</v>
      </c>
      <c r="AR1913" s="841">
        <v>45987</v>
      </c>
      <c r="AS1913" s="842" t="s">
        <v>1284</v>
      </c>
      <c r="AT1913" s="842" t="s">
        <v>1743</v>
      </c>
      <c r="AU1913" s="842" t="s">
        <v>6295</v>
      </c>
      <c r="AV1913" s="845" t="s">
        <v>6296</v>
      </c>
      <c r="AW1913" s="861">
        <v>45986</v>
      </c>
      <c r="AX1913" s="862">
        <v>45987</v>
      </c>
      <c r="AY1913" s="843"/>
      <c r="AZ1913" s="842">
        <v>94031000</v>
      </c>
      <c r="BA1913" s="842" t="s">
        <v>120</v>
      </c>
      <c r="BB1913" s="863" t="s">
        <v>121</v>
      </c>
      <c r="BC1913" s="864">
        <v>45990</v>
      </c>
      <c r="BD1913" s="860" t="s">
        <v>6297</v>
      </c>
      <c r="BE1913" s="865" cm="1">
        <f t="array" ref="BE1913">IF(BD1913="","",AC1913/SUMPRODUCT(--(BD1913=$BD$4:$BD$12824),$AC$4:$AC$12824))</f>
        <v>2.8543603384861865E-4</v>
      </c>
      <c r="BF1913" s="458"/>
      <c r="BG1913" s="458"/>
      <c r="BH1913" s="458"/>
      <c r="BI1913" s="458"/>
      <c r="BJ1913" s="458"/>
      <c r="BK1913" s="458"/>
      <c r="BL1913" s="458"/>
      <c r="BM1913" s="458"/>
      <c r="BN1913" s="458"/>
      <c r="BO1913" s="866">
        <f>VLOOKUP(BD1913,$BD$4:$BN$12824,3,0)*BE1913</f>
        <v>11005.86342996551</v>
      </c>
      <c r="BP1913" s="866"/>
      <c r="BQ1913" s="866"/>
      <c r="BR1913" s="866">
        <f>VLOOKUP(BD1913,$BD$4:$BN$12824,6,0)*BE1913</f>
        <v>4688.8635424689846</v>
      </c>
      <c r="BS1913" s="866">
        <f>VLOOKUP(BD1913,$BD$4:$BN$12824,7,0)*BE1913</f>
        <v>890.89438576729287</v>
      </c>
      <c r="BT1913" s="866"/>
      <c r="BU1913" s="866">
        <f>VLOOKUP(BD1913,$BD$4:$BN$12824,9,0)*BE1913</f>
        <v>34.57058523957545</v>
      </c>
      <c r="BV1913" s="867"/>
      <c r="BW1913" s="867">
        <f>VLOOKUP(BD1913,$BD$4:$BN$12824,11,0)*BE1913</f>
        <v>0</v>
      </c>
      <c r="BX1913" s="1146">
        <f t="shared" si="364"/>
        <v>16620.191943441365</v>
      </c>
      <c r="BY1913" s="867">
        <f t="shared" si="366"/>
        <v>495048.02891550731</v>
      </c>
      <c r="BZ1913" s="867">
        <f t="shared" si="365"/>
        <v>990096.05783101462</v>
      </c>
      <c r="CA1913" s="867">
        <f>_xlfn.MAXIFS($BY$4:$BY$12824,$S$4:$S$12824,$S1913)</f>
        <v>682993.65396080317</v>
      </c>
      <c r="CB1913" s="1032"/>
      <c r="CF1913" s="946">
        <f t="shared" si="370"/>
        <v>944832</v>
      </c>
    </row>
    <row r="1914" spans="2:84">
      <c r="B1914" s="839" t="s">
        <v>98</v>
      </c>
      <c r="C1914" s="839" t="s">
        <v>273</v>
      </c>
      <c r="D1914" s="839" t="s">
        <v>6289</v>
      </c>
      <c r="E1914" s="839" t="s">
        <v>6290</v>
      </c>
      <c r="F1914" s="841">
        <v>45841</v>
      </c>
      <c r="G1914" s="868" t="s">
        <v>273</v>
      </c>
      <c r="H1914" s="842" t="s">
        <v>134</v>
      </c>
      <c r="I1914" s="883"/>
      <c r="J1914" s="841"/>
      <c r="K1914" s="841"/>
      <c r="L1914" s="843" t="s">
        <v>106</v>
      </c>
      <c r="M1914" s="844" t="s">
        <v>275</v>
      </c>
      <c r="N1914" s="841"/>
      <c r="O1914" s="884" t="s">
        <v>150</v>
      </c>
      <c r="P1914" s="842" t="s">
        <v>124</v>
      </c>
      <c r="Q1914" s="843"/>
      <c r="R1914" s="845" t="str">
        <f t="shared" si="371"/>
        <v>18454</v>
      </c>
      <c r="S1914" s="1127" t="s">
        <v>4031</v>
      </c>
      <c r="T1914" s="885" t="s">
        <v>4032</v>
      </c>
      <c r="U1914" s="886">
        <v>2</v>
      </c>
      <c r="V1914" s="842" t="s">
        <v>3</v>
      </c>
      <c r="W1914" s="846" t="s">
        <v>4493</v>
      </c>
      <c r="X1914" s="847">
        <f t="shared" si="368"/>
        <v>62.16</v>
      </c>
      <c r="Y1914" s="853" t="s">
        <v>4582</v>
      </c>
      <c r="Z1914" s="902">
        <v>14.763</v>
      </c>
      <c r="AA1914" s="849"/>
      <c r="AB1914" s="849">
        <f t="shared" si="360"/>
        <v>29.526</v>
      </c>
      <c r="AC1914" s="850">
        <f t="shared" si="361"/>
        <v>29.526</v>
      </c>
      <c r="AD1914" s="851">
        <f t="shared" si="369"/>
        <v>32000</v>
      </c>
      <c r="AE1914" s="852">
        <v>29936.21</v>
      </c>
      <c r="AF1914" s="853">
        <v>0.1</v>
      </c>
      <c r="AG1914" s="854">
        <f t="shared" si="362"/>
        <v>89579.329427573291</v>
      </c>
      <c r="AH1914" s="853">
        <v>0.08</v>
      </c>
      <c r="AI1914" s="855">
        <f t="shared" si="363"/>
        <v>77878.069271005865</v>
      </c>
      <c r="AJ1914" s="856" t="s">
        <v>6292</v>
      </c>
      <c r="AK1914" s="857">
        <v>45911</v>
      </c>
      <c r="AL1914" s="843" t="s">
        <v>6293</v>
      </c>
      <c r="AM1914" s="843" t="s">
        <v>6294</v>
      </c>
      <c r="AN1914" s="844" t="s">
        <v>3951</v>
      </c>
      <c r="AO1914" s="844" t="s">
        <v>141</v>
      </c>
      <c r="AP1914" s="841"/>
      <c r="AQ1914" s="841">
        <v>45929</v>
      </c>
      <c r="AR1914" s="841">
        <v>45987</v>
      </c>
      <c r="AS1914" s="842" t="s">
        <v>1284</v>
      </c>
      <c r="AT1914" s="842" t="s">
        <v>1743</v>
      </c>
      <c r="AU1914" s="842" t="s">
        <v>6295</v>
      </c>
      <c r="AV1914" s="845" t="s">
        <v>6296</v>
      </c>
      <c r="AW1914" s="861">
        <v>45986</v>
      </c>
      <c r="AX1914" s="862">
        <v>45987</v>
      </c>
      <c r="AY1914" s="843"/>
      <c r="AZ1914" s="842">
        <v>94031000</v>
      </c>
      <c r="BA1914" s="842" t="s">
        <v>120</v>
      </c>
      <c r="BB1914" s="863" t="s">
        <v>121</v>
      </c>
      <c r="BC1914" s="864">
        <v>45990</v>
      </c>
      <c r="BD1914" s="860" t="s">
        <v>6297</v>
      </c>
      <c r="BE1914" s="865" cm="1">
        <f t="array" ref="BE1914">IF(BD1914="","",AC1914/SUMPRODUCT(--(BD1914=$BD$4:$BD$12824),$AC$4:$AC$12824))</f>
        <v>2.8543603384861865E-4</v>
      </c>
      <c r="BF1914" s="458"/>
      <c r="BG1914" s="458"/>
      <c r="BH1914" s="458"/>
      <c r="BI1914" s="458"/>
      <c r="BJ1914" s="458"/>
      <c r="BK1914" s="458"/>
      <c r="BL1914" s="458"/>
      <c r="BM1914" s="458"/>
      <c r="BN1914" s="458"/>
      <c r="BO1914" s="866">
        <f>VLOOKUP(BD1914,$BD$4:$BN$12824,3,0)*BE1914</f>
        <v>11005.86342996551</v>
      </c>
      <c r="BP1914" s="866"/>
      <c r="BQ1914" s="866"/>
      <c r="BR1914" s="866">
        <f>VLOOKUP(BD1914,$BD$4:$BN$12824,6,0)*BE1914</f>
        <v>4688.8635424689846</v>
      </c>
      <c r="BS1914" s="866">
        <f>VLOOKUP(BD1914,$BD$4:$BN$12824,7,0)*BE1914</f>
        <v>890.89438576729287</v>
      </c>
      <c r="BT1914" s="866"/>
      <c r="BU1914" s="866">
        <f>VLOOKUP(BD1914,$BD$4:$BN$12824,9,0)*BE1914</f>
        <v>34.57058523957545</v>
      </c>
      <c r="BV1914" s="867"/>
      <c r="BW1914" s="867">
        <f>VLOOKUP(BD1914,$BD$4:$BN$12824,11,0)*BE1914</f>
        <v>0</v>
      </c>
      <c r="BX1914" s="1146">
        <f t="shared" si="364"/>
        <v>16620.191943441365</v>
      </c>
      <c r="BY1914" s="867">
        <f t="shared" si="366"/>
        <v>495048.02891550731</v>
      </c>
      <c r="BZ1914" s="867">
        <f t="shared" si="365"/>
        <v>990096.05783101462</v>
      </c>
      <c r="CA1914" s="867">
        <f>_xlfn.MAXIFS($BY$4:$BY$12824,$S$4:$S$12824,$S1914)</f>
        <v>682993.65396080317</v>
      </c>
      <c r="CB1914" s="1032"/>
      <c r="CF1914" s="946">
        <f t="shared" si="370"/>
        <v>944832</v>
      </c>
    </row>
    <row r="1915" spans="2:84">
      <c r="B1915" s="839" t="s">
        <v>98</v>
      </c>
      <c r="C1915" s="839" t="s">
        <v>273</v>
      </c>
      <c r="D1915" s="839" t="s">
        <v>6289</v>
      </c>
      <c r="E1915" s="839" t="s">
        <v>6290</v>
      </c>
      <c r="F1915" s="841">
        <v>45841</v>
      </c>
      <c r="G1915" s="868" t="s">
        <v>273</v>
      </c>
      <c r="H1915" s="842" t="s">
        <v>134</v>
      </c>
      <c r="I1915" s="883"/>
      <c r="J1915" s="841"/>
      <c r="K1915" s="841"/>
      <c r="L1915" s="843" t="s">
        <v>106</v>
      </c>
      <c r="M1915" s="844" t="s">
        <v>275</v>
      </c>
      <c r="N1915" s="841"/>
      <c r="O1915" s="884" t="s">
        <v>150</v>
      </c>
      <c r="P1915" s="842" t="s">
        <v>124</v>
      </c>
      <c r="Q1915" s="843"/>
      <c r="R1915" s="845" t="str">
        <f t="shared" si="371"/>
        <v>18472</v>
      </c>
      <c r="S1915" s="1127" t="s">
        <v>6392</v>
      </c>
      <c r="T1915" s="885" t="s">
        <v>6393</v>
      </c>
      <c r="U1915" s="886">
        <v>100</v>
      </c>
      <c r="V1915" s="842" t="s">
        <v>3</v>
      </c>
      <c r="W1915" s="846" t="s">
        <v>6394</v>
      </c>
      <c r="X1915" s="847">
        <f t="shared" si="368"/>
        <v>2734</v>
      </c>
      <c r="Y1915" s="853" t="s">
        <v>4582</v>
      </c>
      <c r="Z1915" s="902">
        <v>12.987</v>
      </c>
      <c r="AA1915" s="849"/>
      <c r="AB1915" s="849">
        <f t="shared" si="360"/>
        <v>1298.7</v>
      </c>
      <c r="AC1915" s="850">
        <f t="shared" si="361"/>
        <v>1298.7</v>
      </c>
      <c r="AD1915" s="851">
        <f t="shared" si="369"/>
        <v>32000</v>
      </c>
      <c r="AE1915" s="852">
        <v>29936.21</v>
      </c>
      <c r="AF1915" s="853">
        <v>0.1</v>
      </c>
      <c r="AG1915" s="854">
        <f t="shared" si="362"/>
        <v>3940143.4372278475</v>
      </c>
      <c r="AH1915" s="853">
        <v>0.08</v>
      </c>
      <c r="AI1915" s="855">
        <f t="shared" si="363"/>
        <v>3425463.9491382279</v>
      </c>
      <c r="AJ1915" s="856" t="s">
        <v>6292</v>
      </c>
      <c r="AK1915" s="857">
        <v>45911</v>
      </c>
      <c r="AL1915" s="843" t="s">
        <v>6293</v>
      </c>
      <c r="AM1915" s="843" t="s">
        <v>6294</v>
      </c>
      <c r="AN1915" s="844" t="s">
        <v>3951</v>
      </c>
      <c r="AO1915" s="844" t="s">
        <v>141</v>
      </c>
      <c r="AP1915" s="841"/>
      <c r="AQ1915" s="841">
        <v>45929</v>
      </c>
      <c r="AR1915" s="841">
        <v>45987</v>
      </c>
      <c r="AS1915" s="842" t="s">
        <v>1284</v>
      </c>
      <c r="AT1915" s="842" t="s">
        <v>1743</v>
      </c>
      <c r="AU1915" s="842" t="s">
        <v>6295</v>
      </c>
      <c r="AV1915" s="845" t="s">
        <v>6296</v>
      </c>
      <c r="AW1915" s="861">
        <v>45986</v>
      </c>
      <c r="AX1915" s="862">
        <v>45987</v>
      </c>
      <c r="AY1915" s="843"/>
      <c r="AZ1915" s="842">
        <v>94031000</v>
      </c>
      <c r="BA1915" s="842" t="s">
        <v>120</v>
      </c>
      <c r="BB1915" s="863" t="s">
        <v>121</v>
      </c>
      <c r="BC1915" s="864">
        <v>45990</v>
      </c>
      <c r="BD1915" s="860" t="s">
        <v>6297</v>
      </c>
      <c r="BE1915" s="865" cm="1">
        <f t="array" ref="BE1915">IF(BD1915="","",AC1915/SUMPRODUCT(--(BD1915=$BD$4:$BD$12824),$AC$4:$AC$12824))</f>
        <v>1.2554893218153527E-2</v>
      </c>
      <c r="BF1915" s="458"/>
      <c r="BG1915" s="458"/>
      <c r="BH1915" s="458"/>
      <c r="BI1915" s="458"/>
      <c r="BJ1915" s="458"/>
      <c r="BK1915" s="458"/>
      <c r="BL1915" s="458"/>
      <c r="BM1915" s="458"/>
      <c r="BN1915" s="458"/>
      <c r="BO1915" s="866">
        <f>VLOOKUP(BD1915,$BD$4:$BN$12824,3,0)*BE1915</f>
        <v>484092.48921276862</v>
      </c>
      <c r="BP1915" s="866"/>
      <c r="BQ1915" s="866"/>
      <c r="BR1915" s="866">
        <f>VLOOKUP(BD1915,$BD$4:$BN$12824,6,0)*BE1915</f>
        <v>206239.48664243281</v>
      </c>
      <c r="BS1915" s="866">
        <f>VLOOKUP(BD1915,$BD$4:$BN$12824,7,0)*BE1915</f>
        <v>39185.956065704238</v>
      </c>
      <c r="BT1915" s="866"/>
      <c r="BU1915" s="866">
        <f>VLOOKUP(BD1915,$BD$4:$BN$12824,9,0)*BE1915</f>
        <v>1520.5858921166646</v>
      </c>
      <c r="BV1915" s="867"/>
      <c r="BW1915" s="867">
        <f>VLOOKUP(BD1915,$BD$4:$BN$12824,11,0)*BE1915</f>
        <v>0</v>
      </c>
      <c r="BX1915" s="1146">
        <f t="shared" si="364"/>
        <v>731038.51781302236</v>
      </c>
      <c r="BY1915" s="867">
        <f t="shared" si="366"/>
        <v>435493.37882040866</v>
      </c>
      <c r="BZ1915" s="867">
        <f t="shared" si="365"/>
        <v>43549337.882040866</v>
      </c>
      <c r="CA1915" s="867">
        <f>_xlfn.MAXIFS($BY$4:$BY$12824,$S$4:$S$12824,$S1915)</f>
        <v>435493.37882040866</v>
      </c>
      <c r="CB1915" s="1032"/>
      <c r="CF1915" s="946">
        <f t="shared" si="370"/>
        <v>41558400</v>
      </c>
    </row>
    <row r="1916" spans="2:84">
      <c r="B1916" s="839" t="s">
        <v>98</v>
      </c>
      <c r="C1916" s="839" t="s">
        <v>273</v>
      </c>
      <c r="D1916" s="839" t="s">
        <v>6289</v>
      </c>
      <c r="E1916" s="839" t="s">
        <v>6290</v>
      </c>
      <c r="F1916" s="841">
        <v>45841</v>
      </c>
      <c r="G1916" s="868" t="s">
        <v>273</v>
      </c>
      <c r="H1916" s="842" t="s">
        <v>134</v>
      </c>
      <c r="I1916" s="883"/>
      <c r="J1916" s="841"/>
      <c r="K1916" s="841"/>
      <c r="L1916" s="843" t="s">
        <v>106</v>
      </c>
      <c r="M1916" s="844" t="s">
        <v>275</v>
      </c>
      <c r="N1916" s="841"/>
      <c r="O1916" s="884" t="s">
        <v>150</v>
      </c>
      <c r="P1916" s="842" t="s">
        <v>124</v>
      </c>
      <c r="Q1916" s="843"/>
      <c r="R1916" s="845" t="str">
        <f t="shared" si="371"/>
        <v>18473</v>
      </c>
      <c r="S1916" s="1127" t="s">
        <v>2403</v>
      </c>
      <c r="T1916" s="885" t="s">
        <v>2404</v>
      </c>
      <c r="U1916" s="886">
        <v>50</v>
      </c>
      <c r="V1916" s="842" t="s">
        <v>3</v>
      </c>
      <c r="W1916" s="846" t="s">
        <v>6394</v>
      </c>
      <c r="X1916" s="847">
        <f t="shared" si="368"/>
        <v>1367</v>
      </c>
      <c r="Y1916" s="853" t="s">
        <v>4582</v>
      </c>
      <c r="Z1916" s="902">
        <v>12.987</v>
      </c>
      <c r="AA1916" s="849"/>
      <c r="AB1916" s="849">
        <f t="shared" si="360"/>
        <v>649.35</v>
      </c>
      <c r="AC1916" s="850">
        <f t="shared" si="361"/>
        <v>649.35</v>
      </c>
      <c r="AD1916" s="851">
        <f t="shared" si="369"/>
        <v>32000</v>
      </c>
      <c r="AE1916" s="852">
        <v>29936.21</v>
      </c>
      <c r="AF1916" s="853">
        <v>0.1</v>
      </c>
      <c r="AG1916" s="854">
        <f t="shared" si="362"/>
        <v>1970071.7186139238</v>
      </c>
      <c r="AH1916" s="853">
        <v>0.08</v>
      </c>
      <c r="AI1916" s="855">
        <f t="shared" si="363"/>
        <v>1712731.9745691139</v>
      </c>
      <c r="AJ1916" s="856" t="s">
        <v>6292</v>
      </c>
      <c r="AK1916" s="857">
        <v>45911</v>
      </c>
      <c r="AL1916" s="843" t="s">
        <v>6293</v>
      </c>
      <c r="AM1916" s="843" t="s">
        <v>6294</v>
      </c>
      <c r="AN1916" s="844" t="s">
        <v>3951</v>
      </c>
      <c r="AO1916" s="844" t="s">
        <v>141</v>
      </c>
      <c r="AP1916" s="841"/>
      <c r="AQ1916" s="841">
        <v>45929</v>
      </c>
      <c r="AR1916" s="841">
        <v>45987</v>
      </c>
      <c r="AS1916" s="842" t="s">
        <v>1284</v>
      </c>
      <c r="AT1916" s="842" t="s">
        <v>1743</v>
      </c>
      <c r="AU1916" s="842" t="s">
        <v>6295</v>
      </c>
      <c r="AV1916" s="845" t="s">
        <v>6296</v>
      </c>
      <c r="AW1916" s="861">
        <v>45986</v>
      </c>
      <c r="AX1916" s="862">
        <v>45987</v>
      </c>
      <c r="AY1916" s="843"/>
      <c r="AZ1916" s="842">
        <v>94031000</v>
      </c>
      <c r="BA1916" s="842" t="s">
        <v>120</v>
      </c>
      <c r="BB1916" s="863" t="s">
        <v>121</v>
      </c>
      <c r="BC1916" s="864">
        <v>45990</v>
      </c>
      <c r="BD1916" s="860" t="s">
        <v>6297</v>
      </c>
      <c r="BE1916" s="865" cm="1">
        <f t="array" ref="BE1916">IF(BD1916="","",AC1916/SUMPRODUCT(--(BD1916=$BD$4:$BD$12824),$AC$4:$AC$12824))</f>
        <v>6.2774466090767637E-3</v>
      </c>
      <c r="BF1916" s="458"/>
      <c r="BG1916" s="458"/>
      <c r="BH1916" s="458"/>
      <c r="BI1916" s="458"/>
      <c r="BJ1916" s="458"/>
      <c r="BK1916" s="458"/>
      <c r="BL1916" s="458"/>
      <c r="BM1916" s="458"/>
      <c r="BN1916" s="458"/>
      <c r="BO1916" s="866">
        <f>VLOOKUP(BD1916,$BD$4:$BN$12824,3,0)*BE1916</f>
        <v>242046.24460638431</v>
      </c>
      <c r="BP1916" s="866"/>
      <c r="BQ1916" s="866"/>
      <c r="BR1916" s="866">
        <f>VLOOKUP(BD1916,$BD$4:$BN$12824,6,0)*BE1916</f>
        <v>103119.7433212164</v>
      </c>
      <c r="BS1916" s="866">
        <f>VLOOKUP(BD1916,$BD$4:$BN$12824,7,0)*BE1916</f>
        <v>19592.978032852119</v>
      </c>
      <c r="BT1916" s="866"/>
      <c r="BU1916" s="866">
        <f>VLOOKUP(BD1916,$BD$4:$BN$12824,9,0)*BE1916</f>
        <v>760.29294605833229</v>
      </c>
      <c r="BV1916" s="867"/>
      <c r="BW1916" s="867">
        <f>VLOOKUP(BD1916,$BD$4:$BN$12824,11,0)*BE1916</f>
        <v>0</v>
      </c>
      <c r="BX1916" s="1146">
        <f t="shared" si="364"/>
        <v>365519.25890651118</v>
      </c>
      <c r="BY1916" s="867">
        <f t="shared" si="366"/>
        <v>435493.37882040866</v>
      </c>
      <c r="BZ1916" s="867">
        <f t="shared" si="365"/>
        <v>21774668.941020433</v>
      </c>
      <c r="CA1916" s="867">
        <f>_xlfn.MAXIFS($BY$4:$BY$12824,$S$4:$S$12824,$S1916)</f>
        <v>435493.37882040866</v>
      </c>
      <c r="CB1916" s="1032"/>
      <c r="CF1916" s="946">
        <f t="shared" si="370"/>
        <v>20779200</v>
      </c>
    </row>
    <row r="1917" spans="2:84">
      <c r="B1917" s="839" t="s">
        <v>98</v>
      </c>
      <c r="C1917" s="839" t="s">
        <v>273</v>
      </c>
      <c r="D1917" s="839" t="s">
        <v>6289</v>
      </c>
      <c r="E1917" s="839" t="s">
        <v>6290</v>
      </c>
      <c r="F1917" s="841">
        <v>45841</v>
      </c>
      <c r="G1917" s="868" t="s">
        <v>273</v>
      </c>
      <c r="H1917" s="842" t="s">
        <v>134</v>
      </c>
      <c r="I1917" s="883"/>
      <c r="J1917" s="841"/>
      <c r="K1917" s="841"/>
      <c r="L1917" s="843" t="s">
        <v>106</v>
      </c>
      <c r="M1917" s="844" t="s">
        <v>275</v>
      </c>
      <c r="N1917" s="841"/>
      <c r="O1917" s="884" t="s">
        <v>150</v>
      </c>
      <c r="P1917" s="842" t="s">
        <v>124</v>
      </c>
      <c r="Q1917" s="843"/>
      <c r="R1917" s="845" t="str">
        <f t="shared" si="371"/>
        <v>18475</v>
      </c>
      <c r="S1917" s="1127" t="s">
        <v>2486</v>
      </c>
      <c r="T1917" s="885" t="s">
        <v>2487</v>
      </c>
      <c r="U1917" s="886">
        <v>2</v>
      </c>
      <c r="V1917" s="842" t="s">
        <v>3</v>
      </c>
      <c r="W1917" s="846" t="s">
        <v>4494</v>
      </c>
      <c r="X1917" s="847">
        <f t="shared" si="368"/>
        <v>73.06</v>
      </c>
      <c r="Y1917" s="853" t="s">
        <v>4582</v>
      </c>
      <c r="Z1917" s="902">
        <v>17.352</v>
      </c>
      <c r="AA1917" s="849"/>
      <c r="AB1917" s="849">
        <f t="shared" si="360"/>
        <v>34.704000000000001</v>
      </c>
      <c r="AC1917" s="850">
        <f t="shared" si="361"/>
        <v>34.704000000000001</v>
      </c>
      <c r="AD1917" s="851">
        <f t="shared" si="369"/>
        <v>32000</v>
      </c>
      <c r="AE1917" s="852">
        <v>29936.21</v>
      </c>
      <c r="AF1917" s="853">
        <v>0.1</v>
      </c>
      <c r="AG1917" s="854">
        <f t="shared" si="362"/>
        <v>105288.93343001095</v>
      </c>
      <c r="AH1917" s="853">
        <v>0.08</v>
      </c>
      <c r="AI1917" s="855">
        <f t="shared" si="363"/>
        <v>91535.61322160087</v>
      </c>
      <c r="AJ1917" s="856" t="s">
        <v>6292</v>
      </c>
      <c r="AK1917" s="857">
        <v>45911</v>
      </c>
      <c r="AL1917" s="843" t="s">
        <v>6293</v>
      </c>
      <c r="AM1917" s="843" t="s">
        <v>6294</v>
      </c>
      <c r="AN1917" s="844" t="s">
        <v>3951</v>
      </c>
      <c r="AO1917" s="844" t="s">
        <v>141</v>
      </c>
      <c r="AP1917" s="841"/>
      <c r="AQ1917" s="841">
        <v>45929</v>
      </c>
      <c r="AR1917" s="841">
        <v>45987</v>
      </c>
      <c r="AS1917" s="842" t="s">
        <v>1284</v>
      </c>
      <c r="AT1917" s="842" t="s">
        <v>1743</v>
      </c>
      <c r="AU1917" s="842" t="s">
        <v>6295</v>
      </c>
      <c r="AV1917" s="845" t="s">
        <v>6296</v>
      </c>
      <c r="AW1917" s="861">
        <v>45986</v>
      </c>
      <c r="AX1917" s="862">
        <v>45987</v>
      </c>
      <c r="AY1917" s="843"/>
      <c r="AZ1917" s="842">
        <v>94031000</v>
      </c>
      <c r="BA1917" s="842" t="s">
        <v>120</v>
      </c>
      <c r="BB1917" s="863" t="s">
        <v>121</v>
      </c>
      <c r="BC1917" s="864">
        <v>45990</v>
      </c>
      <c r="BD1917" s="860" t="s">
        <v>6297</v>
      </c>
      <c r="BE1917" s="865" cm="1">
        <f t="array" ref="BE1917">IF(BD1917="","",AC1917/SUMPRODUCT(--(BD1917=$BD$4:$BD$12824),$AC$4:$AC$12824))</f>
        <v>3.3549319646015248E-4</v>
      </c>
      <c r="BF1917" s="458"/>
      <c r="BG1917" s="458"/>
      <c r="BH1917" s="458"/>
      <c r="BI1917" s="458"/>
      <c r="BJ1917" s="458"/>
      <c r="BK1917" s="458"/>
      <c r="BL1917" s="458"/>
      <c r="BM1917" s="458"/>
      <c r="BN1917" s="458"/>
      <c r="BO1917" s="866">
        <f>VLOOKUP(BD1917,$BD$4:$BN$12824,3,0)*BE1917</f>
        <v>12935.971160113901</v>
      </c>
      <c r="BP1917" s="866"/>
      <c r="BQ1917" s="866"/>
      <c r="BR1917" s="866">
        <f>VLOOKUP(BD1917,$BD$4:$BN$12824,6,0)*BE1917</f>
        <v>5511.1535723715933</v>
      </c>
      <c r="BS1917" s="866">
        <f>VLOOKUP(BD1917,$BD$4:$BN$12824,7,0)*BE1917</f>
        <v>1047.1312999955339</v>
      </c>
      <c r="BT1917" s="866"/>
      <c r="BU1917" s="866">
        <f>VLOOKUP(BD1917,$BD$4:$BN$12824,9,0)*BE1917</f>
        <v>40.63325848927137</v>
      </c>
      <c r="BV1917" s="867"/>
      <c r="BW1917" s="867">
        <f>VLOOKUP(BD1917,$BD$4:$BN$12824,11,0)*BE1917</f>
        <v>0</v>
      </c>
      <c r="BX1917" s="1146">
        <f t="shared" si="364"/>
        <v>19534.889290970295</v>
      </c>
      <c r="BY1917" s="867">
        <f t="shared" si="366"/>
        <v>581865.02728049061</v>
      </c>
      <c r="BZ1917" s="867">
        <f t="shared" si="365"/>
        <v>1163730.0545609812</v>
      </c>
      <c r="CA1917" s="867">
        <f>_xlfn.MAXIFS($BY$4:$BY$12824,$S$4:$S$12824,$S1917)</f>
        <v>771355.30743954785</v>
      </c>
      <c r="CB1917" s="1032"/>
      <c r="CF1917" s="946">
        <f t="shared" si="370"/>
        <v>1110528</v>
      </c>
    </row>
    <row r="1918" spans="2:84">
      <c r="B1918" s="839" t="s">
        <v>98</v>
      </c>
      <c r="C1918" s="839" t="s">
        <v>273</v>
      </c>
      <c r="D1918" s="839" t="s">
        <v>6289</v>
      </c>
      <c r="E1918" s="839" t="s">
        <v>6290</v>
      </c>
      <c r="F1918" s="841">
        <v>45841</v>
      </c>
      <c r="G1918" s="868" t="s">
        <v>273</v>
      </c>
      <c r="H1918" s="842" t="s">
        <v>134</v>
      </c>
      <c r="I1918" s="883"/>
      <c r="J1918" s="841"/>
      <c r="K1918" s="841"/>
      <c r="L1918" s="843" t="s">
        <v>106</v>
      </c>
      <c r="M1918" s="844" t="s">
        <v>275</v>
      </c>
      <c r="N1918" s="841"/>
      <c r="O1918" s="884" t="s">
        <v>150</v>
      </c>
      <c r="P1918" s="842" t="s">
        <v>124</v>
      </c>
      <c r="Q1918" s="843"/>
      <c r="R1918" s="845" t="str">
        <f t="shared" si="371"/>
        <v>18476</v>
      </c>
      <c r="S1918" s="1127" t="s">
        <v>4033</v>
      </c>
      <c r="T1918" s="885" t="s">
        <v>4034</v>
      </c>
      <c r="U1918" s="886">
        <v>2</v>
      </c>
      <c r="V1918" s="842" t="s">
        <v>3</v>
      </c>
      <c r="W1918" s="846" t="s">
        <v>4495</v>
      </c>
      <c r="X1918" s="847">
        <f t="shared" si="368"/>
        <v>43.26</v>
      </c>
      <c r="Y1918" s="853" t="s">
        <v>4582</v>
      </c>
      <c r="Z1918" s="902">
        <v>10.273999999999999</v>
      </c>
      <c r="AA1918" s="849"/>
      <c r="AB1918" s="849">
        <f t="shared" si="360"/>
        <v>20.547999999999998</v>
      </c>
      <c r="AC1918" s="850">
        <f t="shared" si="361"/>
        <v>20.547999999999998</v>
      </c>
      <c r="AD1918" s="851">
        <f t="shared" si="369"/>
        <v>32000</v>
      </c>
      <c r="AE1918" s="852">
        <v>29936.21</v>
      </c>
      <c r="AF1918" s="853">
        <v>0.1</v>
      </c>
      <c r="AG1918" s="854">
        <f t="shared" si="362"/>
        <v>62340.854198935704</v>
      </c>
      <c r="AH1918" s="853">
        <v>0.08</v>
      </c>
      <c r="AI1918" s="855">
        <f t="shared" si="363"/>
        <v>54197.607782314852</v>
      </c>
      <c r="AJ1918" s="856" t="s">
        <v>6292</v>
      </c>
      <c r="AK1918" s="857">
        <v>45911</v>
      </c>
      <c r="AL1918" s="843" t="s">
        <v>6293</v>
      </c>
      <c r="AM1918" s="843" t="s">
        <v>6294</v>
      </c>
      <c r="AN1918" s="844" t="s">
        <v>3951</v>
      </c>
      <c r="AO1918" s="844" t="s">
        <v>141</v>
      </c>
      <c r="AP1918" s="841"/>
      <c r="AQ1918" s="841">
        <v>45929</v>
      </c>
      <c r="AR1918" s="841">
        <v>45987</v>
      </c>
      <c r="AS1918" s="842" t="s">
        <v>1284</v>
      </c>
      <c r="AT1918" s="842" t="s">
        <v>1743</v>
      </c>
      <c r="AU1918" s="842" t="s">
        <v>6295</v>
      </c>
      <c r="AV1918" s="845" t="s">
        <v>6296</v>
      </c>
      <c r="AW1918" s="861">
        <v>45986</v>
      </c>
      <c r="AX1918" s="862">
        <v>45987</v>
      </c>
      <c r="AY1918" s="843"/>
      <c r="AZ1918" s="842">
        <v>94031000</v>
      </c>
      <c r="BA1918" s="842" t="s">
        <v>120</v>
      </c>
      <c r="BB1918" s="863" t="s">
        <v>121</v>
      </c>
      <c r="BC1918" s="864">
        <v>45990</v>
      </c>
      <c r="BD1918" s="860" t="s">
        <v>6297</v>
      </c>
      <c r="BE1918" s="865" cm="1">
        <f t="array" ref="BE1918">IF(BD1918="","",AC1918/SUMPRODUCT(--(BD1918=$BD$4:$BD$12824),$AC$4:$AC$12824))</f>
        <v>1.9864321694511332E-4</v>
      </c>
      <c r="BF1918" s="458"/>
      <c r="BG1918" s="458"/>
      <c r="BH1918" s="458"/>
      <c r="BI1918" s="458"/>
      <c r="BJ1918" s="458"/>
      <c r="BK1918" s="458"/>
      <c r="BL1918" s="458"/>
      <c r="BM1918" s="458"/>
      <c r="BN1918" s="458"/>
      <c r="BO1918" s="866">
        <f>VLOOKUP(BD1918,$BD$4:$BN$12824,3,0)*BE1918</f>
        <v>7659.2996599245162</v>
      </c>
      <c r="BP1918" s="866"/>
      <c r="BQ1918" s="866"/>
      <c r="BR1918" s="866">
        <f>VLOOKUP(BD1918,$BD$4:$BN$12824,6,0)*BE1918</f>
        <v>3263.1161711932773</v>
      </c>
      <c r="BS1918" s="866">
        <f>VLOOKUP(BD1918,$BD$4:$BN$12824,7,0)*BE1918</f>
        <v>619.99924943257929</v>
      </c>
      <c r="BT1918" s="866"/>
      <c r="BU1918" s="866">
        <f>VLOOKUP(BD1918,$BD$4:$BN$12824,9,0)*BE1918</f>
        <v>24.058673220307401</v>
      </c>
      <c r="BV1918" s="867"/>
      <c r="BW1918" s="867">
        <f>VLOOKUP(BD1918,$BD$4:$BN$12824,11,0)*BE1918</f>
        <v>0</v>
      </c>
      <c r="BX1918" s="1146">
        <f t="shared" si="364"/>
        <v>11566.473753770681</v>
      </c>
      <c r="BY1918" s="867">
        <f t="shared" si="366"/>
        <v>344518.28551635315</v>
      </c>
      <c r="BZ1918" s="867">
        <f t="shared" si="365"/>
        <v>689036.5710327063</v>
      </c>
      <c r="CA1918" s="867">
        <f>_xlfn.MAXIFS($BY$4:$BY$12824,$S$4:$S$12824,$S1918)</f>
        <v>475294.63742508896</v>
      </c>
      <c r="CB1918" s="1032"/>
      <c r="CF1918" s="946">
        <f t="shared" si="370"/>
        <v>657536</v>
      </c>
    </row>
    <row r="1919" spans="2:84">
      <c r="B1919" s="839" t="s">
        <v>98</v>
      </c>
      <c r="C1919" s="839" t="s">
        <v>273</v>
      </c>
      <c r="D1919" s="839" t="s">
        <v>6289</v>
      </c>
      <c r="E1919" s="839" t="s">
        <v>6290</v>
      </c>
      <c r="F1919" s="841">
        <v>45841</v>
      </c>
      <c r="G1919" s="868" t="s">
        <v>273</v>
      </c>
      <c r="H1919" s="842" t="s">
        <v>134</v>
      </c>
      <c r="I1919" s="883"/>
      <c r="J1919" s="841"/>
      <c r="K1919" s="841"/>
      <c r="L1919" s="843" t="s">
        <v>106</v>
      </c>
      <c r="M1919" s="844" t="s">
        <v>275</v>
      </c>
      <c r="N1919" s="841"/>
      <c r="O1919" s="884" t="s">
        <v>150</v>
      </c>
      <c r="P1919" s="842" t="s">
        <v>124</v>
      </c>
      <c r="Q1919" s="843"/>
      <c r="R1919" s="845" t="str">
        <f t="shared" si="371"/>
        <v>10748</v>
      </c>
      <c r="S1919" s="1127" t="s">
        <v>6395</v>
      </c>
      <c r="T1919" s="885" t="s">
        <v>6396</v>
      </c>
      <c r="U1919" s="886">
        <v>14</v>
      </c>
      <c r="V1919" s="842" t="s">
        <v>3</v>
      </c>
      <c r="W1919" s="846" t="s">
        <v>6397</v>
      </c>
      <c r="X1919" s="847">
        <f t="shared" si="368"/>
        <v>357.28</v>
      </c>
      <c r="Y1919" s="853" t="s">
        <v>4582</v>
      </c>
      <c r="Z1919" s="902">
        <v>12.122</v>
      </c>
      <c r="AA1919" s="849"/>
      <c r="AB1919" s="849">
        <f t="shared" si="360"/>
        <v>169.708</v>
      </c>
      <c r="AC1919" s="850">
        <f t="shared" si="361"/>
        <v>169.708</v>
      </c>
      <c r="AD1919" s="851">
        <f t="shared" si="369"/>
        <v>32000</v>
      </c>
      <c r="AE1919" s="852">
        <v>29936.21</v>
      </c>
      <c r="AF1919" s="853">
        <v>0.1</v>
      </c>
      <c r="AG1919" s="854">
        <f t="shared" si="362"/>
        <v>514879.38896208792</v>
      </c>
      <c r="AH1919" s="853">
        <v>0.08</v>
      </c>
      <c r="AI1919" s="855">
        <f t="shared" si="363"/>
        <v>447623.49725136708</v>
      </c>
      <c r="AJ1919" s="856" t="s">
        <v>6292</v>
      </c>
      <c r="AK1919" s="857">
        <v>45911</v>
      </c>
      <c r="AL1919" s="843" t="s">
        <v>6293</v>
      </c>
      <c r="AM1919" s="843" t="s">
        <v>6294</v>
      </c>
      <c r="AN1919" s="844" t="s">
        <v>3951</v>
      </c>
      <c r="AO1919" s="844" t="s">
        <v>141</v>
      </c>
      <c r="AP1919" s="841"/>
      <c r="AQ1919" s="841">
        <v>45929</v>
      </c>
      <c r="AR1919" s="841">
        <v>45987</v>
      </c>
      <c r="AS1919" s="842" t="s">
        <v>1284</v>
      </c>
      <c r="AT1919" s="842" t="s">
        <v>1743</v>
      </c>
      <c r="AU1919" s="842" t="s">
        <v>6295</v>
      </c>
      <c r="AV1919" s="845" t="s">
        <v>6296</v>
      </c>
      <c r="AW1919" s="861">
        <v>45986</v>
      </c>
      <c r="AX1919" s="862">
        <v>45987</v>
      </c>
      <c r="AY1919" s="843"/>
      <c r="AZ1919" s="842">
        <v>94031000</v>
      </c>
      <c r="BA1919" s="842" t="s">
        <v>120</v>
      </c>
      <c r="BB1919" s="863" t="s">
        <v>121</v>
      </c>
      <c r="BC1919" s="864">
        <v>45990</v>
      </c>
      <c r="BD1919" s="860" t="s">
        <v>6297</v>
      </c>
      <c r="BE1919" s="865" cm="1">
        <f t="array" ref="BE1919">IF(BD1919="","",AC1919/SUMPRODUCT(--(BD1919=$BD$4:$BD$12824),$AC$4:$AC$12824))</f>
        <v>1.6406143206794477E-3</v>
      </c>
      <c r="BF1919" s="458"/>
      <c r="BG1919" s="458"/>
      <c r="BH1919" s="458"/>
      <c r="BI1919" s="458"/>
      <c r="BJ1919" s="458"/>
      <c r="BK1919" s="458"/>
      <c r="BL1919" s="458"/>
      <c r="BM1919" s="458"/>
      <c r="BN1919" s="458"/>
      <c r="BO1919" s="866">
        <f>VLOOKUP(BD1919,$BD$4:$BN$12824,3,0)*BE1919</f>
        <v>63258.926741603558</v>
      </c>
      <c r="BP1919" s="866"/>
      <c r="BQ1919" s="866"/>
      <c r="BR1919" s="866">
        <f>VLOOKUP(BD1919,$BD$4:$BN$12824,6,0)*BE1919</f>
        <v>26950.404865722634</v>
      </c>
      <c r="BS1919" s="866">
        <f>VLOOKUP(BD1919,$BD$4:$BN$12824,7,0)*BE1919</f>
        <v>5120.6361992750708</v>
      </c>
      <c r="BT1919" s="866"/>
      <c r="BU1919" s="866">
        <f>VLOOKUP(BD1919,$BD$4:$BN$12824,9,0)*BE1919</f>
        <v>198.70300344909131</v>
      </c>
      <c r="BV1919" s="867"/>
      <c r="BW1919" s="867">
        <f>VLOOKUP(BD1919,$BD$4:$BN$12824,11,0)*BE1919</f>
        <v>0</v>
      </c>
      <c r="BX1919" s="1146">
        <f t="shared" si="364"/>
        <v>95528.67081005036</v>
      </c>
      <c r="BY1919" s="867">
        <f t="shared" si="366"/>
        <v>406487.3133180099</v>
      </c>
      <c r="BZ1919" s="867">
        <f t="shared" si="365"/>
        <v>5690822.3864521384</v>
      </c>
      <c r="CA1919" s="867">
        <f>_xlfn.MAXIFS($BY$4:$BY$12824,$S$4:$S$12824,$S1919)</f>
        <v>427881.38244001032</v>
      </c>
      <c r="CB1919" s="1032"/>
      <c r="CF1919" s="946">
        <f t="shared" si="370"/>
        <v>5430656</v>
      </c>
    </row>
    <row r="1920" spans="2:84">
      <c r="B1920" s="839" t="s">
        <v>98</v>
      </c>
      <c r="C1920" s="839" t="s">
        <v>273</v>
      </c>
      <c r="D1920" s="839" t="s">
        <v>6289</v>
      </c>
      <c r="E1920" s="839" t="s">
        <v>6290</v>
      </c>
      <c r="F1920" s="841">
        <v>45841</v>
      </c>
      <c r="G1920" s="868" t="s">
        <v>273</v>
      </c>
      <c r="H1920" s="842" t="s">
        <v>134</v>
      </c>
      <c r="I1920" s="883"/>
      <c r="J1920" s="841"/>
      <c r="K1920" s="841"/>
      <c r="L1920" s="843" t="s">
        <v>106</v>
      </c>
      <c r="M1920" s="844" t="s">
        <v>275</v>
      </c>
      <c r="N1920" s="841"/>
      <c r="O1920" s="884" t="s">
        <v>150</v>
      </c>
      <c r="P1920" s="842" t="s">
        <v>124</v>
      </c>
      <c r="Q1920" s="843"/>
      <c r="R1920" s="845" t="str">
        <f t="shared" si="371"/>
        <v>10749</v>
      </c>
      <c r="S1920" s="1127" t="s">
        <v>6398</v>
      </c>
      <c r="T1920" s="885" t="s">
        <v>6399</v>
      </c>
      <c r="U1920" s="886">
        <v>9</v>
      </c>
      <c r="V1920" s="842" t="s">
        <v>3</v>
      </c>
      <c r="W1920" s="846" t="s">
        <v>4498</v>
      </c>
      <c r="X1920" s="847">
        <f t="shared" si="368"/>
        <v>262.8</v>
      </c>
      <c r="Y1920" s="853" t="s">
        <v>4582</v>
      </c>
      <c r="Z1920" s="902">
        <v>13.87</v>
      </c>
      <c r="AA1920" s="849"/>
      <c r="AB1920" s="849">
        <f t="shared" si="360"/>
        <v>124.83</v>
      </c>
      <c r="AC1920" s="850">
        <f t="shared" si="361"/>
        <v>124.83</v>
      </c>
      <c r="AD1920" s="851">
        <f t="shared" si="369"/>
        <v>32000</v>
      </c>
      <c r="AE1920" s="852">
        <v>29936.21</v>
      </c>
      <c r="AF1920" s="853">
        <v>0.1</v>
      </c>
      <c r="AG1920" s="854">
        <f t="shared" si="362"/>
        <v>378723.41978066694</v>
      </c>
      <c r="AH1920" s="853">
        <v>0.08</v>
      </c>
      <c r="AI1920" s="855">
        <f t="shared" si="363"/>
        <v>329252.84112645336</v>
      </c>
      <c r="AJ1920" s="856" t="s">
        <v>6292</v>
      </c>
      <c r="AK1920" s="857">
        <v>45911</v>
      </c>
      <c r="AL1920" s="843" t="s">
        <v>6293</v>
      </c>
      <c r="AM1920" s="843" t="s">
        <v>6294</v>
      </c>
      <c r="AN1920" s="844" t="s">
        <v>3951</v>
      </c>
      <c r="AO1920" s="844" t="s">
        <v>141</v>
      </c>
      <c r="AP1920" s="841"/>
      <c r="AQ1920" s="841">
        <v>45929</v>
      </c>
      <c r="AR1920" s="841">
        <v>45987</v>
      </c>
      <c r="AS1920" s="842" t="s">
        <v>1284</v>
      </c>
      <c r="AT1920" s="842" t="s">
        <v>1743</v>
      </c>
      <c r="AU1920" s="842" t="s">
        <v>6295</v>
      </c>
      <c r="AV1920" s="845" t="s">
        <v>6296</v>
      </c>
      <c r="AW1920" s="861">
        <v>45986</v>
      </c>
      <c r="AX1920" s="862">
        <v>45987</v>
      </c>
      <c r="AY1920" s="843"/>
      <c r="AZ1920" s="842">
        <v>94031000</v>
      </c>
      <c r="BA1920" s="842" t="s">
        <v>120</v>
      </c>
      <c r="BB1920" s="863" t="s">
        <v>121</v>
      </c>
      <c r="BC1920" s="864">
        <v>45990</v>
      </c>
      <c r="BD1920" s="860" t="s">
        <v>6297</v>
      </c>
      <c r="BE1920" s="865" cm="1">
        <f t="array" ref="BE1920">IF(BD1920="","",AC1920/SUMPRODUCT(--(BD1920=$BD$4:$BD$12824),$AC$4:$AC$12824))</f>
        <v>1.2067662434912642E-3</v>
      </c>
      <c r="BF1920" s="458"/>
      <c r="BG1920" s="458"/>
      <c r="BH1920" s="458"/>
      <c r="BI1920" s="458"/>
      <c r="BJ1920" s="458"/>
      <c r="BK1920" s="458"/>
      <c r="BL1920" s="458"/>
      <c r="BM1920" s="458"/>
      <c r="BN1920" s="458"/>
      <c r="BO1920" s="866">
        <f>VLOOKUP(BD1920,$BD$4:$BN$12824,3,0)*BE1920</f>
        <v>46530.580910471937</v>
      </c>
      <c r="BP1920" s="866"/>
      <c r="BQ1920" s="866"/>
      <c r="BR1920" s="866">
        <f>VLOOKUP(BD1920,$BD$4:$BN$12824,6,0)*BE1920</f>
        <v>19823.573664106327</v>
      </c>
      <c r="BS1920" s="866">
        <f>VLOOKUP(BD1920,$BD$4:$BN$12824,7,0)*BE1920</f>
        <v>3766.5225961976284</v>
      </c>
      <c r="BT1920" s="866"/>
      <c r="BU1920" s="866">
        <f>VLOOKUP(BD1920,$BD$4:$BN$12824,9,0)*BE1920</f>
        <v>146.15749358044445</v>
      </c>
      <c r="BV1920" s="867"/>
      <c r="BW1920" s="867">
        <f>VLOOKUP(BD1920,$BD$4:$BN$12824,11,0)*BE1920</f>
        <v>0</v>
      </c>
      <c r="BX1920" s="1146">
        <f t="shared" si="364"/>
        <v>70266.834664356327</v>
      </c>
      <c r="BY1920" s="867">
        <f t="shared" si="366"/>
        <v>465103.03874944703</v>
      </c>
      <c r="BZ1920" s="867">
        <f t="shared" si="365"/>
        <v>4185927.3487450234</v>
      </c>
      <c r="CA1920" s="867">
        <f>_xlfn.MAXIFS($BY$4:$BY$12824,$S$4:$S$12824,$S1920)</f>
        <v>489582.14605204947</v>
      </c>
      <c r="CB1920" s="1032"/>
      <c r="CF1920" s="946">
        <f t="shared" si="370"/>
        <v>3994560</v>
      </c>
    </row>
    <row r="1921" spans="2:84">
      <c r="B1921" s="839" t="s">
        <v>98</v>
      </c>
      <c r="C1921" s="839" t="s">
        <v>273</v>
      </c>
      <c r="D1921" s="839" t="s">
        <v>6289</v>
      </c>
      <c r="E1921" s="839" t="s">
        <v>6290</v>
      </c>
      <c r="F1921" s="841">
        <v>45841</v>
      </c>
      <c r="G1921" s="868" t="s">
        <v>273</v>
      </c>
      <c r="H1921" s="842" t="s">
        <v>134</v>
      </c>
      <c r="I1921" s="883"/>
      <c r="J1921" s="841"/>
      <c r="K1921" s="841"/>
      <c r="L1921" s="843" t="s">
        <v>106</v>
      </c>
      <c r="M1921" s="844" t="s">
        <v>275</v>
      </c>
      <c r="N1921" s="841"/>
      <c r="O1921" s="884" t="s">
        <v>150</v>
      </c>
      <c r="P1921" s="842" t="s">
        <v>124</v>
      </c>
      <c r="Q1921" s="843"/>
      <c r="R1921" s="845" t="str">
        <f t="shared" si="371"/>
        <v>18495</v>
      </c>
      <c r="S1921" s="1127" t="s">
        <v>3767</v>
      </c>
      <c r="T1921" s="885" t="s">
        <v>6400</v>
      </c>
      <c r="U1921" s="886">
        <v>8</v>
      </c>
      <c r="V1921" s="842" t="s">
        <v>3</v>
      </c>
      <c r="W1921" s="846" t="s">
        <v>6304</v>
      </c>
      <c r="X1921" s="847">
        <f t="shared" si="368"/>
        <v>117.76</v>
      </c>
      <c r="Y1921" s="853" t="s">
        <v>4582</v>
      </c>
      <c r="Z1921" s="902">
        <v>6.992</v>
      </c>
      <c r="AA1921" s="849"/>
      <c r="AB1921" s="849">
        <f t="shared" si="360"/>
        <v>55.936</v>
      </c>
      <c r="AC1921" s="850">
        <f t="shared" si="361"/>
        <v>55.936</v>
      </c>
      <c r="AD1921" s="851">
        <f t="shared" si="369"/>
        <v>32000</v>
      </c>
      <c r="AE1921" s="852">
        <v>29936.21</v>
      </c>
      <c r="AF1921" s="853">
        <v>0.1</v>
      </c>
      <c r="AG1921" s="854">
        <f t="shared" si="362"/>
        <v>169704.98444966265</v>
      </c>
      <c r="AH1921" s="853">
        <v>0.08</v>
      </c>
      <c r="AI1921" s="855">
        <f t="shared" si="363"/>
        <v>147537.34616077301</v>
      </c>
      <c r="AJ1921" s="856" t="s">
        <v>6292</v>
      </c>
      <c r="AK1921" s="857">
        <v>45911</v>
      </c>
      <c r="AL1921" s="843" t="s">
        <v>6293</v>
      </c>
      <c r="AM1921" s="843" t="s">
        <v>6294</v>
      </c>
      <c r="AN1921" s="844" t="s">
        <v>3951</v>
      </c>
      <c r="AO1921" s="844" t="s">
        <v>141</v>
      </c>
      <c r="AP1921" s="841"/>
      <c r="AQ1921" s="841">
        <v>45929</v>
      </c>
      <c r="AR1921" s="841">
        <v>45987</v>
      </c>
      <c r="AS1921" s="842" t="s">
        <v>1284</v>
      </c>
      <c r="AT1921" s="842" t="s">
        <v>1743</v>
      </c>
      <c r="AU1921" s="842" t="s">
        <v>6295</v>
      </c>
      <c r="AV1921" s="845" t="s">
        <v>6296</v>
      </c>
      <c r="AW1921" s="861">
        <v>45986</v>
      </c>
      <c r="AX1921" s="862">
        <v>45987</v>
      </c>
      <c r="AY1921" s="843"/>
      <c r="AZ1921" s="842">
        <v>94031000</v>
      </c>
      <c r="BA1921" s="842" t="s">
        <v>120</v>
      </c>
      <c r="BB1921" s="863" t="s">
        <v>121</v>
      </c>
      <c r="BC1921" s="864">
        <v>45990</v>
      </c>
      <c r="BD1921" s="860" t="s">
        <v>6297</v>
      </c>
      <c r="BE1921" s="865" cm="1">
        <f t="array" ref="BE1921">IF(BD1921="","",AC1921/SUMPRODUCT(--(BD1921=$BD$4:$BD$12824),$AC$4:$AC$12824))</f>
        <v>5.4074883117782066E-4</v>
      </c>
      <c r="BF1921" s="458"/>
      <c r="BG1921" s="458"/>
      <c r="BH1921" s="458"/>
      <c r="BI1921" s="458"/>
      <c r="BJ1921" s="458"/>
      <c r="BK1921" s="458"/>
      <c r="BL1921" s="458"/>
      <c r="BM1921" s="458"/>
      <c r="BN1921" s="458"/>
      <c r="BO1921" s="866">
        <f>VLOOKUP(BD1921,$BD$4:$BN$12824,3,0)*BE1921</f>
        <v>20850.232907219084</v>
      </c>
      <c r="BP1921" s="866"/>
      <c r="BQ1921" s="866"/>
      <c r="BR1921" s="866">
        <f>VLOOKUP(BD1921,$BD$4:$BN$12824,6,0)*BE1921</f>
        <v>8882.8920650120272</v>
      </c>
      <c r="BS1921" s="866">
        <f>VLOOKUP(BD1921,$BD$4:$BN$12824,7,0)*BE1921</f>
        <v>1687.7690294072781</v>
      </c>
      <c r="BT1921" s="866"/>
      <c r="BU1921" s="866">
        <f>VLOOKUP(BD1921,$BD$4:$BN$12824,9,0)*BE1921</f>
        <v>65.492794688101753</v>
      </c>
      <c r="BV1921" s="867"/>
      <c r="BW1921" s="867">
        <f>VLOOKUP(BD1921,$BD$4:$BN$12824,11,0)*BE1921</f>
        <v>0</v>
      </c>
      <c r="BX1921" s="1146">
        <f t="shared" si="364"/>
        <v>31486.386796326493</v>
      </c>
      <c r="BY1921" s="867">
        <f t="shared" si="366"/>
        <v>234462.90172574867</v>
      </c>
      <c r="BZ1921" s="867">
        <f t="shared" si="365"/>
        <v>1875703.2138059894</v>
      </c>
      <c r="CA1921" s="867">
        <f>_xlfn.MAXIFS($BY$4:$BY$12824,$S$4:$S$12824,$S1921)</f>
        <v>298135.11361314432</v>
      </c>
      <c r="CB1921" s="1032"/>
      <c r="CF1921" s="946">
        <f t="shared" si="370"/>
        <v>1789952</v>
      </c>
    </row>
    <row r="1922" spans="2:84">
      <c r="B1922" s="839" t="s">
        <v>98</v>
      </c>
      <c r="C1922" s="839" t="s">
        <v>273</v>
      </c>
      <c r="D1922" s="839" t="s">
        <v>6289</v>
      </c>
      <c r="E1922" s="839" t="s">
        <v>6290</v>
      </c>
      <c r="F1922" s="841">
        <v>45841</v>
      </c>
      <c r="G1922" s="868" t="s">
        <v>273</v>
      </c>
      <c r="H1922" s="842" t="s">
        <v>134</v>
      </c>
      <c r="I1922" s="883"/>
      <c r="J1922" s="841"/>
      <c r="K1922" s="841"/>
      <c r="L1922" s="843" t="s">
        <v>106</v>
      </c>
      <c r="M1922" s="844" t="s">
        <v>275</v>
      </c>
      <c r="N1922" s="841"/>
      <c r="O1922" s="884" t="s">
        <v>150</v>
      </c>
      <c r="P1922" s="842" t="s">
        <v>124</v>
      </c>
      <c r="Q1922" s="843"/>
      <c r="R1922" s="845" t="str">
        <f t="shared" si="371"/>
        <v>18443</v>
      </c>
      <c r="S1922" s="1127" t="s">
        <v>2480</v>
      </c>
      <c r="T1922" s="885" t="s">
        <v>2481</v>
      </c>
      <c r="U1922" s="886">
        <v>18</v>
      </c>
      <c r="V1922" s="842" t="s">
        <v>3</v>
      </c>
      <c r="W1922" s="846" t="s">
        <v>4684</v>
      </c>
      <c r="X1922" s="847">
        <f t="shared" si="368"/>
        <v>336.06000000000006</v>
      </c>
      <c r="Y1922" s="853" t="s">
        <v>4582</v>
      </c>
      <c r="Z1922" s="902">
        <v>8.8680000000000003</v>
      </c>
      <c r="AA1922" s="849"/>
      <c r="AB1922" s="849">
        <f t="shared" si="360"/>
        <v>159.624</v>
      </c>
      <c r="AC1922" s="850">
        <f t="shared" si="361"/>
        <v>159.624</v>
      </c>
      <c r="AD1922" s="851">
        <f t="shared" si="369"/>
        <v>32000</v>
      </c>
      <c r="AE1922" s="852">
        <v>29936.21</v>
      </c>
      <c r="AF1922" s="853">
        <v>0.1</v>
      </c>
      <c r="AG1922" s="854">
        <f t="shared" si="362"/>
        <v>484285.40542392991</v>
      </c>
      <c r="AH1922" s="853">
        <v>0.08</v>
      </c>
      <c r="AI1922" s="855">
        <f t="shared" si="363"/>
        <v>421025.83923711436</v>
      </c>
      <c r="AJ1922" s="856" t="s">
        <v>6292</v>
      </c>
      <c r="AK1922" s="857">
        <v>45911</v>
      </c>
      <c r="AL1922" s="843" t="s">
        <v>6293</v>
      </c>
      <c r="AM1922" s="843" t="s">
        <v>6294</v>
      </c>
      <c r="AN1922" s="844" t="s">
        <v>3951</v>
      </c>
      <c r="AO1922" s="844" t="s">
        <v>141</v>
      </c>
      <c r="AP1922" s="841"/>
      <c r="AQ1922" s="841">
        <v>45929</v>
      </c>
      <c r="AR1922" s="841">
        <v>45987</v>
      </c>
      <c r="AS1922" s="842" t="s">
        <v>1284</v>
      </c>
      <c r="AT1922" s="842" t="s">
        <v>1743</v>
      </c>
      <c r="AU1922" s="842" t="s">
        <v>6295</v>
      </c>
      <c r="AV1922" s="845" t="s">
        <v>6296</v>
      </c>
      <c r="AW1922" s="861">
        <v>45986</v>
      </c>
      <c r="AX1922" s="862">
        <v>45987</v>
      </c>
      <c r="AY1922" s="843"/>
      <c r="AZ1922" s="842">
        <v>94031000</v>
      </c>
      <c r="BA1922" s="842" t="s">
        <v>120</v>
      </c>
      <c r="BB1922" s="863" t="s">
        <v>121</v>
      </c>
      <c r="BC1922" s="864">
        <v>45990</v>
      </c>
      <c r="BD1922" s="860" t="s">
        <v>6297</v>
      </c>
      <c r="BE1922" s="865" cm="1">
        <f t="array" ref="BE1922">IF(BD1922="","",AC1922/SUMPRODUCT(--(BD1922=$BD$4:$BD$12824),$AC$4:$AC$12824))</f>
        <v>1.5431294949214897E-3</v>
      </c>
      <c r="BF1922" s="458"/>
      <c r="BG1922" s="458"/>
      <c r="BH1922" s="458"/>
      <c r="BI1922" s="458"/>
      <c r="BJ1922" s="458"/>
      <c r="BK1922" s="458"/>
      <c r="BL1922" s="458"/>
      <c r="BM1922" s="458"/>
      <c r="BN1922" s="458"/>
      <c r="BO1922" s="866">
        <f>VLOOKUP(BD1922,$BD$4:$BN$12824,3,0)*BE1922</f>
        <v>59500.099713635929</v>
      </c>
      <c r="BP1922" s="866"/>
      <c r="BQ1922" s="866"/>
      <c r="BR1922" s="866">
        <f>VLOOKUP(BD1922,$BD$4:$BN$12824,6,0)*BE1922</f>
        <v>25349.019647194651</v>
      </c>
      <c r="BS1922" s="866">
        <f>VLOOKUP(BD1922,$BD$4:$BN$12824,7,0)*BE1922</f>
        <v>4816.369485664105</v>
      </c>
      <c r="BT1922" s="866"/>
      <c r="BU1922" s="866">
        <f>VLOOKUP(BD1922,$BD$4:$BN$12824,9,0)*BE1922</f>
        <v>186.89612877741624</v>
      </c>
      <c r="BV1922" s="867"/>
      <c r="BW1922" s="867">
        <f>VLOOKUP(BD1922,$BD$4:$BN$12824,11,0)*BE1922</f>
        <v>0</v>
      </c>
      <c r="BX1922" s="1146">
        <f t="shared" si="364"/>
        <v>89852.3849752721</v>
      </c>
      <c r="BY1922" s="867">
        <f t="shared" si="366"/>
        <v>297370.85419106676</v>
      </c>
      <c r="BZ1922" s="867">
        <f t="shared" si="365"/>
        <v>5352675.3754392015</v>
      </c>
      <c r="CA1922" s="867">
        <f>_xlfn.MAXIFS($BY$4:$BY$12824,$S$4:$S$12824,$S1922)</f>
        <v>394118.41045101476</v>
      </c>
      <c r="CB1922" s="1032"/>
      <c r="CF1922" s="946">
        <f t="shared" si="370"/>
        <v>5107968</v>
      </c>
    </row>
    <row r="1923" spans="2:84">
      <c r="B1923" s="839" t="s">
        <v>98</v>
      </c>
      <c r="C1923" s="839" t="s">
        <v>273</v>
      </c>
      <c r="D1923" s="839" t="s">
        <v>6289</v>
      </c>
      <c r="E1923" s="839" t="s">
        <v>6290</v>
      </c>
      <c r="F1923" s="841">
        <v>45841</v>
      </c>
      <c r="G1923" s="868" t="s">
        <v>273</v>
      </c>
      <c r="H1923" s="842" t="s">
        <v>134</v>
      </c>
      <c r="I1923" s="883"/>
      <c r="J1923" s="841"/>
      <c r="K1923" s="841"/>
      <c r="L1923" s="843" t="s">
        <v>106</v>
      </c>
      <c r="M1923" s="844" t="s">
        <v>275</v>
      </c>
      <c r="N1923" s="841"/>
      <c r="O1923" s="884" t="s">
        <v>150</v>
      </c>
      <c r="P1923" s="842" t="s">
        <v>124</v>
      </c>
      <c r="Q1923" s="843"/>
      <c r="R1923" s="845" t="str">
        <f t="shared" ref="R1923:R1966" si="372">RIGHT(S1923,8)</f>
        <v>11203.22</v>
      </c>
      <c r="S1923" s="1127" t="s">
        <v>6401</v>
      </c>
      <c r="T1923" s="885" t="s">
        <v>6402</v>
      </c>
      <c r="U1923" s="886">
        <v>2</v>
      </c>
      <c r="V1923" s="842" t="s">
        <v>3</v>
      </c>
      <c r="W1923" s="846" t="s">
        <v>4529</v>
      </c>
      <c r="X1923" s="847">
        <f t="shared" si="368"/>
        <v>103.9</v>
      </c>
      <c r="Y1923" s="853" t="s">
        <v>4582</v>
      </c>
      <c r="Z1923" s="902">
        <v>24.675999999999998</v>
      </c>
      <c r="AA1923" s="849"/>
      <c r="AB1923" s="849">
        <f t="shared" si="360"/>
        <v>49.351999999999997</v>
      </c>
      <c r="AC1923" s="850">
        <f t="shared" si="361"/>
        <v>49.351999999999997</v>
      </c>
      <c r="AD1923" s="851">
        <f t="shared" si="369"/>
        <v>32000</v>
      </c>
      <c r="AE1923" s="852">
        <v>29936.21</v>
      </c>
      <c r="AF1923" s="853">
        <v>0.1</v>
      </c>
      <c r="AG1923" s="854">
        <f t="shared" si="362"/>
        <v>149729.69809353098</v>
      </c>
      <c r="AH1923" s="853">
        <v>0.08</v>
      </c>
      <c r="AI1923" s="855">
        <f t="shared" si="363"/>
        <v>130171.32272108246</v>
      </c>
      <c r="AJ1923" s="856" t="s">
        <v>6292</v>
      </c>
      <c r="AK1923" s="857">
        <v>45911</v>
      </c>
      <c r="AL1923" s="843" t="s">
        <v>6293</v>
      </c>
      <c r="AM1923" s="843" t="s">
        <v>6294</v>
      </c>
      <c r="AN1923" s="844" t="s">
        <v>3951</v>
      </c>
      <c r="AO1923" s="844" t="s">
        <v>141</v>
      </c>
      <c r="AP1923" s="841"/>
      <c r="AQ1923" s="841">
        <v>45929</v>
      </c>
      <c r="AR1923" s="841">
        <v>45987</v>
      </c>
      <c r="AS1923" s="842" t="s">
        <v>1284</v>
      </c>
      <c r="AT1923" s="842" t="s">
        <v>1743</v>
      </c>
      <c r="AU1923" s="842" t="s">
        <v>6295</v>
      </c>
      <c r="AV1923" s="845" t="s">
        <v>6296</v>
      </c>
      <c r="AW1923" s="861">
        <v>45986</v>
      </c>
      <c r="AX1923" s="862">
        <v>45987</v>
      </c>
      <c r="AY1923" s="843"/>
      <c r="AZ1923" s="842">
        <v>94031000</v>
      </c>
      <c r="BA1923" s="842" t="s">
        <v>120</v>
      </c>
      <c r="BB1923" s="863" t="s">
        <v>121</v>
      </c>
      <c r="BC1923" s="864">
        <v>45990</v>
      </c>
      <c r="BD1923" s="860" t="s">
        <v>6297</v>
      </c>
      <c r="BE1923" s="865" cm="1">
        <f t="array" ref="BE1923">IF(BD1923="","",AC1923/SUMPRODUCT(--(BD1923=$BD$4:$BD$12824),$AC$4:$AC$12824))</f>
        <v>4.7709947647825738E-4</v>
      </c>
      <c r="BF1923" s="458"/>
      <c r="BG1923" s="458"/>
      <c r="BH1923" s="458"/>
      <c r="BI1923" s="458"/>
      <c r="BJ1923" s="458"/>
      <c r="BK1923" s="458"/>
      <c r="BL1923" s="458"/>
      <c r="BM1923" s="458"/>
      <c r="BN1923" s="458"/>
      <c r="BO1923" s="866">
        <f>VLOOKUP(BD1923,$BD$4:$BN$12824,3,0)*BE1923</f>
        <v>18396.036442310433</v>
      </c>
      <c r="BP1923" s="866"/>
      <c r="BQ1923" s="866"/>
      <c r="BR1923" s="866">
        <f>VLOOKUP(BD1923,$BD$4:$BN$12824,6,0)*BE1923</f>
        <v>7837.3228188013727</v>
      </c>
      <c r="BS1923" s="866">
        <f>VLOOKUP(BD1923,$BD$4:$BN$12824,7,0)*BE1923</f>
        <v>1489.1085729996423</v>
      </c>
      <c r="BT1923" s="866"/>
      <c r="BU1923" s="866">
        <f>VLOOKUP(BD1923,$BD$4:$BN$12824,9,0)*BE1923</f>
        <v>57.783903093664144</v>
      </c>
      <c r="BV1923" s="867"/>
      <c r="BW1923" s="867">
        <f>VLOOKUP(BD1923,$BD$4:$BN$12824,11,0)*BE1923</f>
        <v>0</v>
      </c>
      <c r="BX1923" s="1146">
        <f t="shared" si="364"/>
        <v>27780.251737205112</v>
      </c>
      <c r="BY1923" s="867">
        <f t="shared" si="366"/>
        <v>827460.89287536789</v>
      </c>
      <c r="BZ1923" s="867">
        <f t="shared" si="365"/>
        <v>1654921.7857507358</v>
      </c>
      <c r="CA1923" s="867">
        <f>_xlfn.MAXIFS($BY$4:$BY$12824,$S$4:$S$12824,$S1923)</f>
        <v>827460.89287536789</v>
      </c>
      <c r="CB1923" s="1032"/>
      <c r="CF1923" s="946">
        <f t="shared" si="370"/>
        <v>1579264</v>
      </c>
    </row>
    <row r="1924" spans="2:84">
      <c r="B1924" s="839" t="s">
        <v>98</v>
      </c>
      <c r="C1924" s="839" t="s">
        <v>273</v>
      </c>
      <c r="D1924" s="839" t="s">
        <v>6289</v>
      </c>
      <c r="E1924" s="839" t="s">
        <v>6290</v>
      </c>
      <c r="F1924" s="841">
        <v>45841</v>
      </c>
      <c r="G1924" s="868" t="s">
        <v>273</v>
      </c>
      <c r="H1924" s="842" t="s">
        <v>134</v>
      </c>
      <c r="I1924" s="883"/>
      <c r="J1924" s="841"/>
      <c r="K1924" s="841"/>
      <c r="L1924" s="843" t="s">
        <v>106</v>
      </c>
      <c r="M1924" s="844" t="s">
        <v>275</v>
      </c>
      <c r="N1924" s="841"/>
      <c r="O1924" s="884" t="s">
        <v>150</v>
      </c>
      <c r="P1924" s="842" t="s">
        <v>124</v>
      </c>
      <c r="Q1924" s="843"/>
      <c r="R1924" s="845" t="str">
        <f t="shared" si="372"/>
        <v>11203.24</v>
      </c>
      <c r="S1924" s="1127" t="s">
        <v>3769</v>
      </c>
      <c r="T1924" s="885" t="s">
        <v>4003</v>
      </c>
      <c r="U1924" s="886">
        <v>6</v>
      </c>
      <c r="V1924" s="842" t="s">
        <v>3</v>
      </c>
      <c r="W1924" s="846" t="s">
        <v>4529</v>
      </c>
      <c r="X1924" s="847">
        <f t="shared" si="368"/>
        <v>311.70000000000005</v>
      </c>
      <c r="Y1924" s="853" t="s">
        <v>4582</v>
      </c>
      <c r="Z1924" s="902">
        <v>24.675999999999998</v>
      </c>
      <c r="AA1924" s="849"/>
      <c r="AB1924" s="849">
        <f t="shared" si="360"/>
        <v>148.05599999999998</v>
      </c>
      <c r="AC1924" s="850">
        <f t="shared" si="361"/>
        <v>148.05599999999998</v>
      </c>
      <c r="AD1924" s="851">
        <f t="shared" si="369"/>
        <v>32000</v>
      </c>
      <c r="AE1924" s="852">
        <v>29936.21</v>
      </c>
      <c r="AF1924" s="853">
        <v>0.1</v>
      </c>
      <c r="AG1924" s="854">
        <f t="shared" si="362"/>
        <v>449189.09428059304</v>
      </c>
      <c r="AH1924" s="853">
        <v>0.08</v>
      </c>
      <c r="AI1924" s="855">
        <f t="shared" si="363"/>
        <v>390513.96816324739</v>
      </c>
      <c r="AJ1924" s="856" t="s">
        <v>6292</v>
      </c>
      <c r="AK1924" s="857">
        <v>45911</v>
      </c>
      <c r="AL1924" s="843" t="s">
        <v>6293</v>
      </c>
      <c r="AM1924" s="843" t="s">
        <v>6294</v>
      </c>
      <c r="AN1924" s="844" t="s">
        <v>3951</v>
      </c>
      <c r="AO1924" s="844" t="s">
        <v>141</v>
      </c>
      <c r="AP1924" s="841"/>
      <c r="AQ1924" s="841">
        <v>45929</v>
      </c>
      <c r="AR1924" s="841">
        <v>45987</v>
      </c>
      <c r="AS1924" s="842" t="s">
        <v>1284</v>
      </c>
      <c r="AT1924" s="842" t="s">
        <v>1743</v>
      </c>
      <c r="AU1924" s="842" t="s">
        <v>6295</v>
      </c>
      <c r="AV1924" s="845" t="s">
        <v>6296</v>
      </c>
      <c r="AW1924" s="861">
        <v>45986</v>
      </c>
      <c r="AX1924" s="862">
        <v>45987</v>
      </c>
      <c r="AY1924" s="843"/>
      <c r="AZ1924" s="842">
        <v>94031000</v>
      </c>
      <c r="BA1924" s="842" t="s">
        <v>120</v>
      </c>
      <c r="BB1924" s="863" t="s">
        <v>121</v>
      </c>
      <c r="BC1924" s="864">
        <v>45990</v>
      </c>
      <c r="BD1924" s="860" t="s">
        <v>6297</v>
      </c>
      <c r="BE1924" s="865" cm="1">
        <f t="array" ref="BE1924">IF(BD1924="","",AC1924/SUMPRODUCT(--(BD1924=$BD$4:$BD$12824),$AC$4:$AC$12824))</f>
        <v>1.4312984294347721E-3</v>
      </c>
      <c r="BF1924" s="458"/>
      <c r="BG1924" s="458"/>
      <c r="BH1924" s="458"/>
      <c r="BI1924" s="458"/>
      <c r="BJ1924" s="458"/>
      <c r="BK1924" s="458"/>
      <c r="BL1924" s="458"/>
      <c r="BM1924" s="458"/>
      <c r="BN1924" s="458"/>
      <c r="BO1924" s="866">
        <f>VLOOKUP(BD1924,$BD$4:$BN$12824,3,0)*BE1924</f>
        <v>55188.109326931291</v>
      </c>
      <c r="BP1924" s="866"/>
      <c r="BQ1924" s="866"/>
      <c r="BR1924" s="866">
        <f>VLOOKUP(BD1924,$BD$4:$BN$12824,6,0)*BE1924</f>
        <v>23511.96845640412</v>
      </c>
      <c r="BS1924" s="866">
        <f>VLOOKUP(BD1924,$BD$4:$BN$12824,7,0)*BE1924</f>
        <v>4467.3257189989272</v>
      </c>
      <c r="BT1924" s="866"/>
      <c r="BU1924" s="866">
        <f>VLOOKUP(BD1924,$BD$4:$BN$12824,9,0)*BE1924</f>
        <v>173.35170928099242</v>
      </c>
      <c r="BV1924" s="867"/>
      <c r="BW1924" s="867">
        <f>VLOOKUP(BD1924,$BD$4:$BN$12824,11,0)*BE1924</f>
        <v>0</v>
      </c>
      <c r="BX1924" s="1146">
        <f t="shared" si="364"/>
        <v>83340.755211615324</v>
      </c>
      <c r="BY1924" s="867">
        <f t="shared" si="366"/>
        <v>827460.89287536789</v>
      </c>
      <c r="BZ1924" s="867">
        <f t="shared" si="365"/>
        <v>4964765.3572522076</v>
      </c>
      <c r="CA1924" s="867">
        <f>_xlfn.MAXIFS($BY$4:$BY$12824,$S$4:$S$12824,$S1924)</f>
        <v>1052895.3201994193</v>
      </c>
      <c r="CB1924" s="1032"/>
      <c r="CF1924" s="946">
        <f t="shared" si="370"/>
        <v>4737791.9999999991</v>
      </c>
    </row>
    <row r="1925" spans="2:84">
      <c r="B1925" s="839" t="s">
        <v>98</v>
      </c>
      <c r="C1925" s="839" t="s">
        <v>273</v>
      </c>
      <c r="D1925" s="839" t="s">
        <v>6289</v>
      </c>
      <c r="E1925" s="839" t="s">
        <v>6290</v>
      </c>
      <c r="F1925" s="841">
        <v>45841</v>
      </c>
      <c r="G1925" s="868" t="s">
        <v>273</v>
      </c>
      <c r="H1925" s="842" t="s">
        <v>134</v>
      </c>
      <c r="I1925" s="883"/>
      <c r="J1925" s="841"/>
      <c r="K1925" s="841"/>
      <c r="L1925" s="843" t="s">
        <v>106</v>
      </c>
      <c r="M1925" s="844" t="s">
        <v>275</v>
      </c>
      <c r="N1925" s="841"/>
      <c r="O1925" s="884" t="s">
        <v>150</v>
      </c>
      <c r="P1925" s="842" t="s">
        <v>124</v>
      </c>
      <c r="Q1925" s="843"/>
      <c r="R1925" s="845" t="str">
        <f t="shared" si="372"/>
        <v>11203.25</v>
      </c>
      <c r="S1925" s="1127" t="s">
        <v>6403</v>
      </c>
      <c r="T1925" s="885" t="s">
        <v>6404</v>
      </c>
      <c r="U1925" s="886">
        <v>2</v>
      </c>
      <c r="V1925" s="842" t="s">
        <v>3</v>
      </c>
      <c r="W1925" s="846" t="s">
        <v>4529</v>
      </c>
      <c r="X1925" s="847">
        <f t="shared" si="368"/>
        <v>103.9</v>
      </c>
      <c r="Y1925" s="853" t="s">
        <v>4582</v>
      </c>
      <c r="Z1925" s="902">
        <v>24.675999999999998</v>
      </c>
      <c r="AA1925" s="849"/>
      <c r="AB1925" s="849">
        <f t="shared" ref="AB1925:AB1988" si="373">IF(AA1925="F.O.C", 0, Z1925*U1925)</f>
        <v>49.351999999999997</v>
      </c>
      <c r="AC1925" s="850">
        <f t="shared" ref="AC1925:AC1988" si="374">Z1925*U1925</f>
        <v>49.351999999999997</v>
      </c>
      <c r="AD1925" s="851">
        <f t="shared" si="369"/>
        <v>32000</v>
      </c>
      <c r="AE1925" s="852">
        <v>29936.21</v>
      </c>
      <c r="AF1925" s="853">
        <v>0.1</v>
      </c>
      <c r="AG1925" s="854">
        <f t="shared" ref="AG1925:AG1988" si="375">(AC1925*AE1925+BO1925+BP1925+BQ1925+BS1925)*AF1925</f>
        <v>149729.69809353098</v>
      </c>
      <c r="AH1925" s="853">
        <v>0.08</v>
      </c>
      <c r="AI1925" s="855">
        <f t="shared" ref="AI1925:AI1988" si="376">(AC1925*AE1925+AG1925+BF1925+BG1925+BH1925+BJ1925)*AH1925</f>
        <v>130171.32272108246</v>
      </c>
      <c r="AJ1925" s="856" t="s">
        <v>6292</v>
      </c>
      <c r="AK1925" s="857">
        <v>45911</v>
      </c>
      <c r="AL1925" s="843" t="s">
        <v>6293</v>
      </c>
      <c r="AM1925" s="843" t="s">
        <v>6294</v>
      </c>
      <c r="AN1925" s="844" t="s">
        <v>3951</v>
      </c>
      <c r="AO1925" s="844" t="s">
        <v>141</v>
      </c>
      <c r="AP1925" s="841"/>
      <c r="AQ1925" s="841">
        <v>45929</v>
      </c>
      <c r="AR1925" s="841">
        <v>45987</v>
      </c>
      <c r="AS1925" s="842" t="s">
        <v>1284</v>
      </c>
      <c r="AT1925" s="842" t="s">
        <v>1743</v>
      </c>
      <c r="AU1925" s="842" t="s">
        <v>6295</v>
      </c>
      <c r="AV1925" s="845" t="s">
        <v>6296</v>
      </c>
      <c r="AW1925" s="861">
        <v>45986</v>
      </c>
      <c r="AX1925" s="862">
        <v>45987</v>
      </c>
      <c r="AY1925" s="843"/>
      <c r="AZ1925" s="842">
        <v>94031000</v>
      </c>
      <c r="BA1925" s="842" t="s">
        <v>120</v>
      </c>
      <c r="BB1925" s="863" t="s">
        <v>121</v>
      </c>
      <c r="BC1925" s="864">
        <v>45990</v>
      </c>
      <c r="BD1925" s="860" t="s">
        <v>6297</v>
      </c>
      <c r="BE1925" s="865" cm="1">
        <f t="array" ref="BE1925">IF(BD1925="","",AC1925/SUMPRODUCT(--(BD1925=$BD$4:$BD$12824),$AC$4:$AC$12824))</f>
        <v>4.7709947647825738E-4</v>
      </c>
      <c r="BF1925" s="458"/>
      <c r="BG1925" s="458"/>
      <c r="BH1925" s="458"/>
      <c r="BI1925" s="458"/>
      <c r="BJ1925" s="458"/>
      <c r="BK1925" s="458"/>
      <c r="BL1925" s="458"/>
      <c r="BM1925" s="458"/>
      <c r="BN1925" s="458"/>
      <c r="BO1925" s="866">
        <f>VLOOKUP(BD1925,$BD$4:$BN$12824,3,0)*BE1925</f>
        <v>18396.036442310433</v>
      </c>
      <c r="BP1925" s="866"/>
      <c r="BQ1925" s="866"/>
      <c r="BR1925" s="866">
        <f>VLOOKUP(BD1925,$BD$4:$BN$12824,6,0)*BE1925</f>
        <v>7837.3228188013727</v>
      </c>
      <c r="BS1925" s="866">
        <f>VLOOKUP(BD1925,$BD$4:$BN$12824,7,0)*BE1925</f>
        <v>1489.1085729996423</v>
      </c>
      <c r="BT1925" s="866"/>
      <c r="BU1925" s="866">
        <f>VLOOKUP(BD1925,$BD$4:$BN$12824,9,0)*BE1925</f>
        <v>57.783903093664144</v>
      </c>
      <c r="BV1925" s="867"/>
      <c r="BW1925" s="867">
        <f>VLOOKUP(BD1925,$BD$4:$BN$12824,11,0)*BE1925</f>
        <v>0</v>
      </c>
      <c r="BX1925" s="1146">
        <f t="shared" ref="BX1925:BX1988" si="377">SUM(BO1925:BW1925)</f>
        <v>27780.251737205112</v>
      </c>
      <c r="BY1925" s="867">
        <f t="shared" si="366"/>
        <v>827460.89287536789</v>
      </c>
      <c r="BZ1925" s="867">
        <f t="shared" ref="BZ1925:BZ1988" si="378">BY1925*U1925</f>
        <v>1654921.7857507358</v>
      </c>
      <c r="CA1925" s="867">
        <f>_xlfn.MAXIFS($BY$4:$BY$12824,$S$4:$S$12824,$S1925)</f>
        <v>827460.89287536789</v>
      </c>
      <c r="CB1925" s="1032"/>
      <c r="CF1925" s="946">
        <f t="shared" si="370"/>
        <v>1579264</v>
      </c>
    </row>
    <row r="1926" spans="2:84">
      <c r="B1926" s="839" t="s">
        <v>98</v>
      </c>
      <c r="C1926" s="839" t="s">
        <v>273</v>
      </c>
      <c r="D1926" s="839" t="s">
        <v>6289</v>
      </c>
      <c r="E1926" s="839" t="s">
        <v>6290</v>
      </c>
      <c r="F1926" s="841">
        <v>45841</v>
      </c>
      <c r="G1926" s="868" t="s">
        <v>273</v>
      </c>
      <c r="H1926" s="842" t="s">
        <v>134</v>
      </c>
      <c r="I1926" s="883"/>
      <c r="J1926" s="841"/>
      <c r="K1926" s="841"/>
      <c r="L1926" s="843" t="s">
        <v>106</v>
      </c>
      <c r="M1926" s="844" t="s">
        <v>275</v>
      </c>
      <c r="N1926" s="841"/>
      <c r="O1926" s="884" t="s">
        <v>150</v>
      </c>
      <c r="P1926" s="842" t="s">
        <v>124</v>
      </c>
      <c r="Q1926" s="843"/>
      <c r="R1926" s="845" t="str">
        <f t="shared" si="372"/>
        <v>11203.28</v>
      </c>
      <c r="S1926" s="1127" t="s">
        <v>6405</v>
      </c>
      <c r="T1926" s="885" t="s">
        <v>6406</v>
      </c>
      <c r="U1926" s="886">
        <v>2</v>
      </c>
      <c r="V1926" s="842" t="s">
        <v>3</v>
      </c>
      <c r="W1926" s="846" t="s">
        <v>4529</v>
      </c>
      <c r="X1926" s="847">
        <f t="shared" si="368"/>
        <v>103.9</v>
      </c>
      <c r="Y1926" s="853" t="s">
        <v>4582</v>
      </c>
      <c r="Z1926" s="902">
        <v>24.675999999999998</v>
      </c>
      <c r="AA1926" s="849"/>
      <c r="AB1926" s="849">
        <f t="shared" si="373"/>
        <v>49.351999999999997</v>
      </c>
      <c r="AC1926" s="850">
        <f t="shared" si="374"/>
        <v>49.351999999999997</v>
      </c>
      <c r="AD1926" s="851">
        <f t="shared" si="369"/>
        <v>32000</v>
      </c>
      <c r="AE1926" s="852">
        <v>29936.21</v>
      </c>
      <c r="AF1926" s="853">
        <v>0.1</v>
      </c>
      <c r="AG1926" s="854">
        <f t="shared" si="375"/>
        <v>149729.69809353098</v>
      </c>
      <c r="AH1926" s="853">
        <v>0.08</v>
      </c>
      <c r="AI1926" s="855">
        <f t="shared" si="376"/>
        <v>130171.32272108246</v>
      </c>
      <c r="AJ1926" s="856" t="s">
        <v>6292</v>
      </c>
      <c r="AK1926" s="857">
        <v>45911</v>
      </c>
      <c r="AL1926" s="843" t="s">
        <v>6293</v>
      </c>
      <c r="AM1926" s="843" t="s">
        <v>6294</v>
      </c>
      <c r="AN1926" s="844" t="s">
        <v>3951</v>
      </c>
      <c r="AO1926" s="844" t="s">
        <v>141</v>
      </c>
      <c r="AP1926" s="841"/>
      <c r="AQ1926" s="841">
        <v>45929</v>
      </c>
      <c r="AR1926" s="841">
        <v>45987</v>
      </c>
      <c r="AS1926" s="842" t="s">
        <v>1284</v>
      </c>
      <c r="AT1926" s="842" t="s">
        <v>1743</v>
      </c>
      <c r="AU1926" s="842" t="s">
        <v>6295</v>
      </c>
      <c r="AV1926" s="845" t="s">
        <v>6296</v>
      </c>
      <c r="AW1926" s="861">
        <v>45986</v>
      </c>
      <c r="AX1926" s="862">
        <v>45987</v>
      </c>
      <c r="AY1926" s="843"/>
      <c r="AZ1926" s="842">
        <v>94031000</v>
      </c>
      <c r="BA1926" s="842" t="s">
        <v>120</v>
      </c>
      <c r="BB1926" s="863" t="s">
        <v>121</v>
      </c>
      <c r="BC1926" s="864">
        <v>45990</v>
      </c>
      <c r="BD1926" s="860" t="s">
        <v>6297</v>
      </c>
      <c r="BE1926" s="865" cm="1">
        <f t="array" ref="BE1926">IF(BD1926="","",AC1926/SUMPRODUCT(--(BD1926=$BD$4:$BD$12824),$AC$4:$AC$12824))</f>
        <v>4.7709947647825738E-4</v>
      </c>
      <c r="BF1926" s="458"/>
      <c r="BG1926" s="458"/>
      <c r="BH1926" s="458"/>
      <c r="BI1926" s="458"/>
      <c r="BJ1926" s="458"/>
      <c r="BK1926" s="458"/>
      <c r="BL1926" s="458"/>
      <c r="BM1926" s="458"/>
      <c r="BN1926" s="458"/>
      <c r="BO1926" s="866">
        <f>VLOOKUP(BD1926,$BD$4:$BN$12824,3,0)*BE1926</f>
        <v>18396.036442310433</v>
      </c>
      <c r="BP1926" s="866"/>
      <c r="BQ1926" s="866"/>
      <c r="BR1926" s="866">
        <f>VLOOKUP(BD1926,$BD$4:$BN$12824,6,0)*BE1926</f>
        <v>7837.3228188013727</v>
      </c>
      <c r="BS1926" s="866">
        <f>VLOOKUP(BD1926,$BD$4:$BN$12824,7,0)*BE1926</f>
        <v>1489.1085729996423</v>
      </c>
      <c r="BT1926" s="866"/>
      <c r="BU1926" s="866">
        <f>VLOOKUP(BD1926,$BD$4:$BN$12824,9,0)*BE1926</f>
        <v>57.783903093664144</v>
      </c>
      <c r="BV1926" s="867"/>
      <c r="BW1926" s="867">
        <f>VLOOKUP(BD1926,$BD$4:$BN$12824,11,0)*BE1926</f>
        <v>0</v>
      </c>
      <c r="BX1926" s="1146">
        <f t="shared" si="377"/>
        <v>27780.251737205112</v>
      </c>
      <c r="BY1926" s="867">
        <f t="shared" ref="BY1926:BY1989" si="379">(AB1926*AE1926+AG1926+BX1926)/U1926</f>
        <v>827460.89287536789</v>
      </c>
      <c r="BZ1926" s="867">
        <f t="shared" si="378"/>
        <v>1654921.7857507358</v>
      </c>
      <c r="CA1926" s="867">
        <f>_xlfn.MAXIFS($BY$4:$BY$12824,$S$4:$S$12824,$S1926)</f>
        <v>827460.89287536789</v>
      </c>
      <c r="CB1926" s="1032"/>
      <c r="CF1926" s="946">
        <f t="shared" si="370"/>
        <v>1579264</v>
      </c>
    </row>
    <row r="1927" spans="2:84">
      <c r="B1927" s="839" t="s">
        <v>98</v>
      </c>
      <c r="C1927" s="839" t="s">
        <v>273</v>
      </c>
      <c r="D1927" s="839" t="s">
        <v>6289</v>
      </c>
      <c r="E1927" s="839" t="s">
        <v>6290</v>
      </c>
      <c r="F1927" s="841">
        <v>45841</v>
      </c>
      <c r="G1927" s="868" t="s">
        <v>273</v>
      </c>
      <c r="H1927" s="842" t="s">
        <v>134</v>
      </c>
      <c r="I1927" s="883"/>
      <c r="J1927" s="841"/>
      <c r="K1927" s="841"/>
      <c r="L1927" s="843" t="s">
        <v>106</v>
      </c>
      <c r="M1927" s="844" t="s">
        <v>275</v>
      </c>
      <c r="N1927" s="841"/>
      <c r="O1927" s="884" t="s">
        <v>150</v>
      </c>
      <c r="P1927" s="842" t="s">
        <v>124</v>
      </c>
      <c r="Q1927" s="843"/>
      <c r="R1927" s="845" t="str">
        <f t="shared" si="372"/>
        <v>11203.36</v>
      </c>
      <c r="S1927" s="1127" t="s">
        <v>6407</v>
      </c>
      <c r="T1927" s="885" t="s">
        <v>6408</v>
      </c>
      <c r="U1927" s="886">
        <v>2</v>
      </c>
      <c r="V1927" s="842" t="s">
        <v>3</v>
      </c>
      <c r="W1927" s="846" t="s">
        <v>4529</v>
      </c>
      <c r="X1927" s="847">
        <f t="shared" si="368"/>
        <v>103.9</v>
      </c>
      <c r="Y1927" s="853" t="s">
        <v>4582</v>
      </c>
      <c r="Z1927" s="902">
        <v>24.675999999999998</v>
      </c>
      <c r="AA1927" s="849"/>
      <c r="AB1927" s="849">
        <f t="shared" si="373"/>
        <v>49.351999999999997</v>
      </c>
      <c r="AC1927" s="850">
        <f t="shared" si="374"/>
        <v>49.351999999999997</v>
      </c>
      <c r="AD1927" s="851">
        <f t="shared" si="369"/>
        <v>32000</v>
      </c>
      <c r="AE1927" s="852">
        <v>29936.21</v>
      </c>
      <c r="AF1927" s="853">
        <v>0.1</v>
      </c>
      <c r="AG1927" s="854">
        <f t="shared" si="375"/>
        <v>149729.69809353098</v>
      </c>
      <c r="AH1927" s="853">
        <v>0.08</v>
      </c>
      <c r="AI1927" s="855">
        <f t="shared" si="376"/>
        <v>130171.32272108246</v>
      </c>
      <c r="AJ1927" s="856" t="s">
        <v>6292</v>
      </c>
      <c r="AK1927" s="857">
        <v>45911</v>
      </c>
      <c r="AL1927" s="843" t="s">
        <v>6293</v>
      </c>
      <c r="AM1927" s="843" t="s">
        <v>6294</v>
      </c>
      <c r="AN1927" s="844" t="s">
        <v>3951</v>
      </c>
      <c r="AO1927" s="844" t="s">
        <v>141</v>
      </c>
      <c r="AP1927" s="841"/>
      <c r="AQ1927" s="841">
        <v>45929</v>
      </c>
      <c r="AR1927" s="841">
        <v>45987</v>
      </c>
      <c r="AS1927" s="842" t="s">
        <v>1284</v>
      </c>
      <c r="AT1927" s="842" t="s">
        <v>1743</v>
      </c>
      <c r="AU1927" s="842" t="s">
        <v>6295</v>
      </c>
      <c r="AV1927" s="845" t="s">
        <v>6296</v>
      </c>
      <c r="AW1927" s="861">
        <v>45986</v>
      </c>
      <c r="AX1927" s="862">
        <v>45987</v>
      </c>
      <c r="AY1927" s="843"/>
      <c r="AZ1927" s="842">
        <v>94031000</v>
      </c>
      <c r="BA1927" s="842" t="s">
        <v>120</v>
      </c>
      <c r="BB1927" s="863" t="s">
        <v>121</v>
      </c>
      <c r="BC1927" s="864">
        <v>45990</v>
      </c>
      <c r="BD1927" s="860" t="s">
        <v>6297</v>
      </c>
      <c r="BE1927" s="865" cm="1">
        <f t="array" ref="BE1927">IF(BD1927="","",AC1927/SUMPRODUCT(--(BD1927=$BD$4:$BD$12824),$AC$4:$AC$12824))</f>
        <v>4.7709947647825738E-4</v>
      </c>
      <c r="BF1927" s="458"/>
      <c r="BG1927" s="458"/>
      <c r="BH1927" s="458"/>
      <c r="BI1927" s="458"/>
      <c r="BJ1927" s="458"/>
      <c r="BK1927" s="458"/>
      <c r="BL1927" s="458"/>
      <c r="BM1927" s="458"/>
      <c r="BN1927" s="458"/>
      <c r="BO1927" s="866">
        <f>VLOOKUP(BD1927,$BD$4:$BN$12824,3,0)*BE1927</f>
        <v>18396.036442310433</v>
      </c>
      <c r="BP1927" s="866"/>
      <c r="BQ1927" s="866"/>
      <c r="BR1927" s="866">
        <f>VLOOKUP(BD1927,$BD$4:$BN$12824,6,0)*BE1927</f>
        <v>7837.3228188013727</v>
      </c>
      <c r="BS1927" s="866">
        <f>VLOOKUP(BD1927,$BD$4:$BN$12824,7,0)*BE1927</f>
        <v>1489.1085729996423</v>
      </c>
      <c r="BT1927" s="866"/>
      <c r="BU1927" s="866">
        <f>VLOOKUP(BD1927,$BD$4:$BN$12824,9,0)*BE1927</f>
        <v>57.783903093664144</v>
      </c>
      <c r="BV1927" s="867"/>
      <c r="BW1927" s="867">
        <f>VLOOKUP(BD1927,$BD$4:$BN$12824,11,0)*BE1927</f>
        <v>0</v>
      </c>
      <c r="BX1927" s="1146">
        <f t="shared" si="377"/>
        <v>27780.251737205112</v>
      </c>
      <c r="BY1927" s="867">
        <f t="shared" si="379"/>
        <v>827460.89287536789</v>
      </c>
      <c r="BZ1927" s="867">
        <f t="shared" si="378"/>
        <v>1654921.7857507358</v>
      </c>
      <c r="CA1927" s="867">
        <f>_xlfn.MAXIFS($BY$4:$BY$12824,$S$4:$S$12824,$S1927)</f>
        <v>827460.89287536789</v>
      </c>
      <c r="CB1927" s="1032"/>
      <c r="CF1927" s="946">
        <f t="shared" si="370"/>
        <v>1579264</v>
      </c>
    </row>
    <row r="1928" spans="2:84">
      <c r="B1928" s="839" t="s">
        <v>98</v>
      </c>
      <c r="C1928" s="839" t="s">
        <v>273</v>
      </c>
      <c r="D1928" s="839" t="s">
        <v>6289</v>
      </c>
      <c r="E1928" s="839" t="s">
        <v>6290</v>
      </c>
      <c r="F1928" s="841">
        <v>45841</v>
      </c>
      <c r="G1928" s="868" t="s">
        <v>273</v>
      </c>
      <c r="H1928" s="842" t="s">
        <v>134</v>
      </c>
      <c r="I1928" s="883"/>
      <c r="J1928" s="841"/>
      <c r="K1928" s="841"/>
      <c r="L1928" s="843" t="s">
        <v>106</v>
      </c>
      <c r="M1928" s="844" t="s">
        <v>275</v>
      </c>
      <c r="N1928" s="841"/>
      <c r="O1928" s="884" t="s">
        <v>150</v>
      </c>
      <c r="P1928" s="842" t="s">
        <v>124</v>
      </c>
      <c r="Q1928" s="843"/>
      <c r="R1928" s="845" t="str">
        <f t="shared" si="372"/>
        <v>11203.23</v>
      </c>
      <c r="S1928" s="1127" t="s">
        <v>2453</v>
      </c>
      <c r="T1928" s="885" t="s">
        <v>2454</v>
      </c>
      <c r="U1928" s="886">
        <v>2</v>
      </c>
      <c r="V1928" s="842" t="s">
        <v>3</v>
      </c>
      <c r="W1928" s="846" t="s">
        <v>4529</v>
      </c>
      <c r="X1928" s="847">
        <f t="shared" si="368"/>
        <v>103.9</v>
      </c>
      <c r="Y1928" s="853" t="s">
        <v>4582</v>
      </c>
      <c r="Z1928" s="902">
        <v>24.675999999999998</v>
      </c>
      <c r="AA1928" s="849"/>
      <c r="AB1928" s="849">
        <f t="shared" si="373"/>
        <v>49.351999999999997</v>
      </c>
      <c r="AC1928" s="850">
        <f t="shared" si="374"/>
        <v>49.351999999999997</v>
      </c>
      <c r="AD1928" s="851">
        <f t="shared" si="369"/>
        <v>32000</v>
      </c>
      <c r="AE1928" s="852">
        <v>29936.21</v>
      </c>
      <c r="AF1928" s="853">
        <v>0.1</v>
      </c>
      <c r="AG1928" s="854">
        <f t="shared" si="375"/>
        <v>149729.69809353098</v>
      </c>
      <c r="AH1928" s="853">
        <v>0.08</v>
      </c>
      <c r="AI1928" s="855">
        <f t="shared" si="376"/>
        <v>130171.32272108246</v>
      </c>
      <c r="AJ1928" s="856" t="s">
        <v>6292</v>
      </c>
      <c r="AK1928" s="857">
        <v>45911</v>
      </c>
      <c r="AL1928" s="843" t="s">
        <v>6293</v>
      </c>
      <c r="AM1928" s="843" t="s">
        <v>6294</v>
      </c>
      <c r="AN1928" s="844" t="s">
        <v>3951</v>
      </c>
      <c r="AO1928" s="844" t="s">
        <v>141</v>
      </c>
      <c r="AP1928" s="841"/>
      <c r="AQ1928" s="841">
        <v>45929</v>
      </c>
      <c r="AR1928" s="841">
        <v>45987</v>
      </c>
      <c r="AS1928" s="842" t="s">
        <v>1284</v>
      </c>
      <c r="AT1928" s="842" t="s">
        <v>1743</v>
      </c>
      <c r="AU1928" s="842" t="s">
        <v>6295</v>
      </c>
      <c r="AV1928" s="845" t="s">
        <v>6296</v>
      </c>
      <c r="AW1928" s="861">
        <v>45986</v>
      </c>
      <c r="AX1928" s="862">
        <v>45987</v>
      </c>
      <c r="AY1928" s="843"/>
      <c r="AZ1928" s="842">
        <v>94031000</v>
      </c>
      <c r="BA1928" s="842" t="s">
        <v>120</v>
      </c>
      <c r="BB1928" s="863" t="s">
        <v>121</v>
      </c>
      <c r="BC1928" s="864">
        <v>45990</v>
      </c>
      <c r="BD1928" s="860" t="s">
        <v>6297</v>
      </c>
      <c r="BE1928" s="865" cm="1">
        <f t="array" ref="BE1928">IF(BD1928="","",AC1928/SUMPRODUCT(--(BD1928=$BD$4:$BD$12824),$AC$4:$AC$12824))</f>
        <v>4.7709947647825738E-4</v>
      </c>
      <c r="BF1928" s="458"/>
      <c r="BG1928" s="458"/>
      <c r="BH1928" s="458"/>
      <c r="BI1928" s="458"/>
      <c r="BJ1928" s="458"/>
      <c r="BK1928" s="458"/>
      <c r="BL1928" s="458"/>
      <c r="BM1928" s="458"/>
      <c r="BN1928" s="458"/>
      <c r="BO1928" s="866">
        <f>VLOOKUP(BD1928,$BD$4:$BN$12824,3,0)*BE1928</f>
        <v>18396.036442310433</v>
      </c>
      <c r="BP1928" s="866"/>
      <c r="BQ1928" s="866"/>
      <c r="BR1928" s="866">
        <f>VLOOKUP(BD1928,$BD$4:$BN$12824,6,0)*BE1928</f>
        <v>7837.3228188013727</v>
      </c>
      <c r="BS1928" s="866">
        <f>VLOOKUP(BD1928,$BD$4:$BN$12824,7,0)*BE1928</f>
        <v>1489.1085729996423</v>
      </c>
      <c r="BT1928" s="866"/>
      <c r="BU1928" s="866">
        <f>VLOOKUP(BD1928,$BD$4:$BN$12824,9,0)*BE1928</f>
        <v>57.783903093664144</v>
      </c>
      <c r="BV1928" s="867"/>
      <c r="BW1928" s="867">
        <f>VLOOKUP(BD1928,$BD$4:$BN$12824,11,0)*BE1928</f>
        <v>0</v>
      </c>
      <c r="BX1928" s="1146">
        <f t="shared" si="377"/>
        <v>27780.251737205112</v>
      </c>
      <c r="BY1928" s="867">
        <f t="shared" si="379"/>
        <v>827460.89287536789</v>
      </c>
      <c r="BZ1928" s="867">
        <f t="shared" si="378"/>
        <v>1654921.7857507358</v>
      </c>
      <c r="CA1928" s="867">
        <f>_xlfn.MAXIFS($BY$4:$BY$12824,$S$4:$S$12824,$S1928)</f>
        <v>1096865.5157417587</v>
      </c>
      <c r="CB1928" s="1032"/>
      <c r="CF1928" s="946">
        <f t="shared" si="370"/>
        <v>1579264</v>
      </c>
    </row>
    <row r="1929" spans="2:84">
      <c r="B1929" s="839" t="s">
        <v>98</v>
      </c>
      <c r="C1929" s="839" t="s">
        <v>273</v>
      </c>
      <c r="D1929" s="839" t="s">
        <v>6289</v>
      </c>
      <c r="E1929" s="839" t="s">
        <v>6290</v>
      </c>
      <c r="F1929" s="841">
        <v>45841</v>
      </c>
      <c r="G1929" s="868" t="s">
        <v>273</v>
      </c>
      <c r="H1929" s="842" t="s">
        <v>134</v>
      </c>
      <c r="I1929" s="883"/>
      <c r="J1929" s="841"/>
      <c r="K1929" s="841"/>
      <c r="L1929" s="843" t="s">
        <v>106</v>
      </c>
      <c r="M1929" s="844" t="s">
        <v>275</v>
      </c>
      <c r="N1929" s="841"/>
      <c r="O1929" s="884" t="s">
        <v>150</v>
      </c>
      <c r="P1929" s="842" t="s">
        <v>124</v>
      </c>
      <c r="Q1929" s="843"/>
      <c r="R1929" s="845" t="str">
        <f t="shared" si="372"/>
        <v>11203.31</v>
      </c>
      <c r="S1929" s="1127" t="s">
        <v>6409</v>
      </c>
      <c r="T1929" s="885" t="s">
        <v>6410</v>
      </c>
      <c r="U1929" s="886">
        <v>1</v>
      </c>
      <c r="V1929" s="842" t="s">
        <v>3</v>
      </c>
      <c r="W1929" s="846" t="s">
        <v>4529</v>
      </c>
      <c r="X1929" s="847">
        <f t="shared" si="368"/>
        <v>51.95</v>
      </c>
      <c r="Y1929" s="853" t="s">
        <v>4582</v>
      </c>
      <c r="Z1929" s="902">
        <v>24.675999999999998</v>
      </c>
      <c r="AA1929" s="849"/>
      <c r="AB1929" s="849">
        <f t="shared" si="373"/>
        <v>24.675999999999998</v>
      </c>
      <c r="AC1929" s="850">
        <f t="shared" si="374"/>
        <v>24.675999999999998</v>
      </c>
      <c r="AD1929" s="851">
        <f t="shared" si="369"/>
        <v>32000</v>
      </c>
      <c r="AE1929" s="852">
        <v>29936.21</v>
      </c>
      <c r="AF1929" s="853">
        <v>0.1</v>
      </c>
      <c r="AG1929" s="854">
        <f t="shared" si="375"/>
        <v>74864.849046765492</v>
      </c>
      <c r="AH1929" s="853">
        <v>0.08</v>
      </c>
      <c r="AI1929" s="855">
        <f t="shared" si="376"/>
        <v>65085.661360541228</v>
      </c>
      <c r="AJ1929" s="856" t="s">
        <v>6292</v>
      </c>
      <c r="AK1929" s="857">
        <v>45911</v>
      </c>
      <c r="AL1929" s="843" t="s">
        <v>6293</v>
      </c>
      <c r="AM1929" s="843" t="s">
        <v>6294</v>
      </c>
      <c r="AN1929" s="844" t="s">
        <v>3951</v>
      </c>
      <c r="AO1929" s="844" t="s">
        <v>141</v>
      </c>
      <c r="AP1929" s="841"/>
      <c r="AQ1929" s="841">
        <v>45929</v>
      </c>
      <c r="AR1929" s="841">
        <v>45987</v>
      </c>
      <c r="AS1929" s="842" t="s">
        <v>1284</v>
      </c>
      <c r="AT1929" s="842" t="s">
        <v>1743</v>
      </c>
      <c r="AU1929" s="842" t="s">
        <v>6295</v>
      </c>
      <c r="AV1929" s="845" t="s">
        <v>6296</v>
      </c>
      <c r="AW1929" s="861">
        <v>45986</v>
      </c>
      <c r="AX1929" s="862">
        <v>45987</v>
      </c>
      <c r="AY1929" s="843"/>
      <c r="AZ1929" s="842">
        <v>94031000</v>
      </c>
      <c r="BA1929" s="842" t="s">
        <v>120</v>
      </c>
      <c r="BB1929" s="863" t="s">
        <v>121</v>
      </c>
      <c r="BC1929" s="864">
        <v>45990</v>
      </c>
      <c r="BD1929" s="860" t="s">
        <v>6297</v>
      </c>
      <c r="BE1929" s="865" cm="1">
        <f t="array" ref="BE1929">IF(BD1929="","",AC1929/SUMPRODUCT(--(BD1929=$BD$4:$BD$12824),$AC$4:$AC$12824))</f>
        <v>2.3854973823912869E-4</v>
      </c>
      <c r="BF1929" s="458"/>
      <c r="BG1929" s="458"/>
      <c r="BH1929" s="458"/>
      <c r="BI1929" s="458"/>
      <c r="BJ1929" s="458"/>
      <c r="BK1929" s="458"/>
      <c r="BL1929" s="458"/>
      <c r="BM1929" s="458"/>
      <c r="BN1929" s="458"/>
      <c r="BO1929" s="866">
        <f>VLOOKUP(BD1929,$BD$4:$BN$12824,3,0)*BE1929</f>
        <v>9198.0182211552165</v>
      </c>
      <c r="BP1929" s="866"/>
      <c r="BQ1929" s="866"/>
      <c r="BR1929" s="866">
        <f>VLOOKUP(BD1929,$BD$4:$BN$12824,6,0)*BE1929</f>
        <v>3918.6614094006864</v>
      </c>
      <c r="BS1929" s="866">
        <f>VLOOKUP(BD1929,$BD$4:$BN$12824,7,0)*BE1929</f>
        <v>744.55428649982116</v>
      </c>
      <c r="BT1929" s="866"/>
      <c r="BU1929" s="866">
        <f>VLOOKUP(BD1929,$BD$4:$BN$12824,9,0)*BE1929</f>
        <v>28.891951546832072</v>
      </c>
      <c r="BV1929" s="867"/>
      <c r="BW1929" s="867">
        <f>VLOOKUP(BD1929,$BD$4:$BN$12824,11,0)*BE1929</f>
        <v>0</v>
      </c>
      <c r="BX1929" s="1146">
        <f t="shared" si="377"/>
        <v>13890.125868602556</v>
      </c>
      <c r="BY1929" s="867">
        <f t="shared" si="379"/>
        <v>827460.89287536789</v>
      </c>
      <c r="BZ1929" s="867">
        <f t="shared" si="378"/>
        <v>827460.89287536789</v>
      </c>
      <c r="CA1929" s="867">
        <f>_xlfn.MAXIFS($BY$4:$BY$12824,$S$4:$S$12824,$S1929)</f>
        <v>871020.29066451953</v>
      </c>
      <c r="CB1929" s="1032"/>
      <c r="CF1929" s="946">
        <f t="shared" si="370"/>
        <v>789632</v>
      </c>
    </row>
    <row r="1930" spans="2:84">
      <c r="B1930" s="839" t="s">
        <v>98</v>
      </c>
      <c r="C1930" s="839" t="s">
        <v>273</v>
      </c>
      <c r="D1930" s="839" t="s">
        <v>6289</v>
      </c>
      <c r="E1930" s="839" t="s">
        <v>6290</v>
      </c>
      <c r="F1930" s="841">
        <v>45841</v>
      </c>
      <c r="G1930" s="868" t="s">
        <v>273</v>
      </c>
      <c r="H1930" s="842" t="s">
        <v>134</v>
      </c>
      <c r="I1930" s="883"/>
      <c r="J1930" s="841"/>
      <c r="K1930" s="841"/>
      <c r="L1930" s="843" t="s">
        <v>106</v>
      </c>
      <c r="M1930" s="844" t="s">
        <v>275</v>
      </c>
      <c r="N1930" s="841"/>
      <c r="O1930" s="884" t="s">
        <v>150</v>
      </c>
      <c r="P1930" s="842" t="s">
        <v>124</v>
      </c>
      <c r="Q1930" s="843"/>
      <c r="R1930" s="845" t="str">
        <f t="shared" si="372"/>
        <v>11203.30</v>
      </c>
      <c r="S1930" s="1127" t="s">
        <v>6411</v>
      </c>
      <c r="T1930" s="885" t="s">
        <v>6412</v>
      </c>
      <c r="U1930" s="886">
        <v>6</v>
      </c>
      <c r="V1930" s="842" t="s">
        <v>3</v>
      </c>
      <c r="W1930" s="846" t="s">
        <v>4529</v>
      </c>
      <c r="X1930" s="847">
        <f t="shared" si="368"/>
        <v>311.70000000000005</v>
      </c>
      <c r="Y1930" s="853" t="s">
        <v>4582</v>
      </c>
      <c r="Z1930" s="902">
        <v>24.675999999999998</v>
      </c>
      <c r="AA1930" s="849"/>
      <c r="AB1930" s="849">
        <f t="shared" si="373"/>
        <v>148.05599999999998</v>
      </c>
      <c r="AC1930" s="850">
        <f t="shared" si="374"/>
        <v>148.05599999999998</v>
      </c>
      <c r="AD1930" s="851">
        <f t="shared" si="369"/>
        <v>32000</v>
      </c>
      <c r="AE1930" s="852">
        <v>29936.21</v>
      </c>
      <c r="AF1930" s="853">
        <v>0.1</v>
      </c>
      <c r="AG1930" s="854">
        <f t="shared" si="375"/>
        <v>449189.09428059304</v>
      </c>
      <c r="AH1930" s="853">
        <v>0.08</v>
      </c>
      <c r="AI1930" s="855">
        <f t="shared" si="376"/>
        <v>390513.96816324739</v>
      </c>
      <c r="AJ1930" s="856" t="s">
        <v>6292</v>
      </c>
      <c r="AK1930" s="857">
        <v>45911</v>
      </c>
      <c r="AL1930" s="843" t="s">
        <v>6293</v>
      </c>
      <c r="AM1930" s="843" t="s">
        <v>6294</v>
      </c>
      <c r="AN1930" s="844" t="s">
        <v>3951</v>
      </c>
      <c r="AO1930" s="844" t="s">
        <v>141</v>
      </c>
      <c r="AP1930" s="841"/>
      <c r="AQ1930" s="841">
        <v>45929</v>
      </c>
      <c r="AR1930" s="841">
        <v>45987</v>
      </c>
      <c r="AS1930" s="842" t="s">
        <v>1284</v>
      </c>
      <c r="AT1930" s="842" t="s">
        <v>1743</v>
      </c>
      <c r="AU1930" s="842" t="s">
        <v>6295</v>
      </c>
      <c r="AV1930" s="845" t="s">
        <v>6296</v>
      </c>
      <c r="AW1930" s="861">
        <v>45986</v>
      </c>
      <c r="AX1930" s="862">
        <v>45987</v>
      </c>
      <c r="AY1930" s="843"/>
      <c r="AZ1930" s="842">
        <v>94031000</v>
      </c>
      <c r="BA1930" s="842" t="s">
        <v>120</v>
      </c>
      <c r="BB1930" s="863" t="s">
        <v>121</v>
      </c>
      <c r="BC1930" s="864">
        <v>45990</v>
      </c>
      <c r="BD1930" s="860" t="s">
        <v>6297</v>
      </c>
      <c r="BE1930" s="865" cm="1">
        <f t="array" ref="BE1930">IF(BD1930="","",AC1930/SUMPRODUCT(--(BD1930=$BD$4:$BD$12824),$AC$4:$AC$12824))</f>
        <v>1.4312984294347721E-3</v>
      </c>
      <c r="BF1930" s="458"/>
      <c r="BG1930" s="458"/>
      <c r="BH1930" s="458"/>
      <c r="BI1930" s="458"/>
      <c r="BJ1930" s="458"/>
      <c r="BK1930" s="458"/>
      <c r="BL1930" s="458"/>
      <c r="BM1930" s="458"/>
      <c r="BN1930" s="458"/>
      <c r="BO1930" s="866">
        <f>VLOOKUP(BD1930,$BD$4:$BN$12824,3,0)*BE1930</f>
        <v>55188.109326931291</v>
      </c>
      <c r="BP1930" s="866"/>
      <c r="BQ1930" s="866"/>
      <c r="BR1930" s="866">
        <f>VLOOKUP(BD1930,$BD$4:$BN$12824,6,0)*BE1930</f>
        <v>23511.96845640412</v>
      </c>
      <c r="BS1930" s="866">
        <f>VLOOKUP(BD1930,$BD$4:$BN$12824,7,0)*BE1930</f>
        <v>4467.3257189989272</v>
      </c>
      <c r="BT1930" s="866"/>
      <c r="BU1930" s="866">
        <f>VLOOKUP(BD1930,$BD$4:$BN$12824,9,0)*BE1930</f>
        <v>173.35170928099242</v>
      </c>
      <c r="BV1930" s="867"/>
      <c r="BW1930" s="867">
        <f>VLOOKUP(BD1930,$BD$4:$BN$12824,11,0)*BE1930</f>
        <v>0</v>
      </c>
      <c r="BX1930" s="1146">
        <f t="shared" si="377"/>
        <v>83340.755211615324</v>
      </c>
      <c r="BY1930" s="867">
        <f t="shared" si="379"/>
        <v>827460.89287536789</v>
      </c>
      <c r="BZ1930" s="867">
        <f t="shared" si="378"/>
        <v>4964765.3572522076</v>
      </c>
      <c r="CA1930" s="867">
        <f>_xlfn.MAXIFS($BY$4:$BY$12824,$S$4:$S$12824,$S1930)</f>
        <v>827460.89287536789</v>
      </c>
      <c r="CB1930" s="1032"/>
      <c r="CF1930" s="946">
        <f t="shared" si="370"/>
        <v>4737791.9999999991</v>
      </c>
    </row>
    <row r="1931" spans="2:84">
      <c r="B1931" s="839" t="s">
        <v>98</v>
      </c>
      <c r="C1931" s="839" t="s">
        <v>273</v>
      </c>
      <c r="D1931" s="839" t="s">
        <v>6289</v>
      </c>
      <c r="E1931" s="839" t="s">
        <v>6290</v>
      </c>
      <c r="F1931" s="841">
        <v>45841</v>
      </c>
      <c r="G1931" s="868" t="s">
        <v>273</v>
      </c>
      <c r="H1931" s="842" t="s">
        <v>134</v>
      </c>
      <c r="I1931" s="883"/>
      <c r="J1931" s="841"/>
      <c r="K1931" s="841"/>
      <c r="L1931" s="843" t="s">
        <v>106</v>
      </c>
      <c r="M1931" s="844" t="s">
        <v>275</v>
      </c>
      <c r="N1931" s="841"/>
      <c r="O1931" s="884" t="s">
        <v>150</v>
      </c>
      <c r="P1931" s="842" t="s">
        <v>124</v>
      </c>
      <c r="Q1931" s="843"/>
      <c r="R1931" s="845" t="str">
        <f t="shared" si="372"/>
        <v>16171.31</v>
      </c>
      <c r="S1931" s="1127" t="s">
        <v>6413</v>
      </c>
      <c r="T1931" s="885" t="s">
        <v>6414</v>
      </c>
      <c r="U1931" s="886">
        <v>1</v>
      </c>
      <c r="V1931" s="842" t="s">
        <v>3</v>
      </c>
      <c r="W1931" s="846" t="s">
        <v>6319</v>
      </c>
      <c r="X1931" s="847">
        <f t="shared" si="368"/>
        <v>45.87</v>
      </c>
      <c r="Y1931" s="853" t="s">
        <v>4582</v>
      </c>
      <c r="Z1931" s="902">
        <v>21.788</v>
      </c>
      <c r="AA1931" s="849"/>
      <c r="AB1931" s="849">
        <f t="shared" si="373"/>
        <v>21.788</v>
      </c>
      <c r="AC1931" s="850">
        <f t="shared" si="374"/>
        <v>21.788</v>
      </c>
      <c r="AD1931" s="851">
        <f t="shared" si="369"/>
        <v>32000</v>
      </c>
      <c r="AE1931" s="852">
        <v>29936.21</v>
      </c>
      <c r="AF1931" s="853">
        <v>0.1</v>
      </c>
      <c r="AG1931" s="854">
        <f t="shared" si="375"/>
        <v>66102.906914853578</v>
      </c>
      <c r="AH1931" s="853">
        <v>0.08</v>
      </c>
      <c r="AI1931" s="855">
        <f t="shared" si="376"/>
        <v>57468.244031588285</v>
      </c>
      <c r="AJ1931" s="856" t="s">
        <v>6292</v>
      </c>
      <c r="AK1931" s="857">
        <v>45911</v>
      </c>
      <c r="AL1931" s="843" t="s">
        <v>6293</v>
      </c>
      <c r="AM1931" s="843" t="s">
        <v>6294</v>
      </c>
      <c r="AN1931" s="844" t="s">
        <v>3951</v>
      </c>
      <c r="AO1931" s="844" t="s">
        <v>141</v>
      </c>
      <c r="AP1931" s="841"/>
      <c r="AQ1931" s="841">
        <v>45929</v>
      </c>
      <c r="AR1931" s="841">
        <v>45987</v>
      </c>
      <c r="AS1931" s="842" t="s">
        <v>1284</v>
      </c>
      <c r="AT1931" s="842" t="s">
        <v>1743</v>
      </c>
      <c r="AU1931" s="842" t="s">
        <v>6295</v>
      </c>
      <c r="AV1931" s="845" t="s">
        <v>6296</v>
      </c>
      <c r="AW1931" s="861">
        <v>45986</v>
      </c>
      <c r="AX1931" s="862">
        <v>45987</v>
      </c>
      <c r="AY1931" s="843"/>
      <c r="AZ1931" s="842">
        <v>94031000</v>
      </c>
      <c r="BA1931" s="842" t="s">
        <v>120</v>
      </c>
      <c r="BB1931" s="863" t="s">
        <v>121</v>
      </c>
      <c r="BC1931" s="864">
        <v>45990</v>
      </c>
      <c r="BD1931" s="860" t="s">
        <v>6297</v>
      </c>
      <c r="BE1931" s="865" cm="1">
        <f t="array" ref="BE1931">IF(BD1931="","",AC1931/SUMPRODUCT(--(BD1931=$BD$4:$BD$12824),$AC$4:$AC$12824))</f>
        <v>2.1063064097723037E-4</v>
      </c>
      <c r="BF1931" s="458"/>
      <c r="BG1931" s="458"/>
      <c r="BH1931" s="458"/>
      <c r="BI1931" s="458"/>
      <c r="BJ1931" s="458"/>
      <c r="BK1931" s="458"/>
      <c r="BL1931" s="458"/>
      <c r="BM1931" s="458"/>
      <c r="BN1931" s="458"/>
      <c r="BO1931" s="866">
        <f>VLOOKUP(BD1931,$BD$4:$BN$12824,3,0)*BE1931</f>
        <v>8121.5116308368397</v>
      </c>
      <c r="BP1931" s="866"/>
      <c r="BQ1931" s="866"/>
      <c r="BR1931" s="866">
        <f>VLOOKUP(BD1931,$BD$4:$BN$12824,6,0)*BE1931</f>
        <v>3460.0338299571313</v>
      </c>
      <c r="BS1931" s="866">
        <f>VLOOKUP(BD1931,$BD$4:$BN$12824,7,0)*BE1931</f>
        <v>657.41403769890201</v>
      </c>
      <c r="BT1931" s="866"/>
      <c r="BU1931" s="866">
        <f>VLOOKUP(BD1931,$BD$4:$BN$12824,9,0)*BE1931</f>
        <v>25.510530081957256</v>
      </c>
      <c r="BV1931" s="867"/>
      <c r="BW1931" s="867">
        <f>VLOOKUP(BD1931,$BD$4:$BN$12824,11,0)*BE1931</f>
        <v>0</v>
      </c>
      <c r="BX1931" s="1146">
        <f t="shared" si="377"/>
        <v>12264.470028574831</v>
      </c>
      <c r="BY1931" s="867">
        <f t="shared" si="379"/>
        <v>730617.52042342839</v>
      </c>
      <c r="BZ1931" s="867">
        <f t="shared" si="378"/>
        <v>730617.52042342839</v>
      </c>
      <c r="CA1931" s="867">
        <f>_xlfn.MAXIFS($BY$4:$BY$12824,$S$4:$S$12824,$S1931)</f>
        <v>1008115.8696790532</v>
      </c>
      <c r="CB1931" s="1032"/>
      <c r="CF1931" s="946">
        <f t="shared" si="370"/>
        <v>697216</v>
      </c>
    </row>
    <row r="1932" spans="2:84">
      <c r="B1932" s="839" t="s">
        <v>98</v>
      </c>
      <c r="C1932" s="839" t="s">
        <v>273</v>
      </c>
      <c r="D1932" s="839" t="s">
        <v>6289</v>
      </c>
      <c r="E1932" s="839" t="s">
        <v>6290</v>
      </c>
      <c r="F1932" s="841">
        <v>45841</v>
      </c>
      <c r="G1932" s="868" t="s">
        <v>273</v>
      </c>
      <c r="H1932" s="842" t="s">
        <v>134</v>
      </c>
      <c r="I1932" s="883"/>
      <c r="J1932" s="841"/>
      <c r="K1932" s="841"/>
      <c r="L1932" s="843" t="s">
        <v>106</v>
      </c>
      <c r="M1932" s="844" t="s">
        <v>275</v>
      </c>
      <c r="N1932" s="841"/>
      <c r="O1932" s="884" t="s">
        <v>150</v>
      </c>
      <c r="P1932" s="842" t="s">
        <v>124</v>
      </c>
      <c r="Q1932" s="843"/>
      <c r="R1932" s="845" t="str">
        <f t="shared" si="372"/>
        <v>11207.33</v>
      </c>
      <c r="S1932" s="1127" t="s">
        <v>6415</v>
      </c>
      <c r="T1932" s="885" t="s">
        <v>6416</v>
      </c>
      <c r="U1932" s="886">
        <v>12</v>
      </c>
      <c r="V1932" s="842" t="s">
        <v>3</v>
      </c>
      <c r="W1932" s="846" t="s">
        <v>4532</v>
      </c>
      <c r="X1932" s="847">
        <f t="shared" si="368"/>
        <v>513.72</v>
      </c>
      <c r="Y1932" s="853" t="s">
        <v>4582</v>
      </c>
      <c r="Z1932" s="902">
        <v>20.335000000000001</v>
      </c>
      <c r="AA1932" s="849"/>
      <c r="AB1932" s="849">
        <f t="shared" si="373"/>
        <v>244.02</v>
      </c>
      <c r="AC1932" s="850">
        <f t="shared" si="374"/>
        <v>244.02</v>
      </c>
      <c r="AD1932" s="851">
        <f t="shared" si="369"/>
        <v>32000</v>
      </c>
      <c r="AE1932" s="852">
        <v>29936.21</v>
      </c>
      <c r="AF1932" s="853">
        <v>0.1</v>
      </c>
      <c r="AG1932" s="854">
        <f t="shared" si="375"/>
        <v>740335.56753086881</v>
      </c>
      <c r="AH1932" s="853">
        <v>0.08</v>
      </c>
      <c r="AI1932" s="855">
        <f t="shared" si="376"/>
        <v>643629.56253846956</v>
      </c>
      <c r="AJ1932" s="856" t="s">
        <v>6292</v>
      </c>
      <c r="AK1932" s="857">
        <v>45911</v>
      </c>
      <c r="AL1932" s="843" t="s">
        <v>6293</v>
      </c>
      <c r="AM1932" s="843" t="s">
        <v>6294</v>
      </c>
      <c r="AN1932" s="844" t="s">
        <v>3951</v>
      </c>
      <c r="AO1932" s="844" t="s">
        <v>141</v>
      </c>
      <c r="AP1932" s="841"/>
      <c r="AQ1932" s="841">
        <v>45929</v>
      </c>
      <c r="AR1932" s="841">
        <v>45987</v>
      </c>
      <c r="AS1932" s="842" t="s">
        <v>1284</v>
      </c>
      <c r="AT1932" s="842" t="s">
        <v>1743</v>
      </c>
      <c r="AU1932" s="842" t="s">
        <v>6295</v>
      </c>
      <c r="AV1932" s="845" t="s">
        <v>6296</v>
      </c>
      <c r="AW1932" s="861">
        <v>45986</v>
      </c>
      <c r="AX1932" s="862">
        <v>45987</v>
      </c>
      <c r="AY1932" s="843"/>
      <c r="AZ1932" s="842">
        <v>94031000</v>
      </c>
      <c r="BA1932" s="842" t="s">
        <v>120</v>
      </c>
      <c r="BB1932" s="863" t="s">
        <v>121</v>
      </c>
      <c r="BC1932" s="864">
        <v>45990</v>
      </c>
      <c r="BD1932" s="860" t="s">
        <v>6297</v>
      </c>
      <c r="BE1932" s="865" cm="1">
        <f t="array" ref="BE1932">IF(BD1932="","",AC1932/SUMPRODUCT(--(BD1932=$BD$4:$BD$12824),$AC$4:$AC$12824))</f>
        <v>2.3590090421912865E-3</v>
      </c>
      <c r="BF1932" s="458"/>
      <c r="BG1932" s="458"/>
      <c r="BH1932" s="458"/>
      <c r="BI1932" s="458"/>
      <c r="BJ1932" s="458"/>
      <c r="BK1932" s="458"/>
      <c r="BL1932" s="458"/>
      <c r="BM1932" s="458"/>
      <c r="BN1932" s="458"/>
      <c r="BO1932" s="866">
        <f>VLOOKUP(BD1932,$BD$4:$BN$12824,3,0)*BE1932</f>
        <v>90958.842856471703</v>
      </c>
      <c r="BP1932" s="866"/>
      <c r="BQ1932" s="866"/>
      <c r="BR1932" s="866">
        <f>VLOOKUP(BD1932,$BD$4:$BN$12824,6,0)*BE1932</f>
        <v>38751.489589964156</v>
      </c>
      <c r="BS1932" s="866">
        <f>VLOOKUP(BD1932,$BD$4:$BN$12824,7,0)*BE1932</f>
        <v>7362.8682522161762</v>
      </c>
      <c r="BT1932" s="866"/>
      <c r="BU1932" s="866">
        <f>VLOOKUP(BD1932,$BD$4:$BN$12824,9,0)*BE1932</f>
        <v>285.71138014499769</v>
      </c>
      <c r="BV1932" s="867"/>
      <c r="BW1932" s="867">
        <f>VLOOKUP(BD1932,$BD$4:$BN$12824,11,0)*BE1932</f>
        <v>0</v>
      </c>
      <c r="BX1932" s="1146">
        <f t="shared" si="377"/>
        <v>137358.91207879703</v>
      </c>
      <c r="BY1932" s="867">
        <f t="shared" si="379"/>
        <v>681894.03698413877</v>
      </c>
      <c r="BZ1932" s="867">
        <f t="shared" si="378"/>
        <v>8182728.4438096657</v>
      </c>
      <c r="CA1932" s="867">
        <f>_xlfn.MAXIFS($BY$4:$BY$12824,$S$4:$S$12824,$S1932)</f>
        <v>681894.03698413877</v>
      </c>
      <c r="CB1932" s="1032"/>
      <c r="CF1932" s="946">
        <f t="shared" si="370"/>
        <v>7808640</v>
      </c>
    </row>
    <row r="1933" spans="2:84">
      <c r="B1933" s="839" t="s">
        <v>98</v>
      </c>
      <c r="C1933" s="839" t="s">
        <v>273</v>
      </c>
      <c r="D1933" s="839" t="s">
        <v>6289</v>
      </c>
      <c r="E1933" s="839" t="s">
        <v>6290</v>
      </c>
      <c r="F1933" s="841">
        <v>45841</v>
      </c>
      <c r="G1933" s="868" t="s">
        <v>273</v>
      </c>
      <c r="H1933" s="842" t="s">
        <v>134</v>
      </c>
      <c r="I1933" s="883"/>
      <c r="J1933" s="841"/>
      <c r="K1933" s="841"/>
      <c r="L1933" s="843" t="s">
        <v>106</v>
      </c>
      <c r="M1933" s="844" t="s">
        <v>275</v>
      </c>
      <c r="N1933" s="841"/>
      <c r="O1933" s="884" t="s">
        <v>150</v>
      </c>
      <c r="P1933" s="842" t="s">
        <v>124</v>
      </c>
      <c r="Q1933" s="843"/>
      <c r="R1933" s="845" t="str">
        <f t="shared" si="372"/>
        <v>16634.26</v>
      </c>
      <c r="S1933" s="1127" t="s">
        <v>6417</v>
      </c>
      <c r="T1933" s="885" t="s">
        <v>6418</v>
      </c>
      <c r="U1933" s="886">
        <v>1</v>
      </c>
      <c r="V1933" s="842" t="s">
        <v>3</v>
      </c>
      <c r="W1933" s="846" t="s">
        <v>4532</v>
      </c>
      <c r="X1933" s="847">
        <f t="shared" si="368"/>
        <v>42.81</v>
      </c>
      <c r="Y1933" s="853" t="s">
        <v>4582</v>
      </c>
      <c r="Z1933" s="902">
        <v>20.335000000000001</v>
      </c>
      <c r="AA1933" s="849"/>
      <c r="AB1933" s="849">
        <f t="shared" si="373"/>
        <v>20.335000000000001</v>
      </c>
      <c r="AC1933" s="850">
        <f t="shared" si="374"/>
        <v>20.335000000000001</v>
      </c>
      <c r="AD1933" s="851">
        <f t="shared" si="369"/>
        <v>32000</v>
      </c>
      <c r="AE1933" s="852">
        <v>29936.21</v>
      </c>
      <c r="AF1933" s="853">
        <v>0.1</v>
      </c>
      <c r="AG1933" s="854">
        <f t="shared" si="375"/>
        <v>61694.630627572413</v>
      </c>
      <c r="AH1933" s="853">
        <v>0.08</v>
      </c>
      <c r="AI1933" s="855">
        <f t="shared" si="376"/>
        <v>53635.796878205801</v>
      </c>
      <c r="AJ1933" s="856" t="s">
        <v>6292</v>
      </c>
      <c r="AK1933" s="857">
        <v>45911</v>
      </c>
      <c r="AL1933" s="843" t="s">
        <v>6293</v>
      </c>
      <c r="AM1933" s="843" t="s">
        <v>6294</v>
      </c>
      <c r="AN1933" s="844" t="s">
        <v>3951</v>
      </c>
      <c r="AO1933" s="844" t="s">
        <v>141</v>
      </c>
      <c r="AP1933" s="841"/>
      <c r="AQ1933" s="841">
        <v>45929</v>
      </c>
      <c r="AR1933" s="841">
        <v>45987</v>
      </c>
      <c r="AS1933" s="842" t="s">
        <v>1284</v>
      </c>
      <c r="AT1933" s="842" t="s">
        <v>1743</v>
      </c>
      <c r="AU1933" s="842" t="s">
        <v>6295</v>
      </c>
      <c r="AV1933" s="845" t="s">
        <v>6296</v>
      </c>
      <c r="AW1933" s="861">
        <v>45986</v>
      </c>
      <c r="AX1933" s="862">
        <v>45987</v>
      </c>
      <c r="AY1933" s="843"/>
      <c r="AZ1933" s="842">
        <v>94031000</v>
      </c>
      <c r="BA1933" s="842" t="s">
        <v>120</v>
      </c>
      <c r="BB1933" s="863" t="s">
        <v>121</v>
      </c>
      <c r="BC1933" s="864">
        <v>45990</v>
      </c>
      <c r="BD1933" s="860" t="s">
        <v>6297</v>
      </c>
      <c r="BE1933" s="865" cm="1">
        <f t="array" ref="BE1933">IF(BD1933="","",AC1933/SUMPRODUCT(--(BD1933=$BD$4:$BD$12824),$AC$4:$AC$12824))</f>
        <v>1.9658408684927389E-4</v>
      </c>
      <c r="BF1933" s="458"/>
      <c r="BG1933" s="458"/>
      <c r="BH1933" s="458"/>
      <c r="BI1933" s="458"/>
      <c r="BJ1933" s="458"/>
      <c r="BK1933" s="458"/>
      <c r="BL1933" s="458"/>
      <c r="BM1933" s="458"/>
      <c r="BN1933" s="458"/>
      <c r="BO1933" s="866">
        <f>VLOOKUP(BD1933,$BD$4:$BN$12824,3,0)*BE1933</f>
        <v>7579.9035713726425</v>
      </c>
      <c r="BP1933" s="866"/>
      <c r="BQ1933" s="866"/>
      <c r="BR1933" s="866">
        <f>VLOOKUP(BD1933,$BD$4:$BN$12824,6,0)*BE1933</f>
        <v>3229.2907991636803</v>
      </c>
      <c r="BS1933" s="866">
        <f>VLOOKUP(BD1933,$BD$4:$BN$12824,7,0)*BE1933</f>
        <v>613.57235435134805</v>
      </c>
      <c r="BT1933" s="866"/>
      <c r="BU1933" s="866">
        <f>VLOOKUP(BD1933,$BD$4:$BN$12824,9,0)*BE1933</f>
        <v>23.809281678749809</v>
      </c>
      <c r="BV1933" s="867"/>
      <c r="BW1933" s="867">
        <f>VLOOKUP(BD1933,$BD$4:$BN$12824,11,0)*BE1933</f>
        <v>0</v>
      </c>
      <c r="BX1933" s="1146">
        <f t="shared" si="377"/>
        <v>11446.576006566422</v>
      </c>
      <c r="BY1933" s="867">
        <f t="shared" si="379"/>
        <v>681894.03698413889</v>
      </c>
      <c r="BZ1933" s="867">
        <f t="shared" si="378"/>
        <v>681894.03698413889</v>
      </c>
      <c r="CA1933" s="867">
        <f>_xlfn.MAXIFS($BY$4:$BY$12824,$S$4:$S$12824,$S1933)</f>
        <v>681894.03698413889</v>
      </c>
      <c r="CB1933" s="1032"/>
      <c r="CF1933" s="946">
        <f t="shared" si="370"/>
        <v>650720</v>
      </c>
    </row>
    <row r="1934" spans="2:84">
      <c r="B1934" s="839" t="s">
        <v>98</v>
      </c>
      <c r="C1934" s="839" t="s">
        <v>273</v>
      </c>
      <c r="D1934" s="839" t="s">
        <v>6289</v>
      </c>
      <c r="E1934" s="839" t="s">
        <v>6290</v>
      </c>
      <c r="F1934" s="841">
        <v>45841</v>
      </c>
      <c r="G1934" s="868" t="s">
        <v>273</v>
      </c>
      <c r="H1934" s="842" t="s">
        <v>134</v>
      </c>
      <c r="I1934" s="883"/>
      <c r="J1934" s="841"/>
      <c r="K1934" s="841"/>
      <c r="L1934" s="843" t="s">
        <v>106</v>
      </c>
      <c r="M1934" s="844" t="s">
        <v>275</v>
      </c>
      <c r="N1934" s="841"/>
      <c r="O1934" s="884" t="s">
        <v>150</v>
      </c>
      <c r="P1934" s="842" t="s">
        <v>124</v>
      </c>
      <c r="Q1934" s="843"/>
      <c r="R1934" s="845" t="str">
        <f t="shared" si="372"/>
        <v>11360.26</v>
      </c>
      <c r="S1934" s="1127" t="s">
        <v>6419</v>
      </c>
      <c r="T1934" s="885" t="s">
        <v>6420</v>
      </c>
      <c r="U1934" s="886">
        <v>1</v>
      </c>
      <c r="V1934" s="842" t="s">
        <v>3</v>
      </c>
      <c r="W1934" s="846" t="s">
        <v>4532</v>
      </c>
      <c r="X1934" s="847">
        <f t="shared" si="368"/>
        <v>42.81</v>
      </c>
      <c r="Y1934" s="853" t="s">
        <v>4582</v>
      </c>
      <c r="Z1934" s="902">
        <v>20.335000000000001</v>
      </c>
      <c r="AA1934" s="849"/>
      <c r="AB1934" s="849">
        <f t="shared" si="373"/>
        <v>20.335000000000001</v>
      </c>
      <c r="AC1934" s="850">
        <f t="shared" si="374"/>
        <v>20.335000000000001</v>
      </c>
      <c r="AD1934" s="851">
        <f t="shared" si="369"/>
        <v>32000</v>
      </c>
      <c r="AE1934" s="852">
        <v>29936.21</v>
      </c>
      <c r="AF1934" s="853">
        <v>0.1</v>
      </c>
      <c r="AG1934" s="854">
        <f t="shared" si="375"/>
        <v>61694.630627572413</v>
      </c>
      <c r="AH1934" s="853">
        <v>0.08</v>
      </c>
      <c r="AI1934" s="855">
        <f t="shared" si="376"/>
        <v>53635.796878205801</v>
      </c>
      <c r="AJ1934" s="856" t="s">
        <v>6292</v>
      </c>
      <c r="AK1934" s="857">
        <v>45911</v>
      </c>
      <c r="AL1934" s="843" t="s">
        <v>6293</v>
      </c>
      <c r="AM1934" s="843" t="s">
        <v>6294</v>
      </c>
      <c r="AN1934" s="844" t="s">
        <v>3951</v>
      </c>
      <c r="AO1934" s="844" t="s">
        <v>141</v>
      </c>
      <c r="AP1934" s="841"/>
      <c r="AQ1934" s="841">
        <v>45929</v>
      </c>
      <c r="AR1934" s="841">
        <v>45987</v>
      </c>
      <c r="AS1934" s="842" t="s">
        <v>1284</v>
      </c>
      <c r="AT1934" s="842" t="s">
        <v>1743</v>
      </c>
      <c r="AU1934" s="842" t="s">
        <v>6295</v>
      </c>
      <c r="AV1934" s="845" t="s">
        <v>6296</v>
      </c>
      <c r="AW1934" s="861">
        <v>45986</v>
      </c>
      <c r="AX1934" s="862">
        <v>45987</v>
      </c>
      <c r="AY1934" s="843"/>
      <c r="AZ1934" s="842">
        <v>94031000</v>
      </c>
      <c r="BA1934" s="842" t="s">
        <v>120</v>
      </c>
      <c r="BB1934" s="863" t="s">
        <v>121</v>
      </c>
      <c r="BC1934" s="864">
        <v>45990</v>
      </c>
      <c r="BD1934" s="860" t="s">
        <v>6297</v>
      </c>
      <c r="BE1934" s="865" cm="1">
        <f t="array" ref="BE1934">IF(BD1934="","",AC1934/SUMPRODUCT(--(BD1934=$BD$4:$BD$12824),$AC$4:$AC$12824))</f>
        <v>1.9658408684927389E-4</v>
      </c>
      <c r="BF1934" s="458"/>
      <c r="BG1934" s="458"/>
      <c r="BH1934" s="458"/>
      <c r="BI1934" s="458"/>
      <c r="BJ1934" s="458"/>
      <c r="BK1934" s="458"/>
      <c r="BL1934" s="458"/>
      <c r="BM1934" s="458"/>
      <c r="BN1934" s="458"/>
      <c r="BO1934" s="866">
        <f>VLOOKUP(BD1934,$BD$4:$BN$12824,3,0)*BE1934</f>
        <v>7579.9035713726425</v>
      </c>
      <c r="BP1934" s="866"/>
      <c r="BQ1934" s="866"/>
      <c r="BR1934" s="866">
        <f>VLOOKUP(BD1934,$BD$4:$BN$12824,6,0)*BE1934</f>
        <v>3229.2907991636803</v>
      </c>
      <c r="BS1934" s="866">
        <f>VLOOKUP(BD1934,$BD$4:$BN$12824,7,0)*BE1934</f>
        <v>613.57235435134805</v>
      </c>
      <c r="BT1934" s="866"/>
      <c r="BU1934" s="866">
        <f>VLOOKUP(BD1934,$BD$4:$BN$12824,9,0)*BE1934</f>
        <v>23.809281678749809</v>
      </c>
      <c r="BV1934" s="867"/>
      <c r="BW1934" s="867">
        <f>VLOOKUP(BD1934,$BD$4:$BN$12824,11,0)*BE1934</f>
        <v>0</v>
      </c>
      <c r="BX1934" s="1146">
        <f t="shared" si="377"/>
        <v>11446.576006566422</v>
      </c>
      <c r="BY1934" s="867">
        <f t="shared" si="379"/>
        <v>681894.03698413889</v>
      </c>
      <c r="BZ1934" s="867">
        <f t="shared" si="378"/>
        <v>681894.03698413889</v>
      </c>
      <c r="CA1934" s="867">
        <f>_xlfn.MAXIFS($BY$4:$BY$12824,$S$4:$S$12824,$S1934)</f>
        <v>681894.03698413889</v>
      </c>
      <c r="CB1934" s="1032"/>
      <c r="CF1934" s="946">
        <f t="shared" si="370"/>
        <v>650720</v>
      </c>
    </row>
    <row r="1935" spans="2:84">
      <c r="B1935" s="839" t="s">
        <v>98</v>
      </c>
      <c r="C1935" s="839" t="s">
        <v>273</v>
      </c>
      <c r="D1935" s="839" t="s">
        <v>6289</v>
      </c>
      <c r="E1935" s="839" t="s">
        <v>6290</v>
      </c>
      <c r="F1935" s="841">
        <v>45841</v>
      </c>
      <c r="G1935" s="868" t="s">
        <v>273</v>
      </c>
      <c r="H1935" s="842" t="s">
        <v>134</v>
      </c>
      <c r="I1935" s="883"/>
      <c r="J1935" s="841"/>
      <c r="K1935" s="841"/>
      <c r="L1935" s="843" t="s">
        <v>106</v>
      </c>
      <c r="M1935" s="844" t="s">
        <v>275</v>
      </c>
      <c r="N1935" s="841"/>
      <c r="O1935" s="884" t="s">
        <v>150</v>
      </c>
      <c r="P1935" s="842" t="s">
        <v>124</v>
      </c>
      <c r="Q1935" s="843"/>
      <c r="R1935" s="845" t="str">
        <f t="shared" si="372"/>
        <v>11213.36</v>
      </c>
      <c r="S1935" s="1127" t="s">
        <v>6421</v>
      </c>
      <c r="T1935" s="885" t="s">
        <v>6422</v>
      </c>
      <c r="U1935" s="886">
        <v>2</v>
      </c>
      <c r="V1935" s="842" t="s">
        <v>3</v>
      </c>
      <c r="W1935" s="846" t="s">
        <v>4532</v>
      </c>
      <c r="X1935" s="847">
        <f t="shared" si="368"/>
        <v>85.62</v>
      </c>
      <c r="Y1935" s="853" t="s">
        <v>4582</v>
      </c>
      <c r="Z1935" s="902">
        <v>20.335000000000001</v>
      </c>
      <c r="AA1935" s="849"/>
      <c r="AB1935" s="849">
        <f t="shared" si="373"/>
        <v>40.67</v>
      </c>
      <c r="AC1935" s="850">
        <f t="shared" si="374"/>
        <v>40.67</v>
      </c>
      <c r="AD1935" s="851">
        <f t="shared" si="369"/>
        <v>32000</v>
      </c>
      <c r="AE1935" s="852">
        <v>29936.21</v>
      </c>
      <c r="AF1935" s="853">
        <v>0.1</v>
      </c>
      <c r="AG1935" s="854">
        <f t="shared" si="375"/>
        <v>123389.26125514483</v>
      </c>
      <c r="AH1935" s="853">
        <v>0.08</v>
      </c>
      <c r="AI1935" s="855">
        <f t="shared" si="376"/>
        <v>107271.5937564116</v>
      </c>
      <c r="AJ1935" s="856" t="s">
        <v>6292</v>
      </c>
      <c r="AK1935" s="857">
        <v>45911</v>
      </c>
      <c r="AL1935" s="843" t="s">
        <v>6293</v>
      </c>
      <c r="AM1935" s="843" t="s">
        <v>6294</v>
      </c>
      <c r="AN1935" s="844" t="s">
        <v>3951</v>
      </c>
      <c r="AO1935" s="844" t="s">
        <v>141</v>
      </c>
      <c r="AP1935" s="841"/>
      <c r="AQ1935" s="841">
        <v>45929</v>
      </c>
      <c r="AR1935" s="841">
        <v>45987</v>
      </c>
      <c r="AS1935" s="842" t="s">
        <v>1284</v>
      </c>
      <c r="AT1935" s="842" t="s">
        <v>1743</v>
      </c>
      <c r="AU1935" s="842" t="s">
        <v>6295</v>
      </c>
      <c r="AV1935" s="845" t="s">
        <v>6296</v>
      </c>
      <c r="AW1935" s="861">
        <v>45986</v>
      </c>
      <c r="AX1935" s="862">
        <v>45987</v>
      </c>
      <c r="AY1935" s="843"/>
      <c r="AZ1935" s="842">
        <v>94031000</v>
      </c>
      <c r="BA1935" s="842" t="s">
        <v>120</v>
      </c>
      <c r="BB1935" s="863" t="s">
        <v>121</v>
      </c>
      <c r="BC1935" s="864">
        <v>45990</v>
      </c>
      <c r="BD1935" s="860" t="s">
        <v>6297</v>
      </c>
      <c r="BE1935" s="865" cm="1">
        <f t="array" ref="BE1935">IF(BD1935="","",AC1935/SUMPRODUCT(--(BD1935=$BD$4:$BD$12824),$AC$4:$AC$12824))</f>
        <v>3.9316817369854779E-4</v>
      </c>
      <c r="BF1935" s="458"/>
      <c r="BG1935" s="458"/>
      <c r="BH1935" s="458"/>
      <c r="BI1935" s="458"/>
      <c r="BJ1935" s="458"/>
      <c r="BK1935" s="458"/>
      <c r="BL1935" s="458"/>
      <c r="BM1935" s="458"/>
      <c r="BN1935" s="458"/>
      <c r="BO1935" s="866">
        <f>VLOOKUP(BD1935,$BD$4:$BN$12824,3,0)*BE1935</f>
        <v>15159.807142745285</v>
      </c>
      <c r="BP1935" s="866"/>
      <c r="BQ1935" s="866"/>
      <c r="BR1935" s="866">
        <f>VLOOKUP(BD1935,$BD$4:$BN$12824,6,0)*BE1935</f>
        <v>6458.5815983273606</v>
      </c>
      <c r="BS1935" s="866">
        <f>VLOOKUP(BD1935,$BD$4:$BN$12824,7,0)*BE1935</f>
        <v>1227.1447087026961</v>
      </c>
      <c r="BT1935" s="866"/>
      <c r="BU1935" s="866">
        <f>VLOOKUP(BD1935,$BD$4:$BN$12824,9,0)*BE1935</f>
        <v>47.618563357499617</v>
      </c>
      <c r="BV1935" s="867"/>
      <c r="BW1935" s="867">
        <f>VLOOKUP(BD1935,$BD$4:$BN$12824,11,0)*BE1935</f>
        <v>0</v>
      </c>
      <c r="BX1935" s="1146">
        <f t="shared" si="377"/>
        <v>22893.152013132843</v>
      </c>
      <c r="BY1935" s="867">
        <f t="shared" si="379"/>
        <v>681894.03698413889</v>
      </c>
      <c r="BZ1935" s="867">
        <f t="shared" si="378"/>
        <v>1363788.0739682778</v>
      </c>
      <c r="CA1935" s="867">
        <f>_xlfn.MAXIFS($BY$4:$BY$12824,$S$4:$S$12824,$S1935)</f>
        <v>681894.03698413889</v>
      </c>
      <c r="CB1935" s="1032"/>
      <c r="CF1935" s="946">
        <f t="shared" si="370"/>
        <v>1301440</v>
      </c>
    </row>
    <row r="1936" spans="2:84">
      <c r="B1936" s="839" t="s">
        <v>98</v>
      </c>
      <c r="C1936" s="839" t="s">
        <v>273</v>
      </c>
      <c r="D1936" s="839" t="s">
        <v>6289</v>
      </c>
      <c r="E1936" s="839" t="s">
        <v>6290</v>
      </c>
      <c r="F1936" s="841">
        <v>45841</v>
      </c>
      <c r="G1936" s="868" t="s">
        <v>273</v>
      </c>
      <c r="H1936" s="842" t="s">
        <v>134</v>
      </c>
      <c r="I1936" s="883"/>
      <c r="J1936" s="841"/>
      <c r="K1936" s="841"/>
      <c r="L1936" s="843" t="s">
        <v>106</v>
      </c>
      <c r="M1936" s="844" t="s">
        <v>275</v>
      </c>
      <c r="N1936" s="841"/>
      <c r="O1936" s="884" t="s">
        <v>150</v>
      </c>
      <c r="P1936" s="842" t="s">
        <v>124</v>
      </c>
      <c r="Q1936" s="843"/>
      <c r="R1936" s="845" t="str">
        <f t="shared" si="372"/>
        <v>16190.23</v>
      </c>
      <c r="S1936" s="1127" t="s">
        <v>2476</v>
      </c>
      <c r="T1936" s="885" t="s">
        <v>2477</v>
      </c>
      <c r="U1936" s="886">
        <v>2</v>
      </c>
      <c r="V1936" s="842" t="s">
        <v>3</v>
      </c>
      <c r="W1936" s="846" t="s">
        <v>4558</v>
      </c>
      <c r="X1936" s="847">
        <f t="shared" si="368"/>
        <v>83.4</v>
      </c>
      <c r="Y1936" s="853" t="s">
        <v>4582</v>
      </c>
      <c r="Z1936" s="902">
        <v>19.808</v>
      </c>
      <c r="AA1936" s="849"/>
      <c r="AB1936" s="849">
        <f t="shared" si="373"/>
        <v>39.616</v>
      </c>
      <c r="AC1936" s="850">
        <f t="shared" si="374"/>
        <v>39.616</v>
      </c>
      <c r="AD1936" s="851">
        <f t="shared" si="369"/>
        <v>32000</v>
      </c>
      <c r="AE1936" s="852">
        <v>29936.21</v>
      </c>
      <c r="AF1936" s="853">
        <v>0.1</v>
      </c>
      <c r="AG1936" s="854">
        <f t="shared" si="375"/>
        <v>120191.51644661459</v>
      </c>
      <c r="AH1936" s="853">
        <v>0.08</v>
      </c>
      <c r="AI1936" s="855">
        <f t="shared" si="376"/>
        <v>104491.55294452918</v>
      </c>
      <c r="AJ1936" s="856" t="s">
        <v>6292</v>
      </c>
      <c r="AK1936" s="857">
        <v>45911</v>
      </c>
      <c r="AL1936" s="843" t="s">
        <v>6293</v>
      </c>
      <c r="AM1936" s="843" t="s">
        <v>6294</v>
      </c>
      <c r="AN1936" s="844" t="s">
        <v>3951</v>
      </c>
      <c r="AO1936" s="844" t="s">
        <v>141</v>
      </c>
      <c r="AP1936" s="841"/>
      <c r="AQ1936" s="841">
        <v>45929</v>
      </c>
      <c r="AR1936" s="841">
        <v>45987</v>
      </c>
      <c r="AS1936" s="842" t="s">
        <v>1284</v>
      </c>
      <c r="AT1936" s="842" t="s">
        <v>1743</v>
      </c>
      <c r="AU1936" s="842" t="s">
        <v>6295</v>
      </c>
      <c r="AV1936" s="845" t="s">
        <v>6296</v>
      </c>
      <c r="AW1936" s="861">
        <v>45986</v>
      </c>
      <c r="AX1936" s="862">
        <v>45987</v>
      </c>
      <c r="AY1936" s="843"/>
      <c r="AZ1936" s="842">
        <v>94031000</v>
      </c>
      <c r="BA1936" s="842" t="s">
        <v>120</v>
      </c>
      <c r="BB1936" s="863" t="s">
        <v>121</v>
      </c>
      <c r="BC1936" s="864">
        <v>45990</v>
      </c>
      <c r="BD1936" s="860" t="s">
        <v>6297</v>
      </c>
      <c r="BE1936" s="865" cm="1">
        <f t="array" ref="BE1936">IF(BD1936="","",AC1936/SUMPRODUCT(--(BD1936=$BD$4:$BD$12824),$AC$4:$AC$12824))</f>
        <v>3.8297886327124829E-4</v>
      </c>
      <c r="BF1936" s="458"/>
      <c r="BG1936" s="458"/>
      <c r="BH1936" s="458"/>
      <c r="BI1936" s="458"/>
      <c r="BJ1936" s="458"/>
      <c r="BK1936" s="458"/>
      <c r="BL1936" s="458"/>
      <c r="BM1936" s="458"/>
      <c r="BN1936" s="458"/>
      <c r="BO1936" s="866">
        <f>VLOOKUP(BD1936,$BD$4:$BN$12824,3,0)*BE1936</f>
        <v>14766.92696746981</v>
      </c>
      <c r="BP1936" s="866"/>
      <c r="BQ1936" s="866"/>
      <c r="BR1936" s="866">
        <f>VLOOKUP(BD1936,$BD$4:$BN$12824,6,0)*BE1936</f>
        <v>6291.2015883780841</v>
      </c>
      <c r="BS1936" s="866">
        <f>VLOOKUP(BD1936,$BD$4:$BN$12824,7,0)*BE1936</f>
        <v>1195.3421386763218</v>
      </c>
      <c r="BT1936" s="866"/>
      <c r="BU1936" s="866">
        <f>VLOOKUP(BD1936,$BD$4:$BN$12824,9,0)*BE1936</f>
        <v>46.384485025097234</v>
      </c>
      <c r="BV1936" s="867"/>
      <c r="BW1936" s="867">
        <f>VLOOKUP(BD1936,$BD$4:$BN$12824,11,0)*BE1936</f>
        <v>0</v>
      </c>
      <c r="BX1936" s="1146">
        <f t="shared" si="377"/>
        <v>22299.855179549311</v>
      </c>
      <c r="BY1936" s="867">
        <f t="shared" si="379"/>
        <v>664222.1334930819</v>
      </c>
      <c r="BZ1936" s="867">
        <f t="shared" si="378"/>
        <v>1328444.2669861638</v>
      </c>
      <c r="CA1936" s="867">
        <f>_xlfn.MAXIFS($BY$4:$BY$12824,$S$4:$S$12824,$S1936)</f>
        <v>880435.85596635262</v>
      </c>
      <c r="CB1936" s="1032"/>
      <c r="CF1936" s="946">
        <f t="shared" si="370"/>
        <v>1267712</v>
      </c>
    </row>
    <row r="1937" spans="2:84">
      <c r="B1937" s="839" t="s">
        <v>98</v>
      </c>
      <c r="C1937" s="839" t="s">
        <v>273</v>
      </c>
      <c r="D1937" s="839" t="s">
        <v>6289</v>
      </c>
      <c r="E1937" s="839" t="s">
        <v>6290</v>
      </c>
      <c r="F1937" s="841">
        <v>45841</v>
      </c>
      <c r="G1937" s="868" t="s">
        <v>273</v>
      </c>
      <c r="H1937" s="842" t="s">
        <v>134</v>
      </c>
      <c r="I1937" s="883"/>
      <c r="J1937" s="841"/>
      <c r="K1937" s="841"/>
      <c r="L1937" s="843" t="s">
        <v>106</v>
      </c>
      <c r="M1937" s="844" t="s">
        <v>275</v>
      </c>
      <c r="N1937" s="841"/>
      <c r="O1937" s="884" t="s">
        <v>150</v>
      </c>
      <c r="P1937" s="842" t="s">
        <v>124</v>
      </c>
      <c r="Q1937" s="843"/>
      <c r="R1937" s="845" t="str">
        <f t="shared" si="372"/>
        <v>16190.33</v>
      </c>
      <c r="S1937" s="1127" t="s">
        <v>6423</v>
      </c>
      <c r="T1937" s="885" t="s">
        <v>6424</v>
      </c>
      <c r="U1937" s="886">
        <v>3</v>
      </c>
      <c r="V1937" s="842" t="s">
        <v>3</v>
      </c>
      <c r="W1937" s="846" t="s">
        <v>4558</v>
      </c>
      <c r="X1937" s="847">
        <f t="shared" si="368"/>
        <v>125.10000000000001</v>
      </c>
      <c r="Y1937" s="853" t="s">
        <v>4582</v>
      </c>
      <c r="Z1937" s="902">
        <v>19.808</v>
      </c>
      <c r="AA1937" s="849"/>
      <c r="AB1937" s="849">
        <f t="shared" si="373"/>
        <v>59.423999999999999</v>
      </c>
      <c r="AC1937" s="850">
        <f t="shared" si="374"/>
        <v>59.423999999999999</v>
      </c>
      <c r="AD1937" s="851">
        <f t="shared" si="369"/>
        <v>32000</v>
      </c>
      <c r="AE1937" s="852">
        <v>29936.21</v>
      </c>
      <c r="AF1937" s="853">
        <v>0.1</v>
      </c>
      <c r="AG1937" s="854">
        <f t="shared" si="375"/>
        <v>180287.27466992193</v>
      </c>
      <c r="AH1937" s="853">
        <v>0.08</v>
      </c>
      <c r="AI1937" s="855">
        <f t="shared" si="376"/>
        <v>156737.32941679374</v>
      </c>
      <c r="AJ1937" s="856" t="s">
        <v>6292</v>
      </c>
      <c r="AK1937" s="857">
        <v>45911</v>
      </c>
      <c r="AL1937" s="843" t="s">
        <v>6293</v>
      </c>
      <c r="AM1937" s="843" t="s">
        <v>6294</v>
      </c>
      <c r="AN1937" s="844" t="s">
        <v>3951</v>
      </c>
      <c r="AO1937" s="844" t="s">
        <v>141</v>
      </c>
      <c r="AP1937" s="841"/>
      <c r="AQ1937" s="841">
        <v>45929</v>
      </c>
      <c r="AR1937" s="841">
        <v>45987</v>
      </c>
      <c r="AS1937" s="842" t="s">
        <v>1284</v>
      </c>
      <c r="AT1937" s="842" t="s">
        <v>1743</v>
      </c>
      <c r="AU1937" s="842" t="s">
        <v>6295</v>
      </c>
      <c r="AV1937" s="845" t="s">
        <v>6296</v>
      </c>
      <c r="AW1937" s="861">
        <v>45986</v>
      </c>
      <c r="AX1937" s="862">
        <v>45987</v>
      </c>
      <c r="AY1937" s="843"/>
      <c r="AZ1937" s="842">
        <v>94031000</v>
      </c>
      <c r="BA1937" s="842" t="s">
        <v>120</v>
      </c>
      <c r="BB1937" s="863" t="s">
        <v>121</v>
      </c>
      <c r="BC1937" s="864">
        <v>45990</v>
      </c>
      <c r="BD1937" s="860" t="s">
        <v>6297</v>
      </c>
      <c r="BE1937" s="865" cm="1">
        <f t="array" ref="BE1937">IF(BD1937="","",AC1937/SUMPRODUCT(--(BD1937=$BD$4:$BD$12824),$AC$4:$AC$12824))</f>
        <v>5.7446829490687243E-4</v>
      </c>
      <c r="BF1937" s="458"/>
      <c r="BG1937" s="458"/>
      <c r="BH1937" s="458"/>
      <c r="BI1937" s="458"/>
      <c r="BJ1937" s="458"/>
      <c r="BK1937" s="458"/>
      <c r="BL1937" s="458"/>
      <c r="BM1937" s="458"/>
      <c r="BN1937" s="458"/>
      <c r="BO1937" s="866">
        <f>VLOOKUP(BD1937,$BD$4:$BN$12824,3,0)*BE1937</f>
        <v>22150.390451204716</v>
      </c>
      <c r="BP1937" s="866"/>
      <c r="BQ1937" s="866"/>
      <c r="BR1937" s="866">
        <f>VLOOKUP(BD1937,$BD$4:$BN$12824,6,0)*BE1937</f>
        <v>9436.8023825671262</v>
      </c>
      <c r="BS1937" s="866">
        <f>VLOOKUP(BD1937,$BD$4:$BN$12824,7,0)*BE1937</f>
        <v>1793.0132080144826</v>
      </c>
      <c r="BT1937" s="866"/>
      <c r="BU1937" s="866">
        <f>VLOOKUP(BD1937,$BD$4:$BN$12824,9,0)*BE1937</f>
        <v>69.576727537645851</v>
      </c>
      <c r="BV1937" s="867"/>
      <c r="BW1937" s="867">
        <f>VLOOKUP(BD1937,$BD$4:$BN$12824,11,0)*BE1937</f>
        <v>0</v>
      </c>
      <c r="BX1937" s="1146">
        <f t="shared" si="377"/>
        <v>33449.782769323974</v>
      </c>
      <c r="BY1937" s="867">
        <f t="shared" si="379"/>
        <v>664222.13349308202</v>
      </c>
      <c r="BZ1937" s="867">
        <f t="shared" si="378"/>
        <v>1992666.4004792459</v>
      </c>
      <c r="CA1937" s="867">
        <f>_xlfn.MAXIFS($BY$4:$BY$12824,$S$4:$S$12824,$S1937)</f>
        <v>664222.13349308202</v>
      </c>
      <c r="CB1937" s="1032"/>
      <c r="CF1937" s="946">
        <f t="shared" si="370"/>
        <v>1901568</v>
      </c>
    </row>
    <row r="1938" spans="2:84">
      <c r="B1938" s="839" t="s">
        <v>98</v>
      </c>
      <c r="C1938" s="839" t="s">
        <v>273</v>
      </c>
      <c r="D1938" s="839" t="s">
        <v>6289</v>
      </c>
      <c r="E1938" s="839" t="s">
        <v>6290</v>
      </c>
      <c r="F1938" s="841">
        <v>45841</v>
      </c>
      <c r="G1938" s="868" t="s">
        <v>273</v>
      </c>
      <c r="H1938" s="842" t="s">
        <v>134</v>
      </c>
      <c r="I1938" s="883"/>
      <c r="J1938" s="841"/>
      <c r="K1938" s="841"/>
      <c r="L1938" s="843" t="s">
        <v>106</v>
      </c>
      <c r="M1938" s="844" t="s">
        <v>275</v>
      </c>
      <c r="N1938" s="841"/>
      <c r="O1938" s="884" t="s">
        <v>150</v>
      </c>
      <c r="P1938" s="842" t="s">
        <v>124</v>
      </c>
      <c r="Q1938" s="843"/>
      <c r="R1938" s="845" t="str">
        <f t="shared" si="372"/>
        <v>16608.36</v>
      </c>
      <c r="S1938" s="1127" t="s">
        <v>6425</v>
      </c>
      <c r="T1938" s="885" t="s">
        <v>6426</v>
      </c>
      <c r="U1938" s="886">
        <v>1</v>
      </c>
      <c r="V1938" s="842" t="s">
        <v>3</v>
      </c>
      <c r="W1938" s="846" t="s">
        <v>6427</v>
      </c>
      <c r="X1938" s="847">
        <f t="shared" si="368"/>
        <v>37.200000000000003</v>
      </c>
      <c r="Y1938" s="853" t="s">
        <v>4582</v>
      </c>
      <c r="Z1938" s="902">
        <v>17.670000000000002</v>
      </c>
      <c r="AA1938" s="849"/>
      <c r="AB1938" s="849">
        <f t="shared" si="373"/>
        <v>17.670000000000002</v>
      </c>
      <c r="AC1938" s="850">
        <f t="shared" si="374"/>
        <v>17.670000000000002</v>
      </c>
      <c r="AD1938" s="851">
        <f t="shared" si="369"/>
        <v>32000</v>
      </c>
      <c r="AE1938" s="852">
        <v>29936.21</v>
      </c>
      <c r="AF1938" s="853">
        <v>0.1</v>
      </c>
      <c r="AG1938" s="854">
        <f t="shared" si="375"/>
        <v>53609.251201829582</v>
      </c>
      <c r="AH1938" s="853">
        <v>0.08</v>
      </c>
      <c r="AI1938" s="855">
        <f t="shared" si="376"/>
        <v>46606.566552146374</v>
      </c>
      <c r="AJ1938" s="856" t="s">
        <v>6292</v>
      </c>
      <c r="AK1938" s="857">
        <v>45911</v>
      </c>
      <c r="AL1938" s="843" t="s">
        <v>6293</v>
      </c>
      <c r="AM1938" s="843" t="s">
        <v>6294</v>
      </c>
      <c r="AN1938" s="844" t="s">
        <v>3951</v>
      </c>
      <c r="AO1938" s="844" t="s">
        <v>141</v>
      </c>
      <c r="AP1938" s="841"/>
      <c r="AQ1938" s="841">
        <v>45929</v>
      </c>
      <c r="AR1938" s="841">
        <v>45987</v>
      </c>
      <c r="AS1938" s="842" t="s">
        <v>1284</v>
      </c>
      <c r="AT1938" s="842" t="s">
        <v>1743</v>
      </c>
      <c r="AU1938" s="842" t="s">
        <v>6295</v>
      </c>
      <c r="AV1938" s="845" t="s">
        <v>6296</v>
      </c>
      <c r="AW1938" s="861">
        <v>45986</v>
      </c>
      <c r="AX1938" s="862">
        <v>45987</v>
      </c>
      <c r="AY1938" s="843"/>
      <c r="AZ1938" s="842">
        <v>94031000</v>
      </c>
      <c r="BA1938" s="842" t="s">
        <v>120</v>
      </c>
      <c r="BB1938" s="863" t="s">
        <v>121</v>
      </c>
      <c r="BC1938" s="864">
        <v>45990</v>
      </c>
      <c r="BD1938" s="860" t="s">
        <v>6297</v>
      </c>
      <c r="BE1938" s="865" cm="1">
        <f t="array" ref="BE1938">IF(BD1938="","",AC1938/SUMPRODUCT(--(BD1938=$BD$4:$BD$12824),$AC$4:$AC$12824))</f>
        <v>1.7082079245766754E-4</v>
      </c>
      <c r="BF1938" s="458"/>
      <c r="BG1938" s="458"/>
      <c r="BH1938" s="458"/>
      <c r="BI1938" s="458"/>
      <c r="BJ1938" s="458"/>
      <c r="BK1938" s="458"/>
      <c r="BL1938" s="458"/>
      <c r="BM1938" s="458"/>
      <c r="BN1938" s="458"/>
      <c r="BO1938" s="866">
        <f>VLOOKUP(BD1938,$BD$4:$BN$12824,3,0)*BE1938</f>
        <v>6586.5205855005943</v>
      </c>
      <c r="BP1938" s="866"/>
      <c r="BQ1938" s="866"/>
      <c r="BR1938" s="866">
        <f>VLOOKUP(BD1938,$BD$4:$BN$12824,6,0)*BE1938</f>
        <v>2806.0766373849137</v>
      </c>
      <c r="BS1938" s="866">
        <f>VLOOKUP(BD1938,$BD$4:$BN$12824,7,0)*BE1938</f>
        <v>533.16073279509817</v>
      </c>
      <c r="BT1938" s="866"/>
      <c r="BU1938" s="866">
        <f>VLOOKUP(BD1938,$BD$4:$BN$12824,9,0)*BE1938</f>
        <v>20.688960278510404</v>
      </c>
      <c r="BV1938" s="867"/>
      <c r="BW1938" s="867">
        <f>VLOOKUP(BD1938,$BD$4:$BN$12824,11,0)*BE1938</f>
        <v>0</v>
      </c>
      <c r="BX1938" s="1146">
        <f t="shared" si="377"/>
        <v>9946.4469159591172</v>
      </c>
      <c r="BY1938" s="867">
        <f t="shared" si="379"/>
        <v>592528.52881778881</v>
      </c>
      <c r="BZ1938" s="867">
        <f t="shared" si="378"/>
        <v>592528.52881778881</v>
      </c>
      <c r="CA1938" s="867">
        <f>_xlfn.MAXIFS($BY$4:$BY$12824,$S$4:$S$12824,$S1938)</f>
        <v>592528.52881778881</v>
      </c>
      <c r="CB1938" s="1032"/>
      <c r="CF1938" s="946">
        <f t="shared" si="370"/>
        <v>565440</v>
      </c>
    </row>
    <row r="1939" spans="2:84">
      <c r="B1939" s="839" t="s">
        <v>98</v>
      </c>
      <c r="C1939" s="839" t="s">
        <v>273</v>
      </c>
      <c r="D1939" s="839" t="s">
        <v>6289</v>
      </c>
      <c r="E1939" s="839" t="s">
        <v>6290</v>
      </c>
      <c r="F1939" s="841">
        <v>45841</v>
      </c>
      <c r="G1939" s="868" t="s">
        <v>273</v>
      </c>
      <c r="H1939" s="842" t="s">
        <v>134</v>
      </c>
      <c r="I1939" s="883"/>
      <c r="J1939" s="841"/>
      <c r="K1939" s="841"/>
      <c r="L1939" s="843" t="s">
        <v>106</v>
      </c>
      <c r="M1939" s="844" t="s">
        <v>275</v>
      </c>
      <c r="N1939" s="841"/>
      <c r="O1939" s="884" t="s">
        <v>150</v>
      </c>
      <c r="P1939" s="842" t="s">
        <v>124</v>
      </c>
      <c r="Q1939" s="843"/>
      <c r="R1939" s="845" t="str">
        <f t="shared" si="372"/>
        <v>16606.24</v>
      </c>
      <c r="S1939" s="1127" t="s">
        <v>3771</v>
      </c>
      <c r="T1939" s="885" t="s">
        <v>6428</v>
      </c>
      <c r="U1939" s="886">
        <v>2</v>
      </c>
      <c r="V1939" s="842" t="s">
        <v>3</v>
      </c>
      <c r="W1939" s="846" t="s">
        <v>6372</v>
      </c>
      <c r="X1939" s="847">
        <f t="shared" si="368"/>
        <v>57.5</v>
      </c>
      <c r="Y1939" s="853" t="s">
        <v>4582</v>
      </c>
      <c r="Z1939" s="902">
        <v>13.656000000000001</v>
      </c>
      <c r="AA1939" s="849"/>
      <c r="AB1939" s="849">
        <f t="shared" si="373"/>
        <v>27.312000000000001</v>
      </c>
      <c r="AC1939" s="850">
        <f t="shared" si="374"/>
        <v>27.312000000000001</v>
      </c>
      <c r="AD1939" s="851">
        <f t="shared" si="369"/>
        <v>32000</v>
      </c>
      <c r="AE1939" s="852">
        <v>29936.21</v>
      </c>
      <c r="AF1939" s="853">
        <v>0.1</v>
      </c>
      <c r="AG1939" s="854">
        <f t="shared" si="375"/>
        <v>82862.244981571552</v>
      </c>
      <c r="AH1939" s="853">
        <v>0.08</v>
      </c>
      <c r="AI1939" s="855">
        <f t="shared" si="376"/>
        <v>72038.401000125727</v>
      </c>
      <c r="AJ1939" s="856" t="s">
        <v>6292</v>
      </c>
      <c r="AK1939" s="857">
        <v>45911</v>
      </c>
      <c r="AL1939" s="843" t="s">
        <v>6293</v>
      </c>
      <c r="AM1939" s="843" t="s">
        <v>6294</v>
      </c>
      <c r="AN1939" s="844" t="s">
        <v>3951</v>
      </c>
      <c r="AO1939" s="844" t="s">
        <v>141</v>
      </c>
      <c r="AP1939" s="841"/>
      <c r="AQ1939" s="841">
        <v>45929</v>
      </c>
      <c r="AR1939" s="841">
        <v>45987</v>
      </c>
      <c r="AS1939" s="842" t="s">
        <v>1284</v>
      </c>
      <c r="AT1939" s="842" t="s">
        <v>1743</v>
      </c>
      <c r="AU1939" s="842" t="s">
        <v>6295</v>
      </c>
      <c r="AV1939" s="845" t="s">
        <v>6296</v>
      </c>
      <c r="AW1939" s="861">
        <v>45986</v>
      </c>
      <c r="AX1939" s="862">
        <v>45987</v>
      </c>
      <c r="AY1939" s="843"/>
      <c r="AZ1939" s="842">
        <v>94031000</v>
      </c>
      <c r="BA1939" s="842" t="s">
        <v>120</v>
      </c>
      <c r="BB1939" s="863" t="s">
        <v>121</v>
      </c>
      <c r="BC1939" s="864">
        <v>45990</v>
      </c>
      <c r="BD1939" s="860" t="s">
        <v>6297</v>
      </c>
      <c r="BE1939" s="865" cm="1">
        <f t="array" ref="BE1939">IF(BD1939="","",AC1939/SUMPRODUCT(--(BD1939=$BD$4:$BD$12824),$AC$4:$AC$12824))</f>
        <v>2.6403268158482263E-4</v>
      </c>
      <c r="BF1939" s="458"/>
      <c r="BG1939" s="458"/>
      <c r="BH1939" s="458"/>
      <c r="BI1939" s="458"/>
      <c r="BJ1939" s="458"/>
      <c r="BK1939" s="458"/>
      <c r="BL1939" s="458"/>
      <c r="BM1939" s="458"/>
      <c r="BN1939" s="458"/>
      <c r="BO1939" s="866">
        <f>VLOOKUP(BD1939,$BD$4:$BN$12824,3,0)*BE1939</f>
        <v>10180.591410933346</v>
      </c>
      <c r="BP1939" s="866"/>
      <c r="BQ1939" s="866"/>
      <c r="BR1939" s="866">
        <f>VLOOKUP(BD1939,$BD$4:$BN$12824,6,0)*BE1939</f>
        <v>4337.2702388373946</v>
      </c>
      <c r="BS1939" s="866">
        <f>VLOOKUP(BD1939,$BD$4:$BN$12824,7,0)*BE1939</f>
        <v>824.09088478210072</v>
      </c>
      <c r="BT1939" s="866"/>
      <c r="BU1939" s="866">
        <f>VLOOKUP(BD1939,$BD$4:$BN$12824,9,0)*BE1939</f>
        <v>31.978318230145792</v>
      </c>
      <c r="BV1939" s="867"/>
      <c r="BW1939" s="867">
        <f>VLOOKUP(BD1939,$BD$4:$BN$12824,11,0)*BE1939</f>
        <v>0</v>
      </c>
      <c r="BX1939" s="1146">
        <f t="shared" si="377"/>
        <v>15373.930852782987</v>
      </c>
      <c r="BY1939" s="867">
        <f t="shared" si="379"/>
        <v>457926.97167717729</v>
      </c>
      <c r="BZ1939" s="867">
        <f t="shared" si="378"/>
        <v>915853.94335435459</v>
      </c>
      <c r="CA1939" s="867">
        <f>_xlfn.MAXIFS($BY$4:$BY$12824,$S$4:$S$12824,$S1939)</f>
        <v>582740.59484189982</v>
      </c>
      <c r="CB1939" s="1032"/>
      <c r="CF1939" s="946">
        <f t="shared" si="370"/>
        <v>873984</v>
      </c>
    </row>
    <row r="1940" spans="2:84">
      <c r="B1940" s="839" t="s">
        <v>98</v>
      </c>
      <c r="C1940" s="839" t="s">
        <v>273</v>
      </c>
      <c r="D1940" s="839" t="s">
        <v>6289</v>
      </c>
      <c r="E1940" s="839" t="s">
        <v>6290</v>
      </c>
      <c r="F1940" s="841">
        <v>45841</v>
      </c>
      <c r="G1940" s="868" t="s">
        <v>273</v>
      </c>
      <c r="H1940" s="842" t="s">
        <v>134</v>
      </c>
      <c r="I1940" s="883"/>
      <c r="J1940" s="841"/>
      <c r="K1940" s="841"/>
      <c r="L1940" s="843" t="s">
        <v>106</v>
      </c>
      <c r="M1940" s="844" t="s">
        <v>275</v>
      </c>
      <c r="N1940" s="841"/>
      <c r="O1940" s="884" t="s">
        <v>150</v>
      </c>
      <c r="P1940" s="842" t="s">
        <v>124</v>
      </c>
      <c r="Q1940" s="843"/>
      <c r="R1940" s="845" t="str">
        <f t="shared" si="372"/>
        <v>16189.26</v>
      </c>
      <c r="S1940" s="1127" t="s">
        <v>6429</v>
      </c>
      <c r="T1940" s="885" t="s">
        <v>6430</v>
      </c>
      <c r="U1940" s="886">
        <v>3</v>
      </c>
      <c r="V1940" s="842" t="s">
        <v>3</v>
      </c>
      <c r="W1940" s="846" t="s">
        <v>4483</v>
      </c>
      <c r="X1940" s="847">
        <f t="shared" si="368"/>
        <v>96.72</v>
      </c>
      <c r="Y1940" s="853" t="s">
        <v>4582</v>
      </c>
      <c r="Z1940" s="902">
        <v>15.314</v>
      </c>
      <c r="AA1940" s="849"/>
      <c r="AB1940" s="849">
        <f t="shared" si="373"/>
        <v>45.942</v>
      </c>
      <c r="AC1940" s="850">
        <f t="shared" si="374"/>
        <v>45.942</v>
      </c>
      <c r="AD1940" s="851">
        <f t="shared" si="369"/>
        <v>32000</v>
      </c>
      <c r="AE1940" s="852">
        <v>29936.21</v>
      </c>
      <c r="AF1940" s="853">
        <v>0.1</v>
      </c>
      <c r="AG1940" s="854">
        <f t="shared" si="375"/>
        <v>139384.05312475687</v>
      </c>
      <c r="AH1940" s="853">
        <v>0.08</v>
      </c>
      <c r="AI1940" s="855">
        <f t="shared" si="376"/>
        <v>121177.07303558054</v>
      </c>
      <c r="AJ1940" s="856" t="s">
        <v>6292</v>
      </c>
      <c r="AK1940" s="857">
        <v>45911</v>
      </c>
      <c r="AL1940" s="843" t="s">
        <v>6293</v>
      </c>
      <c r="AM1940" s="843" t="s">
        <v>6294</v>
      </c>
      <c r="AN1940" s="844" t="s">
        <v>3951</v>
      </c>
      <c r="AO1940" s="844" t="s">
        <v>141</v>
      </c>
      <c r="AP1940" s="841"/>
      <c r="AQ1940" s="841">
        <v>45929</v>
      </c>
      <c r="AR1940" s="841">
        <v>45987</v>
      </c>
      <c r="AS1940" s="842" t="s">
        <v>1284</v>
      </c>
      <c r="AT1940" s="842" t="s">
        <v>1743</v>
      </c>
      <c r="AU1940" s="842" t="s">
        <v>6295</v>
      </c>
      <c r="AV1940" s="845" t="s">
        <v>6296</v>
      </c>
      <c r="AW1940" s="861">
        <v>45986</v>
      </c>
      <c r="AX1940" s="862">
        <v>45987</v>
      </c>
      <c r="AY1940" s="843"/>
      <c r="AZ1940" s="842">
        <v>94031000</v>
      </c>
      <c r="BA1940" s="842" t="s">
        <v>120</v>
      </c>
      <c r="BB1940" s="863" t="s">
        <v>121</v>
      </c>
      <c r="BC1940" s="864">
        <v>45990</v>
      </c>
      <c r="BD1940" s="860" t="s">
        <v>6297</v>
      </c>
      <c r="BE1940" s="865" cm="1">
        <f t="array" ref="BE1940">IF(BD1940="","",AC1940/SUMPRODUCT(--(BD1940=$BD$4:$BD$12824),$AC$4:$AC$12824))</f>
        <v>4.4413406038993562E-4</v>
      </c>
      <c r="BF1940" s="458"/>
      <c r="BG1940" s="458"/>
      <c r="BH1940" s="458"/>
      <c r="BI1940" s="458"/>
      <c r="BJ1940" s="458"/>
      <c r="BK1940" s="458"/>
      <c r="BL1940" s="458"/>
      <c r="BM1940" s="458"/>
      <c r="BN1940" s="458"/>
      <c r="BO1940" s="866">
        <f>VLOOKUP(BD1940,$BD$4:$BN$12824,3,0)*BE1940</f>
        <v>17124.953522301545</v>
      </c>
      <c r="BP1940" s="866"/>
      <c r="BQ1940" s="866"/>
      <c r="BR1940" s="866">
        <f>VLOOKUP(BD1940,$BD$4:$BN$12824,6,0)*BE1940</f>
        <v>7295.7992572007761</v>
      </c>
      <c r="BS1940" s="866">
        <f>VLOOKUP(BD1940,$BD$4:$BN$12824,7,0)*BE1940</f>
        <v>1386.2179052672552</v>
      </c>
      <c r="BT1940" s="866"/>
      <c r="BU1940" s="866">
        <f>VLOOKUP(BD1940,$BD$4:$BN$12824,9,0)*BE1940</f>
        <v>53.791296724127051</v>
      </c>
      <c r="BV1940" s="867"/>
      <c r="BW1940" s="867">
        <f>VLOOKUP(BD1940,$BD$4:$BN$12824,11,0)*BE1940</f>
        <v>0</v>
      </c>
      <c r="BX1940" s="1146">
        <f t="shared" si="377"/>
        <v>25860.761981493702</v>
      </c>
      <c r="BY1940" s="867">
        <f t="shared" si="379"/>
        <v>513524.72497541684</v>
      </c>
      <c r="BZ1940" s="867">
        <f t="shared" si="378"/>
        <v>1540574.1749262505</v>
      </c>
      <c r="CA1940" s="867">
        <f>_xlfn.MAXIFS($BY$4:$BY$12824,$S$4:$S$12824,$S1940)</f>
        <v>513524.72497541684</v>
      </c>
      <c r="CB1940" s="1032"/>
      <c r="CF1940" s="946">
        <f t="shared" si="370"/>
        <v>1470144</v>
      </c>
    </row>
    <row r="1941" spans="2:84">
      <c r="B1941" s="839" t="s">
        <v>98</v>
      </c>
      <c r="C1941" s="839" t="s">
        <v>273</v>
      </c>
      <c r="D1941" s="839" t="s">
        <v>6289</v>
      </c>
      <c r="E1941" s="839" t="s">
        <v>6290</v>
      </c>
      <c r="F1941" s="841">
        <v>45841</v>
      </c>
      <c r="G1941" s="868" t="s">
        <v>273</v>
      </c>
      <c r="H1941" s="842" t="s">
        <v>134</v>
      </c>
      <c r="I1941" s="883"/>
      <c r="J1941" s="841"/>
      <c r="K1941" s="841"/>
      <c r="L1941" s="843" t="s">
        <v>106</v>
      </c>
      <c r="M1941" s="844" t="s">
        <v>275</v>
      </c>
      <c r="N1941" s="841"/>
      <c r="O1941" s="884" t="s">
        <v>150</v>
      </c>
      <c r="P1941" s="842" t="s">
        <v>124</v>
      </c>
      <c r="Q1941" s="843"/>
      <c r="R1941" s="845" t="str">
        <f t="shared" si="372"/>
        <v>16178.26</v>
      </c>
      <c r="S1941" s="1127" t="s">
        <v>6431</v>
      </c>
      <c r="T1941" s="885" t="s">
        <v>6432</v>
      </c>
      <c r="U1941" s="886">
        <v>1</v>
      </c>
      <c r="V1941" s="842" t="s">
        <v>3</v>
      </c>
      <c r="W1941" s="846" t="s">
        <v>4483</v>
      </c>
      <c r="X1941" s="847">
        <f t="shared" si="368"/>
        <v>32.24</v>
      </c>
      <c r="Y1941" s="853" t="s">
        <v>4582</v>
      </c>
      <c r="Z1941" s="902">
        <v>15.314</v>
      </c>
      <c r="AA1941" s="849"/>
      <c r="AB1941" s="849">
        <f t="shared" si="373"/>
        <v>15.314</v>
      </c>
      <c r="AC1941" s="850">
        <f t="shared" si="374"/>
        <v>15.314</v>
      </c>
      <c r="AD1941" s="851">
        <f t="shared" si="369"/>
        <v>32000</v>
      </c>
      <c r="AE1941" s="852">
        <v>29936.21</v>
      </c>
      <c r="AF1941" s="853">
        <v>0.1</v>
      </c>
      <c r="AG1941" s="854">
        <f t="shared" si="375"/>
        <v>46461.351041585636</v>
      </c>
      <c r="AH1941" s="853">
        <v>0.08</v>
      </c>
      <c r="AI1941" s="855">
        <f t="shared" si="376"/>
        <v>40392.357678526852</v>
      </c>
      <c r="AJ1941" s="856" t="s">
        <v>6292</v>
      </c>
      <c r="AK1941" s="857">
        <v>45911</v>
      </c>
      <c r="AL1941" s="843" t="s">
        <v>6293</v>
      </c>
      <c r="AM1941" s="843" t="s">
        <v>6294</v>
      </c>
      <c r="AN1941" s="844" t="s">
        <v>3951</v>
      </c>
      <c r="AO1941" s="844" t="s">
        <v>141</v>
      </c>
      <c r="AP1941" s="841"/>
      <c r="AQ1941" s="841">
        <v>45929</v>
      </c>
      <c r="AR1941" s="841">
        <v>45987</v>
      </c>
      <c r="AS1941" s="842" t="s">
        <v>1284</v>
      </c>
      <c r="AT1941" s="842" t="s">
        <v>1743</v>
      </c>
      <c r="AU1941" s="842" t="s">
        <v>6295</v>
      </c>
      <c r="AV1941" s="845" t="s">
        <v>6296</v>
      </c>
      <c r="AW1941" s="861">
        <v>45986</v>
      </c>
      <c r="AX1941" s="862">
        <v>45987</v>
      </c>
      <c r="AY1941" s="843"/>
      <c r="AZ1941" s="842">
        <v>94031000</v>
      </c>
      <c r="BA1941" s="842" t="s">
        <v>120</v>
      </c>
      <c r="BB1941" s="863" t="s">
        <v>121</v>
      </c>
      <c r="BC1941" s="864">
        <v>45990</v>
      </c>
      <c r="BD1941" s="860" t="s">
        <v>6297</v>
      </c>
      <c r="BE1941" s="865" cm="1">
        <f t="array" ref="BE1941">IF(BD1941="","",AC1941/SUMPRODUCT(--(BD1941=$BD$4:$BD$12824),$AC$4:$AC$12824))</f>
        <v>1.480446867966452E-4</v>
      </c>
      <c r="BF1941" s="458"/>
      <c r="BG1941" s="458"/>
      <c r="BH1941" s="458"/>
      <c r="BI1941" s="458"/>
      <c r="BJ1941" s="458"/>
      <c r="BK1941" s="458"/>
      <c r="BL1941" s="458"/>
      <c r="BM1941" s="458"/>
      <c r="BN1941" s="458"/>
      <c r="BO1941" s="866">
        <f>VLOOKUP(BD1941,$BD$4:$BN$12824,3,0)*BE1941</f>
        <v>5708.3178407671821</v>
      </c>
      <c r="BP1941" s="866"/>
      <c r="BQ1941" s="866"/>
      <c r="BR1941" s="866">
        <f>VLOOKUP(BD1941,$BD$4:$BN$12824,6,0)*BE1941</f>
        <v>2431.9330857335917</v>
      </c>
      <c r="BS1941" s="866">
        <f>VLOOKUP(BD1941,$BD$4:$BN$12824,7,0)*BE1941</f>
        <v>462.072635089085</v>
      </c>
      <c r="BT1941" s="866"/>
      <c r="BU1941" s="866">
        <f>VLOOKUP(BD1941,$BD$4:$BN$12824,9,0)*BE1941</f>
        <v>17.930432241375684</v>
      </c>
      <c r="BV1941" s="867"/>
      <c r="BW1941" s="867">
        <f>VLOOKUP(BD1941,$BD$4:$BN$12824,11,0)*BE1941</f>
        <v>0</v>
      </c>
      <c r="BX1941" s="1146">
        <f t="shared" si="377"/>
        <v>8620.2539938312348</v>
      </c>
      <c r="BY1941" s="867">
        <f t="shared" si="379"/>
        <v>513524.72497541684</v>
      </c>
      <c r="BZ1941" s="867">
        <f t="shared" si="378"/>
        <v>513524.72497541684</v>
      </c>
      <c r="CA1941" s="867">
        <f>_xlfn.MAXIFS($BY$4:$BY$12824,$S$4:$S$12824,$S1941)</f>
        <v>513524.72497541684</v>
      </c>
      <c r="CB1941" s="1032"/>
      <c r="CF1941" s="946">
        <f t="shared" si="370"/>
        <v>490048</v>
      </c>
    </row>
    <row r="1942" spans="2:84">
      <c r="B1942" s="839" t="s">
        <v>98</v>
      </c>
      <c r="C1942" s="839" t="s">
        <v>273</v>
      </c>
      <c r="D1942" s="839" t="s">
        <v>6289</v>
      </c>
      <c r="E1942" s="839" t="s">
        <v>6290</v>
      </c>
      <c r="F1942" s="841">
        <v>45841</v>
      </c>
      <c r="G1942" s="868" t="s">
        <v>273</v>
      </c>
      <c r="H1942" s="842" t="s">
        <v>134</v>
      </c>
      <c r="I1942" s="883"/>
      <c r="J1942" s="841"/>
      <c r="K1942" s="841"/>
      <c r="L1942" s="843" t="s">
        <v>106</v>
      </c>
      <c r="M1942" s="844" t="s">
        <v>275</v>
      </c>
      <c r="N1942" s="841"/>
      <c r="O1942" s="884" t="s">
        <v>150</v>
      </c>
      <c r="P1942" s="842" t="s">
        <v>124</v>
      </c>
      <c r="Q1942" s="843"/>
      <c r="R1942" s="845" t="str">
        <f t="shared" si="372"/>
        <v>11208.26</v>
      </c>
      <c r="S1942" s="1127" t="s">
        <v>6433</v>
      </c>
      <c r="T1942" s="885" t="s">
        <v>6434</v>
      </c>
      <c r="U1942" s="886">
        <v>10</v>
      </c>
      <c r="V1942" s="842" t="s">
        <v>3</v>
      </c>
      <c r="W1942" s="846" t="s">
        <v>4462</v>
      </c>
      <c r="X1942" s="847">
        <f t="shared" si="368"/>
        <v>337.5</v>
      </c>
      <c r="Y1942" s="853" t="s">
        <v>4582</v>
      </c>
      <c r="Z1942" s="902">
        <v>16.030999999999999</v>
      </c>
      <c r="AA1942" s="849"/>
      <c r="AB1942" s="849">
        <f t="shared" si="373"/>
        <v>160.31</v>
      </c>
      <c r="AC1942" s="850">
        <f t="shared" si="374"/>
        <v>160.31</v>
      </c>
      <c r="AD1942" s="851">
        <f t="shared" si="369"/>
        <v>32000</v>
      </c>
      <c r="AE1942" s="852">
        <v>29936.21</v>
      </c>
      <c r="AF1942" s="853">
        <v>0.1</v>
      </c>
      <c r="AG1942" s="854">
        <f t="shared" si="375"/>
        <v>486366.67007160722</v>
      </c>
      <c r="AH1942" s="853">
        <v>0.08</v>
      </c>
      <c r="AI1942" s="855">
        <f t="shared" si="376"/>
        <v>422835.2396137286</v>
      </c>
      <c r="AJ1942" s="856" t="s">
        <v>6292</v>
      </c>
      <c r="AK1942" s="857">
        <v>45911</v>
      </c>
      <c r="AL1942" s="843" t="s">
        <v>6293</v>
      </c>
      <c r="AM1942" s="843" t="s">
        <v>6294</v>
      </c>
      <c r="AN1942" s="844" t="s">
        <v>3951</v>
      </c>
      <c r="AO1942" s="844" t="s">
        <v>141</v>
      </c>
      <c r="AP1942" s="841"/>
      <c r="AQ1942" s="841">
        <v>45929</v>
      </c>
      <c r="AR1942" s="841">
        <v>45987</v>
      </c>
      <c r="AS1942" s="842" t="s">
        <v>1284</v>
      </c>
      <c r="AT1942" s="842" t="s">
        <v>1743</v>
      </c>
      <c r="AU1942" s="842" t="s">
        <v>6295</v>
      </c>
      <c r="AV1942" s="845" t="s">
        <v>6296</v>
      </c>
      <c r="AW1942" s="861">
        <v>45986</v>
      </c>
      <c r="AX1942" s="862">
        <v>45987</v>
      </c>
      <c r="AY1942" s="843"/>
      <c r="AZ1942" s="842">
        <v>94031000</v>
      </c>
      <c r="BA1942" s="842" t="s">
        <v>120</v>
      </c>
      <c r="BB1942" s="863" t="s">
        <v>121</v>
      </c>
      <c r="BC1942" s="864">
        <v>45990</v>
      </c>
      <c r="BD1942" s="860" t="s">
        <v>6297</v>
      </c>
      <c r="BE1942" s="865" cm="1">
        <f t="array" ref="BE1942">IF(BD1942="","",AC1942/SUMPRODUCT(--(BD1942=$BD$4:$BD$12824),$AC$4:$AC$12824))</f>
        <v>1.5497612472489351E-3</v>
      </c>
      <c r="BF1942" s="458"/>
      <c r="BG1942" s="458"/>
      <c r="BH1942" s="458"/>
      <c r="BI1942" s="458"/>
      <c r="BJ1942" s="458"/>
      <c r="BK1942" s="458"/>
      <c r="BL1942" s="458"/>
      <c r="BM1942" s="458"/>
      <c r="BN1942" s="458"/>
      <c r="BO1942" s="866">
        <f>VLOOKUP(BD1942,$BD$4:$BN$12824,3,0)*BE1942</f>
        <v>59755.807303995491</v>
      </c>
      <c r="BP1942" s="866"/>
      <c r="BQ1942" s="866"/>
      <c r="BR1942" s="866">
        <f>VLOOKUP(BD1942,$BD$4:$BN$12824,6,0)*BE1942</f>
        <v>25457.959577768848</v>
      </c>
      <c r="BS1942" s="866">
        <f>VLOOKUP(BD1942,$BD$4:$BN$12824,7,0)*BE1942</f>
        <v>4837.0683120759577</v>
      </c>
      <c r="BT1942" s="866"/>
      <c r="BU1942" s="866">
        <f>VLOOKUP(BD1942,$BD$4:$BN$12824,9,0)*BE1942</f>
        <v>187.69933346055478</v>
      </c>
      <c r="BV1942" s="867"/>
      <c r="BW1942" s="867">
        <f>VLOOKUP(BD1942,$BD$4:$BN$12824,11,0)*BE1942</f>
        <v>0</v>
      </c>
      <c r="BX1942" s="1146">
        <f t="shared" si="377"/>
        <v>90238.534527300857</v>
      </c>
      <c r="BY1942" s="867">
        <f t="shared" si="379"/>
        <v>537567.90296989086</v>
      </c>
      <c r="BZ1942" s="867">
        <f t="shared" si="378"/>
        <v>5375679.0296989083</v>
      </c>
      <c r="CA1942" s="867">
        <f>_xlfn.MAXIFS($BY$4:$BY$12824,$S$4:$S$12824,$S1942)</f>
        <v>537567.90296989086</v>
      </c>
      <c r="CB1942" s="1032"/>
      <c r="CF1942" s="946">
        <f t="shared" si="370"/>
        <v>5129920</v>
      </c>
    </row>
    <row r="1943" spans="2:84">
      <c r="B1943" s="839" t="s">
        <v>98</v>
      </c>
      <c r="C1943" s="839" t="s">
        <v>273</v>
      </c>
      <c r="D1943" s="839" t="s">
        <v>6289</v>
      </c>
      <c r="E1943" s="839" t="s">
        <v>6290</v>
      </c>
      <c r="F1943" s="841">
        <v>45841</v>
      </c>
      <c r="G1943" s="868" t="s">
        <v>273</v>
      </c>
      <c r="H1943" s="842" t="s">
        <v>134</v>
      </c>
      <c r="I1943" s="883"/>
      <c r="J1943" s="841"/>
      <c r="K1943" s="841"/>
      <c r="L1943" s="843" t="s">
        <v>106</v>
      </c>
      <c r="M1943" s="844" t="s">
        <v>275</v>
      </c>
      <c r="N1943" s="841"/>
      <c r="O1943" s="884" t="s">
        <v>150</v>
      </c>
      <c r="P1943" s="842" t="s">
        <v>124</v>
      </c>
      <c r="Q1943" s="843"/>
      <c r="R1943" s="845" t="str">
        <f t="shared" si="372"/>
        <v>11214.26</v>
      </c>
      <c r="S1943" s="1127" t="s">
        <v>6435</v>
      </c>
      <c r="T1943" s="885" t="s">
        <v>6436</v>
      </c>
      <c r="U1943" s="886">
        <v>6</v>
      </c>
      <c r="V1943" s="842" t="s">
        <v>3</v>
      </c>
      <c r="W1943" s="846" t="s">
        <v>4462</v>
      </c>
      <c r="X1943" s="847">
        <f t="shared" si="368"/>
        <v>202.5</v>
      </c>
      <c r="Y1943" s="853" t="s">
        <v>4582</v>
      </c>
      <c r="Z1943" s="902">
        <v>16.030999999999999</v>
      </c>
      <c r="AA1943" s="849"/>
      <c r="AB1943" s="849">
        <f t="shared" si="373"/>
        <v>96.185999999999993</v>
      </c>
      <c r="AC1943" s="850">
        <f t="shared" si="374"/>
        <v>96.185999999999993</v>
      </c>
      <c r="AD1943" s="851">
        <f t="shared" si="369"/>
        <v>32000</v>
      </c>
      <c r="AE1943" s="852">
        <v>29936.21</v>
      </c>
      <c r="AF1943" s="853">
        <v>0.1</v>
      </c>
      <c r="AG1943" s="854">
        <f t="shared" si="375"/>
        <v>291820.00204296428</v>
      </c>
      <c r="AH1943" s="853">
        <v>0.08</v>
      </c>
      <c r="AI1943" s="855">
        <f t="shared" si="376"/>
        <v>253701.14376823712</v>
      </c>
      <c r="AJ1943" s="856" t="s">
        <v>6292</v>
      </c>
      <c r="AK1943" s="857">
        <v>45911</v>
      </c>
      <c r="AL1943" s="843" t="s">
        <v>6293</v>
      </c>
      <c r="AM1943" s="843" t="s">
        <v>6294</v>
      </c>
      <c r="AN1943" s="844" t="s">
        <v>3951</v>
      </c>
      <c r="AO1943" s="844" t="s">
        <v>141</v>
      </c>
      <c r="AP1943" s="841"/>
      <c r="AQ1943" s="841">
        <v>45929</v>
      </c>
      <c r="AR1943" s="841">
        <v>45987</v>
      </c>
      <c r="AS1943" s="842" t="s">
        <v>1284</v>
      </c>
      <c r="AT1943" s="842" t="s">
        <v>1743</v>
      </c>
      <c r="AU1943" s="842" t="s">
        <v>6295</v>
      </c>
      <c r="AV1943" s="845" t="s">
        <v>6296</v>
      </c>
      <c r="AW1943" s="861">
        <v>45986</v>
      </c>
      <c r="AX1943" s="862">
        <v>45987</v>
      </c>
      <c r="AY1943" s="843"/>
      <c r="AZ1943" s="842">
        <v>94031000</v>
      </c>
      <c r="BA1943" s="842" t="s">
        <v>120</v>
      </c>
      <c r="BB1943" s="863" t="s">
        <v>121</v>
      </c>
      <c r="BC1943" s="864">
        <v>45990</v>
      </c>
      <c r="BD1943" s="860" t="s">
        <v>6297</v>
      </c>
      <c r="BE1943" s="865" cm="1">
        <f t="array" ref="BE1943">IF(BD1943="","",AC1943/SUMPRODUCT(--(BD1943=$BD$4:$BD$12824),$AC$4:$AC$12824))</f>
        <v>9.2985674834936095E-4</v>
      </c>
      <c r="BF1943" s="458"/>
      <c r="BG1943" s="458"/>
      <c r="BH1943" s="458"/>
      <c r="BI1943" s="458"/>
      <c r="BJ1943" s="458"/>
      <c r="BK1943" s="458"/>
      <c r="BL1943" s="458"/>
      <c r="BM1943" s="458"/>
      <c r="BN1943" s="458"/>
      <c r="BO1943" s="866">
        <f>VLOOKUP(BD1943,$BD$4:$BN$12824,3,0)*BE1943</f>
        <v>35853.484382397291</v>
      </c>
      <c r="BP1943" s="866"/>
      <c r="BQ1943" s="866"/>
      <c r="BR1943" s="866">
        <f>VLOOKUP(BD1943,$BD$4:$BN$12824,6,0)*BE1943</f>
        <v>15274.775746661307</v>
      </c>
      <c r="BS1943" s="866">
        <f>VLOOKUP(BD1943,$BD$4:$BN$12824,7,0)*BE1943</f>
        <v>2902.2409872455746</v>
      </c>
      <c r="BT1943" s="866"/>
      <c r="BU1943" s="866">
        <f>VLOOKUP(BD1943,$BD$4:$BN$12824,9,0)*BE1943</f>
        <v>112.61960007633286</v>
      </c>
      <c r="BV1943" s="867"/>
      <c r="BW1943" s="867">
        <f>VLOOKUP(BD1943,$BD$4:$BN$12824,11,0)*BE1943</f>
        <v>0</v>
      </c>
      <c r="BX1943" s="1146">
        <f t="shared" si="377"/>
        <v>54143.120716380508</v>
      </c>
      <c r="BY1943" s="867">
        <f t="shared" si="379"/>
        <v>537567.90296989074</v>
      </c>
      <c r="BZ1943" s="867">
        <f t="shared" si="378"/>
        <v>3225407.4178193444</v>
      </c>
      <c r="CA1943" s="867">
        <f>_xlfn.MAXIFS($BY$4:$BY$12824,$S$4:$S$12824,$S1943)</f>
        <v>537567.90296989074</v>
      </c>
      <c r="CB1943" s="1032"/>
      <c r="CF1943" s="946">
        <f t="shared" si="370"/>
        <v>3077952</v>
      </c>
    </row>
    <row r="1944" spans="2:84">
      <c r="B1944" s="839" t="s">
        <v>98</v>
      </c>
      <c r="C1944" s="839" t="s">
        <v>273</v>
      </c>
      <c r="D1944" s="839" t="s">
        <v>6289</v>
      </c>
      <c r="E1944" s="839" t="s">
        <v>6290</v>
      </c>
      <c r="F1944" s="841">
        <v>45841</v>
      </c>
      <c r="G1944" s="868" t="s">
        <v>273</v>
      </c>
      <c r="H1944" s="842" t="s">
        <v>134</v>
      </c>
      <c r="I1944" s="883"/>
      <c r="J1944" s="841"/>
      <c r="K1944" s="841"/>
      <c r="L1944" s="843" t="s">
        <v>106</v>
      </c>
      <c r="M1944" s="844" t="s">
        <v>275</v>
      </c>
      <c r="N1944" s="841"/>
      <c r="O1944" s="884" t="s">
        <v>150</v>
      </c>
      <c r="P1944" s="842" t="s">
        <v>124</v>
      </c>
      <c r="Q1944" s="843"/>
      <c r="R1944" s="845" t="str">
        <f t="shared" si="372"/>
        <v>11209.26</v>
      </c>
      <c r="S1944" s="1127" t="s">
        <v>6437</v>
      </c>
      <c r="T1944" s="885" t="s">
        <v>6438</v>
      </c>
      <c r="U1944" s="886">
        <v>4</v>
      </c>
      <c r="V1944" s="842" t="s">
        <v>3</v>
      </c>
      <c r="W1944" s="846" t="s">
        <v>4462</v>
      </c>
      <c r="X1944" s="847">
        <f t="shared" si="368"/>
        <v>135</v>
      </c>
      <c r="Y1944" s="853" t="s">
        <v>4582</v>
      </c>
      <c r="Z1944" s="902">
        <v>16.030999999999999</v>
      </c>
      <c r="AA1944" s="849"/>
      <c r="AB1944" s="849">
        <f t="shared" si="373"/>
        <v>64.123999999999995</v>
      </c>
      <c r="AC1944" s="850">
        <f t="shared" si="374"/>
        <v>64.123999999999995</v>
      </c>
      <c r="AD1944" s="851">
        <f t="shared" si="369"/>
        <v>32000</v>
      </c>
      <c r="AE1944" s="852">
        <v>29936.21</v>
      </c>
      <c r="AF1944" s="853">
        <v>0.1</v>
      </c>
      <c r="AG1944" s="854">
        <f t="shared" si="375"/>
        <v>194546.66802864286</v>
      </c>
      <c r="AH1944" s="853">
        <v>0.08</v>
      </c>
      <c r="AI1944" s="855">
        <f t="shared" si="376"/>
        <v>169134.09584549139</v>
      </c>
      <c r="AJ1944" s="856" t="s">
        <v>6292</v>
      </c>
      <c r="AK1944" s="857">
        <v>45911</v>
      </c>
      <c r="AL1944" s="843" t="s">
        <v>6293</v>
      </c>
      <c r="AM1944" s="843" t="s">
        <v>6294</v>
      </c>
      <c r="AN1944" s="844" t="s">
        <v>3951</v>
      </c>
      <c r="AO1944" s="844" t="s">
        <v>141</v>
      </c>
      <c r="AP1944" s="841"/>
      <c r="AQ1944" s="841">
        <v>45929</v>
      </c>
      <c r="AR1944" s="841">
        <v>45987</v>
      </c>
      <c r="AS1944" s="842" t="s">
        <v>1284</v>
      </c>
      <c r="AT1944" s="842" t="s">
        <v>1743</v>
      </c>
      <c r="AU1944" s="842" t="s">
        <v>6295</v>
      </c>
      <c r="AV1944" s="845" t="s">
        <v>6296</v>
      </c>
      <c r="AW1944" s="861">
        <v>45986</v>
      </c>
      <c r="AX1944" s="862">
        <v>45987</v>
      </c>
      <c r="AY1944" s="843"/>
      <c r="AZ1944" s="842">
        <v>94031000</v>
      </c>
      <c r="BA1944" s="842" t="s">
        <v>120</v>
      </c>
      <c r="BB1944" s="863" t="s">
        <v>121</v>
      </c>
      <c r="BC1944" s="864">
        <v>45990</v>
      </c>
      <c r="BD1944" s="860" t="s">
        <v>6297</v>
      </c>
      <c r="BE1944" s="865" cm="1">
        <f t="array" ref="BE1944">IF(BD1944="","",AC1944/SUMPRODUCT(--(BD1944=$BD$4:$BD$12824),$AC$4:$AC$12824))</f>
        <v>6.19904498899574E-4</v>
      </c>
      <c r="BF1944" s="458"/>
      <c r="BG1944" s="458"/>
      <c r="BH1944" s="458"/>
      <c r="BI1944" s="458"/>
      <c r="BJ1944" s="458"/>
      <c r="BK1944" s="458"/>
      <c r="BL1944" s="458"/>
      <c r="BM1944" s="458"/>
      <c r="BN1944" s="458"/>
      <c r="BO1944" s="866">
        <f>VLOOKUP(BD1944,$BD$4:$BN$12824,3,0)*BE1944</f>
        <v>23902.322921598196</v>
      </c>
      <c r="BP1944" s="866"/>
      <c r="BQ1944" s="866"/>
      <c r="BR1944" s="866">
        <f>VLOOKUP(BD1944,$BD$4:$BN$12824,6,0)*BE1944</f>
        <v>10183.183831107539</v>
      </c>
      <c r="BS1944" s="866">
        <f>VLOOKUP(BD1944,$BD$4:$BN$12824,7,0)*BE1944</f>
        <v>1934.8273248303831</v>
      </c>
      <c r="BT1944" s="866"/>
      <c r="BU1944" s="866">
        <f>VLOOKUP(BD1944,$BD$4:$BN$12824,9,0)*BE1944</f>
        <v>75.07973338422191</v>
      </c>
      <c r="BV1944" s="867"/>
      <c r="BW1944" s="867">
        <f>VLOOKUP(BD1944,$BD$4:$BN$12824,11,0)*BE1944</f>
        <v>0</v>
      </c>
      <c r="BX1944" s="1146">
        <f t="shared" si="377"/>
        <v>36095.413810920334</v>
      </c>
      <c r="BY1944" s="867">
        <f t="shared" si="379"/>
        <v>537567.90296989074</v>
      </c>
      <c r="BZ1944" s="867">
        <f t="shared" si="378"/>
        <v>2150271.611879563</v>
      </c>
      <c r="CA1944" s="867">
        <f>_xlfn.MAXIFS($BY$4:$BY$12824,$S$4:$S$12824,$S1944)</f>
        <v>537567.90296989074</v>
      </c>
      <c r="CB1944" s="1032"/>
      <c r="CF1944" s="946">
        <f t="shared" si="370"/>
        <v>2051967.9999999998</v>
      </c>
    </row>
    <row r="1945" spans="2:84">
      <c r="B1945" s="839" t="s">
        <v>98</v>
      </c>
      <c r="C1945" s="839" t="s">
        <v>273</v>
      </c>
      <c r="D1945" s="839" t="s">
        <v>6289</v>
      </c>
      <c r="E1945" s="839" t="s">
        <v>6290</v>
      </c>
      <c r="F1945" s="841">
        <v>45841</v>
      </c>
      <c r="G1945" s="868" t="s">
        <v>273</v>
      </c>
      <c r="H1945" s="842" t="s">
        <v>134</v>
      </c>
      <c r="I1945" s="883"/>
      <c r="J1945" s="841"/>
      <c r="K1945" s="841"/>
      <c r="L1945" s="843" t="s">
        <v>106</v>
      </c>
      <c r="M1945" s="844" t="s">
        <v>275</v>
      </c>
      <c r="N1945" s="841"/>
      <c r="O1945" s="884" t="s">
        <v>150</v>
      </c>
      <c r="P1945" s="842" t="s">
        <v>124</v>
      </c>
      <c r="Q1945" s="843"/>
      <c r="R1945" s="845" t="str">
        <f t="shared" si="372"/>
        <v>11210.24</v>
      </c>
      <c r="S1945" s="1127" t="s">
        <v>6439</v>
      </c>
      <c r="T1945" s="885" t="s">
        <v>6440</v>
      </c>
      <c r="U1945" s="886">
        <v>7</v>
      </c>
      <c r="V1945" s="842" t="s">
        <v>3</v>
      </c>
      <c r="W1945" s="846" t="s">
        <v>6441</v>
      </c>
      <c r="X1945" s="847">
        <f t="shared" si="368"/>
        <v>210.07000000000002</v>
      </c>
      <c r="Y1945" s="853" t="s">
        <v>4582</v>
      </c>
      <c r="Z1945" s="902">
        <v>14.255000000000001</v>
      </c>
      <c r="AA1945" s="849"/>
      <c r="AB1945" s="849">
        <f t="shared" si="373"/>
        <v>99.785000000000011</v>
      </c>
      <c r="AC1945" s="850">
        <f t="shared" si="374"/>
        <v>99.785000000000011</v>
      </c>
      <c r="AD1945" s="851">
        <f t="shared" si="369"/>
        <v>32000</v>
      </c>
      <c r="AE1945" s="852">
        <v>29936.21</v>
      </c>
      <c r="AF1945" s="853">
        <v>0.1</v>
      </c>
      <c r="AG1945" s="854">
        <f t="shared" si="375"/>
        <v>302739.05665956787</v>
      </c>
      <c r="AH1945" s="853">
        <v>0.08</v>
      </c>
      <c r="AI1945" s="855">
        <f t="shared" si="376"/>
        <v>263193.90172076545</v>
      </c>
      <c r="AJ1945" s="856" t="s">
        <v>6292</v>
      </c>
      <c r="AK1945" s="857">
        <v>45911</v>
      </c>
      <c r="AL1945" s="843" t="s">
        <v>6293</v>
      </c>
      <c r="AM1945" s="843" t="s">
        <v>6294</v>
      </c>
      <c r="AN1945" s="844" t="s">
        <v>3951</v>
      </c>
      <c r="AO1945" s="844" t="s">
        <v>141</v>
      </c>
      <c r="AP1945" s="841"/>
      <c r="AQ1945" s="841">
        <v>45929</v>
      </c>
      <c r="AR1945" s="841">
        <v>45987</v>
      </c>
      <c r="AS1945" s="842" t="s">
        <v>1284</v>
      </c>
      <c r="AT1945" s="842" t="s">
        <v>1743</v>
      </c>
      <c r="AU1945" s="842" t="s">
        <v>6295</v>
      </c>
      <c r="AV1945" s="845" t="s">
        <v>6296</v>
      </c>
      <c r="AW1945" s="861">
        <v>45986</v>
      </c>
      <c r="AX1945" s="862">
        <v>45987</v>
      </c>
      <c r="AY1945" s="843"/>
      <c r="AZ1945" s="842">
        <v>94031000</v>
      </c>
      <c r="BA1945" s="842" t="s">
        <v>120</v>
      </c>
      <c r="BB1945" s="863" t="s">
        <v>121</v>
      </c>
      <c r="BC1945" s="864">
        <v>45990</v>
      </c>
      <c r="BD1945" s="860" t="s">
        <v>6297</v>
      </c>
      <c r="BE1945" s="865" cm="1">
        <f t="array" ref="BE1945">IF(BD1945="","",AC1945/SUMPRODUCT(--(BD1945=$BD$4:$BD$12824),$AC$4:$AC$12824))</f>
        <v>9.6464927987483624E-4</v>
      </c>
      <c r="BF1945" s="458"/>
      <c r="BG1945" s="458"/>
      <c r="BH1945" s="458"/>
      <c r="BI1945" s="458"/>
      <c r="BJ1945" s="458"/>
      <c r="BK1945" s="458"/>
      <c r="BL1945" s="458"/>
      <c r="BM1945" s="458"/>
      <c r="BN1945" s="458"/>
      <c r="BO1945" s="866">
        <f>VLOOKUP(BD1945,$BD$4:$BN$12824,3,0)*BE1945</f>
        <v>37195.017352811366</v>
      </c>
      <c r="BP1945" s="866"/>
      <c r="BQ1945" s="866"/>
      <c r="BR1945" s="866">
        <f>VLOOKUP(BD1945,$BD$4:$BN$12824,6,0)*BE1945</f>
        <v>15846.313370767042</v>
      </c>
      <c r="BS1945" s="866">
        <f>VLOOKUP(BD1945,$BD$4:$BN$12824,7,0)*BE1945</f>
        <v>3010.8343928669424</v>
      </c>
      <c r="BT1945" s="866"/>
      <c r="BU1945" s="866">
        <f>VLOOKUP(BD1945,$BD$4:$BN$12824,9,0)*BE1945</f>
        <v>116.83349753204079</v>
      </c>
      <c r="BV1945" s="867"/>
      <c r="BW1945" s="867">
        <f>VLOOKUP(BD1945,$BD$4:$BN$12824,11,0)*BE1945</f>
        <v>0</v>
      </c>
      <c r="BX1945" s="1146">
        <f t="shared" si="377"/>
        <v>56168.99861397739</v>
      </c>
      <c r="BY1945" s="867">
        <f t="shared" si="379"/>
        <v>478013.2528747922</v>
      </c>
      <c r="BZ1945" s="867">
        <f t="shared" si="378"/>
        <v>3346092.7701235455</v>
      </c>
      <c r="CA1945" s="867">
        <f>_xlfn.MAXIFS($BY$4:$BY$12824,$S$4:$S$12824,$S1945)</f>
        <v>478013.2528747922</v>
      </c>
      <c r="CB1945" s="1032"/>
      <c r="CF1945" s="946">
        <f t="shared" si="370"/>
        <v>3193120.0000000005</v>
      </c>
    </row>
    <row r="1946" spans="2:84">
      <c r="B1946" s="839" t="s">
        <v>98</v>
      </c>
      <c r="C1946" s="839" t="s">
        <v>273</v>
      </c>
      <c r="D1946" s="839" t="s">
        <v>6289</v>
      </c>
      <c r="E1946" s="839" t="s">
        <v>6290</v>
      </c>
      <c r="F1946" s="841">
        <v>45841</v>
      </c>
      <c r="G1946" s="868" t="s">
        <v>273</v>
      </c>
      <c r="H1946" s="842" t="s">
        <v>134</v>
      </c>
      <c r="I1946" s="883"/>
      <c r="J1946" s="841"/>
      <c r="K1946" s="841"/>
      <c r="L1946" s="843" t="s">
        <v>106</v>
      </c>
      <c r="M1946" s="844" t="s">
        <v>275</v>
      </c>
      <c r="N1946" s="841"/>
      <c r="O1946" s="884" t="s">
        <v>150</v>
      </c>
      <c r="P1946" s="842" t="s">
        <v>124</v>
      </c>
      <c r="Q1946" s="843"/>
      <c r="R1946" s="845" t="str">
        <f t="shared" si="372"/>
        <v>11210.25</v>
      </c>
      <c r="S1946" s="1127" t="s">
        <v>6442</v>
      </c>
      <c r="T1946" s="885" t="s">
        <v>6443</v>
      </c>
      <c r="U1946" s="886">
        <v>4</v>
      </c>
      <c r="V1946" s="842" t="s">
        <v>3</v>
      </c>
      <c r="W1946" s="846" t="s">
        <v>6441</v>
      </c>
      <c r="X1946" s="847">
        <f t="shared" si="368"/>
        <v>120.04</v>
      </c>
      <c r="Y1946" s="853" t="s">
        <v>4582</v>
      </c>
      <c r="Z1946" s="902">
        <v>14.255000000000001</v>
      </c>
      <c r="AA1946" s="849"/>
      <c r="AB1946" s="849">
        <f t="shared" si="373"/>
        <v>57.02</v>
      </c>
      <c r="AC1946" s="850">
        <f t="shared" si="374"/>
        <v>57.02</v>
      </c>
      <c r="AD1946" s="851">
        <f t="shared" si="369"/>
        <v>32000</v>
      </c>
      <c r="AE1946" s="852">
        <v>29936.21</v>
      </c>
      <c r="AF1946" s="853">
        <v>0.1</v>
      </c>
      <c r="AG1946" s="854">
        <f t="shared" si="375"/>
        <v>172993.74666261021</v>
      </c>
      <c r="AH1946" s="853">
        <v>0.08</v>
      </c>
      <c r="AI1946" s="855">
        <f t="shared" si="376"/>
        <v>150396.51526900881</v>
      </c>
      <c r="AJ1946" s="856" t="s">
        <v>6292</v>
      </c>
      <c r="AK1946" s="857">
        <v>45911</v>
      </c>
      <c r="AL1946" s="843" t="s">
        <v>6293</v>
      </c>
      <c r="AM1946" s="843" t="s">
        <v>6294</v>
      </c>
      <c r="AN1946" s="844" t="s">
        <v>3951</v>
      </c>
      <c r="AO1946" s="844" t="s">
        <v>141</v>
      </c>
      <c r="AP1946" s="841"/>
      <c r="AQ1946" s="841">
        <v>45929</v>
      </c>
      <c r="AR1946" s="841">
        <v>45987</v>
      </c>
      <c r="AS1946" s="842" t="s">
        <v>1284</v>
      </c>
      <c r="AT1946" s="842" t="s">
        <v>1743</v>
      </c>
      <c r="AU1946" s="842" t="s">
        <v>6295</v>
      </c>
      <c r="AV1946" s="845" t="s">
        <v>6296</v>
      </c>
      <c r="AW1946" s="861">
        <v>45986</v>
      </c>
      <c r="AX1946" s="862">
        <v>45987</v>
      </c>
      <c r="AY1946" s="843"/>
      <c r="AZ1946" s="842">
        <v>94031000</v>
      </c>
      <c r="BA1946" s="842" t="s">
        <v>120</v>
      </c>
      <c r="BB1946" s="863" t="s">
        <v>121</v>
      </c>
      <c r="BC1946" s="864">
        <v>45990</v>
      </c>
      <c r="BD1946" s="860" t="s">
        <v>6297</v>
      </c>
      <c r="BE1946" s="865" cm="1">
        <f t="array" ref="BE1946">IF(BD1946="","",AC1946/SUMPRODUCT(--(BD1946=$BD$4:$BD$12824),$AC$4:$AC$12824))</f>
        <v>5.5122815992847787E-4</v>
      </c>
      <c r="BF1946" s="458"/>
      <c r="BG1946" s="458"/>
      <c r="BH1946" s="458"/>
      <c r="BI1946" s="458"/>
      <c r="BJ1946" s="458"/>
      <c r="BK1946" s="458"/>
      <c r="BL1946" s="458"/>
      <c r="BM1946" s="458"/>
      <c r="BN1946" s="458"/>
      <c r="BO1946" s="866">
        <f>VLOOKUP(BD1946,$BD$4:$BN$12824,3,0)*BE1946</f>
        <v>21254.295630177923</v>
      </c>
      <c r="BP1946" s="866"/>
      <c r="BQ1946" s="866"/>
      <c r="BR1946" s="866">
        <f>VLOOKUP(BD1946,$BD$4:$BN$12824,6,0)*BE1946</f>
        <v>9055.0362118668818</v>
      </c>
      <c r="BS1946" s="866">
        <f>VLOOKUP(BD1946,$BD$4:$BN$12824,7,0)*BE1946</f>
        <v>1720.4767959239671</v>
      </c>
      <c r="BT1946" s="866"/>
      <c r="BU1946" s="866">
        <f>VLOOKUP(BD1946,$BD$4:$BN$12824,9,0)*BE1946</f>
        <v>66.761998589737601</v>
      </c>
      <c r="BV1946" s="867"/>
      <c r="BW1946" s="867">
        <f>VLOOKUP(BD1946,$BD$4:$BN$12824,11,0)*BE1946</f>
        <v>0</v>
      </c>
      <c r="BX1946" s="1146">
        <f t="shared" si="377"/>
        <v>32096.57063655851</v>
      </c>
      <c r="BY1946" s="867">
        <f t="shared" si="379"/>
        <v>478013.2528747922</v>
      </c>
      <c r="BZ1946" s="867">
        <f t="shared" si="378"/>
        <v>1912053.0114991688</v>
      </c>
      <c r="CA1946" s="867">
        <f>_xlfn.MAXIFS($BY$4:$BY$12824,$S$4:$S$12824,$S1946)</f>
        <v>478013.2528747922</v>
      </c>
      <c r="CB1946" s="1032"/>
      <c r="CF1946" s="946">
        <f t="shared" si="370"/>
        <v>1824640</v>
      </c>
    </row>
    <row r="1947" spans="2:84">
      <c r="B1947" s="839" t="s">
        <v>98</v>
      </c>
      <c r="C1947" s="839" t="s">
        <v>273</v>
      </c>
      <c r="D1947" s="839" t="s">
        <v>6289</v>
      </c>
      <c r="E1947" s="839" t="s">
        <v>6290</v>
      </c>
      <c r="F1947" s="841">
        <v>45841</v>
      </c>
      <c r="G1947" s="868" t="s">
        <v>273</v>
      </c>
      <c r="H1947" s="842" t="s">
        <v>134</v>
      </c>
      <c r="I1947" s="883"/>
      <c r="J1947" s="841"/>
      <c r="K1947" s="841"/>
      <c r="L1947" s="843" t="s">
        <v>106</v>
      </c>
      <c r="M1947" s="844" t="s">
        <v>275</v>
      </c>
      <c r="N1947" s="841"/>
      <c r="O1947" s="884" t="s">
        <v>150</v>
      </c>
      <c r="P1947" s="842" t="s">
        <v>124</v>
      </c>
      <c r="Q1947" s="843"/>
      <c r="R1947" s="845" t="str">
        <f t="shared" si="372"/>
        <v>11210.30</v>
      </c>
      <c r="S1947" s="1127" t="s">
        <v>6444</v>
      </c>
      <c r="T1947" s="885" t="s">
        <v>6445</v>
      </c>
      <c r="U1947" s="886">
        <v>1</v>
      </c>
      <c r="V1947" s="842" t="s">
        <v>3</v>
      </c>
      <c r="W1947" s="846" t="s">
        <v>6441</v>
      </c>
      <c r="X1947" s="847">
        <f t="shared" si="368"/>
        <v>30.01</v>
      </c>
      <c r="Y1947" s="853" t="s">
        <v>4582</v>
      </c>
      <c r="Z1947" s="902">
        <v>14.255000000000001</v>
      </c>
      <c r="AA1947" s="849"/>
      <c r="AB1947" s="849">
        <f t="shared" si="373"/>
        <v>14.255000000000001</v>
      </c>
      <c r="AC1947" s="850">
        <f t="shared" si="374"/>
        <v>14.255000000000001</v>
      </c>
      <c r="AD1947" s="851">
        <f t="shared" si="369"/>
        <v>32000</v>
      </c>
      <c r="AE1947" s="852">
        <v>29936.21</v>
      </c>
      <c r="AF1947" s="853">
        <v>0.1</v>
      </c>
      <c r="AG1947" s="854">
        <f t="shared" si="375"/>
        <v>43248.436665652553</v>
      </c>
      <c r="AH1947" s="853">
        <v>0.08</v>
      </c>
      <c r="AI1947" s="855">
        <f t="shared" si="376"/>
        <v>37599.128817252204</v>
      </c>
      <c r="AJ1947" s="856" t="s">
        <v>6292</v>
      </c>
      <c r="AK1947" s="857">
        <v>45911</v>
      </c>
      <c r="AL1947" s="843" t="s">
        <v>6293</v>
      </c>
      <c r="AM1947" s="843" t="s">
        <v>6294</v>
      </c>
      <c r="AN1947" s="844" t="s">
        <v>3951</v>
      </c>
      <c r="AO1947" s="844" t="s">
        <v>141</v>
      </c>
      <c r="AP1947" s="841"/>
      <c r="AQ1947" s="841">
        <v>45929</v>
      </c>
      <c r="AR1947" s="841">
        <v>45987</v>
      </c>
      <c r="AS1947" s="842" t="s">
        <v>1284</v>
      </c>
      <c r="AT1947" s="842" t="s">
        <v>1743</v>
      </c>
      <c r="AU1947" s="842" t="s">
        <v>6295</v>
      </c>
      <c r="AV1947" s="845" t="s">
        <v>6296</v>
      </c>
      <c r="AW1947" s="861">
        <v>45986</v>
      </c>
      <c r="AX1947" s="862">
        <v>45987</v>
      </c>
      <c r="AY1947" s="843"/>
      <c r="AZ1947" s="842">
        <v>94031000</v>
      </c>
      <c r="BA1947" s="842" t="s">
        <v>120</v>
      </c>
      <c r="BB1947" s="863" t="s">
        <v>121</v>
      </c>
      <c r="BC1947" s="864">
        <v>45990</v>
      </c>
      <c r="BD1947" s="860" t="s">
        <v>6297</v>
      </c>
      <c r="BE1947" s="865" cm="1">
        <f t="array" ref="BE1947">IF(BD1947="","",AC1947/SUMPRODUCT(--(BD1947=$BD$4:$BD$12824),$AC$4:$AC$12824))</f>
        <v>1.3780703998211947E-4</v>
      </c>
      <c r="BF1947" s="458"/>
      <c r="BG1947" s="458"/>
      <c r="BH1947" s="458"/>
      <c r="BI1947" s="458"/>
      <c r="BJ1947" s="458"/>
      <c r="BK1947" s="458"/>
      <c r="BL1947" s="458"/>
      <c r="BM1947" s="458"/>
      <c r="BN1947" s="458"/>
      <c r="BO1947" s="866">
        <f>VLOOKUP(BD1947,$BD$4:$BN$12824,3,0)*BE1947</f>
        <v>5313.5739075444808</v>
      </c>
      <c r="BP1947" s="866"/>
      <c r="BQ1947" s="866"/>
      <c r="BR1947" s="866">
        <f>VLOOKUP(BD1947,$BD$4:$BN$12824,6,0)*BE1947</f>
        <v>2263.7590529667204</v>
      </c>
      <c r="BS1947" s="866">
        <f>VLOOKUP(BD1947,$BD$4:$BN$12824,7,0)*BE1947</f>
        <v>430.11919898099177</v>
      </c>
      <c r="BT1947" s="866"/>
      <c r="BU1947" s="866">
        <f>VLOOKUP(BD1947,$BD$4:$BN$12824,9,0)*BE1947</f>
        <v>16.6904996474344</v>
      </c>
      <c r="BV1947" s="867"/>
      <c r="BW1947" s="867">
        <f>VLOOKUP(BD1947,$BD$4:$BN$12824,11,0)*BE1947</f>
        <v>0</v>
      </c>
      <c r="BX1947" s="1146">
        <f t="shared" si="377"/>
        <v>8024.1426591396275</v>
      </c>
      <c r="BY1947" s="867">
        <f t="shared" si="379"/>
        <v>478013.2528747922</v>
      </c>
      <c r="BZ1947" s="867">
        <f t="shared" si="378"/>
        <v>478013.2528747922</v>
      </c>
      <c r="CA1947" s="867">
        <f>_xlfn.MAXIFS($BY$4:$BY$12824,$S$4:$S$12824,$S1947)</f>
        <v>478013.2528747922</v>
      </c>
      <c r="CB1947" s="1032"/>
      <c r="CF1947" s="946">
        <f t="shared" si="370"/>
        <v>456160</v>
      </c>
    </row>
    <row r="1948" spans="2:84">
      <c r="B1948" s="839" t="s">
        <v>98</v>
      </c>
      <c r="C1948" s="839" t="s">
        <v>273</v>
      </c>
      <c r="D1948" s="839" t="s">
        <v>6289</v>
      </c>
      <c r="E1948" s="839" t="s">
        <v>6290</v>
      </c>
      <c r="F1948" s="841">
        <v>45841</v>
      </c>
      <c r="G1948" s="868" t="s">
        <v>273</v>
      </c>
      <c r="H1948" s="842" t="s">
        <v>134</v>
      </c>
      <c r="I1948" s="883"/>
      <c r="J1948" s="841"/>
      <c r="K1948" s="841"/>
      <c r="L1948" s="843" t="s">
        <v>106</v>
      </c>
      <c r="M1948" s="844" t="s">
        <v>275</v>
      </c>
      <c r="N1948" s="841"/>
      <c r="O1948" s="884" t="s">
        <v>150</v>
      </c>
      <c r="P1948" s="842" t="s">
        <v>124</v>
      </c>
      <c r="Q1948" s="843"/>
      <c r="R1948" s="845" t="str">
        <f t="shared" si="372"/>
        <v>16174.31</v>
      </c>
      <c r="S1948" s="1127" t="s">
        <v>6446</v>
      </c>
      <c r="T1948" s="885" t="s">
        <v>6447</v>
      </c>
      <c r="U1948" s="886">
        <v>1</v>
      </c>
      <c r="V1948" s="842" t="s">
        <v>3</v>
      </c>
      <c r="W1948" s="846" t="s">
        <v>6441</v>
      </c>
      <c r="X1948" s="847">
        <f t="shared" si="368"/>
        <v>30.01</v>
      </c>
      <c r="Y1948" s="853" t="s">
        <v>4582</v>
      </c>
      <c r="Z1948" s="902">
        <v>14.255000000000001</v>
      </c>
      <c r="AA1948" s="849"/>
      <c r="AB1948" s="849">
        <f t="shared" si="373"/>
        <v>14.255000000000001</v>
      </c>
      <c r="AC1948" s="850">
        <f t="shared" si="374"/>
        <v>14.255000000000001</v>
      </c>
      <c r="AD1948" s="851">
        <f t="shared" si="369"/>
        <v>32000</v>
      </c>
      <c r="AE1948" s="852">
        <v>29936.21</v>
      </c>
      <c r="AF1948" s="853">
        <v>0.1</v>
      </c>
      <c r="AG1948" s="854">
        <f t="shared" si="375"/>
        <v>43248.436665652553</v>
      </c>
      <c r="AH1948" s="853">
        <v>0.08</v>
      </c>
      <c r="AI1948" s="855">
        <f t="shared" si="376"/>
        <v>37599.128817252204</v>
      </c>
      <c r="AJ1948" s="856" t="s">
        <v>6292</v>
      </c>
      <c r="AK1948" s="857">
        <v>45911</v>
      </c>
      <c r="AL1948" s="843" t="s">
        <v>6293</v>
      </c>
      <c r="AM1948" s="843" t="s">
        <v>6294</v>
      </c>
      <c r="AN1948" s="844" t="s">
        <v>3951</v>
      </c>
      <c r="AO1948" s="844" t="s">
        <v>141</v>
      </c>
      <c r="AP1948" s="841"/>
      <c r="AQ1948" s="841">
        <v>45929</v>
      </c>
      <c r="AR1948" s="841">
        <v>45987</v>
      </c>
      <c r="AS1948" s="842" t="s">
        <v>1284</v>
      </c>
      <c r="AT1948" s="842" t="s">
        <v>1743</v>
      </c>
      <c r="AU1948" s="842" t="s">
        <v>6295</v>
      </c>
      <c r="AV1948" s="845" t="s">
        <v>6296</v>
      </c>
      <c r="AW1948" s="861">
        <v>45986</v>
      </c>
      <c r="AX1948" s="862">
        <v>45987</v>
      </c>
      <c r="AY1948" s="843"/>
      <c r="AZ1948" s="842">
        <v>94031000</v>
      </c>
      <c r="BA1948" s="842" t="s">
        <v>120</v>
      </c>
      <c r="BB1948" s="863" t="s">
        <v>121</v>
      </c>
      <c r="BC1948" s="864">
        <v>45990</v>
      </c>
      <c r="BD1948" s="860" t="s">
        <v>6297</v>
      </c>
      <c r="BE1948" s="865" cm="1">
        <f t="array" ref="BE1948">IF(BD1948="","",AC1948/SUMPRODUCT(--(BD1948=$BD$4:$BD$12824),$AC$4:$AC$12824))</f>
        <v>1.3780703998211947E-4</v>
      </c>
      <c r="BF1948" s="458"/>
      <c r="BG1948" s="458"/>
      <c r="BH1948" s="458"/>
      <c r="BI1948" s="458"/>
      <c r="BJ1948" s="458"/>
      <c r="BK1948" s="458"/>
      <c r="BL1948" s="458"/>
      <c r="BM1948" s="458"/>
      <c r="BN1948" s="458"/>
      <c r="BO1948" s="866">
        <f>VLOOKUP(BD1948,$BD$4:$BN$12824,3,0)*BE1948</f>
        <v>5313.5739075444808</v>
      </c>
      <c r="BP1948" s="866"/>
      <c r="BQ1948" s="866"/>
      <c r="BR1948" s="866">
        <f>VLOOKUP(BD1948,$BD$4:$BN$12824,6,0)*BE1948</f>
        <v>2263.7590529667204</v>
      </c>
      <c r="BS1948" s="866">
        <f>VLOOKUP(BD1948,$BD$4:$BN$12824,7,0)*BE1948</f>
        <v>430.11919898099177</v>
      </c>
      <c r="BT1948" s="866"/>
      <c r="BU1948" s="866">
        <f>VLOOKUP(BD1948,$BD$4:$BN$12824,9,0)*BE1948</f>
        <v>16.6904996474344</v>
      </c>
      <c r="BV1948" s="867"/>
      <c r="BW1948" s="867">
        <f>VLOOKUP(BD1948,$BD$4:$BN$12824,11,0)*BE1948</f>
        <v>0</v>
      </c>
      <c r="BX1948" s="1146">
        <f t="shared" si="377"/>
        <v>8024.1426591396275</v>
      </c>
      <c r="BY1948" s="867">
        <f t="shared" si="379"/>
        <v>478013.2528747922</v>
      </c>
      <c r="BZ1948" s="867">
        <f t="shared" si="378"/>
        <v>478013.2528747922</v>
      </c>
      <c r="CA1948" s="867">
        <f>_xlfn.MAXIFS($BY$4:$BY$12824,$S$4:$S$12824,$S1948)</f>
        <v>478013.2528747922</v>
      </c>
      <c r="CB1948" s="1032"/>
      <c r="CF1948" s="946">
        <f t="shared" si="370"/>
        <v>456160</v>
      </c>
    </row>
    <row r="1949" spans="2:84">
      <c r="B1949" s="839" t="s">
        <v>98</v>
      </c>
      <c r="C1949" s="839" t="s">
        <v>273</v>
      </c>
      <c r="D1949" s="839" t="s">
        <v>6289</v>
      </c>
      <c r="E1949" s="839" t="s">
        <v>6290</v>
      </c>
      <c r="F1949" s="841">
        <v>45841</v>
      </c>
      <c r="G1949" s="868" t="s">
        <v>273</v>
      </c>
      <c r="H1949" s="842" t="s">
        <v>134</v>
      </c>
      <c r="I1949" s="883"/>
      <c r="J1949" s="841"/>
      <c r="K1949" s="841"/>
      <c r="L1949" s="843" t="s">
        <v>106</v>
      </c>
      <c r="M1949" s="844" t="s">
        <v>275</v>
      </c>
      <c r="N1949" s="841"/>
      <c r="O1949" s="884" t="s">
        <v>150</v>
      </c>
      <c r="P1949" s="842" t="s">
        <v>124</v>
      </c>
      <c r="Q1949" s="843"/>
      <c r="R1949" s="845" t="str">
        <f t="shared" si="372"/>
        <v>11211.33</v>
      </c>
      <c r="S1949" s="1127" t="s">
        <v>6448</v>
      </c>
      <c r="T1949" s="885" t="s">
        <v>6449</v>
      </c>
      <c r="U1949" s="886">
        <v>2</v>
      </c>
      <c r="V1949" s="842" t="s">
        <v>3</v>
      </c>
      <c r="W1949" s="846" t="s">
        <v>4498</v>
      </c>
      <c r="X1949" s="847">
        <f t="shared" si="368"/>
        <v>58.4</v>
      </c>
      <c r="Y1949" s="853" t="s">
        <v>4582</v>
      </c>
      <c r="Z1949" s="902">
        <v>13.87</v>
      </c>
      <c r="AA1949" s="849"/>
      <c r="AB1949" s="849">
        <f t="shared" si="373"/>
        <v>27.74</v>
      </c>
      <c r="AC1949" s="850">
        <f t="shared" si="374"/>
        <v>27.74</v>
      </c>
      <c r="AD1949" s="851">
        <f t="shared" si="369"/>
        <v>32000</v>
      </c>
      <c r="AE1949" s="852">
        <v>29936.21</v>
      </c>
      <c r="AF1949" s="853">
        <v>0.1</v>
      </c>
      <c r="AG1949" s="854">
        <f t="shared" si="375"/>
        <v>84160.75995125933</v>
      </c>
      <c r="AH1949" s="853">
        <v>0.08</v>
      </c>
      <c r="AI1949" s="855">
        <f t="shared" si="376"/>
        <v>73167.298028100748</v>
      </c>
      <c r="AJ1949" s="856" t="s">
        <v>6292</v>
      </c>
      <c r="AK1949" s="857">
        <v>45911</v>
      </c>
      <c r="AL1949" s="843" t="s">
        <v>6293</v>
      </c>
      <c r="AM1949" s="843" t="s">
        <v>6294</v>
      </c>
      <c r="AN1949" s="844" t="s">
        <v>3951</v>
      </c>
      <c r="AO1949" s="844" t="s">
        <v>141</v>
      </c>
      <c r="AP1949" s="841"/>
      <c r="AQ1949" s="841">
        <v>45929</v>
      </c>
      <c r="AR1949" s="841">
        <v>45987</v>
      </c>
      <c r="AS1949" s="842" t="s">
        <v>1284</v>
      </c>
      <c r="AT1949" s="842" t="s">
        <v>1743</v>
      </c>
      <c r="AU1949" s="842" t="s">
        <v>6295</v>
      </c>
      <c r="AV1949" s="845" t="s">
        <v>6296</v>
      </c>
      <c r="AW1949" s="861">
        <v>45986</v>
      </c>
      <c r="AX1949" s="862">
        <v>45987</v>
      </c>
      <c r="AY1949" s="843"/>
      <c r="AZ1949" s="842">
        <v>94031000</v>
      </c>
      <c r="BA1949" s="842" t="s">
        <v>120</v>
      </c>
      <c r="BB1949" s="863" t="s">
        <v>121</v>
      </c>
      <c r="BC1949" s="864">
        <v>45990</v>
      </c>
      <c r="BD1949" s="860" t="s">
        <v>6297</v>
      </c>
      <c r="BE1949" s="865" cm="1">
        <f t="array" ref="BE1949">IF(BD1949="","",AC1949/SUMPRODUCT(--(BD1949=$BD$4:$BD$12824),$AC$4:$AC$12824))</f>
        <v>2.6817027633139204E-4</v>
      </c>
      <c r="BF1949" s="458"/>
      <c r="BG1949" s="458"/>
      <c r="BH1949" s="458"/>
      <c r="BI1949" s="458"/>
      <c r="BJ1949" s="458"/>
      <c r="BK1949" s="458"/>
      <c r="BL1949" s="458"/>
      <c r="BM1949" s="458"/>
      <c r="BN1949" s="458"/>
      <c r="BO1949" s="866">
        <f>VLOOKUP(BD1949,$BD$4:$BN$12824,3,0)*BE1949</f>
        <v>10340.129091215986</v>
      </c>
      <c r="BP1949" s="866"/>
      <c r="BQ1949" s="866"/>
      <c r="BR1949" s="866">
        <f>VLOOKUP(BD1949,$BD$4:$BN$12824,6,0)*BE1949</f>
        <v>4405.2385920236284</v>
      </c>
      <c r="BS1949" s="866">
        <f>VLOOKUP(BD1949,$BD$4:$BN$12824,7,0)*BE1949</f>
        <v>837.00502137725073</v>
      </c>
      <c r="BT1949" s="866"/>
      <c r="BU1949" s="866">
        <f>VLOOKUP(BD1949,$BD$4:$BN$12824,9,0)*BE1949</f>
        <v>32.479443017876548</v>
      </c>
      <c r="BV1949" s="867"/>
      <c r="BW1949" s="867">
        <f>VLOOKUP(BD1949,$BD$4:$BN$12824,11,0)*BE1949</f>
        <v>0</v>
      </c>
      <c r="BX1949" s="1146">
        <f t="shared" si="377"/>
        <v>15614.852147634741</v>
      </c>
      <c r="BY1949" s="867">
        <f t="shared" si="379"/>
        <v>465103.03874944703</v>
      </c>
      <c r="BZ1949" s="867">
        <f t="shared" si="378"/>
        <v>930206.07749889407</v>
      </c>
      <c r="CA1949" s="867">
        <f>_xlfn.MAXIFS($BY$4:$BY$12824,$S$4:$S$12824,$S1949)</f>
        <v>465103.03874944703</v>
      </c>
      <c r="CB1949" s="1032"/>
      <c r="CF1949" s="946">
        <f t="shared" si="370"/>
        <v>887680</v>
      </c>
    </row>
    <row r="1950" spans="2:84">
      <c r="B1950" s="839" t="s">
        <v>98</v>
      </c>
      <c r="C1950" s="839" t="s">
        <v>273</v>
      </c>
      <c r="D1950" s="839" t="s">
        <v>6289</v>
      </c>
      <c r="E1950" s="839" t="s">
        <v>6290</v>
      </c>
      <c r="F1950" s="841">
        <v>45841</v>
      </c>
      <c r="G1950" s="868" t="s">
        <v>273</v>
      </c>
      <c r="H1950" s="842" t="s">
        <v>134</v>
      </c>
      <c r="I1950" s="883"/>
      <c r="J1950" s="841"/>
      <c r="K1950" s="841"/>
      <c r="L1950" s="843" t="s">
        <v>106</v>
      </c>
      <c r="M1950" s="844" t="s">
        <v>275</v>
      </c>
      <c r="N1950" s="841"/>
      <c r="O1950" s="884" t="s">
        <v>150</v>
      </c>
      <c r="P1950" s="842" t="s">
        <v>124</v>
      </c>
      <c r="Q1950" s="843"/>
      <c r="R1950" s="845" t="str">
        <f t="shared" si="372"/>
        <v>11212.33</v>
      </c>
      <c r="S1950" s="1127" t="s">
        <v>6450</v>
      </c>
      <c r="T1950" s="885" t="s">
        <v>6451</v>
      </c>
      <c r="U1950" s="886">
        <v>2</v>
      </c>
      <c r="V1950" s="842" t="s">
        <v>3</v>
      </c>
      <c r="W1950" s="846" t="s">
        <v>4498</v>
      </c>
      <c r="X1950" s="847">
        <f t="shared" si="368"/>
        <v>58.4</v>
      </c>
      <c r="Y1950" s="853" t="s">
        <v>4582</v>
      </c>
      <c r="Z1950" s="902">
        <v>13.87</v>
      </c>
      <c r="AA1950" s="849"/>
      <c r="AB1950" s="849">
        <f t="shared" si="373"/>
        <v>27.74</v>
      </c>
      <c r="AC1950" s="850">
        <f t="shared" si="374"/>
        <v>27.74</v>
      </c>
      <c r="AD1950" s="851">
        <f t="shared" si="369"/>
        <v>32000</v>
      </c>
      <c r="AE1950" s="852">
        <v>29936.21</v>
      </c>
      <c r="AF1950" s="853">
        <v>0.1</v>
      </c>
      <c r="AG1950" s="854">
        <f t="shared" si="375"/>
        <v>84160.75995125933</v>
      </c>
      <c r="AH1950" s="853">
        <v>0.08</v>
      </c>
      <c r="AI1950" s="855">
        <f t="shared" si="376"/>
        <v>73167.298028100748</v>
      </c>
      <c r="AJ1950" s="856" t="s">
        <v>6292</v>
      </c>
      <c r="AK1950" s="857">
        <v>45911</v>
      </c>
      <c r="AL1950" s="843" t="s">
        <v>6293</v>
      </c>
      <c r="AM1950" s="843" t="s">
        <v>6294</v>
      </c>
      <c r="AN1950" s="844" t="s">
        <v>3951</v>
      </c>
      <c r="AO1950" s="844" t="s">
        <v>141</v>
      </c>
      <c r="AP1950" s="841"/>
      <c r="AQ1950" s="841">
        <v>45929</v>
      </c>
      <c r="AR1950" s="841">
        <v>45987</v>
      </c>
      <c r="AS1950" s="842" t="s">
        <v>1284</v>
      </c>
      <c r="AT1950" s="842" t="s">
        <v>1743</v>
      </c>
      <c r="AU1950" s="842" t="s">
        <v>6295</v>
      </c>
      <c r="AV1950" s="845" t="s">
        <v>6296</v>
      </c>
      <c r="AW1950" s="861">
        <v>45986</v>
      </c>
      <c r="AX1950" s="862">
        <v>45987</v>
      </c>
      <c r="AY1950" s="843"/>
      <c r="AZ1950" s="842">
        <v>94031000</v>
      </c>
      <c r="BA1950" s="842" t="s">
        <v>120</v>
      </c>
      <c r="BB1950" s="863" t="s">
        <v>121</v>
      </c>
      <c r="BC1950" s="864">
        <v>45990</v>
      </c>
      <c r="BD1950" s="860" t="s">
        <v>6297</v>
      </c>
      <c r="BE1950" s="865" cm="1">
        <f t="array" ref="BE1950">IF(BD1950="","",AC1950/SUMPRODUCT(--(BD1950=$BD$4:$BD$12824),$AC$4:$AC$12824))</f>
        <v>2.6817027633139204E-4</v>
      </c>
      <c r="BF1950" s="458"/>
      <c r="BG1950" s="458"/>
      <c r="BH1950" s="458"/>
      <c r="BI1950" s="458"/>
      <c r="BJ1950" s="458"/>
      <c r="BK1950" s="458"/>
      <c r="BL1950" s="458"/>
      <c r="BM1950" s="458"/>
      <c r="BN1950" s="458"/>
      <c r="BO1950" s="866">
        <f>VLOOKUP(BD1950,$BD$4:$BN$12824,3,0)*BE1950</f>
        <v>10340.129091215986</v>
      </c>
      <c r="BP1950" s="866"/>
      <c r="BQ1950" s="866"/>
      <c r="BR1950" s="866">
        <f>VLOOKUP(BD1950,$BD$4:$BN$12824,6,0)*BE1950</f>
        <v>4405.2385920236284</v>
      </c>
      <c r="BS1950" s="866">
        <f>VLOOKUP(BD1950,$BD$4:$BN$12824,7,0)*BE1950</f>
        <v>837.00502137725073</v>
      </c>
      <c r="BT1950" s="866"/>
      <c r="BU1950" s="866">
        <f>VLOOKUP(BD1950,$BD$4:$BN$12824,9,0)*BE1950</f>
        <v>32.479443017876548</v>
      </c>
      <c r="BV1950" s="867"/>
      <c r="BW1950" s="867">
        <f>VLOOKUP(BD1950,$BD$4:$BN$12824,11,0)*BE1950</f>
        <v>0</v>
      </c>
      <c r="BX1950" s="1146">
        <f t="shared" si="377"/>
        <v>15614.852147634741</v>
      </c>
      <c r="BY1950" s="867">
        <f t="shared" si="379"/>
        <v>465103.03874944703</v>
      </c>
      <c r="BZ1950" s="867">
        <f t="shared" si="378"/>
        <v>930206.07749889407</v>
      </c>
      <c r="CA1950" s="867">
        <f>_xlfn.MAXIFS($BY$4:$BY$12824,$S$4:$S$12824,$S1950)</f>
        <v>465103.03874944703</v>
      </c>
      <c r="CB1950" s="1032"/>
      <c r="CF1950" s="946">
        <f t="shared" si="370"/>
        <v>887680</v>
      </c>
    </row>
    <row r="1951" spans="2:84">
      <c r="B1951" s="839" t="s">
        <v>98</v>
      </c>
      <c r="C1951" s="839" t="s">
        <v>273</v>
      </c>
      <c r="D1951" s="839" t="s">
        <v>6289</v>
      </c>
      <c r="E1951" s="839" t="s">
        <v>6290</v>
      </c>
      <c r="F1951" s="841">
        <v>45841</v>
      </c>
      <c r="G1951" s="868" t="s">
        <v>273</v>
      </c>
      <c r="H1951" s="842" t="s">
        <v>134</v>
      </c>
      <c r="I1951" s="883"/>
      <c r="J1951" s="841"/>
      <c r="K1951" s="841"/>
      <c r="L1951" s="843" t="s">
        <v>106</v>
      </c>
      <c r="M1951" s="844" t="s">
        <v>275</v>
      </c>
      <c r="N1951" s="841"/>
      <c r="O1951" s="884" t="s">
        <v>150</v>
      </c>
      <c r="P1951" s="842" t="s">
        <v>124</v>
      </c>
      <c r="Q1951" s="843"/>
      <c r="R1951" s="845" t="str">
        <f t="shared" si="372"/>
        <v>11218.26</v>
      </c>
      <c r="S1951" s="1127" t="s">
        <v>6452</v>
      </c>
      <c r="T1951" s="885" t="s">
        <v>6453</v>
      </c>
      <c r="U1951" s="886">
        <v>4</v>
      </c>
      <c r="V1951" s="842" t="s">
        <v>3</v>
      </c>
      <c r="W1951" s="846" t="s">
        <v>4498</v>
      </c>
      <c r="X1951" s="847">
        <f t="shared" si="368"/>
        <v>116.8</v>
      </c>
      <c r="Y1951" s="853" t="s">
        <v>4582</v>
      </c>
      <c r="Z1951" s="902">
        <v>13.87</v>
      </c>
      <c r="AA1951" s="849"/>
      <c r="AB1951" s="849">
        <f t="shared" si="373"/>
        <v>55.48</v>
      </c>
      <c r="AC1951" s="850">
        <f t="shared" si="374"/>
        <v>55.48</v>
      </c>
      <c r="AD1951" s="851">
        <f t="shared" si="369"/>
        <v>32000</v>
      </c>
      <c r="AE1951" s="852">
        <v>29936.21</v>
      </c>
      <c r="AF1951" s="853">
        <v>0.1</v>
      </c>
      <c r="AG1951" s="854">
        <f t="shared" si="375"/>
        <v>168321.51990251866</v>
      </c>
      <c r="AH1951" s="853">
        <v>0.08</v>
      </c>
      <c r="AI1951" s="855">
        <f t="shared" si="376"/>
        <v>146334.5960562015</v>
      </c>
      <c r="AJ1951" s="856" t="s">
        <v>6292</v>
      </c>
      <c r="AK1951" s="857">
        <v>45911</v>
      </c>
      <c r="AL1951" s="843" t="s">
        <v>6293</v>
      </c>
      <c r="AM1951" s="843" t="s">
        <v>6294</v>
      </c>
      <c r="AN1951" s="844" t="s">
        <v>3951</v>
      </c>
      <c r="AO1951" s="844" t="s">
        <v>141</v>
      </c>
      <c r="AP1951" s="841"/>
      <c r="AQ1951" s="841">
        <v>45929</v>
      </c>
      <c r="AR1951" s="841">
        <v>45987</v>
      </c>
      <c r="AS1951" s="842" t="s">
        <v>1284</v>
      </c>
      <c r="AT1951" s="842" t="s">
        <v>1743</v>
      </c>
      <c r="AU1951" s="842" t="s">
        <v>6295</v>
      </c>
      <c r="AV1951" s="845" t="s">
        <v>6296</v>
      </c>
      <c r="AW1951" s="861">
        <v>45986</v>
      </c>
      <c r="AX1951" s="862">
        <v>45987</v>
      </c>
      <c r="AY1951" s="843"/>
      <c r="AZ1951" s="842">
        <v>94031000</v>
      </c>
      <c r="BA1951" s="842" t="s">
        <v>120</v>
      </c>
      <c r="BB1951" s="863" t="s">
        <v>121</v>
      </c>
      <c r="BC1951" s="864">
        <v>45990</v>
      </c>
      <c r="BD1951" s="860" t="s">
        <v>6297</v>
      </c>
      <c r="BE1951" s="865" cm="1">
        <f t="array" ref="BE1951">IF(BD1951="","",AC1951/SUMPRODUCT(--(BD1951=$BD$4:$BD$12824),$AC$4:$AC$12824))</f>
        <v>5.3634055266278409E-4</v>
      </c>
      <c r="BF1951" s="458"/>
      <c r="BG1951" s="458"/>
      <c r="BH1951" s="458"/>
      <c r="BI1951" s="458"/>
      <c r="BJ1951" s="458"/>
      <c r="BK1951" s="458"/>
      <c r="BL1951" s="458"/>
      <c r="BM1951" s="458"/>
      <c r="BN1951" s="458"/>
      <c r="BO1951" s="866">
        <f>VLOOKUP(BD1951,$BD$4:$BN$12824,3,0)*BE1951</f>
        <v>20680.258182431971</v>
      </c>
      <c r="BP1951" s="866"/>
      <c r="BQ1951" s="866"/>
      <c r="BR1951" s="866">
        <f>VLOOKUP(BD1951,$BD$4:$BN$12824,6,0)*BE1951</f>
        <v>8810.4771840472567</v>
      </c>
      <c r="BS1951" s="866">
        <f>VLOOKUP(BD1951,$BD$4:$BN$12824,7,0)*BE1951</f>
        <v>1674.0100427545015</v>
      </c>
      <c r="BT1951" s="866"/>
      <c r="BU1951" s="866">
        <f>VLOOKUP(BD1951,$BD$4:$BN$12824,9,0)*BE1951</f>
        <v>64.958886035753096</v>
      </c>
      <c r="BV1951" s="867"/>
      <c r="BW1951" s="867">
        <f>VLOOKUP(BD1951,$BD$4:$BN$12824,11,0)*BE1951</f>
        <v>0</v>
      </c>
      <c r="BX1951" s="1146">
        <f t="shared" si="377"/>
        <v>31229.704295269483</v>
      </c>
      <c r="BY1951" s="867">
        <f t="shared" si="379"/>
        <v>465103.03874944703</v>
      </c>
      <c r="BZ1951" s="867">
        <f t="shared" si="378"/>
        <v>1860412.1549977881</v>
      </c>
      <c r="CA1951" s="867">
        <f>_xlfn.MAXIFS($BY$4:$BY$12824,$S$4:$S$12824,$S1951)</f>
        <v>465103.03874944703</v>
      </c>
      <c r="CB1951" s="1032"/>
      <c r="CF1951" s="946">
        <f t="shared" si="370"/>
        <v>1775360</v>
      </c>
    </row>
    <row r="1952" spans="2:84">
      <c r="B1952" s="839" t="s">
        <v>98</v>
      </c>
      <c r="C1952" s="839" t="s">
        <v>273</v>
      </c>
      <c r="D1952" s="839" t="s">
        <v>6289</v>
      </c>
      <c r="E1952" s="839" t="s">
        <v>6290</v>
      </c>
      <c r="F1952" s="841">
        <v>45841</v>
      </c>
      <c r="G1952" s="868" t="s">
        <v>273</v>
      </c>
      <c r="H1952" s="842" t="s">
        <v>134</v>
      </c>
      <c r="I1952" s="883"/>
      <c r="J1952" s="841"/>
      <c r="K1952" s="841"/>
      <c r="L1952" s="843" t="s">
        <v>106</v>
      </c>
      <c r="M1952" s="844" t="s">
        <v>275</v>
      </c>
      <c r="N1952" s="841"/>
      <c r="O1952" s="884" t="s">
        <v>150</v>
      </c>
      <c r="P1952" s="842" t="s">
        <v>124</v>
      </c>
      <c r="Q1952" s="843"/>
      <c r="R1952" s="845" t="str">
        <f t="shared" si="372"/>
        <v>11217.36</v>
      </c>
      <c r="S1952" s="1127" t="s">
        <v>6454</v>
      </c>
      <c r="T1952" s="885" t="s">
        <v>6455</v>
      </c>
      <c r="U1952" s="886">
        <v>4</v>
      </c>
      <c r="V1952" s="842" t="s">
        <v>3</v>
      </c>
      <c r="W1952" s="846" t="s">
        <v>4498</v>
      </c>
      <c r="X1952" s="847">
        <f t="shared" ref="X1952:X2015" si="380">W1952*U1952</f>
        <v>116.8</v>
      </c>
      <c r="Y1952" s="853" t="s">
        <v>4582</v>
      </c>
      <c r="Z1952" s="902">
        <v>13.87</v>
      </c>
      <c r="AA1952" s="849"/>
      <c r="AB1952" s="849">
        <f t="shared" si="373"/>
        <v>55.48</v>
      </c>
      <c r="AC1952" s="850">
        <f t="shared" si="374"/>
        <v>55.48</v>
      </c>
      <c r="AD1952" s="851">
        <f t="shared" ref="AD1952:AD2015" si="381">IF(V1952=$AD$2,$AE$2,$AE$3)</f>
        <v>32000</v>
      </c>
      <c r="AE1952" s="852">
        <v>29936.21</v>
      </c>
      <c r="AF1952" s="853">
        <v>0.1</v>
      </c>
      <c r="AG1952" s="854">
        <f t="shared" si="375"/>
        <v>168321.51990251866</v>
      </c>
      <c r="AH1952" s="853">
        <v>0.08</v>
      </c>
      <c r="AI1952" s="855">
        <f t="shared" si="376"/>
        <v>146334.5960562015</v>
      </c>
      <c r="AJ1952" s="856" t="s">
        <v>6292</v>
      </c>
      <c r="AK1952" s="857">
        <v>45911</v>
      </c>
      <c r="AL1952" s="843" t="s">
        <v>6293</v>
      </c>
      <c r="AM1952" s="843" t="s">
        <v>6294</v>
      </c>
      <c r="AN1952" s="844" t="s">
        <v>3951</v>
      </c>
      <c r="AO1952" s="844" t="s">
        <v>141</v>
      </c>
      <c r="AP1952" s="841"/>
      <c r="AQ1952" s="841">
        <v>45929</v>
      </c>
      <c r="AR1952" s="841">
        <v>45987</v>
      </c>
      <c r="AS1952" s="842" t="s">
        <v>1284</v>
      </c>
      <c r="AT1952" s="842" t="s">
        <v>1743</v>
      </c>
      <c r="AU1952" s="842" t="s">
        <v>6295</v>
      </c>
      <c r="AV1952" s="845" t="s">
        <v>6296</v>
      </c>
      <c r="AW1952" s="861">
        <v>45986</v>
      </c>
      <c r="AX1952" s="862">
        <v>45987</v>
      </c>
      <c r="AY1952" s="843"/>
      <c r="AZ1952" s="842">
        <v>94031000</v>
      </c>
      <c r="BA1952" s="842" t="s">
        <v>120</v>
      </c>
      <c r="BB1952" s="863" t="s">
        <v>121</v>
      </c>
      <c r="BC1952" s="864">
        <v>45990</v>
      </c>
      <c r="BD1952" s="860" t="s">
        <v>6297</v>
      </c>
      <c r="BE1952" s="865" cm="1">
        <f t="array" ref="BE1952">IF(BD1952="","",AC1952/SUMPRODUCT(--(BD1952=$BD$4:$BD$12824),$AC$4:$AC$12824))</f>
        <v>5.3634055266278409E-4</v>
      </c>
      <c r="BF1952" s="458"/>
      <c r="BG1952" s="458"/>
      <c r="BH1952" s="458"/>
      <c r="BI1952" s="458"/>
      <c r="BJ1952" s="458"/>
      <c r="BK1952" s="458"/>
      <c r="BL1952" s="458"/>
      <c r="BM1952" s="458"/>
      <c r="BN1952" s="458"/>
      <c r="BO1952" s="866">
        <f>VLOOKUP(BD1952,$BD$4:$BN$12824,3,0)*BE1952</f>
        <v>20680.258182431971</v>
      </c>
      <c r="BP1952" s="866"/>
      <c r="BQ1952" s="866"/>
      <c r="BR1952" s="866">
        <f>VLOOKUP(BD1952,$BD$4:$BN$12824,6,0)*BE1952</f>
        <v>8810.4771840472567</v>
      </c>
      <c r="BS1952" s="866">
        <f>VLOOKUP(BD1952,$BD$4:$BN$12824,7,0)*BE1952</f>
        <v>1674.0100427545015</v>
      </c>
      <c r="BT1952" s="866"/>
      <c r="BU1952" s="866">
        <f>VLOOKUP(BD1952,$BD$4:$BN$12824,9,0)*BE1952</f>
        <v>64.958886035753096</v>
      </c>
      <c r="BV1952" s="867"/>
      <c r="BW1952" s="867">
        <f>VLOOKUP(BD1952,$BD$4:$BN$12824,11,0)*BE1952</f>
        <v>0</v>
      </c>
      <c r="BX1952" s="1146">
        <f t="shared" si="377"/>
        <v>31229.704295269483</v>
      </c>
      <c r="BY1952" s="867">
        <f t="shared" si="379"/>
        <v>465103.03874944703</v>
      </c>
      <c r="BZ1952" s="867">
        <f t="shared" si="378"/>
        <v>1860412.1549977881</v>
      </c>
      <c r="CA1952" s="867">
        <f>_xlfn.MAXIFS($BY$4:$BY$12824,$S$4:$S$12824,$S1952)</f>
        <v>465103.03874944703</v>
      </c>
      <c r="CB1952" s="1032"/>
      <c r="CF1952" s="946">
        <f t="shared" si="370"/>
        <v>1775360</v>
      </c>
    </row>
    <row r="1953" spans="2:84">
      <c r="B1953" s="839" t="s">
        <v>98</v>
      </c>
      <c r="C1953" s="839" t="s">
        <v>273</v>
      </c>
      <c r="D1953" s="839" t="s">
        <v>6289</v>
      </c>
      <c r="E1953" s="839" t="s">
        <v>6290</v>
      </c>
      <c r="F1953" s="841">
        <v>45841</v>
      </c>
      <c r="G1953" s="868" t="s">
        <v>273</v>
      </c>
      <c r="H1953" s="842" t="s">
        <v>134</v>
      </c>
      <c r="I1953" s="883"/>
      <c r="J1953" s="841"/>
      <c r="K1953" s="841"/>
      <c r="L1953" s="843" t="s">
        <v>106</v>
      </c>
      <c r="M1953" s="844" t="s">
        <v>275</v>
      </c>
      <c r="N1953" s="841"/>
      <c r="O1953" s="884" t="s">
        <v>150</v>
      </c>
      <c r="P1953" s="842" t="s">
        <v>124</v>
      </c>
      <c r="Q1953" s="843"/>
      <c r="R1953" s="845" t="str">
        <f t="shared" si="372"/>
        <v>16187.26</v>
      </c>
      <c r="S1953" s="1127" t="s">
        <v>6456</v>
      </c>
      <c r="T1953" s="885" t="s">
        <v>6457</v>
      </c>
      <c r="U1953" s="886">
        <v>5</v>
      </c>
      <c r="V1953" s="842" t="s">
        <v>3</v>
      </c>
      <c r="W1953" s="846" t="s">
        <v>6372</v>
      </c>
      <c r="X1953" s="847">
        <f t="shared" si="380"/>
        <v>143.75</v>
      </c>
      <c r="Y1953" s="853" t="s">
        <v>4582</v>
      </c>
      <c r="Z1953" s="902">
        <v>13.656000000000001</v>
      </c>
      <c r="AA1953" s="849"/>
      <c r="AB1953" s="849">
        <f t="shared" si="373"/>
        <v>68.28</v>
      </c>
      <c r="AC1953" s="850">
        <f t="shared" si="374"/>
        <v>68.28</v>
      </c>
      <c r="AD1953" s="851">
        <f t="shared" si="381"/>
        <v>32000</v>
      </c>
      <c r="AE1953" s="852">
        <v>29936.21</v>
      </c>
      <c r="AF1953" s="853">
        <v>0.1</v>
      </c>
      <c r="AG1953" s="854">
        <f t="shared" si="375"/>
        <v>207155.61245392886</v>
      </c>
      <c r="AH1953" s="853">
        <v>0.08</v>
      </c>
      <c r="AI1953" s="855">
        <f t="shared" si="376"/>
        <v>180096.00250031429</v>
      </c>
      <c r="AJ1953" s="856" t="s">
        <v>6292</v>
      </c>
      <c r="AK1953" s="857">
        <v>45911</v>
      </c>
      <c r="AL1953" s="843" t="s">
        <v>6293</v>
      </c>
      <c r="AM1953" s="843" t="s">
        <v>6294</v>
      </c>
      <c r="AN1953" s="844" t="s">
        <v>3951</v>
      </c>
      <c r="AO1953" s="844" t="s">
        <v>141</v>
      </c>
      <c r="AP1953" s="841"/>
      <c r="AQ1953" s="841">
        <v>45929</v>
      </c>
      <c r="AR1953" s="841">
        <v>45987</v>
      </c>
      <c r="AS1953" s="842" t="s">
        <v>1284</v>
      </c>
      <c r="AT1953" s="842" t="s">
        <v>1743</v>
      </c>
      <c r="AU1953" s="842" t="s">
        <v>6295</v>
      </c>
      <c r="AV1953" s="845" t="s">
        <v>6296</v>
      </c>
      <c r="AW1953" s="861">
        <v>45986</v>
      </c>
      <c r="AX1953" s="862">
        <v>45987</v>
      </c>
      <c r="AY1953" s="843"/>
      <c r="AZ1953" s="842">
        <v>94031000</v>
      </c>
      <c r="BA1953" s="842" t="s">
        <v>120</v>
      </c>
      <c r="BB1953" s="863" t="s">
        <v>121</v>
      </c>
      <c r="BC1953" s="864">
        <v>45990</v>
      </c>
      <c r="BD1953" s="860" t="s">
        <v>6297</v>
      </c>
      <c r="BE1953" s="865" cm="1">
        <f t="array" ref="BE1953">IF(BD1953="","",AC1953/SUMPRODUCT(--(BD1953=$BD$4:$BD$12824),$AC$4:$AC$12824))</f>
        <v>6.6008170396205659E-4</v>
      </c>
      <c r="BF1953" s="458"/>
      <c r="BG1953" s="458"/>
      <c r="BH1953" s="458"/>
      <c r="BI1953" s="458"/>
      <c r="BJ1953" s="458"/>
      <c r="BK1953" s="458"/>
      <c r="BL1953" s="458"/>
      <c r="BM1953" s="458"/>
      <c r="BN1953" s="458"/>
      <c r="BO1953" s="866">
        <f>VLOOKUP(BD1953,$BD$4:$BN$12824,3,0)*BE1953</f>
        <v>25451.478527333365</v>
      </c>
      <c r="BP1953" s="866"/>
      <c r="BQ1953" s="866"/>
      <c r="BR1953" s="866">
        <f>VLOOKUP(BD1953,$BD$4:$BN$12824,6,0)*BE1953</f>
        <v>10843.175597093486</v>
      </c>
      <c r="BS1953" s="866">
        <f>VLOOKUP(BD1953,$BD$4:$BN$12824,7,0)*BE1953</f>
        <v>2060.2272119552517</v>
      </c>
      <c r="BT1953" s="866"/>
      <c r="BU1953" s="866">
        <f>VLOOKUP(BD1953,$BD$4:$BN$12824,9,0)*BE1953</f>
        <v>79.945795575364485</v>
      </c>
      <c r="BV1953" s="867"/>
      <c r="BW1953" s="867">
        <f>VLOOKUP(BD1953,$BD$4:$BN$12824,11,0)*BE1953</f>
        <v>0</v>
      </c>
      <c r="BX1953" s="1146">
        <f t="shared" si="377"/>
        <v>38434.827131957471</v>
      </c>
      <c r="BY1953" s="867">
        <f t="shared" si="379"/>
        <v>457926.97167717724</v>
      </c>
      <c r="BZ1953" s="867">
        <f t="shared" si="378"/>
        <v>2289634.8583858861</v>
      </c>
      <c r="CA1953" s="867">
        <f>_xlfn.MAXIFS($BY$4:$BY$12824,$S$4:$S$12824,$S1953)</f>
        <v>457926.97167717724</v>
      </c>
      <c r="CB1953" s="1032"/>
      <c r="CF1953" s="946">
        <f t="shared" si="370"/>
        <v>2184960</v>
      </c>
    </row>
    <row r="1954" spans="2:84">
      <c r="B1954" s="839" t="s">
        <v>98</v>
      </c>
      <c r="C1954" s="839" t="s">
        <v>273</v>
      </c>
      <c r="D1954" s="839" t="s">
        <v>6289</v>
      </c>
      <c r="E1954" s="839" t="s">
        <v>6290</v>
      </c>
      <c r="F1954" s="841">
        <v>45841</v>
      </c>
      <c r="G1954" s="868" t="s">
        <v>273</v>
      </c>
      <c r="H1954" s="842" t="s">
        <v>134</v>
      </c>
      <c r="I1954" s="883"/>
      <c r="J1954" s="841"/>
      <c r="K1954" s="841"/>
      <c r="L1954" s="843" t="s">
        <v>106</v>
      </c>
      <c r="M1954" s="844" t="s">
        <v>275</v>
      </c>
      <c r="N1954" s="841"/>
      <c r="O1954" s="884" t="s">
        <v>150</v>
      </c>
      <c r="P1954" s="842" t="s">
        <v>124</v>
      </c>
      <c r="Q1954" s="843"/>
      <c r="R1954" s="845" t="str">
        <f t="shared" si="372"/>
        <v>16187.33</v>
      </c>
      <c r="S1954" s="1127" t="s">
        <v>6458</v>
      </c>
      <c r="T1954" s="885" t="s">
        <v>6459</v>
      </c>
      <c r="U1954" s="886">
        <v>2</v>
      </c>
      <c r="V1954" s="842" t="s">
        <v>3</v>
      </c>
      <c r="W1954" s="846" t="s">
        <v>6372</v>
      </c>
      <c r="X1954" s="847">
        <f t="shared" si="380"/>
        <v>57.5</v>
      </c>
      <c r="Y1954" s="853" t="s">
        <v>4582</v>
      </c>
      <c r="Z1954" s="902">
        <v>13.656000000000001</v>
      </c>
      <c r="AA1954" s="849"/>
      <c r="AB1954" s="849">
        <f t="shared" si="373"/>
        <v>27.312000000000001</v>
      </c>
      <c r="AC1954" s="850">
        <f t="shared" si="374"/>
        <v>27.312000000000001</v>
      </c>
      <c r="AD1954" s="851">
        <f t="shared" si="381"/>
        <v>32000</v>
      </c>
      <c r="AE1954" s="852">
        <v>29936.21</v>
      </c>
      <c r="AF1954" s="853">
        <v>0.1</v>
      </c>
      <c r="AG1954" s="854">
        <f t="shared" si="375"/>
        <v>82862.244981571552</v>
      </c>
      <c r="AH1954" s="853">
        <v>0.08</v>
      </c>
      <c r="AI1954" s="855">
        <f t="shared" si="376"/>
        <v>72038.401000125727</v>
      </c>
      <c r="AJ1954" s="856" t="s">
        <v>6292</v>
      </c>
      <c r="AK1954" s="857">
        <v>45911</v>
      </c>
      <c r="AL1954" s="843" t="s">
        <v>6293</v>
      </c>
      <c r="AM1954" s="843" t="s">
        <v>6294</v>
      </c>
      <c r="AN1954" s="844" t="s">
        <v>3951</v>
      </c>
      <c r="AO1954" s="844" t="s">
        <v>141</v>
      </c>
      <c r="AP1954" s="841"/>
      <c r="AQ1954" s="841">
        <v>45929</v>
      </c>
      <c r="AR1954" s="841">
        <v>45987</v>
      </c>
      <c r="AS1954" s="842" t="s">
        <v>1284</v>
      </c>
      <c r="AT1954" s="842" t="s">
        <v>1743</v>
      </c>
      <c r="AU1954" s="842" t="s">
        <v>6295</v>
      </c>
      <c r="AV1954" s="845" t="s">
        <v>6296</v>
      </c>
      <c r="AW1954" s="861">
        <v>45986</v>
      </c>
      <c r="AX1954" s="862">
        <v>45987</v>
      </c>
      <c r="AY1954" s="843"/>
      <c r="AZ1954" s="842">
        <v>94031000</v>
      </c>
      <c r="BA1954" s="842" t="s">
        <v>120</v>
      </c>
      <c r="BB1954" s="863" t="s">
        <v>121</v>
      </c>
      <c r="BC1954" s="864">
        <v>45990</v>
      </c>
      <c r="BD1954" s="860" t="s">
        <v>6297</v>
      </c>
      <c r="BE1954" s="865" cm="1">
        <f t="array" ref="BE1954">IF(BD1954="","",AC1954/SUMPRODUCT(--(BD1954=$BD$4:$BD$12824),$AC$4:$AC$12824))</f>
        <v>2.6403268158482263E-4</v>
      </c>
      <c r="BF1954" s="458"/>
      <c r="BG1954" s="458"/>
      <c r="BH1954" s="458"/>
      <c r="BI1954" s="458"/>
      <c r="BJ1954" s="458"/>
      <c r="BK1954" s="458"/>
      <c r="BL1954" s="458"/>
      <c r="BM1954" s="458"/>
      <c r="BN1954" s="458"/>
      <c r="BO1954" s="866">
        <f>VLOOKUP(BD1954,$BD$4:$BN$12824,3,0)*BE1954</f>
        <v>10180.591410933346</v>
      </c>
      <c r="BP1954" s="866"/>
      <c r="BQ1954" s="866"/>
      <c r="BR1954" s="866">
        <f>VLOOKUP(BD1954,$BD$4:$BN$12824,6,0)*BE1954</f>
        <v>4337.2702388373946</v>
      </c>
      <c r="BS1954" s="866">
        <f>VLOOKUP(BD1954,$BD$4:$BN$12824,7,0)*BE1954</f>
        <v>824.09088478210072</v>
      </c>
      <c r="BT1954" s="866"/>
      <c r="BU1954" s="866">
        <f>VLOOKUP(BD1954,$BD$4:$BN$12824,9,0)*BE1954</f>
        <v>31.978318230145792</v>
      </c>
      <c r="BV1954" s="867"/>
      <c r="BW1954" s="867">
        <f>VLOOKUP(BD1954,$BD$4:$BN$12824,11,0)*BE1954</f>
        <v>0</v>
      </c>
      <c r="BX1954" s="1146">
        <f t="shared" si="377"/>
        <v>15373.930852782987</v>
      </c>
      <c r="BY1954" s="867">
        <f t="shared" si="379"/>
        <v>457926.97167717729</v>
      </c>
      <c r="BZ1954" s="867">
        <f t="shared" si="378"/>
        <v>915853.94335435459</v>
      </c>
      <c r="CA1954" s="867">
        <f>_xlfn.MAXIFS($BY$4:$BY$12824,$S$4:$S$12824,$S1954)</f>
        <v>457926.97167717729</v>
      </c>
      <c r="CB1954" s="1032"/>
      <c r="CF1954" s="946">
        <f t="shared" si="370"/>
        <v>873984</v>
      </c>
    </row>
    <row r="1955" spans="2:84">
      <c r="B1955" s="839" t="s">
        <v>98</v>
      </c>
      <c r="C1955" s="839" t="s">
        <v>273</v>
      </c>
      <c r="D1955" s="839" t="s">
        <v>6289</v>
      </c>
      <c r="E1955" s="839" t="s">
        <v>6290</v>
      </c>
      <c r="F1955" s="841">
        <v>45841</v>
      </c>
      <c r="G1955" s="868" t="s">
        <v>273</v>
      </c>
      <c r="H1955" s="842" t="s">
        <v>134</v>
      </c>
      <c r="I1955" s="883"/>
      <c r="J1955" s="841"/>
      <c r="K1955" s="841"/>
      <c r="L1955" s="843" t="s">
        <v>106</v>
      </c>
      <c r="M1955" s="844" t="s">
        <v>275</v>
      </c>
      <c r="N1955" s="841"/>
      <c r="O1955" s="884" t="s">
        <v>150</v>
      </c>
      <c r="P1955" s="842" t="s">
        <v>124</v>
      </c>
      <c r="Q1955" s="843"/>
      <c r="R1955" s="845" t="str">
        <f t="shared" si="372"/>
        <v>16603.24</v>
      </c>
      <c r="S1955" s="1127" t="s">
        <v>6460</v>
      </c>
      <c r="T1955" s="885" t="s">
        <v>6461</v>
      </c>
      <c r="U1955" s="886">
        <v>2</v>
      </c>
      <c r="V1955" s="842" t="s">
        <v>3</v>
      </c>
      <c r="W1955" s="846" t="s">
        <v>6462</v>
      </c>
      <c r="X1955" s="847">
        <f t="shared" si="380"/>
        <v>54.2</v>
      </c>
      <c r="Y1955" s="853" t="s">
        <v>4582</v>
      </c>
      <c r="Z1955" s="902">
        <v>12.872999999999999</v>
      </c>
      <c r="AA1955" s="849"/>
      <c r="AB1955" s="849">
        <f t="shared" si="373"/>
        <v>25.745999999999999</v>
      </c>
      <c r="AC1955" s="850">
        <f t="shared" si="374"/>
        <v>25.745999999999999</v>
      </c>
      <c r="AD1955" s="851">
        <f t="shared" si="381"/>
        <v>32000</v>
      </c>
      <c r="AE1955" s="852">
        <v>29936.21</v>
      </c>
      <c r="AF1955" s="853">
        <v>0.1</v>
      </c>
      <c r="AG1955" s="854">
        <f t="shared" si="375"/>
        <v>78111.136470984944</v>
      </c>
      <c r="AH1955" s="853">
        <v>0.08</v>
      </c>
      <c r="AI1955" s="855">
        <f t="shared" si="376"/>
        <v>67907.903930478788</v>
      </c>
      <c r="AJ1955" s="856" t="s">
        <v>6292</v>
      </c>
      <c r="AK1955" s="857">
        <v>45911</v>
      </c>
      <c r="AL1955" s="843" t="s">
        <v>6293</v>
      </c>
      <c r="AM1955" s="843" t="s">
        <v>6294</v>
      </c>
      <c r="AN1955" s="844" t="s">
        <v>3951</v>
      </c>
      <c r="AO1955" s="844" t="s">
        <v>141</v>
      </c>
      <c r="AP1955" s="841"/>
      <c r="AQ1955" s="841">
        <v>45929</v>
      </c>
      <c r="AR1955" s="841">
        <v>45987</v>
      </c>
      <c r="AS1955" s="842" t="s">
        <v>1284</v>
      </c>
      <c r="AT1955" s="842" t="s">
        <v>1743</v>
      </c>
      <c r="AU1955" s="842" t="s">
        <v>6295</v>
      </c>
      <c r="AV1955" s="845" t="s">
        <v>6296</v>
      </c>
      <c r="AW1955" s="861">
        <v>45986</v>
      </c>
      <c r="AX1955" s="862">
        <v>45987</v>
      </c>
      <c r="AY1955" s="843"/>
      <c r="AZ1955" s="842">
        <v>94031000</v>
      </c>
      <c r="BA1955" s="842" t="s">
        <v>120</v>
      </c>
      <c r="BB1955" s="863" t="s">
        <v>121</v>
      </c>
      <c r="BC1955" s="864">
        <v>45990</v>
      </c>
      <c r="BD1955" s="860" t="s">
        <v>6297</v>
      </c>
      <c r="BE1955" s="865" cm="1">
        <f t="array" ref="BE1955">IF(BD1955="","",AC1955/SUMPRODUCT(--(BD1955=$BD$4:$BD$12824),$AC$4:$AC$12824))</f>
        <v>2.4889372510555224E-4</v>
      </c>
      <c r="BF1955" s="458"/>
      <c r="BG1955" s="458"/>
      <c r="BH1955" s="458"/>
      <c r="BI1955" s="458"/>
      <c r="BJ1955" s="458"/>
      <c r="BK1955" s="458"/>
      <c r="BL1955" s="458"/>
      <c r="BM1955" s="458"/>
      <c r="BN1955" s="458"/>
      <c r="BO1955" s="866">
        <f>VLOOKUP(BD1955,$BD$4:$BN$12824,3,0)*BE1955</f>
        <v>9596.8624218618152</v>
      </c>
      <c r="BP1955" s="866"/>
      <c r="BQ1955" s="866"/>
      <c r="BR1955" s="866">
        <f>VLOOKUP(BD1955,$BD$4:$BN$12824,6,0)*BE1955</f>
        <v>4088.5822923662695</v>
      </c>
      <c r="BS1955" s="866">
        <f>VLOOKUP(BD1955,$BD$4:$BN$12824,7,0)*BE1955</f>
        <v>776.83962798769642</v>
      </c>
      <c r="BT1955" s="866"/>
      <c r="BU1955" s="866">
        <f>VLOOKUP(BD1955,$BD$4:$BN$12824,9,0)*BE1955</f>
        <v>30.14476351615896</v>
      </c>
      <c r="BV1955" s="867"/>
      <c r="BW1955" s="867">
        <f>VLOOKUP(BD1955,$BD$4:$BN$12824,11,0)*BE1955</f>
        <v>0</v>
      </c>
      <c r="BX1955" s="1146">
        <f t="shared" si="377"/>
        <v>14492.429105731939</v>
      </c>
      <c r="BY1955" s="867">
        <f t="shared" si="379"/>
        <v>431670.61411835835</v>
      </c>
      <c r="BZ1955" s="867">
        <f t="shared" si="378"/>
        <v>863341.22823671671</v>
      </c>
      <c r="CA1955" s="867">
        <f>_xlfn.MAXIFS($BY$4:$BY$12824,$S$4:$S$12824,$S1955)</f>
        <v>431670.61411835835</v>
      </c>
      <c r="CB1955" s="1032"/>
      <c r="CF1955" s="946">
        <f t="shared" si="370"/>
        <v>823872</v>
      </c>
    </row>
    <row r="1956" spans="2:84">
      <c r="B1956" s="839" t="s">
        <v>98</v>
      </c>
      <c r="C1956" s="839" t="s">
        <v>273</v>
      </c>
      <c r="D1956" s="839" t="s">
        <v>6289</v>
      </c>
      <c r="E1956" s="839" t="s">
        <v>6290</v>
      </c>
      <c r="F1956" s="841">
        <v>45841</v>
      </c>
      <c r="G1956" s="868" t="s">
        <v>273</v>
      </c>
      <c r="H1956" s="842" t="s">
        <v>134</v>
      </c>
      <c r="I1956" s="883"/>
      <c r="J1956" s="841"/>
      <c r="K1956" s="841"/>
      <c r="L1956" s="843" t="s">
        <v>106</v>
      </c>
      <c r="M1956" s="844" t="s">
        <v>275</v>
      </c>
      <c r="N1956" s="841"/>
      <c r="O1956" s="884" t="s">
        <v>150</v>
      </c>
      <c r="P1956" s="842" t="s">
        <v>124</v>
      </c>
      <c r="Q1956" s="843"/>
      <c r="R1956" s="845" t="str">
        <f t="shared" si="372"/>
        <v>16603.36</v>
      </c>
      <c r="S1956" s="1127" t="s">
        <v>6463</v>
      </c>
      <c r="T1956" s="885" t="s">
        <v>6464</v>
      </c>
      <c r="U1956" s="886">
        <v>2</v>
      </c>
      <c r="V1956" s="842" t="s">
        <v>3</v>
      </c>
      <c r="W1956" s="846" t="s">
        <v>6462</v>
      </c>
      <c r="X1956" s="847">
        <f t="shared" si="380"/>
        <v>54.2</v>
      </c>
      <c r="Y1956" s="853" t="s">
        <v>4582</v>
      </c>
      <c r="Z1956" s="902">
        <v>12.872999999999999</v>
      </c>
      <c r="AA1956" s="849"/>
      <c r="AB1956" s="849">
        <f t="shared" si="373"/>
        <v>25.745999999999999</v>
      </c>
      <c r="AC1956" s="850">
        <f t="shared" si="374"/>
        <v>25.745999999999999</v>
      </c>
      <c r="AD1956" s="851">
        <f t="shared" si="381"/>
        <v>32000</v>
      </c>
      <c r="AE1956" s="852">
        <v>29936.21</v>
      </c>
      <c r="AF1956" s="853">
        <v>0.1</v>
      </c>
      <c r="AG1956" s="854">
        <f t="shared" si="375"/>
        <v>78111.136470984944</v>
      </c>
      <c r="AH1956" s="853">
        <v>0.08</v>
      </c>
      <c r="AI1956" s="855">
        <f t="shared" si="376"/>
        <v>67907.903930478788</v>
      </c>
      <c r="AJ1956" s="856" t="s">
        <v>6292</v>
      </c>
      <c r="AK1956" s="857">
        <v>45911</v>
      </c>
      <c r="AL1956" s="843" t="s">
        <v>6293</v>
      </c>
      <c r="AM1956" s="843" t="s">
        <v>6294</v>
      </c>
      <c r="AN1956" s="844" t="s">
        <v>3951</v>
      </c>
      <c r="AO1956" s="844" t="s">
        <v>141</v>
      </c>
      <c r="AP1956" s="841"/>
      <c r="AQ1956" s="841">
        <v>45929</v>
      </c>
      <c r="AR1956" s="841">
        <v>45987</v>
      </c>
      <c r="AS1956" s="842" t="s">
        <v>1284</v>
      </c>
      <c r="AT1956" s="842" t="s">
        <v>1743</v>
      </c>
      <c r="AU1956" s="842" t="s">
        <v>6295</v>
      </c>
      <c r="AV1956" s="845" t="s">
        <v>6296</v>
      </c>
      <c r="AW1956" s="861">
        <v>45986</v>
      </c>
      <c r="AX1956" s="862">
        <v>45987</v>
      </c>
      <c r="AY1956" s="843"/>
      <c r="AZ1956" s="842">
        <v>94031000</v>
      </c>
      <c r="BA1956" s="842" t="s">
        <v>120</v>
      </c>
      <c r="BB1956" s="863" t="s">
        <v>121</v>
      </c>
      <c r="BC1956" s="864">
        <v>45990</v>
      </c>
      <c r="BD1956" s="860" t="s">
        <v>6297</v>
      </c>
      <c r="BE1956" s="865" cm="1">
        <f t="array" ref="BE1956">IF(BD1956="","",AC1956/SUMPRODUCT(--(BD1956=$BD$4:$BD$12824),$AC$4:$AC$12824))</f>
        <v>2.4889372510555224E-4</v>
      </c>
      <c r="BF1956" s="458"/>
      <c r="BG1956" s="458"/>
      <c r="BH1956" s="458"/>
      <c r="BI1956" s="458"/>
      <c r="BJ1956" s="458"/>
      <c r="BK1956" s="458"/>
      <c r="BL1956" s="458"/>
      <c r="BM1956" s="458"/>
      <c r="BN1956" s="458"/>
      <c r="BO1956" s="866">
        <f>VLOOKUP(BD1956,$BD$4:$BN$12824,3,0)*BE1956</f>
        <v>9596.8624218618152</v>
      </c>
      <c r="BP1956" s="866"/>
      <c r="BQ1956" s="866"/>
      <c r="BR1956" s="866">
        <f>VLOOKUP(BD1956,$BD$4:$BN$12824,6,0)*BE1956</f>
        <v>4088.5822923662695</v>
      </c>
      <c r="BS1956" s="866">
        <f>VLOOKUP(BD1956,$BD$4:$BN$12824,7,0)*BE1956</f>
        <v>776.83962798769642</v>
      </c>
      <c r="BT1956" s="866"/>
      <c r="BU1956" s="866">
        <f>VLOOKUP(BD1956,$BD$4:$BN$12824,9,0)*BE1956</f>
        <v>30.14476351615896</v>
      </c>
      <c r="BV1956" s="867"/>
      <c r="BW1956" s="867">
        <f>VLOOKUP(BD1956,$BD$4:$BN$12824,11,0)*BE1956</f>
        <v>0</v>
      </c>
      <c r="BX1956" s="1146">
        <f t="shared" si="377"/>
        <v>14492.429105731939</v>
      </c>
      <c r="BY1956" s="867">
        <f t="shared" si="379"/>
        <v>431670.61411835835</v>
      </c>
      <c r="BZ1956" s="867">
        <f t="shared" si="378"/>
        <v>863341.22823671671</v>
      </c>
      <c r="CA1956" s="867">
        <f>_xlfn.MAXIFS($BY$4:$BY$12824,$S$4:$S$12824,$S1956)</f>
        <v>431670.61411835835</v>
      </c>
      <c r="CB1956" s="1032"/>
      <c r="CF1956" s="946">
        <f t="shared" si="370"/>
        <v>823872</v>
      </c>
    </row>
    <row r="1957" spans="2:84">
      <c r="B1957" s="839" t="s">
        <v>98</v>
      </c>
      <c r="C1957" s="839" t="s">
        <v>273</v>
      </c>
      <c r="D1957" s="839" t="s">
        <v>6289</v>
      </c>
      <c r="E1957" s="839" t="s">
        <v>6290</v>
      </c>
      <c r="F1957" s="841">
        <v>45841</v>
      </c>
      <c r="G1957" s="868" t="s">
        <v>273</v>
      </c>
      <c r="H1957" s="842" t="s">
        <v>134</v>
      </c>
      <c r="I1957" s="883"/>
      <c r="J1957" s="841"/>
      <c r="K1957" s="841"/>
      <c r="L1957" s="843" t="s">
        <v>106</v>
      </c>
      <c r="M1957" s="844" t="s">
        <v>275</v>
      </c>
      <c r="N1957" s="841"/>
      <c r="O1957" s="884" t="s">
        <v>150</v>
      </c>
      <c r="P1957" s="842" t="s">
        <v>124</v>
      </c>
      <c r="Q1957" s="843"/>
      <c r="R1957" s="845" t="str">
        <f t="shared" si="372"/>
        <v>16177.33</v>
      </c>
      <c r="S1957" s="1127" t="s">
        <v>6465</v>
      </c>
      <c r="T1957" s="885" t="s">
        <v>6466</v>
      </c>
      <c r="U1957" s="886">
        <v>2</v>
      </c>
      <c r="V1957" s="842" t="s">
        <v>3</v>
      </c>
      <c r="W1957" s="846" t="s">
        <v>6372</v>
      </c>
      <c r="X1957" s="847">
        <f t="shared" si="380"/>
        <v>57.5</v>
      </c>
      <c r="Y1957" s="853" t="s">
        <v>4582</v>
      </c>
      <c r="Z1957" s="902">
        <v>13.656000000000001</v>
      </c>
      <c r="AA1957" s="849"/>
      <c r="AB1957" s="849">
        <f t="shared" si="373"/>
        <v>27.312000000000001</v>
      </c>
      <c r="AC1957" s="850">
        <f t="shared" si="374"/>
        <v>27.312000000000001</v>
      </c>
      <c r="AD1957" s="851">
        <f t="shared" si="381"/>
        <v>32000</v>
      </c>
      <c r="AE1957" s="852">
        <v>29936.21</v>
      </c>
      <c r="AF1957" s="853">
        <v>0.1</v>
      </c>
      <c r="AG1957" s="854">
        <f t="shared" si="375"/>
        <v>82862.244981571552</v>
      </c>
      <c r="AH1957" s="853">
        <v>0.08</v>
      </c>
      <c r="AI1957" s="855">
        <f t="shared" si="376"/>
        <v>72038.401000125727</v>
      </c>
      <c r="AJ1957" s="856" t="s">
        <v>6292</v>
      </c>
      <c r="AK1957" s="857">
        <v>45911</v>
      </c>
      <c r="AL1957" s="843" t="s">
        <v>6293</v>
      </c>
      <c r="AM1957" s="843" t="s">
        <v>6294</v>
      </c>
      <c r="AN1957" s="844" t="s">
        <v>3951</v>
      </c>
      <c r="AO1957" s="844" t="s">
        <v>141</v>
      </c>
      <c r="AP1957" s="841"/>
      <c r="AQ1957" s="841">
        <v>45929</v>
      </c>
      <c r="AR1957" s="841">
        <v>45987</v>
      </c>
      <c r="AS1957" s="842" t="s">
        <v>1284</v>
      </c>
      <c r="AT1957" s="842" t="s">
        <v>1743</v>
      </c>
      <c r="AU1957" s="842" t="s">
        <v>6295</v>
      </c>
      <c r="AV1957" s="845" t="s">
        <v>6296</v>
      </c>
      <c r="AW1957" s="861">
        <v>45986</v>
      </c>
      <c r="AX1957" s="862">
        <v>45987</v>
      </c>
      <c r="AY1957" s="843"/>
      <c r="AZ1957" s="842">
        <v>94031000</v>
      </c>
      <c r="BA1957" s="842" t="s">
        <v>120</v>
      </c>
      <c r="BB1957" s="863" t="s">
        <v>121</v>
      </c>
      <c r="BC1957" s="864">
        <v>45990</v>
      </c>
      <c r="BD1957" s="860" t="s">
        <v>6297</v>
      </c>
      <c r="BE1957" s="865" cm="1">
        <f t="array" ref="BE1957">IF(BD1957="","",AC1957/SUMPRODUCT(--(BD1957=$BD$4:$BD$12824),$AC$4:$AC$12824))</f>
        <v>2.6403268158482263E-4</v>
      </c>
      <c r="BF1957" s="458"/>
      <c r="BG1957" s="458"/>
      <c r="BH1957" s="458"/>
      <c r="BI1957" s="458"/>
      <c r="BJ1957" s="458"/>
      <c r="BK1957" s="458"/>
      <c r="BL1957" s="458"/>
      <c r="BM1957" s="458"/>
      <c r="BN1957" s="458"/>
      <c r="BO1957" s="866">
        <f>VLOOKUP(BD1957,$BD$4:$BN$12824,3,0)*BE1957</f>
        <v>10180.591410933346</v>
      </c>
      <c r="BP1957" s="866"/>
      <c r="BQ1957" s="866"/>
      <c r="BR1957" s="866">
        <f>VLOOKUP(BD1957,$BD$4:$BN$12824,6,0)*BE1957</f>
        <v>4337.2702388373946</v>
      </c>
      <c r="BS1957" s="866">
        <f>VLOOKUP(BD1957,$BD$4:$BN$12824,7,0)*BE1957</f>
        <v>824.09088478210072</v>
      </c>
      <c r="BT1957" s="866"/>
      <c r="BU1957" s="866">
        <f>VLOOKUP(BD1957,$BD$4:$BN$12824,9,0)*BE1957</f>
        <v>31.978318230145792</v>
      </c>
      <c r="BV1957" s="867"/>
      <c r="BW1957" s="867">
        <f>VLOOKUP(BD1957,$BD$4:$BN$12824,11,0)*BE1957</f>
        <v>0</v>
      </c>
      <c r="BX1957" s="1146">
        <f t="shared" si="377"/>
        <v>15373.930852782987</v>
      </c>
      <c r="BY1957" s="867">
        <f t="shared" si="379"/>
        <v>457926.97167717729</v>
      </c>
      <c r="BZ1957" s="867">
        <f t="shared" si="378"/>
        <v>915853.94335435459</v>
      </c>
      <c r="CA1957" s="867">
        <f>_xlfn.MAXIFS($BY$4:$BY$12824,$S$4:$S$12824,$S1957)</f>
        <v>457926.97167717729</v>
      </c>
      <c r="CB1957" s="1032"/>
      <c r="CF1957" s="946">
        <f t="shared" si="370"/>
        <v>873984</v>
      </c>
    </row>
    <row r="1958" spans="2:84">
      <c r="B1958" s="839" t="s">
        <v>98</v>
      </c>
      <c r="C1958" s="839" t="s">
        <v>273</v>
      </c>
      <c r="D1958" s="839" t="s">
        <v>6289</v>
      </c>
      <c r="E1958" s="839" t="s">
        <v>6290</v>
      </c>
      <c r="F1958" s="841">
        <v>45841</v>
      </c>
      <c r="G1958" s="868" t="s">
        <v>273</v>
      </c>
      <c r="H1958" s="842" t="s">
        <v>134</v>
      </c>
      <c r="I1958" s="883"/>
      <c r="J1958" s="841"/>
      <c r="K1958" s="841"/>
      <c r="L1958" s="843" t="s">
        <v>106</v>
      </c>
      <c r="M1958" s="844" t="s">
        <v>275</v>
      </c>
      <c r="N1958" s="841"/>
      <c r="O1958" s="884" t="s">
        <v>150</v>
      </c>
      <c r="P1958" s="842" t="s">
        <v>124</v>
      </c>
      <c r="Q1958" s="843"/>
      <c r="R1958" s="845" t="str">
        <f t="shared" si="372"/>
        <v>16617.26</v>
      </c>
      <c r="S1958" s="1127" t="s">
        <v>6467</v>
      </c>
      <c r="T1958" s="885" t="s">
        <v>6468</v>
      </c>
      <c r="U1958" s="886">
        <v>2</v>
      </c>
      <c r="V1958" s="842" t="s">
        <v>3</v>
      </c>
      <c r="W1958" s="846" t="s">
        <v>6469</v>
      </c>
      <c r="X1958" s="847">
        <f t="shared" si="380"/>
        <v>54.54</v>
      </c>
      <c r="Y1958" s="853" t="s">
        <v>4582</v>
      </c>
      <c r="Z1958" s="902">
        <v>12.952999999999999</v>
      </c>
      <c r="AA1958" s="849"/>
      <c r="AB1958" s="849">
        <f t="shared" si="373"/>
        <v>25.905999999999999</v>
      </c>
      <c r="AC1958" s="850">
        <f t="shared" si="374"/>
        <v>25.905999999999999</v>
      </c>
      <c r="AD1958" s="851">
        <f t="shared" si="381"/>
        <v>32000</v>
      </c>
      <c r="AE1958" s="852">
        <v>29936.21</v>
      </c>
      <c r="AF1958" s="853">
        <v>0.1</v>
      </c>
      <c r="AG1958" s="854">
        <f t="shared" si="375"/>
        <v>78596.562627877574</v>
      </c>
      <c r="AH1958" s="853">
        <v>0.08</v>
      </c>
      <c r="AI1958" s="855">
        <f t="shared" si="376"/>
        <v>68329.921511030203</v>
      </c>
      <c r="AJ1958" s="856" t="s">
        <v>6292</v>
      </c>
      <c r="AK1958" s="857">
        <v>45911</v>
      </c>
      <c r="AL1958" s="843" t="s">
        <v>6293</v>
      </c>
      <c r="AM1958" s="843" t="s">
        <v>6294</v>
      </c>
      <c r="AN1958" s="844" t="s">
        <v>3951</v>
      </c>
      <c r="AO1958" s="844" t="s">
        <v>141</v>
      </c>
      <c r="AP1958" s="841"/>
      <c r="AQ1958" s="841">
        <v>45929</v>
      </c>
      <c r="AR1958" s="841">
        <v>45987</v>
      </c>
      <c r="AS1958" s="842" t="s">
        <v>1284</v>
      </c>
      <c r="AT1958" s="842" t="s">
        <v>1743</v>
      </c>
      <c r="AU1958" s="842" t="s">
        <v>6295</v>
      </c>
      <c r="AV1958" s="845" t="s">
        <v>6296</v>
      </c>
      <c r="AW1958" s="861">
        <v>45986</v>
      </c>
      <c r="AX1958" s="862">
        <v>45987</v>
      </c>
      <c r="AY1958" s="843"/>
      <c r="AZ1958" s="842">
        <v>94031000</v>
      </c>
      <c r="BA1958" s="842" t="s">
        <v>120</v>
      </c>
      <c r="BB1958" s="863" t="s">
        <v>121</v>
      </c>
      <c r="BC1958" s="864">
        <v>45990</v>
      </c>
      <c r="BD1958" s="860" t="s">
        <v>6297</v>
      </c>
      <c r="BE1958" s="865" cm="1">
        <f t="array" ref="BE1958">IF(BD1958="","",AC1958/SUMPRODUCT(--(BD1958=$BD$4:$BD$12824),$AC$4:$AC$12824))</f>
        <v>2.5044048949679314E-4</v>
      </c>
      <c r="BF1958" s="458"/>
      <c r="BG1958" s="458"/>
      <c r="BH1958" s="458"/>
      <c r="BI1958" s="458"/>
      <c r="BJ1958" s="458"/>
      <c r="BK1958" s="458"/>
      <c r="BL1958" s="458"/>
      <c r="BM1958" s="458"/>
      <c r="BN1958" s="458"/>
      <c r="BO1958" s="866">
        <f>VLOOKUP(BD1958,$BD$4:$BN$12824,3,0)*BE1958</f>
        <v>9656.5026761730824</v>
      </c>
      <c r="BP1958" s="866"/>
      <c r="BQ1958" s="866"/>
      <c r="BR1958" s="866">
        <f>VLOOKUP(BD1958,$BD$4:$BN$12824,6,0)*BE1958</f>
        <v>4113.991022529347</v>
      </c>
      <c r="BS1958" s="866">
        <f>VLOOKUP(BD1958,$BD$4:$BN$12824,7,0)*BE1958</f>
        <v>781.66734260270573</v>
      </c>
      <c r="BT1958" s="866"/>
      <c r="BU1958" s="866">
        <f>VLOOKUP(BD1958,$BD$4:$BN$12824,9,0)*BE1958</f>
        <v>30.332099885404102</v>
      </c>
      <c r="BV1958" s="867"/>
      <c r="BW1958" s="867">
        <f>VLOOKUP(BD1958,$BD$4:$BN$12824,11,0)*BE1958</f>
        <v>0</v>
      </c>
      <c r="BX1958" s="1146">
        <f t="shared" si="377"/>
        <v>14582.49314119054</v>
      </c>
      <c r="BY1958" s="867">
        <f t="shared" si="379"/>
        <v>434353.25601453398</v>
      </c>
      <c r="BZ1958" s="867">
        <f t="shared" si="378"/>
        <v>868706.51202906796</v>
      </c>
      <c r="CA1958" s="867">
        <f>_xlfn.MAXIFS($BY$4:$BY$12824,$S$4:$S$12824,$S1958)</f>
        <v>434353.25601453398</v>
      </c>
      <c r="CB1958" s="1032"/>
      <c r="CF1958" s="946">
        <f t="shared" si="370"/>
        <v>828992</v>
      </c>
    </row>
    <row r="1959" spans="2:84">
      <c r="B1959" s="839" t="s">
        <v>98</v>
      </c>
      <c r="C1959" s="839" t="s">
        <v>273</v>
      </c>
      <c r="D1959" s="839" t="s">
        <v>6289</v>
      </c>
      <c r="E1959" s="839" t="s">
        <v>6290</v>
      </c>
      <c r="F1959" s="841">
        <v>45841</v>
      </c>
      <c r="G1959" s="868" t="s">
        <v>273</v>
      </c>
      <c r="H1959" s="842" t="s">
        <v>134</v>
      </c>
      <c r="I1959" s="883"/>
      <c r="J1959" s="841"/>
      <c r="K1959" s="841"/>
      <c r="L1959" s="843" t="s">
        <v>106</v>
      </c>
      <c r="M1959" s="844" t="s">
        <v>275</v>
      </c>
      <c r="N1959" s="841"/>
      <c r="O1959" s="884" t="s">
        <v>150</v>
      </c>
      <c r="P1959" s="842" t="s">
        <v>124</v>
      </c>
      <c r="Q1959" s="843"/>
      <c r="R1959" s="845" t="str">
        <f t="shared" si="372"/>
        <v>14263.33</v>
      </c>
      <c r="S1959" s="1127" t="s">
        <v>6470</v>
      </c>
      <c r="T1959" s="885" t="s">
        <v>6471</v>
      </c>
      <c r="U1959" s="886">
        <v>3</v>
      </c>
      <c r="V1959" s="842" t="s">
        <v>3</v>
      </c>
      <c r="W1959" s="846" t="s">
        <v>4546</v>
      </c>
      <c r="X1959" s="847">
        <f t="shared" si="380"/>
        <v>251.28000000000003</v>
      </c>
      <c r="Y1959" s="853" t="s">
        <v>4582</v>
      </c>
      <c r="Z1959" s="902">
        <v>39.786000000000001</v>
      </c>
      <c r="AA1959" s="849"/>
      <c r="AB1959" s="849">
        <f t="shared" si="373"/>
        <v>119.358</v>
      </c>
      <c r="AC1959" s="850">
        <f t="shared" si="374"/>
        <v>119.358</v>
      </c>
      <c r="AD1959" s="851">
        <f t="shared" si="381"/>
        <v>32000</v>
      </c>
      <c r="AE1959" s="852">
        <v>29936.21</v>
      </c>
      <c r="AF1959" s="853">
        <v>0.1</v>
      </c>
      <c r="AG1959" s="854">
        <f t="shared" si="375"/>
        <v>362121.84521493909</v>
      </c>
      <c r="AH1959" s="853">
        <v>0.08</v>
      </c>
      <c r="AI1959" s="855">
        <f t="shared" si="376"/>
        <v>314819.83987159515</v>
      </c>
      <c r="AJ1959" s="856" t="s">
        <v>6292</v>
      </c>
      <c r="AK1959" s="857">
        <v>45911</v>
      </c>
      <c r="AL1959" s="843" t="s">
        <v>6293</v>
      </c>
      <c r="AM1959" s="843" t="s">
        <v>6294</v>
      </c>
      <c r="AN1959" s="844" t="s">
        <v>3951</v>
      </c>
      <c r="AO1959" s="844" t="s">
        <v>141</v>
      </c>
      <c r="AP1959" s="841"/>
      <c r="AQ1959" s="841">
        <v>45929</v>
      </c>
      <c r="AR1959" s="841">
        <v>45987</v>
      </c>
      <c r="AS1959" s="842" t="s">
        <v>1284</v>
      </c>
      <c r="AT1959" s="842" t="s">
        <v>1743</v>
      </c>
      <c r="AU1959" s="842" t="s">
        <v>6295</v>
      </c>
      <c r="AV1959" s="845" t="s">
        <v>6296</v>
      </c>
      <c r="AW1959" s="861">
        <v>45986</v>
      </c>
      <c r="AX1959" s="862">
        <v>45987</v>
      </c>
      <c r="AY1959" s="843"/>
      <c r="AZ1959" s="842">
        <v>94031000</v>
      </c>
      <c r="BA1959" s="842" t="s">
        <v>120</v>
      </c>
      <c r="BB1959" s="863" t="s">
        <v>121</v>
      </c>
      <c r="BC1959" s="864">
        <v>45990</v>
      </c>
      <c r="BD1959" s="860" t="s">
        <v>6297</v>
      </c>
      <c r="BE1959" s="865" cm="1">
        <f t="array" ref="BE1959">IF(BD1959="","",AC1959/SUMPRODUCT(--(BD1959=$BD$4:$BD$12824),$AC$4:$AC$12824))</f>
        <v>1.1538669013108254E-3</v>
      </c>
      <c r="BF1959" s="458"/>
      <c r="BG1959" s="458"/>
      <c r="BH1959" s="458"/>
      <c r="BI1959" s="458"/>
      <c r="BJ1959" s="458"/>
      <c r="BK1959" s="458"/>
      <c r="BL1959" s="458"/>
      <c r="BM1959" s="458"/>
      <c r="BN1959" s="458"/>
      <c r="BO1959" s="866">
        <f>VLOOKUP(BD1959,$BD$4:$BN$12824,3,0)*BE1959</f>
        <v>44490.884213026598</v>
      </c>
      <c r="BP1959" s="866"/>
      <c r="BQ1959" s="866"/>
      <c r="BR1959" s="866">
        <f>VLOOKUP(BD1959,$BD$4:$BN$12824,6,0)*BE1959</f>
        <v>18954.595092529064</v>
      </c>
      <c r="BS1959" s="866">
        <f>VLOOKUP(BD1959,$BD$4:$BN$12824,7,0)*BE1959</f>
        <v>3601.4147563643082</v>
      </c>
      <c r="BT1959" s="866"/>
      <c r="BU1959" s="866">
        <f>VLOOKUP(BD1959,$BD$4:$BN$12824,9,0)*BE1959</f>
        <v>139.75058975226062</v>
      </c>
      <c r="BV1959" s="867"/>
      <c r="BW1959" s="867">
        <f>VLOOKUP(BD1959,$BD$4:$BN$12824,11,0)*BE1959</f>
        <v>0</v>
      </c>
      <c r="BX1959" s="1146">
        <f t="shared" si="377"/>
        <v>67186.644651672235</v>
      </c>
      <c r="BY1959" s="867">
        <f t="shared" si="379"/>
        <v>1334144.8810155371</v>
      </c>
      <c r="BZ1959" s="867">
        <f t="shared" si="378"/>
        <v>4002434.643046611</v>
      </c>
      <c r="CA1959" s="867">
        <f>_xlfn.MAXIFS($BY$4:$BY$12824,$S$4:$S$12824,$S1959)</f>
        <v>1334144.8810155371</v>
      </c>
      <c r="CB1959" s="1032"/>
      <c r="CF1959" s="946">
        <f t="shared" si="370"/>
        <v>3819456</v>
      </c>
    </row>
    <row r="1960" spans="2:84">
      <c r="B1960" s="839" t="s">
        <v>98</v>
      </c>
      <c r="C1960" s="839" t="s">
        <v>273</v>
      </c>
      <c r="D1960" s="839" t="s">
        <v>6289</v>
      </c>
      <c r="E1960" s="839" t="s">
        <v>6290</v>
      </c>
      <c r="F1960" s="841">
        <v>45841</v>
      </c>
      <c r="G1960" s="868" t="s">
        <v>273</v>
      </c>
      <c r="H1960" s="842" t="s">
        <v>134</v>
      </c>
      <c r="I1960" s="883"/>
      <c r="J1960" s="841"/>
      <c r="K1960" s="841"/>
      <c r="L1960" s="843" t="s">
        <v>106</v>
      </c>
      <c r="M1960" s="844" t="s">
        <v>275</v>
      </c>
      <c r="N1960" s="841"/>
      <c r="O1960" s="884" t="s">
        <v>150</v>
      </c>
      <c r="P1960" s="842" t="s">
        <v>124</v>
      </c>
      <c r="Q1960" s="843"/>
      <c r="R1960" s="845" t="str">
        <f t="shared" si="372"/>
        <v>16192.31</v>
      </c>
      <c r="S1960" s="1127" t="s">
        <v>6472</v>
      </c>
      <c r="T1960" s="885" t="s">
        <v>6473</v>
      </c>
      <c r="U1960" s="886">
        <v>1</v>
      </c>
      <c r="V1960" s="842" t="s">
        <v>3</v>
      </c>
      <c r="W1960" s="846" t="s">
        <v>6474</v>
      </c>
      <c r="X1960" s="847">
        <f t="shared" si="380"/>
        <v>88.4</v>
      </c>
      <c r="Y1960" s="853" t="s">
        <v>4582</v>
      </c>
      <c r="Z1960" s="902">
        <v>41.99</v>
      </c>
      <c r="AA1960" s="849"/>
      <c r="AB1960" s="849">
        <f t="shared" si="373"/>
        <v>41.99</v>
      </c>
      <c r="AC1960" s="850">
        <f t="shared" si="374"/>
        <v>41.99</v>
      </c>
      <c r="AD1960" s="851">
        <f t="shared" si="381"/>
        <v>32000</v>
      </c>
      <c r="AE1960" s="852">
        <v>29936.21</v>
      </c>
      <c r="AF1960" s="853">
        <v>0.1</v>
      </c>
      <c r="AG1960" s="854">
        <f t="shared" si="375"/>
        <v>127394.02704950898</v>
      </c>
      <c r="AH1960" s="853">
        <v>0.08</v>
      </c>
      <c r="AI1960" s="855">
        <f t="shared" si="376"/>
        <v>110753.23879596071</v>
      </c>
      <c r="AJ1960" s="856" t="s">
        <v>6292</v>
      </c>
      <c r="AK1960" s="857">
        <v>45911</v>
      </c>
      <c r="AL1960" s="843" t="s">
        <v>6293</v>
      </c>
      <c r="AM1960" s="843" t="s">
        <v>6294</v>
      </c>
      <c r="AN1960" s="844" t="s">
        <v>3951</v>
      </c>
      <c r="AO1960" s="844" t="s">
        <v>141</v>
      </c>
      <c r="AP1960" s="841"/>
      <c r="AQ1960" s="841">
        <v>45929</v>
      </c>
      <c r="AR1960" s="841">
        <v>45987</v>
      </c>
      <c r="AS1960" s="842" t="s">
        <v>1284</v>
      </c>
      <c r="AT1960" s="842" t="s">
        <v>1743</v>
      </c>
      <c r="AU1960" s="842" t="s">
        <v>6295</v>
      </c>
      <c r="AV1960" s="845" t="s">
        <v>6296</v>
      </c>
      <c r="AW1960" s="861">
        <v>45986</v>
      </c>
      <c r="AX1960" s="862">
        <v>45987</v>
      </c>
      <c r="AY1960" s="843"/>
      <c r="AZ1960" s="842">
        <v>94031000</v>
      </c>
      <c r="BA1960" s="842" t="s">
        <v>120</v>
      </c>
      <c r="BB1960" s="863" t="s">
        <v>121</v>
      </c>
      <c r="BC1960" s="864">
        <v>45990</v>
      </c>
      <c r="BD1960" s="860" t="s">
        <v>6297</v>
      </c>
      <c r="BE1960" s="865" cm="1">
        <f t="array" ref="BE1960">IF(BD1960="","",AC1960/SUMPRODUCT(--(BD1960=$BD$4:$BD$12824),$AC$4:$AC$12824))</f>
        <v>4.0592897992628525E-4</v>
      </c>
      <c r="BF1960" s="458"/>
      <c r="BG1960" s="458"/>
      <c r="BH1960" s="458"/>
      <c r="BI1960" s="458"/>
      <c r="BJ1960" s="458"/>
      <c r="BK1960" s="458"/>
      <c r="BL1960" s="458"/>
      <c r="BM1960" s="458"/>
      <c r="BN1960" s="458"/>
      <c r="BO1960" s="866">
        <f>VLOOKUP(BD1960,$BD$4:$BN$12824,3,0)*BE1960</f>
        <v>15651.839240813242</v>
      </c>
      <c r="BP1960" s="866"/>
      <c r="BQ1960" s="866"/>
      <c r="BR1960" s="866">
        <f>VLOOKUP(BD1960,$BD$4:$BN$12824,6,0)*BE1960</f>
        <v>6668.2036221727521</v>
      </c>
      <c r="BS1960" s="866">
        <f>VLOOKUP(BD1960,$BD$4:$BN$12824,7,0)*BE1960</f>
        <v>1266.9733542765237</v>
      </c>
      <c r="BT1960" s="866"/>
      <c r="BU1960" s="866">
        <f>VLOOKUP(BD1960,$BD$4:$BN$12824,9,0)*BE1960</f>
        <v>49.164088403772041</v>
      </c>
      <c r="BV1960" s="867"/>
      <c r="BW1960" s="867">
        <f>VLOOKUP(BD1960,$BD$4:$BN$12824,11,0)*BE1960</f>
        <v>0</v>
      </c>
      <c r="BX1960" s="1146">
        <f t="shared" si="377"/>
        <v>23636.180305666294</v>
      </c>
      <c r="BY1960" s="867">
        <f t="shared" si="379"/>
        <v>1408051.6652551752</v>
      </c>
      <c r="BZ1960" s="867">
        <f t="shared" si="378"/>
        <v>1408051.6652551752</v>
      </c>
      <c r="CA1960" s="867">
        <f>_xlfn.MAXIFS($BY$4:$BY$12824,$S$4:$S$12824,$S1960)</f>
        <v>1942545.9886784237</v>
      </c>
      <c r="CB1960" s="1032"/>
      <c r="CF1960" s="946">
        <f t="shared" si="370"/>
        <v>1343680</v>
      </c>
    </row>
    <row r="1961" spans="2:84">
      <c r="B1961" s="839" t="s">
        <v>98</v>
      </c>
      <c r="C1961" s="839" t="s">
        <v>273</v>
      </c>
      <c r="D1961" s="839" t="s">
        <v>6289</v>
      </c>
      <c r="E1961" s="839" t="s">
        <v>6290</v>
      </c>
      <c r="F1961" s="841">
        <v>45841</v>
      </c>
      <c r="G1961" s="868" t="s">
        <v>273</v>
      </c>
      <c r="H1961" s="842" t="s">
        <v>134</v>
      </c>
      <c r="I1961" s="883"/>
      <c r="J1961" s="841"/>
      <c r="K1961" s="841"/>
      <c r="L1961" s="843" t="s">
        <v>106</v>
      </c>
      <c r="M1961" s="844" t="s">
        <v>275</v>
      </c>
      <c r="N1961" s="841"/>
      <c r="O1961" s="884" t="s">
        <v>150</v>
      </c>
      <c r="P1961" s="842" t="s">
        <v>124</v>
      </c>
      <c r="Q1961" s="843"/>
      <c r="R1961" s="845" t="str">
        <f t="shared" si="372"/>
        <v>14264.36</v>
      </c>
      <c r="S1961" s="1127" t="s">
        <v>6475</v>
      </c>
      <c r="T1961" s="885" t="s">
        <v>6476</v>
      </c>
      <c r="U1961" s="886">
        <v>2</v>
      </c>
      <c r="V1961" s="842" t="s">
        <v>3</v>
      </c>
      <c r="W1961" s="846" t="s">
        <v>4546</v>
      </c>
      <c r="X1961" s="847">
        <f t="shared" si="380"/>
        <v>167.52</v>
      </c>
      <c r="Y1961" s="853" t="s">
        <v>4582</v>
      </c>
      <c r="Z1961" s="902">
        <v>39.786000000000001</v>
      </c>
      <c r="AA1961" s="849"/>
      <c r="AB1961" s="849">
        <f t="shared" si="373"/>
        <v>79.572000000000003</v>
      </c>
      <c r="AC1961" s="850">
        <f t="shared" si="374"/>
        <v>79.572000000000003</v>
      </c>
      <c r="AD1961" s="851">
        <f t="shared" si="381"/>
        <v>32000</v>
      </c>
      <c r="AE1961" s="852">
        <v>29936.21</v>
      </c>
      <c r="AF1961" s="853">
        <v>0.1</v>
      </c>
      <c r="AG1961" s="854">
        <f t="shared" si="375"/>
        <v>241414.56347662606</v>
      </c>
      <c r="AH1961" s="853">
        <v>0.08</v>
      </c>
      <c r="AI1961" s="855">
        <f t="shared" si="376"/>
        <v>209879.89324773007</v>
      </c>
      <c r="AJ1961" s="856" t="s">
        <v>6292</v>
      </c>
      <c r="AK1961" s="857">
        <v>45911</v>
      </c>
      <c r="AL1961" s="843" t="s">
        <v>6293</v>
      </c>
      <c r="AM1961" s="843" t="s">
        <v>6294</v>
      </c>
      <c r="AN1961" s="844" t="s">
        <v>3951</v>
      </c>
      <c r="AO1961" s="844" t="s">
        <v>141</v>
      </c>
      <c r="AP1961" s="841"/>
      <c r="AQ1961" s="841">
        <v>45929</v>
      </c>
      <c r="AR1961" s="841">
        <v>45987</v>
      </c>
      <c r="AS1961" s="842" t="s">
        <v>1284</v>
      </c>
      <c r="AT1961" s="842" t="s">
        <v>1743</v>
      </c>
      <c r="AU1961" s="842" t="s">
        <v>6295</v>
      </c>
      <c r="AV1961" s="845" t="s">
        <v>6296</v>
      </c>
      <c r="AW1961" s="861">
        <v>45986</v>
      </c>
      <c r="AX1961" s="862">
        <v>45987</v>
      </c>
      <c r="AY1961" s="843"/>
      <c r="AZ1961" s="842">
        <v>94031000</v>
      </c>
      <c r="BA1961" s="842" t="s">
        <v>120</v>
      </c>
      <c r="BB1961" s="863" t="s">
        <v>121</v>
      </c>
      <c r="BC1961" s="864">
        <v>45990</v>
      </c>
      <c r="BD1961" s="860" t="s">
        <v>6297</v>
      </c>
      <c r="BE1961" s="865" cm="1">
        <f t="array" ref="BE1961">IF(BD1961="","",AC1961/SUMPRODUCT(--(BD1961=$BD$4:$BD$12824),$AC$4:$AC$12824))</f>
        <v>7.6924460087388351E-4</v>
      </c>
      <c r="BF1961" s="458"/>
      <c r="BG1961" s="458"/>
      <c r="BH1961" s="458"/>
      <c r="BI1961" s="458"/>
      <c r="BJ1961" s="458"/>
      <c r="BK1961" s="458"/>
      <c r="BL1961" s="458"/>
      <c r="BM1961" s="458"/>
      <c r="BN1961" s="458"/>
      <c r="BO1961" s="866">
        <f>VLOOKUP(BD1961,$BD$4:$BN$12824,3,0)*BE1961</f>
        <v>29660.589475351066</v>
      </c>
      <c r="BP1961" s="866"/>
      <c r="BQ1961" s="866"/>
      <c r="BR1961" s="866">
        <f>VLOOKUP(BD1961,$BD$4:$BN$12824,6,0)*BE1961</f>
        <v>12636.396728352709</v>
      </c>
      <c r="BS1961" s="866">
        <f>VLOOKUP(BD1961,$BD$4:$BN$12824,7,0)*BE1961</f>
        <v>2400.9431709095388</v>
      </c>
      <c r="BT1961" s="866"/>
      <c r="BU1961" s="866">
        <f>VLOOKUP(BD1961,$BD$4:$BN$12824,9,0)*BE1961</f>
        <v>93.167059834840401</v>
      </c>
      <c r="BV1961" s="867"/>
      <c r="BW1961" s="867">
        <f>VLOOKUP(BD1961,$BD$4:$BN$12824,11,0)*BE1961</f>
        <v>0</v>
      </c>
      <c r="BX1961" s="1146">
        <f t="shared" si="377"/>
        <v>44791.096434448154</v>
      </c>
      <c r="BY1961" s="867">
        <f t="shared" si="379"/>
        <v>1334144.8810155371</v>
      </c>
      <c r="BZ1961" s="867">
        <f t="shared" si="378"/>
        <v>2668289.7620310741</v>
      </c>
      <c r="CA1961" s="867">
        <f>_xlfn.MAXIFS($BY$4:$BY$12824,$S$4:$S$12824,$S1961)</f>
        <v>1334144.8810155371</v>
      </c>
      <c r="CB1961" s="1032"/>
      <c r="CF1961" s="946">
        <f t="shared" ref="CF1961:CF2024" si="382">AC1961*AD1961</f>
        <v>2546304</v>
      </c>
    </row>
    <row r="1962" spans="2:84">
      <c r="B1962" s="839" t="s">
        <v>98</v>
      </c>
      <c r="C1962" s="839" t="s">
        <v>273</v>
      </c>
      <c r="D1962" s="839" t="s">
        <v>6289</v>
      </c>
      <c r="E1962" s="839" t="s">
        <v>6290</v>
      </c>
      <c r="F1962" s="841">
        <v>45841</v>
      </c>
      <c r="G1962" s="868" t="s">
        <v>273</v>
      </c>
      <c r="H1962" s="842" t="s">
        <v>134</v>
      </c>
      <c r="I1962" s="883"/>
      <c r="J1962" s="841"/>
      <c r="K1962" s="841"/>
      <c r="L1962" s="843" t="s">
        <v>106</v>
      </c>
      <c r="M1962" s="844" t="s">
        <v>275</v>
      </c>
      <c r="N1962" s="841"/>
      <c r="O1962" s="884" t="s">
        <v>150</v>
      </c>
      <c r="P1962" s="842" t="s">
        <v>124</v>
      </c>
      <c r="Q1962" s="843"/>
      <c r="R1962" s="845" t="str">
        <f t="shared" si="372"/>
        <v>16853.26</v>
      </c>
      <c r="S1962" s="1127" t="s">
        <v>6477</v>
      </c>
      <c r="T1962" s="885" t="s">
        <v>6478</v>
      </c>
      <c r="U1962" s="886">
        <v>1</v>
      </c>
      <c r="V1962" s="842" t="s">
        <v>3</v>
      </c>
      <c r="W1962" s="846" t="s">
        <v>4546</v>
      </c>
      <c r="X1962" s="847">
        <f t="shared" si="380"/>
        <v>83.76</v>
      </c>
      <c r="Y1962" s="853" t="s">
        <v>4582</v>
      </c>
      <c r="Z1962" s="902">
        <v>39.786000000000001</v>
      </c>
      <c r="AA1962" s="849"/>
      <c r="AB1962" s="849">
        <f t="shared" si="373"/>
        <v>39.786000000000001</v>
      </c>
      <c r="AC1962" s="850">
        <f t="shared" si="374"/>
        <v>39.786000000000001</v>
      </c>
      <c r="AD1962" s="851">
        <f t="shared" si="381"/>
        <v>32000</v>
      </c>
      <c r="AE1962" s="852">
        <v>29936.21</v>
      </c>
      <c r="AF1962" s="853">
        <v>0.1</v>
      </c>
      <c r="AG1962" s="854">
        <f t="shared" si="375"/>
        <v>120707.28173831303</v>
      </c>
      <c r="AH1962" s="853">
        <v>0.08</v>
      </c>
      <c r="AI1962" s="855">
        <f t="shared" si="376"/>
        <v>104939.94662386503</v>
      </c>
      <c r="AJ1962" s="856" t="s">
        <v>6292</v>
      </c>
      <c r="AK1962" s="857">
        <v>45911</v>
      </c>
      <c r="AL1962" s="843" t="s">
        <v>6293</v>
      </c>
      <c r="AM1962" s="843" t="s">
        <v>6294</v>
      </c>
      <c r="AN1962" s="844" t="s">
        <v>3951</v>
      </c>
      <c r="AO1962" s="844" t="s">
        <v>141</v>
      </c>
      <c r="AP1962" s="841"/>
      <c r="AQ1962" s="841">
        <v>45929</v>
      </c>
      <c r="AR1962" s="841">
        <v>45987</v>
      </c>
      <c r="AS1962" s="842" t="s">
        <v>1284</v>
      </c>
      <c r="AT1962" s="842" t="s">
        <v>1743</v>
      </c>
      <c r="AU1962" s="842" t="s">
        <v>6295</v>
      </c>
      <c r="AV1962" s="845" t="s">
        <v>6296</v>
      </c>
      <c r="AW1962" s="861">
        <v>45986</v>
      </c>
      <c r="AX1962" s="862">
        <v>45987</v>
      </c>
      <c r="AY1962" s="843"/>
      <c r="AZ1962" s="842">
        <v>94031000</v>
      </c>
      <c r="BA1962" s="842" t="s">
        <v>120</v>
      </c>
      <c r="BB1962" s="863" t="s">
        <v>121</v>
      </c>
      <c r="BC1962" s="864">
        <v>45990</v>
      </c>
      <c r="BD1962" s="860" t="s">
        <v>6297</v>
      </c>
      <c r="BE1962" s="865" cm="1">
        <f t="array" ref="BE1962">IF(BD1962="","",AC1962/SUMPRODUCT(--(BD1962=$BD$4:$BD$12824),$AC$4:$AC$12824))</f>
        <v>3.8462230043694175E-4</v>
      </c>
      <c r="BF1962" s="458"/>
      <c r="BG1962" s="458"/>
      <c r="BH1962" s="458"/>
      <c r="BI1962" s="458"/>
      <c r="BJ1962" s="458"/>
      <c r="BK1962" s="458"/>
      <c r="BL1962" s="458"/>
      <c r="BM1962" s="458"/>
      <c r="BN1962" s="458"/>
      <c r="BO1962" s="866">
        <f>VLOOKUP(BD1962,$BD$4:$BN$12824,3,0)*BE1962</f>
        <v>14830.294737675533</v>
      </c>
      <c r="BP1962" s="866"/>
      <c r="BQ1962" s="866"/>
      <c r="BR1962" s="866">
        <f>VLOOKUP(BD1962,$BD$4:$BN$12824,6,0)*BE1962</f>
        <v>6318.1983641763545</v>
      </c>
      <c r="BS1962" s="866">
        <f>VLOOKUP(BD1962,$BD$4:$BN$12824,7,0)*BE1962</f>
        <v>1200.4715854547694</v>
      </c>
      <c r="BT1962" s="866"/>
      <c r="BU1962" s="866">
        <f>VLOOKUP(BD1962,$BD$4:$BN$12824,9,0)*BE1962</f>
        <v>46.583529917420201</v>
      </c>
      <c r="BV1962" s="867"/>
      <c r="BW1962" s="867">
        <f>VLOOKUP(BD1962,$BD$4:$BN$12824,11,0)*BE1962</f>
        <v>0</v>
      </c>
      <c r="BX1962" s="1146">
        <f t="shared" si="377"/>
        <v>22395.548217224077</v>
      </c>
      <c r="BY1962" s="867">
        <f t="shared" si="379"/>
        <v>1334144.8810155371</v>
      </c>
      <c r="BZ1962" s="867">
        <f t="shared" si="378"/>
        <v>1334144.8810155371</v>
      </c>
      <c r="CA1962" s="867">
        <f>_xlfn.MAXIFS($BY$4:$BY$12824,$S$4:$S$12824,$S1962)</f>
        <v>1334144.8810155371</v>
      </c>
      <c r="CB1962" s="1032"/>
      <c r="CF1962" s="946">
        <f t="shared" si="382"/>
        <v>1273152</v>
      </c>
    </row>
    <row r="1963" spans="2:84">
      <c r="B1963" s="839" t="s">
        <v>98</v>
      </c>
      <c r="C1963" s="839" t="s">
        <v>273</v>
      </c>
      <c r="D1963" s="839" t="s">
        <v>6289</v>
      </c>
      <c r="E1963" s="839" t="s">
        <v>6290</v>
      </c>
      <c r="F1963" s="841">
        <v>45841</v>
      </c>
      <c r="G1963" s="868" t="s">
        <v>273</v>
      </c>
      <c r="H1963" s="842" t="s">
        <v>134</v>
      </c>
      <c r="I1963" s="883"/>
      <c r="J1963" s="841"/>
      <c r="K1963" s="841"/>
      <c r="L1963" s="843" t="s">
        <v>106</v>
      </c>
      <c r="M1963" s="844" t="s">
        <v>275</v>
      </c>
      <c r="N1963" s="841"/>
      <c r="O1963" s="884" t="s">
        <v>150</v>
      </c>
      <c r="P1963" s="842" t="s">
        <v>124</v>
      </c>
      <c r="Q1963" s="843"/>
      <c r="R1963" s="845" t="str">
        <f t="shared" si="372"/>
        <v>14266.26</v>
      </c>
      <c r="S1963" s="1127" t="s">
        <v>6479</v>
      </c>
      <c r="T1963" s="885" t="s">
        <v>6480</v>
      </c>
      <c r="U1963" s="886">
        <v>3</v>
      </c>
      <c r="V1963" s="842" t="s">
        <v>3</v>
      </c>
      <c r="W1963" s="846" t="s">
        <v>4492</v>
      </c>
      <c r="X1963" s="847">
        <f t="shared" si="380"/>
        <v>229.46999999999997</v>
      </c>
      <c r="Y1963" s="853" t="s">
        <v>4582</v>
      </c>
      <c r="Z1963" s="902">
        <v>36.332999999999998</v>
      </c>
      <c r="AA1963" s="849"/>
      <c r="AB1963" s="849">
        <f t="shared" si="373"/>
        <v>108.999</v>
      </c>
      <c r="AC1963" s="850">
        <f t="shared" si="374"/>
        <v>108.999</v>
      </c>
      <c r="AD1963" s="851">
        <f t="shared" si="381"/>
        <v>32000</v>
      </c>
      <c r="AE1963" s="852">
        <v>29936.21</v>
      </c>
      <c r="AF1963" s="853">
        <v>0.1</v>
      </c>
      <c r="AG1963" s="854">
        <f t="shared" si="375"/>
        <v>330693.53546962206</v>
      </c>
      <c r="AH1963" s="853">
        <v>0.08</v>
      </c>
      <c r="AI1963" s="855">
        <f t="shared" si="376"/>
        <v>287496.83914076973</v>
      </c>
      <c r="AJ1963" s="856" t="s">
        <v>6292</v>
      </c>
      <c r="AK1963" s="857">
        <v>45911</v>
      </c>
      <c r="AL1963" s="843" t="s">
        <v>6293</v>
      </c>
      <c r="AM1963" s="843" t="s">
        <v>6294</v>
      </c>
      <c r="AN1963" s="844" t="s">
        <v>3951</v>
      </c>
      <c r="AO1963" s="844" t="s">
        <v>141</v>
      </c>
      <c r="AP1963" s="841"/>
      <c r="AQ1963" s="841">
        <v>45929</v>
      </c>
      <c r="AR1963" s="841">
        <v>45987</v>
      </c>
      <c r="AS1963" s="842" t="s">
        <v>1284</v>
      </c>
      <c r="AT1963" s="842" t="s">
        <v>1743</v>
      </c>
      <c r="AU1963" s="842" t="s">
        <v>6295</v>
      </c>
      <c r="AV1963" s="845" t="s">
        <v>6296</v>
      </c>
      <c r="AW1963" s="861">
        <v>45986</v>
      </c>
      <c r="AX1963" s="862">
        <v>45987</v>
      </c>
      <c r="AY1963" s="843"/>
      <c r="AZ1963" s="842">
        <v>94031000</v>
      </c>
      <c r="BA1963" s="842" t="s">
        <v>120</v>
      </c>
      <c r="BB1963" s="863" t="s">
        <v>121</v>
      </c>
      <c r="BC1963" s="864">
        <v>45990</v>
      </c>
      <c r="BD1963" s="860" t="s">
        <v>6297</v>
      </c>
      <c r="BE1963" s="865" cm="1">
        <f t="array" ref="BE1963">IF(BD1963="","",AC1963/SUMPRODUCT(--(BD1963=$BD$4:$BD$12824),$AC$4:$AC$12824))</f>
        <v>1.0537235742554218E-3</v>
      </c>
      <c r="BF1963" s="458"/>
      <c r="BG1963" s="458"/>
      <c r="BH1963" s="458"/>
      <c r="BI1963" s="458"/>
      <c r="BJ1963" s="458"/>
      <c r="BK1963" s="458"/>
      <c r="BL1963" s="458"/>
      <c r="BM1963" s="458"/>
      <c r="BN1963" s="458"/>
      <c r="BO1963" s="866">
        <f>VLOOKUP(BD1963,$BD$4:$BN$12824,3,0)*BE1963</f>
        <v>40629.550497961471</v>
      </c>
      <c r="BP1963" s="866"/>
      <c r="BQ1963" s="866"/>
      <c r="BR1963" s="866">
        <f>VLOOKUP(BD1963,$BD$4:$BN$12824,6,0)*BE1963</f>
        <v>17309.538619033287</v>
      </c>
      <c r="BS1963" s="866">
        <f>VLOOKUP(BD1963,$BD$4:$BN$12824,7,0)*BE1963</f>
        <v>3288.8504082587942</v>
      </c>
      <c r="BT1963" s="866"/>
      <c r="BU1963" s="866">
        <f>VLOOKUP(BD1963,$BD$4:$BN$12824,9,0)*BE1963</f>
        <v>127.6217306959454</v>
      </c>
      <c r="BV1963" s="867"/>
      <c r="BW1963" s="867">
        <f>VLOOKUP(BD1963,$BD$4:$BN$12824,11,0)*BE1963</f>
        <v>0</v>
      </c>
      <c r="BX1963" s="1146">
        <f t="shared" si="377"/>
        <v>61355.561255949498</v>
      </c>
      <c r="BY1963" s="867">
        <f t="shared" si="379"/>
        <v>1218355.350171857</v>
      </c>
      <c r="BZ1963" s="867">
        <f t="shared" si="378"/>
        <v>3655066.0505155711</v>
      </c>
      <c r="CA1963" s="867">
        <f>_xlfn.MAXIFS($BY$4:$BY$12824,$S$4:$S$12824,$S1963)</f>
        <v>1218355.350171857</v>
      </c>
      <c r="CB1963" s="1032"/>
      <c r="CF1963" s="946">
        <f t="shared" si="382"/>
        <v>3487968</v>
      </c>
    </row>
    <row r="1964" spans="2:84">
      <c r="B1964" s="839" t="s">
        <v>98</v>
      </c>
      <c r="C1964" s="839" t="s">
        <v>273</v>
      </c>
      <c r="D1964" s="839" t="s">
        <v>6289</v>
      </c>
      <c r="E1964" s="839" t="s">
        <v>6290</v>
      </c>
      <c r="F1964" s="841">
        <v>45841</v>
      </c>
      <c r="G1964" s="868" t="s">
        <v>273</v>
      </c>
      <c r="H1964" s="842" t="s">
        <v>134</v>
      </c>
      <c r="I1964" s="883"/>
      <c r="J1964" s="841"/>
      <c r="K1964" s="841"/>
      <c r="L1964" s="843" t="s">
        <v>106</v>
      </c>
      <c r="M1964" s="844" t="s">
        <v>275</v>
      </c>
      <c r="N1964" s="841"/>
      <c r="O1964" s="884" t="s">
        <v>150</v>
      </c>
      <c r="P1964" s="842" t="s">
        <v>124</v>
      </c>
      <c r="Q1964" s="843"/>
      <c r="R1964" s="845" t="str">
        <f t="shared" si="372"/>
        <v>16850.26</v>
      </c>
      <c r="S1964" s="1127" t="s">
        <v>6481</v>
      </c>
      <c r="T1964" s="885" t="s">
        <v>6482</v>
      </c>
      <c r="U1964" s="886">
        <v>2</v>
      </c>
      <c r="V1964" s="842" t="s">
        <v>3</v>
      </c>
      <c r="W1964" s="846" t="s">
        <v>4492</v>
      </c>
      <c r="X1964" s="847">
        <f t="shared" si="380"/>
        <v>152.97999999999999</v>
      </c>
      <c r="Y1964" s="853" t="s">
        <v>4582</v>
      </c>
      <c r="Z1964" s="902">
        <v>36.332999999999998</v>
      </c>
      <c r="AA1964" s="849"/>
      <c r="AB1964" s="849">
        <f t="shared" si="373"/>
        <v>72.665999999999997</v>
      </c>
      <c r="AC1964" s="850">
        <f t="shared" si="374"/>
        <v>72.665999999999997</v>
      </c>
      <c r="AD1964" s="851">
        <f t="shared" si="381"/>
        <v>32000</v>
      </c>
      <c r="AE1964" s="852">
        <v>29936.21</v>
      </c>
      <c r="AF1964" s="853">
        <v>0.1</v>
      </c>
      <c r="AG1964" s="854">
        <f t="shared" si="375"/>
        <v>220462.356979748</v>
      </c>
      <c r="AH1964" s="853">
        <v>0.08</v>
      </c>
      <c r="AI1964" s="855">
        <f t="shared" si="376"/>
        <v>191664.55942717983</v>
      </c>
      <c r="AJ1964" s="856" t="s">
        <v>6292</v>
      </c>
      <c r="AK1964" s="857">
        <v>45911</v>
      </c>
      <c r="AL1964" s="843" t="s">
        <v>6293</v>
      </c>
      <c r="AM1964" s="843" t="s">
        <v>6294</v>
      </c>
      <c r="AN1964" s="844" t="s">
        <v>3951</v>
      </c>
      <c r="AO1964" s="844" t="s">
        <v>141</v>
      </c>
      <c r="AP1964" s="841"/>
      <c r="AQ1964" s="841">
        <v>45929</v>
      </c>
      <c r="AR1964" s="841">
        <v>45987</v>
      </c>
      <c r="AS1964" s="842" t="s">
        <v>1284</v>
      </c>
      <c r="AT1964" s="842" t="s">
        <v>1743</v>
      </c>
      <c r="AU1964" s="842" t="s">
        <v>6295</v>
      </c>
      <c r="AV1964" s="845" t="s">
        <v>6296</v>
      </c>
      <c r="AW1964" s="861">
        <v>45986</v>
      </c>
      <c r="AX1964" s="862">
        <v>45987</v>
      </c>
      <c r="AY1964" s="843"/>
      <c r="AZ1964" s="842">
        <v>94031000</v>
      </c>
      <c r="BA1964" s="842" t="s">
        <v>120</v>
      </c>
      <c r="BB1964" s="863" t="s">
        <v>121</v>
      </c>
      <c r="BC1964" s="864">
        <v>45990</v>
      </c>
      <c r="BD1964" s="860" t="s">
        <v>6297</v>
      </c>
      <c r="BE1964" s="865" cm="1">
        <f t="array" ref="BE1964">IF(BD1964="","",AC1964/SUMPRODUCT(--(BD1964=$BD$4:$BD$12824),$AC$4:$AC$12824))</f>
        <v>7.0248238283694784E-4</v>
      </c>
      <c r="BF1964" s="458"/>
      <c r="BG1964" s="458"/>
      <c r="BH1964" s="458"/>
      <c r="BI1964" s="458"/>
      <c r="BJ1964" s="458"/>
      <c r="BK1964" s="458"/>
      <c r="BL1964" s="458"/>
      <c r="BM1964" s="458"/>
      <c r="BN1964" s="458"/>
      <c r="BO1964" s="866">
        <f>VLOOKUP(BD1964,$BD$4:$BN$12824,3,0)*BE1964</f>
        <v>27086.36699864098</v>
      </c>
      <c r="BP1964" s="866"/>
      <c r="BQ1964" s="866"/>
      <c r="BR1964" s="866">
        <f>VLOOKUP(BD1964,$BD$4:$BN$12824,6,0)*BE1964</f>
        <v>11539.692412688859</v>
      </c>
      <c r="BS1964" s="866">
        <f>VLOOKUP(BD1964,$BD$4:$BN$12824,7,0)*BE1964</f>
        <v>2192.5669388391962</v>
      </c>
      <c r="BT1964" s="866"/>
      <c r="BU1964" s="866">
        <f>VLOOKUP(BD1964,$BD$4:$BN$12824,9,0)*BE1964</f>
        <v>85.081153797296935</v>
      </c>
      <c r="BV1964" s="867"/>
      <c r="BW1964" s="867">
        <f>VLOOKUP(BD1964,$BD$4:$BN$12824,11,0)*BE1964</f>
        <v>0</v>
      </c>
      <c r="BX1964" s="1146">
        <f t="shared" si="377"/>
        <v>40903.70750396634</v>
      </c>
      <c r="BY1964" s="867">
        <f t="shared" si="379"/>
        <v>1218355.3501718573</v>
      </c>
      <c r="BZ1964" s="867">
        <f t="shared" si="378"/>
        <v>2436710.7003437146</v>
      </c>
      <c r="CA1964" s="867">
        <f>_xlfn.MAXIFS($BY$4:$BY$12824,$S$4:$S$12824,$S1964)</f>
        <v>1218355.3501718573</v>
      </c>
      <c r="CB1964" s="1032"/>
      <c r="CF1964" s="946">
        <f t="shared" si="382"/>
        <v>2325312</v>
      </c>
    </row>
    <row r="1965" spans="2:84">
      <c r="B1965" s="839" t="s">
        <v>98</v>
      </c>
      <c r="C1965" s="839" t="s">
        <v>273</v>
      </c>
      <c r="D1965" s="839" t="s">
        <v>6289</v>
      </c>
      <c r="E1965" s="839" t="s">
        <v>6290</v>
      </c>
      <c r="F1965" s="841">
        <v>45841</v>
      </c>
      <c r="G1965" s="868" t="s">
        <v>273</v>
      </c>
      <c r="H1965" s="842" t="s">
        <v>134</v>
      </c>
      <c r="I1965" s="883"/>
      <c r="J1965" s="841"/>
      <c r="K1965" s="841"/>
      <c r="L1965" s="843" t="s">
        <v>106</v>
      </c>
      <c r="M1965" s="844" t="s">
        <v>275</v>
      </c>
      <c r="N1965" s="841"/>
      <c r="O1965" s="884" t="s">
        <v>150</v>
      </c>
      <c r="P1965" s="842" t="s">
        <v>124</v>
      </c>
      <c r="Q1965" s="843"/>
      <c r="R1965" s="845" t="str">
        <f t="shared" si="372"/>
        <v>16658.23</v>
      </c>
      <c r="S1965" s="1127" t="s">
        <v>6483</v>
      </c>
      <c r="T1965" s="885" t="s">
        <v>6484</v>
      </c>
      <c r="U1965" s="886">
        <v>1</v>
      </c>
      <c r="V1965" s="842" t="s">
        <v>3</v>
      </c>
      <c r="W1965" s="846" t="s">
        <v>4680</v>
      </c>
      <c r="X1965" s="847">
        <f t="shared" si="380"/>
        <v>61.91</v>
      </c>
      <c r="Y1965" s="853" t="s">
        <v>4582</v>
      </c>
      <c r="Z1965" s="902">
        <v>29.407</v>
      </c>
      <c r="AA1965" s="849"/>
      <c r="AB1965" s="849">
        <f t="shared" si="373"/>
        <v>29.407</v>
      </c>
      <c r="AC1965" s="850">
        <f t="shared" si="374"/>
        <v>29.407</v>
      </c>
      <c r="AD1965" s="851">
        <f t="shared" si="381"/>
        <v>32000</v>
      </c>
      <c r="AE1965" s="852">
        <v>29936.21</v>
      </c>
      <c r="AF1965" s="853">
        <v>0.1</v>
      </c>
      <c r="AG1965" s="854">
        <f t="shared" si="375"/>
        <v>89218.293723384384</v>
      </c>
      <c r="AH1965" s="853">
        <v>0.08</v>
      </c>
      <c r="AI1965" s="855">
        <f t="shared" si="376"/>
        <v>77564.193695470749</v>
      </c>
      <c r="AJ1965" s="856" t="s">
        <v>6292</v>
      </c>
      <c r="AK1965" s="857">
        <v>45911</v>
      </c>
      <c r="AL1965" s="843" t="s">
        <v>6293</v>
      </c>
      <c r="AM1965" s="843" t="s">
        <v>6294</v>
      </c>
      <c r="AN1965" s="844" t="s">
        <v>3951</v>
      </c>
      <c r="AO1965" s="844" t="s">
        <v>141</v>
      </c>
      <c r="AP1965" s="841"/>
      <c r="AQ1965" s="841">
        <v>45929</v>
      </c>
      <c r="AR1965" s="841">
        <v>45987</v>
      </c>
      <c r="AS1965" s="842" t="s">
        <v>1284</v>
      </c>
      <c r="AT1965" s="842" t="s">
        <v>1743</v>
      </c>
      <c r="AU1965" s="842" t="s">
        <v>6295</v>
      </c>
      <c r="AV1965" s="845" t="s">
        <v>6296</v>
      </c>
      <c r="AW1965" s="861">
        <v>45986</v>
      </c>
      <c r="AX1965" s="862">
        <v>45987</v>
      </c>
      <c r="AY1965" s="843"/>
      <c r="AZ1965" s="842">
        <v>94031000</v>
      </c>
      <c r="BA1965" s="842" t="s">
        <v>120</v>
      </c>
      <c r="BB1965" s="863" t="s">
        <v>121</v>
      </c>
      <c r="BC1965" s="864">
        <v>45990</v>
      </c>
      <c r="BD1965" s="860" t="s">
        <v>6297</v>
      </c>
      <c r="BE1965" s="865" cm="1">
        <f t="array" ref="BE1965">IF(BD1965="","",AC1965/SUMPRODUCT(--(BD1965=$BD$4:$BD$12824),$AC$4:$AC$12824))</f>
        <v>2.8428562783263322E-4</v>
      </c>
      <c r="BF1965" s="458"/>
      <c r="BG1965" s="458"/>
      <c r="BH1965" s="458"/>
      <c r="BI1965" s="458"/>
      <c r="BJ1965" s="458"/>
      <c r="BK1965" s="458"/>
      <c r="BL1965" s="458"/>
      <c r="BM1965" s="458"/>
      <c r="BN1965" s="458"/>
      <c r="BO1965" s="866">
        <f>VLOOKUP(BD1965,$BD$4:$BN$12824,3,0)*BE1965</f>
        <v>10961.505990821503</v>
      </c>
      <c r="BP1965" s="866"/>
      <c r="BQ1965" s="866"/>
      <c r="BR1965" s="866">
        <f>VLOOKUP(BD1965,$BD$4:$BN$12824,6,0)*BE1965</f>
        <v>4669.9657994101954</v>
      </c>
      <c r="BS1965" s="866">
        <f>VLOOKUP(BD1965,$BD$4:$BN$12824,7,0)*BE1965</f>
        <v>887.30377302237969</v>
      </c>
      <c r="BT1965" s="866"/>
      <c r="BU1965" s="866">
        <f>VLOOKUP(BD1965,$BD$4:$BN$12824,9,0)*BE1965</f>
        <v>34.431253814949372</v>
      </c>
      <c r="BV1965" s="867"/>
      <c r="BW1965" s="867">
        <f>VLOOKUP(BD1965,$BD$4:$BN$12824,11,0)*BE1965</f>
        <v>0</v>
      </c>
      <c r="BX1965" s="1146">
        <f t="shared" si="377"/>
        <v>16553.206817069029</v>
      </c>
      <c r="BY1965" s="867">
        <f t="shared" si="379"/>
        <v>986105.62801045331</v>
      </c>
      <c r="BZ1965" s="867">
        <f t="shared" si="378"/>
        <v>986105.62801045331</v>
      </c>
      <c r="CA1965" s="867">
        <f>_xlfn.MAXIFS($BY$4:$BY$12824,$S$4:$S$12824,$S1965)</f>
        <v>1125302.430706121</v>
      </c>
      <c r="CB1965" s="1032"/>
      <c r="CF1965" s="946">
        <f t="shared" si="382"/>
        <v>941024</v>
      </c>
    </row>
    <row r="1966" spans="2:84">
      <c r="B1966" s="839" t="s">
        <v>98</v>
      </c>
      <c r="C1966" s="839" t="s">
        <v>273</v>
      </c>
      <c r="D1966" s="839" t="s">
        <v>6289</v>
      </c>
      <c r="E1966" s="839" t="s">
        <v>6290</v>
      </c>
      <c r="F1966" s="841">
        <v>45841</v>
      </c>
      <c r="G1966" s="868" t="s">
        <v>273</v>
      </c>
      <c r="H1966" s="842" t="s">
        <v>134</v>
      </c>
      <c r="I1966" s="883"/>
      <c r="J1966" s="841"/>
      <c r="K1966" s="841"/>
      <c r="L1966" s="843" t="s">
        <v>106</v>
      </c>
      <c r="M1966" s="844" t="s">
        <v>275</v>
      </c>
      <c r="N1966" s="841"/>
      <c r="O1966" s="884" t="s">
        <v>150</v>
      </c>
      <c r="P1966" s="842" t="s">
        <v>124</v>
      </c>
      <c r="Q1966" s="843"/>
      <c r="R1966" s="845" t="str">
        <f t="shared" si="372"/>
        <v>16658.34</v>
      </c>
      <c r="S1966" s="1127" t="s">
        <v>6485</v>
      </c>
      <c r="T1966" s="885" t="s">
        <v>6486</v>
      </c>
      <c r="U1966" s="886">
        <v>1</v>
      </c>
      <c r="V1966" s="842" t="s">
        <v>3</v>
      </c>
      <c r="W1966" s="846" t="s">
        <v>4680</v>
      </c>
      <c r="X1966" s="847">
        <f t="shared" si="380"/>
        <v>61.91</v>
      </c>
      <c r="Y1966" s="853" t="s">
        <v>4582</v>
      </c>
      <c r="Z1966" s="902">
        <v>29.407</v>
      </c>
      <c r="AA1966" s="849"/>
      <c r="AB1966" s="849">
        <f t="shared" si="373"/>
        <v>29.407</v>
      </c>
      <c r="AC1966" s="850">
        <f t="shared" si="374"/>
        <v>29.407</v>
      </c>
      <c r="AD1966" s="851">
        <f t="shared" si="381"/>
        <v>32000</v>
      </c>
      <c r="AE1966" s="852">
        <v>29936.21</v>
      </c>
      <c r="AF1966" s="853">
        <v>0.1</v>
      </c>
      <c r="AG1966" s="854">
        <f t="shared" si="375"/>
        <v>89218.293723384384</v>
      </c>
      <c r="AH1966" s="853">
        <v>0.08</v>
      </c>
      <c r="AI1966" s="855">
        <f t="shared" si="376"/>
        <v>77564.193695470749</v>
      </c>
      <c r="AJ1966" s="856" t="s">
        <v>6292</v>
      </c>
      <c r="AK1966" s="857">
        <v>45911</v>
      </c>
      <c r="AL1966" s="843" t="s">
        <v>6293</v>
      </c>
      <c r="AM1966" s="843" t="s">
        <v>6294</v>
      </c>
      <c r="AN1966" s="844" t="s">
        <v>3951</v>
      </c>
      <c r="AO1966" s="844" t="s">
        <v>141</v>
      </c>
      <c r="AP1966" s="841"/>
      <c r="AQ1966" s="841">
        <v>45929</v>
      </c>
      <c r="AR1966" s="841">
        <v>45987</v>
      </c>
      <c r="AS1966" s="842" t="s">
        <v>1284</v>
      </c>
      <c r="AT1966" s="842" t="s">
        <v>1743</v>
      </c>
      <c r="AU1966" s="842" t="s">
        <v>6295</v>
      </c>
      <c r="AV1966" s="845" t="s">
        <v>6296</v>
      </c>
      <c r="AW1966" s="861">
        <v>45986</v>
      </c>
      <c r="AX1966" s="862">
        <v>45987</v>
      </c>
      <c r="AY1966" s="843"/>
      <c r="AZ1966" s="842">
        <v>94031000</v>
      </c>
      <c r="BA1966" s="842" t="s">
        <v>120</v>
      </c>
      <c r="BB1966" s="863" t="s">
        <v>121</v>
      </c>
      <c r="BC1966" s="864">
        <v>45990</v>
      </c>
      <c r="BD1966" s="860" t="s">
        <v>6297</v>
      </c>
      <c r="BE1966" s="865" cm="1">
        <f t="array" ref="BE1966">IF(BD1966="","",AC1966/SUMPRODUCT(--(BD1966=$BD$4:$BD$12824),$AC$4:$AC$12824))</f>
        <v>2.8428562783263322E-4</v>
      </c>
      <c r="BF1966" s="458"/>
      <c r="BG1966" s="458"/>
      <c r="BH1966" s="458"/>
      <c r="BI1966" s="458"/>
      <c r="BJ1966" s="458"/>
      <c r="BK1966" s="458"/>
      <c r="BL1966" s="458"/>
      <c r="BM1966" s="458"/>
      <c r="BN1966" s="458"/>
      <c r="BO1966" s="866">
        <f>VLOOKUP(BD1966,$BD$4:$BN$12824,3,0)*BE1966</f>
        <v>10961.505990821503</v>
      </c>
      <c r="BP1966" s="866"/>
      <c r="BQ1966" s="866"/>
      <c r="BR1966" s="866">
        <f>VLOOKUP(BD1966,$BD$4:$BN$12824,6,0)*BE1966</f>
        <v>4669.9657994101954</v>
      </c>
      <c r="BS1966" s="866">
        <f>VLOOKUP(BD1966,$BD$4:$BN$12824,7,0)*BE1966</f>
        <v>887.30377302237969</v>
      </c>
      <c r="BT1966" s="866"/>
      <c r="BU1966" s="866">
        <f>VLOOKUP(BD1966,$BD$4:$BN$12824,9,0)*BE1966</f>
        <v>34.431253814949372</v>
      </c>
      <c r="BV1966" s="867"/>
      <c r="BW1966" s="867">
        <f>VLOOKUP(BD1966,$BD$4:$BN$12824,11,0)*BE1966</f>
        <v>0</v>
      </c>
      <c r="BX1966" s="1146">
        <f t="shared" si="377"/>
        <v>16553.206817069029</v>
      </c>
      <c r="BY1966" s="867">
        <f t="shared" si="379"/>
        <v>986105.62801045331</v>
      </c>
      <c r="BZ1966" s="867">
        <f t="shared" si="378"/>
        <v>986105.62801045331</v>
      </c>
      <c r="CA1966" s="867">
        <f>_xlfn.MAXIFS($BY$4:$BY$12824,$S$4:$S$12824,$S1966)</f>
        <v>1125302.430706121</v>
      </c>
      <c r="CB1966" s="1032"/>
      <c r="CF1966" s="946">
        <f t="shared" si="382"/>
        <v>941024</v>
      </c>
    </row>
    <row r="1967" spans="2:84">
      <c r="B1967" s="839" t="s">
        <v>98</v>
      </c>
      <c r="C1967" s="839" t="s">
        <v>273</v>
      </c>
      <c r="D1967" s="839" t="s">
        <v>6289</v>
      </c>
      <c r="E1967" s="839" t="s">
        <v>6290</v>
      </c>
      <c r="F1967" s="841">
        <v>45841</v>
      </c>
      <c r="G1967" s="868" t="s">
        <v>273</v>
      </c>
      <c r="H1967" s="842" t="s">
        <v>134</v>
      </c>
      <c r="I1967" s="883"/>
      <c r="J1967" s="841"/>
      <c r="K1967" s="841"/>
      <c r="L1967" s="843" t="s">
        <v>106</v>
      </c>
      <c r="M1967" s="844" t="s">
        <v>275</v>
      </c>
      <c r="N1967" s="841"/>
      <c r="O1967" s="884" t="s">
        <v>150</v>
      </c>
      <c r="P1967" s="842" t="s">
        <v>124</v>
      </c>
      <c r="Q1967" s="843"/>
      <c r="R1967" s="845" t="str">
        <f>RIGHT(S1967,5)</f>
        <v>18643</v>
      </c>
      <c r="S1967" s="1127" t="s">
        <v>6487</v>
      </c>
      <c r="T1967" s="885" t="s">
        <v>6488</v>
      </c>
      <c r="U1967" s="886">
        <v>10</v>
      </c>
      <c r="V1967" s="842" t="s">
        <v>3</v>
      </c>
      <c r="W1967" s="846" t="s">
        <v>6489</v>
      </c>
      <c r="X1967" s="847">
        <f t="shared" si="380"/>
        <v>660.6</v>
      </c>
      <c r="Y1967" s="853" t="s">
        <v>4582</v>
      </c>
      <c r="Z1967" s="902">
        <v>31.379000000000001</v>
      </c>
      <c r="AA1967" s="849"/>
      <c r="AB1967" s="849">
        <f t="shared" si="373"/>
        <v>313.79000000000002</v>
      </c>
      <c r="AC1967" s="850">
        <f t="shared" si="374"/>
        <v>313.79000000000002</v>
      </c>
      <c r="AD1967" s="851">
        <f t="shared" si="381"/>
        <v>32000</v>
      </c>
      <c r="AE1967" s="852">
        <v>29936.21</v>
      </c>
      <c r="AF1967" s="853">
        <v>0.1</v>
      </c>
      <c r="AG1967" s="854">
        <f t="shared" si="375"/>
        <v>952011.71107086039</v>
      </c>
      <c r="AH1967" s="853">
        <v>0.08</v>
      </c>
      <c r="AI1967" s="855">
        <f t="shared" si="376"/>
        <v>827655.60375766887</v>
      </c>
      <c r="AJ1967" s="856" t="s">
        <v>6292</v>
      </c>
      <c r="AK1967" s="857">
        <v>45911</v>
      </c>
      <c r="AL1967" s="843" t="s">
        <v>6293</v>
      </c>
      <c r="AM1967" s="843" t="s">
        <v>6294</v>
      </c>
      <c r="AN1967" s="844" t="s">
        <v>3951</v>
      </c>
      <c r="AO1967" s="844" t="s">
        <v>141</v>
      </c>
      <c r="AP1967" s="841"/>
      <c r="AQ1967" s="841">
        <v>45929</v>
      </c>
      <c r="AR1967" s="841">
        <v>45987</v>
      </c>
      <c r="AS1967" s="842" t="s">
        <v>1284</v>
      </c>
      <c r="AT1967" s="842" t="s">
        <v>1743</v>
      </c>
      <c r="AU1967" s="842" t="s">
        <v>6295</v>
      </c>
      <c r="AV1967" s="845" t="s">
        <v>6296</v>
      </c>
      <c r="AW1967" s="861">
        <v>45986</v>
      </c>
      <c r="AX1967" s="862">
        <v>45987</v>
      </c>
      <c r="AY1967" s="843"/>
      <c r="AZ1967" s="842">
        <v>94031000</v>
      </c>
      <c r="BA1967" s="842" t="s">
        <v>120</v>
      </c>
      <c r="BB1967" s="863" t="s">
        <v>121</v>
      </c>
      <c r="BC1967" s="864">
        <v>45990</v>
      </c>
      <c r="BD1967" s="860" t="s">
        <v>6297</v>
      </c>
      <c r="BE1967" s="865" cm="1">
        <f t="array" ref="BE1967">IF(BD1967="","",AC1967/SUMPRODUCT(--(BD1967=$BD$4:$BD$12824),$AC$4:$AC$12824))</f>
        <v>3.0334949895467742E-3</v>
      </c>
      <c r="BF1967" s="458"/>
      <c r="BG1967" s="458"/>
      <c r="BH1967" s="458"/>
      <c r="BI1967" s="458"/>
      <c r="BJ1967" s="458"/>
      <c r="BK1967" s="458"/>
      <c r="BL1967" s="458"/>
      <c r="BM1967" s="458"/>
      <c r="BN1967" s="458"/>
      <c r="BO1967" s="866">
        <f>VLOOKUP(BD1967,$BD$4:$BN$12824,3,0)*BE1967</f>
        <v>116965.72125207876</v>
      </c>
      <c r="BP1967" s="866"/>
      <c r="BQ1967" s="866"/>
      <c r="BR1967" s="866">
        <f>VLOOKUP(BD1967,$BD$4:$BN$12824,6,0)*BE1967</f>
        <v>49831.28398670131</v>
      </c>
      <c r="BS1967" s="866">
        <f>VLOOKUP(BD1967,$BD$4:$BN$12824,7,0)*BE1967</f>
        <v>9468.0535565237042</v>
      </c>
      <c r="BT1967" s="866"/>
      <c r="BU1967" s="866">
        <f>VLOOKUP(BD1967,$BD$4:$BN$12824,9,0)*BE1967</f>
        <v>367.40174565895757</v>
      </c>
      <c r="BV1967" s="867"/>
      <c r="BW1967" s="867">
        <f>VLOOKUP(BD1967,$BD$4:$BN$12824,11,0)*BE1967</f>
        <v>0</v>
      </c>
      <c r="BX1967" s="1146">
        <f t="shared" si="377"/>
        <v>176632.4605409627</v>
      </c>
      <c r="BY1967" s="867">
        <f t="shared" si="379"/>
        <v>1052232.7507511824</v>
      </c>
      <c r="BZ1967" s="867">
        <f t="shared" si="378"/>
        <v>10522327.507511824</v>
      </c>
      <c r="CA1967" s="867">
        <f>_xlfn.MAXIFS($BY$4:$BY$12824,$S$4:$S$12824,$S1967)</f>
        <v>1052232.7507511824</v>
      </c>
      <c r="CB1967" s="1032"/>
      <c r="CF1967" s="946">
        <f t="shared" si="382"/>
        <v>10041280</v>
      </c>
    </row>
    <row r="1968" spans="2:84">
      <c r="B1968" s="839" t="s">
        <v>98</v>
      </c>
      <c r="C1968" s="839" t="s">
        <v>273</v>
      </c>
      <c r="D1968" s="839" t="s">
        <v>6289</v>
      </c>
      <c r="E1968" s="839" t="s">
        <v>6290</v>
      </c>
      <c r="F1968" s="841">
        <v>45841</v>
      </c>
      <c r="G1968" s="868" t="s">
        <v>273</v>
      </c>
      <c r="H1968" s="842" t="s">
        <v>134</v>
      </c>
      <c r="I1968" s="883"/>
      <c r="J1968" s="841"/>
      <c r="K1968" s="841"/>
      <c r="L1968" s="843" t="s">
        <v>106</v>
      </c>
      <c r="M1968" s="844" t="s">
        <v>275</v>
      </c>
      <c r="N1968" s="841"/>
      <c r="O1968" s="884" t="s">
        <v>150</v>
      </c>
      <c r="P1968" s="842" t="s">
        <v>124</v>
      </c>
      <c r="Q1968" s="843"/>
      <c r="R1968" s="845" t="str">
        <f t="shared" ref="R1968:R1973" si="383">RIGHT(S1968,8)</f>
        <v>14108.26</v>
      </c>
      <c r="S1968" s="1127" t="s">
        <v>6490</v>
      </c>
      <c r="T1968" s="885" t="s">
        <v>6491</v>
      </c>
      <c r="U1968" s="886">
        <v>1</v>
      </c>
      <c r="V1968" s="842" t="s">
        <v>3</v>
      </c>
      <c r="W1968" s="846" t="s">
        <v>4478</v>
      </c>
      <c r="X1968" s="847">
        <f t="shared" si="380"/>
        <v>4.96</v>
      </c>
      <c r="Y1968" s="853" t="s">
        <v>4582</v>
      </c>
      <c r="Z1968" s="902">
        <v>2.3559999999999999</v>
      </c>
      <c r="AA1968" s="849"/>
      <c r="AB1968" s="849">
        <f t="shared" si="373"/>
        <v>2.3559999999999999</v>
      </c>
      <c r="AC1968" s="850">
        <f t="shared" si="374"/>
        <v>2.3559999999999999</v>
      </c>
      <c r="AD1968" s="851">
        <f t="shared" si="381"/>
        <v>32000</v>
      </c>
      <c r="AE1968" s="852">
        <v>29936.21</v>
      </c>
      <c r="AF1968" s="853">
        <v>0.1</v>
      </c>
      <c r="AG1968" s="854">
        <f t="shared" si="375"/>
        <v>7147.9001602439421</v>
      </c>
      <c r="AH1968" s="853">
        <v>0.08</v>
      </c>
      <c r="AI1968" s="855">
        <f t="shared" si="376"/>
        <v>6214.2088736195146</v>
      </c>
      <c r="AJ1968" s="856" t="s">
        <v>6292</v>
      </c>
      <c r="AK1968" s="857">
        <v>45911</v>
      </c>
      <c r="AL1968" s="843" t="s">
        <v>6293</v>
      </c>
      <c r="AM1968" s="843" t="s">
        <v>6294</v>
      </c>
      <c r="AN1968" s="844" t="s">
        <v>3951</v>
      </c>
      <c r="AO1968" s="844" t="s">
        <v>141</v>
      </c>
      <c r="AP1968" s="841"/>
      <c r="AQ1968" s="841">
        <v>45929</v>
      </c>
      <c r="AR1968" s="841">
        <v>45987</v>
      </c>
      <c r="AS1968" s="842" t="s">
        <v>1284</v>
      </c>
      <c r="AT1968" s="842" t="s">
        <v>1743</v>
      </c>
      <c r="AU1968" s="842" t="s">
        <v>6295</v>
      </c>
      <c r="AV1968" s="845" t="s">
        <v>6296</v>
      </c>
      <c r="AW1968" s="861">
        <v>45986</v>
      </c>
      <c r="AX1968" s="862">
        <v>45987</v>
      </c>
      <c r="AY1968" s="843"/>
      <c r="AZ1968" s="842">
        <v>94031000</v>
      </c>
      <c r="BA1968" s="842" t="s">
        <v>120</v>
      </c>
      <c r="BB1968" s="863" t="s">
        <v>121</v>
      </c>
      <c r="BC1968" s="864">
        <v>45990</v>
      </c>
      <c r="BD1968" s="860" t="s">
        <v>6297</v>
      </c>
      <c r="BE1968" s="865" cm="1">
        <f t="array" ref="BE1968">IF(BD1968="","",AC1968/SUMPRODUCT(--(BD1968=$BD$4:$BD$12824),$AC$4:$AC$12824))</f>
        <v>2.2776105661022338E-5</v>
      </c>
      <c r="BF1968" s="458"/>
      <c r="BG1968" s="458"/>
      <c r="BH1968" s="458"/>
      <c r="BI1968" s="458"/>
      <c r="BJ1968" s="458"/>
      <c r="BK1968" s="458"/>
      <c r="BL1968" s="458"/>
      <c r="BM1968" s="458"/>
      <c r="BN1968" s="458"/>
      <c r="BO1968" s="866">
        <f>VLOOKUP(BD1968,$BD$4:$BN$12824,3,0)*BE1968</f>
        <v>878.2027447334126</v>
      </c>
      <c r="BP1968" s="866"/>
      <c r="BQ1968" s="866"/>
      <c r="BR1968" s="866">
        <f>VLOOKUP(BD1968,$BD$4:$BN$12824,6,0)*BE1968</f>
        <v>374.14355165132184</v>
      </c>
      <c r="BS1968" s="866">
        <f>VLOOKUP(BD1968,$BD$4:$BN$12824,7,0)*BE1968</f>
        <v>71.088097706013073</v>
      </c>
      <c r="BT1968" s="866"/>
      <c r="BU1968" s="866">
        <f>VLOOKUP(BD1968,$BD$4:$BN$12824,9,0)*BE1968</f>
        <v>2.7585280371347203</v>
      </c>
      <c r="BV1968" s="867"/>
      <c r="BW1968" s="867">
        <f>VLOOKUP(BD1968,$BD$4:$BN$12824,11,0)*BE1968</f>
        <v>0</v>
      </c>
      <c r="BX1968" s="1146">
        <f t="shared" si="377"/>
        <v>1326.1929221278822</v>
      </c>
      <c r="BY1968" s="867">
        <f t="shared" si="379"/>
        <v>79003.80384237181</v>
      </c>
      <c r="BZ1968" s="867">
        <f t="shared" si="378"/>
        <v>79003.80384237181</v>
      </c>
      <c r="CA1968" s="867">
        <f>_xlfn.MAXIFS($BY$4:$BY$12824,$S$4:$S$12824,$S1968)</f>
        <v>90169.629342526008</v>
      </c>
      <c r="CB1968" s="1032"/>
      <c r="CF1968" s="946">
        <f t="shared" si="382"/>
        <v>75392</v>
      </c>
    </row>
    <row r="1969" spans="2:84">
      <c r="B1969" s="839" t="s">
        <v>98</v>
      </c>
      <c r="C1969" s="839" t="s">
        <v>273</v>
      </c>
      <c r="D1969" s="839" t="s">
        <v>6289</v>
      </c>
      <c r="E1969" s="839" t="s">
        <v>6290</v>
      </c>
      <c r="F1969" s="841">
        <v>45841</v>
      </c>
      <c r="G1969" s="868" t="s">
        <v>273</v>
      </c>
      <c r="H1969" s="842" t="s">
        <v>134</v>
      </c>
      <c r="I1969" s="883"/>
      <c r="J1969" s="841"/>
      <c r="K1969" s="841"/>
      <c r="L1969" s="843" t="s">
        <v>106</v>
      </c>
      <c r="M1969" s="844" t="s">
        <v>275</v>
      </c>
      <c r="N1969" s="841"/>
      <c r="O1969" s="884" t="s">
        <v>150</v>
      </c>
      <c r="P1969" s="842" t="s">
        <v>124</v>
      </c>
      <c r="Q1969" s="843"/>
      <c r="R1969" s="845" t="str">
        <f t="shared" si="383"/>
        <v>14109.26</v>
      </c>
      <c r="S1969" s="1127" t="s">
        <v>6492</v>
      </c>
      <c r="T1969" s="885" t="s">
        <v>6493</v>
      </c>
      <c r="U1969" s="886">
        <v>1</v>
      </c>
      <c r="V1969" s="842" t="s">
        <v>3</v>
      </c>
      <c r="W1969" s="846" t="s">
        <v>4478</v>
      </c>
      <c r="X1969" s="847">
        <f t="shared" si="380"/>
        <v>4.96</v>
      </c>
      <c r="Y1969" s="853" t="s">
        <v>4582</v>
      </c>
      <c r="Z1969" s="902">
        <v>2.3559999999999999</v>
      </c>
      <c r="AA1969" s="849"/>
      <c r="AB1969" s="849">
        <f t="shared" si="373"/>
        <v>2.3559999999999999</v>
      </c>
      <c r="AC1969" s="850">
        <f t="shared" si="374"/>
        <v>2.3559999999999999</v>
      </c>
      <c r="AD1969" s="851">
        <f t="shared" si="381"/>
        <v>32000</v>
      </c>
      <c r="AE1969" s="852">
        <v>29936.21</v>
      </c>
      <c r="AF1969" s="853">
        <v>0.1</v>
      </c>
      <c r="AG1969" s="854">
        <f t="shared" si="375"/>
        <v>7147.9001602439421</v>
      </c>
      <c r="AH1969" s="853">
        <v>0.08</v>
      </c>
      <c r="AI1969" s="855">
        <f t="shared" si="376"/>
        <v>6214.2088736195146</v>
      </c>
      <c r="AJ1969" s="856" t="s">
        <v>6292</v>
      </c>
      <c r="AK1969" s="857">
        <v>45911</v>
      </c>
      <c r="AL1969" s="843" t="s">
        <v>6293</v>
      </c>
      <c r="AM1969" s="843" t="s">
        <v>6294</v>
      </c>
      <c r="AN1969" s="844" t="s">
        <v>3951</v>
      </c>
      <c r="AO1969" s="844" t="s">
        <v>141</v>
      </c>
      <c r="AP1969" s="841"/>
      <c r="AQ1969" s="841">
        <v>45929</v>
      </c>
      <c r="AR1969" s="841">
        <v>45987</v>
      </c>
      <c r="AS1969" s="842" t="s">
        <v>1284</v>
      </c>
      <c r="AT1969" s="842" t="s">
        <v>1743</v>
      </c>
      <c r="AU1969" s="842" t="s">
        <v>6295</v>
      </c>
      <c r="AV1969" s="845" t="s">
        <v>6296</v>
      </c>
      <c r="AW1969" s="861">
        <v>45986</v>
      </c>
      <c r="AX1969" s="862">
        <v>45987</v>
      </c>
      <c r="AY1969" s="843"/>
      <c r="AZ1969" s="842">
        <v>94031000</v>
      </c>
      <c r="BA1969" s="842" t="s">
        <v>120</v>
      </c>
      <c r="BB1969" s="863" t="s">
        <v>121</v>
      </c>
      <c r="BC1969" s="864">
        <v>45990</v>
      </c>
      <c r="BD1969" s="860" t="s">
        <v>6297</v>
      </c>
      <c r="BE1969" s="865" cm="1">
        <f t="array" ref="BE1969">IF(BD1969="","",AC1969/SUMPRODUCT(--(BD1969=$BD$4:$BD$12824),$AC$4:$AC$12824))</f>
        <v>2.2776105661022338E-5</v>
      </c>
      <c r="BF1969" s="458"/>
      <c r="BG1969" s="458"/>
      <c r="BH1969" s="458"/>
      <c r="BI1969" s="458"/>
      <c r="BJ1969" s="458"/>
      <c r="BK1969" s="458"/>
      <c r="BL1969" s="458"/>
      <c r="BM1969" s="458"/>
      <c r="BN1969" s="458"/>
      <c r="BO1969" s="866">
        <f>VLOOKUP(BD1969,$BD$4:$BN$12824,3,0)*BE1969</f>
        <v>878.2027447334126</v>
      </c>
      <c r="BP1969" s="866"/>
      <c r="BQ1969" s="866"/>
      <c r="BR1969" s="866">
        <f>VLOOKUP(BD1969,$BD$4:$BN$12824,6,0)*BE1969</f>
        <v>374.14355165132184</v>
      </c>
      <c r="BS1969" s="866">
        <f>VLOOKUP(BD1969,$BD$4:$BN$12824,7,0)*BE1969</f>
        <v>71.088097706013073</v>
      </c>
      <c r="BT1969" s="866"/>
      <c r="BU1969" s="866">
        <f>VLOOKUP(BD1969,$BD$4:$BN$12824,9,0)*BE1969</f>
        <v>2.7585280371347203</v>
      </c>
      <c r="BV1969" s="867"/>
      <c r="BW1969" s="867">
        <f>VLOOKUP(BD1969,$BD$4:$BN$12824,11,0)*BE1969</f>
        <v>0</v>
      </c>
      <c r="BX1969" s="1146">
        <f t="shared" si="377"/>
        <v>1326.1929221278822</v>
      </c>
      <c r="BY1969" s="867">
        <f t="shared" si="379"/>
        <v>79003.80384237181</v>
      </c>
      <c r="BZ1969" s="867">
        <f t="shared" si="378"/>
        <v>79003.80384237181</v>
      </c>
      <c r="CA1969" s="867">
        <f>_xlfn.MAXIFS($BY$4:$BY$12824,$S$4:$S$12824,$S1969)</f>
        <v>90169.629342526008</v>
      </c>
      <c r="CB1969" s="1032"/>
      <c r="CF1969" s="946">
        <f t="shared" si="382"/>
        <v>75392</v>
      </c>
    </row>
    <row r="1970" spans="2:84">
      <c r="B1970" s="839" t="s">
        <v>98</v>
      </c>
      <c r="C1970" s="839" t="s">
        <v>273</v>
      </c>
      <c r="D1970" s="839" t="s">
        <v>6289</v>
      </c>
      <c r="E1970" s="839" t="s">
        <v>6290</v>
      </c>
      <c r="F1970" s="841">
        <v>45841</v>
      </c>
      <c r="G1970" s="868" t="s">
        <v>273</v>
      </c>
      <c r="H1970" s="842" t="s">
        <v>134</v>
      </c>
      <c r="I1970" s="883"/>
      <c r="J1970" s="841"/>
      <c r="K1970" s="841"/>
      <c r="L1970" s="843" t="s">
        <v>106</v>
      </c>
      <c r="M1970" s="844" t="s">
        <v>275</v>
      </c>
      <c r="N1970" s="841"/>
      <c r="O1970" s="884" t="s">
        <v>150</v>
      </c>
      <c r="P1970" s="842" t="s">
        <v>124</v>
      </c>
      <c r="Q1970" s="843"/>
      <c r="R1970" s="845" t="str">
        <f t="shared" si="383"/>
        <v>15523.23</v>
      </c>
      <c r="S1970" s="1127" t="s">
        <v>6494</v>
      </c>
      <c r="T1970" s="885" t="s">
        <v>6495</v>
      </c>
      <c r="U1970" s="886">
        <v>8</v>
      </c>
      <c r="V1970" s="842" t="s">
        <v>3</v>
      </c>
      <c r="W1970" s="846" t="s">
        <v>6496</v>
      </c>
      <c r="X1970" s="847">
        <f t="shared" si="380"/>
        <v>510.32</v>
      </c>
      <c r="Y1970" s="853" t="s">
        <v>4582</v>
      </c>
      <c r="Z1970" s="902">
        <v>30.3</v>
      </c>
      <c r="AA1970" s="849"/>
      <c r="AB1970" s="849">
        <f t="shared" si="373"/>
        <v>242.4</v>
      </c>
      <c r="AC1970" s="850">
        <f t="shared" si="374"/>
        <v>242.4</v>
      </c>
      <c r="AD1970" s="851">
        <f t="shared" si="381"/>
        <v>32000</v>
      </c>
      <c r="AE1970" s="852">
        <v>29936.21</v>
      </c>
      <c r="AF1970" s="853">
        <v>0.1</v>
      </c>
      <c r="AG1970" s="854">
        <f t="shared" si="375"/>
        <v>735420.62769233098</v>
      </c>
      <c r="AH1970" s="853">
        <v>0.08</v>
      </c>
      <c r="AI1970" s="855">
        <f t="shared" si="376"/>
        <v>639356.63453538646</v>
      </c>
      <c r="AJ1970" s="856" t="s">
        <v>6292</v>
      </c>
      <c r="AK1970" s="857">
        <v>45911</v>
      </c>
      <c r="AL1970" s="843" t="s">
        <v>6293</v>
      </c>
      <c r="AM1970" s="843" t="s">
        <v>6294</v>
      </c>
      <c r="AN1970" s="844" t="s">
        <v>3951</v>
      </c>
      <c r="AO1970" s="844" t="s">
        <v>141</v>
      </c>
      <c r="AP1970" s="841"/>
      <c r="AQ1970" s="841">
        <v>45929</v>
      </c>
      <c r="AR1970" s="841">
        <v>45987</v>
      </c>
      <c r="AS1970" s="842" t="s">
        <v>1284</v>
      </c>
      <c r="AT1970" s="842" t="s">
        <v>1743</v>
      </c>
      <c r="AU1970" s="842" t="s">
        <v>6295</v>
      </c>
      <c r="AV1970" s="845" t="s">
        <v>6296</v>
      </c>
      <c r="AW1970" s="861">
        <v>45986</v>
      </c>
      <c r="AX1970" s="862">
        <v>45987</v>
      </c>
      <c r="AY1970" s="843"/>
      <c r="AZ1970" s="842">
        <v>94031000</v>
      </c>
      <c r="BA1970" s="842" t="s">
        <v>120</v>
      </c>
      <c r="BB1970" s="863" t="s">
        <v>121</v>
      </c>
      <c r="BC1970" s="864">
        <v>45990</v>
      </c>
      <c r="BD1970" s="860" t="s">
        <v>6297</v>
      </c>
      <c r="BE1970" s="865" cm="1">
        <f t="array" ref="BE1970">IF(BD1970="","",AC1970/SUMPRODUCT(--(BD1970=$BD$4:$BD$12824),$AC$4:$AC$12824))</f>
        <v>2.3433480527299726E-3</v>
      </c>
      <c r="BF1970" s="458"/>
      <c r="BG1970" s="458"/>
      <c r="BH1970" s="458"/>
      <c r="BI1970" s="458"/>
      <c r="BJ1970" s="458"/>
      <c r="BK1970" s="458"/>
      <c r="BL1970" s="458"/>
      <c r="BM1970" s="458"/>
      <c r="BN1970" s="458"/>
      <c r="BO1970" s="866">
        <f>VLOOKUP(BD1970,$BD$4:$BN$12824,3,0)*BE1970</f>
        <v>90354.985281570131</v>
      </c>
      <c r="BP1970" s="866"/>
      <c r="BQ1970" s="866"/>
      <c r="BR1970" s="866">
        <f>VLOOKUP(BD1970,$BD$4:$BN$12824,6,0)*BE1970</f>
        <v>38494.226197062999</v>
      </c>
      <c r="BS1970" s="866">
        <f>VLOOKUP(BD1970,$BD$4:$BN$12824,7,0)*BE1970</f>
        <v>7313.9876417392079</v>
      </c>
      <c r="BT1970" s="866"/>
      <c r="BU1970" s="866">
        <f>VLOOKUP(BD1970,$BD$4:$BN$12824,9,0)*BE1970</f>
        <v>283.81459940639064</v>
      </c>
      <c r="BV1970" s="867"/>
      <c r="BW1970" s="867">
        <f>VLOOKUP(BD1970,$BD$4:$BN$12824,11,0)*BE1970</f>
        <v>0</v>
      </c>
      <c r="BX1970" s="1146">
        <f t="shared" si="377"/>
        <v>136447.01371977874</v>
      </c>
      <c r="BY1970" s="867">
        <f t="shared" si="379"/>
        <v>1016050.6181765136</v>
      </c>
      <c r="BZ1970" s="867">
        <f t="shared" si="378"/>
        <v>8128404.9454121087</v>
      </c>
      <c r="CA1970" s="867">
        <f>_xlfn.MAXIFS($BY$4:$BY$12824,$S$4:$S$12824,$S1970)</f>
        <v>1016050.6181765136</v>
      </c>
      <c r="CB1970" s="1032"/>
      <c r="CF1970" s="946">
        <f t="shared" si="382"/>
        <v>7756800</v>
      </c>
    </row>
    <row r="1971" spans="2:84">
      <c r="B1971" s="839" t="s">
        <v>98</v>
      </c>
      <c r="C1971" s="839" t="s">
        <v>273</v>
      </c>
      <c r="D1971" s="839" t="s">
        <v>6289</v>
      </c>
      <c r="E1971" s="839" t="s">
        <v>6290</v>
      </c>
      <c r="F1971" s="841">
        <v>45841</v>
      </c>
      <c r="G1971" s="868" t="s">
        <v>273</v>
      </c>
      <c r="H1971" s="842" t="s">
        <v>134</v>
      </c>
      <c r="I1971" s="883"/>
      <c r="J1971" s="841"/>
      <c r="K1971" s="841"/>
      <c r="L1971" s="843" t="s">
        <v>106</v>
      </c>
      <c r="M1971" s="844" t="s">
        <v>275</v>
      </c>
      <c r="N1971" s="841"/>
      <c r="O1971" s="884" t="s">
        <v>150</v>
      </c>
      <c r="P1971" s="842" t="s">
        <v>124</v>
      </c>
      <c r="Q1971" s="843"/>
      <c r="R1971" s="845" t="str">
        <f t="shared" si="383"/>
        <v>16787.26</v>
      </c>
      <c r="S1971" s="1127" t="s">
        <v>6497</v>
      </c>
      <c r="T1971" s="885" t="s">
        <v>6498</v>
      </c>
      <c r="U1971" s="886">
        <v>2</v>
      </c>
      <c r="V1971" s="842" t="s">
        <v>3</v>
      </c>
      <c r="W1971" s="846" t="s">
        <v>4486</v>
      </c>
      <c r="X1971" s="847">
        <f t="shared" si="380"/>
        <v>43.56</v>
      </c>
      <c r="Y1971" s="853" t="s">
        <v>4582</v>
      </c>
      <c r="Z1971" s="902">
        <v>10.346</v>
      </c>
      <c r="AA1971" s="849"/>
      <c r="AB1971" s="849">
        <f t="shared" si="373"/>
        <v>20.692</v>
      </c>
      <c r="AC1971" s="850">
        <f t="shared" si="374"/>
        <v>20.692</v>
      </c>
      <c r="AD1971" s="851">
        <f t="shared" si="381"/>
        <v>32000</v>
      </c>
      <c r="AE1971" s="852">
        <v>29936.21</v>
      </c>
      <c r="AF1971" s="853">
        <v>0.1</v>
      </c>
      <c r="AG1971" s="854">
        <f t="shared" si="375"/>
        <v>62777.737740139084</v>
      </c>
      <c r="AH1971" s="853">
        <v>0.08</v>
      </c>
      <c r="AI1971" s="855">
        <f t="shared" si="376"/>
        <v>54577.423604811134</v>
      </c>
      <c r="AJ1971" s="856" t="s">
        <v>6292</v>
      </c>
      <c r="AK1971" s="857">
        <v>45911</v>
      </c>
      <c r="AL1971" s="843" t="s">
        <v>6293</v>
      </c>
      <c r="AM1971" s="843" t="s">
        <v>6294</v>
      </c>
      <c r="AN1971" s="844" t="s">
        <v>3951</v>
      </c>
      <c r="AO1971" s="844" t="s">
        <v>141</v>
      </c>
      <c r="AP1971" s="841"/>
      <c r="AQ1971" s="841">
        <v>45929</v>
      </c>
      <c r="AR1971" s="841">
        <v>45987</v>
      </c>
      <c r="AS1971" s="842" t="s">
        <v>1284</v>
      </c>
      <c r="AT1971" s="842" t="s">
        <v>1743</v>
      </c>
      <c r="AU1971" s="842" t="s">
        <v>6295</v>
      </c>
      <c r="AV1971" s="845" t="s">
        <v>6296</v>
      </c>
      <c r="AW1971" s="861">
        <v>45986</v>
      </c>
      <c r="AX1971" s="862">
        <v>45987</v>
      </c>
      <c r="AY1971" s="843"/>
      <c r="AZ1971" s="842">
        <v>94031000</v>
      </c>
      <c r="BA1971" s="842" t="s">
        <v>120</v>
      </c>
      <c r="BB1971" s="863" t="s">
        <v>121</v>
      </c>
      <c r="BC1971" s="864">
        <v>45990</v>
      </c>
      <c r="BD1971" s="860" t="s">
        <v>6297</v>
      </c>
      <c r="BE1971" s="865" cm="1">
        <f t="array" ref="BE1971">IF(BD1971="","",AC1971/SUMPRODUCT(--(BD1971=$BD$4:$BD$12824),$AC$4:$AC$12824))</f>
        <v>2.0003530489723015E-4</v>
      </c>
      <c r="BF1971" s="458"/>
      <c r="BG1971" s="458"/>
      <c r="BH1971" s="458"/>
      <c r="BI1971" s="458"/>
      <c r="BJ1971" s="458"/>
      <c r="BK1971" s="458"/>
      <c r="BL1971" s="458"/>
      <c r="BM1971" s="458"/>
      <c r="BN1971" s="458"/>
      <c r="BO1971" s="866">
        <f>VLOOKUP(BD1971,$BD$4:$BN$12824,3,0)*BE1971</f>
        <v>7712.9758888046572</v>
      </c>
      <c r="BP1971" s="866"/>
      <c r="BQ1971" s="866"/>
      <c r="BR1971" s="866">
        <f>VLOOKUP(BD1971,$BD$4:$BN$12824,6,0)*BE1971</f>
        <v>3285.9840283400472</v>
      </c>
      <c r="BS1971" s="866">
        <f>VLOOKUP(BD1971,$BD$4:$BN$12824,7,0)*BE1971</f>
        <v>624.34419258608773</v>
      </c>
      <c r="BT1971" s="866"/>
      <c r="BU1971" s="866">
        <f>VLOOKUP(BD1971,$BD$4:$BN$12824,9,0)*BE1971</f>
        <v>24.22727595262803</v>
      </c>
      <c r="BV1971" s="867"/>
      <c r="BW1971" s="867">
        <f>VLOOKUP(BD1971,$BD$4:$BN$12824,11,0)*BE1971</f>
        <v>0</v>
      </c>
      <c r="BX1971" s="1146">
        <f t="shared" si="377"/>
        <v>11647.53138568342</v>
      </c>
      <c r="BY1971" s="867">
        <f t="shared" si="379"/>
        <v>346932.6632229113</v>
      </c>
      <c r="BZ1971" s="867">
        <f t="shared" si="378"/>
        <v>693865.3264458226</v>
      </c>
      <c r="CA1971" s="867">
        <f>_xlfn.MAXIFS($BY$4:$BY$12824,$S$4:$S$12824,$S1971)</f>
        <v>346932.6632229113</v>
      </c>
      <c r="CB1971" s="1032"/>
      <c r="CF1971" s="946">
        <f t="shared" si="382"/>
        <v>662144</v>
      </c>
    </row>
    <row r="1972" spans="2:84">
      <c r="B1972" s="839" t="s">
        <v>98</v>
      </c>
      <c r="C1972" s="839" t="s">
        <v>273</v>
      </c>
      <c r="D1972" s="839" t="s">
        <v>6289</v>
      </c>
      <c r="E1972" s="839" t="s">
        <v>6290</v>
      </c>
      <c r="F1972" s="841">
        <v>45841</v>
      </c>
      <c r="G1972" s="868" t="s">
        <v>273</v>
      </c>
      <c r="H1972" s="842" t="s">
        <v>134</v>
      </c>
      <c r="I1972" s="883"/>
      <c r="J1972" s="841"/>
      <c r="K1972" s="841"/>
      <c r="L1972" s="843" t="s">
        <v>106</v>
      </c>
      <c r="M1972" s="844" t="s">
        <v>275</v>
      </c>
      <c r="N1972" s="841"/>
      <c r="O1972" s="884" t="s">
        <v>150</v>
      </c>
      <c r="P1972" s="842" t="s">
        <v>124</v>
      </c>
      <c r="Q1972" s="843"/>
      <c r="R1972" s="845" t="str">
        <f t="shared" si="383"/>
        <v>16793.26</v>
      </c>
      <c r="S1972" s="1127" t="s">
        <v>6499</v>
      </c>
      <c r="T1972" s="885" t="s">
        <v>6500</v>
      </c>
      <c r="U1972" s="886">
        <v>2</v>
      </c>
      <c r="V1972" s="842" t="s">
        <v>3</v>
      </c>
      <c r="W1972" s="846" t="s">
        <v>4489</v>
      </c>
      <c r="X1972" s="847">
        <f t="shared" si="380"/>
        <v>52.42</v>
      </c>
      <c r="Y1972" s="853" t="s">
        <v>4582</v>
      </c>
      <c r="Z1972" s="902">
        <v>12.45</v>
      </c>
      <c r="AA1972" s="849"/>
      <c r="AB1972" s="849">
        <f t="shared" si="373"/>
        <v>24.9</v>
      </c>
      <c r="AC1972" s="850">
        <f t="shared" si="374"/>
        <v>24.9</v>
      </c>
      <c r="AD1972" s="851">
        <f t="shared" si="381"/>
        <v>32000</v>
      </c>
      <c r="AE1972" s="852">
        <v>29936.21</v>
      </c>
      <c r="AF1972" s="853">
        <v>0.1</v>
      </c>
      <c r="AG1972" s="854">
        <f t="shared" si="375"/>
        <v>75544.44566641518</v>
      </c>
      <c r="AH1972" s="853">
        <v>0.08</v>
      </c>
      <c r="AI1972" s="855">
        <f t="shared" si="376"/>
        <v>65676.485973313203</v>
      </c>
      <c r="AJ1972" s="856" t="s">
        <v>6292</v>
      </c>
      <c r="AK1972" s="857">
        <v>45911</v>
      </c>
      <c r="AL1972" s="843" t="s">
        <v>6293</v>
      </c>
      <c r="AM1972" s="843" t="s">
        <v>6294</v>
      </c>
      <c r="AN1972" s="844" t="s">
        <v>3951</v>
      </c>
      <c r="AO1972" s="844" t="s">
        <v>141</v>
      </c>
      <c r="AP1972" s="841"/>
      <c r="AQ1972" s="841">
        <v>45929</v>
      </c>
      <c r="AR1972" s="841">
        <v>45987</v>
      </c>
      <c r="AS1972" s="842" t="s">
        <v>1284</v>
      </c>
      <c r="AT1972" s="842" t="s">
        <v>1743</v>
      </c>
      <c r="AU1972" s="842" t="s">
        <v>6295</v>
      </c>
      <c r="AV1972" s="845" t="s">
        <v>6296</v>
      </c>
      <c r="AW1972" s="861">
        <v>45986</v>
      </c>
      <c r="AX1972" s="862">
        <v>45987</v>
      </c>
      <c r="AY1972" s="843"/>
      <c r="AZ1972" s="842">
        <v>94031000</v>
      </c>
      <c r="BA1972" s="842" t="s">
        <v>120</v>
      </c>
      <c r="BB1972" s="863" t="s">
        <v>121</v>
      </c>
      <c r="BC1972" s="864">
        <v>45990</v>
      </c>
      <c r="BD1972" s="860" t="s">
        <v>6297</v>
      </c>
      <c r="BE1972" s="865" cm="1">
        <f t="array" ref="BE1972">IF(BD1972="","",AC1972/SUMPRODUCT(--(BD1972=$BD$4:$BD$12824),$AC$4:$AC$12824))</f>
        <v>2.4071520838686597E-4</v>
      </c>
      <c r="BF1972" s="458"/>
      <c r="BG1972" s="458"/>
      <c r="BH1972" s="458"/>
      <c r="BI1972" s="458"/>
      <c r="BJ1972" s="458"/>
      <c r="BK1972" s="458"/>
      <c r="BL1972" s="458"/>
      <c r="BM1972" s="458"/>
      <c r="BN1972" s="458"/>
      <c r="BO1972" s="866">
        <f>VLOOKUP(BD1972,$BD$4:$BN$12824,3,0)*BE1972</f>
        <v>9281.5145771909902</v>
      </c>
      <c r="BP1972" s="866"/>
      <c r="BQ1972" s="866"/>
      <c r="BR1972" s="866">
        <f>VLOOKUP(BD1972,$BD$4:$BN$12824,6,0)*BE1972</f>
        <v>3954.2336316289957</v>
      </c>
      <c r="BS1972" s="866">
        <f>VLOOKUP(BD1972,$BD$4:$BN$12824,7,0)*BE1972</f>
        <v>751.31308696083431</v>
      </c>
      <c r="BT1972" s="866"/>
      <c r="BU1972" s="866">
        <f>VLOOKUP(BD1972,$BD$4:$BN$12824,9,0)*BE1972</f>
        <v>29.15422246377527</v>
      </c>
      <c r="BV1972" s="867"/>
      <c r="BW1972" s="867">
        <f>VLOOKUP(BD1972,$BD$4:$BN$12824,11,0)*BE1972</f>
        <v>0</v>
      </c>
      <c r="BX1972" s="1146">
        <f t="shared" si="377"/>
        <v>14016.215518244597</v>
      </c>
      <c r="BY1972" s="867">
        <f t="shared" si="379"/>
        <v>417486.14509232983</v>
      </c>
      <c r="BZ1972" s="867">
        <f t="shared" si="378"/>
        <v>834972.29018465965</v>
      </c>
      <c r="CA1972" s="867">
        <f>_xlfn.MAXIFS($BY$4:$BY$12824,$S$4:$S$12824,$S1972)</f>
        <v>417486.14509232983</v>
      </c>
      <c r="CB1972" s="1032"/>
      <c r="CF1972" s="946">
        <f t="shared" si="382"/>
        <v>796800</v>
      </c>
    </row>
    <row r="1973" spans="2:84">
      <c r="B1973" s="839" t="s">
        <v>98</v>
      </c>
      <c r="C1973" s="839" t="s">
        <v>273</v>
      </c>
      <c r="D1973" s="839" t="s">
        <v>6289</v>
      </c>
      <c r="E1973" s="839" t="s">
        <v>6290</v>
      </c>
      <c r="F1973" s="841">
        <v>45841</v>
      </c>
      <c r="G1973" s="868" t="s">
        <v>273</v>
      </c>
      <c r="H1973" s="842" t="s">
        <v>134</v>
      </c>
      <c r="I1973" s="883"/>
      <c r="J1973" s="841"/>
      <c r="K1973" s="841"/>
      <c r="L1973" s="843" t="s">
        <v>106</v>
      </c>
      <c r="M1973" s="844" t="s">
        <v>275</v>
      </c>
      <c r="N1973" s="841"/>
      <c r="O1973" s="884" t="s">
        <v>150</v>
      </c>
      <c r="P1973" s="842" t="s">
        <v>124</v>
      </c>
      <c r="Q1973" s="843"/>
      <c r="R1973" s="845" t="str">
        <f t="shared" si="383"/>
        <v>16791.24</v>
      </c>
      <c r="S1973" s="1127" t="s">
        <v>4671</v>
      </c>
      <c r="T1973" s="885" t="s">
        <v>4672</v>
      </c>
      <c r="U1973" s="886">
        <v>4</v>
      </c>
      <c r="V1973" s="842" t="s">
        <v>3</v>
      </c>
      <c r="W1973" s="846" t="s">
        <v>4566</v>
      </c>
      <c r="X1973" s="847">
        <f t="shared" si="380"/>
        <v>113.64</v>
      </c>
      <c r="Y1973" s="853" t="s">
        <v>4582</v>
      </c>
      <c r="Z1973" s="902">
        <v>13.494999999999999</v>
      </c>
      <c r="AA1973" s="849"/>
      <c r="AB1973" s="849">
        <f t="shared" si="373"/>
        <v>53.98</v>
      </c>
      <c r="AC1973" s="850">
        <f t="shared" si="374"/>
        <v>53.98</v>
      </c>
      <c r="AD1973" s="851">
        <f t="shared" si="381"/>
        <v>32000</v>
      </c>
      <c r="AE1973" s="852">
        <v>29936.21</v>
      </c>
      <c r="AF1973" s="853">
        <v>0.1</v>
      </c>
      <c r="AG1973" s="854">
        <f t="shared" si="375"/>
        <v>163770.64968165025</v>
      </c>
      <c r="AH1973" s="853">
        <v>0.08</v>
      </c>
      <c r="AI1973" s="855">
        <f t="shared" si="376"/>
        <v>142378.18123853201</v>
      </c>
      <c r="AJ1973" s="856" t="s">
        <v>6292</v>
      </c>
      <c r="AK1973" s="857">
        <v>45911</v>
      </c>
      <c r="AL1973" s="843" t="s">
        <v>6293</v>
      </c>
      <c r="AM1973" s="843" t="s">
        <v>6294</v>
      </c>
      <c r="AN1973" s="844" t="s">
        <v>3951</v>
      </c>
      <c r="AO1973" s="844" t="s">
        <v>141</v>
      </c>
      <c r="AP1973" s="841"/>
      <c r="AQ1973" s="841">
        <v>45929</v>
      </c>
      <c r="AR1973" s="841">
        <v>45987</v>
      </c>
      <c r="AS1973" s="842" t="s">
        <v>1284</v>
      </c>
      <c r="AT1973" s="842" t="s">
        <v>1743</v>
      </c>
      <c r="AU1973" s="842" t="s">
        <v>6295</v>
      </c>
      <c r="AV1973" s="845" t="s">
        <v>6296</v>
      </c>
      <c r="AW1973" s="861">
        <v>45986</v>
      </c>
      <c r="AX1973" s="862">
        <v>45987</v>
      </c>
      <c r="AY1973" s="843"/>
      <c r="AZ1973" s="842">
        <v>94031000</v>
      </c>
      <c r="BA1973" s="842" t="s">
        <v>120</v>
      </c>
      <c r="BB1973" s="863" t="s">
        <v>121</v>
      </c>
      <c r="BC1973" s="864">
        <v>45990</v>
      </c>
      <c r="BD1973" s="860" t="s">
        <v>6297</v>
      </c>
      <c r="BE1973" s="865" cm="1">
        <f t="array" ref="BE1973">IF(BD1973="","",AC1973/SUMPRODUCT(--(BD1973=$BD$4:$BD$12824),$AC$4:$AC$12824))</f>
        <v>5.2183963649490058E-4</v>
      </c>
      <c r="BF1973" s="458"/>
      <c r="BG1973" s="458"/>
      <c r="BH1973" s="458"/>
      <c r="BI1973" s="458"/>
      <c r="BJ1973" s="458"/>
      <c r="BK1973" s="458"/>
      <c r="BL1973" s="458"/>
      <c r="BM1973" s="458"/>
      <c r="BN1973" s="458"/>
      <c r="BO1973" s="866">
        <f>VLOOKUP(BD1973,$BD$4:$BN$12824,3,0)*BE1973</f>
        <v>20121.130798263839</v>
      </c>
      <c r="BP1973" s="866"/>
      <c r="BQ1973" s="866"/>
      <c r="BR1973" s="866">
        <f>VLOOKUP(BD1973,$BD$4:$BN$12824,6,0)*BE1973</f>
        <v>8572.2703387684014</v>
      </c>
      <c r="BS1973" s="866">
        <f>VLOOKUP(BD1973,$BD$4:$BN$12824,7,0)*BE1973</f>
        <v>1628.7502182387886</v>
      </c>
      <c r="BT1973" s="866"/>
      <c r="BU1973" s="866">
        <f>VLOOKUP(BD1973,$BD$4:$BN$12824,9,0)*BE1973</f>
        <v>63.202607574079885</v>
      </c>
      <c r="BV1973" s="867"/>
      <c r="BW1973" s="867">
        <f>VLOOKUP(BD1973,$BD$4:$BN$12824,11,0)*BE1973</f>
        <v>0</v>
      </c>
      <c r="BX1973" s="1146">
        <f t="shared" si="377"/>
        <v>30385.353962845107</v>
      </c>
      <c r="BY1973" s="867">
        <f t="shared" si="379"/>
        <v>452528.15486112382</v>
      </c>
      <c r="BZ1973" s="867">
        <f t="shared" si="378"/>
        <v>1810112.6194444953</v>
      </c>
      <c r="CA1973" s="867">
        <f>_xlfn.MAXIFS($BY$4:$BY$12824,$S$4:$S$12824,$S1973)</f>
        <v>494090.60952857166</v>
      </c>
      <c r="CB1973" s="1032"/>
      <c r="CF1973" s="946">
        <f t="shared" si="382"/>
        <v>1727360</v>
      </c>
    </row>
    <row r="1974" spans="2:84">
      <c r="B1974" s="839" t="s">
        <v>98</v>
      </c>
      <c r="C1974" s="839" t="s">
        <v>273</v>
      </c>
      <c r="D1974" s="839" t="s">
        <v>6289</v>
      </c>
      <c r="E1974" s="839" t="s">
        <v>6501</v>
      </c>
      <c r="F1974" s="841">
        <v>45854</v>
      </c>
      <c r="G1974" s="868" t="s">
        <v>273</v>
      </c>
      <c r="H1974" s="842" t="s">
        <v>134</v>
      </c>
      <c r="I1974" s="883"/>
      <c r="J1974" s="841"/>
      <c r="K1974" s="841"/>
      <c r="L1974" s="843" t="s">
        <v>106</v>
      </c>
      <c r="M1974" s="844" t="s">
        <v>275</v>
      </c>
      <c r="N1974" s="841"/>
      <c r="O1974" s="884" t="s">
        <v>150</v>
      </c>
      <c r="P1974" s="842" t="s">
        <v>124</v>
      </c>
      <c r="Q1974" s="843"/>
      <c r="R1974" s="845" t="s">
        <v>1112</v>
      </c>
      <c r="S1974" s="1127" t="s">
        <v>1113</v>
      </c>
      <c r="T1974" s="885" t="s">
        <v>6502</v>
      </c>
      <c r="U1974" s="886">
        <v>700</v>
      </c>
      <c r="V1974" s="842" t="s">
        <v>3</v>
      </c>
      <c r="W1974" s="849">
        <v>11.15</v>
      </c>
      <c r="X1974" s="847">
        <f t="shared" si="380"/>
        <v>7805</v>
      </c>
      <c r="Y1974" s="853" t="s">
        <v>4582</v>
      </c>
      <c r="Z1974" s="902">
        <v>5.2960000000000003</v>
      </c>
      <c r="AA1974" s="849"/>
      <c r="AB1974" s="849">
        <f t="shared" si="373"/>
        <v>3707.2000000000003</v>
      </c>
      <c r="AC1974" s="850">
        <f t="shared" si="374"/>
        <v>3707.2000000000003</v>
      </c>
      <c r="AD1974" s="851">
        <f t="shared" si="381"/>
        <v>32000</v>
      </c>
      <c r="AE1974" s="852">
        <v>29936.21</v>
      </c>
      <c r="AF1974" s="853">
        <v>0.1</v>
      </c>
      <c r="AG1974" s="854">
        <f t="shared" si="375"/>
        <v>11247324.055202184</v>
      </c>
      <c r="AH1974" s="853">
        <v>0.08</v>
      </c>
      <c r="AI1974" s="855">
        <f t="shared" si="376"/>
        <v>9778147.3413761742</v>
      </c>
      <c r="AJ1974" s="856" t="s">
        <v>6292</v>
      </c>
      <c r="AK1974" s="857">
        <v>45911</v>
      </c>
      <c r="AL1974" s="843" t="s">
        <v>6293</v>
      </c>
      <c r="AM1974" s="843" t="s">
        <v>6294</v>
      </c>
      <c r="AN1974" s="844" t="s">
        <v>3951</v>
      </c>
      <c r="AO1974" s="844" t="s">
        <v>141</v>
      </c>
      <c r="AP1974" s="841"/>
      <c r="AQ1974" s="841">
        <v>45929</v>
      </c>
      <c r="AR1974" s="841">
        <v>45987</v>
      </c>
      <c r="AS1974" s="842" t="s">
        <v>1284</v>
      </c>
      <c r="AT1974" s="842" t="s">
        <v>1743</v>
      </c>
      <c r="AU1974" s="842" t="s">
        <v>6295</v>
      </c>
      <c r="AV1974" s="845" t="s">
        <v>6296</v>
      </c>
      <c r="AW1974" s="861">
        <v>45986</v>
      </c>
      <c r="AX1974" s="862">
        <v>45987</v>
      </c>
      <c r="AY1974" s="843"/>
      <c r="AZ1974" s="842">
        <v>94031000</v>
      </c>
      <c r="BA1974" s="842" t="s">
        <v>120</v>
      </c>
      <c r="BB1974" s="863" t="s">
        <v>121</v>
      </c>
      <c r="BC1974" s="864">
        <v>45990</v>
      </c>
      <c r="BD1974" s="860" t="s">
        <v>6297</v>
      </c>
      <c r="BE1974" s="865" cm="1">
        <f t="array" ref="BE1974">IF(BD1974="","",AC1974/SUMPRODUCT(--(BD1974=$BD$4:$BD$12824),$AC$4:$AC$12824))</f>
        <v>3.5838530945051794E-2</v>
      </c>
      <c r="BF1974" s="458"/>
      <c r="BG1974" s="458"/>
      <c r="BH1974" s="458"/>
      <c r="BI1974" s="458"/>
      <c r="BJ1974" s="458"/>
      <c r="BK1974" s="458"/>
      <c r="BL1974" s="458"/>
      <c r="BM1974" s="458"/>
      <c r="BN1974" s="458"/>
      <c r="BO1974" s="866">
        <f>VLOOKUP(BD1974,$BD$4:$BN$12824,3,0)*BE1974</f>
        <v>1381864.6923920661</v>
      </c>
      <c r="BP1974" s="866"/>
      <c r="BQ1974" s="866"/>
      <c r="BR1974" s="866">
        <f>VLOOKUP(BD1974,$BD$4:$BN$12824,6,0)*BE1974</f>
        <v>588720.27787851472</v>
      </c>
      <c r="BS1974" s="866">
        <f>VLOOKUP(BD1974,$BD$4:$BN$12824,7,0)*BE1974</f>
        <v>111858.14762976729</v>
      </c>
      <c r="BT1974" s="866"/>
      <c r="BU1974" s="866">
        <f>VLOOKUP(BD1974,$BD$4:$BN$12824,9,0)*BE1974</f>
        <v>4340.5836754099482</v>
      </c>
      <c r="BV1974" s="867"/>
      <c r="BW1974" s="867">
        <f>VLOOKUP(BD1974,$BD$4:$BN$12824,11,0)*BE1974</f>
        <v>0</v>
      </c>
      <c r="BX1974" s="1146">
        <f t="shared" si="377"/>
        <v>2086783.7015757579</v>
      </c>
      <c r="BY1974" s="867">
        <f t="shared" si="379"/>
        <v>177590.89352682562</v>
      </c>
      <c r="BZ1974" s="867">
        <f t="shared" si="378"/>
        <v>124313625.46877792</v>
      </c>
      <c r="CA1974" s="867">
        <f>_xlfn.MAXIFS($BY$4:$BY$12824,$S$4:$S$12824,$S1974)</f>
        <v>209011.24719546674</v>
      </c>
      <c r="CB1974" s="1032"/>
      <c r="CF1974" s="946">
        <f t="shared" si="382"/>
        <v>118630400.00000001</v>
      </c>
    </row>
    <row r="1975" spans="2:84">
      <c r="B1975" s="839" t="s">
        <v>98</v>
      </c>
      <c r="C1975" s="839" t="s">
        <v>273</v>
      </c>
      <c r="D1975" s="839" t="s">
        <v>6289</v>
      </c>
      <c r="E1975" s="839" t="s">
        <v>6501</v>
      </c>
      <c r="F1975" s="841">
        <v>45854</v>
      </c>
      <c r="G1975" s="868" t="s">
        <v>273</v>
      </c>
      <c r="H1975" s="842" t="s">
        <v>134</v>
      </c>
      <c r="I1975" s="883"/>
      <c r="J1975" s="841"/>
      <c r="K1975" s="841"/>
      <c r="L1975" s="843" t="s">
        <v>106</v>
      </c>
      <c r="M1975" s="844" t="s">
        <v>275</v>
      </c>
      <c r="N1975" s="841"/>
      <c r="O1975" s="884" t="s">
        <v>150</v>
      </c>
      <c r="P1975" s="842" t="s">
        <v>124</v>
      </c>
      <c r="Q1975" s="843"/>
      <c r="R1975" s="845" t="s">
        <v>6503</v>
      </c>
      <c r="S1975" s="1127" t="s">
        <v>4509</v>
      </c>
      <c r="T1975" s="885" t="s">
        <v>6504</v>
      </c>
      <c r="U1975" s="886">
        <v>300</v>
      </c>
      <c r="V1975" s="842" t="s">
        <v>3</v>
      </c>
      <c r="W1975" s="849">
        <v>11.97</v>
      </c>
      <c r="X1975" s="847">
        <f t="shared" si="380"/>
        <v>3591</v>
      </c>
      <c r="Y1975" s="853" t="s">
        <v>4582</v>
      </c>
      <c r="Z1975" s="902">
        <v>5.6859999999999999</v>
      </c>
      <c r="AA1975" s="849"/>
      <c r="AB1975" s="849">
        <f t="shared" si="373"/>
        <v>1705.8</v>
      </c>
      <c r="AC1975" s="850">
        <f t="shared" si="374"/>
        <v>1705.8</v>
      </c>
      <c r="AD1975" s="851">
        <f t="shared" si="381"/>
        <v>32000</v>
      </c>
      <c r="AE1975" s="852">
        <v>29936.21</v>
      </c>
      <c r="AF1975" s="853">
        <v>0.1</v>
      </c>
      <c r="AG1975" s="854">
        <f t="shared" si="375"/>
        <v>5175249.6151715266</v>
      </c>
      <c r="AH1975" s="853">
        <v>0.08</v>
      </c>
      <c r="AI1975" s="855">
        <f t="shared" si="376"/>
        <v>4499234.930653722</v>
      </c>
      <c r="AJ1975" s="856" t="s">
        <v>6292</v>
      </c>
      <c r="AK1975" s="857">
        <v>45911</v>
      </c>
      <c r="AL1975" s="843" t="s">
        <v>6293</v>
      </c>
      <c r="AM1975" s="843" t="s">
        <v>6294</v>
      </c>
      <c r="AN1975" s="844" t="s">
        <v>3951</v>
      </c>
      <c r="AO1975" s="844" t="s">
        <v>141</v>
      </c>
      <c r="AP1975" s="841"/>
      <c r="AQ1975" s="841">
        <v>45929</v>
      </c>
      <c r="AR1975" s="841">
        <v>45987</v>
      </c>
      <c r="AS1975" s="842" t="s">
        <v>1284</v>
      </c>
      <c r="AT1975" s="842" t="s">
        <v>1743</v>
      </c>
      <c r="AU1975" s="842" t="s">
        <v>6295</v>
      </c>
      <c r="AV1975" s="845" t="s">
        <v>6296</v>
      </c>
      <c r="AW1975" s="861">
        <v>45986</v>
      </c>
      <c r="AX1975" s="862">
        <v>45987</v>
      </c>
      <c r="AY1975" s="843"/>
      <c r="AZ1975" s="842">
        <v>94031000</v>
      </c>
      <c r="BA1975" s="842" t="s">
        <v>120</v>
      </c>
      <c r="BB1975" s="863" t="s">
        <v>121</v>
      </c>
      <c r="BC1975" s="864">
        <v>45990</v>
      </c>
      <c r="BD1975" s="860" t="s">
        <v>6297</v>
      </c>
      <c r="BE1975" s="865" cm="1">
        <f t="array" ref="BE1975">IF(BD1975="","",AC1975/SUMPRODUCT(--(BD1975=$BD$4:$BD$12824),$AC$4:$AC$12824))</f>
        <v>1.6490441866117107E-2</v>
      </c>
      <c r="BF1975" s="458"/>
      <c r="BG1975" s="458"/>
      <c r="BH1975" s="458"/>
      <c r="BI1975" s="458"/>
      <c r="BJ1975" s="458"/>
      <c r="BK1975" s="458"/>
      <c r="BL1975" s="458"/>
      <c r="BM1975" s="458"/>
      <c r="BN1975" s="458"/>
      <c r="BO1975" s="866">
        <f>VLOOKUP(BD1975,$BD$4:$BN$12824,3,0)*BE1975</f>
        <v>635839.66127599962</v>
      </c>
      <c r="BP1975" s="866"/>
      <c r="BQ1975" s="866"/>
      <c r="BR1975" s="866">
        <f>VLOOKUP(BD1975,$BD$4:$BN$12824,6,0)*BE1975</f>
        <v>270888.82445111405</v>
      </c>
      <c r="BS1975" s="866">
        <f>VLOOKUP(BD1975,$BD$4:$BN$12824,7,0)*BE1975</f>
        <v>51469.47243926872</v>
      </c>
      <c r="BT1975" s="866"/>
      <c r="BU1975" s="866">
        <f>VLOOKUP(BD1975,$BD$4:$BN$12824,9,0)*BE1975</f>
        <v>1997.2398666147733</v>
      </c>
      <c r="BV1975" s="867"/>
      <c r="BW1975" s="867">
        <f>VLOOKUP(BD1975,$BD$4:$BN$12824,11,0)*BE1975</f>
        <v>0</v>
      </c>
      <c r="BX1975" s="1146">
        <f t="shared" si="377"/>
        <v>960195.1980329972</v>
      </c>
      <c r="BY1975" s="867">
        <f t="shared" si="379"/>
        <v>190668.77277068177</v>
      </c>
      <c r="BZ1975" s="867">
        <f t="shared" si="378"/>
        <v>57200631.831204534</v>
      </c>
      <c r="CA1975" s="867">
        <f>_xlfn.MAXIFS($BY$4:$BY$12824,$S$4:$S$12824,$S1975)</f>
        <v>236222.14541525388</v>
      </c>
      <c r="CB1975" s="1032"/>
      <c r="CF1975" s="946">
        <f t="shared" si="382"/>
        <v>54585600</v>
      </c>
    </row>
    <row r="1976" spans="2:84">
      <c r="B1976" s="839" t="s">
        <v>98</v>
      </c>
      <c r="C1976" s="839" t="s">
        <v>273</v>
      </c>
      <c r="D1976" s="839" t="s">
        <v>6289</v>
      </c>
      <c r="E1976" s="839" t="s">
        <v>6501</v>
      </c>
      <c r="F1976" s="841">
        <v>45854</v>
      </c>
      <c r="G1976" s="868" t="s">
        <v>273</v>
      </c>
      <c r="H1976" s="842" t="s">
        <v>134</v>
      </c>
      <c r="I1976" s="883"/>
      <c r="J1976" s="841"/>
      <c r="K1976" s="841"/>
      <c r="L1976" s="843" t="s">
        <v>106</v>
      </c>
      <c r="M1976" s="844" t="s">
        <v>275</v>
      </c>
      <c r="N1976" s="841"/>
      <c r="O1976" s="884" t="s">
        <v>150</v>
      </c>
      <c r="P1976" s="842" t="s">
        <v>124</v>
      </c>
      <c r="Q1976" s="843"/>
      <c r="R1976" s="845" t="s">
        <v>4514</v>
      </c>
      <c r="S1976" s="1127" t="s">
        <v>4515</v>
      </c>
      <c r="T1976" s="885" t="s">
        <v>4516</v>
      </c>
      <c r="U1976" s="886">
        <v>600</v>
      </c>
      <c r="V1976" s="842" t="s">
        <v>3</v>
      </c>
      <c r="W1976" s="849">
        <v>4.6399999999999997</v>
      </c>
      <c r="X1976" s="847">
        <f t="shared" si="380"/>
        <v>2784</v>
      </c>
      <c r="Y1976" s="853" t="s">
        <v>4582</v>
      </c>
      <c r="Z1976" s="902">
        <v>2.2040000000000002</v>
      </c>
      <c r="AA1976" s="849"/>
      <c r="AB1976" s="849">
        <f t="shared" si="373"/>
        <v>1322.4</v>
      </c>
      <c r="AC1976" s="850">
        <f t="shared" si="374"/>
        <v>1322.4</v>
      </c>
      <c r="AD1976" s="851">
        <f t="shared" si="381"/>
        <v>32000</v>
      </c>
      <c r="AE1976" s="852">
        <v>29936.21</v>
      </c>
      <c r="AF1976" s="853">
        <v>0.1</v>
      </c>
      <c r="AG1976" s="854">
        <f t="shared" si="375"/>
        <v>4012047.186717568</v>
      </c>
      <c r="AH1976" s="853">
        <v>0.08</v>
      </c>
      <c r="AI1976" s="855">
        <f t="shared" si="376"/>
        <v>3487975.3032574058</v>
      </c>
      <c r="AJ1976" s="856" t="s">
        <v>6292</v>
      </c>
      <c r="AK1976" s="857">
        <v>45911</v>
      </c>
      <c r="AL1976" s="843" t="s">
        <v>6293</v>
      </c>
      <c r="AM1976" s="843" t="s">
        <v>6294</v>
      </c>
      <c r="AN1976" s="844" t="s">
        <v>3951</v>
      </c>
      <c r="AO1976" s="844" t="s">
        <v>141</v>
      </c>
      <c r="AP1976" s="841"/>
      <c r="AQ1976" s="841">
        <v>45929</v>
      </c>
      <c r="AR1976" s="841">
        <v>45987</v>
      </c>
      <c r="AS1976" s="842" t="s">
        <v>1284</v>
      </c>
      <c r="AT1976" s="842" t="s">
        <v>1743</v>
      </c>
      <c r="AU1976" s="842" t="s">
        <v>6295</v>
      </c>
      <c r="AV1976" s="845" t="s">
        <v>6296</v>
      </c>
      <c r="AW1976" s="861">
        <v>45986</v>
      </c>
      <c r="AX1976" s="862">
        <v>45987</v>
      </c>
      <c r="AY1976" s="843"/>
      <c r="AZ1976" s="842">
        <v>94031000</v>
      </c>
      <c r="BA1976" s="842" t="s">
        <v>120</v>
      </c>
      <c r="BB1976" s="863" t="s">
        <v>121</v>
      </c>
      <c r="BC1976" s="864">
        <v>45990</v>
      </c>
      <c r="BD1976" s="860" t="s">
        <v>6297</v>
      </c>
      <c r="BE1976" s="865" cm="1">
        <f t="array" ref="BE1976">IF(BD1976="","",AC1976/SUMPRODUCT(--(BD1976=$BD$4:$BD$12824),$AC$4:$AC$12824))</f>
        <v>1.2784007693606088E-2</v>
      </c>
      <c r="BF1976" s="458"/>
      <c r="BG1976" s="458"/>
      <c r="BH1976" s="458"/>
      <c r="BI1976" s="458"/>
      <c r="BJ1976" s="458"/>
      <c r="BK1976" s="458"/>
      <c r="BL1976" s="458"/>
      <c r="BM1976" s="458"/>
      <c r="BN1976" s="458"/>
      <c r="BO1976" s="866">
        <f>VLOOKUP(BD1976,$BD$4:$BN$12824,3,0)*BE1976</f>
        <v>492926.70188262517</v>
      </c>
      <c r="BP1976" s="866"/>
      <c r="BQ1976" s="866"/>
      <c r="BR1976" s="866">
        <f>VLOOKUP(BD1976,$BD$4:$BN$12824,6,0)*BE1976</f>
        <v>210003.15479783871</v>
      </c>
      <c r="BS1976" s="866">
        <f>VLOOKUP(BD1976,$BD$4:$BN$12824,7,0)*BE1976</f>
        <v>39901.061293052509</v>
      </c>
      <c r="BT1976" s="866"/>
      <c r="BU1976" s="866">
        <f>VLOOKUP(BD1976,$BD$4:$BN$12824,9,0)*BE1976</f>
        <v>1548.3350918111014</v>
      </c>
      <c r="BV1976" s="867"/>
      <c r="BW1976" s="867">
        <f>VLOOKUP(BD1976,$BD$4:$BN$12824,11,0)*BE1976</f>
        <v>0</v>
      </c>
      <c r="BX1976" s="1146">
        <f t="shared" si="377"/>
        <v>744379.25306532753</v>
      </c>
      <c r="BY1976" s="867">
        <f t="shared" si="379"/>
        <v>73906.78423963816</v>
      </c>
      <c r="BZ1976" s="867">
        <f t="shared" si="378"/>
        <v>44344070.543782897</v>
      </c>
      <c r="CA1976" s="867">
        <f>_xlfn.MAXIFS($BY$4:$BY$12824,$S$4:$S$12824,$S1976)</f>
        <v>86759.385628306947</v>
      </c>
      <c r="CB1976" s="1032"/>
      <c r="CF1976" s="946">
        <f t="shared" si="382"/>
        <v>42316800</v>
      </c>
    </row>
    <row r="1977" spans="2:84">
      <c r="B1977" s="839" t="s">
        <v>98</v>
      </c>
      <c r="C1977" s="839" t="s">
        <v>273</v>
      </c>
      <c r="D1977" s="839" t="s">
        <v>6289</v>
      </c>
      <c r="E1977" s="839" t="s">
        <v>6501</v>
      </c>
      <c r="F1977" s="841">
        <v>45854</v>
      </c>
      <c r="G1977" s="868" t="s">
        <v>273</v>
      </c>
      <c r="H1977" s="842" t="s">
        <v>134</v>
      </c>
      <c r="I1977" s="883"/>
      <c r="J1977" s="841"/>
      <c r="K1977" s="841"/>
      <c r="L1977" s="843" t="s">
        <v>106</v>
      </c>
      <c r="M1977" s="844" t="s">
        <v>275</v>
      </c>
      <c r="N1977" s="841"/>
      <c r="O1977" s="884" t="s">
        <v>150</v>
      </c>
      <c r="P1977" s="842" t="s">
        <v>124</v>
      </c>
      <c r="Q1977" s="843"/>
      <c r="R1977" s="845" t="s">
        <v>6505</v>
      </c>
      <c r="S1977" s="1127" t="s">
        <v>6302</v>
      </c>
      <c r="T1977" s="885" t="s">
        <v>6506</v>
      </c>
      <c r="U1977" s="886">
        <v>500</v>
      </c>
      <c r="V1977" s="842" t="s">
        <v>3</v>
      </c>
      <c r="W1977" s="849">
        <v>14.72</v>
      </c>
      <c r="X1977" s="847">
        <f t="shared" si="380"/>
        <v>7360</v>
      </c>
      <c r="Y1977" s="853" t="s">
        <v>4582</v>
      </c>
      <c r="Z1977" s="902">
        <v>6.992</v>
      </c>
      <c r="AA1977" s="849"/>
      <c r="AB1977" s="849">
        <f t="shared" si="373"/>
        <v>3496</v>
      </c>
      <c r="AC1977" s="850">
        <f t="shared" si="374"/>
        <v>3496</v>
      </c>
      <c r="AD1977" s="851">
        <f t="shared" si="381"/>
        <v>32000</v>
      </c>
      <c r="AE1977" s="852">
        <v>29936.21</v>
      </c>
      <c r="AF1977" s="853">
        <v>0.1</v>
      </c>
      <c r="AG1977" s="854">
        <f t="shared" si="375"/>
        <v>10606561.528103916</v>
      </c>
      <c r="AH1977" s="853">
        <v>0.08</v>
      </c>
      <c r="AI1977" s="855">
        <f t="shared" si="376"/>
        <v>9221084.1350483131</v>
      </c>
      <c r="AJ1977" s="856" t="s">
        <v>6292</v>
      </c>
      <c r="AK1977" s="857">
        <v>45911</v>
      </c>
      <c r="AL1977" s="843" t="s">
        <v>6293</v>
      </c>
      <c r="AM1977" s="843" t="s">
        <v>6294</v>
      </c>
      <c r="AN1977" s="844" t="s">
        <v>3951</v>
      </c>
      <c r="AO1977" s="844" t="s">
        <v>141</v>
      </c>
      <c r="AP1977" s="841"/>
      <c r="AQ1977" s="841">
        <v>45929</v>
      </c>
      <c r="AR1977" s="841">
        <v>45987</v>
      </c>
      <c r="AS1977" s="842" t="s">
        <v>1284</v>
      </c>
      <c r="AT1977" s="842" t="s">
        <v>1743</v>
      </c>
      <c r="AU1977" s="842" t="s">
        <v>6295</v>
      </c>
      <c r="AV1977" s="845" t="s">
        <v>6296</v>
      </c>
      <c r="AW1977" s="861">
        <v>45986</v>
      </c>
      <c r="AX1977" s="862">
        <v>45987</v>
      </c>
      <c r="AY1977" s="843"/>
      <c r="AZ1977" s="842">
        <v>94031000</v>
      </c>
      <c r="BA1977" s="842" t="s">
        <v>120</v>
      </c>
      <c r="BB1977" s="863" t="s">
        <v>121</v>
      </c>
      <c r="BC1977" s="864">
        <v>45990</v>
      </c>
      <c r="BD1977" s="860" t="s">
        <v>6297</v>
      </c>
      <c r="BE1977" s="865" cm="1">
        <f t="array" ref="BE1977">IF(BD1977="","",AC1977/SUMPRODUCT(--(BD1977=$BD$4:$BD$12824),$AC$4:$AC$12824))</f>
        <v>3.3796801948613793E-2</v>
      </c>
      <c r="BF1977" s="458"/>
      <c r="BG1977" s="458"/>
      <c r="BH1977" s="458"/>
      <c r="BI1977" s="458"/>
      <c r="BJ1977" s="458"/>
      <c r="BK1977" s="458"/>
      <c r="BL1977" s="458"/>
      <c r="BM1977" s="458"/>
      <c r="BN1977" s="458"/>
      <c r="BO1977" s="866">
        <f>VLOOKUP(BD1977,$BD$4:$BN$12824,3,0)*BE1977</f>
        <v>1303139.5567011929</v>
      </c>
      <c r="BP1977" s="866"/>
      <c r="BQ1977" s="866"/>
      <c r="BR1977" s="866">
        <f>VLOOKUP(BD1977,$BD$4:$BN$12824,6,0)*BE1977</f>
        <v>555180.75406325178</v>
      </c>
      <c r="BS1977" s="866">
        <f>VLOOKUP(BD1977,$BD$4:$BN$12824,7,0)*BE1977</f>
        <v>105485.5643379549</v>
      </c>
      <c r="BT1977" s="866"/>
      <c r="BU1977" s="866">
        <f>VLOOKUP(BD1977,$BD$4:$BN$12824,9,0)*BE1977</f>
        <v>4093.2996680063598</v>
      </c>
      <c r="BV1977" s="867"/>
      <c r="BW1977" s="867">
        <f>VLOOKUP(BD1977,$BD$4:$BN$12824,11,0)*BE1977</f>
        <v>0</v>
      </c>
      <c r="BX1977" s="1146">
        <f t="shared" si="377"/>
        <v>1967899.1747704057</v>
      </c>
      <c r="BY1977" s="867">
        <f t="shared" si="379"/>
        <v>234462.90172574864</v>
      </c>
      <c r="BZ1977" s="867">
        <f t="shared" si="378"/>
        <v>117231450.86287431</v>
      </c>
      <c r="CA1977" s="867">
        <f>_xlfn.MAXIFS($BY$4:$BY$12824,$S$4:$S$12824,$S1977)</f>
        <v>234462.90172574864</v>
      </c>
      <c r="CB1977" s="1032"/>
      <c r="CF1977" s="946">
        <f t="shared" si="382"/>
        <v>111872000</v>
      </c>
    </row>
    <row r="1978" spans="2:84">
      <c r="B1978" s="839" t="s">
        <v>98</v>
      </c>
      <c r="C1978" s="839" t="s">
        <v>273</v>
      </c>
      <c r="D1978" s="839" t="s">
        <v>6289</v>
      </c>
      <c r="E1978" s="839" t="s">
        <v>6501</v>
      </c>
      <c r="F1978" s="841">
        <v>45854</v>
      </c>
      <c r="G1978" s="868" t="s">
        <v>273</v>
      </c>
      <c r="H1978" s="842" t="s">
        <v>134</v>
      </c>
      <c r="I1978" s="883"/>
      <c r="J1978" s="841"/>
      <c r="K1978" s="841"/>
      <c r="L1978" s="843" t="s">
        <v>106</v>
      </c>
      <c r="M1978" s="844" t="s">
        <v>275</v>
      </c>
      <c r="N1978" s="841"/>
      <c r="O1978" s="884" t="s">
        <v>150</v>
      </c>
      <c r="P1978" s="842" t="s">
        <v>5488</v>
      </c>
      <c r="Q1978" s="843"/>
      <c r="R1978" s="845" t="s">
        <v>6507</v>
      </c>
      <c r="S1978" s="1127" t="s">
        <v>6508</v>
      </c>
      <c r="T1978" s="885" t="s">
        <v>6509</v>
      </c>
      <c r="U1978" s="886">
        <v>2</v>
      </c>
      <c r="V1978" s="842" t="s">
        <v>3</v>
      </c>
      <c r="W1978" s="849">
        <v>1284.9000000000001</v>
      </c>
      <c r="X1978" s="847">
        <f t="shared" si="380"/>
        <v>2569.8000000000002</v>
      </c>
      <c r="Y1978" s="853" t="s">
        <v>4582</v>
      </c>
      <c r="Z1978" s="902">
        <v>610.32799999999997</v>
      </c>
      <c r="AA1978" s="849"/>
      <c r="AB1978" s="849">
        <f t="shared" si="373"/>
        <v>1220.6559999999999</v>
      </c>
      <c r="AC1978" s="850">
        <f t="shared" si="374"/>
        <v>1220.6559999999999</v>
      </c>
      <c r="AD1978" s="851">
        <f t="shared" si="381"/>
        <v>32000</v>
      </c>
      <c r="AE1978" s="852">
        <v>29936.21</v>
      </c>
      <c r="AF1978" s="853">
        <v>0.1</v>
      </c>
      <c r="AG1978" s="854">
        <f t="shared" si="375"/>
        <v>3703364.6935495455</v>
      </c>
      <c r="AH1978" s="853">
        <v>0.08</v>
      </c>
      <c r="AI1978" s="855">
        <f t="shared" si="376"/>
        <v>3219614.3237847635</v>
      </c>
      <c r="AJ1978" s="856" t="s">
        <v>6292</v>
      </c>
      <c r="AK1978" s="857">
        <v>45911</v>
      </c>
      <c r="AL1978" s="843" t="s">
        <v>6293</v>
      </c>
      <c r="AM1978" s="843" t="s">
        <v>6294</v>
      </c>
      <c r="AN1978" s="844" t="s">
        <v>3951</v>
      </c>
      <c r="AO1978" s="844" t="s">
        <v>141</v>
      </c>
      <c r="AP1978" s="841"/>
      <c r="AQ1978" s="841">
        <v>45929</v>
      </c>
      <c r="AR1978" s="841">
        <v>45987</v>
      </c>
      <c r="AS1978" s="842" t="s">
        <v>1284</v>
      </c>
      <c r="AT1978" s="842" t="s">
        <v>1743</v>
      </c>
      <c r="AU1978" s="842" t="s">
        <v>6295</v>
      </c>
      <c r="AV1978" s="845" t="s">
        <v>6296</v>
      </c>
      <c r="AW1978" s="861">
        <v>45986</v>
      </c>
      <c r="AX1978" s="862">
        <v>45987</v>
      </c>
      <c r="AY1978" s="843"/>
      <c r="AZ1978" s="842">
        <v>94031000</v>
      </c>
      <c r="BA1978" s="842" t="s">
        <v>120</v>
      </c>
      <c r="BB1978" s="863" t="s">
        <v>121</v>
      </c>
      <c r="BC1978" s="864">
        <v>45990</v>
      </c>
      <c r="BD1978" s="860" t="s">
        <v>6297</v>
      </c>
      <c r="BE1978" s="865" cm="1">
        <f t="array" ref="BE1978">IF(BD1978="","",AC1978/SUMPRODUCT(--(BD1978=$BD$4:$BD$12824),$AC$4:$AC$12824))</f>
        <v>1.1800420217215994E-2</v>
      </c>
      <c r="BF1978" s="458"/>
      <c r="BG1978" s="458"/>
      <c r="BH1978" s="458"/>
      <c r="BI1978" s="458"/>
      <c r="BJ1978" s="458"/>
      <c r="BK1978" s="458"/>
      <c r="BL1978" s="458"/>
      <c r="BM1978" s="458"/>
      <c r="BN1978" s="458"/>
      <c r="BO1978" s="866">
        <f>VLOOKUP(BD1978,$BD$4:$BN$12824,3,0)*BE1978</f>
        <v>455001.46416609018</v>
      </c>
      <c r="BP1978" s="866"/>
      <c r="BQ1978" s="866"/>
      <c r="BR1978" s="866">
        <f>VLOOKUP(BD1978,$BD$4:$BN$12824,6,0)*BE1978</f>
        <v>193845.74328713748</v>
      </c>
      <c r="BS1978" s="866">
        <f>VLOOKUP(BD1978,$BD$4:$BN$12824,7,0)*BE1978</f>
        <v>36831.117569368042</v>
      </c>
      <c r="BT1978" s="866"/>
      <c r="BU1978" s="866">
        <f>VLOOKUP(BD1978,$BD$4:$BN$12824,9,0)*BE1978</f>
        <v>1429.2078946081151</v>
      </c>
      <c r="BV1978" s="867"/>
      <c r="BW1978" s="867">
        <f>VLOOKUP(BD1978,$BD$4:$BN$12824,11,0)*BE1978</f>
        <v>0</v>
      </c>
      <c r="BX1978" s="1146">
        <f t="shared" si="377"/>
        <v>687107.53291720385</v>
      </c>
      <c r="BY1978" s="867">
        <f t="shared" si="379"/>
        <v>20466143.290113371</v>
      </c>
      <c r="BZ1978" s="867">
        <f t="shared" si="378"/>
        <v>40932286.580226742</v>
      </c>
      <c r="CA1978" s="867">
        <f>_xlfn.MAXIFS($BY$4:$BY$12824,$S$4:$S$12824,$S1978)</f>
        <v>20466143.290113371</v>
      </c>
      <c r="CB1978" s="1032"/>
      <c r="CF1978" s="946">
        <f t="shared" si="382"/>
        <v>39060992</v>
      </c>
    </row>
    <row r="1979" spans="2:84">
      <c r="B1979" s="839" t="s">
        <v>98</v>
      </c>
      <c r="C1979" s="839" t="s">
        <v>273</v>
      </c>
      <c r="D1979" s="839" t="s">
        <v>6289</v>
      </c>
      <c r="E1979" s="839" t="s">
        <v>6501</v>
      </c>
      <c r="F1979" s="841">
        <v>45854</v>
      </c>
      <c r="G1979" s="868" t="s">
        <v>273</v>
      </c>
      <c r="H1979" s="842" t="s">
        <v>134</v>
      </c>
      <c r="I1979" s="883"/>
      <c r="J1979" s="841"/>
      <c r="K1979" s="841"/>
      <c r="L1979" s="843" t="s">
        <v>106</v>
      </c>
      <c r="M1979" s="844" t="s">
        <v>275</v>
      </c>
      <c r="N1979" s="841"/>
      <c r="O1979" s="884" t="s">
        <v>150</v>
      </c>
      <c r="P1979" s="842" t="s">
        <v>5488</v>
      </c>
      <c r="Q1979" s="843"/>
      <c r="R1979" s="845" t="s">
        <v>6510</v>
      </c>
      <c r="S1979" s="1127" t="s">
        <v>6511</v>
      </c>
      <c r="T1979" s="885" t="s">
        <v>6512</v>
      </c>
      <c r="U1979" s="886">
        <v>2</v>
      </c>
      <c r="V1979" s="842" t="s">
        <v>3</v>
      </c>
      <c r="W1979" s="849">
        <v>1104.5899999999999</v>
      </c>
      <c r="X1979" s="847">
        <f t="shared" si="380"/>
        <v>2209.1799999999998</v>
      </c>
      <c r="Y1979" s="853" t="s">
        <v>4582</v>
      </c>
      <c r="Z1979" s="902">
        <v>524.67999999999995</v>
      </c>
      <c r="AA1979" s="849"/>
      <c r="AB1979" s="849">
        <f t="shared" si="373"/>
        <v>1049.3599999999999</v>
      </c>
      <c r="AC1979" s="850">
        <f t="shared" si="374"/>
        <v>1049.3599999999999</v>
      </c>
      <c r="AD1979" s="851">
        <f t="shared" si="381"/>
        <v>32000</v>
      </c>
      <c r="AE1979" s="852">
        <v>29936.21</v>
      </c>
      <c r="AF1979" s="853">
        <v>0.1</v>
      </c>
      <c r="AG1979" s="854">
        <f t="shared" si="375"/>
        <v>3183667.4499802981</v>
      </c>
      <c r="AH1979" s="853">
        <v>0.08</v>
      </c>
      <c r="AI1979" s="855">
        <f t="shared" si="376"/>
        <v>2767802.3020464238</v>
      </c>
      <c r="AJ1979" s="856" t="s">
        <v>6292</v>
      </c>
      <c r="AK1979" s="857">
        <v>45911</v>
      </c>
      <c r="AL1979" s="843" t="s">
        <v>6293</v>
      </c>
      <c r="AM1979" s="843" t="s">
        <v>6294</v>
      </c>
      <c r="AN1979" s="844" t="s">
        <v>3951</v>
      </c>
      <c r="AO1979" s="844" t="s">
        <v>141</v>
      </c>
      <c r="AP1979" s="841"/>
      <c r="AQ1979" s="841">
        <v>45929</v>
      </c>
      <c r="AR1979" s="841">
        <v>45987</v>
      </c>
      <c r="AS1979" s="842" t="s">
        <v>1284</v>
      </c>
      <c r="AT1979" s="842" t="s">
        <v>1743</v>
      </c>
      <c r="AU1979" s="842" t="s">
        <v>6295</v>
      </c>
      <c r="AV1979" s="845" t="s">
        <v>6296</v>
      </c>
      <c r="AW1979" s="861">
        <v>45986</v>
      </c>
      <c r="AX1979" s="862">
        <v>45987</v>
      </c>
      <c r="AY1979" s="843"/>
      <c r="AZ1979" s="842">
        <v>94031000</v>
      </c>
      <c r="BA1979" s="842" t="s">
        <v>120</v>
      </c>
      <c r="BB1979" s="863" t="s">
        <v>121</v>
      </c>
      <c r="BC1979" s="864">
        <v>45990</v>
      </c>
      <c r="BD1979" s="860" t="s">
        <v>6297</v>
      </c>
      <c r="BE1979" s="865" cm="1">
        <f t="array" ref="BE1979">IF(BD1979="","",AC1979/SUMPRODUCT(--(BD1979=$BD$4:$BD$12824),$AC$4:$AC$12824))</f>
        <v>1.014445425995348E-2</v>
      </c>
      <c r="BF1979" s="458"/>
      <c r="BG1979" s="458"/>
      <c r="BH1979" s="458"/>
      <c r="BI1979" s="458"/>
      <c r="BJ1979" s="458"/>
      <c r="BK1979" s="458"/>
      <c r="BL1979" s="458"/>
      <c r="BM1979" s="458"/>
      <c r="BN1979" s="458"/>
      <c r="BO1979" s="866">
        <f>VLOOKUP(BD1979,$BD$4:$BN$12824,3,0)*BE1979</f>
        <v>391150.60790044721</v>
      </c>
      <c r="BP1979" s="866"/>
      <c r="BQ1979" s="866"/>
      <c r="BR1979" s="866">
        <f>VLOOKUP(BD1979,$BD$4:$BN$12824,6,0)*BE1979</f>
        <v>166643.15677454628</v>
      </c>
      <c r="BS1979" s="866">
        <f>VLOOKUP(BD1979,$BD$4:$BN$12824,7,0)*BE1979</f>
        <v>31662.566302538999</v>
      </c>
      <c r="BT1979" s="866"/>
      <c r="BU1979" s="866">
        <f>VLOOKUP(BD1979,$BD$4:$BN$12824,9,0)*BE1979</f>
        <v>1228.6455776942657</v>
      </c>
      <c r="BV1979" s="867"/>
      <c r="BW1979" s="867">
        <f>VLOOKUP(BD1979,$BD$4:$BN$12824,11,0)*BE1979</f>
        <v>0</v>
      </c>
      <c r="BX1979" s="1146">
        <f t="shared" si="377"/>
        <v>590684.97655522672</v>
      </c>
      <c r="BY1979" s="867">
        <f t="shared" si="379"/>
        <v>17594106.876067761</v>
      </c>
      <c r="BZ1979" s="867">
        <f t="shared" si="378"/>
        <v>35188213.752135523</v>
      </c>
      <c r="CA1979" s="867">
        <f>_xlfn.MAXIFS($BY$4:$BY$12824,$S$4:$S$12824,$S1979)</f>
        <v>17594106.876067761</v>
      </c>
      <c r="CB1979" s="1032"/>
      <c r="CF1979" s="946">
        <f t="shared" si="382"/>
        <v>33579520</v>
      </c>
    </row>
    <row r="1980" spans="2:84">
      <c r="B1980" s="839" t="s">
        <v>98</v>
      </c>
      <c r="C1980" s="839" t="s">
        <v>273</v>
      </c>
      <c r="D1980" s="839" t="s">
        <v>6289</v>
      </c>
      <c r="E1980" s="839" t="s">
        <v>6501</v>
      </c>
      <c r="F1980" s="841">
        <v>45854</v>
      </c>
      <c r="G1980" s="868" t="s">
        <v>273</v>
      </c>
      <c r="H1980" s="842" t="s">
        <v>134</v>
      </c>
      <c r="I1980" s="883"/>
      <c r="J1980" s="841"/>
      <c r="K1980" s="841"/>
      <c r="L1980" s="843" t="s">
        <v>106</v>
      </c>
      <c r="M1980" s="844" t="s">
        <v>275</v>
      </c>
      <c r="N1980" s="841"/>
      <c r="O1980" s="884" t="s">
        <v>150</v>
      </c>
      <c r="P1980" s="842" t="s">
        <v>5488</v>
      </c>
      <c r="Q1980" s="843"/>
      <c r="R1980" s="845" t="s">
        <v>6513</v>
      </c>
      <c r="S1980" s="1127" t="s">
        <v>6514</v>
      </c>
      <c r="T1980" s="885" t="s">
        <v>6515</v>
      </c>
      <c r="U1980" s="886">
        <v>1</v>
      </c>
      <c r="V1980" s="842" t="s">
        <v>3</v>
      </c>
      <c r="W1980" s="849">
        <v>2970.58</v>
      </c>
      <c r="X1980" s="847">
        <f t="shared" si="380"/>
        <v>2970.58</v>
      </c>
      <c r="Y1980" s="853" t="s">
        <v>4582</v>
      </c>
      <c r="Z1980" s="902">
        <v>1411.0260000000001</v>
      </c>
      <c r="AA1980" s="849"/>
      <c r="AB1980" s="849">
        <f t="shared" si="373"/>
        <v>1411.0260000000001</v>
      </c>
      <c r="AC1980" s="850">
        <f t="shared" si="374"/>
        <v>1411.0260000000001</v>
      </c>
      <c r="AD1980" s="851">
        <f t="shared" si="381"/>
        <v>32000</v>
      </c>
      <c r="AE1980" s="852">
        <v>29936.21</v>
      </c>
      <c r="AF1980" s="853">
        <v>0.1</v>
      </c>
      <c r="AG1980" s="854">
        <f t="shared" si="375"/>
        <v>4280930.8028473547</v>
      </c>
      <c r="AH1980" s="853">
        <v>0.08</v>
      </c>
      <c r="AI1980" s="855">
        <f t="shared" si="376"/>
        <v>3721736.1163445883</v>
      </c>
      <c r="AJ1980" s="856" t="s">
        <v>6292</v>
      </c>
      <c r="AK1980" s="857">
        <v>45911</v>
      </c>
      <c r="AL1980" s="843" t="s">
        <v>6293</v>
      </c>
      <c r="AM1980" s="843" t="s">
        <v>6294</v>
      </c>
      <c r="AN1980" s="844" t="s">
        <v>3951</v>
      </c>
      <c r="AO1980" s="844" t="s">
        <v>141</v>
      </c>
      <c r="AP1980" s="841"/>
      <c r="AQ1980" s="841">
        <v>45929</v>
      </c>
      <c r="AR1980" s="841">
        <v>45987</v>
      </c>
      <c r="AS1980" s="842" t="s">
        <v>1284</v>
      </c>
      <c r="AT1980" s="842" t="s">
        <v>1743</v>
      </c>
      <c r="AU1980" s="842" t="s">
        <v>6295</v>
      </c>
      <c r="AV1980" s="845" t="s">
        <v>6296</v>
      </c>
      <c r="AW1980" s="861">
        <v>45986</v>
      </c>
      <c r="AX1980" s="862">
        <v>45987</v>
      </c>
      <c r="AY1980" s="843"/>
      <c r="AZ1980" s="842">
        <v>94031000</v>
      </c>
      <c r="BA1980" s="842" t="s">
        <v>120</v>
      </c>
      <c r="BB1980" s="863" t="s">
        <v>121</v>
      </c>
      <c r="BC1980" s="864">
        <v>45990</v>
      </c>
      <c r="BD1980" s="860" t="s">
        <v>6297</v>
      </c>
      <c r="BE1980" s="865" cm="1">
        <f t="array" ref="BE1980">IF(BD1980="","",AC1980/SUMPRODUCT(--(BD1980=$BD$4:$BD$12824),$AC$4:$AC$12824))</f>
        <v>1.3640779824469316E-2</v>
      </c>
      <c r="BF1980" s="458"/>
      <c r="BG1980" s="458"/>
      <c r="BH1980" s="458"/>
      <c r="BI1980" s="458"/>
      <c r="BJ1980" s="458"/>
      <c r="BK1980" s="458"/>
      <c r="BL1980" s="458"/>
      <c r="BM1980" s="458"/>
      <c r="BN1980" s="458"/>
      <c r="BO1980" s="866">
        <f>VLOOKUP(BD1980,$BD$4:$BN$12824,3,0)*BE1980</f>
        <v>525962.18424881506</v>
      </c>
      <c r="BP1980" s="866"/>
      <c r="BQ1980" s="866"/>
      <c r="BR1980" s="866">
        <f>VLOOKUP(BD1980,$BD$4:$BN$12824,6,0)*BE1980</f>
        <v>224077.36804429462</v>
      </c>
      <c r="BS1980" s="866">
        <f>VLOOKUP(BD1980,$BD$4:$BN$12824,7,0)*BE1980</f>
        <v>42575.192764738887</v>
      </c>
      <c r="BT1980" s="866"/>
      <c r="BU1980" s="866">
        <f>VLOOKUP(BD1980,$BD$4:$BN$12824,9,0)*BE1980</f>
        <v>1652.1030484406012</v>
      </c>
      <c r="BV1980" s="867"/>
      <c r="BW1980" s="867">
        <f>VLOOKUP(BD1980,$BD$4:$BN$12824,11,0)*BE1980</f>
        <v>0</v>
      </c>
      <c r="BX1980" s="1146">
        <f t="shared" si="377"/>
        <v>794266.84810628928</v>
      </c>
      <c r="BY1980" s="867">
        <f t="shared" si="379"/>
        <v>47315968.302413642</v>
      </c>
      <c r="BZ1980" s="867">
        <f t="shared" si="378"/>
        <v>47315968.302413642</v>
      </c>
      <c r="CA1980" s="867">
        <f>_xlfn.MAXIFS($BY$4:$BY$12824,$S$4:$S$12824,$S1980)</f>
        <v>47315968.302413642</v>
      </c>
      <c r="CB1980" s="1032"/>
      <c r="CF1980" s="946">
        <f t="shared" si="382"/>
        <v>45152832</v>
      </c>
    </row>
    <row r="1981" spans="2:84">
      <c r="B1981" s="839" t="s">
        <v>98</v>
      </c>
      <c r="C1981" s="839" t="s">
        <v>273</v>
      </c>
      <c r="D1981" s="839" t="s">
        <v>6289</v>
      </c>
      <c r="E1981" s="839" t="s">
        <v>6501</v>
      </c>
      <c r="F1981" s="841">
        <v>45854</v>
      </c>
      <c r="G1981" s="868" t="s">
        <v>273</v>
      </c>
      <c r="H1981" s="842" t="s">
        <v>134</v>
      </c>
      <c r="I1981" s="883"/>
      <c r="J1981" s="841"/>
      <c r="K1981" s="841"/>
      <c r="L1981" s="843" t="s">
        <v>106</v>
      </c>
      <c r="M1981" s="844" t="s">
        <v>275</v>
      </c>
      <c r="N1981" s="841"/>
      <c r="O1981" s="884" t="s">
        <v>150</v>
      </c>
      <c r="P1981" s="842" t="s">
        <v>5488</v>
      </c>
      <c r="Q1981" s="843"/>
      <c r="R1981" s="845" t="s">
        <v>6516</v>
      </c>
      <c r="S1981" s="1127" t="s">
        <v>6517</v>
      </c>
      <c r="T1981" s="885" t="s">
        <v>6518</v>
      </c>
      <c r="U1981" s="886">
        <v>1</v>
      </c>
      <c r="V1981" s="842" t="s">
        <v>3</v>
      </c>
      <c r="W1981" s="849">
        <v>2970.58</v>
      </c>
      <c r="X1981" s="847">
        <f t="shared" si="380"/>
        <v>2970.58</v>
      </c>
      <c r="Y1981" s="853" t="s">
        <v>4582</v>
      </c>
      <c r="Z1981" s="902">
        <v>1411.0260000000001</v>
      </c>
      <c r="AA1981" s="849"/>
      <c r="AB1981" s="849">
        <f t="shared" si="373"/>
        <v>1411.0260000000001</v>
      </c>
      <c r="AC1981" s="850">
        <f t="shared" si="374"/>
        <v>1411.0260000000001</v>
      </c>
      <c r="AD1981" s="851">
        <f t="shared" si="381"/>
        <v>32000</v>
      </c>
      <c r="AE1981" s="852">
        <v>29936.21</v>
      </c>
      <c r="AF1981" s="853">
        <v>0.1</v>
      </c>
      <c r="AG1981" s="854">
        <f t="shared" si="375"/>
        <v>4280930.8028473547</v>
      </c>
      <c r="AH1981" s="853">
        <v>0.08</v>
      </c>
      <c r="AI1981" s="855">
        <f t="shared" si="376"/>
        <v>3721736.1163445883</v>
      </c>
      <c r="AJ1981" s="856" t="s">
        <v>6292</v>
      </c>
      <c r="AK1981" s="857">
        <v>45911</v>
      </c>
      <c r="AL1981" s="843" t="s">
        <v>6293</v>
      </c>
      <c r="AM1981" s="843" t="s">
        <v>6294</v>
      </c>
      <c r="AN1981" s="844" t="s">
        <v>3951</v>
      </c>
      <c r="AO1981" s="844" t="s">
        <v>141</v>
      </c>
      <c r="AP1981" s="841"/>
      <c r="AQ1981" s="841">
        <v>45929</v>
      </c>
      <c r="AR1981" s="841">
        <v>45987</v>
      </c>
      <c r="AS1981" s="842" t="s">
        <v>1284</v>
      </c>
      <c r="AT1981" s="842" t="s">
        <v>1743</v>
      </c>
      <c r="AU1981" s="842" t="s">
        <v>6295</v>
      </c>
      <c r="AV1981" s="845" t="s">
        <v>6296</v>
      </c>
      <c r="AW1981" s="861">
        <v>45986</v>
      </c>
      <c r="AX1981" s="862">
        <v>45987</v>
      </c>
      <c r="AY1981" s="843"/>
      <c r="AZ1981" s="842">
        <v>94031000</v>
      </c>
      <c r="BA1981" s="842" t="s">
        <v>120</v>
      </c>
      <c r="BB1981" s="863" t="s">
        <v>121</v>
      </c>
      <c r="BC1981" s="864">
        <v>45990</v>
      </c>
      <c r="BD1981" s="860" t="s">
        <v>6297</v>
      </c>
      <c r="BE1981" s="865" cm="1">
        <f t="array" ref="BE1981">IF(BD1981="","",AC1981/SUMPRODUCT(--(BD1981=$BD$4:$BD$12824),$AC$4:$AC$12824))</f>
        <v>1.3640779824469316E-2</v>
      </c>
      <c r="BF1981" s="458"/>
      <c r="BG1981" s="458"/>
      <c r="BH1981" s="458"/>
      <c r="BI1981" s="458"/>
      <c r="BJ1981" s="458"/>
      <c r="BK1981" s="458"/>
      <c r="BL1981" s="458"/>
      <c r="BM1981" s="458"/>
      <c r="BN1981" s="458"/>
      <c r="BO1981" s="866">
        <f>VLOOKUP(BD1981,$BD$4:$BN$12824,3,0)*BE1981</f>
        <v>525962.18424881506</v>
      </c>
      <c r="BP1981" s="866"/>
      <c r="BQ1981" s="866"/>
      <c r="BR1981" s="866">
        <f>VLOOKUP(BD1981,$BD$4:$BN$12824,6,0)*BE1981</f>
        <v>224077.36804429462</v>
      </c>
      <c r="BS1981" s="866">
        <f>VLOOKUP(BD1981,$BD$4:$BN$12824,7,0)*BE1981</f>
        <v>42575.192764738887</v>
      </c>
      <c r="BT1981" s="866"/>
      <c r="BU1981" s="866">
        <f>VLOOKUP(BD1981,$BD$4:$BN$12824,9,0)*BE1981</f>
        <v>1652.1030484406012</v>
      </c>
      <c r="BV1981" s="867"/>
      <c r="BW1981" s="867">
        <f>VLOOKUP(BD1981,$BD$4:$BN$12824,11,0)*BE1981</f>
        <v>0</v>
      </c>
      <c r="BX1981" s="1146">
        <f t="shared" si="377"/>
        <v>794266.84810628928</v>
      </c>
      <c r="BY1981" s="867">
        <f t="shared" si="379"/>
        <v>47315968.302413642</v>
      </c>
      <c r="BZ1981" s="867">
        <f t="shared" si="378"/>
        <v>47315968.302413642</v>
      </c>
      <c r="CA1981" s="867">
        <f>_xlfn.MAXIFS($BY$4:$BY$12824,$S$4:$S$12824,$S1981)</f>
        <v>47315968.302413642</v>
      </c>
      <c r="CB1981" s="1032"/>
      <c r="CF1981" s="946">
        <f t="shared" si="382"/>
        <v>45152832</v>
      </c>
    </row>
    <row r="1982" spans="2:84">
      <c r="B1982" s="839" t="s">
        <v>98</v>
      </c>
      <c r="C1982" s="839" t="s">
        <v>273</v>
      </c>
      <c r="D1982" s="839" t="s">
        <v>6289</v>
      </c>
      <c r="E1982" s="839" t="s">
        <v>6519</v>
      </c>
      <c r="F1982" s="841">
        <v>45857</v>
      </c>
      <c r="G1982" s="868" t="s">
        <v>273</v>
      </c>
      <c r="H1982" s="842" t="s">
        <v>102</v>
      </c>
      <c r="I1982" s="883" t="s">
        <v>6520</v>
      </c>
      <c r="J1982" s="841">
        <v>45857</v>
      </c>
      <c r="K1982" s="841"/>
      <c r="L1982" s="843" t="s">
        <v>106</v>
      </c>
      <c r="M1982" s="844" t="s">
        <v>275</v>
      </c>
      <c r="N1982" s="841"/>
      <c r="O1982" s="884" t="s">
        <v>150</v>
      </c>
      <c r="P1982" s="842" t="s">
        <v>124</v>
      </c>
      <c r="Q1982" s="843"/>
      <c r="R1982" s="845" t="s">
        <v>6521</v>
      </c>
      <c r="S1982" s="1127" t="s">
        <v>6340</v>
      </c>
      <c r="T1982" s="885" t="s">
        <v>6341</v>
      </c>
      <c r="U1982" s="886">
        <v>6</v>
      </c>
      <c r="V1982" s="842" t="s">
        <v>3</v>
      </c>
      <c r="W1982" s="849">
        <v>33.75</v>
      </c>
      <c r="X1982" s="847">
        <f t="shared" si="380"/>
        <v>202.5</v>
      </c>
      <c r="Y1982" s="853">
        <v>0.5</v>
      </c>
      <c r="Z1982" s="902">
        <v>16.875</v>
      </c>
      <c r="AA1982" s="849"/>
      <c r="AB1982" s="849">
        <f t="shared" si="373"/>
        <v>101.25</v>
      </c>
      <c r="AC1982" s="850">
        <f t="shared" si="374"/>
        <v>101.25</v>
      </c>
      <c r="AD1982" s="851">
        <f t="shared" si="381"/>
        <v>32000</v>
      </c>
      <c r="AE1982" s="852">
        <v>29936.21</v>
      </c>
      <c r="AF1982" s="853">
        <v>0.1</v>
      </c>
      <c r="AG1982" s="854">
        <f t="shared" si="375"/>
        <v>307183.73990861594</v>
      </c>
      <c r="AH1982" s="853">
        <v>0.08</v>
      </c>
      <c r="AI1982" s="855">
        <f t="shared" si="376"/>
        <v>267058.00019268924</v>
      </c>
      <c r="AJ1982" s="856" t="s">
        <v>6292</v>
      </c>
      <c r="AK1982" s="857">
        <v>45911</v>
      </c>
      <c r="AL1982" s="843" t="s">
        <v>6293</v>
      </c>
      <c r="AM1982" s="843" t="s">
        <v>6294</v>
      </c>
      <c r="AN1982" s="844" t="s">
        <v>3951</v>
      </c>
      <c r="AO1982" s="844" t="s">
        <v>141</v>
      </c>
      <c r="AP1982" s="841"/>
      <c r="AQ1982" s="841">
        <v>45929</v>
      </c>
      <c r="AR1982" s="841">
        <v>45987</v>
      </c>
      <c r="AS1982" s="842" t="s">
        <v>1284</v>
      </c>
      <c r="AT1982" s="842" t="s">
        <v>1743</v>
      </c>
      <c r="AU1982" s="842" t="s">
        <v>6295</v>
      </c>
      <c r="AV1982" s="845" t="s">
        <v>6296</v>
      </c>
      <c r="AW1982" s="861">
        <v>45986</v>
      </c>
      <c r="AX1982" s="862">
        <v>45987</v>
      </c>
      <c r="AY1982" s="843"/>
      <c r="AZ1982" s="842">
        <v>94031000</v>
      </c>
      <c r="BA1982" s="842" t="s">
        <v>120</v>
      </c>
      <c r="BB1982" s="863" t="s">
        <v>121</v>
      </c>
      <c r="BC1982" s="864">
        <v>45990</v>
      </c>
      <c r="BD1982" s="860" t="s">
        <v>6297</v>
      </c>
      <c r="BE1982" s="865" cm="1">
        <f t="array" ref="BE1982">IF(BD1982="","",AC1982/SUMPRODUCT(--(BD1982=$BD$4:$BD$12824),$AC$4:$AC$12824))</f>
        <v>9.7881184133213569E-4</v>
      </c>
      <c r="BF1982" s="458"/>
      <c r="BG1982" s="458"/>
      <c r="BH1982" s="458"/>
      <c r="BI1982" s="458"/>
      <c r="BJ1982" s="458"/>
      <c r="BK1982" s="458"/>
      <c r="BL1982" s="458"/>
      <c r="BM1982" s="458"/>
      <c r="BN1982" s="458"/>
      <c r="BO1982" s="866">
        <f>VLOOKUP(BD1982,$BD$4:$BN$12824,3,0)*BE1982</f>
        <v>37741.098431348903</v>
      </c>
      <c r="BP1982" s="866"/>
      <c r="BQ1982" s="866"/>
      <c r="BR1982" s="866">
        <f>VLOOKUP(BD1982,$BD$4:$BN$12824,6,0)*BE1982</f>
        <v>16078.962056322724</v>
      </c>
      <c r="BS1982" s="866">
        <f>VLOOKUP(BD1982,$BD$4:$BN$12824,7,0)*BE1982</f>
        <v>3055.0381548106216</v>
      </c>
      <c r="BT1982" s="866"/>
      <c r="BU1982" s="866">
        <f>VLOOKUP(BD1982,$BD$4:$BN$12824,9,0)*BE1982</f>
        <v>118.54879616294161</v>
      </c>
      <c r="BV1982" s="867"/>
      <c r="BW1982" s="867">
        <f>VLOOKUP(BD1982,$BD$4:$BN$12824,11,0)*BE1982</f>
        <v>0</v>
      </c>
      <c r="BX1982" s="1146">
        <f t="shared" si="377"/>
        <v>56993.647438645188</v>
      </c>
      <c r="BY1982" s="867">
        <f t="shared" si="379"/>
        <v>565869.77497454348</v>
      </c>
      <c r="BZ1982" s="867">
        <f t="shared" si="378"/>
        <v>3395218.6498472607</v>
      </c>
      <c r="CA1982" s="867">
        <f>_xlfn.MAXIFS($BY$4:$BY$12824,$S$4:$S$12824,$S1982)</f>
        <v>565869.77497454348</v>
      </c>
      <c r="CB1982" s="1032"/>
      <c r="CF1982" s="946">
        <f t="shared" si="382"/>
        <v>3240000</v>
      </c>
    </row>
    <row r="1983" spans="2:84">
      <c r="B1983" s="839" t="s">
        <v>98</v>
      </c>
      <c r="C1983" s="839" t="s">
        <v>273</v>
      </c>
      <c r="D1983" s="839" t="s">
        <v>6289</v>
      </c>
      <c r="E1983" s="839" t="s">
        <v>6519</v>
      </c>
      <c r="F1983" s="841">
        <v>45857</v>
      </c>
      <c r="G1983" s="868" t="s">
        <v>273</v>
      </c>
      <c r="H1983" s="842" t="s">
        <v>102</v>
      </c>
      <c r="I1983" s="883" t="s">
        <v>6520</v>
      </c>
      <c r="J1983" s="841">
        <v>45857</v>
      </c>
      <c r="K1983" s="841"/>
      <c r="L1983" s="843" t="s">
        <v>106</v>
      </c>
      <c r="M1983" s="844" t="s">
        <v>275</v>
      </c>
      <c r="N1983" s="841"/>
      <c r="O1983" s="884" t="s">
        <v>150</v>
      </c>
      <c r="P1983" s="842" t="s">
        <v>124</v>
      </c>
      <c r="Q1983" s="843"/>
      <c r="R1983" s="845" t="s">
        <v>6522</v>
      </c>
      <c r="S1983" s="1127" t="s">
        <v>6523</v>
      </c>
      <c r="T1983" s="885" t="s">
        <v>6524</v>
      </c>
      <c r="U1983" s="886">
        <v>2</v>
      </c>
      <c r="V1983" s="842" t="s">
        <v>3</v>
      </c>
      <c r="W1983" s="849">
        <v>76.489999999999995</v>
      </c>
      <c r="X1983" s="847">
        <f t="shared" si="380"/>
        <v>152.97999999999999</v>
      </c>
      <c r="Y1983" s="853">
        <v>0.5</v>
      </c>
      <c r="Z1983" s="902">
        <v>38.244999999999997</v>
      </c>
      <c r="AA1983" s="849"/>
      <c r="AB1983" s="849">
        <f t="shared" si="373"/>
        <v>76.489999999999995</v>
      </c>
      <c r="AC1983" s="850">
        <f t="shared" si="374"/>
        <v>76.489999999999995</v>
      </c>
      <c r="AD1983" s="851">
        <f t="shared" si="381"/>
        <v>32000</v>
      </c>
      <c r="AE1983" s="852">
        <v>29936.21</v>
      </c>
      <c r="AF1983" s="853">
        <v>0.1</v>
      </c>
      <c r="AG1983" s="854">
        <f t="shared" si="375"/>
        <v>232064.04212948182</v>
      </c>
      <c r="AH1983" s="853">
        <v>0.08</v>
      </c>
      <c r="AI1983" s="855">
        <f t="shared" si="376"/>
        <v>201750.77960235853</v>
      </c>
      <c r="AJ1983" s="856" t="s">
        <v>6292</v>
      </c>
      <c r="AK1983" s="857">
        <v>45911</v>
      </c>
      <c r="AL1983" s="843" t="s">
        <v>6293</v>
      </c>
      <c r="AM1983" s="843" t="s">
        <v>6294</v>
      </c>
      <c r="AN1983" s="844" t="s">
        <v>3951</v>
      </c>
      <c r="AO1983" s="844" t="s">
        <v>141</v>
      </c>
      <c r="AP1983" s="841"/>
      <c r="AQ1983" s="841">
        <v>45929</v>
      </c>
      <c r="AR1983" s="841">
        <v>45987</v>
      </c>
      <c r="AS1983" s="842" t="s">
        <v>1284</v>
      </c>
      <c r="AT1983" s="842" t="s">
        <v>1743</v>
      </c>
      <c r="AU1983" s="842" t="s">
        <v>6295</v>
      </c>
      <c r="AV1983" s="845" t="s">
        <v>6296</v>
      </c>
      <c r="AW1983" s="861">
        <v>45986</v>
      </c>
      <c r="AX1983" s="862">
        <v>45987</v>
      </c>
      <c r="AY1983" s="843"/>
      <c r="AZ1983" s="842">
        <v>94031000</v>
      </c>
      <c r="BA1983" s="842" t="s">
        <v>120</v>
      </c>
      <c r="BB1983" s="863" t="s">
        <v>121</v>
      </c>
      <c r="BC1983" s="864">
        <v>45990</v>
      </c>
      <c r="BD1983" s="860" t="s">
        <v>6297</v>
      </c>
      <c r="BE1983" s="865" cm="1">
        <f t="array" ref="BE1983">IF(BD1983="","",AC1983/SUMPRODUCT(--(BD1983=$BD$4:$BD$12824),$AC$4:$AC$12824))</f>
        <v>7.3945005178760546E-4</v>
      </c>
      <c r="BF1983" s="458"/>
      <c r="BG1983" s="458"/>
      <c r="BH1983" s="458"/>
      <c r="BI1983" s="458"/>
      <c r="BJ1983" s="458"/>
      <c r="BK1983" s="458"/>
      <c r="BL1983" s="458"/>
      <c r="BM1983" s="458"/>
      <c r="BN1983" s="458"/>
      <c r="BO1983" s="866">
        <f>VLOOKUP(BD1983,$BD$4:$BN$12824,3,0)*BE1983</f>
        <v>28511.769076680273</v>
      </c>
      <c r="BP1983" s="866"/>
      <c r="BQ1983" s="866"/>
      <c r="BR1983" s="866">
        <f>VLOOKUP(BD1983,$BD$4:$BN$12824,6,0)*BE1983</f>
        <v>12146.961063586419</v>
      </c>
      <c r="BS1983" s="866">
        <f>VLOOKUP(BD1983,$BD$4:$BN$12824,7,0)*BE1983</f>
        <v>2307.9493181379203</v>
      </c>
      <c r="BT1983" s="866"/>
      <c r="BU1983" s="866">
        <f>VLOOKUP(BD1983,$BD$4:$BN$12824,9,0)*BE1983</f>
        <v>89.558493022255831</v>
      </c>
      <c r="BV1983" s="867"/>
      <c r="BW1983" s="867">
        <f>VLOOKUP(BD1983,$BD$4:$BN$12824,11,0)*BE1983</f>
        <v>0</v>
      </c>
      <c r="BX1983" s="1146">
        <f t="shared" si="377"/>
        <v>43056.237951426869</v>
      </c>
      <c r="BY1983" s="867">
        <f t="shared" si="379"/>
        <v>1282470.4914904542</v>
      </c>
      <c r="BZ1983" s="867">
        <f t="shared" si="378"/>
        <v>2564940.9829809084</v>
      </c>
      <c r="CA1983" s="867">
        <f>_xlfn.MAXIFS($BY$4:$BY$12824,$S$4:$S$12824,$S1983)</f>
        <v>1282470.4914904542</v>
      </c>
      <c r="CB1983" s="1032"/>
      <c r="CF1983" s="946">
        <f t="shared" si="382"/>
        <v>2447680</v>
      </c>
    </row>
    <row r="1984" spans="2:84">
      <c r="B1984" s="839" t="s">
        <v>98</v>
      </c>
      <c r="C1984" s="839" t="s">
        <v>273</v>
      </c>
      <c r="D1984" s="839" t="s">
        <v>6289</v>
      </c>
      <c r="E1984" s="839" t="s">
        <v>6519</v>
      </c>
      <c r="F1984" s="841">
        <v>45857</v>
      </c>
      <c r="G1984" s="868" t="s">
        <v>273</v>
      </c>
      <c r="H1984" s="842" t="s">
        <v>102</v>
      </c>
      <c r="I1984" s="883" t="s">
        <v>6520</v>
      </c>
      <c r="J1984" s="841">
        <v>45857</v>
      </c>
      <c r="K1984" s="841"/>
      <c r="L1984" s="843" t="s">
        <v>106</v>
      </c>
      <c r="M1984" s="844" t="s">
        <v>275</v>
      </c>
      <c r="N1984" s="841"/>
      <c r="O1984" s="884" t="s">
        <v>150</v>
      </c>
      <c r="P1984" s="842" t="s">
        <v>124</v>
      </c>
      <c r="Q1984" s="843"/>
      <c r="R1984" s="845" t="s">
        <v>6525</v>
      </c>
      <c r="S1984" s="1127" t="s">
        <v>6526</v>
      </c>
      <c r="T1984" s="885" t="s">
        <v>6527</v>
      </c>
      <c r="U1984" s="886">
        <v>2</v>
      </c>
      <c r="V1984" s="842" t="s">
        <v>3</v>
      </c>
      <c r="W1984" s="849">
        <v>32.24</v>
      </c>
      <c r="X1984" s="847">
        <f t="shared" si="380"/>
        <v>64.48</v>
      </c>
      <c r="Y1984" s="853">
        <v>0.5</v>
      </c>
      <c r="Z1984" s="902">
        <v>16.12</v>
      </c>
      <c r="AA1984" s="849"/>
      <c r="AB1984" s="849">
        <f t="shared" si="373"/>
        <v>32.24</v>
      </c>
      <c r="AC1984" s="850">
        <f t="shared" si="374"/>
        <v>32.24</v>
      </c>
      <c r="AD1984" s="851">
        <f t="shared" si="381"/>
        <v>32000</v>
      </c>
      <c r="AE1984" s="852">
        <v>29936.21</v>
      </c>
      <c r="AF1984" s="853">
        <v>0.1</v>
      </c>
      <c r="AG1984" s="854">
        <f t="shared" si="375"/>
        <v>97813.370613864492</v>
      </c>
      <c r="AH1984" s="853">
        <v>0.08</v>
      </c>
      <c r="AI1984" s="855">
        <f t="shared" si="376"/>
        <v>85036.542481109165</v>
      </c>
      <c r="AJ1984" s="856" t="s">
        <v>6292</v>
      </c>
      <c r="AK1984" s="857">
        <v>45911</v>
      </c>
      <c r="AL1984" s="843" t="s">
        <v>6293</v>
      </c>
      <c r="AM1984" s="843" t="s">
        <v>6294</v>
      </c>
      <c r="AN1984" s="844" t="s">
        <v>3951</v>
      </c>
      <c r="AO1984" s="844" t="s">
        <v>141</v>
      </c>
      <c r="AP1984" s="841"/>
      <c r="AQ1984" s="841">
        <v>45929</v>
      </c>
      <c r="AR1984" s="841">
        <v>45987</v>
      </c>
      <c r="AS1984" s="842" t="s">
        <v>1284</v>
      </c>
      <c r="AT1984" s="842" t="s">
        <v>1743</v>
      </c>
      <c r="AU1984" s="842" t="s">
        <v>6295</v>
      </c>
      <c r="AV1984" s="845" t="s">
        <v>6296</v>
      </c>
      <c r="AW1984" s="861">
        <v>45986</v>
      </c>
      <c r="AX1984" s="862">
        <v>45987</v>
      </c>
      <c r="AY1984" s="843"/>
      <c r="AZ1984" s="842">
        <v>94031000</v>
      </c>
      <c r="BA1984" s="842" t="s">
        <v>120</v>
      </c>
      <c r="BB1984" s="863" t="s">
        <v>121</v>
      </c>
      <c r="BC1984" s="864">
        <v>45990</v>
      </c>
      <c r="BD1984" s="860" t="s">
        <v>6297</v>
      </c>
      <c r="BE1984" s="865" cm="1">
        <f t="array" ref="BE1984">IF(BD1984="","",AC1984/SUMPRODUCT(--(BD1984=$BD$4:$BD$12824),$AC$4:$AC$12824))</f>
        <v>3.1167302483504255E-4</v>
      </c>
      <c r="BF1984" s="458"/>
      <c r="BG1984" s="458"/>
      <c r="BH1984" s="458"/>
      <c r="BI1984" s="458"/>
      <c r="BJ1984" s="458"/>
      <c r="BK1984" s="458"/>
      <c r="BL1984" s="458"/>
      <c r="BM1984" s="458"/>
      <c r="BN1984" s="458"/>
      <c r="BO1984" s="866">
        <f>VLOOKUP(BD1984,$BD$4:$BN$12824,3,0)*BE1984</f>
        <v>12017.511243720384</v>
      </c>
      <c r="BP1984" s="866"/>
      <c r="BQ1984" s="866"/>
      <c r="BR1984" s="866">
        <f>VLOOKUP(BD1984,$BD$4:$BN$12824,6,0)*BE1984</f>
        <v>5119.8591278601943</v>
      </c>
      <c r="BS1984" s="866">
        <f>VLOOKUP(BD1984,$BD$4:$BN$12824,7,0)*BE1984</f>
        <v>972.78449492438961</v>
      </c>
      <c r="BT1984" s="866"/>
      <c r="BU1984" s="866">
        <f>VLOOKUP(BD1984,$BD$4:$BN$12824,9,0)*BE1984</f>
        <v>37.748278402896176</v>
      </c>
      <c r="BV1984" s="867"/>
      <c r="BW1984" s="867">
        <f>VLOOKUP(BD1984,$BD$4:$BN$12824,11,0)*BE1984</f>
        <v>0</v>
      </c>
      <c r="BX1984" s="1146">
        <f t="shared" si="377"/>
        <v>18147.903144907861</v>
      </c>
      <c r="BY1984" s="867">
        <f t="shared" si="379"/>
        <v>540552.34207938623</v>
      </c>
      <c r="BZ1984" s="867">
        <f t="shared" si="378"/>
        <v>1081104.6841587725</v>
      </c>
      <c r="CA1984" s="867">
        <f>_xlfn.MAXIFS($BY$4:$BY$12824,$S$4:$S$12824,$S1984)</f>
        <v>540552.34207938623</v>
      </c>
      <c r="CB1984" s="1032"/>
      <c r="CF1984" s="946">
        <f t="shared" si="382"/>
        <v>1031680.0000000001</v>
      </c>
    </row>
    <row r="1985" spans="2:84">
      <c r="B1985" s="839" t="s">
        <v>98</v>
      </c>
      <c r="C1985" s="839" t="s">
        <v>273</v>
      </c>
      <c r="D1985" s="839" t="s">
        <v>6289</v>
      </c>
      <c r="E1985" s="839" t="s">
        <v>6519</v>
      </c>
      <c r="F1985" s="841">
        <v>45857</v>
      </c>
      <c r="G1985" s="868" t="s">
        <v>273</v>
      </c>
      <c r="H1985" s="842" t="s">
        <v>102</v>
      </c>
      <c r="I1985" s="883" t="s">
        <v>6520</v>
      </c>
      <c r="J1985" s="841">
        <v>45857</v>
      </c>
      <c r="K1985" s="841"/>
      <c r="L1985" s="843" t="s">
        <v>106</v>
      </c>
      <c r="M1985" s="844" t="s">
        <v>275</v>
      </c>
      <c r="N1985" s="841"/>
      <c r="O1985" s="884" t="s">
        <v>150</v>
      </c>
      <c r="P1985" s="842" t="s">
        <v>124</v>
      </c>
      <c r="Q1985" s="843"/>
      <c r="R1985" s="845" t="s">
        <v>6528</v>
      </c>
      <c r="S1985" s="1127" t="s">
        <v>2435</v>
      </c>
      <c r="T1985" s="885" t="s">
        <v>2436</v>
      </c>
      <c r="U1985" s="886">
        <v>2</v>
      </c>
      <c r="V1985" s="842" t="s">
        <v>3</v>
      </c>
      <c r="W1985" s="849">
        <v>28.75</v>
      </c>
      <c r="X1985" s="847">
        <f t="shared" si="380"/>
        <v>57.5</v>
      </c>
      <c r="Y1985" s="853">
        <v>0.5</v>
      </c>
      <c r="Z1985" s="902">
        <v>14.375</v>
      </c>
      <c r="AA1985" s="849"/>
      <c r="AB1985" s="849">
        <f t="shared" si="373"/>
        <v>28.75</v>
      </c>
      <c r="AC1985" s="850">
        <f t="shared" si="374"/>
        <v>28.75</v>
      </c>
      <c r="AD1985" s="851">
        <f t="shared" si="381"/>
        <v>32000</v>
      </c>
      <c r="AE1985" s="852">
        <v>29936.21</v>
      </c>
      <c r="AF1985" s="853">
        <v>0.1</v>
      </c>
      <c r="AG1985" s="854">
        <f t="shared" si="375"/>
        <v>87225.012566644044</v>
      </c>
      <c r="AH1985" s="853">
        <v>0.08</v>
      </c>
      <c r="AI1985" s="855">
        <f t="shared" si="376"/>
        <v>75831.284005331516</v>
      </c>
      <c r="AJ1985" s="856" t="s">
        <v>6292</v>
      </c>
      <c r="AK1985" s="857">
        <v>45911</v>
      </c>
      <c r="AL1985" s="843" t="s">
        <v>6293</v>
      </c>
      <c r="AM1985" s="843" t="s">
        <v>6294</v>
      </c>
      <c r="AN1985" s="844" t="s">
        <v>3951</v>
      </c>
      <c r="AO1985" s="844" t="s">
        <v>141</v>
      </c>
      <c r="AP1985" s="841"/>
      <c r="AQ1985" s="841">
        <v>45929</v>
      </c>
      <c r="AR1985" s="841">
        <v>45987</v>
      </c>
      <c r="AS1985" s="842" t="s">
        <v>1284</v>
      </c>
      <c r="AT1985" s="842" t="s">
        <v>1743</v>
      </c>
      <c r="AU1985" s="842" t="s">
        <v>6295</v>
      </c>
      <c r="AV1985" s="845" t="s">
        <v>6296</v>
      </c>
      <c r="AW1985" s="861">
        <v>45986</v>
      </c>
      <c r="AX1985" s="862">
        <v>45987</v>
      </c>
      <c r="AY1985" s="843"/>
      <c r="AZ1985" s="842">
        <v>94031000</v>
      </c>
      <c r="BA1985" s="842" t="s">
        <v>120</v>
      </c>
      <c r="BB1985" s="863" t="s">
        <v>121</v>
      </c>
      <c r="BC1985" s="864">
        <v>45990</v>
      </c>
      <c r="BD1985" s="860" t="s">
        <v>6297</v>
      </c>
      <c r="BE1985" s="865" cm="1">
        <f t="array" ref="BE1985">IF(BD1985="","",AC1985/SUMPRODUCT(--(BD1985=$BD$4:$BD$12824),$AC$4:$AC$12824))</f>
        <v>2.7793422655110028E-4</v>
      </c>
      <c r="BF1985" s="458"/>
      <c r="BG1985" s="458"/>
      <c r="BH1985" s="458"/>
      <c r="BI1985" s="458"/>
      <c r="BJ1985" s="458"/>
      <c r="BK1985" s="458"/>
      <c r="BL1985" s="458"/>
      <c r="BM1985" s="458"/>
      <c r="BN1985" s="458"/>
      <c r="BO1985" s="866">
        <f>VLOOKUP(BD1985,$BD$4:$BN$12824,3,0)*BE1985</f>
        <v>10716.608196555862</v>
      </c>
      <c r="BP1985" s="866"/>
      <c r="BQ1985" s="866"/>
      <c r="BR1985" s="866">
        <f>VLOOKUP(BD1985,$BD$4:$BN$12824,6,0)*BE1985</f>
        <v>4565.6312011780574</v>
      </c>
      <c r="BS1985" s="866">
        <f>VLOOKUP(BD1985,$BD$4:$BN$12824,7,0)*BE1985</f>
        <v>867.47996988449756</v>
      </c>
      <c r="BT1985" s="866"/>
      <c r="BU1985" s="866">
        <f>VLOOKUP(BD1985,$BD$4:$BN$12824,9,0)*BE1985</f>
        <v>33.662003848736511</v>
      </c>
      <c r="BV1985" s="867"/>
      <c r="BW1985" s="867">
        <f>VLOOKUP(BD1985,$BD$4:$BN$12824,11,0)*BE1985</f>
        <v>0</v>
      </c>
      <c r="BX1985" s="1146">
        <f t="shared" si="377"/>
        <v>16183.381371467154</v>
      </c>
      <c r="BY1985" s="867">
        <f t="shared" si="379"/>
        <v>482037.21571905556</v>
      </c>
      <c r="BZ1985" s="867">
        <f t="shared" si="378"/>
        <v>964074.43143811112</v>
      </c>
      <c r="CA1985" s="867">
        <f>_xlfn.MAXIFS($BY$4:$BY$12824,$S$4:$S$12824,$S1985)</f>
        <v>607085.19567001448</v>
      </c>
      <c r="CB1985" s="1032"/>
      <c r="CF1985" s="946">
        <f t="shared" si="382"/>
        <v>920000</v>
      </c>
    </row>
    <row r="1986" spans="2:84">
      <c r="B1986" s="839" t="s">
        <v>98</v>
      </c>
      <c r="C1986" s="839" t="s">
        <v>273</v>
      </c>
      <c r="D1986" s="839" t="s">
        <v>6289</v>
      </c>
      <c r="E1986" s="839" t="s">
        <v>6519</v>
      </c>
      <c r="F1986" s="841">
        <v>45857</v>
      </c>
      <c r="G1986" s="868" t="s">
        <v>273</v>
      </c>
      <c r="H1986" s="842" t="s">
        <v>102</v>
      </c>
      <c r="I1986" s="883" t="s">
        <v>6520</v>
      </c>
      <c r="J1986" s="841">
        <v>45857</v>
      </c>
      <c r="K1986" s="841"/>
      <c r="L1986" s="843" t="s">
        <v>106</v>
      </c>
      <c r="M1986" s="844" t="s">
        <v>275</v>
      </c>
      <c r="N1986" s="841"/>
      <c r="O1986" s="884" t="s">
        <v>150</v>
      </c>
      <c r="P1986" s="842" t="s">
        <v>124</v>
      </c>
      <c r="Q1986" s="843"/>
      <c r="R1986" s="845" t="s">
        <v>6529</v>
      </c>
      <c r="S1986" s="1127" t="s">
        <v>6530</v>
      </c>
      <c r="T1986" s="885" t="s">
        <v>6531</v>
      </c>
      <c r="U1986" s="886">
        <v>2</v>
      </c>
      <c r="V1986" s="842" t="s">
        <v>3</v>
      </c>
      <c r="W1986" s="849">
        <v>28.75</v>
      </c>
      <c r="X1986" s="847">
        <f t="shared" si="380"/>
        <v>57.5</v>
      </c>
      <c r="Y1986" s="853">
        <v>0.5</v>
      </c>
      <c r="Z1986" s="902">
        <v>14.375</v>
      </c>
      <c r="AA1986" s="849"/>
      <c r="AB1986" s="849">
        <f t="shared" si="373"/>
        <v>28.75</v>
      </c>
      <c r="AC1986" s="850">
        <f t="shared" si="374"/>
        <v>28.75</v>
      </c>
      <c r="AD1986" s="851">
        <f t="shared" si="381"/>
        <v>32000</v>
      </c>
      <c r="AE1986" s="852">
        <v>29936.21</v>
      </c>
      <c r="AF1986" s="853">
        <v>0.1</v>
      </c>
      <c r="AG1986" s="854">
        <f t="shared" si="375"/>
        <v>87225.012566644044</v>
      </c>
      <c r="AH1986" s="853">
        <v>0.08</v>
      </c>
      <c r="AI1986" s="855">
        <f t="shared" si="376"/>
        <v>75831.284005331516</v>
      </c>
      <c r="AJ1986" s="856" t="s">
        <v>6292</v>
      </c>
      <c r="AK1986" s="857">
        <v>45911</v>
      </c>
      <c r="AL1986" s="843" t="s">
        <v>6293</v>
      </c>
      <c r="AM1986" s="843" t="s">
        <v>6294</v>
      </c>
      <c r="AN1986" s="844" t="s">
        <v>3951</v>
      </c>
      <c r="AO1986" s="844" t="s">
        <v>141</v>
      </c>
      <c r="AP1986" s="841"/>
      <c r="AQ1986" s="841">
        <v>45929</v>
      </c>
      <c r="AR1986" s="841">
        <v>45987</v>
      </c>
      <c r="AS1986" s="842" t="s">
        <v>1284</v>
      </c>
      <c r="AT1986" s="842" t="s">
        <v>1743</v>
      </c>
      <c r="AU1986" s="842" t="s">
        <v>6295</v>
      </c>
      <c r="AV1986" s="845" t="s">
        <v>6296</v>
      </c>
      <c r="AW1986" s="861">
        <v>45986</v>
      </c>
      <c r="AX1986" s="862">
        <v>45987</v>
      </c>
      <c r="AY1986" s="843"/>
      <c r="AZ1986" s="842">
        <v>94031000</v>
      </c>
      <c r="BA1986" s="842" t="s">
        <v>120</v>
      </c>
      <c r="BB1986" s="863" t="s">
        <v>121</v>
      </c>
      <c r="BC1986" s="864">
        <v>45990</v>
      </c>
      <c r="BD1986" s="860" t="s">
        <v>6297</v>
      </c>
      <c r="BE1986" s="865" cm="1">
        <f t="array" ref="BE1986">IF(BD1986="","",AC1986/SUMPRODUCT(--(BD1986=$BD$4:$BD$12824),$AC$4:$AC$12824))</f>
        <v>2.7793422655110028E-4</v>
      </c>
      <c r="BF1986" s="458"/>
      <c r="BG1986" s="458"/>
      <c r="BH1986" s="458"/>
      <c r="BI1986" s="458"/>
      <c r="BJ1986" s="458"/>
      <c r="BK1986" s="458"/>
      <c r="BL1986" s="458"/>
      <c r="BM1986" s="458"/>
      <c r="BN1986" s="458"/>
      <c r="BO1986" s="866">
        <f>VLOOKUP(BD1986,$BD$4:$BN$12824,3,0)*BE1986</f>
        <v>10716.608196555862</v>
      </c>
      <c r="BP1986" s="866"/>
      <c r="BQ1986" s="866"/>
      <c r="BR1986" s="866">
        <f>VLOOKUP(BD1986,$BD$4:$BN$12824,6,0)*BE1986</f>
        <v>4565.6312011780574</v>
      </c>
      <c r="BS1986" s="866">
        <f>VLOOKUP(BD1986,$BD$4:$BN$12824,7,0)*BE1986</f>
        <v>867.47996988449756</v>
      </c>
      <c r="BT1986" s="866"/>
      <c r="BU1986" s="866">
        <f>VLOOKUP(BD1986,$BD$4:$BN$12824,9,0)*BE1986</f>
        <v>33.662003848736511</v>
      </c>
      <c r="BV1986" s="867"/>
      <c r="BW1986" s="867">
        <f>VLOOKUP(BD1986,$BD$4:$BN$12824,11,0)*BE1986</f>
        <v>0</v>
      </c>
      <c r="BX1986" s="1146">
        <f t="shared" si="377"/>
        <v>16183.381371467154</v>
      </c>
      <c r="BY1986" s="867">
        <f t="shared" si="379"/>
        <v>482037.21571905556</v>
      </c>
      <c r="BZ1986" s="867">
        <f t="shared" si="378"/>
        <v>964074.43143811112</v>
      </c>
      <c r="CA1986" s="867">
        <f>_xlfn.MAXIFS($BY$4:$BY$12824,$S$4:$S$12824,$S1986)</f>
        <v>482037.21571905556</v>
      </c>
      <c r="CB1986" s="1032"/>
      <c r="CF1986" s="946">
        <f t="shared" si="382"/>
        <v>920000</v>
      </c>
    </row>
    <row r="1987" spans="2:84">
      <c r="B1987" s="839" t="s">
        <v>98</v>
      </c>
      <c r="C1987" s="839" t="s">
        <v>273</v>
      </c>
      <c r="D1987" s="839" t="s">
        <v>6289</v>
      </c>
      <c r="E1987" s="839" t="s">
        <v>6519</v>
      </c>
      <c r="F1987" s="841">
        <v>45857</v>
      </c>
      <c r="G1987" s="868" t="s">
        <v>273</v>
      </c>
      <c r="H1987" s="842" t="s">
        <v>102</v>
      </c>
      <c r="I1987" s="883" t="s">
        <v>6520</v>
      </c>
      <c r="J1987" s="841">
        <v>45857</v>
      </c>
      <c r="K1987" s="841"/>
      <c r="L1987" s="843" t="s">
        <v>106</v>
      </c>
      <c r="M1987" s="844" t="s">
        <v>275</v>
      </c>
      <c r="N1987" s="841"/>
      <c r="O1987" s="884" t="s">
        <v>150</v>
      </c>
      <c r="P1987" s="842" t="s">
        <v>124</v>
      </c>
      <c r="Q1987" s="843"/>
      <c r="R1987" s="845" t="s">
        <v>6532</v>
      </c>
      <c r="S1987" s="1127" t="s">
        <v>6533</v>
      </c>
      <c r="T1987" s="885" t="s">
        <v>6534</v>
      </c>
      <c r="U1987" s="886">
        <v>2</v>
      </c>
      <c r="V1987" s="842" t="s">
        <v>3</v>
      </c>
      <c r="W1987" s="849">
        <v>27.1</v>
      </c>
      <c r="X1987" s="847">
        <f t="shared" si="380"/>
        <v>54.2</v>
      </c>
      <c r="Y1987" s="853">
        <v>0.5</v>
      </c>
      <c r="Z1987" s="902">
        <v>13.55</v>
      </c>
      <c r="AA1987" s="849"/>
      <c r="AB1987" s="849">
        <f t="shared" si="373"/>
        <v>27.1</v>
      </c>
      <c r="AC1987" s="850">
        <f t="shared" si="374"/>
        <v>27.1</v>
      </c>
      <c r="AD1987" s="851">
        <f t="shared" si="381"/>
        <v>32000</v>
      </c>
      <c r="AE1987" s="852">
        <v>29936.21</v>
      </c>
      <c r="AF1987" s="853">
        <v>0.1</v>
      </c>
      <c r="AG1987" s="854">
        <f t="shared" si="375"/>
        <v>82219.055323688823</v>
      </c>
      <c r="AH1987" s="853">
        <v>0.08</v>
      </c>
      <c r="AI1987" s="855">
        <f t="shared" si="376"/>
        <v>71479.2277058951</v>
      </c>
      <c r="AJ1987" s="856" t="s">
        <v>6292</v>
      </c>
      <c r="AK1987" s="857">
        <v>45911</v>
      </c>
      <c r="AL1987" s="843" t="s">
        <v>6293</v>
      </c>
      <c r="AM1987" s="843" t="s">
        <v>6294</v>
      </c>
      <c r="AN1987" s="844" t="s">
        <v>3951</v>
      </c>
      <c r="AO1987" s="844" t="s">
        <v>141</v>
      </c>
      <c r="AP1987" s="841"/>
      <c r="AQ1987" s="841">
        <v>45929</v>
      </c>
      <c r="AR1987" s="841">
        <v>45987</v>
      </c>
      <c r="AS1987" s="842" t="s">
        <v>1284</v>
      </c>
      <c r="AT1987" s="842" t="s">
        <v>1743</v>
      </c>
      <c r="AU1987" s="842" t="s">
        <v>6295</v>
      </c>
      <c r="AV1987" s="845" t="s">
        <v>6296</v>
      </c>
      <c r="AW1987" s="861">
        <v>45986</v>
      </c>
      <c r="AX1987" s="862">
        <v>45987</v>
      </c>
      <c r="AY1987" s="843"/>
      <c r="AZ1987" s="842">
        <v>94031000</v>
      </c>
      <c r="BA1987" s="842" t="s">
        <v>120</v>
      </c>
      <c r="BB1987" s="863" t="s">
        <v>121</v>
      </c>
      <c r="BC1987" s="864">
        <v>45990</v>
      </c>
      <c r="BD1987" s="860" t="s">
        <v>6297</v>
      </c>
      <c r="BE1987" s="865" cm="1">
        <f t="array" ref="BE1987">IF(BD1987="","",AC1987/SUMPRODUCT(--(BD1987=$BD$4:$BD$12824),$AC$4:$AC$12824))</f>
        <v>2.6198321876642845E-4</v>
      </c>
      <c r="BF1987" s="458"/>
      <c r="BG1987" s="458"/>
      <c r="BH1987" s="458"/>
      <c r="BI1987" s="458"/>
      <c r="BJ1987" s="458"/>
      <c r="BK1987" s="458"/>
      <c r="BL1987" s="458"/>
      <c r="BM1987" s="458"/>
      <c r="BN1987" s="458"/>
      <c r="BO1987" s="866">
        <f>VLOOKUP(BD1987,$BD$4:$BN$12824,3,0)*BE1987</f>
        <v>10101.568073970919</v>
      </c>
      <c r="BP1987" s="866"/>
      <c r="BQ1987" s="866"/>
      <c r="BR1987" s="866">
        <f>VLOOKUP(BD1987,$BD$4:$BN$12824,6,0)*BE1987</f>
        <v>4303.6036713713174</v>
      </c>
      <c r="BS1987" s="866">
        <f>VLOOKUP(BD1987,$BD$4:$BN$12824,7,0)*BE1987</f>
        <v>817.69416291721336</v>
      </c>
      <c r="BT1987" s="866"/>
      <c r="BU1987" s="866">
        <f>VLOOKUP(BD1987,$BD$4:$BN$12824,9,0)*BE1987</f>
        <v>31.730097540895983</v>
      </c>
      <c r="BV1987" s="867"/>
      <c r="BW1987" s="867">
        <f>VLOOKUP(BD1987,$BD$4:$BN$12824,11,0)*BE1987</f>
        <v>0</v>
      </c>
      <c r="BX1987" s="1146">
        <f t="shared" si="377"/>
        <v>15254.596005800346</v>
      </c>
      <c r="BY1987" s="867">
        <f t="shared" si="379"/>
        <v>454372.47116474452</v>
      </c>
      <c r="BZ1987" s="867">
        <f t="shared" si="378"/>
        <v>908744.94232948904</v>
      </c>
      <c r="CA1987" s="867">
        <f>_xlfn.MAXIFS($BY$4:$BY$12824,$S$4:$S$12824,$S1987)</f>
        <v>454372.47116474452</v>
      </c>
      <c r="CB1987" s="1032"/>
      <c r="CF1987" s="946">
        <f t="shared" si="382"/>
        <v>867200</v>
      </c>
    </row>
    <row r="1988" spans="2:84">
      <c r="B1988" s="839" t="s">
        <v>98</v>
      </c>
      <c r="C1988" s="839" t="s">
        <v>273</v>
      </c>
      <c r="D1988" s="839" t="s">
        <v>6289</v>
      </c>
      <c r="E1988" s="839" t="s">
        <v>6519</v>
      </c>
      <c r="F1988" s="841">
        <v>45857</v>
      </c>
      <c r="G1988" s="868" t="s">
        <v>273</v>
      </c>
      <c r="H1988" s="842" t="s">
        <v>102</v>
      </c>
      <c r="I1988" s="883" t="s">
        <v>6520</v>
      </c>
      <c r="J1988" s="841">
        <v>45857</v>
      </c>
      <c r="K1988" s="841"/>
      <c r="L1988" s="843" t="s">
        <v>106</v>
      </c>
      <c r="M1988" s="844" t="s">
        <v>275</v>
      </c>
      <c r="N1988" s="841"/>
      <c r="O1988" s="884" t="s">
        <v>150</v>
      </c>
      <c r="P1988" s="842" t="s">
        <v>124</v>
      </c>
      <c r="Q1988" s="843"/>
      <c r="R1988" s="845" t="s">
        <v>6535</v>
      </c>
      <c r="S1988" s="1127" t="s">
        <v>2431</v>
      </c>
      <c r="T1988" s="885" t="s">
        <v>2432</v>
      </c>
      <c r="U1988" s="886">
        <v>1</v>
      </c>
      <c r="V1988" s="842" t="s">
        <v>3</v>
      </c>
      <c r="W1988" s="849">
        <v>28.75</v>
      </c>
      <c r="X1988" s="847">
        <f t="shared" si="380"/>
        <v>28.75</v>
      </c>
      <c r="Y1988" s="853">
        <v>0.5</v>
      </c>
      <c r="Z1988" s="902">
        <v>13.605</v>
      </c>
      <c r="AA1988" s="849"/>
      <c r="AB1988" s="849">
        <f t="shared" si="373"/>
        <v>13.605</v>
      </c>
      <c r="AC1988" s="850">
        <f t="shared" si="374"/>
        <v>13.605</v>
      </c>
      <c r="AD1988" s="851">
        <f t="shared" si="381"/>
        <v>32000</v>
      </c>
      <c r="AE1988" s="852">
        <v>29936.21</v>
      </c>
      <c r="AF1988" s="853">
        <v>0.1</v>
      </c>
      <c r="AG1988" s="854">
        <f t="shared" si="375"/>
        <v>41276.392903276253</v>
      </c>
      <c r="AH1988" s="853">
        <v>0.08</v>
      </c>
      <c r="AI1988" s="855">
        <f t="shared" si="376"/>
        <v>35884.682396262106</v>
      </c>
      <c r="AJ1988" s="856" t="s">
        <v>6292</v>
      </c>
      <c r="AK1988" s="857">
        <v>45911</v>
      </c>
      <c r="AL1988" s="843" t="s">
        <v>6293</v>
      </c>
      <c r="AM1988" s="843" t="s">
        <v>6294</v>
      </c>
      <c r="AN1988" s="844" t="s">
        <v>3951</v>
      </c>
      <c r="AO1988" s="844" t="s">
        <v>141</v>
      </c>
      <c r="AP1988" s="841"/>
      <c r="AQ1988" s="841">
        <v>45929</v>
      </c>
      <c r="AR1988" s="841">
        <v>45987</v>
      </c>
      <c r="AS1988" s="842" t="s">
        <v>1284</v>
      </c>
      <c r="AT1988" s="842" t="s">
        <v>1743</v>
      </c>
      <c r="AU1988" s="842" t="s">
        <v>6295</v>
      </c>
      <c r="AV1988" s="845" t="s">
        <v>6296</v>
      </c>
      <c r="AW1988" s="861">
        <v>45986</v>
      </c>
      <c r="AX1988" s="862">
        <v>45987</v>
      </c>
      <c r="AY1988" s="843"/>
      <c r="AZ1988" s="842">
        <v>94031000</v>
      </c>
      <c r="BA1988" s="842" t="s">
        <v>120</v>
      </c>
      <c r="BB1988" s="863" t="s">
        <v>121</v>
      </c>
      <c r="BC1988" s="864">
        <v>45990</v>
      </c>
      <c r="BD1988" s="860" t="s">
        <v>6297</v>
      </c>
      <c r="BE1988" s="865" cm="1">
        <f t="array" ref="BE1988">IF(BD1988="","",AC1988/SUMPRODUCT(--(BD1988=$BD$4:$BD$12824),$AC$4:$AC$12824))</f>
        <v>1.3152330964270328E-4</v>
      </c>
      <c r="BF1988" s="458"/>
      <c r="BG1988" s="458"/>
      <c r="BH1988" s="458"/>
      <c r="BI1988" s="458"/>
      <c r="BJ1988" s="458"/>
      <c r="BK1988" s="458"/>
      <c r="BL1988" s="458"/>
      <c r="BM1988" s="458"/>
      <c r="BN1988" s="458"/>
      <c r="BO1988" s="866">
        <f>VLOOKUP(BD1988,$BD$4:$BN$12824,3,0)*BE1988</f>
        <v>5071.2853744049571</v>
      </c>
      <c r="BP1988" s="866"/>
      <c r="BQ1988" s="866"/>
      <c r="BR1988" s="866">
        <f>VLOOKUP(BD1988,$BD$4:$BN$12824,6,0)*BE1988</f>
        <v>2160.5360866792162</v>
      </c>
      <c r="BS1988" s="866">
        <f>VLOOKUP(BD1988,$BD$4:$BN$12824,7,0)*BE1988</f>
        <v>410.50660835751614</v>
      </c>
      <c r="BT1988" s="866"/>
      <c r="BU1988" s="866">
        <f>VLOOKUP(BD1988,$BD$4:$BN$12824,9,0)*BE1988</f>
        <v>15.929445647376008</v>
      </c>
      <c r="BV1988" s="867"/>
      <c r="BW1988" s="867">
        <f>VLOOKUP(BD1988,$BD$4:$BN$12824,11,0)*BE1988</f>
        <v>0</v>
      </c>
      <c r="BX1988" s="1146">
        <f t="shared" si="377"/>
        <v>7658.2575150890661</v>
      </c>
      <c r="BY1988" s="867">
        <f t="shared" si="379"/>
        <v>456216.78746836534</v>
      </c>
      <c r="BZ1988" s="867">
        <f t="shared" si="378"/>
        <v>456216.78746836534</v>
      </c>
      <c r="CA1988" s="867">
        <f>_xlfn.MAXIFS($BY$4:$BY$12824,$S$4:$S$12824,$S1988)</f>
        <v>607085.19567001448</v>
      </c>
      <c r="CB1988" s="1032"/>
      <c r="CF1988" s="946">
        <f t="shared" si="382"/>
        <v>435360</v>
      </c>
    </row>
    <row r="1989" spans="2:84">
      <c r="B1989" s="839" t="s">
        <v>98</v>
      </c>
      <c r="C1989" s="839" t="s">
        <v>273</v>
      </c>
      <c r="D1989" s="839" t="s">
        <v>6289</v>
      </c>
      <c r="E1989" s="839" t="s">
        <v>6519</v>
      </c>
      <c r="F1989" s="841">
        <v>45857</v>
      </c>
      <c r="G1989" s="868" t="s">
        <v>273</v>
      </c>
      <c r="H1989" s="842" t="s">
        <v>102</v>
      </c>
      <c r="I1989" s="883" t="s">
        <v>6520</v>
      </c>
      <c r="J1989" s="841">
        <v>45857</v>
      </c>
      <c r="K1989" s="841"/>
      <c r="L1989" s="843" t="s">
        <v>106</v>
      </c>
      <c r="M1989" s="844" t="s">
        <v>275</v>
      </c>
      <c r="N1989" s="841"/>
      <c r="O1989" s="884" t="s">
        <v>150</v>
      </c>
      <c r="P1989" s="842" t="s">
        <v>124</v>
      </c>
      <c r="Q1989" s="843"/>
      <c r="R1989" s="845" t="s">
        <v>6536</v>
      </c>
      <c r="S1989" s="1127" t="s">
        <v>6537</v>
      </c>
      <c r="T1989" s="885" t="s">
        <v>6538</v>
      </c>
      <c r="U1989" s="886">
        <v>1</v>
      </c>
      <c r="V1989" s="842" t="s">
        <v>3</v>
      </c>
      <c r="W1989" s="849">
        <v>27.1</v>
      </c>
      <c r="X1989" s="847">
        <f t="shared" si="380"/>
        <v>27.1</v>
      </c>
      <c r="Y1989" s="853">
        <v>0.5</v>
      </c>
      <c r="Z1989" s="902">
        <v>13.55</v>
      </c>
      <c r="AA1989" s="849"/>
      <c r="AB1989" s="849">
        <f t="shared" ref="AB1989:AB2052" si="384">IF(AA1989="F.O.C", 0, Z1989*U1989)</f>
        <v>13.55</v>
      </c>
      <c r="AC1989" s="850">
        <f t="shared" ref="AC1989:AC2052" si="385">Z1989*U1989</f>
        <v>13.55</v>
      </c>
      <c r="AD1989" s="851">
        <f t="shared" si="381"/>
        <v>32000</v>
      </c>
      <c r="AE1989" s="852">
        <v>29936.21</v>
      </c>
      <c r="AF1989" s="853">
        <v>0.1</v>
      </c>
      <c r="AG1989" s="854">
        <f t="shared" ref="AG1989:AG2052" si="386">(AC1989*AE1989+BO1989+BP1989+BQ1989+BS1989)*AF1989</f>
        <v>41109.527661844411</v>
      </c>
      <c r="AH1989" s="853">
        <v>0.08</v>
      </c>
      <c r="AI1989" s="855">
        <f t="shared" ref="AI1989:AI2052" si="387">(AC1989*AE1989+AG1989+BF1989+BG1989+BH1989+BJ1989)*AH1989</f>
        <v>35739.61385294755</v>
      </c>
      <c r="AJ1989" s="856" t="s">
        <v>6292</v>
      </c>
      <c r="AK1989" s="857">
        <v>45911</v>
      </c>
      <c r="AL1989" s="843" t="s">
        <v>6293</v>
      </c>
      <c r="AM1989" s="843" t="s">
        <v>6294</v>
      </c>
      <c r="AN1989" s="844" t="s">
        <v>3951</v>
      </c>
      <c r="AO1989" s="844" t="s">
        <v>141</v>
      </c>
      <c r="AP1989" s="841"/>
      <c r="AQ1989" s="841">
        <v>45929</v>
      </c>
      <c r="AR1989" s="841">
        <v>45987</v>
      </c>
      <c r="AS1989" s="842" t="s">
        <v>1284</v>
      </c>
      <c r="AT1989" s="842" t="s">
        <v>1743</v>
      </c>
      <c r="AU1989" s="842" t="s">
        <v>6295</v>
      </c>
      <c r="AV1989" s="845" t="s">
        <v>6296</v>
      </c>
      <c r="AW1989" s="861">
        <v>45986</v>
      </c>
      <c r="AX1989" s="862">
        <v>45987</v>
      </c>
      <c r="AY1989" s="843"/>
      <c r="AZ1989" s="842">
        <v>94031000</v>
      </c>
      <c r="BA1989" s="842" t="s">
        <v>120</v>
      </c>
      <c r="BB1989" s="863" t="s">
        <v>121</v>
      </c>
      <c r="BC1989" s="864">
        <v>45990</v>
      </c>
      <c r="BD1989" s="860" t="s">
        <v>6297</v>
      </c>
      <c r="BE1989" s="865" cm="1">
        <f t="array" ref="BE1989">IF(BD1989="","",AC1989/SUMPRODUCT(--(BD1989=$BD$4:$BD$12824),$AC$4:$AC$12824))</f>
        <v>1.3099160938321423E-4</v>
      </c>
      <c r="BF1989" s="458"/>
      <c r="BG1989" s="458"/>
      <c r="BH1989" s="458"/>
      <c r="BI1989" s="458"/>
      <c r="BJ1989" s="458"/>
      <c r="BK1989" s="458"/>
      <c r="BL1989" s="458"/>
      <c r="BM1989" s="458"/>
      <c r="BN1989" s="458"/>
      <c r="BO1989" s="866">
        <f>VLOOKUP(BD1989,$BD$4:$BN$12824,3,0)*BE1989</f>
        <v>5050.7840369854594</v>
      </c>
      <c r="BP1989" s="866"/>
      <c r="BQ1989" s="866"/>
      <c r="BR1989" s="866">
        <f>VLOOKUP(BD1989,$BD$4:$BN$12824,6,0)*BE1989</f>
        <v>2151.8018356856587</v>
      </c>
      <c r="BS1989" s="866">
        <f>VLOOKUP(BD1989,$BD$4:$BN$12824,7,0)*BE1989</f>
        <v>408.84708145860668</v>
      </c>
      <c r="BT1989" s="866"/>
      <c r="BU1989" s="866">
        <f>VLOOKUP(BD1989,$BD$4:$BN$12824,9,0)*BE1989</f>
        <v>15.865048770447991</v>
      </c>
      <c r="BV1989" s="867"/>
      <c r="BW1989" s="867">
        <f>VLOOKUP(BD1989,$BD$4:$BN$12824,11,0)*BE1989</f>
        <v>0</v>
      </c>
      <c r="BX1989" s="1146">
        <f t="shared" ref="BX1989:BX2052" si="388">SUM(BO1989:BW1989)</f>
        <v>7627.2980029001728</v>
      </c>
      <c r="BY1989" s="867">
        <f t="shared" si="379"/>
        <v>454372.47116474452</v>
      </c>
      <c r="BZ1989" s="867">
        <f t="shared" ref="BZ1989:BZ2052" si="389">BY1989*U1989</f>
        <v>454372.47116474452</v>
      </c>
      <c r="CA1989" s="867">
        <f>_xlfn.MAXIFS($BY$4:$BY$12824,$S$4:$S$12824,$S1989)</f>
        <v>454372.47116474452</v>
      </c>
      <c r="CB1989" s="1032"/>
      <c r="CF1989" s="946">
        <f t="shared" si="382"/>
        <v>433600</v>
      </c>
    </row>
    <row r="1990" spans="2:84">
      <c r="B1990" s="839" t="s">
        <v>98</v>
      </c>
      <c r="C1990" s="839" t="s">
        <v>273</v>
      </c>
      <c r="D1990" s="839" t="s">
        <v>6289</v>
      </c>
      <c r="E1990" s="839" t="s">
        <v>6539</v>
      </c>
      <c r="F1990" s="841">
        <v>45859</v>
      </c>
      <c r="G1990" s="868" t="s">
        <v>273</v>
      </c>
      <c r="H1990" s="842" t="s">
        <v>102</v>
      </c>
      <c r="I1990" s="883" t="s">
        <v>6540</v>
      </c>
      <c r="J1990" s="841">
        <v>45854</v>
      </c>
      <c r="K1990" s="841"/>
      <c r="L1990" s="843" t="s">
        <v>106</v>
      </c>
      <c r="M1990" s="844" t="s">
        <v>275</v>
      </c>
      <c r="N1990" s="841"/>
      <c r="O1990" s="884" t="s">
        <v>150</v>
      </c>
      <c r="P1990" s="842" t="s">
        <v>124</v>
      </c>
      <c r="Q1990" s="843"/>
      <c r="R1990" s="845" t="s">
        <v>6541</v>
      </c>
      <c r="S1990" s="1127" t="s">
        <v>6542</v>
      </c>
      <c r="T1990" s="885" t="s">
        <v>6543</v>
      </c>
      <c r="U1990" s="886">
        <v>2</v>
      </c>
      <c r="V1990" s="842" t="s">
        <v>3</v>
      </c>
      <c r="W1990" s="849">
        <v>76.489999999999995</v>
      </c>
      <c r="X1990" s="847">
        <f t="shared" si="380"/>
        <v>152.97999999999999</v>
      </c>
      <c r="Y1990" s="853">
        <v>0.5</v>
      </c>
      <c r="Z1990" s="902">
        <v>38.244999999999997</v>
      </c>
      <c r="AA1990" s="849"/>
      <c r="AB1990" s="849">
        <f t="shared" si="384"/>
        <v>76.489999999999995</v>
      </c>
      <c r="AC1990" s="850">
        <f t="shared" si="385"/>
        <v>76.489999999999995</v>
      </c>
      <c r="AD1990" s="851">
        <f t="shared" si="381"/>
        <v>32000</v>
      </c>
      <c r="AE1990" s="852">
        <v>29936.21</v>
      </c>
      <c r="AF1990" s="853">
        <v>0.1</v>
      </c>
      <c r="AG1990" s="854">
        <f t="shared" si="386"/>
        <v>232064.04212948182</v>
      </c>
      <c r="AH1990" s="853">
        <v>0.08</v>
      </c>
      <c r="AI1990" s="855">
        <f t="shared" si="387"/>
        <v>201750.77960235853</v>
      </c>
      <c r="AJ1990" s="856" t="s">
        <v>6292</v>
      </c>
      <c r="AK1990" s="857">
        <v>45911</v>
      </c>
      <c r="AL1990" s="843" t="s">
        <v>6293</v>
      </c>
      <c r="AM1990" s="843" t="s">
        <v>6294</v>
      </c>
      <c r="AN1990" s="844" t="s">
        <v>3951</v>
      </c>
      <c r="AO1990" s="844" t="s">
        <v>141</v>
      </c>
      <c r="AP1990" s="841"/>
      <c r="AQ1990" s="841">
        <v>45929</v>
      </c>
      <c r="AR1990" s="841">
        <v>45987</v>
      </c>
      <c r="AS1990" s="842" t="s">
        <v>1284</v>
      </c>
      <c r="AT1990" s="842" t="s">
        <v>1743</v>
      </c>
      <c r="AU1990" s="842" t="s">
        <v>6295</v>
      </c>
      <c r="AV1990" s="845" t="s">
        <v>6296</v>
      </c>
      <c r="AW1990" s="861">
        <v>45986</v>
      </c>
      <c r="AX1990" s="862">
        <v>45987</v>
      </c>
      <c r="AY1990" s="843"/>
      <c r="AZ1990" s="842">
        <v>94031000</v>
      </c>
      <c r="BA1990" s="842" t="s">
        <v>120</v>
      </c>
      <c r="BB1990" s="863" t="s">
        <v>121</v>
      </c>
      <c r="BC1990" s="864">
        <v>45990</v>
      </c>
      <c r="BD1990" s="860" t="s">
        <v>6297</v>
      </c>
      <c r="BE1990" s="865" cm="1">
        <f t="array" ref="BE1990">IF(BD1990="","",AC1990/SUMPRODUCT(--(BD1990=$BD$4:$BD$12824),$AC$4:$AC$12824))</f>
        <v>7.3945005178760546E-4</v>
      </c>
      <c r="BF1990" s="458"/>
      <c r="BG1990" s="458"/>
      <c r="BH1990" s="458"/>
      <c r="BI1990" s="458"/>
      <c r="BJ1990" s="458"/>
      <c r="BK1990" s="458"/>
      <c r="BL1990" s="458"/>
      <c r="BM1990" s="458"/>
      <c r="BN1990" s="458"/>
      <c r="BO1990" s="866">
        <f>VLOOKUP(BD1990,$BD$4:$BN$12824,3,0)*BE1990</f>
        <v>28511.769076680273</v>
      </c>
      <c r="BP1990" s="866"/>
      <c r="BQ1990" s="866"/>
      <c r="BR1990" s="866">
        <f>VLOOKUP(BD1990,$BD$4:$BN$12824,6,0)*BE1990</f>
        <v>12146.961063586419</v>
      </c>
      <c r="BS1990" s="866">
        <f>VLOOKUP(BD1990,$BD$4:$BN$12824,7,0)*BE1990</f>
        <v>2307.9493181379203</v>
      </c>
      <c r="BT1990" s="866"/>
      <c r="BU1990" s="866">
        <f>VLOOKUP(BD1990,$BD$4:$BN$12824,9,0)*BE1990</f>
        <v>89.558493022255831</v>
      </c>
      <c r="BV1990" s="867"/>
      <c r="BW1990" s="867">
        <f>VLOOKUP(BD1990,$BD$4:$BN$12824,11,0)*BE1990</f>
        <v>0</v>
      </c>
      <c r="BX1990" s="1146">
        <f t="shared" si="388"/>
        <v>43056.237951426869</v>
      </c>
      <c r="BY1990" s="867">
        <f t="shared" ref="BY1990:BY2053" si="390">(AB1990*AE1990+AG1990+BX1990)/U1990</f>
        <v>1282470.4914904542</v>
      </c>
      <c r="BZ1990" s="867">
        <f t="shared" si="389"/>
        <v>2564940.9829809084</v>
      </c>
      <c r="CA1990" s="867">
        <f>_xlfn.MAXIFS($BY$4:$BY$12824,$S$4:$S$12824,$S1990)</f>
        <v>1282470.4914904542</v>
      </c>
      <c r="CB1990" s="1032"/>
      <c r="CF1990" s="946">
        <f t="shared" si="382"/>
        <v>2447680</v>
      </c>
    </row>
    <row r="1991" spans="2:84">
      <c r="B1991" s="839" t="s">
        <v>98</v>
      </c>
      <c r="C1991" s="839" t="s">
        <v>273</v>
      </c>
      <c r="D1991" s="839" t="s">
        <v>6289</v>
      </c>
      <c r="E1991" s="839" t="s">
        <v>6539</v>
      </c>
      <c r="F1991" s="841">
        <v>45859</v>
      </c>
      <c r="G1991" s="868" t="s">
        <v>273</v>
      </c>
      <c r="H1991" s="842" t="s">
        <v>102</v>
      </c>
      <c r="I1991" s="883" t="s">
        <v>6540</v>
      </c>
      <c r="J1991" s="841">
        <v>45854</v>
      </c>
      <c r="K1991" s="841"/>
      <c r="L1991" s="843" t="s">
        <v>106</v>
      </c>
      <c r="M1991" s="844" t="s">
        <v>275</v>
      </c>
      <c r="N1991" s="841"/>
      <c r="O1991" s="884" t="s">
        <v>150</v>
      </c>
      <c r="P1991" s="842" t="s">
        <v>124</v>
      </c>
      <c r="Q1991" s="843"/>
      <c r="R1991" s="845" t="s">
        <v>6544</v>
      </c>
      <c r="S1991" s="1127" t="s">
        <v>4469</v>
      </c>
      <c r="T1991" s="885" t="s">
        <v>4470</v>
      </c>
      <c r="U1991" s="886">
        <v>5</v>
      </c>
      <c r="V1991" s="842" t="s">
        <v>3</v>
      </c>
      <c r="W1991" s="849">
        <v>33.75</v>
      </c>
      <c r="X1991" s="847">
        <f t="shared" si="380"/>
        <v>168.75</v>
      </c>
      <c r="Y1991" s="853">
        <v>0.5</v>
      </c>
      <c r="Z1991" s="902">
        <v>16.875</v>
      </c>
      <c r="AA1991" s="849"/>
      <c r="AB1991" s="849">
        <f t="shared" si="384"/>
        <v>84.375</v>
      </c>
      <c r="AC1991" s="850">
        <f t="shared" si="385"/>
        <v>84.375</v>
      </c>
      <c r="AD1991" s="851">
        <f t="shared" si="381"/>
        <v>32000</v>
      </c>
      <c r="AE1991" s="852">
        <v>29936.21</v>
      </c>
      <c r="AF1991" s="853">
        <v>0.1</v>
      </c>
      <c r="AG1991" s="854">
        <f t="shared" si="386"/>
        <v>255986.44992384664</v>
      </c>
      <c r="AH1991" s="853">
        <v>0.08</v>
      </c>
      <c r="AI1991" s="855">
        <f t="shared" si="387"/>
        <v>222548.33349390776</v>
      </c>
      <c r="AJ1991" s="856" t="s">
        <v>6292</v>
      </c>
      <c r="AK1991" s="857">
        <v>45911</v>
      </c>
      <c r="AL1991" s="843" t="s">
        <v>6293</v>
      </c>
      <c r="AM1991" s="843" t="s">
        <v>6294</v>
      </c>
      <c r="AN1991" s="844" t="s">
        <v>3951</v>
      </c>
      <c r="AO1991" s="844" t="s">
        <v>141</v>
      </c>
      <c r="AP1991" s="841"/>
      <c r="AQ1991" s="841">
        <v>45929</v>
      </c>
      <c r="AR1991" s="841">
        <v>45987</v>
      </c>
      <c r="AS1991" s="842" t="s">
        <v>1284</v>
      </c>
      <c r="AT1991" s="842" t="s">
        <v>1743</v>
      </c>
      <c r="AU1991" s="842" t="s">
        <v>6295</v>
      </c>
      <c r="AV1991" s="845" t="s">
        <v>6296</v>
      </c>
      <c r="AW1991" s="861">
        <v>45986</v>
      </c>
      <c r="AX1991" s="862">
        <v>45987</v>
      </c>
      <c r="AY1991" s="843"/>
      <c r="AZ1991" s="842">
        <v>94031000</v>
      </c>
      <c r="BA1991" s="842" t="s">
        <v>120</v>
      </c>
      <c r="BB1991" s="863" t="s">
        <v>121</v>
      </c>
      <c r="BC1991" s="864">
        <v>45990</v>
      </c>
      <c r="BD1991" s="860" t="s">
        <v>6297</v>
      </c>
      <c r="BE1991" s="865" cm="1">
        <f t="array" ref="BE1991">IF(BD1991="","",AC1991/SUMPRODUCT(--(BD1991=$BD$4:$BD$12824),$AC$4:$AC$12824))</f>
        <v>8.1567653444344641E-4</v>
      </c>
      <c r="BF1991" s="458"/>
      <c r="BG1991" s="458"/>
      <c r="BH1991" s="458"/>
      <c r="BI1991" s="458"/>
      <c r="BJ1991" s="458"/>
      <c r="BK1991" s="458"/>
      <c r="BL1991" s="458"/>
      <c r="BM1991" s="458"/>
      <c r="BN1991" s="458"/>
      <c r="BO1991" s="866">
        <f>VLOOKUP(BD1991,$BD$4:$BN$12824,3,0)*BE1991</f>
        <v>31450.91535945742</v>
      </c>
      <c r="BP1991" s="866"/>
      <c r="BQ1991" s="866"/>
      <c r="BR1991" s="866">
        <f>VLOOKUP(BD1991,$BD$4:$BN$12824,6,0)*BE1991</f>
        <v>13399.135046935602</v>
      </c>
      <c r="BS1991" s="866">
        <f>VLOOKUP(BD1991,$BD$4:$BN$12824,7,0)*BE1991</f>
        <v>2545.8651290088515</v>
      </c>
      <c r="BT1991" s="866"/>
      <c r="BU1991" s="866">
        <f>VLOOKUP(BD1991,$BD$4:$BN$12824,9,0)*BE1991</f>
        <v>98.790663469118016</v>
      </c>
      <c r="BV1991" s="867"/>
      <c r="BW1991" s="867">
        <f>VLOOKUP(BD1991,$BD$4:$BN$12824,11,0)*BE1991</f>
        <v>0</v>
      </c>
      <c r="BX1991" s="1146">
        <f t="shared" si="388"/>
        <v>47494.70619887099</v>
      </c>
      <c r="BY1991" s="867">
        <f t="shared" si="390"/>
        <v>565869.7749745436</v>
      </c>
      <c r="BZ1991" s="867">
        <f t="shared" si="389"/>
        <v>2829348.874872718</v>
      </c>
      <c r="CA1991" s="867">
        <f>_xlfn.MAXIFS($BY$4:$BY$12824,$S$4:$S$12824,$S1991)</f>
        <v>665681.10427537316</v>
      </c>
      <c r="CB1991" s="1032"/>
      <c r="CF1991" s="946">
        <f t="shared" si="382"/>
        <v>2700000</v>
      </c>
    </row>
    <row r="1992" spans="2:84">
      <c r="B1992" s="839" t="s">
        <v>98</v>
      </c>
      <c r="C1992" s="839" t="s">
        <v>273</v>
      </c>
      <c r="D1992" s="839" t="s">
        <v>6289</v>
      </c>
      <c r="E1992" s="839" t="s">
        <v>6539</v>
      </c>
      <c r="F1992" s="841">
        <v>45859</v>
      </c>
      <c r="G1992" s="868" t="s">
        <v>273</v>
      </c>
      <c r="H1992" s="842" t="s">
        <v>102</v>
      </c>
      <c r="I1992" s="883" t="s">
        <v>6540</v>
      </c>
      <c r="J1992" s="841">
        <v>45854</v>
      </c>
      <c r="K1992" s="841"/>
      <c r="L1992" s="843" t="s">
        <v>106</v>
      </c>
      <c r="M1992" s="844" t="s">
        <v>275</v>
      </c>
      <c r="N1992" s="841"/>
      <c r="O1992" s="884" t="s">
        <v>150</v>
      </c>
      <c r="P1992" s="842" t="s">
        <v>124</v>
      </c>
      <c r="Q1992" s="843"/>
      <c r="R1992" s="845" t="s">
        <v>6545</v>
      </c>
      <c r="S1992" s="1127" t="s">
        <v>6344</v>
      </c>
      <c r="T1992" s="885" t="s">
        <v>6345</v>
      </c>
      <c r="U1992" s="886">
        <v>3</v>
      </c>
      <c r="V1992" s="842" t="s">
        <v>3</v>
      </c>
      <c r="W1992" s="849">
        <v>42.81</v>
      </c>
      <c r="X1992" s="847">
        <f t="shared" si="380"/>
        <v>128.43</v>
      </c>
      <c r="Y1992" s="853">
        <v>0.5</v>
      </c>
      <c r="Z1992" s="902">
        <v>21.405000000000001</v>
      </c>
      <c r="AA1992" s="849"/>
      <c r="AB1992" s="849">
        <f t="shared" si="384"/>
        <v>64.215000000000003</v>
      </c>
      <c r="AC1992" s="850">
        <f t="shared" si="385"/>
        <v>64.215000000000003</v>
      </c>
      <c r="AD1992" s="851">
        <f t="shared" si="381"/>
        <v>32000</v>
      </c>
      <c r="AE1992" s="852">
        <v>29936.21</v>
      </c>
      <c r="AF1992" s="853">
        <v>0.1</v>
      </c>
      <c r="AG1992" s="854">
        <f t="shared" si="386"/>
        <v>194822.75415537556</v>
      </c>
      <c r="AH1992" s="853">
        <v>0.08</v>
      </c>
      <c r="AI1992" s="855">
        <f t="shared" si="387"/>
        <v>169374.11834443008</v>
      </c>
      <c r="AJ1992" s="856" t="s">
        <v>6292</v>
      </c>
      <c r="AK1992" s="857">
        <v>45911</v>
      </c>
      <c r="AL1992" s="843" t="s">
        <v>6293</v>
      </c>
      <c r="AM1992" s="843" t="s">
        <v>6294</v>
      </c>
      <c r="AN1992" s="844" t="s">
        <v>3951</v>
      </c>
      <c r="AO1992" s="844" t="s">
        <v>141</v>
      </c>
      <c r="AP1992" s="841"/>
      <c r="AQ1992" s="841">
        <v>45929</v>
      </c>
      <c r="AR1992" s="841">
        <v>45987</v>
      </c>
      <c r="AS1992" s="842" t="s">
        <v>1284</v>
      </c>
      <c r="AT1992" s="842" t="s">
        <v>1743</v>
      </c>
      <c r="AU1992" s="842" t="s">
        <v>6295</v>
      </c>
      <c r="AV1992" s="845" t="s">
        <v>6296</v>
      </c>
      <c r="AW1992" s="861">
        <v>45986</v>
      </c>
      <c r="AX1992" s="862">
        <v>45987</v>
      </c>
      <c r="AY1992" s="843"/>
      <c r="AZ1992" s="842">
        <v>94031000</v>
      </c>
      <c r="BA1992" s="842" t="s">
        <v>120</v>
      </c>
      <c r="BB1992" s="863" t="s">
        <v>121</v>
      </c>
      <c r="BC1992" s="864">
        <v>45990</v>
      </c>
      <c r="BD1992" s="860" t="s">
        <v>6297</v>
      </c>
      <c r="BE1992" s="865" cm="1">
        <f t="array" ref="BE1992">IF(BD1992="","",AC1992/SUMPRODUCT(--(BD1992=$BD$4:$BD$12824),$AC$4:$AC$12824))</f>
        <v>6.2078422114709238E-4</v>
      </c>
      <c r="BF1992" s="458"/>
      <c r="BG1992" s="458"/>
      <c r="BH1992" s="458"/>
      <c r="BI1992" s="458"/>
      <c r="BJ1992" s="458"/>
      <c r="BK1992" s="458"/>
      <c r="BL1992" s="458"/>
      <c r="BM1992" s="458"/>
      <c r="BN1992" s="458"/>
      <c r="BO1992" s="866">
        <f>VLOOKUP(BD1992,$BD$4:$BN$12824,3,0)*BE1992</f>
        <v>23936.243316237731</v>
      </c>
      <c r="BP1992" s="866"/>
      <c r="BQ1992" s="866"/>
      <c r="BR1992" s="866">
        <f>VLOOKUP(BD1992,$BD$4:$BN$12824,6,0)*BE1992</f>
        <v>10197.635046387792</v>
      </c>
      <c r="BS1992" s="866">
        <f>VLOOKUP(BD1992,$BD$4:$BN$12824,7,0)*BE1992</f>
        <v>1937.57308751767</v>
      </c>
      <c r="BT1992" s="866"/>
      <c r="BU1992" s="866">
        <f>VLOOKUP(BD1992,$BD$4:$BN$12824,9,0)*BE1992</f>
        <v>75.186280944230091</v>
      </c>
      <c r="BV1992" s="867"/>
      <c r="BW1992" s="867">
        <f>VLOOKUP(BD1992,$BD$4:$BN$12824,11,0)*BE1992</f>
        <v>0</v>
      </c>
      <c r="BX1992" s="1146">
        <f t="shared" si="388"/>
        <v>36146.637731087423</v>
      </c>
      <c r="BY1992" s="867">
        <f t="shared" si="390"/>
        <v>717774.3723454877</v>
      </c>
      <c r="BZ1992" s="867">
        <f t="shared" si="389"/>
        <v>2153323.1170364632</v>
      </c>
      <c r="CA1992" s="867">
        <f>_xlfn.MAXIFS($BY$4:$BY$12824,$S$4:$S$12824,$S1992)</f>
        <v>717774.3723454877</v>
      </c>
      <c r="CB1992" s="1032"/>
      <c r="CF1992" s="946">
        <f t="shared" si="382"/>
        <v>2054880</v>
      </c>
    </row>
    <row r="1993" spans="2:84">
      <c r="B1993" s="839" t="s">
        <v>98</v>
      </c>
      <c r="C1993" s="839" t="s">
        <v>273</v>
      </c>
      <c r="D1993" s="839" t="s">
        <v>6289</v>
      </c>
      <c r="E1993" s="839" t="s">
        <v>6539</v>
      </c>
      <c r="F1993" s="841">
        <v>45859</v>
      </c>
      <c r="G1993" s="868" t="s">
        <v>273</v>
      </c>
      <c r="H1993" s="842" t="s">
        <v>102</v>
      </c>
      <c r="I1993" s="883" t="s">
        <v>6540</v>
      </c>
      <c r="J1993" s="841">
        <v>45854</v>
      </c>
      <c r="K1993" s="841"/>
      <c r="L1993" s="843" t="s">
        <v>106</v>
      </c>
      <c r="M1993" s="844" t="s">
        <v>275</v>
      </c>
      <c r="N1993" s="841"/>
      <c r="O1993" s="884" t="s">
        <v>150</v>
      </c>
      <c r="P1993" s="842" t="s">
        <v>124</v>
      </c>
      <c r="Q1993" s="843"/>
      <c r="R1993" s="845" t="s">
        <v>6546</v>
      </c>
      <c r="S1993" s="1127" t="s">
        <v>3961</v>
      </c>
      <c r="T1993" s="885" t="s">
        <v>3962</v>
      </c>
      <c r="U1993" s="886">
        <v>1</v>
      </c>
      <c r="V1993" s="842" t="s">
        <v>3</v>
      </c>
      <c r="W1993" s="849">
        <v>42.81</v>
      </c>
      <c r="X1993" s="847">
        <f t="shared" si="380"/>
        <v>42.81</v>
      </c>
      <c r="Y1993" s="853">
        <v>0.5</v>
      </c>
      <c r="Z1993" s="902">
        <v>21.405000000000001</v>
      </c>
      <c r="AA1993" s="849"/>
      <c r="AB1993" s="849">
        <f t="shared" si="384"/>
        <v>21.405000000000001</v>
      </c>
      <c r="AC1993" s="850">
        <f t="shared" si="385"/>
        <v>21.405000000000001</v>
      </c>
      <c r="AD1993" s="851">
        <f t="shared" si="381"/>
        <v>32000</v>
      </c>
      <c r="AE1993" s="852">
        <v>29936.21</v>
      </c>
      <c r="AF1993" s="853">
        <v>0.1</v>
      </c>
      <c r="AG1993" s="854">
        <f t="shared" si="386"/>
        <v>64940.918051791843</v>
      </c>
      <c r="AH1993" s="853">
        <v>0.08</v>
      </c>
      <c r="AI1993" s="855">
        <f t="shared" si="387"/>
        <v>56458.039448143347</v>
      </c>
      <c r="AJ1993" s="856" t="s">
        <v>6292</v>
      </c>
      <c r="AK1993" s="857">
        <v>45911</v>
      </c>
      <c r="AL1993" s="843" t="s">
        <v>6293</v>
      </c>
      <c r="AM1993" s="843" t="s">
        <v>6294</v>
      </c>
      <c r="AN1993" s="844" t="s">
        <v>3951</v>
      </c>
      <c r="AO1993" s="844" t="s">
        <v>141</v>
      </c>
      <c r="AP1993" s="841"/>
      <c r="AQ1993" s="841">
        <v>45929</v>
      </c>
      <c r="AR1993" s="841">
        <v>45987</v>
      </c>
      <c r="AS1993" s="842" t="s">
        <v>1284</v>
      </c>
      <c r="AT1993" s="842" t="s">
        <v>1743</v>
      </c>
      <c r="AU1993" s="842" t="s">
        <v>6295</v>
      </c>
      <c r="AV1993" s="845" t="s">
        <v>6296</v>
      </c>
      <c r="AW1993" s="861">
        <v>45986</v>
      </c>
      <c r="AX1993" s="862">
        <v>45987</v>
      </c>
      <c r="AY1993" s="843"/>
      <c r="AZ1993" s="842">
        <v>94031000</v>
      </c>
      <c r="BA1993" s="842" t="s">
        <v>120</v>
      </c>
      <c r="BB1993" s="863" t="s">
        <v>121</v>
      </c>
      <c r="BC1993" s="864">
        <v>45990</v>
      </c>
      <c r="BD1993" s="860" t="s">
        <v>6297</v>
      </c>
      <c r="BE1993" s="865" cm="1">
        <f t="array" ref="BE1993">IF(BD1993="","",AC1993/SUMPRODUCT(--(BD1993=$BD$4:$BD$12824),$AC$4:$AC$12824))</f>
        <v>2.0692807371569744E-4</v>
      </c>
      <c r="BF1993" s="458"/>
      <c r="BG1993" s="458"/>
      <c r="BH1993" s="458"/>
      <c r="BI1993" s="458"/>
      <c r="BJ1993" s="458"/>
      <c r="BK1993" s="458"/>
      <c r="BL1993" s="458"/>
      <c r="BM1993" s="458"/>
      <c r="BN1993" s="458"/>
      <c r="BO1993" s="866">
        <f>VLOOKUP(BD1993,$BD$4:$BN$12824,3,0)*BE1993</f>
        <v>7978.7477720792431</v>
      </c>
      <c r="BP1993" s="866"/>
      <c r="BQ1993" s="866"/>
      <c r="BR1993" s="866">
        <f>VLOOKUP(BD1993,$BD$4:$BN$12824,6,0)*BE1993</f>
        <v>3399.2116821292634</v>
      </c>
      <c r="BS1993" s="866">
        <f>VLOOKUP(BD1993,$BD$4:$BN$12824,7,0)*BE1993</f>
        <v>645.85769583922331</v>
      </c>
      <c r="BT1993" s="866"/>
      <c r="BU1993" s="866">
        <f>VLOOKUP(BD1993,$BD$4:$BN$12824,9,0)*BE1993</f>
        <v>25.062093648076697</v>
      </c>
      <c r="BV1993" s="867"/>
      <c r="BW1993" s="867">
        <f>VLOOKUP(BD1993,$BD$4:$BN$12824,11,0)*BE1993</f>
        <v>0</v>
      </c>
      <c r="BX1993" s="1146">
        <f t="shared" si="388"/>
        <v>12048.879243695808</v>
      </c>
      <c r="BY1993" s="867">
        <f t="shared" si="390"/>
        <v>717774.37234548759</v>
      </c>
      <c r="BZ1993" s="867">
        <f t="shared" si="389"/>
        <v>717774.37234548759</v>
      </c>
      <c r="CA1993" s="867">
        <f>_xlfn.MAXIFS($BY$4:$BY$12824,$S$4:$S$12824,$S1993)</f>
        <v>717774.37234548759</v>
      </c>
      <c r="CB1993" s="1032"/>
      <c r="CF1993" s="946">
        <f t="shared" si="382"/>
        <v>684960</v>
      </c>
    </row>
    <row r="1994" spans="2:84">
      <c r="B1994" s="839" t="s">
        <v>98</v>
      </c>
      <c r="C1994" s="839" t="s">
        <v>273</v>
      </c>
      <c r="D1994" s="839" t="s">
        <v>6289</v>
      </c>
      <c r="E1994" s="839" t="s">
        <v>6539</v>
      </c>
      <c r="F1994" s="841">
        <v>45859</v>
      </c>
      <c r="G1994" s="868" t="s">
        <v>273</v>
      </c>
      <c r="H1994" s="842" t="s">
        <v>102</v>
      </c>
      <c r="I1994" s="883" t="s">
        <v>6540</v>
      </c>
      <c r="J1994" s="841">
        <v>45854</v>
      </c>
      <c r="K1994" s="841"/>
      <c r="L1994" s="843" t="s">
        <v>106</v>
      </c>
      <c r="M1994" s="844" t="s">
        <v>275</v>
      </c>
      <c r="N1994" s="841"/>
      <c r="O1994" s="884" t="s">
        <v>150</v>
      </c>
      <c r="P1994" s="842" t="s">
        <v>124</v>
      </c>
      <c r="Q1994" s="843"/>
      <c r="R1994" s="845" t="s">
        <v>6547</v>
      </c>
      <c r="S1994" s="1127" t="s">
        <v>6409</v>
      </c>
      <c r="T1994" s="885" t="s">
        <v>6410</v>
      </c>
      <c r="U1994" s="886">
        <v>1</v>
      </c>
      <c r="V1994" s="842" t="s">
        <v>3</v>
      </c>
      <c r="W1994" s="849">
        <v>51.95</v>
      </c>
      <c r="X1994" s="847">
        <f t="shared" si="380"/>
        <v>51.95</v>
      </c>
      <c r="Y1994" s="853">
        <v>0.5</v>
      </c>
      <c r="Z1994" s="902">
        <v>25.975000000000001</v>
      </c>
      <c r="AA1994" s="849"/>
      <c r="AB1994" s="849">
        <f t="shared" si="384"/>
        <v>25.975000000000001</v>
      </c>
      <c r="AC1994" s="850">
        <f t="shared" si="385"/>
        <v>25.975000000000001</v>
      </c>
      <c r="AD1994" s="851">
        <f t="shared" si="381"/>
        <v>32000</v>
      </c>
      <c r="AE1994" s="852">
        <v>29936.21</v>
      </c>
      <c r="AF1994" s="853">
        <v>0.1</v>
      </c>
      <c r="AG1994" s="854">
        <f t="shared" si="386"/>
        <v>78805.902658037536</v>
      </c>
      <c r="AH1994" s="853">
        <v>0.08</v>
      </c>
      <c r="AI1994" s="855">
        <f t="shared" si="387"/>
        <v>68511.916592643</v>
      </c>
      <c r="AJ1994" s="856" t="s">
        <v>6292</v>
      </c>
      <c r="AK1994" s="857">
        <v>45911</v>
      </c>
      <c r="AL1994" s="843" t="s">
        <v>6293</v>
      </c>
      <c r="AM1994" s="843" t="s">
        <v>6294</v>
      </c>
      <c r="AN1994" s="844" t="s">
        <v>3951</v>
      </c>
      <c r="AO1994" s="844" t="s">
        <v>141</v>
      </c>
      <c r="AP1994" s="841"/>
      <c r="AQ1994" s="841">
        <v>45929</v>
      </c>
      <c r="AR1994" s="841">
        <v>45987</v>
      </c>
      <c r="AS1994" s="842" t="s">
        <v>1284</v>
      </c>
      <c r="AT1994" s="842" t="s">
        <v>1743</v>
      </c>
      <c r="AU1994" s="842" t="s">
        <v>6295</v>
      </c>
      <c r="AV1994" s="845" t="s">
        <v>6296</v>
      </c>
      <c r="AW1994" s="861">
        <v>45986</v>
      </c>
      <c r="AX1994" s="862">
        <v>45987</v>
      </c>
      <c r="AY1994" s="843"/>
      <c r="AZ1994" s="842">
        <v>94031000</v>
      </c>
      <c r="BA1994" s="842" t="s">
        <v>120</v>
      </c>
      <c r="BB1994" s="863" t="s">
        <v>121</v>
      </c>
      <c r="BC1994" s="864">
        <v>45990</v>
      </c>
      <c r="BD1994" s="860" t="s">
        <v>6297</v>
      </c>
      <c r="BE1994" s="865" cm="1">
        <f t="array" ref="BE1994">IF(BD1994="","",AC1994/SUMPRODUCT(--(BD1994=$BD$4:$BD$12824),$AC$4:$AC$12824))</f>
        <v>2.5110753164051582E-4</v>
      </c>
      <c r="BF1994" s="458"/>
      <c r="BG1994" s="458"/>
      <c r="BH1994" s="458"/>
      <c r="BI1994" s="458"/>
      <c r="BJ1994" s="458"/>
      <c r="BK1994" s="458"/>
      <c r="BL1994" s="458"/>
      <c r="BM1994" s="458"/>
      <c r="BN1994" s="458"/>
      <c r="BO1994" s="866">
        <f>VLOOKUP(BD1994,$BD$4:$BN$12824,3,0)*BE1994</f>
        <v>9682.2225358448195</v>
      </c>
      <c r="BP1994" s="866"/>
      <c r="BQ1994" s="866"/>
      <c r="BR1994" s="866">
        <f>VLOOKUP(BD1994,$BD$4:$BN$12824,6,0)*BE1994</f>
        <v>4124.9485374121759</v>
      </c>
      <c r="BS1994" s="866">
        <f>VLOOKUP(BD1994,$BD$4:$BN$12824,7,0)*BE1994</f>
        <v>783.74929453042864</v>
      </c>
      <c r="BT1994" s="866"/>
      <c r="BU1994" s="866">
        <f>VLOOKUP(BD1994,$BD$4:$BN$12824,9,0)*BE1994</f>
        <v>30.412888694641072</v>
      </c>
      <c r="BV1994" s="867"/>
      <c r="BW1994" s="867">
        <f>VLOOKUP(BD1994,$BD$4:$BN$12824,11,0)*BE1994</f>
        <v>0</v>
      </c>
      <c r="BX1994" s="1146">
        <f t="shared" si="388"/>
        <v>14621.333256482067</v>
      </c>
      <c r="BY1994" s="867">
        <f t="shared" si="390"/>
        <v>871020.29066451953</v>
      </c>
      <c r="BZ1994" s="867">
        <f t="shared" si="389"/>
        <v>871020.29066451953</v>
      </c>
      <c r="CA1994" s="867">
        <f>_xlfn.MAXIFS($BY$4:$BY$12824,$S$4:$S$12824,$S1994)</f>
        <v>871020.29066451953</v>
      </c>
      <c r="CB1994" s="1032"/>
      <c r="CF1994" s="946">
        <f t="shared" si="382"/>
        <v>831200</v>
      </c>
    </row>
    <row r="1995" spans="2:84">
      <c r="B1995" s="839" t="s">
        <v>98</v>
      </c>
      <c r="C1995" s="839" t="s">
        <v>273</v>
      </c>
      <c r="D1995" s="839" t="s">
        <v>6289</v>
      </c>
      <c r="E1995" s="839" t="s">
        <v>6539</v>
      </c>
      <c r="F1995" s="841">
        <v>45859</v>
      </c>
      <c r="G1995" s="868" t="s">
        <v>273</v>
      </c>
      <c r="H1995" s="842" t="s">
        <v>102</v>
      </c>
      <c r="I1995" s="883" t="s">
        <v>6540</v>
      </c>
      <c r="J1995" s="841">
        <v>45854</v>
      </c>
      <c r="K1995" s="841"/>
      <c r="L1995" s="843" t="s">
        <v>106</v>
      </c>
      <c r="M1995" s="844" t="s">
        <v>275</v>
      </c>
      <c r="N1995" s="841"/>
      <c r="O1995" s="884" t="s">
        <v>150</v>
      </c>
      <c r="P1995" s="842" t="s">
        <v>124</v>
      </c>
      <c r="Q1995" s="843"/>
      <c r="R1995" s="845" t="s">
        <v>6548</v>
      </c>
      <c r="S1995" s="1127" t="s">
        <v>6549</v>
      </c>
      <c r="T1995" s="885" t="s">
        <v>6550</v>
      </c>
      <c r="U1995" s="886">
        <v>2</v>
      </c>
      <c r="V1995" s="842" t="s">
        <v>3</v>
      </c>
      <c r="W1995" s="849">
        <v>33.75</v>
      </c>
      <c r="X1995" s="847">
        <f t="shared" si="380"/>
        <v>67.5</v>
      </c>
      <c r="Y1995" s="853">
        <v>0.5</v>
      </c>
      <c r="Z1995" s="902">
        <v>16.875</v>
      </c>
      <c r="AA1995" s="849"/>
      <c r="AB1995" s="849">
        <f t="shared" si="384"/>
        <v>33.75</v>
      </c>
      <c r="AC1995" s="850">
        <f t="shared" si="385"/>
        <v>33.75</v>
      </c>
      <c r="AD1995" s="851">
        <f t="shared" si="381"/>
        <v>32000</v>
      </c>
      <c r="AE1995" s="852">
        <v>29936.21</v>
      </c>
      <c r="AF1995" s="853">
        <v>0.1</v>
      </c>
      <c r="AG1995" s="854">
        <f t="shared" si="386"/>
        <v>102394.57996953867</v>
      </c>
      <c r="AH1995" s="853">
        <v>0.08</v>
      </c>
      <c r="AI1995" s="855">
        <f t="shared" si="387"/>
        <v>89019.333397563096</v>
      </c>
      <c r="AJ1995" s="856" t="s">
        <v>6292</v>
      </c>
      <c r="AK1995" s="857">
        <v>45911</v>
      </c>
      <c r="AL1995" s="843" t="s">
        <v>6293</v>
      </c>
      <c r="AM1995" s="843" t="s">
        <v>6294</v>
      </c>
      <c r="AN1995" s="844" t="s">
        <v>3951</v>
      </c>
      <c r="AO1995" s="844" t="s">
        <v>141</v>
      </c>
      <c r="AP1995" s="841"/>
      <c r="AQ1995" s="841">
        <v>45929</v>
      </c>
      <c r="AR1995" s="841">
        <v>45987</v>
      </c>
      <c r="AS1995" s="842" t="s">
        <v>1284</v>
      </c>
      <c r="AT1995" s="842" t="s">
        <v>1743</v>
      </c>
      <c r="AU1995" s="842" t="s">
        <v>6295</v>
      </c>
      <c r="AV1995" s="845" t="s">
        <v>6296</v>
      </c>
      <c r="AW1995" s="861">
        <v>45986</v>
      </c>
      <c r="AX1995" s="862">
        <v>45987</v>
      </c>
      <c r="AY1995" s="843"/>
      <c r="AZ1995" s="842">
        <v>94031000</v>
      </c>
      <c r="BA1995" s="842" t="s">
        <v>120</v>
      </c>
      <c r="BB1995" s="863" t="s">
        <v>121</v>
      </c>
      <c r="BC1995" s="864">
        <v>45990</v>
      </c>
      <c r="BD1995" s="860" t="s">
        <v>6297</v>
      </c>
      <c r="BE1995" s="865" cm="1">
        <f t="array" ref="BE1995">IF(BD1995="","",AC1995/SUMPRODUCT(--(BD1995=$BD$4:$BD$12824),$AC$4:$AC$12824))</f>
        <v>3.2627061377737856E-4</v>
      </c>
      <c r="BF1995" s="458"/>
      <c r="BG1995" s="458"/>
      <c r="BH1995" s="458"/>
      <c r="BI1995" s="458"/>
      <c r="BJ1995" s="458"/>
      <c r="BK1995" s="458"/>
      <c r="BL1995" s="458"/>
      <c r="BM1995" s="458"/>
      <c r="BN1995" s="458"/>
      <c r="BO1995" s="866">
        <f>VLOOKUP(BD1995,$BD$4:$BN$12824,3,0)*BE1995</f>
        <v>12580.366143782969</v>
      </c>
      <c r="BP1995" s="866"/>
      <c r="BQ1995" s="866"/>
      <c r="BR1995" s="866">
        <f>VLOOKUP(BD1995,$BD$4:$BN$12824,6,0)*BE1995</f>
        <v>5359.6540187742412</v>
      </c>
      <c r="BS1995" s="866">
        <f>VLOOKUP(BD1995,$BD$4:$BN$12824,7,0)*BE1995</f>
        <v>1018.3460516035404</v>
      </c>
      <c r="BT1995" s="866"/>
      <c r="BU1995" s="866">
        <f>VLOOKUP(BD1995,$BD$4:$BN$12824,9,0)*BE1995</f>
        <v>39.516265387647202</v>
      </c>
      <c r="BV1995" s="867"/>
      <c r="BW1995" s="867">
        <f>VLOOKUP(BD1995,$BD$4:$BN$12824,11,0)*BE1995</f>
        <v>0</v>
      </c>
      <c r="BX1995" s="1146">
        <f t="shared" si="388"/>
        <v>18997.882479548396</v>
      </c>
      <c r="BY1995" s="867">
        <f t="shared" si="390"/>
        <v>565869.7749745436</v>
      </c>
      <c r="BZ1995" s="867">
        <f t="shared" si="389"/>
        <v>1131739.5499490872</v>
      </c>
      <c r="CA1995" s="867">
        <f>_xlfn.MAXIFS($BY$4:$BY$12824,$S$4:$S$12824,$S1995)</f>
        <v>565869.7749745436</v>
      </c>
      <c r="CB1995" s="1032"/>
      <c r="CF1995" s="946">
        <f t="shared" si="382"/>
        <v>1080000</v>
      </c>
    </row>
    <row r="1996" spans="2:84">
      <c r="B1996" s="839" t="s">
        <v>98</v>
      </c>
      <c r="C1996" s="839" t="s">
        <v>273</v>
      </c>
      <c r="D1996" s="839" t="s">
        <v>6289</v>
      </c>
      <c r="E1996" s="839" t="s">
        <v>6539</v>
      </c>
      <c r="F1996" s="841">
        <v>45859</v>
      </c>
      <c r="G1996" s="868" t="s">
        <v>273</v>
      </c>
      <c r="H1996" s="842" t="s">
        <v>102</v>
      </c>
      <c r="I1996" s="883" t="s">
        <v>6540</v>
      </c>
      <c r="J1996" s="841">
        <v>45854</v>
      </c>
      <c r="K1996" s="841"/>
      <c r="L1996" s="843" t="s">
        <v>106</v>
      </c>
      <c r="M1996" s="844" t="s">
        <v>275</v>
      </c>
      <c r="N1996" s="841"/>
      <c r="O1996" s="884" t="s">
        <v>150</v>
      </c>
      <c r="P1996" s="842" t="s">
        <v>124</v>
      </c>
      <c r="Q1996" s="843"/>
      <c r="R1996" s="845" t="s">
        <v>6551</v>
      </c>
      <c r="S1996" s="1127" t="s">
        <v>6395</v>
      </c>
      <c r="T1996" s="885" t="s">
        <v>6396</v>
      </c>
      <c r="U1996" s="886">
        <v>2</v>
      </c>
      <c r="V1996" s="842" t="s">
        <v>3</v>
      </c>
      <c r="W1996" s="849">
        <v>25.52</v>
      </c>
      <c r="X1996" s="847">
        <f t="shared" si="380"/>
        <v>51.04</v>
      </c>
      <c r="Y1996" s="853">
        <v>0.5</v>
      </c>
      <c r="Z1996" s="902">
        <v>12.76</v>
      </c>
      <c r="AA1996" s="849"/>
      <c r="AB1996" s="849">
        <f t="shared" si="384"/>
        <v>25.52</v>
      </c>
      <c r="AC1996" s="850">
        <f t="shared" si="385"/>
        <v>25.52</v>
      </c>
      <c r="AD1996" s="851">
        <f t="shared" si="381"/>
        <v>32000</v>
      </c>
      <c r="AE1996" s="852">
        <v>29936.21</v>
      </c>
      <c r="AF1996" s="853">
        <v>0.1</v>
      </c>
      <c r="AG1996" s="854">
        <f t="shared" si="386"/>
        <v>77425.472024374103</v>
      </c>
      <c r="AH1996" s="853">
        <v>0.08</v>
      </c>
      <c r="AI1996" s="855">
        <f t="shared" si="387"/>
        <v>67311.80409794992</v>
      </c>
      <c r="AJ1996" s="856" t="s">
        <v>6292</v>
      </c>
      <c r="AK1996" s="857">
        <v>45911</v>
      </c>
      <c r="AL1996" s="843" t="s">
        <v>6293</v>
      </c>
      <c r="AM1996" s="843" t="s">
        <v>6294</v>
      </c>
      <c r="AN1996" s="844" t="s">
        <v>3951</v>
      </c>
      <c r="AO1996" s="844" t="s">
        <v>141</v>
      </c>
      <c r="AP1996" s="841"/>
      <c r="AQ1996" s="841">
        <v>45929</v>
      </c>
      <c r="AR1996" s="841">
        <v>45987</v>
      </c>
      <c r="AS1996" s="842" t="s">
        <v>1284</v>
      </c>
      <c r="AT1996" s="842" t="s">
        <v>1743</v>
      </c>
      <c r="AU1996" s="842" t="s">
        <v>6295</v>
      </c>
      <c r="AV1996" s="845" t="s">
        <v>6296</v>
      </c>
      <c r="AW1996" s="861">
        <v>45986</v>
      </c>
      <c r="AX1996" s="862">
        <v>45987</v>
      </c>
      <c r="AY1996" s="843"/>
      <c r="AZ1996" s="842">
        <v>94031000</v>
      </c>
      <c r="BA1996" s="842" t="s">
        <v>120</v>
      </c>
      <c r="BB1996" s="863" t="s">
        <v>121</v>
      </c>
      <c r="BC1996" s="864">
        <v>45990</v>
      </c>
      <c r="BD1996" s="860" t="s">
        <v>6297</v>
      </c>
      <c r="BE1996" s="865" cm="1">
        <f t="array" ref="BE1996">IF(BD1996="","",AC1996/SUMPRODUCT(--(BD1996=$BD$4:$BD$12824),$AC$4:$AC$12824))</f>
        <v>2.467089204029245E-4</v>
      </c>
      <c r="BF1996" s="458"/>
      <c r="BG1996" s="458"/>
      <c r="BH1996" s="458"/>
      <c r="BI1996" s="458"/>
      <c r="BJ1996" s="458"/>
      <c r="BK1996" s="458"/>
      <c r="BL1996" s="458"/>
      <c r="BM1996" s="458"/>
      <c r="BN1996" s="458"/>
      <c r="BO1996" s="866">
        <f>VLOOKUP(BD1996,$BD$4:$BN$12824,3,0)*BE1996</f>
        <v>9512.6205626471528</v>
      </c>
      <c r="BP1996" s="866"/>
      <c r="BQ1996" s="866"/>
      <c r="BR1996" s="866">
        <f>VLOOKUP(BD1996,$BD$4:$BN$12824,6,0)*BE1996</f>
        <v>4052.6924610109227</v>
      </c>
      <c r="BS1996" s="866">
        <f>VLOOKUP(BD1996,$BD$4:$BN$12824,7,0)*BE1996</f>
        <v>770.02048109399573</v>
      </c>
      <c r="BT1996" s="866"/>
      <c r="BU1996" s="866">
        <f>VLOOKUP(BD1996,$BD$4:$BN$12824,9,0)*BE1996</f>
        <v>29.880150894600202</v>
      </c>
      <c r="BV1996" s="867"/>
      <c r="BW1996" s="867">
        <f>VLOOKUP(BD1996,$BD$4:$BN$12824,11,0)*BE1996</f>
        <v>0</v>
      </c>
      <c r="BX1996" s="1146">
        <f t="shared" si="388"/>
        <v>14365.213655646672</v>
      </c>
      <c r="BY1996" s="867">
        <f t="shared" si="390"/>
        <v>427881.38244001032</v>
      </c>
      <c r="BZ1996" s="867">
        <f t="shared" si="389"/>
        <v>855762.76488002064</v>
      </c>
      <c r="CA1996" s="867">
        <f>_xlfn.MAXIFS($BY$4:$BY$12824,$S$4:$S$12824,$S1996)</f>
        <v>427881.38244001032</v>
      </c>
      <c r="CB1996" s="1032"/>
      <c r="CF1996" s="946">
        <f t="shared" si="382"/>
        <v>816640</v>
      </c>
    </row>
    <row r="1997" spans="2:84">
      <c r="B1997" s="839" t="s">
        <v>98</v>
      </c>
      <c r="C1997" s="839" t="s">
        <v>273</v>
      </c>
      <c r="D1997" s="839" t="s">
        <v>6289</v>
      </c>
      <c r="E1997" s="839" t="s">
        <v>6539</v>
      </c>
      <c r="F1997" s="841">
        <v>45859</v>
      </c>
      <c r="G1997" s="868" t="s">
        <v>273</v>
      </c>
      <c r="H1997" s="842" t="s">
        <v>102</v>
      </c>
      <c r="I1997" s="883" t="s">
        <v>6540</v>
      </c>
      <c r="J1997" s="841">
        <v>45854</v>
      </c>
      <c r="K1997" s="841"/>
      <c r="L1997" s="843" t="s">
        <v>106</v>
      </c>
      <c r="M1997" s="844" t="s">
        <v>275</v>
      </c>
      <c r="N1997" s="841"/>
      <c r="O1997" s="884" t="s">
        <v>150</v>
      </c>
      <c r="P1997" s="842" t="s">
        <v>124</v>
      </c>
      <c r="Q1997" s="843"/>
      <c r="R1997" s="845" t="s">
        <v>6552</v>
      </c>
      <c r="S1997" s="1127" t="s">
        <v>6398</v>
      </c>
      <c r="T1997" s="885" t="s">
        <v>6399</v>
      </c>
      <c r="U1997" s="886">
        <v>1</v>
      </c>
      <c r="V1997" s="842" t="s">
        <v>3</v>
      </c>
      <c r="W1997" s="849">
        <v>29.2</v>
      </c>
      <c r="X1997" s="847">
        <f t="shared" si="380"/>
        <v>29.2</v>
      </c>
      <c r="Y1997" s="853">
        <v>0.5</v>
      </c>
      <c r="Z1997" s="902">
        <v>14.6</v>
      </c>
      <c r="AA1997" s="849"/>
      <c r="AB1997" s="849">
        <f t="shared" si="384"/>
        <v>14.6</v>
      </c>
      <c r="AC1997" s="850">
        <f t="shared" si="385"/>
        <v>14.6</v>
      </c>
      <c r="AD1997" s="851">
        <f t="shared" si="381"/>
        <v>32000</v>
      </c>
      <c r="AE1997" s="852">
        <v>29936.21</v>
      </c>
      <c r="AF1997" s="853">
        <v>0.1</v>
      </c>
      <c r="AG1997" s="854">
        <f t="shared" si="386"/>
        <v>44295.136816452279</v>
      </c>
      <c r="AH1997" s="853">
        <v>0.08</v>
      </c>
      <c r="AI1997" s="855">
        <f t="shared" si="387"/>
        <v>38509.10422531618</v>
      </c>
      <c r="AJ1997" s="856" t="s">
        <v>6292</v>
      </c>
      <c r="AK1997" s="857">
        <v>45911</v>
      </c>
      <c r="AL1997" s="843" t="s">
        <v>6293</v>
      </c>
      <c r="AM1997" s="843" t="s">
        <v>6294</v>
      </c>
      <c r="AN1997" s="844" t="s">
        <v>3951</v>
      </c>
      <c r="AO1997" s="844" t="s">
        <v>141</v>
      </c>
      <c r="AP1997" s="841"/>
      <c r="AQ1997" s="841">
        <v>45929</v>
      </c>
      <c r="AR1997" s="841">
        <v>45987</v>
      </c>
      <c r="AS1997" s="842" t="s">
        <v>1284</v>
      </c>
      <c r="AT1997" s="842" t="s">
        <v>1743</v>
      </c>
      <c r="AU1997" s="842" t="s">
        <v>6295</v>
      </c>
      <c r="AV1997" s="845" t="s">
        <v>6296</v>
      </c>
      <c r="AW1997" s="861">
        <v>45986</v>
      </c>
      <c r="AX1997" s="862">
        <v>45987</v>
      </c>
      <c r="AY1997" s="843"/>
      <c r="AZ1997" s="842">
        <v>94031000</v>
      </c>
      <c r="BA1997" s="842" t="s">
        <v>120</v>
      </c>
      <c r="BB1997" s="863" t="s">
        <v>121</v>
      </c>
      <c r="BC1997" s="864">
        <v>45990</v>
      </c>
      <c r="BD1997" s="860" t="s">
        <v>6297</v>
      </c>
      <c r="BE1997" s="865" cm="1">
        <f t="array" ref="BE1997">IF(BD1997="","",AC1997/SUMPRODUCT(--(BD1997=$BD$4:$BD$12824),$AC$4:$AC$12824))</f>
        <v>1.4114225070073266E-4</v>
      </c>
      <c r="BF1997" s="458"/>
      <c r="BG1997" s="458"/>
      <c r="BH1997" s="458"/>
      <c r="BI1997" s="458"/>
      <c r="BJ1997" s="458"/>
      <c r="BK1997" s="458"/>
      <c r="BL1997" s="458"/>
      <c r="BM1997" s="458"/>
      <c r="BN1997" s="458"/>
      <c r="BO1997" s="866">
        <f>VLOOKUP(BD1997,$BD$4:$BN$12824,3,0)*BE1997</f>
        <v>5442.173205903151</v>
      </c>
      <c r="BP1997" s="866"/>
      <c r="BQ1997" s="866"/>
      <c r="BR1997" s="866">
        <f>VLOOKUP(BD1997,$BD$4:$BN$12824,6,0)*BE1997</f>
        <v>2318.546627380857</v>
      </c>
      <c r="BS1997" s="866">
        <f>VLOOKUP(BD1997,$BD$4:$BN$12824,7,0)*BE1997</f>
        <v>440.5289586196057</v>
      </c>
      <c r="BT1997" s="866"/>
      <c r="BU1997" s="866">
        <f>VLOOKUP(BD1997,$BD$4:$BN$12824,9,0)*BE1997</f>
        <v>17.094443693619237</v>
      </c>
      <c r="BV1997" s="867"/>
      <c r="BW1997" s="867">
        <f>VLOOKUP(BD1997,$BD$4:$BN$12824,11,0)*BE1997</f>
        <v>0</v>
      </c>
      <c r="BX1997" s="1146">
        <f t="shared" si="388"/>
        <v>8218.3432355972327</v>
      </c>
      <c r="BY1997" s="867">
        <f t="shared" si="390"/>
        <v>489582.14605204947</v>
      </c>
      <c r="BZ1997" s="867">
        <f t="shared" si="389"/>
        <v>489582.14605204947</v>
      </c>
      <c r="CA1997" s="867">
        <f>_xlfn.MAXIFS($BY$4:$BY$12824,$S$4:$S$12824,$S1997)</f>
        <v>489582.14605204947</v>
      </c>
      <c r="CB1997" s="1032"/>
      <c r="CF1997" s="946">
        <f t="shared" si="382"/>
        <v>467200</v>
      </c>
    </row>
    <row r="1998" spans="2:84">
      <c r="B1998" s="839" t="s">
        <v>98</v>
      </c>
      <c r="C1998" s="839" t="s">
        <v>273</v>
      </c>
      <c r="D1998" s="839" t="s">
        <v>6289</v>
      </c>
      <c r="E1998" s="839" t="s">
        <v>6553</v>
      </c>
      <c r="F1998" s="841">
        <v>45870</v>
      </c>
      <c r="G1998" s="868" t="s">
        <v>273</v>
      </c>
      <c r="H1998" s="842" t="s">
        <v>102</v>
      </c>
      <c r="I1998" s="883" t="s">
        <v>4747</v>
      </c>
      <c r="J1998" s="841">
        <v>45870</v>
      </c>
      <c r="K1998" s="841"/>
      <c r="L1998" s="843" t="s">
        <v>106</v>
      </c>
      <c r="M1998" s="844" t="s">
        <v>275</v>
      </c>
      <c r="N1998" s="841"/>
      <c r="O1998" s="884" t="s">
        <v>150</v>
      </c>
      <c r="P1998" s="842" t="s">
        <v>461</v>
      </c>
      <c r="Q1998" s="843"/>
      <c r="R1998" s="845" t="s">
        <v>1112</v>
      </c>
      <c r="S1998" s="1128" t="s">
        <v>1113</v>
      </c>
      <c r="T1998" s="885" t="s">
        <v>1114</v>
      </c>
      <c r="U1998" s="886">
        <v>118</v>
      </c>
      <c r="V1998" s="842" t="s">
        <v>3</v>
      </c>
      <c r="W1998" s="849">
        <v>11.15</v>
      </c>
      <c r="X1998" s="847">
        <f t="shared" si="380"/>
        <v>1315.7</v>
      </c>
      <c r="Y1998" s="853" t="s">
        <v>6255</v>
      </c>
      <c r="Z1998" s="903">
        <v>5.5750000000000002</v>
      </c>
      <c r="AA1998" s="849"/>
      <c r="AB1998" s="849">
        <f t="shared" si="384"/>
        <v>657.85</v>
      </c>
      <c r="AC1998" s="850">
        <f t="shared" si="385"/>
        <v>657.85</v>
      </c>
      <c r="AD1998" s="851">
        <f t="shared" si="381"/>
        <v>32000</v>
      </c>
      <c r="AE1998" s="852">
        <v>29936.21</v>
      </c>
      <c r="AF1998" s="853">
        <v>0.1</v>
      </c>
      <c r="AG1998" s="854">
        <f t="shared" si="386"/>
        <v>1995859.9831988448</v>
      </c>
      <c r="AH1998" s="853">
        <v>0.08</v>
      </c>
      <c r="AI1998" s="855">
        <f t="shared" si="387"/>
        <v>1735151.6585359075</v>
      </c>
      <c r="AJ1998" s="856" t="s">
        <v>6292</v>
      </c>
      <c r="AK1998" s="857">
        <v>45911</v>
      </c>
      <c r="AL1998" s="843" t="s">
        <v>6293</v>
      </c>
      <c r="AM1998" s="843" t="s">
        <v>6294</v>
      </c>
      <c r="AN1998" s="844" t="s">
        <v>3951</v>
      </c>
      <c r="AO1998" s="844" t="s">
        <v>141</v>
      </c>
      <c r="AP1998" s="841"/>
      <c r="AQ1998" s="841">
        <v>45929</v>
      </c>
      <c r="AR1998" s="841">
        <v>45987</v>
      </c>
      <c r="AS1998" s="842" t="s">
        <v>1284</v>
      </c>
      <c r="AT1998" s="842" t="s">
        <v>1743</v>
      </c>
      <c r="AU1998" s="842" t="s">
        <v>6295</v>
      </c>
      <c r="AV1998" s="845" t="s">
        <v>6296</v>
      </c>
      <c r="AW1998" s="861">
        <v>45986</v>
      </c>
      <c r="AX1998" s="862">
        <v>45987</v>
      </c>
      <c r="AY1998" s="843"/>
      <c r="AZ1998" s="842">
        <v>94031000</v>
      </c>
      <c r="BA1998" s="842" t="s">
        <v>120</v>
      </c>
      <c r="BB1998" s="863" t="s">
        <v>121</v>
      </c>
      <c r="BC1998" s="864">
        <v>45990</v>
      </c>
      <c r="BD1998" s="860" t="s">
        <v>6297</v>
      </c>
      <c r="BE1998" s="865" cm="1">
        <f t="array" ref="BE1998">IF(BD1998="","",AC1998/SUMPRODUCT(--(BD1998=$BD$4:$BD$12824),$AC$4:$AC$12824))</f>
        <v>6.3596184673614369E-3</v>
      </c>
      <c r="BF1998" s="458"/>
      <c r="BG1998" s="458"/>
      <c r="BH1998" s="458"/>
      <c r="BI1998" s="458"/>
      <c r="BJ1998" s="458"/>
      <c r="BK1998" s="458"/>
      <c r="BL1998" s="458"/>
      <c r="BM1998" s="458"/>
      <c r="BN1998" s="458"/>
      <c r="BO1998" s="866">
        <f>VLOOKUP(BD1998,$BD$4:$BN$12824,3,0)*BE1998</f>
        <v>245214.63311667039</v>
      </c>
      <c r="BP1998" s="866"/>
      <c r="BQ1998" s="866"/>
      <c r="BR1998" s="866">
        <f>VLOOKUP(BD1998,$BD$4:$BN$12824,6,0)*BE1998</f>
        <v>104469.58211112992</v>
      </c>
      <c r="BS1998" s="866">
        <f>VLOOKUP(BD1998,$BD$4:$BN$12824,7,0)*BE1998</f>
        <v>19849.450371774492</v>
      </c>
      <c r="BT1998" s="866"/>
      <c r="BU1998" s="866">
        <f>VLOOKUP(BD1998,$BD$4:$BN$12824,9,0)*BE1998</f>
        <v>770.24519067448045</v>
      </c>
      <c r="BV1998" s="867"/>
      <c r="BW1998" s="867">
        <f>VLOOKUP(BD1998,$BD$4:$BN$12824,11,0)*BE1998</f>
        <v>0</v>
      </c>
      <c r="BX1998" s="1146">
        <f t="shared" si="388"/>
        <v>370303.9107902493</v>
      </c>
      <c r="BY1998" s="867">
        <f t="shared" si="390"/>
        <v>186946.60713973807</v>
      </c>
      <c r="BZ1998" s="867">
        <f t="shared" si="389"/>
        <v>22059699.642489094</v>
      </c>
      <c r="CA1998" s="867">
        <f>_xlfn.MAXIFS($BY$4:$BY$12824,$S$4:$S$12824,$S1998)</f>
        <v>209011.24719546674</v>
      </c>
      <c r="CB1998" s="1032"/>
      <c r="CF1998" s="946">
        <f t="shared" si="382"/>
        <v>21051200</v>
      </c>
    </row>
    <row r="1999" spans="2:84">
      <c r="B1999" s="839" t="s">
        <v>98</v>
      </c>
      <c r="C1999" s="839" t="s">
        <v>273</v>
      </c>
      <c r="D1999" s="839" t="s">
        <v>6289</v>
      </c>
      <c r="E1999" s="839" t="s">
        <v>6553</v>
      </c>
      <c r="F1999" s="841">
        <v>45870</v>
      </c>
      <c r="G1999" s="868" t="s">
        <v>273</v>
      </c>
      <c r="H1999" s="842" t="s">
        <v>102</v>
      </c>
      <c r="I1999" s="883" t="s">
        <v>4747</v>
      </c>
      <c r="J1999" s="841">
        <v>45870</v>
      </c>
      <c r="K1999" s="841"/>
      <c r="L1999" s="843" t="s">
        <v>106</v>
      </c>
      <c r="M1999" s="844" t="s">
        <v>275</v>
      </c>
      <c r="N1999" s="841"/>
      <c r="O1999" s="884" t="s">
        <v>150</v>
      </c>
      <c r="P1999" s="842" t="s">
        <v>124</v>
      </c>
      <c r="Q1999" s="843"/>
      <c r="R1999" s="845" t="s">
        <v>6503</v>
      </c>
      <c r="S1999" s="1128" t="s">
        <v>4509</v>
      </c>
      <c r="T1999" s="885" t="s">
        <v>4510</v>
      </c>
      <c r="U1999" s="886">
        <v>14</v>
      </c>
      <c r="V1999" s="842" t="s">
        <v>3</v>
      </c>
      <c r="W1999" s="849">
        <v>11.97</v>
      </c>
      <c r="X1999" s="847">
        <f t="shared" si="380"/>
        <v>167.58</v>
      </c>
      <c r="Y1999" s="853" t="s">
        <v>6255</v>
      </c>
      <c r="Z1999" s="903">
        <v>5.9850000000000003</v>
      </c>
      <c r="AA1999" s="849"/>
      <c r="AB1999" s="849">
        <f t="shared" si="384"/>
        <v>83.79</v>
      </c>
      <c r="AC1999" s="850">
        <f t="shared" si="385"/>
        <v>83.79</v>
      </c>
      <c r="AD1999" s="851">
        <f t="shared" si="381"/>
        <v>32000</v>
      </c>
      <c r="AE1999" s="852">
        <v>29936.21</v>
      </c>
      <c r="AF1999" s="853">
        <v>0.1</v>
      </c>
      <c r="AG1999" s="854">
        <f t="shared" si="386"/>
        <v>254211.61053770795</v>
      </c>
      <c r="AH1999" s="853">
        <v>0.08</v>
      </c>
      <c r="AI1999" s="855">
        <f t="shared" si="387"/>
        <v>221005.33171501663</v>
      </c>
      <c r="AJ1999" s="856" t="s">
        <v>6292</v>
      </c>
      <c r="AK1999" s="857">
        <v>45911</v>
      </c>
      <c r="AL1999" s="843" t="s">
        <v>6293</v>
      </c>
      <c r="AM1999" s="843" t="s">
        <v>6294</v>
      </c>
      <c r="AN1999" s="844" t="s">
        <v>3951</v>
      </c>
      <c r="AO1999" s="844" t="s">
        <v>141</v>
      </c>
      <c r="AP1999" s="841"/>
      <c r="AQ1999" s="841">
        <v>45929</v>
      </c>
      <c r="AR1999" s="841">
        <v>45987</v>
      </c>
      <c r="AS1999" s="842" t="s">
        <v>1284</v>
      </c>
      <c r="AT1999" s="842" t="s">
        <v>1743</v>
      </c>
      <c r="AU1999" s="842" t="s">
        <v>6295</v>
      </c>
      <c r="AV1999" s="845" t="s">
        <v>6296</v>
      </c>
      <c r="AW1999" s="861">
        <v>45986</v>
      </c>
      <c r="AX1999" s="862">
        <v>45987</v>
      </c>
      <c r="AY1999" s="843"/>
      <c r="AZ1999" s="842">
        <v>94031000</v>
      </c>
      <c r="BA1999" s="842" t="s">
        <v>120</v>
      </c>
      <c r="BB1999" s="863" t="s">
        <v>121</v>
      </c>
      <c r="BC1999" s="864">
        <v>45990</v>
      </c>
      <c r="BD1999" s="860" t="s">
        <v>6297</v>
      </c>
      <c r="BE1999" s="865" cm="1">
        <f t="array" ref="BE1999">IF(BD1999="","",AC1999/SUMPRODUCT(--(BD1999=$BD$4:$BD$12824),$AC$4:$AC$12824))</f>
        <v>8.100211771379719E-4</v>
      </c>
      <c r="BF1999" s="458"/>
      <c r="BG1999" s="458"/>
      <c r="BH1999" s="458"/>
      <c r="BI1999" s="458"/>
      <c r="BJ1999" s="458"/>
      <c r="BK1999" s="458"/>
      <c r="BL1999" s="458"/>
      <c r="BM1999" s="458"/>
      <c r="BN1999" s="458"/>
      <c r="BO1999" s="866">
        <f>VLOOKUP(BD1999,$BD$4:$BN$12824,3,0)*BE1999</f>
        <v>31232.855679631852</v>
      </c>
      <c r="BP1999" s="866"/>
      <c r="BQ1999" s="866"/>
      <c r="BR1999" s="866">
        <f>VLOOKUP(BD1999,$BD$4:$BN$12824,6,0)*BE1999</f>
        <v>13306.234377276849</v>
      </c>
      <c r="BS1999" s="866">
        <f>VLOOKUP(BD1999,$BD$4:$BN$12824,7,0)*BE1999</f>
        <v>2528.2137974477232</v>
      </c>
      <c r="BT1999" s="866"/>
      <c r="BU1999" s="866">
        <f>VLOOKUP(BD1999,$BD$4:$BN$12824,9,0)*BE1999</f>
        <v>98.105714869065466</v>
      </c>
      <c r="BV1999" s="867"/>
      <c r="BW1999" s="867">
        <f>VLOOKUP(BD1999,$BD$4:$BN$12824,11,0)*BE1999</f>
        <v>0</v>
      </c>
      <c r="BX1999" s="1146">
        <f t="shared" si="388"/>
        <v>47165.409569225492</v>
      </c>
      <c r="BY1999" s="867">
        <f t="shared" si="390"/>
        <v>200695.14685763809</v>
      </c>
      <c r="BZ1999" s="867">
        <f t="shared" si="389"/>
        <v>2809732.0560069331</v>
      </c>
      <c r="CA1999" s="867">
        <f>_xlfn.MAXIFS($BY$4:$BY$12824,$S$4:$S$12824,$S1999)</f>
        <v>236222.14541525388</v>
      </c>
      <c r="CB1999" s="1032"/>
      <c r="CF1999" s="946">
        <f t="shared" si="382"/>
        <v>2681280</v>
      </c>
    </row>
    <row r="2000" spans="2:84">
      <c r="B2000" s="839" t="s">
        <v>98</v>
      </c>
      <c r="C2000" s="839" t="s">
        <v>273</v>
      </c>
      <c r="D2000" s="839" t="s">
        <v>6289</v>
      </c>
      <c r="E2000" s="839" t="s">
        <v>6553</v>
      </c>
      <c r="F2000" s="841">
        <v>45870</v>
      </c>
      <c r="G2000" s="868" t="s">
        <v>273</v>
      </c>
      <c r="H2000" s="842" t="s">
        <v>102</v>
      </c>
      <c r="I2000" s="883" t="s">
        <v>4747</v>
      </c>
      <c r="J2000" s="841">
        <v>45870</v>
      </c>
      <c r="K2000" s="841"/>
      <c r="L2000" s="843" t="s">
        <v>106</v>
      </c>
      <c r="M2000" s="844" t="s">
        <v>275</v>
      </c>
      <c r="N2000" s="841"/>
      <c r="O2000" s="884" t="s">
        <v>150</v>
      </c>
      <c r="P2000" s="842" t="s">
        <v>124</v>
      </c>
      <c r="Q2000" s="843"/>
      <c r="R2000" s="845" t="s">
        <v>4514</v>
      </c>
      <c r="S2000" s="1128" t="s">
        <v>4515</v>
      </c>
      <c r="T2000" s="885" t="s">
        <v>4516</v>
      </c>
      <c r="U2000" s="886">
        <v>68</v>
      </c>
      <c r="V2000" s="842" t="s">
        <v>3</v>
      </c>
      <c r="W2000" s="849">
        <v>4.6399999999999997</v>
      </c>
      <c r="X2000" s="847">
        <f t="shared" si="380"/>
        <v>315.52</v>
      </c>
      <c r="Y2000" s="853" t="s">
        <v>6255</v>
      </c>
      <c r="Z2000" s="903">
        <v>2.3199999999999998</v>
      </c>
      <c r="AA2000" s="849"/>
      <c r="AB2000" s="849">
        <f t="shared" si="384"/>
        <v>157.76</v>
      </c>
      <c r="AC2000" s="850">
        <f t="shared" si="385"/>
        <v>157.76</v>
      </c>
      <c r="AD2000" s="851">
        <f t="shared" si="381"/>
        <v>32000</v>
      </c>
      <c r="AE2000" s="852">
        <v>29936.21</v>
      </c>
      <c r="AF2000" s="853">
        <v>0.1</v>
      </c>
      <c r="AG2000" s="854">
        <f t="shared" si="386"/>
        <v>478630.19069613091</v>
      </c>
      <c r="AH2000" s="853">
        <v>0.08</v>
      </c>
      <c r="AI2000" s="855">
        <f t="shared" si="387"/>
        <v>416109.33442369045</v>
      </c>
      <c r="AJ2000" s="856" t="s">
        <v>6292</v>
      </c>
      <c r="AK2000" s="857">
        <v>45911</v>
      </c>
      <c r="AL2000" s="843" t="s">
        <v>6293</v>
      </c>
      <c r="AM2000" s="843" t="s">
        <v>6294</v>
      </c>
      <c r="AN2000" s="844" t="s">
        <v>3951</v>
      </c>
      <c r="AO2000" s="844" t="s">
        <v>141</v>
      </c>
      <c r="AP2000" s="841"/>
      <c r="AQ2000" s="841">
        <v>45929</v>
      </c>
      <c r="AR2000" s="841">
        <v>45987</v>
      </c>
      <c r="AS2000" s="842" t="s">
        <v>1284</v>
      </c>
      <c r="AT2000" s="842" t="s">
        <v>1743</v>
      </c>
      <c r="AU2000" s="842" t="s">
        <v>6295</v>
      </c>
      <c r="AV2000" s="845" t="s">
        <v>6296</v>
      </c>
      <c r="AW2000" s="861">
        <v>45986</v>
      </c>
      <c r="AX2000" s="862">
        <v>45987</v>
      </c>
      <c r="AY2000" s="843"/>
      <c r="AZ2000" s="842">
        <v>94031000</v>
      </c>
      <c r="BA2000" s="842" t="s">
        <v>120</v>
      </c>
      <c r="BB2000" s="863" t="s">
        <v>121</v>
      </c>
      <c r="BC2000" s="864">
        <v>45990</v>
      </c>
      <c r="BD2000" s="860" t="s">
        <v>6297</v>
      </c>
      <c r="BE2000" s="865" cm="1">
        <f t="array" ref="BE2000">IF(BD2000="","",AC2000/SUMPRODUCT(--(BD2000=$BD$4:$BD$12824),$AC$4:$AC$12824))</f>
        <v>1.5251096897635332E-3</v>
      </c>
      <c r="BF2000" s="458"/>
      <c r="BG2000" s="458"/>
      <c r="BH2000" s="458"/>
      <c r="BI2000" s="458"/>
      <c r="BJ2000" s="458"/>
      <c r="BK2000" s="458"/>
      <c r="BL2000" s="458"/>
      <c r="BM2000" s="458"/>
      <c r="BN2000" s="458"/>
      <c r="BO2000" s="866">
        <f>VLOOKUP(BD2000,$BD$4:$BN$12824,3,0)*BE2000</f>
        <v>58805.290750909662</v>
      </c>
      <c r="BP2000" s="866"/>
      <c r="BQ2000" s="866"/>
      <c r="BR2000" s="866">
        <f>VLOOKUP(BD2000,$BD$4:$BN$12824,6,0)*BE2000</f>
        <v>25053.007940794792</v>
      </c>
      <c r="BS2000" s="866">
        <f>VLOOKUP(BD2000,$BD$4:$BN$12824,7,0)*BE2000</f>
        <v>4760.1266103992457</v>
      </c>
      <c r="BT2000" s="866"/>
      <c r="BU2000" s="866">
        <f>VLOOKUP(BD2000,$BD$4:$BN$12824,9,0)*BE2000</f>
        <v>184.71366007571032</v>
      </c>
      <c r="BV2000" s="867"/>
      <c r="BW2000" s="867">
        <f>VLOOKUP(BD2000,$BD$4:$BN$12824,11,0)*BE2000</f>
        <v>0</v>
      </c>
      <c r="BX2000" s="1146">
        <f t="shared" si="388"/>
        <v>88803.138962179422</v>
      </c>
      <c r="BY2000" s="867">
        <f t="shared" si="390"/>
        <v>77796.614989092792</v>
      </c>
      <c r="BZ2000" s="867">
        <f t="shared" si="389"/>
        <v>5290169.8192583099</v>
      </c>
      <c r="CA2000" s="867">
        <f>_xlfn.MAXIFS($BY$4:$BY$12824,$S$4:$S$12824,$S2000)</f>
        <v>86759.385628306947</v>
      </c>
      <c r="CB2000" s="1032"/>
      <c r="CF2000" s="946">
        <f t="shared" si="382"/>
        <v>5048320</v>
      </c>
    </row>
    <row r="2001" spans="2:84">
      <c r="B2001" s="839" t="s">
        <v>98</v>
      </c>
      <c r="C2001" s="839" t="s">
        <v>273</v>
      </c>
      <c r="D2001" s="839" t="s">
        <v>6289</v>
      </c>
      <c r="E2001" s="839" t="s">
        <v>6553</v>
      </c>
      <c r="F2001" s="841">
        <v>45870</v>
      </c>
      <c r="G2001" s="868" t="s">
        <v>273</v>
      </c>
      <c r="H2001" s="842" t="s">
        <v>102</v>
      </c>
      <c r="I2001" s="883" t="s">
        <v>4747</v>
      </c>
      <c r="J2001" s="841">
        <v>45870</v>
      </c>
      <c r="K2001" s="841"/>
      <c r="L2001" s="843" t="s">
        <v>106</v>
      </c>
      <c r="M2001" s="844" t="s">
        <v>275</v>
      </c>
      <c r="N2001" s="841"/>
      <c r="O2001" s="884" t="s">
        <v>150</v>
      </c>
      <c r="P2001" s="842" t="s">
        <v>124</v>
      </c>
      <c r="Q2001" s="843"/>
      <c r="R2001" s="845" t="s">
        <v>4518</v>
      </c>
      <c r="S2001" s="1128" t="s">
        <v>4519</v>
      </c>
      <c r="T2001" s="885" t="s">
        <v>4520</v>
      </c>
      <c r="U2001" s="886">
        <v>264</v>
      </c>
      <c r="V2001" s="842" t="s">
        <v>3</v>
      </c>
      <c r="W2001" s="849">
        <v>1.42</v>
      </c>
      <c r="X2001" s="847">
        <f t="shared" si="380"/>
        <v>374.88</v>
      </c>
      <c r="Y2001" s="853" t="s">
        <v>6255</v>
      </c>
      <c r="Z2001" s="903">
        <v>0.71</v>
      </c>
      <c r="AA2001" s="849"/>
      <c r="AB2001" s="849">
        <f t="shared" si="384"/>
        <v>187.44</v>
      </c>
      <c r="AC2001" s="850">
        <f t="shared" si="385"/>
        <v>187.44</v>
      </c>
      <c r="AD2001" s="851">
        <f t="shared" si="381"/>
        <v>32000</v>
      </c>
      <c r="AE2001" s="852">
        <v>29936.21</v>
      </c>
      <c r="AF2001" s="853">
        <v>0.1</v>
      </c>
      <c r="AG2001" s="854">
        <f t="shared" si="386"/>
        <v>568676.74279971339</v>
      </c>
      <c r="AH2001" s="853">
        <v>0.08</v>
      </c>
      <c r="AI2001" s="855">
        <f t="shared" si="387"/>
        <v>494393.59561597707</v>
      </c>
      <c r="AJ2001" s="856" t="s">
        <v>6292</v>
      </c>
      <c r="AK2001" s="857">
        <v>45911</v>
      </c>
      <c r="AL2001" s="843" t="s">
        <v>6293</v>
      </c>
      <c r="AM2001" s="843" t="s">
        <v>6294</v>
      </c>
      <c r="AN2001" s="844" t="s">
        <v>3951</v>
      </c>
      <c r="AO2001" s="844" t="s">
        <v>141</v>
      </c>
      <c r="AP2001" s="841"/>
      <c r="AQ2001" s="841">
        <v>45929</v>
      </c>
      <c r="AR2001" s="841">
        <v>45987</v>
      </c>
      <c r="AS2001" s="842" t="s">
        <v>1284</v>
      </c>
      <c r="AT2001" s="842" t="s">
        <v>1743</v>
      </c>
      <c r="AU2001" s="842" t="s">
        <v>6295</v>
      </c>
      <c r="AV2001" s="845" t="s">
        <v>6296</v>
      </c>
      <c r="AW2001" s="861">
        <v>45986</v>
      </c>
      <c r="AX2001" s="862">
        <v>45987</v>
      </c>
      <c r="AY2001" s="843"/>
      <c r="AZ2001" s="842">
        <v>94031000</v>
      </c>
      <c r="BA2001" s="842" t="s">
        <v>120</v>
      </c>
      <c r="BB2001" s="863" t="s">
        <v>121</v>
      </c>
      <c r="BC2001" s="864">
        <v>45990</v>
      </c>
      <c r="BD2001" s="860" t="s">
        <v>6297</v>
      </c>
      <c r="BE2001" s="865" cm="1">
        <f t="array" ref="BE2001">IF(BD2001="","",AC2001/SUMPRODUCT(--(BD2001=$BD$4:$BD$12824),$AC$4:$AC$12824))</f>
        <v>1.8120344843387212E-3</v>
      </c>
      <c r="BF2001" s="458"/>
      <c r="BG2001" s="458"/>
      <c r="BH2001" s="458"/>
      <c r="BI2001" s="458"/>
      <c r="BJ2001" s="458"/>
      <c r="BK2001" s="458"/>
      <c r="BL2001" s="458"/>
      <c r="BM2001" s="458"/>
      <c r="BN2001" s="458"/>
      <c r="BO2001" s="866">
        <f>VLOOKUP(BD2001,$BD$4:$BN$12824,3,0)*BE2001</f>
        <v>69868.557925649773</v>
      </c>
      <c r="BP2001" s="866"/>
      <c r="BQ2001" s="866"/>
      <c r="BR2001" s="866">
        <f>VLOOKUP(BD2001,$BD$4:$BN$12824,6,0)*BE2001</f>
        <v>29766.327386045741</v>
      </c>
      <c r="BS2001" s="866">
        <f>VLOOKUP(BD2001,$BD$4:$BN$12824,7,0)*BE2001</f>
        <v>5655.6676714834857</v>
      </c>
      <c r="BT2001" s="866"/>
      <c r="BU2001" s="866">
        <f>VLOOKUP(BD2001,$BD$4:$BN$12824,9,0)*BE2001</f>
        <v>219.46455657068421</v>
      </c>
      <c r="BV2001" s="867"/>
      <c r="BW2001" s="867">
        <f>VLOOKUP(BD2001,$BD$4:$BN$12824,11,0)*BE2001</f>
        <v>0</v>
      </c>
      <c r="BX2001" s="1146">
        <f t="shared" si="388"/>
        <v>105510.01753974969</v>
      </c>
      <c r="BY2001" s="867">
        <f t="shared" si="390"/>
        <v>23808.446828558572</v>
      </c>
      <c r="BZ2001" s="867">
        <f t="shared" si="389"/>
        <v>6285429.962739463</v>
      </c>
      <c r="CA2001" s="867">
        <f>_xlfn.MAXIFS($BY$4:$BY$12824,$S$4:$S$12824,$S2001)</f>
        <v>27999.619907317239</v>
      </c>
      <c r="CB2001" s="1032"/>
      <c r="CF2001" s="946">
        <f t="shared" si="382"/>
        <v>5998080</v>
      </c>
    </row>
    <row r="2002" spans="2:84">
      <c r="B2002" s="839" t="s">
        <v>98</v>
      </c>
      <c r="C2002" s="839" t="s">
        <v>273</v>
      </c>
      <c r="D2002" s="839" t="s">
        <v>6289</v>
      </c>
      <c r="E2002" s="839" t="s">
        <v>6553</v>
      </c>
      <c r="F2002" s="841">
        <v>45870</v>
      </c>
      <c r="G2002" s="868" t="s">
        <v>273</v>
      </c>
      <c r="H2002" s="842" t="s">
        <v>102</v>
      </c>
      <c r="I2002" s="883" t="s">
        <v>4747</v>
      </c>
      <c r="J2002" s="841">
        <v>45870</v>
      </c>
      <c r="K2002" s="841"/>
      <c r="L2002" s="843" t="s">
        <v>106</v>
      </c>
      <c r="M2002" s="844" t="s">
        <v>275</v>
      </c>
      <c r="N2002" s="841"/>
      <c r="O2002" s="884" t="s">
        <v>150</v>
      </c>
      <c r="P2002" s="842" t="s">
        <v>124</v>
      </c>
      <c r="Q2002" s="843"/>
      <c r="R2002" s="845" t="s">
        <v>6554</v>
      </c>
      <c r="S2002" s="1128" t="s">
        <v>4675</v>
      </c>
      <c r="T2002" s="885" t="s">
        <v>4676</v>
      </c>
      <c r="U2002" s="886">
        <v>92</v>
      </c>
      <c r="V2002" s="842" t="s">
        <v>3</v>
      </c>
      <c r="W2002" s="849">
        <v>11.83</v>
      </c>
      <c r="X2002" s="847">
        <f t="shared" si="380"/>
        <v>1088.3599999999999</v>
      </c>
      <c r="Y2002" s="853" t="s">
        <v>6255</v>
      </c>
      <c r="Z2002" s="903">
        <v>5.915</v>
      </c>
      <c r="AA2002" s="849"/>
      <c r="AB2002" s="849">
        <f t="shared" si="384"/>
        <v>544.17999999999995</v>
      </c>
      <c r="AC2002" s="850">
        <f t="shared" si="385"/>
        <v>544.17999999999995</v>
      </c>
      <c r="AD2002" s="851">
        <f t="shared" si="381"/>
        <v>32000</v>
      </c>
      <c r="AE2002" s="852">
        <v>29936.21</v>
      </c>
      <c r="AF2002" s="853">
        <v>0.1</v>
      </c>
      <c r="AG2002" s="854">
        <f t="shared" si="386"/>
        <v>1650995.0378614385</v>
      </c>
      <c r="AH2002" s="853">
        <v>0.08</v>
      </c>
      <c r="AI2002" s="855">
        <f t="shared" si="387"/>
        <v>1435334.5436529147</v>
      </c>
      <c r="AJ2002" s="856" t="s">
        <v>6292</v>
      </c>
      <c r="AK2002" s="857">
        <v>45911</v>
      </c>
      <c r="AL2002" s="843" t="s">
        <v>6293</v>
      </c>
      <c r="AM2002" s="843" t="s">
        <v>6294</v>
      </c>
      <c r="AN2002" s="844" t="s">
        <v>3951</v>
      </c>
      <c r="AO2002" s="844" t="s">
        <v>141</v>
      </c>
      <c r="AP2002" s="841"/>
      <c r="AQ2002" s="841">
        <v>45929</v>
      </c>
      <c r="AR2002" s="841">
        <v>45987</v>
      </c>
      <c r="AS2002" s="842" t="s">
        <v>1284</v>
      </c>
      <c r="AT2002" s="842" t="s">
        <v>1743</v>
      </c>
      <c r="AU2002" s="842" t="s">
        <v>6295</v>
      </c>
      <c r="AV2002" s="845" t="s">
        <v>6296</v>
      </c>
      <c r="AW2002" s="861">
        <v>45986</v>
      </c>
      <c r="AX2002" s="862">
        <v>45987</v>
      </c>
      <c r="AY2002" s="843"/>
      <c r="AZ2002" s="842">
        <v>94031000</v>
      </c>
      <c r="BA2002" s="842" t="s">
        <v>120</v>
      </c>
      <c r="BB2002" s="863" t="s">
        <v>121</v>
      </c>
      <c r="BC2002" s="864">
        <v>45990</v>
      </c>
      <c r="BD2002" s="860" t="s">
        <v>6297</v>
      </c>
      <c r="BE2002" s="865" cm="1">
        <f t="array" ref="BE2002">IF(BD2002="","",AC2002/SUMPRODUCT(--(BD2002=$BD$4:$BD$12824),$AC$4:$AC$12824))</f>
        <v>5.2607390401592253E-3</v>
      </c>
      <c r="BF2002" s="458"/>
      <c r="BG2002" s="458"/>
      <c r="BH2002" s="458"/>
      <c r="BI2002" s="458"/>
      <c r="BJ2002" s="458"/>
      <c r="BK2002" s="458"/>
      <c r="BL2002" s="458"/>
      <c r="BM2002" s="458"/>
      <c r="BN2002" s="458"/>
      <c r="BO2002" s="866">
        <f>VLOOKUP(BD2002,$BD$4:$BN$12824,3,0)*BE2002</f>
        <v>202843.95994440935</v>
      </c>
      <c r="BP2002" s="866"/>
      <c r="BQ2002" s="866"/>
      <c r="BR2002" s="866">
        <f>VLOOKUP(BD2002,$BD$4:$BN$12824,6,0)*BE2002</f>
        <v>86418.267375898256</v>
      </c>
      <c r="BS2002" s="866">
        <f>VLOOKUP(BD2002,$BD$4:$BN$12824,7,0)*BE2002</f>
        <v>16419.660869973766</v>
      </c>
      <c r="BT2002" s="866"/>
      <c r="BU2002" s="866">
        <f>VLOOKUP(BD2002,$BD$4:$BN$12824,9,0)*BE2002</f>
        <v>637.1544088488846</v>
      </c>
      <c r="BV2002" s="867"/>
      <c r="BW2002" s="867">
        <f>VLOOKUP(BD2002,$BD$4:$BN$12824,11,0)*BE2002</f>
        <v>0</v>
      </c>
      <c r="BX2002" s="1146">
        <f t="shared" si="388"/>
        <v>306319.04259913031</v>
      </c>
      <c r="BY2002" s="867">
        <f t="shared" si="390"/>
        <v>198347.83519848439</v>
      </c>
      <c r="BZ2002" s="867">
        <f t="shared" si="389"/>
        <v>18248000.838260565</v>
      </c>
      <c r="CA2002" s="867">
        <f>_xlfn.MAXIFS($BY$4:$BY$12824,$S$4:$S$12824,$S2002)</f>
        <v>205740.65155659986</v>
      </c>
      <c r="CB2002" s="1032"/>
      <c r="CF2002" s="946">
        <f t="shared" si="382"/>
        <v>17413760</v>
      </c>
    </row>
    <row r="2003" spans="2:84">
      <c r="B2003" s="839" t="s">
        <v>98</v>
      </c>
      <c r="C2003" s="839" t="s">
        <v>273</v>
      </c>
      <c r="D2003" s="839" t="s">
        <v>6289</v>
      </c>
      <c r="E2003" s="839" t="s">
        <v>6553</v>
      </c>
      <c r="F2003" s="841">
        <v>45870</v>
      </c>
      <c r="G2003" s="868" t="s">
        <v>273</v>
      </c>
      <c r="H2003" s="842" t="s">
        <v>102</v>
      </c>
      <c r="I2003" s="883" t="s">
        <v>4747</v>
      </c>
      <c r="J2003" s="841">
        <v>45870</v>
      </c>
      <c r="K2003" s="841"/>
      <c r="L2003" s="843" t="s">
        <v>106</v>
      </c>
      <c r="M2003" s="844" t="s">
        <v>275</v>
      </c>
      <c r="N2003" s="841"/>
      <c r="O2003" s="884" t="s">
        <v>150</v>
      </c>
      <c r="P2003" s="842" t="s">
        <v>124</v>
      </c>
      <c r="Q2003" s="843"/>
      <c r="R2003" s="845" t="s">
        <v>6555</v>
      </c>
      <c r="S2003" s="1128" t="s">
        <v>6305</v>
      </c>
      <c r="T2003" s="885" t="s">
        <v>6306</v>
      </c>
      <c r="U2003" s="886">
        <v>8</v>
      </c>
      <c r="V2003" s="842" t="s">
        <v>3</v>
      </c>
      <c r="W2003" s="849">
        <v>3.67</v>
      </c>
      <c r="X2003" s="847">
        <f t="shared" si="380"/>
        <v>29.36</v>
      </c>
      <c r="Y2003" s="853" t="s">
        <v>6255</v>
      </c>
      <c r="Z2003" s="903">
        <v>1.835</v>
      </c>
      <c r="AA2003" s="849"/>
      <c r="AB2003" s="849">
        <f t="shared" si="384"/>
        <v>14.68</v>
      </c>
      <c r="AC2003" s="850">
        <f t="shared" si="385"/>
        <v>14.68</v>
      </c>
      <c r="AD2003" s="851">
        <f t="shared" si="381"/>
        <v>32000</v>
      </c>
      <c r="AE2003" s="852">
        <v>29936.21</v>
      </c>
      <c r="AF2003" s="853">
        <v>0.1</v>
      </c>
      <c r="AG2003" s="854">
        <f t="shared" si="386"/>
        <v>44537.849894898587</v>
      </c>
      <c r="AH2003" s="853">
        <v>0.08</v>
      </c>
      <c r="AI2003" s="855">
        <f t="shared" si="387"/>
        <v>38720.113015591887</v>
      </c>
      <c r="AJ2003" s="856" t="s">
        <v>6292</v>
      </c>
      <c r="AK2003" s="857">
        <v>45911</v>
      </c>
      <c r="AL2003" s="843" t="s">
        <v>6293</v>
      </c>
      <c r="AM2003" s="843" t="s">
        <v>6294</v>
      </c>
      <c r="AN2003" s="844" t="s">
        <v>3951</v>
      </c>
      <c r="AO2003" s="844" t="s">
        <v>141</v>
      </c>
      <c r="AP2003" s="841"/>
      <c r="AQ2003" s="841">
        <v>45929</v>
      </c>
      <c r="AR2003" s="841">
        <v>45987</v>
      </c>
      <c r="AS2003" s="842" t="s">
        <v>1284</v>
      </c>
      <c r="AT2003" s="842" t="s">
        <v>1743</v>
      </c>
      <c r="AU2003" s="842" t="s">
        <v>6295</v>
      </c>
      <c r="AV2003" s="845" t="s">
        <v>6296</v>
      </c>
      <c r="AW2003" s="861">
        <v>45986</v>
      </c>
      <c r="AX2003" s="862">
        <v>45987</v>
      </c>
      <c r="AY2003" s="843"/>
      <c r="AZ2003" s="842">
        <v>94031000</v>
      </c>
      <c r="BA2003" s="842" t="s">
        <v>120</v>
      </c>
      <c r="BB2003" s="863" t="s">
        <v>121</v>
      </c>
      <c r="BC2003" s="864">
        <v>45990</v>
      </c>
      <c r="BD2003" s="860" t="s">
        <v>6297</v>
      </c>
      <c r="BE2003" s="865" cm="1">
        <f t="array" ref="BE2003">IF(BD2003="","",AC2003/SUMPRODUCT(--(BD2003=$BD$4:$BD$12824),$AC$4:$AC$12824))</f>
        <v>1.4191563289635311E-4</v>
      </c>
      <c r="BF2003" s="458"/>
      <c r="BG2003" s="458"/>
      <c r="BH2003" s="458"/>
      <c r="BI2003" s="458"/>
      <c r="BJ2003" s="458"/>
      <c r="BK2003" s="458"/>
      <c r="BL2003" s="458"/>
      <c r="BM2003" s="458"/>
      <c r="BN2003" s="458"/>
      <c r="BO2003" s="866">
        <f>VLOOKUP(BD2003,$BD$4:$BN$12824,3,0)*BE2003</f>
        <v>5471.9933330587846</v>
      </c>
      <c r="BP2003" s="866"/>
      <c r="BQ2003" s="866"/>
      <c r="BR2003" s="866">
        <f>VLOOKUP(BD2003,$BD$4:$BN$12824,6,0)*BE2003</f>
        <v>2331.250992462396</v>
      </c>
      <c r="BS2003" s="866">
        <f>VLOOKUP(BD2003,$BD$4:$BN$12824,7,0)*BE2003</f>
        <v>442.94281592711036</v>
      </c>
      <c r="BT2003" s="866"/>
      <c r="BU2003" s="866">
        <f>VLOOKUP(BD2003,$BD$4:$BN$12824,9,0)*BE2003</f>
        <v>17.188111878241806</v>
      </c>
      <c r="BV2003" s="867"/>
      <c r="BW2003" s="867">
        <f>VLOOKUP(BD2003,$BD$4:$BN$12824,11,0)*BE2003</f>
        <v>0</v>
      </c>
      <c r="BX2003" s="1146">
        <f t="shared" si="388"/>
        <v>8263.3752533265324</v>
      </c>
      <c r="BY2003" s="867">
        <f t="shared" si="390"/>
        <v>61533.098493528138</v>
      </c>
      <c r="BZ2003" s="867">
        <f t="shared" si="389"/>
        <v>492264.7879482251</v>
      </c>
      <c r="CA2003" s="867">
        <f>_xlfn.MAXIFS($BY$4:$BY$12824,$S$4:$S$12824,$S2003)</f>
        <v>61533.098493528138</v>
      </c>
      <c r="CB2003" s="1032"/>
      <c r="CF2003" s="946">
        <f t="shared" si="382"/>
        <v>469760</v>
      </c>
    </row>
    <row r="2004" spans="2:84">
      <c r="B2004" s="839" t="s">
        <v>98</v>
      </c>
      <c r="C2004" s="839" t="s">
        <v>273</v>
      </c>
      <c r="D2004" s="839" t="s">
        <v>6289</v>
      </c>
      <c r="E2004" s="839" t="s">
        <v>6553</v>
      </c>
      <c r="F2004" s="841">
        <v>45870</v>
      </c>
      <c r="G2004" s="868" t="s">
        <v>273</v>
      </c>
      <c r="H2004" s="842" t="s">
        <v>102</v>
      </c>
      <c r="I2004" s="883" t="s">
        <v>4747</v>
      </c>
      <c r="J2004" s="841">
        <v>45870</v>
      </c>
      <c r="K2004" s="841"/>
      <c r="L2004" s="843" t="s">
        <v>106</v>
      </c>
      <c r="M2004" s="844" t="s">
        <v>275</v>
      </c>
      <c r="N2004" s="841"/>
      <c r="O2004" s="884" t="s">
        <v>150</v>
      </c>
      <c r="P2004" s="842" t="s">
        <v>124</v>
      </c>
      <c r="Q2004" s="843"/>
      <c r="R2004" s="845" t="s">
        <v>6556</v>
      </c>
      <c r="S2004" s="1128" t="s">
        <v>6557</v>
      </c>
      <c r="T2004" s="885" t="s">
        <v>6558</v>
      </c>
      <c r="U2004" s="886">
        <v>4</v>
      </c>
      <c r="V2004" s="842" t="s">
        <v>3</v>
      </c>
      <c r="W2004" s="849">
        <v>39.369999999999997</v>
      </c>
      <c r="X2004" s="847">
        <f t="shared" si="380"/>
        <v>157.47999999999999</v>
      </c>
      <c r="Y2004" s="853" t="s">
        <v>6255</v>
      </c>
      <c r="Z2004" s="903">
        <v>19.684999999999999</v>
      </c>
      <c r="AA2004" s="849"/>
      <c r="AB2004" s="849">
        <f t="shared" si="384"/>
        <v>78.739999999999995</v>
      </c>
      <c r="AC2004" s="850">
        <f t="shared" si="385"/>
        <v>78.739999999999995</v>
      </c>
      <c r="AD2004" s="851">
        <f t="shared" si="381"/>
        <v>32000</v>
      </c>
      <c r="AE2004" s="852">
        <v>29936.21</v>
      </c>
      <c r="AF2004" s="853">
        <v>0.1</v>
      </c>
      <c r="AG2004" s="854">
        <f t="shared" si="386"/>
        <v>238890.34746078437</v>
      </c>
      <c r="AH2004" s="853">
        <v>0.08</v>
      </c>
      <c r="AI2004" s="855">
        <f t="shared" si="387"/>
        <v>207685.40182886273</v>
      </c>
      <c r="AJ2004" s="856" t="s">
        <v>6292</v>
      </c>
      <c r="AK2004" s="857">
        <v>45911</v>
      </c>
      <c r="AL2004" s="843" t="s">
        <v>6293</v>
      </c>
      <c r="AM2004" s="843" t="s">
        <v>6294</v>
      </c>
      <c r="AN2004" s="844" t="s">
        <v>3951</v>
      </c>
      <c r="AO2004" s="844" t="s">
        <v>141</v>
      </c>
      <c r="AP2004" s="841"/>
      <c r="AQ2004" s="841">
        <v>45929</v>
      </c>
      <c r="AR2004" s="841">
        <v>45987</v>
      </c>
      <c r="AS2004" s="842" t="s">
        <v>1284</v>
      </c>
      <c r="AT2004" s="842" t="s">
        <v>1743</v>
      </c>
      <c r="AU2004" s="842" t="s">
        <v>6295</v>
      </c>
      <c r="AV2004" s="845" t="s">
        <v>6296</v>
      </c>
      <c r="AW2004" s="861">
        <v>45986</v>
      </c>
      <c r="AX2004" s="862">
        <v>45987</v>
      </c>
      <c r="AY2004" s="843"/>
      <c r="AZ2004" s="842">
        <v>94031000</v>
      </c>
      <c r="BA2004" s="842" t="s">
        <v>120</v>
      </c>
      <c r="BB2004" s="863" t="s">
        <v>121</v>
      </c>
      <c r="BC2004" s="864">
        <v>45990</v>
      </c>
      <c r="BD2004" s="860" t="s">
        <v>6297</v>
      </c>
      <c r="BE2004" s="865" cm="1">
        <f t="array" ref="BE2004">IF(BD2004="","",AC2004/SUMPRODUCT(--(BD2004=$BD$4:$BD$12824),$AC$4:$AC$12824))</f>
        <v>7.6120142603943071E-4</v>
      </c>
      <c r="BF2004" s="458"/>
      <c r="BG2004" s="458"/>
      <c r="BH2004" s="458"/>
      <c r="BI2004" s="458"/>
      <c r="BJ2004" s="458"/>
      <c r="BK2004" s="458"/>
      <c r="BL2004" s="458"/>
      <c r="BM2004" s="458"/>
      <c r="BN2004" s="458"/>
      <c r="BO2004" s="866">
        <f>VLOOKUP(BD2004,$BD$4:$BN$12824,3,0)*BE2004</f>
        <v>29350.460152932472</v>
      </c>
      <c r="BP2004" s="866"/>
      <c r="BQ2004" s="866"/>
      <c r="BR2004" s="866">
        <f>VLOOKUP(BD2004,$BD$4:$BN$12824,6,0)*BE2004</f>
        <v>12504.271331504702</v>
      </c>
      <c r="BS2004" s="866">
        <f>VLOOKUP(BD2004,$BD$4:$BN$12824,7,0)*BE2004</f>
        <v>2375.8390549114897</v>
      </c>
      <c r="BT2004" s="866"/>
      <c r="BU2004" s="866">
        <f>VLOOKUP(BD2004,$BD$4:$BN$12824,9,0)*BE2004</f>
        <v>92.192910714765645</v>
      </c>
      <c r="BV2004" s="867"/>
      <c r="BW2004" s="867">
        <f>VLOOKUP(BD2004,$BD$4:$BN$12824,11,0)*BE2004</f>
        <v>0</v>
      </c>
      <c r="BX2004" s="1146">
        <f t="shared" si="388"/>
        <v>44322.76345006343</v>
      </c>
      <c r="BY2004" s="867">
        <f t="shared" si="390"/>
        <v>660097.57157771185</v>
      </c>
      <c r="BZ2004" s="867">
        <f t="shared" si="389"/>
        <v>2640390.2863108474</v>
      </c>
      <c r="CA2004" s="867">
        <f>_xlfn.MAXIFS($BY$4:$BY$12824,$S$4:$S$12824,$S2004)</f>
        <v>865268.93195791356</v>
      </c>
      <c r="CB2004" s="1032"/>
      <c r="CF2004" s="946">
        <f t="shared" si="382"/>
        <v>2519680</v>
      </c>
    </row>
    <row r="2005" spans="2:84">
      <c r="B2005" s="839" t="s">
        <v>98</v>
      </c>
      <c r="C2005" s="839" t="s">
        <v>273</v>
      </c>
      <c r="D2005" s="839" t="s">
        <v>6289</v>
      </c>
      <c r="E2005" s="839" t="s">
        <v>6553</v>
      </c>
      <c r="F2005" s="841">
        <v>45870</v>
      </c>
      <c r="G2005" s="868" t="s">
        <v>273</v>
      </c>
      <c r="H2005" s="842" t="s">
        <v>102</v>
      </c>
      <c r="I2005" s="883" t="s">
        <v>4747</v>
      </c>
      <c r="J2005" s="841">
        <v>45870</v>
      </c>
      <c r="K2005" s="841"/>
      <c r="L2005" s="843" t="s">
        <v>106</v>
      </c>
      <c r="M2005" s="844" t="s">
        <v>275</v>
      </c>
      <c r="N2005" s="841"/>
      <c r="O2005" s="884" t="s">
        <v>150</v>
      </c>
      <c r="P2005" s="842" t="s">
        <v>124</v>
      </c>
      <c r="Q2005" s="843"/>
      <c r="R2005" s="845" t="s">
        <v>6559</v>
      </c>
      <c r="S2005" s="1128" t="s">
        <v>4685</v>
      </c>
      <c r="T2005" s="885" t="s">
        <v>4686</v>
      </c>
      <c r="U2005" s="886">
        <v>7</v>
      </c>
      <c r="V2005" s="842" t="s">
        <v>3</v>
      </c>
      <c r="W2005" s="849">
        <v>54.63</v>
      </c>
      <c r="X2005" s="847">
        <f t="shared" si="380"/>
        <v>382.41</v>
      </c>
      <c r="Y2005" s="853" t="s">
        <v>6255</v>
      </c>
      <c r="Z2005" s="903">
        <v>27.315000000000001</v>
      </c>
      <c r="AA2005" s="849"/>
      <c r="AB2005" s="849">
        <f t="shared" si="384"/>
        <v>191.20500000000001</v>
      </c>
      <c r="AC2005" s="850">
        <f t="shared" si="385"/>
        <v>191.20500000000001</v>
      </c>
      <c r="AD2005" s="851">
        <f t="shared" si="381"/>
        <v>32000</v>
      </c>
      <c r="AE2005" s="852">
        <v>29936.21</v>
      </c>
      <c r="AF2005" s="853">
        <v>0.1</v>
      </c>
      <c r="AG2005" s="854">
        <f t="shared" si="386"/>
        <v>580099.4270540931</v>
      </c>
      <c r="AH2005" s="853">
        <v>0.08</v>
      </c>
      <c r="AI2005" s="855">
        <f t="shared" si="387"/>
        <v>504324.19680832751</v>
      </c>
      <c r="AJ2005" s="856" t="s">
        <v>6292</v>
      </c>
      <c r="AK2005" s="857">
        <v>45911</v>
      </c>
      <c r="AL2005" s="843" t="s">
        <v>6293</v>
      </c>
      <c r="AM2005" s="843" t="s">
        <v>6294</v>
      </c>
      <c r="AN2005" s="844" t="s">
        <v>3951</v>
      </c>
      <c r="AO2005" s="844" t="s">
        <v>141</v>
      </c>
      <c r="AP2005" s="841"/>
      <c r="AQ2005" s="841">
        <v>45929</v>
      </c>
      <c r="AR2005" s="841">
        <v>45987</v>
      </c>
      <c r="AS2005" s="842" t="s">
        <v>1284</v>
      </c>
      <c r="AT2005" s="842" t="s">
        <v>1743</v>
      </c>
      <c r="AU2005" s="842" t="s">
        <v>6295</v>
      </c>
      <c r="AV2005" s="845" t="s">
        <v>6296</v>
      </c>
      <c r="AW2005" s="861">
        <v>45986</v>
      </c>
      <c r="AX2005" s="862">
        <v>45987</v>
      </c>
      <c r="AY2005" s="843"/>
      <c r="AZ2005" s="842">
        <v>94031000</v>
      </c>
      <c r="BA2005" s="842" t="s">
        <v>120</v>
      </c>
      <c r="BB2005" s="863" t="s">
        <v>121</v>
      </c>
      <c r="BC2005" s="864">
        <v>45990</v>
      </c>
      <c r="BD2005" s="860" t="s">
        <v>6297</v>
      </c>
      <c r="BE2005" s="865" cm="1">
        <f t="array" ref="BE2005">IF(BD2005="","",AC2005/SUMPRODUCT(--(BD2005=$BD$4:$BD$12824),$AC$4:$AC$12824))</f>
        <v>1.8484317839201089E-3</v>
      </c>
      <c r="BF2005" s="458"/>
      <c r="BG2005" s="458"/>
      <c r="BH2005" s="458"/>
      <c r="BI2005" s="458"/>
      <c r="BJ2005" s="458"/>
      <c r="BK2005" s="458"/>
      <c r="BL2005" s="458"/>
      <c r="BM2005" s="458"/>
      <c r="BN2005" s="458"/>
      <c r="BO2005" s="866">
        <f>VLOOKUP(BD2005,$BD$4:$BN$12824,3,0)*BE2005</f>
        <v>71271.967659911781</v>
      </c>
      <c r="BP2005" s="866"/>
      <c r="BQ2005" s="866"/>
      <c r="BR2005" s="866">
        <f>VLOOKUP(BD2005,$BD$4:$BN$12824,6,0)*BE2005</f>
        <v>30364.22656769567</v>
      </c>
      <c r="BS2005" s="866">
        <f>VLOOKUP(BD2005,$BD$4:$BN$12824,7,0)*BE2005</f>
        <v>5769.2698310179258</v>
      </c>
      <c r="BT2005" s="866"/>
      <c r="BU2005" s="866">
        <f>VLOOKUP(BD2005,$BD$4:$BN$12824,9,0)*BE2005</f>
        <v>223.87281550948398</v>
      </c>
      <c r="BV2005" s="867"/>
      <c r="BW2005" s="867">
        <f>VLOOKUP(BD2005,$BD$4:$BN$12824,11,0)*BE2005</f>
        <v>0</v>
      </c>
      <c r="BX2005" s="1146">
        <f t="shared" si="388"/>
        <v>107629.33687413487</v>
      </c>
      <c r="BY2005" s="867">
        <f t="shared" si="390"/>
        <v>915954.54242546123</v>
      </c>
      <c r="BZ2005" s="867">
        <f t="shared" si="389"/>
        <v>6411681.7969782287</v>
      </c>
      <c r="CA2005" s="867">
        <f>_xlfn.MAXIFS($BY$4:$BY$12824,$S$4:$S$12824,$S2005)</f>
        <v>950093.9809414245</v>
      </c>
      <c r="CB2005" s="1032"/>
      <c r="CF2005" s="946">
        <f t="shared" si="382"/>
        <v>6118560</v>
      </c>
    </row>
    <row r="2006" spans="2:84">
      <c r="B2006" s="839" t="s">
        <v>98</v>
      </c>
      <c r="C2006" s="839" t="s">
        <v>273</v>
      </c>
      <c r="D2006" s="839" t="s">
        <v>6289</v>
      </c>
      <c r="E2006" s="839" t="s">
        <v>6553</v>
      </c>
      <c r="F2006" s="841">
        <v>45870</v>
      </c>
      <c r="G2006" s="868" t="s">
        <v>273</v>
      </c>
      <c r="H2006" s="842" t="s">
        <v>102</v>
      </c>
      <c r="I2006" s="883" t="s">
        <v>4747</v>
      </c>
      <c r="J2006" s="841">
        <v>45870</v>
      </c>
      <c r="K2006" s="841"/>
      <c r="L2006" s="843" t="s">
        <v>106</v>
      </c>
      <c r="M2006" s="844" t="s">
        <v>275</v>
      </c>
      <c r="N2006" s="841"/>
      <c r="O2006" s="884" t="s">
        <v>150</v>
      </c>
      <c r="P2006" s="842" t="s">
        <v>124</v>
      </c>
      <c r="Q2006" s="843"/>
      <c r="R2006" s="845" t="s">
        <v>6560</v>
      </c>
      <c r="S2006" s="1128" t="s">
        <v>3976</v>
      </c>
      <c r="T2006" s="885" t="s">
        <v>3977</v>
      </c>
      <c r="U2006" s="886">
        <v>16</v>
      </c>
      <c r="V2006" s="842" t="s">
        <v>3</v>
      </c>
      <c r="W2006" s="849">
        <v>47.84</v>
      </c>
      <c r="X2006" s="847">
        <f t="shared" si="380"/>
        <v>765.44</v>
      </c>
      <c r="Y2006" s="853" t="s">
        <v>6255</v>
      </c>
      <c r="Z2006" s="903">
        <v>23.92</v>
      </c>
      <c r="AA2006" s="849"/>
      <c r="AB2006" s="849">
        <f t="shared" si="384"/>
        <v>382.72</v>
      </c>
      <c r="AC2006" s="850">
        <f t="shared" si="385"/>
        <v>382.72</v>
      </c>
      <c r="AD2006" s="851">
        <f t="shared" si="381"/>
        <v>32000</v>
      </c>
      <c r="AE2006" s="852">
        <v>29936.21</v>
      </c>
      <c r="AF2006" s="853">
        <v>0.1</v>
      </c>
      <c r="AG2006" s="854">
        <f t="shared" si="386"/>
        <v>1161139.3672871655</v>
      </c>
      <c r="AH2006" s="853">
        <v>0.08</v>
      </c>
      <c r="AI2006" s="855">
        <f t="shared" si="387"/>
        <v>1009466.0526789734</v>
      </c>
      <c r="AJ2006" s="856" t="s">
        <v>6292</v>
      </c>
      <c r="AK2006" s="857">
        <v>45911</v>
      </c>
      <c r="AL2006" s="843" t="s">
        <v>6293</v>
      </c>
      <c r="AM2006" s="843" t="s">
        <v>6294</v>
      </c>
      <c r="AN2006" s="844" t="s">
        <v>3951</v>
      </c>
      <c r="AO2006" s="844" t="s">
        <v>141</v>
      </c>
      <c r="AP2006" s="841"/>
      <c r="AQ2006" s="841">
        <v>45929</v>
      </c>
      <c r="AR2006" s="841">
        <v>45987</v>
      </c>
      <c r="AS2006" s="842" t="s">
        <v>1284</v>
      </c>
      <c r="AT2006" s="842" t="s">
        <v>1743</v>
      </c>
      <c r="AU2006" s="842" t="s">
        <v>6295</v>
      </c>
      <c r="AV2006" s="845" t="s">
        <v>6296</v>
      </c>
      <c r="AW2006" s="861">
        <v>45986</v>
      </c>
      <c r="AX2006" s="862">
        <v>45987</v>
      </c>
      <c r="AY2006" s="843"/>
      <c r="AZ2006" s="842">
        <v>94031000</v>
      </c>
      <c r="BA2006" s="842" t="s">
        <v>120</v>
      </c>
      <c r="BB2006" s="863" t="s">
        <v>121</v>
      </c>
      <c r="BC2006" s="864">
        <v>45990</v>
      </c>
      <c r="BD2006" s="860" t="s">
        <v>6297</v>
      </c>
      <c r="BE2006" s="865" cm="1">
        <f t="array" ref="BE2006">IF(BD2006="","",AC2006/SUMPRODUCT(--(BD2006=$BD$4:$BD$12824),$AC$4:$AC$12824))</f>
        <v>3.699860423848247E-3</v>
      </c>
      <c r="BF2006" s="458"/>
      <c r="BG2006" s="458"/>
      <c r="BH2006" s="458"/>
      <c r="BI2006" s="458"/>
      <c r="BJ2006" s="458"/>
      <c r="BK2006" s="458"/>
      <c r="BL2006" s="458"/>
      <c r="BM2006" s="458"/>
      <c r="BN2006" s="458"/>
      <c r="BO2006" s="866">
        <f>VLOOKUP(BD2006,$BD$4:$BN$12824,3,0)*BE2006</f>
        <v>142659.48831255164</v>
      </c>
      <c r="BP2006" s="866"/>
      <c r="BQ2006" s="866"/>
      <c r="BR2006" s="866">
        <f>VLOOKUP(BD2006,$BD$4:$BN$12824,6,0)*BE2006</f>
        <v>60777.682550082303</v>
      </c>
      <c r="BS2006" s="866">
        <f>VLOOKUP(BD2006,$BD$4:$BN$12824,7,0)*BE2006</f>
        <v>11547.893359102431</v>
      </c>
      <c r="BT2006" s="866"/>
      <c r="BU2006" s="866">
        <f>VLOOKUP(BD2006,$BD$4:$BN$12824,9,0)*BE2006</f>
        <v>448.10859523438046</v>
      </c>
      <c r="BV2006" s="867"/>
      <c r="BW2006" s="867">
        <f>VLOOKUP(BD2006,$BD$4:$BN$12824,11,0)*BE2006</f>
        <v>0</v>
      </c>
      <c r="BX2006" s="1146">
        <f t="shared" si="388"/>
        <v>215433.17281697073</v>
      </c>
      <c r="BY2006" s="867">
        <f t="shared" si="390"/>
        <v>802109.92695650866</v>
      </c>
      <c r="BZ2006" s="867">
        <f t="shared" si="389"/>
        <v>12833758.831304139</v>
      </c>
      <c r="CA2006" s="867">
        <f>_xlfn.MAXIFS($BY$4:$BY$12824,$S$4:$S$12824,$S2006)</f>
        <v>802109.92695650866</v>
      </c>
      <c r="CB2006" s="1032"/>
      <c r="CF2006" s="946">
        <f t="shared" si="382"/>
        <v>12247040</v>
      </c>
    </row>
    <row r="2007" spans="2:84">
      <c r="B2007" s="839" t="s">
        <v>98</v>
      </c>
      <c r="C2007" s="839" t="s">
        <v>273</v>
      </c>
      <c r="D2007" s="839" t="s">
        <v>6289</v>
      </c>
      <c r="E2007" s="839" t="s">
        <v>6553</v>
      </c>
      <c r="F2007" s="841">
        <v>45870</v>
      </c>
      <c r="G2007" s="868" t="s">
        <v>273</v>
      </c>
      <c r="H2007" s="842" t="s">
        <v>102</v>
      </c>
      <c r="I2007" s="883" t="s">
        <v>4747</v>
      </c>
      <c r="J2007" s="841">
        <v>45870</v>
      </c>
      <c r="K2007" s="841"/>
      <c r="L2007" s="843" t="s">
        <v>106</v>
      </c>
      <c r="M2007" s="844" t="s">
        <v>275</v>
      </c>
      <c r="N2007" s="841"/>
      <c r="O2007" s="884" t="s">
        <v>150</v>
      </c>
      <c r="P2007" s="842" t="s">
        <v>124</v>
      </c>
      <c r="Q2007" s="843"/>
      <c r="R2007" s="845" t="s">
        <v>6561</v>
      </c>
      <c r="S2007" s="1127" t="s">
        <v>6562</v>
      </c>
      <c r="T2007" s="885" t="s">
        <v>6563</v>
      </c>
      <c r="U2007" s="886">
        <v>1</v>
      </c>
      <c r="V2007" s="842" t="s">
        <v>3</v>
      </c>
      <c r="W2007" s="849">
        <v>2868.78</v>
      </c>
      <c r="X2007" s="847">
        <f t="shared" si="380"/>
        <v>2868.78</v>
      </c>
      <c r="Y2007" s="853" t="s">
        <v>6255</v>
      </c>
      <c r="Z2007" s="903">
        <v>1434.39</v>
      </c>
      <c r="AA2007" s="849"/>
      <c r="AB2007" s="849">
        <f t="shared" si="384"/>
        <v>1434.39</v>
      </c>
      <c r="AC2007" s="850">
        <f t="shared" si="385"/>
        <v>1434.39</v>
      </c>
      <c r="AD2007" s="851">
        <f t="shared" si="381"/>
        <v>32000</v>
      </c>
      <c r="AE2007" s="852">
        <v>29936.21</v>
      </c>
      <c r="AF2007" s="853">
        <v>0.1</v>
      </c>
      <c r="AG2007" s="854">
        <f t="shared" si="386"/>
        <v>4351815.1574076014</v>
      </c>
      <c r="AH2007" s="853">
        <v>0.08</v>
      </c>
      <c r="AI2007" s="855">
        <f t="shared" si="387"/>
        <v>3783361.2335446086</v>
      </c>
      <c r="AJ2007" s="856" t="s">
        <v>6292</v>
      </c>
      <c r="AK2007" s="857">
        <v>45911</v>
      </c>
      <c r="AL2007" s="843" t="s">
        <v>6293</v>
      </c>
      <c r="AM2007" s="843" t="s">
        <v>6294</v>
      </c>
      <c r="AN2007" s="844" t="s">
        <v>3951</v>
      </c>
      <c r="AO2007" s="844" t="s">
        <v>141</v>
      </c>
      <c r="AP2007" s="841"/>
      <c r="AQ2007" s="841">
        <v>45929</v>
      </c>
      <c r="AR2007" s="841">
        <v>45987</v>
      </c>
      <c r="AS2007" s="842" t="s">
        <v>1284</v>
      </c>
      <c r="AT2007" s="842" t="s">
        <v>1743</v>
      </c>
      <c r="AU2007" s="842" t="s">
        <v>6295</v>
      </c>
      <c r="AV2007" s="845" t="s">
        <v>6296</v>
      </c>
      <c r="AW2007" s="861">
        <v>45986</v>
      </c>
      <c r="AX2007" s="862">
        <v>45987</v>
      </c>
      <c r="AY2007" s="843"/>
      <c r="AZ2007" s="842">
        <v>94031000</v>
      </c>
      <c r="BA2007" s="842" t="s">
        <v>120</v>
      </c>
      <c r="BB2007" s="863" t="s">
        <v>121</v>
      </c>
      <c r="BC2007" s="864">
        <v>45990</v>
      </c>
      <c r="BD2007" s="860" t="s">
        <v>6297</v>
      </c>
      <c r="BE2007" s="865" cm="1">
        <f t="array" ref="BE2007">IF(BD2007="","",AC2007/SUMPRODUCT(--(BD2007=$BD$4:$BD$12824),$AC$4:$AC$12824))</f>
        <v>1.386664609470027E-2</v>
      </c>
      <c r="BF2007" s="458"/>
      <c r="BG2007" s="458"/>
      <c r="BH2007" s="458"/>
      <c r="BI2007" s="458"/>
      <c r="BJ2007" s="458"/>
      <c r="BK2007" s="458"/>
      <c r="BL2007" s="458"/>
      <c r="BM2007" s="458"/>
      <c r="BN2007" s="458"/>
      <c r="BO2007" s="866">
        <f>VLOOKUP(BD2007,$BD$4:$BN$12824,3,0)*BE2007</f>
        <v>534671.15238461795</v>
      </c>
      <c r="BP2007" s="866"/>
      <c r="BQ2007" s="866"/>
      <c r="BR2007" s="866">
        <f>VLOOKUP(BD2007,$BD$4:$BN$12824,6,0)*BE2007</f>
        <v>227787.67786635808</v>
      </c>
      <c r="BS2007" s="866">
        <f>VLOOKUP(BD2007,$BD$4:$BN$12824,7,0)*BE2007</f>
        <v>43280.159791395636</v>
      </c>
      <c r="BT2007" s="866"/>
      <c r="BU2007" s="866">
        <f>VLOOKUP(BD2007,$BD$4:$BN$12824,9,0)*BE2007</f>
        <v>1679.4588417596233</v>
      </c>
      <c r="BV2007" s="867"/>
      <c r="BW2007" s="867">
        <f>VLOOKUP(BD2007,$BD$4:$BN$12824,11,0)*BE2007</f>
        <v>0</v>
      </c>
      <c r="BX2007" s="1146">
        <f t="shared" si="388"/>
        <v>807418.44888413127</v>
      </c>
      <c r="BY2007" s="867">
        <f t="shared" si="390"/>
        <v>48099433.868191734</v>
      </c>
      <c r="BZ2007" s="867">
        <f t="shared" si="389"/>
        <v>48099433.868191734</v>
      </c>
      <c r="CA2007" s="867">
        <f>_xlfn.MAXIFS($BY$4:$BY$12824,$S$4:$S$12824,$S2007)</f>
        <v>48099433.868191734</v>
      </c>
      <c r="CB2007" s="1032"/>
      <c r="CF2007" s="946">
        <f t="shared" si="382"/>
        <v>45900480</v>
      </c>
    </row>
    <row r="2008" spans="2:84">
      <c r="B2008" s="839" t="s">
        <v>98</v>
      </c>
      <c r="C2008" s="839" t="s">
        <v>273</v>
      </c>
      <c r="D2008" s="839" t="s">
        <v>6289</v>
      </c>
      <c r="E2008" s="839" t="s">
        <v>6564</v>
      </c>
      <c r="F2008" s="841">
        <v>45876</v>
      </c>
      <c r="G2008" s="868" t="s">
        <v>273</v>
      </c>
      <c r="H2008" s="842" t="s">
        <v>102</v>
      </c>
      <c r="I2008" s="883" t="s">
        <v>6565</v>
      </c>
      <c r="J2008" s="841">
        <v>45870</v>
      </c>
      <c r="K2008" s="841"/>
      <c r="L2008" s="843" t="s">
        <v>106</v>
      </c>
      <c r="M2008" s="844" t="s">
        <v>275</v>
      </c>
      <c r="N2008" s="841"/>
      <c r="O2008" s="884" t="s">
        <v>150</v>
      </c>
      <c r="P2008" s="842" t="s">
        <v>124</v>
      </c>
      <c r="Q2008" s="843"/>
      <c r="R2008" s="845" t="s">
        <v>6566</v>
      </c>
      <c r="S2008" s="1128" t="s">
        <v>6567</v>
      </c>
      <c r="T2008" s="894" t="s">
        <v>6568</v>
      </c>
      <c r="U2008" s="886">
        <v>4</v>
      </c>
      <c r="V2008" s="842" t="s">
        <v>3</v>
      </c>
      <c r="W2008" s="849">
        <v>83.76</v>
      </c>
      <c r="X2008" s="847">
        <f t="shared" si="380"/>
        <v>335.04</v>
      </c>
      <c r="Y2008" s="853" t="s">
        <v>6255</v>
      </c>
      <c r="Z2008" s="902">
        <v>41.88</v>
      </c>
      <c r="AA2008" s="849"/>
      <c r="AB2008" s="849">
        <f t="shared" si="384"/>
        <v>167.52</v>
      </c>
      <c r="AC2008" s="850">
        <f t="shared" si="385"/>
        <v>167.52</v>
      </c>
      <c r="AD2008" s="851">
        <f t="shared" si="381"/>
        <v>32000</v>
      </c>
      <c r="AE2008" s="852">
        <v>29936.21</v>
      </c>
      <c r="AF2008" s="853">
        <v>0.1</v>
      </c>
      <c r="AG2008" s="854">
        <f t="shared" si="386"/>
        <v>508241.18626658118</v>
      </c>
      <c r="AH2008" s="853">
        <v>0.08</v>
      </c>
      <c r="AI2008" s="855">
        <f t="shared" si="387"/>
        <v>441852.40683732653</v>
      </c>
      <c r="AJ2008" s="856" t="s">
        <v>6292</v>
      </c>
      <c r="AK2008" s="857">
        <v>45911</v>
      </c>
      <c r="AL2008" s="843" t="s">
        <v>6293</v>
      </c>
      <c r="AM2008" s="843" t="s">
        <v>6294</v>
      </c>
      <c r="AN2008" s="844" t="s">
        <v>3951</v>
      </c>
      <c r="AO2008" s="844" t="s">
        <v>141</v>
      </c>
      <c r="AP2008" s="841"/>
      <c r="AQ2008" s="841">
        <v>45929</v>
      </c>
      <c r="AR2008" s="841">
        <v>45987</v>
      </c>
      <c r="AS2008" s="842" t="s">
        <v>1284</v>
      </c>
      <c r="AT2008" s="842" t="s">
        <v>1743</v>
      </c>
      <c r="AU2008" s="842" t="s">
        <v>6295</v>
      </c>
      <c r="AV2008" s="845" t="s">
        <v>6296</v>
      </c>
      <c r="AW2008" s="861">
        <v>45986</v>
      </c>
      <c r="AX2008" s="862">
        <v>45987</v>
      </c>
      <c r="AY2008" s="843"/>
      <c r="AZ2008" s="842">
        <v>94031000</v>
      </c>
      <c r="BA2008" s="842" t="s">
        <v>120</v>
      </c>
      <c r="BB2008" s="863" t="s">
        <v>121</v>
      </c>
      <c r="BC2008" s="864">
        <v>45990</v>
      </c>
      <c r="BD2008" s="860" t="s">
        <v>6297</v>
      </c>
      <c r="BE2008" s="865" cm="1">
        <f t="array" ref="BE2008">IF(BD2008="","",AC2008/SUMPRODUCT(--(BD2008=$BD$4:$BD$12824),$AC$4:$AC$12824))</f>
        <v>1.6194623176292286E-3</v>
      </c>
      <c r="BF2008" s="458"/>
      <c r="BG2008" s="458"/>
      <c r="BH2008" s="458"/>
      <c r="BI2008" s="458"/>
      <c r="BJ2008" s="458"/>
      <c r="BK2008" s="458"/>
      <c r="BL2008" s="458"/>
      <c r="BM2008" s="458"/>
      <c r="BN2008" s="458"/>
      <c r="BO2008" s="866">
        <f>VLOOKUP(BD2008,$BD$4:$BN$12824,3,0)*BE2008</f>
        <v>62443.34626389698</v>
      </c>
      <c r="BP2008" s="866"/>
      <c r="BQ2008" s="866"/>
      <c r="BR2008" s="866">
        <f>VLOOKUP(BD2008,$BD$4:$BN$12824,6,0)*BE2008</f>
        <v>26602.940480742549</v>
      </c>
      <c r="BS2008" s="866">
        <f>VLOOKUP(BD2008,$BD$4:$BN$12824,7,0)*BE2008</f>
        <v>5054.6172019148189</v>
      </c>
      <c r="BT2008" s="866"/>
      <c r="BU2008" s="866">
        <f>VLOOKUP(BD2008,$BD$4:$BN$12824,9,0)*BE2008</f>
        <v>196.14117859966402</v>
      </c>
      <c r="BV2008" s="867"/>
      <c r="BW2008" s="867">
        <f>VLOOKUP(BD2008,$BD$4:$BN$12824,11,0)*BE2008</f>
        <v>0</v>
      </c>
      <c r="BX2008" s="1146">
        <f t="shared" si="388"/>
        <v>94297.045125154007</v>
      </c>
      <c r="BY2008" s="867">
        <f t="shared" si="390"/>
        <v>1404363.0326479338</v>
      </c>
      <c r="BZ2008" s="867">
        <f t="shared" si="389"/>
        <v>5617452.1305917352</v>
      </c>
      <c r="CA2008" s="867">
        <f>_xlfn.MAXIFS($BY$4:$BY$12824,$S$4:$S$12824,$S2008)</f>
        <v>1404363.0326479338</v>
      </c>
      <c r="CB2008" s="1032"/>
      <c r="CF2008" s="946">
        <f t="shared" si="382"/>
        <v>5360640</v>
      </c>
    </row>
    <row r="2009" spans="2:84">
      <c r="B2009" s="839" t="s">
        <v>98</v>
      </c>
      <c r="C2009" s="839" t="s">
        <v>381</v>
      </c>
      <c r="D2009" s="839" t="s">
        <v>6569</v>
      </c>
      <c r="E2009" s="839" t="s">
        <v>6569</v>
      </c>
      <c r="F2009" s="841">
        <v>45895</v>
      </c>
      <c r="G2009" s="839" t="s">
        <v>383</v>
      </c>
      <c r="H2009" s="842" t="s">
        <v>134</v>
      </c>
      <c r="I2009" s="883"/>
      <c r="J2009" s="841"/>
      <c r="K2009" s="841"/>
      <c r="L2009" s="843" t="s">
        <v>106</v>
      </c>
      <c r="M2009" s="844" t="s">
        <v>107</v>
      </c>
      <c r="N2009" s="841"/>
      <c r="O2009" s="884" t="s">
        <v>150</v>
      </c>
      <c r="P2009" s="842" t="s">
        <v>4713</v>
      </c>
      <c r="Q2009" s="843"/>
      <c r="R2009" s="845" t="s">
        <v>6570</v>
      </c>
      <c r="S2009" s="1127" t="s">
        <v>6571</v>
      </c>
      <c r="T2009" s="885" t="s">
        <v>6572</v>
      </c>
      <c r="U2009" s="886">
        <v>1</v>
      </c>
      <c r="V2009" s="842" t="s">
        <v>3</v>
      </c>
      <c r="W2009" s="846">
        <v>1217</v>
      </c>
      <c r="X2009" s="847">
        <f t="shared" si="380"/>
        <v>1217</v>
      </c>
      <c r="Y2009" s="853">
        <v>0.5</v>
      </c>
      <c r="Z2009" s="849">
        <f t="shared" ref="Z2009:Z2029" si="391">W2009*(1-Y2009)</f>
        <v>608.5</v>
      </c>
      <c r="AA2009" s="849"/>
      <c r="AB2009" s="849">
        <f t="shared" si="384"/>
        <v>608.5</v>
      </c>
      <c r="AC2009" s="850">
        <f t="shared" si="385"/>
        <v>608.5</v>
      </c>
      <c r="AD2009" s="851">
        <f t="shared" si="381"/>
        <v>32000</v>
      </c>
      <c r="AE2009" s="852">
        <v>30126.73</v>
      </c>
      <c r="AF2009" s="853">
        <v>0</v>
      </c>
      <c r="AG2009" s="854">
        <f t="shared" si="386"/>
        <v>0</v>
      </c>
      <c r="AH2009" s="853">
        <v>0.08</v>
      </c>
      <c r="AI2009" s="855">
        <f t="shared" si="387"/>
        <v>3284085.6527636363</v>
      </c>
      <c r="AJ2009" s="845" t="s">
        <v>6569</v>
      </c>
      <c r="AK2009" s="857">
        <v>45943</v>
      </c>
      <c r="AL2009" s="843" t="s">
        <v>6573</v>
      </c>
      <c r="AM2009" s="843" t="s">
        <v>6574</v>
      </c>
      <c r="AN2009" s="844" t="s">
        <v>4959</v>
      </c>
      <c r="AO2009" s="844" t="s">
        <v>141</v>
      </c>
      <c r="AP2009" s="841"/>
      <c r="AQ2009" s="841">
        <v>45950</v>
      </c>
      <c r="AR2009" s="841">
        <v>45995</v>
      </c>
      <c r="AS2009" s="842" t="s">
        <v>1145</v>
      </c>
      <c r="AT2009" s="842" t="s">
        <v>1187</v>
      </c>
      <c r="AU2009" s="842" t="s">
        <v>6575</v>
      </c>
      <c r="AV2009" s="856" t="s">
        <v>6576</v>
      </c>
      <c r="AW2009" s="861">
        <v>45995</v>
      </c>
      <c r="AX2009" s="861">
        <v>45995</v>
      </c>
      <c r="AY2009" s="843" t="s">
        <v>6577</v>
      </c>
      <c r="AZ2009" s="842">
        <v>94038990</v>
      </c>
      <c r="BA2009" s="842" t="s">
        <v>120</v>
      </c>
      <c r="BB2009" s="863" t="s">
        <v>121</v>
      </c>
      <c r="BC2009" s="864">
        <v>45997</v>
      </c>
      <c r="BD2009" s="860" t="s">
        <v>6578</v>
      </c>
      <c r="BE2009" s="865" cm="1">
        <f t="array" ref="BE2009">IF(BD2009="","",AC2009/SUMPRODUCT(--(BD2009=$BD$4:$BD$12824),$AC$4:$AC$12824))</f>
        <v>2.0623413420639679E-2</v>
      </c>
      <c r="BF2009" s="458" cm="1">
        <f t="array" ref="BF2009">SUM(_xlfn._xlws.FILTER( INDEX(Cost!$B$3:$BK$77,MATCH(LDL!$BD2009, Cost!$F$3:$F$77, 0),0),Cost!$B$3:$BK$3 = BF$3))</f>
        <v>21841070</v>
      </c>
      <c r="BG2009" s="458"/>
      <c r="BH2009" s="458"/>
      <c r="BI2009" s="458" cm="1">
        <f t="array" ref="BI2009">SUM(_xlfn._xlws.FILTER( INDEX(Cost!$B$3:$BK$77,MATCH(LDL!$BD2009, Cost!$F$3:$F$77, 0),0),Cost!$B$3:$BK$3 = BI$3))/1.08</f>
        <v>10861903.703703703</v>
      </c>
      <c r="BJ2009" s="458" cm="1">
        <f t="array" ref="BJ2009">SUM(_xlfn._xlws.FILTER( INDEX(Cost!$B$3:$BK$77,MATCH(LDL!$BD2009, Cost!$F$3:$F$77, 0),0),Cost!$B$3:$BK$3 = BJ$3))</f>
        <v>877885.45454545447</v>
      </c>
      <c r="BK2009" s="458"/>
      <c r="BL2009" s="458" cm="1">
        <f t="array" ref="BL2009">SUM(_xlfn._xlws.FILTER( INDEX(Cost!$B$3:$BK$77,MATCH(LDL!$BD2009, Cost!$F$3:$F$77, 0),0),Cost!$B$3:$BK$3 = BL$3))</f>
        <v>270000</v>
      </c>
      <c r="BM2009" s="458"/>
      <c r="BN2009" s="458" cm="1">
        <f t="array" ref="BN2009">SUM(_xlfn._xlws.FILTER( INDEX(Cost!$B$3:$BK$77,MATCH(LDL!$BD2009, Cost!$F$3:$F$77, 0),0),Cost!$B$3:$BK$3 = BN$3))/1.08</f>
        <v>1537962.9629629629</v>
      </c>
      <c r="BO2009" s="866">
        <f>VLOOKUP(BD2009,$BD$4:$BN$12824,3,0)*BE2009</f>
        <v>450437.41615913069</v>
      </c>
      <c r="BP2009" s="866"/>
      <c r="BQ2009" s="866"/>
      <c r="BR2009" s="866">
        <f>VLOOKUP(BD2009,$BD$4:$BN$12824,6,0)*BE2009</f>
        <v>224009.5306166588</v>
      </c>
      <c r="BS2009" s="866">
        <f>VLOOKUP(BD2009,$BD$4:$BN$12824,7,0)*BE2009</f>
        <v>18104.994665057093</v>
      </c>
      <c r="BT2009" s="866"/>
      <c r="BU2009" s="866">
        <f>VLOOKUP(BD2009,$BD$4:$BN$12824,9,0)*BE2009</f>
        <v>5568.3216235727132</v>
      </c>
      <c r="BV2009" s="867"/>
      <c r="BW2009" s="867">
        <f>VLOOKUP(BD2009,$BD$4:$BN$12824,11,0)*BE2009</f>
        <v>31718.046010817136</v>
      </c>
      <c r="BX2009" s="1146">
        <f t="shared" si="388"/>
        <v>729838.30907523644</v>
      </c>
      <c r="BY2009" s="867">
        <f t="shared" si="390"/>
        <v>19061953.514075235</v>
      </c>
      <c r="BZ2009" s="867">
        <f t="shared" si="389"/>
        <v>19061953.514075235</v>
      </c>
      <c r="CA2009" s="867">
        <f>_xlfn.MAXIFS($BY$4:$BY$12824,$S$4:$S$12824,$S2009)</f>
        <v>19061953.514075235</v>
      </c>
      <c r="CB2009" s="1032"/>
      <c r="CF2009" s="946">
        <f t="shared" si="382"/>
        <v>19472000</v>
      </c>
    </row>
    <row r="2010" spans="2:84">
      <c r="B2010" s="839" t="s">
        <v>98</v>
      </c>
      <c r="C2010" s="839" t="s">
        <v>381</v>
      </c>
      <c r="D2010" s="839" t="s">
        <v>6569</v>
      </c>
      <c r="E2010" s="839" t="s">
        <v>6569</v>
      </c>
      <c r="F2010" s="841">
        <v>45895</v>
      </c>
      <c r="G2010" s="839" t="s">
        <v>383</v>
      </c>
      <c r="H2010" s="842" t="s">
        <v>134</v>
      </c>
      <c r="I2010" s="883"/>
      <c r="J2010" s="841"/>
      <c r="K2010" s="841"/>
      <c r="L2010" s="843" t="s">
        <v>106</v>
      </c>
      <c r="M2010" s="844" t="s">
        <v>107</v>
      </c>
      <c r="N2010" s="841"/>
      <c r="O2010" s="884" t="s">
        <v>150</v>
      </c>
      <c r="P2010" s="842" t="s">
        <v>4713</v>
      </c>
      <c r="Q2010" s="843"/>
      <c r="R2010" s="845" t="s">
        <v>6579</v>
      </c>
      <c r="S2010" s="1127" t="s">
        <v>6580</v>
      </c>
      <c r="T2010" s="885" t="s">
        <v>6581</v>
      </c>
      <c r="U2010" s="886">
        <v>1</v>
      </c>
      <c r="V2010" s="842" t="s">
        <v>3</v>
      </c>
      <c r="W2010" s="846">
        <v>1301</v>
      </c>
      <c r="X2010" s="847">
        <f t="shared" si="380"/>
        <v>1301</v>
      </c>
      <c r="Y2010" s="853">
        <v>0.5</v>
      </c>
      <c r="Z2010" s="849">
        <f t="shared" si="391"/>
        <v>650.5</v>
      </c>
      <c r="AA2010" s="849"/>
      <c r="AB2010" s="849">
        <f t="shared" si="384"/>
        <v>650.5</v>
      </c>
      <c r="AC2010" s="850">
        <f t="shared" si="385"/>
        <v>650.5</v>
      </c>
      <c r="AD2010" s="851">
        <f t="shared" si="381"/>
        <v>32000</v>
      </c>
      <c r="AE2010" s="852">
        <v>30126.73</v>
      </c>
      <c r="AF2010" s="853">
        <v>0</v>
      </c>
      <c r="AG2010" s="854">
        <f t="shared" si="386"/>
        <v>0</v>
      </c>
      <c r="AH2010" s="853">
        <v>0.08</v>
      </c>
      <c r="AI2010" s="855">
        <f t="shared" si="387"/>
        <v>1567795.0292</v>
      </c>
      <c r="AJ2010" s="845" t="s">
        <v>6569</v>
      </c>
      <c r="AK2010" s="857">
        <v>45943</v>
      </c>
      <c r="AL2010" s="843" t="s">
        <v>6573</v>
      </c>
      <c r="AM2010" s="843" t="s">
        <v>6574</v>
      </c>
      <c r="AN2010" s="844" t="s">
        <v>4959</v>
      </c>
      <c r="AO2010" s="844" t="s">
        <v>141</v>
      </c>
      <c r="AP2010" s="841"/>
      <c r="AQ2010" s="841">
        <v>45950</v>
      </c>
      <c r="AR2010" s="841">
        <v>45995</v>
      </c>
      <c r="AS2010" s="842" t="s">
        <v>1145</v>
      </c>
      <c r="AT2010" s="842" t="s">
        <v>1187</v>
      </c>
      <c r="AU2010" s="842" t="s">
        <v>6575</v>
      </c>
      <c r="AV2010" s="856" t="s">
        <v>6576</v>
      </c>
      <c r="AW2010" s="861">
        <v>45995</v>
      </c>
      <c r="AX2010" s="861">
        <v>45995</v>
      </c>
      <c r="AY2010" s="843" t="s">
        <v>6582</v>
      </c>
      <c r="AZ2010" s="842">
        <v>94038990</v>
      </c>
      <c r="BA2010" s="842" t="s">
        <v>120</v>
      </c>
      <c r="BB2010" s="863" t="s">
        <v>121</v>
      </c>
      <c r="BC2010" s="864">
        <v>45997</v>
      </c>
      <c r="BD2010" s="860" t="s">
        <v>6578</v>
      </c>
      <c r="BE2010" s="865" cm="1">
        <f t="array" ref="BE2010">IF(BD2010="","",AC2010/SUMPRODUCT(--(BD2010=$BD$4:$BD$12824),$AC$4:$AC$12824))</f>
        <v>2.2046886491579477E-2</v>
      </c>
      <c r="BF2010" s="458"/>
      <c r="BG2010" s="458"/>
      <c r="BH2010" s="458"/>
      <c r="BI2010" s="458"/>
      <c r="BJ2010" s="458"/>
      <c r="BK2010" s="458"/>
      <c r="BL2010" s="458"/>
      <c r="BM2010" s="458"/>
      <c r="BN2010" s="458"/>
      <c r="BO2010" s="866">
        <f>VLOOKUP(BD2010,$BD$4:$BN$12824,3,0)*BE2010</f>
        <v>481527.59114464174</v>
      </c>
      <c r="BP2010" s="866"/>
      <c r="BQ2010" s="866"/>
      <c r="BR2010" s="866">
        <f>VLOOKUP(BD2010,$BD$4:$BN$12824,6,0)*BE2010</f>
        <v>239471.15803802226</v>
      </c>
      <c r="BS2010" s="866">
        <f>VLOOKUP(BD2010,$BD$4:$BN$12824,7,0)*BE2010</f>
        <v>19354.64096897229</v>
      </c>
      <c r="BT2010" s="866"/>
      <c r="BU2010" s="866">
        <f>VLOOKUP(BD2010,$BD$4:$BN$12824,9,0)*BE2010</f>
        <v>5952.6593527264586</v>
      </c>
      <c r="BV2010" s="867"/>
      <c r="BW2010" s="867">
        <f>VLOOKUP(BD2010,$BD$4:$BN$12824,11,0)*BE2010</f>
        <v>33907.294872697697</v>
      </c>
      <c r="BX2010" s="1146">
        <f t="shared" si="388"/>
        <v>780213.3443770603</v>
      </c>
      <c r="BY2010" s="867">
        <f t="shared" si="390"/>
        <v>20377651.209377058</v>
      </c>
      <c r="BZ2010" s="867">
        <f t="shared" si="389"/>
        <v>20377651.209377058</v>
      </c>
      <c r="CA2010" s="867">
        <f>_xlfn.MAXIFS($BY$4:$BY$12824,$S$4:$S$12824,$S2010)</f>
        <v>20377651.209377058</v>
      </c>
      <c r="CB2010" s="1032"/>
      <c r="CF2010" s="946">
        <f t="shared" si="382"/>
        <v>20816000</v>
      </c>
    </row>
    <row r="2011" spans="2:84">
      <c r="B2011" s="839" t="s">
        <v>98</v>
      </c>
      <c r="C2011" s="839" t="s">
        <v>381</v>
      </c>
      <c r="D2011" s="839" t="s">
        <v>6569</v>
      </c>
      <c r="E2011" s="839" t="s">
        <v>6569</v>
      </c>
      <c r="F2011" s="841">
        <v>45895</v>
      </c>
      <c r="G2011" s="839" t="s">
        <v>383</v>
      </c>
      <c r="H2011" s="842" t="s">
        <v>134</v>
      </c>
      <c r="I2011" s="883"/>
      <c r="J2011" s="841"/>
      <c r="K2011" s="841"/>
      <c r="L2011" s="843" t="s">
        <v>106</v>
      </c>
      <c r="M2011" s="844" t="s">
        <v>107</v>
      </c>
      <c r="N2011" s="841"/>
      <c r="O2011" s="884" t="s">
        <v>150</v>
      </c>
      <c r="P2011" s="842" t="s">
        <v>4713</v>
      </c>
      <c r="Q2011" s="843"/>
      <c r="R2011" s="845" t="s">
        <v>6583</v>
      </c>
      <c r="S2011" s="1127" t="s">
        <v>6584</v>
      </c>
      <c r="T2011" s="885" t="s">
        <v>6585</v>
      </c>
      <c r="U2011" s="886">
        <v>1</v>
      </c>
      <c r="V2011" s="842" t="s">
        <v>3</v>
      </c>
      <c r="W2011" s="846">
        <v>4116</v>
      </c>
      <c r="X2011" s="847">
        <f t="shared" si="380"/>
        <v>4116</v>
      </c>
      <c r="Y2011" s="853">
        <v>0.5</v>
      </c>
      <c r="Z2011" s="849">
        <f t="shared" si="391"/>
        <v>2058</v>
      </c>
      <c r="AA2011" s="849"/>
      <c r="AB2011" s="849">
        <f t="shared" si="384"/>
        <v>2058</v>
      </c>
      <c r="AC2011" s="850">
        <f t="shared" si="385"/>
        <v>2058</v>
      </c>
      <c r="AD2011" s="851">
        <f t="shared" si="381"/>
        <v>32000</v>
      </c>
      <c r="AE2011" s="852">
        <v>30126.73</v>
      </c>
      <c r="AF2011" s="853">
        <v>0</v>
      </c>
      <c r="AG2011" s="854">
        <f t="shared" si="386"/>
        <v>0</v>
      </c>
      <c r="AH2011" s="853">
        <v>0.08</v>
      </c>
      <c r="AI2011" s="855">
        <f t="shared" si="387"/>
        <v>4960064.8272000002</v>
      </c>
      <c r="AJ2011" s="845" t="s">
        <v>6569</v>
      </c>
      <c r="AK2011" s="857">
        <v>45943</v>
      </c>
      <c r="AL2011" s="843" t="s">
        <v>6573</v>
      </c>
      <c r="AM2011" s="843" t="s">
        <v>6574</v>
      </c>
      <c r="AN2011" s="844" t="s">
        <v>4959</v>
      </c>
      <c r="AO2011" s="844" t="s">
        <v>141</v>
      </c>
      <c r="AP2011" s="841"/>
      <c r="AQ2011" s="841">
        <v>45950</v>
      </c>
      <c r="AR2011" s="841">
        <v>45995</v>
      </c>
      <c r="AS2011" s="842" t="s">
        <v>1145</v>
      </c>
      <c r="AT2011" s="842" t="s">
        <v>1187</v>
      </c>
      <c r="AU2011" s="842" t="s">
        <v>6575</v>
      </c>
      <c r="AV2011" s="856" t="s">
        <v>6576</v>
      </c>
      <c r="AW2011" s="861">
        <v>45995</v>
      </c>
      <c r="AX2011" s="861">
        <v>45995</v>
      </c>
      <c r="AY2011" s="843" t="s">
        <v>6586</v>
      </c>
      <c r="AZ2011" s="842">
        <v>94038990</v>
      </c>
      <c r="BA2011" s="842" t="s">
        <v>120</v>
      </c>
      <c r="BB2011" s="863" t="s">
        <v>121</v>
      </c>
      <c r="BC2011" s="864">
        <v>45997</v>
      </c>
      <c r="BD2011" s="860" t="s">
        <v>6578</v>
      </c>
      <c r="BE2011" s="865" cm="1">
        <f t="array" ref="BE2011">IF(BD2011="","",AC2011/SUMPRODUCT(--(BD2011=$BD$4:$BD$12824),$AC$4:$AC$12824))</f>
        <v>6.9750180476050055E-2</v>
      </c>
      <c r="BF2011" s="458"/>
      <c r="BG2011" s="458"/>
      <c r="BH2011" s="458"/>
      <c r="BI2011" s="458"/>
      <c r="BJ2011" s="458"/>
      <c r="BK2011" s="458"/>
      <c r="BL2011" s="458"/>
      <c r="BM2011" s="458"/>
      <c r="BN2011" s="458"/>
      <c r="BO2011" s="866">
        <f>VLOOKUP(BD2011,$BD$4:$BN$12824,3,0)*BE2011</f>
        <v>1523418.5742900425</v>
      </c>
      <c r="BP2011" s="866"/>
      <c r="BQ2011" s="866"/>
      <c r="BR2011" s="866">
        <f>VLOOKUP(BD2011,$BD$4:$BN$12824,6,0)*BE2011</f>
        <v>757619.74364680983</v>
      </c>
      <c r="BS2011" s="866">
        <f>VLOOKUP(BD2011,$BD$4:$BN$12824,7,0)*BE2011</f>
        <v>61232.668891844689</v>
      </c>
      <c r="BT2011" s="866"/>
      <c r="BU2011" s="866">
        <f>VLOOKUP(BD2011,$BD$4:$BN$12824,9,0)*BE2011</f>
        <v>18832.548728533515</v>
      </c>
      <c r="BV2011" s="867"/>
      <c r="BW2011" s="867">
        <f>VLOOKUP(BD2011,$BD$4:$BN$12824,11,0)*BE2011</f>
        <v>107273.19423214735</v>
      </c>
      <c r="BX2011" s="1146">
        <f t="shared" si="388"/>
        <v>2468376.7297893781</v>
      </c>
      <c r="BY2011" s="867">
        <f t="shared" si="390"/>
        <v>64469187.069789372</v>
      </c>
      <c r="BZ2011" s="867">
        <f t="shared" si="389"/>
        <v>64469187.069789372</v>
      </c>
      <c r="CA2011" s="867">
        <f>_xlfn.MAXIFS($BY$4:$BY$12824,$S$4:$S$12824,$S2011)</f>
        <v>64469187.069789372</v>
      </c>
      <c r="CB2011" s="1032"/>
      <c r="CF2011" s="946">
        <f t="shared" si="382"/>
        <v>65856000</v>
      </c>
    </row>
    <row r="2012" spans="2:84">
      <c r="B2012" s="839" t="s">
        <v>98</v>
      </c>
      <c r="C2012" s="839" t="s">
        <v>381</v>
      </c>
      <c r="D2012" s="839" t="s">
        <v>6569</v>
      </c>
      <c r="E2012" s="839" t="s">
        <v>6569</v>
      </c>
      <c r="F2012" s="841">
        <v>45895</v>
      </c>
      <c r="G2012" s="839" t="s">
        <v>383</v>
      </c>
      <c r="H2012" s="842" t="s">
        <v>134</v>
      </c>
      <c r="I2012" s="883"/>
      <c r="J2012" s="841"/>
      <c r="K2012" s="841"/>
      <c r="L2012" s="843" t="s">
        <v>106</v>
      </c>
      <c r="M2012" s="844" t="s">
        <v>107</v>
      </c>
      <c r="N2012" s="841"/>
      <c r="O2012" s="884" t="s">
        <v>150</v>
      </c>
      <c r="P2012" s="842" t="s">
        <v>6587</v>
      </c>
      <c r="Q2012" s="843"/>
      <c r="R2012" s="845" t="s">
        <v>6588</v>
      </c>
      <c r="S2012" s="1127" t="s">
        <v>6589</v>
      </c>
      <c r="T2012" s="885" t="s">
        <v>6590</v>
      </c>
      <c r="U2012" s="886">
        <v>2</v>
      </c>
      <c r="V2012" s="842" t="s">
        <v>3</v>
      </c>
      <c r="W2012" s="846">
        <v>3444</v>
      </c>
      <c r="X2012" s="847">
        <f t="shared" si="380"/>
        <v>6888</v>
      </c>
      <c r="Y2012" s="853">
        <v>0.5</v>
      </c>
      <c r="Z2012" s="849">
        <f t="shared" si="391"/>
        <v>1722</v>
      </c>
      <c r="AA2012" s="849"/>
      <c r="AB2012" s="849">
        <f t="shared" si="384"/>
        <v>3444</v>
      </c>
      <c r="AC2012" s="850">
        <f t="shared" si="385"/>
        <v>3444</v>
      </c>
      <c r="AD2012" s="851">
        <f t="shared" si="381"/>
        <v>32000</v>
      </c>
      <c r="AE2012" s="852">
        <v>30126.73</v>
      </c>
      <c r="AF2012" s="853">
        <v>0</v>
      </c>
      <c r="AG2012" s="854">
        <f t="shared" si="386"/>
        <v>0</v>
      </c>
      <c r="AH2012" s="853">
        <v>0.08</v>
      </c>
      <c r="AI2012" s="855">
        <f t="shared" si="387"/>
        <v>8300516.6496000001</v>
      </c>
      <c r="AJ2012" s="845" t="s">
        <v>6569</v>
      </c>
      <c r="AK2012" s="857">
        <v>45943</v>
      </c>
      <c r="AL2012" s="843" t="s">
        <v>6573</v>
      </c>
      <c r="AM2012" s="843" t="s">
        <v>6574</v>
      </c>
      <c r="AN2012" s="844" t="s">
        <v>4959</v>
      </c>
      <c r="AO2012" s="844" t="s">
        <v>141</v>
      </c>
      <c r="AP2012" s="841"/>
      <c r="AQ2012" s="841">
        <v>45950</v>
      </c>
      <c r="AR2012" s="841">
        <v>45995</v>
      </c>
      <c r="AS2012" s="842" t="s">
        <v>1145</v>
      </c>
      <c r="AT2012" s="842" t="s">
        <v>1187</v>
      </c>
      <c r="AU2012" s="842" t="s">
        <v>6575</v>
      </c>
      <c r="AV2012" s="856" t="s">
        <v>6576</v>
      </c>
      <c r="AW2012" s="861">
        <v>45995</v>
      </c>
      <c r="AX2012" s="861">
        <v>45995</v>
      </c>
      <c r="AY2012" s="843" t="s">
        <v>6591</v>
      </c>
      <c r="AZ2012" s="842">
        <v>94017990</v>
      </c>
      <c r="BA2012" s="842" t="s">
        <v>120</v>
      </c>
      <c r="BB2012" s="863" t="s">
        <v>121</v>
      </c>
      <c r="BC2012" s="864">
        <v>45997</v>
      </c>
      <c r="BD2012" s="860" t="s">
        <v>6578</v>
      </c>
      <c r="BE2012" s="865" cm="1">
        <f t="array" ref="BE2012">IF(BD2012="","",AC2012/SUMPRODUCT(--(BD2012=$BD$4:$BD$12824),$AC$4:$AC$12824))</f>
        <v>0.11672479181706337</v>
      </c>
      <c r="BF2012" s="458"/>
      <c r="BG2012" s="458"/>
      <c r="BH2012" s="458"/>
      <c r="BI2012" s="458"/>
      <c r="BJ2012" s="458"/>
      <c r="BK2012" s="458"/>
      <c r="BL2012" s="458"/>
      <c r="BM2012" s="458"/>
      <c r="BN2012" s="458"/>
      <c r="BO2012" s="866">
        <f>VLOOKUP(BD2012,$BD$4:$BN$12824,3,0)*BE2012</f>
        <v>2549394.3488119082</v>
      </c>
      <c r="BP2012" s="866"/>
      <c r="BQ2012" s="866"/>
      <c r="BR2012" s="866">
        <f>VLOOKUP(BD2012,$BD$4:$BN$12824,6,0)*BE2012</f>
        <v>1267853.4485518043</v>
      </c>
      <c r="BS2012" s="866">
        <f>VLOOKUP(BD2012,$BD$4:$BN$12824,7,0)*BE2012</f>
        <v>102470.99692104621</v>
      </c>
      <c r="BT2012" s="866"/>
      <c r="BU2012" s="866">
        <f>VLOOKUP(BD2012,$BD$4:$BN$12824,9,0)*BE2012</f>
        <v>31515.693790607111</v>
      </c>
      <c r="BV2012" s="867"/>
      <c r="BW2012" s="867">
        <f>VLOOKUP(BD2012,$BD$4:$BN$12824,11,0)*BE2012</f>
        <v>179518.40667420579</v>
      </c>
      <c r="BX2012" s="1146">
        <f t="shared" si="388"/>
        <v>4130752.8947495716</v>
      </c>
      <c r="BY2012" s="867">
        <f t="shared" si="390"/>
        <v>53943605.507374786</v>
      </c>
      <c r="BZ2012" s="867">
        <f t="shared" si="389"/>
        <v>107887211.01474957</v>
      </c>
      <c r="CA2012" s="867">
        <f>_xlfn.MAXIFS($BY$4:$BY$12824,$S$4:$S$12824,$S2012)</f>
        <v>53943605.507374786</v>
      </c>
      <c r="CB2012" s="1032"/>
      <c r="CF2012" s="946">
        <f t="shared" si="382"/>
        <v>110208000</v>
      </c>
    </row>
    <row r="2013" spans="2:84">
      <c r="B2013" s="839" t="s">
        <v>98</v>
      </c>
      <c r="C2013" s="839" t="s">
        <v>381</v>
      </c>
      <c r="D2013" s="839" t="s">
        <v>6569</v>
      </c>
      <c r="E2013" s="839" t="s">
        <v>6569</v>
      </c>
      <c r="F2013" s="841">
        <v>45895</v>
      </c>
      <c r="G2013" s="839" t="s">
        <v>383</v>
      </c>
      <c r="H2013" s="842" t="s">
        <v>134</v>
      </c>
      <c r="I2013" s="883"/>
      <c r="J2013" s="841"/>
      <c r="K2013" s="841"/>
      <c r="L2013" s="843" t="s">
        <v>106</v>
      </c>
      <c r="M2013" s="844" t="s">
        <v>107</v>
      </c>
      <c r="N2013" s="841"/>
      <c r="O2013" s="884" t="s">
        <v>150</v>
      </c>
      <c r="P2013" s="842" t="s">
        <v>6587</v>
      </c>
      <c r="Q2013" s="843"/>
      <c r="R2013" s="845" t="s">
        <v>6592</v>
      </c>
      <c r="S2013" s="1127" t="s">
        <v>6593</v>
      </c>
      <c r="T2013" s="885" t="s">
        <v>6594</v>
      </c>
      <c r="U2013" s="886">
        <v>2</v>
      </c>
      <c r="V2013" s="842" t="s">
        <v>3</v>
      </c>
      <c r="W2013" s="846">
        <v>4284</v>
      </c>
      <c r="X2013" s="847">
        <f t="shared" si="380"/>
        <v>8568</v>
      </c>
      <c r="Y2013" s="853">
        <v>0.5</v>
      </c>
      <c r="Z2013" s="849">
        <f t="shared" si="391"/>
        <v>2142</v>
      </c>
      <c r="AA2013" s="849"/>
      <c r="AB2013" s="849">
        <f t="shared" si="384"/>
        <v>4284</v>
      </c>
      <c r="AC2013" s="850">
        <f t="shared" si="385"/>
        <v>4284</v>
      </c>
      <c r="AD2013" s="851">
        <f t="shared" si="381"/>
        <v>32000</v>
      </c>
      <c r="AE2013" s="852">
        <v>30126.73</v>
      </c>
      <c r="AF2013" s="853">
        <v>0</v>
      </c>
      <c r="AG2013" s="854">
        <f t="shared" si="386"/>
        <v>0</v>
      </c>
      <c r="AH2013" s="853">
        <v>0.08</v>
      </c>
      <c r="AI2013" s="855">
        <f t="shared" si="387"/>
        <v>10325032.9056</v>
      </c>
      <c r="AJ2013" s="845" t="s">
        <v>6569</v>
      </c>
      <c r="AK2013" s="857">
        <v>45943</v>
      </c>
      <c r="AL2013" s="843" t="s">
        <v>6573</v>
      </c>
      <c r="AM2013" s="843" t="s">
        <v>6574</v>
      </c>
      <c r="AN2013" s="844" t="s">
        <v>4959</v>
      </c>
      <c r="AO2013" s="844" t="s">
        <v>141</v>
      </c>
      <c r="AP2013" s="841"/>
      <c r="AQ2013" s="841">
        <v>45950</v>
      </c>
      <c r="AR2013" s="841">
        <v>45995</v>
      </c>
      <c r="AS2013" s="842" t="s">
        <v>1145</v>
      </c>
      <c r="AT2013" s="842" t="s">
        <v>1187</v>
      </c>
      <c r="AU2013" s="842" t="s">
        <v>6575</v>
      </c>
      <c r="AV2013" s="856" t="s">
        <v>6576</v>
      </c>
      <c r="AW2013" s="861">
        <v>45995</v>
      </c>
      <c r="AX2013" s="861">
        <v>45995</v>
      </c>
      <c r="AY2013" s="843" t="s">
        <v>6595</v>
      </c>
      <c r="AZ2013" s="842">
        <v>94017990</v>
      </c>
      <c r="BA2013" s="842" t="s">
        <v>120</v>
      </c>
      <c r="BB2013" s="863" t="s">
        <v>121</v>
      </c>
      <c r="BC2013" s="864">
        <v>45997</v>
      </c>
      <c r="BD2013" s="860" t="s">
        <v>6578</v>
      </c>
      <c r="BE2013" s="865" cm="1">
        <f t="array" ref="BE2013">IF(BD2013="","",AC2013/SUMPRODUCT(--(BD2013=$BD$4:$BD$12824),$AC$4:$AC$12824))</f>
        <v>0.1451942532358593</v>
      </c>
      <c r="BF2013" s="458"/>
      <c r="BG2013" s="458"/>
      <c r="BH2013" s="458"/>
      <c r="BI2013" s="458"/>
      <c r="BJ2013" s="458"/>
      <c r="BK2013" s="458"/>
      <c r="BL2013" s="458"/>
      <c r="BM2013" s="458"/>
      <c r="BN2013" s="458"/>
      <c r="BO2013" s="866">
        <f>VLOOKUP(BD2013,$BD$4:$BN$12824,3,0)*BE2013</f>
        <v>3171197.8485221295</v>
      </c>
      <c r="BP2013" s="866"/>
      <c r="BQ2013" s="866"/>
      <c r="BR2013" s="866">
        <f>VLOOKUP(BD2013,$BD$4:$BN$12824,6,0)*BE2013</f>
        <v>1577085.9969790736</v>
      </c>
      <c r="BS2013" s="866">
        <f>VLOOKUP(BD2013,$BD$4:$BN$12824,7,0)*BE2013</f>
        <v>127463.92299935016</v>
      </c>
      <c r="BT2013" s="866"/>
      <c r="BU2013" s="866">
        <f>VLOOKUP(BD2013,$BD$4:$BN$12824,9,0)*BE2013</f>
        <v>39202.448373682011</v>
      </c>
      <c r="BV2013" s="867"/>
      <c r="BW2013" s="867">
        <f>VLOOKUP(BD2013,$BD$4:$BN$12824,11,0)*BE2013</f>
        <v>223303.38391181693</v>
      </c>
      <c r="BX2013" s="1146">
        <f t="shared" si="388"/>
        <v>5138253.6007860526</v>
      </c>
      <c r="BY2013" s="867">
        <f t="shared" si="390"/>
        <v>67100582.460393026</v>
      </c>
      <c r="BZ2013" s="867">
        <f t="shared" si="389"/>
        <v>134201164.92078605</v>
      </c>
      <c r="CA2013" s="867">
        <f>_xlfn.MAXIFS($BY$4:$BY$12824,$S$4:$S$12824,$S2013)</f>
        <v>67100582.460393026</v>
      </c>
      <c r="CB2013" s="1032"/>
      <c r="CF2013" s="946">
        <f t="shared" si="382"/>
        <v>137088000</v>
      </c>
    </row>
    <row r="2014" spans="2:84">
      <c r="B2014" s="839" t="s">
        <v>98</v>
      </c>
      <c r="C2014" s="839" t="s">
        <v>381</v>
      </c>
      <c r="D2014" s="839" t="s">
        <v>6569</v>
      </c>
      <c r="E2014" s="839" t="s">
        <v>6569</v>
      </c>
      <c r="F2014" s="841">
        <v>45895</v>
      </c>
      <c r="G2014" s="839" t="s">
        <v>383</v>
      </c>
      <c r="H2014" s="842" t="s">
        <v>134</v>
      </c>
      <c r="I2014" s="883"/>
      <c r="J2014" s="841"/>
      <c r="K2014" s="841"/>
      <c r="L2014" s="843" t="s">
        <v>106</v>
      </c>
      <c r="M2014" s="844" t="s">
        <v>107</v>
      </c>
      <c r="N2014" s="841"/>
      <c r="O2014" s="884" t="s">
        <v>150</v>
      </c>
      <c r="P2014" s="842" t="s">
        <v>384</v>
      </c>
      <c r="Q2014" s="843"/>
      <c r="R2014" s="845"/>
      <c r="S2014" s="1127" t="s">
        <v>6596</v>
      </c>
      <c r="T2014" s="885" t="s">
        <v>6597</v>
      </c>
      <c r="U2014" s="886">
        <v>1</v>
      </c>
      <c r="V2014" s="842" t="s">
        <v>3</v>
      </c>
      <c r="W2014" s="846">
        <v>8837</v>
      </c>
      <c r="X2014" s="847">
        <f t="shared" si="380"/>
        <v>8837</v>
      </c>
      <c r="Y2014" s="853">
        <v>0.5</v>
      </c>
      <c r="Z2014" s="849">
        <f t="shared" si="391"/>
        <v>4418.5</v>
      </c>
      <c r="AA2014" s="849"/>
      <c r="AB2014" s="849">
        <f t="shared" si="384"/>
        <v>4418.5</v>
      </c>
      <c r="AC2014" s="850">
        <f t="shared" si="385"/>
        <v>4418.5</v>
      </c>
      <c r="AD2014" s="851">
        <f t="shared" si="381"/>
        <v>32000</v>
      </c>
      <c r="AE2014" s="852">
        <v>30126.73</v>
      </c>
      <c r="AF2014" s="853">
        <v>0</v>
      </c>
      <c r="AG2014" s="854">
        <f t="shared" si="386"/>
        <v>0</v>
      </c>
      <c r="AH2014" s="853">
        <v>0.08</v>
      </c>
      <c r="AI2014" s="855">
        <f t="shared" si="387"/>
        <v>10649196.520400001</v>
      </c>
      <c r="AJ2014" s="845" t="s">
        <v>6569</v>
      </c>
      <c r="AK2014" s="857">
        <v>45943</v>
      </c>
      <c r="AL2014" s="843" t="s">
        <v>6573</v>
      </c>
      <c r="AM2014" s="843" t="s">
        <v>6574</v>
      </c>
      <c r="AN2014" s="844" t="s">
        <v>4959</v>
      </c>
      <c r="AO2014" s="844" t="s">
        <v>141</v>
      </c>
      <c r="AP2014" s="841"/>
      <c r="AQ2014" s="841">
        <v>45950</v>
      </c>
      <c r="AR2014" s="841">
        <v>45995</v>
      </c>
      <c r="AS2014" s="842" t="s">
        <v>1145</v>
      </c>
      <c r="AT2014" s="842" t="s">
        <v>1187</v>
      </c>
      <c r="AU2014" s="842" t="s">
        <v>6575</v>
      </c>
      <c r="AV2014" s="856" t="s">
        <v>6576</v>
      </c>
      <c r="AW2014" s="861">
        <v>45995</v>
      </c>
      <c r="AX2014" s="861">
        <v>45995</v>
      </c>
      <c r="AY2014" s="843" t="s">
        <v>6598</v>
      </c>
      <c r="AZ2014" s="842">
        <v>94017100</v>
      </c>
      <c r="BA2014" s="842" t="s">
        <v>120</v>
      </c>
      <c r="BB2014" s="863" t="s">
        <v>121</v>
      </c>
      <c r="BC2014" s="864">
        <v>45997</v>
      </c>
      <c r="BD2014" s="860" t="s">
        <v>6578</v>
      </c>
      <c r="BE2014" s="865" cm="1">
        <f t="array" ref="BE2014">IF(BD2014="","",AC2014/SUMPRODUCT(--(BD2014=$BD$4:$BD$12824),$AC$4:$AC$12824))</f>
        <v>0.14975275628446413</v>
      </c>
      <c r="BF2014" s="458"/>
      <c r="BG2014" s="458"/>
      <c r="BH2014" s="458"/>
      <c r="BI2014" s="458"/>
      <c r="BJ2014" s="458"/>
      <c r="BK2014" s="458"/>
      <c r="BL2014" s="458"/>
      <c r="BM2014" s="458"/>
      <c r="BN2014" s="458"/>
      <c r="BO2014" s="866">
        <f>VLOOKUP(BD2014,$BD$4:$BN$12824,3,0)*BE2014</f>
        <v>3270760.4327019211</v>
      </c>
      <c r="BP2014" s="866"/>
      <c r="BQ2014" s="866"/>
      <c r="BR2014" s="866">
        <f>VLOOKUP(BD2014,$BD$4:$BN$12824,6,0)*BE2014</f>
        <v>1626600.0181260591</v>
      </c>
      <c r="BS2014" s="866">
        <f>VLOOKUP(BD2014,$BD$4:$BN$12824,7,0)*BE2014</f>
        <v>131465.76652022146</v>
      </c>
      <c r="BT2014" s="866"/>
      <c r="BU2014" s="866">
        <f>VLOOKUP(BD2014,$BD$4:$BN$12824,9,0)*BE2014</f>
        <v>40433.244196805317</v>
      </c>
      <c r="BV2014" s="867"/>
      <c r="BW2014" s="867">
        <f>VLOOKUP(BD2014,$BD$4:$BN$12824,11,0)*BE2014</f>
        <v>230314.19276712491</v>
      </c>
      <c r="BX2014" s="1146">
        <f t="shared" si="388"/>
        <v>5299573.6543121319</v>
      </c>
      <c r="BY2014" s="867">
        <f t="shared" si="390"/>
        <v>138414530.15931213</v>
      </c>
      <c r="BZ2014" s="867">
        <f t="shared" si="389"/>
        <v>138414530.15931213</v>
      </c>
      <c r="CA2014" s="867">
        <f>_xlfn.MAXIFS($BY$4:$BY$12824,$S$4:$S$12824,$S2014)</f>
        <v>138414530.15931213</v>
      </c>
      <c r="CB2014" s="1032"/>
      <c r="CF2014" s="946">
        <f t="shared" si="382"/>
        <v>141392000</v>
      </c>
    </row>
    <row r="2015" spans="2:84">
      <c r="B2015" s="839" t="s">
        <v>98</v>
      </c>
      <c r="C2015" s="839" t="s">
        <v>381</v>
      </c>
      <c r="D2015" s="839" t="s">
        <v>6569</v>
      </c>
      <c r="E2015" s="839" t="s">
        <v>6569</v>
      </c>
      <c r="F2015" s="841">
        <v>45895</v>
      </c>
      <c r="G2015" s="839" t="s">
        <v>383</v>
      </c>
      <c r="H2015" s="842" t="s">
        <v>134</v>
      </c>
      <c r="I2015" s="883"/>
      <c r="J2015" s="841"/>
      <c r="K2015" s="841"/>
      <c r="L2015" s="843" t="s">
        <v>106</v>
      </c>
      <c r="M2015" s="844" t="s">
        <v>107</v>
      </c>
      <c r="N2015" s="841"/>
      <c r="O2015" s="884" t="s">
        <v>135</v>
      </c>
      <c r="P2015" s="842" t="s">
        <v>136</v>
      </c>
      <c r="Q2015" s="843"/>
      <c r="R2015" s="845" t="s">
        <v>412</v>
      </c>
      <c r="S2015" s="1127" t="s">
        <v>413</v>
      </c>
      <c r="T2015" s="885" t="s">
        <v>6599</v>
      </c>
      <c r="U2015" s="886">
        <v>4</v>
      </c>
      <c r="V2015" s="842" t="s">
        <v>3</v>
      </c>
      <c r="W2015" s="846">
        <v>167</v>
      </c>
      <c r="X2015" s="847">
        <f t="shared" si="380"/>
        <v>668</v>
      </c>
      <c r="Y2015" s="853">
        <v>0.5</v>
      </c>
      <c r="Z2015" s="849">
        <f t="shared" si="391"/>
        <v>83.5</v>
      </c>
      <c r="AA2015" s="849"/>
      <c r="AB2015" s="849">
        <f t="shared" si="384"/>
        <v>334</v>
      </c>
      <c r="AC2015" s="850">
        <f t="shared" si="385"/>
        <v>334</v>
      </c>
      <c r="AD2015" s="851">
        <f t="shared" si="381"/>
        <v>32000</v>
      </c>
      <c r="AE2015" s="852">
        <v>30126.73</v>
      </c>
      <c r="AF2015" s="853">
        <v>0</v>
      </c>
      <c r="AG2015" s="854">
        <f t="shared" si="386"/>
        <v>0</v>
      </c>
      <c r="AH2015" s="853">
        <v>0.08</v>
      </c>
      <c r="AI2015" s="855">
        <f t="shared" si="387"/>
        <v>804986.22560000001</v>
      </c>
      <c r="AJ2015" s="845" t="s">
        <v>6569</v>
      </c>
      <c r="AK2015" s="857">
        <v>45943</v>
      </c>
      <c r="AL2015" s="843" t="s">
        <v>6573</v>
      </c>
      <c r="AM2015" s="843" t="s">
        <v>6574</v>
      </c>
      <c r="AN2015" s="844" t="s">
        <v>4959</v>
      </c>
      <c r="AO2015" s="844" t="s">
        <v>141</v>
      </c>
      <c r="AP2015" s="841"/>
      <c r="AQ2015" s="841">
        <v>45950</v>
      </c>
      <c r="AR2015" s="841">
        <v>45995</v>
      </c>
      <c r="AS2015" s="842" t="s">
        <v>1145</v>
      </c>
      <c r="AT2015" s="842" t="s">
        <v>1187</v>
      </c>
      <c r="AU2015" s="842" t="s">
        <v>6575</v>
      </c>
      <c r="AV2015" s="856" t="s">
        <v>6576</v>
      </c>
      <c r="AW2015" s="861">
        <v>45995</v>
      </c>
      <c r="AX2015" s="861">
        <v>45995</v>
      </c>
      <c r="AY2015" s="843" t="s">
        <v>6600</v>
      </c>
      <c r="AZ2015" s="842">
        <v>94049000</v>
      </c>
      <c r="BA2015" s="842" t="s">
        <v>120</v>
      </c>
      <c r="BB2015" s="863" t="s">
        <v>121</v>
      </c>
      <c r="BC2015" s="864">
        <v>45997</v>
      </c>
      <c r="BD2015" s="860" t="s">
        <v>6578</v>
      </c>
      <c r="BE2015" s="865" cm="1">
        <f t="array" ref="BE2015">IF(BD2015="","",AC2015/SUMPRODUCT(--(BD2015=$BD$4:$BD$12824),$AC$4:$AC$12824))</f>
        <v>1.1320000135568864E-2</v>
      </c>
      <c r="BF2015" s="458"/>
      <c r="BG2015" s="458"/>
      <c r="BH2015" s="458"/>
      <c r="BI2015" s="458"/>
      <c r="BJ2015" s="458"/>
      <c r="BK2015" s="458"/>
      <c r="BL2015" s="458"/>
      <c r="BM2015" s="458"/>
      <c r="BN2015" s="458"/>
      <c r="BO2015" s="866">
        <f>VLOOKUP(BD2015,$BD$4:$BN$12824,3,0)*BE2015</f>
        <v>247240.91536096905</v>
      </c>
      <c r="BP2015" s="866"/>
      <c r="BQ2015" s="866"/>
      <c r="BR2015" s="866">
        <f>VLOOKUP(BD2015,$BD$4:$BN$12824,6,0)*BE2015</f>
        <v>122956.75139846187</v>
      </c>
      <c r="BS2015" s="866">
        <f>VLOOKUP(BD2015,$BD$4:$BN$12824,7,0)*BE2015</f>
        <v>9937.6634644684782</v>
      </c>
      <c r="BT2015" s="866"/>
      <c r="BU2015" s="866">
        <f>VLOOKUP(BD2015,$BD$4:$BN$12824,9,0)*BE2015</f>
        <v>3056.400036603593</v>
      </c>
      <c r="BV2015" s="867"/>
      <c r="BW2015" s="867">
        <f>VLOOKUP(BD2015,$BD$4:$BN$12824,11,0)*BE2015</f>
        <v>17409.740949240633</v>
      </c>
      <c r="BX2015" s="1146">
        <f t="shared" si="388"/>
        <v>400601.47120974364</v>
      </c>
      <c r="BY2015" s="867">
        <f t="shared" si="390"/>
        <v>2615732.3228024361</v>
      </c>
      <c r="BZ2015" s="867">
        <f t="shared" si="389"/>
        <v>10462929.291209744</v>
      </c>
      <c r="CA2015" s="867">
        <f>_xlfn.MAXIFS($BY$4:$BY$12824,$S$4:$S$12824,$S2015)</f>
        <v>2647339.5319618317</v>
      </c>
      <c r="CB2015" s="1032"/>
      <c r="CF2015" s="946">
        <f t="shared" si="382"/>
        <v>10688000</v>
      </c>
    </row>
    <row r="2016" spans="2:84">
      <c r="B2016" s="839" t="s">
        <v>98</v>
      </c>
      <c r="C2016" s="839" t="s">
        <v>381</v>
      </c>
      <c r="D2016" s="839" t="s">
        <v>6569</v>
      </c>
      <c r="E2016" s="839" t="s">
        <v>6569</v>
      </c>
      <c r="F2016" s="841">
        <v>45895</v>
      </c>
      <c r="G2016" s="839" t="s">
        <v>383</v>
      </c>
      <c r="H2016" s="842" t="s">
        <v>134</v>
      </c>
      <c r="I2016" s="883"/>
      <c r="J2016" s="841"/>
      <c r="K2016" s="841"/>
      <c r="L2016" s="843" t="s">
        <v>106</v>
      </c>
      <c r="M2016" s="844" t="s">
        <v>107</v>
      </c>
      <c r="N2016" s="841"/>
      <c r="O2016" s="884" t="s">
        <v>150</v>
      </c>
      <c r="P2016" s="842" t="s">
        <v>4713</v>
      </c>
      <c r="Q2016" s="843"/>
      <c r="R2016" s="845" t="s">
        <v>6601</v>
      </c>
      <c r="S2016" s="1127" t="s">
        <v>6602</v>
      </c>
      <c r="T2016" s="885" t="s">
        <v>6603</v>
      </c>
      <c r="U2016" s="886">
        <v>1</v>
      </c>
      <c r="V2016" s="842" t="s">
        <v>3</v>
      </c>
      <c r="W2016" s="846">
        <v>5713</v>
      </c>
      <c r="X2016" s="847">
        <f t="shared" ref="X2016:X2057" si="392">W2016*U2016</f>
        <v>5713</v>
      </c>
      <c r="Y2016" s="853">
        <v>0.5</v>
      </c>
      <c r="Z2016" s="849">
        <f t="shared" si="391"/>
        <v>2856.5</v>
      </c>
      <c r="AA2016" s="849"/>
      <c r="AB2016" s="849">
        <f t="shared" si="384"/>
        <v>2856.5</v>
      </c>
      <c r="AC2016" s="850">
        <f t="shared" si="385"/>
        <v>2856.5</v>
      </c>
      <c r="AD2016" s="851">
        <f t="shared" ref="AD2016:AD2079" si="393">IF(V2016=$AD$2,$AE$2,$AE$3)</f>
        <v>32000</v>
      </c>
      <c r="AE2016" s="852">
        <v>30126.73</v>
      </c>
      <c r="AF2016" s="853">
        <v>0</v>
      </c>
      <c r="AG2016" s="854">
        <f t="shared" si="386"/>
        <v>0</v>
      </c>
      <c r="AH2016" s="853">
        <v>0.08</v>
      </c>
      <c r="AI2016" s="855">
        <f t="shared" si="387"/>
        <v>6884560.3396000005</v>
      </c>
      <c r="AJ2016" s="845" t="s">
        <v>6569</v>
      </c>
      <c r="AK2016" s="857">
        <v>45943</v>
      </c>
      <c r="AL2016" s="843" t="s">
        <v>6573</v>
      </c>
      <c r="AM2016" s="843" t="s">
        <v>6574</v>
      </c>
      <c r="AN2016" s="844" t="s">
        <v>4959</v>
      </c>
      <c r="AO2016" s="844" t="s">
        <v>141</v>
      </c>
      <c r="AP2016" s="841"/>
      <c r="AQ2016" s="841">
        <v>45950</v>
      </c>
      <c r="AR2016" s="841">
        <v>45995</v>
      </c>
      <c r="AS2016" s="842" t="s">
        <v>1145</v>
      </c>
      <c r="AT2016" s="842" t="s">
        <v>1187</v>
      </c>
      <c r="AU2016" s="842" t="s">
        <v>6575</v>
      </c>
      <c r="AV2016" s="856" t="s">
        <v>6576</v>
      </c>
      <c r="AW2016" s="861">
        <v>45995</v>
      </c>
      <c r="AX2016" s="861">
        <v>45995</v>
      </c>
      <c r="AY2016" s="843" t="s">
        <v>6604</v>
      </c>
      <c r="AZ2016" s="842">
        <v>94038990</v>
      </c>
      <c r="BA2016" s="842" t="s">
        <v>120</v>
      </c>
      <c r="BB2016" s="863" t="s">
        <v>121</v>
      </c>
      <c r="BC2016" s="864">
        <v>45997</v>
      </c>
      <c r="BD2016" s="860" t="s">
        <v>6578</v>
      </c>
      <c r="BE2016" s="865" cm="1">
        <f t="array" ref="BE2016">IF(BD2016="","",AC2016/SUMPRODUCT(--(BD2016=$BD$4:$BD$12824),$AC$4:$AC$12824))</f>
        <v>9.6813114931893582E-2</v>
      </c>
      <c r="BF2016" s="458"/>
      <c r="BG2016" s="458"/>
      <c r="BH2016" s="458"/>
      <c r="BI2016" s="458"/>
      <c r="BJ2016" s="458"/>
      <c r="BK2016" s="458"/>
      <c r="BL2016" s="458"/>
      <c r="BM2016" s="458"/>
      <c r="BN2016" s="458"/>
      <c r="BO2016" s="866">
        <f>VLOOKUP(BD2016,$BD$4:$BN$12824,3,0)*BE2016</f>
        <v>2114502.0201455331</v>
      </c>
      <c r="BP2016" s="866"/>
      <c r="BQ2016" s="866"/>
      <c r="BR2016" s="866">
        <f>VLOOKUP(BD2016,$BD$4:$BN$12824,6,0)*BE2016</f>
        <v>1051574.7316458272</v>
      </c>
      <c r="BS2016" s="866">
        <f>VLOOKUP(BD2016,$BD$4:$BN$12824,7,0)*BE2016</f>
        <v>84990.82540794673</v>
      </c>
      <c r="BT2016" s="866"/>
      <c r="BU2016" s="866">
        <f>VLOOKUP(BD2016,$BD$4:$BN$12824,9,0)*BE2016</f>
        <v>26139.541031611268</v>
      </c>
      <c r="BV2016" s="867"/>
      <c r="BW2016" s="867">
        <f>VLOOKUP(BD2016,$BD$4:$BN$12824,11,0)*BE2016</f>
        <v>148894.98509432893</v>
      </c>
      <c r="BX2016" s="1146">
        <f t="shared" si="388"/>
        <v>3426102.1033252473</v>
      </c>
      <c r="BY2016" s="867">
        <f t="shared" si="390"/>
        <v>89483106.348325253</v>
      </c>
      <c r="BZ2016" s="867">
        <f t="shared" si="389"/>
        <v>89483106.348325253</v>
      </c>
      <c r="CA2016" s="867">
        <f>_xlfn.MAXIFS($BY$4:$BY$12824,$S$4:$S$12824,$S2016)</f>
        <v>89483106.348325253</v>
      </c>
      <c r="CB2016" s="1032"/>
      <c r="CF2016" s="946">
        <f t="shared" si="382"/>
        <v>91408000</v>
      </c>
    </row>
    <row r="2017" spans="2:84">
      <c r="B2017" s="839" t="s">
        <v>98</v>
      </c>
      <c r="C2017" s="839" t="s">
        <v>381</v>
      </c>
      <c r="D2017" s="839" t="s">
        <v>6569</v>
      </c>
      <c r="E2017" s="839" t="s">
        <v>6569</v>
      </c>
      <c r="F2017" s="841">
        <v>45895</v>
      </c>
      <c r="G2017" s="839" t="s">
        <v>383</v>
      </c>
      <c r="H2017" s="842" t="s">
        <v>134</v>
      </c>
      <c r="I2017" s="883"/>
      <c r="J2017" s="841"/>
      <c r="K2017" s="841"/>
      <c r="L2017" s="843" t="s">
        <v>106</v>
      </c>
      <c r="M2017" s="844" t="s">
        <v>107</v>
      </c>
      <c r="N2017" s="841"/>
      <c r="O2017" s="884" t="s">
        <v>150</v>
      </c>
      <c r="P2017" s="842" t="s">
        <v>4713</v>
      </c>
      <c r="Q2017" s="843"/>
      <c r="R2017" s="845">
        <v>3605</v>
      </c>
      <c r="S2017" s="1127" t="s">
        <v>6605</v>
      </c>
      <c r="T2017" s="885" t="s">
        <v>6606</v>
      </c>
      <c r="U2017" s="886">
        <v>1</v>
      </c>
      <c r="V2017" s="842" t="s">
        <v>3</v>
      </c>
      <c r="W2017" s="846">
        <v>2940</v>
      </c>
      <c r="X2017" s="847">
        <f t="shared" si="392"/>
        <v>2940</v>
      </c>
      <c r="Y2017" s="853">
        <v>0.5</v>
      </c>
      <c r="Z2017" s="849">
        <f t="shared" si="391"/>
        <v>1470</v>
      </c>
      <c r="AA2017" s="849"/>
      <c r="AB2017" s="849">
        <f t="shared" si="384"/>
        <v>1470</v>
      </c>
      <c r="AC2017" s="850">
        <f t="shared" si="385"/>
        <v>1470</v>
      </c>
      <c r="AD2017" s="851">
        <f t="shared" si="393"/>
        <v>32000</v>
      </c>
      <c r="AE2017" s="852">
        <v>30126.73</v>
      </c>
      <c r="AF2017" s="853">
        <v>0</v>
      </c>
      <c r="AG2017" s="854">
        <f t="shared" si="386"/>
        <v>0</v>
      </c>
      <c r="AH2017" s="853">
        <v>0.08</v>
      </c>
      <c r="AI2017" s="855">
        <f t="shared" si="387"/>
        <v>3542903.4480000003</v>
      </c>
      <c r="AJ2017" s="845" t="s">
        <v>6569</v>
      </c>
      <c r="AK2017" s="857">
        <v>45943</v>
      </c>
      <c r="AL2017" s="843" t="s">
        <v>6573</v>
      </c>
      <c r="AM2017" s="843" t="s">
        <v>6574</v>
      </c>
      <c r="AN2017" s="844" t="s">
        <v>4959</v>
      </c>
      <c r="AO2017" s="844" t="s">
        <v>141</v>
      </c>
      <c r="AP2017" s="841"/>
      <c r="AQ2017" s="841">
        <v>45950</v>
      </c>
      <c r="AR2017" s="841">
        <v>45995</v>
      </c>
      <c r="AS2017" s="842" t="s">
        <v>1145</v>
      </c>
      <c r="AT2017" s="842" t="s">
        <v>1187</v>
      </c>
      <c r="AU2017" s="842" t="s">
        <v>6575</v>
      </c>
      <c r="AV2017" s="856" t="s">
        <v>6576</v>
      </c>
      <c r="AW2017" s="861">
        <v>45995</v>
      </c>
      <c r="AX2017" s="861">
        <v>45995</v>
      </c>
      <c r="AY2017" s="843" t="s">
        <v>6607</v>
      </c>
      <c r="AZ2017" s="842">
        <v>94033000</v>
      </c>
      <c r="BA2017" s="842" t="s">
        <v>120</v>
      </c>
      <c r="BB2017" s="863" t="s">
        <v>121</v>
      </c>
      <c r="BC2017" s="864">
        <v>45997</v>
      </c>
      <c r="BD2017" s="860" t="s">
        <v>6578</v>
      </c>
      <c r="BE2017" s="865" cm="1">
        <f t="array" ref="BE2017">IF(BD2017="","",AC2017/SUMPRODUCT(--(BD2017=$BD$4:$BD$12824),$AC$4:$AC$12824))</f>
        <v>4.9821557482892902E-2</v>
      </c>
      <c r="BF2017" s="458"/>
      <c r="BG2017" s="458"/>
      <c r="BH2017" s="458"/>
      <c r="BI2017" s="458"/>
      <c r="BJ2017" s="458"/>
      <c r="BK2017" s="458"/>
      <c r="BL2017" s="458"/>
      <c r="BM2017" s="458"/>
      <c r="BN2017" s="458"/>
      <c r="BO2017" s="866">
        <f>VLOOKUP(BD2017,$BD$4:$BN$12824,3,0)*BE2017</f>
        <v>1088156.1244928876</v>
      </c>
      <c r="BP2017" s="866"/>
      <c r="BQ2017" s="866"/>
      <c r="BR2017" s="866">
        <f>VLOOKUP(BD2017,$BD$4:$BN$12824,6,0)*BE2017</f>
        <v>541156.95974772132</v>
      </c>
      <c r="BS2017" s="866">
        <f>VLOOKUP(BD2017,$BD$4:$BN$12824,7,0)*BE2017</f>
        <v>43737.620637031927</v>
      </c>
      <c r="BT2017" s="866"/>
      <c r="BU2017" s="866">
        <f>VLOOKUP(BD2017,$BD$4:$BN$12824,9,0)*BE2017</f>
        <v>13451.820520381083</v>
      </c>
      <c r="BV2017" s="867"/>
      <c r="BW2017" s="867">
        <f>VLOOKUP(BD2017,$BD$4:$BN$12824,11,0)*BE2017</f>
        <v>76623.710165819546</v>
      </c>
      <c r="BX2017" s="1146">
        <f t="shared" si="388"/>
        <v>1763126.2355638414</v>
      </c>
      <c r="BY2017" s="867">
        <f t="shared" si="390"/>
        <v>46049419.335563846</v>
      </c>
      <c r="BZ2017" s="867">
        <f t="shared" si="389"/>
        <v>46049419.335563846</v>
      </c>
      <c r="CA2017" s="867">
        <f>_xlfn.MAXIFS($BY$4:$BY$12824,$S$4:$S$12824,$S2017)</f>
        <v>46049419.335563846</v>
      </c>
      <c r="CB2017" s="1032"/>
      <c r="CF2017" s="946">
        <f t="shared" si="382"/>
        <v>47040000</v>
      </c>
    </row>
    <row r="2018" spans="2:84">
      <c r="B2018" s="839" t="s">
        <v>98</v>
      </c>
      <c r="C2018" s="839" t="s">
        <v>381</v>
      </c>
      <c r="D2018" s="839" t="s">
        <v>6569</v>
      </c>
      <c r="E2018" s="839" t="s">
        <v>6569</v>
      </c>
      <c r="F2018" s="841">
        <v>45895</v>
      </c>
      <c r="G2018" s="839" t="s">
        <v>383</v>
      </c>
      <c r="H2018" s="842" t="s">
        <v>134</v>
      </c>
      <c r="I2018" s="883"/>
      <c r="J2018" s="841"/>
      <c r="K2018" s="841"/>
      <c r="L2018" s="843" t="s">
        <v>106</v>
      </c>
      <c r="M2018" s="844" t="s">
        <v>107</v>
      </c>
      <c r="N2018" s="841"/>
      <c r="O2018" s="884" t="s">
        <v>150</v>
      </c>
      <c r="P2018" s="842" t="s">
        <v>5168</v>
      </c>
      <c r="Q2018" s="843"/>
      <c r="R2018" s="845" t="s">
        <v>6608</v>
      </c>
      <c r="S2018" s="1127" t="s">
        <v>6609</v>
      </c>
      <c r="T2018" s="885" t="s">
        <v>6610</v>
      </c>
      <c r="U2018" s="886">
        <v>1</v>
      </c>
      <c r="V2018" s="842" t="s">
        <v>3</v>
      </c>
      <c r="W2018" s="846">
        <v>3696</v>
      </c>
      <c r="X2018" s="847">
        <f t="shared" si="392"/>
        <v>3696</v>
      </c>
      <c r="Y2018" s="853">
        <v>0.5</v>
      </c>
      <c r="Z2018" s="849">
        <f t="shared" si="391"/>
        <v>1848</v>
      </c>
      <c r="AA2018" s="849"/>
      <c r="AB2018" s="849">
        <f t="shared" si="384"/>
        <v>1848</v>
      </c>
      <c r="AC2018" s="850">
        <f t="shared" si="385"/>
        <v>1848</v>
      </c>
      <c r="AD2018" s="851">
        <f t="shared" si="393"/>
        <v>32000</v>
      </c>
      <c r="AE2018" s="852">
        <v>30126.73</v>
      </c>
      <c r="AF2018" s="853">
        <v>0</v>
      </c>
      <c r="AG2018" s="854">
        <f t="shared" si="386"/>
        <v>0</v>
      </c>
      <c r="AH2018" s="853">
        <v>0.08</v>
      </c>
      <c r="AI2018" s="855">
        <f t="shared" si="387"/>
        <v>4453935.7631999999</v>
      </c>
      <c r="AJ2018" s="845" t="s">
        <v>6569</v>
      </c>
      <c r="AK2018" s="857">
        <v>45943</v>
      </c>
      <c r="AL2018" s="843" t="s">
        <v>6573</v>
      </c>
      <c r="AM2018" s="843" t="s">
        <v>6574</v>
      </c>
      <c r="AN2018" s="844" t="s">
        <v>4959</v>
      </c>
      <c r="AO2018" s="844" t="s">
        <v>141</v>
      </c>
      <c r="AP2018" s="841"/>
      <c r="AQ2018" s="841">
        <v>45950</v>
      </c>
      <c r="AR2018" s="841">
        <v>45995</v>
      </c>
      <c r="AS2018" s="842" t="s">
        <v>1145</v>
      </c>
      <c r="AT2018" s="842" t="s">
        <v>1187</v>
      </c>
      <c r="AU2018" s="842" t="s">
        <v>6575</v>
      </c>
      <c r="AV2018" s="856" t="s">
        <v>6576</v>
      </c>
      <c r="AW2018" s="861">
        <v>45995</v>
      </c>
      <c r="AX2018" s="861">
        <v>45995</v>
      </c>
      <c r="AY2018" s="843" t="s">
        <v>6611</v>
      </c>
      <c r="AZ2018" s="842">
        <v>94013900</v>
      </c>
      <c r="BA2018" s="842" t="s">
        <v>120</v>
      </c>
      <c r="BB2018" s="863" t="s">
        <v>121</v>
      </c>
      <c r="BC2018" s="864">
        <v>45997</v>
      </c>
      <c r="BD2018" s="860" t="s">
        <v>6578</v>
      </c>
      <c r="BE2018" s="865" cm="1">
        <f t="array" ref="BE2018">IF(BD2018="","",AC2018/SUMPRODUCT(--(BD2018=$BD$4:$BD$12824),$AC$4:$AC$12824))</f>
        <v>6.2632815121351076E-2</v>
      </c>
      <c r="BF2018" s="458"/>
      <c r="BG2018" s="458"/>
      <c r="BH2018" s="458"/>
      <c r="BI2018" s="458"/>
      <c r="BJ2018" s="458"/>
      <c r="BK2018" s="458"/>
      <c r="BL2018" s="458"/>
      <c r="BM2018" s="458"/>
      <c r="BN2018" s="458"/>
      <c r="BO2018" s="866">
        <f>VLOOKUP(BD2018,$BD$4:$BN$12824,3,0)*BE2018</f>
        <v>1367967.6993624873</v>
      </c>
      <c r="BP2018" s="866"/>
      <c r="BQ2018" s="866"/>
      <c r="BR2018" s="866">
        <f>VLOOKUP(BD2018,$BD$4:$BN$12824,6,0)*BE2018</f>
        <v>680311.60653999262</v>
      </c>
      <c r="BS2018" s="866">
        <f>VLOOKUP(BD2018,$BD$4:$BN$12824,7,0)*BE2018</f>
        <v>54984.437372268701</v>
      </c>
      <c r="BT2018" s="866"/>
      <c r="BU2018" s="866">
        <f>VLOOKUP(BD2018,$BD$4:$BN$12824,9,0)*BE2018</f>
        <v>16910.86008276479</v>
      </c>
      <c r="BV2018" s="867"/>
      <c r="BW2018" s="867">
        <f>VLOOKUP(BD2018,$BD$4:$BN$12824,11,0)*BE2018</f>
        <v>96326.949922744563</v>
      </c>
      <c r="BX2018" s="1146">
        <f t="shared" si="388"/>
        <v>2216501.5532802581</v>
      </c>
      <c r="BY2018" s="867">
        <f t="shared" si="390"/>
        <v>57890698.593280256</v>
      </c>
      <c r="BZ2018" s="867">
        <f t="shared" si="389"/>
        <v>57890698.593280256</v>
      </c>
      <c r="CA2018" s="867">
        <f>_xlfn.MAXIFS($BY$4:$BY$12824,$S$4:$S$12824,$S2018)</f>
        <v>57890698.593280256</v>
      </c>
      <c r="CB2018" s="1032"/>
      <c r="CF2018" s="946">
        <f t="shared" si="382"/>
        <v>59136000</v>
      </c>
    </row>
    <row r="2019" spans="2:84">
      <c r="B2019" s="839" t="s">
        <v>98</v>
      </c>
      <c r="C2019" s="839" t="s">
        <v>381</v>
      </c>
      <c r="D2019" s="839" t="s">
        <v>6569</v>
      </c>
      <c r="E2019" s="839" t="s">
        <v>6569</v>
      </c>
      <c r="F2019" s="841">
        <v>45895</v>
      </c>
      <c r="G2019" s="839" t="s">
        <v>383</v>
      </c>
      <c r="H2019" s="842" t="s">
        <v>134</v>
      </c>
      <c r="I2019" s="883"/>
      <c r="J2019" s="841"/>
      <c r="K2019" s="841"/>
      <c r="L2019" s="843" t="s">
        <v>106</v>
      </c>
      <c r="M2019" s="844" t="s">
        <v>107</v>
      </c>
      <c r="N2019" s="841"/>
      <c r="O2019" s="884" t="s">
        <v>150</v>
      </c>
      <c r="P2019" s="842" t="s">
        <v>6587</v>
      </c>
      <c r="Q2019" s="843"/>
      <c r="R2019" s="845" t="s">
        <v>6612</v>
      </c>
      <c r="S2019" s="1127" t="s">
        <v>6613</v>
      </c>
      <c r="T2019" s="885" t="s">
        <v>6614</v>
      </c>
      <c r="U2019" s="886">
        <v>2</v>
      </c>
      <c r="V2019" s="842" t="s">
        <v>3</v>
      </c>
      <c r="W2019" s="846">
        <v>1553</v>
      </c>
      <c r="X2019" s="847">
        <f t="shared" si="392"/>
        <v>3106</v>
      </c>
      <c r="Y2019" s="853">
        <v>0.5</v>
      </c>
      <c r="Z2019" s="849">
        <f t="shared" si="391"/>
        <v>776.5</v>
      </c>
      <c r="AA2019" s="849"/>
      <c r="AB2019" s="849">
        <f t="shared" si="384"/>
        <v>1553</v>
      </c>
      <c r="AC2019" s="850">
        <f t="shared" si="385"/>
        <v>1553</v>
      </c>
      <c r="AD2019" s="851">
        <f t="shared" si="393"/>
        <v>32000</v>
      </c>
      <c r="AE2019" s="852">
        <v>30126.73</v>
      </c>
      <c r="AF2019" s="853">
        <v>0</v>
      </c>
      <c r="AG2019" s="854">
        <f t="shared" si="386"/>
        <v>0</v>
      </c>
      <c r="AH2019" s="853">
        <v>0.08</v>
      </c>
      <c r="AI2019" s="855">
        <f t="shared" si="387"/>
        <v>3742944.9351999997</v>
      </c>
      <c r="AJ2019" s="845" t="s">
        <v>6569</v>
      </c>
      <c r="AK2019" s="857">
        <v>45943</v>
      </c>
      <c r="AL2019" s="843" t="s">
        <v>6573</v>
      </c>
      <c r="AM2019" s="843" t="s">
        <v>6574</v>
      </c>
      <c r="AN2019" s="844" t="s">
        <v>4959</v>
      </c>
      <c r="AO2019" s="844" t="s">
        <v>141</v>
      </c>
      <c r="AP2019" s="841"/>
      <c r="AQ2019" s="841">
        <v>45950</v>
      </c>
      <c r="AR2019" s="841">
        <v>45995</v>
      </c>
      <c r="AS2019" s="842" t="s">
        <v>1145</v>
      </c>
      <c r="AT2019" s="842" t="s">
        <v>1187</v>
      </c>
      <c r="AU2019" s="842" t="s">
        <v>6575</v>
      </c>
      <c r="AV2019" s="856" t="s">
        <v>6576</v>
      </c>
      <c r="AW2019" s="861">
        <v>45995</v>
      </c>
      <c r="AX2019" s="861">
        <v>45995</v>
      </c>
      <c r="AY2019" s="843" t="s">
        <v>6615</v>
      </c>
      <c r="AZ2019" s="842">
        <v>94016990</v>
      </c>
      <c r="BA2019" s="842" t="s">
        <v>120</v>
      </c>
      <c r="BB2019" s="863" t="s">
        <v>121</v>
      </c>
      <c r="BC2019" s="864">
        <v>45997</v>
      </c>
      <c r="BD2019" s="860" t="s">
        <v>6578</v>
      </c>
      <c r="BE2019" s="865" cm="1">
        <f t="array" ref="BE2019">IF(BD2019="","",AC2019/SUMPRODUCT(--(BD2019=$BD$4:$BD$12824),$AC$4:$AC$12824))</f>
        <v>5.2634611408797737E-2</v>
      </c>
      <c r="BF2019" s="458"/>
      <c r="BG2019" s="458"/>
      <c r="BH2019" s="458"/>
      <c r="BI2019" s="458"/>
      <c r="BJ2019" s="458"/>
      <c r="BK2019" s="458"/>
      <c r="BL2019" s="458"/>
      <c r="BM2019" s="458"/>
      <c r="BN2019" s="458"/>
      <c r="BO2019" s="866">
        <f>VLOOKUP(BD2019,$BD$4:$BN$12824,3,0)*BE2019</f>
        <v>1149596.2322023499</v>
      </c>
      <c r="BP2019" s="866"/>
      <c r="BQ2019" s="866"/>
      <c r="BR2019" s="866">
        <f>VLOOKUP(BD2019,$BD$4:$BN$12824,6,0)*BE2019</f>
        <v>571712.08060422528</v>
      </c>
      <c r="BS2019" s="866">
        <f>VLOOKUP(BD2019,$BD$4:$BN$12824,7,0)*BE2019</f>
        <v>46207.159761435767</v>
      </c>
      <c r="BT2019" s="866"/>
      <c r="BU2019" s="866">
        <f>VLOOKUP(BD2019,$BD$4:$BN$12824,9,0)*BE2019</f>
        <v>14211.345080375389</v>
      </c>
      <c r="BV2019" s="867"/>
      <c r="BW2019" s="867">
        <f>VLOOKUP(BD2019,$BD$4:$BN$12824,11,0)*BE2019</f>
        <v>80950.082916678744</v>
      </c>
      <c r="BX2019" s="1146">
        <f t="shared" si="388"/>
        <v>1862676.900565065</v>
      </c>
      <c r="BY2019" s="867">
        <f t="shared" si="390"/>
        <v>24324744.295282532</v>
      </c>
      <c r="BZ2019" s="867">
        <f t="shared" si="389"/>
        <v>48649488.590565063</v>
      </c>
      <c r="CA2019" s="867">
        <f>_xlfn.MAXIFS($BY$4:$BY$12824,$S$4:$S$12824,$S2019)</f>
        <v>24324744.295282532</v>
      </c>
      <c r="CB2019" s="1032"/>
      <c r="CF2019" s="946">
        <f t="shared" si="382"/>
        <v>49696000</v>
      </c>
    </row>
    <row r="2020" spans="2:84">
      <c r="B2020" s="839" t="s">
        <v>98</v>
      </c>
      <c r="C2020" s="839" t="s">
        <v>381</v>
      </c>
      <c r="D2020" s="839" t="s">
        <v>6569</v>
      </c>
      <c r="E2020" s="839" t="s">
        <v>6569</v>
      </c>
      <c r="F2020" s="841">
        <v>45895</v>
      </c>
      <c r="G2020" s="839" t="s">
        <v>383</v>
      </c>
      <c r="H2020" s="842" t="s">
        <v>134</v>
      </c>
      <c r="I2020" s="883"/>
      <c r="J2020" s="841"/>
      <c r="K2020" s="841"/>
      <c r="L2020" s="843" t="s">
        <v>106</v>
      </c>
      <c r="M2020" s="844" t="s">
        <v>107</v>
      </c>
      <c r="N2020" s="841"/>
      <c r="O2020" s="884" t="s">
        <v>150</v>
      </c>
      <c r="P2020" s="842" t="s">
        <v>5168</v>
      </c>
      <c r="Q2020" s="843"/>
      <c r="R2020" s="845">
        <v>840107</v>
      </c>
      <c r="S2020" s="1127" t="s">
        <v>6616</v>
      </c>
      <c r="T2020" s="885" t="s">
        <v>6617</v>
      </c>
      <c r="U2020" s="886">
        <v>4</v>
      </c>
      <c r="V2020" s="842" t="s">
        <v>3</v>
      </c>
      <c r="W2020" s="846">
        <v>360</v>
      </c>
      <c r="X2020" s="847">
        <f t="shared" si="392"/>
        <v>1440</v>
      </c>
      <c r="Y2020" s="853">
        <v>0.5</v>
      </c>
      <c r="Z2020" s="849">
        <f t="shared" si="391"/>
        <v>180</v>
      </c>
      <c r="AA2020" s="849"/>
      <c r="AB2020" s="849">
        <f t="shared" si="384"/>
        <v>720</v>
      </c>
      <c r="AC2020" s="850">
        <f t="shared" si="385"/>
        <v>720</v>
      </c>
      <c r="AD2020" s="851">
        <f t="shared" si="393"/>
        <v>32000</v>
      </c>
      <c r="AE2020" s="852">
        <v>30126.73</v>
      </c>
      <c r="AF2020" s="853">
        <v>0</v>
      </c>
      <c r="AG2020" s="854">
        <f t="shared" si="386"/>
        <v>0</v>
      </c>
      <c r="AH2020" s="853">
        <v>0.08</v>
      </c>
      <c r="AI2020" s="855">
        <f t="shared" si="387"/>
        <v>1735299.648</v>
      </c>
      <c r="AJ2020" s="845" t="s">
        <v>6569</v>
      </c>
      <c r="AK2020" s="857">
        <v>45943</v>
      </c>
      <c r="AL2020" s="843" t="s">
        <v>6573</v>
      </c>
      <c r="AM2020" s="843" t="s">
        <v>6574</v>
      </c>
      <c r="AN2020" s="844" t="s">
        <v>4959</v>
      </c>
      <c r="AO2020" s="844" t="s">
        <v>141</v>
      </c>
      <c r="AP2020" s="841"/>
      <c r="AQ2020" s="841">
        <v>45950</v>
      </c>
      <c r="AR2020" s="841">
        <v>45995</v>
      </c>
      <c r="AS2020" s="842" t="s">
        <v>1145</v>
      </c>
      <c r="AT2020" s="842" t="s">
        <v>1187</v>
      </c>
      <c r="AU2020" s="842" t="s">
        <v>6575</v>
      </c>
      <c r="AV2020" s="856" t="s">
        <v>6576</v>
      </c>
      <c r="AW2020" s="861">
        <v>45995</v>
      </c>
      <c r="AX2020" s="861">
        <v>45995</v>
      </c>
      <c r="AY2020" s="843" t="s">
        <v>6618</v>
      </c>
      <c r="AZ2020" s="842">
        <v>94017990</v>
      </c>
      <c r="BA2020" s="842" t="s">
        <v>120</v>
      </c>
      <c r="BB2020" s="863" t="s">
        <v>121</v>
      </c>
      <c r="BC2020" s="864">
        <v>45997</v>
      </c>
      <c r="BD2020" s="860" t="s">
        <v>6578</v>
      </c>
      <c r="BE2020" s="865" cm="1">
        <f t="array" ref="BE2020">IF(BD2020="","",AC2020/SUMPRODUCT(--(BD2020=$BD$4:$BD$12824),$AC$4:$AC$12824))</f>
        <v>2.4402395501825092E-2</v>
      </c>
      <c r="BF2020" s="458"/>
      <c r="BG2020" s="458"/>
      <c r="BH2020" s="458"/>
      <c r="BI2020" s="458"/>
      <c r="BJ2020" s="458"/>
      <c r="BK2020" s="458"/>
      <c r="BL2020" s="458"/>
      <c r="BM2020" s="458"/>
      <c r="BN2020" s="458"/>
      <c r="BO2020" s="866">
        <f>VLOOKUP(BD2020,$BD$4:$BN$12824,3,0)*BE2020</f>
        <v>532974.428323047</v>
      </c>
      <c r="BP2020" s="866"/>
      <c r="BQ2020" s="866"/>
      <c r="BR2020" s="866">
        <f>VLOOKUP(BD2020,$BD$4:$BN$12824,6,0)*BE2020</f>
        <v>265056.47008051653</v>
      </c>
      <c r="BS2020" s="866">
        <f>VLOOKUP(BD2020,$BD$4:$BN$12824,7,0)*BE2020</f>
        <v>21422.508067117673</v>
      </c>
      <c r="BT2020" s="866"/>
      <c r="BU2020" s="866">
        <f>VLOOKUP(BD2020,$BD$4:$BN$12824,9,0)*BE2020</f>
        <v>6588.6467854927751</v>
      </c>
      <c r="BV2020" s="867"/>
      <c r="BW2020" s="867">
        <f>VLOOKUP(BD2020,$BD$4:$BN$12824,11,0)*BE2020</f>
        <v>37529.980489381</v>
      </c>
      <c r="BX2020" s="1146">
        <f t="shared" si="388"/>
        <v>863572.03374555497</v>
      </c>
      <c r="BY2020" s="867">
        <f t="shared" si="390"/>
        <v>5638704.4084363887</v>
      </c>
      <c r="BZ2020" s="867">
        <f t="shared" si="389"/>
        <v>22554817.633745555</v>
      </c>
      <c r="CA2020" s="867">
        <f>_xlfn.MAXIFS($BY$4:$BY$12824,$S$4:$S$12824,$S2020)</f>
        <v>5638704.4084363887</v>
      </c>
      <c r="CB2020" s="1032"/>
      <c r="CF2020" s="946">
        <f t="shared" si="382"/>
        <v>23040000</v>
      </c>
    </row>
    <row r="2021" spans="2:84">
      <c r="B2021" s="839" t="s">
        <v>98</v>
      </c>
      <c r="C2021" s="839" t="s">
        <v>381</v>
      </c>
      <c r="D2021" s="839" t="s">
        <v>6569</v>
      </c>
      <c r="E2021" s="839" t="s">
        <v>6569</v>
      </c>
      <c r="F2021" s="841">
        <v>45895</v>
      </c>
      <c r="G2021" s="839" t="s">
        <v>383</v>
      </c>
      <c r="H2021" s="842" t="s">
        <v>134</v>
      </c>
      <c r="I2021" s="883"/>
      <c r="J2021" s="841"/>
      <c r="K2021" s="841"/>
      <c r="L2021" s="843" t="s">
        <v>106</v>
      </c>
      <c r="M2021" s="844" t="s">
        <v>107</v>
      </c>
      <c r="N2021" s="841"/>
      <c r="O2021" s="884" t="s">
        <v>135</v>
      </c>
      <c r="P2021" s="842" t="s">
        <v>124</v>
      </c>
      <c r="Q2021" s="843"/>
      <c r="R2021" s="845" t="s">
        <v>6619</v>
      </c>
      <c r="S2021" s="1127" t="s">
        <v>6620</v>
      </c>
      <c r="T2021" s="885" t="s">
        <v>6621</v>
      </c>
      <c r="U2021" s="886">
        <v>1</v>
      </c>
      <c r="V2021" s="842" t="s">
        <v>3</v>
      </c>
      <c r="W2021" s="846">
        <v>738</v>
      </c>
      <c r="X2021" s="847">
        <f t="shared" si="392"/>
        <v>738</v>
      </c>
      <c r="Y2021" s="853">
        <v>0.45</v>
      </c>
      <c r="Z2021" s="849">
        <f t="shared" si="391"/>
        <v>405.90000000000003</v>
      </c>
      <c r="AA2021" s="849"/>
      <c r="AB2021" s="849">
        <f t="shared" si="384"/>
        <v>405.90000000000003</v>
      </c>
      <c r="AC2021" s="850">
        <f t="shared" si="385"/>
        <v>405.90000000000003</v>
      </c>
      <c r="AD2021" s="851">
        <f t="shared" si="393"/>
        <v>32000</v>
      </c>
      <c r="AE2021" s="852">
        <v>30126.73</v>
      </c>
      <c r="AF2021" s="853">
        <v>0</v>
      </c>
      <c r="AG2021" s="854">
        <f t="shared" si="386"/>
        <v>0</v>
      </c>
      <c r="AH2021" s="853">
        <v>0.08</v>
      </c>
      <c r="AI2021" s="855">
        <f t="shared" si="387"/>
        <v>978275.17656000005</v>
      </c>
      <c r="AJ2021" s="845" t="s">
        <v>6569</v>
      </c>
      <c r="AK2021" s="857">
        <v>45943</v>
      </c>
      <c r="AL2021" s="843" t="s">
        <v>6573</v>
      </c>
      <c r="AM2021" s="843" t="s">
        <v>6574</v>
      </c>
      <c r="AN2021" s="844" t="s">
        <v>4959</v>
      </c>
      <c r="AO2021" s="844" t="s">
        <v>141</v>
      </c>
      <c r="AP2021" s="841"/>
      <c r="AQ2021" s="841">
        <v>45950</v>
      </c>
      <c r="AR2021" s="841">
        <v>45995</v>
      </c>
      <c r="AS2021" s="842" t="s">
        <v>1145</v>
      </c>
      <c r="AT2021" s="842" t="s">
        <v>1187</v>
      </c>
      <c r="AU2021" s="842" t="s">
        <v>6575</v>
      </c>
      <c r="AV2021" s="856" t="s">
        <v>6576</v>
      </c>
      <c r="AW2021" s="861">
        <v>45995</v>
      </c>
      <c r="AX2021" s="861">
        <v>45995</v>
      </c>
      <c r="AY2021" s="843" t="s">
        <v>6622</v>
      </c>
      <c r="AZ2021" s="842">
        <v>94039990</v>
      </c>
      <c r="BA2021" s="842" t="s">
        <v>120</v>
      </c>
      <c r="BB2021" s="863" t="s">
        <v>121</v>
      </c>
      <c r="BC2021" s="864">
        <v>45997</v>
      </c>
      <c r="BD2021" s="860" t="s">
        <v>6578</v>
      </c>
      <c r="BE2021" s="865" cm="1">
        <f t="array" ref="BE2021">IF(BD2021="","",AC2021/SUMPRODUCT(--(BD2021=$BD$4:$BD$12824),$AC$4:$AC$12824))</f>
        <v>1.3756850464153897E-2</v>
      </c>
      <c r="BF2021" s="458"/>
      <c r="BG2021" s="458"/>
      <c r="BH2021" s="458"/>
      <c r="BI2021" s="458"/>
      <c r="BJ2021" s="458"/>
      <c r="BK2021" s="458"/>
      <c r="BL2021" s="458"/>
      <c r="BM2021" s="458"/>
      <c r="BN2021" s="458"/>
      <c r="BO2021" s="866">
        <f>VLOOKUP(BD2021,$BD$4:$BN$12824,3,0)*BE2021</f>
        <v>300464.33396711777</v>
      </c>
      <c r="BP2021" s="866"/>
      <c r="BQ2021" s="866"/>
      <c r="BR2021" s="866">
        <f>VLOOKUP(BD2021,$BD$4:$BN$12824,6,0)*BE2021</f>
        <v>149425.58500789123</v>
      </c>
      <c r="BS2021" s="866">
        <f>VLOOKUP(BD2021,$BD$4:$BN$12824,7,0)*BE2021</f>
        <v>12076.938922837589</v>
      </c>
      <c r="BT2021" s="866"/>
      <c r="BU2021" s="866">
        <f>VLOOKUP(BD2021,$BD$4:$BN$12824,9,0)*BE2021</f>
        <v>3714.3496253215521</v>
      </c>
      <c r="BV2021" s="867"/>
      <c r="BW2021" s="867">
        <f>VLOOKUP(BD2021,$BD$4:$BN$12824,11,0)*BE2021</f>
        <v>21157.52650088854</v>
      </c>
      <c r="BX2021" s="1146">
        <f t="shared" si="388"/>
        <v>486838.7340240567</v>
      </c>
      <c r="BY2021" s="867">
        <f t="shared" si="390"/>
        <v>12715278.441024058</v>
      </c>
      <c r="BZ2021" s="867">
        <f t="shared" si="389"/>
        <v>12715278.441024058</v>
      </c>
      <c r="CA2021" s="867">
        <f>_xlfn.MAXIFS($BY$4:$BY$12824,$S$4:$S$12824,$S2021)</f>
        <v>12715278.441024058</v>
      </c>
      <c r="CB2021" s="1032"/>
      <c r="CF2021" s="946">
        <f t="shared" si="382"/>
        <v>12988800.000000002</v>
      </c>
    </row>
    <row r="2022" spans="2:84">
      <c r="B2022" s="839" t="s">
        <v>98</v>
      </c>
      <c r="C2022" s="839" t="s">
        <v>381</v>
      </c>
      <c r="D2022" s="839" t="s">
        <v>6569</v>
      </c>
      <c r="E2022" s="839" t="s">
        <v>6569</v>
      </c>
      <c r="F2022" s="841">
        <v>45895</v>
      </c>
      <c r="G2022" s="839" t="s">
        <v>383</v>
      </c>
      <c r="H2022" s="842" t="s">
        <v>134</v>
      </c>
      <c r="I2022" s="883"/>
      <c r="J2022" s="841"/>
      <c r="K2022" s="841"/>
      <c r="L2022" s="843" t="s">
        <v>106</v>
      </c>
      <c r="M2022" s="844" t="s">
        <v>107</v>
      </c>
      <c r="N2022" s="841"/>
      <c r="O2022" s="884" t="s">
        <v>135</v>
      </c>
      <c r="P2022" s="842" t="s">
        <v>182</v>
      </c>
      <c r="Q2022" s="843"/>
      <c r="R2022" s="845">
        <v>840143</v>
      </c>
      <c r="S2022" s="1127" t="s">
        <v>6623</v>
      </c>
      <c r="T2022" s="885" t="s">
        <v>6624</v>
      </c>
      <c r="U2022" s="886">
        <v>4</v>
      </c>
      <c r="V2022" s="842" t="s">
        <v>3</v>
      </c>
      <c r="W2022" s="846">
        <v>100</v>
      </c>
      <c r="X2022" s="847">
        <f t="shared" si="392"/>
        <v>400</v>
      </c>
      <c r="Y2022" s="853">
        <v>0.5</v>
      </c>
      <c r="Z2022" s="849">
        <f t="shared" si="391"/>
        <v>50</v>
      </c>
      <c r="AA2022" s="849"/>
      <c r="AB2022" s="849">
        <f t="shared" si="384"/>
        <v>200</v>
      </c>
      <c r="AC2022" s="850">
        <f t="shared" si="385"/>
        <v>200</v>
      </c>
      <c r="AD2022" s="851">
        <f t="shared" si="393"/>
        <v>32000</v>
      </c>
      <c r="AE2022" s="852">
        <v>30126.73</v>
      </c>
      <c r="AF2022" s="853">
        <v>0.15</v>
      </c>
      <c r="AG2022" s="854">
        <f t="shared" si="386"/>
        <v>926901.77234959009</v>
      </c>
      <c r="AH2022" s="853">
        <v>0.08</v>
      </c>
      <c r="AI2022" s="855">
        <f t="shared" si="387"/>
        <v>556179.82178796723</v>
      </c>
      <c r="AJ2022" s="845" t="s">
        <v>6569</v>
      </c>
      <c r="AK2022" s="857">
        <v>45943</v>
      </c>
      <c r="AL2022" s="843" t="s">
        <v>6573</v>
      </c>
      <c r="AM2022" s="843" t="s">
        <v>6574</v>
      </c>
      <c r="AN2022" s="844" t="s">
        <v>4959</v>
      </c>
      <c r="AO2022" s="844" t="s">
        <v>141</v>
      </c>
      <c r="AP2022" s="841"/>
      <c r="AQ2022" s="841">
        <v>45950</v>
      </c>
      <c r="AR2022" s="841">
        <v>45995</v>
      </c>
      <c r="AS2022" s="842" t="s">
        <v>1145</v>
      </c>
      <c r="AT2022" s="842" t="s">
        <v>1187</v>
      </c>
      <c r="AU2022" s="842" t="s">
        <v>6575</v>
      </c>
      <c r="AV2022" s="856" t="s">
        <v>6576</v>
      </c>
      <c r="AW2022" s="861">
        <v>45995</v>
      </c>
      <c r="AX2022" s="861">
        <v>45995</v>
      </c>
      <c r="AY2022" s="843" t="s">
        <v>6625</v>
      </c>
      <c r="AZ2022" s="842">
        <v>70139900</v>
      </c>
      <c r="BA2022" s="842" t="s">
        <v>120</v>
      </c>
      <c r="BB2022" s="863" t="s">
        <v>121</v>
      </c>
      <c r="BC2022" s="864">
        <v>45997</v>
      </c>
      <c r="BD2022" s="860" t="s">
        <v>6578</v>
      </c>
      <c r="BE2022" s="865" cm="1">
        <f t="array" ref="BE2022">IF(BD2022="","",AC2022/SUMPRODUCT(--(BD2022=$BD$4:$BD$12824),$AC$4:$AC$12824))</f>
        <v>6.7784431949514147E-3</v>
      </c>
      <c r="BF2022" s="458"/>
      <c r="BG2022" s="458"/>
      <c r="BH2022" s="458"/>
      <c r="BI2022" s="458"/>
      <c r="BJ2022" s="458"/>
      <c r="BK2022" s="458"/>
      <c r="BL2022" s="458"/>
      <c r="BM2022" s="458"/>
      <c r="BN2022" s="458"/>
      <c r="BO2022" s="866">
        <f>VLOOKUP(BD2022,$BD$4:$BN$12824,3,0)*BE2022</f>
        <v>148048.45231195749</v>
      </c>
      <c r="BP2022" s="866"/>
      <c r="BQ2022" s="866"/>
      <c r="BR2022" s="866">
        <f>VLOOKUP(BD2022,$BD$4:$BN$12824,6,0)*BE2022</f>
        <v>73626.797244587942</v>
      </c>
      <c r="BS2022" s="866">
        <f>VLOOKUP(BD2022,$BD$4:$BN$12824,7,0)*BE2022</f>
        <v>5950.696685310465</v>
      </c>
      <c r="BT2022" s="866"/>
      <c r="BU2022" s="866">
        <f>VLOOKUP(BD2022,$BD$4:$BN$12824,9,0)*BE2022</f>
        <v>1830.1796626368819</v>
      </c>
      <c r="BV2022" s="867"/>
      <c r="BW2022" s="867">
        <f>VLOOKUP(BD2022,$BD$4:$BN$12824,11,0)*BE2022</f>
        <v>10424.994580383611</v>
      </c>
      <c r="BX2022" s="1146">
        <f t="shared" si="388"/>
        <v>239881.12048487639</v>
      </c>
      <c r="BY2022" s="867">
        <f t="shared" si="390"/>
        <v>1798032.2232086167</v>
      </c>
      <c r="BZ2022" s="867">
        <f t="shared" si="389"/>
        <v>7192128.8928344669</v>
      </c>
      <c r="CA2022" s="867">
        <f>_xlfn.MAXIFS($BY$4:$BY$12824,$S$4:$S$12824,$S2022)</f>
        <v>1977835.4455294784</v>
      </c>
      <c r="CB2022" s="1032"/>
      <c r="CF2022" s="946">
        <f t="shared" si="382"/>
        <v>6400000</v>
      </c>
    </row>
    <row r="2023" spans="2:84">
      <c r="B2023" s="839" t="s">
        <v>98</v>
      </c>
      <c r="C2023" s="839" t="s">
        <v>381</v>
      </c>
      <c r="D2023" s="839" t="s">
        <v>6569</v>
      </c>
      <c r="E2023" s="839" t="s">
        <v>6569</v>
      </c>
      <c r="F2023" s="841">
        <v>45895</v>
      </c>
      <c r="G2023" s="839" t="s">
        <v>383</v>
      </c>
      <c r="H2023" s="842" t="s">
        <v>134</v>
      </c>
      <c r="I2023" s="883"/>
      <c r="J2023" s="841"/>
      <c r="K2023" s="841"/>
      <c r="L2023" s="843" t="s">
        <v>106</v>
      </c>
      <c r="M2023" s="844" t="s">
        <v>107</v>
      </c>
      <c r="N2023" s="841"/>
      <c r="O2023" s="884" t="s">
        <v>135</v>
      </c>
      <c r="P2023" s="842" t="s">
        <v>182</v>
      </c>
      <c r="Q2023" s="843"/>
      <c r="R2023" s="845">
        <v>840144</v>
      </c>
      <c r="S2023" s="1127" t="s">
        <v>3408</v>
      </c>
      <c r="T2023" s="885" t="s">
        <v>6626</v>
      </c>
      <c r="U2023" s="886">
        <v>4</v>
      </c>
      <c r="V2023" s="842" t="s">
        <v>3</v>
      </c>
      <c r="W2023" s="846">
        <v>116</v>
      </c>
      <c r="X2023" s="847">
        <f t="shared" si="392"/>
        <v>464</v>
      </c>
      <c r="Y2023" s="853">
        <v>0.5</v>
      </c>
      <c r="Z2023" s="849">
        <f t="shared" si="391"/>
        <v>58</v>
      </c>
      <c r="AA2023" s="849"/>
      <c r="AB2023" s="849">
        <f t="shared" si="384"/>
        <v>232</v>
      </c>
      <c r="AC2023" s="850">
        <f t="shared" si="385"/>
        <v>232</v>
      </c>
      <c r="AD2023" s="851">
        <f t="shared" si="393"/>
        <v>32000</v>
      </c>
      <c r="AE2023" s="852">
        <v>30126.73</v>
      </c>
      <c r="AF2023" s="853">
        <v>0.15</v>
      </c>
      <c r="AG2023" s="854">
        <f t="shared" si="386"/>
        <v>1075206.0559255246</v>
      </c>
      <c r="AH2023" s="853">
        <v>0.08</v>
      </c>
      <c r="AI2023" s="855">
        <f t="shared" si="387"/>
        <v>645168.59327404201</v>
      </c>
      <c r="AJ2023" s="845" t="s">
        <v>6569</v>
      </c>
      <c r="AK2023" s="857">
        <v>45943</v>
      </c>
      <c r="AL2023" s="843" t="s">
        <v>6573</v>
      </c>
      <c r="AM2023" s="843" t="s">
        <v>6574</v>
      </c>
      <c r="AN2023" s="844" t="s">
        <v>4959</v>
      </c>
      <c r="AO2023" s="844" t="s">
        <v>141</v>
      </c>
      <c r="AP2023" s="841"/>
      <c r="AQ2023" s="841">
        <v>45950</v>
      </c>
      <c r="AR2023" s="841">
        <v>45995</v>
      </c>
      <c r="AS2023" s="842" t="s">
        <v>1145</v>
      </c>
      <c r="AT2023" s="842" t="s">
        <v>1187</v>
      </c>
      <c r="AU2023" s="842" t="s">
        <v>6575</v>
      </c>
      <c r="AV2023" s="856" t="s">
        <v>6576</v>
      </c>
      <c r="AW2023" s="861">
        <v>45995</v>
      </c>
      <c r="AX2023" s="861">
        <v>45995</v>
      </c>
      <c r="AY2023" s="843" t="s">
        <v>6627</v>
      </c>
      <c r="AZ2023" s="842">
        <v>70139900</v>
      </c>
      <c r="BA2023" s="842" t="s">
        <v>120</v>
      </c>
      <c r="BB2023" s="863" t="s">
        <v>121</v>
      </c>
      <c r="BC2023" s="864">
        <v>45997</v>
      </c>
      <c r="BD2023" s="860" t="s">
        <v>6578</v>
      </c>
      <c r="BE2023" s="865" cm="1">
        <f t="array" ref="BE2023">IF(BD2023="","",AC2023/SUMPRODUCT(--(BD2023=$BD$4:$BD$12824),$AC$4:$AC$12824))</f>
        <v>7.8629941061436406E-3</v>
      </c>
      <c r="BF2023" s="458"/>
      <c r="BG2023" s="458"/>
      <c r="BH2023" s="458"/>
      <c r="BI2023" s="458"/>
      <c r="BJ2023" s="458"/>
      <c r="BK2023" s="458"/>
      <c r="BL2023" s="458"/>
      <c r="BM2023" s="458"/>
      <c r="BN2023" s="458"/>
      <c r="BO2023" s="866">
        <f>VLOOKUP(BD2023,$BD$4:$BN$12824,3,0)*BE2023</f>
        <v>171736.20468187067</v>
      </c>
      <c r="BP2023" s="866"/>
      <c r="BQ2023" s="866"/>
      <c r="BR2023" s="866">
        <f>VLOOKUP(BD2023,$BD$4:$BN$12824,6,0)*BE2023</f>
        <v>85407.084803721998</v>
      </c>
      <c r="BS2023" s="866">
        <f>VLOOKUP(BD2023,$BD$4:$BN$12824,7,0)*BE2023</f>
        <v>6902.8081549601393</v>
      </c>
      <c r="BT2023" s="866"/>
      <c r="BU2023" s="866">
        <f>VLOOKUP(BD2023,$BD$4:$BN$12824,9,0)*BE2023</f>
        <v>2123.0084086587831</v>
      </c>
      <c r="BV2023" s="867"/>
      <c r="BW2023" s="867">
        <f>VLOOKUP(BD2023,$BD$4:$BN$12824,11,0)*BE2023</f>
        <v>12092.993713244989</v>
      </c>
      <c r="BX2023" s="1146">
        <f t="shared" si="388"/>
        <v>278262.09976245661</v>
      </c>
      <c r="BY2023" s="867">
        <f t="shared" si="390"/>
        <v>2085717.3789219954</v>
      </c>
      <c r="BZ2023" s="867">
        <f t="shared" si="389"/>
        <v>8342869.5156879816</v>
      </c>
      <c r="CA2023" s="867">
        <f>_xlfn.MAXIFS($BY$4:$BY$12824,$S$4:$S$12824,$S2023)</f>
        <v>2459352.4910321748</v>
      </c>
      <c r="CB2023" s="1032"/>
      <c r="CF2023" s="946">
        <f t="shared" si="382"/>
        <v>7424000</v>
      </c>
    </row>
    <row r="2024" spans="2:84">
      <c r="B2024" s="839" t="s">
        <v>98</v>
      </c>
      <c r="C2024" s="839" t="s">
        <v>381</v>
      </c>
      <c r="D2024" s="839" t="s">
        <v>6569</v>
      </c>
      <c r="E2024" s="839" t="s">
        <v>6569</v>
      </c>
      <c r="F2024" s="841">
        <v>45895</v>
      </c>
      <c r="G2024" s="839" t="s">
        <v>383</v>
      </c>
      <c r="H2024" s="842" t="s">
        <v>134</v>
      </c>
      <c r="I2024" s="883"/>
      <c r="J2024" s="841"/>
      <c r="K2024" s="841"/>
      <c r="L2024" s="843" t="s">
        <v>106</v>
      </c>
      <c r="M2024" s="844" t="s">
        <v>107</v>
      </c>
      <c r="N2024" s="841"/>
      <c r="O2024" s="884" t="s">
        <v>135</v>
      </c>
      <c r="P2024" s="842" t="s">
        <v>182</v>
      </c>
      <c r="Q2024" s="843"/>
      <c r="R2024" s="845">
        <v>840141</v>
      </c>
      <c r="S2024" s="1127" t="s">
        <v>1056</v>
      </c>
      <c r="T2024" s="885" t="s">
        <v>6628</v>
      </c>
      <c r="U2024" s="886">
        <v>4</v>
      </c>
      <c r="V2024" s="842" t="s">
        <v>3</v>
      </c>
      <c r="W2024" s="846">
        <v>100</v>
      </c>
      <c r="X2024" s="847">
        <f t="shared" si="392"/>
        <v>400</v>
      </c>
      <c r="Y2024" s="853">
        <v>0.5</v>
      </c>
      <c r="Z2024" s="849">
        <f t="shared" si="391"/>
        <v>50</v>
      </c>
      <c r="AA2024" s="849"/>
      <c r="AB2024" s="849">
        <f t="shared" si="384"/>
        <v>200</v>
      </c>
      <c r="AC2024" s="850">
        <f t="shared" si="385"/>
        <v>200</v>
      </c>
      <c r="AD2024" s="851">
        <f t="shared" si="393"/>
        <v>32000</v>
      </c>
      <c r="AE2024" s="852">
        <v>30126.73</v>
      </c>
      <c r="AF2024" s="853">
        <v>0.15</v>
      </c>
      <c r="AG2024" s="854">
        <f t="shared" si="386"/>
        <v>926901.77234959009</v>
      </c>
      <c r="AH2024" s="853">
        <v>0.08</v>
      </c>
      <c r="AI2024" s="855">
        <f t="shared" si="387"/>
        <v>556179.82178796723</v>
      </c>
      <c r="AJ2024" s="845" t="s">
        <v>6569</v>
      </c>
      <c r="AK2024" s="857">
        <v>45943</v>
      </c>
      <c r="AL2024" s="843" t="s">
        <v>6573</v>
      </c>
      <c r="AM2024" s="843" t="s">
        <v>6574</v>
      </c>
      <c r="AN2024" s="844" t="s">
        <v>4959</v>
      </c>
      <c r="AO2024" s="844" t="s">
        <v>141</v>
      </c>
      <c r="AP2024" s="841"/>
      <c r="AQ2024" s="841">
        <v>45950</v>
      </c>
      <c r="AR2024" s="841">
        <v>45995</v>
      </c>
      <c r="AS2024" s="842" t="s">
        <v>1145</v>
      </c>
      <c r="AT2024" s="842" t="s">
        <v>1187</v>
      </c>
      <c r="AU2024" s="842" t="s">
        <v>6575</v>
      </c>
      <c r="AV2024" s="856" t="s">
        <v>6576</v>
      </c>
      <c r="AW2024" s="861">
        <v>45995</v>
      </c>
      <c r="AX2024" s="861">
        <v>45995</v>
      </c>
      <c r="AY2024" s="843" t="s">
        <v>6629</v>
      </c>
      <c r="AZ2024" s="842">
        <v>70139900</v>
      </c>
      <c r="BA2024" s="842" t="s">
        <v>120</v>
      </c>
      <c r="BB2024" s="863" t="s">
        <v>121</v>
      </c>
      <c r="BC2024" s="864">
        <v>45997</v>
      </c>
      <c r="BD2024" s="860" t="s">
        <v>6578</v>
      </c>
      <c r="BE2024" s="865" cm="1">
        <f t="array" ref="BE2024">IF(BD2024="","",AC2024/SUMPRODUCT(--(BD2024=$BD$4:$BD$12824),$AC$4:$AC$12824))</f>
        <v>6.7784431949514147E-3</v>
      </c>
      <c r="BF2024" s="458"/>
      <c r="BG2024" s="458"/>
      <c r="BH2024" s="458"/>
      <c r="BI2024" s="458"/>
      <c r="BJ2024" s="458"/>
      <c r="BK2024" s="458"/>
      <c r="BL2024" s="458"/>
      <c r="BM2024" s="458"/>
      <c r="BN2024" s="458"/>
      <c r="BO2024" s="866">
        <f>VLOOKUP(BD2024,$BD$4:$BN$12824,3,0)*BE2024</f>
        <v>148048.45231195749</v>
      </c>
      <c r="BP2024" s="866"/>
      <c r="BQ2024" s="866"/>
      <c r="BR2024" s="866">
        <f>VLOOKUP(BD2024,$BD$4:$BN$12824,6,0)*BE2024</f>
        <v>73626.797244587942</v>
      </c>
      <c r="BS2024" s="866">
        <f>VLOOKUP(BD2024,$BD$4:$BN$12824,7,0)*BE2024</f>
        <v>5950.696685310465</v>
      </c>
      <c r="BT2024" s="866"/>
      <c r="BU2024" s="866">
        <f>VLOOKUP(BD2024,$BD$4:$BN$12824,9,0)*BE2024</f>
        <v>1830.1796626368819</v>
      </c>
      <c r="BV2024" s="867"/>
      <c r="BW2024" s="867">
        <f>VLOOKUP(BD2024,$BD$4:$BN$12824,11,0)*BE2024</f>
        <v>10424.994580383611</v>
      </c>
      <c r="BX2024" s="1146">
        <f t="shared" si="388"/>
        <v>239881.12048487639</v>
      </c>
      <c r="BY2024" s="867">
        <f t="shared" si="390"/>
        <v>1798032.2232086167</v>
      </c>
      <c r="BZ2024" s="867">
        <f t="shared" si="389"/>
        <v>7192128.8928344669</v>
      </c>
      <c r="CA2024" s="867">
        <f>_xlfn.MAXIFS($BY$4:$BY$12824,$S$4:$S$12824,$S2024)</f>
        <v>1977835.4455294788</v>
      </c>
      <c r="CB2024" s="1032"/>
      <c r="CF2024" s="946">
        <f t="shared" si="382"/>
        <v>6400000</v>
      </c>
    </row>
    <row r="2025" spans="2:84">
      <c r="B2025" s="839" t="s">
        <v>98</v>
      </c>
      <c r="C2025" s="839" t="s">
        <v>381</v>
      </c>
      <c r="D2025" s="839" t="s">
        <v>6569</v>
      </c>
      <c r="E2025" s="839" t="s">
        <v>6569</v>
      </c>
      <c r="F2025" s="841">
        <v>45895</v>
      </c>
      <c r="G2025" s="839" t="s">
        <v>383</v>
      </c>
      <c r="H2025" s="842" t="s">
        <v>134</v>
      </c>
      <c r="I2025" s="883"/>
      <c r="J2025" s="841"/>
      <c r="K2025" s="841"/>
      <c r="L2025" s="843" t="s">
        <v>106</v>
      </c>
      <c r="M2025" s="844" t="s">
        <v>107</v>
      </c>
      <c r="N2025" s="841"/>
      <c r="O2025" s="884" t="s">
        <v>135</v>
      </c>
      <c r="P2025" s="842" t="s">
        <v>182</v>
      </c>
      <c r="Q2025" s="843"/>
      <c r="R2025" s="845">
        <v>840142</v>
      </c>
      <c r="S2025" s="1127" t="s">
        <v>1060</v>
      </c>
      <c r="T2025" s="885" t="s">
        <v>6630</v>
      </c>
      <c r="U2025" s="886">
        <v>4</v>
      </c>
      <c r="V2025" s="842" t="s">
        <v>3</v>
      </c>
      <c r="W2025" s="846">
        <v>184</v>
      </c>
      <c r="X2025" s="847">
        <f t="shared" si="392"/>
        <v>736</v>
      </c>
      <c r="Y2025" s="853">
        <v>0.5</v>
      </c>
      <c r="Z2025" s="849">
        <f t="shared" si="391"/>
        <v>92</v>
      </c>
      <c r="AA2025" s="849"/>
      <c r="AB2025" s="849">
        <f t="shared" si="384"/>
        <v>368</v>
      </c>
      <c r="AC2025" s="850">
        <f t="shared" si="385"/>
        <v>368</v>
      </c>
      <c r="AD2025" s="851">
        <f t="shared" si="393"/>
        <v>32000</v>
      </c>
      <c r="AE2025" s="852">
        <v>30126.73</v>
      </c>
      <c r="AF2025" s="853">
        <v>0.15</v>
      </c>
      <c r="AG2025" s="854">
        <f t="shared" si="386"/>
        <v>1705499.2611232463</v>
      </c>
      <c r="AH2025" s="853">
        <v>0.08</v>
      </c>
      <c r="AI2025" s="855">
        <f t="shared" si="387"/>
        <v>1023370.8720898597</v>
      </c>
      <c r="AJ2025" s="845" t="s">
        <v>6569</v>
      </c>
      <c r="AK2025" s="857">
        <v>45943</v>
      </c>
      <c r="AL2025" s="843" t="s">
        <v>6573</v>
      </c>
      <c r="AM2025" s="843" t="s">
        <v>6574</v>
      </c>
      <c r="AN2025" s="844" t="s">
        <v>4959</v>
      </c>
      <c r="AO2025" s="844" t="s">
        <v>141</v>
      </c>
      <c r="AP2025" s="841"/>
      <c r="AQ2025" s="841">
        <v>45950</v>
      </c>
      <c r="AR2025" s="841">
        <v>45995</v>
      </c>
      <c r="AS2025" s="842" t="s">
        <v>1145</v>
      </c>
      <c r="AT2025" s="842" t="s">
        <v>1187</v>
      </c>
      <c r="AU2025" s="842" t="s">
        <v>6575</v>
      </c>
      <c r="AV2025" s="856" t="s">
        <v>6576</v>
      </c>
      <c r="AW2025" s="861">
        <v>45995</v>
      </c>
      <c r="AX2025" s="861">
        <v>45995</v>
      </c>
      <c r="AY2025" s="843" t="s">
        <v>6631</v>
      </c>
      <c r="AZ2025" s="842">
        <v>70139900</v>
      </c>
      <c r="BA2025" s="842" t="s">
        <v>120</v>
      </c>
      <c r="BB2025" s="863" t="s">
        <v>121</v>
      </c>
      <c r="BC2025" s="864">
        <v>45997</v>
      </c>
      <c r="BD2025" s="860" t="s">
        <v>6578</v>
      </c>
      <c r="BE2025" s="865" cm="1">
        <f t="array" ref="BE2025">IF(BD2025="","",AC2025/SUMPRODUCT(--(BD2025=$BD$4:$BD$12824),$AC$4:$AC$12824))</f>
        <v>1.2472335478710603E-2</v>
      </c>
      <c r="BF2025" s="458"/>
      <c r="BG2025" s="458"/>
      <c r="BH2025" s="458"/>
      <c r="BI2025" s="458"/>
      <c r="BJ2025" s="458"/>
      <c r="BK2025" s="458"/>
      <c r="BL2025" s="458"/>
      <c r="BM2025" s="458"/>
      <c r="BN2025" s="458"/>
      <c r="BO2025" s="866">
        <f>VLOOKUP(BD2025,$BD$4:$BN$12824,3,0)*BE2025</f>
        <v>272409.15225400182</v>
      </c>
      <c r="BP2025" s="866"/>
      <c r="BQ2025" s="866"/>
      <c r="BR2025" s="866">
        <f>VLOOKUP(BD2025,$BD$4:$BN$12824,6,0)*BE2025</f>
        <v>135473.30693004181</v>
      </c>
      <c r="BS2025" s="866">
        <f>VLOOKUP(BD2025,$BD$4:$BN$12824,7,0)*BE2025</f>
        <v>10949.281900971257</v>
      </c>
      <c r="BT2025" s="866"/>
      <c r="BU2025" s="866">
        <f>VLOOKUP(BD2025,$BD$4:$BN$12824,9,0)*BE2025</f>
        <v>3367.5305792518629</v>
      </c>
      <c r="BV2025" s="867"/>
      <c r="BW2025" s="867">
        <f>VLOOKUP(BD2025,$BD$4:$BN$12824,11,0)*BE2025</f>
        <v>19181.990027905846</v>
      </c>
      <c r="BX2025" s="1146">
        <f t="shared" si="388"/>
        <v>441381.26169217261</v>
      </c>
      <c r="BY2025" s="867">
        <f t="shared" si="390"/>
        <v>3308379.2907038545</v>
      </c>
      <c r="BZ2025" s="867">
        <f t="shared" si="389"/>
        <v>13233517.162815418</v>
      </c>
      <c r="CA2025" s="867">
        <f>_xlfn.MAXIFS($BY$4:$BY$12824,$S$4:$S$12824,$S2025)</f>
        <v>3639217.2197742397</v>
      </c>
      <c r="CB2025" s="1032"/>
      <c r="CF2025" s="946">
        <f t="shared" ref="CF2025:CF2088" si="394">AC2025*AD2025</f>
        <v>11776000</v>
      </c>
    </row>
    <row r="2026" spans="2:84">
      <c r="B2026" s="839" t="s">
        <v>98</v>
      </c>
      <c r="C2026" s="839" t="s">
        <v>381</v>
      </c>
      <c r="D2026" s="839" t="s">
        <v>6569</v>
      </c>
      <c r="E2026" s="839" t="s">
        <v>6569</v>
      </c>
      <c r="F2026" s="841">
        <v>45895</v>
      </c>
      <c r="G2026" s="839" t="s">
        <v>383</v>
      </c>
      <c r="H2026" s="842" t="s">
        <v>134</v>
      </c>
      <c r="I2026" s="883"/>
      <c r="J2026" s="841"/>
      <c r="K2026" s="841"/>
      <c r="L2026" s="843" t="s">
        <v>106</v>
      </c>
      <c r="M2026" s="844" t="s">
        <v>107</v>
      </c>
      <c r="N2026" s="841"/>
      <c r="O2026" s="884" t="s">
        <v>135</v>
      </c>
      <c r="P2026" s="842" t="s">
        <v>182</v>
      </c>
      <c r="Q2026" s="843"/>
      <c r="R2026" s="845">
        <v>840143</v>
      </c>
      <c r="S2026" s="1127" t="s">
        <v>6623</v>
      </c>
      <c r="T2026" s="885" t="s">
        <v>6624</v>
      </c>
      <c r="U2026" s="886">
        <v>4</v>
      </c>
      <c r="V2026" s="842" t="s">
        <v>3</v>
      </c>
      <c r="W2026" s="846">
        <v>100</v>
      </c>
      <c r="X2026" s="847">
        <f t="shared" si="392"/>
        <v>400</v>
      </c>
      <c r="Y2026" s="853">
        <v>0.45</v>
      </c>
      <c r="Z2026" s="849">
        <f t="shared" si="391"/>
        <v>55.000000000000007</v>
      </c>
      <c r="AA2026" s="849"/>
      <c r="AB2026" s="849">
        <f t="shared" si="384"/>
        <v>220.00000000000003</v>
      </c>
      <c r="AC2026" s="850">
        <f t="shared" si="385"/>
        <v>220.00000000000003</v>
      </c>
      <c r="AD2026" s="851">
        <f t="shared" si="393"/>
        <v>32000</v>
      </c>
      <c r="AE2026" s="852">
        <v>30126.73</v>
      </c>
      <c r="AF2026" s="853">
        <v>0.15</v>
      </c>
      <c r="AG2026" s="854">
        <f t="shared" si="386"/>
        <v>1019591.9495845493</v>
      </c>
      <c r="AH2026" s="853">
        <v>0.08</v>
      </c>
      <c r="AI2026" s="855">
        <f t="shared" si="387"/>
        <v>611797.80396676401</v>
      </c>
      <c r="AJ2026" s="845" t="s">
        <v>6569</v>
      </c>
      <c r="AK2026" s="857">
        <v>45943</v>
      </c>
      <c r="AL2026" s="843" t="s">
        <v>6573</v>
      </c>
      <c r="AM2026" s="843" t="s">
        <v>6574</v>
      </c>
      <c r="AN2026" s="844" t="s">
        <v>4959</v>
      </c>
      <c r="AO2026" s="844" t="s">
        <v>141</v>
      </c>
      <c r="AP2026" s="841"/>
      <c r="AQ2026" s="841">
        <v>45950</v>
      </c>
      <c r="AR2026" s="841">
        <v>45995</v>
      </c>
      <c r="AS2026" s="842" t="s">
        <v>1145</v>
      </c>
      <c r="AT2026" s="842" t="s">
        <v>1187</v>
      </c>
      <c r="AU2026" s="842" t="s">
        <v>6575</v>
      </c>
      <c r="AV2026" s="856" t="s">
        <v>6576</v>
      </c>
      <c r="AW2026" s="861">
        <v>45995</v>
      </c>
      <c r="AX2026" s="861">
        <v>45995</v>
      </c>
      <c r="AY2026" s="843" t="s">
        <v>6625</v>
      </c>
      <c r="AZ2026" s="842">
        <v>70139900</v>
      </c>
      <c r="BA2026" s="842" t="s">
        <v>120</v>
      </c>
      <c r="BB2026" s="863" t="s">
        <v>121</v>
      </c>
      <c r="BC2026" s="864">
        <v>45997</v>
      </c>
      <c r="BD2026" s="860" t="s">
        <v>6578</v>
      </c>
      <c r="BE2026" s="865" cm="1">
        <f t="array" ref="BE2026">IF(BD2026="","",AC2026/SUMPRODUCT(--(BD2026=$BD$4:$BD$12824),$AC$4:$AC$12824))</f>
        <v>7.4562875144465572E-3</v>
      </c>
      <c r="BF2026" s="458"/>
      <c r="BG2026" s="458"/>
      <c r="BH2026" s="458"/>
      <c r="BI2026" s="458"/>
      <c r="BJ2026" s="458"/>
      <c r="BK2026" s="458"/>
      <c r="BL2026" s="458"/>
      <c r="BM2026" s="458"/>
      <c r="BN2026" s="458"/>
      <c r="BO2026" s="866">
        <f>VLOOKUP(BD2026,$BD$4:$BN$12824,3,0)*BE2026</f>
        <v>162853.29754315325</v>
      </c>
      <c r="BP2026" s="866"/>
      <c r="BQ2026" s="866"/>
      <c r="BR2026" s="866">
        <f>VLOOKUP(BD2026,$BD$4:$BN$12824,6,0)*BE2026</f>
        <v>80989.476969046736</v>
      </c>
      <c r="BS2026" s="866">
        <f>VLOOKUP(BD2026,$BD$4:$BN$12824,7,0)*BE2026</f>
        <v>6545.7663538415127</v>
      </c>
      <c r="BT2026" s="866"/>
      <c r="BU2026" s="866">
        <f>VLOOKUP(BD2026,$BD$4:$BN$12824,9,0)*BE2026</f>
        <v>2013.1976289005704</v>
      </c>
      <c r="BV2026" s="867"/>
      <c r="BW2026" s="867">
        <f>VLOOKUP(BD2026,$BD$4:$BN$12824,11,0)*BE2026</f>
        <v>11467.494038421974</v>
      </c>
      <c r="BX2026" s="1146">
        <f t="shared" si="388"/>
        <v>263869.23253336403</v>
      </c>
      <c r="BY2026" s="867">
        <f t="shared" si="390"/>
        <v>1977835.4455294784</v>
      </c>
      <c r="BZ2026" s="867">
        <f t="shared" si="389"/>
        <v>7911341.7821179135</v>
      </c>
      <c r="CA2026" s="867">
        <f>_xlfn.MAXIFS($BY$4:$BY$12824,$S$4:$S$12824,$S2026)</f>
        <v>1977835.4455294784</v>
      </c>
      <c r="CB2026" s="1032"/>
      <c r="CF2026" s="946">
        <f t="shared" si="394"/>
        <v>7040000.0000000009</v>
      </c>
    </row>
    <row r="2027" spans="2:84">
      <c r="B2027" s="839" t="s">
        <v>98</v>
      </c>
      <c r="C2027" s="839" t="s">
        <v>381</v>
      </c>
      <c r="D2027" s="839" t="s">
        <v>6569</v>
      </c>
      <c r="E2027" s="839" t="s">
        <v>6569</v>
      </c>
      <c r="F2027" s="841">
        <v>45895</v>
      </c>
      <c r="G2027" s="839" t="s">
        <v>383</v>
      </c>
      <c r="H2027" s="842" t="s">
        <v>134</v>
      </c>
      <c r="I2027" s="883"/>
      <c r="J2027" s="841"/>
      <c r="K2027" s="841"/>
      <c r="L2027" s="843" t="s">
        <v>106</v>
      </c>
      <c r="M2027" s="844" t="s">
        <v>107</v>
      </c>
      <c r="N2027" s="841"/>
      <c r="O2027" s="884" t="s">
        <v>135</v>
      </c>
      <c r="P2027" s="842" t="s">
        <v>182</v>
      </c>
      <c r="Q2027" s="843"/>
      <c r="R2027" s="845">
        <v>840144</v>
      </c>
      <c r="S2027" s="1127" t="s">
        <v>3408</v>
      </c>
      <c r="T2027" s="885" t="s">
        <v>6626</v>
      </c>
      <c r="U2027" s="886">
        <v>8</v>
      </c>
      <c r="V2027" s="842" t="s">
        <v>3</v>
      </c>
      <c r="W2027" s="846">
        <v>116</v>
      </c>
      <c r="X2027" s="847">
        <f t="shared" si="392"/>
        <v>928</v>
      </c>
      <c r="Y2027" s="853">
        <v>0.45</v>
      </c>
      <c r="Z2027" s="849">
        <f t="shared" si="391"/>
        <v>63.800000000000004</v>
      </c>
      <c r="AA2027" s="849"/>
      <c r="AB2027" s="849">
        <f t="shared" si="384"/>
        <v>510.40000000000003</v>
      </c>
      <c r="AC2027" s="850">
        <f t="shared" si="385"/>
        <v>510.40000000000003</v>
      </c>
      <c r="AD2027" s="851">
        <f t="shared" si="393"/>
        <v>32000</v>
      </c>
      <c r="AE2027" s="852">
        <v>30126.73</v>
      </c>
      <c r="AF2027" s="853">
        <v>0.15</v>
      </c>
      <c r="AG2027" s="854">
        <f t="shared" si="386"/>
        <v>2365453.3230361543</v>
      </c>
      <c r="AH2027" s="853">
        <v>0.08</v>
      </c>
      <c r="AI2027" s="855">
        <f t="shared" si="387"/>
        <v>1419370.9052028924</v>
      </c>
      <c r="AJ2027" s="845" t="s">
        <v>6569</v>
      </c>
      <c r="AK2027" s="857">
        <v>45943</v>
      </c>
      <c r="AL2027" s="843" t="s">
        <v>6573</v>
      </c>
      <c r="AM2027" s="843" t="s">
        <v>6574</v>
      </c>
      <c r="AN2027" s="844" t="s">
        <v>4959</v>
      </c>
      <c r="AO2027" s="844" t="s">
        <v>141</v>
      </c>
      <c r="AP2027" s="841"/>
      <c r="AQ2027" s="841">
        <v>45950</v>
      </c>
      <c r="AR2027" s="841">
        <v>45995</v>
      </c>
      <c r="AS2027" s="842" t="s">
        <v>1145</v>
      </c>
      <c r="AT2027" s="842" t="s">
        <v>1187</v>
      </c>
      <c r="AU2027" s="842" t="s">
        <v>6575</v>
      </c>
      <c r="AV2027" s="856" t="s">
        <v>6576</v>
      </c>
      <c r="AW2027" s="861">
        <v>45995</v>
      </c>
      <c r="AX2027" s="861">
        <v>45995</v>
      </c>
      <c r="AY2027" s="843" t="s">
        <v>6627</v>
      </c>
      <c r="AZ2027" s="842">
        <v>70139900</v>
      </c>
      <c r="BA2027" s="842" t="s">
        <v>120</v>
      </c>
      <c r="BB2027" s="863" t="s">
        <v>121</v>
      </c>
      <c r="BC2027" s="864">
        <v>45997</v>
      </c>
      <c r="BD2027" s="860" t="s">
        <v>6578</v>
      </c>
      <c r="BE2027" s="865" cm="1">
        <f t="array" ref="BE2027">IF(BD2027="","",AC2027/SUMPRODUCT(--(BD2027=$BD$4:$BD$12824),$AC$4:$AC$12824))</f>
        <v>1.729858703351601E-2</v>
      </c>
      <c r="BF2027" s="458"/>
      <c r="BG2027" s="458"/>
      <c r="BH2027" s="458"/>
      <c r="BI2027" s="458"/>
      <c r="BJ2027" s="458"/>
      <c r="BK2027" s="458"/>
      <c r="BL2027" s="458"/>
      <c r="BM2027" s="458"/>
      <c r="BN2027" s="458"/>
      <c r="BO2027" s="866">
        <f>VLOOKUP(BD2027,$BD$4:$BN$12824,3,0)*BE2027</f>
        <v>377819.65030011552</v>
      </c>
      <c r="BP2027" s="866"/>
      <c r="BQ2027" s="866"/>
      <c r="BR2027" s="866">
        <f>VLOOKUP(BD2027,$BD$4:$BN$12824,6,0)*BE2027</f>
        <v>187895.58656818842</v>
      </c>
      <c r="BS2027" s="866">
        <f>VLOOKUP(BD2027,$BD$4:$BN$12824,7,0)*BE2027</f>
        <v>15186.177940912308</v>
      </c>
      <c r="BT2027" s="866"/>
      <c r="BU2027" s="866">
        <f>VLOOKUP(BD2027,$BD$4:$BN$12824,9,0)*BE2027</f>
        <v>4670.618499049323</v>
      </c>
      <c r="BV2027" s="867"/>
      <c r="BW2027" s="867">
        <f>VLOOKUP(BD2027,$BD$4:$BN$12824,11,0)*BE2027</f>
        <v>26604.586169138973</v>
      </c>
      <c r="BX2027" s="1146">
        <f t="shared" si="388"/>
        <v>612176.61947740463</v>
      </c>
      <c r="BY2027" s="867">
        <f t="shared" si="390"/>
        <v>2294289.1168141952</v>
      </c>
      <c r="BZ2027" s="867">
        <f t="shared" si="389"/>
        <v>18354312.934513561</v>
      </c>
      <c r="CA2027" s="867">
        <f>_xlfn.MAXIFS($BY$4:$BY$12824,$S$4:$S$12824,$S2027)</f>
        <v>2459352.4910321748</v>
      </c>
      <c r="CB2027" s="1032"/>
      <c r="CF2027" s="946">
        <f t="shared" si="394"/>
        <v>16332800.000000002</v>
      </c>
    </row>
    <row r="2028" spans="2:84">
      <c r="B2028" s="839" t="s">
        <v>98</v>
      </c>
      <c r="C2028" s="839" t="s">
        <v>381</v>
      </c>
      <c r="D2028" s="839" t="s">
        <v>6569</v>
      </c>
      <c r="E2028" s="839" t="s">
        <v>6569</v>
      </c>
      <c r="F2028" s="841">
        <v>45895</v>
      </c>
      <c r="G2028" s="839" t="s">
        <v>383</v>
      </c>
      <c r="H2028" s="842" t="s">
        <v>134</v>
      </c>
      <c r="I2028" s="883"/>
      <c r="J2028" s="841"/>
      <c r="K2028" s="841"/>
      <c r="L2028" s="843" t="s">
        <v>106</v>
      </c>
      <c r="M2028" s="844" t="s">
        <v>107</v>
      </c>
      <c r="N2028" s="841"/>
      <c r="O2028" s="884" t="s">
        <v>135</v>
      </c>
      <c r="P2028" s="842" t="s">
        <v>182</v>
      </c>
      <c r="Q2028" s="843"/>
      <c r="R2028" s="845">
        <v>840141</v>
      </c>
      <c r="S2028" s="1127" t="s">
        <v>1056</v>
      </c>
      <c r="T2028" s="885" t="s">
        <v>6628</v>
      </c>
      <c r="U2028" s="886">
        <v>20</v>
      </c>
      <c r="V2028" s="842" t="s">
        <v>3</v>
      </c>
      <c r="W2028" s="846">
        <v>100</v>
      </c>
      <c r="X2028" s="847">
        <f t="shared" si="392"/>
        <v>2000</v>
      </c>
      <c r="Y2028" s="853">
        <v>0.45</v>
      </c>
      <c r="Z2028" s="849">
        <f t="shared" si="391"/>
        <v>55.000000000000007</v>
      </c>
      <c r="AA2028" s="849"/>
      <c r="AB2028" s="849">
        <f t="shared" si="384"/>
        <v>1100.0000000000002</v>
      </c>
      <c r="AC2028" s="850">
        <f t="shared" si="385"/>
        <v>1100.0000000000002</v>
      </c>
      <c r="AD2028" s="851">
        <f t="shared" si="393"/>
        <v>32000</v>
      </c>
      <c r="AE2028" s="852">
        <v>30126.73</v>
      </c>
      <c r="AF2028" s="853">
        <v>0.15</v>
      </c>
      <c r="AG2028" s="854">
        <f t="shared" si="386"/>
        <v>5097959.7479227465</v>
      </c>
      <c r="AH2028" s="853">
        <v>0.08</v>
      </c>
      <c r="AI2028" s="855">
        <f t="shared" si="387"/>
        <v>3058989.0198338204</v>
      </c>
      <c r="AJ2028" s="845" t="s">
        <v>6569</v>
      </c>
      <c r="AK2028" s="857">
        <v>45943</v>
      </c>
      <c r="AL2028" s="843" t="s">
        <v>6573</v>
      </c>
      <c r="AM2028" s="843" t="s">
        <v>6574</v>
      </c>
      <c r="AN2028" s="844" t="s">
        <v>4959</v>
      </c>
      <c r="AO2028" s="844" t="s">
        <v>141</v>
      </c>
      <c r="AP2028" s="841"/>
      <c r="AQ2028" s="841">
        <v>45950</v>
      </c>
      <c r="AR2028" s="841">
        <v>45995</v>
      </c>
      <c r="AS2028" s="842" t="s">
        <v>1145</v>
      </c>
      <c r="AT2028" s="842" t="s">
        <v>1187</v>
      </c>
      <c r="AU2028" s="842" t="s">
        <v>6575</v>
      </c>
      <c r="AV2028" s="856" t="s">
        <v>6576</v>
      </c>
      <c r="AW2028" s="861">
        <v>45995</v>
      </c>
      <c r="AX2028" s="861">
        <v>45995</v>
      </c>
      <c r="AY2028" s="843" t="s">
        <v>6629</v>
      </c>
      <c r="AZ2028" s="842">
        <v>70139900</v>
      </c>
      <c r="BA2028" s="842" t="s">
        <v>120</v>
      </c>
      <c r="BB2028" s="863" t="s">
        <v>121</v>
      </c>
      <c r="BC2028" s="864">
        <v>45997</v>
      </c>
      <c r="BD2028" s="860" t="s">
        <v>6578</v>
      </c>
      <c r="BE2028" s="865" cm="1">
        <f t="array" ref="BE2028">IF(BD2028="","",AC2028/SUMPRODUCT(--(BD2028=$BD$4:$BD$12824),$AC$4:$AC$12824))</f>
        <v>3.728143757223279E-2</v>
      </c>
      <c r="BF2028" s="458"/>
      <c r="BG2028" s="458"/>
      <c r="BH2028" s="458"/>
      <c r="BI2028" s="458"/>
      <c r="BJ2028" s="458"/>
      <c r="BK2028" s="458"/>
      <c r="BL2028" s="458"/>
      <c r="BM2028" s="458"/>
      <c r="BN2028" s="458"/>
      <c r="BO2028" s="866">
        <f>VLOOKUP(BD2028,$BD$4:$BN$12824,3,0)*BE2028</f>
        <v>814266.48771576642</v>
      </c>
      <c r="BP2028" s="866"/>
      <c r="BQ2028" s="866"/>
      <c r="BR2028" s="866">
        <f>VLOOKUP(BD2028,$BD$4:$BN$12824,6,0)*BE2028</f>
        <v>404947.38484523376</v>
      </c>
      <c r="BS2028" s="866">
        <f>VLOOKUP(BD2028,$BD$4:$BN$12824,7,0)*BE2028</f>
        <v>32728.831769207569</v>
      </c>
      <c r="BT2028" s="866"/>
      <c r="BU2028" s="866">
        <f>VLOOKUP(BD2028,$BD$4:$BN$12824,9,0)*BE2028</f>
        <v>10065.988144502853</v>
      </c>
      <c r="BV2028" s="867"/>
      <c r="BW2028" s="867">
        <f>VLOOKUP(BD2028,$BD$4:$BN$12824,11,0)*BE2028</f>
        <v>57337.470192109875</v>
      </c>
      <c r="BX2028" s="1146">
        <f t="shared" si="388"/>
        <v>1319346.1626668205</v>
      </c>
      <c r="BY2028" s="867">
        <f t="shared" si="390"/>
        <v>1977835.4455294788</v>
      </c>
      <c r="BZ2028" s="867">
        <f t="shared" si="389"/>
        <v>39556708.910589576</v>
      </c>
      <c r="CA2028" s="867">
        <f>_xlfn.MAXIFS($BY$4:$BY$12824,$S$4:$S$12824,$S2028)</f>
        <v>1977835.4455294788</v>
      </c>
      <c r="CB2028" s="1032"/>
      <c r="CF2028" s="946">
        <f t="shared" si="394"/>
        <v>35200000.000000007</v>
      </c>
    </row>
    <row r="2029" spans="2:84">
      <c r="B2029" s="839" t="s">
        <v>98</v>
      </c>
      <c r="C2029" s="839" t="s">
        <v>381</v>
      </c>
      <c r="D2029" s="839" t="s">
        <v>6569</v>
      </c>
      <c r="E2029" s="839" t="s">
        <v>6569</v>
      </c>
      <c r="F2029" s="841">
        <v>45895</v>
      </c>
      <c r="G2029" s="839" t="s">
        <v>383</v>
      </c>
      <c r="H2029" s="842" t="s">
        <v>134</v>
      </c>
      <c r="I2029" s="883"/>
      <c r="J2029" s="841"/>
      <c r="K2029" s="841"/>
      <c r="L2029" s="843" t="s">
        <v>106</v>
      </c>
      <c r="M2029" s="844" t="s">
        <v>107</v>
      </c>
      <c r="N2029" s="841"/>
      <c r="O2029" s="884" t="s">
        <v>135</v>
      </c>
      <c r="P2029" s="842" t="s">
        <v>182</v>
      </c>
      <c r="Q2029" s="843"/>
      <c r="R2029" s="845">
        <v>840142</v>
      </c>
      <c r="S2029" s="1127" t="s">
        <v>1060</v>
      </c>
      <c r="T2029" s="885" t="s">
        <v>6630</v>
      </c>
      <c r="U2029" s="886">
        <v>20</v>
      </c>
      <c r="V2029" s="842" t="s">
        <v>3</v>
      </c>
      <c r="W2029" s="846">
        <v>184</v>
      </c>
      <c r="X2029" s="847">
        <f t="shared" si="392"/>
        <v>3680</v>
      </c>
      <c r="Y2029" s="853">
        <v>0.45</v>
      </c>
      <c r="Z2029" s="849">
        <f t="shared" si="391"/>
        <v>101.2</v>
      </c>
      <c r="AA2029" s="849"/>
      <c r="AB2029" s="849">
        <f t="shared" si="384"/>
        <v>2024</v>
      </c>
      <c r="AC2029" s="850">
        <f t="shared" si="385"/>
        <v>2024</v>
      </c>
      <c r="AD2029" s="851">
        <f t="shared" si="393"/>
        <v>32000</v>
      </c>
      <c r="AE2029" s="852">
        <v>30126.73</v>
      </c>
      <c r="AF2029" s="853">
        <v>0.15</v>
      </c>
      <c r="AG2029" s="854">
        <f t="shared" si="386"/>
        <v>9380245.9361778516</v>
      </c>
      <c r="AH2029" s="853">
        <v>0.08</v>
      </c>
      <c r="AI2029" s="855">
        <f t="shared" si="387"/>
        <v>5628539.7964942278</v>
      </c>
      <c r="AJ2029" s="845" t="s">
        <v>6569</v>
      </c>
      <c r="AK2029" s="857">
        <v>45943</v>
      </c>
      <c r="AL2029" s="843" t="s">
        <v>6573</v>
      </c>
      <c r="AM2029" s="843" t="s">
        <v>6574</v>
      </c>
      <c r="AN2029" s="844" t="s">
        <v>4959</v>
      </c>
      <c r="AO2029" s="844" t="s">
        <v>141</v>
      </c>
      <c r="AP2029" s="841"/>
      <c r="AQ2029" s="841">
        <v>45950</v>
      </c>
      <c r="AR2029" s="841">
        <v>45995</v>
      </c>
      <c r="AS2029" s="842" t="s">
        <v>1145</v>
      </c>
      <c r="AT2029" s="842" t="s">
        <v>1187</v>
      </c>
      <c r="AU2029" s="842" t="s">
        <v>6575</v>
      </c>
      <c r="AV2029" s="856" t="s">
        <v>6576</v>
      </c>
      <c r="AW2029" s="861">
        <v>45995</v>
      </c>
      <c r="AX2029" s="861">
        <v>45995</v>
      </c>
      <c r="AY2029" s="843" t="s">
        <v>6631</v>
      </c>
      <c r="AZ2029" s="842">
        <v>70139900</v>
      </c>
      <c r="BA2029" s="842" t="s">
        <v>120</v>
      </c>
      <c r="BB2029" s="863" t="s">
        <v>121</v>
      </c>
      <c r="BC2029" s="864">
        <v>45997</v>
      </c>
      <c r="BD2029" s="860" t="s">
        <v>6578</v>
      </c>
      <c r="BE2029" s="865" cm="1">
        <f t="array" ref="BE2029">IF(BD2029="","",AC2029/SUMPRODUCT(--(BD2029=$BD$4:$BD$12824),$AC$4:$AC$12824))</f>
        <v>6.8597845132908314E-2</v>
      </c>
      <c r="BF2029" s="458"/>
      <c r="BG2029" s="458"/>
      <c r="BH2029" s="458"/>
      <c r="BI2029" s="458"/>
      <c r="BJ2029" s="458"/>
      <c r="BK2029" s="458"/>
      <c r="BL2029" s="458"/>
      <c r="BM2029" s="458"/>
      <c r="BN2029" s="458"/>
      <c r="BO2029" s="866">
        <f>VLOOKUP(BD2029,$BD$4:$BN$12824,3,0)*BE2029</f>
        <v>1498250.3373970098</v>
      </c>
      <c r="BP2029" s="866"/>
      <c r="BQ2029" s="866"/>
      <c r="BR2029" s="866">
        <f>VLOOKUP(BD2029,$BD$4:$BN$12824,6,0)*BE2029</f>
        <v>745103.18811522983</v>
      </c>
      <c r="BS2029" s="866">
        <f>VLOOKUP(BD2029,$BD$4:$BN$12824,7,0)*BE2029</f>
        <v>60221.050455341909</v>
      </c>
      <c r="BT2029" s="866"/>
      <c r="BU2029" s="866">
        <f>VLOOKUP(BD2029,$BD$4:$BN$12824,9,0)*BE2029</f>
        <v>18521.418185885246</v>
      </c>
      <c r="BV2029" s="867"/>
      <c r="BW2029" s="867">
        <f>VLOOKUP(BD2029,$BD$4:$BN$12824,11,0)*BE2029</f>
        <v>105500.94515348214</v>
      </c>
      <c r="BX2029" s="1146">
        <f t="shared" si="388"/>
        <v>2427596.9393069493</v>
      </c>
      <c r="BY2029" s="867">
        <f t="shared" si="390"/>
        <v>3639217.2197742397</v>
      </c>
      <c r="BZ2029" s="867">
        <f t="shared" si="389"/>
        <v>72784344.39548479</v>
      </c>
      <c r="CA2029" s="867">
        <f>_xlfn.MAXIFS($BY$4:$BY$12824,$S$4:$S$12824,$S2029)</f>
        <v>3639217.2197742397</v>
      </c>
      <c r="CB2029" s="1032"/>
      <c r="CF2029" s="946">
        <f t="shared" si="394"/>
        <v>64768000</v>
      </c>
    </row>
    <row r="2030" spans="2:84">
      <c r="B2030" s="839" t="s">
        <v>98</v>
      </c>
      <c r="C2030" s="839" t="s">
        <v>3454</v>
      </c>
      <c r="D2030" s="839" t="s">
        <v>6632</v>
      </c>
      <c r="E2030" s="839" t="s">
        <v>6632</v>
      </c>
      <c r="F2030" s="841">
        <v>45955</v>
      </c>
      <c r="G2030" s="868" t="s">
        <v>3456</v>
      </c>
      <c r="H2030" s="883" t="s">
        <v>102</v>
      </c>
      <c r="I2030" s="883" t="s">
        <v>6633</v>
      </c>
      <c r="J2030" s="841">
        <v>45955</v>
      </c>
      <c r="K2030" s="841">
        <v>46001</v>
      </c>
      <c r="L2030" s="843" t="s">
        <v>106</v>
      </c>
      <c r="M2030" s="844" t="s">
        <v>5258</v>
      </c>
      <c r="N2030" s="841"/>
      <c r="O2030" s="884" t="s">
        <v>3459</v>
      </c>
      <c r="P2030" s="842" t="s">
        <v>6634</v>
      </c>
      <c r="Q2030" s="843"/>
      <c r="R2030" s="845" t="s">
        <v>6635</v>
      </c>
      <c r="S2030" s="1127" t="s">
        <v>6635</v>
      </c>
      <c r="T2030" s="885" t="s">
        <v>6636</v>
      </c>
      <c r="U2030" s="886">
        <v>33</v>
      </c>
      <c r="V2030" s="842" t="s">
        <v>8</v>
      </c>
      <c r="W2030" s="846">
        <v>31.3</v>
      </c>
      <c r="X2030" s="847">
        <f t="shared" si="392"/>
        <v>1032.9000000000001</v>
      </c>
      <c r="Y2030" s="853">
        <v>0</v>
      </c>
      <c r="Z2030" s="849">
        <v>31.3</v>
      </c>
      <c r="AA2030" s="849"/>
      <c r="AB2030" s="849">
        <f t="shared" si="384"/>
        <v>1032.9000000000001</v>
      </c>
      <c r="AC2030" s="850">
        <f t="shared" si="385"/>
        <v>1032.9000000000001</v>
      </c>
      <c r="AD2030" s="851">
        <f t="shared" si="393"/>
        <v>27000</v>
      </c>
      <c r="AE2030" s="852">
        <v>26169</v>
      </c>
      <c r="AF2030" s="853">
        <v>0</v>
      </c>
      <c r="AG2030" s="854">
        <f t="shared" si="386"/>
        <v>0</v>
      </c>
      <c r="AH2030" s="853">
        <v>0.08</v>
      </c>
      <c r="AI2030" s="855">
        <f t="shared" si="387"/>
        <v>2164509.5279999999</v>
      </c>
      <c r="AJ2030" s="845" t="s">
        <v>6637</v>
      </c>
      <c r="AK2030" s="857">
        <v>45981</v>
      </c>
      <c r="AL2030" s="843" t="s">
        <v>6638</v>
      </c>
      <c r="AM2030" s="843" t="s">
        <v>6639</v>
      </c>
      <c r="AN2030" s="844" t="s">
        <v>3951</v>
      </c>
      <c r="AO2030" s="844" t="s">
        <v>141</v>
      </c>
      <c r="AP2030" s="841"/>
      <c r="AQ2030" s="841">
        <v>45995</v>
      </c>
      <c r="AR2030" s="841">
        <v>45999</v>
      </c>
      <c r="AS2030" s="842" t="s">
        <v>1581</v>
      </c>
      <c r="AT2030" s="842" t="s">
        <v>6640</v>
      </c>
      <c r="AU2030" s="842" t="s">
        <v>1090</v>
      </c>
      <c r="AV2030" s="845" t="s">
        <v>6641</v>
      </c>
      <c r="AW2030" s="861">
        <v>45999</v>
      </c>
      <c r="AX2030" s="862">
        <v>46001</v>
      </c>
      <c r="AY2030" s="843" t="s">
        <v>6642</v>
      </c>
      <c r="AZ2030" s="842">
        <v>94059950</v>
      </c>
      <c r="BA2030" s="842" t="s">
        <v>120</v>
      </c>
      <c r="BB2030" s="863" t="s">
        <v>121</v>
      </c>
      <c r="BC2030" s="864">
        <v>46002</v>
      </c>
      <c r="BD2030" s="860" t="s">
        <v>6643</v>
      </c>
      <c r="BE2030" s="865" cm="1">
        <f t="array" ref="BE2030">IF(BD2030="","",AC2030/SUMPRODUCT(--(BD2030=$BD$4:$BD$12824),$AC$4:$AC$12824))</f>
        <v>0.1634387164150764</v>
      </c>
      <c r="BF2030" s="458" cm="1">
        <f t="array" ref="BF2030">SUM(_xlfn._xlws.FILTER( INDEX(Cost!$B$3:$BK$77,MATCH(LDL!$BD2030, Cost!$F$3:$F$77, 0),0),Cost!$B$3:$BK$3 = BF$3))</f>
        <v>26409</v>
      </c>
      <c r="BG2030" s="458"/>
      <c r="BH2030" s="458"/>
      <c r="BI2030" s="458" cm="1">
        <f t="array" ref="BI2030">SUM(_xlfn._xlws.FILTER( INDEX(Cost!$B$3:$BK$77,MATCH(LDL!$BD2030, Cost!$F$3:$F$77, 0),0),Cost!$B$3:$BK$3 = BI$3))/1.08</f>
        <v>0</v>
      </c>
      <c r="BJ2030" s="458" cm="1">
        <f t="array" ref="BJ2030">SUM(_xlfn._xlws.FILTER( INDEX(Cost!$B$3:$BK$77,MATCH(LDL!$BD2030, Cost!$F$3:$F$77, 0),0),Cost!$B$3:$BK$3 = BJ$3))</f>
        <v>0</v>
      </c>
      <c r="BK2030" s="458"/>
      <c r="BL2030" s="458" cm="1">
        <f t="array" ref="BL2030">SUM(_xlfn._xlws.FILTER( INDEX(Cost!$B$3:$BK$77,MATCH(LDL!$BD2030, Cost!$F$3:$F$77, 0),0),Cost!$B$3:$BK$3 = BL$3))</f>
        <v>24275</v>
      </c>
      <c r="BM2030" s="458"/>
      <c r="BN2030" s="458" cm="1">
        <f t="array" ref="BN2030">SUM(_xlfn._xlws.FILTER( INDEX(Cost!$B$3:$BK$77,MATCH(LDL!$BD2030, Cost!$F$3:$F$77, 0),0),Cost!$B$3:$BK$3 = BN$3))/1.08</f>
        <v>600000</v>
      </c>
      <c r="BO2030" s="866">
        <f>VLOOKUP(BD2030,$BD$4:$BN$12824,3,0)*BE2030</f>
        <v>4316.2530618057526</v>
      </c>
      <c r="BP2030" s="866"/>
      <c r="BQ2030" s="866"/>
      <c r="BR2030" s="866">
        <f>VLOOKUP(BD2030,$BD$4:$BN$12824,6,0)*BE2030</f>
        <v>0</v>
      </c>
      <c r="BS2030" s="866">
        <f>VLOOKUP(BD2030,$BD$4:$BN$12824,7,0)*BE2030</f>
        <v>0</v>
      </c>
      <c r="BT2030" s="866"/>
      <c r="BU2030" s="866">
        <f>VLOOKUP(BD2030,$BD$4:$BN$12824,9,0)*BE2030</f>
        <v>3967.4748409759795</v>
      </c>
      <c r="BV2030" s="867"/>
      <c r="BW2030" s="867">
        <f>VLOOKUP(BD2030,$BD$4:$BN$12824,11,0)*BE2030</f>
        <v>98063.229849045834</v>
      </c>
      <c r="BX2030" s="1146">
        <f t="shared" si="388"/>
        <v>106346.95775182756</v>
      </c>
      <c r="BY2030" s="867">
        <f t="shared" si="390"/>
        <v>822312.33508338884</v>
      </c>
      <c r="BZ2030" s="867">
        <f t="shared" si="389"/>
        <v>27136307.057751831</v>
      </c>
      <c r="CA2030" s="867">
        <f>_xlfn.MAXIFS($BY$4:$BY$12824,$S$4:$S$12824,$S2030)</f>
        <v>822312.33508338884</v>
      </c>
      <c r="CB2030" s="1032"/>
      <c r="CF2030" s="946">
        <f t="shared" si="394"/>
        <v>27888300.000000004</v>
      </c>
    </row>
    <row r="2031" spans="2:84">
      <c r="B2031" s="839" t="s">
        <v>98</v>
      </c>
      <c r="C2031" s="839" t="s">
        <v>3454</v>
      </c>
      <c r="D2031" s="839" t="s">
        <v>6632</v>
      </c>
      <c r="E2031" s="839" t="s">
        <v>6632</v>
      </c>
      <c r="F2031" s="841">
        <v>45955</v>
      </c>
      <c r="G2031" s="868" t="s">
        <v>3456</v>
      </c>
      <c r="H2031" s="883" t="s">
        <v>102</v>
      </c>
      <c r="I2031" s="883" t="s">
        <v>6633</v>
      </c>
      <c r="J2031" s="841">
        <v>45955</v>
      </c>
      <c r="K2031" s="841">
        <v>46001</v>
      </c>
      <c r="L2031" s="843" t="s">
        <v>106</v>
      </c>
      <c r="M2031" s="844" t="s">
        <v>5258</v>
      </c>
      <c r="N2031" s="841"/>
      <c r="O2031" s="884" t="s">
        <v>3459</v>
      </c>
      <c r="P2031" s="842" t="s">
        <v>6634</v>
      </c>
      <c r="Q2031" s="843"/>
      <c r="R2031" s="845" t="s">
        <v>6644</v>
      </c>
      <c r="S2031" s="1127" t="s">
        <v>6644</v>
      </c>
      <c r="T2031" s="885" t="s">
        <v>6645</v>
      </c>
      <c r="U2031" s="886">
        <v>15</v>
      </c>
      <c r="V2031" s="842" t="s">
        <v>8</v>
      </c>
      <c r="W2031" s="846">
        <v>38.5</v>
      </c>
      <c r="X2031" s="847">
        <f t="shared" si="392"/>
        <v>577.5</v>
      </c>
      <c r="Y2031" s="853">
        <v>0</v>
      </c>
      <c r="Z2031" s="849">
        <v>38.5</v>
      </c>
      <c r="AA2031" s="849"/>
      <c r="AB2031" s="849">
        <f t="shared" si="384"/>
        <v>577.5</v>
      </c>
      <c r="AC2031" s="850">
        <f t="shared" si="385"/>
        <v>577.5</v>
      </c>
      <c r="AD2031" s="851">
        <f t="shared" si="393"/>
        <v>27000</v>
      </c>
      <c r="AE2031" s="852">
        <v>26169</v>
      </c>
      <c r="AF2031" s="853">
        <v>0</v>
      </c>
      <c r="AG2031" s="854">
        <f t="shared" si="386"/>
        <v>0</v>
      </c>
      <c r="AH2031" s="853">
        <v>0.08</v>
      </c>
      <c r="AI2031" s="855">
        <f t="shared" si="387"/>
        <v>1209007.8</v>
      </c>
      <c r="AJ2031" s="845" t="s">
        <v>6637</v>
      </c>
      <c r="AK2031" s="857">
        <v>45981</v>
      </c>
      <c r="AL2031" s="843" t="s">
        <v>6638</v>
      </c>
      <c r="AM2031" s="843" t="s">
        <v>6639</v>
      </c>
      <c r="AN2031" s="844" t="s">
        <v>3951</v>
      </c>
      <c r="AO2031" s="844" t="s">
        <v>141</v>
      </c>
      <c r="AP2031" s="841"/>
      <c r="AQ2031" s="841">
        <v>45995</v>
      </c>
      <c r="AR2031" s="841">
        <v>45999</v>
      </c>
      <c r="AS2031" s="842" t="s">
        <v>1581</v>
      </c>
      <c r="AT2031" s="842" t="s">
        <v>6640</v>
      </c>
      <c r="AU2031" s="842" t="s">
        <v>1090</v>
      </c>
      <c r="AV2031" s="845" t="s">
        <v>6641</v>
      </c>
      <c r="AW2031" s="861">
        <v>45999</v>
      </c>
      <c r="AX2031" s="862">
        <v>46001</v>
      </c>
      <c r="AY2031" s="843" t="s">
        <v>6646</v>
      </c>
      <c r="AZ2031" s="842">
        <v>94059950</v>
      </c>
      <c r="BA2031" s="842" t="s">
        <v>120</v>
      </c>
      <c r="BB2031" s="863" t="s">
        <v>121</v>
      </c>
      <c r="BC2031" s="864">
        <v>46002</v>
      </c>
      <c r="BD2031" s="860" t="s">
        <v>6643</v>
      </c>
      <c r="BE2031" s="865" cm="1">
        <f t="array" ref="BE2031">IF(BD2031="","",AC2031/SUMPRODUCT(--(BD2031=$BD$4:$BD$12824),$AC$4:$AC$12824))</f>
        <v>9.1379474033988398E-2</v>
      </c>
      <c r="BF2031" s="458"/>
      <c r="BG2031" s="458"/>
      <c r="BH2031" s="458"/>
      <c r="BI2031" s="458"/>
      <c r="BJ2031" s="458"/>
      <c r="BK2031" s="458"/>
      <c r="BL2031" s="458"/>
      <c r="BM2031" s="458"/>
      <c r="BN2031" s="458"/>
      <c r="BO2031" s="866">
        <f>VLOOKUP(BD2031,$BD$4:$BN$12824,3,0)*BE2031</f>
        <v>2413.2405297635996</v>
      </c>
      <c r="BP2031" s="866"/>
      <c r="BQ2031" s="866"/>
      <c r="BR2031" s="866">
        <f>VLOOKUP(BD2031,$BD$4:$BN$12824,6,0)*BE2031</f>
        <v>0</v>
      </c>
      <c r="BS2031" s="866">
        <f>VLOOKUP(BD2031,$BD$4:$BN$12824,7,0)*BE2031</f>
        <v>0</v>
      </c>
      <c r="BT2031" s="866"/>
      <c r="BU2031" s="866">
        <f>VLOOKUP(BD2031,$BD$4:$BN$12824,9,0)*BE2031</f>
        <v>2218.2367321750685</v>
      </c>
      <c r="BV2031" s="867"/>
      <c r="BW2031" s="867">
        <f>VLOOKUP(BD2031,$BD$4:$BN$12824,11,0)*BE2031</f>
        <v>54827.684420393038</v>
      </c>
      <c r="BX2031" s="1146">
        <f t="shared" si="388"/>
        <v>59459.161682331702</v>
      </c>
      <c r="BY2031" s="867">
        <f t="shared" si="390"/>
        <v>1011470.4441121555</v>
      </c>
      <c r="BZ2031" s="867">
        <f t="shared" si="389"/>
        <v>15172056.661682332</v>
      </c>
      <c r="CA2031" s="867">
        <f>_xlfn.MAXIFS($BY$4:$BY$12824,$S$4:$S$12824,$S2031)</f>
        <v>1011470.4441121555</v>
      </c>
      <c r="CB2031" s="1032"/>
      <c r="CF2031" s="946">
        <f t="shared" si="394"/>
        <v>15592500</v>
      </c>
    </row>
    <row r="2032" spans="2:84">
      <c r="B2032" s="839" t="s">
        <v>98</v>
      </c>
      <c r="C2032" s="839" t="s">
        <v>3454</v>
      </c>
      <c r="D2032" s="839" t="s">
        <v>6632</v>
      </c>
      <c r="E2032" s="839" t="s">
        <v>6632</v>
      </c>
      <c r="F2032" s="841">
        <v>45955</v>
      </c>
      <c r="G2032" s="868" t="s">
        <v>3456</v>
      </c>
      <c r="H2032" s="883" t="s">
        <v>102</v>
      </c>
      <c r="I2032" s="883" t="s">
        <v>6633</v>
      </c>
      <c r="J2032" s="841">
        <v>45955</v>
      </c>
      <c r="K2032" s="841">
        <v>46001</v>
      </c>
      <c r="L2032" s="843" t="s">
        <v>106</v>
      </c>
      <c r="M2032" s="844" t="s">
        <v>5258</v>
      </c>
      <c r="N2032" s="841"/>
      <c r="O2032" s="884" t="s">
        <v>3459</v>
      </c>
      <c r="P2032" s="842" t="s">
        <v>6647</v>
      </c>
      <c r="Q2032" s="843"/>
      <c r="R2032" s="845" t="s">
        <v>6648</v>
      </c>
      <c r="S2032" s="1127" t="s">
        <v>6648</v>
      </c>
      <c r="T2032" s="885" t="s">
        <v>6649</v>
      </c>
      <c r="U2032" s="886">
        <v>25</v>
      </c>
      <c r="V2032" s="842" t="s">
        <v>8</v>
      </c>
      <c r="W2032" s="846">
        <v>1.46</v>
      </c>
      <c r="X2032" s="847">
        <f t="shared" si="392"/>
        <v>36.5</v>
      </c>
      <c r="Y2032" s="853">
        <v>0</v>
      </c>
      <c r="Z2032" s="849">
        <v>1.46</v>
      </c>
      <c r="AA2032" s="849"/>
      <c r="AB2032" s="849">
        <f t="shared" si="384"/>
        <v>36.5</v>
      </c>
      <c r="AC2032" s="850">
        <f t="shared" si="385"/>
        <v>36.5</v>
      </c>
      <c r="AD2032" s="851">
        <f t="shared" si="393"/>
        <v>27000</v>
      </c>
      <c r="AE2032" s="852">
        <v>26169</v>
      </c>
      <c r="AF2032" s="853">
        <v>0</v>
      </c>
      <c r="AG2032" s="854">
        <f t="shared" si="386"/>
        <v>0</v>
      </c>
      <c r="AH2032" s="853">
        <v>0.08</v>
      </c>
      <c r="AI2032" s="855">
        <f t="shared" si="387"/>
        <v>76413.48</v>
      </c>
      <c r="AJ2032" s="845" t="s">
        <v>6637</v>
      </c>
      <c r="AK2032" s="857">
        <v>45981</v>
      </c>
      <c r="AL2032" s="843" t="s">
        <v>6638</v>
      </c>
      <c r="AM2032" s="843" t="s">
        <v>6639</v>
      </c>
      <c r="AN2032" s="844" t="s">
        <v>3951</v>
      </c>
      <c r="AO2032" s="844" t="s">
        <v>141</v>
      </c>
      <c r="AP2032" s="841"/>
      <c r="AQ2032" s="841">
        <v>45995</v>
      </c>
      <c r="AR2032" s="841">
        <v>45999</v>
      </c>
      <c r="AS2032" s="842" t="s">
        <v>1581</v>
      </c>
      <c r="AT2032" s="842" t="s">
        <v>6640</v>
      </c>
      <c r="AU2032" s="842" t="s">
        <v>1090</v>
      </c>
      <c r="AV2032" s="845" t="s">
        <v>6641</v>
      </c>
      <c r="AW2032" s="861">
        <v>45999</v>
      </c>
      <c r="AX2032" s="862">
        <v>46001</v>
      </c>
      <c r="AY2032" s="843" t="s">
        <v>6650</v>
      </c>
      <c r="AZ2032" s="842">
        <v>94059950</v>
      </c>
      <c r="BA2032" s="842" t="s">
        <v>120</v>
      </c>
      <c r="BB2032" s="863" t="s">
        <v>121</v>
      </c>
      <c r="BC2032" s="864">
        <v>46002</v>
      </c>
      <c r="BD2032" s="860" t="s">
        <v>6643</v>
      </c>
      <c r="BE2032" s="865" cm="1">
        <f t="array" ref="BE2032">IF(BD2032="","",AC2032/SUMPRODUCT(--(BD2032=$BD$4:$BD$12824),$AC$4:$AC$12824))</f>
        <v>5.7754992246590075E-3</v>
      </c>
      <c r="BF2032" s="458"/>
      <c r="BG2032" s="458"/>
      <c r="BH2032" s="458"/>
      <c r="BI2032" s="458"/>
      <c r="BJ2032" s="458"/>
      <c r="BK2032" s="458"/>
      <c r="BL2032" s="458"/>
      <c r="BM2032" s="458"/>
      <c r="BN2032" s="458"/>
      <c r="BO2032" s="866">
        <f>VLOOKUP(BD2032,$BD$4:$BN$12824,3,0)*BE2032</f>
        <v>152.52515902401973</v>
      </c>
      <c r="BP2032" s="866"/>
      <c r="BQ2032" s="866"/>
      <c r="BR2032" s="866">
        <f>VLOOKUP(BD2032,$BD$4:$BN$12824,6,0)*BE2032</f>
        <v>0</v>
      </c>
      <c r="BS2032" s="866">
        <f>VLOOKUP(BD2032,$BD$4:$BN$12824,7,0)*BE2032</f>
        <v>0</v>
      </c>
      <c r="BT2032" s="866"/>
      <c r="BU2032" s="866">
        <f>VLOOKUP(BD2032,$BD$4:$BN$12824,9,0)*BE2032</f>
        <v>140.20024367859742</v>
      </c>
      <c r="BV2032" s="867"/>
      <c r="BW2032" s="867">
        <f>VLOOKUP(BD2032,$BD$4:$BN$12824,11,0)*BE2032</f>
        <v>3465.2995347954043</v>
      </c>
      <c r="BX2032" s="1146">
        <f t="shared" si="388"/>
        <v>3758.0249374980212</v>
      </c>
      <c r="BY2032" s="867">
        <f t="shared" si="390"/>
        <v>38357.060997499924</v>
      </c>
      <c r="BZ2032" s="867">
        <f t="shared" si="389"/>
        <v>958926.52493749815</v>
      </c>
      <c r="CA2032" s="867">
        <f>_xlfn.MAXIFS($BY$4:$BY$12824,$S$4:$S$12824,$S2032)</f>
        <v>39149.999999999993</v>
      </c>
      <c r="CB2032" s="1032"/>
      <c r="CF2032" s="946">
        <f t="shared" si="394"/>
        <v>985500</v>
      </c>
    </row>
    <row r="2033" spans="2:84">
      <c r="B2033" s="839" t="s">
        <v>98</v>
      </c>
      <c r="C2033" s="839" t="s">
        <v>3454</v>
      </c>
      <c r="D2033" s="839" t="s">
        <v>6632</v>
      </c>
      <c r="E2033" s="839" t="s">
        <v>6632</v>
      </c>
      <c r="F2033" s="841">
        <v>45955</v>
      </c>
      <c r="G2033" s="868" t="s">
        <v>3456</v>
      </c>
      <c r="H2033" s="883" t="s">
        <v>102</v>
      </c>
      <c r="I2033" s="883" t="s">
        <v>6633</v>
      </c>
      <c r="J2033" s="841">
        <v>45955</v>
      </c>
      <c r="K2033" s="841">
        <v>46001</v>
      </c>
      <c r="L2033" s="843" t="s">
        <v>106</v>
      </c>
      <c r="M2033" s="844" t="s">
        <v>5258</v>
      </c>
      <c r="N2033" s="841"/>
      <c r="O2033" s="884" t="s">
        <v>3459</v>
      </c>
      <c r="P2033" s="842" t="s">
        <v>6651</v>
      </c>
      <c r="Q2033" s="843"/>
      <c r="R2033" s="845" t="s">
        <v>6652</v>
      </c>
      <c r="S2033" s="1127" t="s">
        <v>6652</v>
      </c>
      <c r="T2033" s="885" t="s">
        <v>6653</v>
      </c>
      <c r="U2033" s="886">
        <v>11</v>
      </c>
      <c r="V2033" s="842" t="s">
        <v>8</v>
      </c>
      <c r="W2033" s="846">
        <v>9.6999999999999993</v>
      </c>
      <c r="X2033" s="847">
        <f t="shared" si="392"/>
        <v>106.69999999999999</v>
      </c>
      <c r="Y2033" s="853">
        <v>0</v>
      </c>
      <c r="Z2033" s="849">
        <v>9.6999999999999993</v>
      </c>
      <c r="AA2033" s="849"/>
      <c r="AB2033" s="849">
        <f t="shared" si="384"/>
        <v>106.69999999999999</v>
      </c>
      <c r="AC2033" s="850">
        <f t="shared" si="385"/>
        <v>106.69999999999999</v>
      </c>
      <c r="AD2033" s="851">
        <f t="shared" si="393"/>
        <v>27000</v>
      </c>
      <c r="AE2033" s="852">
        <v>26169</v>
      </c>
      <c r="AF2033" s="853">
        <v>0</v>
      </c>
      <c r="AG2033" s="854">
        <f t="shared" si="386"/>
        <v>0</v>
      </c>
      <c r="AH2033" s="853">
        <v>0.08</v>
      </c>
      <c r="AI2033" s="855">
        <f t="shared" si="387"/>
        <v>223378.584</v>
      </c>
      <c r="AJ2033" s="845" t="s">
        <v>6637</v>
      </c>
      <c r="AK2033" s="857">
        <v>45981</v>
      </c>
      <c r="AL2033" s="843" t="s">
        <v>6638</v>
      </c>
      <c r="AM2033" s="843" t="s">
        <v>6639</v>
      </c>
      <c r="AN2033" s="844" t="s">
        <v>3951</v>
      </c>
      <c r="AO2033" s="844" t="s">
        <v>141</v>
      </c>
      <c r="AP2033" s="841"/>
      <c r="AQ2033" s="841">
        <v>45995</v>
      </c>
      <c r="AR2033" s="841">
        <v>45999</v>
      </c>
      <c r="AS2033" s="842" t="s">
        <v>1581</v>
      </c>
      <c r="AT2033" s="842" t="s">
        <v>6640</v>
      </c>
      <c r="AU2033" s="842" t="s">
        <v>1090</v>
      </c>
      <c r="AV2033" s="845" t="s">
        <v>6641</v>
      </c>
      <c r="AW2033" s="861">
        <v>45999</v>
      </c>
      <c r="AX2033" s="862">
        <v>46001</v>
      </c>
      <c r="AY2033" s="843" t="s">
        <v>6654</v>
      </c>
      <c r="AZ2033" s="842">
        <v>94059950</v>
      </c>
      <c r="BA2033" s="842" t="s">
        <v>120</v>
      </c>
      <c r="BB2033" s="863" t="s">
        <v>121</v>
      </c>
      <c r="BC2033" s="864">
        <v>46002</v>
      </c>
      <c r="BD2033" s="860" t="s">
        <v>6643</v>
      </c>
      <c r="BE2033" s="865" cm="1">
        <f t="array" ref="BE2033">IF(BD2033="","",AC2033/SUMPRODUCT(--(BD2033=$BD$4:$BD$12824),$AC$4:$AC$12824))</f>
        <v>1.6883445678660711E-2</v>
      </c>
      <c r="BF2033" s="458"/>
      <c r="BG2033" s="458"/>
      <c r="BH2033" s="458"/>
      <c r="BI2033" s="458"/>
      <c r="BJ2033" s="458"/>
      <c r="BK2033" s="458"/>
      <c r="BL2033" s="458"/>
      <c r="BM2033" s="458"/>
      <c r="BN2033" s="458"/>
      <c r="BO2033" s="866">
        <f>VLOOKUP(BD2033,$BD$4:$BN$12824,3,0)*BE2033</f>
        <v>445.87491692775075</v>
      </c>
      <c r="BP2033" s="866"/>
      <c r="BQ2033" s="866"/>
      <c r="BR2033" s="866">
        <f>VLOOKUP(BD2033,$BD$4:$BN$12824,6,0)*BE2033</f>
        <v>0</v>
      </c>
      <c r="BS2033" s="866">
        <f>VLOOKUP(BD2033,$BD$4:$BN$12824,7,0)*BE2033</f>
        <v>0</v>
      </c>
      <c r="BT2033" s="866"/>
      <c r="BU2033" s="866">
        <f>VLOOKUP(BD2033,$BD$4:$BN$12824,9,0)*BE2033</f>
        <v>409.84564384948879</v>
      </c>
      <c r="BV2033" s="867"/>
      <c r="BW2033" s="867">
        <f>VLOOKUP(BD2033,$BD$4:$BN$12824,11,0)*BE2033</f>
        <v>10130.067407196428</v>
      </c>
      <c r="BX2033" s="1146">
        <f t="shared" si="388"/>
        <v>10985.787967973667</v>
      </c>
      <c r="BY2033" s="867">
        <f t="shared" si="390"/>
        <v>254838.00799708851</v>
      </c>
      <c r="BZ2033" s="867">
        <f t="shared" si="389"/>
        <v>2803218.0879679737</v>
      </c>
      <c r="CA2033" s="867">
        <f>_xlfn.MAXIFS($BY$4:$BY$12824,$S$4:$S$12824,$S2033)</f>
        <v>254838.00799708851</v>
      </c>
      <c r="CB2033" s="1032"/>
      <c r="CF2033" s="946">
        <f t="shared" si="394"/>
        <v>2880899.9999999995</v>
      </c>
    </row>
    <row r="2034" spans="2:84">
      <c r="B2034" s="839" t="s">
        <v>98</v>
      </c>
      <c r="C2034" s="839" t="s">
        <v>3454</v>
      </c>
      <c r="D2034" s="839" t="s">
        <v>6632</v>
      </c>
      <c r="E2034" s="839" t="s">
        <v>6632</v>
      </c>
      <c r="F2034" s="841">
        <v>45955</v>
      </c>
      <c r="G2034" s="868" t="s">
        <v>3456</v>
      </c>
      <c r="H2034" s="883" t="s">
        <v>102</v>
      </c>
      <c r="I2034" s="883" t="s">
        <v>6633</v>
      </c>
      <c r="J2034" s="841">
        <v>45955</v>
      </c>
      <c r="K2034" s="841">
        <v>46001</v>
      </c>
      <c r="L2034" s="843" t="s">
        <v>106</v>
      </c>
      <c r="M2034" s="844" t="s">
        <v>5258</v>
      </c>
      <c r="N2034" s="841"/>
      <c r="O2034" s="884" t="s">
        <v>3459</v>
      </c>
      <c r="P2034" s="842" t="s">
        <v>6655</v>
      </c>
      <c r="Q2034" s="843"/>
      <c r="R2034" s="845" t="s">
        <v>6656</v>
      </c>
      <c r="S2034" s="1127" t="s">
        <v>6656</v>
      </c>
      <c r="T2034" s="885" t="s">
        <v>6657</v>
      </c>
      <c r="U2034" s="886">
        <v>73</v>
      </c>
      <c r="V2034" s="842" t="s">
        <v>8</v>
      </c>
      <c r="W2034" s="846">
        <v>11.5</v>
      </c>
      <c r="X2034" s="847">
        <f t="shared" si="392"/>
        <v>839.5</v>
      </c>
      <c r="Y2034" s="853">
        <v>0</v>
      </c>
      <c r="Z2034" s="849">
        <v>11.5</v>
      </c>
      <c r="AA2034" s="849"/>
      <c r="AB2034" s="849">
        <f t="shared" si="384"/>
        <v>839.5</v>
      </c>
      <c r="AC2034" s="850">
        <f t="shared" si="385"/>
        <v>839.5</v>
      </c>
      <c r="AD2034" s="851">
        <f t="shared" si="393"/>
        <v>27000</v>
      </c>
      <c r="AE2034" s="852">
        <v>26169</v>
      </c>
      <c r="AF2034" s="853">
        <v>0</v>
      </c>
      <c r="AG2034" s="854">
        <f t="shared" si="386"/>
        <v>0</v>
      </c>
      <c r="AH2034" s="853">
        <v>0.08</v>
      </c>
      <c r="AI2034" s="855">
        <f t="shared" si="387"/>
        <v>1757510.04</v>
      </c>
      <c r="AJ2034" s="845" t="s">
        <v>6637</v>
      </c>
      <c r="AK2034" s="857">
        <v>45981</v>
      </c>
      <c r="AL2034" s="843" t="s">
        <v>6638</v>
      </c>
      <c r="AM2034" s="843" t="s">
        <v>6639</v>
      </c>
      <c r="AN2034" s="844" t="s">
        <v>3951</v>
      </c>
      <c r="AO2034" s="844" t="s">
        <v>141</v>
      </c>
      <c r="AP2034" s="841"/>
      <c r="AQ2034" s="841">
        <v>45995</v>
      </c>
      <c r="AR2034" s="841">
        <v>45999</v>
      </c>
      <c r="AS2034" s="842" t="s">
        <v>1581</v>
      </c>
      <c r="AT2034" s="842" t="s">
        <v>6640</v>
      </c>
      <c r="AU2034" s="842" t="s">
        <v>1090</v>
      </c>
      <c r="AV2034" s="845" t="s">
        <v>6641</v>
      </c>
      <c r="AW2034" s="861">
        <v>45999</v>
      </c>
      <c r="AX2034" s="862">
        <v>46001</v>
      </c>
      <c r="AY2034" s="843" t="s">
        <v>6658</v>
      </c>
      <c r="AZ2034" s="842">
        <v>94059950</v>
      </c>
      <c r="BA2034" s="842" t="s">
        <v>120</v>
      </c>
      <c r="BB2034" s="863" t="s">
        <v>121</v>
      </c>
      <c r="BC2034" s="864">
        <v>46002</v>
      </c>
      <c r="BD2034" s="860" t="s">
        <v>6643</v>
      </c>
      <c r="BE2034" s="865" cm="1">
        <f t="array" ref="BE2034">IF(BD2034="","",AC2034/SUMPRODUCT(--(BD2034=$BD$4:$BD$12824),$AC$4:$AC$12824))</f>
        <v>0.13283648216715715</v>
      </c>
      <c r="BF2034" s="458"/>
      <c r="BG2034" s="458"/>
      <c r="BH2034" s="458"/>
      <c r="BI2034" s="458"/>
      <c r="BJ2034" s="458"/>
      <c r="BK2034" s="458"/>
      <c r="BL2034" s="458"/>
      <c r="BM2034" s="458"/>
      <c r="BN2034" s="458"/>
      <c r="BO2034" s="866">
        <f>VLOOKUP(BD2034,$BD$4:$BN$12824,3,0)*BE2034</f>
        <v>3508.0786575524535</v>
      </c>
      <c r="BP2034" s="866"/>
      <c r="BQ2034" s="866"/>
      <c r="BR2034" s="866">
        <f>VLOOKUP(BD2034,$BD$4:$BN$12824,6,0)*BE2034</f>
        <v>0</v>
      </c>
      <c r="BS2034" s="866">
        <f>VLOOKUP(BD2034,$BD$4:$BN$12824,7,0)*BE2034</f>
        <v>0</v>
      </c>
      <c r="BT2034" s="866"/>
      <c r="BU2034" s="866">
        <f>VLOOKUP(BD2034,$BD$4:$BN$12824,9,0)*BE2034</f>
        <v>3224.6056046077401</v>
      </c>
      <c r="BV2034" s="867"/>
      <c r="BW2034" s="867">
        <f>VLOOKUP(BD2034,$BD$4:$BN$12824,11,0)*BE2034</f>
        <v>79701.889300294293</v>
      </c>
      <c r="BX2034" s="1146">
        <f t="shared" si="388"/>
        <v>86434.57356245449</v>
      </c>
      <c r="BY2034" s="867">
        <f t="shared" si="390"/>
        <v>302127.5352542802</v>
      </c>
      <c r="BZ2034" s="867">
        <f t="shared" si="389"/>
        <v>22055310.073562454</v>
      </c>
      <c r="CA2034" s="867">
        <f>_xlfn.MAXIFS($BY$4:$BY$12824,$S$4:$S$12824,$S2034)</f>
        <v>302127.5352542802</v>
      </c>
      <c r="CB2034" s="1032"/>
      <c r="CF2034" s="946">
        <f t="shared" si="394"/>
        <v>22666500</v>
      </c>
    </row>
    <row r="2035" spans="2:84">
      <c r="B2035" s="839" t="s">
        <v>98</v>
      </c>
      <c r="C2035" s="839" t="s">
        <v>3454</v>
      </c>
      <c r="D2035" s="839" t="s">
        <v>6632</v>
      </c>
      <c r="E2035" s="839" t="s">
        <v>6632</v>
      </c>
      <c r="F2035" s="841">
        <v>45955</v>
      </c>
      <c r="G2035" s="868" t="s">
        <v>3456</v>
      </c>
      <c r="H2035" s="883" t="s">
        <v>102</v>
      </c>
      <c r="I2035" s="883" t="s">
        <v>6633</v>
      </c>
      <c r="J2035" s="841">
        <v>45955</v>
      </c>
      <c r="K2035" s="841">
        <v>46001</v>
      </c>
      <c r="L2035" s="843" t="s">
        <v>106</v>
      </c>
      <c r="M2035" s="844" t="s">
        <v>5258</v>
      </c>
      <c r="N2035" s="841"/>
      <c r="O2035" s="884" t="s">
        <v>3459</v>
      </c>
      <c r="P2035" s="842" t="s">
        <v>6651</v>
      </c>
      <c r="Q2035" s="843"/>
      <c r="R2035" s="845" t="s">
        <v>6659</v>
      </c>
      <c r="S2035" s="1128" t="s">
        <v>6659</v>
      </c>
      <c r="T2035" s="885" t="s">
        <v>6660</v>
      </c>
      <c r="U2035" s="886">
        <v>53</v>
      </c>
      <c r="V2035" s="842" t="s">
        <v>8</v>
      </c>
      <c r="W2035" s="846">
        <v>14.9</v>
      </c>
      <c r="X2035" s="847">
        <f t="shared" si="392"/>
        <v>789.7</v>
      </c>
      <c r="Y2035" s="853">
        <v>0</v>
      </c>
      <c r="Z2035" s="849">
        <v>14.9</v>
      </c>
      <c r="AA2035" s="849"/>
      <c r="AB2035" s="849">
        <f t="shared" si="384"/>
        <v>789.7</v>
      </c>
      <c r="AC2035" s="850">
        <f t="shared" si="385"/>
        <v>789.7</v>
      </c>
      <c r="AD2035" s="851">
        <f t="shared" si="393"/>
        <v>27000</v>
      </c>
      <c r="AE2035" s="852">
        <v>26169</v>
      </c>
      <c r="AF2035" s="853">
        <v>0</v>
      </c>
      <c r="AG2035" s="854">
        <f t="shared" si="386"/>
        <v>0</v>
      </c>
      <c r="AH2035" s="853">
        <v>0.08</v>
      </c>
      <c r="AI2035" s="855">
        <f t="shared" si="387"/>
        <v>1653252.7440000002</v>
      </c>
      <c r="AJ2035" s="845" t="s">
        <v>6637</v>
      </c>
      <c r="AK2035" s="857">
        <v>45981</v>
      </c>
      <c r="AL2035" s="843" t="s">
        <v>6638</v>
      </c>
      <c r="AM2035" s="843" t="s">
        <v>6639</v>
      </c>
      <c r="AN2035" s="844" t="s">
        <v>3951</v>
      </c>
      <c r="AO2035" s="844" t="s">
        <v>141</v>
      </c>
      <c r="AP2035" s="841"/>
      <c r="AQ2035" s="841">
        <v>45995</v>
      </c>
      <c r="AR2035" s="841">
        <v>45999</v>
      </c>
      <c r="AS2035" s="842" t="s">
        <v>1581</v>
      </c>
      <c r="AT2035" s="842" t="s">
        <v>6640</v>
      </c>
      <c r="AU2035" s="842" t="s">
        <v>1090</v>
      </c>
      <c r="AV2035" s="845" t="s">
        <v>6641</v>
      </c>
      <c r="AW2035" s="861">
        <v>45999</v>
      </c>
      <c r="AX2035" s="862">
        <v>46001</v>
      </c>
      <c r="AY2035" s="843" t="s">
        <v>6661</v>
      </c>
      <c r="AZ2035" s="842">
        <v>94059950</v>
      </c>
      <c r="BA2035" s="842" t="s">
        <v>120</v>
      </c>
      <c r="BB2035" s="863" t="s">
        <v>121</v>
      </c>
      <c r="BC2035" s="864">
        <v>46002</v>
      </c>
      <c r="BD2035" s="860" t="s">
        <v>6643</v>
      </c>
      <c r="BE2035" s="865" cm="1">
        <f t="array" ref="BE2035">IF(BD2035="","",AC2035/SUMPRODUCT(--(BD2035=$BD$4:$BD$12824),$AC$4:$AC$12824))</f>
        <v>0.12495648596474571</v>
      </c>
      <c r="BF2035" s="458"/>
      <c r="BG2035" s="458"/>
      <c r="BH2035" s="458"/>
      <c r="BI2035" s="458"/>
      <c r="BJ2035" s="458"/>
      <c r="BK2035" s="458"/>
      <c r="BL2035" s="458"/>
      <c r="BM2035" s="458"/>
      <c r="BN2035" s="458"/>
      <c r="BO2035" s="866">
        <f>VLOOKUP(BD2035,$BD$4:$BN$12824,3,0)*BE2035</f>
        <v>3299.9758378429692</v>
      </c>
      <c r="BP2035" s="866"/>
      <c r="BQ2035" s="866"/>
      <c r="BR2035" s="866">
        <f>VLOOKUP(BD2035,$BD$4:$BN$12824,6,0)*BE2035</f>
        <v>0</v>
      </c>
      <c r="BS2035" s="866">
        <f>VLOOKUP(BD2035,$BD$4:$BN$12824,7,0)*BE2035</f>
        <v>0</v>
      </c>
      <c r="BT2035" s="866"/>
      <c r="BU2035" s="866">
        <f>VLOOKUP(BD2035,$BD$4:$BN$12824,9,0)*BE2035</f>
        <v>3033.318696794202</v>
      </c>
      <c r="BV2035" s="867"/>
      <c r="BW2035" s="867">
        <f>VLOOKUP(BD2035,$BD$4:$BN$12824,11,0)*BE2035</f>
        <v>74973.891578847426</v>
      </c>
      <c r="BX2035" s="1146">
        <f t="shared" si="388"/>
        <v>81307.186113484597</v>
      </c>
      <c r="BY2035" s="867">
        <f t="shared" si="390"/>
        <v>391452.19785119785</v>
      </c>
      <c r="BZ2035" s="867">
        <f t="shared" si="389"/>
        <v>20746966.486113485</v>
      </c>
      <c r="CA2035" s="867">
        <f>_xlfn.MAXIFS($BY$4:$BY$12824,$S$4:$S$12824,$S2035)</f>
        <v>391452.19785119785</v>
      </c>
      <c r="CB2035" s="1032"/>
      <c r="CF2035" s="946">
        <f t="shared" si="394"/>
        <v>21321900</v>
      </c>
    </row>
    <row r="2036" spans="2:84">
      <c r="B2036" s="839" t="s">
        <v>98</v>
      </c>
      <c r="C2036" s="839" t="s">
        <v>3454</v>
      </c>
      <c r="D2036" s="839" t="s">
        <v>6632</v>
      </c>
      <c r="E2036" s="839" t="s">
        <v>6632</v>
      </c>
      <c r="F2036" s="841">
        <v>45955</v>
      </c>
      <c r="G2036" s="868" t="s">
        <v>3456</v>
      </c>
      <c r="H2036" s="883" t="s">
        <v>102</v>
      </c>
      <c r="I2036" s="883" t="s">
        <v>6633</v>
      </c>
      <c r="J2036" s="841">
        <v>45955</v>
      </c>
      <c r="K2036" s="841">
        <v>46001</v>
      </c>
      <c r="L2036" s="843" t="s">
        <v>106</v>
      </c>
      <c r="M2036" s="844" t="s">
        <v>5258</v>
      </c>
      <c r="N2036" s="841"/>
      <c r="O2036" s="884" t="s">
        <v>3459</v>
      </c>
      <c r="P2036" s="842" t="s">
        <v>6651</v>
      </c>
      <c r="Q2036" s="843"/>
      <c r="R2036" s="845" t="s">
        <v>6662</v>
      </c>
      <c r="S2036" s="1128" t="s">
        <v>6662</v>
      </c>
      <c r="T2036" s="885" t="s">
        <v>6663</v>
      </c>
      <c r="U2036" s="886">
        <v>26</v>
      </c>
      <c r="V2036" s="842" t="s">
        <v>8</v>
      </c>
      <c r="W2036" s="846">
        <v>15.5</v>
      </c>
      <c r="X2036" s="847">
        <f t="shared" si="392"/>
        <v>403</v>
      </c>
      <c r="Y2036" s="853">
        <v>0</v>
      </c>
      <c r="Z2036" s="849">
        <v>15.5</v>
      </c>
      <c r="AA2036" s="849"/>
      <c r="AB2036" s="849">
        <f t="shared" si="384"/>
        <v>403</v>
      </c>
      <c r="AC2036" s="850">
        <f t="shared" si="385"/>
        <v>403</v>
      </c>
      <c r="AD2036" s="851">
        <f t="shared" si="393"/>
        <v>27000</v>
      </c>
      <c r="AE2036" s="852">
        <v>26169</v>
      </c>
      <c r="AF2036" s="853">
        <v>0</v>
      </c>
      <c r="AG2036" s="854">
        <f t="shared" si="386"/>
        <v>0</v>
      </c>
      <c r="AH2036" s="853">
        <v>0.08</v>
      </c>
      <c r="AI2036" s="855">
        <f t="shared" si="387"/>
        <v>843688.56</v>
      </c>
      <c r="AJ2036" s="845" t="s">
        <v>6637</v>
      </c>
      <c r="AK2036" s="857">
        <v>45981</v>
      </c>
      <c r="AL2036" s="843" t="s">
        <v>6638</v>
      </c>
      <c r="AM2036" s="843" t="s">
        <v>6639</v>
      </c>
      <c r="AN2036" s="844" t="s">
        <v>3951</v>
      </c>
      <c r="AO2036" s="844" t="s">
        <v>141</v>
      </c>
      <c r="AP2036" s="841"/>
      <c r="AQ2036" s="841">
        <v>45995</v>
      </c>
      <c r="AR2036" s="841">
        <v>45999</v>
      </c>
      <c r="AS2036" s="842" t="s">
        <v>1581</v>
      </c>
      <c r="AT2036" s="842" t="s">
        <v>6640</v>
      </c>
      <c r="AU2036" s="842" t="s">
        <v>1090</v>
      </c>
      <c r="AV2036" s="845" t="s">
        <v>6641</v>
      </c>
      <c r="AW2036" s="861">
        <v>45999</v>
      </c>
      <c r="AX2036" s="862">
        <v>46001</v>
      </c>
      <c r="AY2036" s="843" t="s">
        <v>6664</v>
      </c>
      <c r="AZ2036" s="842">
        <v>94059950</v>
      </c>
      <c r="BA2036" s="842" t="s">
        <v>120</v>
      </c>
      <c r="BB2036" s="863" t="s">
        <v>121</v>
      </c>
      <c r="BC2036" s="864">
        <v>46002</v>
      </c>
      <c r="BD2036" s="860" t="s">
        <v>6643</v>
      </c>
      <c r="BE2036" s="865" cm="1">
        <f t="array" ref="BE2036">IF(BD2036="","",AC2036/SUMPRODUCT(--(BD2036=$BD$4:$BD$12824),$AC$4:$AC$12824))</f>
        <v>6.3767840754454241E-2</v>
      </c>
      <c r="BF2036" s="458"/>
      <c r="BG2036" s="458"/>
      <c r="BH2036" s="458"/>
      <c r="BI2036" s="458"/>
      <c r="BJ2036" s="458"/>
      <c r="BK2036" s="458"/>
      <c r="BL2036" s="458"/>
      <c r="BM2036" s="458"/>
      <c r="BN2036" s="458"/>
      <c r="BO2036" s="866">
        <f>VLOOKUP(BD2036,$BD$4:$BN$12824,3,0)*BE2036</f>
        <v>1684.044906484382</v>
      </c>
      <c r="BP2036" s="866"/>
      <c r="BQ2036" s="866"/>
      <c r="BR2036" s="866">
        <f>VLOOKUP(BD2036,$BD$4:$BN$12824,6,0)*BE2036</f>
        <v>0</v>
      </c>
      <c r="BS2036" s="866">
        <f>VLOOKUP(BD2036,$BD$4:$BN$12824,7,0)*BE2036</f>
        <v>0</v>
      </c>
      <c r="BT2036" s="866"/>
      <c r="BU2036" s="866">
        <f>VLOOKUP(BD2036,$BD$4:$BN$12824,9,0)*BE2036</f>
        <v>1547.9643343143766</v>
      </c>
      <c r="BV2036" s="867"/>
      <c r="BW2036" s="867">
        <f>VLOOKUP(BD2036,$BD$4:$BN$12824,11,0)*BE2036</f>
        <v>38260.704452672544</v>
      </c>
      <c r="BX2036" s="1146">
        <f t="shared" si="388"/>
        <v>41492.713693471305</v>
      </c>
      <c r="BY2036" s="867">
        <f t="shared" si="390"/>
        <v>407215.37360359507</v>
      </c>
      <c r="BZ2036" s="867">
        <f t="shared" si="389"/>
        <v>10587599.713693472</v>
      </c>
      <c r="CA2036" s="867">
        <f>_xlfn.MAXIFS($BY$4:$BY$12824,$S$4:$S$12824,$S2036)</f>
        <v>407215.37360359507</v>
      </c>
      <c r="CB2036" s="1032"/>
      <c r="CF2036" s="946">
        <f t="shared" si="394"/>
        <v>10881000</v>
      </c>
    </row>
    <row r="2037" spans="2:84">
      <c r="B2037" s="839" t="s">
        <v>98</v>
      </c>
      <c r="C2037" s="839" t="s">
        <v>3454</v>
      </c>
      <c r="D2037" s="839" t="s">
        <v>6632</v>
      </c>
      <c r="E2037" s="839" t="s">
        <v>6632</v>
      </c>
      <c r="F2037" s="841">
        <v>45955</v>
      </c>
      <c r="G2037" s="868" t="s">
        <v>3456</v>
      </c>
      <c r="H2037" s="883" t="s">
        <v>102</v>
      </c>
      <c r="I2037" s="883" t="s">
        <v>6633</v>
      </c>
      <c r="J2037" s="841">
        <v>45955</v>
      </c>
      <c r="K2037" s="841">
        <v>46001</v>
      </c>
      <c r="L2037" s="843" t="s">
        <v>106</v>
      </c>
      <c r="M2037" s="844" t="s">
        <v>5258</v>
      </c>
      <c r="N2037" s="841"/>
      <c r="O2037" s="884" t="s">
        <v>3459</v>
      </c>
      <c r="P2037" s="842" t="s">
        <v>6651</v>
      </c>
      <c r="Q2037" s="843"/>
      <c r="R2037" s="845" t="s">
        <v>6665</v>
      </c>
      <c r="S2037" s="1128" t="s">
        <v>6665</v>
      </c>
      <c r="T2037" s="885" t="s">
        <v>6666</v>
      </c>
      <c r="U2037" s="886">
        <v>11</v>
      </c>
      <c r="V2037" s="842" t="s">
        <v>8</v>
      </c>
      <c r="W2037" s="846">
        <v>8.6999999999999993</v>
      </c>
      <c r="X2037" s="847">
        <f t="shared" si="392"/>
        <v>95.699999999999989</v>
      </c>
      <c r="Y2037" s="853">
        <v>0</v>
      </c>
      <c r="Z2037" s="849">
        <v>8.6999999999999993</v>
      </c>
      <c r="AA2037" s="849"/>
      <c r="AB2037" s="849">
        <f t="shared" si="384"/>
        <v>95.699999999999989</v>
      </c>
      <c r="AC2037" s="850">
        <f t="shared" si="385"/>
        <v>95.699999999999989</v>
      </c>
      <c r="AD2037" s="851">
        <f t="shared" si="393"/>
        <v>27000</v>
      </c>
      <c r="AE2037" s="852">
        <v>26169</v>
      </c>
      <c r="AF2037" s="853">
        <v>0</v>
      </c>
      <c r="AG2037" s="854">
        <f t="shared" si="386"/>
        <v>0</v>
      </c>
      <c r="AH2037" s="853">
        <v>0.08</v>
      </c>
      <c r="AI2037" s="855">
        <f t="shared" si="387"/>
        <v>200349.864</v>
      </c>
      <c r="AJ2037" s="845" t="s">
        <v>6637</v>
      </c>
      <c r="AK2037" s="857">
        <v>45981</v>
      </c>
      <c r="AL2037" s="843" t="s">
        <v>6638</v>
      </c>
      <c r="AM2037" s="843" t="s">
        <v>6639</v>
      </c>
      <c r="AN2037" s="844" t="s">
        <v>3951</v>
      </c>
      <c r="AO2037" s="844" t="s">
        <v>141</v>
      </c>
      <c r="AP2037" s="841"/>
      <c r="AQ2037" s="841">
        <v>45995</v>
      </c>
      <c r="AR2037" s="841">
        <v>45999</v>
      </c>
      <c r="AS2037" s="842" t="s">
        <v>1581</v>
      </c>
      <c r="AT2037" s="842" t="s">
        <v>6640</v>
      </c>
      <c r="AU2037" s="842" t="s">
        <v>1090</v>
      </c>
      <c r="AV2037" s="845" t="s">
        <v>6641</v>
      </c>
      <c r="AW2037" s="861">
        <v>45999</v>
      </c>
      <c r="AX2037" s="862">
        <v>46001</v>
      </c>
      <c r="AY2037" s="843" t="s">
        <v>6667</v>
      </c>
      <c r="AZ2037" s="842">
        <v>94059950</v>
      </c>
      <c r="BA2037" s="842" t="s">
        <v>120</v>
      </c>
      <c r="BB2037" s="863" t="s">
        <v>121</v>
      </c>
      <c r="BC2037" s="864">
        <v>46002</v>
      </c>
      <c r="BD2037" s="860" t="s">
        <v>6643</v>
      </c>
      <c r="BE2037" s="865" cm="1">
        <f t="array" ref="BE2037">IF(BD2037="","",AC2037/SUMPRODUCT(--(BD2037=$BD$4:$BD$12824),$AC$4:$AC$12824))</f>
        <v>1.5142884268489505E-2</v>
      </c>
      <c r="BF2037" s="458"/>
      <c r="BG2037" s="458"/>
      <c r="BH2037" s="458"/>
      <c r="BI2037" s="458"/>
      <c r="BJ2037" s="458"/>
      <c r="BK2037" s="458"/>
      <c r="BL2037" s="458"/>
      <c r="BM2037" s="458"/>
      <c r="BN2037" s="458"/>
      <c r="BO2037" s="866">
        <f>VLOOKUP(BD2037,$BD$4:$BN$12824,3,0)*BE2037</f>
        <v>399.90843064653933</v>
      </c>
      <c r="BP2037" s="866"/>
      <c r="BQ2037" s="866"/>
      <c r="BR2037" s="866">
        <f>VLOOKUP(BD2037,$BD$4:$BN$12824,6,0)*BE2037</f>
        <v>0</v>
      </c>
      <c r="BS2037" s="866">
        <f>VLOOKUP(BD2037,$BD$4:$BN$12824,7,0)*BE2037</f>
        <v>0</v>
      </c>
      <c r="BT2037" s="866"/>
      <c r="BU2037" s="866">
        <f>VLOOKUP(BD2037,$BD$4:$BN$12824,9,0)*BE2037</f>
        <v>367.59351561758274</v>
      </c>
      <c r="BV2037" s="867"/>
      <c r="BW2037" s="867">
        <f>VLOOKUP(BD2037,$BD$4:$BN$12824,11,0)*BE2037</f>
        <v>9085.7305610937037</v>
      </c>
      <c r="BX2037" s="1146">
        <f t="shared" si="388"/>
        <v>9853.2325073578249</v>
      </c>
      <c r="BY2037" s="867">
        <f t="shared" si="390"/>
        <v>228566.04840975979</v>
      </c>
      <c r="BZ2037" s="867">
        <f t="shared" si="389"/>
        <v>2514226.5325073577</v>
      </c>
      <c r="CA2037" s="867">
        <f>_xlfn.MAXIFS($BY$4:$BY$12824,$S$4:$S$12824,$S2037)</f>
        <v>228566.04840975979</v>
      </c>
      <c r="CB2037" s="1032"/>
      <c r="CF2037" s="946">
        <f t="shared" si="394"/>
        <v>2583899.9999999995</v>
      </c>
    </row>
    <row r="2038" spans="2:84">
      <c r="B2038" s="839" t="s">
        <v>98</v>
      </c>
      <c r="C2038" s="839" t="s">
        <v>3454</v>
      </c>
      <c r="D2038" s="839" t="s">
        <v>6632</v>
      </c>
      <c r="E2038" s="839" t="s">
        <v>6632</v>
      </c>
      <c r="F2038" s="841">
        <v>45955</v>
      </c>
      <c r="G2038" s="868" t="s">
        <v>3456</v>
      </c>
      <c r="H2038" s="883" t="s">
        <v>102</v>
      </c>
      <c r="I2038" s="883" t="s">
        <v>6633</v>
      </c>
      <c r="J2038" s="841">
        <v>45955</v>
      </c>
      <c r="K2038" s="841">
        <v>46001</v>
      </c>
      <c r="L2038" s="843" t="s">
        <v>106</v>
      </c>
      <c r="M2038" s="844" t="s">
        <v>5258</v>
      </c>
      <c r="N2038" s="841"/>
      <c r="O2038" s="884" t="s">
        <v>3459</v>
      </c>
      <c r="P2038" s="842" t="s">
        <v>6651</v>
      </c>
      <c r="Q2038" s="843"/>
      <c r="R2038" s="845" t="s">
        <v>6668</v>
      </c>
      <c r="S2038" s="1128" t="s">
        <v>6668</v>
      </c>
      <c r="T2038" s="885" t="s">
        <v>6669</v>
      </c>
      <c r="U2038" s="886">
        <v>13</v>
      </c>
      <c r="V2038" s="842" t="s">
        <v>8</v>
      </c>
      <c r="W2038" s="846">
        <v>15.4</v>
      </c>
      <c r="X2038" s="847">
        <f t="shared" si="392"/>
        <v>200.20000000000002</v>
      </c>
      <c r="Y2038" s="853">
        <v>0</v>
      </c>
      <c r="Z2038" s="849">
        <v>15.4</v>
      </c>
      <c r="AA2038" s="849"/>
      <c r="AB2038" s="849">
        <f t="shared" si="384"/>
        <v>200.20000000000002</v>
      </c>
      <c r="AC2038" s="850">
        <f t="shared" si="385"/>
        <v>200.20000000000002</v>
      </c>
      <c r="AD2038" s="851">
        <f t="shared" si="393"/>
        <v>27000</v>
      </c>
      <c r="AE2038" s="852">
        <v>26169</v>
      </c>
      <c r="AF2038" s="853">
        <v>0</v>
      </c>
      <c r="AG2038" s="854">
        <f t="shared" si="386"/>
        <v>0</v>
      </c>
      <c r="AH2038" s="853">
        <v>0.08</v>
      </c>
      <c r="AI2038" s="855">
        <f t="shared" si="387"/>
        <v>419122.70400000009</v>
      </c>
      <c r="AJ2038" s="845" t="s">
        <v>6637</v>
      </c>
      <c r="AK2038" s="857">
        <v>45981</v>
      </c>
      <c r="AL2038" s="843" t="s">
        <v>6638</v>
      </c>
      <c r="AM2038" s="843" t="s">
        <v>6639</v>
      </c>
      <c r="AN2038" s="844" t="s">
        <v>3951</v>
      </c>
      <c r="AO2038" s="844" t="s">
        <v>141</v>
      </c>
      <c r="AP2038" s="841"/>
      <c r="AQ2038" s="841">
        <v>45995</v>
      </c>
      <c r="AR2038" s="841">
        <v>45999</v>
      </c>
      <c r="AS2038" s="842" t="s">
        <v>1581</v>
      </c>
      <c r="AT2038" s="842" t="s">
        <v>6640</v>
      </c>
      <c r="AU2038" s="842" t="s">
        <v>1090</v>
      </c>
      <c r="AV2038" s="845" t="s">
        <v>6641</v>
      </c>
      <c r="AW2038" s="861">
        <v>45999</v>
      </c>
      <c r="AX2038" s="862">
        <v>46001</v>
      </c>
      <c r="AY2038" s="843" t="s">
        <v>6670</v>
      </c>
      <c r="AZ2038" s="842">
        <v>94059950</v>
      </c>
      <c r="BA2038" s="842" t="s">
        <v>120</v>
      </c>
      <c r="BB2038" s="863" t="s">
        <v>121</v>
      </c>
      <c r="BC2038" s="864">
        <v>46002</v>
      </c>
      <c r="BD2038" s="860" t="s">
        <v>6643</v>
      </c>
      <c r="BE2038" s="865" cm="1">
        <f t="array" ref="BE2038">IF(BD2038="","",AC2038/SUMPRODUCT(--(BD2038=$BD$4:$BD$12824),$AC$4:$AC$12824))</f>
        <v>3.1678217665115985E-2</v>
      </c>
      <c r="BF2038" s="458"/>
      <c r="BG2038" s="458"/>
      <c r="BH2038" s="458"/>
      <c r="BI2038" s="458"/>
      <c r="BJ2038" s="458"/>
      <c r="BK2038" s="458"/>
      <c r="BL2038" s="458"/>
      <c r="BM2038" s="458"/>
      <c r="BN2038" s="458"/>
      <c r="BO2038" s="866">
        <f>VLOOKUP(BD2038,$BD$4:$BN$12824,3,0)*BE2038</f>
        <v>836.59005031804804</v>
      </c>
      <c r="BP2038" s="866"/>
      <c r="BQ2038" s="866"/>
      <c r="BR2038" s="866">
        <f>VLOOKUP(BD2038,$BD$4:$BN$12824,6,0)*BE2038</f>
        <v>0</v>
      </c>
      <c r="BS2038" s="866">
        <f>VLOOKUP(BD2038,$BD$4:$BN$12824,7,0)*BE2038</f>
        <v>0</v>
      </c>
      <c r="BT2038" s="866"/>
      <c r="BU2038" s="866">
        <f>VLOOKUP(BD2038,$BD$4:$BN$12824,9,0)*BE2038</f>
        <v>768.98873382069053</v>
      </c>
      <c r="BV2038" s="867"/>
      <c r="BW2038" s="867">
        <f>VLOOKUP(BD2038,$BD$4:$BN$12824,11,0)*BE2038</f>
        <v>19006.93059906959</v>
      </c>
      <c r="BX2038" s="1146">
        <f t="shared" si="388"/>
        <v>20612.509383208329</v>
      </c>
      <c r="BY2038" s="867">
        <f t="shared" si="390"/>
        <v>404588.17764486221</v>
      </c>
      <c r="BZ2038" s="867">
        <f t="shared" si="389"/>
        <v>5259646.3093832089</v>
      </c>
      <c r="CA2038" s="867">
        <f>_xlfn.MAXIFS($BY$4:$BY$12824,$S$4:$S$12824,$S2038)</f>
        <v>404588.17764486221</v>
      </c>
      <c r="CB2038" s="1032"/>
      <c r="CF2038" s="946">
        <f t="shared" si="394"/>
        <v>5405400</v>
      </c>
    </row>
    <row r="2039" spans="2:84">
      <c r="B2039" s="839" t="s">
        <v>98</v>
      </c>
      <c r="C2039" s="839" t="s">
        <v>3454</v>
      </c>
      <c r="D2039" s="839" t="s">
        <v>6632</v>
      </c>
      <c r="E2039" s="839" t="s">
        <v>6632</v>
      </c>
      <c r="F2039" s="841">
        <v>45955</v>
      </c>
      <c r="G2039" s="868" t="s">
        <v>3456</v>
      </c>
      <c r="H2039" s="883" t="s">
        <v>102</v>
      </c>
      <c r="I2039" s="883" t="s">
        <v>6633</v>
      </c>
      <c r="J2039" s="841">
        <v>45955</v>
      </c>
      <c r="K2039" s="841">
        <v>46001</v>
      </c>
      <c r="L2039" s="843" t="s">
        <v>106</v>
      </c>
      <c r="M2039" s="844" t="s">
        <v>5258</v>
      </c>
      <c r="N2039" s="841"/>
      <c r="O2039" s="884" t="s">
        <v>3459</v>
      </c>
      <c r="P2039" s="842" t="s">
        <v>6651</v>
      </c>
      <c r="Q2039" s="843"/>
      <c r="R2039" s="845" t="s">
        <v>6671</v>
      </c>
      <c r="S2039" s="1128" t="s">
        <v>6671</v>
      </c>
      <c r="T2039" s="885" t="s">
        <v>6672</v>
      </c>
      <c r="U2039" s="886">
        <v>5</v>
      </c>
      <c r="V2039" s="842" t="s">
        <v>8</v>
      </c>
      <c r="W2039" s="846">
        <v>10.5</v>
      </c>
      <c r="X2039" s="847">
        <f t="shared" si="392"/>
        <v>52.5</v>
      </c>
      <c r="Y2039" s="853">
        <v>0</v>
      </c>
      <c r="Z2039" s="849">
        <v>10.5</v>
      </c>
      <c r="AA2039" s="849"/>
      <c r="AB2039" s="849">
        <f t="shared" si="384"/>
        <v>52.5</v>
      </c>
      <c r="AC2039" s="850">
        <f t="shared" si="385"/>
        <v>52.5</v>
      </c>
      <c r="AD2039" s="851">
        <f t="shared" si="393"/>
        <v>27000</v>
      </c>
      <c r="AE2039" s="852">
        <v>26169</v>
      </c>
      <c r="AF2039" s="853">
        <v>0</v>
      </c>
      <c r="AG2039" s="854">
        <f t="shared" si="386"/>
        <v>0</v>
      </c>
      <c r="AH2039" s="853">
        <v>0.08</v>
      </c>
      <c r="AI2039" s="855">
        <f t="shared" si="387"/>
        <v>109909.8</v>
      </c>
      <c r="AJ2039" s="845" t="s">
        <v>6637</v>
      </c>
      <c r="AK2039" s="857">
        <v>45981</v>
      </c>
      <c r="AL2039" s="843" t="s">
        <v>6638</v>
      </c>
      <c r="AM2039" s="843" t="s">
        <v>6639</v>
      </c>
      <c r="AN2039" s="844" t="s">
        <v>3951</v>
      </c>
      <c r="AO2039" s="844" t="s">
        <v>141</v>
      </c>
      <c r="AP2039" s="841"/>
      <c r="AQ2039" s="841">
        <v>45995</v>
      </c>
      <c r="AR2039" s="841">
        <v>45999</v>
      </c>
      <c r="AS2039" s="842" t="s">
        <v>1581</v>
      </c>
      <c r="AT2039" s="842" t="s">
        <v>6640</v>
      </c>
      <c r="AU2039" s="842" t="s">
        <v>1090</v>
      </c>
      <c r="AV2039" s="845" t="s">
        <v>6641</v>
      </c>
      <c r="AW2039" s="861">
        <v>45999</v>
      </c>
      <c r="AX2039" s="862">
        <v>46001</v>
      </c>
      <c r="AY2039" s="843" t="s">
        <v>6673</v>
      </c>
      <c r="AZ2039" s="842">
        <v>94059950</v>
      </c>
      <c r="BA2039" s="842" t="s">
        <v>120</v>
      </c>
      <c r="BB2039" s="863" t="s">
        <v>121</v>
      </c>
      <c r="BC2039" s="864">
        <v>46002</v>
      </c>
      <c r="BD2039" s="860" t="s">
        <v>6643</v>
      </c>
      <c r="BE2039" s="865" cm="1">
        <f t="array" ref="BE2039">IF(BD2039="","",AC2039/SUMPRODUCT(--(BD2039=$BD$4:$BD$12824),$AC$4:$AC$12824))</f>
        <v>8.3072249121807634E-3</v>
      </c>
      <c r="BF2039" s="458"/>
      <c r="BG2039" s="458"/>
      <c r="BH2039" s="458"/>
      <c r="BI2039" s="458"/>
      <c r="BJ2039" s="458"/>
      <c r="BK2039" s="458"/>
      <c r="BL2039" s="458"/>
      <c r="BM2039" s="458"/>
      <c r="BN2039" s="458"/>
      <c r="BO2039" s="866">
        <f>VLOOKUP(BD2039,$BD$4:$BN$12824,3,0)*BE2039</f>
        <v>219.38550270578179</v>
      </c>
      <c r="BP2039" s="866"/>
      <c r="BQ2039" s="866"/>
      <c r="BR2039" s="866">
        <f>VLOOKUP(BD2039,$BD$4:$BN$12824,6,0)*BE2039</f>
        <v>0</v>
      </c>
      <c r="BS2039" s="866">
        <f>VLOOKUP(BD2039,$BD$4:$BN$12824,7,0)*BE2039</f>
        <v>0</v>
      </c>
      <c r="BT2039" s="866"/>
      <c r="BU2039" s="866">
        <f>VLOOKUP(BD2039,$BD$4:$BN$12824,9,0)*BE2039</f>
        <v>201.65788474318802</v>
      </c>
      <c r="BV2039" s="867"/>
      <c r="BW2039" s="867">
        <f>VLOOKUP(BD2039,$BD$4:$BN$12824,11,0)*BE2039</f>
        <v>4984.3349473084581</v>
      </c>
      <c r="BX2039" s="1146">
        <f t="shared" si="388"/>
        <v>5405.3783347574281</v>
      </c>
      <c r="BY2039" s="867">
        <f t="shared" si="390"/>
        <v>275855.57566695148</v>
      </c>
      <c r="BZ2039" s="867">
        <f t="shared" si="389"/>
        <v>1379277.8783347574</v>
      </c>
      <c r="CA2039" s="867">
        <f>_xlfn.MAXIFS($BY$4:$BY$12824,$S$4:$S$12824,$S2039)</f>
        <v>275855.57566695148</v>
      </c>
      <c r="CB2039" s="1032"/>
      <c r="CF2039" s="946">
        <f t="shared" si="394"/>
        <v>1417500</v>
      </c>
    </row>
    <row r="2040" spans="2:84">
      <c r="B2040" s="839" t="s">
        <v>98</v>
      </c>
      <c r="C2040" s="839" t="s">
        <v>3454</v>
      </c>
      <c r="D2040" s="839" t="s">
        <v>6632</v>
      </c>
      <c r="E2040" s="839" t="s">
        <v>6632</v>
      </c>
      <c r="F2040" s="841">
        <v>45955</v>
      </c>
      <c r="G2040" s="868" t="s">
        <v>3456</v>
      </c>
      <c r="H2040" s="883" t="s">
        <v>102</v>
      </c>
      <c r="I2040" s="883" t="s">
        <v>6633</v>
      </c>
      <c r="J2040" s="841">
        <v>45955</v>
      </c>
      <c r="K2040" s="841">
        <v>46001</v>
      </c>
      <c r="L2040" s="843" t="s">
        <v>106</v>
      </c>
      <c r="M2040" s="844" t="s">
        <v>5258</v>
      </c>
      <c r="N2040" s="841"/>
      <c r="O2040" s="884" t="s">
        <v>3459</v>
      </c>
      <c r="P2040" s="842" t="s">
        <v>6655</v>
      </c>
      <c r="Q2040" s="843"/>
      <c r="R2040" s="845" t="s">
        <v>6674</v>
      </c>
      <c r="S2040" s="1128" t="s">
        <v>6674</v>
      </c>
      <c r="T2040" s="885" t="s">
        <v>6675</v>
      </c>
      <c r="U2040" s="886">
        <v>9</v>
      </c>
      <c r="V2040" s="842" t="s">
        <v>8</v>
      </c>
      <c r="W2040" s="846">
        <v>17.100000000000001</v>
      </c>
      <c r="X2040" s="847">
        <f t="shared" si="392"/>
        <v>153.9</v>
      </c>
      <c r="Y2040" s="853">
        <v>0</v>
      </c>
      <c r="Z2040" s="849">
        <v>17.100000000000001</v>
      </c>
      <c r="AA2040" s="849"/>
      <c r="AB2040" s="849">
        <f t="shared" si="384"/>
        <v>153.9</v>
      </c>
      <c r="AC2040" s="850">
        <f t="shared" si="385"/>
        <v>153.9</v>
      </c>
      <c r="AD2040" s="851">
        <f t="shared" si="393"/>
        <v>27000</v>
      </c>
      <c r="AE2040" s="852">
        <v>26169</v>
      </c>
      <c r="AF2040" s="853">
        <v>0</v>
      </c>
      <c r="AG2040" s="854">
        <f t="shared" si="386"/>
        <v>0</v>
      </c>
      <c r="AH2040" s="853">
        <v>0.08</v>
      </c>
      <c r="AI2040" s="855">
        <f t="shared" si="387"/>
        <v>322192.728</v>
      </c>
      <c r="AJ2040" s="845" t="s">
        <v>6637</v>
      </c>
      <c r="AK2040" s="857">
        <v>45981</v>
      </c>
      <c r="AL2040" s="843" t="s">
        <v>6638</v>
      </c>
      <c r="AM2040" s="843" t="s">
        <v>6639</v>
      </c>
      <c r="AN2040" s="844" t="s">
        <v>3951</v>
      </c>
      <c r="AO2040" s="844" t="s">
        <v>141</v>
      </c>
      <c r="AP2040" s="841"/>
      <c r="AQ2040" s="841">
        <v>45995</v>
      </c>
      <c r="AR2040" s="841">
        <v>45999</v>
      </c>
      <c r="AS2040" s="842" t="s">
        <v>1581</v>
      </c>
      <c r="AT2040" s="842" t="s">
        <v>6640</v>
      </c>
      <c r="AU2040" s="842" t="s">
        <v>1090</v>
      </c>
      <c r="AV2040" s="845" t="s">
        <v>6641</v>
      </c>
      <c r="AW2040" s="861">
        <v>45999</v>
      </c>
      <c r="AX2040" s="862">
        <v>46001</v>
      </c>
      <c r="AY2040" s="843" t="s">
        <v>6676</v>
      </c>
      <c r="AZ2040" s="842">
        <v>94059950</v>
      </c>
      <c r="BA2040" s="842" t="s">
        <v>120</v>
      </c>
      <c r="BB2040" s="863" t="s">
        <v>121</v>
      </c>
      <c r="BC2040" s="864">
        <v>46002</v>
      </c>
      <c r="BD2040" s="860" t="s">
        <v>6643</v>
      </c>
      <c r="BE2040" s="865" cm="1">
        <f t="array" ref="BE2040">IF(BD2040="","",AC2040/SUMPRODUCT(--(BD2040=$BD$4:$BD$12824),$AC$4:$AC$12824))</f>
        <v>2.4352036456849899E-2</v>
      </c>
      <c r="BF2040" s="458"/>
      <c r="BG2040" s="458"/>
      <c r="BH2040" s="458"/>
      <c r="BI2040" s="458"/>
      <c r="BJ2040" s="458"/>
      <c r="BK2040" s="458"/>
      <c r="BL2040" s="458"/>
      <c r="BM2040" s="458"/>
      <c r="BN2040" s="458"/>
      <c r="BO2040" s="866">
        <f>VLOOKUP(BD2040,$BD$4:$BN$12824,3,0)*BE2040</f>
        <v>643.11293078894903</v>
      </c>
      <c r="BP2040" s="866"/>
      <c r="BQ2040" s="866"/>
      <c r="BR2040" s="866">
        <f>VLOOKUP(BD2040,$BD$4:$BN$12824,6,0)*BE2040</f>
        <v>0</v>
      </c>
      <c r="BS2040" s="866">
        <f>VLOOKUP(BD2040,$BD$4:$BN$12824,7,0)*BE2040</f>
        <v>0</v>
      </c>
      <c r="BT2040" s="866"/>
      <c r="BU2040" s="866">
        <f>VLOOKUP(BD2040,$BD$4:$BN$12824,9,0)*BE2040</f>
        <v>591.14568499003133</v>
      </c>
      <c r="BV2040" s="867"/>
      <c r="BW2040" s="867">
        <f>VLOOKUP(BD2040,$BD$4:$BN$12824,11,0)*BE2040</f>
        <v>14611.221874109939</v>
      </c>
      <c r="BX2040" s="1146">
        <f t="shared" si="388"/>
        <v>15845.48048988892</v>
      </c>
      <c r="BY2040" s="867">
        <f t="shared" si="390"/>
        <v>449250.50894332095</v>
      </c>
      <c r="BZ2040" s="867">
        <f t="shared" si="389"/>
        <v>4043254.5804898888</v>
      </c>
      <c r="CA2040" s="867">
        <f>_xlfn.MAXIFS($BY$4:$BY$12824,$S$4:$S$12824,$S2040)</f>
        <v>449250.50894332095</v>
      </c>
      <c r="CB2040" s="1032"/>
      <c r="CF2040" s="946">
        <f t="shared" si="394"/>
        <v>4155300</v>
      </c>
    </row>
    <row r="2041" spans="2:84">
      <c r="B2041" s="839" t="s">
        <v>98</v>
      </c>
      <c r="C2041" s="839" t="s">
        <v>3454</v>
      </c>
      <c r="D2041" s="839" t="s">
        <v>6632</v>
      </c>
      <c r="E2041" s="839" t="s">
        <v>6632</v>
      </c>
      <c r="F2041" s="841">
        <v>45955</v>
      </c>
      <c r="G2041" s="868" t="s">
        <v>3456</v>
      </c>
      <c r="H2041" s="883" t="s">
        <v>102</v>
      </c>
      <c r="I2041" s="883" t="s">
        <v>6633</v>
      </c>
      <c r="J2041" s="841">
        <v>45955</v>
      </c>
      <c r="K2041" s="841">
        <v>46001</v>
      </c>
      <c r="L2041" s="843" t="s">
        <v>106</v>
      </c>
      <c r="M2041" s="844" t="s">
        <v>5258</v>
      </c>
      <c r="N2041" s="841"/>
      <c r="O2041" s="884" t="s">
        <v>3459</v>
      </c>
      <c r="P2041" s="842" t="s">
        <v>6655</v>
      </c>
      <c r="Q2041" s="843"/>
      <c r="R2041" s="845" t="s">
        <v>6677</v>
      </c>
      <c r="S2041" s="1128" t="s">
        <v>6677</v>
      </c>
      <c r="T2041" s="885" t="s">
        <v>6678</v>
      </c>
      <c r="U2041" s="886">
        <v>8</v>
      </c>
      <c r="V2041" s="842" t="s">
        <v>8</v>
      </c>
      <c r="W2041" s="846">
        <v>17.100000000000001</v>
      </c>
      <c r="X2041" s="847">
        <f t="shared" si="392"/>
        <v>136.80000000000001</v>
      </c>
      <c r="Y2041" s="853">
        <v>0</v>
      </c>
      <c r="Z2041" s="849">
        <v>17.100000000000001</v>
      </c>
      <c r="AA2041" s="849"/>
      <c r="AB2041" s="849">
        <f t="shared" si="384"/>
        <v>136.80000000000001</v>
      </c>
      <c r="AC2041" s="850">
        <f t="shared" si="385"/>
        <v>136.80000000000001</v>
      </c>
      <c r="AD2041" s="851">
        <f t="shared" si="393"/>
        <v>27000</v>
      </c>
      <c r="AE2041" s="852">
        <v>26169</v>
      </c>
      <c r="AF2041" s="853">
        <v>0</v>
      </c>
      <c r="AG2041" s="854">
        <f t="shared" si="386"/>
        <v>0</v>
      </c>
      <c r="AH2041" s="853">
        <v>0.08</v>
      </c>
      <c r="AI2041" s="855">
        <f t="shared" si="387"/>
        <v>286393.53600000002</v>
      </c>
      <c r="AJ2041" s="845" t="s">
        <v>6637</v>
      </c>
      <c r="AK2041" s="857">
        <v>45981</v>
      </c>
      <c r="AL2041" s="843" t="s">
        <v>6638</v>
      </c>
      <c r="AM2041" s="843" t="s">
        <v>6639</v>
      </c>
      <c r="AN2041" s="844" t="s">
        <v>3951</v>
      </c>
      <c r="AO2041" s="844" t="s">
        <v>141</v>
      </c>
      <c r="AP2041" s="841"/>
      <c r="AQ2041" s="841">
        <v>45995</v>
      </c>
      <c r="AR2041" s="841">
        <v>45999</v>
      </c>
      <c r="AS2041" s="842" t="s">
        <v>1581</v>
      </c>
      <c r="AT2041" s="842" t="s">
        <v>6640</v>
      </c>
      <c r="AU2041" s="842" t="s">
        <v>1090</v>
      </c>
      <c r="AV2041" s="845" t="s">
        <v>6641</v>
      </c>
      <c r="AW2041" s="861">
        <v>45999</v>
      </c>
      <c r="AX2041" s="862">
        <v>46001</v>
      </c>
      <c r="AY2041" s="843" t="s">
        <v>6679</v>
      </c>
      <c r="AZ2041" s="842">
        <v>94059950</v>
      </c>
      <c r="BA2041" s="842" t="s">
        <v>120</v>
      </c>
      <c r="BB2041" s="863" t="s">
        <v>121</v>
      </c>
      <c r="BC2041" s="864">
        <v>46002</v>
      </c>
      <c r="BD2041" s="860" t="s">
        <v>6643</v>
      </c>
      <c r="BE2041" s="865" cm="1">
        <f t="array" ref="BE2041">IF(BD2041="","",AC2041/SUMPRODUCT(--(BD2041=$BD$4:$BD$12824),$AC$4:$AC$12824))</f>
        <v>2.1646254628311021E-2</v>
      </c>
      <c r="BF2041" s="458"/>
      <c r="BG2041" s="458"/>
      <c r="BH2041" s="458"/>
      <c r="BI2041" s="458"/>
      <c r="BJ2041" s="458"/>
      <c r="BK2041" s="458"/>
      <c r="BL2041" s="458"/>
      <c r="BM2041" s="458"/>
      <c r="BN2041" s="458"/>
      <c r="BO2041" s="866">
        <f>VLOOKUP(BD2041,$BD$4:$BN$12824,3,0)*BE2041</f>
        <v>571.65593847906575</v>
      </c>
      <c r="BP2041" s="866"/>
      <c r="BQ2041" s="866"/>
      <c r="BR2041" s="866">
        <f>VLOOKUP(BD2041,$BD$4:$BN$12824,6,0)*BE2041</f>
        <v>0</v>
      </c>
      <c r="BS2041" s="866">
        <f>VLOOKUP(BD2041,$BD$4:$BN$12824,7,0)*BE2041</f>
        <v>0</v>
      </c>
      <c r="BT2041" s="866"/>
      <c r="BU2041" s="866">
        <f>VLOOKUP(BD2041,$BD$4:$BN$12824,9,0)*BE2041</f>
        <v>525.46283110224999</v>
      </c>
      <c r="BV2041" s="867"/>
      <c r="BW2041" s="867">
        <f>VLOOKUP(BD2041,$BD$4:$BN$12824,11,0)*BE2041</f>
        <v>12987.752776986614</v>
      </c>
      <c r="BX2041" s="1146">
        <f t="shared" si="388"/>
        <v>14084.871546567929</v>
      </c>
      <c r="BY2041" s="867">
        <f t="shared" si="390"/>
        <v>449250.50894332101</v>
      </c>
      <c r="BZ2041" s="867">
        <f t="shared" si="389"/>
        <v>3594004.0715465681</v>
      </c>
      <c r="CA2041" s="867">
        <f>_xlfn.MAXIFS($BY$4:$BY$12824,$S$4:$S$12824,$S2041)</f>
        <v>449250.50894332101</v>
      </c>
      <c r="CB2041" s="1032"/>
      <c r="CF2041" s="946">
        <f t="shared" si="394"/>
        <v>3693600.0000000005</v>
      </c>
    </row>
    <row r="2042" spans="2:84">
      <c r="B2042" s="839" t="s">
        <v>98</v>
      </c>
      <c r="C2042" s="839" t="s">
        <v>3454</v>
      </c>
      <c r="D2042" s="839" t="s">
        <v>6632</v>
      </c>
      <c r="E2042" s="839" t="s">
        <v>6632</v>
      </c>
      <c r="F2042" s="841">
        <v>45955</v>
      </c>
      <c r="G2042" s="868" t="s">
        <v>3456</v>
      </c>
      <c r="H2042" s="883" t="s">
        <v>102</v>
      </c>
      <c r="I2042" s="883" t="s">
        <v>6633</v>
      </c>
      <c r="J2042" s="841">
        <v>45955</v>
      </c>
      <c r="K2042" s="841">
        <v>46001</v>
      </c>
      <c r="L2042" s="843" t="s">
        <v>106</v>
      </c>
      <c r="M2042" s="844" t="s">
        <v>5258</v>
      </c>
      <c r="N2042" s="841"/>
      <c r="O2042" s="884" t="s">
        <v>3459</v>
      </c>
      <c r="P2042" s="842" t="s">
        <v>6655</v>
      </c>
      <c r="Q2042" s="843"/>
      <c r="R2042" s="845" t="s">
        <v>6680</v>
      </c>
      <c r="S2042" s="1128" t="s">
        <v>6680</v>
      </c>
      <c r="T2042" s="885" t="s">
        <v>6681</v>
      </c>
      <c r="U2042" s="886">
        <v>10</v>
      </c>
      <c r="V2042" s="842" t="s">
        <v>8</v>
      </c>
      <c r="W2042" s="846">
        <v>8.6999999999999993</v>
      </c>
      <c r="X2042" s="847">
        <f t="shared" si="392"/>
        <v>87</v>
      </c>
      <c r="Y2042" s="853">
        <v>0</v>
      </c>
      <c r="Z2042" s="849">
        <v>8.6999999999999993</v>
      </c>
      <c r="AA2042" s="849"/>
      <c r="AB2042" s="849">
        <f t="shared" si="384"/>
        <v>87</v>
      </c>
      <c r="AC2042" s="850">
        <f t="shared" si="385"/>
        <v>87</v>
      </c>
      <c r="AD2042" s="851">
        <f t="shared" si="393"/>
        <v>27000</v>
      </c>
      <c r="AE2042" s="852">
        <v>26169</v>
      </c>
      <c r="AF2042" s="853">
        <v>0</v>
      </c>
      <c r="AG2042" s="854">
        <f t="shared" si="386"/>
        <v>0</v>
      </c>
      <c r="AH2042" s="853">
        <v>0.08</v>
      </c>
      <c r="AI2042" s="855">
        <f t="shared" si="387"/>
        <v>182136.24</v>
      </c>
      <c r="AJ2042" s="845" t="s">
        <v>6637</v>
      </c>
      <c r="AK2042" s="857">
        <v>45981</v>
      </c>
      <c r="AL2042" s="843" t="s">
        <v>6638</v>
      </c>
      <c r="AM2042" s="843" t="s">
        <v>6639</v>
      </c>
      <c r="AN2042" s="844" t="s">
        <v>3951</v>
      </c>
      <c r="AO2042" s="844" t="s">
        <v>141</v>
      </c>
      <c r="AP2042" s="841"/>
      <c r="AQ2042" s="841">
        <v>45995</v>
      </c>
      <c r="AR2042" s="841">
        <v>45999</v>
      </c>
      <c r="AS2042" s="842" t="s">
        <v>1581</v>
      </c>
      <c r="AT2042" s="842" t="s">
        <v>6640</v>
      </c>
      <c r="AU2042" s="842" t="s">
        <v>1090</v>
      </c>
      <c r="AV2042" s="845" t="s">
        <v>6641</v>
      </c>
      <c r="AW2042" s="861">
        <v>45999</v>
      </c>
      <c r="AX2042" s="862">
        <v>46001</v>
      </c>
      <c r="AY2042" s="843" t="s">
        <v>6682</v>
      </c>
      <c r="AZ2042" s="842">
        <v>94059950</v>
      </c>
      <c r="BA2042" s="842" t="s">
        <v>120</v>
      </c>
      <c r="BB2042" s="863" t="s">
        <v>121</v>
      </c>
      <c r="BC2042" s="864">
        <v>46002</v>
      </c>
      <c r="BD2042" s="860" t="s">
        <v>6643</v>
      </c>
      <c r="BE2042" s="865" cm="1">
        <f t="array" ref="BE2042">IF(BD2042="","",AC2042/SUMPRODUCT(--(BD2042=$BD$4:$BD$12824),$AC$4:$AC$12824))</f>
        <v>1.3766258425899552E-2</v>
      </c>
      <c r="BF2042" s="458"/>
      <c r="BG2042" s="458"/>
      <c r="BH2042" s="458"/>
      <c r="BI2042" s="458"/>
      <c r="BJ2042" s="458"/>
      <c r="BK2042" s="458"/>
      <c r="BL2042" s="458"/>
      <c r="BM2042" s="458"/>
      <c r="BN2042" s="458"/>
      <c r="BO2042" s="866">
        <f>VLOOKUP(BD2042,$BD$4:$BN$12824,3,0)*BE2042</f>
        <v>363.55311876958126</v>
      </c>
      <c r="BP2042" s="866"/>
      <c r="BQ2042" s="866"/>
      <c r="BR2042" s="866">
        <f>VLOOKUP(BD2042,$BD$4:$BN$12824,6,0)*BE2042</f>
        <v>0</v>
      </c>
      <c r="BS2042" s="866">
        <f>VLOOKUP(BD2042,$BD$4:$BN$12824,7,0)*BE2042</f>
        <v>0</v>
      </c>
      <c r="BT2042" s="866"/>
      <c r="BU2042" s="866">
        <f>VLOOKUP(BD2042,$BD$4:$BN$12824,9,0)*BE2042</f>
        <v>334.1759232887116</v>
      </c>
      <c r="BV2042" s="867"/>
      <c r="BW2042" s="867">
        <f>VLOOKUP(BD2042,$BD$4:$BN$12824,11,0)*BE2042</f>
        <v>8259.7550555397302</v>
      </c>
      <c r="BX2042" s="1146">
        <f t="shared" si="388"/>
        <v>8957.4840975980223</v>
      </c>
      <c r="BY2042" s="867">
        <f t="shared" si="390"/>
        <v>228566.04840975982</v>
      </c>
      <c r="BZ2042" s="867">
        <f t="shared" si="389"/>
        <v>2285660.4840975981</v>
      </c>
      <c r="CA2042" s="867">
        <f>_xlfn.MAXIFS($BY$4:$BY$12824,$S$4:$S$12824,$S2042)</f>
        <v>228566.04840975982</v>
      </c>
      <c r="CB2042" s="1032"/>
      <c r="CF2042" s="946">
        <f t="shared" si="394"/>
        <v>2349000</v>
      </c>
    </row>
    <row r="2043" spans="2:84">
      <c r="B2043" s="839" t="s">
        <v>98</v>
      </c>
      <c r="C2043" s="839" t="s">
        <v>3454</v>
      </c>
      <c r="D2043" s="839" t="s">
        <v>6632</v>
      </c>
      <c r="E2043" s="839" t="s">
        <v>6632</v>
      </c>
      <c r="F2043" s="841">
        <v>45955</v>
      </c>
      <c r="G2043" s="868" t="s">
        <v>3456</v>
      </c>
      <c r="H2043" s="883" t="s">
        <v>102</v>
      </c>
      <c r="I2043" s="883" t="s">
        <v>6633</v>
      </c>
      <c r="J2043" s="841">
        <v>45955</v>
      </c>
      <c r="K2043" s="841">
        <v>46001</v>
      </c>
      <c r="L2043" s="843" t="s">
        <v>106</v>
      </c>
      <c r="M2043" s="844" t="s">
        <v>5258</v>
      </c>
      <c r="N2043" s="841"/>
      <c r="O2043" s="884" t="s">
        <v>3459</v>
      </c>
      <c r="P2043" s="842" t="s">
        <v>6651</v>
      </c>
      <c r="Q2043" s="843"/>
      <c r="R2043" s="845" t="s">
        <v>6683</v>
      </c>
      <c r="S2043" s="1128" t="s">
        <v>6683</v>
      </c>
      <c r="T2043" s="885" t="s">
        <v>6684</v>
      </c>
      <c r="U2043" s="886">
        <v>6</v>
      </c>
      <c r="V2043" s="842" t="s">
        <v>8</v>
      </c>
      <c r="W2043" s="846">
        <v>7.5</v>
      </c>
      <c r="X2043" s="847">
        <f t="shared" si="392"/>
        <v>45</v>
      </c>
      <c r="Y2043" s="853">
        <v>0</v>
      </c>
      <c r="Z2043" s="849">
        <v>7.5</v>
      </c>
      <c r="AA2043" s="849"/>
      <c r="AB2043" s="849">
        <f t="shared" si="384"/>
        <v>45</v>
      </c>
      <c r="AC2043" s="850">
        <f t="shared" si="385"/>
        <v>45</v>
      </c>
      <c r="AD2043" s="851">
        <f t="shared" si="393"/>
        <v>27000</v>
      </c>
      <c r="AE2043" s="852">
        <v>26169</v>
      </c>
      <c r="AF2043" s="853">
        <v>0</v>
      </c>
      <c r="AG2043" s="854">
        <f t="shared" si="386"/>
        <v>0</v>
      </c>
      <c r="AH2043" s="853">
        <v>0.08</v>
      </c>
      <c r="AI2043" s="855">
        <f t="shared" si="387"/>
        <v>94208.400000000009</v>
      </c>
      <c r="AJ2043" s="845" t="s">
        <v>6637</v>
      </c>
      <c r="AK2043" s="857">
        <v>45981</v>
      </c>
      <c r="AL2043" s="843" t="s">
        <v>6638</v>
      </c>
      <c r="AM2043" s="843" t="s">
        <v>6639</v>
      </c>
      <c r="AN2043" s="844" t="s">
        <v>3951</v>
      </c>
      <c r="AO2043" s="844" t="s">
        <v>141</v>
      </c>
      <c r="AP2043" s="841"/>
      <c r="AQ2043" s="841">
        <v>45995</v>
      </c>
      <c r="AR2043" s="841">
        <v>45999</v>
      </c>
      <c r="AS2043" s="842" t="s">
        <v>1581</v>
      </c>
      <c r="AT2043" s="842" t="s">
        <v>6640</v>
      </c>
      <c r="AU2043" s="842" t="s">
        <v>1090</v>
      </c>
      <c r="AV2043" s="845" t="s">
        <v>6641</v>
      </c>
      <c r="AW2043" s="861">
        <v>45999</v>
      </c>
      <c r="AX2043" s="862">
        <v>46001</v>
      </c>
      <c r="AY2043" s="843" t="s">
        <v>6685</v>
      </c>
      <c r="AZ2043" s="842">
        <v>94059950</v>
      </c>
      <c r="BA2043" s="842" t="s">
        <v>120</v>
      </c>
      <c r="BB2043" s="863" t="s">
        <v>121</v>
      </c>
      <c r="BC2043" s="864">
        <v>46002</v>
      </c>
      <c r="BD2043" s="860" t="s">
        <v>6643</v>
      </c>
      <c r="BE2043" s="865" cm="1">
        <f t="array" ref="BE2043">IF(BD2043="","",AC2043/SUMPRODUCT(--(BD2043=$BD$4:$BD$12824),$AC$4:$AC$12824))</f>
        <v>7.1204784961549404E-3</v>
      </c>
      <c r="BF2043" s="458"/>
      <c r="BG2043" s="458"/>
      <c r="BH2043" s="458"/>
      <c r="BI2043" s="458"/>
      <c r="BJ2043" s="458"/>
      <c r="BK2043" s="458"/>
      <c r="BL2043" s="458"/>
      <c r="BM2043" s="458"/>
      <c r="BN2043" s="458"/>
      <c r="BO2043" s="866">
        <f>VLOOKUP(BD2043,$BD$4:$BN$12824,3,0)*BE2043</f>
        <v>188.04471660495582</v>
      </c>
      <c r="BP2043" s="866"/>
      <c r="BQ2043" s="866"/>
      <c r="BR2043" s="866">
        <f>VLOOKUP(BD2043,$BD$4:$BN$12824,6,0)*BE2043</f>
        <v>0</v>
      </c>
      <c r="BS2043" s="866">
        <f>VLOOKUP(BD2043,$BD$4:$BN$12824,7,0)*BE2043</f>
        <v>0</v>
      </c>
      <c r="BT2043" s="866"/>
      <c r="BU2043" s="866">
        <f>VLOOKUP(BD2043,$BD$4:$BN$12824,9,0)*BE2043</f>
        <v>172.84961549416118</v>
      </c>
      <c r="BV2043" s="867"/>
      <c r="BW2043" s="867">
        <f>VLOOKUP(BD2043,$BD$4:$BN$12824,11,0)*BE2043</f>
        <v>4272.2870976929644</v>
      </c>
      <c r="BX2043" s="1146">
        <f t="shared" si="388"/>
        <v>4633.181429792081</v>
      </c>
      <c r="BY2043" s="867">
        <f t="shared" si="390"/>
        <v>197039.69690496536</v>
      </c>
      <c r="BZ2043" s="867">
        <f t="shared" si="389"/>
        <v>1182238.1814297922</v>
      </c>
      <c r="CA2043" s="867">
        <f>_xlfn.MAXIFS($BY$4:$BY$12824,$S$4:$S$12824,$S2043)</f>
        <v>197039.69690496536</v>
      </c>
      <c r="CB2043" s="1032"/>
      <c r="CF2043" s="946">
        <f t="shared" si="394"/>
        <v>1215000</v>
      </c>
    </row>
    <row r="2044" spans="2:84">
      <c r="B2044" s="839" t="s">
        <v>98</v>
      </c>
      <c r="C2044" s="839" t="s">
        <v>3454</v>
      </c>
      <c r="D2044" s="839" t="s">
        <v>6632</v>
      </c>
      <c r="E2044" s="839" t="s">
        <v>6632</v>
      </c>
      <c r="F2044" s="841">
        <v>45955</v>
      </c>
      <c r="G2044" s="868" t="s">
        <v>3456</v>
      </c>
      <c r="H2044" s="883" t="s">
        <v>102</v>
      </c>
      <c r="I2044" s="883" t="s">
        <v>6633</v>
      </c>
      <c r="J2044" s="841">
        <v>45955</v>
      </c>
      <c r="K2044" s="841">
        <v>46001</v>
      </c>
      <c r="L2044" s="843" t="s">
        <v>106</v>
      </c>
      <c r="M2044" s="844" t="s">
        <v>5258</v>
      </c>
      <c r="N2044" s="841"/>
      <c r="O2044" s="884" t="s">
        <v>3459</v>
      </c>
      <c r="P2044" s="842" t="s">
        <v>6686</v>
      </c>
      <c r="Q2044" s="843"/>
      <c r="R2044" s="845" t="s">
        <v>6687</v>
      </c>
      <c r="S2044" s="1127" t="s">
        <v>6687</v>
      </c>
      <c r="T2044" s="885" t="s">
        <v>6688</v>
      </c>
      <c r="U2044" s="886">
        <v>37</v>
      </c>
      <c r="V2044" s="842" t="s">
        <v>8</v>
      </c>
      <c r="W2044" s="846">
        <v>17.5</v>
      </c>
      <c r="X2044" s="847">
        <f t="shared" si="392"/>
        <v>647.5</v>
      </c>
      <c r="Y2044" s="853">
        <v>0</v>
      </c>
      <c r="Z2044" s="849">
        <v>17.5</v>
      </c>
      <c r="AA2044" s="849"/>
      <c r="AB2044" s="849">
        <f t="shared" si="384"/>
        <v>647.5</v>
      </c>
      <c r="AC2044" s="850">
        <f t="shared" si="385"/>
        <v>647.5</v>
      </c>
      <c r="AD2044" s="851">
        <f t="shared" si="393"/>
        <v>27000</v>
      </c>
      <c r="AE2044" s="852">
        <v>26169</v>
      </c>
      <c r="AF2044" s="853">
        <v>0</v>
      </c>
      <c r="AG2044" s="854">
        <f t="shared" si="386"/>
        <v>0</v>
      </c>
      <c r="AH2044" s="853">
        <v>0.08</v>
      </c>
      <c r="AI2044" s="855">
        <f t="shared" si="387"/>
        <v>1355554.2</v>
      </c>
      <c r="AJ2044" s="845" t="s">
        <v>6637</v>
      </c>
      <c r="AK2044" s="857">
        <v>45981</v>
      </c>
      <c r="AL2044" s="843" t="s">
        <v>6638</v>
      </c>
      <c r="AM2044" s="843" t="s">
        <v>6639</v>
      </c>
      <c r="AN2044" s="844" t="s">
        <v>3951</v>
      </c>
      <c r="AO2044" s="844" t="s">
        <v>141</v>
      </c>
      <c r="AP2044" s="841"/>
      <c r="AQ2044" s="841">
        <v>45995</v>
      </c>
      <c r="AR2044" s="841">
        <v>45999</v>
      </c>
      <c r="AS2044" s="842" t="s">
        <v>1581</v>
      </c>
      <c r="AT2044" s="842" t="s">
        <v>6640</v>
      </c>
      <c r="AU2044" s="842" t="s">
        <v>1090</v>
      </c>
      <c r="AV2044" s="845" t="s">
        <v>6641</v>
      </c>
      <c r="AW2044" s="861">
        <v>45999</v>
      </c>
      <c r="AX2044" s="862">
        <v>46001</v>
      </c>
      <c r="AY2044" s="843" t="s">
        <v>6689</v>
      </c>
      <c r="AZ2044" s="842">
        <v>94059950</v>
      </c>
      <c r="BA2044" s="842" t="s">
        <v>120</v>
      </c>
      <c r="BB2044" s="863" t="s">
        <v>121</v>
      </c>
      <c r="BC2044" s="864">
        <v>46002</v>
      </c>
      <c r="BD2044" s="860" t="s">
        <v>6643</v>
      </c>
      <c r="BE2044" s="865" cm="1">
        <f t="array" ref="BE2044">IF(BD2044="","",AC2044/SUMPRODUCT(--(BD2044=$BD$4:$BD$12824),$AC$4:$AC$12824))</f>
        <v>0.10245577391689609</v>
      </c>
      <c r="BF2044" s="458"/>
      <c r="BG2044" s="458"/>
      <c r="BH2044" s="458"/>
      <c r="BI2044" s="458"/>
      <c r="BJ2044" s="458"/>
      <c r="BK2044" s="458"/>
      <c r="BL2044" s="458"/>
      <c r="BM2044" s="458"/>
      <c r="BN2044" s="458"/>
      <c r="BO2044" s="866">
        <f>VLOOKUP(BD2044,$BD$4:$BN$12824,3,0)*BE2044</f>
        <v>2705.7545333713088</v>
      </c>
      <c r="BP2044" s="866"/>
      <c r="BQ2044" s="866"/>
      <c r="BR2044" s="866">
        <f>VLOOKUP(BD2044,$BD$4:$BN$12824,6,0)*BE2044</f>
        <v>0</v>
      </c>
      <c r="BS2044" s="866">
        <f>VLOOKUP(BD2044,$BD$4:$BN$12824,7,0)*BE2044</f>
        <v>0</v>
      </c>
      <c r="BT2044" s="866"/>
      <c r="BU2044" s="866">
        <f>VLOOKUP(BD2044,$BD$4:$BN$12824,9,0)*BE2044</f>
        <v>2487.1139118326523</v>
      </c>
      <c r="BV2044" s="867"/>
      <c r="BW2044" s="867">
        <f>VLOOKUP(BD2044,$BD$4:$BN$12824,11,0)*BE2044</f>
        <v>61473.464350137649</v>
      </c>
      <c r="BX2044" s="1146">
        <f t="shared" si="388"/>
        <v>66666.332795341616</v>
      </c>
      <c r="BY2044" s="867">
        <f t="shared" si="390"/>
        <v>459759.29277825245</v>
      </c>
      <c r="BZ2044" s="867">
        <f t="shared" si="389"/>
        <v>17011093.832795341</v>
      </c>
      <c r="CA2044" s="867">
        <f>_xlfn.MAXIFS($BY$4:$BY$12824,$S$4:$S$12824,$S2044)</f>
        <v>459759.29277825245</v>
      </c>
      <c r="CB2044" s="1032"/>
      <c r="CF2044" s="946">
        <f t="shared" si="394"/>
        <v>17482500</v>
      </c>
    </row>
    <row r="2045" spans="2:84">
      <c r="B2045" s="839" t="s">
        <v>98</v>
      </c>
      <c r="C2045" s="839" t="s">
        <v>3454</v>
      </c>
      <c r="D2045" s="839" t="s">
        <v>6632</v>
      </c>
      <c r="E2045" s="839" t="s">
        <v>6632</v>
      </c>
      <c r="F2045" s="841">
        <v>45955</v>
      </c>
      <c r="G2045" s="868" t="s">
        <v>3456</v>
      </c>
      <c r="H2045" s="883" t="s">
        <v>102</v>
      </c>
      <c r="I2045" s="883" t="s">
        <v>6633</v>
      </c>
      <c r="J2045" s="841">
        <v>45955</v>
      </c>
      <c r="K2045" s="841">
        <v>46001</v>
      </c>
      <c r="L2045" s="843" t="s">
        <v>106</v>
      </c>
      <c r="M2045" s="844" t="s">
        <v>5258</v>
      </c>
      <c r="N2045" s="841"/>
      <c r="O2045" s="884" t="s">
        <v>3459</v>
      </c>
      <c r="P2045" s="842" t="s">
        <v>6655</v>
      </c>
      <c r="Q2045" s="843"/>
      <c r="R2045" s="845" t="s">
        <v>6690</v>
      </c>
      <c r="S2045" s="1127" t="s">
        <v>6690</v>
      </c>
      <c r="T2045" s="885" t="s">
        <v>6691</v>
      </c>
      <c r="U2045" s="886">
        <v>8</v>
      </c>
      <c r="V2045" s="842" t="s">
        <v>8</v>
      </c>
      <c r="W2045" s="846">
        <v>12.1</v>
      </c>
      <c r="X2045" s="847">
        <f t="shared" si="392"/>
        <v>96.8</v>
      </c>
      <c r="Y2045" s="853">
        <v>0</v>
      </c>
      <c r="Z2045" s="849">
        <v>12.1</v>
      </c>
      <c r="AA2045" s="849"/>
      <c r="AB2045" s="849">
        <f t="shared" si="384"/>
        <v>96.8</v>
      </c>
      <c r="AC2045" s="850">
        <f t="shared" si="385"/>
        <v>96.8</v>
      </c>
      <c r="AD2045" s="851">
        <f t="shared" si="393"/>
        <v>27000</v>
      </c>
      <c r="AE2045" s="852">
        <v>26169</v>
      </c>
      <c r="AF2045" s="853">
        <v>0</v>
      </c>
      <c r="AG2045" s="854">
        <f t="shared" si="386"/>
        <v>0</v>
      </c>
      <c r="AH2045" s="853">
        <v>0.08</v>
      </c>
      <c r="AI2045" s="855">
        <f t="shared" si="387"/>
        <v>202652.73599999998</v>
      </c>
      <c r="AJ2045" s="845" t="s">
        <v>6637</v>
      </c>
      <c r="AK2045" s="857">
        <v>45981</v>
      </c>
      <c r="AL2045" s="843" t="s">
        <v>6638</v>
      </c>
      <c r="AM2045" s="843" t="s">
        <v>6639</v>
      </c>
      <c r="AN2045" s="844" t="s">
        <v>3951</v>
      </c>
      <c r="AO2045" s="844" t="s">
        <v>141</v>
      </c>
      <c r="AP2045" s="841"/>
      <c r="AQ2045" s="841">
        <v>45995</v>
      </c>
      <c r="AR2045" s="841">
        <v>45999</v>
      </c>
      <c r="AS2045" s="842" t="s">
        <v>1581</v>
      </c>
      <c r="AT2045" s="842" t="s">
        <v>6640</v>
      </c>
      <c r="AU2045" s="842" t="s">
        <v>1090</v>
      </c>
      <c r="AV2045" s="845" t="s">
        <v>6641</v>
      </c>
      <c r="AW2045" s="861">
        <v>45999</v>
      </c>
      <c r="AX2045" s="862">
        <v>46001</v>
      </c>
      <c r="AY2045" s="843" t="s">
        <v>6692</v>
      </c>
      <c r="AZ2045" s="842">
        <v>94059950</v>
      </c>
      <c r="BA2045" s="842" t="s">
        <v>120</v>
      </c>
      <c r="BB2045" s="863" t="s">
        <v>121</v>
      </c>
      <c r="BC2045" s="864">
        <v>46002</v>
      </c>
      <c r="BD2045" s="860" t="s">
        <v>6643</v>
      </c>
      <c r="BE2045" s="865" cm="1">
        <f t="array" ref="BE2045">IF(BD2045="","",AC2045/SUMPRODUCT(--(BD2045=$BD$4:$BD$12824),$AC$4:$AC$12824))</f>
        <v>1.5316940409506628E-2</v>
      </c>
      <c r="BF2045" s="458"/>
      <c r="BG2045" s="458"/>
      <c r="BH2045" s="458"/>
      <c r="BI2045" s="458"/>
      <c r="BJ2045" s="458"/>
      <c r="BK2045" s="458"/>
      <c r="BL2045" s="458"/>
      <c r="BM2045" s="458"/>
      <c r="BN2045" s="458"/>
      <c r="BO2045" s="866">
        <f>VLOOKUP(BD2045,$BD$4:$BN$12824,3,0)*BE2045</f>
        <v>404.50507927466055</v>
      </c>
      <c r="BP2045" s="866"/>
      <c r="BQ2045" s="866"/>
      <c r="BR2045" s="866">
        <f>VLOOKUP(BD2045,$BD$4:$BN$12824,6,0)*BE2045</f>
        <v>0</v>
      </c>
      <c r="BS2045" s="866">
        <f>VLOOKUP(BD2045,$BD$4:$BN$12824,7,0)*BE2045</f>
        <v>0</v>
      </c>
      <c r="BT2045" s="866"/>
      <c r="BU2045" s="866">
        <f>VLOOKUP(BD2045,$BD$4:$BN$12824,9,0)*BE2045</f>
        <v>371.81872844077338</v>
      </c>
      <c r="BV2045" s="867"/>
      <c r="BW2045" s="867">
        <f>VLOOKUP(BD2045,$BD$4:$BN$12824,11,0)*BE2045</f>
        <v>9190.1642457039761</v>
      </c>
      <c r="BX2045" s="1146">
        <f t="shared" si="388"/>
        <v>9966.4880534194108</v>
      </c>
      <c r="BY2045" s="867">
        <f t="shared" si="390"/>
        <v>317890.71100667742</v>
      </c>
      <c r="BZ2045" s="867">
        <f t="shared" si="389"/>
        <v>2543125.6880534193</v>
      </c>
      <c r="CA2045" s="867">
        <f>_xlfn.MAXIFS($BY$4:$BY$12824,$S$4:$S$12824,$S2045)</f>
        <v>317890.71100667742</v>
      </c>
      <c r="CB2045" s="1032"/>
      <c r="CF2045" s="946">
        <f t="shared" si="394"/>
        <v>2613600</v>
      </c>
    </row>
    <row r="2046" spans="2:84">
      <c r="B2046" s="839" t="s">
        <v>98</v>
      </c>
      <c r="C2046" s="839" t="s">
        <v>3454</v>
      </c>
      <c r="D2046" s="839" t="s">
        <v>6632</v>
      </c>
      <c r="E2046" s="839" t="s">
        <v>6632</v>
      </c>
      <c r="F2046" s="841">
        <v>45955</v>
      </c>
      <c r="G2046" s="868" t="s">
        <v>3456</v>
      </c>
      <c r="H2046" s="883" t="s">
        <v>102</v>
      </c>
      <c r="I2046" s="883" t="s">
        <v>6633</v>
      </c>
      <c r="J2046" s="841">
        <v>45955</v>
      </c>
      <c r="K2046" s="841">
        <v>46001</v>
      </c>
      <c r="L2046" s="843" t="s">
        <v>106</v>
      </c>
      <c r="M2046" s="844" t="s">
        <v>5258</v>
      </c>
      <c r="N2046" s="841"/>
      <c r="O2046" s="884" t="s">
        <v>3459</v>
      </c>
      <c r="P2046" s="842" t="s">
        <v>6655</v>
      </c>
      <c r="Q2046" s="843"/>
      <c r="R2046" s="845" t="s">
        <v>6693</v>
      </c>
      <c r="S2046" s="1127" t="s">
        <v>6693</v>
      </c>
      <c r="T2046" s="885" t="s">
        <v>6694</v>
      </c>
      <c r="U2046" s="886">
        <v>7</v>
      </c>
      <c r="V2046" s="842" t="s">
        <v>8</v>
      </c>
      <c r="W2046" s="846">
        <v>12.1</v>
      </c>
      <c r="X2046" s="847">
        <f t="shared" si="392"/>
        <v>84.7</v>
      </c>
      <c r="Y2046" s="853">
        <v>0</v>
      </c>
      <c r="Z2046" s="849">
        <v>12.1</v>
      </c>
      <c r="AA2046" s="849"/>
      <c r="AB2046" s="849">
        <f t="shared" si="384"/>
        <v>84.7</v>
      </c>
      <c r="AC2046" s="850">
        <f t="shared" si="385"/>
        <v>84.7</v>
      </c>
      <c r="AD2046" s="851">
        <f t="shared" si="393"/>
        <v>27000</v>
      </c>
      <c r="AE2046" s="852">
        <v>26169</v>
      </c>
      <c r="AF2046" s="853">
        <v>0</v>
      </c>
      <c r="AG2046" s="854">
        <f t="shared" si="386"/>
        <v>0</v>
      </c>
      <c r="AH2046" s="853">
        <v>0.08</v>
      </c>
      <c r="AI2046" s="855">
        <f t="shared" si="387"/>
        <v>177321.14400000003</v>
      </c>
      <c r="AJ2046" s="845" t="s">
        <v>6637</v>
      </c>
      <c r="AK2046" s="857">
        <v>45981</v>
      </c>
      <c r="AL2046" s="843" t="s">
        <v>6638</v>
      </c>
      <c r="AM2046" s="843" t="s">
        <v>6639</v>
      </c>
      <c r="AN2046" s="844" t="s">
        <v>3951</v>
      </c>
      <c r="AO2046" s="844" t="s">
        <v>141</v>
      </c>
      <c r="AP2046" s="841"/>
      <c r="AQ2046" s="841">
        <v>45995</v>
      </c>
      <c r="AR2046" s="841">
        <v>45999</v>
      </c>
      <c r="AS2046" s="842" t="s">
        <v>1581</v>
      </c>
      <c r="AT2046" s="842" t="s">
        <v>6640</v>
      </c>
      <c r="AU2046" s="842" t="s">
        <v>1090</v>
      </c>
      <c r="AV2046" s="845" t="s">
        <v>6641</v>
      </c>
      <c r="AW2046" s="861">
        <v>45999</v>
      </c>
      <c r="AX2046" s="862">
        <v>46001</v>
      </c>
      <c r="AY2046" s="843" t="s">
        <v>6695</v>
      </c>
      <c r="AZ2046" s="842">
        <v>94059950</v>
      </c>
      <c r="BA2046" s="842" t="s">
        <v>120</v>
      </c>
      <c r="BB2046" s="863" t="s">
        <v>121</v>
      </c>
      <c r="BC2046" s="864">
        <v>46002</v>
      </c>
      <c r="BD2046" s="860" t="s">
        <v>6643</v>
      </c>
      <c r="BE2046" s="865" cm="1">
        <f t="array" ref="BE2046">IF(BD2046="","",AC2046/SUMPRODUCT(--(BD2046=$BD$4:$BD$12824),$AC$4:$AC$12824))</f>
        <v>1.34023228583183E-2</v>
      </c>
      <c r="BF2046" s="458"/>
      <c r="BG2046" s="458"/>
      <c r="BH2046" s="458"/>
      <c r="BI2046" s="458"/>
      <c r="BJ2046" s="458"/>
      <c r="BK2046" s="458"/>
      <c r="BL2046" s="458"/>
      <c r="BM2046" s="458"/>
      <c r="BN2046" s="458"/>
      <c r="BO2046" s="866">
        <f>VLOOKUP(BD2046,$BD$4:$BN$12824,3,0)*BE2046</f>
        <v>353.94194436532797</v>
      </c>
      <c r="BP2046" s="866"/>
      <c r="BQ2046" s="866"/>
      <c r="BR2046" s="866">
        <f>VLOOKUP(BD2046,$BD$4:$BN$12824,6,0)*BE2046</f>
        <v>0</v>
      </c>
      <c r="BS2046" s="866">
        <f>VLOOKUP(BD2046,$BD$4:$BN$12824,7,0)*BE2046</f>
        <v>0</v>
      </c>
      <c r="BT2046" s="866"/>
      <c r="BU2046" s="866">
        <f>VLOOKUP(BD2046,$BD$4:$BN$12824,9,0)*BE2046</f>
        <v>325.34138738567674</v>
      </c>
      <c r="BV2046" s="867"/>
      <c r="BW2046" s="867">
        <f>VLOOKUP(BD2046,$BD$4:$BN$12824,11,0)*BE2046</f>
        <v>8041.3937149909798</v>
      </c>
      <c r="BX2046" s="1146">
        <f t="shared" si="388"/>
        <v>8720.6770467419847</v>
      </c>
      <c r="BY2046" s="867">
        <f t="shared" si="390"/>
        <v>317890.71100667742</v>
      </c>
      <c r="BZ2046" s="867">
        <f t="shared" si="389"/>
        <v>2225234.9770467421</v>
      </c>
      <c r="CA2046" s="867">
        <f>_xlfn.MAXIFS($BY$4:$BY$12824,$S$4:$S$12824,$S2046)</f>
        <v>317890.71100667742</v>
      </c>
      <c r="CB2046" s="1032"/>
      <c r="CF2046" s="946">
        <f t="shared" si="394"/>
        <v>2286900</v>
      </c>
    </row>
    <row r="2047" spans="2:84">
      <c r="B2047" s="839" t="s">
        <v>98</v>
      </c>
      <c r="C2047" s="839" t="s">
        <v>3454</v>
      </c>
      <c r="D2047" s="839" t="s">
        <v>6632</v>
      </c>
      <c r="E2047" s="839" t="s">
        <v>6632</v>
      </c>
      <c r="F2047" s="841">
        <v>45955</v>
      </c>
      <c r="G2047" s="868" t="s">
        <v>3456</v>
      </c>
      <c r="H2047" s="883" t="s">
        <v>102</v>
      </c>
      <c r="I2047" s="883" t="s">
        <v>6633</v>
      </c>
      <c r="J2047" s="841">
        <v>45955</v>
      </c>
      <c r="K2047" s="841">
        <v>46001</v>
      </c>
      <c r="L2047" s="843" t="s">
        <v>106</v>
      </c>
      <c r="M2047" s="844" t="s">
        <v>5258</v>
      </c>
      <c r="N2047" s="841"/>
      <c r="O2047" s="884" t="s">
        <v>3459</v>
      </c>
      <c r="P2047" s="842" t="s">
        <v>6696</v>
      </c>
      <c r="Q2047" s="843"/>
      <c r="R2047" s="845" t="s">
        <v>6697</v>
      </c>
      <c r="S2047" s="1127" t="s">
        <v>6697</v>
      </c>
      <c r="T2047" s="885" t="s">
        <v>6698</v>
      </c>
      <c r="U2047" s="886">
        <v>14</v>
      </c>
      <c r="V2047" s="842" t="s">
        <v>8</v>
      </c>
      <c r="W2047" s="846">
        <v>9.1999999999999993</v>
      </c>
      <c r="X2047" s="847">
        <f t="shared" si="392"/>
        <v>128.79999999999998</v>
      </c>
      <c r="Y2047" s="853">
        <v>0</v>
      </c>
      <c r="Z2047" s="849">
        <v>9.1999999999999993</v>
      </c>
      <c r="AA2047" s="849"/>
      <c r="AB2047" s="849">
        <f t="shared" si="384"/>
        <v>128.79999999999998</v>
      </c>
      <c r="AC2047" s="850">
        <f t="shared" si="385"/>
        <v>128.79999999999998</v>
      </c>
      <c r="AD2047" s="851">
        <f t="shared" si="393"/>
        <v>27000</v>
      </c>
      <c r="AE2047" s="852">
        <v>26169</v>
      </c>
      <c r="AF2047" s="853">
        <v>0</v>
      </c>
      <c r="AG2047" s="854">
        <f t="shared" si="386"/>
        <v>0</v>
      </c>
      <c r="AH2047" s="853">
        <v>0.08</v>
      </c>
      <c r="AI2047" s="855">
        <f t="shared" si="387"/>
        <v>269645.37599999999</v>
      </c>
      <c r="AJ2047" s="845" t="s">
        <v>6637</v>
      </c>
      <c r="AK2047" s="857">
        <v>45981</v>
      </c>
      <c r="AL2047" s="843" t="s">
        <v>6638</v>
      </c>
      <c r="AM2047" s="843" t="s">
        <v>6639</v>
      </c>
      <c r="AN2047" s="844" t="s">
        <v>3951</v>
      </c>
      <c r="AO2047" s="844" t="s">
        <v>141</v>
      </c>
      <c r="AP2047" s="841"/>
      <c r="AQ2047" s="841">
        <v>45995</v>
      </c>
      <c r="AR2047" s="841">
        <v>45999</v>
      </c>
      <c r="AS2047" s="842" t="s">
        <v>1581</v>
      </c>
      <c r="AT2047" s="842" t="s">
        <v>6640</v>
      </c>
      <c r="AU2047" s="842" t="s">
        <v>1090</v>
      </c>
      <c r="AV2047" s="845" t="s">
        <v>6641</v>
      </c>
      <c r="AW2047" s="861">
        <v>45999</v>
      </c>
      <c r="AX2047" s="862">
        <v>46001</v>
      </c>
      <c r="AY2047" s="843" t="s">
        <v>6699</v>
      </c>
      <c r="AZ2047" s="842">
        <v>94059950</v>
      </c>
      <c r="BA2047" s="842" t="s">
        <v>120</v>
      </c>
      <c r="BB2047" s="863" t="s">
        <v>121</v>
      </c>
      <c r="BC2047" s="864">
        <v>46002</v>
      </c>
      <c r="BD2047" s="860" t="s">
        <v>6643</v>
      </c>
      <c r="BE2047" s="865" cm="1">
        <f t="array" ref="BE2047">IF(BD2047="","",AC2047/SUMPRODUCT(--(BD2047=$BD$4:$BD$12824),$AC$4:$AC$12824))</f>
        <v>2.0380391784550138E-2</v>
      </c>
      <c r="BF2047" s="458"/>
      <c r="BG2047" s="458"/>
      <c r="BH2047" s="458"/>
      <c r="BI2047" s="458"/>
      <c r="BJ2047" s="458"/>
      <c r="BK2047" s="458"/>
      <c r="BL2047" s="458"/>
      <c r="BM2047" s="458"/>
      <c r="BN2047" s="458"/>
      <c r="BO2047" s="866">
        <f>VLOOKUP(BD2047,$BD$4:$BN$12824,3,0)*BE2047</f>
        <v>538.22576663818461</v>
      </c>
      <c r="BP2047" s="866"/>
      <c r="BQ2047" s="866"/>
      <c r="BR2047" s="866">
        <f>VLOOKUP(BD2047,$BD$4:$BN$12824,6,0)*BE2047</f>
        <v>0</v>
      </c>
      <c r="BS2047" s="866">
        <f>VLOOKUP(BD2047,$BD$4:$BN$12824,7,0)*BE2047</f>
        <v>0</v>
      </c>
      <c r="BT2047" s="866"/>
      <c r="BU2047" s="866">
        <f>VLOOKUP(BD2047,$BD$4:$BN$12824,9,0)*BE2047</f>
        <v>494.73401056995459</v>
      </c>
      <c r="BV2047" s="867"/>
      <c r="BW2047" s="867">
        <f>VLOOKUP(BD2047,$BD$4:$BN$12824,11,0)*BE2047</f>
        <v>12228.235070730083</v>
      </c>
      <c r="BX2047" s="1146">
        <f t="shared" si="388"/>
        <v>13261.194847938223</v>
      </c>
      <c r="BY2047" s="867">
        <f t="shared" si="390"/>
        <v>241702.02820342412</v>
      </c>
      <c r="BZ2047" s="867">
        <f t="shared" si="389"/>
        <v>3383828.3948479379</v>
      </c>
      <c r="CA2047" s="867">
        <f>_xlfn.MAXIFS($BY$4:$BY$12824,$S$4:$S$12824,$S2047)</f>
        <v>241702.02820342412</v>
      </c>
      <c r="CB2047" s="1032"/>
      <c r="CF2047" s="946">
        <f t="shared" si="394"/>
        <v>3477599.9999999995</v>
      </c>
    </row>
    <row r="2048" spans="2:84">
      <c r="B2048" s="839" t="s">
        <v>98</v>
      </c>
      <c r="C2048" s="839" t="s">
        <v>3454</v>
      </c>
      <c r="D2048" s="839" t="s">
        <v>6632</v>
      </c>
      <c r="E2048" s="839" t="s">
        <v>6632</v>
      </c>
      <c r="F2048" s="841">
        <v>45955</v>
      </c>
      <c r="G2048" s="868" t="s">
        <v>3456</v>
      </c>
      <c r="H2048" s="883" t="s">
        <v>102</v>
      </c>
      <c r="I2048" s="883" t="s">
        <v>6633</v>
      </c>
      <c r="J2048" s="841">
        <v>45955</v>
      </c>
      <c r="K2048" s="841">
        <v>46001</v>
      </c>
      <c r="L2048" s="843" t="s">
        <v>106</v>
      </c>
      <c r="M2048" s="844" t="s">
        <v>5258</v>
      </c>
      <c r="N2048" s="841"/>
      <c r="O2048" s="884" t="s">
        <v>3459</v>
      </c>
      <c r="P2048" s="842" t="s">
        <v>1100</v>
      </c>
      <c r="Q2048" s="843"/>
      <c r="R2048" s="845" t="s">
        <v>6700</v>
      </c>
      <c r="S2048" s="1127" t="s">
        <v>6700</v>
      </c>
      <c r="T2048" s="885" t="s">
        <v>6701</v>
      </c>
      <c r="U2048" s="886">
        <v>4</v>
      </c>
      <c r="V2048" s="842" t="s">
        <v>8</v>
      </c>
      <c r="W2048" s="846">
        <v>2.8</v>
      </c>
      <c r="X2048" s="847">
        <f t="shared" si="392"/>
        <v>11.2</v>
      </c>
      <c r="Y2048" s="853">
        <v>0</v>
      </c>
      <c r="Z2048" s="849">
        <v>2.8</v>
      </c>
      <c r="AA2048" s="849"/>
      <c r="AB2048" s="849">
        <f t="shared" si="384"/>
        <v>11.2</v>
      </c>
      <c r="AC2048" s="850">
        <f t="shared" si="385"/>
        <v>11.2</v>
      </c>
      <c r="AD2048" s="851">
        <f t="shared" si="393"/>
        <v>27000</v>
      </c>
      <c r="AE2048" s="852">
        <v>26169</v>
      </c>
      <c r="AF2048" s="853">
        <v>0</v>
      </c>
      <c r="AG2048" s="854">
        <f t="shared" si="386"/>
        <v>0</v>
      </c>
      <c r="AH2048" s="853">
        <v>0.08</v>
      </c>
      <c r="AI2048" s="855">
        <f t="shared" si="387"/>
        <v>23447.423999999999</v>
      </c>
      <c r="AJ2048" s="845" t="s">
        <v>6637</v>
      </c>
      <c r="AK2048" s="857">
        <v>45981</v>
      </c>
      <c r="AL2048" s="843" t="s">
        <v>6638</v>
      </c>
      <c r="AM2048" s="843" t="s">
        <v>6639</v>
      </c>
      <c r="AN2048" s="844" t="s">
        <v>3951</v>
      </c>
      <c r="AO2048" s="844" t="s">
        <v>141</v>
      </c>
      <c r="AP2048" s="841"/>
      <c r="AQ2048" s="841">
        <v>45995</v>
      </c>
      <c r="AR2048" s="841">
        <v>45999</v>
      </c>
      <c r="AS2048" s="842" t="s">
        <v>1581</v>
      </c>
      <c r="AT2048" s="842" t="s">
        <v>6640</v>
      </c>
      <c r="AU2048" s="842" t="s">
        <v>1090</v>
      </c>
      <c r="AV2048" s="845" t="s">
        <v>6641</v>
      </c>
      <c r="AW2048" s="861">
        <v>45999</v>
      </c>
      <c r="AX2048" s="862">
        <v>46001</v>
      </c>
      <c r="AY2048" s="843" t="s">
        <v>6702</v>
      </c>
      <c r="AZ2048" s="842">
        <v>94059950</v>
      </c>
      <c r="BA2048" s="842" t="s">
        <v>120</v>
      </c>
      <c r="BB2048" s="863" t="s">
        <v>121</v>
      </c>
      <c r="BC2048" s="864">
        <v>46002</v>
      </c>
      <c r="BD2048" s="860" t="s">
        <v>6643</v>
      </c>
      <c r="BE2048" s="865" cm="1">
        <f t="array" ref="BE2048">IF(BD2048="","",AC2048/SUMPRODUCT(--(BD2048=$BD$4:$BD$12824),$AC$4:$AC$12824))</f>
        <v>1.7722079812652295E-3</v>
      </c>
      <c r="BF2048" s="458"/>
      <c r="BG2048" s="458"/>
      <c r="BH2048" s="458"/>
      <c r="BI2048" s="458"/>
      <c r="BJ2048" s="458"/>
      <c r="BK2048" s="458"/>
      <c r="BL2048" s="458"/>
      <c r="BM2048" s="458"/>
      <c r="BN2048" s="458"/>
      <c r="BO2048" s="866">
        <f>VLOOKUP(BD2048,$BD$4:$BN$12824,3,0)*BE2048</f>
        <v>46.802240577233448</v>
      </c>
      <c r="BP2048" s="866"/>
      <c r="BQ2048" s="866"/>
      <c r="BR2048" s="866">
        <f>VLOOKUP(BD2048,$BD$4:$BN$12824,6,0)*BE2048</f>
        <v>0</v>
      </c>
      <c r="BS2048" s="866">
        <f>VLOOKUP(BD2048,$BD$4:$BN$12824,7,0)*BE2048</f>
        <v>0</v>
      </c>
      <c r="BT2048" s="866"/>
      <c r="BU2048" s="866">
        <f>VLOOKUP(BD2048,$BD$4:$BN$12824,9,0)*BE2048</f>
        <v>43.020348745213447</v>
      </c>
      <c r="BV2048" s="867"/>
      <c r="BW2048" s="867">
        <f>VLOOKUP(BD2048,$BD$4:$BN$12824,11,0)*BE2048</f>
        <v>1063.3247887591376</v>
      </c>
      <c r="BX2048" s="1146">
        <f t="shared" si="388"/>
        <v>1153.1473780815845</v>
      </c>
      <c r="BY2048" s="867">
        <f t="shared" si="390"/>
        <v>73561.48684452039</v>
      </c>
      <c r="BZ2048" s="867">
        <f t="shared" si="389"/>
        <v>294245.94737808156</v>
      </c>
      <c r="CA2048" s="867">
        <f>_xlfn.MAXIFS($BY$4:$BY$12824,$S$4:$S$12824,$S2048)</f>
        <v>73561.48684452039</v>
      </c>
      <c r="CB2048" s="1032"/>
      <c r="CF2048" s="946">
        <f t="shared" si="394"/>
        <v>302400</v>
      </c>
    </row>
    <row r="2049" spans="2:84">
      <c r="B2049" s="839" t="s">
        <v>98</v>
      </c>
      <c r="C2049" s="839" t="s">
        <v>3454</v>
      </c>
      <c r="D2049" s="839" t="s">
        <v>6632</v>
      </c>
      <c r="E2049" s="839" t="s">
        <v>6632</v>
      </c>
      <c r="F2049" s="841">
        <v>45955</v>
      </c>
      <c r="G2049" s="868" t="s">
        <v>3456</v>
      </c>
      <c r="H2049" s="883" t="s">
        <v>102</v>
      </c>
      <c r="I2049" s="883" t="s">
        <v>6633</v>
      </c>
      <c r="J2049" s="841">
        <v>45955</v>
      </c>
      <c r="K2049" s="841">
        <v>46001</v>
      </c>
      <c r="L2049" s="843" t="s">
        <v>106</v>
      </c>
      <c r="M2049" s="844" t="s">
        <v>5258</v>
      </c>
      <c r="N2049" s="841"/>
      <c r="O2049" s="884" t="s">
        <v>3459</v>
      </c>
      <c r="P2049" s="842" t="s">
        <v>1100</v>
      </c>
      <c r="Q2049" s="843"/>
      <c r="R2049" s="845" t="s">
        <v>6703</v>
      </c>
      <c r="S2049" s="1127" t="s">
        <v>6703</v>
      </c>
      <c r="T2049" s="885" t="s">
        <v>6704</v>
      </c>
      <c r="U2049" s="886">
        <v>4</v>
      </c>
      <c r="V2049" s="842" t="s">
        <v>8</v>
      </c>
      <c r="W2049" s="846">
        <v>4.2</v>
      </c>
      <c r="X2049" s="847">
        <f t="shared" si="392"/>
        <v>16.8</v>
      </c>
      <c r="Y2049" s="853">
        <v>0</v>
      </c>
      <c r="Z2049" s="849">
        <v>4.2</v>
      </c>
      <c r="AA2049" s="849"/>
      <c r="AB2049" s="849">
        <f t="shared" si="384"/>
        <v>16.8</v>
      </c>
      <c r="AC2049" s="850">
        <f t="shared" si="385"/>
        <v>16.8</v>
      </c>
      <c r="AD2049" s="851">
        <f t="shared" si="393"/>
        <v>27000</v>
      </c>
      <c r="AE2049" s="852">
        <v>26169</v>
      </c>
      <c r="AF2049" s="853">
        <v>0</v>
      </c>
      <c r="AG2049" s="854">
        <f t="shared" si="386"/>
        <v>0</v>
      </c>
      <c r="AH2049" s="853">
        <v>0.08</v>
      </c>
      <c r="AI2049" s="855">
        <f t="shared" si="387"/>
        <v>35171.135999999999</v>
      </c>
      <c r="AJ2049" s="845" t="s">
        <v>6637</v>
      </c>
      <c r="AK2049" s="857">
        <v>45981</v>
      </c>
      <c r="AL2049" s="843" t="s">
        <v>6638</v>
      </c>
      <c r="AM2049" s="843" t="s">
        <v>6639</v>
      </c>
      <c r="AN2049" s="844" t="s">
        <v>3951</v>
      </c>
      <c r="AO2049" s="844" t="s">
        <v>141</v>
      </c>
      <c r="AP2049" s="841"/>
      <c r="AQ2049" s="841">
        <v>45995</v>
      </c>
      <c r="AR2049" s="841">
        <v>45999</v>
      </c>
      <c r="AS2049" s="842" t="s">
        <v>1581</v>
      </c>
      <c r="AT2049" s="842" t="s">
        <v>6640</v>
      </c>
      <c r="AU2049" s="842" t="s">
        <v>1090</v>
      </c>
      <c r="AV2049" s="845" t="s">
        <v>6641</v>
      </c>
      <c r="AW2049" s="861">
        <v>45999</v>
      </c>
      <c r="AX2049" s="862">
        <v>46001</v>
      </c>
      <c r="AY2049" s="843" t="s">
        <v>6705</v>
      </c>
      <c r="AZ2049" s="842">
        <v>94059950</v>
      </c>
      <c r="BA2049" s="842" t="s">
        <v>120</v>
      </c>
      <c r="BB2049" s="863" t="s">
        <v>121</v>
      </c>
      <c r="BC2049" s="864">
        <v>46002</v>
      </c>
      <c r="BD2049" s="860" t="s">
        <v>6643</v>
      </c>
      <c r="BE2049" s="865" cm="1">
        <f t="array" ref="BE2049">IF(BD2049="","",AC2049/SUMPRODUCT(--(BD2049=$BD$4:$BD$12824),$AC$4:$AC$12824))</f>
        <v>2.6583119718978443E-3</v>
      </c>
      <c r="BF2049" s="458"/>
      <c r="BG2049" s="458"/>
      <c r="BH2049" s="458"/>
      <c r="BI2049" s="458"/>
      <c r="BJ2049" s="458"/>
      <c r="BK2049" s="458"/>
      <c r="BL2049" s="458"/>
      <c r="BM2049" s="458"/>
      <c r="BN2049" s="458"/>
      <c r="BO2049" s="866">
        <f>VLOOKUP(BD2049,$BD$4:$BN$12824,3,0)*BE2049</f>
        <v>70.203360865850172</v>
      </c>
      <c r="BP2049" s="866"/>
      <c r="BQ2049" s="866"/>
      <c r="BR2049" s="866">
        <f>VLOOKUP(BD2049,$BD$4:$BN$12824,6,0)*BE2049</f>
        <v>0</v>
      </c>
      <c r="BS2049" s="866">
        <f>VLOOKUP(BD2049,$BD$4:$BN$12824,7,0)*BE2049</f>
        <v>0</v>
      </c>
      <c r="BT2049" s="866"/>
      <c r="BU2049" s="866">
        <f>VLOOKUP(BD2049,$BD$4:$BN$12824,9,0)*BE2049</f>
        <v>64.530523117820167</v>
      </c>
      <c r="BV2049" s="867"/>
      <c r="BW2049" s="867">
        <f>VLOOKUP(BD2049,$BD$4:$BN$12824,11,0)*BE2049</f>
        <v>1594.9871831387065</v>
      </c>
      <c r="BX2049" s="1146">
        <f t="shared" si="388"/>
        <v>1729.721067122377</v>
      </c>
      <c r="BY2049" s="867">
        <f t="shared" si="390"/>
        <v>110342.23026678059</v>
      </c>
      <c r="BZ2049" s="867">
        <f t="shared" si="389"/>
        <v>441368.92106712237</v>
      </c>
      <c r="CA2049" s="867">
        <f>_xlfn.MAXIFS($BY$4:$BY$12824,$S$4:$S$12824,$S2049)</f>
        <v>110342.23026678059</v>
      </c>
      <c r="CB2049" s="1032"/>
      <c r="CF2049" s="946">
        <f t="shared" si="394"/>
        <v>453600</v>
      </c>
    </row>
    <row r="2050" spans="2:84">
      <c r="B2050" s="839" t="s">
        <v>98</v>
      </c>
      <c r="C2050" s="839" t="s">
        <v>3454</v>
      </c>
      <c r="D2050" s="839" t="s">
        <v>6632</v>
      </c>
      <c r="E2050" s="839" t="s">
        <v>6632</v>
      </c>
      <c r="F2050" s="841">
        <v>45955</v>
      </c>
      <c r="G2050" s="868" t="s">
        <v>3456</v>
      </c>
      <c r="H2050" s="883" t="s">
        <v>102</v>
      </c>
      <c r="I2050" s="883" t="s">
        <v>6633</v>
      </c>
      <c r="J2050" s="841">
        <v>45955</v>
      </c>
      <c r="K2050" s="841">
        <v>46001</v>
      </c>
      <c r="L2050" s="843" t="s">
        <v>106</v>
      </c>
      <c r="M2050" s="844" t="s">
        <v>5258</v>
      </c>
      <c r="N2050" s="841"/>
      <c r="O2050" s="884" t="s">
        <v>3459</v>
      </c>
      <c r="P2050" s="842" t="s">
        <v>1100</v>
      </c>
      <c r="Q2050" s="843"/>
      <c r="R2050" s="845" t="s">
        <v>6706</v>
      </c>
      <c r="S2050" s="1127" t="s">
        <v>6706</v>
      </c>
      <c r="T2050" s="885" t="s">
        <v>6707</v>
      </c>
      <c r="U2050" s="886">
        <v>4</v>
      </c>
      <c r="V2050" s="842" t="s">
        <v>8</v>
      </c>
      <c r="W2050" s="846">
        <v>1.8</v>
      </c>
      <c r="X2050" s="847">
        <f t="shared" si="392"/>
        <v>7.2</v>
      </c>
      <c r="Y2050" s="853">
        <v>0</v>
      </c>
      <c r="Z2050" s="849">
        <v>1.8</v>
      </c>
      <c r="AA2050" s="849"/>
      <c r="AB2050" s="849">
        <f t="shared" si="384"/>
        <v>7.2</v>
      </c>
      <c r="AC2050" s="850">
        <f t="shared" si="385"/>
        <v>7.2</v>
      </c>
      <c r="AD2050" s="851">
        <f t="shared" si="393"/>
        <v>27000</v>
      </c>
      <c r="AE2050" s="852">
        <v>26169</v>
      </c>
      <c r="AF2050" s="853">
        <v>0</v>
      </c>
      <c r="AG2050" s="854">
        <f t="shared" si="386"/>
        <v>0</v>
      </c>
      <c r="AH2050" s="853">
        <v>0.08</v>
      </c>
      <c r="AI2050" s="855">
        <f t="shared" si="387"/>
        <v>15073.344000000001</v>
      </c>
      <c r="AJ2050" s="845" t="s">
        <v>6637</v>
      </c>
      <c r="AK2050" s="857">
        <v>45981</v>
      </c>
      <c r="AL2050" s="843" t="s">
        <v>6638</v>
      </c>
      <c r="AM2050" s="843" t="s">
        <v>6639</v>
      </c>
      <c r="AN2050" s="844" t="s">
        <v>3951</v>
      </c>
      <c r="AO2050" s="844" t="s">
        <v>141</v>
      </c>
      <c r="AP2050" s="841"/>
      <c r="AQ2050" s="841">
        <v>45995</v>
      </c>
      <c r="AR2050" s="841">
        <v>45999</v>
      </c>
      <c r="AS2050" s="842" t="s">
        <v>1581</v>
      </c>
      <c r="AT2050" s="842" t="s">
        <v>6640</v>
      </c>
      <c r="AU2050" s="842" t="s">
        <v>1090</v>
      </c>
      <c r="AV2050" s="845" t="s">
        <v>6641</v>
      </c>
      <c r="AW2050" s="861">
        <v>45999</v>
      </c>
      <c r="AX2050" s="862">
        <v>46001</v>
      </c>
      <c r="AY2050" s="843" t="s">
        <v>6708</v>
      </c>
      <c r="AZ2050" s="842">
        <v>85369032</v>
      </c>
      <c r="BA2050" s="842" t="s">
        <v>120</v>
      </c>
      <c r="BB2050" s="863" t="s">
        <v>121</v>
      </c>
      <c r="BC2050" s="864">
        <v>46002</v>
      </c>
      <c r="BD2050" s="860" t="s">
        <v>6643</v>
      </c>
      <c r="BE2050" s="865" cm="1">
        <f t="array" ref="BE2050">IF(BD2050="","",AC2050/SUMPRODUCT(--(BD2050=$BD$4:$BD$12824),$AC$4:$AC$12824))</f>
        <v>1.1392765593847905E-3</v>
      </c>
      <c r="BF2050" s="458"/>
      <c r="BG2050" s="458"/>
      <c r="BH2050" s="458"/>
      <c r="BI2050" s="458"/>
      <c r="BJ2050" s="458"/>
      <c r="BK2050" s="458"/>
      <c r="BL2050" s="458"/>
      <c r="BM2050" s="458"/>
      <c r="BN2050" s="458"/>
      <c r="BO2050" s="866">
        <f>VLOOKUP(BD2050,$BD$4:$BN$12824,3,0)*BE2050</f>
        <v>30.087154656792933</v>
      </c>
      <c r="BP2050" s="866"/>
      <c r="BQ2050" s="866"/>
      <c r="BR2050" s="866">
        <f>VLOOKUP(BD2050,$BD$4:$BN$12824,6,0)*BE2050</f>
        <v>0</v>
      </c>
      <c r="BS2050" s="866">
        <f>VLOOKUP(BD2050,$BD$4:$BN$12824,7,0)*BE2050</f>
        <v>0</v>
      </c>
      <c r="BT2050" s="866"/>
      <c r="BU2050" s="866">
        <f>VLOOKUP(BD2050,$BD$4:$BN$12824,9,0)*BE2050</f>
        <v>27.655938479065789</v>
      </c>
      <c r="BV2050" s="867"/>
      <c r="BW2050" s="867">
        <f>VLOOKUP(BD2050,$BD$4:$BN$12824,11,0)*BE2050</f>
        <v>683.56593563087426</v>
      </c>
      <c r="BX2050" s="1146">
        <f t="shared" si="388"/>
        <v>741.30902876673304</v>
      </c>
      <c r="BY2050" s="867">
        <f t="shared" si="390"/>
        <v>47289.527257191687</v>
      </c>
      <c r="BZ2050" s="867">
        <f t="shared" si="389"/>
        <v>189158.10902876675</v>
      </c>
      <c r="CA2050" s="867">
        <f>_xlfn.MAXIFS($BY$4:$BY$12824,$S$4:$S$12824,$S2050)</f>
        <v>47289.527257191687</v>
      </c>
      <c r="CB2050" s="1032"/>
      <c r="CF2050" s="946">
        <f t="shared" si="394"/>
        <v>194400</v>
      </c>
    </row>
    <row r="2051" spans="2:84">
      <c r="B2051" s="839" t="s">
        <v>98</v>
      </c>
      <c r="C2051" s="839" t="s">
        <v>3454</v>
      </c>
      <c r="D2051" s="839" t="s">
        <v>6632</v>
      </c>
      <c r="E2051" s="839" t="s">
        <v>6632</v>
      </c>
      <c r="F2051" s="841">
        <v>45955</v>
      </c>
      <c r="G2051" s="868" t="s">
        <v>3456</v>
      </c>
      <c r="H2051" s="883" t="s">
        <v>102</v>
      </c>
      <c r="I2051" s="883" t="s">
        <v>6633</v>
      </c>
      <c r="J2051" s="841">
        <v>45955</v>
      </c>
      <c r="K2051" s="841">
        <v>46001</v>
      </c>
      <c r="L2051" s="843" t="s">
        <v>106</v>
      </c>
      <c r="M2051" s="844" t="s">
        <v>5258</v>
      </c>
      <c r="N2051" s="841"/>
      <c r="O2051" s="884" t="s">
        <v>3459</v>
      </c>
      <c r="P2051" s="842" t="s">
        <v>6696</v>
      </c>
      <c r="Q2051" s="843"/>
      <c r="R2051" s="845" t="s">
        <v>6709</v>
      </c>
      <c r="S2051" s="1127" t="s">
        <v>6709</v>
      </c>
      <c r="T2051" s="885" t="s">
        <v>6710</v>
      </c>
      <c r="U2051" s="886">
        <v>18</v>
      </c>
      <c r="V2051" s="842" t="s">
        <v>8</v>
      </c>
      <c r="W2051" s="846">
        <v>16.7</v>
      </c>
      <c r="X2051" s="847">
        <f t="shared" si="392"/>
        <v>300.59999999999997</v>
      </c>
      <c r="Y2051" s="853">
        <v>0</v>
      </c>
      <c r="Z2051" s="849">
        <v>16.7</v>
      </c>
      <c r="AA2051" s="849"/>
      <c r="AB2051" s="849">
        <f t="shared" si="384"/>
        <v>300.59999999999997</v>
      </c>
      <c r="AC2051" s="850">
        <f t="shared" si="385"/>
        <v>300.59999999999997</v>
      </c>
      <c r="AD2051" s="851">
        <f t="shared" si="393"/>
        <v>27000</v>
      </c>
      <c r="AE2051" s="852">
        <v>26169</v>
      </c>
      <c r="AF2051" s="853">
        <v>0</v>
      </c>
      <c r="AG2051" s="854">
        <f t="shared" si="386"/>
        <v>0</v>
      </c>
      <c r="AH2051" s="853">
        <v>0.08</v>
      </c>
      <c r="AI2051" s="855">
        <f t="shared" si="387"/>
        <v>629312.11199999996</v>
      </c>
      <c r="AJ2051" s="845" t="s">
        <v>6637</v>
      </c>
      <c r="AK2051" s="857">
        <v>45981</v>
      </c>
      <c r="AL2051" s="843" t="s">
        <v>6638</v>
      </c>
      <c r="AM2051" s="843" t="s">
        <v>6639</v>
      </c>
      <c r="AN2051" s="844" t="s">
        <v>3951</v>
      </c>
      <c r="AO2051" s="844" t="s">
        <v>141</v>
      </c>
      <c r="AP2051" s="841"/>
      <c r="AQ2051" s="841">
        <v>45995</v>
      </c>
      <c r="AR2051" s="841">
        <v>45999</v>
      </c>
      <c r="AS2051" s="842" t="s">
        <v>1581</v>
      </c>
      <c r="AT2051" s="842" t="s">
        <v>6640</v>
      </c>
      <c r="AU2051" s="842" t="s">
        <v>1090</v>
      </c>
      <c r="AV2051" s="845" t="s">
        <v>6641</v>
      </c>
      <c r="AW2051" s="861">
        <v>45999</v>
      </c>
      <c r="AX2051" s="862">
        <v>46001</v>
      </c>
      <c r="AY2051" s="843" t="s">
        <v>6711</v>
      </c>
      <c r="AZ2051" s="842">
        <v>94059950</v>
      </c>
      <c r="BA2051" s="842" t="s">
        <v>120</v>
      </c>
      <c r="BB2051" s="863" t="s">
        <v>121</v>
      </c>
      <c r="BC2051" s="864">
        <v>46002</v>
      </c>
      <c r="BD2051" s="860" t="s">
        <v>6643</v>
      </c>
      <c r="BE2051" s="865" cm="1">
        <f t="array" ref="BE2051">IF(BD2051="","",AC2051/SUMPRODUCT(--(BD2051=$BD$4:$BD$12824),$AC$4:$AC$12824))</f>
        <v>4.7564796354314993E-2</v>
      </c>
      <c r="BF2051" s="458"/>
      <c r="BG2051" s="458"/>
      <c r="BH2051" s="458"/>
      <c r="BI2051" s="458"/>
      <c r="BJ2051" s="458"/>
      <c r="BK2051" s="458"/>
      <c r="BL2051" s="458"/>
      <c r="BM2051" s="458"/>
      <c r="BN2051" s="458"/>
      <c r="BO2051" s="866">
        <f>VLOOKUP(BD2051,$BD$4:$BN$12824,3,0)*BE2051</f>
        <v>1256.1387069211046</v>
      </c>
      <c r="BP2051" s="866"/>
      <c r="BQ2051" s="866"/>
      <c r="BR2051" s="866">
        <f>VLOOKUP(BD2051,$BD$4:$BN$12824,6,0)*BE2051</f>
        <v>0</v>
      </c>
      <c r="BS2051" s="866">
        <f>VLOOKUP(BD2051,$BD$4:$BN$12824,7,0)*BE2051</f>
        <v>0</v>
      </c>
      <c r="BT2051" s="866"/>
      <c r="BU2051" s="866">
        <f>VLOOKUP(BD2051,$BD$4:$BN$12824,9,0)*BE2051</f>
        <v>1154.6354315009964</v>
      </c>
      <c r="BV2051" s="867"/>
      <c r="BW2051" s="867">
        <f>VLOOKUP(BD2051,$BD$4:$BN$12824,11,0)*BE2051</f>
        <v>28538.877812588995</v>
      </c>
      <c r="BX2051" s="1146">
        <f t="shared" si="388"/>
        <v>30949.651951011096</v>
      </c>
      <c r="BY2051" s="867">
        <f t="shared" si="390"/>
        <v>438741.72510838951</v>
      </c>
      <c r="BZ2051" s="867">
        <f t="shared" si="389"/>
        <v>7897351.0519510116</v>
      </c>
      <c r="CA2051" s="867">
        <f>_xlfn.MAXIFS($BY$4:$BY$12824,$S$4:$S$12824,$S2051)</f>
        <v>438741.72510838951</v>
      </c>
      <c r="CB2051" s="1032"/>
      <c r="CF2051" s="946">
        <f t="shared" si="394"/>
        <v>8116199.9999999991</v>
      </c>
    </row>
    <row r="2052" spans="2:84">
      <c r="B2052" s="839" t="s">
        <v>98</v>
      </c>
      <c r="C2052" s="839" t="s">
        <v>3454</v>
      </c>
      <c r="D2052" s="839" t="s">
        <v>6632</v>
      </c>
      <c r="E2052" s="839" t="s">
        <v>6632</v>
      </c>
      <c r="F2052" s="841">
        <v>45955</v>
      </c>
      <c r="G2052" s="868" t="s">
        <v>3456</v>
      </c>
      <c r="H2052" s="883" t="s">
        <v>102</v>
      </c>
      <c r="I2052" s="883" t="s">
        <v>6633</v>
      </c>
      <c r="J2052" s="841">
        <v>45955</v>
      </c>
      <c r="K2052" s="841">
        <v>46001</v>
      </c>
      <c r="L2052" s="843" t="s">
        <v>106</v>
      </c>
      <c r="M2052" s="844" t="s">
        <v>5258</v>
      </c>
      <c r="N2052" s="841"/>
      <c r="O2052" s="884" t="s">
        <v>3459</v>
      </c>
      <c r="P2052" s="842" t="s">
        <v>1100</v>
      </c>
      <c r="Q2052" s="843"/>
      <c r="R2052" s="845" t="s">
        <v>6712</v>
      </c>
      <c r="S2052" s="1127" t="s">
        <v>6712</v>
      </c>
      <c r="T2052" s="885" t="s">
        <v>6713</v>
      </c>
      <c r="U2052" s="886">
        <v>3</v>
      </c>
      <c r="V2052" s="842" t="s">
        <v>8</v>
      </c>
      <c r="W2052" s="846">
        <v>6.1</v>
      </c>
      <c r="X2052" s="847">
        <f t="shared" si="392"/>
        <v>18.299999999999997</v>
      </c>
      <c r="Y2052" s="853">
        <v>0</v>
      </c>
      <c r="Z2052" s="849">
        <v>6.1</v>
      </c>
      <c r="AA2052" s="849"/>
      <c r="AB2052" s="849">
        <f t="shared" si="384"/>
        <v>18.299999999999997</v>
      </c>
      <c r="AC2052" s="850">
        <f t="shared" si="385"/>
        <v>18.299999999999997</v>
      </c>
      <c r="AD2052" s="851">
        <f t="shared" si="393"/>
        <v>27000</v>
      </c>
      <c r="AE2052" s="852">
        <v>26169</v>
      </c>
      <c r="AF2052" s="853">
        <v>0</v>
      </c>
      <c r="AG2052" s="854">
        <f t="shared" si="386"/>
        <v>0</v>
      </c>
      <c r="AH2052" s="853">
        <v>0.08</v>
      </c>
      <c r="AI2052" s="855">
        <f t="shared" si="387"/>
        <v>38311.415999999997</v>
      </c>
      <c r="AJ2052" s="845" t="s">
        <v>6637</v>
      </c>
      <c r="AK2052" s="857">
        <v>45981</v>
      </c>
      <c r="AL2052" s="843" t="s">
        <v>6638</v>
      </c>
      <c r="AM2052" s="843" t="s">
        <v>6639</v>
      </c>
      <c r="AN2052" s="844" t="s">
        <v>3951</v>
      </c>
      <c r="AO2052" s="844" t="s">
        <v>141</v>
      </c>
      <c r="AP2052" s="841"/>
      <c r="AQ2052" s="841">
        <v>45995</v>
      </c>
      <c r="AR2052" s="841">
        <v>45999</v>
      </c>
      <c r="AS2052" s="842" t="s">
        <v>1581</v>
      </c>
      <c r="AT2052" s="842" t="s">
        <v>6640</v>
      </c>
      <c r="AU2052" s="842" t="s">
        <v>1090</v>
      </c>
      <c r="AV2052" s="845" t="s">
        <v>6641</v>
      </c>
      <c r="AW2052" s="861">
        <v>45999</v>
      </c>
      <c r="AX2052" s="862">
        <v>46001</v>
      </c>
      <c r="AY2052" s="843" t="s">
        <v>6714</v>
      </c>
      <c r="AZ2052" s="842">
        <v>94059950</v>
      </c>
      <c r="BA2052" s="842" t="s">
        <v>120</v>
      </c>
      <c r="BB2052" s="863" t="s">
        <v>121</v>
      </c>
      <c r="BC2052" s="864">
        <v>46002</v>
      </c>
      <c r="BD2052" s="860" t="s">
        <v>6643</v>
      </c>
      <c r="BE2052" s="865" cm="1">
        <f t="array" ref="BE2052">IF(BD2052="","",AC2052/SUMPRODUCT(--(BD2052=$BD$4:$BD$12824),$AC$4:$AC$12824))</f>
        <v>2.8956612551030085E-3</v>
      </c>
      <c r="BF2052" s="458"/>
      <c r="BG2052" s="458"/>
      <c r="BH2052" s="458"/>
      <c r="BI2052" s="458"/>
      <c r="BJ2052" s="458"/>
      <c r="BK2052" s="458"/>
      <c r="BL2052" s="458"/>
      <c r="BM2052" s="458"/>
      <c r="BN2052" s="458"/>
      <c r="BO2052" s="866">
        <f>VLOOKUP(BD2052,$BD$4:$BN$12824,3,0)*BE2052</f>
        <v>76.471518086015351</v>
      </c>
      <c r="BP2052" s="866"/>
      <c r="BQ2052" s="866"/>
      <c r="BR2052" s="866">
        <f>VLOOKUP(BD2052,$BD$4:$BN$12824,6,0)*BE2052</f>
        <v>0</v>
      </c>
      <c r="BS2052" s="866">
        <f>VLOOKUP(BD2052,$BD$4:$BN$12824,7,0)*BE2052</f>
        <v>0</v>
      </c>
      <c r="BT2052" s="866"/>
      <c r="BU2052" s="866">
        <f>VLOOKUP(BD2052,$BD$4:$BN$12824,9,0)*BE2052</f>
        <v>70.292176967625537</v>
      </c>
      <c r="BV2052" s="867"/>
      <c r="BW2052" s="867">
        <f>VLOOKUP(BD2052,$BD$4:$BN$12824,11,0)*BE2052</f>
        <v>1737.3967530618052</v>
      </c>
      <c r="BX2052" s="1146">
        <f t="shared" si="388"/>
        <v>1884.1604481154461</v>
      </c>
      <c r="BY2052" s="867">
        <f t="shared" si="390"/>
        <v>160258.95348270514</v>
      </c>
      <c r="BZ2052" s="867">
        <f t="shared" si="389"/>
        <v>480776.86044811539</v>
      </c>
      <c r="CA2052" s="867">
        <f>_xlfn.MAXIFS($BY$4:$BY$12824,$S$4:$S$12824,$S2052)</f>
        <v>160258.95348270514</v>
      </c>
      <c r="CB2052" s="1032"/>
      <c r="CF2052" s="946">
        <f t="shared" si="394"/>
        <v>494099.99999999994</v>
      </c>
    </row>
    <row r="2053" spans="2:84">
      <c r="B2053" s="839" t="s">
        <v>98</v>
      </c>
      <c r="C2053" s="839" t="s">
        <v>3454</v>
      </c>
      <c r="D2053" s="839" t="s">
        <v>6632</v>
      </c>
      <c r="E2053" s="839" t="s">
        <v>6632</v>
      </c>
      <c r="F2053" s="841">
        <v>45955</v>
      </c>
      <c r="G2053" s="868" t="s">
        <v>3456</v>
      </c>
      <c r="H2053" s="883" t="s">
        <v>102</v>
      </c>
      <c r="I2053" s="883" t="s">
        <v>6633</v>
      </c>
      <c r="J2053" s="841">
        <v>45955</v>
      </c>
      <c r="K2053" s="841">
        <v>46001</v>
      </c>
      <c r="L2053" s="843" t="s">
        <v>106</v>
      </c>
      <c r="M2053" s="844" t="s">
        <v>5258</v>
      </c>
      <c r="N2053" s="841"/>
      <c r="O2053" s="884" t="s">
        <v>3459</v>
      </c>
      <c r="P2053" s="842" t="s">
        <v>1100</v>
      </c>
      <c r="Q2053" s="843"/>
      <c r="R2053" s="845" t="s">
        <v>6715</v>
      </c>
      <c r="S2053" s="1127" t="s">
        <v>6715</v>
      </c>
      <c r="T2053" s="885" t="s">
        <v>6716</v>
      </c>
      <c r="U2053" s="886">
        <v>4</v>
      </c>
      <c r="V2053" s="842" t="s">
        <v>8</v>
      </c>
      <c r="W2053" s="846">
        <v>9.15</v>
      </c>
      <c r="X2053" s="847">
        <f t="shared" si="392"/>
        <v>36.6</v>
      </c>
      <c r="Y2053" s="853">
        <v>0</v>
      </c>
      <c r="Z2053" s="849">
        <v>9.15</v>
      </c>
      <c r="AA2053" s="849"/>
      <c r="AB2053" s="849">
        <f t="shared" ref="AB2053:AB2116" si="395">IF(AA2053="F.O.C", 0, Z2053*U2053)</f>
        <v>36.6</v>
      </c>
      <c r="AC2053" s="850">
        <f t="shared" ref="AC2053:AC2116" si="396">Z2053*U2053</f>
        <v>36.6</v>
      </c>
      <c r="AD2053" s="851">
        <f t="shared" si="393"/>
        <v>27000</v>
      </c>
      <c r="AE2053" s="852">
        <v>26169</v>
      </c>
      <c r="AF2053" s="853">
        <v>0</v>
      </c>
      <c r="AG2053" s="854">
        <f t="shared" ref="AG2053:AG2116" si="397">(AC2053*AE2053+BO2053+BP2053+BQ2053+BS2053)*AF2053</f>
        <v>0</v>
      </c>
      <c r="AH2053" s="853">
        <v>0.08</v>
      </c>
      <c r="AI2053" s="855">
        <f t="shared" ref="AI2053:AI2116" si="398">(AC2053*AE2053+AG2053+BF2053+BG2053+BH2053+BJ2053)*AH2053</f>
        <v>76622.832000000009</v>
      </c>
      <c r="AJ2053" s="845" t="s">
        <v>6637</v>
      </c>
      <c r="AK2053" s="857">
        <v>45981</v>
      </c>
      <c r="AL2053" s="843" t="s">
        <v>6638</v>
      </c>
      <c r="AM2053" s="843" t="s">
        <v>6639</v>
      </c>
      <c r="AN2053" s="844" t="s">
        <v>3951</v>
      </c>
      <c r="AO2053" s="844" t="s">
        <v>141</v>
      </c>
      <c r="AP2053" s="841"/>
      <c r="AQ2053" s="841">
        <v>45995</v>
      </c>
      <c r="AR2053" s="841">
        <v>45999</v>
      </c>
      <c r="AS2053" s="842" t="s">
        <v>1581</v>
      </c>
      <c r="AT2053" s="842" t="s">
        <v>6640</v>
      </c>
      <c r="AU2053" s="842" t="s">
        <v>1090</v>
      </c>
      <c r="AV2053" s="845" t="s">
        <v>6641</v>
      </c>
      <c r="AW2053" s="861">
        <v>45999</v>
      </c>
      <c r="AX2053" s="862">
        <v>46001</v>
      </c>
      <c r="AY2053" s="843" t="s">
        <v>6717</v>
      </c>
      <c r="AZ2053" s="842">
        <v>94059950</v>
      </c>
      <c r="BA2053" s="842" t="s">
        <v>120</v>
      </c>
      <c r="BB2053" s="863" t="s">
        <v>121</v>
      </c>
      <c r="BC2053" s="864">
        <v>46002</v>
      </c>
      <c r="BD2053" s="860" t="s">
        <v>6643</v>
      </c>
      <c r="BE2053" s="865" cm="1">
        <f t="array" ref="BE2053">IF(BD2053="","",AC2053/SUMPRODUCT(--(BD2053=$BD$4:$BD$12824),$AC$4:$AC$12824))</f>
        <v>5.7913225102060187E-3</v>
      </c>
      <c r="BF2053" s="458"/>
      <c r="BG2053" s="458"/>
      <c r="BH2053" s="458"/>
      <c r="BI2053" s="458"/>
      <c r="BJ2053" s="458"/>
      <c r="BK2053" s="458"/>
      <c r="BL2053" s="458"/>
      <c r="BM2053" s="458"/>
      <c r="BN2053" s="458"/>
      <c r="BO2053" s="866">
        <f>VLOOKUP(BD2053,$BD$4:$BN$12824,3,0)*BE2053</f>
        <v>152.94303617203076</v>
      </c>
      <c r="BP2053" s="866"/>
      <c r="BQ2053" s="866"/>
      <c r="BR2053" s="866">
        <f>VLOOKUP(BD2053,$BD$4:$BN$12824,6,0)*BE2053</f>
        <v>0</v>
      </c>
      <c r="BS2053" s="866">
        <f>VLOOKUP(BD2053,$BD$4:$BN$12824,7,0)*BE2053</f>
        <v>0</v>
      </c>
      <c r="BT2053" s="866"/>
      <c r="BU2053" s="866">
        <f>VLOOKUP(BD2053,$BD$4:$BN$12824,9,0)*BE2053</f>
        <v>140.5843539352511</v>
      </c>
      <c r="BV2053" s="867"/>
      <c r="BW2053" s="867">
        <f>VLOOKUP(BD2053,$BD$4:$BN$12824,11,0)*BE2053</f>
        <v>3474.7935061236112</v>
      </c>
      <c r="BX2053" s="1146">
        <f t="shared" ref="BX2053:BX2116" si="399">SUM(BO2053:BW2053)</f>
        <v>3768.3208962308931</v>
      </c>
      <c r="BY2053" s="867">
        <f t="shared" si="390"/>
        <v>240388.43022405772</v>
      </c>
      <c r="BZ2053" s="867">
        <f t="shared" ref="BZ2053:BZ2116" si="400">BY2053*U2053</f>
        <v>961553.72089623089</v>
      </c>
      <c r="CA2053" s="867">
        <f>_xlfn.MAXIFS($BY$4:$BY$12824,$S$4:$S$12824,$S2053)</f>
        <v>240388.43022405772</v>
      </c>
      <c r="CB2053" s="1032"/>
      <c r="CF2053" s="946">
        <f t="shared" si="394"/>
        <v>988200</v>
      </c>
    </row>
    <row r="2054" spans="2:84">
      <c r="B2054" s="839" t="s">
        <v>98</v>
      </c>
      <c r="C2054" s="839" t="s">
        <v>3454</v>
      </c>
      <c r="D2054" s="839" t="s">
        <v>6632</v>
      </c>
      <c r="E2054" s="839" t="s">
        <v>6632</v>
      </c>
      <c r="F2054" s="841">
        <v>45955</v>
      </c>
      <c r="G2054" s="868" t="s">
        <v>3456</v>
      </c>
      <c r="H2054" s="883" t="s">
        <v>102</v>
      </c>
      <c r="I2054" s="883" t="s">
        <v>6633</v>
      </c>
      <c r="J2054" s="841">
        <v>45955</v>
      </c>
      <c r="K2054" s="841">
        <v>46001</v>
      </c>
      <c r="L2054" s="843" t="s">
        <v>106</v>
      </c>
      <c r="M2054" s="844" t="s">
        <v>5258</v>
      </c>
      <c r="N2054" s="841"/>
      <c r="O2054" s="884" t="s">
        <v>3459</v>
      </c>
      <c r="P2054" s="842" t="s">
        <v>1100</v>
      </c>
      <c r="Q2054" s="843"/>
      <c r="R2054" s="845" t="s">
        <v>6718</v>
      </c>
      <c r="S2054" s="1127" t="s">
        <v>6718</v>
      </c>
      <c r="T2054" s="885" t="s">
        <v>6719</v>
      </c>
      <c r="U2054" s="886">
        <v>1</v>
      </c>
      <c r="V2054" s="842" t="s">
        <v>8</v>
      </c>
      <c r="W2054" s="846">
        <v>12.2</v>
      </c>
      <c r="X2054" s="847">
        <f t="shared" si="392"/>
        <v>12.2</v>
      </c>
      <c r="Y2054" s="853">
        <v>0</v>
      </c>
      <c r="Z2054" s="849">
        <v>12.2</v>
      </c>
      <c r="AA2054" s="849"/>
      <c r="AB2054" s="849">
        <f t="shared" si="395"/>
        <v>12.2</v>
      </c>
      <c r="AC2054" s="850">
        <f t="shared" si="396"/>
        <v>12.2</v>
      </c>
      <c r="AD2054" s="851">
        <f t="shared" si="393"/>
        <v>27000</v>
      </c>
      <c r="AE2054" s="852">
        <v>26169</v>
      </c>
      <c r="AF2054" s="853">
        <v>0</v>
      </c>
      <c r="AG2054" s="854">
        <f t="shared" si="397"/>
        <v>0</v>
      </c>
      <c r="AH2054" s="853">
        <v>0.08</v>
      </c>
      <c r="AI2054" s="855">
        <f t="shared" si="398"/>
        <v>25540.944</v>
      </c>
      <c r="AJ2054" s="845" t="s">
        <v>6637</v>
      </c>
      <c r="AK2054" s="857">
        <v>45981</v>
      </c>
      <c r="AL2054" s="843" t="s">
        <v>6638</v>
      </c>
      <c r="AM2054" s="843" t="s">
        <v>6639</v>
      </c>
      <c r="AN2054" s="844" t="s">
        <v>3951</v>
      </c>
      <c r="AO2054" s="844" t="s">
        <v>141</v>
      </c>
      <c r="AP2054" s="841"/>
      <c r="AQ2054" s="841">
        <v>45995</v>
      </c>
      <c r="AR2054" s="841">
        <v>45999</v>
      </c>
      <c r="AS2054" s="842" t="s">
        <v>1581</v>
      </c>
      <c r="AT2054" s="842" t="s">
        <v>6640</v>
      </c>
      <c r="AU2054" s="842" t="s">
        <v>1090</v>
      </c>
      <c r="AV2054" s="845" t="s">
        <v>6641</v>
      </c>
      <c r="AW2054" s="861">
        <v>45999</v>
      </c>
      <c r="AX2054" s="862">
        <v>46001</v>
      </c>
      <c r="AY2054" s="843" t="s">
        <v>6720</v>
      </c>
      <c r="AZ2054" s="842">
        <v>94059950</v>
      </c>
      <c r="BA2054" s="842" t="s">
        <v>120</v>
      </c>
      <c r="BB2054" s="863" t="s">
        <v>121</v>
      </c>
      <c r="BC2054" s="864">
        <v>46002</v>
      </c>
      <c r="BD2054" s="860" t="s">
        <v>6643</v>
      </c>
      <c r="BE2054" s="865" cm="1">
        <f t="array" ref="BE2054">IF(BD2054="","",AC2054/SUMPRODUCT(--(BD2054=$BD$4:$BD$12824),$AC$4:$AC$12824))</f>
        <v>1.9304408367353393E-3</v>
      </c>
      <c r="BF2054" s="458"/>
      <c r="BG2054" s="458"/>
      <c r="BH2054" s="458"/>
      <c r="BI2054" s="458"/>
      <c r="BJ2054" s="458"/>
      <c r="BK2054" s="458"/>
      <c r="BL2054" s="458"/>
      <c r="BM2054" s="458"/>
      <c r="BN2054" s="458"/>
      <c r="BO2054" s="866">
        <f>VLOOKUP(BD2054,$BD$4:$BN$12824,3,0)*BE2054</f>
        <v>50.981012057343577</v>
      </c>
      <c r="BP2054" s="866"/>
      <c r="BQ2054" s="866"/>
      <c r="BR2054" s="866">
        <f>VLOOKUP(BD2054,$BD$4:$BN$12824,6,0)*BE2054</f>
        <v>0</v>
      </c>
      <c r="BS2054" s="866">
        <f>VLOOKUP(BD2054,$BD$4:$BN$12824,7,0)*BE2054</f>
        <v>0</v>
      </c>
      <c r="BT2054" s="866"/>
      <c r="BU2054" s="866">
        <f>VLOOKUP(BD2054,$BD$4:$BN$12824,9,0)*BE2054</f>
        <v>46.861451311750358</v>
      </c>
      <c r="BV2054" s="867"/>
      <c r="BW2054" s="867">
        <f>VLOOKUP(BD2054,$BD$4:$BN$12824,11,0)*BE2054</f>
        <v>1158.2645020412035</v>
      </c>
      <c r="BX2054" s="1146">
        <f t="shared" si="399"/>
        <v>1256.1069654102976</v>
      </c>
      <c r="BY2054" s="867">
        <f t="shared" ref="BY2054:BY2117" si="401">(AB2054*AE2054+AG2054+BX2054)/U2054</f>
        <v>320517.90696541028</v>
      </c>
      <c r="BZ2054" s="867">
        <f t="shared" si="400"/>
        <v>320517.90696541028</v>
      </c>
      <c r="CA2054" s="867">
        <f>_xlfn.MAXIFS($BY$4:$BY$12824,$S$4:$S$12824,$S2054)</f>
        <v>320517.90696541028</v>
      </c>
      <c r="CB2054" s="1032"/>
      <c r="CF2054" s="946">
        <f t="shared" si="394"/>
        <v>329400</v>
      </c>
    </row>
    <row r="2055" spans="2:84">
      <c r="B2055" s="839" t="s">
        <v>98</v>
      </c>
      <c r="C2055" s="839" t="s">
        <v>3454</v>
      </c>
      <c r="D2055" s="839" t="s">
        <v>6632</v>
      </c>
      <c r="E2055" s="839" t="s">
        <v>6632</v>
      </c>
      <c r="F2055" s="841">
        <v>45955</v>
      </c>
      <c r="G2055" s="868" t="s">
        <v>3456</v>
      </c>
      <c r="H2055" s="883" t="s">
        <v>102</v>
      </c>
      <c r="I2055" s="883" t="s">
        <v>6633</v>
      </c>
      <c r="J2055" s="841">
        <v>45955</v>
      </c>
      <c r="K2055" s="841">
        <v>46001</v>
      </c>
      <c r="L2055" s="843" t="s">
        <v>106</v>
      </c>
      <c r="M2055" s="844" t="s">
        <v>5258</v>
      </c>
      <c r="N2055" s="841"/>
      <c r="O2055" s="884" t="s">
        <v>3459</v>
      </c>
      <c r="P2055" s="842" t="s">
        <v>1100</v>
      </c>
      <c r="Q2055" s="843"/>
      <c r="R2055" s="845" t="s">
        <v>6721</v>
      </c>
      <c r="S2055" s="1127" t="s">
        <v>6721</v>
      </c>
      <c r="T2055" s="885" t="s">
        <v>6722</v>
      </c>
      <c r="U2055" s="886">
        <v>2</v>
      </c>
      <c r="V2055" s="842" t="s">
        <v>8</v>
      </c>
      <c r="W2055" s="846">
        <v>2.2999999999999998</v>
      </c>
      <c r="X2055" s="847">
        <f t="shared" si="392"/>
        <v>4.5999999999999996</v>
      </c>
      <c r="Y2055" s="853">
        <v>0</v>
      </c>
      <c r="Z2055" s="849">
        <v>2.2999999999999998</v>
      </c>
      <c r="AA2055" s="849"/>
      <c r="AB2055" s="849">
        <f t="shared" si="395"/>
        <v>4.5999999999999996</v>
      </c>
      <c r="AC2055" s="850">
        <f t="shared" si="396"/>
        <v>4.5999999999999996</v>
      </c>
      <c r="AD2055" s="851">
        <f t="shared" si="393"/>
        <v>27000</v>
      </c>
      <c r="AE2055" s="852">
        <v>26169</v>
      </c>
      <c r="AF2055" s="853">
        <v>0</v>
      </c>
      <c r="AG2055" s="854">
        <f t="shared" si="397"/>
        <v>0</v>
      </c>
      <c r="AH2055" s="853">
        <v>0.08</v>
      </c>
      <c r="AI2055" s="855">
        <f t="shared" si="398"/>
        <v>9630.1919999999991</v>
      </c>
      <c r="AJ2055" s="845" t="s">
        <v>6637</v>
      </c>
      <c r="AK2055" s="857">
        <v>45981</v>
      </c>
      <c r="AL2055" s="843" t="s">
        <v>6638</v>
      </c>
      <c r="AM2055" s="843" t="s">
        <v>6639</v>
      </c>
      <c r="AN2055" s="844" t="s">
        <v>3951</v>
      </c>
      <c r="AO2055" s="844" t="s">
        <v>141</v>
      </c>
      <c r="AP2055" s="841"/>
      <c r="AQ2055" s="841">
        <v>45995</v>
      </c>
      <c r="AR2055" s="841">
        <v>45999</v>
      </c>
      <c r="AS2055" s="842" t="s">
        <v>1581</v>
      </c>
      <c r="AT2055" s="842" t="s">
        <v>6640</v>
      </c>
      <c r="AU2055" s="842" t="s">
        <v>1090</v>
      </c>
      <c r="AV2055" s="845" t="s">
        <v>6641</v>
      </c>
      <c r="AW2055" s="861">
        <v>45999</v>
      </c>
      <c r="AX2055" s="862">
        <v>46001</v>
      </c>
      <c r="AY2055" s="843" t="s">
        <v>6723</v>
      </c>
      <c r="AZ2055" s="842">
        <v>85369032</v>
      </c>
      <c r="BA2055" s="842" t="s">
        <v>120</v>
      </c>
      <c r="BB2055" s="863" t="s">
        <v>121</v>
      </c>
      <c r="BC2055" s="864">
        <v>46002</v>
      </c>
      <c r="BD2055" s="860" t="s">
        <v>6643</v>
      </c>
      <c r="BE2055" s="865" cm="1">
        <f t="array" ref="BE2055">IF(BD2055="","",AC2055/SUMPRODUCT(--(BD2055=$BD$4:$BD$12824),$AC$4:$AC$12824))</f>
        <v>7.2787113516250494E-4</v>
      </c>
      <c r="BF2055" s="458"/>
      <c r="BG2055" s="458"/>
      <c r="BH2055" s="458"/>
      <c r="BI2055" s="458"/>
      <c r="BJ2055" s="458"/>
      <c r="BK2055" s="458"/>
      <c r="BL2055" s="458"/>
      <c r="BM2055" s="458"/>
      <c r="BN2055" s="458"/>
      <c r="BO2055" s="866">
        <f>VLOOKUP(BD2055,$BD$4:$BN$12824,3,0)*BE2055</f>
        <v>19.222348808506592</v>
      </c>
      <c r="BP2055" s="866"/>
      <c r="BQ2055" s="866"/>
      <c r="BR2055" s="866">
        <f>VLOOKUP(BD2055,$BD$4:$BN$12824,6,0)*BE2055</f>
        <v>0</v>
      </c>
      <c r="BS2055" s="866">
        <f>VLOOKUP(BD2055,$BD$4:$BN$12824,7,0)*BE2055</f>
        <v>0</v>
      </c>
      <c r="BT2055" s="866"/>
      <c r="BU2055" s="866">
        <f>VLOOKUP(BD2055,$BD$4:$BN$12824,9,0)*BE2055</f>
        <v>17.669071806069809</v>
      </c>
      <c r="BV2055" s="867"/>
      <c r="BW2055" s="867">
        <f>VLOOKUP(BD2055,$BD$4:$BN$12824,11,0)*BE2055</f>
        <v>436.72268109750297</v>
      </c>
      <c r="BX2055" s="1146">
        <f t="shared" si="399"/>
        <v>473.61410171207939</v>
      </c>
      <c r="BY2055" s="867">
        <f t="shared" si="401"/>
        <v>60425.507050856038</v>
      </c>
      <c r="BZ2055" s="867">
        <f t="shared" si="400"/>
        <v>120851.01410171208</v>
      </c>
      <c r="CA2055" s="867">
        <f>_xlfn.MAXIFS($BY$4:$BY$12824,$S$4:$S$12824,$S2055)</f>
        <v>60425.507050856038</v>
      </c>
      <c r="CB2055" s="1032"/>
      <c r="CF2055" s="946">
        <f t="shared" si="394"/>
        <v>124199.99999999999</v>
      </c>
    </row>
    <row r="2056" spans="2:84">
      <c r="B2056" s="839" t="s">
        <v>98</v>
      </c>
      <c r="C2056" s="839" t="s">
        <v>3454</v>
      </c>
      <c r="D2056" s="839" t="s">
        <v>6632</v>
      </c>
      <c r="E2056" s="839" t="s">
        <v>6632</v>
      </c>
      <c r="F2056" s="841">
        <v>45955</v>
      </c>
      <c r="G2056" s="868" t="s">
        <v>3456</v>
      </c>
      <c r="H2056" s="883" t="s">
        <v>102</v>
      </c>
      <c r="I2056" s="883" t="s">
        <v>6633</v>
      </c>
      <c r="J2056" s="841">
        <v>45955</v>
      </c>
      <c r="K2056" s="841">
        <v>46001</v>
      </c>
      <c r="L2056" s="843" t="s">
        <v>106</v>
      </c>
      <c r="M2056" s="844" t="s">
        <v>5258</v>
      </c>
      <c r="N2056" s="841"/>
      <c r="O2056" s="884" t="s">
        <v>3459</v>
      </c>
      <c r="P2056" s="842" t="s">
        <v>6651</v>
      </c>
      <c r="Q2056" s="843"/>
      <c r="R2056" s="845" t="s">
        <v>6724</v>
      </c>
      <c r="S2056" s="1127" t="s">
        <v>6724</v>
      </c>
      <c r="T2056" s="885" t="s">
        <v>6725</v>
      </c>
      <c r="U2056" s="886">
        <v>16</v>
      </c>
      <c r="V2056" s="842" t="s">
        <v>8</v>
      </c>
      <c r="W2056" s="846">
        <v>13.8</v>
      </c>
      <c r="X2056" s="847">
        <f t="shared" si="392"/>
        <v>220.8</v>
      </c>
      <c r="Y2056" s="853">
        <v>0</v>
      </c>
      <c r="Z2056" s="849">
        <v>13.8</v>
      </c>
      <c r="AA2056" s="849"/>
      <c r="AB2056" s="849">
        <f t="shared" si="395"/>
        <v>220.8</v>
      </c>
      <c r="AC2056" s="850">
        <f t="shared" si="396"/>
        <v>220.8</v>
      </c>
      <c r="AD2056" s="851">
        <f t="shared" si="393"/>
        <v>27000</v>
      </c>
      <c r="AE2056" s="852">
        <v>26169</v>
      </c>
      <c r="AF2056" s="853">
        <v>0</v>
      </c>
      <c r="AG2056" s="854">
        <f t="shared" si="397"/>
        <v>0</v>
      </c>
      <c r="AH2056" s="853">
        <v>0.08</v>
      </c>
      <c r="AI2056" s="855">
        <f t="shared" si="398"/>
        <v>462249.21600000001</v>
      </c>
      <c r="AJ2056" s="845" t="s">
        <v>6637</v>
      </c>
      <c r="AK2056" s="857">
        <v>45981</v>
      </c>
      <c r="AL2056" s="843" t="s">
        <v>6638</v>
      </c>
      <c r="AM2056" s="843" t="s">
        <v>6639</v>
      </c>
      <c r="AN2056" s="844" t="s">
        <v>3951</v>
      </c>
      <c r="AO2056" s="844" t="s">
        <v>141</v>
      </c>
      <c r="AP2056" s="841"/>
      <c r="AQ2056" s="841">
        <v>45995</v>
      </c>
      <c r="AR2056" s="841">
        <v>45999</v>
      </c>
      <c r="AS2056" s="842" t="s">
        <v>1581</v>
      </c>
      <c r="AT2056" s="842" t="s">
        <v>6640</v>
      </c>
      <c r="AU2056" s="842" t="s">
        <v>1090</v>
      </c>
      <c r="AV2056" s="845" t="s">
        <v>6641</v>
      </c>
      <c r="AW2056" s="861">
        <v>45999</v>
      </c>
      <c r="AX2056" s="862">
        <v>46001</v>
      </c>
      <c r="AY2056" s="843" t="s">
        <v>6726</v>
      </c>
      <c r="AZ2056" s="842">
        <v>94059950</v>
      </c>
      <c r="BA2056" s="842" t="s">
        <v>120</v>
      </c>
      <c r="BB2056" s="863" t="s">
        <v>121</v>
      </c>
      <c r="BC2056" s="864">
        <v>46002</v>
      </c>
      <c r="BD2056" s="860" t="s">
        <v>6643</v>
      </c>
      <c r="BE2056" s="865" cm="1">
        <f t="array" ref="BE2056">IF(BD2056="","",AC2056/SUMPRODUCT(--(BD2056=$BD$4:$BD$12824),$AC$4:$AC$12824))</f>
        <v>3.4937814487800242E-2</v>
      </c>
      <c r="BF2056" s="458"/>
      <c r="BG2056" s="458"/>
      <c r="BH2056" s="458"/>
      <c r="BI2056" s="458"/>
      <c r="BJ2056" s="458"/>
      <c r="BK2056" s="458"/>
      <c r="BL2056" s="458"/>
      <c r="BM2056" s="458"/>
      <c r="BN2056" s="458"/>
      <c r="BO2056" s="866">
        <f>VLOOKUP(BD2056,$BD$4:$BN$12824,3,0)*BE2056</f>
        <v>922.67274280831657</v>
      </c>
      <c r="BP2056" s="866"/>
      <c r="BQ2056" s="866"/>
      <c r="BR2056" s="866">
        <f>VLOOKUP(BD2056,$BD$4:$BN$12824,6,0)*BE2056</f>
        <v>0</v>
      </c>
      <c r="BS2056" s="866">
        <f>VLOOKUP(BD2056,$BD$4:$BN$12824,7,0)*BE2056</f>
        <v>0</v>
      </c>
      <c r="BT2056" s="866"/>
      <c r="BU2056" s="866">
        <f>VLOOKUP(BD2056,$BD$4:$BN$12824,9,0)*BE2056</f>
        <v>848.11544669135083</v>
      </c>
      <c r="BV2056" s="867"/>
      <c r="BW2056" s="867">
        <f>VLOOKUP(BD2056,$BD$4:$BN$12824,11,0)*BE2056</f>
        <v>20962.688692680145</v>
      </c>
      <c r="BX2056" s="1146">
        <f t="shared" si="399"/>
        <v>22733.476882179813</v>
      </c>
      <c r="BY2056" s="867">
        <f t="shared" si="401"/>
        <v>362553.04230513627</v>
      </c>
      <c r="BZ2056" s="867">
        <f t="shared" si="400"/>
        <v>5800848.6768821804</v>
      </c>
      <c r="CA2056" s="867">
        <f>_xlfn.MAXIFS($BY$4:$BY$12824,$S$4:$S$12824,$S2056)</f>
        <v>362553.04230513627</v>
      </c>
      <c r="CB2056" s="1032"/>
      <c r="CF2056" s="946">
        <f t="shared" si="394"/>
        <v>5961600</v>
      </c>
    </row>
    <row r="2057" spans="2:84">
      <c r="B2057" s="839" t="s">
        <v>98</v>
      </c>
      <c r="C2057" s="839" t="s">
        <v>3454</v>
      </c>
      <c r="D2057" s="839" t="s">
        <v>6632</v>
      </c>
      <c r="E2057" s="839" t="s">
        <v>6632</v>
      </c>
      <c r="F2057" s="841">
        <v>45955</v>
      </c>
      <c r="G2057" s="868" t="s">
        <v>3456</v>
      </c>
      <c r="H2057" s="883" t="s">
        <v>102</v>
      </c>
      <c r="I2057" s="883" t="s">
        <v>6633</v>
      </c>
      <c r="J2057" s="841">
        <v>45955</v>
      </c>
      <c r="K2057" s="841">
        <v>46001</v>
      </c>
      <c r="L2057" s="843" t="s">
        <v>106</v>
      </c>
      <c r="M2057" s="844" t="s">
        <v>5258</v>
      </c>
      <c r="N2057" s="841"/>
      <c r="O2057" s="884" t="s">
        <v>3459</v>
      </c>
      <c r="P2057" s="842" t="s">
        <v>6651</v>
      </c>
      <c r="Q2057" s="843"/>
      <c r="R2057" s="845" t="s">
        <v>6727</v>
      </c>
      <c r="S2057" s="1127" t="s">
        <v>6727</v>
      </c>
      <c r="T2057" s="885" t="s">
        <v>6728</v>
      </c>
      <c r="U2057" s="886">
        <v>26</v>
      </c>
      <c r="V2057" s="842" t="s">
        <v>8</v>
      </c>
      <c r="W2057" s="846">
        <v>6.8</v>
      </c>
      <c r="X2057" s="847">
        <f t="shared" si="392"/>
        <v>176.79999999999998</v>
      </c>
      <c r="Y2057" s="853">
        <v>0</v>
      </c>
      <c r="Z2057" s="849">
        <v>6.8</v>
      </c>
      <c r="AA2057" s="849"/>
      <c r="AB2057" s="849">
        <f t="shared" si="395"/>
        <v>176.79999999999998</v>
      </c>
      <c r="AC2057" s="850">
        <f t="shared" si="396"/>
        <v>176.79999999999998</v>
      </c>
      <c r="AD2057" s="851">
        <f t="shared" si="393"/>
        <v>27000</v>
      </c>
      <c r="AE2057" s="852">
        <v>26169</v>
      </c>
      <c r="AF2057" s="853">
        <v>0</v>
      </c>
      <c r="AG2057" s="854">
        <f t="shared" si="397"/>
        <v>0</v>
      </c>
      <c r="AH2057" s="853">
        <v>0.08</v>
      </c>
      <c r="AI2057" s="855">
        <f t="shared" si="398"/>
        <v>370134.33599999995</v>
      </c>
      <c r="AJ2057" s="845" t="s">
        <v>6637</v>
      </c>
      <c r="AK2057" s="857">
        <v>45981</v>
      </c>
      <c r="AL2057" s="843" t="s">
        <v>6638</v>
      </c>
      <c r="AM2057" s="843" t="s">
        <v>6639</v>
      </c>
      <c r="AN2057" s="844" t="s">
        <v>3951</v>
      </c>
      <c r="AO2057" s="844" t="s">
        <v>141</v>
      </c>
      <c r="AP2057" s="841"/>
      <c r="AQ2057" s="841">
        <v>45995</v>
      </c>
      <c r="AR2057" s="841">
        <v>45999</v>
      </c>
      <c r="AS2057" s="842" t="s">
        <v>1581</v>
      </c>
      <c r="AT2057" s="842" t="s">
        <v>6640</v>
      </c>
      <c r="AU2057" s="842" t="s">
        <v>1090</v>
      </c>
      <c r="AV2057" s="845" t="s">
        <v>6641</v>
      </c>
      <c r="AW2057" s="861">
        <v>45999</v>
      </c>
      <c r="AX2057" s="862">
        <v>46001</v>
      </c>
      <c r="AY2057" s="843" t="s">
        <v>6729</v>
      </c>
      <c r="AZ2057" s="842">
        <v>94059950</v>
      </c>
      <c r="BA2057" s="842" t="s">
        <v>120</v>
      </c>
      <c r="BB2057" s="863" t="s">
        <v>121</v>
      </c>
      <c r="BC2057" s="864">
        <v>46002</v>
      </c>
      <c r="BD2057" s="860" t="s">
        <v>6643</v>
      </c>
      <c r="BE2057" s="865" cm="1">
        <f t="array" ref="BE2057">IF(BD2057="","",AC2057/SUMPRODUCT(--(BD2057=$BD$4:$BD$12824),$AC$4:$AC$12824))</f>
        <v>2.7975568847115408E-2</v>
      </c>
      <c r="BF2057" s="458"/>
      <c r="BG2057" s="458"/>
      <c r="BH2057" s="458"/>
      <c r="BI2057" s="458"/>
      <c r="BJ2057" s="458"/>
      <c r="BK2057" s="458"/>
      <c r="BL2057" s="458"/>
      <c r="BM2057" s="458"/>
      <c r="BN2057" s="458"/>
      <c r="BO2057" s="866">
        <f>VLOOKUP(BD2057,$BD$4:$BN$12824,3,0)*BE2057</f>
        <v>738.80679768347079</v>
      </c>
      <c r="BP2057" s="866"/>
      <c r="BQ2057" s="866"/>
      <c r="BR2057" s="866">
        <f>VLOOKUP(BD2057,$BD$4:$BN$12824,6,0)*BE2057</f>
        <v>0</v>
      </c>
      <c r="BS2057" s="866">
        <f>VLOOKUP(BD2057,$BD$4:$BN$12824,7,0)*BE2057</f>
        <v>0</v>
      </c>
      <c r="BT2057" s="866"/>
      <c r="BU2057" s="866">
        <f>VLOOKUP(BD2057,$BD$4:$BN$12824,9,0)*BE2057</f>
        <v>679.10693376372649</v>
      </c>
      <c r="BV2057" s="867"/>
      <c r="BW2057" s="867">
        <f>VLOOKUP(BD2057,$BD$4:$BN$12824,11,0)*BE2057</f>
        <v>16785.341308269246</v>
      </c>
      <c r="BX2057" s="1146">
        <f t="shared" si="399"/>
        <v>18203.255039716445</v>
      </c>
      <c r="BY2057" s="867">
        <f t="shared" si="401"/>
        <v>178649.32519383522</v>
      </c>
      <c r="BZ2057" s="867">
        <f t="shared" si="400"/>
        <v>4644882.4550397154</v>
      </c>
      <c r="CA2057" s="867">
        <f>_xlfn.MAXIFS($BY$4:$BY$12824,$S$4:$S$12824,$S2057)</f>
        <v>178649.32519383522</v>
      </c>
      <c r="CB2057" s="1032"/>
      <c r="CF2057" s="946">
        <f t="shared" si="394"/>
        <v>4773600</v>
      </c>
    </row>
    <row r="2058" spans="2:84">
      <c r="B2058" s="839" t="s">
        <v>98</v>
      </c>
      <c r="C2058" s="839" t="s">
        <v>5697</v>
      </c>
      <c r="D2058" s="839" t="s">
        <v>5754</v>
      </c>
      <c r="E2058" s="839" t="s">
        <v>5754</v>
      </c>
      <c r="F2058" s="841">
        <v>45805</v>
      </c>
      <c r="G2058" s="839" t="s">
        <v>5697</v>
      </c>
      <c r="H2058" s="883" t="s">
        <v>3457</v>
      </c>
      <c r="I2058" s="883"/>
      <c r="J2058" s="841"/>
      <c r="K2058" s="841"/>
      <c r="L2058" s="843" t="s">
        <v>5257</v>
      </c>
      <c r="M2058" s="844" t="s">
        <v>107</v>
      </c>
      <c r="N2058" s="841"/>
      <c r="O2058" s="884" t="s">
        <v>108</v>
      </c>
      <c r="P2058" s="842" t="s">
        <v>4990</v>
      </c>
      <c r="Q2058" s="843"/>
      <c r="R2058" s="845" t="s">
        <v>6730</v>
      </c>
      <c r="S2058" s="1127" t="s">
        <v>6731</v>
      </c>
      <c r="T2058" s="885" t="s">
        <v>6732</v>
      </c>
      <c r="U2058" s="886">
        <v>1</v>
      </c>
      <c r="V2058" s="842" t="s">
        <v>3</v>
      </c>
      <c r="W2058" s="846">
        <v>1210</v>
      </c>
      <c r="X2058" s="847">
        <v>1210</v>
      </c>
      <c r="Y2058" s="853" t="s">
        <v>5703</v>
      </c>
      <c r="Z2058" s="849">
        <v>631.62</v>
      </c>
      <c r="AA2058" s="849"/>
      <c r="AB2058" s="849">
        <f t="shared" si="395"/>
        <v>631.62</v>
      </c>
      <c r="AC2058" s="850">
        <f t="shared" si="396"/>
        <v>631.62</v>
      </c>
      <c r="AD2058" s="851">
        <f t="shared" si="393"/>
        <v>32000</v>
      </c>
      <c r="AE2058" s="852">
        <v>30295.040000000001</v>
      </c>
      <c r="AF2058" s="853">
        <v>0</v>
      </c>
      <c r="AG2058" s="854">
        <f t="shared" si="397"/>
        <v>0</v>
      </c>
      <c r="AH2058" s="853">
        <v>0.08</v>
      </c>
      <c r="AI2058" s="855">
        <f t="shared" si="398"/>
        <v>4323653.9259112729</v>
      </c>
      <c r="AJ2058" s="845" t="s">
        <v>6733</v>
      </c>
      <c r="AK2058" s="857">
        <v>45951</v>
      </c>
      <c r="AL2058" s="843" t="s">
        <v>6734</v>
      </c>
      <c r="AM2058" s="843" t="s">
        <v>6735</v>
      </c>
      <c r="AN2058" s="844" t="s">
        <v>6736</v>
      </c>
      <c r="AO2058" s="844" t="s">
        <v>141</v>
      </c>
      <c r="AP2058" s="841"/>
      <c r="AQ2058" s="841">
        <v>45958</v>
      </c>
      <c r="AR2058" s="841">
        <v>46006</v>
      </c>
      <c r="AS2058" s="842" t="s">
        <v>6737</v>
      </c>
      <c r="AT2058" s="842" t="s">
        <v>6640</v>
      </c>
      <c r="AU2058" s="842" t="s">
        <v>1565</v>
      </c>
      <c r="AV2058" s="845" t="s">
        <v>6738</v>
      </c>
      <c r="AW2058" s="861">
        <v>46006</v>
      </c>
      <c r="AX2058" s="862">
        <v>46007</v>
      </c>
      <c r="AY2058" s="843" t="s">
        <v>6739</v>
      </c>
      <c r="AZ2058" s="842" t="s">
        <v>4798</v>
      </c>
      <c r="BA2058" s="842" t="s">
        <v>120</v>
      </c>
      <c r="BB2058" s="863" t="s">
        <v>121</v>
      </c>
      <c r="BC2058" s="864">
        <v>46009</v>
      </c>
      <c r="BD2058" s="860" t="s">
        <v>6740</v>
      </c>
      <c r="BE2058" s="865" cm="1">
        <f t="array" ref="BE2058">IF(BD2058="","",AC2058/SUMPRODUCT(--(BD2058=$BD$4:$BD$12824),$AC$4:$AC$12824))</f>
        <v>9.8158956216057858E-3</v>
      </c>
      <c r="BF2058" s="458" cm="1">
        <f t="array" ref="BF2058">SUM(_xlfn._xlws.FILTER( INDEX(Cost!$B$3:$BK$77,MATCH(LDL!$BD2058, Cost!$F$3:$F$77, 0),0),Cost!$B$3:$BK$3 = BF$3))</f>
        <v>33006250</v>
      </c>
      <c r="BG2058" s="458"/>
      <c r="BH2058" s="458"/>
      <c r="BI2058" s="458" cm="1">
        <f t="array" ref="BI2058">SUM(_xlfn._xlws.FILTER( INDEX(Cost!$B$3:$BK$77,MATCH(LDL!$BD2058, Cost!$F$3:$F$77, 0),0),Cost!$B$3:$BK$3 = BI$3))/1.08</f>
        <v>8713650</v>
      </c>
      <c r="BJ2058" s="458" cm="1">
        <f t="array" ref="BJ2058">SUM(_xlfn._xlws.FILTER( INDEX(Cost!$B$3:$BK$77,MATCH(LDL!$BD2058, Cost!$F$3:$F$77, 0),0),Cost!$B$3:$BK$3 = BJ$3))</f>
        <v>1904470.9090909089</v>
      </c>
      <c r="BK2058" s="458"/>
      <c r="BL2058" s="458" cm="1">
        <f t="array" ref="BL2058">SUM(_xlfn._xlws.FILTER( INDEX(Cost!$B$3:$BK$77,MATCH(LDL!$BD2058, Cost!$F$3:$F$77, 0),0),Cost!$B$3:$BK$3 = BL$3))</f>
        <v>270000</v>
      </c>
      <c r="BM2058" s="458"/>
      <c r="BN2058" s="458" cm="1">
        <f t="array" ref="BN2058">SUM(_xlfn._xlws.FILTER( INDEX(Cost!$B$3:$BK$77,MATCH(LDL!$BD2058, Cost!$F$3:$F$77, 0),0),Cost!$B$3:$BK$3 = BN$3))/1.08</f>
        <v>1985185.1851851852</v>
      </c>
      <c r="BO2058" s="866">
        <f>VLOOKUP(BD2058,$BD$4:$BN$12824,3,0)*BE2058</f>
        <v>323985.90486062597</v>
      </c>
      <c r="BP2058" s="866"/>
      <c r="BQ2058" s="866"/>
      <c r="BR2058" s="866">
        <f>VLOOKUP(BD2058,$BD$4:$BN$12824,6,0)*BE2058</f>
        <v>85532.278883205261</v>
      </c>
      <c r="BS2058" s="866">
        <f>VLOOKUP(BD2058,$BD$4:$BN$12824,7,0)*BE2058</f>
        <v>18694.087658021042</v>
      </c>
      <c r="BT2058" s="866"/>
      <c r="BU2058" s="866">
        <f>VLOOKUP(BD2058,$BD$4:$BN$12824,9,0)*BE2058</f>
        <v>2650.2918178335622</v>
      </c>
      <c r="BV2058" s="867"/>
      <c r="BW2058" s="867">
        <f>VLOOKUP(BD2058,$BD$4:$BN$12824,11,0)*BE2058</f>
        <v>19486.370567335929</v>
      </c>
      <c r="BX2058" s="1146">
        <f t="shared" si="399"/>
        <v>450348.93378702173</v>
      </c>
      <c r="BY2058" s="867">
        <f t="shared" si="401"/>
        <v>19585302.098587021</v>
      </c>
      <c r="BZ2058" s="867">
        <f t="shared" si="400"/>
        <v>19585302.098587021</v>
      </c>
      <c r="CA2058" s="867">
        <f>_xlfn.MAXIFS($BY$4:$BY$12824,$S$4:$S$12824,$S2058)</f>
        <v>19585302.098587021</v>
      </c>
      <c r="CB2058" s="1032"/>
      <c r="CF2058" s="946">
        <f t="shared" si="394"/>
        <v>20211840</v>
      </c>
    </row>
    <row r="2059" spans="2:84">
      <c r="B2059" s="839" t="s">
        <v>98</v>
      </c>
      <c r="C2059" s="839" t="s">
        <v>5697</v>
      </c>
      <c r="D2059" s="839" t="s">
        <v>5754</v>
      </c>
      <c r="E2059" s="839" t="s">
        <v>5754</v>
      </c>
      <c r="F2059" s="841">
        <v>45805</v>
      </c>
      <c r="G2059" s="839" t="s">
        <v>5697</v>
      </c>
      <c r="H2059" s="883" t="s">
        <v>3457</v>
      </c>
      <c r="I2059" s="883"/>
      <c r="J2059" s="841"/>
      <c r="K2059" s="841"/>
      <c r="L2059" s="843" t="s">
        <v>5257</v>
      </c>
      <c r="M2059" s="844" t="s">
        <v>107</v>
      </c>
      <c r="N2059" s="841"/>
      <c r="O2059" s="884" t="s">
        <v>108</v>
      </c>
      <c r="P2059" s="842" t="s">
        <v>269</v>
      </c>
      <c r="Q2059" s="843"/>
      <c r="R2059" s="845" t="s">
        <v>6741</v>
      </c>
      <c r="S2059" s="1127" t="s">
        <v>6742</v>
      </c>
      <c r="T2059" s="885" t="s">
        <v>6743</v>
      </c>
      <c r="U2059" s="886">
        <v>1</v>
      </c>
      <c r="V2059" s="842" t="s">
        <v>3</v>
      </c>
      <c r="W2059" s="846">
        <v>2300</v>
      </c>
      <c r="X2059" s="847">
        <v>2300</v>
      </c>
      <c r="Y2059" s="853" t="s">
        <v>5703</v>
      </c>
      <c r="Z2059" s="849">
        <v>1200.5999999999999</v>
      </c>
      <c r="AA2059" s="849"/>
      <c r="AB2059" s="849">
        <f t="shared" si="395"/>
        <v>1200.5999999999999</v>
      </c>
      <c r="AC2059" s="850">
        <f t="shared" si="396"/>
        <v>1200.5999999999999</v>
      </c>
      <c r="AD2059" s="851">
        <f t="shared" si="393"/>
        <v>32000</v>
      </c>
      <c r="AE2059" s="852">
        <v>30295.040000000001</v>
      </c>
      <c r="AF2059" s="853">
        <v>0</v>
      </c>
      <c r="AG2059" s="854">
        <f t="shared" si="397"/>
        <v>0</v>
      </c>
      <c r="AH2059" s="853">
        <v>0.08</v>
      </c>
      <c r="AI2059" s="855">
        <f t="shared" si="398"/>
        <v>2909778.0019199997</v>
      </c>
      <c r="AJ2059" s="845" t="s">
        <v>6733</v>
      </c>
      <c r="AK2059" s="857">
        <v>45951</v>
      </c>
      <c r="AL2059" s="843" t="s">
        <v>6734</v>
      </c>
      <c r="AM2059" s="843" t="s">
        <v>6735</v>
      </c>
      <c r="AN2059" s="844" t="s">
        <v>6736</v>
      </c>
      <c r="AO2059" s="844" t="s">
        <v>141</v>
      </c>
      <c r="AP2059" s="841"/>
      <c r="AQ2059" s="841">
        <v>45958</v>
      </c>
      <c r="AR2059" s="841">
        <v>46006</v>
      </c>
      <c r="AS2059" s="842" t="s">
        <v>6737</v>
      </c>
      <c r="AT2059" s="842" t="s">
        <v>6640</v>
      </c>
      <c r="AU2059" s="842" t="s">
        <v>1565</v>
      </c>
      <c r="AV2059" s="845" t="s">
        <v>6738</v>
      </c>
      <c r="AW2059" s="861">
        <v>46006</v>
      </c>
      <c r="AX2059" s="862">
        <v>46007</v>
      </c>
      <c r="AY2059" s="843" t="s">
        <v>6744</v>
      </c>
      <c r="AZ2059" s="842" t="s">
        <v>5856</v>
      </c>
      <c r="BA2059" s="842" t="s">
        <v>120</v>
      </c>
      <c r="BB2059" s="863" t="s">
        <v>121</v>
      </c>
      <c r="BC2059" s="864">
        <v>46009</v>
      </c>
      <c r="BD2059" s="860" t="s">
        <v>6740</v>
      </c>
      <c r="BE2059" s="865" cm="1">
        <f t="array" ref="BE2059">IF(BD2059="","",AC2059/SUMPRODUCT(--(BD2059=$BD$4:$BD$12824),$AC$4:$AC$12824))</f>
        <v>1.8658313991482069E-2</v>
      </c>
      <c r="BF2059" s="458"/>
      <c r="BG2059" s="458"/>
      <c r="BH2059" s="458"/>
      <c r="BI2059" s="458"/>
      <c r="BJ2059" s="458"/>
      <c r="BK2059" s="458"/>
      <c r="BL2059" s="458"/>
      <c r="BM2059" s="458"/>
      <c r="BN2059" s="458"/>
      <c r="BO2059" s="866">
        <f>VLOOKUP(BD2059,$BD$4:$BN$12824,3,0)*BE2059</f>
        <v>615840.97618135507</v>
      </c>
      <c r="BP2059" s="866"/>
      <c r="BQ2059" s="866"/>
      <c r="BR2059" s="866">
        <f>VLOOKUP(BD2059,$BD$4:$BN$12824,6,0)*BE2059</f>
        <v>162582.01771187774</v>
      </c>
      <c r="BS2059" s="866">
        <f>VLOOKUP(BD2059,$BD$4:$BN$12824,7,0)*BE2059</f>
        <v>35534.216209461483</v>
      </c>
      <c r="BT2059" s="866"/>
      <c r="BU2059" s="866">
        <f>VLOOKUP(BD2059,$BD$4:$BN$12824,9,0)*BE2059</f>
        <v>5037.7447777001589</v>
      </c>
      <c r="BV2059" s="867"/>
      <c r="BW2059" s="867">
        <f>VLOOKUP(BD2059,$BD$4:$BN$12824,11,0)*BE2059</f>
        <v>37040.208516423663</v>
      </c>
      <c r="BX2059" s="1146">
        <f t="shared" si="399"/>
        <v>856035.1633968181</v>
      </c>
      <c r="BY2059" s="867">
        <f t="shared" si="401"/>
        <v>37228260.187396817</v>
      </c>
      <c r="BZ2059" s="867">
        <f t="shared" si="400"/>
        <v>37228260.187396817</v>
      </c>
      <c r="CA2059" s="867">
        <f>_xlfn.MAXIFS($BY$4:$BY$12824,$S$4:$S$12824,$S2059)</f>
        <v>37228260.187396817</v>
      </c>
      <c r="CB2059" s="1032"/>
      <c r="CF2059" s="946">
        <f t="shared" si="394"/>
        <v>38419200</v>
      </c>
    </row>
    <row r="2060" spans="2:84">
      <c r="B2060" s="839" t="s">
        <v>98</v>
      </c>
      <c r="C2060" s="839" t="s">
        <v>5697</v>
      </c>
      <c r="D2060" s="839" t="s">
        <v>5754</v>
      </c>
      <c r="E2060" s="839" t="s">
        <v>5754</v>
      </c>
      <c r="F2060" s="841">
        <v>45805</v>
      </c>
      <c r="G2060" s="839" t="s">
        <v>5697</v>
      </c>
      <c r="H2060" s="883" t="s">
        <v>3457</v>
      </c>
      <c r="I2060" s="883"/>
      <c r="J2060" s="841"/>
      <c r="K2060" s="841"/>
      <c r="L2060" s="843" t="s">
        <v>5257</v>
      </c>
      <c r="M2060" s="844" t="s">
        <v>107</v>
      </c>
      <c r="N2060" s="841"/>
      <c r="O2060" s="884" t="s">
        <v>108</v>
      </c>
      <c r="P2060" s="842" t="s">
        <v>5803</v>
      </c>
      <c r="Q2060" s="843"/>
      <c r="R2060" s="845" t="s">
        <v>6745</v>
      </c>
      <c r="S2060" s="1127" t="s">
        <v>6746</v>
      </c>
      <c r="T2060" s="885" t="s">
        <v>6747</v>
      </c>
      <c r="U2060" s="886">
        <v>1</v>
      </c>
      <c r="V2060" s="842" t="s">
        <v>3</v>
      </c>
      <c r="W2060" s="846">
        <v>2300</v>
      </c>
      <c r="X2060" s="847">
        <v>2300</v>
      </c>
      <c r="Y2060" s="853" t="s">
        <v>5703</v>
      </c>
      <c r="Z2060" s="849">
        <v>1200.5999999999999</v>
      </c>
      <c r="AA2060" s="849"/>
      <c r="AB2060" s="849">
        <f t="shared" si="395"/>
        <v>1200.5999999999999</v>
      </c>
      <c r="AC2060" s="850">
        <f t="shared" si="396"/>
        <v>1200.5999999999999</v>
      </c>
      <c r="AD2060" s="851">
        <f t="shared" si="393"/>
        <v>32000</v>
      </c>
      <c r="AE2060" s="852">
        <v>30295.040000000001</v>
      </c>
      <c r="AF2060" s="853">
        <v>0</v>
      </c>
      <c r="AG2060" s="854">
        <f t="shared" si="397"/>
        <v>0</v>
      </c>
      <c r="AH2060" s="853">
        <v>0.08</v>
      </c>
      <c r="AI2060" s="855">
        <f t="shared" si="398"/>
        <v>2909778.0019199997</v>
      </c>
      <c r="AJ2060" s="845" t="s">
        <v>6733</v>
      </c>
      <c r="AK2060" s="857">
        <v>45951</v>
      </c>
      <c r="AL2060" s="843" t="s">
        <v>6734</v>
      </c>
      <c r="AM2060" s="843" t="s">
        <v>6735</v>
      </c>
      <c r="AN2060" s="844" t="s">
        <v>6736</v>
      </c>
      <c r="AO2060" s="844" t="s">
        <v>141</v>
      </c>
      <c r="AP2060" s="841"/>
      <c r="AQ2060" s="841">
        <v>45958</v>
      </c>
      <c r="AR2060" s="841">
        <v>46006</v>
      </c>
      <c r="AS2060" s="842" t="s">
        <v>6737</v>
      </c>
      <c r="AT2060" s="842" t="s">
        <v>6640</v>
      </c>
      <c r="AU2060" s="842" t="s">
        <v>1565</v>
      </c>
      <c r="AV2060" s="845" t="s">
        <v>6738</v>
      </c>
      <c r="AW2060" s="861">
        <v>46006</v>
      </c>
      <c r="AX2060" s="862">
        <v>46007</v>
      </c>
      <c r="AY2060" s="843" t="s">
        <v>6748</v>
      </c>
      <c r="AZ2060" s="842" t="s">
        <v>5856</v>
      </c>
      <c r="BA2060" s="842" t="s">
        <v>120</v>
      </c>
      <c r="BB2060" s="863" t="s">
        <v>121</v>
      </c>
      <c r="BC2060" s="864">
        <v>46009</v>
      </c>
      <c r="BD2060" s="860" t="s">
        <v>6740</v>
      </c>
      <c r="BE2060" s="865" cm="1">
        <f t="array" ref="BE2060">IF(BD2060="","",AC2060/SUMPRODUCT(--(BD2060=$BD$4:$BD$12824),$AC$4:$AC$12824))</f>
        <v>1.8658313991482069E-2</v>
      </c>
      <c r="BF2060" s="458"/>
      <c r="BG2060" s="458"/>
      <c r="BH2060" s="458"/>
      <c r="BI2060" s="458"/>
      <c r="BJ2060" s="458"/>
      <c r="BK2060" s="458"/>
      <c r="BL2060" s="458"/>
      <c r="BM2060" s="458"/>
      <c r="BN2060" s="458"/>
      <c r="BO2060" s="866">
        <f>VLOOKUP(BD2060,$BD$4:$BN$12824,3,0)*BE2060</f>
        <v>615840.97618135507</v>
      </c>
      <c r="BP2060" s="866"/>
      <c r="BQ2060" s="866"/>
      <c r="BR2060" s="866">
        <f>VLOOKUP(BD2060,$BD$4:$BN$12824,6,0)*BE2060</f>
        <v>162582.01771187774</v>
      </c>
      <c r="BS2060" s="866">
        <f>VLOOKUP(BD2060,$BD$4:$BN$12824,7,0)*BE2060</f>
        <v>35534.216209461483</v>
      </c>
      <c r="BT2060" s="866"/>
      <c r="BU2060" s="866">
        <f>VLOOKUP(BD2060,$BD$4:$BN$12824,9,0)*BE2060</f>
        <v>5037.7447777001589</v>
      </c>
      <c r="BV2060" s="867"/>
      <c r="BW2060" s="867">
        <f>VLOOKUP(BD2060,$BD$4:$BN$12824,11,0)*BE2060</f>
        <v>37040.208516423663</v>
      </c>
      <c r="BX2060" s="1146">
        <f t="shared" si="399"/>
        <v>856035.1633968181</v>
      </c>
      <c r="BY2060" s="867">
        <f t="shared" si="401"/>
        <v>37228260.187396817</v>
      </c>
      <c r="BZ2060" s="867">
        <f t="shared" si="400"/>
        <v>37228260.187396817</v>
      </c>
      <c r="CA2060" s="867">
        <f>_xlfn.MAXIFS($BY$4:$BY$12824,$S$4:$S$12824,$S2060)</f>
        <v>37228260.187396817</v>
      </c>
      <c r="CB2060" s="1032"/>
      <c r="CF2060" s="946">
        <f t="shared" si="394"/>
        <v>38419200</v>
      </c>
    </row>
    <row r="2061" spans="2:84">
      <c r="B2061" s="839" t="s">
        <v>98</v>
      </c>
      <c r="C2061" s="839" t="s">
        <v>5697</v>
      </c>
      <c r="D2061" s="839" t="s">
        <v>5754</v>
      </c>
      <c r="E2061" s="839" t="s">
        <v>5754</v>
      </c>
      <c r="F2061" s="841">
        <v>45805</v>
      </c>
      <c r="G2061" s="839" t="s">
        <v>5697</v>
      </c>
      <c r="H2061" s="883" t="s">
        <v>3457</v>
      </c>
      <c r="I2061" s="883"/>
      <c r="J2061" s="841"/>
      <c r="K2061" s="841"/>
      <c r="L2061" s="843" t="s">
        <v>5257</v>
      </c>
      <c r="M2061" s="844" t="s">
        <v>107</v>
      </c>
      <c r="N2061" s="841"/>
      <c r="O2061" s="884" t="s">
        <v>150</v>
      </c>
      <c r="P2061" s="842" t="s">
        <v>5168</v>
      </c>
      <c r="Q2061" s="843"/>
      <c r="R2061" s="845" t="s">
        <v>6749</v>
      </c>
      <c r="S2061" s="1127" t="s">
        <v>6750</v>
      </c>
      <c r="T2061" s="885" t="s">
        <v>6751</v>
      </c>
      <c r="U2061" s="886">
        <v>1</v>
      </c>
      <c r="V2061" s="842" t="s">
        <v>3</v>
      </c>
      <c r="W2061" s="846">
        <v>3120</v>
      </c>
      <c r="X2061" s="847">
        <v>3120</v>
      </c>
      <c r="Y2061" s="853" t="s">
        <v>5703</v>
      </c>
      <c r="Z2061" s="849">
        <v>1628.64</v>
      </c>
      <c r="AA2061" s="849"/>
      <c r="AB2061" s="849">
        <f t="shared" si="395"/>
        <v>1628.64</v>
      </c>
      <c r="AC2061" s="850">
        <f t="shared" si="396"/>
        <v>1628.64</v>
      </c>
      <c r="AD2061" s="851">
        <f t="shared" si="393"/>
        <v>32000</v>
      </c>
      <c r="AE2061" s="852">
        <v>30295.040000000001</v>
      </c>
      <c r="AF2061" s="853">
        <v>0</v>
      </c>
      <c r="AG2061" s="854">
        <f t="shared" si="397"/>
        <v>0</v>
      </c>
      <c r="AH2061" s="853">
        <v>0.08</v>
      </c>
      <c r="AI2061" s="855">
        <f t="shared" si="398"/>
        <v>3947177.1156480005</v>
      </c>
      <c r="AJ2061" s="845" t="s">
        <v>6733</v>
      </c>
      <c r="AK2061" s="857">
        <v>45951</v>
      </c>
      <c r="AL2061" s="843" t="s">
        <v>6734</v>
      </c>
      <c r="AM2061" s="843" t="s">
        <v>6735</v>
      </c>
      <c r="AN2061" s="844" t="s">
        <v>6736</v>
      </c>
      <c r="AO2061" s="844" t="s">
        <v>141</v>
      </c>
      <c r="AP2061" s="841"/>
      <c r="AQ2061" s="841">
        <v>45958</v>
      </c>
      <c r="AR2061" s="841">
        <v>46006</v>
      </c>
      <c r="AS2061" s="842" t="s">
        <v>6737</v>
      </c>
      <c r="AT2061" s="842" t="s">
        <v>6640</v>
      </c>
      <c r="AU2061" s="842" t="s">
        <v>1565</v>
      </c>
      <c r="AV2061" s="845" t="s">
        <v>6738</v>
      </c>
      <c r="AW2061" s="861">
        <v>46006</v>
      </c>
      <c r="AX2061" s="862">
        <v>46007</v>
      </c>
      <c r="AY2061" s="843" t="s">
        <v>6752</v>
      </c>
      <c r="AZ2061" s="842" t="s">
        <v>5856</v>
      </c>
      <c r="BA2061" s="842" t="s">
        <v>120</v>
      </c>
      <c r="BB2061" s="863" t="s">
        <v>121</v>
      </c>
      <c r="BC2061" s="864">
        <v>46009</v>
      </c>
      <c r="BD2061" s="860" t="s">
        <v>6740</v>
      </c>
      <c r="BE2061" s="865" cm="1">
        <f t="array" ref="BE2061">IF(BD2061="","",AC2061/SUMPRODUCT(--(BD2061=$BD$4:$BD$12824),$AC$4:$AC$12824))</f>
        <v>2.5310408544966984E-2</v>
      </c>
      <c r="BF2061" s="458"/>
      <c r="BG2061" s="458"/>
      <c r="BH2061" s="458"/>
      <c r="BI2061" s="458"/>
      <c r="BJ2061" s="458"/>
      <c r="BK2061" s="458"/>
      <c r="BL2061" s="458"/>
      <c r="BM2061" s="458"/>
      <c r="BN2061" s="458"/>
      <c r="BO2061" s="866">
        <f>VLOOKUP(BD2061,$BD$4:$BN$12824,3,0)*BE2061</f>
        <v>835401.67203731649</v>
      </c>
      <c r="BP2061" s="866"/>
      <c r="BQ2061" s="866"/>
      <c r="BR2061" s="866">
        <f>VLOOKUP(BD2061,$BD$4:$BN$12824,6,0)*BE2061</f>
        <v>220546.04141785155</v>
      </c>
      <c r="BS2061" s="866">
        <f>VLOOKUP(BD2061,$BD$4:$BN$12824,7,0)*BE2061</f>
        <v>48202.936771095585</v>
      </c>
      <c r="BT2061" s="866"/>
      <c r="BU2061" s="866">
        <f>VLOOKUP(BD2061,$BD$4:$BN$12824,9,0)*BE2061</f>
        <v>6833.810307141086</v>
      </c>
      <c r="BV2061" s="867"/>
      <c r="BW2061" s="867">
        <f>VLOOKUP(BD2061,$BD$4:$BN$12824,11,0)*BE2061</f>
        <v>50245.848074452973</v>
      </c>
      <c r="BX2061" s="1146">
        <f t="shared" si="399"/>
        <v>1161230.3086078577</v>
      </c>
      <c r="BY2061" s="867">
        <f t="shared" si="401"/>
        <v>50500944.254207864</v>
      </c>
      <c r="BZ2061" s="867">
        <f t="shared" si="400"/>
        <v>50500944.254207864</v>
      </c>
      <c r="CA2061" s="867">
        <f>_xlfn.MAXIFS($BY$4:$BY$12824,$S$4:$S$12824,$S2061)</f>
        <v>50500944.254207864</v>
      </c>
      <c r="CB2061" s="1032"/>
      <c r="CF2061" s="946">
        <f t="shared" si="394"/>
        <v>52116480</v>
      </c>
    </row>
    <row r="2062" spans="2:84">
      <c r="B2062" s="839" t="s">
        <v>98</v>
      </c>
      <c r="C2062" s="839" t="s">
        <v>5697</v>
      </c>
      <c r="D2062" s="839" t="s">
        <v>5754</v>
      </c>
      <c r="E2062" s="839" t="s">
        <v>5754</v>
      </c>
      <c r="F2062" s="841">
        <v>45805</v>
      </c>
      <c r="G2062" s="839" t="s">
        <v>5697</v>
      </c>
      <c r="H2062" s="883" t="s">
        <v>3457</v>
      </c>
      <c r="I2062" s="883"/>
      <c r="J2062" s="841"/>
      <c r="K2062" s="841"/>
      <c r="L2062" s="843" t="s">
        <v>5257</v>
      </c>
      <c r="M2062" s="844" t="s">
        <v>107</v>
      </c>
      <c r="N2062" s="841"/>
      <c r="O2062" s="884" t="s">
        <v>150</v>
      </c>
      <c r="P2062" s="842" t="s">
        <v>5168</v>
      </c>
      <c r="Q2062" s="843"/>
      <c r="R2062" s="845" t="s">
        <v>6753</v>
      </c>
      <c r="S2062" s="1127" t="s">
        <v>6754</v>
      </c>
      <c r="T2062" s="885" t="s">
        <v>6755</v>
      </c>
      <c r="U2062" s="886">
        <v>1</v>
      </c>
      <c r="V2062" s="842" t="s">
        <v>3</v>
      </c>
      <c r="W2062" s="846">
        <v>7975</v>
      </c>
      <c r="X2062" s="847">
        <v>7975</v>
      </c>
      <c r="Y2062" s="853" t="s">
        <v>5752</v>
      </c>
      <c r="Z2062" s="849">
        <v>3700.4</v>
      </c>
      <c r="AA2062" s="849"/>
      <c r="AB2062" s="849">
        <f t="shared" si="395"/>
        <v>3700.4</v>
      </c>
      <c r="AC2062" s="850">
        <f t="shared" si="396"/>
        <v>3700.4</v>
      </c>
      <c r="AD2062" s="851">
        <f t="shared" si="393"/>
        <v>32000</v>
      </c>
      <c r="AE2062" s="852">
        <v>30295.040000000001</v>
      </c>
      <c r="AF2062" s="853">
        <v>0</v>
      </c>
      <c r="AG2062" s="854">
        <f t="shared" si="397"/>
        <v>0</v>
      </c>
      <c r="AH2062" s="853">
        <v>0.08</v>
      </c>
      <c r="AI2062" s="855">
        <f t="shared" si="398"/>
        <v>8968301.2812799998</v>
      </c>
      <c r="AJ2062" s="845" t="s">
        <v>6733</v>
      </c>
      <c r="AK2062" s="857">
        <v>45951</v>
      </c>
      <c r="AL2062" s="843" t="s">
        <v>6734</v>
      </c>
      <c r="AM2062" s="843" t="s">
        <v>6735</v>
      </c>
      <c r="AN2062" s="844" t="s">
        <v>6736</v>
      </c>
      <c r="AO2062" s="844" t="s">
        <v>141</v>
      </c>
      <c r="AP2062" s="841"/>
      <c r="AQ2062" s="841">
        <v>45958</v>
      </c>
      <c r="AR2062" s="841">
        <v>46006</v>
      </c>
      <c r="AS2062" s="842" t="s">
        <v>6737</v>
      </c>
      <c r="AT2062" s="842" t="s">
        <v>6640</v>
      </c>
      <c r="AU2062" s="842" t="s">
        <v>1565</v>
      </c>
      <c r="AV2062" s="845" t="s">
        <v>6738</v>
      </c>
      <c r="AW2062" s="861">
        <v>46006</v>
      </c>
      <c r="AX2062" s="862">
        <v>46007</v>
      </c>
      <c r="AY2062" s="843" t="s">
        <v>6756</v>
      </c>
      <c r="AZ2062" s="842" t="s">
        <v>3183</v>
      </c>
      <c r="BA2062" s="842" t="s">
        <v>120</v>
      </c>
      <c r="BB2062" s="863" t="s">
        <v>121</v>
      </c>
      <c r="BC2062" s="864">
        <v>46009</v>
      </c>
      <c r="BD2062" s="860" t="s">
        <v>6740</v>
      </c>
      <c r="BE2062" s="865" cm="1">
        <f t="array" ref="BE2062">IF(BD2062="","",AC2062/SUMPRODUCT(--(BD2062=$BD$4:$BD$12824),$AC$4:$AC$12824))</f>
        <v>5.75072672780945E-2</v>
      </c>
      <c r="BF2062" s="458"/>
      <c r="BG2062" s="458"/>
      <c r="BH2062" s="458"/>
      <c r="BI2062" s="458"/>
      <c r="BJ2062" s="458"/>
      <c r="BK2062" s="458"/>
      <c r="BL2062" s="458"/>
      <c r="BM2062" s="458"/>
      <c r="BN2062" s="458"/>
      <c r="BO2062" s="866">
        <f>VLOOKUP(BD2062,$BD$4:$BN$12824,3,0)*BE2062</f>
        <v>1898099.2405976066</v>
      </c>
      <c r="BP2062" s="866"/>
      <c r="BQ2062" s="866"/>
      <c r="BR2062" s="866">
        <f>VLOOKUP(BD2062,$BD$4:$BN$12824,6,0)*BE2062</f>
        <v>501098.19951776811</v>
      </c>
      <c r="BS2062" s="866">
        <f>VLOOKUP(BD2062,$BD$4:$BN$12824,7,0)*BE2062</f>
        <v>109520.91759244651</v>
      </c>
      <c r="BT2062" s="866"/>
      <c r="BU2062" s="866">
        <f>VLOOKUP(BD2062,$BD$4:$BN$12824,9,0)*BE2062</f>
        <v>15526.962165085515</v>
      </c>
      <c r="BV2062" s="867"/>
      <c r="BW2062" s="867">
        <f>VLOOKUP(BD2062,$BD$4:$BN$12824,11,0)*BE2062</f>
        <v>114162.57504095796</v>
      </c>
      <c r="BX2062" s="1146">
        <f t="shared" si="399"/>
        <v>2638407.8949138643</v>
      </c>
      <c r="BY2062" s="867">
        <f t="shared" si="401"/>
        <v>114742173.91091387</v>
      </c>
      <c r="BZ2062" s="867">
        <f t="shared" si="400"/>
        <v>114742173.91091387</v>
      </c>
      <c r="CA2062" s="867">
        <f>_xlfn.MAXIFS($BY$4:$BY$12824,$S$4:$S$12824,$S2062)</f>
        <v>114742173.91091387</v>
      </c>
      <c r="CB2062" s="1032"/>
      <c r="CF2062" s="946">
        <f t="shared" si="394"/>
        <v>118412800</v>
      </c>
    </row>
    <row r="2063" spans="2:84">
      <c r="B2063" s="839" t="s">
        <v>98</v>
      </c>
      <c r="C2063" s="839" t="s">
        <v>5697</v>
      </c>
      <c r="D2063" s="839" t="s">
        <v>5754</v>
      </c>
      <c r="E2063" s="839" t="s">
        <v>5754</v>
      </c>
      <c r="F2063" s="841">
        <v>45805</v>
      </c>
      <c r="G2063" s="839" t="s">
        <v>5697</v>
      </c>
      <c r="H2063" s="883" t="s">
        <v>3457</v>
      </c>
      <c r="I2063" s="883"/>
      <c r="J2063" s="841"/>
      <c r="K2063" s="841"/>
      <c r="L2063" s="843" t="s">
        <v>5257</v>
      </c>
      <c r="M2063" s="844" t="s">
        <v>107</v>
      </c>
      <c r="N2063" s="841"/>
      <c r="O2063" s="884" t="s">
        <v>150</v>
      </c>
      <c r="P2063" s="842" t="s">
        <v>5168</v>
      </c>
      <c r="Q2063" s="843"/>
      <c r="R2063" s="845" t="s">
        <v>6757</v>
      </c>
      <c r="S2063" s="1127" t="s">
        <v>6758</v>
      </c>
      <c r="T2063" s="885" t="s">
        <v>6759</v>
      </c>
      <c r="U2063" s="886">
        <v>1</v>
      </c>
      <c r="V2063" s="842" t="s">
        <v>3</v>
      </c>
      <c r="W2063" s="846">
        <v>14240</v>
      </c>
      <c r="X2063" s="847">
        <v>14240</v>
      </c>
      <c r="Y2063" s="853" t="s">
        <v>5703</v>
      </c>
      <c r="Z2063" s="849">
        <v>7433.28</v>
      </c>
      <c r="AA2063" s="849"/>
      <c r="AB2063" s="849">
        <f t="shared" si="395"/>
        <v>7433.28</v>
      </c>
      <c r="AC2063" s="850">
        <f t="shared" si="396"/>
        <v>7433.28</v>
      </c>
      <c r="AD2063" s="851">
        <f t="shared" si="393"/>
        <v>32000</v>
      </c>
      <c r="AE2063" s="852">
        <v>30295.040000000001</v>
      </c>
      <c r="AF2063" s="853">
        <v>0</v>
      </c>
      <c r="AG2063" s="854">
        <f t="shared" si="397"/>
        <v>0</v>
      </c>
      <c r="AH2063" s="853">
        <v>0.08</v>
      </c>
      <c r="AI2063" s="855">
        <f t="shared" si="398"/>
        <v>18015321.194496002</v>
      </c>
      <c r="AJ2063" s="845" t="s">
        <v>6733</v>
      </c>
      <c r="AK2063" s="857">
        <v>45951</v>
      </c>
      <c r="AL2063" s="843" t="s">
        <v>6734</v>
      </c>
      <c r="AM2063" s="843" t="s">
        <v>6735</v>
      </c>
      <c r="AN2063" s="844" t="s">
        <v>6736</v>
      </c>
      <c r="AO2063" s="844" t="s">
        <v>141</v>
      </c>
      <c r="AP2063" s="841"/>
      <c r="AQ2063" s="841">
        <v>45958</v>
      </c>
      <c r="AR2063" s="841">
        <v>46006</v>
      </c>
      <c r="AS2063" s="842" t="s">
        <v>6737</v>
      </c>
      <c r="AT2063" s="842" t="s">
        <v>6640</v>
      </c>
      <c r="AU2063" s="842" t="s">
        <v>1565</v>
      </c>
      <c r="AV2063" s="845" t="s">
        <v>6738</v>
      </c>
      <c r="AW2063" s="861">
        <v>46006</v>
      </c>
      <c r="AX2063" s="862">
        <v>46007</v>
      </c>
      <c r="AY2063" s="843" t="s">
        <v>6760</v>
      </c>
      <c r="AZ2063" s="842" t="s">
        <v>5967</v>
      </c>
      <c r="BA2063" s="842" t="s">
        <v>120</v>
      </c>
      <c r="BB2063" s="863" t="s">
        <v>121</v>
      </c>
      <c r="BC2063" s="864">
        <v>46009</v>
      </c>
      <c r="BD2063" s="860" t="s">
        <v>6740</v>
      </c>
      <c r="BE2063" s="865" cm="1">
        <f t="array" ref="BE2063">IF(BD2063="","",AC2063/SUMPRODUCT(--(BD2063=$BD$4:$BD$12824),$AC$4:$AC$12824))</f>
        <v>0.11551930053856725</v>
      </c>
      <c r="BF2063" s="458"/>
      <c r="BG2063" s="458"/>
      <c r="BH2063" s="458"/>
      <c r="BI2063" s="458"/>
      <c r="BJ2063" s="458"/>
      <c r="BK2063" s="458"/>
      <c r="BL2063" s="458"/>
      <c r="BM2063" s="458"/>
      <c r="BN2063" s="458"/>
      <c r="BO2063" s="866">
        <f>VLOOKUP(BD2063,$BD$4:$BN$12824,3,0)*BE2063</f>
        <v>3812858.9134010854</v>
      </c>
      <c r="BP2063" s="866"/>
      <c r="BQ2063" s="866"/>
      <c r="BR2063" s="866">
        <f>VLOOKUP(BD2063,$BD$4:$BN$12824,6,0)*BE2063</f>
        <v>1006594.7531378865</v>
      </c>
      <c r="BS2063" s="866">
        <f>VLOOKUP(BD2063,$BD$4:$BN$12824,7,0)*BE2063</f>
        <v>220003.14731423112</v>
      </c>
      <c r="BT2063" s="866"/>
      <c r="BU2063" s="866">
        <f>VLOOKUP(BD2063,$BD$4:$BN$12824,9,0)*BE2063</f>
        <v>31190.211145413159</v>
      </c>
      <c r="BV2063" s="867"/>
      <c r="BW2063" s="867">
        <f>VLOOKUP(BD2063,$BD$4:$BN$12824,11,0)*BE2063</f>
        <v>229327.20403211869</v>
      </c>
      <c r="BX2063" s="1146">
        <f t="shared" si="399"/>
        <v>5299974.2290307349</v>
      </c>
      <c r="BY2063" s="867">
        <f t="shared" si="401"/>
        <v>230491489.16023073</v>
      </c>
      <c r="BZ2063" s="867">
        <f t="shared" si="400"/>
        <v>230491489.16023073</v>
      </c>
      <c r="CA2063" s="867">
        <f>_xlfn.MAXIFS($BY$4:$BY$12824,$S$4:$S$12824,$S2063)</f>
        <v>230491489.16023073</v>
      </c>
      <c r="CB2063" s="1032"/>
      <c r="CF2063" s="946">
        <f t="shared" si="394"/>
        <v>237864960</v>
      </c>
    </row>
    <row r="2064" spans="2:84">
      <c r="B2064" s="839" t="s">
        <v>98</v>
      </c>
      <c r="C2064" s="839" t="s">
        <v>5697</v>
      </c>
      <c r="D2064" s="839" t="s">
        <v>5754</v>
      </c>
      <c r="E2064" s="839" t="s">
        <v>5754</v>
      </c>
      <c r="F2064" s="841">
        <v>45805</v>
      </c>
      <c r="G2064" s="839" t="s">
        <v>5697</v>
      </c>
      <c r="H2064" s="883" t="s">
        <v>3457</v>
      </c>
      <c r="I2064" s="883"/>
      <c r="J2064" s="841"/>
      <c r="K2064" s="841"/>
      <c r="L2064" s="843" t="s">
        <v>5257</v>
      </c>
      <c r="M2064" s="844" t="s">
        <v>107</v>
      </c>
      <c r="N2064" s="841"/>
      <c r="O2064" s="884" t="s">
        <v>150</v>
      </c>
      <c r="P2064" s="842" t="s">
        <v>384</v>
      </c>
      <c r="Q2064" s="843"/>
      <c r="R2064" s="845" t="s">
        <v>6761</v>
      </c>
      <c r="S2064" s="1127" t="s">
        <v>6762</v>
      </c>
      <c r="T2064" s="885" t="s">
        <v>6763</v>
      </c>
      <c r="U2064" s="886">
        <v>2</v>
      </c>
      <c r="V2064" s="842" t="s">
        <v>3</v>
      </c>
      <c r="W2064" s="846">
        <v>1995</v>
      </c>
      <c r="X2064" s="847">
        <v>3990</v>
      </c>
      <c r="Y2064" s="853" t="s">
        <v>5703</v>
      </c>
      <c r="Z2064" s="849">
        <v>1041.3900000000001</v>
      </c>
      <c r="AA2064" s="849"/>
      <c r="AB2064" s="849">
        <f t="shared" si="395"/>
        <v>2082.7800000000002</v>
      </c>
      <c r="AC2064" s="850">
        <f t="shared" si="396"/>
        <v>2082.7800000000002</v>
      </c>
      <c r="AD2064" s="851">
        <f t="shared" si="393"/>
        <v>32000</v>
      </c>
      <c r="AE2064" s="852">
        <v>30295.040000000001</v>
      </c>
      <c r="AF2064" s="853">
        <v>0</v>
      </c>
      <c r="AG2064" s="854">
        <f t="shared" si="397"/>
        <v>0</v>
      </c>
      <c r="AH2064" s="853">
        <v>0.08</v>
      </c>
      <c r="AI2064" s="855">
        <f t="shared" si="398"/>
        <v>5047832.2728960011</v>
      </c>
      <c r="AJ2064" s="845" t="s">
        <v>6733</v>
      </c>
      <c r="AK2064" s="857">
        <v>45951</v>
      </c>
      <c r="AL2064" s="843" t="s">
        <v>6734</v>
      </c>
      <c r="AM2064" s="843" t="s">
        <v>6735</v>
      </c>
      <c r="AN2064" s="844" t="s">
        <v>6736</v>
      </c>
      <c r="AO2064" s="844" t="s">
        <v>141</v>
      </c>
      <c r="AP2064" s="841"/>
      <c r="AQ2064" s="841">
        <v>45958</v>
      </c>
      <c r="AR2064" s="841">
        <v>46006</v>
      </c>
      <c r="AS2064" s="842" t="s">
        <v>6737</v>
      </c>
      <c r="AT2064" s="842" t="s">
        <v>6640</v>
      </c>
      <c r="AU2064" s="842" t="s">
        <v>1565</v>
      </c>
      <c r="AV2064" s="845" t="s">
        <v>6738</v>
      </c>
      <c r="AW2064" s="861">
        <v>46006</v>
      </c>
      <c r="AX2064" s="862">
        <v>46007</v>
      </c>
      <c r="AY2064" s="843" t="s">
        <v>6764</v>
      </c>
      <c r="AZ2064" s="842" t="s">
        <v>5967</v>
      </c>
      <c r="BA2064" s="842" t="s">
        <v>120</v>
      </c>
      <c r="BB2064" s="863" t="s">
        <v>121</v>
      </c>
      <c r="BC2064" s="864">
        <v>46009</v>
      </c>
      <c r="BD2064" s="860" t="s">
        <v>6740</v>
      </c>
      <c r="BE2064" s="865" cm="1">
        <f t="array" ref="BE2064">IF(BD2064="","",AC2064/SUMPRODUCT(--(BD2064=$BD$4:$BD$12824),$AC$4:$AC$12824))</f>
        <v>3.236811862000586E-2</v>
      </c>
      <c r="BF2064" s="458"/>
      <c r="BG2064" s="458"/>
      <c r="BH2064" s="458"/>
      <c r="BI2064" s="458"/>
      <c r="BJ2064" s="458"/>
      <c r="BK2064" s="458"/>
      <c r="BL2064" s="458"/>
      <c r="BM2064" s="458"/>
      <c r="BN2064" s="458"/>
      <c r="BO2064" s="866">
        <f>VLOOKUP(BD2064,$BD$4:$BN$12824,3,0)*BE2064</f>
        <v>1068350.2152015683</v>
      </c>
      <c r="BP2064" s="866"/>
      <c r="BQ2064" s="866"/>
      <c r="BR2064" s="866">
        <f>VLOOKUP(BD2064,$BD$4:$BN$12824,6,0)*BE2064</f>
        <v>282044.45681321406</v>
      </c>
      <c r="BS2064" s="866">
        <f>VLOOKUP(BD2064,$BD$4:$BN$12824,7,0)*BE2064</f>
        <v>61644.140293804936</v>
      </c>
      <c r="BT2064" s="866"/>
      <c r="BU2064" s="866">
        <f>VLOOKUP(BD2064,$BD$4:$BN$12824,9,0)*BE2064</f>
        <v>8739.3920274015818</v>
      </c>
      <c r="BV2064" s="867"/>
      <c r="BW2064" s="867">
        <f>VLOOKUP(BD2064,$BD$4:$BN$12824,11,0)*BE2064</f>
        <v>64256.709556752372</v>
      </c>
      <c r="BX2064" s="1146">
        <f t="shared" si="399"/>
        <v>1485034.9138927413</v>
      </c>
      <c r="BY2064" s="867">
        <f t="shared" si="401"/>
        <v>32291469.162546374</v>
      </c>
      <c r="BZ2064" s="867">
        <f t="shared" si="400"/>
        <v>64582938.325092748</v>
      </c>
      <c r="CA2064" s="867">
        <f>_xlfn.MAXIFS($BY$4:$BY$12824,$S$4:$S$12824,$S2064)</f>
        <v>32291469.162546374</v>
      </c>
      <c r="CB2064" s="1032"/>
      <c r="CF2064" s="946">
        <f t="shared" si="394"/>
        <v>66648960.000000007</v>
      </c>
    </row>
    <row r="2065" spans="2:84">
      <c r="B2065" s="839" t="s">
        <v>98</v>
      </c>
      <c r="C2065" s="839" t="s">
        <v>5697</v>
      </c>
      <c r="D2065" s="839" t="s">
        <v>5754</v>
      </c>
      <c r="E2065" s="839" t="s">
        <v>5754</v>
      </c>
      <c r="F2065" s="841">
        <v>45805</v>
      </c>
      <c r="G2065" s="839" t="s">
        <v>5697</v>
      </c>
      <c r="H2065" s="883" t="s">
        <v>3457</v>
      </c>
      <c r="I2065" s="883"/>
      <c r="J2065" s="841"/>
      <c r="K2065" s="841"/>
      <c r="L2065" s="843" t="s">
        <v>5257</v>
      </c>
      <c r="M2065" s="844" t="s">
        <v>107</v>
      </c>
      <c r="N2065" s="841"/>
      <c r="O2065" s="884" t="s">
        <v>150</v>
      </c>
      <c r="P2065" s="842" t="s">
        <v>868</v>
      </c>
      <c r="Q2065" s="843"/>
      <c r="R2065" s="845" t="s">
        <v>6765</v>
      </c>
      <c r="S2065" s="1127" t="s">
        <v>6766</v>
      </c>
      <c r="T2065" s="885" t="s">
        <v>6767</v>
      </c>
      <c r="U2065" s="886">
        <v>1</v>
      </c>
      <c r="V2065" s="842" t="s">
        <v>3</v>
      </c>
      <c r="W2065" s="846">
        <v>8555</v>
      </c>
      <c r="X2065" s="847">
        <v>8555</v>
      </c>
      <c r="Y2065" s="853" t="s">
        <v>5703</v>
      </c>
      <c r="Z2065" s="849">
        <v>4465.71</v>
      </c>
      <c r="AA2065" s="849"/>
      <c r="AB2065" s="849">
        <f t="shared" si="395"/>
        <v>4465.71</v>
      </c>
      <c r="AC2065" s="850">
        <f t="shared" si="396"/>
        <v>4465.71</v>
      </c>
      <c r="AD2065" s="851">
        <f t="shared" si="393"/>
        <v>32000</v>
      </c>
      <c r="AE2065" s="852">
        <v>30295.040000000001</v>
      </c>
      <c r="AF2065" s="853">
        <v>0</v>
      </c>
      <c r="AG2065" s="854">
        <f t="shared" si="397"/>
        <v>0</v>
      </c>
      <c r="AH2065" s="853">
        <v>0.08</v>
      </c>
      <c r="AI2065" s="855">
        <f t="shared" si="398"/>
        <v>10823109.046272002</v>
      </c>
      <c r="AJ2065" s="845" t="s">
        <v>6733</v>
      </c>
      <c r="AK2065" s="857">
        <v>45951</v>
      </c>
      <c r="AL2065" s="843" t="s">
        <v>6734</v>
      </c>
      <c r="AM2065" s="843" t="s">
        <v>6735</v>
      </c>
      <c r="AN2065" s="844" t="s">
        <v>6736</v>
      </c>
      <c r="AO2065" s="844" t="s">
        <v>141</v>
      </c>
      <c r="AP2065" s="841"/>
      <c r="AQ2065" s="841">
        <v>45958</v>
      </c>
      <c r="AR2065" s="841">
        <v>46006</v>
      </c>
      <c r="AS2065" s="842" t="s">
        <v>6737</v>
      </c>
      <c r="AT2065" s="842" t="s">
        <v>6640</v>
      </c>
      <c r="AU2065" s="842" t="s">
        <v>1565</v>
      </c>
      <c r="AV2065" s="845" t="s">
        <v>6738</v>
      </c>
      <c r="AW2065" s="861">
        <v>46006</v>
      </c>
      <c r="AX2065" s="862">
        <v>46007</v>
      </c>
      <c r="AY2065" s="843" t="s">
        <v>6768</v>
      </c>
      <c r="AZ2065" s="842" t="s">
        <v>4269</v>
      </c>
      <c r="BA2065" s="842" t="s">
        <v>120</v>
      </c>
      <c r="BB2065" s="863" t="s">
        <v>121</v>
      </c>
      <c r="BC2065" s="864">
        <v>46009</v>
      </c>
      <c r="BD2065" s="860" t="s">
        <v>6740</v>
      </c>
      <c r="BE2065" s="865" cm="1">
        <f t="array" ref="BE2065">IF(BD2065="","",AC2065/SUMPRODUCT(--(BD2065=$BD$4:$BD$12824),$AC$4:$AC$12824))</f>
        <v>6.9400815737882232E-2</v>
      </c>
      <c r="BF2065" s="458"/>
      <c r="BG2065" s="458"/>
      <c r="BH2065" s="458"/>
      <c r="BI2065" s="458"/>
      <c r="BJ2065" s="458"/>
      <c r="BK2065" s="458"/>
      <c r="BL2065" s="458"/>
      <c r="BM2065" s="458"/>
      <c r="BN2065" s="458"/>
      <c r="BO2065" s="866">
        <f>VLOOKUP(BD2065,$BD$4:$BN$12824,3,0)*BE2065</f>
        <v>2290660.6744484752</v>
      </c>
      <c r="BP2065" s="866"/>
      <c r="BQ2065" s="866"/>
      <c r="BR2065" s="866">
        <f>VLOOKUP(BD2065,$BD$4:$BN$12824,6,0)*BE2065</f>
        <v>604734.41805439757</v>
      </c>
      <c r="BS2065" s="866">
        <f>VLOOKUP(BD2065,$BD$4:$BN$12824,7,0)*BE2065</f>
        <v>132171.83463997525</v>
      </c>
      <c r="BT2065" s="866"/>
      <c r="BU2065" s="866">
        <f>VLOOKUP(BD2065,$BD$4:$BN$12824,9,0)*BE2065</f>
        <v>18738.220249228201</v>
      </c>
      <c r="BV2065" s="867"/>
      <c r="BW2065" s="867">
        <f>VLOOKUP(BD2065,$BD$4:$BN$12824,11,0)*BE2065</f>
        <v>137773.47124261066</v>
      </c>
      <c r="BX2065" s="1146">
        <f t="shared" si="399"/>
        <v>3184078.6186346873</v>
      </c>
      <c r="BY2065" s="867">
        <f t="shared" si="401"/>
        <v>138472941.69703472</v>
      </c>
      <c r="BZ2065" s="867">
        <f t="shared" si="400"/>
        <v>138472941.69703472</v>
      </c>
      <c r="CA2065" s="867">
        <f>_xlfn.MAXIFS($BY$4:$BY$12824,$S$4:$S$12824,$S2065)</f>
        <v>138472941.69703472</v>
      </c>
      <c r="CB2065" s="1032"/>
      <c r="CF2065" s="946">
        <f t="shared" si="394"/>
        <v>142902720</v>
      </c>
    </row>
    <row r="2066" spans="2:84">
      <c r="B2066" s="839" t="s">
        <v>98</v>
      </c>
      <c r="C2066" s="839" t="s">
        <v>5697</v>
      </c>
      <c r="D2066" s="839" t="s">
        <v>5754</v>
      </c>
      <c r="E2066" s="839" t="s">
        <v>5754</v>
      </c>
      <c r="F2066" s="841">
        <v>45805</v>
      </c>
      <c r="G2066" s="839" t="s">
        <v>5697</v>
      </c>
      <c r="H2066" s="883" t="s">
        <v>3457</v>
      </c>
      <c r="I2066" s="883"/>
      <c r="J2066" s="841"/>
      <c r="K2066" s="841"/>
      <c r="L2066" s="843" t="s">
        <v>5257</v>
      </c>
      <c r="M2066" s="844" t="s">
        <v>107</v>
      </c>
      <c r="N2066" s="841"/>
      <c r="O2066" s="884" t="s">
        <v>150</v>
      </c>
      <c r="P2066" s="842" t="s">
        <v>868</v>
      </c>
      <c r="Q2066" s="843"/>
      <c r="R2066" s="845" t="s">
        <v>6769</v>
      </c>
      <c r="S2066" s="1127" t="s">
        <v>6770</v>
      </c>
      <c r="T2066" s="885" t="s">
        <v>6771</v>
      </c>
      <c r="U2066" s="886">
        <v>1</v>
      </c>
      <c r="V2066" s="842" t="s">
        <v>3</v>
      </c>
      <c r="W2066" s="846">
        <v>9505</v>
      </c>
      <c r="X2066" s="847">
        <v>9505</v>
      </c>
      <c r="Y2066" s="853" t="s">
        <v>5703</v>
      </c>
      <c r="Z2066" s="849">
        <v>4961.6099999999997</v>
      </c>
      <c r="AA2066" s="849"/>
      <c r="AB2066" s="849">
        <f t="shared" si="395"/>
        <v>4961.6099999999997</v>
      </c>
      <c r="AC2066" s="850">
        <f t="shared" si="396"/>
        <v>4961.6099999999997</v>
      </c>
      <c r="AD2066" s="851">
        <f t="shared" si="393"/>
        <v>32000</v>
      </c>
      <c r="AE2066" s="852">
        <v>30295.040000000001</v>
      </c>
      <c r="AF2066" s="853">
        <v>0</v>
      </c>
      <c r="AG2066" s="854">
        <f t="shared" si="397"/>
        <v>0</v>
      </c>
      <c r="AH2066" s="853">
        <v>0.08</v>
      </c>
      <c r="AI2066" s="855">
        <f t="shared" si="398"/>
        <v>12024973.873151999</v>
      </c>
      <c r="AJ2066" s="845" t="s">
        <v>6733</v>
      </c>
      <c r="AK2066" s="857">
        <v>45951</v>
      </c>
      <c r="AL2066" s="843" t="s">
        <v>6734</v>
      </c>
      <c r="AM2066" s="843" t="s">
        <v>6735</v>
      </c>
      <c r="AN2066" s="844" t="s">
        <v>6736</v>
      </c>
      <c r="AO2066" s="844" t="s">
        <v>141</v>
      </c>
      <c r="AP2066" s="841"/>
      <c r="AQ2066" s="841">
        <v>45958</v>
      </c>
      <c r="AR2066" s="841">
        <v>46006</v>
      </c>
      <c r="AS2066" s="842" t="s">
        <v>6737</v>
      </c>
      <c r="AT2066" s="842" t="s">
        <v>6640</v>
      </c>
      <c r="AU2066" s="842" t="s">
        <v>1565</v>
      </c>
      <c r="AV2066" s="845" t="s">
        <v>6738</v>
      </c>
      <c r="AW2066" s="861">
        <v>46006</v>
      </c>
      <c r="AX2066" s="862">
        <v>46007</v>
      </c>
      <c r="AY2066" s="843" t="s">
        <v>6772</v>
      </c>
      <c r="AZ2066" s="842" t="s">
        <v>3247</v>
      </c>
      <c r="BA2066" s="842" t="s">
        <v>120</v>
      </c>
      <c r="BB2066" s="863" t="s">
        <v>121</v>
      </c>
      <c r="BC2066" s="864">
        <v>46009</v>
      </c>
      <c r="BD2066" s="860" t="s">
        <v>6740</v>
      </c>
      <c r="BE2066" s="865" cm="1">
        <f t="array" ref="BE2066">IF(BD2066="","",AC2066/SUMPRODUCT(--(BD2066=$BD$4:$BD$12824),$AC$4:$AC$12824))</f>
        <v>7.7107510647407423E-2</v>
      </c>
      <c r="BF2066" s="458"/>
      <c r="BG2066" s="458"/>
      <c r="BH2066" s="458"/>
      <c r="BI2066" s="458"/>
      <c r="BJ2066" s="458"/>
      <c r="BK2066" s="458"/>
      <c r="BL2066" s="458"/>
      <c r="BM2066" s="458"/>
      <c r="BN2066" s="458"/>
      <c r="BO2066" s="866">
        <f>VLOOKUP(BD2066,$BD$4:$BN$12824,3,0)*BE2066</f>
        <v>2545029.7733059912</v>
      </c>
      <c r="BP2066" s="866"/>
      <c r="BQ2066" s="866"/>
      <c r="BR2066" s="866">
        <f>VLOOKUP(BD2066,$BD$4:$BN$12824,6,0)*BE2066</f>
        <v>671887.86015278171</v>
      </c>
      <c r="BS2066" s="866">
        <f>VLOOKUP(BD2066,$BD$4:$BN$12824,7,0)*BE2066</f>
        <v>146849.01090040494</v>
      </c>
      <c r="BT2066" s="866"/>
      <c r="BU2066" s="866">
        <f>VLOOKUP(BD2066,$BD$4:$BN$12824,9,0)*BE2066</f>
        <v>20819.027874800006</v>
      </c>
      <c r="BV2066" s="867"/>
      <c r="BW2066" s="867">
        <f>VLOOKUP(BD2066,$BD$4:$BN$12824,11,0)*BE2066</f>
        <v>153072.68780374216</v>
      </c>
      <c r="BX2066" s="1146">
        <f t="shared" si="399"/>
        <v>3537658.3600377194</v>
      </c>
      <c r="BY2066" s="867">
        <f t="shared" si="401"/>
        <v>153849831.7744377</v>
      </c>
      <c r="BZ2066" s="867">
        <f t="shared" si="400"/>
        <v>153849831.7744377</v>
      </c>
      <c r="CA2066" s="867">
        <f>_xlfn.MAXIFS($BY$4:$BY$12824,$S$4:$S$12824,$S2066)</f>
        <v>153849831.7744377</v>
      </c>
      <c r="CB2066" s="1032"/>
      <c r="CF2066" s="946">
        <f t="shared" si="394"/>
        <v>158771520</v>
      </c>
    </row>
    <row r="2067" spans="2:84">
      <c r="B2067" s="839" t="s">
        <v>98</v>
      </c>
      <c r="C2067" s="839" t="s">
        <v>5697</v>
      </c>
      <c r="D2067" s="839" t="s">
        <v>5754</v>
      </c>
      <c r="E2067" s="839" t="s">
        <v>5754</v>
      </c>
      <c r="F2067" s="841">
        <v>45805</v>
      </c>
      <c r="G2067" s="839" t="s">
        <v>5697</v>
      </c>
      <c r="H2067" s="883" t="s">
        <v>3457</v>
      </c>
      <c r="I2067" s="883"/>
      <c r="J2067" s="841"/>
      <c r="K2067" s="841"/>
      <c r="L2067" s="843" t="s">
        <v>5257</v>
      </c>
      <c r="M2067" s="844" t="s">
        <v>107</v>
      </c>
      <c r="N2067" s="841"/>
      <c r="O2067" s="884" t="s">
        <v>150</v>
      </c>
      <c r="P2067" s="842" t="s">
        <v>461</v>
      </c>
      <c r="Q2067" s="843"/>
      <c r="R2067" s="845" t="s">
        <v>6773</v>
      </c>
      <c r="S2067" s="1127" t="s">
        <v>6774</v>
      </c>
      <c r="T2067" s="885" t="s">
        <v>6775</v>
      </c>
      <c r="U2067" s="886">
        <v>1</v>
      </c>
      <c r="V2067" s="842" t="s">
        <v>3</v>
      </c>
      <c r="W2067" s="846">
        <v>9560</v>
      </c>
      <c r="X2067" s="847">
        <v>9560</v>
      </c>
      <c r="Y2067" s="853" t="s">
        <v>5703</v>
      </c>
      <c r="Z2067" s="849">
        <v>4990.32</v>
      </c>
      <c r="AA2067" s="849"/>
      <c r="AB2067" s="849">
        <f t="shared" si="395"/>
        <v>4990.32</v>
      </c>
      <c r="AC2067" s="850">
        <f t="shared" si="396"/>
        <v>4990.32</v>
      </c>
      <c r="AD2067" s="851">
        <f t="shared" si="393"/>
        <v>32000</v>
      </c>
      <c r="AE2067" s="852">
        <v>30295.040000000001</v>
      </c>
      <c r="AF2067" s="853">
        <v>0</v>
      </c>
      <c r="AG2067" s="854">
        <f t="shared" si="397"/>
        <v>0</v>
      </c>
      <c r="AH2067" s="853">
        <v>0.08</v>
      </c>
      <c r="AI2067" s="855">
        <f t="shared" si="398"/>
        <v>12094555.521024002</v>
      </c>
      <c r="AJ2067" s="845" t="s">
        <v>6733</v>
      </c>
      <c r="AK2067" s="857">
        <v>45951</v>
      </c>
      <c r="AL2067" s="843" t="s">
        <v>6734</v>
      </c>
      <c r="AM2067" s="843" t="s">
        <v>6735</v>
      </c>
      <c r="AN2067" s="844" t="s">
        <v>6736</v>
      </c>
      <c r="AO2067" s="844" t="s">
        <v>141</v>
      </c>
      <c r="AP2067" s="841"/>
      <c r="AQ2067" s="841">
        <v>45958</v>
      </c>
      <c r="AR2067" s="841">
        <v>46006</v>
      </c>
      <c r="AS2067" s="842" t="s">
        <v>6737</v>
      </c>
      <c r="AT2067" s="842" t="s">
        <v>6640</v>
      </c>
      <c r="AU2067" s="842" t="s">
        <v>1565</v>
      </c>
      <c r="AV2067" s="845" t="s">
        <v>6738</v>
      </c>
      <c r="AW2067" s="861">
        <v>46006</v>
      </c>
      <c r="AX2067" s="862">
        <v>46007</v>
      </c>
      <c r="AY2067" s="843" t="s">
        <v>6776</v>
      </c>
      <c r="AZ2067" s="842" t="s">
        <v>4269</v>
      </c>
      <c r="BA2067" s="842" t="s">
        <v>120</v>
      </c>
      <c r="BB2067" s="863" t="s">
        <v>121</v>
      </c>
      <c r="BC2067" s="864">
        <v>46009</v>
      </c>
      <c r="BD2067" s="860" t="s">
        <v>6740</v>
      </c>
      <c r="BE2067" s="865" cm="1">
        <f t="array" ref="BE2067">IF(BD2067="","",AC2067/SUMPRODUCT(--(BD2067=$BD$4:$BD$12824),$AC$4:$AC$12824))</f>
        <v>7.7553687721116774E-2</v>
      </c>
      <c r="BF2067" s="458"/>
      <c r="BG2067" s="458"/>
      <c r="BH2067" s="458"/>
      <c r="BI2067" s="458"/>
      <c r="BJ2067" s="458"/>
      <c r="BK2067" s="458"/>
      <c r="BL2067" s="458"/>
      <c r="BM2067" s="458"/>
      <c r="BN2067" s="458"/>
      <c r="BO2067" s="866">
        <f>VLOOKUP(BD2067,$BD$4:$BN$12824,3,0)*BE2067</f>
        <v>2559756.4053451107</v>
      </c>
      <c r="BP2067" s="866"/>
      <c r="BQ2067" s="866"/>
      <c r="BR2067" s="866">
        <f>VLOOKUP(BD2067,$BD$4:$BN$12824,6,0)*BE2067</f>
        <v>675775.69101110916</v>
      </c>
      <c r="BS2067" s="866">
        <f>VLOOKUP(BD2067,$BD$4:$BN$12824,7,0)*BE2067</f>
        <v>147698.74215758772</v>
      </c>
      <c r="BT2067" s="866"/>
      <c r="BU2067" s="866">
        <f>VLOOKUP(BD2067,$BD$4:$BN$12824,9,0)*BE2067</f>
        <v>20939.495684701527</v>
      </c>
      <c r="BV2067" s="867"/>
      <c r="BW2067" s="867">
        <f>VLOOKUP(BD2067,$BD$4:$BN$12824,11,0)*BE2067</f>
        <v>153958.43192043924</v>
      </c>
      <c r="BX2067" s="1146">
        <f t="shared" si="399"/>
        <v>3558128.7661189483</v>
      </c>
      <c r="BY2067" s="867">
        <f t="shared" si="401"/>
        <v>154740072.77891895</v>
      </c>
      <c r="BZ2067" s="867">
        <f t="shared" si="400"/>
        <v>154740072.77891895</v>
      </c>
      <c r="CA2067" s="867">
        <f>_xlfn.MAXIFS($BY$4:$BY$12824,$S$4:$S$12824,$S2067)</f>
        <v>154740072.77891895</v>
      </c>
      <c r="CB2067" s="1032"/>
      <c r="CF2067" s="946">
        <f t="shared" si="394"/>
        <v>159690240</v>
      </c>
    </row>
    <row r="2068" spans="2:84">
      <c r="B2068" s="839" t="s">
        <v>98</v>
      </c>
      <c r="C2068" s="839" t="s">
        <v>5697</v>
      </c>
      <c r="D2068" s="839" t="s">
        <v>5754</v>
      </c>
      <c r="E2068" s="839" t="s">
        <v>5754</v>
      </c>
      <c r="F2068" s="841">
        <v>45805</v>
      </c>
      <c r="G2068" s="839" t="s">
        <v>5697</v>
      </c>
      <c r="H2068" s="883" t="s">
        <v>3457</v>
      </c>
      <c r="I2068" s="883"/>
      <c r="J2068" s="841"/>
      <c r="K2068" s="841"/>
      <c r="L2068" s="843" t="s">
        <v>5257</v>
      </c>
      <c r="M2068" s="844" t="s">
        <v>107</v>
      </c>
      <c r="N2068" s="841"/>
      <c r="O2068" s="884" t="s">
        <v>150</v>
      </c>
      <c r="P2068" s="842" t="s">
        <v>461</v>
      </c>
      <c r="Q2068" s="843"/>
      <c r="R2068" s="845" t="s">
        <v>6777</v>
      </c>
      <c r="S2068" s="1127" t="s">
        <v>6778</v>
      </c>
      <c r="T2068" s="885" t="s">
        <v>6779</v>
      </c>
      <c r="U2068" s="886">
        <v>1</v>
      </c>
      <c r="V2068" s="842" t="s">
        <v>3</v>
      </c>
      <c r="W2068" s="846">
        <v>5820</v>
      </c>
      <c r="X2068" s="847">
        <v>5820</v>
      </c>
      <c r="Y2068" s="853" t="s">
        <v>5752</v>
      </c>
      <c r="Z2068" s="849">
        <v>2700.48</v>
      </c>
      <c r="AA2068" s="849"/>
      <c r="AB2068" s="849">
        <f t="shared" si="395"/>
        <v>2700.48</v>
      </c>
      <c r="AC2068" s="850">
        <f t="shared" si="396"/>
        <v>2700.48</v>
      </c>
      <c r="AD2068" s="851">
        <f t="shared" si="393"/>
        <v>32000</v>
      </c>
      <c r="AE2068" s="852">
        <v>30295.040000000001</v>
      </c>
      <c r="AF2068" s="853">
        <v>0.12</v>
      </c>
      <c r="AG2068" s="854">
        <f t="shared" si="397"/>
        <v>9993152.6149284448</v>
      </c>
      <c r="AH2068" s="853">
        <v>0.08</v>
      </c>
      <c r="AI2068" s="855">
        <f t="shared" si="398"/>
        <v>7344344.1787302755</v>
      </c>
      <c r="AJ2068" s="845" t="s">
        <v>6733</v>
      </c>
      <c r="AK2068" s="857">
        <v>45951</v>
      </c>
      <c r="AL2068" s="843" t="s">
        <v>6734</v>
      </c>
      <c r="AM2068" s="843" t="s">
        <v>6735</v>
      </c>
      <c r="AN2068" s="844" t="s">
        <v>6736</v>
      </c>
      <c r="AO2068" s="844" t="s">
        <v>141</v>
      </c>
      <c r="AP2068" s="841"/>
      <c r="AQ2068" s="841">
        <v>45958</v>
      </c>
      <c r="AR2068" s="841">
        <v>46006</v>
      </c>
      <c r="AS2068" s="842" t="s">
        <v>6737</v>
      </c>
      <c r="AT2068" s="842" t="s">
        <v>6640</v>
      </c>
      <c r="AU2068" s="842" t="s">
        <v>1565</v>
      </c>
      <c r="AV2068" s="845" t="s">
        <v>6738</v>
      </c>
      <c r="AW2068" s="861">
        <v>46006</v>
      </c>
      <c r="AX2068" s="862">
        <v>46007</v>
      </c>
      <c r="AY2068" s="843" t="s">
        <v>6780</v>
      </c>
      <c r="AZ2068" s="842" t="s">
        <v>5714</v>
      </c>
      <c r="BA2068" s="842" t="s">
        <v>120</v>
      </c>
      <c r="BB2068" s="863" t="s">
        <v>121</v>
      </c>
      <c r="BC2068" s="864">
        <v>46009</v>
      </c>
      <c r="BD2068" s="860" t="s">
        <v>6740</v>
      </c>
      <c r="BE2068" s="865" cm="1">
        <f t="array" ref="BE2068">IF(BD2068="","",AC2068/SUMPRODUCT(--(BD2068=$BD$4:$BD$12824),$AC$4:$AC$12824))</f>
        <v>4.1967685963449526E-2</v>
      </c>
      <c r="BF2068" s="458"/>
      <c r="BG2068" s="458"/>
      <c r="BH2068" s="458"/>
      <c r="BI2068" s="458"/>
      <c r="BJ2068" s="458"/>
      <c r="BK2068" s="458"/>
      <c r="BL2068" s="458"/>
      <c r="BM2068" s="458"/>
      <c r="BN2068" s="458"/>
      <c r="BO2068" s="866">
        <f>VLOOKUP(BD2068,$BD$4:$BN$12824,3,0)*BE2068</f>
        <v>1385195.9348311059</v>
      </c>
      <c r="BP2068" s="866"/>
      <c r="BQ2068" s="866"/>
      <c r="BR2068" s="866">
        <f>VLOOKUP(BD2068,$BD$4:$BN$12824,6,0)*BE2068</f>
        <v>365691.72679541196</v>
      </c>
      <c r="BS2068" s="866">
        <f>VLOOKUP(BD2068,$BD$4:$BN$12824,7,0)*BE2068</f>
        <v>79926.237039252504</v>
      </c>
      <c r="BT2068" s="866"/>
      <c r="BU2068" s="866">
        <f>VLOOKUP(BD2068,$BD$4:$BN$12824,9,0)*BE2068</f>
        <v>11331.275210131373</v>
      </c>
      <c r="BV2068" s="867"/>
      <c r="BW2068" s="867">
        <f>VLOOKUP(BD2068,$BD$4:$BN$12824,11,0)*BE2068</f>
        <v>83313.628431144243</v>
      </c>
      <c r="BX2068" s="1146">
        <f t="shared" si="399"/>
        <v>1925458.8023070458</v>
      </c>
      <c r="BY2068" s="867">
        <f t="shared" si="401"/>
        <v>93729761.036435485</v>
      </c>
      <c r="BZ2068" s="867">
        <f t="shared" si="400"/>
        <v>93729761.036435485</v>
      </c>
      <c r="CA2068" s="867">
        <f>_xlfn.MAXIFS($BY$4:$BY$12824,$S$4:$S$12824,$S2068)</f>
        <v>93729761.036435485</v>
      </c>
      <c r="CB2068" s="1032"/>
      <c r="CF2068" s="946">
        <f t="shared" si="394"/>
        <v>86415360</v>
      </c>
    </row>
    <row r="2069" spans="2:84">
      <c r="B2069" s="839" t="s">
        <v>98</v>
      </c>
      <c r="C2069" s="839" t="s">
        <v>5697</v>
      </c>
      <c r="D2069" s="839" t="s">
        <v>5754</v>
      </c>
      <c r="E2069" s="839" t="s">
        <v>5754</v>
      </c>
      <c r="F2069" s="841">
        <v>45805</v>
      </c>
      <c r="G2069" s="839" t="s">
        <v>5697</v>
      </c>
      <c r="H2069" s="883" t="s">
        <v>3457</v>
      </c>
      <c r="I2069" s="883"/>
      <c r="J2069" s="841"/>
      <c r="K2069" s="841"/>
      <c r="L2069" s="843" t="s">
        <v>5257</v>
      </c>
      <c r="M2069" s="844" t="s">
        <v>107</v>
      </c>
      <c r="N2069" s="841"/>
      <c r="O2069" s="884" t="s">
        <v>150</v>
      </c>
      <c r="P2069" s="842" t="s">
        <v>461</v>
      </c>
      <c r="Q2069" s="843"/>
      <c r="R2069" s="845" t="s">
        <v>6781</v>
      </c>
      <c r="S2069" s="1127" t="s">
        <v>6782</v>
      </c>
      <c r="T2069" s="885" t="s">
        <v>6783</v>
      </c>
      <c r="U2069" s="886">
        <v>1</v>
      </c>
      <c r="V2069" s="842" t="s">
        <v>3</v>
      </c>
      <c r="W2069" s="846">
        <v>9700</v>
      </c>
      <c r="X2069" s="847">
        <v>9700</v>
      </c>
      <c r="Y2069" s="853" t="s">
        <v>5752</v>
      </c>
      <c r="Z2069" s="849">
        <v>4500.8</v>
      </c>
      <c r="AA2069" s="849"/>
      <c r="AB2069" s="849">
        <f t="shared" si="395"/>
        <v>4500.8</v>
      </c>
      <c r="AC2069" s="850">
        <f t="shared" si="396"/>
        <v>4500.8</v>
      </c>
      <c r="AD2069" s="851">
        <f t="shared" si="393"/>
        <v>32000</v>
      </c>
      <c r="AE2069" s="852">
        <v>30295.040000000001</v>
      </c>
      <c r="AF2069" s="853">
        <v>0.12</v>
      </c>
      <c r="AG2069" s="854">
        <f t="shared" si="397"/>
        <v>16655254.358214071</v>
      </c>
      <c r="AH2069" s="853">
        <v>0.08</v>
      </c>
      <c r="AI2069" s="855">
        <f t="shared" si="398"/>
        <v>12240573.631217128</v>
      </c>
      <c r="AJ2069" s="845" t="s">
        <v>6733</v>
      </c>
      <c r="AK2069" s="857">
        <v>45951</v>
      </c>
      <c r="AL2069" s="843" t="s">
        <v>6734</v>
      </c>
      <c r="AM2069" s="843" t="s">
        <v>6735</v>
      </c>
      <c r="AN2069" s="844" t="s">
        <v>6736</v>
      </c>
      <c r="AO2069" s="844" t="s">
        <v>141</v>
      </c>
      <c r="AP2069" s="841"/>
      <c r="AQ2069" s="841">
        <v>45958</v>
      </c>
      <c r="AR2069" s="841">
        <v>46006</v>
      </c>
      <c r="AS2069" s="842" t="s">
        <v>6737</v>
      </c>
      <c r="AT2069" s="842" t="s">
        <v>6640</v>
      </c>
      <c r="AU2069" s="842" t="s">
        <v>1565</v>
      </c>
      <c r="AV2069" s="845" t="s">
        <v>6738</v>
      </c>
      <c r="AW2069" s="861">
        <v>46006</v>
      </c>
      <c r="AX2069" s="862">
        <v>46007</v>
      </c>
      <c r="AY2069" s="843" t="s">
        <v>6784</v>
      </c>
      <c r="AZ2069" s="842" t="s">
        <v>5714</v>
      </c>
      <c r="BA2069" s="842" t="s">
        <v>120</v>
      </c>
      <c r="BB2069" s="863" t="s">
        <v>121</v>
      </c>
      <c r="BC2069" s="864">
        <v>46009</v>
      </c>
      <c r="BD2069" s="860" t="s">
        <v>6740</v>
      </c>
      <c r="BE2069" s="865" cm="1">
        <f t="array" ref="BE2069">IF(BD2069="","",AC2069/SUMPRODUCT(--(BD2069=$BD$4:$BD$12824),$AC$4:$AC$12824))</f>
        <v>6.9946143272415884E-2</v>
      </c>
      <c r="BF2069" s="458"/>
      <c r="BG2069" s="458"/>
      <c r="BH2069" s="458"/>
      <c r="BI2069" s="458"/>
      <c r="BJ2069" s="458"/>
      <c r="BK2069" s="458"/>
      <c r="BL2069" s="458"/>
      <c r="BM2069" s="458"/>
      <c r="BN2069" s="458"/>
      <c r="BO2069" s="866">
        <f>VLOOKUP(BD2069,$BD$4:$BN$12824,3,0)*BE2069</f>
        <v>2308659.8913851767</v>
      </c>
      <c r="BP2069" s="866"/>
      <c r="BQ2069" s="866"/>
      <c r="BR2069" s="866">
        <f>VLOOKUP(BD2069,$BD$4:$BN$12824,6,0)*BE2069</f>
        <v>609486.21132568666</v>
      </c>
      <c r="BS2069" s="866">
        <f>VLOOKUP(BD2069,$BD$4:$BN$12824,7,0)*BE2069</f>
        <v>133210.39506542083</v>
      </c>
      <c r="BT2069" s="866"/>
      <c r="BU2069" s="866">
        <f>VLOOKUP(BD2069,$BD$4:$BN$12824,9,0)*BE2069</f>
        <v>18885.45868355229</v>
      </c>
      <c r="BV2069" s="867"/>
      <c r="BW2069" s="867">
        <f>VLOOKUP(BD2069,$BD$4:$BN$12824,11,0)*BE2069</f>
        <v>138856.04738524041</v>
      </c>
      <c r="BX2069" s="1146">
        <f t="shared" si="399"/>
        <v>3209098.003845077</v>
      </c>
      <c r="BY2069" s="867">
        <f t="shared" si="401"/>
        <v>156216268.39405915</v>
      </c>
      <c r="BZ2069" s="867">
        <f t="shared" si="400"/>
        <v>156216268.39405915</v>
      </c>
      <c r="CA2069" s="867">
        <f>_xlfn.MAXIFS($BY$4:$BY$12824,$S$4:$S$12824,$S2069)</f>
        <v>156216268.39405915</v>
      </c>
      <c r="CB2069" s="1032"/>
      <c r="CF2069" s="946">
        <f t="shared" si="394"/>
        <v>144025600</v>
      </c>
    </row>
    <row r="2070" spans="2:84">
      <c r="B2070" s="839" t="s">
        <v>98</v>
      </c>
      <c r="C2070" s="839" t="s">
        <v>5697</v>
      </c>
      <c r="D2070" s="839" t="s">
        <v>6207</v>
      </c>
      <c r="E2070" s="839" t="s">
        <v>6207</v>
      </c>
      <c r="F2070" s="841">
        <v>45842</v>
      </c>
      <c r="G2070" s="839" t="s">
        <v>5697</v>
      </c>
      <c r="H2070" s="842" t="s">
        <v>134</v>
      </c>
      <c r="I2070" s="883"/>
      <c r="J2070" s="841"/>
      <c r="K2070" s="841"/>
      <c r="L2070" s="843" t="s">
        <v>5257</v>
      </c>
      <c r="M2070" s="844" t="s">
        <v>107</v>
      </c>
      <c r="N2070" s="841"/>
      <c r="O2070" s="884" t="s">
        <v>150</v>
      </c>
      <c r="P2070" s="842" t="s">
        <v>5168</v>
      </c>
      <c r="Q2070" s="843"/>
      <c r="R2070" s="845" t="s">
        <v>5820</v>
      </c>
      <c r="S2070" s="1127" t="s">
        <v>5821</v>
      </c>
      <c r="T2070" s="885" t="s">
        <v>6785</v>
      </c>
      <c r="U2070" s="886">
        <v>2</v>
      </c>
      <c r="V2070" s="842" t="s">
        <v>3</v>
      </c>
      <c r="W2070" s="846">
        <v>1810</v>
      </c>
      <c r="X2070" s="847">
        <v>3620</v>
      </c>
      <c r="Y2070" s="853" t="s">
        <v>6209</v>
      </c>
      <c r="Z2070" s="849">
        <v>944.82000000000016</v>
      </c>
      <c r="AA2070" s="849"/>
      <c r="AB2070" s="849">
        <f t="shared" si="395"/>
        <v>1889.6400000000003</v>
      </c>
      <c r="AC2070" s="850">
        <f t="shared" si="396"/>
        <v>1889.6400000000003</v>
      </c>
      <c r="AD2070" s="851">
        <f t="shared" si="393"/>
        <v>32000</v>
      </c>
      <c r="AE2070" s="852">
        <v>30295.040000000001</v>
      </c>
      <c r="AF2070" s="853">
        <v>0</v>
      </c>
      <c r="AG2070" s="854">
        <f t="shared" si="397"/>
        <v>0</v>
      </c>
      <c r="AH2070" s="853">
        <v>0.08</v>
      </c>
      <c r="AI2070" s="855">
        <f t="shared" si="398"/>
        <v>4579737.5508480007</v>
      </c>
      <c r="AJ2070" s="845" t="s">
        <v>6733</v>
      </c>
      <c r="AK2070" s="857">
        <v>45951</v>
      </c>
      <c r="AL2070" s="843" t="s">
        <v>6734</v>
      </c>
      <c r="AM2070" s="843" t="s">
        <v>6735</v>
      </c>
      <c r="AN2070" s="844" t="s">
        <v>6736</v>
      </c>
      <c r="AO2070" s="844" t="s">
        <v>141</v>
      </c>
      <c r="AP2070" s="841"/>
      <c r="AQ2070" s="841">
        <v>45958</v>
      </c>
      <c r="AR2070" s="841">
        <v>46006</v>
      </c>
      <c r="AS2070" s="842" t="s">
        <v>6737</v>
      </c>
      <c r="AT2070" s="842" t="s">
        <v>6640</v>
      </c>
      <c r="AU2070" s="842" t="s">
        <v>1565</v>
      </c>
      <c r="AV2070" s="845" t="s">
        <v>6738</v>
      </c>
      <c r="AW2070" s="861">
        <v>46006</v>
      </c>
      <c r="AX2070" s="862">
        <v>46007</v>
      </c>
      <c r="AY2070" s="843" t="s">
        <v>5823</v>
      </c>
      <c r="AZ2070" s="842" t="s">
        <v>5173</v>
      </c>
      <c r="BA2070" s="842" t="s">
        <v>120</v>
      </c>
      <c r="BB2070" s="863" t="s">
        <v>121</v>
      </c>
      <c r="BC2070" s="864">
        <v>46009</v>
      </c>
      <c r="BD2070" s="860" t="s">
        <v>6740</v>
      </c>
      <c r="BE2070" s="865" cm="1">
        <f t="array" ref="BE2070">IF(BD2070="","",AC2070/SUMPRODUCT(--(BD2070=$BD$4:$BD$12824),$AC$4:$AC$12824))</f>
        <v>2.9366563760506569E-2</v>
      </c>
      <c r="BF2070" s="458"/>
      <c r="BG2070" s="458"/>
      <c r="BH2070" s="458"/>
      <c r="BI2070" s="458"/>
      <c r="BJ2070" s="458"/>
      <c r="BK2070" s="458"/>
      <c r="BL2070" s="458"/>
      <c r="BM2070" s="458"/>
      <c r="BN2070" s="458"/>
      <c r="BO2070" s="866">
        <f>VLOOKUP(BD2070,$BD$4:$BN$12824,3,0)*BE2070</f>
        <v>969280.14512021991</v>
      </c>
      <c r="BP2070" s="866"/>
      <c r="BQ2070" s="866"/>
      <c r="BR2070" s="866">
        <f>VLOOKUP(BD2070,$BD$4:$BN$12824,6,0)*BE2070</f>
        <v>255889.95831173807</v>
      </c>
      <c r="BS2070" s="866">
        <f>VLOOKUP(BD2070,$BD$4:$BN$12824,7,0)*BE2070</f>
        <v>55927.766381848087</v>
      </c>
      <c r="BT2070" s="866"/>
      <c r="BU2070" s="866">
        <f>VLOOKUP(BD2070,$BD$4:$BN$12824,9,0)*BE2070</f>
        <v>7928.9722153367738</v>
      </c>
      <c r="BV2070" s="867"/>
      <c r="BW2070" s="867">
        <f>VLOOKUP(BD2070,$BD$4:$BN$12824,11,0)*BE2070</f>
        <v>58298.067317153778</v>
      </c>
      <c r="BX2070" s="1146">
        <f t="shared" si="399"/>
        <v>1347324.9093462967</v>
      </c>
      <c r="BY2070" s="867">
        <f t="shared" si="401"/>
        <v>29297022.147473153</v>
      </c>
      <c r="BZ2070" s="867">
        <f t="shared" si="400"/>
        <v>58594044.294946305</v>
      </c>
      <c r="CA2070" s="867">
        <f>_xlfn.MAXIFS($BY$4:$BY$12824,$S$4:$S$12824,$S2070)</f>
        <v>29297022.147473153</v>
      </c>
      <c r="CB2070" s="1032"/>
      <c r="CF2070" s="946">
        <f t="shared" si="394"/>
        <v>60468480.000000007</v>
      </c>
    </row>
    <row r="2071" spans="2:84">
      <c r="B2071" s="839" t="s">
        <v>98</v>
      </c>
      <c r="C2071" s="839" t="s">
        <v>5697</v>
      </c>
      <c r="D2071" s="839" t="s">
        <v>6207</v>
      </c>
      <c r="E2071" s="839" t="s">
        <v>6207</v>
      </c>
      <c r="F2071" s="841">
        <v>45842</v>
      </c>
      <c r="G2071" s="839" t="s">
        <v>5697</v>
      </c>
      <c r="H2071" s="842" t="s">
        <v>134</v>
      </c>
      <c r="I2071" s="883"/>
      <c r="J2071" s="841"/>
      <c r="K2071" s="841"/>
      <c r="L2071" s="843" t="s">
        <v>5257</v>
      </c>
      <c r="M2071" s="844" t="s">
        <v>107</v>
      </c>
      <c r="N2071" s="841"/>
      <c r="O2071" s="884" t="s">
        <v>150</v>
      </c>
      <c r="P2071" s="842" t="s">
        <v>5168</v>
      </c>
      <c r="Q2071" s="843"/>
      <c r="R2071" s="845" t="s">
        <v>6786</v>
      </c>
      <c r="S2071" s="1127" t="s">
        <v>6787</v>
      </c>
      <c r="T2071" s="885" t="s">
        <v>6788</v>
      </c>
      <c r="U2071" s="886">
        <v>1</v>
      </c>
      <c r="V2071" s="842" t="s">
        <v>3</v>
      </c>
      <c r="W2071" s="846">
        <v>1810</v>
      </c>
      <c r="X2071" s="847">
        <v>1810</v>
      </c>
      <c r="Y2071" s="853" t="s">
        <v>6209</v>
      </c>
      <c r="Z2071" s="849">
        <v>944.82000000000016</v>
      </c>
      <c r="AA2071" s="849"/>
      <c r="AB2071" s="849">
        <f t="shared" si="395"/>
        <v>944.82000000000016</v>
      </c>
      <c r="AC2071" s="850">
        <f t="shared" si="396"/>
        <v>944.82000000000016</v>
      </c>
      <c r="AD2071" s="851">
        <f t="shared" si="393"/>
        <v>32000</v>
      </c>
      <c r="AE2071" s="852">
        <v>30295.040000000001</v>
      </c>
      <c r="AF2071" s="853">
        <v>0</v>
      </c>
      <c r="AG2071" s="854">
        <f t="shared" si="397"/>
        <v>0</v>
      </c>
      <c r="AH2071" s="853">
        <v>0.08</v>
      </c>
      <c r="AI2071" s="855">
        <f t="shared" si="398"/>
        <v>2289868.7754240003</v>
      </c>
      <c r="AJ2071" s="845" t="s">
        <v>6733</v>
      </c>
      <c r="AK2071" s="857">
        <v>45951</v>
      </c>
      <c r="AL2071" s="843" t="s">
        <v>6734</v>
      </c>
      <c r="AM2071" s="843" t="s">
        <v>6735</v>
      </c>
      <c r="AN2071" s="844" t="s">
        <v>6736</v>
      </c>
      <c r="AO2071" s="844" t="s">
        <v>141</v>
      </c>
      <c r="AP2071" s="841"/>
      <c r="AQ2071" s="841">
        <v>45958</v>
      </c>
      <c r="AR2071" s="841">
        <v>46006</v>
      </c>
      <c r="AS2071" s="842" t="s">
        <v>6737</v>
      </c>
      <c r="AT2071" s="842" t="s">
        <v>6640</v>
      </c>
      <c r="AU2071" s="842" t="s">
        <v>1565</v>
      </c>
      <c r="AV2071" s="845" t="s">
        <v>6738</v>
      </c>
      <c r="AW2071" s="861">
        <v>46006</v>
      </c>
      <c r="AX2071" s="862">
        <v>46007</v>
      </c>
      <c r="AY2071" s="843" t="s">
        <v>6789</v>
      </c>
      <c r="AZ2071" s="842" t="s">
        <v>5173</v>
      </c>
      <c r="BA2071" s="842" t="s">
        <v>120</v>
      </c>
      <c r="BB2071" s="863" t="s">
        <v>121</v>
      </c>
      <c r="BC2071" s="864">
        <v>46009</v>
      </c>
      <c r="BD2071" s="860" t="s">
        <v>6740</v>
      </c>
      <c r="BE2071" s="865" cm="1">
        <f t="array" ref="BE2071">IF(BD2071="","",AC2071/SUMPRODUCT(--(BD2071=$BD$4:$BD$12824),$AC$4:$AC$12824))</f>
        <v>1.4683281880253285E-2</v>
      </c>
      <c r="BF2071" s="458"/>
      <c r="BG2071" s="458"/>
      <c r="BH2071" s="458"/>
      <c r="BI2071" s="458"/>
      <c r="BJ2071" s="458"/>
      <c r="BK2071" s="458"/>
      <c r="BL2071" s="458"/>
      <c r="BM2071" s="458"/>
      <c r="BN2071" s="458"/>
      <c r="BO2071" s="866">
        <f>VLOOKUP(BD2071,$BD$4:$BN$12824,3,0)*BE2071</f>
        <v>484640.07256010995</v>
      </c>
      <c r="BP2071" s="866"/>
      <c r="BQ2071" s="866"/>
      <c r="BR2071" s="866">
        <f>VLOOKUP(BD2071,$BD$4:$BN$12824,6,0)*BE2071</f>
        <v>127944.97915586903</v>
      </c>
      <c r="BS2071" s="866">
        <f>VLOOKUP(BD2071,$BD$4:$BN$12824,7,0)*BE2071</f>
        <v>27963.883190924043</v>
      </c>
      <c r="BT2071" s="866"/>
      <c r="BU2071" s="866">
        <f>VLOOKUP(BD2071,$BD$4:$BN$12824,9,0)*BE2071</f>
        <v>3964.4861076683869</v>
      </c>
      <c r="BV2071" s="867"/>
      <c r="BW2071" s="867">
        <f>VLOOKUP(BD2071,$BD$4:$BN$12824,11,0)*BE2071</f>
        <v>29149.033658576889</v>
      </c>
      <c r="BX2071" s="1146">
        <f t="shared" si="399"/>
        <v>673662.45467314834</v>
      </c>
      <c r="BY2071" s="867">
        <f t="shared" si="401"/>
        <v>29297022.147473153</v>
      </c>
      <c r="BZ2071" s="867">
        <f t="shared" si="400"/>
        <v>29297022.147473153</v>
      </c>
      <c r="CA2071" s="867">
        <f>_xlfn.MAXIFS($BY$4:$BY$12824,$S$4:$S$12824,$S2071)</f>
        <v>29297022.147473153</v>
      </c>
      <c r="CB2071" s="1032"/>
      <c r="CF2071" s="946">
        <f t="shared" si="394"/>
        <v>30234240.000000004</v>
      </c>
    </row>
    <row r="2072" spans="2:84">
      <c r="B2072" s="839" t="s">
        <v>98</v>
      </c>
      <c r="C2072" s="839" t="s">
        <v>5697</v>
      </c>
      <c r="D2072" s="839" t="s">
        <v>6207</v>
      </c>
      <c r="E2072" s="839" t="s">
        <v>6207</v>
      </c>
      <c r="F2072" s="841">
        <v>45842</v>
      </c>
      <c r="G2072" s="839" t="s">
        <v>5697</v>
      </c>
      <c r="H2072" s="842" t="s">
        <v>134</v>
      </c>
      <c r="I2072" s="883"/>
      <c r="J2072" s="841"/>
      <c r="K2072" s="841"/>
      <c r="L2072" s="843" t="s">
        <v>5257</v>
      </c>
      <c r="M2072" s="844" t="s">
        <v>107</v>
      </c>
      <c r="N2072" s="841"/>
      <c r="O2072" s="884" t="s">
        <v>150</v>
      </c>
      <c r="P2072" s="842" t="s">
        <v>5168</v>
      </c>
      <c r="Q2072" s="843"/>
      <c r="R2072" s="845" t="s">
        <v>6790</v>
      </c>
      <c r="S2072" s="1127" t="s">
        <v>6791</v>
      </c>
      <c r="T2072" s="885" t="s">
        <v>6792</v>
      </c>
      <c r="U2072" s="886">
        <v>2</v>
      </c>
      <c r="V2072" s="842" t="s">
        <v>3</v>
      </c>
      <c r="W2072" s="846">
        <v>2695</v>
      </c>
      <c r="X2072" s="847">
        <v>5390</v>
      </c>
      <c r="Y2072" s="853" t="s">
        <v>6209</v>
      </c>
      <c r="Z2072" s="849">
        <v>1406.7900000000002</v>
      </c>
      <c r="AA2072" s="849"/>
      <c r="AB2072" s="849">
        <f t="shared" si="395"/>
        <v>2813.5800000000004</v>
      </c>
      <c r="AC2072" s="850">
        <f t="shared" si="396"/>
        <v>2813.5800000000004</v>
      </c>
      <c r="AD2072" s="851">
        <f t="shared" si="393"/>
        <v>32000</v>
      </c>
      <c r="AE2072" s="852">
        <v>30295.040000000001</v>
      </c>
      <c r="AF2072" s="853">
        <v>0</v>
      </c>
      <c r="AG2072" s="854">
        <f t="shared" si="397"/>
        <v>0</v>
      </c>
      <c r="AH2072" s="853">
        <v>0.08</v>
      </c>
      <c r="AI2072" s="855">
        <f t="shared" si="398"/>
        <v>6819001.4914560011</v>
      </c>
      <c r="AJ2072" s="845" t="s">
        <v>6733</v>
      </c>
      <c r="AK2072" s="857">
        <v>45951</v>
      </c>
      <c r="AL2072" s="843" t="s">
        <v>6734</v>
      </c>
      <c r="AM2072" s="843" t="s">
        <v>6735</v>
      </c>
      <c r="AN2072" s="844" t="s">
        <v>6736</v>
      </c>
      <c r="AO2072" s="844" t="s">
        <v>141</v>
      </c>
      <c r="AP2072" s="841"/>
      <c r="AQ2072" s="841">
        <v>45958</v>
      </c>
      <c r="AR2072" s="841">
        <v>46006</v>
      </c>
      <c r="AS2072" s="842" t="s">
        <v>6737</v>
      </c>
      <c r="AT2072" s="842" t="s">
        <v>6640</v>
      </c>
      <c r="AU2072" s="842" t="s">
        <v>1565</v>
      </c>
      <c r="AV2072" s="845" t="s">
        <v>6738</v>
      </c>
      <c r="AW2072" s="861">
        <v>46006</v>
      </c>
      <c r="AX2072" s="862">
        <v>46007</v>
      </c>
      <c r="AY2072" s="843" t="s">
        <v>6793</v>
      </c>
      <c r="AZ2072" s="842" t="s">
        <v>4276</v>
      </c>
      <c r="BA2072" s="842" t="s">
        <v>120</v>
      </c>
      <c r="BB2072" s="863" t="s">
        <v>121</v>
      </c>
      <c r="BC2072" s="864">
        <v>46009</v>
      </c>
      <c r="BD2072" s="860" t="s">
        <v>6740</v>
      </c>
      <c r="BE2072" s="865" cm="1">
        <f t="array" ref="BE2072">IF(BD2072="","",AC2072/SUMPRODUCT(--(BD2072=$BD$4:$BD$12824),$AC$4:$AC$12824))</f>
        <v>4.3725353223516686E-2</v>
      </c>
      <c r="BF2072" s="458"/>
      <c r="BG2072" s="458"/>
      <c r="BH2072" s="458"/>
      <c r="BI2072" s="458"/>
      <c r="BJ2072" s="458"/>
      <c r="BK2072" s="458"/>
      <c r="BL2072" s="458"/>
      <c r="BM2072" s="458"/>
      <c r="BN2072" s="458"/>
      <c r="BO2072" s="866">
        <f>VLOOKUP(BD2072,$BD$4:$BN$12824,3,0)*BE2072</f>
        <v>1443209.9398336976</v>
      </c>
      <c r="BP2072" s="866"/>
      <c r="BQ2072" s="866"/>
      <c r="BR2072" s="866">
        <f>VLOOKUP(BD2072,$BD$4:$BN$12824,6,0)*BE2072</f>
        <v>381007.42411609617</v>
      </c>
      <c r="BS2072" s="866">
        <f>VLOOKUP(BD2072,$BD$4:$BN$12824,7,0)*BE2072</f>
        <v>83273.663203911929</v>
      </c>
      <c r="BT2072" s="866"/>
      <c r="BU2072" s="866">
        <f>VLOOKUP(BD2072,$BD$4:$BN$12824,9,0)*BE2072</f>
        <v>11805.845370349505</v>
      </c>
      <c r="BV2072" s="867"/>
      <c r="BW2072" s="867">
        <f>VLOOKUP(BD2072,$BD$4:$BN$12824,11,0)*BE2072</f>
        <v>86802.92343631461</v>
      </c>
      <c r="BX2072" s="1146">
        <f t="shared" si="399"/>
        <v>2006099.7959603698</v>
      </c>
      <c r="BY2072" s="867">
        <f t="shared" si="401"/>
        <v>43621809.219580188</v>
      </c>
      <c r="BZ2072" s="867">
        <f t="shared" si="400"/>
        <v>87243618.439160377</v>
      </c>
      <c r="CA2072" s="867">
        <f>_xlfn.MAXIFS($BY$4:$BY$12824,$S$4:$S$12824,$S2072)</f>
        <v>43621809.219580188</v>
      </c>
      <c r="CB2072" s="1032"/>
      <c r="CF2072" s="946">
        <f t="shared" si="394"/>
        <v>90034560.000000015</v>
      </c>
    </row>
    <row r="2073" spans="2:84">
      <c r="B2073" s="839" t="s">
        <v>98</v>
      </c>
      <c r="C2073" s="839" t="s">
        <v>5697</v>
      </c>
      <c r="D2073" s="839" t="s">
        <v>6207</v>
      </c>
      <c r="E2073" s="839" t="s">
        <v>6207</v>
      </c>
      <c r="F2073" s="841">
        <v>45842</v>
      </c>
      <c r="G2073" s="839" t="s">
        <v>5697</v>
      </c>
      <c r="H2073" s="842" t="s">
        <v>134</v>
      </c>
      <c r="I2073" s="883"/>
      <c r="J2073" s="841"/>
      <c r="K2073" s="841"/>
      <c r="L2073" s="843" t="s">
        <v>5257</v>
      </c>
      <c r="M2073" s="844" t="s">
        <v>107</v>
      </c>
      <c r="N2073" s="841"/>
      <c r="O2073" s="884" t="s">
        <v>150</v>
      </c>
      <c r="P2073" s="842" t="s">
        <v>5168</v>
      </c>
      <c r="Q2073" s="843"/>
      <c r="R2073" s="845" t="s">
        <v>6794</v>
      </c>
      <c r="S2073" s="1127" t="s">
        <v>6795</v>
      </c>
      <c r="T2073" s="885" t="s">
        <v>6796</v>
      </c>
      <c r="U2073" s="886">
        <v>2</v>
      </c>
      <c r="V2073" s="842" t="s">
        <v>3</v>
      </c>
      <c r="W2073" s="846">
        <v>2695</v>
      </c>
      <c r="X2073" s="847">
        <v>5390</v>
      </c>
      <c r="Y2073" s="853" t="s">
        <v>6209</v>
      </c>
      <c r="Z2073" s="849">
        <v>1406.7900000000002</v>
      </c>
      <c r="AA2073" s="849"/>
      <c r="AB2073" s="849">
        <f t="shared" si="395"/>
        <v>2813.5800000000004</v>
      </c>
      <c r="AC2073" s="850">
        <f t="shared" si="396"/>
        <v>2813.5800000000004</v>
      </c>
      <c r="AD2073" s="851">
        <f t="shared" si="393"/>
        <v>32000</v>
      </c>
      <c r="AE2073" s="852">
        <v>30295.040000000001</v>
      </c>
      <c r="AF2073" s="853">
        <v>0</v>
      </c>
      <c r="AG2073" s="854">
        <f t="shared" si="397"/>
        <v>0</v>
      </c>
      <c r="AH2073" s="853">
        <v>0.08</v>
      </c>
      <c r="AI2073" s="855">
        <f t="shared" si="398"/>
        <v>6819001.4914560011</v>
      </c>
      <c r="AJ2073" s="845" t="s">
        <v>6733</v>
      </c>
      <c r="AK2073" s="857">
        <v>45951</v>
      </c>
      <c r="AL2073" s="843" t="s">
        <v>6734</v>
      </c>
      <c r="AM2073" s="843" t="s">
        <v>6735</v>
      </c>
      <c r="AN2073" s="844" t="s">
        <v>6736</v>
      </c>
      <c r="AO2073" s="844" t="s">
        <v>141</v>
      </c>
      <c r="AP2073" s="841"/>
      <c r="AQ2073" s="841">
        <v>45958</v>
      </c>
      <c r="AR2073" s="841">
        <v>46006</v>
      </c>
      <c r="AS2073" s="842" t="s">
        <v>6737</v>
      </c>
      <c r="AT2073" s="842" t="s">
        <v>6640</v>
      </c>
      <c r="AU2073" s="842" t="s">
        <v>1565</v>
      </c>
      <c r="AV2073" s="845" t="s">
        <v>6738</v>
      </c>
      <c r="AW2073" s="861">
        <v>46006</v>
      </c>
      <c r="AX2073" s="862">
        <v>46007</v>
      </c>
      <c r="AY2073" s="843" t="s">
        <v>6797</v>
      </c>
      <c r="AZ2073" s="842" t="s">
        <v>4276</v>
      </c>
      <c r="BA2073" s="842" t="s">
        <v>120</v>
      </c>
      <c r="BB2073" s="863" t="s">
        <v>121</v>
      </c>
      <c r="BC2073" s="864">
        <v>46009</v>
      </c>
      <c r="BD2073" s="860" t="s">
        <v>6740</v>
      </c>
      <c r="BE2073" s="865" cm="1">
        <f t="array" ref="BE2073">IF(BD2073="","",AC2073/SUMPRODUCT(--(BD2073=$BD$4:$BD$12824),$AC$4:$AC$12824))</f>
        <v>4.3725353223516686E-2</v>
      </c>
      <c r="BF2073" s="458"/>
      <c r="BG2073" s="458"/>
      <c r="BH2073" s="458"/>
      <c r="BI2073" s="458"/>
      <c r="BJ2073" s="458"/>
      <c r="BK2073" s="458"/>
      <c r="BL2073" s="458"/>
      <c r="BM2073" s="458"/>
      <c r="BN2073" s="458"/>
      <c r="BO2073" s="866">
        <f>VLOOKUP(BD2073,$BD$4:$BN$12824,3,0)*BE2073</f>
        <v>1443209.9398336976</v>
      </c>
      <c r="BP2073" s="866"/>
      <c r="BQ2073" s="866"/>
      <c r="BR2073" s="866">
        <f>VLOOKUP(BD2073,$BD$4:$BN$12824,6,0)*BE2073</f>
        <v>381007.42411609617</v>
      </c>
      <c r="BS2073" s="866">
        <f>VLOOKUP(BD2073,$BD$4:$BN$12824,7,0)*BE2073</f>
        <v>83273.663203911929</v>
      </c>
      <c r="BT2073" s="866"/>
      <c r="BU2073" s="866">
        <f>VLOOKUP(BD2073,$BD$4:$BN$12824,9,0)*BE2073</f>
        <v>11805.845370349505</v>
      </c>
      <c r="BV2073" s="867"/>
      <c r="BW2073" s="867">
        <f>VLOOKUP(BD2073,$BD$4:$BN$12824,11,0)*BE2073</f>
        <v>86802.92343631461</v>
      </c>
      <c r="BX2073" s="1146">
        <f t="shared" si="399"/>
        <v>2006099.7959603698</v>
      </c>
      <c r="BY2073" s="867">
        <f t="shared" si="401"/>
        <v>43621809.219580188</v>
      </c>
      <c r="BZ2073" s="867">
        <f t="shared" si="400"/>
        <v>87243618.439160377</v>
      </c>
      <c r="CA2073" s="867">
        <f>_xlfn.MAXIFS($BY$4:$BY$12824,$S$4:$S$12824,$S2073)</f>
        <v>43621809.219580188</v>
      </c>
      <c r="CB2073" s="1032"/>
      <c r="CF2073" s="946">
        <f t="shared" si="394"/>
        <v>90034560.000000015</v>
      </c>
    </row>
    <row r="2074" spans="2:84">
      <c r="B2074" s="839" t="s">
        <v>98</v>
      </c>
      <c r="C2074" s="839" t="s">
        <v>5697</v>
      </c>
      <c r="D2074" s="839" t="s">
        <v>6207</v>
      </c>
      <c r="E2074" s="839" t="s">
        <v>6207</v>
      </c>
      <c r="F2074" s="841">
        <v>45842</v>
      </c>
      <c r="G2074" s="839" t="s">
        <v>5697</v>
      </c>
      <c r="H2074" s="842" t="s">
        <v>134</v>
      </c>
      <c r="I2074" s="883"/>
      <c r="J2074" s="841"/>
      <c r="K2074" s="841"/>
      <c r="L2074" s="843" t="s">
        <v>5257</v>
      </c>
      <c r="M2074" s="844" t="s">
        <v>107</v>
      </c>
      <c r="N2074" s="841"/>
      <c r="O2074" s="884" t="s">
        <v>150</v>
      </c>
      <c r="P2074" s="842" t="s">
        <v>5168</v>
      </c>
      <c r="Q2074" s="843"/>
      <c r="R2074" s="845" t="s">
        <v>5873</v>
      </c>
      <c r="S2074" s="1127" t="s">
        <v>5874</v>
      </c>
      <c r="T2074" s="885" t="s">
        <v>5875</v>
      </c>
      <c r="U2074" s="886">
        <v>1</v>
      </c>
      <c r="V2074" s="842" t="s">
        <v>3</v>
      </c>
      <c r="W2074" s="846">
        <v>4715</v>
      </c>
      <c r="X2074" s="847">
        <v>4715</v>
      </c>
      <c r="Y2074" s="853" t="s">
        <v>6209</v>
      </c>
      <c r="Z2074" s="849">
        <v>2461.2300000000005</v>
      </c>
      <c r="AA2074" s="849"/>
      <c r="AB2074" s="849">
        <f t="shared" si="395"/>
        <v>2461.2300000000005</v>
      </c>
      <c r="AC2074" s="850">
        <f t="shared" si="396"/>
        <v>2461.2300000000005</v>
      </c>
      <c r="AD2074" s="851">
        <f t="shared" si="393"/>
        <v>32000</v>
      </c>
      <c r="AE2074" s="852">
        <v>30295.040000000001</v>
      </c>
      <c r="AF2074" s="853">
        <v>0</v>
      </c>
      <c r="AG2074" s="854">
        <f t="shared" si="397"/>
        <v>0</v>
      </c>
      <c r="AH2074" s="853">
        <v>0.08</v>
      </c>
      <c r="AI2074" s="855">
        <f t="shared" si="398"/>
        <v>5965044.9039360015</v>
      </c>
      <c r="AJ2074" s="845" t="s">
        <v>6733</v>
      </c>
      <c r="AK2074" s="857">
        <v>45951</v>
      </c>
      <c r="AL2074" s="843" t="s">
        <v>6734</v>
      </c>
      <c r="AM2074" s="843" t="s">
        <v>6735</v>
      </c>
      <c r="AN2074" s="844" t="s">
        <v>6736</v>
      </c>
      <c r="AO2074" s="844" t="s">
        <v>141</v>
      </c>
      <c r="AP2074" s="841"/>
      <c r="AQ2074" s="841">
        <v>45958</v>
      </c>
      <c r="AR2074" s="841">
        <v>46006</v>
      </c>
      <c r="AS2074" s="842" t="s">
        <v>6737</v>
      </c>
      <c r="AT2074" s="842" t="s">
        <v>6640</v>
      </c>
      <c r="AU2074" s="842" t="s">
        <v>1565</v>
      </c>
      <c r="AV2074" s="845" t="s">
        <v>6738</v>
      </c>
      <c r="AW2074" s="861">
        <v>46006</v>
      </c>
      <c r="AX2074" s="862">
        <v>46007</v>
      </c>
      <c r="AY2074" s="843" t="s">
        <v>6798</v>
      </c>
      <c r="AZ2074" s="842" t="s">
        <v>3183</v>
      </c>
      <c r="BA2074" s="842" t="s">
        <v>120</v>
      </c>
      <c r="BB2074" s="863" t="s">
        <v>121</v>
      </c>
      <c r="BC2074" s="864">
        <v>46009</v>
      </c>
      <c r="BD2074" s="860" t="s">
        <v>6740</v>
      </c>
      <c r="BE2074" s="865" cm="1">
        <f t="array" ref="BE2074">IF(BD2074="","",AC2074/SUMPRODUCT(--(BD2074=$BD$4:$BD$12824),$AC$4:$AC$12824))</f>
        <v>3.8249543682538252E-2</v>
      </c>
      <c r="BF2074" s="458"/>
      <c r="BG2074" s="458"/>
      <c r="BH2074" s="458"/>
      <c r="BI2074" s="458"/>
      <c r="BJ2074" s="458"/>
      <c r="BK2074" s="458"/>
      <c r="BL2074" s="458"/>
      <c r="BM2074" s="458"/>
      <c r="BN2074" s="458"/>
      <c r="BO2074" s="866">
        <f>VLOOKUP(BD2074,$BD$4:$BN$12824,3,0)*BE2074</f>
        <v>1262474.0011717782</v>
      </c>
      <c r="BP2074" s="866"/>
      <c r="BQ2074" s="866"/>
      <c r="BR2074" s="866">
        <f>VLOOKUP(BD2074,$BD$4:$BN$12824,6,0)*BE2074</f>
        <v>333293.13630934944</v>
      </c>
      <c r="BS2074" s="866">
        <f>VLOOKUP(BD2074,$BD$4:$BN$12824,7,0)*BE2074</f>
        <v>72845.143229396053</v>
      </c>
      <c r="BT2074" s="866"/>
      <c r="BU2074" s="866">
        <f>VLOOKUP(BD2074,$BD$4:$BN$12824,9,0)*BE2074</f>
        <v>10327.376794285328</v>
      </c>
      <c r="BV2074" s="867"/>
      <c r="BW2074" s="867">
        <f>VLOOKUP(BD2074,$BD$4:$BN$12824,11,0)*BE2074</f>
        <v>75932.427458668535</v>
      </c>
      <c r="BX2074" s="1146">
        <f t="shared" si="399"/>
        <v>1754872.0849634777</v>
      </c>
      <c r="BY2074" s="867">
        <f t="shared" si="401"/>
        <v>76317933.384163484</v>
      </c>
      <c r="BZ2074" s="867">
        <f t="shared" si="400"/>
        <v>76317933.384163484</v>
      </c>
      <c r="CA2074" s="867">
        <f>_xlfn.MAXIFS($BY$4:$BY$12824,$S$4:$S$12824,$S2074)</f>
        <v>76317933.384163484</v>
      </c>
      <c r="CB2074" s="1032"/>
      <c r="CF2074" s="946">
        <f t="shared" si="394"/>
        <v>78759360.000000015</v>
      </c>
    </row>
    <row r="2075" spans="2:84">
      <c r="B2075" s="839" t="s">
        <v>98</v>
      </c>
      <c r="C2075" s="839" t="s">
        <v>5697</v>
      </c>
      <c r="D2075" s="839" t="s">
        <v>6207</v>
      </c>
      <c r="E2075" s="839" t="s">
        <v>6207</v>
      </c>
      <c r="F2075" s="841">
        <v>45842</v>
      </c>
      <c r="G2075" s="839" t="s">
        <v>5697</v>
      </c>
      <c r="H2075" s="842" t="s">
        <v>134</v>
      </c>
      <c r="I2075" s="883"/>
      <c r="J2075" s="841"/>
      <c r="K2075" s="841"/>
      <c r="L2075" s="843" t="s">
        <v>5257</v>
      </c>
      <c r="M2075" s="844" t="s">
        <v>107</v>
      </c>
      <c r="N2075" s="841"/>
      <c r="O2075" s="884" t="s">
        <v>150</v>
      </c>
      <c r="P2075" s="842" t="s">
        <v>5168</v>
      </c>
      <c r="Q2075" s="843"/>
      <c r="R2075" s="845" t="s">
        <v>6799</v>
      </c>
      <c r="S2075" s="1127" t="s">
        <v>6800</v>
      </c>
      <c r="T2075" s="885" t="s">
        <v>6801</v>
      </c>
      <c r="U2075" s="886">
        <v>1</v>
      </c>
      <c r="V2075" s="842" t="s">
        <v>3</v>
      </c>
      <c r="W2075" s="846">
        <v>11170</v>
      </c>
      <c r="X2075" s="847">
        <v>11170</v>
      </c>
      <c r="Y2075" s="853" t="s">
        <v>6209</v>
      </c>
      <c r="Z2075" s="849">
        <v>5830.7400000000007</v>
      </c>
      <c r="AA2075" s="849"/>
      <c r="AB2075" s="849">
        <f t="shared" si="395"/>
        <v>5830.7400000000007</v>
      </c>
      <c r="AC2075" s="850">
        <f t="shared" si="396"/>
        <v>5830.7400000000007</v>
      </c>
      <c r="AD2075" s="851">
        <f t="shared" si="393"/>
        <v>32000</v>
      </c>
      <c r="AE2075" s="852">
        <v>30295.040000000001</v>
      </c>
      <c r="AF2075" s="853">
        <v>0</v>
      </c>
      <c r="AG2075" s="854">
        <f t="shared" si="397"/>
        <v>0</v>
      </c>
      <c r="AH2075" s="853">
        <v>0.08</v>
      </c>
      <c r="AI2075" s="855">
        <f t="shared" si="398"/>
        <v>14131400.122368002</v>
      </c>
      <c r="AJ2075" s="845" t="s">
        <v>6733</v>
      </c>
      <c r="AK2075" s="857">
        <v>45951</v>
      </c>
      <c r="AL2075" s="843" t="s">
        <v>6734</v>
      </c>
      <c r="AM2075" s="843" t="s">
        <v>6735</v>
      </c>
      <c r="AN2075" s="844" t="s">
        <v>6736</v>
      </c>
      <c r="AO2075" s="844" t="s">
        <v>141</v>
      </c>
      <c r="AP2075" s="841"/>
      <c r="AQ2075" s="841">
        <v>45958</v>
      </c>
      <c r="AR2075" s="841">
        <v>46006</v>
      </c>
      <c r="AS2075" s="842" t="s">
        <v>6737</v>
      </c>
      <c r="AT2075" s="842" t="s">
        <v>6640</v>
      </c>
      <c r="AU2075" s="842" t="s">
        <v>1565</v>
      </c>
      <c r="AV2075" s="845" t="s">
        <v>6738</v>
      </c>
      <c r="AW2075" s="861">
        <v>46006</v>
      </c>
      <c r="AX2075" s="862">
        <v>46007</v>
      </c>
      <c r="AY2075" s="843" t="s">
        <v>6802</v>
      </c>
      <c r="AZ2075" s="842" t="s">
        <v>3183</v>
      </c>
      <c r="BA2075" s="842" t="s">
        <v>120</v>
      </c>
      <c r="BB2075" s="863" t="s">
        <v>121</v>
      </c>
      <c r="BC2075" s="864">
        <v>46009</v>
      </c>
      <c r="BD2075" s="860" t="s">
        <v>6740</v>
      </c>
      <c r="BE2075" s="865" cm="1">
        <f t="array" ref="BE2075">IF(BD2075="","",AC2075/SUMPRODUCT(--(BD2075=$BD$4:$BD$12824),$AC$4:$AC$12824))</f>
        <v>9.061450751515425E-2</v>
      </c>
      <c r="BF2075" s="458"/>
      <c r="BG2075" s="458"/>
      <c r="BH2075" s="458"/>
      <c r="BI2075" s="458"/>
      <c r="BJ2075" s="458"/>
      <c r="BK2075" s="458"/>
      <c r="BL2075" s="458"/>
      <c r="BM2075" s="458"/>
      <c r="BN2075" s="458"/>
      <c r="BO2075" s="866">
        <f>VLOOKUP(BD2075,$BD$4:$BN$12824,3,0)*BE2075</f>
        <v>2990845.0886720601</v>
      </c>
      <c r="BP2075" s="866"/>
      <c r="BQ2075" s="866"/>
      <c r="BR2075" s="866">
        <f>VLOOKUP(BD2075,$BD$4:$BN$12824,6,0)*BE2075</f>
        <v>789583.10340942384</v>
      </c>
      <c r="BS2075" s="866">
        <f>VLOOKUP(BD2075,$BD$4:$BN$12824,7,0)*BE2075</f>
        <v>172572.69350421082</v>
      </c>
      <c r="BT2075" s="866"/>
      <c r="BU2075" s="866">
        <f>VLOOKUP(BD2075,$BD$4:$BN$12824,9,0)*BE2075</f>
        <v>24465.917029091648</v>
      </c>
      <c r="BV2075" s="867"/>
      <c r="BW2075" s="867">
        <f>VLOOKUP(BD2075,$BD$4:$BN$12824,11,0)*BE2075</f>
        <v>179886.57788193584</v>
      </c>
      <c r="BX2075" s="1146">
        <f t="shared" si="399"/>
        <v>4157353.3804967226</v>
      </c>
      <c r="BY2075" s="867">
        <f t="shared" si="401"/>
        <v>180799854.91009673</v>
      </c>
      <c r="BZ2075" s="867">
        <f t="shared" si="400"/>
        <v>180799854.91009673</v>
      </c>
      <c r="CA2075" s="867">
        <f>_xlfn.MAXIFS($BY$4:$BY$12824,$S$4:$S$12824,$S2075)</f>
        <v>180799854.91009673</v>
      </c>
      <c r="CB2075" s="1032"/>
      <c r="CF2075" s="946">
        <f t="shared" si="394"/>
        <v>186583680.00000003</v>
      </c>
    </row>
    <row r="2076" spans="2:84">
      <c r="B2076" s="839" t="s">
        <v>98</v>
      </c>
      <c r="C2076" s="839" t="s">
        <v>5697</v>
      </c>
      <c r="D2076" s="839" t="s">
        <v>6207</v>
      </c>
      <c r="E2076" s="839" t="s">
        <v>6207</v>
      </c>
      <c r="F2076" s="841">
        <v>45842</v>
      </c>
      <c r="G2076" s="839" t="s">
        <v>5697</v>
      </c>
      <c r="H2076" s="842" t="s">
        <v>134</v>
      </c>
      <c r="I2076" s="883"/>
      <c r="J2076" s="841"/>
      <c r="K2076" s="841"/>
      <c r="L2076" s="843" t="s">
        <v>5257</v>
      </c>
      <c r="M2076" s="844" t="s">
        <v>107</v>
      </c>
      <c r="N2076" s="841"/>
      <c r="O2076" s="884" t="s">
        <v>150</v>
      </c>
      <c r="P2076" s="842" t="s">
        <v>384</v>
      </c>
      <c r="Q2076" s="843"/>
      <c r="R2076" s="845" t="s">
        <v>5894</v>
      </c>
      <c r="S2076" s="1127" t="s">
        <v>6803</v>
      </c>
      <c r="T2076" s="885" t="s">
        <v>6804</v>
      </c>
      <c r="U2076" s="886">
        <v>2</v>
      </c>
      <c r="V2076" s="842" t="s">
        <v>3</v>
      </c>
      <c r="W2076" s="846">
        <v>6190</v>
      </c>
      <c r="X2076" s="847">
        <v>12380</v>
      </c>
      <c r="Y2076" s="853" t="s">
        <v>6209</v>
      </c>
      <c r="Z2076" s="849">
        <v>3231.1800000000003</v>
      </c>
      <c r="AA2076" s="849"/>
      <c r="AB2076" s="849">
        <f t="shared" si="395"/>
        <v>6462.3600000000006</v>
      </c>
      <c r="AC2076" s="850">
        <f t="shared" si="396"/>
        <v>6462.3600000000006</v>
      </c>
      <c r="AD2076" s="851">
        <f t="shared" si="393"/>
        <v>32000</v>
      </c>
      <c r="AE2076" s="852">
        <v>30295.040000000001</v>
      </c>
      <c r="AF2076" s="853">
        <v>0</v>
      </c>
      <c r="AG2076" s="854">
        <f t="shared" si="397"/>
        <v>0</v>
      </c>
      <c r="AH2076" s="853">
        <v>0.08</v>
      </c>
      <c r="AI2076" s="855">
        <f t="shared" si="398"/>
        <v>15662196.375552</v>
      </c>
      <c r="AJ2076" s="845" t="s">
        <v>6733</v>
      </c>
      <c r="AK2076" s="857">
        <v>45951</v>
      </c>
      <c r="AL2076" s="843" t="s">
        <v>6734</v>
      </c>
      <c r="AM2076" s="843" t="s">
        <v>6735</v>
      </c>
      <c r="AN2076" s="844" t="s">
        <v>6736</v>
      </c>
      <c r="AO2076" s="844" t="s">
        <v>141</v>
      </c>
      <c r="AP2076" s="841"/>
      <c r="AQ2076" s="841">
        <v>45958</v>
      </c>
      <c r="AR2076" s="841">
        <v>46006</v>
      </c>
      <c r="AS2076" s="842" t="s">
        <v>6737</v>
      </c>
      <c r="AT2076" s="842" t="s">
        <v>6640</v>
      </c>
      <c r="AU2076" s="842" t="s">
        <v>1565</v>
      </c>
      <c r="AV2076" s="845" t="s">
        <v>6738</v>
      </c>
      <c r="AW2076" s="861">
        <v>46006</v>
      </c>
      <c r="AX2076" s="862">
        <v>46007</v>
      </c>
      <c r="AY2076" s="843" t="s">
        <v>6805</v>
      </c>
      <c r="AZ2076" s="842" t="s">
        <v>3183</v>
      </c>
      <c r="BA2076" s="842" t="s">
        <v>120</v>
      </c>
      <c r="BB2076" s="863" t="s">
        <v>121</v>
      </c>
      <c r="BC2076" s="864">
        <v>46009</v>
      </c>
      <c r="BD2076" s="860" t="s">
        <v>6740</v>
      </c>
      <c r="BE2076" s="865" cm="1">
        <f t="array" ref="BE2076">IF(BD2076="","",AC2076/SUMPRODUCT(--(BD2076=$BD$4:$BD$12824),$AC$4:$AC$12824))</f>
        <v>0.10043040313676004</v>
      </c>
      <c r="BF2076" s="458"/>
      <c r="BG2076" s="458"/>
      <c r="BH2076" s="458"/>
      <c r="BI2076" s="458"/>
      <c r="BJ2076" s="458"/>
      <c r="BK2076" s="458"/>
      <c r="BL2076" s="458"/>
      <c r="BM2076" s="458"/>
      <c r="BN2076" s="458"/>
      <c r="BO2076" s="866">
        <f>VLOOKUP(BD2076,$BD$4:$BN$12824,3,0)*BE2076</f>
        <v>3314830.993532686</v>
      </c>
      <c r="BP2076" s="866"/>
      <c r="BQ2076" s="866"/>
      <c r="BR2076" s="866">
        <f>VLOOKUP(BD2076,$BD$4:$BN$12824,6,0)*BE2076</f>
        <v>875115.3822926291</v>
      </c>
      <c r="BS2076" s="866">
        <f>VLOOKUP(BD2076,$BD$4:$BN$12824,7,0)*BE2076</f>
        <v>191266.78116223187</v>
      </c>
      <c r="BT2076" s="866"/>
      <c r="BU2076" s="866">
        <f>VLOOKUP(BD2076,$BD$4:$BN$12824,9,0)*BE2076</f>
        <v>27116.208846925208</v>
      </c>
      <c r="BV2076" s="867"/>
      <c r="BW2076" s="867">
        <f>VLOOKUP(BD2076,$BD$4:$BN$12824,11,0)*BE2076</f>
        <v>199372.94844927176</v>
      </c>
      <c r="BX2076" s="1146">
        <f t="shared" si="399"/>
        <v>4607702.3142837435</v>
      </c>
      <c r="BY2076" s="867">
        <f t="shared" si="401"/>
        <v>100192578.50434187</v>
      </c>
      <c r="BZ2076" s="867">
        <f t="shared" si="400"/>
        <v>200385157.00868374</v>
      </c>
      <c r="CA2076" s="867">
        <f>_xlfn.MAXIFS($BY$4:$BY$12824,$S$4:$S$12824,$S2076)</f>
        <v>100192578.50434187</v>
      </c>
      <c r="CB2076" s="1032"/>
      <c r="CF2076" s="946">
        <f t="shared" si="394"/>
        <v>206795520.00000003</v>
      </c>
    </row>
    <row r="2077" spans="2:84">
      <c r="B2077" s="839" t="s">
        <v>98</v>
      </c>
      <c r="C2077" s="839" t="s">
        <v>5697</v>
      </c>
      <c r="D2077" s="839" t="s">
        <v>6207</v>
      </c>
      <c r="E2077" s="839" t="s">
        <v>6207</v>
      </c>
      <c r="F2077" s="841">
        <v>45842</v>
      </c>
      <c r="G2077" s="839" t="s">
        <v>5697</v>
      </c>
      <c r="H2077" s="842" t="s">
        <v>134</v>
      </c>
      <c r="I2077" s="883"/>
      <c r="J2077" s="841"/>
      <c r="K2077" s="841"/>
      <c r="L2077" s="843" t="s">
        <v>5257</v>
      </c>
      <c r="M2077" s="844" t="s">
        <v>107</v>
      </c>
      <c r="N2077" s="841"/>
      <c r="O2077" s="884" t="s">
        <v>150</v>
      </c>
      <c r="P2077" s="842" t="s">
        <v>384</v>
      </c>
      <c r="Q2077" s="843"/>
      <c r="R2077" s="845" t="s">
        <v>6161</v>
      </c>
      <c r="S2077" s="1127" t="s">
        <v>6162</v>
      </c>
      <c r="T2077" s="885" t="s">
        <v>6163</v>
      </c>
      <c r="U2077" s="886">
        <v>2</v>
      </c>
      <c r="V2077" s="842" t="s">
        <v>3</v>
      </c>
      <c r="W2077" s="846">
        <v>1565</v>
      </c>
      <c r="X2077" s="847">
        <v>3130</v>
      </c>
      <c r="Y2077" s="853" t="s">
        <v>6209</v>
      </c>
      <c r="Z2077" s="849">
        <v>816.93000000000018</v>
      </c>
      <c r="AA2077" s="849"/>
      <c r="AB2077" s="849">
        <f t="shared" si="395"/>
        <v>1633.8600000000004</v>
      </c>
      <c r="AC2077" s="850">
        <f t="shared" si="396"/>
        <v>1633.8600000000004</v>
      </c>
      <c r="AD2077" s="851">
        <f t="shared" si="393"/>
        <v>32000</v>
      </c>
      <c r="AE2077" s="852">
        <v>30295.040000000001</v>
      </c>
      <c r="AF2077" s="904">
        <v>6.2E-2</v>
      </c>
      <c r="AG2077" s="854">
        <f t="shared" si="397"/>
        <v>3123826.0252142628</v>
      </c>
      <c r="AH2077" s="853">
        <v>0.08</v>
      </c>
      <c r="AI2077" s="855">
        <f t="shared" si="398"/>
        <v>4209734.4063691422</v>
      </c>
      <c r="AJ2077" s="845" t="s">
        <v>6733</v>
      </c>
      <c r="AK2077" s="857">
        <v>45951</v>
      </c>
      <c r="AL2077" s="843" t="s">
        <v>6734</v>
      </c>
      <c r="AM2077" s="843" t="s">
        <v>6735</v>
      </c>
      <c r="AN2077" s="844" t="s">
        <v>6736</v>
      </c>
      <c r="AO2077" s="844" t="s">
        <v>141</v>
      </c>
      <c r="AP2077" s="841"/>
      <c r="AQ2077" s="841">
        <v>45958</v>
      </c>
      <c r="AR2077" s="841">
        <v>46006</v>
      </c>
      <c r="AS2077" s="842" t="s">
        <v>6737</v>
      </c>
      <c r="AT2077" s="842" t="s">
        <v>6640</v>
      </c>
      <c r="AU2077" s="842" t="s">
        <v>1565</v>
      </c>
      <c r="AV2077" s="845" t="s">
        <v>6738</v>
      </c>
      <c r="AW2077" s="861">
        <v>46006</v>
      </c>
      <c r="AX2077" s="862">
        <v>46007</v>
      </c>
      <c r="AY2077" s="843" t="s">
        <v>6806</v>
      </c>
      <c r="AZ2077" s="842" t="s">
        <v>6156</v>
      </c>
      <c r="BA2077" s="842" t="s">
        <v>120</v>
      </c>
      <c r="BB2077" s="863" t="s">
        <v>121</v>
      </c>
      <c r="BC2077" s="864">
        <v>46009</v>
      </c>
      <c r="BD2077" s="860" t="s">
        <v>6740</v>
      </c>
      <c r="BE2077" s="865" cm="1">
        <f t="array" ref="BE2077">IF(BD2077="","",AC2077/SUMPRODUCT(--(BD2077=$BD$4:$BD$12824),$AC$4:$AC$12824))</f>
        <v>2.5391531649277783E-2</v>
      </c>
      <c r="BF2077" s="458"/>
      <c r="BG2077" s="458"/>
      <c r="BH2077" s="458"/>
      <c r="BI2077" s="458"/>
      <c r="BJ2077" s="458"/>
      <c r="BK2077" s="458"/>
      <c r="BL2077" s="458"/>
      <c r="BM2077" s="458"/>
      <c r="BN2077" s="458"/>
      <c r="BO2077" s="866">
        <f>VLOOKUP(BD2077,$BD$4:$BN$12824,3,0)*BE2077</f>
        <v>838079.24149897485</v>
      </c>
      <c r="BP2077" s="866"/>
      <c r="BQ2077" s="866"/>
      <c r="BR2077" s="866">
        <f>VLOOKUP(BD2077,$BD$4:$BN$12824,6,0)*BE2077</f>
        <v>221252.91975572935</v>
      </c>
      <c r="BS2077" s="866">
        <f>VLOOKUP(BD2077,$BD$4:$BN$12824,7,0)*BE2077</f>
        <v>48357.433363310643</v>
      </c>
      <c r="BT2077" s="866"/>
      <c r="BU2077" s="866">
        <f>VLOOKUP(BD2077,$BD$4:$BN$12824,9,0)*BE2077</f>
        <v>6855.7135453050014</v>
      </c>
      <c r="BV2077" s="867"/>
      <c r="BW2077" s="867">
        <f>VLOOKUP(BD2077,$BD$4:$BN$12824,11,0)*BE2077</f>
        <v>50406.892459307004</v>
      </c>
      <c r="BX2077" s="1146">
        <f t="shared" si="399"/>
        <v>1164952.200622627</v>
      </c>
      <c r="BY2077" s="867">
        <f t="shared" si="401"/>
        <v>26893316.14011845</v>
      </c>
      <c r="BZ2077" s="867">
        <f t="shared" si="400"/>
        <v>53786632.2802369</v>
      </c>
      <c r="CA2077" s="867">
        <f>_xlfn.MAXIFS($BY$4:$BY$12824,$S$4:$S$12824,$S2077)</f>
        <v>26893316.14011845</v>
      </c>
      <c r="CB2077" s="1032"/>
      <c r="CF2077" s="946">
        <f t="shared" si="394"/>
        <v>52283520.000000015</v>
      </c>
    </row>
    <row r="2078" spans="2:84">
      <c r="B2078" s="839" t="s">
        <v>98</v>
      </c>
      <c r="C2078" s="839" t="s">
        <v>6807</v>
      </c>
      <c r="D2078" s="839" t="s">
        <v>6808</v>
      </c>
      <c r="E2078" s="839" t="s">
        <v>6808</v>
      </c>
      <c r="F2078" s="841">
        <v>45940</v>
      </c>
      <c r="G2078" s="868" t="s">
        <v>6807</v>
      </c>
      <c r="H2078" s="883" t="s">
        <v>102</v>
      </c>
      <c r="I2078" s="883"/>
      <c r="J2078" s="841"/>
      <c r="K2078" s="841"/>
      <c r="L2078" s="843" t="s">
        <v>106</v>
      </c>
      <c r="M2078" s="844" t="s">
        <v>275</v>
      </c>
      <c r="N2078" s="841"/>
      <c r="O2078" s="884" t="s">
        <v>150</v>
      </c>
      <c r="P2078" s="842" t="s">
        <v>1947</v>
      </c>
      <c r="Q2078" s="843"/>
      <c r="R2078" s="845" t="s">
        <v>6809</v>
      </c>
      <c r="S2078" s="1127" t="s">
        <v>6810</v>
      </c>
      <c r="T2078" s="885" t="s">
        <v>6811</v>
      </c>
      <c r="U2078" s="886">
        <v>1</v>
      </c>
      <c r="V2078" s="842" t="s">
        <v>8</v>
      </c>
      <c r="W2078" s="846">
        <v>8754</v>
      </c>
      <c r="X2078" s="847">
        <f>W2078*U2078</f>
        <v>8754</v>
      </c>
      <c r="Y2078" s="853">
        <v>0.7</v>
      </c>
      <c r="Z2078" s="849">
        <v>2626.2</v>
      </c>
      <c r="AA2078" s="849"/>
      <c r="AB2078" s="849">
        <f t="shared" si="395"/>
        <v>2626.2</v>
      </c>
      <c r="AC2078" s="850">
        <f t="shared" si="396"/>
        <v>2626.2</v>
      </c>
      <c r="AD2078" s="851">
        <f t="shared" si="393"/>
        <v>27000</v>
      </c>
      <c r="AE2078" s="852">
        <v>26141</v>
      </c>
      <c r="AF2078" s="853">
        <v>0</v>
      </c>
      <c r="AG2078" s="854">
        <f t="shared" si="397"/>
        <v>0</v>
      </c>
      <c r="AH2078" s="853">
        <v>0.08</v>
      </c>
      <c r="AI2078" s="855">
        <f t="shared" si="398"/>
        <v>6675432.095999999</v>
      </c>
      <c r="AJ2078" s="856" t="s">
        <v>6812</v>
      </c>
      <c r="AK2078" s="857">
        <v>45999</v>
      </c>
      <c r="AL2078" s="899" t="s">
        <v>6813</v>
      </c>
      <c r="AM2078" s="843"/>
      <c r="AN2078" s="844"/>
      <c r="AO2078" s="844" t="s">
        <v>116</v>
      </c>
      <c r="AP2078" s="841"/>
      <c r="AQ2078" s="841">
        <v>46003</v>
      </c>
      <c r="AR2078" s="841">
        <v>46006</v>
      </c>
      <c r="AS2078" s="842" t="s">
        <v>6814</v>
      </c>
      <c r="AT2078" s="842" t="s">
        <v>1187</v>
      </c>
      <c r="AU2078" s="842" t="s">
        <v>6815</v>
      </c>
      <c r="AV2078" s="845" t="s">
        <v>6816</v>
      </c>
      <c r="AW2078" s="861">
        <v>46007</v>
      </c>
      <c r="AX2078" s="862">
        <v>46008</v>
      </c>
      <c r="AY2078" s="843" t="s">
        <v>6817</v>
      </c>
      <c r="AZ2078" s="897" t="s">
        <v>5856</v>
      </c>
      <c r="BA2078" s="842" t="s">
        <v>120</v>
      </c>
      <c r="BB2078" s="863" t="s">
        <v>121</v>
      </c>
      <c r="BC2078" s="864">
        <v>46009</v>
      </c>
      <c r="BD2078" s="860" t="s">
        <v>6818</v>
      </c>
      <c r="BE2078" s="865" cm="1">
        <f t="array" ref="BE2078">IF(BD2078="","",AC2078/SUMPRODUCT(--(BD2078=$BD$4:$BD$12824),$AC$4:$AC$12824))</f>
        <v>1</v>
      </c>
      <c r="BF2078" s="458" cm="1">
        <f t="array" ref="BF2078">SUM(_xlfn._xlws.FILTER( INDEX(Cost!$B$3:$BK$77,MATCH(LDL!$BD2078, Cost!$F$3:$F$77, 0),0),Cost!$B$3:$BK$3 = BF$3))</f>
        <v>14541407</v>
      </c>
      <c r="BG2078" s="458"/>
      <c r="BH2078" s="458"/>
      <c r="BI2078" s="458" cm="1">
        <f t="array" ref="BI2078">SUM(_xlfn._xlws.FILTER( INDEX(Cost!$B$3:$BK$77,MATCH(LDL!$BD2078, Cost!$F$3:$F$77, 0),0),Cost!$B$3:$BK$3 = BI$3))/1.08</f>
        <v>2251825</v>
      </c>
      <c r="BJ2078" s="458" cm="1">
        <f t="array" ref="BJ2078">SUM(_xlfn._xlws.FILTER( INDEX(Cost!$B$3:$BK$77,MATCH(LDL!$BD2078, Cost!$F$3:$F$77, 0),0),Cost!$B$3:$BK$3 = BJ$3))</f>
        <v>250000</v>
      </c>
      <c r="BK2078" s="458"/>
      <c r="BL2078" s="458" cm="1">
        <f t="array" ref="BL2078">SUM(_xlfn._xlws.FILTER( INDEX(Cost!$B$3:$BK$77,MATCH(LDL!$BD2078, Cost!$F$3:$F$77, 0),0),Cost!$B$3:$BK$3 = BL$3))</f>
        <v>20000</v>
      </c>
      <c r="BM2078" s="458"/>
      <c r="BN2078" s="458" cm="1">
        <f t="array" ref="BN2078">SUM(_xlfn._xlws.FILTER( INDEX(Cost!$B$3:$BK$77,MATCH(LDL!$BD2078, Cost!$F$3:$F$77, 0),0),Cost!$B$3:$BK$3 = BN$3))/1.08</f>
        <v>600000</v>
      </c>
      <c r="BO2078" s="866">
        <f>VLOOKUP(BD2078,$BD$4:$BN$12824,3,0)*BE2078</f>
        <v>14541407</v>
      </c>
      <c r="BP2078" s="866"/>
      <c r="BQ2078" s="866"/>
      <c r="BR2078" s="866">
        <f>VLOOKUP(BD2078,$BD$4:$BN$12824,6,0)*BE2078</f>
        <v>2251825</v>
      </c>
      <c r="BS2078" s="866">
        <f>VLOOKUP(BD2078,$BD$4:$BN$12824,7,0)*BE2078</f>
        <v>250000</v>
      </c>
      <c r="BT2078" s="866"/>
      <c r="BU2078" s="866">
        <f>VLOOKUP(BD2078,$BD$4:$BN$12824,9,0)*BE2078</f>
        <v>20000</v>
      </c>
      <c r="BV2078" s="867"/>
      <c r="BW2078" s="867">
        <f>VLOOKUP(BD2078,$BD$4:$BN$12824,11,0)*BE2078</f>
        <v>600000</v>
      </c>
      <c r="BX2078" s="1146">
        <f t="shared" si="399"/>
        <v>17663232</v>
      </c>
      <c r="BY2078" s="867">
        <f t="shared" si="401"/>
        <v>86314726.199999988</v>
      </c>
      <c r="BZ2078" s="867">
        <f t="shared" si="400"/>
        <v>86314726.199999988</v>
      </c>
      <c r="CA2078" s="867">
        <f>_xlfn.MAXIFS($BY$4:$BY$12824,$S$4:$S$12824,$S2078)</f>
        <v>86314726.199999988</v>
      </c>
      <c r="CB2078" s="1032"/>
      <c r="CF2078" s="946">
        <f t="shared" si="394"/>
        <v>70907400</v>
      </c>
    </row>
    <row r="2079" spans="2:84">
      <c r="B2079" s="839" t="s">
        <v>98</v>
      </c>
      <c r="C2079" s="839" t="s">
        <v>2689</v>
      </c>
      <c r="D2079" s="839" t="s">
        <v>6819</v>
      </c>
      <c r="E2079" s="839" t="s">
        <v>6820</v>
      </c>
      <c r="F2079" s="841">
        <v>45866</v>
      </c>
      <c r="G2079" s="868" t="s">
        <v>2689</v>
      </c>
      <c r="H2079" s="842" t="s">
        <v>102</v>
      </c>
      <c r="I2079" s="883" t="s">
        <v>5540</v>
      </c>
      <c r="J2079" s="841">
        <v>45864</v>
      </c>
      <c r="K2079" s="841">
        <v>46002</v>
      </c>
      <c r="L2079" s="843" t="s">
        <v>106</v>
      </c>
      <c r="M2079" s="844" t="s">
        <v>107</v>
      </c>
      <c r="N2079" s="841"/>
      <c r="O2079" s="884" t="s">
        <v>150</v>
      </c>
      <c r="P2079" s="842" t="s">
        <v>4713</v>
      </c>
      <c r="Q2079" s="843"/>
      <c r="R2079" s="856" t="s">
        <v>6821</v>
      </c>
      <c r="S2079" s="1127" t="s">
        <v>6822</v>
      </c>
      <c r="T2079" s="885" t="s">
        <v>6823</v>
      </c>
      <c r="U2079" s="886">
        <v>3</v>
      </c>
      <c r="V2079" s="842" t="s">
        <v>3</v>
      </c>
      <c r="W2079" s="846">
        <v>6880</v>
      </c>
      <c r="X2079" s="847">
        <f>W2079*U2079</f>
        <v>20640</v>
      </c>
      <c r="Y2079" s="853" t="s">
        <v>6824</v>
      </c>
      <c r="Z2079" s="849">
        <v>3333.36</v>
      </c>
      <c r="AA2079" s="849"/>
      <c r="AB2079" s="849">
        <f t="shared" si="395"/>
        <v>10000.08</v>
      </c>
      <c r="AC2079" s="850">
        <f t="shared" si="396"/>
        <v>10000.08</v>
      </c>
      <c r="AD2079" s="851">
        <f t="shared" si="393"/>
        <v>32000</v>
      </c>
      <c r="AE2079" s="852">
        <v>30295.040000000001</v>
      </c>
      <c r="AF2079" s="853">
        <v>0</v>
      </c>
      <c r="AG2079" s="854">
        <f t="shared" si="397"/>
        <v>0</v>
      </c>
      <c r="AH2079" s="853">
        <v>0.08</v>
      </c>
      <c r="AI2079" s="855">
        <f t="shared" si="398"/>
        <v>25692561.510074183</v>
      </c>
      <c r="AJ2079" s="845" t="s">
        <v>6825</v>
      </c>
      <c r="AK2079" s="857">
        <v>45938</v>
      </c>
      <c r="AL2079" s="843" t="s">
        <v>6826</v>
      </c>
      <c r="AM2079" s="843" t="s">
        <v>6827</v>
      </c>
      <c r="AN2079" s="844" t="s">
        <v>3951</v>
      </c>
      <c r="AO2079" s="844" t="s">
        <v>141</v>
      </c>
      <c r="AP2079" s="841"/>
      <c r="AQ2079" s="841">
        <v>45963</v>
      </c>
      <c r="AR2079" s="841">
        <v>46005</v>
      </c>
      <c r="AS2079" s="842" t="s">
        <v>4266</v>
      </c>
      <c r="AT2079" s="842" t="s">
        <v>6640</v>
      </c>
      <c r="AU2079" s="842" t="s">
        <v>6828</v>
      </c>
      <c r="AV2079" s="856" t="s">
        <v>6829</v>
      </c>
      <c r="AW2079" s="861">
        <v>46006</v>
      </c>
      <c r="AX2079" s="861">
        <v>46007</v>
      </c>
      <c r="AY2079" s="843" t="s">
        <v>6830</v>
      </c>
      <c r="AZ2079" s="897" t="s">
        <v>3247</v>
      </c>
      <c r="BA2079" s="842" t="s">
        <v>120</v>
      </c>
      <c r="BB2079" s="863" t="s">
        <v>121</v>
      </c>
      <c r="BC2079" s="864">
        <v>46009</v>
      </c>
      <c r="BD2079" s="860" t="s">
        <v>6831</v>
      </c>
      <c r="BE2079" s="865" cm="1">
        <f t="array" ref="BE2079">IF(BD2079="","",AC2079/SUMPRODUCT(--(BD2079=$BD$4:$BD$12824),$AC$4:$AC$12824))</f>
        <v>1</v>
      </c>
      <c r="BF2079" s="458" cm="1">
        <f t="array" ref="BF2079">SUM(_xlfn._xlws.FILTER( INDEX(Cost!$B$3:$BK$77,MATCH(LDL!$BD2079, Cost!$F$3:$F$77, 0),0),Cost!$B$3:$BK$3 = BF$3))</f>
        <v>17906658</v>
      </c>
      <c r="BG2079" s="458"/>
      <c r="BH2079" s="458"/>
      <c r="BI2079" s="458" cm="1">
        <f t="array" ref="BI2079">SUM(_xlfn._xlws.FILTER( INDEX(Cost!$B$3:$BK$77,MATCH(LDL!$BD2079, Cost!$F$3:$F$77, 0),0),Cost!$B$3:$BK$3 = BI$3))/1.08</f>
        <v>6655572.222222222</v>
      </c>
      <c r="BJ2079" s="458" cm="1">
        <f t="array" ref="BJ2079">SUM(_xlfn._xlws.FILTER( INDEX(Cost!$B$3:$BK$77,MATCH(LDL!$BD2079, Cost!$F$3:$F$77, 0),0),Cost!$B$3:$BK$3 = BJ$3))</f>
        <v>297537.27272727271</v>
      </c>
      <c r="BK2079" s="458"/>
      <c r="BL2079" s="458" cm="1">
        <f t="array" ref="BL2079">SUM(_xlfn._xlws.FILTER( INDEX(Cost!$B$3:$BK$77,MATCH(LDL!$BD2079, Cost!$F$3:$F$77, 0),0),Cost!$B$3:$BK$3 = BL$3))</f>
        <v>27755</v>
      </c>
      <c r="BM2079" s="458"/>
      <c r="BN2079" s="458" cm="1">
        <f t="array" ref="BN2079">SUM(_xlfn._xlws.FILTER( INDEX(Cost!$B$3:$BK$77,MATCH(LDL!$BD2079, Cost!$F$3:$F$77, 0),0),Cost!$B$3:$BK$3 = BN$3))/1.08</f>
        <v>600000</v>
      </c>
      <c r="BO2079" s="866">
        <f>VLOOKUP(BD2079,$BD$4:$BN$12824,3,0)*BE2079</f>
        <v>17906658</v>
      </c>
      <c r="BP2079" s="866"/>
      <c r="BQ2079" s="866"/>
      <c r="BR2079" s="866">
        <f>VLOOKUP(BD2079,$BD$4:$BN$12824,6,0)*BE2079</f>
        <v>6655572.222222222</v>
      </c>
      <c r="BS2079" s="866">
        <f>VLOOKUP(BD2079,$BD$4:$BN$12824,7,0)*BE2079</f>
        <v>297537.27272727271</v>
      </c>
      <c r="BT2079" s="866"/>
      <c r="BU2079" s="866">
        <f>VLOOKUP(BD2079,$BD$4:$BN$12824,9,0)*BE2079</f>
        <v>27755</v>
      </c>
      <c r="BV2079" s="867"/>
      <c r="BW2079" s="867">
        <f>VLOOKUP(BD2079,$BD$4:$BN$12824,11,0)*BE2079</f>
        <v>600000</v>
      </c>
      <c r="BX2079" s="1146">
        <f t="shared" si="399"/>
        <v>25487522.494949497</v>
      </c>
      <c r="BY2079" s="867">
        <f t="shared" si="401"/>
        <v>109480115.36604984</v>
      </c>
      <c r="BZ2079" s="867">
        <f t="shared" si="400"/>
        <v>328440346.09814954</v>
      </c>
      <c r="CA2079" s="867">
        <f>_xlfn.MAXIFS($BY$4:$BY$12824,$S$4:$S$12824,$S2079)</f>
        <v>109480115.36604984</v>
      </c>
      <c r="CB2079" s="1032"/>
      <c r="CF2079" s="946">
        <f t="shared" si="394"/>
        <v>320002560</v>
      </c>
    </row>
    <row r="2080" spans="2:84">
      <c r="B2080" s="839" t="s">
        <v>98</v>
      </c>
      <c r="C2080" s="839" t="s">
        <v>3454</v>
      </c>
      <c r="D2080" s="839" t="s">
        <v>6832</v>
      </c>
      <c r="E2080" s="839" t="s">
        <v>6832</v>
      </c>
      <c r="F2080" s="841">
        <v>45917</v>
      </c>
      <c r="G2080" s="868" t="s">
        <v>3456</v>
      </c>
      <c r="H2080" s="883" t="s">
        <v>102</v>
      </c>
      <c r="I2080" s="883" t="s">
        <v>6833</v>
      </c>
      <c r="J2080" s="841"/>
      <c r="K2080" s="841"/>
      <c r="L2080" s="843" t="s">
        <v>106</v>
      </c>
      <c r="M2080" s="844" t="s">
        <v>6834</v>
      </c>
      <c r="N2080" s="841"/>
      <c r="O2080" s="884" t="s">
        <v>3459</v>
      </c>
      <c r="P2080" s="842" t="s">
        <v>3460</v>
      </c>
      <c r="Q2080" s="843"/>
      <c r="R2080" s="845" t="s">
        <v>6835</v>
      </c>
      <c r="S2080" s="1127" t="s">
        <v>6835</v>
      </c>
      <c r="T2080" s="885" t="s">
        <v>6836</v>
      </c>
      <c r="U2080" s="886">
        <v>46</v>
      </c>
      <c r="V2080" s="842" t="s">
        <v>8</v>
      </c>
      <c r="W2080" s="846"/>
      <c r="X2080" s="847"/>
      <c r="Y2080" s="853"/>
      <c r="Z2080" s="849">
        <v>9.6</v>
      </c>
      <c r="AA2080" s="849"/>
      <c r="AB2080" s="849">
        <f t="shared" si="395"/>
        <v>441.59999999999997</v>
      </c>
      <c r="AC2080" s="850">
        <f t="shared" si="396"/>
        <v>441.59999999999997</v>
      </c>
      <c r="AD2080" s="851">
        <f t="shared" ref="AD2080:AD2148" si="402">IF(V2080=$AD$2,$AE$2,$AE$3)</f>
        <v>27000</v>
      </c>
      <c r="AE2080" s="852">
        <v>27000</v>
      </c>
      <c r="AF2080" s="853">
        <v>0</v>
      </c>
      <c r="AG2080" s="854">
        <f t="shared" si="397"/>
        <v>0</v>
      </c>
      <c r="AH2080" s="853">
        <v>0</v>
      </c>
      <c r="AI2080" s="855">
        <f t="shared" si="398"/>
        <v>0</v>
      </c>
      <c r="AJ2080" s="845"/>
      <c r="AK2080" s="857"/>
      <c r="AL2080" s="843" t="s">
        <v>6837</v>
      </c>
      <c r="AM2080" s="843"/>
      <c r="AN2080" s="844"/>
      <c r="AO2080" s="844"/>
      <c r="AP2080" s="841"/>
      <c r="AQ2080" s="842"/>
      <c r="AR2080" s="841"/>
      <c r="AS2080" s="842"/>
      <c r="AT2080" s="842"/>
      <c r="AU2080" s="842"/>
      <c r="AV2080" s="845"/>
      <c r="AW2080" s="861"/>
      <c r="AX2080" s="862"/>
      <c r="AY2080" s="843"/>
      <c r="AZ2080" s="842"/>
      <c r="BA2080" s="842" t="s">
        <v>120</v>
      </c>
      <c r="BB2080" s="863"/>
      <c r="BC2080" s="864"/>
      <c r="BD2080" s="860" t="s">
        <v>6838</v>
      </c>
      <c r="BE2080" s="865" cm="1">
        <f t="array" ref="BE2080">IF(BD2080="","",AC2080/SUMPRODUCT(--(BD2080=$BD$4:$BD$12824),$AC$4:$AC$12824))</f>
        <v>0.13432863061451697</v>
      </c>
      <c r="BF2080" s="458" cm="1">
        <f t="array" ref="BF2080">SUM(_xlfn._xlws.FILTER( INDEX(Cost!$B$3:$BK$77,MATCH(LDL!$BD2080, Cost!$F$3:$F$77, 0),0),Cost!$B$3:$BK$3 = BF$3))</f>
        <v>0</v>
      </c>
      <c r="BG2080" s="458"/>
      <c r="BH2080" s="458"/>
      <c r="BI2080" s="458" cm="1">
        <f t="array" ref="BI2080">SUM(_xlfn._xlws.FILTER( INDEX(Cost!$B$3:$BK$77,MATCH(LDL!$BD2080, Cost!$F$3:$F$77, 0),0),Cost!$B$3:$BK$3 = BI$3))/1.08</f>
        <v>0</v>
      </c>
      <c r="BJ2080" s="458" cm="1">
        <f t="array" ref="BJ2080">SUM(_xlfn._xlws.FILTER( INDEX(Cost!$B$3:$BK$77,MATCH(LDL!$BD2080, Cost!$F$3:$F$77, 0),0),Cost!$B$3:$BK$3 = BJ$3))</f>
        <v>0</v>
      </c>
      <c r="BK2080" s="458"/>
      <c r="BL2080" s="458" cm="1">
        <f t="array" ref="BL2080">SUM(_xlfn._xlws.FILTER( INDEX(Cost!$B$3:$BK$77,MATCH(LDL!$BD2080, Cost!$F$3:$F$77, 0),0),Cost!$B$3:$BK$3 = BL$3))</f>
        <v>0</v>
      </c>
      <c r="BM2080" s="458"/>
      <c r="BN2080" s="458" cm="1">
        <f t="array" ref="BN2080">SUM(_xlfn._xlws.FILTER( INDEX(Cost!$B$3:$BK$77,MATCH(LDL!$BD2080, Cost!$F$3:$F$77, 0),0),Cost!$B$3:$BK$3 = BN$3))/1.08</f>
        <v>0</v>
      </c>
      <c r="BO2080" s="866">
        <f>VLOOKUP(BD2080,$BD$4:$BN$12824,3,0)*BE2080</f>
        <v>0</v>
      </c>
      <c r="BP2080" s="866"/>
      <c r="BQ2080" s="866"/>
      <c r="BR2080" s="866">
        <f>VLOOKUP(BD2080,$BD$4:$BN$12824,6,0)*BE2080</f>
        <v>0</v>
      </c>
      <c r="BS2080" s="866">
        <f>VLOOKUP(BD2080,$BD$4:$BN$12824,7,0)*BE2080</f>
        <v>0</v>
      </c>
      <c r="BT2080" s="866"/>
      <c r="BU2080" s="866">
        <f>VLOOKUP(BD2080,$BD$4:$BN$12824,9,0)*BE2080</f>
        <v>0</v>
      </c>
      <c r="BV2080" s="867"/>
      <c r="BW2080" s="867">
        <f>VLOOKUP(BD2080,$BD$4:$BN$12824,11,0)*BE2080</f>
        <v>0</v>
      </c>
      <c r="BX2080" s="1146">
        <f t="shared" si="399"/>
        <v>0</v>
      </c>
      <c r="BY2080" s="867">
        <f t="shared" si="401"/>
        <v>259200</v>
      </c>
      <c r="BZ2080" s="867">
        <f t="shared" si="400"/>
        <v>11923200</v>
      </c>
      <c r="CA2080" s="867">
        <f>_xlfn.MAXIFS($BY$4:$BY$12824,$S$4:$S$12824,$S2080)</f>
        <v>259200</v>
      </c>
      <c r="CB2080" s="1032"/>
      <c r="CF2080" s="946">
        <f t="shared" si="394"/>
        <v>11923200</v>
      </c>
    </row>
    <row r="2081" spans="2:84">
      <c r="B2081" s="839" t="s">
        <v>98</v>
      </c>
      <c r="C2081" s="839" t="s">
        <v>3454</v>
      </c>
      <c r="D2081" s="839" t="s">
        <v>6832</v>
      </c>
      <c r="E2081" s="839" t="s">
        <v>6832</v>
      </c>
      <c r="F2081" s="841">
        <v>45917</v>
      </c>
      <c r="G2081" s="868" t="s">
        <v>3456</v>
      </c>
      <c r="H2081" s="883" t="s">
        <v>102</v>
      </c>
      <c r="I2081" s="883" t="s">
        <v>6833</v>
      </c>
      <c r="J2081" s="841"/>
      <c r="K2081" s="841"/>
      <c r="L2081" s="843" t="s">
        <v>106</v>
      </c>
      <c r="M2081" s="844" t="s">
        <v>6834</v>
      </c>
      <c r="N2081" s="841"/>
      <c r="O2081" s="884" t="s">
        <v>3459</v>
      </c>
      <c r="P2081" s="842" t="s">
        <v>3460</v>
      </c>
      <c r="Q2081" s="843"/>
      <c r="R2081" s="845" t="s">
        <v>6839</v>
      </c>
      <c r="S2081" s="1127" t="s">
        <v>6839</v>
      </c>
      <c r="T2081" s="885" t="s">
        <v>6840</v>
      </c>
      <c r="U2081" s="886">
        <v>10</v>
      </c>
      <c r="V2081" s="842" t="s">
        <v>8</v>
      </c>
      <c r="W2081" s="846"/>
      <c r="X2081" s="847"/>
      <c r="Y2081" s="853"/>
      <c r="Z2081" s="849">
        <v>9.6</v>
      </c>
      <c r="AA2081" s="849"/>
      <c r="AB2081" s="849">
        <f t="shared" si="395"/>
        <v>96</v>
      </c>
      <c r="AC2081" s="850">
        <f t="shared" si="396"/>
        <v>96</v>
      </c>
      <c r="AD2081" s="851">
        <f t="shared" si="402"/>
        <v>27000</v>
      </c>
      <c r="AE2081" s="852">
        <v>27000</v>
      </c>
      <c r="AF2081" s="853">
        <v>0</v>
      </c>
      <c r="AG2081" s="854">
        <f t="shared" si="397"/>
        <v>0</v>
      </c>
      <c r="AH2081" s="853">
        <v>0</v>
      </c>
      <c r="AI2081" s="855">
        <f t="shared" si="398"/>
        <v>0</v>
      </c>
      <c r="AJ2081" s="845"/>
      <c r="AK2081" s="857"/>
      <c r="AL2081" s="843" t="s">
        <v>6837</v>
      </c>
      <c r="AM2081" s="843"/>
      <c r="AN2081" s="844"/>
      <c r="AO2081" s="844"/>
      <c r="AP2081" s="841"/>
      <c r="AQ2081" s="842"/>
      <c r="AR2081" s="841"/>
      <c r="AS2081" s="842"/>
      <c r="AT2081" s="842"/>
      <c r="AU2081" s="842"/>
      <c r="AV2081" s="845"/>
      <c r="AW2081" s="861"/>
      <c r="AX2081" s="862"/>
      <c r="AY2081" s="843"/>
      <c r="AZ2081" s="842"/>
      <c r="BA2081" s="842" t="s">
        <v>120</v>
      </c>
      <c r="BB2081" s="863"/>
      <c r="BC2081" s="864"/>
      <c r="BD2081" s="860" t="s">
        <v>6838</v>
      </c>
      <c r="BE2081" s="865" cm="1">
        <f t="array" ref="BE2081">IF(BD2081="","",AC2081/SUMPRODUCT(--(BD2081=$BD$4:$BD$12824),$AC$4:$AC$12824))</f>
        <v>2.9201876220547169E-2</v>
      </c>
      <c r="BF2081" s="458"/>
      <c r="BG2081" s="458"/>
      <c r="BH2081" s="458"/>
      <c r="BI2081" s="458"/>
      <c r="BJ2081" s="458"/>
      <c r="BK2081" s="458"/>
      <c r="BL2081" s="458"/>
      <c r="BM2081" s="458"/>
      <c r="BN2081" s="458"/>
      <c r="BO2081" s="866">
        <f>VLOOKUP(BD2081,$BD$4:$BN$12824,3,0)*BE2081</f>
        <v>0</v>
      </c>
      <c r="BP2081" s="866"/>
      <c r="BQ2081" s="866"/>
      <c r="BR2081" s="866">
        <f>VLOOKUP(BD2081,$BD$4:$BN$12824,6,0)*BE2081</f>
        <v>0</v>
      </c>
      <c r="BS2081" s="866">
        <f>VLOOKUP(BD2081,$BD$4:$BN$12824,7,0)*BE2081</f>
        <v>0</v>
      </c>
      <c r="BT2081" s="866"/>
      <c r="BU2081" s="866">
        <f>VLOOKUP(BD2081,$BD$4:$BN$12824,9,0)*BE2081</f>
        <v>0</v>
      </c>
      <c r="BV2081" s="867"/>
      <c r="BW2081" s="867">
        <f>VLOOKUP(BD2081,$BD$4:$BN$12824,11,0)*BE2081</f>
        <v>0</v>
      </c>
      <c r="BX2081" s="1146">
        <f t="shared" si="399"/>
        <v>0</v>
      </c>
      <c r="BY2081" s="867">
        <f t="shared" si="401"/>
        <v>259200</v>
      </c>
      <c r="BZ2081" s="867">
        <f t="shared" si="400"/>
        <v>2592000</v>
      </c>
      <c r="CA2081" s="867">
        <f>_xlfn.MAXIFS($BY$4:$BY$12824,$S$4:$S$12824,$S2081)</f>
        <v>259200</v>
      </c>
      <c r="CB2081" s="1032"/>
      <c r="CF2081" s="946">
        <f t="shared" si="394"/>
        <v>2592000</v>
      </c>
    </row>
    <row r="2082" spans="2:84">
      <c r="B2082" s="839" t="s">
        <v>98</v>
      </c>
      <c r="C2082" s="839" t="s">
        <v>3454</v>
      </c>
      <c r="D2082" s="839" t="s">
        <v>6832</v>
      </c>
      <c r="E2082" s="839" t="s">
        <v>6832</v>
      </c>
      <c r="F2082" s="841">
        <v>45917</v>
      </c>
      <c r="G2082" s="868" t="s">
        <v>3456</v>
      </c>
      <c r="H2082" s="883" t="s">
        <v>102</v>
      </c>
      <c r="I2082" s="883" t="s">
        <v>6833</v>
      </c>
      <c r="J2082" s="841"/>
      <c r="K2082" s="841"/>
      <c r="L2082" s="843" t="s">
        <v>106</v>
      </c>
      <c r="M2082" s="844" t="s">
        <v>6834</v>
      </c>
      <c r="N2082" s="841"/>
      <c r="O2082" s="884" t="s">
        <v>3459</v>
      </c>
      <c r="P2082" s="842" t="s">
        <v>3460</v>
      </c>
      <c r="Q2082" s="843"/>
      <c r="R2082" s="845" t="s">
        <v>6841</v>
      </c>
      <c r="S2082" s="1127" t="s">
        <v>6841</v>
      </c>
      <c r="T2082" s="885" t="s">
        <v>6842</v>
      </c>
      <c r="U2082" s="886">
        <v>3</v>
      </c>
      <c r="V2082" s="842" t="s">
        <v>8</v>
      </c>
      <c r="W2082" s="846"/>
      <c r="X2082" s="847"/>
      <c r="Y2082" s="853"/>
      <c r="Z2082" s="849">
        <v>9.6</v>
      </c>
      <c r="AA2082" s="849"/>
      <c r="AB2082" s="849">
        <f t="shared" si="395"/>
        <v>28.799999999999997</v>
      </c>
      <c r="AC2082" s="850">
        <f t="shared" si="396"/>
        <v>28.799999999999997</v>
      </c>
      <c r="AD2082" s="851">
        <f t="shared" si="402"/>
        <v>27000</v>
      </c>
      <c r="AE2082" s="852">
        <v>27000</v>
      </c>
      <c r="AF2082" s="853">
        <v>0</v>
      </c>
      <c r="AG2082" s="854">
        <f t="shared" si="397"/>
        <v>0</v>
      </c>
      <c r="AH2082" s="853">
        <v>0</v>
      </c>
      <c r="AI2082" s="855">
        <f t="shared" si="398"/>
        <v>0</v>
      </c>
      <c r="AJ2082" s="845"/>
      <c r="AK2082" s="857"/>
      <c r="AL2082" s="843" t="s">
        <v>6837</v>
      </c>
      <c r="AM2082" s="843"/>
      <c r="AN2082" s="844"/>
      <c r="AO2082" s="844"/>
      <c r="AP2082" s="841"/>
      <c r="AQ2082" s="842"/>
      <c r="AR2082" s="841"/>
      <c r="AS2082" s="842"/>
      <c r="AT2082" s="842"/>
      <c r="AU2082" s="842"/>
      <c r="AV2082" s="845"/>
      <c r="AW2082" s="861"/>
      <c r="AX2082" s="862"/>
      <c r="AY2082" s="843"/>
      <c r="AZ2082" s="842"/>
      <c r="BA2082" s="842" t="s">
        <v>120</v>
      </c>
      <c r="BB2082" s="863"/>
      <c r="BC2082" s="864"/>
      <c r="BD2082" s="860" t="s">
        <v>6838</v>
      </c>
      <c r="BE2082" s="865" cm="1">
        <f t="array" ref="BE2082">IF(BD2082="","",AC2082/SUMPRODUCT(--(BD2082=$BD$4:$BD$12824),$AC$4:$AC$12824))</f>
        <v>8.7605628661641503E-3</v>
      </c>
      <c r="BF2082" s="458"/>
      <c r="BG2082" s="458"/>
      <c r="BH2082" s="458"/>
      <c r="BI2082" s="458"/>
      <c r="BJ2082" s="458"/>
      <c r="BK2082" s="458"/>
      <c r="BL2082" s="458"/>
      <c r="BM2082" s="458"/>
      <c r="BN2082" s="458"/>
      <c r="BO2082" s="866">
        <f>VLOOKUP(BD2082,$BD$4:$BN$12824,3,0)*BE2082</f>
        <v>0</v>
      </c>
      <c r="BP2082" s="866"/>
      <c r="BQ2082" s="866"/>
      <c r="BR2082" s="866">
        <f>VLOOKUP(BD2082,$BD$4:$BN$12824,6,0)*BE2082</f>
        <v>0</v>
      </c>
      <c r="BS2082" s="866">
        <f>VLOOKUP(BD2082,$BD$4:$BN$12824,7,0)*BE2082</f>
        <v>0</v>
      </c>
      <c r="BT2082" s="866"/>
      <c r="BU2082" s="866">
        <f>VLOOKUP(BD2082,$BD$4:$BN$12824,9,0)*BE2082</f>
        <v>0</v>
      </c>
      <c r="BV2082" s="867"/>
      <c r="BW2082" s="867">
        <f>VLOOKUP(BD2082,$BD$4:$BN$12824,11,0)*BE2082</f>
        <v>0</v>
      </c>
      <c r="BX2082" s="1146">
        <f t="shared" si="399"/>
        <v>0</v>
      </c>
      <c r="BY2082" s="867">
        <f t="shared" si="401"/>
        <v>259199.99999999997</v>
      </c>
      <c r="BZ2082" s="867">
        <f t="shared" si="400"/>
        <v>777599.99999999988</v>
      </c>
      <c r="CA2082" s="867">
        <f>_xlfn.MAXIFS($BY$4:$BY$12824,$S$4:$S$12824,$S2082)</f>
        <v>259199.99999999997</v>
      </c>
      <c r="CB2082" s="1032"/>
      <c r="CF2082" s="946">
        <f t="shared" si="394"/>
        <v>777599.99999999988</v>
      </c>
    </row>
    <row r="2083" spans="2:84">
      <c r="B2083" s="839" t="s">
        <v>98</v>
      </c>
      <c r="C2083" s="839" t="s">
        <v>3454</v>
      </c>
      <c r="D2083" s="839" t="s">
        <v>6832</v>
      </c>
      <c r="E2083" s="839" t="s">
        <v>6832</v>
      </c>
      <c r="F2083" s="841">
        <v>45917</v>
      </c>
      <c r="G2083" s="868" t="s">
        <v>3456</v>
      </c>
      <c r="H2083" s="883" t="s">
        <v>102</v>
      </c>
      <c r="I2083" s="883" t="s">
        <v>6833</v>
      </c>
      <c r="J2083" s="841"/>
      <c r="K2083" s="841"/>
      <c r="L2083" s="843" t="s">
        <v>106</v>
      </c>
      <c r="M2083" s="844" t="s">
        <v>6834</v>
      </c>
      <c r="N2083" s="841"/>
      <c r="O2083" s="884" t="s">
        <v>3459</v>
      </c>
      <c r="P2083" s="842" t="s">
        <v>3460</v>
      </c>
      <c r="Q2083" s="843"/>
      <c r="R2083" s="845" t="s">
        <v>6843</v>
      </c>
      <c r="S2083" s="1127" t="s">
        <v>6843</v>
      </c>
      <c r="T2083" s="885" t="s">
        <v>6844</v>
      </c>
      <c r="U2083" s="886">
        <v>8</v>
      </c>
      <c r="V2083" s="842" t="s">
        <v>8</v>
      </c>
      <c r="W2083" s="846"/>
      <c r="X2083" s="847"/>
      <c r="Y2083" s="853"/>
      <c r="Z2083" s="849">
        <v>8</v>
      </c>
      <c r="AA2083" s="849"/>
      <c r="AB2083" s="849">
        <f t="shared" si="395"/>
        <v>64</v>
      </c>
      <c r="AC2083" s="850">
        <f t="shared" si="396"/>
        <v>64</v>
      </c>
      <c r="AD2083" s="851">
        <f t="shared" si="402"/>
        <v>27000</v>
      </c>
      <c r="AE2083" s="852">
        <v>27000</v>
      </c>
      <c r="AF2083" s="853">
        <v>0</v>
      </c>
      <c r="AG2083" s="854">
        <f t="shared" si="397"/>
        <v>0</v>
      </c>
      <c r="AH2083" s="853">
        <v>0</v>
      </c>
      <c r="AI2083" s="855">
        <f t="shared" si="398"/>
        <v>0</v>
      </c>
      <c r="AJ2083" s="845"/>
      <c r="AK2083" s="857"/>
      <c r="AL2083" s="843" t="s">
        <v>6837</v>
      </c>
      <c r="AM2083" s="843"/>
      <c r="AN2083" s="844"/>
      <c r="AO2083" s="844"/>
      <c r="AP2083" s="841"/>
      <c r="AQ2083" s="842"/>
      <c r="AR2083" s="841"/>
      <c r="AS2083" s="842"/>
      <c r="AT2083" s="842"/>
      <c r="AU2083" s="842"/>
      <c r="AV2083" s="845"/>
      <c r="AW2083" s="861"/>
      <c r="AX2083" s="862"/>
      <c r="AY2083" s="843"/>
      <c r="AZ2083" s="842"/>
      <c r="BA2083" s="842" t="s">
        <v>120</v>
      </c>
      <c r="BB2083" s="863"/>
      <c r="BC2083" s="864"/>
      <c r="BD2083" s="860" t="s">
        <v>6838</v>
      </c>
      <c r="BE2083" s="865" cm="1">
        <f t="array" ref="BE2083">IF(BD2083="","",AC2083/SUMPRODUCT(--(BD2083=$BD$4:$BD$12824),$AC$4:$AC$12824))</f>
        <v>1.946791748036478E-2</v>
      </c>
      <c r="BF2083" s="458"/>
      <c r="BG2083" s="458"/>
      <c r="BH2083" s="458"/>
      <c r="BI2083" s="458"/>
      <c r="BJ2083" s="458"/>
      <c r="BK2083" s="458"/>
      <c r="BL2083" s="458"/>
      <c r="BM2083" s="458"/>
      <c r="BN2083" s="458"/>
      <c r="BO2083" s="866">
        <f>VLOOKUP(BD2083,$BD$4:$BN$12824,3,0)*BE2083</f>
        <v>0</v>
      </c>
      <c r="BP2083" s="866"/>
      <c r="BQ2083" s="866"/>
      <c r="BR2083" s="866">
        <f>VLOOKUP(BD2083,$BD$4:$BN$12824,6,0)*BE2083</f>
        <v>0</v>
      </c>
      <c r="BS2083" s="866">
        <f>VLOOKUP(BD2083,$BD$4:$BN$12824,7,0)*BE2083</f>
        <v>0</v>
      </c>
      <c r="BT2083" s="866"/>
      <c r="BU2083" s="866">
        <f>VLOOKUP(BD2083,$BD$4:$BN$12824,9,0)*BE2083</f>
        <v>0</v>
      </c>
      <c r="BV2083" s="867"/>
      <c r="BW2083" s="867">
        <f>VLOOKUP(BD2083,$BD$4:$BN$12824,11,0)*BE2083</f>
        <v>0</v>
      </c>
      <c r="BX2083" s="1146">
        <f t="shared" si="399"/>
        <v>0</v>
      </c>
      <c r="BY2083" s="867">
        <f t="shared" si="401"/>
        <v>216000</v>
      </c>
      <c r="BZ2083" s="867">
        <f t="shared" si="400"/>
        <v>1728000</v>
      </c>
      <c r="CA2083" s="867">
        <f>_xlfn.MAXIFS($BY$4:$BY$12824,$S$4:$S$12824,$S2083)</f>
        <v>216000</v>
      </c>
      <c r="CB2083" s="1032"/>
      <c r="CF2083" s="946">
        <f t="shared" si="394"/>
        <v>1728000</v>
      </c>
    </row>
    <row r="2084" spans="2:84">
      <c r="B2084" s="839" t="s">
        <v>98</v>
      </c>
      <c r="C2084" s="839" t="s">
        <v>3454</v>
      </c>
      <c r="D2084" s="839" t="s">
        <v>6832</v>
      </c>
      <c r="E2084" s="839" t="s">
        <v>6832</v>
      </c>
      <c r="F2084" s="841">
        <v>45917</v>
      </c>
      <c r="G2084" s="868" t="s">
        <v>3456</v>
      </c>
      <c r="H2084" s="883" t="s">
        <v>102</v>
      </c>
      <c r="I2084" s="883" t="s">
        <v>6833</v>
      </c>
      <c r="J2084" s="841"/>
      <c r="K2084" s="841"/>
      <c r="L2084" s="843" t="s">
        <v>106</v>
      </c>
      <c r="M2084" s="844" t="s">
        <v>6834</v>
      </c>
      <c r="N2084" s="841"/>
      <c r="O2084" s="884" t="s">
        <v>3459</v>
      </c>
      <c r="P2084" s="842" t="s">
        <v>3460</v>
      </c>
      <c r="Q2084" s="843"/>
      <c r="R2084" s="845" t="s">
        <v>6845</v>
      </c>
      <c r="S2084" s="1127" t="s">
        <v>6845</v>
      </c>
      <c r="T2084" s="885" t="s">
        <v>6846</v>
      </c>
      <c r="U2084" s="886">
        <v>23</v>
      </c>
      <c r="V2084" s="842" t="s">
        <v>8</v>
      </c>
      <c r="W2084" s="846"/>
      <c r="X2084" s="847"/>
      <c r="Y2084" s="853"/>
      <c r="Z2084" s="849">
        <v>8</v>
      </c>
      <c r="AA2084" s="849"/>
      <c r="AB2084" s="849">
        <f t="shared" si="395"/>
        <v>184</v>
      </c>
      <c r="AC2084" s="850">
        <f t="shared" si="396"/>
        <v>184</v>
      </c>
      <c r="AD2084" s="851">
        <f t="shared" si="402"/>
        <v>27000</v>
      </c>
      <c r="AE2084" s="852">
        <v>27000</v>
      </c>
      <c r="AF2084" s="853">
        <v>0</v>
      </c>
      <c r="AG2084" s="854">
        <f t="shared" si="397"/>
        <v>0</v>
      </c>
      <c r="AH2084" s="853">
        <v>0</v>
      </c>
      <c r="AI2084" s="855">
        <f t="shared" si="398"/>
        <v>0</v>
      </c>
      <c r="AJ2084" s="845"/>
      <c r="AK2084" s="857"/>
      <c r="AL2084" s="843" t="s">
        <v>6837</v>
      </c>
      <c r="AM2084" s="843"/>
      <c r="AN2084" s="844"/>
      <c r="AO2084" s="844"/>
      <c r="AP2084" s="841"/>
      <c r="AQ2084" s="842"/>
      <c r="AR2084" s="841"/>
      <c r="AS2084" s="842"/>
      <c r="AT2084" s="842"/>
      <c r="AU2084" s="842"/>
      <c r="AV2084" s="845"/>
      <c r="AW2084" s="861"/>
      <c r="AX2084" s="862"/>
      <c r="AY2084" s="843"/>
      <c r="AZ2084" s="842"/>
      <c r="BA2084" s="842" t="s">
        <v>120</v>
      </c>
      <c r="BB2084" s="863"/>
      <c r="BC2084" s="864"/>
      <c r="BD2084" s="860" t="s">
        <v>6838</v>
      </c>
      <c r="BE2084" s="865" cm="1">
        <f t="array" ref="BE2084">IF(BD2084="","",AC2084/SUMPRODUCT(--(BD2084=$BD$4:$BD$12824),$AC$4:$AC$12824))</f>
        <v>5.5970262756048744E-2</v>
      </c>
      <c r="BF2084" s="458"/>
      <c r="BG2084" s="458"/>
      <c r="BH2084" s="458"/>
      <c r="BI2084" s="458"/>
      <c r="BJ2084" s="458"/>
      <c r="BK2084" s="458"/>
      <c r="BL2084" s="458"/>
      <c r="BM2084" s="458"/>
      <c r="BN2084" s="458"/>
      <c r="BO2084" s="866">
        <f>VLOOKUP(BD2084,$BD$4:$BN$12824,3,0)*BE2084</f>
        <v>0</v>
      </c>
      <c r="BP2084" s="866"/>
      <c r="BQ2084" s="866"/>
      <c r="BR2084" s="866">
        <f>VLOOKUP(BD2084,$BD$4:$BN$12824,6,0)*BE2084</f>
        <v>0</v>
      </c>
      <c r="BS2084" s="866">
        <f>VLOOKUP(BD2084,$BD$4:$BN$12824,7,0)*BE2084</f>
        <v>0</v>
      </c>
      <c r="BT2084" s="866"/>
      <c r="BU2084" s="866">
        <f>VLOOKUP(BD2084,$BD$4:$BN$12824,9,0)*BE2084</f>
        <v>0</v>
      </c>
      <c r="BV2084" s="867"/>
      <c r="BW2084" s="867">
        <f>VLOOKUP(BD2084,$BD$4:$BN$12824,11,0)*BE2084</f>
        <v>0</v>
      </c>
      <c r="BX2084" s="1146">
        <f t="shared" si="399"/>
        <v>0</v>
      </c>
      <c r="BY2084" s="867">
        <f t="shared" si="401"/>
        <v>216000</v>
      </c>
      <c r="BZ2084" s="867">
        <f t="shared" si="400"/>
        <v>4968000</v>
      </c>
      <c r="CA2084" s="867">
        <f>_xlfn.MAXIFS($BY$4:$BY$12824,$S$4:$S$12824,$S2084)</f>
        <v>216000</v>
      </c>
      <c r="CB2084" s="1032"/>
      <c r="CF2084" s="946">
        <f t="shared" si="394"/>
        <v>4968000</v>
      </c>
    </row>
    <row r="2085" spans="2:84">
      <c r="B2085" s="839" t="s">
        <v>98</v>
      </c>
      <c r="C2085" s="839" t="s">
        <v>3454</v>
      </c>
      <c r="D2085" s="839" t="s">
        <v>6832</v>
      </c>
      <c r="E2085" s="839" t="s">
        <v>6832</v>
      </c>
      <c r="F2085" s="841">
        <v>45917</v>
      </c>
      <c r="G2085" s="868" t="s">
        <v>3456</v>
      </c>
      <c r="H2085" s="883" t="s">
        <v>102</v>
      </c>
      <c r="I2085" s="883" t="s">
        <v>6833</v>
      </c>
      <c r="J2085" s="841"/>
      <c r="K2085" s="841"/>
      <c r="L2085" s="843" t="s">
        <v>106</v>
      </c>
      <c r="M2085" s="844" t="s">
        <v>6834</v>
      </c>
      <c r="N2085" s="841"/>
      <c r="O2085" s="884" t="s">
        <v>3459</v>
      </c>
      <c r="P2085" s="842" t="s">
        <v>5464</v>
      </c>
      <c r="Q2085" s="843"/>
      <c r="R2085" s="845" t="s">
        <v>6847</v>
      </c>
      <c r="S2085" s="1127" t="s">
        <v>6847</v>
      </c>
      <c r="T2085" s="885" t="s">
        <v>6848</v>
      </c>
      <c r="U2085" s="886">
        <v>1</v>
      </c>
      <c r="V2085" s="842" t="s">
        <v>8</v>
      </c>
      <c r="W2085" s="846"/>
      <c r="X2085" s="847"/>
      <c r="Y2085" s="853"/>
      <c r="Z2085" s="849">
        <v>6.6</v>
      </c>
      <c r="AA2085" s="849"/>
      <c r="AB2085" s="849">
        <f t="shared" si="395"/>
        <v>6.6</v>
      </c>
      <c r="AC2085" s="850">
        <f t="shared" si="396"/>
        <v>6.6</v>
      </c>
      <c r="AD2085" s="851">
        <f t="shared" si="402"/>
        <v>27000</v>
      </c>
      <c r="AE2085" s="852">
        <v>27000</v>
      </c>
      <c r="AF2085" s="853">
        <v>0</v>
      </c>
      <c r="AG2085" s="854">
        <f t="shared" si="397"/>
        <v>0</v>
      </c>
      <c r="AH2085" s="853">
        <v>0</v>
      </c>
      <c r="AI2085" s="855">
        <f t="shared" si="398"/>
        <v>0</v>
      </c>
      <c r="AJ2085" s="845"/>
      <c r="AK2085" s="857"/>
      <c r="AL2085" s="843" t="s">
        <v>6837</v>
      </c>
      <c r="AM2085" s="843"/>
      <c r="AN2085" s="844"/>
      <c r="AO2085" s="844"/>
      <c r="AP2085" s="841"/>
      <c r="AQ2085" s="842"/>
      <c r="AR2085" s="841"/>
      <c r="AS2085" s="842"/>
      <c r="AT2085" s="842"/>
      <c r="AU2085" s="842"/>
      <c r="AV2085" s="845"/>
      <c r="AW2085" s="861"/>
      <c r="AX2085" s="862"/>
      <c r="AY2085" s="843"/>
      <c r="AZ2085" s="842"/>
      <c r="BA2085" s="842" t="s">
        <v>120</v>
      </c>
      <c r="BB2085" s="863"/>
      <c r="BC2085" s="864"/>
      <c r="BD2085" s="860" t="s">
        <v>6838</v>
      </c>
      <c r="BE2085" s="865" cm="1">
        <f t="array" ref="BE2085">IF(BD2085="","",AC2085/SUMPRODUCT(--(BD2085=$BD$4:$BD$12824),$AC$4:$AC$12824))</f>
        <v>2.0076289901626177E-3</v>
      </c>
      <c r="BF2085" s="458"/>
      <c r="BG2085" s="458"/>
      <c r="BH2085" s="458"/>
      <c r="BI2085" s="458"/>
      <c r="BJ2085" s="458"/>
      <c r="BK2085" s="458"/>
      <c r="BL2085" s="458"/>
      <c r="BM2085" s="458"/>
      <c r="BN2085" s="458"/>
      <c r="BO2085" s="866">
        <f>VLOOKUP(BD2085,$BD$4:$BN$12824,3,0)*BE2085</f>
        <v>0</v>
      </c>
      <c r="BP2085" s="866"/>
      <c r="BQ2085" s="866"/>
      <c r="BR2085" s="866">
        <f>VLOOKUP(BD2085,$BD$4:$BN$12824,6,0)*BE2085</f>
        <v>0</v>
      </c>
      <c r="BS2085" s="866">
        <f>VLOOKUP(BD2085,$BD$4:$BN$12824,7,0)*BE2085</f>
        <v>0</v>
      </c>
      <c r="BT2085" s="866"/>
      <c r="BU2085" s="866">
        <f>VLOOKUP(BD2085,$BD$4:$BN$12824,9,0)*BE2085</f>
        <v>0</v>
      </c>
      <c r="BV2085" s="867"/>
      <c r="BW2085" s="867">
        <f>VLOOKUP(BD2085,$BD$4:$BN$12824,11,0)*BE2085</f>
        <v>0</v>
      </c>
      <c r="BX2085" s="1146">
        <f t="shared" si="399"/>
        <v>0</v>
      </c>
      <c r="BY2085" s="867">
        <f t="shared" si="401"/>
        <v>178200</v>
      </c>
      <c r="BZ2085" s="867">
        <f t="shared" si="400"/>
        <v>178200</v>
      </c>
      <c r="CA2085" s="867">
        <f>_xlfn.MAXIFS($BY$4:$BY$12824,$S$4:$S$12824,$S2085)</f>
        <v>178200</v>
      </c>
      <c r="CB2085" s="1032"/>
      <c r="CF2085" s="946">
        <f t="shared" si="394"/>
        <v>178200</v>
      </c>
    </row>
    <row r="2086" spans="2:84">
      <c r="B2086" s="839" t="s">
        <v>98</v>
      </c>
      <c r="C2086" s="839" t="s">
        <v>3454</v>
      </c>
      <c r="D2086" s="839" t="s">
        <v>6832</v>
      </c>
      <c r="E2086" s="839" t="s">
        <v>6832</v>
      </c>
      <c r="F2086" s="841">
        <v>45917</v>
      </c>
      <c r="G2086" s="868" t="s">
        <v>3456</v>
      </c>
      <c r="H2086" s="883" t="s">
        <v>102</v>
      </c>
      <c r="I2086" s="883" t="s">
        <v>6833</v>
      </c>
      <c r="J2086" s="841"/>
      <c r="K2086" s="841"/>
      <c r="L2086" s="843" t="s">
        <v>106</v>
      </c>
      <c r="M2086" s="844" t="s">
        <v>6834</v>
      </c>
      <c r="N2086" s="841"/>
      <c r="O2086" s="884" t="s">
        <v>3459</v>
      </c>
      <c r="P2086" s="842" t="s">
        <v>3460</v>
      </c>
      <c r="Q2086" s="843"/>
      <c r="R2086" s="845" t="s">
        <v>6849</v>
      </c>
      <c r="S2086" s="1127" t="s">
        <v>6849</v>
      </c>
      <c r="T2086" s="885" t="s">
        <v>6850</v>
      </c>
      <c r="U2086" s="886">
        <v>5</v>
      </c>
      <c r="V2086" s="842" t="s">
        <v>8</v>
      </c>
      <c r="W2086" s="846"/>
      <c r="X2086" s="847"/>
      <c r="Y2086" s="853"/>
      <c r="Z2086" s="849">
        <v>19.3</v>
      </c>
      <c r="AA2086" s="849"/>
      <c r="AB2086" s="849">
        <f t="shared" si="395"/>
        <v>96.5</v>
      </c>
      <c r="AC2086" s="850">
        <f t="shared" si="396"/>
        <v>96.5</v>
      </c>
      <c r="AD2086" s="851">
        <f t="shared" si="402"/>
        <v>27000</v>
      </c>
      <c r="AE2086" s="852">
        <v>27000</v>
      </c>
      <c r="AF2086" s="853">
        <v>0</v>
      </c>
      <c r="AG2086" s="854">
        <f t="shared" si="397"/>
        <v>0</v>
      </c>
      <c r="AH2086" s="853">
        <v>0</v>
      </c>
      <c r="AI2086" s="855">
        <f t="shared" si="398"/>
        <v>0</v>
      </c>
      <c r="AJ2086" s="845"/>
      <c r="AK2086" s="857"/>
      <c r="AL2086" s="843" t="s">
        <v>6837</v>
      </c>
      <c r="AM2086" s="843"/>
      <c r="AN2086" s="844"/>
      <c r="AO2086" s="844"/>
      <c r="AP2086" s="841"/>
      <c r="AQ2086" s="842"/>
      <c r="AR2086" s="841"/>
      <c r="AS2086" s="842"/>
      <c r="AT2086" s="842"/>
      <c r="AU2086" s="842"/>
      <c r="AV2086" s="845"/>
      <c r="AW2086" s="861"/>
      <c r="AX2086" s="862"/>
      <c r="AY2086" s="843"/>
      <c r="AZ2086" s="842"/>
      <c r="BA2086" s="842" t="s">
        <v>120</v>
      </c>
      <c r="BB2086" s="863"/>
      <c r="BC2086" s="864"/>
      <c r="BD2086" s="860" t="s">
        <v>6838</v>
      </c>
      <c r="BE2086" s="865" cm="1">
        <f t="array" ref="BE2086">IF(BD2086="","",AC2086/SUMPRODUCT(--(BD2086=$BD$4:$BD$12824),$AC$4:$AC$12824))</f>
        <v>2.9353969325862518E-2</v>
      </c>
      <c r="BF2086" s="458"/>
      <c r="BG2086" s="458"/>
      <c r="BH2086" s="458"/>
      <c r="BI2086" s="458"/>
      <c r="BJ2086" s="458"/>
      <c r="BK2086" s="458"/>
      <c r="BL2086" s="458"/>
      <c r="BM2086" s="458"/>
      <c r="BN2086" s="458"/>
      <c r="BO2086" s="866">
        <f>VLOOKUP(BD2086,$BD$4:$BN$12824,3,0)*BE2086</f>
        <v>0</v>
      </c>
      <c r="BP2086" s="866"/>
      <c r="BQ2086" s="866"/>
      <c r="BR2086" s="866">
        <f>VLOOKUP(BD2086,$BD$4:$BN$12824,6,0)*BE2086</f>
        <v>0</v>
      </c>
      <c r="BS2086" s="866">
        <f>VLOOKUP(BD2086,$BD$4:$BN$12824,7,0)*BE2086</f>
        <v>0</v>
      </c>
      <c r="BT2086" s="866"/>
      <c r="BU2086" s="866">
        <f>VLOOKUP(BD2086,$BD$4:$BN$12824,9,0)*BE2086</f>
        <v>0</v>
      </c>
      <c r="BV2086" s="867"/>
      <c r="BW2086" s="867">
        <f>VLOOKUP(BD2086,$BD$4:$BN$12824,11,0)*BE2086</f>
        <v>0</v>
      </c>
      <c r="BX2086" s="1146">
        <f t="shared" si="399"/>
        <v>0</v>
      </c>
      <c r="BY2086" s="867">
        <f t="shared" si="401"/>
        <v>521100</v>
      </c>
      <c r="BZ2086" s="867">
        <f t="shared" si="400"/>
        <v>2605500</v>
      </c>
      <c r="CA2086" s="867">
        <f>_xlfn.MAXIFS($BY$4:$BY$12824,$S$4:$S$12824,$S2086)</f>
        <v>521100</v>
      </c>
      <c r="CB2086" s="1032"/>
      <c r="CF2086" s="946">
        <f t="shared" si="394"/>
        <v>2605500</v>
      </c>
    </row>
    <row r="2087" spans="2:84">
      <c r="B2087" s="839" t="s">
        <v>98</v>
      </c>
      <c r="C2087" s="839" t="s">
        <v>3454</v>
      </c>
      <c r="D2087" s="839" t="s">
        <v>6832</v>
      </c>
      <c r="E2087" s="839" t="s">
        <v>6832</v>
      </c>
      <c r="F2087" s="841">
        <v>45917</v>
      </c>
      <c r="G2087" s="868" t="s">
        <v>3456</v>
      </c>
      <c r="H2087" s="883" t="s">
        <v>102</v>
      </c>
      <c r="I2087" s="883" t="s">
        <v>6833</v>
      </c>
      <c r="J2087" s="841"/>
      <c r="K2087" s="841"/>
      <c r="L2087" s="843" t="s">
        <v>106</v>
      </c>
      <c r="M2087" s="844" t="s">
        <v>6834</v>
      </c>
      <c r="N2087" s="841"/>
      <c r="O2087" s="884" t="s">
        <v>3459</v>
      </c>
      <c r="P2087" s="842" t="s">
        <v>3548</v>
      </c>
      <c r="Q2087" s="843"/>
      <c r="R2087" s="845" t="s">
        <v>6851</v>
      </c>
      <c r="S2087" s="1127" t="s">
        <v>6851</v>
      </c>
      <c r="T2087" s="885" t="s">
        <v>6852</v>
      </c>
      <c r="U2087" s="886">
        <v>12</v>
      </c>
      <c r="V2087" s="842" t="s">
        <v>8</v>
      </c>
      <c r="W2087" s="846"/>
      <c r="X2087" s="847"/>
      <c r="Y2087" s="853"/>
      <c r="Z2087" s="849">
        <v>45.5</v>
      </c>
      <c r="AA2087" s="849"/>
      <c r="AB2087" s="849">
        <f t="shared" si="395"/>
        <v>546</v>
      </c>
      <c r="AC2087" s="850">
        <f t="shared" si="396"/>
        <v>546</v>
      </c>
      <c r="AD2087" s="851">
        <f t="shared" si="402"/>
        <v>27000</v>
      </c>
      <c r="AE2087" s="852">
        <v>27000</v>
      </c>
      <c r="AF2087" s="853">
        <v>0</v>
      </c>
      <c r="AG2087" s="854">
        <f t="shared" si="397"/>
        <v>0</v>
      </c>
      <c r="AH2087" s="853">
        <v>0</v>
      </c>
      <c r="AI2087" s="855">
        <f t="shared" si="398"/>
        <v>0</v>
      </c>
      <c r="AJ2087" s="845"/>
      <c r="AK2087" s="857"/>
      <c r="AL2087" s="843" t="s">
        <v>6837</v>
      </c>
      <c r="AM2087" s="843"/>
      <c r="AN2087" s="844"/>
      <c r="AO2087" s="844"/>
      <c r="AP2087" s="841"/>
      <c r="AQ2087" s="842"/>
      <c r="AR2087" s="841"/>
      <c r="AS2087" s="842"/>
      <c r="AT2087" s="842"/>
      <c r="AU2087" s="842"/>
      <c r="AV2087" s="845"/>
      <c r="AW2087" s="861"/>
      <c r="AX2087" s="862"/>
      <c r="AY2087" s="843"/>
      <c r="AZ2087" s="842"/>
      <c r="BA2087" s="842" t="s">
        <v>120</v>
      </c>
      <c r="BB2087" s="863"/>
      <c r="BC2087" s="864"/>
      <c r="BD2087" s="860" t="s">
        <v>6838</v>
      </c>
      <c r="BE2087" s="865" cm="1">
        <f t="array" ref="BE2087">IF(BD2087="","",AC2087/SUMPRODUCT(--(BD2087=$BD$4:$BD$12824),$AC$4:$AC$12824))</f>
        <v>0.16608567100436203</v>
      </c>
      <c r="BF2087" s="458"/>
      <c r="BG2087" s="458"/>
      <c r="BH2087" s="458"/>
      <c r="BI2087" s="458"/>
      <c r="BJ2087" s="458"/>
      <c r="BK2087" s="458"/>
      <c r="BL2087" s="458"/>
      <c r="BM2087" s="458"/>
      <c r="BN2087" s="458"/>
      <c r="BO2087" s="866">
        <f>VLOOKUP(BD2087,$BD$4:$BN$12824,3,0)*BE2087</f>
        <v>0</v>
      </c>
      <c r="BP2087" s="866"/>
      <c r="BQ2087" s="866"/>
      <c r="BR2087" s="866">
        <f>VLOOKUP(BD2087,$BD$4:$BN$12824,6,0)*BE2087</f>
        <v>0</v>
      </c>
      <c r="BS2087" s="866">
        <f>VLOOKUP(BD2087,$BD$4:$BN$12824,7,0)*BE2087</f>
        <v>0</v>
      </c>
      <c r="BT2087" s="866"/>
      <c r="BU2087" s="866">
        <f>VLOOKUP(BD2087,$BD$4:$BN$12824,9,0)*BE2087</f>
        <v>0</v>
      </c>
      <c r="BV2087" s="867"/>
      <c r="BW2087" s="867">
        <f>VLOOKUP(BD2087,$BD$4:$BN$12824,11,0)*BE2087</f>
        <v>0</v>
      </c>
      <c r="BX2087" s="1146">
        <f t="shared" si="399"/>
        <v>0</v>
      </c>
      <c r="BY2087" s="867">
        <f t="shared" si="401"/>
        <v>1228500</v>
      </c>
      <c r="BZ2087" s="867">
        <f t="shared" si="400"/>
        <v>14742000</v>
      </c>
      <c r="CA2087" s="867">
        <f>_xlfn.MAXIFS($BY$4:$BY$12824,$S$4:$S$12824,$S2087)</f>
        <v>1228500</v>
      </c>
      <c r="CB2087" s="1032"/>
      <c r="CF2087" s="946">
        <f t="shared" si="394"/>
        <v>14742000</v>
      </c>
    </row>
    <row r="2088" spans="2:84">
      <c r="B2088" s="839" t="s">
        <v>98</v>
      </c>
      <c r="C2088" s="839" t="s">
        <v>3454</v>
      </c>
      <c r="D2088" s="839" t="s">
        <v>6832</v>
      </c>
      <c r="E2088" s="839" t="s">
        <v>6832</v>
      </c>
      <c r="F2088" s="841">
        <v>45917</v>
      </c>
      <c r="G2088" s="868" t="s">
        <v>3456</v>
      </c>
      <c r="H2088" s="883" t="s">
        <v>102</v>
      </c>
      <c r="I2088" s="883" t="s">
        <v>6833</v>
      </c>
      <c r="J2088" s="841"/>
      <c r="K2088" s="841"/>
      <c r="L2088" s="843" t="s">
        <v>106</v>
      </c>
      <c r="M2088" s="844" t="s">
        <v>6834</v>
      </c>
      <c r="N2088" s="841"/>
      <c r="O2088" s="884" t="s">
        <v>3459</v>
      </c>
      <c r="P2088" s="842" t="s">
        <v>3548</v>
      </c>
      <c r="Q2088" s="843"/>
      <c r="R2088" s="845" t="s">
        <v>6853</v>
      </c>
      <c r="S2088" s="1127" t="s">
        <v>6853</v>
      </c>
      <c r="T2088" s="885" t="s">
        <v>6854</v>
      </c>
      <c r="U2088" s="886">
        <v>10</v>
      </c>
      <c r="V2088" s="842" t="s">
        <v>8</v>
      </c>
      <c r="W2088" s="846"/>
      <c r="X2088" s="847"/>
      <c r="Y2088" s="853"/>
      <c r="Z2088" s="849">
        <v>62.6</v>
      </c>
      <c r="AA2088" s="849"/>
      <c r="AB2088" s="849">
        <f t="shared" si="395"/>
        <v>626</v>
      </c>
      <c r="AC2088" s="850">
        <f t="shared" si="396"/>
        <v>626</v>
      </c>
      <c r="AD2088" s="851">
        <f t="shared" si="402"/>
        <v>27000</v>
      </c>
      <c r="AE2088" s="852">
        <v>27000</v>
      </c>
      <c r="AF2088" s="853">
        <v>0</v>
      </c>
      <c r="AG2088" s="854">
        <f t="shared" si="397"/>
        <v>0</v>
      </c>
      <c r="AH2088" s="853">
        <v>0</v>
      </c>
      <c r="AI2088" s="855">
        <f t="shared" si="398"/>
        <v>0</v>
      </c>
      <c r="AJ2088" s="845"/>
      <c r="AK2088" s="857"/>
      <c r="AL2088" s="843" t="s">
        <v>6837</v>
      </c>
      <c r="AM2088" s="843"/>
      <c r="AN2088" s="844"/>
      <c r="AO2088" s="844"/>
      <c r="AP2088" s="841"/>
      <c r="AQ2088" s="842"/>
      <c r="AR2088" s="841"/>
      <c r="AS2088" s="842"/>
      <c r="AT2088" s="842"/>
      <c r="AU2088" s="842"/>
      <c r="AV2088" s="845"/>
      <c r="AW2088" s="861"/>
      <c r="AX2088" s="862"/>
      <c r="AY2088" s="843"/>
      <c r="AZ2088" s="842"/>
      <c r="BA2088" s="842" t="s">
        <v>120</v>
      </c>
      <c r="BB2088" s="863"/>
      <c r="BC2088" s="864"/>
      <c r="BD2088" s="860" t="s">
        <v>6838</v>
      </c>
      <c r="BE2088" s="865" cm="1">
        <f t="array" ref="BE2088">IF(BD2088="","",AC2088/SUMPRODUCT(--(BD2088=$BD$4:$BD$12824),$AC$4:$AC$12824))</f>
        <v>0.19042056785481801</v>
      </c>
      <c r="BF2088" s="458"/>
      <c r="BG2088" s="458"/>
      <c r="BH2088" s="458"/>
      <c r="BI2088" s="458"/>
      <c r="BJ2088" s="458"/>
      <c r="BK2088" s="458"/>
      <c r="BL2088" s="458"/>
      <c r="BM2088" s="458"/>
      <c r="BN2088" s="458"/>
      <c r="BO2088" s="866">
        <f>VLOOKUP(BD2088,$BD$4:$BN$12824,3,0)*BE2088</f>
        <v>0</v>
      </c>
      <c r="BP2088" s="866"/>
      <c r="BQ2088" s="866"/>
      <c r="BR2088" s="866">
        <f>VLOOKUP(BD2088,$BD$4:$BN$12824,6,0)*BE2088</f>
        <v>0</v>
      </c>
      <c r="BS2088" s="866">
        <f>VLOOKUP(BD2088,$BD$4:$BN$12824,7,0)*BE2088</f>
        <v>0</v>
      </c>
      <c r="BT2088" s="866"/>
      <c r="BU2088" s="866">
        <f>VLOOKUP(BD2088,$BD$4:$BN$12824,9,0)*BE2088</f>
        <v>0</v>
      </c>
      <c r="BV2088" s="867"/>
      <c r="BW2088" s="867">
        <f>VLOOKUP(BD2088,$BD$4:$BN$12824,11,0)*BE2088</f>
        <v>0</v>
      </c>
      <c r="BX2088" s="1146">
        <f t="shared" si="399"/>
        <v>0</v>
      </c>
      <c r="BY2088" s="867">
        <f t="shared" si="401"/>
        <v>1690200</v>
      </c>
      <c r="BZ2088" s="867">
        <f t="shared" si="400"/>
        <v>16902000</v>
      </c>
      <c r="CA2088" s="867">
        <f>_xlfn.MAXIFS($BY$4:$BY$12824,$S$4:$S$12824,$S2088)</f>
        <v>1690200</v>
      </c>
      <c r="CB2088" s="1032"/>
      <c r="CF2088" s="946">
        <f t="shared" si="394"/>
        <v>16902000</v>
      </c>
    </row>
    <row r="2089" spans="2:84">
      <c r="B2089" s="839" t="s">
        <v>98</v>
      </c>
      <c r="C2089" s="839" t="s">
        <v>3454</v>
      </c>
      <c r="D2089" s="839" t="s">
        <v>6832</v>
      </c>
      <c r="E2089" s="839" t="s">
        <v>6832</v>
      </c>
      <c r="F2089" s="841">
        <v>45917</v>
      </c>
      <c r="G2089" s="868" t="s">
        <v>3456</v>
      </c>
      <c r="H2089" s="883" t="s">
        <v>102</v>
      </c>
      <c r="I2089" s="883" t="s">
        <v>6833</v>
      </c>
      <c r="J2089" s="841"/>
      <c r="K2089" s="841"/>
      <c r="L2089" s="843" t="s">
        <v>106</v>
      </c>
      <c r="M2089" s="844" t="s">
        <v>6834</v>
      </c>
      <c r="N2089" s="841"/>
      <c r="O2089" s="884" t="s">
        <v>3459</v>
      </c>
      <c r="P2089" s="842" t="s">
        <v>3548</v>
      </c>
      <c r="Q2089" s="843"/>
      <c r="R2089" s="845" t="s">
        <v>6855</v>
      </c>
      <c r="S2089" s="1127" t="s">
        <v>6855</v>
      </c>
      <c r="T2089" s="885" t="s">
        <v>6856</v>
      </c>
      <c r="U2089" s="886">
        <v>15</v>
      </c>
      <c r="V2089" s="842" t="s">
        <v>8</v>
      </c>
      <c r="W2089" s="846"/>
      <c r="X2089" s="847"/>
      <c r="Y2089" s="853"/>
      <c r="Z2089" s="849">
        <v>59.8</v>
      </c>
      <c r="AA2089" s="849"/>
      <c r="AB2089" s="849">
        <f t="shared" si="395"/>
        <v>897</v>
      </c>
      <c r="AC2089" s="850">
        <f t="shared" si="396"/>
        <v>897</v>
      </c>
      <c r="AD2089" s="851">
        <f t="shared" si="402"/>
        <v>27000</v>
      </c>
      <c r="AE2089" s="852">
        <v>27000</v>
      </c>
      <c r="AF2089" s="853">
        <v>0</v>
      </c>
      <c r="AG2089" s="854">
        <f t="shared" si="397"/>
        <v>0</v>
      </c>
      <c r="AH2089" s="853">
        <v>0</v>
      </c>
      <c r="AI2089" s="855">
        <f t="shared" si="398"/>
        <v>0</v>
      </c>
      <c r="AJ2089" s="845"/>
      <c r="AK2089" s="857"/>
      <c r="AL2089" s="843" t="s">
        <v>6837</v>
      </c>
      <c r="AM2089" s="843"/>
      <c r="AN2089" s="844"/>
      <c r="AO2089" s="844"/>
      <c r="AP2089" s="841"/>
      <c r="AQ2089" s="842"/>
      <c r="AR2089" s="841"/>
      <c r="AS2089" s="842"/>
      <c r="AT2089" s="842"/>
      <c r="AU2089" s="842"/>
      <c r="AV2089" s="845"/>
      <c r="AW2089" s="861"/>
      <c r="AX2089" s="862"/>
      <c r="AY2089" s="843"/>
      <c r="AZ2089" s="842"/>
      <c r="BA2089" s="842" t="s">
        <v>120</v>
      </c>
      <c r="BB2089" s="863"/>
      <c r="BC2089" s="864"/>
      <c r="BD2089" s="860" t="s">
        <v>6838</v>
      </c>
      <c r="BE2089" s="865" cm="1">
        <f t="array" ref="BE2089">IF(BD2089="","",AC2089/SUMPRODUCT(--(BD2089=$BD$4:$BD$12824),$AC$4:$AC$12824))</f>
        <v>0.2728550309357376</v>
      </c>
      <c r="BF2089" s="458"/>
      <c r="BG2089" s="458"/>
      <c r="BH2089" s="458"/>
      <c r="BI2089" s="458"/>
      <c r="BJ2089" s="458"/>
      <c r="BK2089" s="458"/>
      <c r="BL2089" s="458"/>
      <c r="BM2089" s="458"/>
      <c r="BN2089" s="458"/>
      <c r="BO2089" s="866">
        <f>VLOOKUP(BD2089,$BD$4:$BN$12824,3,0)*BE2089</f>
        <v>0</v>
      </c>
      <c r="BP2089" s="866"/>
      <c r="BQ2089" s="866"/>
      <c r="BR2089" s="866">
        <f>VLOOKUP(BD2089,$BD$4:$BN$12824,6,0)*BE2089</f>
        <v>0</v>
      </c>
      <c r="BS2089" s="866">
        <f>VLOOKUP(BD2089,$BD$4:$BN$12824,7,0)*BE2089</f>
        <v>0</v>
      </c>
      <c r="BT2089" s="866"/>
      <c r="BU2089" s="866">
        <f>VLOOKUP(BD2089,$BD$4:$BN$12824,9,0)*BE2089</f>
        <v>0</v>
      </c>
      <c r="BV2089" s="867"/>
      <c r="BW2089" s="867">
        <f>VLOOKUP(BD2089,$BD$4:$BN$12824,11,0)*BE2089</f>
        <v>0</v>
      </c>
      <c r="BX2089" s="1146">
        <f t="shared" si="399"/>
        <v>0</v>
      </c>
      <c r="BY2089" s="867">
        <f t="shared" si="401"/>
        <v>1614600</v>
      </c>
      <c r="BZ2089" s="867">
        <f t="shared" si="400"/>
        <v>24219000</v>
      </c>
      <c r="CA2089" s="867">
        <f>_xlfn.MAXIFS($BY$4:$BY$12824,$S$4:$S$12824,$S2089)</f>
        <v>1614600</v>
      </c>
      <c r="CB2089" s="1032"/>
      <c r="CF2089" s="946">
        <f t="shared" ref="CF2089:CF2148" si="403">AC2089*AD2089</f>
        <v>24219000</v>
      </c>
    </row>
    <row r="2090" spans="2:84">
      <c r="B2090" s="839" t="s">
        <v>98</v>
      </c>
      <c r="C2090" s="839" t="s">
        <v>3454</v>
      </c>
      <c r="D2090" s="839" t="s">
        <v>6832</v>
      </c>
      <c r="E2090" s="839" t="s">
        <v>6832</v>
      </c>
      <c r="F2090" s="841">
        <v>45917</v>
      </c>
      <c r="G2090" s="868" t="s">
        <v>3456</v>
      </c>
      <c r="H2090" s="883" t="s">
        <v>102</v>
      </c>
      <c r="I2090" s="883" t="s">
        <v>6833</v>
      </c>
      <c r="J2090" s="841"/>
      <c r="K2090" s="841"/>
      <c r="L2090" s="843" t="s">
        <v>106</v>
      </c>
      <c r="M2090" s="844" t="s">
        <v>6834</v>
      </c>
      <c r="N2090" s="841"/>
      <c r="O2090" s="884" t="s">
        <v>3459</v>
      </c>
      <c r="P2090" s="842" t="s">
        <v>3548</v>
      </c>
      <c r="Q2090" s="843"/>
      <c r="R2090" s="845" t="s">
        <v>6857</v>
      </c>
      <c r="S2090" s="1127" t="s">
        <v>6857</v>
      </c>
      <c r="T2090" s="885" t="s">
        <v>6858</v>
      </c>
      <c r="U2090" s="886">
        <v>3</v>
      </c>
      <c r="V2090" s="842" t="s">
        <v>8</v>
      </c>
      <c r="W2090" s="846"/>
      <c r="X2090" s="847"/>
      <c r="Y2090" s="853"/>
      <c r="Z2090" s="849">
        <v>31.3</v>
      </c>
      <c r="AA2090" s="849"/>
      <c r="AB2090" s="849">
        <f t="shared" si="395"/>
        <v>93.9</v>
      </c>
      <c r="AC2090" s="850">
        <f t="shared" si="396"/>
        <v>93.9</v>
      </c>
      <c r="AD2090" s="851">
        <f t="shared" si="402"/>
        <v>27000</v>
      </c>
      <c r="AE2090" s="852">
        <v>27000</v>
      </c>
      <c r="AF2090" s="853">
        <v>0</v>
      </c>
      <c r="AG2090" s="854">
        <f t="shared" si="397"/>
        <v>0</v>
      </c>
      <c r="AH2090" s="853">
        <v>0</v>
      </c>
      <c r="AI2090" s="855">
        <f t="shared" si="398"/>
        <v>0</v>
      </c>
      <c r="AJ2090" s="845"/>
      <c r="AK2090" s="857"/>
      <c r="AL2090" s="843" t="s">
        <v>6837</v>
      </c>
      <c r="AM2090" s="843"/>
      <c r="AN2090" s="844"/>
      <c r="AO2090" s="844"/>
      <c r="AP2090" s="841"/>
      <c r="AQ2090" s="842"/>
      <c r="AR2090" s="841"/>
      <c r="AS2090" s="842"/>
      <c r="AT2090" s="842"/>
      <c r="AU2090" s="842"/>
      <c r="AV2090" s="845"/>
      <c r="AW2090" s="861"/>
      <c r="AX2090" s="862"/>
      <c r="AY2090" s="843"/>
      <c r="AZ2090" s="842"/>
      <c r="BA2090" s="842" t="s">
        <v>120</v>
      </c>
      <c r="BB2090" s="863"/>
      <c r="BC2090" s="864"/>
      <c r="BD2090" s="860" t="s">
        <v>6838</v>
      </c>
      <c r="BE2090" s="865" cm="1">
        <f t="array" ref="BE2090">IF(BD2090="","",AC2090/SUMPRODUCT(--(BD2090=$BD$4:$BD$12824),$AC$4:$AC$12824))</f>
        <v>2.8563085178222702E-2</v>
      </c>
      <c r="BF2090" s="458"/>
      <c r="BG2090" s="458"/>
      <c r="BH2090" s="458"/>
      <c r="BI2090" s="458"/>
      <c r="BJ2090" s="458"/>
      <c r="BK2090" s="458"/>
      <c r="BL2090" s="458"/>
      <c r="BM2090" s="458"/>
      <c r="BN2090" s="458"/>
      <c r="BO2090" s="866">
        <f>VLOOKUP(BD2090,$BD$4:$BN$12824,3,0)*BE2090</f>
        <v>0</v>
      </c>
      <c r="BP2090" s="866"/>
      <c r="BQ2090" s="866"/>
      <c r="BR2090" s="866">
        <f>VLOOKUP(BD2090,$BD$4:$BN$12824,6,0)*BE2090</f>
        <v>0</v>
      </c>
      <c r="BS2090" s="866">
        <f>VLOOKUP(BD2090,$BD$4:$BN$12824,7,0)*BE2090</f>
        <v>0</v>
      </c>
      <c r="BT2090" s="866"/>
      <c r="BU2090" s="866">
        <f>VLOOKUP(BD2090,$BD$4:$BN$12824,9,0)*BE2090</f>
        <v>0</v>
      </c>
      <c r="BV2090" s="867"/>
      <c r="BW2090" s="867">
        <f>VLOOKUP(BD2090,$BD$4:$BN$12824,11,0)*BE2090</f>
        <v>0</v>
      </c>
      <c r="BX2090" s="1146">
        <f t="shared" si="399"/>
        <v>0</v>
      </c>
      <c r="BY2090" s="867">
        <f t="shared" si="401"/>
        <v>845100</v>
      </c>
      <c r="BZ2090" s="867">
        <f t="shared" si="400"/>
        <v>2535300</v>
      </c>
      <c r="CA2090" s="867">
        <f>_xlfn.MAXIFS($BY$4:$BY$12824,$S$4:$S$12824,$S2090)</f>
        <v>845100</v>
      </c>
      <c r="CB2090" s="1032"/>
      <c r="CF2090" s="946">
        <f t="shared" si="403"/>
        <v>2535300</v>
      </c>
    </row>
    <row r="2091" spans="2:84">
      <c r="B2091" s="839" t="s">
        <v>98</v>
      </c>
      <c r="C2091" s="839" t="s">
        <v>3454</v>
      </c>
      <c r="D2091" s="839" t="s">
        <v>6832</v>
      </c>
      <c r="E2091" s="839" t="s">
        <v>6832</v>
      </c>
      <c r="F2091" s="841">
        <v>45917</v>
      </c>
      <c r="G2091" s="868" t="s">
        <v>3456</v>
      </c>
      <c r="H2091" s="883" t="s">
        <v>102</v>
      </c>
      <c r="I2091" s="883" t="s">
        <v>6833</v>
      </c>
      <c r="J2091" s="841"/>
      <c r="K2091" s="841"/>
      <c r="L2091" s="843" t="s">
        <v>106</v>
      </c>
      <c r="M2091" s="844" t="s">
        <v>6834</v>
      </c>
      <c r="N2091" s="841"/>
      <c r="O2091" s="884" t="s">
        <v>3459</v>
      </c>
      <c r="P2091" s="842" t="s">
        <v>124</v>
      </c>
      <c r="Q2091" s="843"/>
      <c r="R2091" s="845" t="s">
        <v>6859</v>
      </c>
      <c r="S2091" s="1127" t="s">
        <v>6859</v>
      </c>
      <c r="T2091" s="885" t="s">
        <v>6860</v>
      </c>
      <c r="U2091" s="886">
        <v>58</v>
      </c>
      <c r="V2091" s="842" t="s">
        <v>8</v>
      </c>
      <c r="W2091" s="846"/>
      <c r="X2091" s="847"/>
      <c r="Y2091" s="853"/>
      <c r="Z2091" s="849">
        <v>2.92</v>
      </c>
      <c r="AA2091" s="849"/>
      <c r="AB2091" s="849">
        <f t="shared" si="395"/>
        <v>169.35999999999999</v>
      </c>
      <c r="AC2091" s="850">
        <f t="shared" si="396"/>
        <v>169.35999999999999</v>
      </c>
      <c r="AD2091" s="851">
        <f t="shared" si="402"/>
        <v>27000</v>
      </c>
      <c r="AE2091" s="852">
        <v>27000</v>
      </c>
      <c r="AF2091" s="853">
        <v>0</v>
      </c>
      <c r="AG2091" s="854">
        <f t="shared" si="397"/>
        <v>0</v>
      </c>
      <c r="AH2091" s="853">
        <v>0</v>
      </c>
      <c r="AI2091" s="855">
        <f t="shared" si="398"/>
        <v>0</v>
      </c>
      <c r="AJ2091" s="845"/>
      <c r="AK2091" s="857"/>
      <c r="AL2091" s="843" t="s">
        <v>6837</v>
      </c>
      <c r="AM2091" s="843"/>
      <c r="AN2091" s="844"/>
      <c r="AO2091" s="844"/>
      <c r="AP2091" s="841"/>
      <c r="AQ2091" s="842"/>
      <c r="AR2091" s="841"/>
      <c r="AS2091" s="842"/>
      <c r="AT2091" s="842"/>
      <c r="AU2091" s="842"/>
      <c r="AV2091" s="845"/>
      <c r="AW2091" s="861"/>
      <c r="AX2091" s="862"/>
      <c r="AY2091" s="843"/>
      <c r="AZ2091" s="842"/>
      <c r="BA2091" s="842" t="s">
        <v>120</v>
      </c>
      <c r="BB2091" s="863"/>
      <c r="BC2091" s="864"/>
      <c r="BD2091" s="860" t="s">
        <v>6838</v>
      </c>
      <c r="BE2091" s="865" cm="1">
        <f t="array" ref="BE2091">IF(BD2091="","",AC2091/SUMPRODUCT(--(BD2091=$BD$4:$BD$12824),$AC$4:$AC$12824))</f>
        <v>5.1516976632415293E-2</v>
      </c>
      <c r="BF2091" s="458"/>
      <c r="BG2091" s="458"/>
      <c r="BH2091" s="458"/>
      <c r="BI2091" s="458"/>
      <c r="BJ2091" s="458"/>
      <c r="BK2091" s="458"/>
      <c r="BL2091" s="458"/>
      <c r="BM2091" s="458"/>
      <c r="BN2091" s="458"/>
      <c r="BO2091" s="866">
        <f>VLOOKUP(BD2091,$BD$4:$BN$12824,3,0)*BE2091</f>
        <v>0</v>
      </c>
      <c r="BP2091" s="866"/>
      <c r="BQ2091" s="866"/>
      <c r="BR2091" s="866">
        <f>VLOOKUP(BD2091,$BD$4:$BN$12824,6,0)*BE2091</f>
        <v>0</v>
      </c>
      <c r="BS2091" s="866">
        <f>VLOOKUP(BD2091,$BD$4:$BN$12824,7,0)*BE2091</f>
        <v>0</v>
      </c>
      <c r="BT2091" s="866"/>
      <c r="BU2091" s="866">
        <f>VLOOKUP(BD2091,$BD$4:$BN$12824,9,0)*BE2091</f>
        <v>0</v>
      </c>
      <c r="BV2091" s="867"/>
      <c r="BW2091" s="867">
        <f>VLOOKUP(BD2091,$BD$4:$BN$12824,11,0)*BE2091</f>
        <v>0</v>
      </c>
      <c r="BX2091" s="1146">
        <f t="shared" si="399"/>
        <v>0</v>
      </c>
      <c r="BY2091" s="867">
        <f t="shared" si="401"/>
        <v>78840</v>
      </c>
      <c r="BZ2091" s="867">
        <f t="shared" si="400"/>
        <v>4572720</v>
      </c>
      <c r="CA2091" s="867">
        <f>_xlfn.MAXIFS($BY$4:$BY$12824,$S$4:$S$12824,$S2091)</f>
        <v>78840</v>
      </c>
      <c r="CB2091" s="1032"/>
      <c r="CF2091" s="946">
        <f t="shared" si="403"/>
        <v>4572720</v>
      </c>
    </row>
    <row r="2092" spans="2:84">
      <c r="B2092" s="839" t="s">
        <v>98</v>
      </c>
      <c r="C2092" s="839" t="s">
        <v>3454</v>
      </c>
      <c r="D2092" s="839" t="s">
        <v>6832</v>
      </c>
      <c r="E2092" s="839" t="s">
        <v>6832</v>
      </c>
      <c r="F2092" s="841">
        <v>45917</v>
      </c>
      <c r="G2092" s="868" t="s">
        <v>3456</v>
      </c>
      <c r="H2092" s="883" t="s">
        <v>102</v>
      </c>
      <c r="I2092" s="883" t="s">
        <v>6833</v>
      </c>
      <c r="J2092" s="841"/>
      <c r="K2092" s="841"/>
      <c r="L2092" s="843" t="s">
        <v>106</v>
      </c>
      <c r="M2092" s="844" t="s">
        <v>6834</v>
      </c>
      <c r="N2092" s="841"/>
      <c r="O2092" s="884" t="s">
        <v>3459</v>
      </c>
      <c r="P2092" s="842" t="s">
        <v>124</v>
      </c>
      <c r="Q2092" s="843"/>
      <c r="R2092" s="845" t="s">
        <v>6648</v>
      </c>
      <c r="S2092" s="1127" t="s">
        <v>6648</v>
      </c>
      <c r="T2092" s="885" t="s">
        <v>6861</v>
      </c>
      <c r="U2092" s="886">
        <v>26</v>
      </c>
      <c r="V2092" s="842" t="s">
        <v>8</v>
      </c>
      <c r="W2092" s="846"/>
      <c r="X2092" s="847"/>
      <c r="Y2092" s="853"/>
      <c r="Z2092" s="849">
        <v>1.45</v>
      </c>
      <c r="AA2092" s="849"/>
      <c r="AB2092" s="849">
        <f t="shared" si="395"/>
        <v>37.699999999999996</v>
      </c>
      <c r="AC2092" s="850">
        <f t="shared" si="396"/>
        <v>37.699999999999996</v>
      </c>
      <c r="AD2092" s="851">
        <f t="shared" si="402"/>
        <v>27000</v>
      </c>
      <c r="AE2092" s="852">
        <v>27000</v>
      </c>
      <c r="AF2092" s="853">
        <v>0</v>
      </c>
      <c r="AG2092" s="854">
        <f t="shared" si="397"/>
        <v>0</v>
      </c>
      <c r="AH2092" s="853">
        <v>0</v>
      </c>
      <c r="AI2092" s="855">
        <f t="shared" si="398"/>
        <v>0</v>
      </c>
      <c r="AJ2092" s="845"/>
      <c r="AK2092" s="857"/>
      <c r="AL2092" s="843" t="s">
        <v>6837</v>
      </c>
      <c r="AM2092" s="843"/>
      <c r="AN2092" s="844"/>
      <c r="AO2092" s="844"/>
      <c r="AP2092" s="841"/>
      <c r="AQ2092" s="842"/>
      <c r="AR2092" s="841"/>
      <c r="AS2092" s="842"/>
      <c r="AT2092" s="842"/>
      <c r="AU2092" s="842"/>
      <c r="AV2092" s="845"/>
      <c r="AW2092" s="861"/>
      <c r="AX2092" s="862"/>
      <c r="AY2092" s="843"/>
      <c r="AZ2092" s="842"/>
      <c r="BA2092" s="842" t="s">
        <v>120</v>
      </c>
      <c r="BB2092" s="863"/>
      <c r="BC2092" s="864"/>
      <c r="BD2092" s="860" t="s">
        <v>6838</v>
      </c>
      <c r="BE2092" s="865" cm="1">
        <f t="array" ref="BE2092">IF(BD2092="","",AC2092/SUMPRODUCT(--(BD2092=$BD$4:$BD$12824),$AC$4:$AC$12824))</f>
        <v>1.1467820140777378E-2</v>
      </c>
      <c r="BF2092" s="458"/>
      <c r="BG2092" s="458"/>
      <c r="BH2092" s="458"/>
      <c r="BI2092" s="458"/>
      <c r="BJ2092" s="458"/>
      <c r="BK2092" s="458"/>
      <c r="BL2092" s="458"/>
      <c r="BM2092" s="458"/>
      <c r="BN2092" s="458"/>
      <c r="BO2092" s="866">
        <f>VLOOKUP(BD2092,$BD$4:$BN$12824,3,0)*BE2092</f>
        <v>0</v>
      </c>
      <c r="BP2092" s="866"/>
      <c r="BQ2092" s="866"/>
      <c r="BR2092" s="866">
        <f>VLOOKUP(BD2092,$BD$4:$BN$12824,6,0)*BE2092</f>
        <v>0</v>
      </c>
      <c r="BS2092" s="866">
        <f>VLOOKUP(BD2092,$BD$4:$BN$12824,7,0)*BE2092</f>
        <v>0</v>
      </c>
      <c r="BT2092" s="866"/>
      <c r="BU2092" s="866">
        <f>VLOOKUP(BD2092,$BD$4:$BN$12824,9,0)*BE2092</f>
        <v>0</v>
      </c>
      <c r="BV2092" s="867"/>
      <c r="BW2092" s="867">
        <f>VLOOKUP(BD2092,$BD$4:$BN$12824,11,0)*BE2092</f>
        <v>0</v>
      </c>
      <c r="BX2092" s="1146">
        <f t="shared" si="399"/>
        <v>0</v>
      </c>
      <c r="BY2092" s="867">
        <f t="shared" si="401"/>
        <v>39149.999999999993</v>
      </c>
      <c r="BZ2092" s="867">
        <f t="shared" si="400"/>
        <v>1017899.9999999998</v>
      </c>
      <c r="CA2092" s="867">
        <f>_xlfn.MAXIFS($BY$4:$BY$12824,$S$4:$S$12824,$S2092)</f>
        <v>39149.999999999993</v>
      </c>
      <c r="CB2092" s="1032"/>
      <c r="CF2092" s="946">
        <f t="shared" si="403"/>
        <v>1017899.9999999999</v>
      </c>
    </row>
    <row r="2093" spans="2:84">
      <c r="B2093" s="839" t="s">
        <v>98</v>
      </c>
      <c r="C2093" s="839" t="s">
        <v>273</v>
      </c>
      <c r="D2093" s="839" t="s">
        <v>6862</v>
      </c>
      <c r="E2093" s="839" t="s">
        <v>6863</v>
      </c>
      <c r="F2093" s="841">
        <v>45895</v>
      </c>
      <c r="G2093" s="868" t="s">
        <v>273</v>
      </c>
      <c r="H2093" s="842" t="s">
        <v>102</v>
      </c>
      <c r="I2093" s="883" t="s">
        <v>6864</v>
      </c>
      <c r="J2093" s="841">
        <v>45894</v>
      </c>
      <c r="K2093" s="841">
        <v>46137</v>
      </c>
      <c r="L2093" s="843" t="s">
        <v>106</v>
      </c>
      <c r="M2093" s="844" t="s">
        <v>275</v>
      </c>
      <c r="N2093" s="841"/>
      <c r="O2093" s="884" t="s">
        <v>150</v>
      </c>
      <c r="P2093" s="842" t="s">
        <v>124</v>
      </c>
      <c r="Q2093" s="843"/>
      <c r="R2093" s="845">
        <v>16658.25</v>
      </c>
      <c r="S2093" s="1128" t="s">
        <v>6865</v>
      </c>
      <c r="T2093" s="885" t="s">
        <v>6866</v>
      </c>
      <c r="U2093" s="886">
        <v>1</v>
      </c>
      <c r="V2093" s="842" t="s">
        <v>3</v>
      </c>
      <c r="W2093" s="846">
        <v>61.9</v>
      </c>
      <c r="X2093" s="847">
        <f t="shared" ref="X2093:X2127" si="404">W2093*U2093</f>
        <v>61.9</v>
      </c>
      <c r="Y2093" s="853" t="s">
        <v>6255</v>
      </c>
      <c r="Z2093" s="849">
        <v>30.95</v>
      </c>
      <c r="AA2093" s="849"/>
      <c r="AB2093" s="849">
        <f t="shared" si="395"/>
        <v>30.95</v>
      </c>
      <c r="AC2093" s="850">
        <f t="shared" si="396"/>
        <v>30.95</v>
      </c>
      <c r="AD2093" s="851">
        <f t="shared" si="402"/>
        <v>32000</v>
      </c>
      <c r="AE2093" s="852">
        <v>30388.34</v>
      </c>
      <c r="AF2093" s="853">
        <v>0.1</v>
      </c>
      <c r="AG2093" s="854">
        <f t="shared" si="397"/>
        <v>94051.912300000011</v>
      </c>
      <c r="AH2093" s="853">
        <v>0.08</v>
      </c>
      <c r="AI2093" s="855">
        <f t="shared" si="398"/>
        <v>82765.682824000003</v>
      </c>
      <c r="AJ2093" s="856" t="s">
        <v>6867</v>
      </c>
      <c r="AK2093" s="857">
        <v>46006</v>
      </c>
      <c r="AL2093" s="899" t="s">
        <v>6868</v>
      </c>
      <c r="AM2093" s="843"/>
      <c r="AN2093" s="844"/>
      <c r="AO2093" s="844" t="s">
        <v>2388</v>
      </c>
      <c r="AP2093" s="841"/>
      <c r="AQ2093" s="841">
        <v>46014</v>
      </c>
      <c r="AR2093" s="841">
        <v>46014</v>
      </c>
      <c r="AS2093" s="842" t="s">
        <v>6869</v>
      </c>
      <c r="AT2093" s="842" t="s">
        <v>1187</v>
      </c>
      <c r="AU2093" s="842" t="s">
        <v>3602</v>
      </c>
      <c r="AV2093" s="856" t="s">
        <v>6870</v>
      </c>
      <c r="AW2093" s="861">
        <v>46017</v>
      </c>
      <c r="AX2093" s="861">
        <v>46017</v>
      </c>
      <c r="AY2093" s="843"/>
      <c r="AZ2093" s="842"/>
      <c r="BA2093" s="842" t="s">
        <v>120</v>
      </c>
      <c r="BB2093" s="863" t="s">
        <v>121</v>
      </c>
      <c r="BC2093" s="864">
        <v>46021</v>
      </c>
      <c r="BD2093" s="860" t="s">
        <v>6871</v>
      </c>
      <c r="BE2093" s="865" cm="1">
        <f t="array" ref="BE2093">IF(BD2093="","",AC2093/SUMPRODUCT(--(BD2093=$BD$4:$BD$12824),$AC$4:$AC$12824))</f>
        <v>7.623622144220704E-3</v>
      </c>
      <c r="BF2093" s="458" cm="1">
        <f t="array" ref="BF2093">SUM(_xlfn._xlws.FILTER( INDEX(Cost!$B$3:$BK$77,MATCH(LDL!$BD2093, Cost!$F$3:$F$77, 0),0),Cost!$B$3:$BK$3 = BF$3))</f>
        <v>0</v>
      </c>
      <c r="BG2093" s="458"/>
      <c r="BH2093" s="458"/>
      <c r="BI2093" s="458" cm="1">
        <f t="array" ref="BI2093">SUM(_xlfn._xlws.FILTER( INDEX(Cost!$B$3:$BK$77,MATCH(LDL!$BD2093, Cost!$F$3:$F$77, 0),0),Cost!$B$3:$BK$3 = BI$3))/1.08</f>
        <v>11881350</v>
      </c>
      <c r="BJ2093" s="458" cm="1">
        <f t="array" ref="BJ2093">SUM(_xlfn._xlws.FILTER( INDEX(Cost!$B$3:$BK$77,MATCH(LDL!$BD2093, Cost!$F$3:$F$77, 0),0),Cost!$B$3:$BK$3 = BJ$3))</f>
        <v>0</v>
      </c>
      <c r="BK2093" s="458"/>
      <c r="BL2093" s="458" cm="1">
        <f t="array" ref="BL2093">SUM(_xlfn._xlws.FILTER( INDEX(Cost!$B$3:$BK$77,MATCH(LDL!$BD2093, Cost!$F$3:$F$77, 0),0),Cost!$B$3:$BK$3 = BL$3))</f>
        <v>20000</v>
      </c>
      <c r="BM2093" s="458"/>
      <c r="BN2093" s="458" cm="1">
        <f t="array" ref="BN2093">SUM(_xlfn._xlws.FILTER( INDEX(Cost!$B$3:$BK$77,MATCH(LDL!$BD2093, Cost!$F$3:$F$77, 0),0),Cost!$B$3:$BK$3 = BN$3))/1.08</f>
        <v>0</v>
      </c>
      <c r="BO2093" s="866">
        <f>VLOOKUP(BD2093,$BD$4:$BN$12824,3,0)*BE2093</f>
        <v>0</v>
      </c>
      <c r="BP2093" s="866"/>
      <c r="BQ2093" s="866"/>
      <c r="BR2093" s="866">
        <f>VLOOKUP(BD2093,$BD$4:$BN$12824,6,0)*BE2093</f>
        <v>90578.922963236662</v>
      </c>
      <c r="BS2093" s="866">
        <f>VLOOKUP(BD2093,$BD$4:$BN$12824,7,0)*BE2093</f>
        <v>0</v>
      </c>
      <c r="BT2093" s="866"/>
      <c r="BU2093" s="866">
        <f>VLOOKUP(BD2093,$BD$4:$BN$12824,9,0)*BE2093</f>
        <v>152.47244288441408</v>
      </c>
      <c r="BV2093" s="867"/>
      <c r="BW2093" s="867">
        <f>VLOOKUP(BD2093,$BD$4:$BN$12824,11,0)*BE2093</f>
        <v>0</v>
      </c>
      <c r="BX2093" s="1146">
        <f t="shared" si="399"/>
        <v>90731.395406121082</v>
      </c>
      <c r="BY2093" s="867">
        <f t="shared" si="401"/>
        <v>1125302.430706121</v>
      </c>
      <c r="BZ2093" s="867">
        <f t="shared" si="400"/>
        <v>1125302.430706121</v>
      </c>
      <c r="CA2093" s="867">
        <f>_xlfn.MAXIFS($BY$4:$BY$12824,$S$4:$S$12824,$S2093)</f>
        <v>1125302.430706121</v>
      </c>
      <c r="CB2093" s="1032"/>
      <c r="CF2093" s="946">
        <f t="shared" si="403"/>
        <v>990400</v>
      </c>
    </row>
    <row r="2094" spans="2:84">
      <c r="B2094" s="839" t="s">
        <v>98</v>
      </c>
      <c r="C2094" s="839" t="s">
        <v>273</v>
      </c>
      <c r="D2094" s="839" t="s">
        <v>6862</v>
      </c>
      <c r="E2094" s="839" t="s">
        <v>6872</v>
      </c>
      <c r="F2094" s="841">
        <v>45904</v>
      </c>
      <c r="G2094" s="868" t="s">
        <v>273</v>
      </c>
      <c r="H2094" s="842" t="s">
        <v>102</v>
      </c>
      <c r="I2094" s="883" t="s">
        <v>6873</v>
      </c>
      <c r="J2094" s="841">
        <v>45904</v>
      </c>
      <c r="K2094" s="841">
        <v>46144</v>
      </c>
      <c r="L2094" s="843" t="s">
        <v>106</v>
      </c>
      <c r="M2094" s="844" t="s">
        <v>275</v>
      </c>
      <c r="N2094" s="841"/>
      <c r="O2094" s="884" t="s">
        <v>150</v>
      </c>
      <c r="P2094" s="842" t="s">
        <v>124</v>
      </c>
      <c r="Q2094" s="843"/>
      <c r="R2094" s="845">
        <v>11103.23</v>
      </c>
      <c r="S2094" s="1127" t="s">
        <v>6874</v>
      </c>
      <c r="T2094" s="885" t="s">
        <v>6875</v>
      </c>
      <c r="U2094" s="886">
        <v>2</v>
      </c>
      <c r="V2094" s="842" t="s">
        <v>3</v>
      </c>
      <c r="W2094" s="846">
        <v>78.290000000000006</v>
      </c>
      <c r="X2094" s="847">
        <f t="shared" si="404"/>
        <v>156.58000000000001</v>
      </c>
      <c r="Y2094" s="905">
        <v>0.5</v>
      </c>
      <c r="Z2094" s="849">
        <v>39.145000000000003</v>
      </c>
      <c r="AA2094" s="849"/>
      <c r="AB2094" s="849">
        <f t="shared" si="395"/>
        <v>78.290000000000006</v>
      </c>
      <c r="AC2094" s="850">
        <f t="shared" si="396"/>
        <v>78.290000000000006</v>
      </c>
      <c r="AD2094" s="851">
        <f t="shared" si="402"/>
        <v>32000</v>
      </c>
      <c r="AE2094" s="852">
        <v>30388.34</v>
      </c>
      <c r="AF2094" s="853">
        <v>0.1</v>
      </c>
      <c r="AG2094" s="854">
        <f t="shared" si="397"/>
        <v>237910.31386000002</v>
      </c>
      <c r="AH2094" s="853">
        <v>0.08</v>
      </c>
      <c r="AI2094" s="855">
        <f t="shared" si="398"/>
        <v>209361.07619680002</v>
      </c>
      <c r="AJ2094" s="856" t="s">
        <v>6867</v>
      </c>
      <c r="AK2094" s="857">
        <v>46006</v>
      </c>
      <c r="AL2094" s="899" t="s">
        <v>6868</v>
      </c>
      <c r="AM2094" s="843"/>
      <c r="AN2094" s="844"/>
      <c r="AO2094" s="844" t="s">
        <v>2388</v>
      </c>
      <c r="AP2094" s="841"/>
      <c r="AQ2094" s="841">
        <v>46014</v>
      </c>
      <c r="AR2094" s="841">
        <v>46014</v>
      </c>
      <c r="AS2094" s="842" t="s">
        <v>6869</v>
      </c>
      <c r="AT2094" s="842" t="s">
        <v>1187</v>
      </c>
      <c r="AU2094" s="842" t="s">
        <v>3602</v>
      </c>
      <c r="AV2094" s="856" t="s">
        <v>6870</v>
      </c>
      <c r="AW2094" s="861">
        <v>46017</v>
      </c>
      <c r="AX2094" s="861">
        <v>46017</v>
      </c>
      <c r="AY2094" s="843"/>
      <c r="AZ2094" s="842"/>
      <c r="BA2094" s="842" t="s">
        <v>120</v>
      </c>
      <c r="BB2094" s="863" t="s">
        <v>121</v>
      </c>
      <c r="BC2094" s="864">
        <v>46021</v>
      </c>
      <c r="BD2094" s="860" t="s">
        <v>6871</v>
      </c>
      <c r="BE2094" s="865" cm="1">
        <f t="array" ref="BE2094">IF(BD2094="","",AC2094/SUMPRODUCT(--(BD2094=$BD$4:$BD$12824),$AC$4:$AC$12824))</f>
        <v>1.9284438696964102E-2</v>
      </c>
      <c r="BF2094" s="458"/>
      <c r="BG2094" s="458"/>
      <c r="BH2094" s="458"/>
      <c r="BI2094" s="458"/>
      <c r="BJ2094" s="458"/>
      <c r="BK2094" s="458"/>
      <c r="BL2094" s="458"/>
      <c r="BM2094" s="458"/>
      <c r="BN2094" s="458"/>
      <c r="BO2094" s="866">
        <f>VLOOKUP(BD2094,$BD$4:$BN$12824,3,0)*BE2094</f>
        <v>0</v>
      </c>
      <c r="BP2094" s="866"/>
      <c r="BQ2094" s="866"/>
      <c r="BR2094" s="866">
        <f>VLOOKUP(BD2094,$BD$4:$BN$12824,6,0)*BE2094</f>
        <v>229125.16571217444</v>
      </c>
      <c r="BS2094" s="866">
        <f>VLOOKUP(BD2094,$BD$4:$BN$12824,7,0)*BE2094</f>
        <v>0</v>
      </c>
      <c r="BT2094" s="866"/>
      <c r="BU2094" s="866">
        <f>VLOOKUP(BD2094,$BD$4:$BN$12824,9,0)*BE2094</f>
        <v>385.68877393928204</v>
      </c>
      <c r="BV2094" s="867"/>
      <c r="BW2094" s="867">
        <f>VLOOKUP(BD2094,$BD$4:$BN$12824,11,0)*BE2094</f>
        <v>0</v>
      </c>
      <c r="BX2094" s="1146">
        <f t="shared" si="399"/>
        <v>229510.85448611371</v>
      </c>
      <c r="BY2094" s="867">
        <f t="shared" si="401"/>
        <v>1423262.1534730571</v>
      </c>
      <c r="BZ2094" s="867">
        <f t="shared" si="400"/>
        <v>2846524.3069461142</v>
      </c>
      <c r="CA2094" s="867">
        <f>_xlfn.MAXIFS($BY$4:$BY$12824,$S$4:$S$12824,$S2094)</f>
        <v>1423262.1534730571</v>
      </c>
      <c r="CB2094" s="1032"/>
      <c r="CF2094" s="946">
        <f t="shared" si="403"/>
        <v>2505280</v>
      </c>
    </row>
    <row r="2095" spans="2:84">
      <c r="B2095" s="839" t="s">
        <v>98</v>
      </c>
      <c r="C2095" s="839" t="s">
        <v>273</v>
      </c>
      <c r="D2095" s="839" t="s">
        <v>6862</v>
      </c>
      <c r="E2095" s="839" t="s">
        <v>6872</v>
      </c>
      <c r="F2095" s="841">
        <v>45904</v>
      </c>
      <c r="G2095" s="868" t="s">
        <v>273</v>
      </c>
      <c r="H2095" s="842" t="s">
        <v>102</v>
      </c>
      <c r="I2095" s="883" t="s">
        <v>6873</v>
      </c>
      <c r="J2095" s="841">
        <v>45904</v>
      </c>
      <c r="K2095" s="841">
        <v>46144</v>
      </c>
      <c r="L2095" s="843" t="s">
        <v>106</v>
      </c>
      <c r="M2095" s="844" t="s">
        <v>275</v>
      </c>
      <c r="N2095" s="841"/>
      <c r="O2095" s="884" t="s">
        <v>150</v>
      </c>
      <c r="P2095" s="842" t="s">
        <v>124</v>
      </c>
      <c r="Q2095" s="843"/>
      <c r="R2095" s="845">
        <v>11103.26</v>
      </c>
      <c r="S2095" s="1127" t="s">
        <v>6876</v>
      </c>
      <c r="T2095" s="885" t="s">
        <v>6877</v>
      </c>
      <c r="U2095" s="886">
        <v>2</v>
      </c>
      <c r="V2095" s="842" t="s">
        <v>3</v>
      </c>
      <c r="W2095" s="846">
        <v>78.290000000000006</v>
      </c>
      <c r="X2095" s="847">
        <f t="shared" si="404"/>
        <v>156.58000000000001</v>
      </c>
      <c r="Y2095" s="905">
        <v>0.5</v>
      </c>
      <c r="Z2095" s="849">
        <v>39.145000000000003</v>
      </c>
      <c r="AA2095" s="849"/>
      <c r="AB2095" s="849">
        <f t="shared" si="395"/>
        <v>78.290000000000006</v>
      </c>
      <c r="AC2095" s="850">
        <f t="shared" si="396"/>
        <v>78.290000000000006</v>
      </c>
      <c r="AD2095" s="851">
        <f t="shared" si="402"/>
        <v>32000</v>
      </c>
      <c r="AE2095" s="852">
        <v>30388.34</v>
      </c>
      <c r="AF2095" s="853">
        <v>0.1</v>
      </c>
      <c r="AG2095" s="854">
        <f t="shared" si="397"/>
        <v>237910.31386000002</v>
      </c>
      <c r="AH2095" s="853">
        <v>0.08</v>
      </c>
      <c r="AI2095" s="855">
        <f t="shared" si="398"/>
        <v>209361.07619680002</v>
      </c>
      <c r="AJ2095" s="856" t="s">
        <v>6867</v>
      </c>
      <c r="AK2095" s="857">
        <v>46006</v>
      </c>
      <c r="AL2095" s="899" t="s">
        <v>6868</v>
      </c>
      <c r="AM2095" s="843"/>
      <c r="AN2095" s="844"/>
      <c r="AO2095" s="844" t="s">
        <v>2388</v>
      </c>
      <c r="AP2095" s="841"/>
      <c r="AQ2095" s="841">
        <v>46014</v>
      </c>
      <c r="AR2095" s="841">
        <v>46014</v>
      </c>
      <c r="AS2095" s="842" t="s">
        <v>6869</v>
      </c>
      <c r="AT2095" s="842" t="s">
        <v>1187</v>
      </c>
      <c r="AU2095" s="842" t="s">
        <v>3602</v>
      </c>
      <c r="AV2095" s="856" t="s">
        <v>6870</v>
      </c>
      <c r="AW2095" s="861">
        <v>46017</v>
      </c>
      <c r="AX2095" s="861">
        <v>46017</v>
      </c>
      <c r="AY2095" s="843"/>
      <c r="AZ2095" s="842"/>
      <c r="BA2095" s="842" t="s">
        <v>120</v>
      </c>
      <c r="BB2095" s="863" t="s">
        <v>121</v>
      </c>
      <c r="BC2095" s="864">
        <v>46021</v>
      </c>
      <c r="BD2095" s="860" t="s">
        <v>6871</v>
      </c>
      <c r="BE2095" s="865" cm="1">
        <f t="array" ref="BE2095">IF(BD2095="","",AC2095/SUMPRODUCT(--(BD2095=$BD$4:$BD$12824),$AC$4:$AC$12824))</f>
        <v>1.9284438696964102E-2</v>
      </c>
      <c r="BF2095" s="458"/>
      <c r="BG2095" s="458"/>
      <c r="BH2095" s="458"/>
      <c r="BI2095" s="458"/>
      <c r="BJ2095" s="458"/>
      <c r="BK2095" s="458"/>
      <c r="BL2095" s="458"/>
      <c r="BM2095" s="458"/>
      <c r="BN2095" s="458"/>
      <c r="BO2095" s="866">
        <f>VLOOKUP(BD2095,$BD$4:$BN$12824,3,0)*BE2095</f>
        <v>0</v>
      </c>
      <c r="BP2095" s="866"/>
      <c r="BQ2095" s="866"/>
      <c r="BR2095" s="866">
        <f>VLOOKUP(BD2095,$BD$4:$BN$12824,6,0)*BE2095</f>
        <v>229125.16571217444</v>
      </c>
      <c r="BS2095" s="866">
        <f>VLOOKUP(BD2095,$BD$4:$BN$12824,7,0)*BE2095</f>
        <v>0</v>
      </c>
      <c r="BT2095" s="866"/>
      <c r="BU2095" s="866">
        <f>VLOOKUP(BD2095,$BD$4:$BN$12824,9,0)*BE2095</f>
        <v>385.68877393928204</v>
      </c>
      <c r="BV2095" s="867"/>
      <c r="BW2095" s="867">
        <f>VLOOKUP(BD2095,$BD$4:$BN$12824,11,0)*BE2095</f>
        <v>0</v>
      </c>
      <c r="BX2095" s="1146">
        <f t="shared" si="399"/>
        <v>229510.85448611371</v>
      </c>
      <c r="BY2095" s="867">
        <f t="shared" si="401"/>
        <v>1423262.1534730571</v>
      </c>
      <c r="BZ2095" s="867">
        <f t="shared" si="400"/>
        <v>2846524.3069461142</v>
      </c>
      <c r="CA2095" s="867">
        <f>_xlfn.MAXIFS($BY$4:$BY$12824,$S$4:$S$12824,$S2095)</f>
        <v>1423262.1534730571</v>
      </c>
      <c r="CB2095" s="1032"/>
      <c r="CF2095" s="946">
        <f t="shared" si="403"/>
        <v>2505280</v>
      </c>
    </row>
    <row r="2096" spans="2:84">
      <c r="B2096" s="839" t="s">
        <v>98</v>
      </c>
      <c r="C2096" s="839" t="s">
        <v>273</v>
      </c>
      <c r="D2096" s="839" t="s">
        <v>6862</v>
      </c>
      <c r="E2096" s="839" t="s">
        <v>6872</v>
      </c>
      <c r="F2096" s="841">
        <v>45904</v>
      </c>
      <c r="G2096" s="868" t="s">
        <v>273</v>
      </c>
      <c r="H2096" s="842" t="s">
        <v>102</v>
      </c>
      <c r="I2096" s="883" t="s">
        <v>6873</v>
      </c>
      <c r="J2096" s="841">
        <v>45904</v>
      </c>
      <c r="K2096" s="841">
        <v>46144</v>
      </c>
      <c r="L2096" s="843" t="s">
        <v>106</v>
      </c>
      <c r="M2096" s="844" t="s">
        <v>275</v>
      </c>
      <c r="N2096" s="841"/>
      <c r="O2096" s="884" t="s">
        <v>150</v>
      </c>
      <c r="P2096" s="842" t="s">
        <v>124</v>
      </c>
      <c r="Q2096" s="843"/>
      <c r="R2096" s="845">
        <v>14108.23</v>
      </c>
      <c r="S2096" s="1127" t="s">
        <v>6878</v>
      </c>
      <c r="T2096" s="885" t="s">
        <v>6879</v>
      </c>
      <c r="U2096" s="886">
        <v>2</v>
      </c>
      <c r="V2096" s="842" t="s">
        <v>3</v>
      </c>
      <c r="W2096" s="846">
        <v>4.96</v>
      </c>
      <c r="X2096" s="847">
        <f t="shared" si="404"/>
        <v>9.92</v>
      </c>
      <c r="Y2096" s="905">
        <v>0.5</v>
      </c>
      <c r="Z2096" s="849">
        <v>2.48</v>
      </c>
      <c r="AA2096" s="849"/>
      <c r="AB2096" s="849">
        <f t="shared" si="395"/>
        <v>4.96</v>
      </c>
      <c r="AC2096" s="850">
        <f t="shared" si="396"/>
        <v>4.96</v>
      </c>
      <c r="AD2096" s="851">
        <f t="shared" si="402"/>
        <v>32000</v>
      </c>
      <c r="AE2096" s="852">
        <v>30388.34</v>
      </c>
      <c r="AF2096" s="853">
        <v>0.1</v>
      </c>
      <c r="AG2096" s="854">
        <f t="shared" si="397"/>
        <v>15072.61664</v>
      </c>
      <c r="AH2096" s="853">
        <v>0.08</v>
      </c>
      <c r="AI2096" s="855">
        <f t="shared" si="398"/>
        <v>13263.902643199999</v>
      </c>
      <c r="AJ2096" s="856" t="s">
        <v>6867</v>
      </c>
      <c r="AK2096" s="857">
        <v>46006</v>
      </c>
      <c r="AL2096" s="899" t="s">
        <v>6868</v>
      </c>
      <c r="AM2096" s="843"/>
      <c r="AN2096" s="844"/>
      <c r="AO2096" s="844" t="s">
        <v>2388</v>
      </c>
      <c r="AP2096" s="841"/>
      <c r="AQ2096" s="841">
        <v>46014</v>
      </c>
      <c r="AR2096" s="841">
        <v>46014</v>
      </c>
      <c r="AS2096" s="842" t="s">
        <v>6869</v>
      </c>
      <c r="AT2096" s="842" t="s">
        <v>1187</v>
      </c>
      <c r="AU2096" s="842" t="s">
        <v>3602</v>
      </c>
      <c r="AV2096" s="856" t="s">
        <v>6870</v>
      </c>
      <c r="AW2096" s="861">
        <v>46017</v>
      </c>
      <c r="AX2096" s="861">
        <v>46017</v>
      </c>
      <c r="AY2096" s="843"/>
      <c r="AZ2096" s="842"/>
      <c r="BA2096" s="842" t="s">
        <v>120</v>
      </c>
      <c r="BB2096" s="863" t="s">
        <v>121</v>
      </c>
      <c r="BC2096" s="864">
        <v>46021</v>
      </c>
      <c r="BD2096" s="860" t="s">
        <v>6871</v>
      </c>
      <c r="BE2096" s="865" cm="1">
        <f t="array" ref="BE2096">IF(BD2096="","",AC2096/SUMPRODUCT(--(BD2096=$BD$4:$BD$12824),$AC$4:$AC$12824))</f>
        <v>1.2217501077652565E-3</v>
      </c>
      <c r="BF2096" s="458"/>
      <c r="BG2096" s="458"/>
      <c r="BH2096" s="458"/>
      <c r="BI2096" s="458"/>
      <c r="BJ2096" s="458"/>
      <c r="BK2096" s="458"/>
      <c r="BL2096" s="458"/>
      <c r="BM2096" s="458"/>
      <c r="BN2096" s="458"/>
      <c r="BO2096" s="866">
        <f>VLOOKUP(BD2096,$BD$4:$BN$12824,3,0)*BE2096</f>
        <v>0</v>
      </c>
      <c r="BP2096" s="866"/>
      <c r="BQ2096" s="866"/>
      <c r="BR2096" s="866">
        <f>VLOOKUP(BD2096,$BD$4:$BN$12824,6,0)*BE2096</f>
        <v>14516.040642896731</v>
      </c>
      <c r="BS2096" s="866">
        <f>VLOOKUP(BD2096,$BD$4:$BN$12824,7,0)*BE2096</f>
        <v>0</v>
      </c>
      <c r="BT2096" s="866"/>
      <c r="BU2096" s="866">
        <f>VLOOKUP(BD2096,$BD$4:$BN$12824,9,0)*BE2096</f>
        <v>24.435002155305131</v>
      </c>
      <c r="BV2096" s="867"/>
      <c r="BW2096" s="867">
        <f>VLOOKUP(BD2096,$BD$4:$BN$12824,11,0)*BE2096</f>
        <v>0</v>
      </c>
      <c r="BX2096" s="1146">
        <f t="shared" si="399"/>
        <v>14540.475645052036</v>
      </c>
      <c r="BY2096" s="867">
        <f t="shared" si="401"/>
        <v>90169.629342526008</v>
      </c>
      <c r="BZ2096" s="867">
        <f t="shared" si="400"/>
        <v>180339.25868505202</v>
      </c>
      <c r="CA2096" s="867">
        <f>_xlfn.MAXIFS($BY$4:$BY$12824,$S$4:$S$12824,$S2096)</f>
        <v>90169.629342526008</v>
      </c>
      <c r="CB2096" s="1032"/>
      <c r="CF2096" s="946">
        <f t="shared" si="403"/>
        <v>158720</v>
      </c>
    </row>
    <row r="2097" spans="2:84">
      <c r="B2097" s="839" t="s">
        <v>98</v>
      </c>
      <c r="C2097" s="839" t="s">
        <v>273</v>
      </c>
      <c r="D2097" s="839" t="s">
        <v>6862</v>
      </c>
      <c r="E2097" s="839" t="s">
        <v>6872</v>
      </c>
      <c r="F2097" s="841">
        <v>45904</v>
      </c>
      <c r="G2097" s="868" t="s">
        <v>273</v>
      </c>
      <c r="H2097" s="842" t="s">
        <v>102</v>
      </c>
      <c r="I2097" s="883" t="s">
        <v>6873</v>
      </c>
      <c r="J2097" s="841">
        <v>45904</v>
      </c>
      <c r="K2097" s="841">
        <v>46144</v>
      </c>
      <c r="L2097" s="843" t="s">
        <v>106</v>
      </c>
      <c r="M2097" s="844" t="s">
        <v>275</v>
      </c>
      <c r="N2097" s="841"/>
      <c r="O2097" s="884" t="s">
        <v>150</v>
      </c>
      <c r="P2097" s="842" t="s">
        <v>124</v>
      </c>
      <c r="Q2097" s="843"/>
      <c r="R2097" s="845">
        <v>14108.26</v>
      </c>
      <c r="S2097" s="1127" t="s">
        <v>6490</v>
      </c>
      <c r="T2097" s="885" t="s">
        <v>6491</v>
      </c>
      <c r="U2097" s="886">
        <v>2</v>
      </c>
      <c r="V2097" s="842" t="s">
        <v>3</v>
      </c>
      <c r="W2097" s="846">
        <v>4.96</v>
      </c>
      <c r="X2097" s="847">
        <f t="shared" si="404"/>
        <v>9.92</v>
      </c>
      <c r="Y2097" s="905">
        <v>0.5</v>
      </c>
      <c r="Z2097" s="849">
        <v>2.48</v>
      </c>
      <c r="AA2097" s="849"/>
      <c r="AB2097" s="849">
        <f t="shared" si="395"/>
        <v>4.96</v>
      </c>
      <c r="AC2097" s="850">
        <f t="shared" si="396"/>
        <v>4.96</v>
      </c>
      <c r="AD2097" s="851">
        <f t="shared" si="402"/>
        <v>32000</v>
      </c>
      <c r="AE2097" s="852">
        <v>30388.34</v>
      </c>
      <c r="AF2097" s="853">
        <v>0.1</v>
      </c>
      <c r="AG2097" s="854">
        <f t="shared" si="397"/>
        <v>15072.61664</v>
      </c>
      <c r="AH2097" s="853">
        <v>0.08</v>
      </c>
      <c r="AI2097" s="855">
        <f t="shared" si="398"/>
        <v>13263.902643199999</v>
      </c>
      <c r="AJ2097" s="856" t="s">
        <v>6867</v>
      </c>
      <c r="AK2097" s="857">
        <v>46006</v>
      </c>
      <c r="AL2097" s="899" t="s">
        <v>6868</v>
      </c>
      <c r="AM2097" s="843"/>
      <c r="AN2097" s="844"/>
      <c r="AO2097" s="844" t="s">
        <v>2388</v>
      </c>
      <c r="AP2097" s="841"/>
      <c r="AQ2097" s="841">
        <v>46014</v>
      </c>
      <c r="AR2097" s="841">
        <v>46014</v>
      </c>
      <c r="AS2097" s="842" t="s">
        <v>6869</v>
      </c>
      <c r="AT2097" s="842" t="s">
        <v>1187</v>
      </c>
      <c r="AU2097" s="842" t="s">
        <v>3602</v>
      </c>
      <c r="AV2097" s="856" t="s">
        <v>6870</v>
      </c>
      <c r="AW2097" s="861">
        <v>46017</v>
      </c>
      <c r="AX2097" s="861">
        <v>46017</v>
      </c>
      <c r="AY2097" s="843"/>
      <c r="AZ2097" s="842"/>
      <c r="BA2097" s="842" t="s">
        <v>120</v>
      </c>
      <c r="BB2097" s="863" t="s">
        <v>121</v>
      </c>
      <c r="BC2097" s="864">
        <v>46021</v>
      </c>
      <c r="BD2097" s="860" t="s">
        <v>6871</v>
      </c>
      <c r="BE2097" s="865" cm="1">
        <f t="array" ref="BE2097">IF(BD2097="","",AC2097/SUMPRODUCT(--(BD2097=$BD$4:$BD$12824),$AC$4:$AC$12824))</f>
        <v>1.2217501077652565E-3</v>
      </c>
      <c r="BF2097" s="458"/>
      <c r="BG2097" s="458"/>
      <c r="BH2097" s="458"/>
      <c r="BI2097" s="458"/>
      <c r="BJ2097" s="458"/>
      <c r="BK2097" s="458"/>
      <c r="BL2097" s="458"/>
      <c r="BM2097" s="458"/>
      <c r="BN2097" s="458"/>
      <c r="BO2097" s="866">
        <f>VLOOKUP(BD2097,$BD$4:$BN$12824,3,0)*BE2097</f>
        <v>0</v>
      </c>
      <c r="BP2097" s="866"/>
      <c r="BQ2097" s="866"/>
      <c r="BR2097" s="866">
        <f>VLOOKUP(BD2097,$BD$4:$BN$12824,6,0)*BE2097</f>
        <v>14516.040642896731</v>
      </c>
      <c r="BS2097" s="866">
        <f>VLOOKUP(BD2097,$BD$4:$BN$12824,7,0)*BE2097</f>
        <v>0</v>
      </c>
      <c r="BT2097" s="866"/>
      <c r="BU2097" s="866">
        <f>VLOOKUP(BD2097,$BD$4:$BN$12824,9,0)*BE2097</f>
        <v>24.435002155305131</v>
      </c>
      <c r="BV2097" s="867"/>
      <c r="BW2097" s="867">
        <f>VLOOKUP(BD2097,$BD$4:$BN$12824,11,0)*BE2097</f>
        <v>0</v>
      </c>
      <c r="BX2097" s="1146">
        <f t="shared" si="399"/>
        <v>14540.475645052036</v>
      </c>
      <c r="BY2097" s="867">
        <f t="shared" si="401"/>
        <v>90169.629342526008</v>
      </c>
      <c r="BZ2097" s="867">
        <f t="shared" si="400"/>
        <v>180339.25868505202</v>
      </c>
      <c r="CA2097" s="867">
        <f>_xlfn.MAXIFS($BY$4:$BY$12824,$S$4:$S$12824,$S2097)</f>
        <v>90169.629342526008</v>
      </c>
      <c r="CB2097" s="1032"/>
      <c r="CF2097" s="946">
        <f t="shared" si="403"/>
        <v>158720</v>
      </c>
    </row>
    <row r="2098" spans="2:84">
      <c r="B2098" s="839" t="s">
        <v>98</v>
      </c>
      <c r="C2098" s="839" t="s">
        <v>273</v>
      </c>
      <c r="D2098" s="839" t="s">
        <v>6862</v>
      </c>
      <c r="E2098" s="839" t="s">
        <v>6872</v>
      </c>
      <c r="F2098" s="841">
        <v>45904</v>
      </c>
      <c r="G2098" s="868" t="s">
        <v>273</v>
      </c>
      <c r="H2098" s="842" t="s">
        <v>102</v>
      </c>
      <c r="I2098" s="883" t="s">
        <v>6873</v>
      </c>
      <c r="J2098" s="841">
        <v>45904</v>
      </c>
      <c r="K2098" s="841">
        <v>46144</v>
      </c>
      <c r="L2098" s="843" t="s">
        <v>106</v>
      </c>
      <c r="M2098" s="844" t="s">
        <v>275</v>
      </c>
      <c r="N2098" s="841"/>
      <c r="O2098" s="884" t="s">
        <v>150</v>
      </c>
      <c r="P2098" s="842" t="s">
        <v>124</v>
      </c>
      <c r="Q2098" s="843"/>
      <c r="R2098" s="845">
        <v>14109.23</v>
      </c>
      <c r="S2098" s="1127" t="s">
        <v>6880</v>
      </c>
      <c r="T2098" s="885" t="s">
        <v>6881</v>
      </c>
      <c r="U2098" s="886">
        <v>2</v>
      </c>
      <c r="V2098" s="842" t="s">
        <v>3</v>
      </c>
      <c r="W2098" s="846">
        <v>4.96</v>
      </c>
      <c r="X2098" s="847">
        <f t="shared" si="404"/>
        <v>9.92</v>
      </c>
      <c r="Y2098" s="905">
        <v>0.5</v>
      </c>
      <c r="Z2098" s="849">
        <v>2.48</v>
      </c>
      <c r="AA2098" s="849"/>
      <c r="AB2098" s="849">
        <f t="shared" si="395"/>
        <v>4.96</v>
      </c>
      <c r="AC2098" s="850">
        <f t="shared" si="396"/>
        <v>4.96</v>
      </c>
      <c r="AD2098" s="851">
        <f t="shared" si="402"/>
        <v>32000</v>
      </c>
      <c r="AE2098" s="852">
        <v>30388.34</v>
      </c>
      <c r="AF2098" s="853">
        <v>0.1</v>
      </c>
      <c r="AG2098" s="854">
        <f t="shared" si="397"/>
        <v>15072.61664</v>
      </c>
      <c r="AH2098" s="853">
        <v>0.08</v>
      </c>
      <c r="AI2098" s="855">
        <f t="shared" si="398"/>
        <v>13263.902643199999</v>
      </c>
      <c r="AJ2098" s="856" t="s">
        <v>6867</v>
      </c>
      <c r="AK2098" s="857">
        <v>46006</v>
      </c>
      <c r="AL2098" s="899" t="s">
        <v>6868</v>
      </c>
      <c r="AM2098" s="843"/>
      <c r="AN2098" s="844"/>
      <c r="AO2098" s="844" t="s">
        <v>2388</v>
      </c>
      <c r="AP2098" s="841"/>
      <c r="AQ2098" s="841">
        <v>46014</v>
      </c>
      <c r="AR2098" s="841">
        <v>46014</v>
      </c>
      <c r="AS2098" s="842" t="s">
        <v>6869</v>
      </c>
      <c r="AT2098" s="842" t="s">
        <v>1187</v>
      </c>
      <c r="AU2098" s="842" t="s">
        <v>3602</v>
      </c>
      <c r="AV2098" s="856" t="s">
        <v>6870</v>
      </c>
      <c r="AW2098" s="861">
        <v>46017</v>
      </c>
      <c r="AX2098" s="861">
        <v>46017</v>
      </c>
      <c r="AY2098" s="843"/>
      <c r="AZ2098" s="842"/>
      <c r="BA2098" s="842" t="s">
        <v>120</v>
      </c>
      <c r="BB2098" s="863" t="s">
        <v>121</v>
      </c>
      <c r="BC2098" s="864">
        <v>46021</v>
      </c>
      <c r="BD2098" s="860" t="s">
        <v>6871</v>
      </c>
      <c r="BE2098" s="865" cm="1">
        <f t="array" ref="BE2098">IF(BD2098="","",AC2098/SUMPRODUCT(--(BD2098=$BD$4:$BD$12824),$AC$4:$AC$12824))</f>
        <v>1.2217501077652565E-3</v>
      </c>
      <c r="BF2098" s="458"/>
      <c r="BG2098" s="458"/>
      <c r="BH2098" s="458"/>
      <c r="BI2098" s="458"/>
      <c r="BJ2098" s="458"/>
      <c r="BK2098" s="458"/>
      <c r="BL2098" s="458"/>
      <c r="BM2098" s="458"/>
      <c r="BN2098" s="458"/>
      <c r="BO2098" s="866">
        <f>VLOOKUP(BD2098,$BD$4:$BN$12824,3,0)*BE2098</f>
        <v>0</v>
      </c>
      <c r="BP2098" s="866"/>
      <c r="BQ2098" s="866"/>
      <c r="BR2098" s="866">
        <f>VLOOKUP(BD2098,$BD$4:$BN$12824,6,0)*BE2098</f>
        <v>14516.040642896731</v>
      </c>
      <c r="BS2098" s="866">
        <f>VLOOKUP(BD2098,$BD$4:$BN$12824,7,0)*BE2098</f>
        <v>0</v>
      </c>
      <c r="BT2098" s="866"/>
      <c r="BU2098" s="866">
        <f>VLOOKUP(BD2098,$BD$4:$BN$12824,9,0)*BE2098</f>
        <v>24.435002155305131</v>
      </c>
      <c r="BV2098" s="867"/>
      <c r="BW2098" s="867">
        <f>VLOOKUP(BD2098,$BD$4:$BN$12824,11,0)*BE2098</f>
        <v>0</v>
      </c>
      <c r="BX2098" s="1146">
        <f t="shared" si="399"/>
        <v>14540.475645052036</v>
      </c>
      <c r="BY2098" s="867">
        <f t="shared" si="401"/>
        <v>90169.629342526008</v>
      </c>
      <c r="BZ2098" s="867">
        <f t="shared" si="400"/>
        <v>180339.25868505202</v>
      </c>
      <c r="CA2098" s="867">
        <f>_xlfn.MAXIFS($BY$4:$BY$12824,$S$4:$S$12824,$S2098)</f>
        <v>90169.629342526008</v>
      </c>
      <c r="CB2098" s="1032"/>
      <c r="CF2098" s="946">
        <f t="shared" si="403"/>
        <v>158720</v>
      </c>
    </row>
    <row r="2099" spans="2:84">
      <c r="B2099" s="839" t="s">
        <v>98</v>
      </c>
      <c r="C2099" s="839" t="s">
        <v>273</v>
      </c>
      <c r="D2099" s="839" t="s">
        <v>6862</v>
      </c>
      <c r="E2099" s="839" t="s">
        <v>6872</v>
      </c>
      <c r="F2099" s="841">
        <v>45904</v>
      </c>
      <c r="G2099" s="868" t="s">
        <v>273</v>
      </c>
      <c r="H2099" s="842" t="s">
        <v>102</v>
      </c>
      <c r="I2099" s="883" t="s">
        <v>6873</v>
      </c>
      <c r="J2099" s="841">
        <v>45904</v>
      </c>
      <c r="K2099" s="841">
        <v>46144</v>
      </c>
      <c r="L2099" s="843" t="s">
        <v>106</v>
      </c>
      <c r="M2099" s="844" t="s">
        <v>275</v>
      </c>
      <c r="N2099" s="841"/>
      <c r="O2099" s="884" t="s">
        <v>150</v>
      </c>
      <c r="P2099" s="842" t="s">
        <v>124</v>
      </c>
      <c r="Q2099" s="843"/>
      <c r="R2099" s="845">
        <v>14109.26</v>
      </c>
      <c r="S2099" s="1127" t="s">
        <v>6492</v>
      </c>
      <c r="T2099" s="885" t="s">
        <v>6493</v>
      </c>
      <c r="U2099" s="886">
        <v>2</v>
      </c>
      <c r="V2099" s="842" t="s">
        <v>3</v>
      </c>
      <c r="W2099" s="846">
        <v>4.96</v>
      </c>
      <c r="X2099" s="847">
        <f t="shared" si="404"/>
        <v>9.92</v>
      </c>
      <c r="Y2099" s="905">
        <v>0.5</v>
      </c>
      <c r="Z2099" s="849">
        <v>2.48</v>
      </c>
      <c r="AA2099" s="849"/>
      <c r="AB2099" s="849">
        <f t="shared" si="395"/>
        <v>4.96</v>
      </c>
      <c r="AC2099" s="850">
        <f t="shared" si="396"/>
        <v>4.96</v>
      </c>
      <c r="AD2099" s="851">
        <f t="shared" si="402"/>
        <v>32000</v>
      </c>
      <c r="AE2099" s="852">
        <v>30388.34</v>
      </c>
      <c r="AF2099" s="853">
        <v>0.1</v>
      </c>
      <c r="AG2099" s="854">
        <f t="shared" si="397"/>
        <v>15072.61664</v>
      </c>
      <c r="AH2099" s="853">
        <v>0.08</v>
      </c>
      <c r="AI2099" s="855">
        <f t="shared" si="398"/>
        <v>13263.902643199999</v>
      </c>
      <c r="AJ2099" s="856" t="s">
        <v>6867</v>
      </c>
      <c r="AK2099" s="857">
        <v>46006</v>
      </c>
      <c r="AL2099" s="899" t="s">
        <v>6868</v>
      </c>
      <c r="AM2099" s="843"/>
      <c r="AN2099" s="844"/>
      <c r="AO2099" s="844" t="s">
        <v>2388</v>
      </c>
      <c r="AP2099" s="841"/>
      <c r="AQ2099" s="841">
        <v>46014</v>
      </c>
      <c r="AR2099" s="841">
        <v>46014</v>
      </c>
      <c r="AS2099" s="842" t="s">
        <v>6869</v>
      </c>
      <c r="AT2099" s="842" t="s">
        <v>1187</v>
      </c>
      <c r="AU2099" s="842" t="s">
        <v>3602</v>
      </c>
      <c r="AV2099" s="856" t="s">
        <v>6870</v>
      </c>
      <c r="AW2099" s="861">
        <v>46017</v>
      </c>
      <c r="AX2099" s="861">
        <v>46017</v>
      </c>
      <c r="AY2099" s="843"/>
      <c r="AZ2099" s="842"/>
      <c r="BA2099" s="842" t="s">
        <v>120</v>
      </c>
      <c r="BB2099" s="863" t="s">
        <v>121</v>
      </c>
      <c r="BC2099" s="864">
        <v>46021</v>
      </c>
      <c r="BD2099" s="860" t="s">
        <v>6871</v>
      </c>
      <c r="BE2099" s="865" cm="1">
        <f t="array" ref="BE2099">IF(BD2099="","",AC2099/SUMPRODUCT(--(BD2099=$BD$4:$BD$12824),$AC$4:$AC$12824))</f>
        <v>1.2217501077652565E-3</v>
      </c>
      <c r="BF2099" s="458"/>
      <c r="BG2099" s="458"/>
      <c r="BH2099" s="458"/>
      <c r="BI2099" s="458"/>
      <c r="BJ2099" s="458"/>
      <c r="BK2099" s="458"/>
      <c r="BL2099" s="458"/>
      <c r="BM2099" s="458"/>
      <c r="BN2099" s="458"/>
      <c r="BO2099" s="866">
        <f>VLOOKUP(BD2099,$BD$4:$BN$12824,3,0)*BE2099</f>
        <v>0</v>
      </c>
      <c r="BP2099" s="866"/>
      <c r="BQ2099" s="866"/>
      <c r="BR2099" s="866">
        <f>VLOOKUP(BD2099,$BD$4:$BN$12824,6,0)*BE2099</f>
        <v>14516.040642896731</v>
      </c>
      <c r="BS2099" s="866">
        <f>VLOOKUP(BD2099,$BD$4:$BN$12824,7,0)*BE2099</f>
        <v>0</v>
      </c>
      <c r="BT2099" s="866"/>
      <c r="BU2099" s="866">
        <f>VLOOKUP(BD2099,$BD$4:$BN$12824,9,0)*BE2099</f>
        <v>24.435002155305131</v>
      </c>
      <c r="BV2099" s="867"/>
      <c r="BW2099" s="867">
        <f>VLOOKUP(BD2099,$BD$4:$BN$12824,11,0)*BE2099</f>
        <v>0</v>
      </c>
      <c r="BX2099" s="1146">
        <f t="shared" si="399"/>
        <v>14540.475645052036</v>
      </c>
      <c r="BY2099" s="867">
        <f t="shared" si="401"/>
        <v>90169.629342526008</v>
      </c>
      <c r="BZ2099" s="867">
        <f t="shared" si="400"/>
        <v>180339.25868505202</v>
      </c>
      <c r="CA2099" s="867">
        <f>_xlfn.MAXIFS($BY$4:$BY$12824,$S$4:$S$12824,$S2099)</f>
        <v>90169.629342526008</v>
      </c>
      <c r="CB2099" s="1032"/>
      <c r="CF2099" s="946">
        <f t="shared" si="403"/>
        <v>158720</v>
      </c>
    </row>
    <row r="2100" spans="2:84">
      <c r="B2100" s="839" t="s">
        <v>98</v>
      </c>
      <c r="C2100" s="839" t="s">
        <v>273</v>
      </c>
      <c r="D2100" s="839" t="s">
        <v>6862</v>
      </c>
      <c r="E2100" s="839" t="s">
        <v>6872</v>
      </c>
      <c r="F2100" s="841">
        <v>45904</v>
      </c>
      <c r="G2100" s="868" t="s">
        <v>273</v>
      </c>
      <c r="H2100" s="842" t="s">
        <v>102</v>
      </c>
      <c r="I2100" s="883" t="s">
        <v>6873</v>
      </c>
      <c r="J2100" s="841">
        <v>45904</v>
      </c>
      <c r="K2100" s="841">
        <v>46144</v>
      </c>
      <c r="L2100" s="843" t="s">
        <v>106</v>
      </c>
      <c r="M2100" s="844" t="s">
        <v>275</v>
      </c>
      <c r="N2100" s="841"/>
      <c r="O2100" s="884" t="s">
        <v>150</v>
      </c>
      <c r="P2100" s="842" t="s">
        <v>124</v>
      </c>
      <c r="Q2100" s="843"/>
      <c r="R2100" s="845">
        <v>15391</v>
      </c>
      <c r="S2100" s="1127" t="s">
        <v>6882</v>
      </c>
      <c r="T2100" s="885" t="s">
        <v>6883</v>
      </c>
      <c r="U2100" s="886">
        <v>4</v>
      </c>
      <c r="V2100" s="842" t="s">
        <v>3</v>
      </c>
      <c r="W2100" s="846">
        <v>5.55</v>
      </c>
      <c r="X2100" s="847">
        <f t="shared" si="404"/>
        <v>22.2</v>
      </c>
      <c r="Y2100" s="905">
        <v>0.5</v>
      </c>
      <c r="Z2100" s="849">
        <v>2.7749999999999999</v>
      </c>
      <c r="AA2100" s="849"/>
      <c r="AB2100" s="849">
        <f t="shared" si="395"/>
        <v>11.1</v>
      </c>
      <c r="AC2100" s="850">
        <f t="shared" si="396"/>
        <v>11.1</v>
      </c>
      <c r="AD2100" s="851">
        <f t="shared" si="402"/>
        <v>32000</v>
      </c>
      <c r="AE2100" s="852">
        <v>30388.34</v>
      </c>
      <c r="AF2100" s="853">
        <v>0.1</v>
      </c>
      <c r="AG2100" s="854">
        <f t="shared" si="397"/>
        <v>33731.057399999998</v>
      </c>
      <c r="AH2100" s="853">
        <v>0.08</v>
      </c>
      <c r="AI2100" s="855">
        <f t="shared" si="398"/>
        <v>29683.330511999997</v>
      </c>
      <c r="AJ2100" s="856" t="s">
        <v>6867</v>
      </c>
      <c r="AK2100" s="857">
        <v>46006</v>
      </c>
      <c r="AL2100" s="899" t="s">
        <v>6868</v>
      </c>
      <c r="AM2100" s="843"/>
      <c r="AN2100" s="844"/>
      <c r="AO2100" s="844" t="s">
        <v>2388</v>
      </c>
      <c r="AP2100" s="841"/>
      <c r="AQ2100" s="841">
        <v>46014</v>
      </c>
      <c r="AR2100" s="841">
        <v>46014</v>
      </c>
      <c r="AS2100" s="842" t="s">
        <v>6869</v>
      </c>
      <c r="AT2100" s="842" t="s">
        <v>1187</v>
      </c>
      <c r="AU2100" s="842" t="s">
        <v>3602</v>
      </c>
      <c r="AV2100" s="856" t="s">
        <v>6870</v>
      </c>
      <c r="AW2100" s="861">
        <v>46017</v>
      </c>
      <c r="AX2100" s="861">
        <v>46017</v>
      </c>
      <c r="AY2100" s="843"/>
      <c r="AZ2100" s="842"/>
      <c r="BA2100" s="842" t="s">
        <v>120</v>
      </c>
      <c r="BB2100" s="863" t="s">
        <v>121</v>
      </c>
      <c r="BC2100" s="864">
        <v>46021</v>
      </c>
      <c r="BD2100" s="860" t="s">
        <v>6871</v>
      </c>
      <c r="BE2100" s="865" cm="1">
        <f t="array" ref="BE2100">IF(BD2100="","",AC2100/SUMPRODUCT(--(BD2100=$BD$4:$BD$12824),$AC$4:$AC$12824))</f>
        <v>2.7341585072972476E-3</v>
      </c>
      <c r="BF2100" s="458"/>
      <c r="BG2100" s="458"/>
      <c r="BH2100" s="458"/>
      <c r="BI2100" s="458"/>
      <c r="BJ2100" s="458"/>
      <c r="BK2100" s="458"/>
      <c r="BL2100" s="458"/>
      <c r="BM2100" s="458"/>
      <c r="BN2100" s="458"/>
      <c r="BO2100" s="866">
        <f>VLOOKUP(BD2100,$BD$4:$BN$12824,3,0)*BE2100</f>
        <v>0</v>
      </c>
      <c r="BP2100" s="866"/>
      <c r="BQ2100" s="866"/>
      <c r="BR2100" s="866">
        <f>VLOOKUP(BD2100,$BD$4:$BN$12824,6,0)*BE2100</f>
        <v>32485.494180676153</v>
      </c>
      <c r="BS2100" s="866">
        <f>VLOOKUP(BD2100,$BD$4:$BN$12824,7,0)*BE2100</f>
        <v>0</v>
      </c>
      <c r="BT2100" s="866"/>
      <c r="BU2100" s="866">
        <f>VLOOKUP(BD2100,$BD$4:$BN$12824,9,0)*BE2100</f>
        <v>54.683170145944949</v>
      </c>
      <c r="BV2100" s="867"/>
      <c r="BW2100" s="867">
        <f>VLOOKUP(BD2100,$BD$4:$BN$12824,11,0)*BE2100</f>
        <v>0</v>
      </c>
      <c r="BX2100" s="1146">
        <f t="shared" si="399"/>
        <v>32540.177350822098</v>
      </c>
      <c r="BY2100" s="867">
        <f t="shared" si="401"/>
        <v>100895.45218770551</v>
      </c>
      <c r="BZ2100" s="867">
        <f t="shared" si="400"/>
        <v>403581.80875082203</v>
      </c>
      <c r="CA2100" s="867">
        <f>_xlfn.MAXIFS($BY$4:$BY$12824,$S$4:$S$12824,$S2100)</f>
        <v>100895.45218770551</v>
      </c>
      <c r="CB2100" s="1032"/>
      <c r="CF2100" s="946">
        <f t="shared" si="403"/>
        <v>355200</v>
      </c>
    </row>
    <row r="2101" spans="2:84">
      <c r="B2101" s="839" t="s">
        <v>98</v>
      </c>
      <c r="C2101" s="839" t="s">
        <v>273</v>
      </c>
      <c r="D2101" s="839" t="s">
        <v>6862</v>
      </c>
      <c r="E2101" s="839" t="s">
        <v>6872</v>
      </c>
      <c r="F2101" s="841">
        <v>45904</v>
      </c>
      <c r="G2101" s="868" t="s">
        <v>273</v>
      </c>
      <c r="H2101" s="842" t="s">
        <v>102</v>
      </c>
      <c r="I2101" s="883" t="s">
        <v>6873</v>
      </c>
      <c r="J2101" s="841">
        <v>45904</v>
      </c>
      <c r="K2101" s="841">
        <v>46144</v>
      </c>
      <c r="L2101" s="843" t="s">
        <v>106</v>
      </c>
      <c r="M2101" s="844" t="s">
        <v>275</v>
      </c>
      <c r="N2101" s="841"/>
      <c r="O2101" s="884" t="s">
        <v>150</v>
      </c>
      <c r="P2101" s="842" t="s">
        <v>124</v>
      </c>
      <c r="Q2101" s="843"/>
      <c r="R2101" s="845">
        <v>18453</v>
      </c>
      <c r="S2101" s="1127" t="s">
        <v>4029</v>
      </c>
      <c r="T2101" s="885" t="s">
        <v>4030</v>
      </c>
      <c r="U2101" s="886">
        <v>4</v>
      </c>
      <c r="V2101" s="842" t="s">
        <v>3</v>
      </c>
      <c r="W2101" s="846">
        <v>31.08</v>
      </c>
      <c r="X2101" s="847">
        <f t="shared" si="404"/>
        <v>124.32</v>
      </c>
      <c r="Y2101" s="905">
        <v>0.5</v>
      </c>
      <c r="Z2101" s="849">
        <v>15.54</v>
      </c>
      <c r="AA2101" s="849"/>
      <c r="AB2101" s="849">
        <f t="shared" si="395"/>
        <v>62.16</v>
      </c>
      <c r="AC2101" s="850">
        <f t="shared" si="396"/>
        <v>62.16</v>
      </c>
      <c r="AD2101" s="851">
        <f t="shared" si="402"/>
        <v>32000</v>
      </c>
      <c r="AE2101" s="852">
        <v>30388.34</v>
      </c>
      <c r="AF2101" s="853">
        <v>0.1</v>
      </c>
      <c r="AG2101" s="854">
        <f t="shared" si="397"/>
        <v>188893.92144000001</v>
      </c>
      <c r="AH2101" s="853">
        <v>0.08</v>
      </c>
      <c r="AI2101" s="855">
        <f t="shared" si="398"/>
        <v>166226.65086719999</v>
      </c>
      <c r="AJ2101" s="856" t="s">
        <v>6867</v>
      </c>
      <c r="AK2101" s="857">
        <v>46006</v>
      </c>
      <c r="AL2101" s="899" t="s">
        <v>6868</v>
      </c>
      <c r="AM2101" s="843"/>
      <c r="AN2101" s="844"/>
      <c r="AO2101" s="844" t="s">
        <v>2388</v>
      </c>
      <c r="AP2101" s="841"/>
      <c r="AQ2101" s="841">
        <v>46014</v>
      </c>
      <c r="AR2101" s="841">
        <v>46014</v>
      </c>
      <c r="AS2101" s="842" t="s">
        <v>6869</v>
      </c>
      <c r="AT2101" s="842" t="s">
        <v>1187</v>
      </c>
      <c r="AU2101" s="842" t="s">
        <v>3602</v>
      </c>
      <c r="AV2101" s="856" t="s">
        <v>6870</v>
      </c>
      <c r="AW2101" s="861">
        <v>46017</v>
      </c>
      <c r="AX2101" s="861">
        <v>46017</v>
      </c>
      <c r="AY2101" s="843"/>
      <c r="AZ2101" s="842"/>
      <c r="BA2101" s="842" t="s">
        <v>120</v>
      </c>
      <c r="BB2101" s="863" t="s">
        <v>121</v>
      </c>
      <c r="BC2101" s="864">
        <v>46021</v>
      </c>
      <c r="BD2101" s="860" t="s">
        <v>6871</v>
      </c>
      <c r="BE2101" s="865" cm="1">
        <f t="array" ref="BE2101">IF(BD2101="","",AC2101/SUMPRODUCT(--(BD2101=$BD$4:$BD$12824),$AC$4:$AC$12824))</f>
        <v>1.5311287640864587E-2</v>
      </c>
      <c r="BF2101" s="458"/>
      <c r="BG2101" s="458"/>
      <c r="BH2101" s="458"/>
      <c r="BI2101" s="458"/>
      <c r="BJ2101" s="458"/>
      <c r="BK2101" s="458"/>
      <c r="BL2101" s="458"/>
      <c r="BM2101" s="458"/>
      <c r="BN2101" s="458"/>
      <c r="BO2101" s="866">
        <f>VLOOKUP(BD2101,$BD$4:$BN$12824,3,0)*BE2101</f>
        <v>0</v>
      </c>
      <c r="BP2101" s="866"/>
      <c r="BQ2101" s="866"/>
      <c r="BR2101" s="866">
        <f>VLOOKUP(BD2101,$BD$4:$BN$12824,6,0)*BE2101</f>
        <v>181918.76741178645</v>
      </c>
      <c r="BS2101" s="866">
        <f>VLOOKUP(BD2101,$BD$4:$BN$12824,7,0)*BE2101</f>
        <v>0</v>
      </c>
      <c r="BT2101" s="866"/>
      <c r="BU2101" s="866">
        <f>VLOOKUP(BD2101,$BD$4:$BN$12824,9,0)*BE2101</f>
        <v>306.22575281729172</v>
      </c>
      <c r="BV2101" s="867"/>
      <c r="BW2101" s="867">
        <f>VLOOKUP(BD2101,$BD$4:$BN$12824,11,0)*BE2101</f>
        <v>0</v>
      </c>
      <c r="BX2101" s="1146">
        <f t="shared" si="399"/>
        <v>182224.99316460374</v>
      </c>
      <c r="BY2101" s="867">
        <f t="shared" si="401"/>
        <v>565014.53225115093</v>
      </c>
      <c r="BZ2101" s="867">
        <f t="shared" si="400"/>
        <v>2260058.1290046037</v>
      </c>
      <c r="CA2101" s="867">
        <f>_xlfn.MAXIFS($BY$4:$BY$12824,$S$4:$S$12824,$S2101)</f>
        <v>682993.65396080317</v>
      </c>
      <c r="CB2101" s="1032"/>
      <c r="CF2101" s="946">
        <f t="shared" si="403"/>
        <v>1989120</v>
      </c>
    </row>
    <row r="2102" spans="2:84">
      <c r="B2102" s="839" t="s">
        <v>98</v>
      </c>
      <c r="C2102" s="839" t="s">
        <v>273</v>
      </c>
      <c r="D2102" s="839" t="s">
        <v>6862</v>
      </c>
      <c r="E2102" s="839" t="s">
        <v>6872</v>
      </c>
      <c r="F2102" s="841">
        <v>45904</v>
      </c>
      <c r="G2102" s="868" t="s">
        <v>273</v>
      </c>
      <c r="H2102" s="842" t="s">
        <v>102</v>
      </c>
      <c r="I2102" s="883" t="s">
        <v>6873</v>
      </c>
      <c r="J2102" s="841">
        <v>45904</v>
      </c>
      <c r="K2102" s="841">
        <v>46144</v>
      </c>
      <c r="L2102" s="843" t="s">
        <v>106</v>
      </c>
      <c r="M2102" s="844" t="s">
        <v>275</v>
      </c>
      <c r="N2102" s="841"/>
      <c r="O2102" s="884" t="s">
        <v>150</v>
      </c>
      <c r="P2102" s="842" t="s">
        <v>124</v>
      </c>
      <c r="Q2102" s="843"/>
      <c r="R2102" s="845">
        <v>18454</v>
      </c>
      <c r="S2102" s="1127" t="s">
        <v>4031</v>
      </c>
      <c r="T2102" s="885" t="s">
        <v>4032</v>
      </c>
      <c r="U2102" s="886">
        <v>4</v>
      </c>
      <c r="V2102" s="842" t="s">
        <v>3</v>
      </c>
      <c r="W2102" s="846">
        <v>31.08</v>
      </c>
      <c r="X2102" s="847">
        <f t="shared" si="404"/>
        <v>124.32</v>
      </c>
      <c r="Y2102" s="905">
        <v>0.5</v>
      </c>
      <c r="Z2102" s="849">
        <v>15.54</v>
      </c>
      <c r="AA2102" s="849"/>
      <c r="AB2102" s="849">
        <f t="shared" si="395"/>
        <v>62.16</v>
      </c>
      <c r="AC2102" s="850">
        <f t="shared" si="396"/>
        <v>62.16</v>
      </c>
      <c r="AD2102" s="851">
        <f t="shared" si="402"/>
        <v>32000</v>
      </c>
      <c r="AE2102" s="852">
        <v>30388.34</v>
      </c>
      <c r="AF2102" s="853">
        <v>0.1</v>
      </c>
      <c r="AG2102" s="854">
        <f t="shared" si="397"/>
        <v>188893.92144000001</v>
      </c>
      <c r="AH2102" s="853">
        <v>0.08</v>
      </c>
      <c r="AI2102" s="855">
        <f t="shared" si="398"/>
        <v>166226.65086719999</v>
      </c>
      <c r="AJ2102" s="856" t="s">
        <v>6867</v>
      </c>
      <c r="AK2102" s="857">
        <v>46006</v>
      </c>
      <c r="AL2102" s="899" t="s">
        <v>6868</v>
      </c>
      <c r="AM2102" s="843"/>
      <c r="AN2102" s="844"/>
      <c r="AO2102" s="844" t="s">
        <v>2388</v>
      </c>
      <c r="AP2102" s="841"/>
      <c r="AQ2102" s="841">
        <v>46014</v>
      </c>
      <c r="AR2102" s="841">
        <v>46014</v>
      </c>
      <c r="AS2102" s="842" t="s">
        <v>6869</v>
      </c>
      <c r="AT2102" s="842" t="s">
        <v>1187</v>
      </c>
      <c r="AU2102" s="842" t="s">
        <v>3602</v>
      </c>
      <c r="AV2102" s="856" t="s">
        <v>6870</v>
      </c>
      <c r="AW2102" s="861">
        <v>46017</v>
      </c>
      <c r="AX2102" s="861">
        <v>46017</v>
      </c>
      <c r="AY2102" s="843"/>
      <c r="AZ2102" s="842"/>
      <c r="BA2102" s="842" t="s">
        <v>120</v>
      </c>
      <c r="BB2102" s="863" t="s">
        <v>121</v>
      </c>
      <c r="BC2102" s="864">
        <v>46021</v>
      </c>
      <c r="BD2102" s="860" t="s">
        <v>6871</v>
      </c>
      <c r="BE2102" s="865" cm="1">
        <f t="array" ref="BE2102">IF(BD2102="","",AC2102/SUMPRODUCT(--(BD2102=$BD$4:$BD$12824),$AC$4:$AC$12824))</f>
        <v>1.5311287640864587E-2</v>
      </c>
      <c r="BF2102" s="458"/>
      <c r="BG2102" s="458"/>
      <c r="BH2102" s="458"/>
      <c r="BI2102" s="458"/>
      <c r="BJ2102" s="458"/>
      <c r="BK2102" s="458"/>
      <c r="BL2102" s="458"/>
      <c r="BM2102" s="458"/>
      <c r="BN2102" s="458"/>
      <c r="BO2102" s="866">
        <f>VLOOKUP(BD2102,$BD$4:$BN$12824,3,0)*BE2102</f>
        <v>0</v>
      </c>
      <c r="BP2102" s="866"/>
      <c r="BQ2102" s="866"/>
      <c r="BR2102" s="866">
        <f>VLOOKUP(BD2102,$BD$4:$BN$12824,6,0)*BE2102</f>
        <v>181918.76741178645</v>
      </c>
      <c r="BS2102" s="866">
        <f>VLOOKUP(BD2102,$BD$4:$BN$12824,7,0)*BE2102</f>
        <v>0</v>
      </c>
      <c r="BT2102" s="866"/>
      <c r="BU2102" s="866">
        <f>VLOOKUP(BD2102,$BD$4:$BN$12824,9,0)*BE2102</f>
        <v>306.22575281729172</v>
      </c>
      <c r="BV2102" s="867"/>
      <c r="BW2102" s="867">
        <f>VLOOKUP(BD2102,$BD$4:$BN$12824,11,0)*BE2102</f>
        <v>0</v>
      </c>
      <c r="BX2102" s="1146">
        <f t="shared" si="399"/>
        <v>182224.99316460374</v>
      </c>
      <c r="BY2102" s="867">
        <f t="shared" si="401"/>
        <v>565014.53225115093</v>
      </c>
      <c r="BZ2102" s="867">
        <f t="shared" si="400"/>
        <v>2260058.1290046037</v>
      </c>
      <c r="CA2102" s="867">
        <f>_xlfn.MAXIFS($BY$4:$BY$12824,$S$4:$S$12824,$S2102)</f>
        <v>682993.65396080317</v>
      </c>
      <c r="CB2102" s="1032"/>
      <c r="CF2102" s="946">
        <f t="shared" si="403"/>
        <v>1989120</v>
      </c>
    </row>
    <row r="2103" spans="2:84">
      <c r="B2103" s="839" t="s">
        <v>98</v>
      </c>
      <c r="C2103" s="839" t="s">
        <v>273</v>
      </c>
      <c r="D2103" s="839" t="s">
        <v>6862</v>
      </c>
      <c r="E2103" s="839" t="s">
        <v>6872</v>
      </c>
      <c r="F2103" s="841">
        <v>45904</v>
      </c>
      <c r="G2103" s="868" t="s">
        <v>273</v>
      </c>
      <c r="H2103" s="842" t="s">
        <v>102</v>
      </c>
      <c r="I2103" s="883" t="s">
        <v>6873</v>
      </c>
      <c r="J2103" s="841">
        <v>45904</v>
      </c>
      <c r="K2103" s="841">
        <v>46144</v>
      </c>
      <c r="L2103" s="843" t="s">
        <v>106</v>
      </c>
      <c r="M2103" s="844" t="s">
        <v>275</v>
      </c>
      <c r="N2103" s="841"/>
      <c r="O2103" s="884" t="s">
        <v>150</v>
      </c>
      <c r="P2103" s="842" t="s">
        <v>124</v>
      </c>
      <c r="Q2103" s="843"/>
      <c r="R2103" s="845">
        <v>18463</v>
      </c>
      <c r="S2103" s="1127" t="s">
        <v>4571</v>
      </c>
      <c r="T2103" s="885" t="s">
        <v>4572</v>
      </c>
      <c r="U2103" s="886">
        <v>8</v>
      </c>
      <c r="V2103" s="842" t="s">
        <v>3</v>
      </c>
      <c r="W2103" s="846">
        <v>0.88</v>
      </c>
      <c r="X2103" s="847">
        <f t="shared" si="404"/>
        <v>7.04</v>
      </c>
      <c r="Y2103" s="905">
        <v>0.5</v>
      </c>
      <c r="Z2103" s="849">
        <v>0.44</v>
      </c>
      <c r="AA2103" s="849"/>
      <c r="AB2103" s="849">
        <f t="shared" si="395"/>
        <v>3.52</v>
      </c>
      <c r="AC2103" s="850">
        <f t="shared" si="396"/>
        <v>3.52</v>
      </c>
      <c r="AD2103" s="851">
        <f t="shared" si="402"/>
        <v>32000</v>
      </c>
      <c r="AE2103" s="852">
        <v>30388.34</v>
      </c>
      <c r="AF2103" s="853">
        <v>0.1</v>
      </c>
      <c r="AG2103" s="854">
        <f t="shared" si="397"/>
        <v>10696.695680000001</v>
      </c>
      <c r="AH2103" s="853">
        <v>0.08</v>
      </c>
      <c r="AI2103" s="855">
        <f t="shared" si="398"/>
        <v>9413.0921983999997</v>
      </c>
      <c r="AJ2103" s="856" t="s">
        <v>6867</v>
      </c>
      <c r="AK2103" s="857">
        <v>46006</v>
      </c>
      <c r="AL2103" s="899" t="s">
        <v>6868</v>
      </c>
      <c r="AM2103" s="843"/>
      <c r="AN2103" s="844"/>
      <c r="AO2103" s="844" t="s">
        <v>2388</v>
      </c>
      <c r="AP2103" s="841"/>
      <c r="AQ2103" s="841">
        <v>46014</v>
      </c>
      <c r="AR2103" s="841">
        <v>46014</v>
      </c>
      <c r="AS2103" s="842" t="s">
        <v>6869</v>
      </c>
      <c r="AT2103" s="842" t="s">
        <v>1187</v>
      </c>
      <c r="AU2103" s="842" t="s">
        <v>3602</v>
      </c>
      <c r="AV2103" s="856" t="s">
        <v>6870</v>
      </c>
      <c r="AW2103" s="861">
        <v>46017</v>
      </c>
      <c r="AX2103" s="861">
        <v>46017</v>
      </c>
      <c r="AY2103" s="843"/>
      <c r="AZ2103" s="842"/>
      <c r="BA2103" s="842" t="s">
        <v>120</v>
      </c>
      <c r="BB2103" s="863" t="s">
        <v>121</v>
      </c>
      <c r="BC2103" s="864">
        <v>46021</v>
      </c>
      <c r="BD2103" s="860" t="s">
        <v>6871</v>
      </c>
      <c r="BE2103" s="865" cm="1">
        <f t="array" ref="BE2103">IF(BD2103="","",AC2103/SUMPRODUCT(--(BD2103=$BD$4:$BD$12824),$AC$4:$AC$12824))</f>
        <v>8.6704846357534341E-4</v>
      </c>
      <c r="BF2103" s="458"/>
      <c r="BG2103" s="458"/>
      <c r="BH2103" s="458"/>
      <c r="BI2103" s="458"/>
      <c r="BJ2103" s="458"/>
      <c r="BK2103" s="458"/>
      <c r="BL2103" s="458"/>
      <c r="BM2103" s="458"/>
      <c r="BN2103" s="458"/>
      <c r="BO2103" s="866">
        <f>VLOOKUP(BD2103,$BD$4:$BN$12824,3,0)*BE2103</f>
        <v>0</v>
      </c>
      <c r="BP2103" s="866"/>
      <c r="BQ2103" s="866"/>
      <c r="BR2103" s="866">
        <f>VLOOKUP(BD2103,$BD$4:$BN$12824,6,0)*BE2103</f>
        <v>10301.706262700907</v>
      </c>
      <c r="BS2103" s="866">
        <f>VLOOKUP(BD2103,$BD$4:$BN$12824,7,0)*BE2103</f>
        <v>0</v>
      </c>
      <c r="BT2103" s="866"/>
      <c r="BU2103" s="866">
        <f>VLOOKUP(BD2103,$BD$4:$BN$12824,9,0)*BE2103</f>
        <v>17.340969271506868</v>
      </c>
      <c r="BV2103" s="867"/>
      <c r="BW2103" s="867">
        <f>VLOOKUP(BD2103,$BD$4:$BN$12824,11,0)*BE2103</f>
        <v>0</v>
      </c>
      <c r="BX2103" s="1146">
        <f t="shared" si="399"/>
        <v>10319.047231972414</v>
      </c>
      <c r="BY2103" s="867">
        <f t="shared" si="401"/>
        <v>15997.837463996551</v>
      </c>
      <c r="BZ2103" s="867">
        <f t="shared" si="400"/>
        <v>127982.69971197241</v>
      </c>
      <c r="CA2103" s="867">
        <f>_xlfn.MAXIFS($BY$4:$BY$12824,$S$4:$S$12824,$S2103)</f>
        <v>19390.987020969184</v>
      </c>
      <c r="CB2103" s="1032"/>
      <c r="CF2103" s="946">
        <f t="shared" si="403"/>
        <v>112640</v>
      </c>
    </row>
    <row r="2104" spans="2:84">
      <c r="B2104" s="839" t="s">
        <v>98</v>
      </c>
      <c r="C2104" s="839" t="s">
        <v>273</v>
      </c>
      <c r="D2104" s="839" t="s">
        <v>6862</v>
      </c>
      <c r="E2104" s="839" t="s">
        <v>6872</v>
      </c>
      <c r="F2104" s="841">
        <v>45904</v>
      </c>
      <c r="G2104" s="868" t="s">
        <v>273</v>
      </c>
      <c r="H2104" s="842" t="s">
        <v>102</v>
      </c>
      <c r="I2104" s="883" t="s">
        <v>6873</v>
      </c>
      <c r="J2104" s="841">
        <v>45904</v>
      </c>
      <c r="K2104" s="841">
        <v>46144</v>
      </c>
      <c r="L2104" s="843" t="s">
        <v>106</v>
      </c>
      <c r="M2104" s="844" t="s">
        <v>275</v>
      </c>
      <c r="N2104" s="841"/>
      <c r="O2104" s="884" t="s">
        <v>150</v>
      </c>
      <c r="P2104" s="842" t="s">
        <v>124</v>
      </c>
      <c r="Q2104" s="843"/>
      <c r="R2104" s="845">
        <v>18476</v>
      </c>
      <c r="S2104" s="1127" t="s">
        <v>4033</v>
      </c>
      <c r="T2104" s="885" t="s">
        <v>4034</v>
      </c>
      <c r="U2104" s="886">
        <v>4</v>
      </c>
      <c r="V2104" s="842" t="s">
        <v>3</v>
      </c>
      <c r="W2104" s="846">
        <v>21.63</v>
      </c>
      <c r="X2104" s="847">
        <f t="shared" si="404"/>
        <v>86.52</v>
      </c>
      <c r="Y2104" s="905">
        <v>0.5</v>
      </c>
      <c r="Z2104" s="849">
        <v>10.815</v>
      </c>
      <c r="AA2104" s="849"/>
      <c r="AB2104" s="849">
        <f t="shared" si="395"/>
        <v>43.26</v>
      </c>
      <c r="AC2104" s="850">
        <f t="shared" si="396"/>
        <v>43.26</v>
      </c>
      <c r="AD2104" s="851">
        <f t="shared" si="402"/>
        <v>32000</v>
      </c>
      <c r="AE2104" s="852">
        <v>30388.34</v>
      </c>
      <c r="AF2104" s="853">
        <v>0.1</v>
      </c>
      <c r="AG2104" s="854">
        <f t="shared" si="397"/>
        <v>131459.95884000001</v>
      </c>
      <c r="AH2104" s="853">
        <v>0.08</v>
      </c>
      <c r="AI2104" s="855">
        <f t="shared" si="398"/>
        <v>115684.7637792</v>
      </c>
      <c r="AJ2104" s="856" t="s">
        <v>6867</v>
      </c>
      <c r="AK2104" s="857">
        <v>46006</v>
      </c>
      <c r="AL2104" s="899" t="s">
        <v>6868</v>
      </c>
      <c r="AM2104" s="843"/>
      <c r="AN2104" s="844"/>
      <c r="AO2104" s="844" t="s">
        <v>2388</v>
      </c>
      <c r="AP2104" s="841"/>
      <c r="AQ2104" s="841">
        <v>46014</v>
      </c>
      <c r="AR2104" s="841">
        <v>46014</v>
      </c>
      <c r="AS2104" s="842" t="s">
        <v>6869</v>
      </c>
      <c r="AT2104" s="842" t="s">
        <v>1187</v>
      </c>
      <c r="AU2104" s="842" t="s">
        <v>3602</v>
      </c>
      <c r="AV2104" s="856" t="s">
        <v>6870</v>
      </c>
      <c r="AW2104" s="861">
        <v>46017</v>
      </c>
      <c r="AX2104" s="861">
        <v>46017</v>
      </c>
      <c r="AY2104" s="843"/>
      <c r="AZ2104" s="842"/>
      <c r="BA2104" s="842" t="s">
        <v>120</v>
      </c>
      <c r="BB2104" s="863" t="s">
        <v>121</v>
      </c>
      <c r="BC2104" s="864">
        <v>46021</v>
      </c>
      <c r="BD2104" s="860" t="s">
        <v>6871</v>
      </c>
      <c r="BE2104" s="865" cm="1">
        <f t="array" ref="BE2104">IF(BD2104="","",AC2104/SUMPRODUCT(--(BD2104=$BD$4:$BD$12824),$AC$4:$AC$12824))</f>
        <v>1.0655828560871975E-2</v>
      </c>
      <c r="BF2104" s="458"/>
      <c r="BG2104" s="458"/>
      <c r="BH2104" s="458"/>
      <c r="BI2104" s="458"/>
      <c r="BJ2104" s="458"/>
      <c r="BK2104" s="458"/>
      <c r="BL2104" s="458"/>
      <c r="BM2104" s="458"/>
      <c r="BN2104" s="458"/>
      <c r="BO2104" s="866">
        <f>VLOOKUP(BD2104,$BD$4:$BN$12824,3,0)*BE2104</f>
        <v>0</v>
      </c>
      <c r="BP2104" s="866"/>
      <c r="BQ2104" s="866"/>
      <c r="BR2104" s="866">
        <f>VLOOKUP(BD2104,$BD$4:$BN$12824,6,0)*BE2104</f>
        <v>126605.62867171624</v>
      </c>
      <c r="BS2104" s="866">
        <f>VLOOKUP(BD2104,$BD$4:$BN$12824,7,0)*BE2104</f>
        <v>0</v>
      </c>
      <c r="BT2104" s="866"/>
      <c r="BU2104" s="866">
        <f>VLOOKUP(BD2104,$BD$4:$BN$12824,9,0)*BE2104</f>
        <v>213.11657121743949</v>
      </c>
      <c r="BV2104" s="867"/>
      <c r="BW2104" s="867">
        <f>VLOOKUP(BD2104,$BD$4:$BN$12824,11,0)*BE2104</f>
        <v>0</v>
      </c>
      <c r="BX2104" s="1146">
        <f t="shared" si="399"/>
        <v>126818.74524293368</v>
      </c>
      <c r="BY2104" s="867">
        <f t="shared" si="401"/>
        <v>393219.57312073343</v>
      </c>
      <c r="BZ2104" s="867">
        <f t="shared" si="400"/>
        <v>1572878.2924829337</v>
      </c>
      <c r="CA2104" s="867">
        <f>_xlfn.MAXIFS($BY$4:$BY$12824,$S$4:$S$12824,$S2104)</f>
        <v>475294.63742508896</v>
      </c>
      <c r="CB2104" s="1032"/>
      <c r="CF2104" s="946">
        <f t="shared" si="403"/>
        <v>1384320</v>
      </c>
    </row>
    <row r="2105" spans="2:84">
      <c r="B2105" s="839" t="s">
        <v>98</v>
      </c>
      <c r="C2105" s="839" t="s">
        <v>273</v>
      </c>
      <c r="D2105" s="839" t="s">
        <v>6862</v>
      </c>
      <c r="E2105" s="839" t="s">
        <v>6884</v>
      </c>
      <c r="F2105" s="841">
        <v>45909</v>
      </c>
      <c r="G2105" s="868" t="s">
        <v>273</v>
      </c>
      <c r="H2105" s="842" t="s">
        <v>102</v>
      </c>
      <c r="I2105" s="883" t="s">
        <v>6864</v>
      </c>
      <c r="J2105" s="841">
        <v>45909</v>
      </c>
      <c r="K2105" s="841">
        <v>46149</v>
      </c>
      <c r="L2105" s="843" t="s">
        <v>106</v>
      </c>
      <c r="M2105" s="844" t="s">
        <v>275</v>
      </c>
      <c r="N2105" s="841"/>
      <c r="O2105" s="884" t="s">
        <v>150</v>
      </c>
      <c r="P2105" s="842" t="s">
        <v>124</v>
      </c>
      <c r="Q2105" s="843"/>
      <c r="R2105" s="856" t="s">
        <v>6885</v>
      </c>
      <c r="S2105" s="1127" t="s">
        <v>6886</v>
      </c>
      <c r="T2105" s="885" t="s">
        <v>6887</v>
      </c>
      <c r="U2105" s="886">
        <v>1</v>
      </c>
      <c r="V2105" s="842" t="s">
        <v>3</v>
      </c>
      <c r="W2105" s="846">
        <v>66.52</v>
      </c>
      <c r="X2105" s="847">
        <f t="shared" si="404"/>
        <v>66.52</v>
      </c>
      <c r="Y2105" s="905">
        <v>0.5</v>
      </c>
      <c r="Z2105" s="849">
        <v>33.26</v>
      </c>
      <c r="AA2105" s="849"/>
      <c r="AB2105" s="849">
        <f t="shared" si="395"/>
        <v>33.26</v>
      </c>
      <c r="AC2105" s="850">
        <f t="shared" si="396"/>
        <v>33.26</v>
      </c>
      <c r="AD2105" s="851">
        <f t="shared" si="402"/>
        <v>32000</v>
      </c>
      <c r="AE2105" s="852">
        <v>30388.34</v>
      </c>
      <c r="AF2105" s="853">
        <v>0.1</v>
      </c>
      <c r="AG2105" s="854">
        <f t="shared" si="397"/>
        <v>101071.61884000001</v>
      </c>
      <c r="AH2105" s="853">
        <v>0.08</v>
      </c>
      <c r="AI2105" s="855">
        <f t="shared" si="398"/>
        <v>88943.024579200006</v>
      </c>
      <c r="AJ2105" s="856" t="s">
        <v>6867</v>
      </c>
      <c r="AK2105" s="857">
        <v>46006</v>
      </c>
      <c r="AL2105" s="899" t="s">
        <v>6868</v>
      </c>
      <c r="AM2105" s="843"/>
      <c r="AN2105" s="844"/>
      <c r="AO2105" s="844" t="s">
        <v>2388</v>
      </c>
      <c r="AP2105" s="841"/>
      <c r="AQ2105" s="841">
        <v>46014</v>
      </c>
      <c r="AR2105" s="841">
        <v>46014</v>
      </c>
      <c r="AS2105" s="842" t="s">
        <v>6869</v>
      </c>
      <c r="AT2105" s="842" t="s">
        <v>1187</v>
      </c>
      <c r="AU2105" s="842" t="s">
        <v>3602</v>
      </c>
      <c r="AV2105" s="856" t="s">
        <v>6870</v>
      </c>
      <c r="AW2105" s="861">
        <v>46017</v>
      </c>
      <c r="AX2105" s="861">
        <v>46017</v>
      </c>
      <c r="AY2105" s="843"/>
      <c r="AZ2105" s="842"/>
      <c r="BA2105" s="842" t="s">
        <v>120</v>
      </c>
      <c r="BB2105" s="863" t="s">
        <v>121</v>
      </c>
      <c r="BC2105" s="864">
        <v>46021</v>
      </c>
      <c r="BD2105" s="860" t="s">
        <v>6871</v>
      </c>
      <c r="BE2105" s="865" cm="1">
        <f t="array" ref="BE2105">IF(BD2105="","",AC2105/SUMPRODUCT(--(BD2105=$BD$4:$BD$12824),$AC$4:$AC$12824))</f>
        <v>8.1926226984420231E-3</v>
      </c>
      <c r="BF2105" s="458"/>
      <c r="BG2105" s="458"/>
      <c r="BH2105" s="458"/>
      <c r="BI2105" s="458"/>
      <c r="BJ2105" s="458"/>
      <c r="BK2105" s="458"/>
      <c r="BL2105" s="458"/>
      <c r="BM2105" s="458"/>
      <c r="BN2105" s="458"/>
      <c r="BO2105" s="866">
        <f>VLOOKUP(BD2105,$BD$4:$BN$12824,3,0)*BE2105</f>
        <v>0</v>
      </c>
      <c r="BP2105" s="866"/>
      <c r="BQ2105" s="866"/>
      <c r="BR2105" s="866">
        <f>VLOOKUP(BD2105,$BD$4:$BN$12824,6,0)*BE2105</f>
        <v>97339.41769813413</v>
      </c>
      <c r="BS2105" s="866">
        <f>VLOOKUP(BD2105,$BD$4:$BN$12824,7,0)*BE2105</f>
        <v>0</v>
      </c>
      <c r="BT2105" s="866"/>
      <c r="BU2105" s="866">
        <f>VLOOKUP(BD2105,$BD$4:$BN$12824,9,0)*BE2105</f>
        <v>163.85245396884045</v>
      </c>
      <c r="BV2105" s="867"/>
      <c r="BW2105" s="867">
        <f>VLOOKUP(BD2105,$BD$4:$BN$12824,11,0)*BE2105</f>
        <v>0</v>
      </c>
      <c r="BX2105" s="1146">
        <f t="shared" si="399"/>
        <v>97503.270152102967</v>
      </c>
      <c r="BY2105" s="867">
        <f t="shared" si="401"/>
        <v>1209291.0773921029</v>
      </c>
      <c r="BZ2105" s="867">
        <f t="shared" si="400"/>
        <v>1209291.0773921029</v>
      </c>
      <c r="CA2105" s="867">
        <f>_xlfn.MAXIFS($BY$4:$BY$12824,$S$4:$S$12824,$S2105)</f>
        <v>1462080.4213810759</v>
      </c>
      <c r="CB2105" s="1032"/>
      <c r="CF2105" s="946">
        <f t="shared" si="403"/>
        <v>1064320</v>
      </c>
    </row>
    <row r="2106" spans="2:84">
      <c r="B2106" s="839" t="s">
        <v>98</v>
      </c>
      <c r="C2106" s="839" t="s">
        <v>273</v>
      </c>
      <c r="D2106" s="839" t="s">
        <v>6862</v>
      </c>
      <c r="E2106" s="839" t="s">
        <v>6884</v>
      </c>
      <c r="F2106" s="841">
        <v>45909</v>
      </c>
      <c r="G2106" s="868" t="s">
        <v>273</v>
      </c>
      <c r="H2106" s="842" t="s">
        <v>102</v>
      </c>
      <c r="I2106" s="883" t="s">
        <v>6864</v>
      </c>
      <c r="J2106" s="841">
        <v>45909</v>
      </c>
      <c r="K2106" s="841">
        <v>46149</v>
      </c>
      <c r="L2106" s="843" t="s">
        <v>106</v>
      </c>
      <c r="M2106" s="844" t="s">
        <v>275</v>
      </c>
      <c r="N2106" s="841"/>
      <c r="O2106" s="884" t="s">
        <v>150</v>
      </c>
      <c r="P2106" s="842" t="s">
        <v>124</v>
      </c>
      <c r="Q2106" s="843"/>
      <c r="R2106" s="845">
        <v>13518.25</v>
      </c>
      <c r="S2106" s="1127" t="s">
        <v>6888</v>
      </c>
      <c r="T2106" s="885" t="s">
        <v>6889</v>
      </c>
      <c r="U2106" s="886">
        <v>1</v>
      </c>
      <c r="V2106" s="842" t="s">
        <v>3</v>
      </c>
      <c r="W2106" s="846">
        <v>52.84</v>
      </c>
      <c r="X2106" s="847">
        <f t="shared" si="404"/>
        <v>52.84</v>
      </c>
      <c r="Y2106" s="905">
        <v>0.5</v>
      </c>
      <c r="Z2106" s="849">
        <v>26.42</v>
      </c>
      <c r="AA2106" s="849"/>
      <c r="AB2106" s="849">
        <f t="shared" si="395"/>
        <v>26.42</v>
      </c>
      <c r="AC2106" s="850">
        <f t="shared" si="396"/>
        <v>26.42</v>
      </c>
      <c r="AD2106" s="851">
        <f t="shared" si="402"/>
        <v>32000</v>
      </c>
      <c r="AE2106" s="852">
        <v>30388.34</v>
      </c>
      <c r="AF2106" s="853">
        <v>0.1</v>
      </c>
      <c r="AG2106" s="854">
        <f t="shared" si="397"/>
        <v>80285.994280000014</v>
      </c>
      <c r="AH2106" s="853">
        <v>0.08</v>
      </c>
      <c r="AI2106" s="855">
        <f t="shared" si="398"/>
        <v>70651.674966400009</v>
      </c>
      <c r="AJ2106" s="856" t="s">
        <v>6867</v>
      </c>
      <c r="AK2106" s="857">
        <v>46006</v>
      </c>
      <c r="AL2106" s="899" t="s">
        <v>6868</v>
      </c>
      <c r="AM2106" s="843"/>
      <c r="AN2106" s="844"/>
      <c r="AO2106" s="844" t="s">
        <v>2388</v>
      </c>
      <c r="AP2106" s="841"/>
      <c r="AQ2106" s="841">
        <v>46014</v>
      </c>
      <c r="AR2106" s="841">
        <v>46014</v>
      </c>
      <c r="AS2106" s="842" t="s">
        <v>6869</v>
      </c>
      <c r="AT2106" s="842" t="s">
        <v>1187</v>
      </c>
      <c r="AU2106" s="842" t="s">
        <v>3602</v>
      </c>
      <c r="AV2106" s="856" t="s">
        <v>6870</v>
      </c>
      <c r="AW2106" s="861">
        <v>46017</v>
      </c>
      <c r="AX2106" s="861">
        <v>46017</v>
      </c>
      <c r="AY2106" s="843"/>
      <c r="AZ2106" s="842"/>
      <c r="BA2106" s="842" t="s">
        <v>120</v>
      </c>
      <c r="BB2106" s="863" t="s">
        <v>121</v>
      </c>
      <c r="BC2106" s="864">
        <v>46021</v>
      </c>
      <c r="BD2106" s="860" t="s">
        <v>6871</v>
      </c>
      <c r="BE2106" s="865" cm="1">
        <f t="array" ref="BE2106">IF(BD2106="","",AC2106/SUMPRODUCT(--(BD2106=$BD$4:$BD$12824),$AC$4:$AC$12824))</f>
        <v>6.507789888539936E-3</v>
      </c>
      <c r="BF2106" s="458"/>
      <c r="BG2106" s="458"/>
      <c r="BH2106" s="458"/>
      <c r="BI2106" s="458"/>
      <c r="BJ2106" s="458"/>
      <c r="BK2106" s="458"/>
      <c r="BL2106" s="458"/>
      <c r="BM2106" s="458"/>
      <c r="BN2106" s="458"/>
      <c r="BO2106" s="866">
        <f>VLOOKUP(BD2106,$BD$4:$BN$12824,3,0)*BE2106</f>
        <v>0</v>
      </c>
      <c r="BP2106" s="866"/>
      <c r="BQ2106" s="866"/>
      <c r="BR2106" s="866">
        <f>VLOOKUP(BD2106,$BD$4:$BN$12824,6,0)*BE2106</f>
        <v>77321.329392203974</v>
      </c>
      <c r="BS2106" s="866">
        <f>VLOOKUP(BD2106,$BD$4:$BN$12824,7,0)*BE2106</f>
        <v>0</v>
      </c>
      <c r="BT2106" s="866"/>
      <c r="BU2106" s="866">
        <f>VLOOKUP(BD2106,$BD$4:$BN$12824,9,0)*BE2106</f>
        <v>130.15579777079873</v>
      </c>
      <c r="BV2106" s="867"/>
      <c r="BW2106" s="867">
        <f>VLOOKUP(BD2106,$BD$4:$BN$12824,11,0)*BE2106</f>
        <v>0</v>
      </c>
      <c r="BX2106" s="1146">
        <f t="shared" si="399"/>
        <v>77451.485189974774</v>
      </c>
      <c r="BY2106" s="867">
        <f t="shared" si="401"/>
        <v>960597.42226997484</v>
      </c>
      <c r="BZ2106" s="867">
        <f t="shared" si="400"/>
        <v>960597.42226997484</v>
      </c>
      <c r="CA2106" s="867">
        <f>_xlfn.MAXIFS($BY$4:$BY$12824,$S$4:$S$12824,$S2106)</f>
        <v>1161304.6671447097</v>
      </c>
      <c r="CB2106" s="1032"/>
      <c r="CF2106" s="946">
        <f t="shared" si="403"/>
        <v>845440</v>
      </c>
    </row>
    <row r="2107" spans="2:84">
      <c r="B2107" s="839" t="s">
        <v>98</v>
      </c>
      <c r="C2107" s="839" t="s">
        <v>273</v>
      </c>
      <c r="D2107" s="839" t="s">
        <v>6862</v>
      </c>
      <c r="E2107" s="839" t="s">
        <v>6884</v>
      </c>
      <c r="F2107" s="841">
        <v>45909</v>
      </c>
      <c r="G2107" s="868" t="s">
        <v>273</v>
      </c>
      <c r="H2107" s="842" t="s">
        <v>102</v>
      </c>
      <c r="I2107" s="883" t="s">
        <v>6864</v>
      </c>
      <c r="J2107" s="841">
        <v>45909</v>
      </c>
      <c r="K2107" s="841">
        <v>46149</v>
      </c>
      <c r="L2107" s="843" t="s">
        <v>106</v>
      </c>
      <c r="M2107" s="844" t="s">
        <v>275</v>
      </c>
      <c r="N2107" s="841"/>
      <c r="O2107" s="884" t="s">
        <v>150</v>
      </c>
      <c r="P2107" s="842" t="s">
        <v>124</v>
      </c>
      <c r="Q2107" s="843"/>
      <c r="R2107" s="845">
        <v>16603.25</v>
      </c>
      <c r="S2107" s="1127" t="s">
        <v>6890</v>
      </c>
      <c r="T2107" s="885" t="s">
        <v>6891</v>
      </c>
      <c r="U2107" s="886">
        <v>2</v>
      </c>
      <c r="V2107" s="842" t="s">
        <v>3</v>
      </c>
      <c r="W2107" s="846">
        <v>27.1</v>
      </c>
      <c r="X2107" s="847">
        <f t="shared" si="404"/>
        <v>54.2</v>
      </c>
      <c r="Y2107" s="905">
        <v>0.5</v>
      </c>
      <c r="Z2107" s="849">
        <v>13.55</v>
      </c>
      <c r="AA2107" s="849"/>
      <c r="AB2107" s="849">
        <f t="shared" si="395"/>
        <v>27.1</v>
      </c>
      <c r="AC2107" s="850">
        <f t="shared" si="396"/>
        <v>27.1</v>
      </c>
      <c r="AD2107" s="851">
        <f t="shared" si="402"/>
        <v>32000</v>
      </c>
      <c r="AE2107" s="852">
        <v>30388.34</v>
      </c>
      <c r="AF2107" s="853">
        <v>0.1</v>
      </c>
      <c r="AG2107" s="854">
        <f t="shared" si="397"/>
        <v>82352.401400000017</v>
      </c>
      <c r="AH2107" s="853">
        <v>0.08</v>
      </c>
      <c r="AI2107" s="855">
        <f t="shared" si="398"/>
        <v>72470.113232000003</v>
      </c>
      <c r="AJ2107" s="856" t="s">
        <v>6867</v>
      </c>
      <c r="AK2107" s="857">
        <v>46006</v>
      </c>
      <c r="AL2107" s="899" t="s">
        <v>6868</v>
      </c>
      <c r="AM2107" s="843"/>
      <c r="AN2107" s="844"/>
      <c r="AO2107" s="844" t="s">
        <v>2388</v>
      </c>
      <c r="AP2107" s="841"/>
      <c r="AQ2107" s="841">
        <v>46014</v>
      </c>
      <c r="AR2107" s="841">
        <v>46014</v>
      </c>
      <c r="AS2107" s="842" t="s">
        <v>6869</v>
      </c>
      <c r="AT2107" s="842" t="s">
        <v>1187</v>
      </c>
      <c r="AU2107" s="842" t="s">
        <v>3602</v>
      </c>
      <c r="AV2107" s="856" t="s">
        <v>6870</v>
      </c>
      <c r="AW2107" s="861">
        <v>46017</v>
      </c>
      <c r="AX2107" s="861">
        <v>46017</v>
      </c>
      <c r="AY2107" s="843"/>
      <c r="AZ2107" s="842"/>
      <c r="BA2107" s="842" t="s">
        <v>120</v>
      </c>
      <c r="BB2107" s="863" t="s">
        <v>121</v>
      </c>
      <c r="BC2107" s="864">
        <v>46021</v>
      </c>
      <c r="BD2107" s="860" t="s">
        <v>6871</v>
      </c>
      <c r="BE2107" s="865" cm="1">
        <f t="array" ref="BE2107">IF(BD2107="","",AC2107/SUMPRODUCT(--(BD2107=$BD$4:$BD$12824),$AC$4:$AC$12824))</f>
        <v>6.6752878871851728E-3</v>
      </c>
      <c r="BF2107" s="458"/>
      <c r="BG2107" s="458"/>
      <c r="BH2107" s="458"/>
      <c r="BI2107" s="458"/>
      <c r="BJ2107" s="458"/>
      <c r="BK2107" s="458"/>
      <c r="BL2107" s="458"/>
      <c r="BM2107" s="458"/>
      <c r="BN2107" s="458"/>
      <c r="BO2107" s="866">
        <f>VLOOKUP(BD2107,$BD$4:$BN$12824,3,0)*BE2107</f>
        <v>0</v>
      </c>
      <c r="BP2107" s="866"/>
      <c r="BQ2107" s="866"/>
      <c r="BR2107" s="866">
        <f>VLOOKUP(BD2107,$BD$4:$BN$12824,6,0)*BE2107</f>
        <v>79311.431738407555</v>
      </c>
      <c r="BS2107" s="866">
        <f>VLOOKUP(BD2107,$BD$4:$BN$12824,7,0)*BE2107</f>
        <v>0</v>
      </c>
      <c r="BT2107" s="866"/>
      <c r="BU2107" s="866">
        <f>VLOOKUP(BD2107,$BD$4:$BN$12824,9,0)*BE2107</f>
        <v>133.50575774370347</v>
      </c>
      <c r="BV2107" s="867"/>
      <c r="BW2107" s="867">
        <f>VLOOKUP(BD2107,$BD$4:$BN$12824,11,0)*BE2107</f>
        <v>0</v>
      </c>
      <c r="BX2107" s="1146">
        <f t="shared" si="399"/>
        <v>79444.937496151251</v>
      </c>
      <c r="BY2107" s="867">
        <f t="shared" si="401"/>
        <v>492660.67644807568</v>
      </c>
      <c r="BZ2107" s="867">
        <f t="shared" si="400"/>
        <v>985321.35289615137</v>
      </c>
      <c r="CA2107" s="867">
        <f>_xlfn.MAXIFS($BY$4:$BY$12824,$S$4:$S$12824,$S2107)</f>
        <v>595518.7569550979</v>
      </c>
      <c r="CB2107" s="1032"/>
      <c r="CF2107" s="946">
        <f t="shared" si="403"/>
        <v>867200</v>
      </c>
    </row>
    <row r="2108" spans="2:84">
      <c r="B2108" s="839" t="s">
        <v>98</v>
      </c>
      <c r="C2108" s="839" t="s">
        <v>273</v>
      </c>
      <c r="D2108" s="839" t="s">
        <v>6862</v>
      </c>
      <c r="E2108" s="839" t="s">
        <v>6884</v>
      </c>
      <c r="F2108" s="841">
        <v>45909</v>
      </c>
      <c r="G2108" s="868" t="s">
        <v>273</v>
      </c>
      <c r="H2108" s="842" t="s">
        <v>102</v>
      </c>
      <c r="I2108" s="883" t="s">
        <v>6864</v>
      </c>
      <c r="J2108" s="841">
        <v>45909</v>
      </c>
      <c r="K2108" s="841">
        <v>46149</v>
      </c>
      <c r="L2108" s="843" t="s">
        <v>106</v>
      </c>
      <c r="M2108" s="844" t="s">
        <v>275</v>
      </c>
      <c r="N2108" s="841"/>
      <c r="O2108" s="884" t="s">
        <v>150</v>
      </c>
      <c r="P2108" s="842" t="s">
        <v>124</v>
      </c>
      <c r="Q2108" s="843"/>
      <c r="R2108" s="845">
        <v>16606.25</v>
      </c>
      <c r="S2108" s="1127" t="s">
        <v>6892</v>
      </c>
      <c r="T2108" s="885" t="s">
        <v>6893</v>
      </c>
      <c r="U2108" s="886">
        <v>1</v>
      </c>
      <c r="V2108" s="842" t="s">
        <v>3</v>
      </c>
      <c r="W2108" s="846">
        <v>28.74</v>
      </c>
      <c r="X2108" s="847">
        <f t="shared" si="404"/>
        <v>28.74</v>
      </c>
      <c r="Y2108" s="905">
        <v>0.5</v>
      </c>
      <c r="Z2108" s="849">
        <v>14.37</v>
      </c>
      <c r="AA2108" s="849"/>
      <c r="AB2108" s="849">
        <f t="shared" si="395"/>
        <v>14.37</v>
      </c>
      <c r="AC2108" s="850">
        <f t="shared" si="396"/>
        <v>14.37</v>
      </c>
      <c r="AD2108" s="851">
        <f t="shared" si="402"/>
        <v>32000</v>
      </c>
      <c r="AE2108" s="852">
        <v>30388.34</v>
      </c>
      <c r="AF2108" s="853">
        <v>0.1</v>
      </c>
      <c r="AG2108" s="854">
        <f t="shared" si="397"/>
        <v>43668.044580000002</v>
      </c>
      <c r="AH2108" s="853">
        <v>0.08</v>
      </c>
      <c r="AI2108" s="855">
        <f t="shared" si="398"/>
        <v>38427.879230400002</v>
      </c>
      <c r="AJ2108" s="856" t="s">
        <v>6867</v>
      </c>
      <c r="AK2108" s="857">
        <v>46006</v>
      </c>
      <c r="AL2108" s="899" t="s">
        <v>6868</v>
      </c>
      <c r="AM2108" s="843"/>
      <c r="AN2108" s="844"/>
      <c r="AO2108" s="844" t="s">
        <v>2388</v>
      </c>
      <c r="AP2108" s="841"/>
      <c r="AQ2108" s="841">
        <v>46014</v>
      </c>
      <c r="AR2108" s="841">
        <v>46014</v>
      </c>
      <c r="AS2108" s="842" t="s">
        <v>6869</v>
      </c>
      <c r="AT2108" s="842" t="s">
        <v>1187</v>
      </c>
      <c r="AU2108" s="842" t="s">
        <v>3602</v>
      </c>
      <c r="AV2108" s="856" t="s">
        <v>6870</v>
      </c>
      <c r="AW2108" s="861">
        <v>46017</v>
      </c>
      <c r="AX2108" s="861">
        <v>46017</v>
      </c>
      <c r="AY2108" s="843"/>
      <c r="AZ2108" s="842"/>
      <c r="BA2108" s="842" t="s">
        <v>120</v>
      </c>
      <c r="BB2108" s="863" t="s">
        <v>121</v>
      </c>
      <c r="BC2108" s="864">
        <v>46021</v>
      </c>
      <c r="BD2108" s="860" t="s">
        <v>6871</v>
      </c>
      <c r="BE2108" s="865" cm="1">
        <f t="array" ref="BE2108">IF(BD2108="","",AC2108/SUMPRODUCT(--(BD2108=$BD$4:$BD$12824),$AC$4:$AC$12824))</f>
        <v>3.539626824311842E-3</v>
      </c>
      <c r="BF2108" s="458"/>
      <c r="BG2108" s="458"/>
      <c r="BH2108" s="458"/>
      <c r="BI2108" s="458"/>
      <c r="BJ2108" s="458"/>
      <c r="BK2108" s="458"/>
      <c r="BL2108" s="458"/>
      <c r="BM2108" s="458"/>
      <c r="BN2108" s="458"/>
      <c r="BO2108" s="866">
        <f>VLOOKUP(BD2108,$BD$4:$BN$12824,3,0)*BE2108</f>
        <v>0</v>
      </c>
      <c r="BP2108" s="866"/>
      <c r="BQ2108" s="866"/>
      <c r="BR2108" s="866">
        <f>VLOOKUP(BD2108,$BD$4:$BN$12824,6,0)*BE2108</f>
        <v>42055.545169037505</v>
      </c>
      <c r="BS2108" s="866">
        <f>VLOOKUP(BD2108,$BD$4:$BN$12824,7,0)*BE2108</f>
        <v>0</v>
      </c>
      <c r="BT2108" s="866"/>
      <c r="BU2108" s="866">
        <f>VLOOKUP(BD2108,$BD$4:$BN$12824,9,0)*BE2108</f>
        <v>70.792536486236841</v>
      </c>
      <c r="BV2108" s="867"/>
      <c r="BW2108" s="867">
        <f>VLOOKUP(BD2108,$BD$4:$BN$12824,11,0)*BE2108</f>
        <v>0</v>
      </c>
      <c r="BX2108" s="1146">
        <f t="shared" si="399"/>
        <v>42126.337705523743</v>
      </c>
      <c r="BY2108" s="867">
        <f t="shared" si="401"/>
        <v>522474.82808552374</v>
      </c>
      <c r="BZ2108" s="867">
        <f t="shared" si="400"/>
        <v>522474.82808552374</v>
      </c>
      <c r="CA2108" s="867">
        <f>_xlfn.MAXIFS($BY$4:$BY$12824,$S$4:$S$12824,$S2108)</f>
        <v>632146.1768835953</v>
      </c>
      <c r="CB2108" s="1032"/>
      <c r="CF2108" s="946">
        <f t="shared" si="403"/>
        <v>459840</v>
      </c>
    </row>
    <row r="2109" spans="2:84">
      <c r="B2109" s="839" t="s">
        <v>98</v>
      </c>
      <c r="C2109" s="839" t="s">
        <v>273</v>
      </c>
      <c r="D2109" s="839" t="s">
        <v>6862</v>
      </c>
      <c r="E2109" s="839" t="s">
        <v>6884</v>
      </c>
      <c r="F2109" s="841">
        <v>45909</v>
      </c>
      <c r="G2109" s="868" t="s">
        <v>273</v>
      </c>
      <c r="H2109" s="842" t="s">
        <v>102</v>
      </c>
      <c r="I2109" s="883" t="s">
        <v>6864</v>
      </c>
      <c r="J2109" s="841">
        <v>45909</v>
      </c>
      <c r="K2109" s="841">
        <v>46149</v>
      </c>
      <c r="L2109" s="843" t="s">
        <v>106</v>
      </c>
      <c r="M2109" s="844" t="s">
        <v>275</v>
      </c>
      <c r="N2109" s="841"/>
      <c r="O2109" s="884" t="s">
        <v>150</v>
      </c>
      <c r="P2109" s="842" t="s">
        <v>124</v>
      </c>
      <c r="Q2109" s="843"/>
      <c r="R2109" s="845">
        <v>18478</v>
      </c>
      <c r="S2109" s="1127" t="s">
        <v>6894</v>
      </c>
      <c r="T2109" s="885" t="s">
        <v>6895</v>
      </c>
      <c r="U2109" s="886">
        <v>1</v>
      </c>
      <c r="V2109" s="842" t="s">
        <v>3</v>
      </c>
      <c r="W2109" s="846">
        <v>21.62</v>
      </c>
      <c r="X2109" s="847">
        <f t="shared" si="404"/>
        <v>21.62</v>
      </c>
      <c r="Y2109" s="905">
        <v>0.5</v>
      </c>
      <c r="Z2109" s="849">
        <v>10.81</v>
      </c>
      <c r="AA2109" s="849"/>
      <c r="AB2109" s="849">
        <f t="shared" si="395"/>
        <v>10.81</v>
      </c>
      <c r="AC2109" s="850">
        <f t="shared" si="396"/>
        <v>10.81</v>
      </c>
      <c r="AD2109" s="851">
        <f t="shared" si="402"/>
        <v>32000</v>
      </c>
      <c r="AE2109" s="852">
        <v>30388.34</v>
      </c>
      <c r="AF2109" s="853">
        <v>0.1</v>
      </c>
      <c r="AG2109" s="854">
        <f t="shared" si="397"/>
        <v>32849.795540000006</v>
      </c>
      <c r="AH2109" s="853">
        <v>0.08</v>
      </c>
      <c r="AI2109" s="855">
        <f t="shared" si="398"/>
        <v>28907.820075200005</v>
      </c>
      <c r="AJ2109" s="856" t="s">
        <v>6867</v>
      </c>
      <c r="AK2109" s="857">
        <v>46006</v>
      </c>
      <c r="AL2109" s="899" t="s">
        <v>6868</v>
      </c>
      <c r="AM2109" s="843"/>
      <c r="AN2109" s="844"/>
      <c r="AO2109" s="844" t="s">
        <v>2388</v>
      </c>
      <c r="AP2109" s="841"/>
      <c r="AQ2109" s="841">
        <v>46014</v>
      </c>
      <c r="AR2109" s="841">
        <v>46014</v>
      </c>
      <c r="AS2109" s="842" t="s">
        <v>6869</v>
      </c>
      <c r="AT2109" s="842" t="s">
        <v>1187</v>
      </c>
      <c r="AU2109" s="842" t="s">
        <v>3602</v>
      </c>
      <c r="AV2109" s="856" t="s">
        <v>6870</v>
      </c>
      <c r="AW2109" s="861">
        <v>46017</v>
      </c>
      <c r="AX2109" s="861">
        <v>46017</v>
      </c>
      <c r="AY2109" s="843"/>
      <c r="AZ2109" s="842"/>
      <c r="BA2109" s="842" t="s">
        <v>120</v>
      </c>
      <c r="BB2109" s="863" t="s">
        <v>121</v>
      </c>
      <c r="BC2109" s="864">
        <v>46021</v>
      </c>
      <c r="BD2109" s="860" t="s">
        <v>6871</v>
      </c>
      <c r="BE2109" s="865" cm="1">
        <f t="array" ref="BE2109">IF(BD2109="","",AC2109/SUMPRODUCT(--(BD2109=$BD$4:$BD$12824),$AC$4:$AC$12824))</f>
        <v>2.6627255372867792E-3</v>
      </c>
      <c r="BF2109" s="458"/>
      <c r="BG2109" s="458"/>
      <c r="BH2109" s="458"/>
      <c r="BI2109" s="458"/>
      <c r="BJ2109" s="458"/>
      <c r="BK2109" s="458"/>
      <c r="BL2109" s="458"/>
      <c r="BM2109" s="458"/>
      <c r="BN2109" s="458"/>
      <c r="BO2109" s="866">
        <f>VLOOKUP(BD2109,$BD$4:$BN$12824,3,0)*BE2109</f>
        <v>0</v>
      </c>
      <c r="BP2109" s="866"/>
      <c r="BQ2109" s="866"/>
      <c r="BR2109" s="866">
        <f>VLOOKUP(BD2109,$BD$4:$BN$12824,6,0)*BE2109</f>
        <v>31636.774062442273</v>
      </c>
      <c r="BS2109" s="866">
        <f>VLOOKUP(BD2109,$BD$4:$BN$12824,7,0)*BE2109</f>
        <v>0</v>
      </c>
      <c r="BT2109" s="866"/>
      <c r="BU2109" s="866">
        <f>VLOOKUP(BD2109,$BD$4:$BN$12824,9,0)*BE2109</f>
        <v>53.254510745735587</v>
      </c>
      <c r="BV2109" s="867"/>
      <c r="BW2109" s="867">
        <f>VLOOKUP(BD2109,$BD$4:$BN$12824,11,0)*BE2109</f>
        <v>0</v>
      </c>
      <c r="BX2109" s="1146">
        <f t="shared" si="399"/>
        <v>31690.02857318801</v>
      </c>
      <c r="BY2109" s="867">
        <f t="shared" si="401"/>
        <v>393037.77951318806</v>
      </c>
      <c r="BZ2109" s="867">
        <f t="shared" si="400"/>
        <v>393037.77951318806</v>
      </c>
      <c r="CA2109" s="867">
        <f>_xlfn.MAXIFS($BY$4:$BY$12824,$S$4:$S$12824,$S2109)</f>
        <v>475294.63742508896</v>
      </c>
      <c r="CB2109" s="1032"/>
      <c r="CF2109" s="946">
        <f t="shared" si="403"/>
        <v>345920</v>
      </c>
    </row>
    <row r="2110" spans="2:84">
      <c r="B2110" s="839" t="s">
        <v>98</v>
      </c>
      <c r="C2110" s="839" t="s">
        <v>273</v>
      </c>
      <c r="D2110" s="839" t="s">
        <v>6862</v>
      </c>
      <c r="E2110" s="839" t="s">
        <v>6896</v>
      </c>
      <c r="F2110" s="841">
        <v>45916</v>
      </c>
      <c r="G2110" s="868" t="s">
        <v>273</v>
      </c>
      <c r="H2110" s="842" t="s">
        <v>102</v>
      </c>
      <c r="I2110" s="883" t="s">
        <v>6897</v>
      </c>
      <c r="J2110" s="841">
        <v>45916</v>
      </c>
      <c r="K2110" s="841">
        <v>46156</v>
      </c>
      <c r="L2110" s="843" t="s">
        <v>106</v>
      </c>
      <c r="M2110" s="844" t="s">
        <v>275</v>
      </c>
      <c r="N2110" s="841"/>
      <c r="O2110" s="884" t="s">
        <v>150</v>
      </c>
      <c r="P2110" s="842" t="s">
        <v>124</v>
      </c>
      <c r="Q2110" s="843"/>
      <c r="R2110" s="845">
        <v>16658.36</v>
      </c>
      <c r="S2110" s="1127" t="s">
        <v>6898</v>
      </c>
      <c r="T2110" s="885" t="s">
        <v>6899</v>
      </c>
      <c r="U2110" s="886">
        <v>1</v>
      </c>
      <c r="V2110" s="842" t="s">
        <v>3</v>
      </c>
      <c r="W2110" s="846">
        <v>61.9</v>
      </c>
      <c r="X2110" s="847">
        <f t="shared" si="404"/>
        <v>61.9</v>
      </c>
      <c r="Y2110" s="905">
        <v>0.5</v>
      </c>
      <c r="Z2110" s="849">
        <v>30.95</v>
      </c>
      <c r="AA2110" s="849"/>
      <c r="AB2110" s="849">
        <f t="shared" si="395"/>
        <v>30.95</v>
      </c>
      <c r="AC2110" s="850">
        <f t="shared" si="396"/>
        <v>30.95</v>
      </c>
      <c r="AD2110" s="851">
        <f t="shared" si="402"/>
        <v>32000</v>
      </c>
      <c r="AE2110" s="852">
        <v>30388.34</v>
      </c>
      <c r="AF2110" s="853">
        <v>0.1</v>
      </c>
      <c r="AG2110" s="854">
        <f t="shared" si="397"/>
        <v>94051.912300000011</v>
      </c>
      <c r="AH2110" s="853">
        <v>0.08</v>
      </c>
      <c r="AI2110" s="855">
        <f t="shared" si="398"/>
        <v>82765.682824000003</v>
      </c>
      <c r="AJ2110" s="856" t="s">
        <v>6867</v>
      </c>
      <c r="AK2110" s="857">
        <v>46006</v>
      </c>
      <c r="AL2110" s="899" t="s">
        <v>6868</v>
      </c>
      <c r="AM2110" s="843"/>
      <c r="AN2110" s="844"/>
      <c r="AO2110" s="844" t="s">
        <v>2388</v>
      </c>
      <c r="AP2110" s="841"/>
      <c r="AQ2110" s="841">
        <v>46014</v>
      </c>
      <c r="AR2110" s="841">
        <v>46014</v>
      </c>
      <c r="AS2110" s="842" t="s">
        <v>6869</v>
      </c>
      <c r="AT2110" s="842" t="s">
        <v>1187</v>
      </c>
      <c r="AU2110" s="842" t="s">
        <v>3602</v>
      </c>
      <c r="AV2110" s="856" t="s">
        <v>6870</v>
      </c>
      <c r="AW2110" s="861">
        <v>46017</v>
      </c>
      <c r="AX2110" s="861">
        <v>46017</v>
      </c>
      <c r="AY2110" s="843"/>
      <c r="AZ2110" s="842"/>
      <c r="BA2110" s="842" t="s">
        <v>120</v>
      </c>
      <c r="BB2110" s="863" t="s">
        <v>121</v>
      </c>
      <c r="BC2110" s="864">
        <v>46021</v>
      </c>
      <c r="BD2110" s="860" t="s">
        <v>6871</v>
      </c>
      <c r="BE2110" s="865" cm="1">
        <f t="array" ref="BE2110">IF(BD2110="","",AC2110/SUMPRODUCT(--(BD2110=$BD$4:$BD$12824),$AC$4:$AC$12824))</f>
        <v>7.623622144220704E-3</v>
      </c>
      <c r="BF2110" s="458"/>
      <c r="BG2110" s="458"/>
      <c r="BH2110" s="458"/>
      <c r="BI2110" s="458"/>
      <c r="BJ2110" s="458"/>
      <c r="BK2110" s="458"/>
      <c r="BL2110" s="458"/>
      <c r="BM2110" s="458"/>
      <c r="BN2110" s="458"/>
      <c r="BO2110" s="866">
        <f>VLOOKUP(BD2110,$BD$4:$BN$12824,3,0)*BE2110</f>
        <v>0</v>
      </c>
      <c r="BP2110" s="866"/>
      <c r="BQ2110" s="866"/>
      <c r="BR2110" s="866">
        <f>VLOOKUP(BD2110,$BD$4:$BN$12824,6,0)*BE2110</f>
        <v>90578.922963236662</v>
      </c>
      <c r="BS2110" s="866">
        <f>VLOOKUP(BD2110,$BD$4:$BN$12824,7,0)*BE2110</f>
        <v>0</v>
      </c>
      <c r="BT2110" s="866"/>
      <c r="BU2110" s="866">
        <f>VLOOKUP(BD2110,$BD$4:$BN$12824,9,0)*BE2110</f>
        <v>152.47244288441408</v>
      </c>
      <c r="BV2110" s="867"/>
      <c r="BW2110" s="867">
        <f>VLOOKUP(BD2110,$BD$4:$BN$12824,11,0)*BE2110</f>
        <v>0</v>
      </c>
      <c r="BX2110" s="1146">
        <f t="shared" si="399"/>
        <v>90731.395406121082</v>
      </c>
      <c r="BY2110" s="867">
        <f t="shared" si="401"/>
        <v>1125302.430706121</v>
      </c>
      <c r="BZ2110" s="867">
        <f t="shared" si="400"/>
        <v>1125302.430706121</v>
      </c>
      <c r="CA2110" s="867">
        <f>_xlfn.MAXIFS($BY$4:$BY$12824,$S$4:$S$12824,$S2110)</f>
        <v>1125302.430706121</v>
      </c>
      <c r="CB2110" s="1032"/>
      <c r="CF2110" s="946">
        <f t="shared" si="403"/>
        <v>990400</v>
      </c>
    </row>
    <row r="2111" spans="2:84">
      <c r="B2111" s="839" t="s">
        <v>98</v>
      </c>
      <c r="C2111" s="839" t="s">
        <v>273</v>
      </c>
      <c r="D2111" s="839" t="s">
        <v>6862</v>
      </c>
      <c r="E2111" s="839" t="s">
        <v>6896</v>
      </c>
      <c r="F2111" s="841">
        <v>45916</v>
      </c>
      <c r="G2111" s="868" t="s">
        <v>273</v>
      </c>
      <c r="H2111" s="842" t="s">
        <v>102</v>
      </c>
      <c r="I2111" s="883" t="s">
        <v>6897</v>
      </c>
      <c r="J2111" s="841">
        <v>45916</v>
      </c>
      <c r="K2111" s="841">
        <v>46156</v>
      </c>
      <c r="L2111" s="843" t="s">
        <v>106</v>
      </c>
      <c r="M2111" s="844" t="s">
        <v>275</v>
      </c>
      <c r="N2111" s="841"/>
      <c r="O2111" s="884" t="s">
        <v>150</v>
      </c>
      <c r="P2111" s="842" t="s">
        <v>124</v>
      </c>
      <c r="Q2111" s="843"/>
      <c r="R2111" s="845">
        <v>18443</v>
      </c>
      <c r="S2111" s="1127" t="s">
        <v>2480</v>
      </c>
      <c r="T2111" s="885" t="s">
        <v>2481</v>
      </c>
      <c r="U2111" s="886">
        <v>2</v>
      </c>
      <c r="V2111" s="842" t="s">
        <v>3</v>
      </c>
      <c r="W2111" s="846">
        <v>18.670000000000002</v>
      </c>
      <c r="X2111" s="847">
        <f t="shared" si="404"/>
        <v>37.340000000000003</v>
      </c>
      <c r="Y2111" s="905">
        <v>0.5</v>
      </c>
      <c r="Z2111" s="849">
        <v>9.3350000000000009</v>
      </c>
      <c r="AA2111" s="849"/>
      <c r="AB2111" s="849">
        <f t="shared" si="395"/>
        <v>18.670000000000002</v>
      </c>
      <c r="AC2111" s="850">
        <f t="shared" si="396"/>
        <v>18.670000000000002</v>
      </c>
      <c r="AD2111" s="851">
        <f t="shared" si="402"/>
        <v>32000</v>
      </c>
      <c r="AE2111" s="852">
        <v>30388.34</v>
      </c>
      <c r="AF2111" s="853">
        <v>0.1</v>
      </c>
      <c r="AG2111" s="854">
        <f t="shared" si="397"/>
        <v>56735.030780000008</v>
      </c>
      <c r="AH2111" s="853">
        <v>0.08</v>
      </c>
      <c r="AI2111" s="855">
        <f t="shared" si="398"/>
        <v>49926.827086400008</v>
      </c>
      <c r="AJ2111" s="856" t="s">
        <v>6867</v>
      </c>
      <c r="AK2111" s="857">
        <v>46006</v>
      </c>
      <c r="AL2111" s="899" t="s">
        <v>6868</v>
      </c>
      <c r="AM2111" s="843"/>
      <c r="AN2111" s="844"/>
      <c r="AO2111" s="844" t="s">
        <v>2388</v>
      </c>
      <c r="AP2111" s="841"/>
      <c r="AQ2111" s="841">
        <v>46014</v>
      </c>
      <c r="AR2111" s="841">
        <v>46014</v>
      </c>
      <c r="AS2111" s="842" t="s">
        <v>6869</v>
      </c>
      <c r="AT2111" s="842" t="s">
        <v>1187</v>
      </c>
      <c r="AU2111" s="842" t="s">
        <v>3602</v>
      </c>
      <c r="AV2111" s="856" t="s">
        <v>6870</v>
      </c>
      <c r="AW2111" s="861">
        <v>46017</v>
      </c>
      <c r="AX2111" s="861">
        <v>46017</v>
      </c>
      <c r="AY2111" s="843"/>
      <c r="AZ2111" s="842"/>
      <c r="BA2111" s="842" t="s">
        <v>120</v>
      </c>
      <c r="BB2111" s="863" t="s">
        <v>121</v>
      </c>
      <c r="BC2111" s="864">
        <v>46021</v>
      </c>
      <c r="BD2111" s="860" t="s">
        <v>6871</v>
      </c>
      <c r="BE2111" s="865" cm="1">
        <f t="array" ref="BE2111">IF(BD2111="","",AC2111/SUMPRODUCT(--(BD2111=$BD$4:$BD$12824),$AC$4:$AC$12824))</f>
        <v>4.5988053451567227E-3</v>
      </c>
      <c r="BF2111" s="458"/>
      <c r="BG2111" s="458"/>
      <c r="BH2111" s="458"/>
      <c r="BI2111" s="458"/>
      <c r="BJ2111" s="458"/>
      <c r="BK2111" s="458"/>
      <c r="BL2111" s="458"/>
      <c r="BM2111" s="458"/>
      <c r="BN2111" s="458"/>
      <c r="BO2111" s="866">
        <f>VLOOKUP(BD2111,$BD$4:$BN$12824,3,0)*BE2111</f>
        <v>0</v>
      </c>
      <c r="BP2111" s="866"/>
      <c r="BQ2111" s="866"/>
      <c r="BR2111" s="866">
        <f>VLOOKUP(BD2111,$BD$4:$BN$12824,6,0)*BE2111</f>
        <v>54640.01588767783</v>
      </c>
      <c r="BS2111" s="866">
        <f>VLOOKUP(BD2111,$BD$4:$BN$12824,7,0)*BE2111</f>
        <v>0</v>
      </c>
      <c r="BT2111" s="866"/>
      <c r="BU2111" s="866">
        <f>VLOOKUP(BD2111,$BD$4:$BN$12824,9,0)*BE2111</f>
        <v>91.97610690313445</v>
      </c>
      <c r="BV2111" s="867"/>
      <c r="BW2111" s="867">
        <f>VLOOKUP(BD2111,$BD$4:$BN$12824,11,0)*BE2111</f>
        <v>0</v>
      </c>
      <c r="BX2111" s="1146">
        <f t="shared" si="399"/>
        <v>54731.991994580967</v>
      </c>
      <c r="BY2111" s="867">
        <f t="shared" si="401"/>
        <v>339408.66528729053</v>
      </c>
      <c r="BZ2111" s="867">
        <f t="shared" si="400"/>
        <v>678817.33057458105</v>
      </c>
      <c r="CA2111" s="867">
        <f>_xlfn.MAXIFS($BY$4:$BY$12824,$S$4:$S$12824,$S2111)</f>
        <v>394118.41045101476</v>
      </c>
      <c r="CB2111" s="1032"/>
      <c r="CF2111" s="946">
        <f t="shared" si="403"/>
        <v>597440</v>
      </c>
    </row>
    <row r="2112" spans="2:84">
      <c r="B2112" s="839" t="s">
        <v>98</v>
      </c>
      <c r="C2112" s="839" t="s">
        <v>273</v>
      </c>
      <c r="D2112" s="839" t="s">
        <v>6900</v>
      </c>
      <c r="E2112" s="839" t="s">
        <v>6900</v>
      </c>
      <c r="F2112" s="841">
        <v>45971</v>
      </c>
      <c r="G2112" s="868" t="s">
        <v>273</v>
      </c>
      <c r="H2112" s="883" t="s">
        <v>134</v>
      </c>
      <c r="I2112" s="883"/>
      <c r="J2112" s="841"/>
      <c r="K2112" s="841"/>
      <c r="L2112" s="843" t="s">
        <v>106</v>
      </c>
      <c r="M2112" s="844" t="s">
        <v>275</v>
      </c>
      <c r="N2112" s="841"/>
      <c r="O2112" s="884" t="s">
        <v>150</v>
      </c>
      <c r="P2112" s="842" t="s">
        <v>124</v>
      </c>
      <c r="Q2112" s="843"/>
      <c r="R2112" s="845">
        <v>14131</v>
      </c>
      <c r="S2112" s="1127" t="s">
        <v>6901</v>
      </c>
      <c r="T2112" s="885" t="s">
        <v>6902</v>
      </c>
      <c r="U2112" s="886">
        <v>250</v>
      </c>
      <c r="V2112" s="842" t="s">
        <v>3</v>
      </c>
      <c r="W2112" s="846">
        <v>27.34</v>
      </c>
      <c r="X2112" s="847">
        <f t="shared" si="404"/>
        <v>6835</v>
      </c>
      <c r="Y2112" s="853">
        <v>0.5</v>
      </c>
      <c r="Z2112" s="849">
        <f>W2112/2</f>
        <v>13.67</v>
      </c>
      <c r="AA2112" s="849"/>
      <c r="AB2112" s="849">
        <f t="shared" si="395"/>
        <v>3417.5</v>
      </c>
      <c r="AC2112" s="850">
        <f t="shared" si="396"/>
        <v>3417.5</v>
      </c>
      <c r="AD2112" s="851">
        <f t="shared" si="402"/>
        <v>32000</v>
      </c>
      <c r="AE2112" s="852">
        <v>30388.34</v>
      </c>
      <c r="AF2112" s="853">
        <v>0.1</v>
      </c>
      <c r="AG2112" s="854">
        <f t="shared" si="397"/>
        <v>10385215.195</v>
      </c>
      <c r="AH2112" s="853">
        <v>0.08</v>
      </c>
      <c r="AI2112" s="855">
        <f t="shared" si="398"/>
        <v>9138989.3716000002</v>
      </c>
      <c r="AJ2112" s="856" t="s">
        <v>6867</v>
      </c>
      <c r="AK2112" s="857">
        <v>46006</v>
      </c>
      <c r="AL2112" s="899" t="s">
        <v>6868</v>
      </c>
      <c r="AM2112" s="843"/>
      <c r="AN2112" s="844"/>
      <c r="AO2112" s="844" t="s">
        <v>2388</v>
      </c>
      <c r="AP2112" s="841"/>
      <c r="AQ2112" s="841">
        <v>46014</v>
      </c>
      <c r="AR2112" s="841">
        <v>46014</v>
      </c>
      <c r="AS2112" s="842" t="s">
        <v>6869</v>
      </c>
      <c r="AT2112" s="842" t="s">
        <v>1187</v>
      </c>
      <c r="AU2112" s="842" t="s">
        <v>3602</v>
      </c>
      <c r="AV2112" s="856" t="s">
        <v>6870</v>
      </c>
      <c r="AW2112" s="861">
        <v>46017</v>
      </c>
      <c r="AX2112" s="861">
        <v>46017</v>
      </c>
      <c r="AY2112" s="843"/>
      <c r="AZ2112" s="842"/>
      <c r="BA2112" s="842" t="s">
        <v>120</v>
      </c>
      <c r="BB2112" s="863" t="s">
        <v>121</v>
      </c>
      <c r="BC2112" s="864">
        <v>46021</v>
      </c>
      <c r="BD2112" s="860" t="s">
        <v>6871</v>
      </c>
      <c r="BE2112" s="865" cm="1">
        <f t="array" ref="BE2112">IF(BD2112="","",AC2112/SUMPRODUCT(--(BD2112=$BD$4:$BD$12824),$AC$4:$AC$12824))</f>
        <v>0.84180060348543639</v>
      </c>
      <c r="BF2112" s="458"/>
      <c r="BG2112" s="458"/>
      <c r="BH2112" s="458"/>
      <c r="BI2112" s="458"/>
      <c r="BJ2112" s="458"/>
      <c r="BK2112" s="458"/>
      <c r="BL2112" s="458"/>
      <c r="BM2112" s="458"/>
      <c r="BN2112" s="458"/>
      <c r="BO2112" s="866">
        <f>VLOOKUP(BD2112,$BD$4:$BN$12824,3,0)*BE2112</f>
        <v>0</v>
      </c>
      <c r="BP2112" s="866"/>
      <c r="BQ2112" s="866"/>
      <c r="BR2112" s="866">
        <f>VLOOKUP(BD2112,$BD$4:$BN$12824,6,0)*BE2112</f>
        <v>10001727.60022169</v>
      </c>
      <c r="BS2112" s="866">
        <f>VLOOKUP(BD2112,$BD$4:$BN$12824,7,0)*BE2112</f>
        <v>0</v>
      </c>
      <c r="BT2112" s="866"/>
      <c r="BU2112" s="866">
        <f>VLOOKUP(BD2112,$BD$4:$BN$12824,9,0)*BE2112</f>
        <v>16836.01206970873</v>
      </c>
      <c r="BV2112" s="867"/>
      <c r="BW2112" s="867">
        <f>VLOOKUP(BD2112,$BD$4:$BN$12824,11,0)*BE2112</f>
        <v>0</v>
      </c>
      <c r="BX2112" s="1146">
        <f t="shared" si="399"/>
        <v>10018563.612291399</v>
      </c>
      <c r="BY2112" s="867">
        <f t="shared" si="401"/>
        <v>497023.72302916565</v>
      </c>
      <c r="BZ2112" s="867">
        <f t="shared" si="400"/>
        <v>124255930.75729141</v>
      </c>
      <c r="CA2112" s="867">
        <f>_xlfn.MAXIFS($BY$4:$BY$12824,$S$4:$S$12824,$S2112)</f>
        <v>497023.72302916565</v>
      </c>
      <c r="CB2112" s="1032"/>
      <c r="CF2112" s="946">
        <f t="shared" si="403"/>
        <v>109360000</v>
      </c>
    </row>
    <row r="2113" spans="2:84">
      <c r="B2113" s="839" t="s">
        <v>98</v>
      </c>
      <c r="C2113" s="839" t="s">
        <v>273</v>
      </c>
      <c r="D2113" s="839" t="s">
        <v>6900</v>
      </c>
      <c r="E2113" s="839" t="s">
        <v>6900</v>
      </c>
      <c r="F2113" s="841">
        <v>45971</v>
      </c>
      <c r="G2113" s="868" t="s">
        <v>273</v>
      </c>
      <c r="H2113" s="883" t="s">
        <v>134</v>
      </c>
      <c r="I2113" s="883"/>
      <c r="J2113" s="841"/>
      <c r="K2113" s="841"/>
      <c r="L2113" s="843" t="s">
        <v>106</v>
      </c>
      <c r="M2113" s="844" t="s">
        <v>275</v>
      </c>
      <c r="N2113" s="841"/>
      <c r="O2113" s="884" t="s">
        <v>150</v>
      </c>
      <c r="P2113" s="842" t="s">
        <v>124</v>
      </c>
      <c r="Q2113" s="843"/>
      <c r="R2113" s="845">
        <v>16658.23</v>
      </c>
      <c r="S2113" s="1127" t="s">
        <v>6483</v>
      </c>
      <c r="T2113" s="885" t="s">
        <v>6484</v>
      </c>
      <c r="U2113" s="886">
        <v>1</v>
      </c>
      <c r="V2113" s="842" t="s">
        <v>3</v>
      </c>
      <c r="W2113" s="846">
        <v>61.9</v>
      </c>
      <c r="X2113" s="847">
        <f t="shared" si="404"/>
        <v>61.9</v>
      </c>
      <c r="Y2113" s="853">
        <v>0.5</v>
      </c>
      <c r="Z2113" s="849">
        <f>W2113/2</f>
        <v>30.95</v>
      </c>
      <c r="AA2113" s="849"/>
      <c r="AB2113" s="849">
        <f t="shared" si="395"/>
        <v>30.95</v>
      </c>
      <c r="AC2113" s="850">
        <f t="shared" si="396"/>
        <v>30.95</v>
      </c>
      <c r="AD2113" s="851">
        <f t="shared" si="402"/>
        <v>32000</v>
      </c>
      <c r="AE2113" s="852">
        <v>30388.34</v>
      </c>
      <c r="AF2113" s="853">
        <v>0.1</v>
      </c>
      <c r="AG2113" s="854">
        <f t="shared" si="397"/>
        <v>94051.912300000011</v>
      </c>
      <c r="AH2113" s="853">
        <v>0.08</v>
      </c>
      <c r="AI2113" s="855">
        <f t="shared" si="398"/>
        <v>82765.682824000003</v>
      </c>
      <c r="AJ2113" s="856" t="s">
        <v>6867</v>
      </c>
      <c r="AK2113" s="857">
        <v>46006</v>
      </c>
      <c r="AL2113" s="899" t="s">
        <v>6868</v>
      </c>
      <c r="AM2113" s="843"/>
      <c r="AN2113" s="844"/>
      <c r="AO2113" s="844" t="s">
        <v>2388</v>
      </c>
      <c r="AP2113" s="841"/>
      <c r="AQ2113" s="841">
        <v>46014</v>
      </c>
      <c r="AR2113" s="841">
        <v>46014</v>
      </c>
      <c r="AS2113" s="842" t="s">
        <v>6869</v>
      </c>
      <c r="AT2113" s="842" t="s">
        <v>1187</v>
      </c>
      <c r="AU2113" s="842" t="s">
        <v>3602</v>
      </c>
      <c r="AV2113" s="856" t="s">
        <v>6870</v>
      </c>
      <c r="AW2113" s="861">
        <v>46017</v>
      </c>
      <c r="AX2113" s="861">
        <v>46017</v>
      </c>
      <c r="AY2113" s="843"/>
      <c r="AZ2113" s="842"/>
      <c r="BA2113" s="842" t="s">
        <v>120</v>
      </c>
      <c r="BB2113" s="863" t="s">
        <v>121</v>
      </c>
      <c r="BC2113" s="864">
        <v>46021</v>
      </c>
      <c r="BD2113" s="860" t="s">
        <v>6871</v>
      </c>
      <c r="BE2113" s="865" cm="1">
        <f t="array" ref="BE2113">IF(BD2113="","",AC2113/SUMPRODUCT(--(BD2113=$BD$4:$BD$12824),$AC$4:$AC$12824))</f>
        <v>7.623622144220704E-3</v>
      </c>
      <c r="BF2113" s="458"/>
      <c r="BG2113" s="458"/>
      <c r="BH2113" s="458"/>
      <c r="BI2113" s="458"/>
      <c r="BJ2113" s="458"/>
      <c r="BK2113" s="458"/>
      <c r="BL2113" s="458"/>
      <c r="BM2113" s="458"/>
      <c r="BN2113" s="458"/>
      <c r="BO2113" s="866">
        <f>VLOOKUP(BD2113,$BD$4:$BN$12824,3,0)*BE2113</f>
        <v>0</v>
      </c>
      <c r="BP2113" s="866"/>
      <c r="BQ2113" s="866"/>
      <c r="BR2113" s="866">
        <f>VLOOKUP(BD2113,$BD$4:$BN$12824,6,0)*BE2113</f>
        <v>90578.922963236662</v>
      </c>
      <c r="BS2113" s="866">
        <f>VLOOKUP(BD2113,$BD$4:$BN$12824,7,0)*BE2113</f>
        <v>0</v>
      </c>
      <c r="BT2113" s="866"/>
      <c r="BU2113" s="866">
        <f>VLOOKUP(BD2113,$BD$4:$BN$12824,9,0)*BE2113</f>
        <v>152.47244288441408</v>
      </c>
      <c r="BV2113" s="867"/>
      <c r="BW2113" s="867">
        <f>VLOOKUP(BD2113,$BD$4:$BN$12824,11,0)*BE2113</f>
        <v>0</v>
      </c>
      <c r="BX2113" s="1146">
        <f t="shared" si="399"/>
        <v>90731.395406121082</v>
      </c>
      <c r="BY2113" s="867">
        <f t="shared" si="401"/>
        <v>1125302.430706121</v>
      </c>
      <c r="BZ2113" s="867">
        <f t="shared" si="400"/>
        <v>1125302.430706121</v>
      </c>
      <c r="CA2113" s="867">
        <f>_xlfn.MAXIFS($BY$4:$BY$12824,$S$4:$S$12824,$S2113)</f>
        <v>1125302.430706121</v>
      </c>
      <c r="CB2113" s="1032"/>
      <c r="CF2113" s="946">
        <f t="shared" si="403"/>
        <v>990400</v>
      </c>
    </row>
    <row r="2114" spans="2:84">
      <c r="B2114" s="839" t="s">
        <v>98</v>
      </c>
      <c r="C2114" s="839" t="s">
        <v>273</v>
      </c>
      <c r="D2114" s="839" t="s">
        <v>6900</v>
      </c>
      <c r="E2114" s="839" t="s">
        <v>6900</v>
      </c>
      <c r="F2114" s="841">
        <v>45971</v>
      </c>
      <c r="G2114" s="868" t="s">
        <v>273</v>
      </c>
      <c r="H2114" s="883" t="s">
        <v>134</v>
      </c>
      <c r="I2114" s="883"/>
      <c r="J2114" s="841"/>
      <c r="K2114" s="841"/>
      <c r="L2114" s="843" t="s">
        <v>106</v>
      </c>
      <c r="M2114" s="844" t="s">
        <v>275</v>
      </c>
      <c r="N2114" s="841"/>
      <c r="O2114" s="884" t="s">
        <v>150</v>
      </c>
      <c r="P2114" s="842" t="s">
        <v>124</v>
      </c>
      <c r="Q2114" s="843"/>
      <c r="R2114" s="845">
        <v>16658.34</v>
      </c>
      <c r="S2114" s="1127" t="s">
        <v>6485</v>
      </c>
      <c r="T2114" s="885" t="s">
        <v>6486</v>
      </c>
      <c r="U2114" s="886">
        <v>1</v>
      </c>
      <c r="V2114" s="842" t="s">
        <v>3</v>
      </c>
      <c r="W2114" s="846">
        <v>61.9</v>
      </c>
      <c r="X2114" s="847">
        <f t="shared" si="404"/>
        <v>61.9</v>
      </c>
      <c r="Y2114" s="853">
        <v>0.5</v>
      </c>
      <c r="Z2114" s="849">
        <f>W2114/2</f>
        <v>30.95</v>
      </c>
      <c r="AA2114" s="849"/>
      <c r="AB2114" s="849">
        <f t="shared" si="395"/>
        <v>30.95</v>
      </c>
      <c r="AC2114" s="850">
        <f t="shared" si="396"/>
        <v>30.95</v>
      </c>
      <c r="AD2114" s="851">
        <f t="shared" si="402"/>
        <v>32000</v>
      </c>
      <c r="AE2114" s="852">
        <v>30388.34</v>
      </c>
      <c r="AF2114" s="853">
        <v>0.1</v>
      </c>
      <c r="AG2114" s="854">
        <f t="shared" si="397"/>
        <v>94051.912300000011</v>
      </c>
      <c r="AH2114" s="853">
        <v>0.08</v>
      </c>
      <c r="AI2114" s="855">
        <f t="shared" si="398"/>
        <v>82765.682824000003</v>
      </c>
      <c r="AJ2114" s="856" t="s">
        <v>6867</v>
      </c>
      <c r="AK2114" s="857">
        <v>46006</v>
      </c>
      <c r="AL2114" s="899" t="s">
        <v>6868</v>
      </c>
      <c r="AM2114" s="843"/>
      <c r="AN2114" s="844"/>
      <c r="AO2114" s="844" t="s">
        <v>2388</v>
      </c>
      <c r="AP2114" s="841"/>
      <c r="AQ2114" s="841">
        <v>46014</v>
      </c>
      <c r="AR2114" s="841">
        <v>46014</v>
      </c>
      <c r="AS2114" s="842" t="s">
        <v>6869</v>
      </c>
      <c r="AT2114" s="842" t="s">
        <v>1187</v>
      </c>
      <c r="AU2114" s="842" t="s">
        <v>3602</v>
      </c>
      <c r="AV2114" s="856" t="s">
        <v>6870</v>
      </c>
      <c r="AW2114" s="861">
        <v>46017</v>
      </c>
      <c r="AX2114" s="861">
        <v>46017</v>
      </c>
      <c r="AY2114" s="843"/>
      <c r="AZ2114" s="842"/>
      <c r="BA2114" s="842" t="s">
        <v>120</v>
      </c>
      <c r="BB2114" s="863" t="s">
        <v>121</v>
      </c>
      <c r="BC2114" s="864">
        <v>46021</v>
      </c>
      <c r="BD2114" s="860" t="s">
        <v>6871</v>
      </c>
      <c r="BE2114" s="865" cm="1">
        <f t="array" ref="BE2114">IF(BD2114="","",AC2114/SUMPRODUCT(--(BD2114=$BD$4:$BD$12824),$AC$4:$AC$12824))</f>
        <v>7.623622144220704E-3</v>
      </c>
      <c r="BF2114" s="458"/>
      <c r="BG2114" s="458"/>
      <c r="BH2114" s="458"/>
      <c r="BI2114" s="458"/>
      <c r="BJ2114" s="458"/>
      <c r="BK2114" s="458"/>
      <c r="BL2114" s="458"/>
      <c r="BM2114" s="458"/>
      <c r="BN2114" s="458"/>
      <c r="BO2114" s="866">
        <f>VLOOKUP(BD2114,$BD$4:$BN$12824,3,0)*BE2114</f>
        <v>0</v>
      </c>
      <c r="BP2114" s="866"/>
      <c r="BQ2114" s="866"/>
      <c r="BR2114" s="866">
        <f>VLOOKUP(BD2114,$BD$4:$BN$12824,6,0)*BE2114</f>
        <v>90578.922963236662</v>
      </c>
      <c r="BS2114" s="866">
        <f>VLOOKUP(BD2114,$BD$4:$BN$12824,7,0)*BE2114</f>
        <v>0</v>
      </c>
      <c r="BT2114" s="866"/>
      <c r="BU2114" s="866">
        <f>VLOOKUP(BD2114,$BD$4:$BN$12824,9,0)*BE2114</f>
        <v>152.47244288441408</v>
      </c>
      <c r="BV2114" s="867"/>
      <c r="BW2114" s="867">
        <f>VLOOKUP(BD2114,$BD$4:$BN$12824,11,0)*BE2114</f>
        <v>0</v>
      </c>
      <c r="BX2114" s="1146">
        <f t="shared" si="399"/>
        <v>90731.395406121082</v>
      </c>
      <c r="BY2114" s="867">
        <f t="shared" si="401"/>
        <v>1125302.430706121</v>
      </c>
      <c r="BZ2114" s="867">
        <f t="shared" si="400"/>
        <v>1125302.430706121</v>
      </c>
      <c r="CA2114" s="867">
        <f>_xlfn.MAXIFS($BY$4:$BY$12824,$S$4:$S$12824,$S2114)</f>
        <v>1125302.430706121</v>
      </c>
      <c r="CB2114" s="1032"/>
      <c r="CF2114" s="946">
        <f t="shared" si="403"/>
        <v>990400</v>
      </c>
    </row>
    <row r="2115" spans="2:84">
      <c r="B2115" s="839" t="s">
        <v>98</v>
      </c>
      <c r="C2115" s="839" t="s">
        <v>273</v>
      </c>
      <c r="D2115" s="839" t="s">
        <v>6900</v>
      </c>
      <c r="E2115" s="839" t="s">
        <v>6903</v>
      </c>
      <c r="F2115" s="841">
        <v>45992</v>
      </c>
      <c r="G2115" s="868" t="s">
        <v>273</v>
      </c>
      <c r="H2115" s="842" t="s">
        <v>102</v>
      </c>
      <c r="I2115" s="883" t="s">
        <v>6904</v>
      </c>
      <c r="J2115" s="841">
        <v>45989</v>
      </c>
      <c r="K2115" s="841">
        <v>45991</v>
      </c>
      <c r="L2115" s="843" t="s">
        <v>106</v>
      </c>
      <c r="M2115" s="844" t="s">
        <v>275</v>
      </c>
      <c r="N2115" s="841"/>
      <c r="O2115" s="884" t="s">
        <v>150</v>
      </c>
      <c r="P2115" s="842" t="s">
        <v>124</v>
      </c>
      <c r="Q2115" s="843"/>
      <c r="R2115" s="845">
        <v>11217.26</v>
      </c>
      <c r="S2115" s="1127" t="s">
        <v>6905</v>
      </c>
      <c r="T2115" s="885" t="s">
        <v>6906</v>
      </c>
      <c r="U2115" s="886">
        <v>2</v>
      </c>
      <c r="V2115" s="842" t="s">
        <v>3</v>
      </c>
      <c r="W2115" s="846">
        <v>29.2</v>
      </c>
      <c r="X2115" s="847">
        <f t="shared" si="404"/>
        <v>58.4</v>
      </c>
      <c r="Y2115" s="853">
        <v>0.5</v>
      </c>
      <c r="Z2115" s="849">
        <f>W2115*(1-Y2115)</f>
        <v>14.6</v>
      </c>
      <c r="AA2115" s="849"/>
      <c r="AB2115" s="849">
        <f t="shared" si="395"/>
        <v>29.2</v>
      </c>
      <c r="AC2115" s="850">
        <f t="shared" si="396"/>
        <v>29.2</v>
      </c>
      <c r="AD2115" s="851">
        <f t="shared" si="402"/>
        <v>32000</v>
      </c>
      <c r="AE2115" s="852">
        <v>30388.34</v>
      </c>
      <c r="AF2115" s="853">
        <v>0.1</v>
      </c>
      <c r="AG2115" s="854">
        <f t="shared" si="397"/>
        <v>88733.952799999999</v>
      </c>
      <c r="AH2115" s="853">
        <v>0.08</v>
      </c>
      <c r="AI2115" s="855">
        <f t="shared" si="398"/>
        <v>78085.878463999994</v>
      </c>
      <c r="AJ2115" s="856" t="s">
        <v>6867</v>
      </c>
      <c r="AK2115" s="857">
        <v>46006</v>
      </c>
      <c r="AL2115" s="899" t="s">
        <v>6868</v>
      </c>
      <c r="AM2115" s="843"/>
      <c r="AN2115" s="844"/>
      <c r="AO2115" s="844" t="s">
        <v>2388</v>
      </c>
      <c r="AP2115" s="841"/>
      <c r="AQ2115" s="841">
        <v>46014</v>
      </c>
      <c r="AR2115" s="841">
        <v>46014</v>
      </c>
      <c r="AS2115" s="842" t="s">
        <v>6869</v>
      </c>
      <c r="AT2115" s="842" t="s">
        <v>1187</v>
      </c>
      <c r="AU2115" s="842" t="s">
        <v>3602</v>
      </c>
      <c r="AV2115" s="856" t="s">
        <v>6870</v>
      </c>
      <c r="AW2115" s="861">
        <v>46017</v>
      </c>
      <c r="AX2115" s="861">
        <v>46017</v>
      </c>
      <c r="AY2115" s="843"/>
      <c r="AZ2115" s="842"/>
      <c r="BA2115" s="842" t="s">
        <v>120</v>
      </c>
      <c r="BB2115" s="863" t="s">
        <v>121</v>
      </c>
      <c r="BC2115" s="864">
        <v>46021</v>
      </c>
      <c r="BD2115" s="860" t="s">
        <v>6871</v>
      </c>
      <c r="BE2115" s="865" cm="1">
        <f t="array" ref="BE2115">IF(BD2115="","",AC2115/SUMPRODUCT(--(BD2115=$BD$4:$BD$12824),$AC$4:$AC$12824))</f>
        <v>7.1925611182954621E-3</v>
      </c>
      <c r="BF2115" s="458"/>
      <c r="BG2115" s="458"/>
      <c r="BH2115" s="458"/>
      <c r="BI2115" s="458"/>
      <c r="BJ2115" s="458"/>
      <c r="BK2115" s="458"/>
      <c r="BL2115" s="458"/>
      <c r="BM2115" s="458"/>
      <c r="BN2115" s="458"/>
      <c r="BO2115" s="866">
        <f>VLOOKUP(BD2115,$BD$4:$BN$12824,3,0)*BE2115</f>
        <v>0</v>
      </c>
      <c r="BP2115" s="866"/>
      <c r="BQ2115" s="866"/>
      <c r="BR2115" s="866">
        <f>VLOOKUP(BD2115,$BD$4:$BN$12824,6,0)*BE2115</f>
        <v>85457.336042859795</v>
      </c>
      <c r="BS2115" s="866">
        <f>VLOOKUP(BD2115,$BD$4:$BN$12824,7,0)*BE2115</f>
        <v>0</v>
      </c>
      <c r="BT2115" s="866"/>
      <c r="BU2115" s="866">
        <f>VLOOKUP(BD2115,$BD$4:$BN$12824,9,0)*BE2115</f>
        <v>143.85122236590925</v>
      </c>
      <c r="BV2115" s="867"/>
      <c r="BW2115" s="867">
        <f>VLOOKUP(BD2115,$BD$4:$BN$12824,11,0)*BE2115</f>
        <v>0</v>
      </c>
      <c r="BX2115" s="1146">
        <f t="shared" si="399"/>
        <v>85601.187265225701</v>
      </c>
      <c r="BY2115" s="867">
        <f t="shared" si="401"/>
        <v>530837.33403261285</v>
      </c>
      <c r="BZ2115" s="867">
        <f t="shared" si="400"/>
        <v>1061674.6680652257</v>
      </c>
      <c r="CA2115" s="867">
        <f>_xlfn.MAXIFS($BY$4:$BY$12824,$S$4:$S$12824,$S2115)</f>
        <v>530837.33403261285</v>
      </c>
      <c r="CB2115" s="1032"/>
      <c r="CF2115" s="946">
        <f t="shared" si="403"/>
        <v>934400</v>
      </c>
    </row>
    <row r="2116" spans="2:84">
      <c r="B2116" s="839" t="s">
        <v>98</v>
      </c>
      <c r="C2116" s="839" t="s">
        <v>254</v>
      </c>
      <c r="D2116" s="839" t="s">
        <v>6907</v>
      </c>
      <c r="E2116" s="839" t="s">
        <v>6908</v>
      </c>
      <c r="F2116" s="841">
        <v>45839</v>
      </c>
      <c r="G2116" s="839" t="s">
        <v>254</v>
      </c>
      <c r="H2116" s="842" t="s">
        <v>134</v>
      </c>
      <c r="I2116" s="883"/>
      <c r="J2116" s="841"/>
      <c r="K2116" s="841"/>
      <c r="L2116" s="843" t="s">
        <v>106</v>
      </c>
      <c r="M2116" s="844" t="s">
        <v>107</v>
      </c>
      <c r="N2116" s="841"/>
      <c r="O2116" s="884" t="s">
        <v>108</v>
      </c>
      <c r="P2116" s="842" t="s">
        <v>3622</v>
      </c>
      <c r="Q2116" s="843"/>
      <c r="R2116" s="845" t="s">
        <v>6909</v>
      </c>
      <c r="S2116" s="1127" t="s">
        <v>6910</v>
      </c>
      <c r="T2116" s="885" t="s">
        <v>6911</v>
      </c>
      <c r="U2116" s="886">
        <v>2</v>
      </c>
      <c r="V2116" s="842" t="s">
        <v>3</v>
      </c>
      <c r="W2116" s="846">
        <v>3156</v>
      </c>
      <c r="X2116" s="847">
        <f t="shared" si="404"/>
        <v>6312</v>
      </c>
      <c r="Y2116" s="853">
        <f t="shared" ref="Y2116:Y2127" si="405">1-Z2116/W2116</f>
        <v>0.53940114068441058</v>
      </c>
      <c r="Z2116" s="849">
        <v>1453.65</v>
      </c>
      <c r="AA2116" s="849"/>
      <c r="AB2116" s="849">
        <f t="shared" si="395"/>
        <v>2907.3</v>
      </c>
      <c r="AC2116" s="850">
        <f t="shared" si="396"/>
        <v>2907.3</v>
      </c>
      <c r="AD2116" s="851">
        <f t="shared" si="402"/>
        <v>32000</v>
      </c>
      <c r="AE2116" s="852">
        <v>30348.7</v>
      </c>
      <c r="AF2116" s="853">
        <v>0</v>
      </c>
      <c r="AG2116" s="854">
        <f t="shared" si="397"/>
        <v>0</v>
      </c>
      <c r="AH2116" s="853">
        <v>0.08</v>
      </c>
      <c r="AI2116" s="855">
        <f t="shared" si="398"/>
        <v>8027402.2226181822</v>
      </c>
      <c r="AJ2116" s="845" t="s">
        <v>6912</v>
      </c>
      <c r="AK2116" s="857">
        <v>45954</v>
      </c>
      <c r="AL2116" s="899" t="s">
        <v>6913</v>
      </c>
      <c r="AM2116" s="843"/>
      <c r="AN2116" s="844"/>
      <c r="AO2116" s="844" t="s">
        <v>1741</v>
      </c>
      <c r="AP2116" s="841"/>
      <c r="AQ2116" s="841">
        <v>45981</v>
      </c>
      <c r="AR2116" s="841">
        <v>46026</v>
      </c>
      <c r="AS2116" s="842" t="s">
        <v>6737</v>
      </c>
      <c r="AT2116" s="842" t="s">
        <v>1187</v>
      </c>
      <c r="AU2116" s="842" t="s">
        <v>1565</v>
      </c>
      <c r="AV2116" s="856" t="s">
        <v>6914</v>
      </c>
      <c r="AW2116" s="861">
        <v>46028</v>
      </c>
      <c r="AX2116" s="862">
        <v>46029</v>
      </c>
      <c r="AY2116" s="843" t="s">
        <v>6915</v>
      </c>
      <c r="AZ2116" s="843">
        <v>94051199</v>
      </c>
      <c r="BA2116" s="842" t="s">
        <v>120</v>
      </c>
      <c r="BB2116" s="863" t="s">
        <v>121</v>
      </c>
      <c r="BC2116" s="864">
        <v>46034</v>
      </c>
      <c r="BD2116" s="860" t="s">
        <v>6916</v>
      </c>
      <c r="BE2116" s="865" cm="1">
        <f t="array" ref="BE2116">IF(BD2116="","",AC2116/SUMPRODUCT(--(BD2116=$BD$4:$BD$12824),$AC$4:$AC$12824))</f>
        <v>0.13224160736801308</v>
      </c>
      <c r="BF2116" s="458" cm="1">
        <f t="array" ref="BF2116">SUM(_xlfn._xlws.FILTER( INDEX(Cost!$B$3:$BK$77,MATCH(LDL!$BD2116, Cost!$F$3:$F$77, 0),0),Cost!$B$3:$BK$3 = BF$3))</f>
        <v>11473995</v>
      </c>
      <c r="BG2116" s="458"/>
      <c r="BH2116" s="458"/>
      <c r="BI2116" s="458" cm="1">
        <f t="array" ref="BI2116">SUM(_xlfn._xlws.FILTER( INDEX(Cost!$B$3:$BK$77,MATCH(LDL!$BD2116, Cost!$F$3:$F$77, 0),0),Cost!$B$3:$BK$3 = BI$3))/1.08</f>
        <v>7517445.3703703703</v>
      </c>
      <c r="BJ2116" s="458" cm="1">
        <f t="array" ref="BJ2116">SUM(_xlfn._xlws.FILTER( INDEX(Cost!$B$3:$BK$77,MATCH(LDL!$BD2116, Cost!$F$3:$F$77, 0),0),Cost!$B$3:$BK$3 = BJ$3))</f>
        <v>635757.27272727271</v>
      </c>
      <c r="BK2116" s="458"/>
      <c r="BL2116" s="458" cm="1">
        <f t="array" ref="BL2116">SUM(_xlfn._xlws.FILTER( INDEX(Cost!$B$3:$BK$77,MATCH(LDL!$BD2116, Cost!$F$3:$F$77, 0),0),Cost!$B$3:$BK$3 = BL$3))</f>
        <v>25420</v>
      </c>
      <c r="BM2116" s="458"/>
      <c r="BN2116" s="458" cm="1">
        <f t="array" ref="BN2116">SUM(_xlfn._xlws.FILTER( INDEX(Cost!$B$3:$BK$77,MATCH(LDL!$BD2116, Cost!$F$3:$F$77, 0),0),Cost!$B$3:$BK$3 = BN$3))/1.08</f>
        <v>600000</v>
      </c>
      <c r="BO2116" s="866">
        <f>VLOOKUP(BD2116,$BD$4:$BN$12824,3,0)*BE2116</f>
        <v>1517339.5417325452</v>
      </c>
      <c r="BP2116" s="866"/>
      <c r="BQ2116" s="866"/>
      <c r="BR2116" s="866">
        <f>VLOOKUP(BD2116,$BD$4:$BN$12824,6,0)*BE2116</f>
        <v>994119.0590790062</v>
      </c>
      <c r="BS2116" s="866">
        <f>VLOOKUP(BD2116,$BD$4:$BN$12824,7,0)*BE2116</f>
        <v>84073.563641358807</v>
      </c>
      <c r="BT2116" s="866"/>
      <c r="BU2116" s="866">
        <f>VLOOKUP(BD2116,$BD$4:$BN$12824,9,0)*BE2116</f>
        <v>3361.5816592948922</v>
      </c>
      <c r="BV2116" s="867"/>
      <c r="BW2116" s="867">
        <f>VLOOKUP(BD2116,$BD$4:$BN$12824,11,0)*BE2116</f>
        <v>79344.964420807839</v>
      </c>
      <c r="BX2116" s="1146">
        <f t="shared" si="399"/>
        <v>2678238.7105330126</v>
      </c>
      <c r="BY2116" s="867">
        <f t="shared" si="401"/>
        <v>45455507.110266507</v>
      </c>
      <c r="BZ2116" s="867">
        <f t="shared" si="400"/>
        <v>90911014.220533013</v>
      </c>
      <c r="CA2116" s="867">
        <f>_xlfn.MAXIFS($BY$4:$BY$12824,$S$4:$S$12824,$S2116)</f>
        <v>45455507.110266507</v>
      </c>
      <c r="CB2116" s="1032"/>
      <c r="CF2116" s="946">
        <f t="shared" si="403"/>
        <v>93033600</v>
      </c>
    </row>
    <row r="2117" spans="2:84">
      <c r="B2117" s="839" t="s">
        <v>98</v>
      </c>
      <c r="C2117" s="839" t="s">
        <v>254</v>
      </c>
      <c r="D2117" s="839" t="s">
        <v>6907</v>
      </c>
      <c r="E2117" s="839" t="s">
        <v>6908</v>
      </c>
      <c r="F2117" s="841">
        <v>45839</v>
      </c>
      <c r="G2117" s="839" t="s">
        <v>254</v>
      </c>
      <c r="H2117" s="842" t="s">
        <v>134</v>
      </c>
      <c r="I2117" s="883"/>
      <c r="J2117" s="841"/>
      <c r="K2117" s="841"/>
      <c r="L2117" s="843" t="s">
        <v>106</v>
      </c>
      <c r="M2117" s="844" t="s">
        <v>107</v>
      </c>
      <c r="N2117" s="841"/>
      <c r="O2117" s="884" t="s">
        <v>108</v>
      </c>
      <c r="P2117" s="842" t="s">
        <v>3622</v>
      </c>
      <c r="Q2117" s="843"/>
      <c r="R2117" s="845" t="s">
        <v>6917</v>
      </c>
      <c r="S2117" s="1127" t="s">
        <v>6918</v>
      </c>
      <c r="T2117" s="885" t="s">
        <v>6919</v>
      </c>
      <c r="U2117" s="886">
        <v>2</v>
      </c>
      <c r="V2117" s="842" t="s">
        <v>3</v>
      </c>
      <c r="W2117" s="846">
        <v>3770</v>
      </c>
      <c r="X2117" s="847">
        <f t="shared" si="404"/>
        <v>7540</v>
      </c>
      <c r="Y2117" s="853">
        <f t="shared" si="405"/>
        <v>0.53940053050397885</v>
      </c>
      <c r="Z2117" s="849">
        <v>1736.46</v>
      </c>
      <c r="AA2117" s="849"/>
      <c r="AB2117" s="849">
        <f t="shared" ref="AB2117:AB2127" si="406">IF(AA2117="F.O.C", 0, Z2117*U2117)</f>
        <v>3472.92</v>
      </c>
      <c r="AC2117" s="850">
        <f t="shared" ref="AC2117:AC2180" si="407">Z2117*U2117</f>
        <v>3472.92</v>
      </c>
      <c r="AD2117" s="851">
        <f t="shared" si="402"/>
        <v>32000</v>
      </c>
      <c r="AE2117" s="852">
        <v>30348.7</v>
      </c>
      <c r="AF2117" s="853">
        <v>0</v>
      </c>
      <c r="AG2117" s="854">
        <f t="shared" ref="AG2117:AG2180" si="408">(AC2117*AE2117+BO2117+BP2117+BQ2117+BS2117)*AF2117</f>
        <v>0</v>
      </c>
      <c r="AH2117" s="853">
        <v>0.08</v>
      </c>
      <c r="AI2117" s="855">
        <f t="shared" ref="AI2117:AI2180" si="409">(AC2117*AE2117+AG2117+BF2117+BG2117+BH2117+BJ2117)*AH2117</f>
        <v>8431888.5763200019</v>
      </c>
      <c r="AJ2117" s="845" t="s">
        <v>6912</v>
      </c>
      <c r="AK2117" s="857">
        <v>45954</v>
      </c>
      <c r="AL2117" s="899" t="s">
        <v>6913</v>
      </c>
      <c r="AM2117" s="843"/>
      <c r="AN2117" s="844"/>
      <c r="AO2117" s="844" t="s">
        <v>1741</v>
      </c>
      <c r="AP2117" s="841"/>
      <c r="AQ2117" s="841">
        <v>45981</v>
      </c>
      <c r="AR2117" s="841">
        <v>46026</v>
      </c>
      <c r="AS2117" s="842" t="s">
        <v>6737</v>
      </c>
      <c r="AT2117" s="842" t="s">
        <v>1187</v>
      </c>
      <c r="AU2117" s="842" t="s">
        <v>1565</v>
      </c>
      <c r="AV2117" s="856" t="s">
        <v>6914</v>
      </c>
      <c r="AW2117" s="861">
        <v>46028</v>
      </c>
      <c r="AX2117" s="862">
        <v>46029</v>
      </c>
      <c r="AY2117" s="843" t="s">
        <v>6920</v>
      </c>
      <c r="AZ2117" s="843">
        <v>94051199</v>
      </c>
      <c r="BA2117" s="842" t="s">
        <v>120</v>
      </c>
      <c r="BB2117" s="863" t="s">
        <v>121</v>
      </c>
      <c r="BC2117" s="864">
        <v>46034</v>
      </c>
      <c r="BD2117" s="860" t="s">
        <v>6916</v>
      </c>
      <c r="BE2117" s="865" cm="1">
        <f t="array" ref="BE2117">IF(BD2117="","",AC2117/SUMPRODUCT(--(BD2117=$BD$4:$BD$12824),$AC$4:$AC$12824))</f>
        <v>0.15796942973223266</v>
      </c>
      <c r="BF2117" s="458"/>
      <c r="BG2117" s="458"/>
      <c r="BH2117" s="458"/>
      <c r="BI2117" s="458"/>
      <c r="BJ2117" s="458"/>
      <c r="BK2117" s="458"/>
      <c r="BL2117" s="458"/>
      <c r="BM2117" s="458"/>
      <c r="BN2117" s="458"/>
      <c r="BO2117" s="866">
        <f>VLOOKUP(BD2117,$BD$4:$BN$12824,3,0)*BE2117</f>
        <v>1812540.4469004888</v>
      </c>
      <c r="BP2117" s="866"/>
      <c r="BQ2117" s="866"/>
      <c r="BR2117" s="866">
        <f>VLOOKUP(BD2117,$BD$4:$BN$12824,6,0)*BE2117</f>
        <v>1187526.5582006199</v>
      </c>
      <c r="BS2117" s="866">
        <f>VLOOKUP(BD2117,$BD$4:$BN$12824,7,0)*BE2117</f>
        <v>100430.21382084678</v>
      </c>
      <c r="BT2117" s="866"/>
      <c r="BU2117" s="866">
        <f>VLOOKUP(BD2117,$BD$4:$BN$12824,9,0)*BE2117</f>
        <v>4015.582903793354</v>
      </c>
      <c r="BV2117" s="867"/>
      <c r="BW2117" s="867">
        <f>VLOOKUP(BD2117,$BD$4:$BN$12824,11,0)*BE2117</f>
        <v>94781.65783933959</v>
      </c>
      <c r="BX2117" s="1146">
        <f t="shared" ref="BX2117:BX2180" si="410">SUM(BO2117:BW2117)</f>
        <v>3199294.4596650889</v>
      </c>
      <c r="BY2117" s="867">
        <f t="shared" si="401"/>
        <v>54298950.83183255</v>
      </c>
      <c r="BZ2117" s="867">
        <f t="shared" ref="BZ2117:BZ2180" si="411">BY2117*U2117</f>
        <v>108597901.6636651</v>
      </c>
      <c r="CA2117" s="867">
        <f>_xlfn.MAXIFS($BY$4:$BY$12824,$S$4:$S$12824,$S2117)</f>
        <v>54298950.83183255</v>
      </c>
      <c r="CB2117" s="1032"/>
      <c r="CF2117" s="946">
        <f t="shared" si="403"/>
        <v>111133440</v>
      </c>
    </row>
    <row r="2118" spans="2:84">
      <c r="B2118" s="839" t="s">
        <v>98</v>
      </c>
      <c r="C2118" s="839" t="s">
        <v>254</v>
      </c>
      <c r="D2118" s="839" t="s">
        <v>6907</v>
      </c>
      <c r="E2118" s="839" t="s">
        <v>6908</v>
      </c>
      <c r="F2118" s="841">
        <v>45839</v>
      </c>
      <c r="G2118" s="839" t="s">
        <v>254</v>
      </c>
      <c r="H2118" s="842" t="s">
        <v>134</v>
      </c>
      <c r="I2118" s="883"/>
      <c r="J2118" s="841"/>
      <c r="K2118" s="841"/>
      <c r="L2118" s="843" t="s">
        <v>106</v>
      </c>
      <c r="M2118" s="844" t="s">
        <v>107</v>
      </c>
      <c r="N2118" s="841"/>
      <c r="O2118" s="884" t="s">
        <v>108</v>
      </c>
      <c r="P2118" s="842" t="s">
        <v>3622</v>
      </c>
      <c r="Q2118" s="843"/>
      <c r="R2118" s="845" t="s">
        <v>6921</v>
      </c>
      <c r="S2118" s="1127" t="s">
        <v>6922</v>
      </c>
      <c r="T2118" s="885" t="s">
        <v>6923</v>
      </c>
      <c r="U2118" s="886">
        <v>1</v>
      </c>
      <c r="V2118" s="842" t="s">
        <v>3</v>
      </c>
      <c r="W2118" s="846">
        <v>3156</v>
      </c>
      <c r="X2118" s="847">
        <f t="shared" si="404"/>
        <v>3156</v>
      </c>
      <c r="Y2118" s="853">
        <f t="shared" si="405"/>
        <v>0.54442015209125483</v>
      </c>
      <c r="Z2118" s="849">
        <v>1437.81</v>
      </c>
      <c r="AA2118" s="849"/>
      <c r="AB2118" s="849">
        <f t="shared" si="406"/>
        <v>1437.81</v>
      </c>
      <c r="AC2118" s="850">
        <f t="shared" si="407"/>
        <v>1437.81</v>
      </c>
      <c r="AD2118" s="851">
        <f t="shared" si="402"/>
        <v>32000</v>
      </c>
      <c r="AE2118" s="852">
        <v>30348.7</v>
      </c>
      <c r="AF2118" s="853">
        <v>0</v>
      </c>
      <c r="AG2118" s="854">
        <f t="shared" si="408"/>
        <v>0</v>
      </c>
      <c r="AH2118" s="853">
        <v>0.08</v>
      </c>
      <c r="AI2118" s="855">
        <f t="shared" si="409"/>
        <v>3490853.1477600001</v>
      </c>
      <c r="AJ2118" s="845" t="s">
        <v>6912</v>
      </c>
      <c r="AK2118" s="857">
        <v>45954</v>
      </c>
      <c r="AL2118" s="899" t="s">
        <v>6913</v>
      </c>
      <c r="AM2118" s="843"/>
      <c r="AN2118" s="844"/>
      <c r="AO2118" s="844" t="s">
        <v>1741</v>
      </c>
      <c r="AP2118" s="841"/>
      <c r="AQ2118" s="841">
        <v>45981</v>
      </c>
      <c r="AR2118" s="841">
        <v>46026</v>
      </c>
      <c r="AS2118" s="842" t="s">
        <v>6737</v>
      </c>
      <c r="AT2118" s="842" t="s">
        <v>1187</v>
      </c>
      <c r="AU2118" s="842" t="s">
        <v>1565</v>
      </c>
      <c r="AV2118" s="856" t="s">
        <v>6914</v>
      </c>
      <c r="AW2118" s="861">
        <v>46028</v>
      </c>
      <c r="AX2118" s="862">
        <v>46029</v>
      </c>
      <c r="AY2118" s="843" t="s">
        <v>6924</v>
      </c>
      <c r="AZ2118" s="843">
        <v>94051199</v>
      </c>
      <c r="BA2118" s="842" t="s">
        <v>120</v>
      </c>
      <c r="BB2118" s="863" t="s">
        <v>121</v>
      </c>
      <c r="BC2118" s="864">
        <v>46034</v>
      </c>
      <c r="BD2118" s="860" t="s">
        <v>6916</v>
      </c>
      <c r="BE2118" s="865" cm="1">
        <f t="array" ref="BE2118">IF(BD2118="","",AC2118/SUMPRODUCT(--(BD2118=$BD$4:$BD$12824),$AC$4:$AC$12824))</f>
        <v>6.5400304574623494E-2</v>
      </c>
      <c r="BF2118" s="458"/>
      <c r="BG2118" s="458"/>
      <c r="BH2118" s="458"/>
      <c r="BI2118" s="458"/>
      <c r="BJ2118" s="458"/>
      <c r="BK2118" s="458"/>
      <c r="BL2118" s="458"/>
      <c r="BM2118" s="458"/>
      <c r="BN2118" s="458"/>
      <c r="BO2118" s="866">
        <f>VLOOKUP(BD2118,$BD$4:$BN$12824,3,0)*BE2118</f>
        <v>750402.76768770709</v>
      </c>
      <c r="BP2118" s="866"/>
      <c r="BQ2118" s="866"/>
      <c r="BR2118" s="866">
        <f>VLOOKUP(BD2118,$BD$4:$BN$12824,6,0)*BE2118</f>
        <v>491643.21684531553</v>
      </c>
      <c r="BS2118" s="866">
        <f>VLOOKUP(BD2118,$BD$4:$BN$12824,7,0)*BE2118</f>
        <v>41578.719271895607</v>
      </c>
      <c r="BT2118" s="866"/>
      <c r="BU2118" s="866">
        <f>VLOOKUP(BD2118,$BD$4:$BN$12824,9,0)*BE2118</f>
        <v>1662.4757422869293</v>
      </c>
      <c r="BV2118" s="867"/>
      <c r="BW2118" s="867">
        <f>VLOOKUP(BD2118,$BD$4:$BN$12824,11,0)*BE2118</f>
        <v>39240.182744774094</v>
      </c>
      <c r="BX2118" s="1146">
        <f t="shared" si="410"/>
        <v>1324527.3622919794</v>
      </c>
      <c r="BY2118" s="867">
        <f t="shared" ref="BY2118:BY2181" si="412">(AB2118*AE2118+AG2118+BX2118)/U2118</f>
        <v>44960191.70929198</v>
      </c>
      <c r="BZ2118" s="867">
        <f t="shared" si="411"/>
        <v>44960191.70929198</v>
      </c>
      <c r="CA2118" s="867">
        <f>_xlfn.MAXIFS($BY$4:$BY$12824,$S$4:$S$12824,$S2118)</f>
        <v>44960191.70929198</v>
      </c>
      <c r="CB2118" s="944">
        <v>133900000</v>
      </c>
      <c r="CC2118" s="946">
        <f>CB2118*(1-20%)</f>
        <v>107120000</v>
      </c>
      <c r="CD2118" s="997">
        <f>((CC2118/1.08-CA2118-CC2118/1.08*15%)*80%)/(CC2118/1.08)</f>
        <v>0.31736365163528502</v>
      </c>
      <c r="CE2118" s="997">
        <f>(CC2118/1.08-CA2118)/(CC2118/1.08)</f>
        <v>0.54670456454410621</v>
      </c>
      <c r="CF2118" s="946">
        <f t="shared" si="403"/>
        <v>46009920</v>
      </c>
    </row>
    <row r="2119" spans="2:84">
      <c r="B2119" s="839" t="s">
        <v>98</v>
      </c>
      <c r="C2119" s="839" t="s">
        <v>254</v>
      </c>
      <c r="D2119" s="839" t="s">
        <v>6907</v>
      </c>
      <c r="E2119" s="839" t="s">
        <v>6908</v>
      </c>
      <c r="F2119" s="841">
        <v>45839</v>
      </c>
      <c r="G2119" s="839" t="s">
        <v>254</v>
      </c>
      <c r="H2119" s="842" t="s">
        <v>134</v>
      </c>
      <c r="I2119" s="883"/>
      <c r="J2119" s="841"/>
      <c r="K2119" s="841"/>
      <c r="L2119" s="843" t="s">
        <v>106</v>
      </c>
      <c r="M2119" s="844" t="s">
        <v>107</v>
      </c>
      <c r="N2119" s="841"/>
      <c r="O2119" s="884" t="s">
        <v>108</v>
      </c>
      <c r="P2119" s="842" t="s">
        <v>3622</v>
      </c>
      <c r="Q2119" s="843"/>
      <c r="R2119" s="845" t="s">
        <v>6925</v>
      </c>
      <c r="S2119" s="1127" t="s">
        <v>6926</v>
      </c>
      <c r="T2119" s="885" t="s">
        <v>6927</v>
      </c>
      <c r="U2119" s="886">
        <v>1</v>
      </c>
      <c r="V2119" s="842" t="s">
        <v>3</v>
      </c>
      <c r="W2119" s="846">
        <v>3770</v>
      </c>
      <c r="X2119" s="847">
        <f t="shared" si="404"/>
        <v>3770</v>
      </c>
      <c r="Y2119" s="853">
        <f t="shared" si="405"/>
        <v>0.54429973474801063</v>
      </c>
      <c r="Z2119" s="849">
        <v>1717.99</v>
      </c>
      <c r="AA2119" s="849"/>
      <c r="AB2119" s="849">
        <f t="shared" si="406"/>
        <v>1717.99</v>
      </c>
      <c r="AC2119" s="850">
        <f t="shared" si="407"/>
        <v>1717.99</v>
      </c>
      <c r="AD2119" s="851">
        <f t="shared" si="402"/>
        <v>32000</v>
      </c>
      <c r="AE2119" s="852">
        <v>30348.7</v>
      </c>
      <c r="AF2119" s="853">
        <v>0</v>
      </c>
      <c r="AG2119" s="854">
        <f t="shared" si="408"/>
        <v>0</v>
      </c>
      <c r="AH2119" s="853">
        <v>0.08</v>
      </c>
      <c r="AI2119" s="855">
        <f t="shared" si="409"/>
        <v>4171101.04904</v>
      </c>
      <c r="AJ2119" s="845" t="s">
        <v>6912</v>
      </c>
      <c r="AK2119" s="857">
        <v>45954</v>
      </c>
      <c r="AL2119" s="899" t="s">
        <v>6913</v>
      </c>
      <c r="AM2119" s="843"/>
      <c r="AN2119" s="844"/>
      <c r="AO2119" s="844" t="s">
        <v>1741</v>
      </c>
      <c r="AP2119" s="841"/>
      <c r="AQ2119" s="841">
        <v>45981</v>
      </c>
      <c r="AR2119" s="841">
        <v>46026</v>
      </c>
      <c r="AS2119" s="842" t="s">
        <v>6737</v>
      </c>
      <c r="AT2119" s="842" t="s">
        <v>1187</v>
      </c>
      <c r="AU2119" s="842" t="s">
        <v>1565</v>
      </c>
      <c r="AV2119" s="856" t="s">
        <v>6914</v>
      </c>
      <c r="AW2119" s="861">
        <v>46028</v>
      </c>
      <c r="AX2119" s="862">
        <v>46029</v>
      </c>
      <c r="AY2119" s="843" t="s">
        <v>6928</v>
      </c>
      <c r="AZ2119" s="843">
        <v>94051199</v>
      </c>
      <c r="BA2119" s="842" t="s">
        <v>120</v>
      </c>
      <c r="BB2119" s="863" t="s">
        <v>121</v>
      </c>
      <c r="BC2119" s="864">
        <v>46034</v>
      </c>
      <c r="BD2119" s="860" t="s">
        <v>6916</v>
      </c>
      <c r="BE2119" s="865" cm="1">
        <f t="array" ref="BE2119">IF(BD2119="","",AC2119/SUMPRODUCT(--(BD2119=$BD$4:$BD$12824),$AC$4:$AC$12824))</f>
        <v>7.8144587432384963E-2</v>
      </c>
      <c r="BF2119" s="458"/>
      <c r="BG2119" s="458"/>
      <c r="BH2119" s="458"/>
      <c r="BI2119" s="458"/>
      <c r="BJ2119" s="458"/>
      <c r="BK2119" s="458"/>
      <c r="BL2119" s="458"/>
      <c r="BM2119" s="458"/>
      <c r="BN2119" s="458"/>
      <c r="BO2119" s="866">
        <f>VLOOKUP(BD2119,$BD$4:$BN$12824,3,0)*BE2119</f>
        <v>896630.60547624785</v>
      </c>
      <c r="BP2119" s="866"/>
      <c r="BQ2119" s="866"/>
      <c r="BR2119" s="866">
        <f>VLOOKUP(BD2119,$BD$4:$BN$12824,6,0)*BE2119</f>
        <v>587447.66701308498</v>
      </c>
      <c r="BS2119" s="866">
        <f>VLOOKUP(BD2119,$BD$4:$BN$12824,7,0)*BE2119</f>
        <v>49680.989784410973</v>
      </c>
      <c r="BT2119" s="866"/>
      <c r="BU2119" s="866">
        <f>VLOOKUP(BD2119,$BD$4:$BN$12824,9,0)*BE2119</f>
        <v>1986.4354125312257</v>
      </c>
      <c r="BV2119" s="867"/>
      <c r="BW2119" s="867">
        <f>VLOOKUP(BD2119,$BD$4:$BN$12824,11,0)*BE2119</f>
        <v>46886.75245943098</v>
      </c>
      <c r="BX2119" s="1146">
        <f t="shared" si="410"/>
        <v>1582632.4501457061</v>
      </c>
      <c r="BY2119" s="867">
        <f t="shared" si="412"/>
        <v>53721395.563145705</v>
      </c>
      <c r="BZ2119" s="867">
        <f t="shared" si="411"/>
        <v>53721395.563145705</v>
      </c>
      <c r="CA2119" s="867">
        <f>_xlfn.MAXIFS($BY$4:$BY$12824,$S$4:$S$12824,$S2119)</f>
        <v>53721395.563145705</v>
      </c>
      <c r="CB2119" s="1032"/>
      <c r="CF2119" s="946">
        <f t="shared" si="403"/>
        <v>54975680</v>
      </c>
    </row>
    <row r="2120" spans="2:84">
      <c r="B2120" s="839" t="s">
        <v>98</v>
      </c>
      <c r="C2120" s="839" t="s">
        <v>254</v>
      </c>
      <c r="D2120" s="839" t="s">
        <v>6907</v>
      </c>
      <c r="E2120" s="839" t="s">
        <v>6908</v>
      </c>
      <c r="F2120" s="841">
        <v>45839</v>
      </c>
      <c r="G2120" s="839" t="s">
        <v>254</v>
      </c>
      <c r="H2120" s="842" t="s">
        <v>134</v>
      </c>
      <c r="I2120" s="883"/>
      <c r="J2120" s="841"/>
      <c r="K2120" s="841"/>
      <c r="L2120" s="843" t="s">
        <v>106</v>
      </c>
      <c r="M2120" s="844" t="s">
        <v>107</v>
      </c>
      <c r="N2120" s="841"/>
      <c r="O2120" s="884" t="s">
        <v>108</v>
      </c>
      <c r="P2120" s="842" t="s">
        <v>3622</v>
      </c>
      <c r="Q2120" s="843"/>
      <c r="R2120" s="845"/>
      <c r="S2120" s="1127" t="s">
        <v>6929</v>
      </c>
      <c r="T2120" s="885" t="s">
        <v>6930</v>
      </c>
      <c r="U2120" s="886">
        <v>1</v>
      </c>
      <c r="V2120" s="842" t="s">
        <v>3</v>
      </c>
      <c r="W2120" s="846">
        <v>3055</v>
      </c>
      <c r="X2120" s="847">
        <f t="shared" si="404"/>
        <v>3055</v>
      </c>
      <c r="Y2120" s="853">
        <f t="shared" si="405"/>
        <v>0.54430441898527004</v>
      </c>
      <c r="Z2120" s="849">
        <v>1392.15</v>
      </c>
      <c r="AA2120" s="849"/>
      <c r="AB2120" s="849">
        <f t="shared" si="406"/>
        <v>1392.15</v>
      </c>
      <c r="AC2120" s="850">
        <f t="shared" si="407"/>
        <v>1392.15</v>
      </c>
      <c r="AD2120" s="851">
        <f t="shared" si="402"/>
        <v>32000</v>
      </c>
      <c r="AE2120" s="852">
        <v>30348.7</v>
      </c>
      <c r="AF2120" s="853">
        <v>0</v>
      </c>
      <c r="AG2120" s="854">
        <f t="shared" si="408"/>
        <v>0</v>
      </c>
      <c r="AH2120" s="853">
        <v>0.08</v>
      </c>
      <c r="AI2120" s="855">
        <f t="shared" si="409"/>
        <v>3379995.4164000005</v>
      </c>
      <c r="AJ2120" s="845" t="s">
        <v>6912</v>
      </c>
      <c r="AK2120" s="857">
        <v>45954</v>
      </c>
      <c r="AL2120" s="899" t="s">
        <v>6913</v>
      </c>
      <c r="AM2120" s="843"/>
      <c r="AN2120" s="844"/>
      <c r="AO2120" s="844" t="s">
        <v>1741</v>
      </c>
      <c r="AP2120" s="841"/>
      <c r="AQ2120" s="841">
        <v>45981</v>
      </c>
      <c r="AR2120" s="841">
        <v>46026</v>
      </c>
      <c r="AS2120" s="842" t="s">
        <v>6737</v>
      </c>
      <c r="AT2120" s="842" t="s">
        <v>1187</v>
      </c>
      <c r="AU2120" s="842" t="s">
        <v>1565</v>
      </c>
      <c r="AV2120" s="856" t="s">
        <v>6914</v>
      </c>
      <c r="AW2120" s="861">
        <v>46028</v>
      </c>
      <c r="AX2120" s="862">
        <v>46029</v>
      </c>
      <c r="AY2120" s="843" t="s">
        <v>6931</v>
      </c>
      <c r="AZ2120" s="843">
        <v>94051199</v>
      </c>
      <c r="BA2120" s="842" t="s">
        <v>120</v>
      </c>
      <c r="BB2120" s="863" t="s">
        <v>121</v>
      </c>
      <c r="BC2120" s="864">
        <v>46034</v>
      </c>
      <c r="BD2120" s="860" t="s">
        <v>6916</v>
      </c>
      <c r="BE2120" s="865" cm="1">
        <f t="array" ref="BE2120">IF(BD2120="","",AC2120/SUMPRODUCT(--(BD2120=$BD$4:$BD$12824),$AC$4:$AC$12824))</f>
        <v>6.3323411308561006E-2</v>
      </c>
      <c r="BF2120" s="458"/>
      <c r="BG2120" s="458"/>
      <c r="BH2120" s="458"/>
      <c r="BI2120" s="458"/>
      <c r="BJ2120" s="458"/>
      <c r="BK2120" s="458"/>
      <c r="BL2120" s="458"/>
      <c r="BM2120" s="458"/>
      <c r="BN2120" s="458"/>
      <c r="BO2120" s="866">
        <f>VLOOKUP(BD2120,$BD$4:$BN$12824,3,0)*BE2120</f>
        <v>726572.50473737239</v>
      </c>
      <c r="BP2120" s="866"/>
      <c r="BQ2120" s="866"/>
      <c r="BR2120" s="866">
        <f>VLOOKUP(BD2120,$BD$4:$BN$12824,6,0)*BE2120</f>
        <v>476030.28517760069</v>
      </c>
      <c r="BS2120" s="866">
        <f>VLOOKUP(BD2120,$BD$4:$BN$12824,7,0)*BE2120</f>
        <v>40258.319273318084</v>
      </c>
      <c r="BT2120" s="866"/>
      <c r="BU2120" s="866">
        <f>VLOOKUP(BD2120,$BD$4:$BN$12824,9,0)*BE2120</f>
        <v>1609.6811154636207</v>
      </c>
      <c r="BV2120" s="867"/>
      <c r="BW2120" s="867">
        <f>VLOOKUP(BD2120,$BD$4:$BN$12824,11,0)*BE2120</f>
        <v>37994.046785136605</v>
      </c>
      <c r="BX2120" s="1146">
        <f t="shared" si="410"/>
        <v>1282464.8370888915</v>
      </c>
      <c r="BY2120" s="867">
        <f t="shared" si="412"/>
        <v>43532407.542088896</v>
      </c>
      <c r="BZ2120" s="867">
        <f t="shared" si="411"/>
        <v>43532407.542088896</v>
      </c>
      <c r="CA2120" s="867">
        <f>_xlfn.MAXIFS($BY$4:$BY$12824,$S$4:$S$12824,$S2120)</f>
        <v>43532407.542088896</v>
      </c>
      <c r="CB2120" s="1032"/>
      <c r="CF2120" s="946">
        <f t="shared" si="403"/>
        <v>44548800</v>
      </c>
    </row>
    <row r="2121" spans="2:84">
      <c r="B2121" s="839" t="s">
        <v>98</v>
      </c>
      <c r="C2121" s="839" t="s">
        <v>254</v>
      </c>
      <c r="D2121" s="839" t="s">
        <v>6907</v>
      </c>
      <c r="E2121" s="839" t="s">
        <v>6932</v>
      </c>
      <c r="F2121" s="841">
        <v>45901</v>
      </c>
      <c r="G2121" s="839" t="s">
        <v>254</v>
      </c>
      <c r="H2121" s="842" t="s">
        <v>102</v>
      </c>
      <c r="I2121" s="883" t="s">
        <v>6933</v>
      </c>
      <c r="J2121" s="841">
        <v>45901</v>
      </c>
      <c r="K2121" s="841">
        <v>46053</v>
      </c>
      <c r="L2121" s="843" t="s">
        <v>106</v>
      </c>
      <c r="M2121" s="844" t="s">
        <v>107</v>
      </c>
      <c r="N2121" s="841"/>
      <c r="O2121" s="884" t="s">
        <v>108</v>
      </c>
      <c r="P2121" s="842" t="s">
        <v>2088</v>
      </c>
      <c r="Q2121" s="843"/>
      <c r="R2121" s="906" t="s">
        <v>6934</v>
      </c>
      <c r="S2121" s="1128" t="s">
        <v>6935</v>
      </c>
      <c r="T2121" s="907" t="s">
        <v>6936</v>
      </c>
      <c r="U2121" s="886">
        <v>1</v>
      </c>
      <c r="V2121" s="842" t="s">
        <v>3</v>
      </c>
      <c r="W2121" s="846">
        <v>779</v>
      </c>
      <c r="X2121" s="847">
        <f t="shared" si="404"/>
        <v>779</v>
      </c>
      <c r="Y2121" s="853">
        <f t="shared" si="405"/>
        <v>0.51</v>
      </c>
      <c r="Z2121" s="849">
        <v>381.71</v>
      </c>
      <c r="AA2121" s="849"/>
      <c r="AB2121" s="849">
        <f t="shared" si="406"/>
        <v>381.71</v>
      </c>
      <c r="AC2121" s="850">
        <f t="shared" si="407"/>
        <v>381.71</v>
      </c>
      <c r="AD2121" s="851">
        <f t="shared" si="402"/>
        <v>32000</v>
      </c>
      <c r="AE2121" s="852">
        <v>30348.7</v>
      </c>
      <c r="AF2121" s="853">
        <v>0</v>
      </c>
      <c r="AG2121" s="854">
        <f t="shared" si="408"/>
        <v>0</v>
      </c>
      <c r="AH2121" s="853">
        <v>0.08</v>
      </c>
      <c r="AI2121" s="855">
        <f t="shared" si="409"/>
        <v>926752.18215999997</v>
      </c>
      <c r="AJ2121" s="845" t="s">
        <v>6912</v>
      </c>
      <c r="AK2121" s="857">
        <v>45954</v>
      </c>
      <c r="AL2121" s="899" t="s">
        <v>6913</v>
      </c>
      <c r="AM2121" s="843"/>
      <c r="AN2121" s="844"/>
      <c r="AO2121" s="844" t="s">
        <v>1741</v>
      </c>
      <c r="AP2121" s="841"/>
      <c r="AQ2121" s="841">
        <v>45981</v>
      </c>
      <c r="AR2121" s="841">
        <v>46026</v>
      </c>
      <c r="AS2121" s="842" t="s">
        <v>6737</v>
      </c>
      <c r="AT2121" s="842" t="s">
        <v>1187</v>
      </c>
      <c r="AU2121" s="842" t="s">
        <v>1565</v>
      </c>
      <c r="AV2121" s="856" t="s">
        <v>6914</v>
      </c>
      <c r="AW2121" s="861">
        <v>46028</v>
      </c>
      <c r="AX2121" s="862">
        <v>46029</v>
      </c>
      <c r="AY2121" s="908" t="s">
        <v>6937</v>
      </c>
      <c r="AZ2121" s="843">
        <v>94051999</v>
      </c>
      <c r="BA2121" s="842" t="s">
        <v>120</v>
      </c>
      <c r="BB2121" s="863" t="s">
        <v>121</v>
      </c>
      <c r="BC2121" s="864">
        <v>46034</v>
      </c>
      <c r="BD2121" s="860" t="s">
        <v>6916</v>
      </c>
      <c r="BE2121" s="865" cm="1">
        <f t="array" ref="BE2121">IF(BD2121="","",AC2121/SUMPRODUCT(--(BD2121=$BD$4:$BD$12824),$AC$4:$AC$12824))</f>
        <v>1.7362482010265287E-2</v>
      </c>
      <c r="BF2121" s="458"/>
      <c r="BG2121" s="458"/>
      <c r="BH2121" s="458"/>
      <c r="BI2121" s="458"/>
      <c r="BJ2121" s="458"/>
      <c r="BK2121" s="458"/>
      <c r="BL2121" s="458"/>
      <c r="BM2121" s="458"/>
      <c r="BN2121" s="458"/>
      <c r="BO2121" s="866">
        <f>VLOOKUP(BD2121,$BD$4:$BN$12824,3,0)*BE2121</f>
        <v>199217.03177337386</v>
      </c>
      <c r="BP2121" s="866"/>
      <c r="BQ2121" s="866"/>
      <c r="BR2121" s="866">
        <f>VLOOKUP(BD2121,$BD$4:$BN$12824,6,0)*BE2121</f>
        <v>130521.51000620762</v>
      </c>
      <c r="BS2121" s="866">
        <f>VLOOKUP(BD2121,$BD$4:$BN$12824,7,0)*BE2121</f>
        <v>11038.324210622593</v>
      </c>
      <c r="BT2121" s="866"/>
      <c r="BU2121" s="866">
        <f>VLOOKUP(BD2121,$BD$4:$BN$12824,9,0)*BE2121</f>
        <v>441.35429270094357</v>
      </c>
      <c r="BV2121" s="867"/>
      <c r="BW2121" s="867">
        <f>VLOOKUP(BD2121,$BD$4:$BN$12824,11,0)*BE2121</f>
        <v>10417.489206159173</v>
      </c>
      <c r="BX2121" s="1146">
        <f t="shared" si="410"/>
        <v>351635.70948906417</v>
      </c>
      <c r="BY2121" s="867">
        <f t="shared" si="412"/>
        <v>11936037.986489063</v>
      </c>
      <c r="BZ2121" s="867">
        <f t="shared" si="411"/>
        <v>11936037.986489063</v>
      </c>
      <c r="CA2121" s="867">
        <f>_xlfn.MAXIFS($BY$4:$BY$12824,$S$4:$S$12824,$S2121)</f>
        <v>11936037.986489063</v>
      </c>
      <c r="CB2121" s="944"/>
      <c r="CF2121" s="946">
        <f t="shared" si="403"/>
        <v>12214720</v>
      </c>
    </row>
    <row r="2122" spans="2:84">
      <c r="B2122" s="839" t="s">
        <v>98</v>
      </c>
      <c r="C2122" s="839" t="s">
        <v>254</v>
      </c>
      <c r="D2122" s="839" t="s">
        <v>6907</v>
      </c>
      <c r="E2122" s="839" t="s">
        <v>6938</v>
      </c>
      <c r="F2122" s="841">
        <v>45910</v>
      </c>
      <c r="G2122" s="839" t="s">
        <v>254</v>
      </c>
      <c r="H2122" s="842" t="s">
        <v>102</v>
      </c>
      <c r="I2122" s="883" t="s">
        <v>6939</v>
      </c>
      <c r="J2122" s="841">
        <v>45910</v>
      </c>
      <c r="K2122" s="841">
        <v>46032</v>
      </c>
      <c r="L2122" s="843" t="s">
        <v>106</v>
      </c>
      <c r="M2122" s="844" t="s">
        <v>107</v>
      </c>
      <c r="N2122" s="841"/>
      <c r="O2122" s="884" t="s">
        <v>108</v>
      </c>
      <c r="P2122" s="842" t="s">
        <v>4619</v>
      </c>
      <c r="Q2122" s="843"/>
      <c r="R2122" s="845" t="s">
        <v>6940</v>
      </c>
      <c r="S2122" s="1127" t="s">
        <v>6941</v>
      </c>
      <c r="T2122" s="843" t="s">
        <v>6942</v>
      </c>
      <c r="U2122" s="886">
        <v>1</v>
      </c>
      <c r="V2122" s="842" t="s">
        <v>3</v>
      </c>
      <c r="W2122" s="846">
        <v>615</v>
      </c>
      <c r="X2122" s="847">
        <f t="shared" si="404"/>
        <v>615</v>
      </c>
      <c r="Y2122" s="853">
        <f t="shared" si="405"/>
        <v>0.51</v>
      </c>
      <c r="Z2122" s="849">
        <v>301.35000000000002</v>
      </c>
      <c r="AA2122" s="849"/>
      <c r="AB2122" s="849">
        <f t="shared" si="406"/>
        <v>301.35000000000002</v>
      </c>
      <c r="AC2122" s="850">
        <f t="shared" si="407"/>
        <v>301.35000000000002</v>
      </c>
      <c r="AD2122" s="851">
        <f t="shared" si="402"/>
        <v>32000</v>
      </c>
      <c r="AE2122" s="852">
        <v>30348.7</v>
      </c>
      <c r="AF2122" s="853">
        <v>0</v>
      </c>
      <c r="AG2122" s="854">
        <f t="shared" si="408"/>
        <v>0</v>
      </c>
      <c r="AH2122" s="853">
        <v>0.08</v>
      </c>
      <c r="AI2122" s="855">
        <f t="shared" si="409"/>
        <v>731646.45960000006</v>
      </c>
      <c r="AJ2122" s="845" t="s">
        <v>6912</v>
      </c>
      <c r="AK2122" s="857">
        <v>45954</v>
      </c>
      <c r="AL2122" s="899" t="s">
        <v>6913</v>
      </c>
      <c r="AM2122" s="843"/>
      <c r="AN2122" s="844"/>
      <c r="AO2122" s="844" t="s">
        <v>1741</v>
      </c>
      <c r="AP2122" s="841"/>
      <c r="AQ2122" s="841">
        <v>45981</v>
      </c>
      <c r="AR2122" s="841">
        <v>46026</v>
      </c>
      <c r="AS2122" s="842" t="s">
        <v>6737</v>
      </c>
      <c r="AT2122" s="842" t="s">
        <v>1187</v>
      </c>
      <c r="AU2122" s="842" t="s">
        <v>1565</v>
      </c>
      <c r="AV2122" s="856" t="s">
        <v>6914</v>
      </c>
      <c r="AW2122" s="861">
        <v>46028</v>
      </c>
      <c r="AX2122" s="862">
        <v>46029</v>
      </c>
      <c r="AY2122" s="843" t="s">
        <v>6943</v>
      </c>
      <c r="AZ2122" s="843">
        <v>94052990</v>
      </c>
      <c r="BA2122" s="842" t="s">
        <v>120</v>
      </c>
      <c r="BB2122" s="863" t="s">
        <v>121</v>
      </c>
      <c r="BC2122" s="864">
        <v>46034</v>
      </c>
      <c r="BD2122" s="860" t="s">
        <v>6916</v>
      </c>
      <c r="BE2122" s="865" cm="1">
        <f t="array" ref="BE2122">IF(BD2122="","",AC2122/SUMPRODUCT(--(BD2122=$BD$4:$BD$12824),$AC$4:$AC$12824))</f>
        <v>1.3707222639683124E-2</v>
      </c>
      <c r="BF2122" s="458"/>
      <c r="BG2122" s="458"/>
      <c r="BH2122" s="458"/>
      <c r="BI2122" s="458"/>
      <c r="BJ2122" s="458"/>
      <c r="BK2122" s="458"/>
      <c r="BL2122" s="458"/>
      <c r="BM2122" s="458"/>
      <c r="BN2122" s="458"/>
      <c r="BO2122" s="866">
        <f>VLOOKUP(BD2122,$BD$4:$BN$12824,3,0)*BE2122</f>
        <v>157276.60403161097</v>
      </c>
      <c r="BP2122" s="866"/>
      <c r="BQ2122" s="866"/>
      <c r="BR2122" s="866">
        <f>VLOOKUP(BD2122,$BD$4:$BN$12824,6,0)*BE2122</f>
        <v>103043.29737332182</v>
      </c>
      <c r="BS2122" s="866">
        <f>VLOOKUP(BD2122,$BD$4:$BN$12824,7,0)*BE2122</f>
        <v>8714.4664820704711</v>
      </c>
      <c r="BT2122" s="866"/>
      <c r="BU2122" s="866">
        <f>VLOOKUP(BD2122,$BD$4:$BN$12824,9,0)*BE2122</f>
        <v>348.43759950074502</v>
      </c>
      <c r="BV2122" s="867"/>
      <c r="BW2122" s="867">
        <f>VLOOKUP(BD2122,$BD$4:$BN$12824,11,0)*BE2122</f>
        <v>8224.3335838098737</v>
      </c>
      <c r="BX2122" s="1146">
        <f t="shared" si="410"/>
        <v>277607.13907031389</v>
      </c>
      <c r="BY2122" s="867">
        <f t="shared" si="412"/>
        <v>9423187.8840703145</v>
      </c>
      <c r="BZ2122" s="867">
        <f t="shared" si="411"/>
        <v>9423187.8840703145</v>
      </c>
      <c r="CA2122" s="867">
        <f>_xlfn.MAXIFS($BY$4:$BY$12824,$S$4:$S$12824,$S2122)</f>
        <v>9423187.8840703145</v>
      </c>
      <c r="CB2122" s="1032"/>
      <c r="CF2122" s="946">
        <f t="shared" si="403"/>
        <v>9643200</v>
      </c>
    </row>
    <row r="2123" spans="2:84">
      <c r="B2123" s="839" t="s">
        <v>98</v>
      </c>
      <c r="C2123" s="839" t="s">
        <v>254</v>
      </c>
      <c r="D2123" s="839" t="s">
        <v>6907</v>
      </c>
      <c r="E2123" s="839" t="s">
        <v>6944</v>
      </c>
      <c r="F2123" s="841">
        <v>45925</v>
      </c>
      <c r="G2123" s="839" t="s">
        <v>254</v>
      </c>
      <c r="H2123" s="842" t="s">
        <v>134</v>
      </c>
      <c r="I2123" s="883"/>
      <c r="J2123" s="841"/>
      <c r="K2123" s="841"/>
      <c r="L2123" s="843" t="s">
        <v>106</v>
      </c>
      <c r="M2123" s="844" t="s">
        <v>107</v>
      </c>
      <c r="N2123" s="841"/>
      <c r="O2123" s="884" t="s">
        <v>108</v>
      </c>
      <c r="P2123" s="842" t="s">
        <v>3622</v>
      </c>
      <c r="Q2123" s="843"/>
      <c r="R2123" s="845" t="s">
        <v>1178</v>
      </c>
      <c r="S2123" s="1127" t="s">
        <v>1179</v>
      </c>
      <c r="T2123" s="843" t="s">
        <v>6945</v>
      </c>
      <c r="U2123" s="886">
        <v>2</v>
      </c>
      <c r="V2123" s="842" t="s">
        <v>3</v>
      </c>
      <c r="W2123" s="846">
        <v>4549</v>
      </c>
      <c r="X2123" s="847">
        <f t="shared" si="404"/>
        <v>9098</v>
      </c>
      <c r="Y2123" s="853">
        <f t="shared" si="405"/>
        <v>0.51</v>
      </c>
      <c r="Z2123" s="849">
        <v>2229.0100000000002</v>
      </c>
      <c r="AA2123" s="849"/>
      <c r="AB2123" s="849">
        <f t="shared" si="406"/>
        <v>4458.0200000000004</v>
      </c>
      <c r="AC2123" s="850">
        <f t="shared" si="407"/>
        <v>4458.0200000000004</v>
      </c>
      <c r="AD2123" s="851">
        <f t="shared" si="402"/>
        <v>32000</v>
      </c>
      <c r="AE2123" s="852">
        <v>30348.7</v>
      </c>
      <c r="AF2123" s="853">
        <v>0</v>
      </c>
      <c r="AG2123" s="854">
        <f t="shared" si="408"/>
        <v>0</v>
      </c>
      <c r="AH2123" s="853">
        <v>0.08</v>
      </c>
      <c r="AI2123" s="855">
        <f t="shared" si="409"/>
        <v>10823608.925920002</v>
      </c>
      <c r="AJ2123" s="845" t="s">
        <v>6912</v>
      </c>
      <c r="AK2123" s="857">
        <v>45954</v>
      </c>
      <c r="AL2123" s="899" t="s">
        <v>6913</v>
      </c>
      <c r="AM2123" s="843"/>
      <c r="AN2123" s="844"/>
      <c r="AO2123" s="844" t="s">
        <v>1741</v>
      </c>
      <c r="AP2123" s="841"/>
      <c r="AQ2123" s="841">
        <v>45981</v>
      </c>
      <c r="AR2123" s="841">
        <v>46026</v>
      </c>
      <c r="AS2123" s="842" t="s">
        <v>6737</v>
      </c>
      <c r="AT2123" s="842" t="s">
        <v>1187</v>
      </c>
      <c r="AU2123" s="842" t="s">
        <v>1565</v>
      </c>
      <c r="AV2123" s="856" t="s">
        <v>6914</v>
      </c>
      <c r="AW2123" s="861">
        <v>46028</v>
      </c>
      <c r="AX2123" s="862">
        <v>46029</v>
      </c>
      <c r="AY2123" s="843" t="s">
        <v>6946</v>
      </c>
      <c r="AZ2123" s="843">
        <v>94051199</v>
      </c>
      <c r="BA2123" s="842" t="s">
        <v>120</v>
      </c>
      <c r="BB2123" s="863" t="s">
        <v>121</v>
      </c>
      <c r="BC2123" s="864">
        <v>46034</v>
      </c>
      <c r="BD2123" s="860" t="s">
        <v>6916</v>
      </c>
      <c r="BE2123" s="865" cm="1">
        <f t="array" ref="BE2123">IF(BD2123="","",AC2123/SUMPRODUCT(--(BD2123=$BD$4:$BD$12824),$AC$4:$AC$12824))</f>
        <v>0.20277774239973506</v>
      </c>
      <c r="BF2123" s="458"/>
      <c r="BG2123" s="458"/>
      <c r="BH2123" s="458"/>
      <c r="BI2123" s="458"/>
      <c r="BJ2123" s="458"/>
      <c r="BK2123" s="458"/>
      <c r="BL2123" s="458"/>
      <c r="BM2123" s="458"/>
      <c r="BN2123" s="458"/>
      <c r="BO2123" s="866">
        <f>VLOOKUP(BD2123,$BD$4:$BN$12824,3,0)*BE2123</f>
        <v>2326670.8024058482</v>
      </c>
      <c r="BP2123" s="866"/>
      <c r="BQ2123" s="866"/>
      <c r="BR2123" s="866">
        <f>VLOOKUP(BD2123,$BD$4:$BN$12824,6,0)*BE2123</f>
        <v>1524370.6008170438</v>
      </c>
      <c r="BS2123" s="866">
        <f>VLOOKUP(BD2123,$BD$4:$BN$12824,7,0)*BE2123</f>
        <v>128917.42447784901</v>
      </c>
      <c r="BT2123" s="866"/>
      <c r="BU2123" s="866">
        <f>VLOOKUP(BD2123,$BD$4:$BN$12824,9,0)*BE2123</f>
        <v>5154.610211801265</v>
      </c>
      <c r="BV2123" s="867"/>
      <c r="BW2123" s="867">
        <f>VLOOKUP(BD2123,$BD$4:$BN$12824,11,0)*BE2123</f>
        <v>121666.64543984104</v>
      </c>
      <c r="BX2123" s="1146">
        <f t="shared" si="410"/>
        <v>4106780.0833523832</v>
      </c>
      <c r="BY2123" s="867">
        <f t="shared" si="412"/>
        <v>69700945.828676209</v>
      </c>
      <c r="BZ2123" s="867">
        <f t="shared" si="411"/>
        <v>139401891.65735242</v>
      </c>
      <c r="CA2123" s="867">
        <f>_xlfn.MAXIFS($BY$4:$BY$12824,$S$4:$S$12824,$S2123)</f>
        <v>74138253.047492683</v>
      </c>
      <c r="CB2123" s="1032"/>
      <c r="CF2123" s="946">
        <f t="shared" si="403"/>
        <v>142656640</v>
      </c>
    </row>
    <row r="2124" spans="2:84">
      <c r="B2124" s="839" t="s">
        <v>98</v>
      </c>
      <c r="C2124" s="839" t="s">
        <v>254</v>
      </c>
      <c r="D2124" s="839" t="s">
        <v>6947</v>
      </c>
      <c r="E2124" s="839" t="s">
        <v>6947</v>
      </c>
      <c r="F2124" s="841">
        <v>45939</v>
      </c>
      <c r="G2124" s="839" t="s">
        <v>254</v>
      </c>
      <c r="H2124" s="842" t="s">
        <v>134</v>
      </c>
      <c r="I2124" s="883"/>
      <c r="J2124" s="841"/>
      <c r="K2124" s="841"/>
      <c r="L2124" s="843" t="s">
        <v>106</v>
      </c>
      <c r="M2124" s="844" t="s">
        <v>107</v>
      </c>
      <c r="N2124" s="841"/>
      <c r="O2124" s="884" t="s">
        <v>108</v>
      </c>
      <c r="P2124" s="842" t="s">
        <v>3622</v>
      </c>
      <c r="Q2124" s="843"/>
      <c r="R2124" s="845" t="s">
        <v>1178</v>
      </c>
      <c r="S2124" s="1127" t="s">
        <v>1179</v>
      </c>
      <c r="T2124" s="843" t="s">
        <v>6945</v>
      </c>
      <c r="U2124" s="886">
        <v>2</v>
      </c>
      <c r="V2124" s="842" t="s">
        <v>3</v>
      </c>
      <c r="W2124" s="846">
        <v>4549</v>
      </c>
      <c r="X2124" s="847">
        <f t="shared" si="404"/>
        <v>9098</v>
      </c>
      <c r="Y2124" s="853">
        <f t="shared" si="405"/>
        <v>0.51</v>
      </c>
      <c r="Z2124" s="849">
        <v>2229.0100000000002</v>
      </c>
      <c r="AA2124" s="849"/>
      <c r="AB2124" s="849">
        <f t="shared" si="406"/>
        <v>4458.0200000000004</v>
      </c>
      <c r="AC2124" s="850">
        <f t="shared" si="407"/>
        <v>4458.0200000000004</v>
      </c>
      <c r="AD2124" s="851">
        <f t="shared" si="402"/>
        <v>32000</v>
      </c>
      <c r="AE2124" s="852">
        <v>30348.7</v>
      </c>
      <c r="AF2124" s="853">
        <v>0</v>
      </c>
      <c r="AG2124" s="854">
        <f t="shared" si="408"/>
        <v>0</v>
      </c>
      <c r="AH2124" s="853">
        <v>0.08</v>
      </c>
      <c r="AI2124" s="855">
        <f t="shared" si="409"/>
        <v>10823608.925920002</v>
      </c>
      <c r="AJ2124" s="845" t="s">
        <v>6912</v>
      </c>
      <c r="AK2124" s="857">
        <v>45954</v>
      </c>
      <c r="AL2124" s="899" t="s">
        <v>6913</v>
      </c>
      <c r="AM2124" s="843"/>
      <c r="AN2124" s="844"/>
      <c r="AO2124" s="844" t="s">
        <v>1741</v>
      </c>
      <c r="AP2124" s="841"/>
      <c r="AQ2124" s="841">
        <v>45981</v>
      </c>
      <c r="AR2124" s="841">
        <v>46026</v>
      </c>
      <c r="AS2124" s="842" t="s">
        <v>6737</v>
      </c>
      <c r="AT2124" s="842" t="s">
        <v>1187</v>
      </c>
      <c r="AU2124" s="842" t="s">
        <v>1565</v>
      </c>
      <c r="AV2124" s="856" t="s">
        <v>6914</v>
      </c>
      <c r="AW2124" s="861">
        <v>46028</v>
      </c>
      <c r="AX2124" s="862">
        <v>46029</v>
      </c>
      <c r="AY2124" s="843" t="s">
        <v>6946</v>
      </c>
      <c r="AZ2124" s="843">
        <v>94051199</v>
      </c>
      <c r="BA2124" s="842" t="s">
        <v>120</v>
      </c>
      <c r="BB2124" s="863" t="s">
        <v>121</v>
      </c>
      <c r="BC2124" s="864">
        <v>46034</v>
      </c>
      <c r="BD2124" s="860" t="s">
        <v>6916</v>
      </c>
      <c r="BE2124" s="865" cm="1">
        <f t="array" ref="BE2124">IF(BD2124="","",AC2124/SUMPRODUCT(--(BD2124=$BD$4:$BD$12824),$AC$4:$AC$12824))</f>
        <v>0.20277774239973506</v>
      </c>
      <c r="BF2124" s="458"/>
      <c r="BG2124" s="458"/>
      <c r="BH2124" s="458"/>
      <c r="BI2124" s="458"/>
      <c r="BJ2124" s="458"/>
      <c r="BK2124" s="458"/>
      <c r="BL2124" s="458"/>
      <c r="BM2124" s="458"/>
      <c r="BN2124" s="458"/>
      <c r="BO2124" s="866">
        <f>VLOOKUP(BD2124,$BD$4:$BN$12824,3,0)*BE2124</f>
        <v>2326670.8024058482</v>
      </c>
      <c r="BP2124" s="866"/>
      <c r="BQ2124" s="866"/>
      <c r="BR2124" s="866">
        <f>VLOOKUP(BD2124,$BD$4:$BN$12824,6,0)*BE2124</f>
        <v>1524370.6008170438</v>
      </c>
      <c r="BS2124" s="866">
        <f>VLOOKUP(BD2124,$BD$4:$BN$12824,7,0)*BE2124</f>
        <v>128917.42447784901</v>
      </c>
      <c r="BT2124" s="866"/>
      <c r="BU2124" s="866">
        <f>VLOOKUP(BD2124,$BD$4:$BN$12824,9,0)*BE2124</f>
        <v>5154.610211801265</v>
      </c>
      <c r="BV2124" s="867"/>
      <c r="BW2124" s="867">
        <f>VLOOKUP(BD2124,$BD$4:$BN$12824,11,0)*BE2124</f>
        <v>121666.64543984104</v>
      </c>
      <c r="BX2124" s="1146">
        <f t="shared" si="410"/>
        <v>4106780.0833523832</v>
      </c>
      <c r="BY2124" s="867">
        <f t="shared" si="412"/>
        <v>69700945.828676209</v>
      </c>
      <c r="BZ2124" s="867">
        <f t="shared" si="411"/>
        <v>139401891.65735242</v>
      </c>
      <c r="CA2124" s="867">
        <f>_xlfn.MAXIFS($BY$4:$BY$12824,$S$4:$S$12824,$S2124)</f>
        <v>74138253.047492683</v>
      </c>
      <c r="CB2124" s="1032"/>
      <c r="CF2124" s="946">
        <f t="shared" si="403"/>
        <v>142656640</v>
      </c>
    </row>
    <row r="2125" spans="2:84">
      <c r="B2125" s="839" t="s">
        <v>98</v>
      </c>
      <c r="C2125" s="839" t="s">
        <v>254</v>
      </c>
      <c r="D2125" s="839" t="s">
        <v>6948</v>
      </c>
      <c r="E2125" s="839" t="s">
        <v>6948</v>
      </c>
      <c r="F2125" s="841">
        <v>45941</v>
      </c>
      <c r="G2125" s="868" t="s">
        <v>254</v>
      </c>
      <c r="H2125" s="883" t="s">
        <v>102</v>
      </c>
      <c r="I2125" s="883" t="s">
        <v>6949</v>
      </c>
      <c r="J2125" s="841">
        <v>45941</v>
      </c>
      <c r="K2125" s="841">
        <v>46032</v>
      </c>
      <c r="L2125" s="843" t="s">
        <v>106</v>
      </c>
      <c r="M2125" s="844" t="s">
        <v>107</v>
      </c>
      <c r="N2125" s="841"/>
      <c r="O2125" s="884" t="s">
        <v>108</v>
      </c>
      <c r="P2125" s="842" t="s">
        <v>2088</v>
      </c>
      <c r="Q2125" s="843"/>
      <c r="R2125" s="845" t="s">
        <v>6950</v>
      </c>
      <c r="S2125" s="1127" t="s">
        <v>6951</v>
      </c>
      <c r="T2125" s="843" t="s">
        <v>6952</v>
      </c>
      <c r="U2125" s="886">
        <v>2</v>
      </c>
      <c r="V2125" s="842" t="s">
        <v>3</v>
      </c>
      <c r="W2125" s="846">
        <v>246</v>
      </c>
      <c r="X2125" s="847">
        <f t="shared" si="404"/>
        <v>492</v>
      </c>
      <c r="Y2125" s="853">
        <f t="shared" si="405"/>
        <v>0.51</v>
      </c>
      <c r="Z2125" s="849">
        <v>120.54</v>
      </c>
      <c r="AA2125" s="849"/>
      <c r="AB2125" s="849">
        <f t="shared" si="406"/>
        <v>241.08</v>
      </c>
      <c r="AC2125" s="850">
        <f t="shared" si="407"/>
        <v>241.08</v>
      </c>
      <c r="AD2125" s="851">
        <f t="shared" si="402"/>
        <v>32000</v>
      </c>
      <c r="AE2125" s="852">
        <v>30348.7</v>
      </c>
      <c r="AF2125" s="853">
        <v>0</v>
      </c>
      <c r="AG2125" s="854">
        <f t="shared" si="408"/>
        <v>0</v>
      </c>
      <c r="AH2125" s="853">
        <v>0.08</v>
      </c>
      <c r="AI2125" s="855">
        <f t="shared" si="409"/>
        <v>585317.16768000007</v>
      </c>
      <c r="AJ2125" s="845" t="s">
        <v>6912</v>
      </c>
      <c r="AK2125" s="857">
        <v>45954</v>
      </c>
      <c r="AL2125" s="899" t="s">
        <v>6913</v>
      </c>
      <c r="AM2125" s="843"/>
      <c r="AN2125" s="844"/>
      <c r="AO2125" s="844" t="s">
        <v>1741</v>
      </c>
      <c r="AP2125" s="841"/>
      <c r="AQ2125" s="841">
        <v>45981</v>
      </c>
      <c r="AR2125" s="841">
        <v>46026</v>
      </c>
      <c r="AS2125" s="842" t="s">
        <v>6737</v>
      </c>
      <c r="AT2125" s="842" t="s">
        <v>1187</v>
      </c>
      <c r="AU2125" s="842" t="s">
        <v>1565</v>
      </c>
      <c r="AV2125" s="856" t="s">
        <v>6914</v>
      </c>
      <c r="AW2125" s="861">
        <v>46028</v>
      </c>
      <c r="AX2125" s="862">
        <v>46029</v>
      </c>
      <c r="AY2125" s="843" t="s">
        <v>6953</v>
      </c>
      <c r="AZ2125" s="843">
        <v>94051199</v>
      </c>
      <c r="BA2125" s="842" t="s">
        <v>120</v>
      </c>
      <c r="BB2125" s="863" t="s">
        <v>121</v>
      </c>
      <c r="BC2125" s="864">
        <v>46034</v>
      </c>
      <c r="BD2125" s="860" t="s">
        <v>6916</v>
      </c>
      <c r="BE2125" s="865" cm="1">
        <f t="array" ref="BE2125">IF(BD2125="","",AC2125/SUMPRODUCT(--(BD2125=$BD$4:$BD$12824),$AC$4:$AC$12824))</f>
        <v>1.0965778111746498E-2</v>
      </c>
      <c r="BF2125" s="458"/>
      <c r="BG2125" s="458"/>
      <c r="BH2125" s="458"/>
      <c r="BI2125" s="458"/>
      <c r="BJ2125" s="458"/>
      <c r="BK2125" s="458"/>
      <c r="BL2125" s="458"/>
      <c r="BM2125" s="458"/>
      <c r="BN2125" s="458"/>
      <c r="BO2125" s="866">
        <f>VLOOKUP(BD2125,$BD$4:$BN$12824,3,0)*BE2125</f>
        <v>125821.28322528876</v>
      </c>
      <c r="BP2125" s="866"/>
      <c r="BQ2125" s="866"/>
      <c r="BR2125" s="866">
        <f>VLOOKUP(BD2125,$BD$4:$BN$12824,6,0)*BE2125</f>
        <v>82434.637898657456</v>
      </c>
      <c r="BS2125" s="866">
        <f>VLOOKUP(BD2125,$BD$4:$BN$12824,7,0)*BE2125</f>
        <v>6971.5731856563762</v>
      </c>
      <c r="BT2125" s="866"/>
      <c r="BU2125" s="866">
        <f>VLOOKUP(BD2125,$BD$4:$BN$12824,9,0)*BE2125</f>
        <v>278.750079600596</v>
      </c>
      <c r="BV2125" s="867"/>
      <c r="BW2125" s="867">
        <f>VLOOKUP(BD2125,$BD$4:$BN$12824,11,0)*BE2125</f>
        <v>6579.4668670478986</v>
      </c>
      <c r="BX2125" s="1146">
        <f t="shared" si="410"/>
        <v>222085.71125625106</v>
      </c>
      <c r="BY2125" s="867">
        <f t="shared" si="412"/>
        <v>3769275.1536281258</v>
      </c>
      <c r="BZ2125" s="867">
        <f t="shared" si="411"/>
        <v>7538550.3072562516</v>
      </c>
      <c r="CA2125" s="867">
        <f>_xlfn.MAXIFS($BY$4:$BY$12824,$S$4:$S$12824,$S2125)</f>
        <v>3769275.1536281258</v>
      </c>
      <c r="CB2125" s="1032"/>
      <c r="CF2125" s="946">
        <f t="shared" si="403"/>
        <v>7714560</v>
      </c>
    </row>
    <row r="2126" spans="2:84">
      <c r="B2126" s="839" t="s">
        <v>98</v>
      </c>
      <c r="C2126" s="839" t="s">
        <v>254</v>
      </c>
      <c r="D2126" s="839" t="s">
        <v>6948</v>
      </c>
      <c r="E2126" s="839" t="s">
        <v>6948</v>
      </c>
      <c r="F2126" s="841">
        <v>45941</v>
      </c>
      <c r="G2126" s="868" t="s">
        <v>254</v>
      </c>
      <c r="H2126" s="883" t="s">
        <v>102</v>
      </c>
      <c r="I2126" s="883" t="s">
        <v>6949</v>
      </c>
      <c r="J2126" s="841">
        <v>45941</v>
      </c>
      <c r="K2126" s="841">
        <v>46032</v>
      </c>
      <c r="L2126" s="843" t="s">
        <v>106</v>
      </c>
      <c r="M2126" s="844" t="s">
        <v>107</v>
      </c>
      <c r="N2126" s="841"/>
      <c r="O2126" s="884" t="s">
        <v>108</v>
      </c>
      <c r="P2126" s="842" t="s">
        <v>2088</v>
      </c>
      <c r="Q2126" s="843"/>
      <c r="R2126" s="845" t="s">
        <v>6954</v>
      </c>
      <c r="S2126" s="1127" t="s">
        <v>6955</v>
      </c>
      <c r="T2126" s="843" t="s">
        <v>6956</v>
      </c>
      <c r="U2126" s="886">
        <v>2</v>
      </c>
      <c r="V2126" s="842" t="s">
        <v>3</v>
      </c>
      <c r="W2126" s="846">
        <v>246</v>
      </c>
      <c r="X2126" s="847">
        <f t="shared" si="404"/>
        <v>492</v>
      </c>
      <c r="Y2126" s="853">
        <f t="shared" si="405"/>
        <v>0.51</v>
      </c>
      <c r="Z2126" s="849">
        <v>120.54</v>
      </c>
      <c r="AA2126" s="849"/>
      <c r="AB2126" s="849">
        <f t="shared" si="406"/>
        <v>241.08</v>
      </c>
      <c r="AC2126" s="850">
        <f t="shared" si="407"/>
        <v>241.08</v>
      </c>
      <c r="AD2126" s="851">
        <f t="shared" si="402"/>
        <v>32000</v>
      </c>
      <c r="AE2126" s="852">
        <v>30348.7</v>
      </c>
      <c r="AF2126" s="853">
        <v>0</v>
      </c>
      <c r="AG2126" s="854">
        <f t="shared" si="408"/>
        <v>0</v>
      </c>
      <c r="AH2126" s="853">
        <v>0.08</v>
      </c>
      <c r="AI2126" s="855">
        <f t="shared" si="409"/>
        <v>585317.16768000007</v>
      </c>
      <c r="AJ2126" s="845" t="s">
        <v>6912</v>
      </c>
      <c r="AK2126" s="857">
        <v>45954</v>
      </c>
      <c r="AL2126" s="899" t="s">
        <v>6913</v>
      </c>
      <c r="AM2126" s="843"/>
      <c r="AN2126" s="844"/>
      <c r="AO2126" s="844" t="s">
        <v>1741</v>
      </c>
      <c r="AP2126" s="841"/>
      <c r="AQ2126" s="841">
        <v>45981</v>
      </c>
      <c r="AR2126" s="841">
        <v>46026</v>
      </c>
      <c r="AS2126" s="842" t="s">
        <v>6737</v>
      </c>
      <c r="AT2126" s="842" t="s">
        <v>1187</v>
      </c>
      <c r="AU2126" s="842" t="s">
        <v>1565</v>
      </c>
      <c r="AV2126" s="856" t="s">
        <v>6914</v>
      </c>
      <c r="AW2126" s="861">
        <v>46028</v>
      </c>
      <c r="AX2126" s="862">
        <v>46029</v>
      </c>
      <c r="AY2126" s="843" t="s">
        <v>6957</v>
      </c>
      <c r="AZ2126" s="843">
        <v>94051199</v>
      </c>
      <c r="BA2126" s="842" t="s">
        <v>120</v>
      </c>
      <c r="BB2126" s="863" t="s">
        <v>121</v>
      </c>
      <c r="BC2126" s="864">
        <v>46034</v>
      </c>
      <c r="BD2126" s="860" t="s">
        <v>6916</v>
      </c>
      <c r="BE2126" s="865" cm="1">
        <f t="array" ref="BE2126">IF(BD2126="","",AC2126/SUMPRODUCT(--(BD2126=$BD$4:$BD$12824),$AC$4:$AC$12824))</f>
        <v>1.0965778111746498E-2</v>
      </c>
      <c r="BF2126" s="458"/>
      <c r="BG2126" s="458"/>
      <c r="BH2126" s="458"/>
      <c r="BI2126" s="458"/>
      <c r="BJ2126" s="458"/>
      <c r="BK2126" s="458"/>
      <c r="BL2126" s="458"/>
      <c r="BM2126" s="458"/>
      <c r="BN2126" s="458"/>
      <c r="BO2126" s="866">
        <f>VLOOKUP(BD2126,$BD$4:$BN$12824,3,0)*BE2126</f>
        <v>125821.28322528876</v>
      </c>
      <c r="BP2126" s="866"/>
      <c r="BQ2126" s="866"/>
      <c r="BR2126" s="866">
        <f>VLOOKUP(BD2126,$BD$4:$BN$12824,6,0)*BE2126</f>
        <v>82434.637898657456</v>
      </c>
      <c r="BS2126" s="866">
        <f>VLOOKUP(BD2126,$BD$4:$BN$12824,7,0)*BE2126</f>
        <v>6971.5731856563762</v>
      </c>
      <c r="BT2126" s="866"/>
      <c r="BU2126" s="866">
        <f>VLOOKUP(BD2126,$BD$4:$BN$12824,9,0)*BE2126</f>
        <v>278.750079600596</v>
      </c>
      <c r="BV2126" s="867"/>
      <c r="BW2126" s="867">
        <f>VLOOKUP(BD2126,$BD$4:$BN$12824,11,0)*BE2126</f>
        <v>6579.4668670478986</v>
      </c>
      <c r="BX2126" s="1146">
        <f t="shared" si="410"/>
        <v>222085.71125625106</v>
      </c>
      <c r="BY2126" s="867">
        <f t="shared" si="412"/>
        <v>3769275.1536281258</v>
      </c>
      <c r="BZ2126" s="867">
        <f t="shared" si="411"/>
        <v>7538550.3072562516</v>
      </c>
      <c r="CA2126" s="867">
        <f>_xlfn.MAXIFS($BY$4:$BY$12824,$S$4:$S$12824,$S2126)</f>
        <v>3769275.1536281258</v>
      </c>
      <c r="CB2126" s="1032"/>
      <c r="CF2126" s="946">
        <f t="shared" si="403"/>
        <v>7714560</v>
      </c>
    </row>
    <row r="2127" spans="2:84">
      <c r="B2127" s="839" t="s">
        <v>98</v>
      </c>
      <c r="C2127" s="839" t="s">
        <v>254</v>
      </c>
      <c r="D2127" s="839" t="s">
        <v>6948</v>
      </c>
      <c r="E2127" s="839" t="s">
        <v>6948</v>
      </c>
      <c r="F2127" s="841">
        <v>45941</v>
      </c>
      <c r="G2127" s="868" t="s">
        <v>254</v>
      </c>
      <c r="H2127" s="883" t="s">
        <v>102</v>
      </c>
      <c r="I2127" s="883" t="s">
        <v>6949</v>
      </c>
      <c r="J2127" s="841">
        <v>45941</v>
      </c>
      <c r="K2127" s="841">
        <v>46032</v>
      </c>
      <c r="L2127" s="843" t="s">
        <v>106</v>
      </c>
      <c r="M2127" s="844" t="s">
        <v>107</v>
      </c>
      <c r="N2127" s="841"/>
      <c r="O2127" s="884" t="s">
        <v>108</v>
      </c>
      <c r="P2127" s="842" t="s">
        <v>2088</v>
      </c>
      <c r="Q2127" s="843"/>
      <c r="R2127" s="845" t="s">
        <v>6958</v>
      </c>
      <c r="S2127" s="1127" t="s">
        <v>6959</v>
      </c>
      <c r="T2127" s="843" t="s">
        <v>6960</v>
      </c>
      <c r="U2127" s="886">
        <v>2</v>
      </c>
      <c r="V2127" s="842" t="s">
        <v>3</v>
      </c>
      <c r="W2127" s="846">
        <v>246</v>
      </c>
      <c r="X2127" s="847">
        <f t="shared" si="404"/>
        <v>492</v>
      </c>
      <c r="Y2127" s="853">
        <f t="shared" si="405"/>
        <v>0.51</v>
      </c>
      <c r="Z2127" s="849">
        <v>120.54</v>
      </c>
      <c r="AA2127" s="849"/>
      <c r="AB2127" s="849">
        <f t="shared" si="406"/>
        <v>241.08</v>
      </c>
      <c r="AC2127" s="850">
        <f t="shared" si="407"/>
        <v>241.08</v>
      </c>
      <c r="AD2127" s="851">
        <f t="shared" si="402"/>
        <v>32000</v>
      </c>
      <c r="AE2127" s="852">
        <v>30348.7</v>
      </c>
      <c r="AF2127" s="853">
        <v>0</v>
      </c>
      <c r="AG2127" s="854">
        <f t="shared" si="408"/>
        <v>0</v>
      </c>
      <c r="AH2127" s="853">
        <v>0.08</v>
      </c>
      <c r="AI2127" s="855">
        <f t="shared" si="409"/>
        <v>585317.16768000007</v>
      </c>
      <c r="AJ2127" s="845" t="s">
        <v>6912</v>
      </c>
      <c r="AK2127" s="857">
        <v>45954</v>
      </c>
      <c r="AL2127" s="899" t="s">
        <v>6913</v>
      </c>
      <c r="AM2127" s="843"/>
      <c r="AN2127" s="844"/>
      <c r="AO2127" s="844" t="s">
        <v>1741</v>
      </c>
      <c r="AP2127" s="841"/>
      <c r="AQ2127" s="841">
        <v>45981</v>
      </c>
      <c r="AR2127" s="841">
        <v>46026</v>
      </c>
      <c r="AS2127" s="842" t="s">
        <v>6737</v>
      </c>
      <c r="AT2127" s="842" t="s">
        <v>1187</v>
      </c>
      <c r="AU2127" s="842" t="s">
        <v>1565</v>
      </c>
      <c r="AV2127" s="856" t="s">
        <v>6914</v>
      </c>
      <c r="AW2127" s="861">
        <v>46028</v>
      </c>
      <c r="AX2127" s="862">
        <v>46029</v>
      </c>
      <c r="AY2127" s="843" t="s">
        <v>6961</v>
      </c>
      <c r="AZ2127" s="843">
        <v>94051199</v>
      </c>
      <c r="BA2127" s="842" t="s">
        <v>120</v>
      </c>
      <c r="BB2127" s="863" t="s">
        <v>121</v>
      </c>
      <c r="BC2127" s="864">
        <v>46034</v>
      </c>
      <c r="BD2127" s="860" t="s">
        <v>6916</v>
      </c>
      <c r="BE2127" s="865" cm="1">
        <f t="array" ref="BE2127">IF(BD2127="","",AC2127/SUMPRODUCT(--(BD2127=$BD$4:$BD$12824),$AC$4:$AC$12824))</f>
        <v>1.0965778111746498E-2</v>
      </c>
      <c r="BF2127" s="458"/>
      <c r="BG2127" s="458"/>
      <c r="BH2127" s="458"/>
      <c r="BI2127" s="458"/>
      <c r="BJ2127" s="458"/>
      <c r="BK2127" s="458"/>
      <c r="BL2127" s="458"/>
      <c r="BM2127" s="458"/>
      <c r="BN2127" s="458"/>
      <c r="BO2127" s="866">
        <f>VLOOKUP(BD2127,$BD$4:$BN$12824,3,0)*BE2127</f>
        <v>125821.28322528876</v>
      </c>
      <c r="BP2127" s="866"/>
      <c r="BQ2127" s="866"/>
      <c r="BR2127" s="866">
        <f>VLOOKUP(BD2127,$BD$4:$BN$12824,6,0)*BE2127</f>
        <v>82434.637898657456</v>
      </c>
      <c r="BS2127" s="866">
        <f>VLOOKUP(BD2127,$BD$4:$BN$12824,7,0)*BE2127</f>
        <v>6971.5731856563762</v>
      </c>
      <c r="BT2127" s="866"/>
      <c r="BU2127" s="866">
        <f>VLOOKUP(BD2127,$BD$4:$BN$12824,9,0)*BE2127</f>
        <v>278.750079600596</v>
      </c>
      <c r="BV2127" s="867"/>
      <c r="BW2127" s="867">
        <f>VLOOKUP(BD2127,$BD$4:$BN$12824,11,0)*BE2127</f>
        <v>6579.4668670478986</v>
      </c>
      <c r="BX2127" s="1146">
        <f t="shared" si="410"/>
        <v>222085.71125625106</v>
      </c>
      <c r="BY2127" s="867">
        <f t="shared" si="412"/>
        <v>3769275.1536281258</v>
      </c>
      <c r="BZ2127" s="867">
        <f t="shared" si="411"/>
        <v>7538550.3072562516</v>
      </c>
      <c r="CA2127" s="867">
        <f>_xlfn.MAXIFS($BY$4:$BY$12824,$S$4:$S$12824,$S2127)</f>
        <v>3769275.1536281258</v>
      </c>
      <c r="CB2127" s="1032"/>
      <c r="CF2127" s="946">
        <f t="shared" si="403"/>
        <v>7714560</v>
      </c>
    </row>
    <row r="2128" spans="2:84">
      <c r="B2128" s="839" t="s">
        <v>98</v>
      </c>
      <c r="C2128" s="839" t="s">
        <v>254</v>
      </c>
      <c r="D2128" s="839" t="s">
        <v>6948</v>
      </c>
      <c r="E2128" s="909" t="s">
        <v>6948</v>
      </c>
      <c r="F2128" s="841">
        <v>45941</v>
      </c>
      <c r="G2128" s="868" t="s">
        <v>254</v>
      </c>
      <c r="H2128" s="842" t="s">
        <v>5686</v>
      </c>
      <c r="I2128" s="883"/>
      <c r="J2128" s="841"/>
      <c r="K2128" s="841"/>
      <c r="L2128" s="843" t="s">
        <v>3320</v>
      </c>
      <c r="M2128" s="844" t="s">
        <v>107</v>
      </c>
      <c r="N2128" s="841"/>
      <c r="O2128" s="884" t="s">
        <v>108</v>
      </c>
      <c r="P2128" s="842" t="s">
        <v>124</v>
      </c>
      <c r="Q2128" s="843"/>
      <c r="R2128" s="845" t="s">
        <v>6962</v>
      </c>
      <c r="S2128" s="1127" t="s">
        <v>6963</v>
      </c>
      <c r="T2128" s="843" t="s">
        <v>6964</v>
      </c>
      <c r="U2128" s="886">
        <v>1</v>
      </c>
      <c r="V2128" s="842" t="s">
        <v>3</v>
      </c>
      <c r="W2128" s="846"/>
      <c r="X2128" s="847"/>
      <c r="Y2128" s="853"/>
      <c r="Z2128" s="849">
        <v>79</v>
      </c>
      <c r="AA2128" s="849" t="s">
        <v>40</v>
      </c>
      <c r="AB2128" s="849"/>
      <c r="AC2128" s="850">
        <f t="shared" si="407"/>
        <v>79</v>
      </c>
      <c r="AD2128" s="851">
        <f t="shared" si="402"/>
        <v>32000</v>
      </c>
      <c r="AE2128" s="852">
        <v>30348.7</v>
      </c>
      <c r="AF2128" s="853">
        <v>0</v>
      </c>
      <c r="AG2128" s="854">
        <f t="shared" si="408"/>
        <v>0</v>
      </c>
      <c r="AH2128" s="853">
        <v>0.08</v>
      </c>
      <c r="AI2128" s="855">
        <f t="shared" si="409"/>
        <v>191803.78400000001</v>
      </c>
      <c r="AJ2128" s="845" t="s">
        <v>6912</v>
      </c>
      <c r="AK2128" s="857">
        <v>45954</v>
      </c>
      <c r="AL2128" s="899" t="s">
        <v>6913</v>
      </c>
      <c r="AM2128" s="843"/>
      <c r="AN2128" s="844"/>
      <c r="AO2128" s="844" t="s">
        <v>1741</v>
      </c>
      <c r="AP2128" s="841"/>
      <c r="AQ2128" s="841">
        <v>45981</v>
      </c>
      <c r="AR2128" s="841">
        <v>46026</v>
      </c>
      <c r="AS2128" s="842" t="s">
        <v>6737</v>
      </c>
      <c r="AT2128" s="842" t="s">
        <v>1187</v>
      </c>
      <c r="AU2128" s="842" t="s">
        <v>1565</v>
      </c>
      <c r="AV2128" s="856" t="s">
        <v>6914</v>
      </c>
      <c r="AW2128" s="861">
        <v>46028</v>
      </c>
      <c r="AX2128" s="862">
        <v>46029</v>
      </c>
      <c r="AY2128" s="843" t="s">
        <v>6965</v>
      </c>
      <c r="AZ2128" s="843">
        <v>94059950</v>
      </c>
      <c r="BA2128" s="842" t="s">
        <v>120</v>
      </c>
      <c r="BB2128" s="863" t="s">
        <v>121</v>
      </c>
      <c r="BC2128" s="864">
        <v>46034</v>
      </c>
      <c r="BD2128" s="860" t="s">
        <v>6916</v>
      </c>
      <c r="BE2128" s="865" cm="1">
        <f t="array" ref="BE2128">IF(BD2128="","",AC2128/SUMPRODUCT(--(BD2128=$BD$4:$BD$12824),$AC$4:$AC$12824))</f>
        <v>3.5933983359381673E-3</v>
      </c>
      <c r="BF2128" s="458"/>
      <c r="BG2128" s="458"/>
      <c r="BH2128" s="458"/>
      <c r="BI2128" s="458"/>
      <c r="BJ2128" s="458"/>
      <c r="BK2128" s="458"/>
      <c r="BL2128" s="458"/>
      <c r="BM2128" s="458"/>
      <c r="BN2128" s="458"/>
      <c r="BO2128" s="866">
        <f>VLOOKUP(BD2128,$BD$4:$BN$12824,3,0)*BE2128</f>
        <v>41230.634539562852</v>
      </c>
      <c r="BP2128" s="866"/>
      <c r="BQ2128" s="866"/>
      <c r="BR2128" s="866">
        <f>VLOOKUP(BD2128,$BD$4:$BN$12824,6,0)*BE2128</f>
        <v>27013.17568439497</v>
      </c>
      <c r="BS2128" s="866">
        <f>VLOOKUP(BD2128,$BD$4:$BN$12824,7,0)*BE2128</f>
        <v>2284.5291258787693</v>
      </c>
      <c r="BT2128" s="866"/>
      <c r="BU2128" s="866">
        <f>VLOOKUP(BD2128,$BD$4:$BN$12824,9,0)*BE2128</f>
        <v>91.344185699548206</v>
      </c>
      <c r="BV2128" s="867"/>
      <c r="BW2128" s="867">
        <f>VLOOKUP(BD2128,$BD$4:$BN$12824,11,0)*BE2128</f>
        <v>2156.0390015629005</v>
      </c>
      <c r="BX2128" s="1146">
        <f t="shared" si="410"/>
        <v>72775.72253709902</v>
      </c>
      <c r="BY2128" s="867">
        <f t="shared" si="412"/>
        <v>72775.72253709902</v>
      </c>
      <c r="BZ2128" s="867">
        <f t="shared" si="411"/>
        <v>72775.72253709902</v>
      </c>
      <c r="CA2128" s="867">
        <f>_xlfn.MAXIFS($BY$4:$BY$12824,$S$4:$S$12824,$S2128)</f>
        <v>72775.72253709902</v>
      </c>
      <c r="CB2128" s="1032"/>
      <c r="CF2128" s="946">
        <f t="shared" si="403"/>
        <v>2528000</v>
      </c>
    </row>
    <row r="2129" spans="2:84">
      <c r="B2129" s="839" t="s">
        <v>98</v>
      </c>
      <c r="C2129" s="839" t="s">
        <v>254</v>
      </c>
      <c r="D2129" s="839" t="s">
        <v>6948</v>
      </c>
      <c r="E2129" s="839" t="s">
        <v>6948</v>
      </c>
      <c r="F2129" s="841">
        <v>45941</v>
      </c>
      <c r="G2129" s="868" t="s">
        <v>254</v>
      </c>
      <c r="H2129" s="842" t="s">
        <v>5686</v>
      </c>
      <c r="I2129" s="883"/>
      <c r="J2129" s="841"/>
      <c r="K2129" s="841"/>
      <c r="L2129" s="843" t="s">
        <v>3320</v>
      </c>
      <c r="M2129" s="844" t="s">
        <v>107</v>
      </c>
      <c r="N2129" s="841"/>
      <c r="O2129" s="884" t="s">
        <v>108</v>
      </c>
      <c r="P2129" s="842" t="s">
        <v>4990</v>
      </c>
      <c r="Q2129" s="843"/>
      <c r="R2129" s="845" t="s">
        <v>4116</v>
      </c>
      <c r="S2129" s="1127" t="s">
        <v>4117</v>
      </c>
      <c r="T2129" s="843" t="s">
        <v>6966</v>
      </c>
      <c r="U2129" s="886">
        <v>1</v>
      </c>
      <c r="V2129" s="842" t="s">
        <v>3</v>
      </c>
      <c r="W2129" s="846"/>
      <c r="X2129" s="847"/>
      <c r="Y2129" s="853"/>
      <c r="Z2129" s="849">
        <v>360.5</v>
      </c>
      <c r="AA2129" s="849" t="s">
        <v>40</v>
      </c>
      <c r="AB2129" s="849"/>
      <c r="AC2129" s="850">
        <f t="shared" si="407"/>
        <v>360.5</v>
      </c>
      <c r="AD2129" s="851">
        <f t="shared" si="402"/>
        <v>32000</v>
      </c>
      <c r="AE2129" s="852">
        <v>30348.7</v>
      </c>
      <c r="AF2129" s="853">
        <v>0</v>
      </c>
      <c r="AG2129" s="854">
        <f t="shared" si="408"/>
        <v>0</v>
      </c>
      <c r="AH2129" s="853">
        <v>0.08</v>
      </c>
      <c r="AI2129" s="855">
        <f t="shared" si="409"/>
        <v>875256.50800000003</v>
      </c>
      <c r="AJ2129" s="845" t="s">
        <v>6912</v>
      </c>
      <c r="AK2129" s="857">
        <v>45954</v>
      </c>
      <c r="AL2129" s="899" t="s">
        <v>6913</v>
      </c>
      <c r="AM2129" s="843"/>
      <c r="AN2129" s="844"/>
      <c r="AO2129" s="844" t="s">
        <v>1741</v>
      </c>
      <c r="AP2129" s="841"/>
      <c r="AQ2129" s="841">
        <v>45981</v>
      </c>
      <c r="AR2129" s="841">
        <v>46026</v>
      </c>
      <c r="AS2129" s="842" t="s">
        <v>6737</v>
      </c>
      <c r="AT2129" s="842" t="s">
        <v>1187</v>
      </c>
      <c r="AU2129" s="842" t="s">
        <v>1565</v>
      </c>
      <c r="AV2129" s="856" t="s">
        <v>6914</v>
      </c>
      <c r="AW2129" s="861">
        <v>46028</v>
      </c>
      <c r="AX2129" s="862">
        <v>46029</v>
      </c>
      <c r="AY2129" s="843" t="s">
        <v>6967</v>
      </c>
      <c r="AZ2129" s="843">
        <v>94052190</v>
      </c>
      <c r="BA2129" s="842" t="s">
        <v>120</v>
      </c>
      <c r="BB2129" s="863" t="s">
        <v>121</v>
      </c>
      <c r="BC2129" s="864">
        <v>46034</v>
      </c>
      <c r="BD2129" s="860" t="s">
        <v>6916</v>
      </c>
      <c r="BE2129" s="865" cm="1">
        <f t="array" ref="BE2129">IF(BD2129="","",AC2129/SUMPRODUCT(--(BD2129=$BD$4:$BD$12824),$AC$4:$AC$12824))</f>
        <v>1.6397722786148219E-2</v>
      </c>
      <c r="BF2129" s="458"/>
      <c r="BG2129" s="458"/>
      <c r="BH2129" s="458"/>
      <c r="BI2129" s="458"/>
      <c r="BJ2129" s="458"/>
      <c r="BK2129" s="458"/>
      <c r="BL2129" s="458"/>
      <c r="BM2129" s="458"/>
      <c r="BN2129" s="458"/>
      <c r="BO2129" s="866">
        <f>VLOOKUP(BD2129,$BD$4:$BN$12824,3,0)*BE2129</f>
        <v>188147.38925965075</v>
      </c>
      <c r="BP2129" s="866"/>
      <c r="BQ2129" s="866"/>
      <c r="BR2129" s="866">
        <f>VLOOKUP(BD2129,$BD$4:$BN$12824,6,0)*BE2129</f>
        <v>123268.98524334666</v>
      </c>
      <c r="BS2129" s="866">
        <f>VLOOKUP(BD2129,$BD$4:$BN$12824,7,0)*BE2129</f>
        <v>10424.971517459448</v>
      </c>
      <c r="BT2129" s="866"/>
      <c r="BU2129" s="866">
        <f>VLOOKUP(BD2129,$BD$4:$BN$12824,9,0)*BE2129</f>
        <v>416.83011322388774</v>
      </c>
      <c r="BV2129" s="867"/>
      <c r="BW2129" s="867">
        <f>VLOOKUP(BD2129,$BD$4:$BN$12824,11,0)*BE2129</f>
        <v>9838.6336716889309</v>
      </c>
      <c r="BX2129" s="1146">
        <f t="shared" si="410"/>
        <v>332096.80980536959</v>
      </c>
      <c r="BY2129" s="867">
        <f t="shared" si="412"/>
        <v>332096.80980536959</v>
      </c>
      <c r="BZ2129" s="867">
        <f t="shared" si="411"/>
        <v>332096.80980536959</v>
      </c>
      <c r="CA2129" s="867">
        <f>_xlfn.MAXIFS($BY$4:$BY$12824,$S$4:$S$12824,$S2129)</f>
        <v>10874445.559989126</v>
      </c>
      <c r="CB2129" s="1032"/>
      <c r="CF2129" s="946">
        <f t="shared" si="403"/>
        <v>11536000</v>
      </c>
    </row>
    <row r="2130" spans="2:84">
      <c r="B2130" s="839" t="s">
        <v>98</v>
      </c>
      <c r="C2130" s="839" t="s">
        <v>254</v>
      </c>
      <c r="D2130" s="839" t="s">
        <v>6948</v>
      </c>
      <c r="E2130" s="839" t="s">
        <v>6948</v>
      </c>
      <c r="F2130" s="841">
        <v>45941</v>
      </c>
      <c r="G2130" s="868" t="s">
        <v>254</v>
      </c>
      <c r="H2130" s="842" t="s">
        <v>5686</v>
      </c>
      <c r="I2130" s="883"/>
      <c r="J2130" s="841"/>
      <c r="K2130" s="841"/>
      <c r="L2130" s="843" t="s">
        <v>3320</v>
      </c>
      <c r="M2130" s="844" t="s">
        <v>107</v>
      </c>
      <c r="N2130" s="841"/>
      <c r="O2130" s="884" t="s">
        <v>108</v>
      </c>
      <c r="P2130" s="842" t="s">
        <v>124</v>
      </c>
      <c r="Q2130" s="843"/>
      <c r="R2130" s="845" t="s">
        <v>6968</v>
      </c>
      <c r="S2130" s="1127" t="s">
        <v>6969</v>
      </c>
      <c r="T2130" s="843" t="s">
        <v>6970</v>
      </c>
      <c r="U2130" s="886">
        <v>1</v>
      </c>
      <c r="V2130" s="842" t="s">
        <v>3</v>
      </c>
      <c r="W2130" s="846"/>
      <c r="X2130" s="847"/>
      <c r="Y2130" s="853"/>
      <c r="Z2130" s="849">
        <v>37.5</v>
      </c>
      <c r="AA2130" s="849" t="s">
        <v>40</v>
      </c>
      <c r="AB2130" s="849"/>
      <c r="AC2130" s="850">
        <f t="shared" si="407"/>
        <v>37.5</v>
      </c>
      <c r="AD2130" s="851">
        <f t="shared" si="402"/>
        <v>32000</v>
      </c>
      <c r="AE2130" s="852">
        <v>30348.7</v>
      </c>
      <c r="AF2130" s="853">
        <v>0</v>
      </c>
      <c r="AG2130" s="854">
        <f t="shared" si="408"/>
        <v>0</v>
      </c>
      <c r="AH2130" s="853">
        <v>0.08</v>
      </c>
      <c r="AI2130" s="855">
        <f t="shared" si="409"/>
        <v>91046.1</v>
      </c>
      <c r="AJ2130" s="845" t="s">
        <v>6912</v>
      </c>
      <c r="AK2130" s="857">
        <v>45954</v>
      </c>
      <c r="AL2130" s="899" t="s">
        <v>6913</v>
      </c>
      <c r="AM2130" s="843"/>
      <c r="AN2130" s="844"/>
      <c r="AO2130" s="844" t="s">
        <v>1741</v>
      </c>
      <c r="AP2130" s="841"/>
      <c r="AQ2130" s="841">
        <v>45981</v>
      </c>
      <c r="AR2130" s="841">
        <v>46026</v>
      </c>
      <c r="AS2130" s="842" t="s">
        <v>6737</v>
      </c>
      <c r="AT2130" s="842" t="s">
        <v>1187</v>
      </c>
      <c r="AU2130" s="842" t="s">
        <v>1565</v>
      </c>
      <c r="AV2130" s="856" t="s">
        <v>6914</v>
      </c>
      <c r="AW2130" s="861">
        <v>46028</v>
      </c>
      <c r="AX2130" s="862">
        <v>46029</v>
      </c>
      <c r="AY2130" s="843" t="s">
        <v>6971</v>
      </c>
      <c r="AZ2130" s="843">
        <v>94059290</v>
      </c>
      <c r="BA2130" s="842" t="s">
        <v>120</v>
      </c>
      <c r="BB2130" s="863" t="s">
        <v>121</v>
      </c>
      <c r="BC2130" s="864">
        <v>46034</v>
      </c>
      <c r="BD2130" s="860" t="s">
        <v>6916</v>
      </c>
      <c r="BE2130" s="865" cm="1">
        <f t="array" ref="BE2130">IF(BD2130="","",AC2130/SUMPRODUCT(--(BD2130=$BD$4:$BD$12824),$AC$4:$AC$12824))</f>
        <v>1.705727058198497E-3</v>
      </c>
      <c r="BF2130" s="458"/>
      <c r="BG2130" s="458"/>
      <c r="BH2130" s="458"/>
      <c r="BI2130" s="458"/>
      <c r="BJ2130" s="458"/>
      <c r="BK2130" s="458"/>
      <c r="BL2130" s="458"/>
      <c r="BM2130" s="458"/>
      <c r="BN2130" s="458"/>
      <c r="BO2130" s="866">
        <f>VLOOKUP(BD2130,$BD$4:$BN$12824,3,0)*BE2130</f>
        <v>19571.503737134262</v>
      </c>
      <c r="BP2130" s="866"/>
      <c r="BQ2130" s="866"/>
      <c r="BR2130" s="866">
        <f>VLOOKUP(BD2130,$BD$4:$BN$12824,6,0)*BE2130</f>
        <v>12822.709976769762</v>
      </c>
      <c r="BS2130" s="866">
        <f>VLOOKUP(BD2130,$BD$4:$BN$12824,7,0)*BE2130</f>
        <v>1084.4283825373905</v>
      </c>
      <c r="BT2130" s="866"/>
      <c r="BU2130" s="866">
        <f>VLOOKUP(BD2130,$BD$4:$BN$12824,9,0)*BE2130</f>
        <v>43.359581819405797</v>
      </c>
      <c r="BV2130" s="867"/>
      <c r="BW2130" s="867">
        <f>VLOOKUP(BD2130,$BD$4:$BN$12824,11,0)*BE2130</f>
        <v>1023.4362349190982</v>
      </c>
      <c r="BX2130" s="1146">
        <f t="shared" si="410"/>
        <v>34545.437913179921</v>
      </c>
      <c r="BY2130" s="867">
        <f t="shared" si="412"/>
        <v>34545.437913179921</v>
      </c>
      <c r="BZ2130" s="867">
        <f t="shared" si="411"/>
        <v>34545.437913179921</v>
      </c>
      <c r="CA2130" s="867">
        <f>_xlfn.MAXIFS($BY$4:$BY$12824,$S$4:$S$12824,$S2130)</f>
        <v>34545.437913179921</v>
      </c>
      <c r="CB2130" s="1032"/>
      <c r="CF2130" s="946">
        <f t="shared" si="403"/>
        <v>1200000</v>
      </c>
    </row>
    <row r="2131" spans="2:84">
      <c r="B2131" s="839" t="s">
        <v>98</v>
      </c>
      <c r="C2131" s="839" t="s">
        <v>254</v>
      </c>
      <c r="D2131" s="839" t="s">
        <v>5634</v>
      </c>
      <c r="E2131" s="839" t="s">
        <v>5634</v>
      </c>
      <c r="F2131" s="841">
        <v>45772</v>
      </c>
      <c r="G2131" s="868" t="s">
        <v>5635</v>
      </c>
      <c r="H2131" s="842" t="s">
        <v>134</v>
      </c>
      <c r="I2131" s="883"/>
      <c r="J2131" s="841"/>
      <c r="K2131" s="841"/>
      <c r="L2131" s="843" t="s">
        <v>106</v>
      </c>
      <c r="M2131" s="844" t="s">
        <v>107</v>
      </c>
      <c r="N2131" s="841"/>
      <c r="O2131" s="884" t="s">
        <v>108</v>
      </c>
      <c r="P2131" s="842" t="s">
        <v>4990</v>
      </c>
      <c r="Q2131" s="843"/>
      <c r="R2131" s="845" t="s">
        <v>5666</v>
      </c>
      <c r="S2131" s="1127" t="s">
        <v>5667</v>
      </c>
      <c r="T2131" s="843" t="s">
        <v>6972</v>
      </c>
      <c r="U2131" s="886">
        <v>1</v>
      </c>
      <c r="V2131" s="842" t="s">
        <v>3</v>
      </c>
      <c r="W2131" s="846">
        <v>205</v>
      </c>
      <c r="X2131" s="847">
        <f t="shared" ref="X2131:X2143" si="413">W2131*U2131</f>
        <v>205</v>
      </c>
      <c r="Y2131" s="853">
        <f>1-Z2131/W2131</f>
        <v>0.51</v>
      </c>
      <c r="Z2131" s="849">
        <v>100.45</v>
      </c>
      <c r="AA2131" s="849"/>
      <c r="AB2131" s="849">
        <f t="shared" ref="AB2131:AB2206" si="414">IF(AA2131="F.O.C", 0, Z2131*U2131)</f>
        <v>100.45</v>
      </c>
      <c r="AC2131" s="850">
        <f t="shared" si="407"/>
        <v>100.45</v>
      </c>
      <c r="AD2131" s="851">
        <f t="shared" si="402"/>
        <v>32000</v>
      </c>
      <c r="AE2131" s="852">
        <v>30348.7</v>
      </c>
      <c r="AF2131" s="853">
        <v>0.25</v>
      </c>
      <c r="AG2131" s="854">
        <f t="shared" si="408"/>
        <v>775964.31795947347</v>
      </c>
      <c r="AH2131" s="853">
        <v>0.08</v>
      </c>
      <c r="AI2131" s="855">
        <f t="shared" si="409"/>
        <v>305959.29863675789</v>
      </c>
      <c r="AJ2131" s="845" t="s">
        <v>6912</v>
      </c>
      <c r="AK2131" s="857">
        <v>45954</v>
      </c>
      <c r="AL2131" s="899" t="s">
        <v>6913</v>
      </c>
      <c r="AM2131" s="843"/>
      <c r="AN2131" s="844"/>
      <c r="AO2131" s="844" t="s">
        <v>1741</v>
      </c>
      <c r="AP2131" s="841"/>
      <c r="AQ2131" s="841">
        <v>45981</v>
      </c>
      <c r="AR2131" s="841">
        <v>46026</v>
      </c>
      <c r="AS2131" s="842" t="s">
        <v>6737</v>
      </c>
      <c r="AT2131" s="842" t="s">
        <v>1187</v>
      </c>
      <c r="AU2131" s="842" t="s">
        <v>1565</v>
      </c>
      <c r="AV2131" s="856" t="s">
        <v>6914</v>
      </c>
      <c r="AW2131" s="861">
        <v>46028</v>
      </c>
      <c r="AX2131" s="862">
        <v>46029</v>
      </c>
      <c r="AY2131" s="843" t="s">
        <v>5669</v>
      </c>
      <c r="AZ2131" s="843">
        <v>94052190</v>
      </c>
      <c r="BA2131" s="842" t="s">
        <v>120</v>
      </c>
      <c r="BB2131" s="863" t="s">
        <v>121</v>
      </c>
      <c r="BC2131" s="864">
        <v>46034</v>
      </c>
      <c r="BD2131" s="860" t="s">
        <v>6916</v>
      </c>
      <c r="BE2131" s="865" cm="1">
        <f t="array" ref="BE2131">IF(BD2131="","",AC2131/SUMPRODUCT(--(BD2131=$BD$4:$BD$12824),$AC$4:$AC$12824))</f>
        <v>4.5690742132277074E-3</v>
      </c>
      <c r="BF2131" s="458"/>
      <c r="BG2131" s="458"/>
      <c r="BH2131" s="458"/>
      <c r="BI2131" s="458"/>
      <c r="BJ2131" s="458"/>
      <c r="BK2131" s="458"/>
      <c r="BL2131" s="458"/>
      <c r="BM2131" s="458"/>
      <c r="BN2131" s="458"/>
      <c r="BO2131" s="866">
        <f>VLOOKUP(BD2131,$BD$4:$BN$12824,3,0)*BE2131</f>
        <v>52425.53467720365</v>
      </c>
      <c r="BP2131" s="866"/>
      <c r="BQ2131" s="866"/>
      <c r="BR2131" s="866">
        <f>VLOOKUP(BD2131,$BD$4:$BN$12824,6,0)*BE2131</f>
        <v>34347.765791107275</v>
      </c>
      <c r="BS2131" s="866">
        <f>VLOOKUP(BD2131,$BD$4:$BN$12824,7,0)*BE2131</f>
        <v>2904.8221606901566</v>
      </c>
      <c r="BT2131" s="866"/>
      <c r="BU2131" s="866">
        <f>VLOOKUP(BD2131,$BD$4:$BN$12824,9,0)*BE2131</f>
        <v>116.14586650024832</v>
      </c>
      <c r="BV2131" s="867"/>
      <c r="BW2131" s="867">
        <f>VLOOKUP(BD2131,$BD$4:$BN$12824,11,0)*BE2131</f>
        <v>2741.4445279366246</v>
      </c>
      <c r="BX2131" s="1146">
        <f t="shared" si="410"/>
        <v>92535.713023437929</v>
      </c>
      <c r="BY2131" s="867">
        <f t="shared" si="412"/>
        <v>3917026.9459829116</v>
      </c>
      <c r="BZ2131" s="867">
        <f t="shared" si="411"/>
        <v>3917026.9459829116</v>
      </c>
      <c r="CA2131" s="867">
        <f>_xlfn.MAXIFS($BY$4:$BY$12824,$S$4:$S$12824,$S2131)</f>
        <v>3917026.9459829116</v>
      </c>
      <c r="CB2131" s="1032"/>
      <c r="CF2131" s="946">
        <f t="shared" si="403"/>
        <v>3214400</v>
      </c>
    </row>
    <row r="2132" spans="2:84">
      <c r="B2132" s="839" t="s">
        <v>98</v>
      </c>
      <c r="C2132" s="839" t="s">
        <v>254</v>
      </c>
      <c r="D2132" s="909" t="s">
        <v>5634</v>
      </c>
      <c r="E2132" s="909" t="s">
        <v>5634</v>
      </c>
      <c r="F2132" s="841">
        <v>45772</v>
      </c>
      <c r="G2132" s="868" t="s">
        <v>5635</v>
      </c>
      <c r="H2132" s="842" t="s">
        <v>134</v>
      </c>
      <c r="I2132" s="883"/>
      <c r="J2132" s="841"/>
      <c r="K2132" s="841"/>
      <c r="L2132" s="843" t="s">
        <v>106</v>
      </c>
      <c r="M2132" s="844" t="s">
        <v>107</v>
      </c>
      <c r="N2132" s="841"/>
      <c r="O2132" s="884" t="s">
        <v>108</v>
      </c>
      <c r="P2132" s="842" t="s">
        <v>4990</v>
      </c>
      <c r="Q2132" s="843"/>
      <c r="R2132" s="845" t="s">
        <v>6973</v>
      </c>
      <c r="S2132" s="1127" t="s">
        <v>6974</v>
      </c>
      <c r="T2132" s="843" t="s">
        <v>6975</v>
      </c>
      <c r="U2132" s="886">
        <v>2</v>
      </c>
      <c r="V2132" s="842" t="s">
        <v>3</v>
      </c>
      <c r="W2132" s="846">
        <v>160</v>
      </c>
      <c r="X2132" s="847">
        <f t="shared" si="413"/>
        <v>320</v>
      </c>
      <c r="Y2132" s="853">
        <f>1-Z2132/W2132</f>
        <v>0.51</v>
      </c>
      <c r="Z2132" s="849">
        <v>78.400000000000006</v>
      </c>
      <c r="AA2132" s="849"/>
      <c r="AB2132" s="849">
        <f t="shared" si="414"/>
        <v>156.80000000000001</v>
      </c>
      <c r="AC2132" s="850">
        <f t="shared" si="407"/>
        <v>156.80000000000001</v>
      </c>
      <c r="AD2132" s="851">
        <f t="shared" si="402"/>
        <v>32000</v>
      </c>
      <c r="AE2132" s="852">
        <v>30348.7</v>
      </c>
      <c r="AF2132" s="853">
        <v>0.25</v>
      </c>
      <c r="AG2132" s="854">
        <f t="shared" si="408"/>
        <v>1211261.3743757636</v>
      </c>
      <c r="AH2132" s="853">
        <v>0.08</v>
      </c>
      <c r="AI2132" s="855">
        <f t="shared" si="409"/>
        <v>477595.0027500611</v>
      </c>
      <c r="AJ2132" s="845" t="s">
        <v>6912</v>
      </c>
      <c r="AK2132" s="857">
        <v>45954</v>
      </c>
      <c r="AL2132" s="899" t="s">
        <v>6913</v>
      </c>
      <c r="AM2132" s="843"/>
      <c r="AN2132" s="844"/>
      <c r="AO2132" s="844" t="s">
        <v>1741</v>
      </c>
      <c r="AP2132" s="841"/>
      <c r="AQ2132" s="841">
        <v>45981</v>
      </c>
      <c r="AR2132" s="841">
        <v>46026</v>
      </c>
      <c r="AS2132" s="842" t="s">
        <v>6737</v>
      </c>
      <c r="AT2132" s="842" t="s">
        <v>1187</v>
      </c>
      <c r="AU2132" s="842" t="s">
        <v>1565</v>
      </c>
      <c r="AV2132" s="856" t="s">
        <v>6914</v>
      </c>
      <c r="AW2132" s="861">
        <v>46028</v>
      </c>
      <c r="AX2132" s="862">
        <v>46029</v>
      </c>
      <c r="AY2132" s="843" t="s">
        <v>6976</v>
      </c>
      <c r="AZ2132" s="843">
        <v>94052190</v>
      </c>
      <c r="BA2132" s="842" t="s">
        <v>120</v>
      </c>
      <c r="BB2132" s="863" t="s">
        <v>121</v>
      </c>
      <c r="BC2132" s="864">
        <v>46034</v>
      </c>
      <c r="BD2132" s="860" t="s">
        <v>6916</v>
      </c>
      <c r="BE2132" s="865" cm="1">
        <f t="array" ref="BE2132">IF(BD2132="","",AC2132/SUMPRODUCT(--(BD2132=$BD$4:$BD$12824),$AC$4:$AC$12824))</f>
        <v>7.1322134060139829E-3</v>
      </c>
      <c r="BF2132" s="458"/>
      <c r="BG2132" s="458"/>
      <c r="BH2132" s="458"/>
      <c r="BI2132" s="458"/>
      <c r="BJ2132" s="458"/>
      <c r="BK2132" s="458"/>
      <c r="BL2132" s="458"/>
      <c r="BM2132" s="458"/>
      <c r="BN2132" s="458"/>
      <c r="BO2132" s="866">
        <f>VLOOKUP(BD2132,$BD$4:$BN$12824,3,0)*BE2132</f>
        <v>81834.98095953741</v>
      </c>
      <c r="BP2132" s="866"/>
      <c r="BQ2132" s="866"/>
      <c r="BR2132" s="866">
        <f>VLOOKUP(BD2132,$BD$4:$BN$12824,6,0)*BE2132</f>
        <v>53616.024649533305</v>
      </c>
      <c r="BS2132" s="866">
        <f>VLOOKUP(BD2132,$BD$4:$BN$12824,7,0)*BE2132</f>
        <v>4534.3565435163428</v>
      </c>
      <c r="BT2132" s="866"/>
      <c r="BU2132" s="866">
        <f>VLOOKUP(BD2132,$BD$4:$BN$12824,9,0)*BE2132</f>
        <v>181.30086478087546</v>
      </c>
      <c r="BV2132" s="867"/>
      <c r="BW2132" s="867">
        <f>VLOOKUP(BD2132,$BD$4:$BN$12824,11,0)*BE2132</f>
        <v>4279.3280436083896</v>
      </c>
      <c r="BX2132" s="1146">
        <f t="shared" si="410"/>
        <v>144445.99106097632</v>
      </c>
      <c r="BY2132" s="867">
        <f t="shared" si="412"/>
        <v>3057191.7627183697</v>
      </c>
      <c r="BZ2132" s="867">
        <f t="shared" si="411"/>
        <v>6114383.5254367394</v>
      </c>
      <c r="CA2132" s="867">
        <f>_xlfn.MAXIFS($BY$4:$BY$12824,$S$4:$S$12824,$S2132)</f>
        <v>3057191.7627183697</v>
      </c>
      <c r="CB2132" s="1032"/>
      <c r="CF2132" s="946">
        <f t="shared" si="403"/>
        <v>5017600</v>
      </c>
    </row>
    <row r="2133" spans="2:84">
      <c r="B2133" s="839" t="s">
        <v>98</v>
      </c>
      <c r="C2133" s="839" t="s">
        <v>99</v>
      </c>
      <c r="D2133" s="839" t="s">
        <v>6977</v>
      </c>
      <c r="E2133" s="839" t="s">
        <v>6977</v>
      </c>
      <c r="F2133" s="841">
        <v>45961</v>
      </c>
      <c r="G2133" s="839" t="s">
        <v>99</v>
      </c>
      <c r="H2133" s="883" t="s">
        <v>134</v>
      </c>
      <c r="I2133" s="883"/>
      <c r="J2133" s="841"/>
      <c r="K2133" s="841"/>
      <c r="L2133" s="843" t="s">
        <v>1135</v>
      </c>
      <c r="M2133" s="844" t="s">
        <v>107</v>
      </c>
      <c r="N2133" s="841"/>
      <c r="O2133" s="884" t="s">
        <v>108</v>
      </c>
      <c r="P2133" s="842" t="s">
        <v>3622</v>
      </c>
      <c r="Q2133" s="843"/>
      <c r="R2133" s="845">
        <v>5741114506</v>
      </c>
      <c r="S2133" s="1127" t="s">
        <v>6978</v>
      </c>
      <c r="T2133" s="843" t="s">
        <v>6979</v>
      </c>
      <c r="U2133" s="886">
        <v>2</v>
      </c>
      <c r="V2133" s="842" t="s">
        <v>3</v>
      </c>
      <c r="W2133" s="846">
        <v>14700</v>
      </c>
      <c r="X2133" s="847">
        <f t="shared" si="413"/>
        <v>29400</v>
      </c>
      <c r="Y2133" s="853" t="s">
        <v>6980</v>
      </c>
      <c r="Z2133" s="849">
        <v>5733</v>
      </c>
      <c r="AA2133" s="849"/>
      <c r="AB2133" s="849">
        <f t="shared" si="414"/>
        <v>11466</v>
      </c>
      <c r="AC2133" s="850">
        <f t="shared" si="407"/>
        <v>11466</v>
      </c>
      <c r="AD2133" s="851">
        <f t="shared" si="402"/>
        <v>32000</v>
      </c>
      <c r="AE2133" s="852">
        <v>30800</v>
      </c>
      <c r="AF2133" s="853">
        <v>0</v>
      </c>
      <c r="AG2133" s="854">
        <f t="shared" si="408"/>
        <v>0</v>
      </c>
      <c r="AH2133" s="853">
        <v>0.08</v>
      </c>
      <c r="AI2133" s="855">
        <f t="shared" si="409"/>
        <v>29319289.876363635</v>
      </c>
      <c r="AJ2133" s="845" t="s">
        <v>6977</v>
      </c>
      <c r="AK2133" s="857">
        <v>45974</v>
      </c>
      <c r="AL2133" s="899" t="s">
        <v>6981</v>
      </c>
      <c r="AM2133" s="843"/>
      <c r="AN2133" s="844"/>
      <c r="AO2133" s="844" t="s">
        <v>1741</v>
      </c>
      <c r="AP2133" s="841"/>
      <c r="AQ2133" s="841">
        <v>46002</v>
      </c>
      <c r="AR2133" s="841">
        <v>46038</v>
      </c>
      <c r="AS2133" s="842" t="s">
        <v>4266</v>
      </c>
      <c r="AT2133" s="842" t="s">
        <v>1187</v>
      </c>
      <c r="AU2133" s="842" t="s">
        <v>6575</v>
      </c>
      <c r="AV2133" s="856" t="s">
        <v>6982</v>
      </c>
      <c r="AW2133" s="861">
        <v>46038</v>
      </c>
      <c r="AX2133" s="861">
        <v>46038</v>
      </c>
      <c r="AY2133" s="843" t="s">
        <v>6983</v>
      </c>
      <c r="AZ2133" s="842">
        <v>94051199</v>
      </c>
      <c r="BA2133" s="842" t="s">
        <v>120</v>
      </c>
      <c r="BB2133" s="863" t="s">
        <v>121</v>
      </c>
      <c r="BC2133" s="864">
        <v>46042</v>
      </c>
      <c r="BD2133" s="860" t="s">
        <v>6984</v>
      </c>
      <c r="BE2133" s="865" cm="1">
        <f t="array" ref="BE2133">IF(BD2133="","",AC2133/SUMPRODUCT(--(BD2133=$BD$4:$BD$12824),$AC$4:$AC$12824))</f>
        <v>0.46912398276687406</v>
      </c>
      <c r="BF2133" s="458" cm="1">
        <f t="array" ref="BF2133">SUM(_xlfn._xlws.FILTER( INDEX(Cost!$B$3:$BK$77,MATCH(LDL!$BD2133, Cost!$F$3:$F$77, 0),0),Cost!$B$3:$BK$3 = BF$3))</f>
        <v>12613578</v>
      </c>
      <c r="BG2133" s="458"/>
      <c r="BH2133" s="458"/>
      <c r="BI2133" s="458" cm="1">
        <f t="array" ref="BI2133">SUM(_xlfn._xlws.FILTER( INDEX(Cost!$B$3:$BK$77,MATCH(LDL!$BD2133, Cost!$F$3:$F$77, 0),0),Cost!$B$3:$BK$3 = BI$3))/1.08</f>
        <v>4791247.222222222</v>
      </c>
      <c r="BJ2133" s="458" cm="1">
        <f t="array" ref="BJ2133">SUM(_xlfn._xlws.FILTER( INDEX(Cost!$B$3:$BK$77,MATCH(LDL!$BD2133, Cost!$F$3:$F$77, 0),0),Cost!$B$3:$BK$3 = BJ$3))</f>
        <v>724745.45454545447</v>
      </c>
      <c r="BK2133" s="458"/>
      <c r="BL2133" s="458" cm="1">
        <f t="array" ref="BL2133">SUM(_xlfn._xlws.FILTER( INDEX(Cost!$B$3:$BK$77,MATCH(LDL!$BD2133, Cost!$F$3:$F$77, 0),0),Cost!$B$3:$BK$3 = BL$3))</f>
        <v>20000</v>
      </c>
      <c r="BM2133" s="458"/>
      <c r="BN2133" s="458" cm="1">
        <f t="array" ref="BN2133">SUM(_xlfn._xlws.FILTER( INDEX(Cost!$B$3:$BK$77,MATCH(LDL!$BD2133, Cost!$F$3:$F$77, 0),0),Cost!$B$3:$BK$3 = BN$3))/1.08</f>
        <v>600000</v>
      </c>
      <c r="BO2133" s="866">
        <f>VLOOKUP(BD2133,$BD$4:$BN$12824,3,0)*BE2133</f>
        <v>5917331.9483006215</v>
      </c>
      <c r="BP2133" s="866"/>
      <c r="BQ2133" s="866"/>
      <c r="BR2133" s="866">
        <f>VLOOKUP(BD2133,$BD$4:$BN$12824,6,0)*BE2133</f>
        <v>2247688.979309611</v>
      </c>
      <c r="BS2133" s="866">
        <f>VLOOKUP(BD2133,$BD$4:$BN$12824,7,0)*BE2133</f>
        <v>339995.47412855207</v>
      </c>
      <c r="BT2133" s="866"/>
      <c r="BU2133" s="866">
        <f>VLOOKUP(BD2133,$BD$4:$BN$12824,9,0)*BE2133</f>
        <v>9382.4796553374817</v>
      </c>
      <c r="BV2133" s="867"/>
      <c r="BW2133" s="867">
        <f>VLOOKUP(BD2133,$BD$4:$BN$12824,11,0)*BE2133</f>
        <v>281474.38966012443</v>
      </c>
      <c r="BX2133" s="1146">
        <f t="shared" si="410"/>
        <v>8795873.2710542455</v>
      </c>
      <c r="BY2133" s="867">
        <f t="shared" si="412"/>
        <v>180974336.63552713</v>
      </c>
      <c r="BZ2133" s="867">
        <f t="shared" si="411"/>
        <v>361948673.27105427</v>
      </c>
      <c r="CA2133" s="867">
        <f>_xlfn.MAXIFS($BY$4:$BY$12824,$S$4:$S$12824,$S2133)</f>
        <v>180974336.63552713</v>
      </c>
      <c r="CB2133" s="1032"/>
      <c r="CF2133" s="946">
        <f t="shared" si="403"/>
        <v>366912000</v>
      </c>
    </row>
    <row r="2134" spans="2:84">
      <c r="B2134" s="839" t="s">
        <v>98</v>
      </c>
      <c r="C2134" s="839" t="s">
        <v>99</v>
      </c>
      <c r="D2134" s="839" t="s">
        <v>6977</v>
      </c>
      <c r="E2134" s="839" t="s">
        <v>6977</v>
      </c>
      <c r="F2134" s="841">
        <v>45961</v>
      </c>
      <c r="G2134" s="839" t="s">
        <v>99</v>
      </c>
      <c r="H2134" s="883" t="s">
        <v>134</v>
      </c>
      <c r="I2134" s="883"/>
      <c r="J2134" s="841"/>
      <c r="K2134" s="841"/>
      <c r="L2134" s="843" t="s">
        <v>1135</v>
      </c>
      <c r="M2134" s="844" t="s">
        <v>107</v>
      </c>
      <c r="N2134" s="841"/>
      <c r="O2134" s="884" t="s">
        <v>108</v>
      </c>
      <c r="P2134" s="842" t="s">
        <v>3622</v>
      </c>
      <c r="Q2134" s="843"/>
      <c r="R2134" s="845">
        <v>5741114409</v>
      </c>
      <c r="S2134" s="1127" t="s">
        <v>6985</v>
      </c>
      <c r="T2134" s="843" t="s">
        <v>6986</v>
      </c>
      <c r="U2134" s="886">
        <v>1</v>
      </c>
      <c r="V2134" s="842" t="s">
        <v>3</v>
      </c>
      <c r="W2134" s="846">
        <v>14700</v>
      </c>
      <c r="X2134" s="847">
        <f t="shared" si="413"/>
        <v>14700</v>
      </c>
      <c r="Y2134" s="853" t="s">
        <v>6980</v>
      </c>
      <c r="Z2134" s="849">
        <v>5733</v>
      </c>
      <c r="AA2134" s="849"/>
      <c r="AB2134" s="849">
        <f t="shared" si="414"/>
        <v>5733</v>
      </c>
      <c r="AC2134" s="850">
        <f t="shared" si="407"/>
        <v>5733</v>
      </c>
      <c r="AD2134" s="851">
        <f t="shared" si="402"/>
        <v>32000</v>
      </c>
      <c r="AE2134" s="852">
        <v>30800</v>
      </c>
      <c r="AF2134" s="853">
        <v>0</v>
      </c>
      <c r="AG2134" s="854">
        <f t="shared" si="408"/>
        <v>0</v>
      </c>
      <c r="AH2134" s="853">
        <v>0.08</v>
      </c>
      <c r="AI2134" s="855">
        <f t="shared" si="409"/>
        <v>14126112</v>
      </c>
      <c r="AJ2134" s="845" t="s">
        <v>6977</v>
      </c>
      <c r="AK2134" s="857">
        <v>45974</v>
      </c>
      <c r="AL2134" s="899" t="s">
        <v>6981</v>
      </c>
      <c r="AM2134" s="843"/>
      <c r="AN2134" s="844"/>
      <c r="AO2134" s="844" t="s">
        <v>1741</v>
      </c>
      <c r="AP2134" s="841"/>
      <c r="AQ2134" s="841">
        <v>46002</v>
      </c>
      <c r="AR2134" s="841">
        <v>46038</v>
      </c>
      <c r="AS2134" s="842" t="s">
        <v>4266</v>
      </c>
      <c r="AT2134" s="842" t="s">
        <v>1187</v>
      </c>
      <c r="AU2134" s="842" t="s">
        <v>6575</v>
      </c>
      <c r="AV2134" s="856" t="s">
        <v>6982</v>
      </c>
      <c r="AW2134" s="861">
        <v>46038</v>
      </c>
      <c r="AX2134" s="861">
        <v>46038</v>
      </c>
      <c r="AY2134" s="843" t="s">
        <v>6987</v>
      </c>
      <c r="AZ2134" s="842">
        <v>94051199</v>
      </c>
      <c r="BA2134" s="842" t="s">
        <v>120</v>
      </c>
      <c r="BB2134" s="863" t="s">
        <v>121</v>
      </c>
      <c r="BC2134" s="864">
        <v>46042</v>
      </c>
      <c r="BD2134" s="860" t="s">
        <v>6984</v>
      </c>
      <c r="BE2134" s="865" cm="1">
        <f t="array" ref="BE2134">IF(BD2134="","",AC2134/SUMPRODUCT(--(BD2134=$BD$4:$BD$12824),$AC$4:$AC$12824))</f>
        <v>0.23456199138343703</v>
      </c>
      <c r="BF2134" s="458"/>
      <c r="BG2134" s="458"/>
      <c r="BH2134" s="458"/>
      <c r="BI2134" s="458"/>
      <c r="BJ2134" s="458"/>
      <c r="BK2134" s="458"/>
      <c r="BL2134" s="458"/>
      <c r="BM2134" s="458"/>
      <c r="BN2134" s="458"/>
      <c r="BO2134" s="866">
        <f>VLOOKUP(BD2134,$BD$4:$BN$12824,3,0)*BE2134</f>
        <v>2958665.9741503107</v>
      </c>
      <c r="BP2134" s="866"/>
      <c r="BQ2134" s="866"/>
      <c r="BR2134" s="866">
        <f>VLOOKUP(BD2134,$BD$4:$BN$12824,6,0)*BE2134</f>
        <v>1123844.4896548055</v>
      </c>
      <c r="BS2134" s="866">
        <f>VLOOKUP(BD2134,$BD$4:$BN$12824,7,0)*BE2134</f>
        <v>169997.73706427604</v>
      </c>
      <c r="BT2134" s="866"/>
      <c r="BU2134" s="866">
        <f>VLOOKUP(BD2134,$BD$4:$BN$12824,9,0)*BE2134</f>
        <v>4691.2398276687409</v>
      </c>
      <c r="BV2134" s="867"/>
      <c r="BW2134" s="867">
        <f>VLOOKUP(BD2134,$BD$4:$BN$12824,11,0)*BE2134</f>
        <v>140737.19483006222</v>
      </c>
      <c r="BX2134" s="1146">
        <f t="shared" si="410"/>
        <v>4397936.6355271228</v>
      </c>
      <c r="BY2134" s="867">
        <f t="shared" si="412"/>
        <v>180974336.63552713</v>
      </c>
      <c r="BZ2134" s="867">
        <f t="shared" si="411"/>
        <v>180974336.63552713</v>
      </c>
      <c r="CA2134" s="867">
        <f>_xlfn.MAXIFS($BY$4:$BY$12824,$S$4:$S$12824,$S2134)</f>
        <v>180974336.63552713</v>
      </c>
      <c r="CB2134" s="1032"/>
      <c r="CF2134" s="946">
        <f t="shared" si="403"/>
        <v>183456000</v>
      </c>
    </row>
    <row r="2135" spans="2:84">
      <c r="B2135" s="839" t="s">
        <v>98</v>
      </c>
      <c r="C2135" s="839" t="s">
        <v>99</v>
      </c>
      <c r="D2135" s="839" t="s">
        <v>6977</v>
      </c>
      <c r="E2135" s="839" t="s">
        <v>6977</v>
      </c>
      <c r="F2135" s="841">
        <v>45961</v>
      </c>
      <c r="G2135" s="839" t="s">
        <v>99</v>
      </c>
      <c r="H2135" s="883" t="s">
        <v>134</v>
      </c>
      <c r="I2135" s="883"/>
      <c r="J2135" s="841"/>
      <c r="K2135" s="841"/>
      <c r="L2135" s="843" t="s">
        <v>1135</v>
      </c>
      <c r="M2135" s="844" t="s">
        <v>107</v>
      </c>
      <c r="N2135" s="841"/>
      <c r="O2135" s="884" t="s">
        <v>108</v>
      </c>
      <c r="P2135" s="842" t="s">
        <v>3622</v>
      </c>
      <c r="Q2135" s="843"/>
      <c r="R2135" s="845">
        <v>5741099870</v>
      </c>
      <c r="S2135" s="1127" t="s">
        <v>6988</v>
      </c>
      <c r="T2135" s="843" t="s">
        <v>6989</v>
      </c>
      <c r="U2135" s="886">
        <v>5</v>
      </c>
      <c r="V2135" s="842" t="s">
        <v>3</v>
      </c>
      <c r="W2135" s="846">
        <v>1000</v>
      </c>
      <c r="X2135" s="847">
        <f t="shared" si="413"/>
        <v>5000</v>
      </c>
      <c r="Y2135" s="853" t="s">
        <v>6980</v>
      </c>
      <c r="Z2135" s="849">
        <v>390</v>
      </c>
      <c r="AA2135" s="849"/>
      <c r="AB2135" s="849">
        <f t="shared" si="414"/>
        <v>1950</v>
      </c>
      <c r="AC2135" s="850">
        <f t="shared" si="407"/>
        <v>1950</v>
      </c>
      <c r="AD2135" s="851">
        <f t="shared" si="402"/>
        <v>32000</v>
      </c>
      <c r="AE2135" s="852">
        <v>30800</v>
      </c>
      <c r="AF2135" s="853">
        <v>0</v>
      </c>
      <c r="AG2135" s="854">
        <f t="shared" si="408"/>
        <v>0</v>
      </c>
      <c r="AH2135" s="853">
        <v>0.08</v>
      </c>
      <c r="AI2135" s="855">
        <f t="shared" si="409"/>
        <v>4804800</v>
      </c>
      <c r="AJ2135" s="845" t="s">
        <v>6977</v>
      </c>
      <c r="AK2135" s="857">
        <v>45974</v>
      </c>
      <c r="AL2135" s="899" t="s">
        <v>6981</v>
      </c>
      <c r="AM2135" s="843"/>
      <c r="AN2135" s="844"/>
      <c r="AO2135" s="844" t="s">
        <v>1741</v>
      </c>
      <c r="AP2135" s="841"/>
      <c r="AQ2135" s="841">
        <v>46002</v>
      </c>
      <c r="AR2135" s="841">
        <v>46038</v>
      </c>
      <c r="AS2135" s="842" t="s">
        <v>4266</v>
      </c>
      <c r="AT2135" s="842" t="s">
        <v>1187</v>
      </c>
      <c r="AU2135" s="842" t="s">
        <v>6575</v>
      </c>
      <c r="AV2135" s="856" t="s">
        <v>6982</v>
      </c>
      <c r="AW2135" s="861">
        <v>46038</v>
      </c>
      <c r="AX2135" s="861">
        <v>46038</v>
      </c>
      <c r="AY2135" s="843" t="s">
        <v>6990</v>
      </c>
      <c r="AZ2135" s="842">
        <v>94051999</v>
      </c>
      <c r="BA2135" s="842" t="s">
        <v>120</v>
      </c>
      <c r="BB2135" s="863" t="s">
        <v>121</v>
      </c>
      <c r="BC2135" s="864">
        <v>46042</v>
      </c>
      <c r="BD2135" s="860" t="s">
        <v>6984</v>
      </c>
      <c r="BE2135" s="865" cm="1">
        <f t="array" ref="BE2135">IF(BD2135="","",AC2135/SUMPRODUCT(--(BD2135=$BD$4:$BD$12824),$AC$4:$AC$12824))</f>
        <v>7.9782990266475173E-2</v>
      </c>
      <c r="BF2135" s="458"/>
      <c r="BG2135" s="458"/>
      <c r="BH2135" s="458"/>
      <c r="BI2135" s="458"/>
      <c r="BJ2135" s="458"/>
      <c r="BK2135" s="458"/>
      <c r="BL2135" s="458"/>
      <c r="BM2135" s="458"/>
      <c r="BN2135" s="458"/>
      <c r="BO2135" s="866">
        <f>VLOOKUP(BD2135,$BD$4:$BN$12824,3,0)*BE2135</f>
        <v>1006348.9707994254</v>
      </c>
      <c r="BP2135" s="866"/>
      <c r="BQ2135" s="866"/>
      <c r="BR2135" s="866">
        <f>VLOOKUP(BD2135,$BD$4:$BN$12824,6,0)*BE2135</f>
        <v>382260.03049483174</v>
      </c>
      <c r="BS2135" s="866">
        <f>VLOOKUP(BD2135,$BD$4:$BN$12824,7,0)*BE2135</f>
        <v>57822.359545672116</v>
      </c>
      <c r="BT2135" s="866"/>
      <c r="BU2135" s="866">
        <f>VLOOKUP(BD2135,$BD$4:$BN$12824,9,0)*BE2135</f>
        <v>1595.6598053295036</v>
      </c>
      <c r="BV2135" s="867"/>
      <c r="BW2135" s="867">
        <f>VLOOKUP(BD2135,$BD$4:$BN$12824,11,0)*BE2135</f>
        <v>47869.794159885103</v>
      </c>
      <c r="BX2135" s="1146">
        <f t="shared" si="410"/>
        <v>1495896.8148051437</v>
      </c>
      <c r="BY2135" s="867">
        <f t="shared" si="412"/>
        <v>12311179.362961028</v>
      </c>
      <c r="BZ2135" s="867">
        <f t="shared" si="411"/>
        <v>61555896.814805135</v>
      </c>
      <c r="CA2135" s="867">
        <f>_xlfn.MAXIFS($BY$4:$BY$12824,$S$4:$S$12824,$S2135)</f>
        <v>12311179.362961028</v>
      </c>
      <c r="CB2135" s="1032"/>
      <c r="CF2135" s="946">
        <f t="shared" si="403"/>
        <v>62400000</v>
      </c>
    </row>
    <row r="2136" spans="2:84">
      <c r="B2136" s="839" t="s">
        <v>98</v>
      </c>
      <c r="C2136" s="839" t="s">
        <v>99</v>
      </c>
      <c r="D2136" s="839" t="s">
        <v>6977</v>
      </c>
      <c r="E2136" s="839" t="s">
        <v>6977</v>
      </c>
      <c r="F2136" s="841">
        <v>45961</v>
      </c>
      <c r="G2136" s="839" t="s">
        <v>99</v>
      </c>
      <c r="H2136" s="883" t="s">
        <v>134</v>
      </c>
      <c r="I2136" s="883"/>
      <c r="J2136" s="841"/>
      <c r="K2136" s="841"/>
      <c r="L2136" s="843" t="s">
        <v>1135</v>
      </c>
      <c r="M2136" s="844" t="s">
        <v>107</v>
      </c>
      <c r="N2136" s="841"/>
      <c r="O2136" s="884" t="s">
        <v>108</v>
      </c>
      <c r="P2136" s="842" t="s">
        <v>3622</v>
      </c>
      <c r="Q2136" s="843"/>
      <c r="R2136" s="845">
        <v>5741104574</v>
      </c>
      <c r="S2136" s="1127" t="s">
        <v>1166</v>
      </c>
      <c r="T2136" s="843" t="s">
        <v>6991</v>
      </c>
      <c r="U2136" s="886">
        <v>5</v>
      </c>
      <c r="V2136" s="842" t="s">
        <v>3</v>
      </c>
      <c r="W2136" s="846">
        <v>1000</v>
      </c>
      <c r="X2136" s="847">
        <f t="shared" si="413"/>
        <v>5000</v>
      </c>
      <c r="Y2136" s="853" t="s">
        <v>6980</v>
      </c>
      <c r="Z2136" s="849">
        <v>390</v>
      </c>
      <c r="AA2136" s="849"/>
      <c r="AB2136" s="849">
        <f t="shared" si="414"/>
        <v>1950</v>
      </c>
      <c r="AC2136" s="850">
        <f t="shared" si="407"/>
        <v>1950</v>
      </c>
      <c r="AD2136" s="851">
        <f t="shared" si="402"/>
        <v>32000</v>
      </c>
      <c r="AE2136" s="852">
        <v>30800</v>
      </c>
      <c r="AF2136" s="853">
        <v>0</v>
      </c>
      <c r="AG2136" s="854">
        <f t="shared" si="408"/>
        <v>0</v>
      </c>
      <c r="AH2136" s="853">
        <v>0.08</v>
      </c>
      <c r="AI2136" s="855">
        <f t="shared" si="409"/>
        <v>4804800</v>
      </c>
      <c r="AJ2136" s="845" t="s">
        <v>6977</v>
      </c>
      <c r="AK2136" s="857">
        <v>45974</v>
      </c>
      <c r="AL2136" s="899" t="s">
        <v>6981</v>
      </c>
      <c r="AM2136" s="843"/>
      <c r="AN2136" s="844"/>
      <c r="AO2136" s="844" t="s">
        <v>1741</v>
      </c>
      <c r="AP2136" s="841"/>
      <c r="AQ2136" s="841">
        <v>46002</v>
      </c>
      <c r="AR2136" s="841">
        <v>46038</v>
      </c>
      <c r="AS2136" s="842" t="s">
        <v>4266</v>
      </c>
      <c r="AT2136" s="842" t="s">
        <v>1187</v>
      </c>
      <c r="AU2136" s="842" t="s">
        <v>6575</v>
      </c>
      <c r="AV2136" s="856" t="s">
        <v>6982</v>
      </c>
      <c r="AW2136" s="861">
        <v>46038</v>
      </c>
      <c r="AX2136" s="861">
        <v>46038</v>
      </c>
      <c r="AY2136" s="843" t="s">
        <v>6992</v>
      </c>
      <c r="AZ2136" s="842">
        <v>94051999</v>
      </c>
      <c r="BA2136" s="842" t="s">
        <v>120</v>
      </c>
      <c r="BB2136" s="863" t="s">
        <v>121</v>
      </c>
      <c r="BC2136" s="864">
        <v>46042</v>
      </c>
      <c r="BD2136" s="860" t="s">
        <v>6984</v>
      </c>
      <c r="BE2136" s="865" cm="1">
        <f t="array" ref="BE2136">IF(BD2136="","",AC2136/SUMPRODUCT(--(BD2136=$BD$4:$BD$12824),$AC$4:$AC$12824))</f>
        <v>7.9782990266475173E-2</v>
      </c>
      <c r="BF2136" s="458"/>
      <c r="BG2136" s="458"/>
      <c r="BH2136" s="458"/>
      <c r="BI2136" s="458"/>
      <c r="BJ2136" s="458"/>
      <c r="BK2136" s="458"/>
      <c r="BL2136" s="458"/>
      <c r="BM2136" s="458"/>
      <c r="BN2136" s="458"/>
      <c r="BO2136" s="866">
        <f>VLOOKUP(BD2136,$BD$4:$BN$12824,3,0)*BE2136</f>
        <v>1006348.9707994254</v>
      </c>
      <c r="BP2136" s="866"/>
      <c r="BQ2136" s="866"/>
      <c r="BR2136" s="866">
        <f>VLOOKUP(BD2136,$BD$4:$BN$12824,6,0)*BE2136</f>
        <v>382260.03049483174</v>
      </c>
      <c r="BS2136" s="866">
        <f>VLOOKUP(BD2136,$BD$4:$BN$12824,7,0)*BE2136</f>
        <v>57822.359545672116</v>
      </c>
      <c r="BT2136" s="866"/>
      <c r="BU2136" s="866">
        <f>VLOOKUP(BD2136,$BD$4:$BN$12824,9,0)*BE2136</f>
        <v>1595.6598053295036</v>
      </c>
      <c r="BV2136" s="867"/>
      <c r="BW2136" s="867">
        <f>VLOOKUP(BD2136,$BD$4:$BN$12824,11,0)*BE2136</f>
        <v>47869.794159885103</v>
      </c>
      <c r="BX2136" s="1146">
        <f t="shared" si="410"/>
        <v>1495896.8148051437</v>
      </c>
      <c r="BY2136" s="867">
        <f t="shared" si="412"/>
        <v>12311179.362961028</v>
      </c>
      <c r="BZ2136" s="867">
        <f t="shared" si="411"/>
        <v>61555896.814805135</v>
      </c>
      <c r="CA2136" s="867">
        <f>_xlfn.MAXIFS($BY$4:$BY$12824,$S$4:$S$12824,$S2136)</f>
        <v>15830318.678699292</v>
      </c>
      <c r="CB2136" s="1032"/>
      <c r="CF2136" s="946">
        <f t="shared" si="403"/>
        <v>62400000</v>
      </c>
    </row>
    <row r="2137" spans="2:84">
      <c r="B2137" s="839" t="s">
        <v>98</v>
      </c>
      <c r="C2137" s="839" t="s">
        <v>99</v>
      </c>
      <c r="D2137" s="839" t="s">
        <v>6977</v>
      </c>
      <c r="E2137" s="839" t="s">
        <v>6977</v>
      </c>
      <c r="F2137" s="841">
        <v>45961</v>
      </c>
      <c r="G2137" s="839" t="s">
        <v>99</v>
      </c>
      <c r="H2137" s="883" t="s">
        <v>134</v>
      </c>
      <c r="I2137" s="883"/>
      <c r="J2137" s="841"/>
      <c r="K2137" s="841"/>
      <c r="L2137" s="843" t="s">
        <v>1135</v>
      </c>
      <c r="M2137" s="844" t="s">
        <v>107</v>
      </c>
      <c r="N2137" s="841"/>
      <c r="O2137" s="884" t="s">
        <v>108</v>
      </c>
      <c r="P2137" s="842" t="s">
        <v>3622</v>
      </c>
      <c r="Q2137" s="843"/>
      <c r="R2137" s="845">
        <v>5741099867</v>
      </c>
      <c r="S2137" s="1127" t="s">
        <v>6993</v>
      </c>
      <c r="T2137" s="843" t="s">
        <v>6994</v>
      </c>
      <c r="U2137" s="886">
        <v>5</v>
      </c>
      <c r="V2137" s="842" t="s">
        <v>3</v>
      </c>
      <c r="W2137" s="846">
        <v>1000</v>
      </c>
      <c r="X2137" s="847">
        <f t="shared" si="413"/>
        <v>5000</v>
      </c>
      <c r="Y2137" s="853" t="s">
        <v>6980</v>
      </c>
      <c r="Z2137" s="849">
        <v>390</v>
      </c>
      <c r="AA2137" s="849"/>
      <c r="AB2137" s="849">
        <f t="shared" si="414"/>
        <v>1950</v>
      </c>
      <c r="AC2137" s="850">
        <f t="shared" si="407"/>
        <v>1950</v>
      </c>
      <c r="AD2137" s="851">
        <f t="shared" si="402"/>
        <v>32000</v>
      </c>
      <c r="AE2137" s="852">
        <v>30800</v>
      </c>
      <c r="AF2137" s="853">
        <v>0</v>
      </c>
      <c r="AG2137" s="854">
        <f t="shared" si="408"/>
        <v>0</v>
      </c>
      <c r="AH2137" s="853">
        <v>0.08</v>
      </c>
      <c r="AI2137" s="855">
        <f t="shared" si="409"/>
        <v>4804800</v>
      </c>
      <c r="AJ2137" s="845" t="s">
        <v>6977</v>
      </c>
      <c r="AK2137" s="857">
        <v>45974</v>
      </c>
      <c r="AL2137" s="899" t="s">
        <v>6981</v>
      </c>
      <c r="AM2137" s="843"/>
      <c r="AN2137" s="844"/>
      <c r="AO2137" s="844" t="s">
        <v>1741</v>
      </c>
      <c r="AP2137" s="841"/>
      <c r="AQ2137" s="841">
        <v>46002</v>
      </c>
      <c r="AR2137" s="841">
        <v>46038</v>
      </c>
      <c r="AS2137" s="842" t="s">
        <v>4266</v>
      </c>
      <c r="AT2137" s="842" t="s">
        <v>1187</v>
      </c>
      <c r="AU2137" s="842" t="s">
        <v>6575</v>
      </c>
      <c r="AV2137" s="856" t="s">
        <v>6982</v>
      </c>
      <c r="AW2137" s="861">
        <v>46038</v>
      </c>
      <c r="AX2137" s="861">
        <v>46038</v>
      </c>
      <c r="AY2137" s="843" t="s">
        <v>6995</v>
      </c>
      <c r="AZ2137" s="842">
        <v>94051999</v>
      </c>
      <c r="BA2137" s="842" t="s">
        <v>120</v>
      </c>
      <c r="BB2137" s="863" t="s">
        <v>121</v>
      </c>
      <c r="BC2137" s="864">
        <v>46042</v>
      </c>
      <c r="BD2137" s="860" t="s">
        <v>6984</v>
      </c>
      <c r="BE2137" s="865" cm="1">
        <f t="array" ref="BE2137">IF(BD2137="","",AC2137/SUMPRODUCT(--(BD2137=$BD$4:$BD$12824),$AC$4:$AC$12824))</f>
        <v>7.9782990266475173E-2</v>
      </c>
      <c r="BF2137" s="458"/>
      <c r="BG2137" s="458"/>
      <c r="BH2137" s="458"/>
      <c r="BI2137" s="458"/>
      <c r="BJ2137" s="458"/>
      <c r="BK2137" s="458"/>
      <c r="BL2137" s="458"/>
      <c r="BM2137" s="458"/>
      <c r="BN2137" s="458"/>
      <c r="BO2137" s="866">
        <f>VLOOKUP(BD2137,$BD$4:$BN$12824,3,0)*BE2137</f>
        <v>1006348.9707994254</v>
      </c>
      <c r="BP2137" s="866"/>
      <c r="BQ2137" s="866"/>
      <c r="BR2137" s="866">
        <f>VLOOKUP(BD2137,$BD$4:$BN$12824,6,0)*BE2137</f>
        <v>382260.03049483174</v>
      </c>
      <c r="BS2137" s="866">
        <f>VLOOKUP(BD2137,$BD$4:$BN$12824,7,0)*BE2137</f>
        <v>57822.359545672116</v>
      </c>
      <c r="BT2137" s="866"/>
      <c r="BU2137" s="866">
        <f>VLOOKUP(BD2137,$BD$4:$BN$12824,9,0)*BE2137</f>
        <v>1595.6598053295036</v>
      </c>
      <c r="BV2137" s="867"/>
      <c r="BW2137" s="867">
        <f>VLOOKUP(BD2137,$BD$4:$BN$12824,11,0)*BE2137</f>
        <v>47869.794159885103</v>
      </c>
      <c r="BX2137" s="1146">
        <f t="shared" si="410"/>
        <v>1495896.8148051437</v>
      </c>
      <c r="BY2137" s="867">
        <f t="shared" si="412"/>
        <v>12311179.362961028</v>
      </c>
      <c r="BZ2137" s="867">
        <f t="shared" si="411"/>
        <v>61555896.814805135</v>
      </c>
      <c r="CA2137" s="867">
        <f>_xlfn.MAXIFS($BY$4:$BY$12824,$S$4:$S$12824,$S2137)</f>
        <v>12311179.362961028</v>
      </c>
      <c r="CB2137" s="1032"/>
      <c r="CF2137" s="946">
        <f t="shared" si="403"/>
        <v>62400000</v>
      </c>
    </row>
    <row r="2138" spans="2:84">
      <c r="B2138" s="839" t="s">
        <v>98</v>
      </c>
      <c r="C2138" s="839" t="s">
        <v>99</v>
      </c>
      <c r="D2138" s="839" t="s">
        <v>6977</v>
      </c>
      <c r="E2138" s="839" t="s">
        <v>6977</v>
      </c>
      <c r="F2138" s="841">
        <v>45961</v>
      </c>
      <c r="G2138" s="839" t="s">
        <v>99</v>
      </c>
      <c r="H2138" s="883" t="s">
        <v>134</v>
      </c>
      <c r="I2138" s="883"/>
      <c r="J2138" s="841"/>
      <c r="K2138" s="841"/>
      <c r="L2138" s="843" t="s">
        <v>1135</v>
      </c>
      <c r="M2138" s="844" t="s">
        <v>107</v>
      </c>
      <c r="N2138" s="841"/>
      <c r="O2138" s="884" t="s">
        <v>108</v>
      </c>
      <c r="P2138" s="842" t="s">
        <v>3622</v>
      </c>
      <c r="Q2138" s="843"/>
      <c r="R2138" s="845">
        <v>5741115055</v>
      </c>
      <c r="S2138" s="1127" t="s">
        <v>6996</v>
      </c>
      <c r="T2138" s="843" t="s">
        <v>6997</v>
      </c>
      <c r="U2138" s="886">
        <v>2</v>
      </c>
      <c r="V2138" s="842" t="s">
        <v>3</v>
      </c>
      <c r="W2138" s="846">
        <v>1000</v>
      </c>
      <c r="X2138" s="847">
        <f t="shared" si="413"/>
        <v>2000</v>
      </c>
      <c r="Y2138" s="853" t="s">
        <v>6980</v>
      </c>
      <c r="Z2138" s="849">
        <v>390</v>
      </c>
      <c r="AA2138" s="849"/>
      <c r="AB2138" s="849">
        <f t="shared" si="414"/>
        <v>780</v>
      </c>
      <c r="AC2138" s="850">
        <f t="shared" si="407"/>
        <v>780</v>
      </c>
      <c r="AD2138" s="851">
        <f t="shared" si="402"/>
        <v>32000</v>
      </c>
      <c r="AE2138" s="852">
        <v>30800</v>
      </c>
      <c r="AF2138" s="853">
        <v>0</v>
      </c>
      <c r="AG2138" s="854">
        <f t="shared" si="408"/>
        <v>0</v>
      </c>
      <c r="AH2138" s="853">
        <v>0.08</v>
      </c>
      <c r="AI2138" s="855">
        <f t="shared" si="409"/>
        <v>1921920</v>
      </c>
      <c r="AJ2138" s="845" t="s">
        <v>6977</v>
      </c>
      <c r="AK2138" s="857">
        <v>45974</v>
      </c>
      <c r="AL2138" s="899" t="s">
        <v>6981</v>
      </c>
      <c r="AM2138" s="843"/>
      <c r="AN2138" s="844"/>
      <c r="AO2138" s="844" t="s">
        <v>1741</v>
      </c>
      <c r="AP2138" s="841"/>
      <c r="AQ2138" s="841">
        <v>46002</v>
      </c>
      <c r="AR2138" s="841">
        <v>46038</v>
      </c>
      <c r="AS2138" s="842" t="s">
        <v>4266</v>
      </c>
      <c r="AT2138" s="842" t="s">
        <v>1187</v>
      </c>
      <c r="AU2138" s="842" t="s">
        <v>6575</v>
      </c>
      <c r="AV2138" s="856" t="s">
        <v>6982</v>
      </c>
      <c r="AW2138" s="861">
        <v>46038</v>
      </c>
      <c r="AX2138" s="861">
        <v>46038</v>
      </c>
      <c r="AY2138" s="843" t="s">
        <v>6998</v>
      </c>
      <c r="AZ2138" s="842">
        <v>94051999</v>
      </c>
      <c r="BA2138" s="842" t="s">
        <v>120</v>
      </c>
      <c r="BB2138" s="863" t="s">
        <v>121</v>
      </c>
      <c r="BC2138" s="864">
        <v>46042</v>
      </c>
      <c r="BD2138" s="860" t="s">
        <v>6984</v>
      </c>
      <c r="BE2138" s="865" cm="1">
        <f t="array" ref="BE2138">IF(BD2138="","",AC2138/SUMPRODUCT(--(BD2138=$BD$4:$BD$12824),$AC$4:$AC$12824))</f>
        <v>3.1913196106590068E-2</v>
      </c>
      <c r="BF2138" s="458"/>
      <c r="BG2138" s="458"/>
      <c r="BH2138" s="458"/>
      <c r="BI2138" s="458"/>
      <c r="BJ2138" s="458"/>
      <c r="BK2138" s="458"/>
      <c r="BL2138" s="458"/>
      <c r="BM2138" s="458"/>
      <c r="BN2138" s="458"/>
      <c r="BO2138" s="866">
        <f>VLOOKUP(BD2138,$BD$4:$BN$12824,3,0)*BE2138</f>
        <v>402539.58831977012</v>
      </c>
      <c r="BP2138" s="866"/>
      <c r="BQ2138" s="866"/>
      <c r="BR2138" s="866">
        <f>VLOOKUP(BD2138,$BD$4:$BN$12824,6,0)*BE2138</f>
        <v>152904.01219793269</v>
      </c>
      <c r="BS2138" s="866">
        <f>VLOOKUP(BD2138,$BD$4:$BN$12824,7,0)*BE2138</f>
        <v>23128.943818268846</v>
      </c>
      <c r="BT2138" s="866"/>
      <c r="BU2138" s="866">
        <f>VLOOKUP(BD2138,$BD$4:$BN$12824,9,0)*BE2138</f>
        <v>638.26392213180134</v>
      </c>
      <c r="BV2138" s="867"/>
      <c r="BW2138" s="867">
        <f>VLOOKUP(BD2138,$BD$4:$BN$12824,11,0)*BE2138</f>
        <v>19147.917663954042</v>
      </c>
      <c r="BX2138" s="1146">
        <f t="shared" si="410"/>
        <v>598358.72592205752</v>
      </c>
      <c r="BY2138" s="867">
        <f t="shared" si="412"/>
        <v>12311179.36296103</v>
      </c>
      <c r="BZ2138" s="867">
        <f t="shared" si="411"/>
        <v>24622358.725922059</v>
      </c>
      <c r="CA2138" s="867">
        <f>_xlfn.MAXIFS($BY$4:$BY$12824,$S$4:$S$12824,$S2138)</f>
        <v>12311179.36296103</v>
      </c>
      <c r="CB2138" s="1032"/>
      <c r="CF2138" s="946">
        <f t="shared" si="403"/>
        <v>24960000</v>
      </c>
    </row>
    <row r="2139" spans="2:84">
      <c r="B2139" s="839" t="s">
        <v>98</v>
      </c>
      <c r="C2139" s="839" t="s">
        <v>99</v>
      </c>
      <c r="D2139" s="839" t="s">
        <v>6977</v>
      </c>
      <c r="E2139" s="839" t="s">
        <v>6977</v>
      </c>
      <c r="F2139" s="841">
        <v>45961</v>
      </c>
      <c r="G2139" s="839" t="s">
        <v>99</v>
      </c>
      <c r="H2139" s="883" t="s">
        <v>134</v>
      </c>
      <c r="I2139" s="883"/>
      <c r="J2139" s="841"/>
      <c r="K2139" s="841"/>
      <c r="L2139" s="843" t="s">
        <v>1135</v>
      </c>
      <c r="M2139" s="844" t="s">
        <v>107</v>
      </c>
      <c r="N2139" s="841"/>
      <c r="O2139" s="884" t="s">
        <v>108</v>
      </c>
      <c r="P2139" s="842" t="s">
        <v>4990</v>
      </c>
      <c r="Q2139" s="843"/>
      <c r="R2139" s="845">
        <v>5744172325</v>
      </c>
      <c r="S2139" s="1127" t="s">
        <v>6999</v>
      </c>
      <c r="T2139" s="843" t="s">
        <v>7000</v>
      </c>
      <c r="U2139" s="886">
        <v>1</v>
      </c>
      <c r="V2139" s="842" t="s">
        <v>3</v>
      </c>
      <c r="W2139" s="846">
        <v>485</v>
      </c>
      <c r="X2139" s="847">
        <f t="shared" si="413"/>
        <v>485</v>
      </c>
      <c r="Y2139" s="853" t="s">
        <v>6980</v>
      </c>
      <c r="Z2139" s="849">
        <v>189.15</v>
      </c>
      <c r="AA2139" s="849"/>
      <c r="AB2139" s="849">
        <f t="shared" si="414"/>
        <v>189.15</v>
      </c>
      <c r="AC2139" s="850">
        <f t="shared" si="407"/>
        <v>189.15</v>
      </c>
      <c r="AD2139" s="851">
        <f t="shared" si="402"/>
        <v>32000</v>
      </c>
      <c r="AE2139" s="852">
        <v>30800</v>
      </c>
      <c r="AF2139" s="853">
        <v>0</v>
      </c>
      <c r="AG2139" s="854">
        <f t="shared" si="408"/>
        <v>0</v>
      </c>
      <c r="AH2139" s="853">
        <v>0.08</v>
      </c>
      <c r="AI2139" s="855">
        <f t="shared" si="409"/>
        <v>466065.60000000003</v>
      </c>
      <c r="AJ2139" s="845" t="s">
        <v>6977</v>
      </c>
      <c r="AK2139" s="857">
        <v>45974</v>
      </c>
      <c r="AL2139" s="899" t="s">
        <v>6981</v>
      </c>
      <c r="AM2139" s="843"/>
      <c r="AN2139" s="844"/>
      <c r="AO2139" s="844" t="s">
        <v>1741</v>
      </c>
      <c r="AP2139" s="841"/>
      <c r="AQ2139" s="841">
        <v>46002</v>
      </c>
      <c r="AR2139" s="841">
        <v>46038</v>
      </c>
      <c r="AS2139" s="842" t="s">
        <v>4266</v>
      </c>
      <c r="AT2139" s="842" t="s">
        <v>1187</v>
      </c>
      <c r="AU2139" s="842" t="s">
        <v>6575</v>
      </c>
      <c r="AV2139" s="856" t="s">
        <v>6982</v>
      </c>
      <c r="AW2139" s="861">
        <v>46038</v>
      </c>
      <c r="AX2139" s="861">
        <v>46038</v>
      </c>
      <c r="AY2139" s="843" t="s">
        <v>7001</v>
      </c>
      <c r="AZ2139" s="842">
        <v>94052190</v>
      </c>
      <c r="BA2139" s="842" t="s">
        <v>120</v>
      </c>
      <c r="BB2139" s="863" t="s">
        <v>121</v>
      </c>
      <c r="BC2139" s="864">
        <v>46042</v>
      </c>
      <c r="BD2139" s="860" t="s">
        <v>6984</v>
      </c>
      <c r="BE2139" s="865" cm="1">
        <f t="array" ref="BE2139">IF(BD2139="","",AC2139/SUMPRODUCT(--(BD2139=$BD$4:$BD$12824),$AC$4:$AC$12824))</f>
        <v>7.7389500558480923E-3</v>
      </c>
      <c r="BF2139" s="458"/>
      <c r="BG2139" s="458"/>
      <c r="BH2139" s="458"/>
      <c r="BI2139" s="458"/>
      <c r="BJ2139" s="458"/>
      <c r="BK2139" s="458"/>
      <c r="BL2139" s="458"/>
      <c r="BM2139" s="458"/>
      <c r="BN2139" s="458"/>
      <c r="BO2139" s="866">
        <f>VLOOKUP(BD2139,$BD$4:$BN$12824,3,0)*BE2139</f>
        <v>97615.850167544268</v>
      </c>
      <c r="BP2139" s="866"/>
      <c r="BQ2139" s="866"/>
      <c r="BR2139" s="866">
        <f>VLOOKUP(BD2139,$BD$4:$BN$12824,6,0)*BE2139</f>
        <v>37079.222957998682</v>
      </c>
      <c r="BS2139" s="866">
        <f>VLOOKUP(BD2139,$BD$4:$BN$12824,7,0)*BE2139</f>
        <v>5608.7688759301955</v>
      </c>
      <c r="BT2139" s="866"/>
      <c r="BU2139" s="866">
        <f>VLOOKUP(BD2139,$BD$4:$BN$12824,9,0)*BE2139</f>
        <v>154.77900111696184</v>
      </c>
      <c r="BV2139" s="867"/>
      <c r="BW2139" s="867">
        <f>VLOOKUP(BD2139,$BD$4:$BN$12824,11,0)*BE2139</f>
        <v>4643.3700335088552</v>
      </c>
      <c r="BX2139" s="1146">
        <f t="shared" si="410"/>
        <v>145101.99103609897</v>
      </c>
      <c r="BY2139" s="867">
        <f t="shared" si="412"/>
        <v>5970921.9910360994</v>
      </c>
      <c r="BZ2139" s="867">
        <f t="shared" si="411"/>
        <v>5970921.9910360994</v>
      </c>
      <c r="CA2139" s="867">
        <f>_xlfn.MAXIFS($BY$4:$BY$12824,$S$4:$S$12824,$S2139)</f>
        <v>5970921.9910360994</v>
      </c>
      <c r="CB2139" s="1032"/>
      <c r="CF2139" s="946">
        <f t="shared" si="403"/>
        <v>6052800</v>
      </c>
    </row>
    <row r="2140" spans="2:84">
      <c r="B2140" s="839" t="s">
        <v>98</v>
      </c>
      <c r="C2140" s="839" t="s">
        <v>99</v>
      </c>
      <c r="D2140" s="839" t="s">
        <v>6977</v>
      </c>
      <c r="E2140" s="839" t="s">
        <v>6977</v>
      </c>
      <c r="F2140" s="841">
        <v>45961</v>
      </c>
      <c r="G2140" s="839" t="s">
        <v>99</v>
      </c>
      <c r="H2140" s="883" t="s">
        <v>134</v>
      </c>
      <c r="I2140" s="883"/>
      <c r="J2140" s="841"/>
      <c r="K2140" s="841"/>
      <c r="L2140" s="843" t="s">
        <v>1135</v>
      </c>
      <c r="M2140" s="844" t="s">
        <v>107</v>
      </c>
      <c r="N2140" s="841"/>
      <c r="O2140" s="884" t="s">
        <v>108</v>
      </c>
      <c r="P2140" s="842" t="s">
        <v>4990</v>
      </c>
      <c r="Q2140" s="843"/>
      <c r="R2140" s="845">
        <v>5744172338</v>
      </c>
      <c r="S2140" s="1127" t="s">
        <v>7002</v>
      </c>
      <c r="T2140" s="843" t="s">
        <v>7003</v>
      </c>
      <c r="U2140" s="886">
        <v>1</v>
      </c>
      <c r="V2140" s="842" t="s">
        <v>3</v>
      </c>
      <c r="W2140" s="846">
        <v>485</v>
      </c>
      <c r="X2140" s="847">
        <f t="shared" si="413"/>
        <v>485</v>
      </c>
      <c r="Y2140" s="853" t="s">
        <v>6980</v>
      </c>
      <c r="Z2140" s="849">
        <v>189.15</v>
      </c>
      <c r="AA2140" s="849"/>
      <c r="AB2140" s="849">
        <f t="shared" si="414"/>
        <v>189.15</v>
      </c>
      <c r="AC2140" s="850">
        <f t="shared" si="407"/>
        <v>189.15</v>
      </c>
      <c r="AD2140" s="851">
        <f t="shared" si="402"/>
        <v>32000</v>
      </c>
      <c r="AE2140" s="852">
        <v>30800</v>
      </c>
      <c r="AF2140" s="853">
        <v>0</v>
      </c>
      <c r="AG2140" s="854">
        <f t="shared" si="408"/>
        <v>0</v>
      </c>
      <c r="AH2140" s="853">
        <v>0.08</v>
      </c>
      <c r="AI2140" s="855">
        <f t="shared" si="409"/>
        <v>466065.60000000003</v>
      </c>
      <c r="AJ2140" s="845" t="s">
        <v>6977</v>
      </c>
      <c r="AK2140" s="857">
        <v>45974</v>
      </c>
      <c r="AL2140" s="899" t="s">
        <v>6981</v>
      </c>
      <c r="AM2140" s="843"/>
      <c r="AN2140" s="844"/>
      <c r="AO2140" s="844" t="s">
        <v>1741</v>
      </c>
      <c r="AP2140" s="841"/>
      <c r="AQ2140" s="841">
        <v>46002</v>
      </c>
      <c r="AR2140" s="841">
        <v>46038</v>
      </c>
      <c r="AS2140" s="842" t="s">
        <v>4266</v>
      </c>
      <c r="AT2140" s="842" t="s">
        <v>1187</v>
      </c>
      <c r="AU2140" s="842" t="s">
        <v>6575</v>
      </c>
      <c r="AV2140" s="856" t="s">
        <v>6982</v>
      </c>
      <c r="AW2140" s="861">
        <v>46038</v>
      </c>
      <c r="AX2140" s="861">
        <v>46038</v>
      </c>
      <c r="AY2140" s="843" t="s">
        <v>7004</v>
      </c>
      <c r="AZ2140" s="842">
        <v>94052190</v>
      </c>
      <c r="BA2140" s="842" t="s">
        <v>120</v>
      </c>
      <c r="BB2140" s="863" t="s">
        <v>121</v>
      </c>
      <c r="BC2140" s="864">
        <v>46042</v>
      </c>
      <c r="BD2140" s="860" t="s">
        <v>6984</v>
      </c>
      <c r="BE2140" s="865" cm="1">
        <f t="array" ref="BE2140">IF(BD2140="","",AC2140/SUMPRODUCT(--(BD2140=$BD$4:$BD$12824),$AC$4:$AC$12824))</f>
        <v>7.7389500558480923E-3</v>
      </c>
      <c r="BF2140" s="458"/>
      <c r="BG2140" s="458"/>
      <c r="BH2140" s="458"/>
      <c r="BI2140" s="458"/>
      <c r="BJ2140" s="458"/>
      <c r="BK2140" s="458"/>
      <c r="BL2140" s="458"/>
      <c r="BM2140" s="458"/>
      <c r="BN2140" s="458"/>
      <c r="BO2140" s="866">
        <f>VLOOKUP(BD2140,$BD$4:$BN$12824,3,0)*BE2140</f>
        <v>97615.850167544268</v>
      </c>
      <c r="BP2140" s="866"/>
      <c r="BQ2140" s="866"/>
      <c r="BR2140" s="866">
        <f>VLOOKUP(BD2140,$BD$4:$BN$12824,6,0)*BE2140</f>
        <v>37079.222957998682</v>
      </c>
      <c r="BS2140" s="866">
        <f>VLOOKUP(BD2140,$BD$4:$BN$12824,7,0)*BE2140</f>
        <v>5608.7688759301955</v>
      </c>
      <c r="BT2140" s="866"/>
      <c r="BU2140" s="866">
        <f>VLOOKUP(BD2140,$BD$4:$BN$12824,9,0)*BE2140</f>
        <v>154.77900111696184</v>
      </c>
      <c r="BV2140" s="867"/>
      <c r="BW2140" s="867">
        <f>VLOOKUP(BD2140,$BD$4:$BN$12824,11,0)*BE2140</f>
        <v>4643.3700335088552</v>
      </c>
      <c r="BX2140" s="1146">
        <f t="shared" si="410"/>
        <v>145101.99103609897</v>
      </c>
      <c r="BY2140" s="867">
        <f t="shared" si="412"/>
        <v>5970921.9910360994</v>
      </c>
      <c r="BZ2140" s="867">
        <f t="shared" si="411"/>
        <v>5970921.9910360994</v>
      </c>
      <c r="CA2140" s="867">
        <f>_xlfn.MAXIFS($BY$4:$BY$12824,$S$4:$S$12824,$S2140)</f>
        <v>5970921.9910360994</v>
      </c>
      <c r="CB2140" s="1032"/>
      <c r="CF2140" s="946">
        <f t="shared" si="403"/>
        <v>6052800</v>
      </c>
    </row>
    <row r="2141" spans="2:84">
      <c r="B2141" s="839" t="s">
        <v>98</v>
      </c>
      <c r="C2141" s="839" t="s">
        <v>99</v>
      </c>
      <c r="D2141" s="839" t="s">
        <v>6977</v>
      </c>
      <c r="E2141" s="839" t="s">
        <v>6977</v>
      </c>
      <c r="F2141" s="841">
        <v>45961</v>
      </c>
      <c r="G2141" s="839" t="s">
        <v>99</v>
      </c>
      <c r="H2141" s="883" t="s">
        <v>134</v>
      </c>
      <c r="I2141" s="883"/>
      <c r="J2141" s="841"/>
      <c r="K2141" s="841"/>
      <c r="L2141" s="843" t="s">
        <v>1135</v>
      </c>
      <c r="M2141" s="844" t="s">
        <v>107</v>
      </c>
      <c r="N2141" s="841"/>
      <c r="O2141" s="884" t="s">
        <v>108</v>
      </c>
      <c r="P2141" s="842" t="s">
        <v>4990</v>
      </c>
      <c r="Q2141" s="843"/>
      <c r="R2141" s="845" t="s">
        <v>7005</v>
      </c>
      <c r="S2141" s="1127" t="s">
        <v>7006</v>
      </c>
      <c r="T2141" s="843" t="s">
        <v>7007</v>
      </c>
      <c r="U2141" s="886">
        <v>1</v>
      </c>
      <c r="V2141" s="842" t="s">
        <v>3</v>
      </c>
      <c r="W2141" s="846">
        <v>200</v>
      </c>
      <c r="X2141" s="847">
        <f t="shared" si="413"/>
        <v>200</v>
      </c>
      <c r="Y2141" s="853" t="s">
        <v>6980</v>
      </c>
      <c r="Z2141" s="849">
        <v>78</v>
      </c>
      <c r="AA2141" s="849"/>
      <c r="AB2141" s="849">
        <f t="shared" si="414"/>
        <v>78</v>
      </c>
      <c r="AC2141" s="850">
        <f t="shared" si="407"/>
        <v>78</v>
      </c>
      <c r="AD2141" s="851">
        <f t="shared" si="402"/>
        <v>32000</v>
      </c>
      <c r="AE2141" s="852">
        <v>30800</v>
      </c>
      <c r="AF2141" s="853">
        <v>0</v>
      </c>
      <c r="AG2141" s="854">
        <f t="shared" si="408"/>
        <v>0</v>
      </c>
      <c r="AH2141" s="853">
        <v>0.08</v>
      </c>
      <c r="AI2141" s="855">
        <f t="shared" si="409"/>
        <v>192192</v>
      </c>
      <c r="AJ2141" s="845" t="s">
        <v>6977</v>
      </c>
      <c r="AK2141" s="857">
        <v>45974</v>
      </c>
      <c r="AL2141" s="899" t="s">
        <v>6981</v>
      </c>
      <c r="AM2141" s="843"/>
      <c r="AN2141" s="844"/>
      <c r="AO2141" s="844" t="s">
        <v>1741</v>
      </c>
      <c r="AP2141" s="841"/>
      <c r="AQ2141" s="841">
        <v>46002</v>
      </c>
      <c r="AR2141" s="841">
        <v>46038</v>
      </c>
      <c r="AS2141" s="842" t="s">
        <v>4266</v>
      </c>
      <c r="AT2141" s="842" t="s">
        <v>1187</v>
      </c>
      <c r="AU2141" s="842" t="s">
        <v>6575</v>
      </c>
      <c r="AV2141" s="856" t="s">
        <v>6982</v>
      </c>
      <c r="AW2141" s="861">
        <v>46038</v>
      </c>
      <c r="AX2141" s="861">
        <v>46038</v>
      </c>
      <c r="AY2141" s="843" t="s">
        <v>7008</v>
      </c>
      <c r="AZ2141" s="842">
        <v>94052190</v>
      </c>
      <c r="BA2141" s="842" t="s">
        <v>120</v>
      </c>
      <c r="BB2141" s="863" t="s">
        <v>121</v>
      </c>
      <c r="BC2141" s="864">
        <v>46042</v>
      </c>
      <c r="BD2141" s="860" t="s">
        <v>6984</v>
      </c>
      <c r="BE2141" s="865" cm="1">
        <f t="array" ref="BE2141">IF(BD2141="","",AC2141/SUMPRODUCT(--(BD2141=$BD$4:$BD$12824),$AC$4:$AC$12824))</f>
        <v>3.1913196106590071E-3</v>
      </c>
      <c r="BF2141" s="458"/>
      <c r="BG2141" s="458"/>
      <c r="BH2141" s="458"/>
      <c r="BI2141" s="458"/>
      <c r="BJ2141" s="458"/>
      <c r="BK2141" s="458"/>
      <c r="BL2141" s="458"/>
      <c r="BM2141" s="458"/>
      <c r="BN2141" s="458"/>
      <c r="BO2141" s="866">
        <f>VLOOKUP(BD2141,$BD$4:$BN$12824,3,0)*BE2141</f>
        <v>40253.958831977019</v>
      </c>
      <c r="BP2141" s="866"/>
      <c r="BQ2141" s="866"/>
      <c r="BR2141" s="866">
        <f>VLOOKUP(BD2141,$BD$4:$BN$12824,6,0)*BE2141</f>
        <v>15290.40121979327</v>
      </c>
      <c r="BS2141" s="866">
        <f>VLOOKUP(BD2141,$BD$4:$BN$12824,7,0)*BE2141</f>
        <v>2312.8943818268849</v>
      </c>
      <c r="BT2141" s="866"/>
      <c r="BU2141" s="866">
        <f>VLOOKUP(BD2141,$BD$4:$BN$12824,9,0)*BE2141</f>
        <v>63.826392213180142</v>
      </c>
      <c r="BV2141" s="867"/>
      <c r="BW2141" s="867">
        <f>VLOOKUP(BD2141,$BD$4:$BN$12824,11,0)*BE2141</f>
        <v>1914.7917663954042</v>
      </c>
      <c r="BX2141" s="1146">
        <f t="shared" si="410"/>
        <v>59835.872592205757</v>
      </c>
      <c r="BY2141" s="867">
        <f t="shared" si="412"/>
        <v>2462235.8725922056</v>
      </c>
      <c r="BZ2141" s="867">
        <f t="shared" si="411"/>
        <v>2462235.8725922056</v>
      </c>
      <c r="CA2141" s="867">
        <f>_xlfn.MAXIFS($BY$4:$BY$12824,$S$4:$S$12824,$S2141)</f>
        <v>2462235.8725922056</v>
      </c>
      <c r="CB2141" s="1032"/>
      <c r="CF2141" s="946">
        <f t="shared" si="403"/>
        <v>2496000</v>
      </c>
    </row>
    <row r="2142" spans="2:84">
      <c r="B2142" s="839" t="s">
        <v>98</v>
      </c>
      <c r="C2142" s="839" t="s">
        <v>99</v>
      </c>
      <c r="D2142" s="839" t="s">
        <v>6977</v>
      </c>
      <c r="E2142" s="839" t="s">
        <v>6977</v>
      </c>
      <c r="F2142" s="841">
        <v>45961</v>
      </c>
      <c r="G2142" s="839" t="s">
        <v>99</v>
      </c>
      <c r="H2142" s="883" t="s">
        <v>134</v>
      </c>
      <c r="I2142" s="883"/>
      <c r="J2142" s="841"/>
      <c r="K2142" s="841"/>
      <c r="L2142" s="843" t="s">
        <v>1135</v>
      </c>
      <c r="M2142" s="844" t="s">
        <v>107</v>
      </c>
      <c r="N2142" s="841"/>
      <c r="O2142" s="884" t="s">
        <v>108</v>
      </c>
      <c r="P2142" s="842" t="s">
        <v>4990</v>
      </c>
      <c r="Q2142" s="843"/>
      <c r="R2142" s="845">
        <v>5744171834</v>
      </c>
      <c r="S2142" s="1127" t="s">
        <v>7009</v>
      </c>
      <c r="T2142" s="843" t="s">
        <v>7010</v>
      </c>
      <c r="U2142" s="886">
        <v>1</v>
      </c>
      <c r="V2142" s="842" t="s">
        <v>3</v>
      </c>
      <c r="W2142" s="846">
        <v>200</v>
      </c>
      <c r="X2142" s="847">
        <f t="shared" si="413"/>
        <v>200</v>
      </c>
      <c r="Y2142" s="853" t="s">
        <v>6980</v>
      </c>
      <c r="Z2142" s="849">
        <v>78</v>
      </c>
      <c r="AA2142" s="849"/>
      <c r="AB2142" s="849">
        <f t="shared" si="414"/>
        <v>78</v>
      </c>
      <c r="AC2142" s="850">
        <f t="shared" si="407"/>
        <v>78</v>
      </c>
      <c r="AD2142" s="851">
        <f t="shared" si="402"/>
        <v>32000</v>
      </c>
      <c r="AE2142" s="852">
        <v>30800</v>
      </c>
      <c r="AF2142" s="853">
        <v>0</v>
      </c>
      <c r="AG2142" s="854">
        <f t="shared" si="408"/>
        <v>0</v>
      </c>
      <c r="AH2142" s="853">
        <v>0.08</v>
      </c>
      <c r="AI2142" s="855">
        <f t="shared" si="409"/>
        <v>192192</v>
      </c>
      <c r="AJ2142" s="845" t="s">
        <v>6977</v>
      </c>
      <c r="AK2142" s="857">
        <v>45974</v>
      </c>
      <c r="AL2142" s="899" t="s">
        <v>6981</v>
      </c>
      <c r="AM2142" s="843"/>
      <c r="AN2142" s="844"/>
      <c r="AO2142" s="844" t="s">
        <v>1741</v>
      </c>
      <c r="AP2142" s="841"/>
      <c r="AQ2142" s="841">
        <v>46002</v>
      </c>
      <c r="AR2142" s="841">
        <v>46038</v>
      </c>
      <c r="AS2142" s="842" t="s">
        <v>4266</v>
      </c>
      <c r="AT2142" s="842" t="s">
        <v>1187</v>
      </c>
      <c r="AU2142" s="842" t="s">
        <v>6575</v>
      </c>
      <c r="AV2142" s="856" t="s">
        <v>6982</v>
      </c>
      <c r="AW2142" s="861">
        <v>46038</v>
      </c>
      <c r="AX2142" s="861">
        <v>46038</v>
      </c>
      <c r="AY2142" s="843" t="s">
        <v>7011</v>
      </c>
      <c r="AZ2142" s="842">
        <v>94052190</v>
      </c>
      <c r="BA2142" s="842" t="s">
        <v>120</v>
      </c>
      <c r="BB2142" s="863" t="s">
        <v>121</v>
      </c>
      <c r="BC2142" s="864">
        <v>46042</v>
      </c>
      <c r="BD2142" s="860" t="s">
        <v>6984</v>
      </c>
      <c r="BE2142" s="865" cm="1">
        <f t="array" ref="BE2142">IF(BD2142="","",AC2142/SUMPRODUCT(--(BD2142=$BD$4:$BD$12824),$AC$4:$AC$12824))</f>
        <v>3.1913196106590071E-3</v>
      </c>
      <c r="BF2142" s="458"/>
      <c r="BG2142" s="458"/>
      <c r="BH2142" s="458"/>
      <c r="BI2142" s="458"/>
      <c r="BJ2142" s="458"/>
      <c r="BK2142" s="458"/>
      <c r="BL2142" s="458"/>
      <c r="BM2142" s="458"/>
      <c r="BN2142" s="458"/>
      <c r="BO2142" s="866">
        <f>VLOOKUP(BD2142,$BD$4:$BN$12824,3,0)*BE2142</f>
        <v>40253.958831977019</v>
      </c>
      <c r="BP2142" s="866"/>
      <c r="BQ2142" s="866"/>
      <c r="BR2142" s="866">
        <f>VLOOKUP(BD2142,$BD$4:$BN$12824,6,0)*BE2142</f>
        <v>15290.40121979327</v>
      </c>
      <c r="BS2142" s="866">
        <f>VLOOKUP(BD2142,$BD$4:$BN$12824,7,0)*BE2142</f>
        <v>2312.8943818268849</v>
      </c>
      <c r="BT2142" s="866"/>
      <c r="BU2142" s="866">
        <f>VLOOKUP(BD2142,$BD$4:$BN$12824,9,0)*BE2142</f>
        <v>63.826392213180142</v>
      </c>
      <c r="BV2142" s="867"/>
      <c r="BW2142" s="867">
        <f>VLOOKUP(BD2142,$BD$4:$BN$12824,11,0)*BE2142</f>
        <v>1914.7917663954042</v>
      </c>
      <c r="BX2142" s="1146">
        <f t="shared" si="410"/>
        <v>59835.872592205757</v>
      </c>
      <c r="BY2142" s="867">
        <f t="shared" si="412"/>
        <v>2462235.8725922056</v>
      </c>
      <c r="BZ2142" s="867">
        <f t="shared" si="411"/>
        <v>2462235.8725922056</v>
      </c>
      <c r="CA2142" s="867">
        <f>_xlfn.MAXIFS($BY$4:$BY$12824,$S$4:$S$12824,$S2142)</f>
        <v>2462235.8725922056</v>
      </c>
      <c r="CB2142" s="1032"/>
      <c r="CF2142" s="946">
        <f t="shared" si="403"/>
        <v>2496000</v>
      </c>
    </row>
    <row r="2143" spans="2:84">
      <c r="B2143" s="839" t="s">
        <v>98</v>
      </c>
      <c r="C2143" s="839" t="s">
        <v>99</v>
      </c>
      <c r="D2143" s="839" t="s">
        <v>6977</v>
      </c>
      <c r="E2143" s="839" t="s">
        <v>6977</v>
      </c>
      <c r="F2143" s="841">
        <v>45961</v>
      </c>
      <c r="G2143" s="839" t="s">
        <v>99</v>
      </c>
      <c r="H2143" s="883" t="s">
        <v>134</v>
      </c>
      <c r="I2143" s="883"/>
      <c r="J2143" s="841"/>
      <c r="K2143" s="841"/>
      <c r="L2143" s="843" t="s">
        <v>1135</v>
      </c>
      <c r="M2143" s="844" t="s">
        <v>107</v>
      </c>
      <c r="N2143" s="841"/>
      <c r="O2143" s="884" t="s">
        <v>108</v>
      </c>
      <c r="P2143" s="842" t="s">
        <v>4990</v>
      </c>
      <c r="Q2143" s="843"/>
      <c r="R2143" s="845">
        <v>5744171847</v>
      </c>
      <c r="S2143" s="1127" t="s">
        <v>7012</v>
      </c>
      <c r="T2143" s="843" t="s">
        <v>7013</v>
      </c>
      <c r="U2143" s="886">
        <v>1</v>
      </c>
      <c r="V2143" s="842" t="s">
        <v>3</v>
      </c>
      <c r="W2143" s="846">
        <v>200</v>
      </c>
      <c r="X2143" s="847">
        <f t="shared" si="413"/>
        <v>200</v>
      </c>
      <c r="Y2143" s="853" t="s">
        <v>6980</v>
      </c>
      <c r="Z2143" s="849">
        <v>78</v>
      </c>
      <c r="AA2143" s="849"/>
      <c r="AB2143" s="849">
        <f t="shared" si="414"/>
        <v>78</v>
      </c>
      <c r="AC2143" s="850">
        <f t="shared" si="407"/>
        <v>78</v>
      </c>
      <c r="AD2143" s="851">
        <f t="shared" si="402"/>
        <v>32000</v>
      </c>
      <c r="AE2143" s="852">
        <v>30800</v>
      </c>
      <c r="AF2143" s="853">
        <v>0</v>
      </c>
      <c r="AG2143" s="854">
        <f t="shared" si="408"/>
        <v>0</v>
      </c>
      <c r="AH2143" s="853">
        <v>0.08</v>
      </c>
      <c r="AI2143" s="855">
        <f t="shared" si="409"/>
        <v>192192</v>
      </c>
      <c r="AJ2143" s="845" t="s">
        <v>6977</v>
      </c>
      <c r="AK2143" s="857">
        <v>45974</v>
      </c>
      <c r="AL2143" s="899" t="s">
        <v>6981</v>
      </c>
      <c r="AM2143" s="843"/>
      <c r="AN2143" s="844"/>
      <c r="AO2143" s="844" t="s">
        <v>1741</v>
      </c>
      <c r="AP2143" s="841"/>
      <c r="AQ2143" s="841">
        <v>46002</v>
      </c>
      <c r="AR2143" s="841">
        <v>46038</v>
      </c>
      <c r="AS2143" s="842" t="s">
        <v>4266</v>
      </c>
      <c r="AT2143" s="842" t="s">
        <v>1187</v>
      </c>
      <c r="AU2143" s="842" t="s">
        <v>6575</v>
      </c>
      <c r="AV2143" s="856" t="s">
        <v>6982</v>
      </c>
      <c r="AW2143" s="861">
        <v>46038</v>
      </c>
      <c r="AX2143" s="861">
        <v>46038</v>
      </c>
      <c r="AY2143" s="843" t="s">
        <v>7014</v>
      </c>
      <c r="AZ2143" s="842">
        <v>94052190</v>
      </c>
      <c r="BA2143" s="842" t="s">
        <v>120</v>
      </c>
      <c r="BB2143" s="863" t="s">
        <v>121</v>
      </c>
      <c r="BC2143" s="864">
        <v>46042</v>
      </c>
      <c r="BD2143" s="860" t="s">
        <v>6984</v>
      </c>
      <c r="BE2143" s="865" cm="1">
        <f t="array" ref="BE2143">IF(BD2143="","",AC2143/SUMPRODUCT(--(BD2143=$BD$4:$BD$12824),$AC$4:$AC$12824))</f>
        <v>3.1913196106590071E-3</v>
      </c>
      <c r="BF2143" s="458"/>
      <c r="BG2143" s="458"/>
      <c r="BH2143" s="458"/>
      <c r="BI2143" s="458"/>
      <c r="BJ2143" s="458"/>
      <c r="BK2143" s="458"/>
      <c r="BL2143" s="458"/>
      <c r="BM2143" s="458"/>
      <c r="BN2143" s="458"/>
      <c r="BO2143" s="866">
        <f>VLOOKUP(BD2143,$BD$4:$BN$12824,3,0)*BE2143</f>
        <v>40253.958831977019</v>
      </c>
      <c r="BP2143" s="866"/>
      <c r="BQ2143" s="866"/>
      <c r="BR2143" s="866">
        <f>VLOOKUP(BD2143,$BD$4:$BN$12824,6,0)*BE2143</f>
        <v>15290.40121979327</v>
      </c>
      <c r="BS2143" s="866">
        <f>VLOOKUP(BD2143,$BD$4:$BN$12824,7,0)*BE2143</f>
        <v>2312.8943818268849</v>
      </c>
      <c r="BT2143" s="866"/>
      <c r="BU2143" s="866">
        <f>VLOOKUP(BD2143,$BD$4:$BN$12824,9,0)*BE2143</f>
        <v>63.826392213180142</v>
      </c>
      <c r="BV2143" s="867"/>
      <c r="BW2143" s="867">
        <f>VLOOKUP(BD2143,$BD$4:$BN$12824,11,0)*BE2143</f>
        <v>1914.7917663954042</v>
      </c>
      <c r="BX2143" s="1146">
        <f t="shared" si="410"/>
        <v>59835.872592205757</v>
      </c>
      <c r="BY2143" s="867">
        <f t="shared" si="412"/>
        <v>2462235.8725922056</v>
      </c>
      <c r="BZ2143" s="867">
        <f t="shared" si="411"/>
        <v>2462235.8725922056</v>
      </c>
      <c r="CA2143" s="867">
        <f>_xlfn.MAXIFS($BY$4:$BY$12824,$S$4:$S$12824,$S2143)</f>
        <v>2462235.8725922056</v>
      </c>
      <c r="CB2143" s="1032"/>
      <c r="CF2143" s="946">
        <f t="shared" si="403"/>
        <v>2496000</v>
      </c>
    </row>
    <row r="2144" spans="2:84">
      <c r="B2144" s="839" t="s">
        <v>98</v>
      </c>
      <c r="C2144" s="839" t="s">
        <v>5697</v>
      </c>
      <c r="D2144" s="839" t="s">
        <v>7015</v>
      </c>
      <c r="E2144" s="839" t="s">
        <v>7015</v>
      </c>
      <c r="F2144" s="841">
        <v>45996</v>
      </c>
      <c r="G2144" s="868" t="s">
        <v>5697</v>
      </c>
      <c r="H2144" s="883" t="s">
        <v>134</v>
      </c>
      <c r="I2144" s="883"/>
      <c r="J2144" s="841"/>
      <c r="K2144" s="841"/>
      <c r="L2144" s="843" t="s">
        <v>106</v>
      </c>
      <c r="M2144" s="844" t="s">
        <v>535</v>
      </c>
      <c r="N2144" s="841"/>
      <c r="O2144" s="884" t="s">
        <v>135</v>
      </c>
      <c r="P2144" s="842" t="s">
        <v>1100</v>
      </c>
      <c r="Q2144" s="843"/>
      <c r="R2144" s="845" t="s">
        <v>7016</v>
      </c>
      <c r="S2144" s="1127" t="s">
        <v>7017</v>
      </c>
      <c r="T2144" s="885" t="s">
        <v>7018</v>
      </c>
      <c r="U2144" s="886">
        <v>20</v>
      </c>
      <c r="V2144" s="842" t="s">
        <v>3</v>
      </c>
      <c r="W2144" s="846"/>
      <c r="X2144" s="847"/>
      <c r="Y2144" s="853"/>
      <c r="Z2144" s="849">
        <v>13</v>
      </c>
      <c r="AA2144" s="849"/>
      <c r="AB2144" s="849">
        <f t="shared" si="414"/>
        <v>260</v>
      </c>
      <c r="AC2144" s="850">
        <f t="shared" si="407"/>
        <v>260</v>
      </c>
      <c r="AD2144" s="851">
        <f t="shared" si="402"/>
        <v>32000</v>
      </c>
      <c r="AE2144" s="852">
        <v>30295.040000000001</v>
      </c>
      <c r="AF2144" s="853">
        <v>0</v>
      </c>
      <c r="AG2144" s="854">
        <f t="shared" si="408"/>
        <v>0</v>
      </c>
      <c r="AH2144" s="853">
        <v>0.08</v>
      </c>
      <c r="AI2144" s="855">
        <f t="shared" si="409"/>
        <v>630136.83200000005</v>
      </c>
      <c r="AJ2144" s="845" t="s">
        <v>7019</v>
      </c>
      <c r="AK2144" s="857">
        <v>46006</v>
      </c>
      <c r="AL2144" s="899" t="s">
        <v>7020</v>
      </c>
      <c r="AM2144" s="843"/>
      <c r="AN2144" s="844"/>
      <c r="AO2144" s="844" t="s">
        <v>1612</v>
      </c>
      <c r="AP2144" s="841"/>
      <c r="AQ2144" s="841">
        <v>46008</v>
      </c>
      <c r="AR2144" s="841">
        <v>46008</v>
      </c>
      <c r="AS2144" s="842" t="s">
        <v>7021</v>
      </c>
      <c r="AT2144" s="842" t="s">
        <v>1187</v>
      </c>
      <c r="AU2144" s="842" t="s">
        <v>1612</v>
      </c>
      <c r="AV2144" s="856" t="s">
        <v>7022</v>
      </c>
      <c r="AW2144" s="861">
        <v>46009</v>
      </c>
      <c r="AX2144" s="861">
        <v>46009</v>
      </c>
      <c r="AY2144" s="843" t="s">
        <v>7023</v>
      </c>
      <c r="AZ2144" s="842">
        <v>42050090</v>
      </c>
      <c r="BA2144" s="842" t="s">
        <v>120</v>
      </c>
      <c r="BB2144" s="863" t="s">
        <v>4775</v>
      </c>
      <c r="BC2144" s="864">
        <v>46010</v>
      </c>
      <c r="BD2144" s="860" t="s">
        <v>7024</v>
      </c>
      <c r="BE2144" s="865" cm="1">
        <f t="array" ref="BE2144">IF(BD2144="","",AC2144/SUMPRODUCT(--(BD2144=$BD$4:$BD$12824),$AC$4:$AC$12824))</f>
        <v>0.14130434782608695</v>
      </c>
      <c r="BF2144" s="458" cm="1">
        <f t="array" ref="BF2144">SUM(_xlfn._xlws.FILTER( INDEX(Cost!$B$3:$BK$77,MATCH(LDL!$BD2144, Cost!$F$3:$F$77, 0),0),Cost!$B$3:$BK$3 = BF$3))</f>
        <v>0</v>
      </c>
      <c r="BG2144" s="458"/>
      <c r="BH2144" s="458"/>
      <c r="BI2144" s="458" cm="1">
        <f t="array" ref="BI2144">SUM(_xlfn._xlws.FILTER( INDEX(Cost!$B$3:$BK$77,MATCH(LDL!$BD2144, Cost!$F$3:$F$77, 0),0),Cost!$B$3:$BK$3 = BI$3))/1.08</f>
        <v>0</v>
      </c>
      <c r="BJ2144" s="458" cm="1">
        <f t="array" ref="BJ2144">SUM(_xlfn._xlws.FILTER( INDEX(Cost!$B$3:$BK$77,MATCH(LDL!$BD2144, Cost!$F$3:$F$77, 0),0),Cost!$B$3:$BK$3 = BJ$3))</f>
        <v>0</v>
      </c>
      <c r="BK2144" s="458"/>
      <c r="BL2144" s="458" cm="1">
        <f t="array" ref="BL2144">SUM(_xlfn._xlws.FILTER( INDEX(Cost!$B$3:$BK$77,MATCH(LDL!$BD2144, Cost!$F$3:$F$77, 0),0),Cost!$B$3:$BK$3 = BL$3))</f>
        <v>20000</v>
      </c>
      <c r="BM2144" s="458"/>
      <c r="BN2144" s="458" cm="1">
        <f t="array" ref="BN2144">SUM(_xlfn._xlws.FILTER( INDEX(Cost!$B$3:$BK$77,MATCH(LDL!$BD2144, Cost!$F$3:$F$77, 0),0),Cost!$B$3:$BK$3 = BN$3))/1.08</f>
        <v>600000</v>
      </c>
      <c r="BO2144" s="866">
        <f>VLOOKUP(BD2144,$BD$4:$BN$12824,3,0)*BE2144</f>
        <v>0</v>
      </c>
      <c r="BP2144" s="866"/>
      <c r="BQ2144" s="866"/>
      <c r="BR2144" s="866">
        <f>VLOOKUP(BD2144,$BD$4:$BN$12824,6,0)*BE2144</f>
        <v>0</v>
      </c>
      <c r="BS2144" s="866">
        <f>VLOOKUP(BD2144,$BD$4:$BN$12824,7,0)*BE2144</f>
        <v>0</v>
      </c>
      <c r="BT2144" s="866"/>
      <c r="BU2144" s="866">
        <f>VLOOKUP(BD2144,$BD$4:$BN$12824,9,0)*BE2144</f>
        <v>2826.086956521739</v>
      </c>
      <c r="BV2144" s="867"/>
      <c r="BW2144" s="867">
        <f>VLOOKUP(BD2144,$BD$4:$BN$12824,11,0)*BE2144</f>
        <v>84782.608695652161</v>
      </c>
      <c r="BX2144" s="1146">
        <f t="shared" si="410"/>
        <v>87608.695652173905</v>
      </c>
      <c r="BY2144" s="867">
        <f t="shared" si="412"/>
        <v>398215.95478260872</v>
      </c>
      <c r="BZ2144" s="867">
        <f t="shared" si="411"/>
        <v>7964319.0956521742</v>
      </c>
      <c r="CA2144" s="867">
        <f>_xlfn.MAXIFS($BY$4:$BY$12824,$S$4:$S$12824,$S2144)</f>
        <v>398215.95478260872</v>
      </c>
      <c r="CB2144" s="1032"/>
      <c r="CF2144" s="946">
        <f t="shared" si="403"/>
        <v>8320000</v>
      </c>
    </row>
    <row r="2145" spans="2:84">
      <c r="B2145" s="839" t="s">
        <v>98</v>
      </c>
      <c r="C2145" s="839" t="s">
        <v>5697</v>
      </c>
      <c r="D2145" s="909" t="s">
        <v>7015</v>
      </c>
      <c r="E2145" s="909" t="s">
        <v>7015</v>
      </c>
      <c r="F2145" s="841">
        <v>45996</v>
      </c>
      <c r="G2145" s="868" t="s">
        <v>5697</v>
      </c>
      <c r="H2145" s="883" t="s">
        <v>134</v>
      </c>
      <c r="I2145" s="883"/>
      <c r="J2145" s="841"/>
      <c r="K2145" s="841"/>
      <c r="L2145" s="843" t="s">
        <v>106</v>
      </c>
      <c r="M2145" s="844" t="s">
        <v>535</v>
      </c>
      <c r="N2145" s="841"/>
      <c r="O2145" s="884" t="s">
        <v>135</v>
      </c>
      <c r="P2145" s="842" t="s">
        <v>1100</v>
      </c>
      <c r="Q2145" s="843"/>
      <c r="R2145" s="845" t="s">
        <v>7025</v>
      </c>
      <c r="S2145" s="1127" t="s">
        <v>7026</v>
      </c>
      <c r="T2145" s="885" t="s">
        <v>7027</v>
      </c>
      <c r="U2145" s="886">
        <v>20</v>
      </c>
      <c r="V2145" s="842" t="s">
        <v>3</v>
      </c>
      <c r="W2145" s="846"/>
      <c r="X2145" s="847"/>
      <c r="Y2145" s="853"/>
      <c r="Z2145" s="849">
        <v>17</v>
      </c>
      <c r="AA2145" s="849"/>
      <c r="AB2145" s="849">
        <f t="shared" si="414"/>
        <v>340</v>
      </c>
      <c r="AC2145" s="850">
        <f t="shared" si="407"/>
        <v>340</v>
      </c>
      <c r="AD2145" s="851">
        <f t="shared" si="402"/>
        <v>32000</v>
      </c>
      <c r="AE2145" s="852">
        <v>30295.040000000001</v>
      </c>
      <c r="AF2145" s="853">
        <v>0</v>
      </c>
      <c r="AG2145" s="854">
        <f t="shared" si="408"/>
        <v>0</v>
      </c>
      <c r="AH2145" s="853">
        <v>0.08</v>
      </c>
      <c r="AI2145" s="855">
        <f t="shared" si="409"/>
        <v>824025.08799999999</v>
      </c>
      <c r="AJ2145" s="845" t="s">
        <v>7019</v>
      </c>
      <c r="AK2145" s="857">
        <v>46006</v>
      </c>
      <c r="AL2145" s="899" t="s">
        <v>7020</v>
      </c>
      <c r="AM2145" s="843"/>
      <c r="AN2145" s="844"/>
      <c r="AO2145" s="844" t="s">
        <v>1612</v>
      </c>
      <c r="AP2145" s="841"/>
      <c r="AQ2145" s="841">
        <v>46008</v>
      </c>
      <c r="AR2145" s="841">
        <v>46008</v>
      </c>
      <c r="AS2145" s="842" t="s">
        <v>7021</v>
      </c>
      <c r="AT2145" s="842" t="s">
        <v>1187</v>
      </c>
      <c r="AU2145" s="842" t="s">
        <v>1612</v>
      </c>
      <c r="AV2145" s="856" t="s">
        <v>7022</v>
      </c>
      <c r="AW2145" s="861">
        <v>46009</v>
      </c>
      <c r="AX2145" s="861">
        <v>46009</v>
      </c>
      <c r="AY2145" s="843" t="s">
        <v>7028</v>
      </c>
      <c r="AZ2145" s="842">
        <v>42023100</v>
      </c>
      <c r="BA2145" s="842" t="s">
        <v>120</v>
      </c>
      <c r="BB2145" s="863" t="s">
        <v>4775</v>
      </c>
      <c r="BC2145" s="864">
        <v>46010</v>
      </c>
      <c r="BD2145" s="860" t="s">
        <v>7024</v>
      </c>
      <c r="BE2145" s="865" cm="1">
        <f t="array" ref="BE2145">IF(BD2145="","",AC2145/SUMPRODUCT(--(BD2145=$BD$4:$BD$12824),$AC$4:$AC$12824))</f>
        <v>0.18478260869565216</v>
      </c>
      <c r="BF2145" s="458"/>
      <c r="BG2145" s="458"/>
      <c r="BH2145" s="458"/>
      <c r="BI2145" s="458"/>
      <c r="BJ2145" s="458"/>
      <c r="BK2145" s="458"/>
      <c r="BL2145" s="458"/>
      <c r="BM2145" s="458"/>
      <c r="BN2145" s="458"/>
      <c r="BO2145" s="866">
        <f>VLOOKUP(BD2145,$BD$4:$BN$12824,3,0)*BE2145</f>
        <v>0</v>
      </c>
      <c r="BP2145" s="866"/>
      <c r="BQ2145" s="866"/>
      <c r="BR2145" s="866">
        <f>VLOOKUP(BD2145,$BD$4:$BN$12824,6,0)*BE2145</f>
        <v>0</v>
      </c>
      <c r="BS2145" s="866">
        <f>VLOOKUP(BD2145,$BD$4:$BN$12824,7,0)*BE2145</f>
        <v>0</v>
      </c>
      <c r="BT2145" s="866"/>
      <c r="BU2145" s="866">
        <f>VLOOKUP(BD2145,$BD$4:$BN$12824,9,0)*BE2145</f>
        <v>3695.652173913043</v>
      </c>
      <c r="BV2145" s="867"/>
      <c r="BW2145" s="867">
        <f>VLOOKUP(BD2145,$BD$4:$BN$12824,11,0)*BE2145</f>
        <v>110869.5652173913</v>
      </c>
      <c r="BX2145" s="1146">
        <f t="shared" si="410"/>
        <v>114565.21739130434</v>
      </c>
      <c r="BY2145" s="867">
        <f t="shared" si="412"/>
        <v>520743.94086956524</v>
      </c>
      <c r="BZ2145" s="867">
        <f t="shared" si="411"/>
        <v>10414878.817391304</v>
      </c>
      <c r="CA2145" s="867">
        <f>_xlfn.MAXIFS($BY$4:$BY$12824,$S$4:$S$12824,$S2145)</f>
        <v>520743.94086956524</v>
      </c>
      <c r="CB2145" s="1032"/>
      <c r="CF2145" s="946">
        <f t="shared" si="403"/>
        <v>10880000</v>
      </c>
    </row>
    <row r="2146" spans="2:84">
      <c r="B2146" s="839" t="s">
        <v>98</v>
      </c>
      <c r="C2146" s="839" t="s">
        <v>5697</v>
      </c>
      <c r="D2146" s="909" t="s">
        <v>7015</v>
      </c>
      <c r="E2146" s="909" t="s">
        <v>7015</v>
      </c>
      <c r="F2146" s="841">
        <v>45996</v>
      </c>
      <c r="G2146" s="868" t="s">
        <v>5697</v>
      </c>
      <c r="H2146" s="883" t="s">
        <v>134</v>
      </c>
      <c r="I2146" s="883"/>
      <c r="J2146" s="841"/>
      <c r="K2146" s="841"/>
      <c r="L2146" s="843" t="s">
        <v>106</v>
      </c>
      <c r="M2146" s="844" t="s">
        <v>535</v>
      </c>
      <c r="N2146" s="841"/>
      <c r="O2146" s="884" t="s">
        <v>135</v>
      </c>
      <c r="P2146" s="842" t="s">
        <v>1100</v>
      </c>
      <c r="Q2146" s="843"/>
      <c r="R2146" s="845" t="s">
        <v>7029</v>
      </c>
      <c r="S2146" s="1127" t="s">
        <v>7030</v>
      </c>
      <c r="T2146" s="885" t="s">
        <v>7031</v>
      </c>
      <c r="U2146" s="886">
        <v>20</v>
      </c>
      <c r="V2146" s="842" t="s">
        <v>3</v>
      </c>
      <c r="W2146" s="846"/>
      <c r="X2146" s="847"/>
      <c r="Y2146" s="853"/>
      <c r="Z2146" s="849">
        <v>27</v>
      </c>
      <c r="AA2146" s="849"/>
      <c r="AB2146" s="849">
        <f t="shared" si="414"/>
        <v>540</v>
      </c>
      <c r="AC2146" s="850">
        <f t="shared" si="407"/>
        <v>540</v>
      </c>
      <c r="AD2146" s="851">
        <f t="shared" si="402"/>
        <v>32000</v>
      </c>
      <c r="AE2146" s="852">
        <v>30295.040000000001</v>
      </c>
      <c r="AF2146" s="853">
        <v>0</v>
      </c>
      <c r="AG2146" s="854">
        <f t="shared" si="408"/>
        <v>0</v>
      </c>
      <c r="AH2146" s="853">
        <v>0.08</v>
      </c>
      <c r="AI2146" s="855">
        <f t="shared" si="409"/>
        <v>1308745.7279999999</v>
      </c>
      <c r="AJ2146" s="845" t="s">
        <v>7019</v>
      </c>
      <c r="AK2146" s="857">
        <v>46006</v>
      </c>
      <c r="AL2146" s="899" t="s">
        <v>7020</v>
      </c>
      <c r="AM2146" s="843"/>
      <c r="AN2146" s="844"/>
      <c r="AO2146" s="844" t="s">
        <v>1612</v>
      </c>
      <c r="AP2146" s="841"/>
      <c r="AQ2146" s="841">
        <v>46008</v>
      </c>
      <c r="AR2146" s="841">
        <v>46008</v>
      </c>
      <c r="AS2146" s="842" t="s">
        <v>7021</v>
      </c>
      <c r="AT2146" s="842" t="s">
        <v>1187</v>
      </c>
      <c r="AU2146" s="842" t="s">
        <v>1612</v>
      </c>
      <c r="AV2146" s="856" t="s">
        <v>7022</v>
      </c>
      <c r="AW2146" s="861">
        <v>46009</v>
      </c>
      <c r="AX2146" s="861">
        <v>46009</v>
      </c>
      <c r="AY2146" s="843" t="s">
        <v>7032</v>
      </c>
      <c r="AZ2146" s="842">
        <v>42023100</v>
      </c>
      <c r="BA2146" s="842" t="s">
        <v>120</v>
      </c>
      <c r="BB2146" s="863" t="s">
        <v>4775</v>
      </c>
      <c r="BC2146" s="864">
        <v>46010</v>
      </c>
      <c r="BD2146" s="860" t="s">
        <v>7024</v>
      </c>
      <c r="BE2146" s="865" cm="1">
        <f t="array" ref="BE2146">IF(BD2146="","",AC2146/SUMPRODUCT(--(BD2146=$BD$4:$BD$12824),$AC$4:$AC$12824))</f>
        <v>0.29347826086956524</v>
      </c>
      <c r="BF2146" s="458"/>
      <c r="BG2146" s="458"/>
      <c r="BH2146" s="458"/>
      <c r="BI2146" s="458"/>
      <c r="BJ2146" s="458"/>
      <c r="BK2146" s="458"/>
      <c r="BL2146" s="458"/>
      <c r="BM2146" s="458"/>
      <c r="BN2146" s="458"/>
      <c r="BO2146" s="866">
        <f>VLOOKUP(BD2146,$BD$4:$BN$12824,3,0)*BE2146</f>
        <v>0</v>
      </c>
      <c r="BP2146" s="866"/>
      <c r="BQ2146" s="866"/>
      <c r="BR2146" s="866">
        <f>VLOOKUP(BD2146,$BD$4:$BN$12824,6,0)*BE2146</f>
        <v>0</v>
      </c>
      <c r="BS2146" s="866">
        <f>VLOOKUP(BD2146,$BD$4:$BN$12824,7,0)*BE2146</f>
        <v>0</v>
      </c>
      <c r="BT2146" s="866"/>
      <c r="BU2146" s="866">
        <f>VLOOKUP(BD2146,$BD$4:$BN$12824,9,0)*BE2146</f>
        <v>5869.5652173913049</v>
      </c>
      <c r="BV2146" s="867"/>
      <c r="BW2146" s="867">
        <f>VLOOKUP(BD2146,$BD$4:$BN$12824,11,0)*BE2146</f>
        <v>176086.95652173914</v>
      </c>
      <c r="BX2146" s="1146">
        <f t="shared" si="410"/>
        <v>181956.52173913043</v>
      </c>
      <c r="BY2146" s="867">
        <f t="shared" si="412"/>
        <v>827063.9060869565</v>
      </c>
      <c r="BZ2146" s="867">
        <f t="shared" si="411"/>
        <v>16541278.12173913</v>
      </c>
      <c r="CA2146" s="867">
        <f>_xlfn.MAXIFS($BY$4:$BY$12824,$S$4:$S$12824,$S2146)</f>
        <v>827063.9060869565</v>
      </c>
      <c r="CB2146" s="1032"/>
      <c r="CF2146" s="946">
        <f t="shared" si="403"/>
        <v>17280000</v>
      </c>
    </row>
    <row r="2147" spans="2:84">
      <c r="B2147" s="839" t="s">
        <v>98</v>
      </c>
      <c r="C2147" s="839" t="s">
        <v>5697</v>
      </c>
      <c r="D2147" s="909" t="s">
        <v>7015</v>
      </c>
      <c r="E2147" s="909" t="s">
        <v>7015</v>
      </c>
      <c r="F2147" s="841">
        <v>45996</v>
      </c>
      <c r="G2147" s="868" t="s">
        <v>5697</v>
      </c>
      <c r="H2147" s="883" t="s">
        <v>134</v>
      </c>
      <c r="I2147" s="883"/>
      <c r="J2147" s="841"/>
      <c r="K2147" s="841"/>
      <c r="L2147" s="843" t="s">
        <v>106</v>
      </c>
      <c r="M2147" s="844" t="s">
        <v>535</v>
      </c>
      <c r="N2147" s="841"/>
      <c r="O2147" s="884" t="s">
        <v>135</v>
      </c>
      <c r="P2147" s="842" t="s">
        <v>1100</v>
      </c>
      <c r="Q2147" s="843"/>
      <c r="R2147" s="845" t="s">
        <v>7033</v>
      </c>
      <c r="S2147" s="1127" t="s">
        <v>7034</v>
      </c>
      <c r="T2147" s="885" t="s">
        <v>7035</v>
      </c>
      <c r="U2147" s="886">
        <v>20</v>
      </c>
      <c r="V2147" s="842" t="s">
        <v>3</v>
      </c>
      <c r="W2147" s="846"/>
      <c r="X2147" s="847"/>
      <c r="Y2147" s="853"/>
      <c r="Z2147" s="849">
        <v>24</v>
      </c>
      <c r="AA2147" s="849"/>
      <c r="AB2147" s="849">
        <f t="shared" si="414"/>
        <v>480</v>
      </c>
      <c r="AC2147" s="850">
        <f t="shared" si="407"/>
        <v>480</v>
      </c>
      <c r="AD2147" s="851">
        <f t="shared" si="402"/>
        <v>32000</v>
      </c>
      <c r="AE2147" s="852">
        <v>30295.040000000001</v>
      </c>
      <c r="AF2147" s="853">
        <v>0</v>
      </c>
      <c r="AG2147" s="854">
        <f t="shared" si="408"/>
        <v>0</v>
      </c>
      <c r="AH2147" s="853">
        <v>0.08</v>
      </c>
      <c r="AI2147" s="855">
        <f t="shared" si="409"/>
        <v>1163329.5360000001</v>
      </c>
      <c r="AJ2147" s="845" t="s">
        <v>7019</v>
      </c>
      <c r="AK2147" s="857">
        <v>46006</v>
      </c>
      <c r="AL2147" s="899" t="s">
        <v>7020</v>
      </c>
      <c r="AM2147" s="843"/>
      <c r="AN2147" s="844"/>
      <c r="AO2147" s="844" t="s">
        <v>1612</v>
      </c>
      <c r="AP2147" s="841"/>
      <c r="AQ2147" s="841">
        <v>46008</v>
      </c>
      <c r="AR2147" s="841">
        <v>46008</v>
      </c>
      <c r="AS2147" s="842" t="s">
        <v>7021</v>
      </c>
      <c r="AT2147" s="842" t="s">
        <v>1187</v>
      </c>
      <c r="AU2147" s="842" t="s">
        <v>1612</v>
      </c>
      <c r="AV2147" s="856" t="s">
        <v>7022</v>
      </c>
      <c r="AW2147" s="861">
        <v>46009</v>
      </c>
      <c r="AX2147" s="861">
        <v>46009</v>
      </c>
      <c r="AY2147" s="843" t="s">
        <v>7036</v>
      </c>
      <c r="AZ2147" s="842">
        <v>42023100</v>
      </c>
      <c r="BA2147" s="842" t="s">
        <v>120</v>
      </c>
      <c r="BB2147" s="863" t="s">
        <v>4775</v>
      </c>
      <c r="BC2147" s="864">
        <v>46010</v>
      </c>
      <c r="BD2147" s="860" t="s">
        <v>7024</v>
      </c>
      <c r="BE2147" s="865" cm="1">
        <f t="array" ref="BE2147">IF(BD2147="","",AC2147/SUMPRODUCT(--(BD2147=$BD$4:$BD$12824),$AC$4:$AC$12824))</f>
        <v>0.2608695652173913</v>
      </c>
      <c r="BF2147" s="458"/>
      <c r="BG2147" s="458"/>
      <c r="BH2147" s="458"/>
      <c r="BI2147" s="458"/>
      <c r="BJ2147" s="458"/>
      <c r="BK2147" s="458"/>
      <c r="BL2147" s="458"/>
      <c r="BM2147" s="458"/>
      <c r="BN2147" s="458"/>
      <c r="BO2147" s="866">
        <f>VLOOKUP(BD2147,$BD$4:$BN$12824,3,0)*BE2147</f>
        <v>0</v>
      </c>
      <c r="BP2147" s="866"/>
      <c r="BQ2147" s="866"/>
      <c r="BR2147" s="866">
        <f>VLOOKUP(BD2147,$BD$4:$BN$12824,6,0)*BE2147</f>
        <v>0</v>
      </c>
      <c r="BS2147" s="866">
        <f>VLOOKUP(BD2147,$BD$4:$BN$12824,7,0)*BE2147</f>
        <v>0</v>
      </c>
      <c r="BT2147" s="866"/>
      <c r="BU2147" s="866">
        <f>VLOOKUP(BD2147,$BD$4:$BN$12824,9,0)*BE2147</f>
        <v>5217.391304347826</v>
      </c>
      <c r="BV2147" s="867"/>
      <c r="BW2147" s="867">
        <f>VLOOKUP(BD2147,$BD$4:$BN$12824,11,0)*BE2147</f>
        <v>156521.73913043478</v>
      </c>
      <c r="BX2147" s="1146">
        <f t="shared" si="410"/>
        <v>161739.13043478262</v>
      </c>
      <c r="BY2147" s="867">
        <f t="shared" si="412"/>
        <v>735167.91652173921</v>
      </c>
      <c r="BZ2147" s="867">
        <f t="shared" si="411"/>
        <v>14703358.330434784</v>
      </c>
      <c r="CA2147" s="867">
        <f>_xlfn.MAXIFS($BY$4:$BY$12824,$S$4:$S$12824,$S2147)</f>
        <v>735167.91652173921</v>
      </c>
      <c r="CB2147" s="1032"/>
      <c r="CF2147" s="946">
        <f t="shared" si="403"/>
        <v>15360000</v>
      </c>
    </row>
    <row r="2148" spans="2:84">
      <c r="B2148" s="839" t="s">
        <v>98</v>
      </c>
      <c r="C2148" s="839" t="s">
        <v>5697</v>
      </c>
      <c r="D2148" s="909" t="s">
        <v>7015</v>
      </c>
      <c r="E2148" s="909" t="s">
        <v>7015</v>
      </c>
      <c r="F2148" s="841">
        <v>45996</v>
      </c>
      <c r="G2148" s="868" t="s">
        <v>5697</v>
      </c>
      <c r="H2148" s="883" t="s">
        <v>134</v>
      </c>
      <c r="I2148" s="883"/>
      <c r="J2148" s="841"/>
      <c r="K2148" s="841"/>
      <c r="L2148" s="843" t="s">
        <v>106</v>
      </c>
      <c r="M2148" s="844" t="s">
        <v>535</v>
      </c>
      <c r="N2148" s="841"/>
      <c r="O2148" s="884" t="s">
        <v>135</v>
      </c>
      <c r="P2148" s="842" t="s">
        <v>1100</v>
      </c>
      <c r="Q2148" s="843"/>
      <c r="R2148" s="845" t="s">
        <v>7037</v>
      </c>
      <c r="S2148" s="1127" t="s">
        <v>7038</v>
      </c>
      <c r="T2148" s="885" t="s">
        <v>7039</v>
      </c>
      <c r="U2148" s="886">
        <v>20</v>
      </c>
      <c r="V2148" s="842" t="s">
        <v>3</v>
      </c>
      <c r="W2148" s="846"/>
      <c r="X2148" s="847"/>
      <c r="Y2148" s="853"/>
      <c r="Z2148" s="849">
        <v>11</v>
      </c>
      <c r="AA2148" s="849"/>
      <c r="AB2148" s="849">
        <f t="shared" si="414"/>
        <v>220</v>
      </c>
      <c r="AC2148" s="850">
        <f t="shared" si="407"/>
        <v>220</v>
      </c>
      <c r="AD2148" s="851">
        <f t="shared" si="402"/>
        <v>32000</v>
      </c>
      <c r="AE2148" s="852">
        <v>30295.040000000001</v>
      </c>
      <c r="AF2148" s="853">
        <v>0</v>
      </c>
      <c r="AG2148" s="854">
        <f t="shared" si="408"/>
        <v>0</v>
      </c>
      <c r="AH2148" s="853">
        <v>0.08</v>
      </c>
      <c r="AI2148" s="855">
        <f t="shared" si="409"/>
        <v>533192.70400000003</v>
      </c>
      <c r="AJ2148" s="845" t="s">
        <v>7019</v>
      </c>
      <c r="AK2148" s="857">
        <v>46006</v>
      </c>
      <c r="AL2148" s="899" t="s">
        <v>7020</v>
      </c>
      <c r="AM2148" s="843"/>
      <c r="AN2148" s="844"/>
      <c r="AO2148" s="844" t="s">
        <v>1612</v>
      </c>
      <c r="AP2148" s="841"/>
      <c r="AQ2148" s="841">
        <v>46008</v>
      </c>
      <c r="AR2148" s="841">
        <v>46008</v>
      </c>
      <c r="AS2148" s="842" t="s">
        <v>7021</v>
      </c>
      <c r="AT2148" s="842" t="s">
        <v>1187</v>
      </c>
      <c r="AU2148" s="842" t="s">
        <v>1612</v>
      </c>
      <c r="AV2148" s="856" t="s">
        <v>7022</v>
      </c>
      <c r="AW2148" s="861">
        <v>46009</v>
      </c>
      <c r="AX2148" s="861">
        <v>46009</v>
      </c>
      <c r="AY2148" s="843" t="s">
        <v>7040</v>
      </c>
      <c r="AZ2148" s="842">
        <v>42050090</v>
      </c>
      <c r="BA2148" s="842" t="s">
        <v>120</v>
      </c>
      <c r="BB2148" s="863" t="s">
        <v>4775</v>
      </c>
      <c r="BC2148" s="864">
        <v>46010</v>
      </c>
      <c r="BD2148" s="860" t="s">
        <v>7024</v>
      </c>
      <c r="BE2148" s="865" cm="1">
        <f t="array" ref="BE2148">IF(BD2148="","",AC2148/SUMPRODUCT(--(BD2148=$BD$4:$BD$12824),$AC$4:$AC$12824))</f>
        <v>0.11956521739130435</v>
      </c>
      <c r="BF2148" s="458"/>
      <c r="BG2148" s="458"/>
      <c r="BH2148" s="458"/>
      <c r="BI2148" s="458"/>
      <c r="BJ2148" s="458"/>
      <c r="BK2148" s="458"/>
      <c r="BL2148" s="458"/>
      <c r="BM2148" s="458"/>
      <c r="BN2148" s="458"/>
      <c r="BO2148" s="866">
        <f>VLOOKUP(BD2148,$BD$4:$BN$12824,3,0)*BE2148</f>
        <v>0</v>
      </c>
      <c r="BP2148" s="866"/>
      <c r="BQ2148" s="866"/>
      <c r="BR2148" s="866">
        <f>VLOOKUP(BD2148,$BD$4:$BN$12824,6,0)*BE2148</f>
        <v>0</v>
      </c>
      <c r="BS2148" s="866">
        <f>VLOOKUP(BD2148,$BD$4:$BN$12824,7,0)*BE2148</f>
        <v>0</v>
      </c>
      <c r="BT2148" s="866"/>
      <c r="BU2148" s="866">
        <f>VLOOKUP(BD2148,$BD$4:$BN$12824,9,0)*BE2148</f>
        <v>2391.304347826087</v>
      </c>
      <c r="BV2148" s="867"/>
      <c r="BW2148" s="867">
        <f>VLOOKUP(BD2148,$BD$4:$BN$12824,11,0)*BE2148</f>
        <v>71739.130434782608</v>
      </c>
      <c r="BX2148" s="1146">
        <f t="shared" si="410"/>
        <v>74130.434782608689</v>
      </c>
      <c r="BY2148" s="867">
        <f t="shared" si="412"/>
        <v>336951.96173913043</v>
      </c>
      <c r="BZ2148" s="867">
        <f t="shared" si="411"/>
        <v>6739039.2347826082</v>
      </c>
      <c r="CA2148" s="867">
        <f>_xlfn.MAXIFS($BY$4:$BY$12824,$S$4:$S$12824,$S2148)</f>
        <v>336951.96173913043</v>
      </c>
      <c r="CB2148" s="1032"/>
      <c r="CF2148" s="946">
        <f t="shared" si="403"/>
        <v>7040000</v>
      </c>
    </row>
    <row r="2149" spans="2:84">
      <c r="B2149" s="839" t="s">
        <v>98</v>
      </c>
      <c r="C2149" s="839" t="s">
        <v>99</v>
      </c>
      <c r="D2149" s="839" t="s">
        <v>7041</v>
      </c>
      <c r="E2149" s="839" t="s">
        <v>7041</v>
      </c>
      <c r="F2149" s="841">
        <v>46034</v>
      </c>
      <c r="G2149" s="868" t="s">
        <v>99</v>
      </c>
      <c r="H2149" s="883" t="s">
        <v>102</v>
      </c>
      <c r="I2149" s="883" t="s">
        <v>7042</v>
      </c>
      <c r="J2149" s="841">
        <v>46032</v>
      </c>
      <c r="K2149" s="841"/>
      <c r="L2149" s="843" t="s">
        <v>1135</v>
      </c>
      <c r="M2149" s="844" t="s">
        <v>107</v>
      </c>
      <c r="N2149" s="841"/>
      <c r="O2149" s="884" t="s">
        <v>108</v>
      </c>
      <c r="P2149" s="842" t="s">
        <v>3622</v>
      </c>
      <c r="Q2149" s="843"/>
      <c r="R2149" s="856" t="s">
        <v>7043</v>
      </c>
      <c r="S2149" s="1128" t="s">
        <v>7044</v>
      </c>
      <c r="T2149" s="885" t="s">
        <v>7045</v>
      </c>
      <c r="U2149" s="886">
        <v>1</v>
      </c>
      <c r="V2149" s="842" t="s">
        <v>3</v>
      </c>
      <c r="W2149" s="846">
        <v>11100</v>
      </c>
      <c r="X2149" s="847">
        <f t="shared" ref="X2149:X2211" si="415">W2149*U2149</f>
        <v>11100</v>
      </c>
      <c r="Y2149" s="853">
        <v>0.5</v>
      </c>
      <c r="Z2149" s="849">
        <f>W2149*(1-Y2149)</f>
        <v>5550</v>
      </c>
      <c r="AA2149" s="849"/>
      <c r="AB2149" s="849">
        <f t="shared" si="414"/>
        <v>5550</v>
      </c>
      <c r="AC2149" s="850">
        <f t="shared" si="407"/>
        <v>5550</v>
      </c>
      <c r="AD2149" s="910">
        <v>32000</v>
      </c>
      <c r="AE2149" s="852">
        <v>30647.49</v>
      </c>
      <c r="AF2149" s="853">
        <v>0</v>
      </c>
      <c r="AG2149" s="854">
        <f t="shared" si="408"/>
        <v>0</v>
      </c>
      <c r="AH2149" s="853">
        <v>0.08</v>
      </c>
      <c r="AI2149" s="855">
        <f t="shared" si="409"/>
        <v>14853193.4</v>
      </c>
      <c r="AJ2149" s="845" t="s">
        <v>7046</v>
      </c>
      <c r="AK2149" s="857">
        <v>46042</v>
      </c>
      <c r="AL2149" s="843" t="s">
        <v>7047</v>
      </c>
      <c r="AM2149" s="843"/>
      <c r="AN2149" s="844"/>
      <c r="AO2149" s="844" t="s">
        <v>116</v>
      </c>
      <c r="AP2149" s="841"/>
      <c r="AQ2149" s="841">
        <v>45687</v>
      </c>
      <c r="AR2149" s="841">
        <v>46054</v>
      </c>
      <c r="AS2149" s="842" t="s">
        <v>1601</v>
      </c>
      <c r="AT2149" s="842" t="s">
        <v>1187</v>
      </c>
      <c r="AU2149" s="842" t="s">
        <v>1565</v>
      </c>
      <c r="AV2149" s="845" t="s">
        <v>7048</v>
      </c>
      <c r="AW2149" s="861">
        <v>46055</v>
      </c>
      <c r="AX2149" s="862">
        <v>46056</v>
      </c>
      <c r="AY2149" s="843" t="s">
        <v>7049</v>
      </c>
      <c r="AZ2149" s="842">
        <v>94051999</v>
      </c>
      <c r="BA2149" s="842" t="s">
        <v>120</v>
      </c>
      <c r="BB2149" s="863" t="s">
        <v>121</v>
      </c>
      <c r="BC2149" s="864">
        <v>46057</v>
      </c>
      <c r="BD2149" s="860" t="s">
        <v>7050</v>
      </c>
      <c r="BE2149" s="865" cm="1">
        <f t="array" ref="BE2149">IF(BD2149="","",AC2149/SUMPRODUCT(--(BD2149=$BD$4:$BD$12824),$AC$4:$AC$12824))</f>
        <v>1</v>
      </c>
      <c r="BF2149" s="458" cm="1">
        <f t="array" ref="BF2149">SUM(_xlfn._xlws.FILTER( INDEX(Cost!$B$3:$BK$77,MATCH(LDL!$BD2149, Cost!$F$3:$F$77, 0),0),Cost!$B$3:$BK$3 = BF$3))</f>
        <v>15321348</v>
      </c>
      <c r="BG2149" s="458"/>
      <c r="BH2149" s="458"/>
      <c r="BI2149" s="458" cm="1">
        <f t="array" ref="BI2149">SUM(_xlfn._xlws.FILTER( INDEX(Cost!$B$3:$BK$77,MATCH(LDL!$BD2149, Cost!$F$3:$F$77, 0),0),Cost!$B$3:$BK$3 = BI$3))/1.08</f>
        <v>2028867.9999999998</v>
      </c>
      <c r="BJ2149" s="458" cm="1">
        <f t="array" ref="BJ2149">SUM(_xlfn._xlws.FILTER( INDEX(Cost!$B$3:$BK$77,MATCH(LDL!$BD2149, Cost!$F$3:$F$77, 0),0),Cost!$B$3:$BK$3 = BJ$3))</f>
        <v>249999.99999999997</v>
      </c>
      <c r="BK2149" s="458"/>
      <c r="BL2149" s="458" cm="1">
        <f t="array" ref="BL2149">SUM(_xlfn._xlws.FILTER( INDEX(Cost!$B$3:$BK$77,MATCH(LDL!$BD2149, Cost!$F$3:$F$77, 0),0),Cost!$B$3:$BK$3 = BL$3))</f>
        <v>20000</v>
      </c>
      <c r="BM2149" s="458"/>
      <c r="BN2149" s="458" cm="1">
        <f t="array" ref="BN2149">SUM(_xlfn._xlws.FILTER( INDEX(Cost!$B$3:$BK$77,MATCH(LDL!$BD2149, Cost!$F$3:$F$77, 0),0),Cost!$B$3:$BK$3 = BN$3))/1.08</f>
        <v>600000</v>
      </c>
      <c r="BO2149" s="866">
        <f>VLOOKUP(BD2149,$BD$4:$BN$12824,3,0)*BE2149</f>
        <v>15321348</v>
      </c>
      <c r="BP2149" s="866"/>
      <c r="BQ2149" s="866"/>
      <c r="BR2149" s="866">
        <f>VLOOKUP(BD2149,$BD$4:$BN$12824,6,0)*BE2149</f>
        <v>2028867.9999999998</v>
      </c>
      <c r="BS2149" s="866">
        <f>VLOOKUP(BD2149,$BD$4:$BN$12824,7,0)*BE2149</f>
        <v>249999.99999999997</v>
      </c>
      <c r="BT2149" s="866"/>
      <c r="BU2149" s="866">
        <f>VLOOKUP(BD2149,$BD$4:$BN$12824,9,0)*BE2149</f>
        <v>20000</v>
      </c>
      <c r="BV2149" s="867"/>
      <c r="BW2149" s="867">
        <f>VLOOKUP(BD2149,$BD$4:$BN$12824,11,0)*BE2149</f>
        <v>600000</v>
      </c>
      <c r="BX2149" s="1146">
        <f t="shared" si="410"/>
        <v>18220216</v>
      </c>
      <c r="BY2149" s="867">
        <f t="shared" si="412"/>
        <v>188313785.5</v>
      </c>
      <c r="BZ2149" s="867">
        <f t="shared" si="411"/>
        <v>188313785.5</v>
      </c>
      <c r="CA2149" s="867">
        <f>_xlfn.MAXIFS($BY$4:$BY$12824,$S$4:$S$12824,$S2149)</f>
        <v>188313785.5</v>
      </c>
      <c r="CB2149" s="1032"/>
    </row>
    <row r="2150" spans="2:84">
      <c r="B2150" s="839" t="s">
        <v>98</v>
      </c>
      <c r="C2150" s="839" t="s">
        <v>3454</v>
      </c>
      <c r="D2150" s="839" t="s">
        <v>7051</v>
      </c>
      <c r="E2150" s="839" t="s">
        <v>7052</v>
      </c>
      <c r="F2150" s="841">
        <v>46000</v>
      </c>
      <c r="G2150" s="868" t="s">
        <v>3456</v>
      </c>
      <c r="H2150" s="883" t="s">
        <v>102</v>
      </c>
      <c r="I2150" s="883" t="s">
        <v>7053</v>
      </c>
      <c r="J2150" s="841">
        <v>46000</v>
      </c>
      <c r="K2150" s="841"/>
      <c r="L2150" s="843" t="s">
        <v>106</v>
      </c>
      <c r="M2150" s="844" t="s">
        <v>107</v>
      </c>
      <c r="N2150" s="841"/>
      <c r="O2150" s="884" t="s">
        <v>3459</v>
      </c>
      <c r="P2150" s="842" t="s">
        <v>6696</v>
      </c>
      <c r="Q2150" s="843"/>
      <c r="R2150" s="845" t="s">
        <v>7054</v>
      </c>
      <c r="S2150" s="1127" t="s">
        <v>7054</v>
      </c>
      <c r="T2150" s="885" t="s">
        <v>7055</v>
      </c>
      <c r="U2150" s="886">
        <v>27</v>
      </c>
      <c r="V2150" s="842" t="s">
        <v>8</v>
      </c>
      <c r="W2150" s="849">
        <v>23.4</v>
      </c>
      <c r="X2150" s="847">
        <f t="shared" si="415"/>
        <v>631.79999999999995</v>
      </c>
      <c r="Y2150" s="853">
        <v>0</v>
      </c>
      <c r="Z2150" s="849">
        <v>23.4</v>
      </c>
      <c r="AA2150" s="849"/>
      <c r="AB2150" s="849">
        <f t="shared" si="414"/>
        <v>631.79999999999995</v>
      </c>
      <c r="AC2150" s="850">
        <f t="shared" si="407"/>
        <v>631.79999999999995</v>
      </c>
      <c r="AD2150" s="851">
        <f t="shared" ref="AD2150:AD2175" si="416">IF(V2150=$AD$2,$AE$2,$AE$3)</f>
        <v>27000</v>
      </c>
      <c r="AE2150" s="852">
        <v>25840</v>
      </c>
      <c r="AF2150" s="853">
        <v>0</v>
      </c>
      <c r="AG2150" s="854">
        <f t="shared" si="408"/>
        <v>0</v>
      </c>
      <c r="AH2150" s="853">
        <v>0.08</v>
      </c>
      <c r="AI2150" s="855">
        <f t="shared" si="409"/>
        <v>1584612.1600000001</v>
      </c>
      <c r="AJ2150" s="845" t="s">
        <v>7051</v>
      </c>
      <c r="AK2150" s="857">
        <v>46367</v>
      </c>
      <c r="AL2150" s="899" t="s">
        <v>7056</v>
      </c>
      <c r="AM2150" s="843"/>
      <c r="AN2150" s="844"/>
      <c r="AO2150" s="844" t="s">
        <v>1741</v>
      </c>
      <c r="AP2150" s="841"/>
      <c r="AQ2150" s="841">
        <v>46047</v>
      </c>
      <c r="AR2150" s="841">
        <v>46052</v>
      </c>
      <c r="AS2150" s="842" t="s">
        <v>1581</v>
      </c>
      <c r="AT2150" s="842" t="s">
        <v>4795</v>
      </c>
      <c r="AU2150" s="842" t="s">
        <v>1090</v>
      </c>
      <c r="AV2150" s="845" t="s">
        <v>7057</v>
      </c>
      <c r="AW2150" s="861">
        <v>46058</v>
      </c>
      <c r="AX2150" s="862">
        <v>46059</v>
      </c>
      <c r="AY2150" s="843" t="s">
        <v>7058</v>
      </c>
      <c r="AZ2150" s="842" t="s">
        <v>5472</v>
      </c>
      <c r="BA2150" s="842" t="s">
        <v>120</v>
      </c>
      <c r="BB2150" s="863" t="s">
        <v>4775</v>
      </c>
      <c r="BC2150" s="864">
        <v>46059</v>
      </c>
      <c r="BD2150" s="860" t="s">
        <v>7059</v>
      </c>
      <c r="BE2150" s="865" cm="1">
        <f t="array" ref="BE2150">IF(BD2150="","",AC2150/SUMPRODUCT(--(BD2150=$BD$4:$BD$12824),$AC$4:$AC$12824))</f>
        <v>0.11347390351664931</v>
      </c>
      <c r="BF2150" s="458" cm="1">
        <f t="array" ref="BF2150">SUM(_xlfn._xlws.FILTER( INDEX(Cost!$B$3:$BK$77,MATCH(LDL!$BD2150, Cost!$F$3:$F$77, 0),0),Cost!$B$3:$BK$3 = BF$3))</f>
        <v>3481940</v>
      </c>
      <c r="BG2150" s="458"/>
      <c r="BH2150" s="458"/>
      <c r="BI2150" s="458" cm="1">
        <f t="array" ref="BI2150">SUM(_xlfn._xlws.FILTER( INDEX(Cost!$B$3:$BK$77,MATCH(LDL!$BD2150, Cost!$F$3:$F$77, 0),0),Cost!$B$3:$BK$3 = BI$3))/1.08</f>
        <v>1974409.2592592591</v>
      </c>
      <c r="BJ2150" s="458" cm="1">
        <f t="array" ref="BJ2150">SUM(_xlfn._xlws.FILTER( INDEX(Cost!$B$3:$BK$77,MATCH(LDL!$BD2150, Cost!$F$3:$F$77, 0),0),Cost!$B$3:$BK$3 = BJ$3))</f>
        <v>0</v>
      </c>
      <c r="BK2150" s="458"/>
      <c r="BL2150" s="458" cm="1">
        <f t="array" ref="BL2150">SUM(_xlfn._xlws.FILTER( INDEX(Cost!$B$3:$BK$77,MATCH(LDL!$BD2150, Cost!$F$3:$F$77, 0),0),Cost!$B$3:$BK$3 = BL$3))</f>
        <v>20000</v>
      </c>
      <c r="BM2150" s="458"/>
      <c r="BN2150" s="458" cm="1">
        <f t="array" ref="BN2150">SUM(_xlfn._xlws.FILTER( INDEX(Cost!$B$3:$BK$77,MATCH(LDL!$BD2150, Cost!$F$3:$F$77, 0),0),Cost!$B$3:$BK$3 = BN$3))/1.08</f>
        <v>600000</v>
      </c>
      <c r="BO2150" s="866">
        <f>VLOOKUP(BD2150,$BD$4:$BN$12824,3,0)*BE2150</f>
        <v>395109.3236107619</v>
      </c>
      <c r="BP2150" s="866"/>
      <c r="BQ2150" s="866"/>
      <c r="BR2150" s="866">
        <f>VLOOKUP(BD2150,$BD$4:$BN$12824,6,0)*BE2150</f>
        <v>224043.92578756419</v>
      </c>
      <c r="BS2150" s="866">
        <f>VLOOKUP(BD2150,$BD$4:$BN$12824,7,0)*BE2150</f>
        <v>0</v>
      </c>
      <c r="BT2150" s="866"/>
      <c r="BU2150" s="866">
        <f>VLOOKUP(BD2150,$BD$4:$BN$12824,9,0)*BE2150</f>
        <v>2269.4780703329861</v>
      </c>
      <c r="BV2150" s="867"/>
      <c r="BW2150" s="867">
        <f>VLOOKUP(BD2150,$BD$4:$BN$12824,11,0)*BE2150</f>
        <v>68084.342109989579</v>
      </c>
      <c r="BX2150" s="1146">
        <f t="shared" si="410"/>
        <v>689507.06957864866</v>
      </c>
      <c r="BY2150" s="867">
        <f t="shared" si="412"/>
        <v>630193.2988732832</v>
      </c>
      <c r="BZ2150" s="867">
        <f t="shared" si="411"/>
        <v>17015219.069578648</v>
      </c>
      <c r="CA2150" s="867">
        <f>_xlfn.MAXIFS($BY$4:$BY$12824,$S$4:$S$12824,$S2150)</f>
        <v>630193.2988732832</v>
      </c>
      <c r="CB2150" s="1032"/>
    </row>
    <row r="2151" spans="2:84">
      <c r="B2151" s="839" t="s">
        <v>98</v>
      </c>
      <c r="C2151" s="839" t="s">
        <v>3454</v>
      </c>
      <c r="D2151" s="911" t="s">
        <v>7051</v>
      </c>
      <c r="E2151" s="839" t="s">
        <v>7052</v>
      </c>
      <c r="F2151" s="841">
        <v>46000</v>
      </c>
      <c r="G2151" s="868" t="s">
        <v>3456</v>
      </c>
      <c r="H2151" s="883" t="s">
        <v>102</v>
      </c>
      <c r="I2151" s="883" t="s">
        <v>7053</v>
      </c>
      <c r="J2151" s="841">
        <v>46000</v>
      </c>
      <c r="K2151" s="841"/>
      <c r="L2151" s="843" t="s">
        <v>106</v>
      </c>
      <c r="M2151" s="844" t="s">
        <v>107</v>
      </c>
      <c r="N2151" s="841"/>
      <c r="O2151" s="884" t="s">
        <v>3459</v>
      </c>
      <c r="P2151" s="842" t="s">
        <v>6696</v>
      </c>
      <c r="Q2151" s="843"/>
      <c r="R2151" s="845" t="s">
        <v>7060</v>
      </c>
      <c r="S2151" s="1127" t="s">
        <v>7060</v>
      </c>
      <c r="T2151" s="885" t="s">
        <v>7061</v>
      </c>
      <c r="U2151" s="886">
        <v>11</v>
      </c>
      <c r="V2151" s="842" t="s">
        <v>8</v>
      </c>
      <c r="W2151" s="849">
        <v>25</v>
      </c>
      <c r="X2151" s="847">
        <f t="shared" si="415"/>
        <v>275</v>
      </c>
      <c r="Y2151" s="853">
        <v>0</v>
      </c>
      <c r="Z2151" s="849">
        <v>25</v>
      </c>
      <c r="AA2151" s="849"/>
      <c r="AB2151" s="849">
        <f t="shared" si="414"/>
        <v>275</v>
      </c>
      <c r="AC2151" s="850">
        <f t="shared" si="407"/>
        <v>275</v>
      </c>
      <c r="AD2151" s="851">
        <f t="shared" si="416"/>
        <v>27000</v>
      </c>
      <c r="AE2151" s="852">
        <v>25840</v>
      </c>
      <c r="AF2151" s="853">
        <v>0</v>
      </c>
      <c r="AG2151" s="854">
        <f t="shared" si="408"/>
        <v>0</v>
      </c>
      <c r="AH2151" s="853">
        <v>0.08</v>
      </c>
      <c r="AI2151" s="855">
        <f t="shared" si="409"/>
        <v>568480</v>
      </c>
      <c r="AJ2151" s="845" t="s">
        <v>7051</v>
      </c>
      <c r="AK2151" s="857">
        <v>46367</v>
      </c>
      <c r="AL2151" s="899" t="s">
        <v>7056</v>
      </c>
      <c r="AM2151" s="843"/>
      <c r="AN2151" s="844"/>
      <c r="AO2151" s="844" t="s">
        <v>1741</v>
      </c>
      <c r="AP2151" s="841"/>
      <c r="AQ2151" s="841">
        <v>46047</v>
      </c>
      <c r="AR2151" s="841">
        <v>46052</v>
      </c>
      <c r="AS2151" s="842" t="s">
        <v>1581</v>
      </c>
      <c r="AT2151" s="842" t="s">
        <v>4795</v>
      </c>
      <c r="AU2151" s="842" t="s">
        <v>1090</v>
      </c>
      <c r="AV2151" s="845" t="s">
        <v>7057</v>
      </c>
      <c r="AW2151" s="861">
        <v>46058</v>
      </c>
      <c r="AX2151" s="862">
        <v>46059</v>
      </c>
      <c r="AY2151" s="843" t="s">
        <v>7062</v>
      </c>
      <c r="AZ2151" s="842" t="s">
        <v>5472</v>
      </c>
      <c r="BA2151" s="842" t="s">
        <v>120</v>
      </c>
      <c r="BB2151" s="863" t="s">
        <v>4775</v>
      </c>
      <c r="BC2151" s="864">
        <v>46059</v>
      </c>
      <c r="BD2151" s="860" t="s">
        <v>7059</v>
      </c>
      <c r="BE2151" s="865" cm="1">
        <f t="array" ref="BE2151">IF(BD2151="","",AC2151/SUMPRODUCT(--(BD2151=$BD$4:$BD$12824),$AC$4:$AC$12824))</f>
        <v>4.9391141923201272E-2</v>
      </c>
      <c r="BF2151" s="458"/>
      <c r="BG2151" s="458"/>
      <c r="BH2151" s="458"/>
      <c r="BI2151" s="458"/>
      <c r="BJ2151" s="458"/>
      <c r="BK2151" s="458"/>
      <c r="BL2151" s="458"/>
      <c r="BM2151" s="458"/>
      <c r="BN2151" s="458"/>
      <c r="BO2151" s="866">
        <f>VLOOKUP(BD2151,$BD$4:$BN$12824,3,0)*BE2151</f>
        <v>171976.99270807143</v>
      </c>
      <c r="BP2151" s="866"/>
      <c r="BQ2151" s="866"/>
      <c r="BR2151" s="866">
        <f>VLOOKUP(BD2151,$BD$4:$BN$12824,6,0)*BE2151</f>
        <v>97518.327938556758</v>
      </c>
      <c r="BS2151" s="866">
        <f>VLOOKUP(BD2151,$BD$4:$BN$12824,7,0)*BE2151</f>
        <v>0</v>
      </c>
      <c r="BT2151" s="866"/>
      <c r="BU2151" s="866">
        <f>VLOOKUP(BD2151,$BD$4:$BN$12824,9,0)*BE2151</f>
        <v>987.82283846402549</v>
      </c>
      <c r="BV2151" s="867"/>
      <c r="BW2151" s="867">
        <f>VLOOKUP(BD2151,$BD$4:$BN$12824,11,0)*BE2151</f>
        <v>29634.685153920764</v>
      </c>
      <c r="BX2151" s="1146">
        <f t="shared" si="410"/>
        <v>300117.82863901299</v>
      </c>
      <c r="BY2151" s="867">
        <f t="shared" si="412"/>
        <v>673283.438967183</v>
      </c>
      <c r="BZ2151" s="867">
        <f t="shared" si="411"/>
        <v>7406117.8286390128</v>
      </c>
      <c r="CA2151" s="867">
        <f>_xlfn.MAXIFS($BY$4:$BY$12824,$S$4:$S$12824,$S2151)</f>
        <v>673283.438967183</v>
      </c>
      <c r="CB2151" s="1032"/>
    </row>
    <row r="2152" spans="2:84">
      <c r="B2152" s="839" t="s">
        <v>98</v>
      </c>
      <c r="C2152" s="839" t="s">
        <v>3454</v>
      </c>
      <c r="D2152" s="911" t="s">
        <v>7051</v>
      </c>
      <c r="E2152" s="839" t="s">
        <v>7052</v>
      </c>
      <c r="F2152" s="841">
        <v>46000</v>
      </c>
      <c r="G2152" s="868" t="s">
        <v>3456</v>
      </c>
      <c r="H2152" s="883" t="s">
        <v>102</v>
      </c>
      <c r="I2152" s="883" t="s">
        <v>7053</v>
      </c>
      <c r="J2152" s="841">
        <v>46000</v>
      </c>
      <c r="K2152" s="841"/>
      <c r="L2152" s="843" t="s">
        <v>106</v>
      </c>
      <c r="M2152" s="844" t="s">
        <v>107</v>
      </c>
      <c r="N2152" s="841"/>
      <c r="O2152" s="884" t="s">
        <v>3459</v>
      </c>
      <c r="P2152" s="842" t="s">
        <v>1100</v>
      </c>
      <c r="Q2152" s="843"/>
      <c r="R2152" s="845" t="s">
        <v>7063</v>
      </c>
      <c r="S2152" s="1127" t="s">
        <v>7063</v>
      </c>
      <c r="T2152" s="885" t="s">
        <v>7064</v>
      </c>
      <c r="U2152" s="886">
        <v>8</v>
      </c>
      <c r="V2152" s="842" t="s">
        <v>8</v>
      </c>
      <c r="W2152" s="849">
        <v>6.1</v>
      </c>
      <c r="X2152" s="847">
        <f t="shared" si="415"/>
        <v>48.8</v>
      </c>
      <c r="Y2152" s="853">
        <v>0</v>
      </c>
      <c r="Z2152" s="849">
        <v>6.1</v>
      </c>
      <c r="AA2152" s="849"/>
      <c r="AB2152" s="849">
        <f t="shared" si="414"/>
        <v>48.8</v>
      </c>
      <c r="AC2152" s="850">
        <f t="shared" si="407"/>
        <v>48.8</v>
      </c>
      <c r="AD2152" s="851">
        <f t="shared" si="416"/>
        <v>27000</v>
      </c>
      <c r="AE2152" s="852">
        <v>25840</v>
      </c>
      <c r="AF2152" s="853">
        <v>0</v>
      </c>
      <c r="AG2152" s="854">
        <f t="shared" si="408"/>
        <v>0</v>
      </c>
      <c r="AH2152" s="853">
        <v>0.08</v>
      </c>
      <c r="AI2152" s="855">
        <f t="shared" si="409"/>
        <v>100879.36</v>
      </c>
      <c r="AJ2152" s="845" t="s">
        <v>7051</v>
      </c>
      <c r="AK2152" s="857">
        <v>46367</v>
      </c>
      <c r="AL2152" s="899" t="s">
        <v>7056</v>
      </c>
      <c r="AM2152" s="843"/>
      <c r="AN2152" s="844"/>
      <c r="AO2152" s="844" t="s">
        <v>1741</v>
      </c>
      <c r="AP2152" s="841"/>
      <c r="AQ2152" s="841">
        <v>46047</v>
      </c>
      <c r="AR2152" s="841">
        <v>46052</v>
      </c>
      <c r="AS2152" s="842" t="s">
        <v>1581</v>
      </c>
      <c r="AT2152" s="842" t="s">
        <v>4795</v>
      </c>
      <c r="AU2152" s="842" t="s">
        <v>1090</v>
      </c>
      <c r="AV2152" s="845" t="s">
        <v>7057</v>
      </c>
      <c r="AW2152" s="861">
        <v>46058</v>
      </c>
      <c r="AX2152" s="862">
        <v>46059</v>
      </c>
      <c r="AY2152" s="843" t="s">
        <v>7065</v>
      </c>
      <c r="AZ2152" s="842" t="s">
        <v>5472</v>
      </c>
      <c r="BA2152" s="842" t="s">
        <v>120</v>
      </c>
      <c r="BB2152" s="863" t="s">
        <v>4775</v>
      </c>
      <c r="BC2152" s="864">
        <v>46059</v>
      </c>
      <c r="BD2152" s="860" t="s">
        <v>7059</v>
      </c>
      <c r="BE2152" s="865" cm="1">
        <f t="array" ref="BE2152">IF(BD2152="","",AC2152/SUMPRODUCT(--(BD2152=$BD$4:$BD$12824),$AC$4:$AC$12824))</f>
        <v>8.7646826394626245E-3</v>
      </c>
      <c r="BF2152" s="458"/>
      <c r="BG2152" s="458"/>
      <c r="BH2152" s="458"/>
      <c r="BI2152" s="458"/>
      <c r="BJ2152" s="458"/>
      <c r="BK2152" s="458"/>
      <c r="BL2152" s="458"/>
      <c r="BM2152" s="458"/>
      <c r="BN2152" s="458"/>
      <c r="BO2152" s="866">
        <f>VLOOKUP(BD2152,$BD$4:$BN$12824,3,0)*BE2152</f>
        <v>30518.099069650492</v>
      </c>
      <c r="BP2152" s="866"/>
      <c r="BQ2152" s="866"/>
      <c r="BR2152" s="866">
        <f>VLOOKUP(BD2152,$BD$4:$BN$12824,6,0)*BE2152</f>
        <v>17305.070557823889</v>
      </c>
      <c r="BS2152" s="866">
        <f>VLOOKUP(BD2152,$BD$4:$BN$12824,7,0)*BE2152</f>
        <v>0</v>
      </c>
      <c r="BT2152" s="866"/>
      <c r="BU2152" s="866">
        <f>VLOOKUP(BD2152,$BD$4:$BN$12824,9,0)*BE2152</f>
        <v>175.29365278925249</v>
      </c>
      <c r="BV2152" s="867"/>
      <c r="BW2152" s="867">
        <f>VLOOKUP(BD2152,$BD$4:$BN$12824,11,0)*BE2152</f>
        <v>5258.8095836775747</v>
      </c>
      <c r="BX2152" s="1146">
        <f t="shared" si="410"/>
        <v>53257.272863941209</v>
      </c>
      <c r="BY2152" s="867">
        <f t="shared" si="412"/>
        <v>164281.15910799266</v>
      </c>
      <c r="BZ2152" s="867">
        <f t="shared" si="411"/>
        <v>1314249.2728639413</v>
      </c>
      <c r="CA2152" s="867">
        <f>_xlfn.MAXIFS($BY$4:$BY$12824,$S$4:$S$12824,$S2152)</f>
        <v>164281.15910799266</v>
      </c>
      <c r="CB2152" s="1032"/>
    </row>
    <row r="2153" spans="2:84">
      <c r="B2153" s="839" t="s">
        <v>98</v>
      </c>
      <c r="C2153" s="839" t="s">
        <v>3454</v>
      </c>
      <c r="D2153" s="911" t="s">
        <v>7051</v>
      </c>
      <c r="E2153" s="839" t="s">
        <v>7052</v>
      </c>
      <c r="F2153" s="841">
        <v>46000</v>
      </c>
      <c r="G2153" s="868" t="s">
        <v>3456</v>
      </c>
      <c r="H2153" s="883" t="s">
        <v>102</v>
      </c>
      <c r="I2153" s="883" t="s">
        <v>7053</v>
      </c>
      <c r="J2153" s="841">
        <v>46000</v>
      </c>
      <c r="K2153" s="841"/>
      <c r="L2153" s="843" t="s">
        <v>106</v>
      </c>
      <c r="M2153" s="844" t="s">
        <v>107</v>
      </c>
      <c r="N2153" s="841"/>
      <c r="O2153" s="884" t="s">
        <v>3459</v>
      </c>
      <c r="P2153" s="842" t="s">
        <v>1100</v>
      </c>
      <c r="Q2153" s="843"/>
      <c r="R2153" s="845" t="s">
        <v>7066</v>
      </c>
      <c r="S2153" s="1127" t="s">
        <v>7066</v>
      </c>
      <c r="T2153" s="885" t="s">
        <v>7067</v>
      </c>
      <c r="U2153" s="886">
        <v>2</v>
      </c>
      <c r="V2153" s="842" t="s">
        <v>8</v>
      </c>
      <c r="W2153" s="849">
        <v>9.15</v>
      </c>
      <c r="X2153" s="847">
        <f t="shared" si="415"/>
        <v>18.3</v>
      </c>
      <c r="Y2153" s="853">
        <v>0</v>
      </c>
      <c r="Z2153" s="849">
        <v>9.15</v>
      </c>
      <c r="AA2153" s="849"/>
      <c r="AB2153" s="849">
        <f t="shared" si="414"/>
        <v>18.3</v>
      </c>
      <c r="AC2153" s="850">
        <f t="shared" si="407"/>
        <v>18.3</v>
      </c>
      <c r="AD2153" s="851">
        <f t="shared" si="416"/>
        <v>27000</v>
      </c>
      <c r="AE2153" s="852">
        <v>25840</v>
      </c>
      <c r="AF2153" s="853">
        <v>0</v>
      </c>
      <c r="AG2153" s="854">
        <f t="shared" si="408"/>
        <v>0</v>
      </c>
      <c r="AH2153" s="853">
        <v>0.08</v>
      </c>
      <c r="AI2153" s="855">
        <f t="shared" si="409"/>
        <v>37829.760000000002</v>
      </c>
      <c r="AJ2153" s="845" t="s">
        <v>7051</v>
      </c>
      <c r="AK2153" s="857">
        <v>46367</v>
      </c>
      <c r="AL2153" s="899" t="s">
        <v>7056</v>
      </c>
      <c r="AM2153" s="843"/>
      <c r="AN2153" s="844"/>
      <c r="AO2153" s="844" t="s">
        <v>1741</v>
      </c>
      <c r="AP2153" s="841"/>
      <c r="AQ2153" s="841">
        <v>46047</v>
      </c>
      <c r="AR2153" s="841">
        <v>46052</v>
      </c>
      <c r="AS2153" s="842" t="s">
        <v>1581</v>
      </c>
      <c r="AT2153" s="842" t="s">
        <v>4795</v>
      </c>
      <c r="AU2153" s="842" t="s">
        <v>1090</v>
      </c>
      <c r="AV2153" s="845" t="s">
        <v>7057</v>
      </c>
      <c r="AW2153" s="861">
        <v>46058</v>
      </c>
      <c r="AX2153" s="862">
        <v>46059</v>
      </c>
      <c r="AY2153" s="843" t="s">
        <v>7068</v>
      </c>
      <c r="AZ2153" s="842" t="s">
        <v>5472</v>
      </c>
      <c r="BA2153" s="842" t="s">
        <v>120</v>
      </c>
      <c r="BB2153" s="863" t="s">
        <v>4775</v>
      </c>
      <c r="BC2153" s="864">
        <v>46059</v>
      </c>
      <c r="BD2153" s="860" t="s">
        <v>7059</v>
      </c>
      <c r="BE2153" s="865" cm="1">
        <f t="array" ref="BE2153">IF(BD2153="","",AC2153/SUMPRODUCT(--(BD2153=$BD$4:$BD$12824),$AC$4:$AC$12824))</f>
        <v>3.2867559897984846E-3</v>
      </c>
      <c r="BF2153" s="458"/>
      <c r="BG2153" s="458"/>
      <c r="BH2153" s="458"/>
      <c r="BI2153" s="458"/>
      <c r="BJ2153" s="458"/>
      <c r="BK2153" s="458"/>
      <c r="BL2153" s="458"/>
      <c r="BM2153" s="458"/>
      <c r="BN2153" s="458"/>
      <c r="BO2153" s="866">
        <f>VLOOKUP(BD2153,$BD$4:$BN$12824,3,0)*BE2153</f>
        <v>11444.287151118935</v>
      </c>
      <c r="BP2153" s="866"/>
      <c r="BQ2153" s="866"/>
      <c r="BR2153" s="866">
        <f>VLOOKUP(BD2153,$BD$4:$BN$12824,6,0)*BE2153</f>
        <v>6489.4014591839587</v>
      </c>
      <c r="BS2153" s="866">
        <f>VLOOKUP(BD2153,$BD$4:$BN$12824,7,0)*BE2153</f>
        <v>0</v>
      </c>
      <c r="BT2153" s="866"/>
      <c r="BU2153" s="866">
        <f>VLOOKUP(BD2153,$BD$4:$BN$12824,9,0)*BE2153</f>
        <v>65.735119795969695</v>
      </c>
      <c r="BV2153" s="867"/>
      <c r="BW2153" s="867">
        <f>VLOOKUP(BD2153,$BD$4:$BN$12824,11,0)*BE2153</f>
        <v>1972.0535938790908</v>
      </c>
      <c r="BX2153" s="1146">
        <f t="shared" si="410"/>
        <v>19971.477323977953</v>
      </c>
      <c r="BY2153" s="867">
        <f t="shared" si="412"/>
        <v>246421.73866198899</v>
      </c>
      <c r="BZ2153" s="867">
        <f t="shared" si="411"/>
        <v>492843.47732397798</v>
      </c>
      <c r="CA2153" s="867">
        <f>_xlfn.MAXIFS($BY$4:$BY$12824,$S$4:$S$12824,$S2153)</f>
        <v>246421.73866198899</v>
      </c>
      <c r="CB2153" s="1032"/>
    </row>
    <row r="2154" spans="2:84">
      <c r="B2154" s="839" t="s">
        <v>98</v>
      </c>
      <c r="C2154" s="839" t="s">
        <v>3454</v>
      </c>
      <c r="D2154" s="911" t="s">
        <v>7051</v>
      </c>
      <c r="E2154" s="839" t="s">
        <v>7052</v>
      </c>
      <c r="F2154" s="841">
        <v>46000</v>
      </c>
      <c r="G2154" s="868" t="s">
        <v>3456</v>
      </c>
      <c r="H2154" s="883" t="s">
        <v>102</v>
      </c>
      <c r="I2154" s="883" t="s">
        <v>7053</v>
      </c>
      <c r="J2154" s="841">
        <v>46000</v>
      </c>
      <c r="K2154" s="841"/>
      <c r="L2154" s="843" t="s">
        <v>106</v>
      </c>
      <c r="M2154" s="844" t="s">
        <v>107</v>
      </c>
      <c r="N2154" s="841"/>
      <c r="O2154" s="884" t="s">
        <v>3459</v>
      </c>
      <c r="P2154" s="842" t="s">
        <v>1100</v>
      </c>
      <c r="Q2154" s="843"/>
      <c r="R2154" s="845" t="s">
        <v>7069</v>
      </c>
      <c r="S2154" s="1127" t="s">
        <v>7069</v>
      </c>
      <c r="T2154" s="885" t="s">
        <v>7070</v>
      </c>
      <c r="U2154" s="886">
        <v>23</v>
      </c>
      <c r="V2154" s="842" t="s">
        <v>8</v>
      </c>
      <c r="W2154" s="849">
        <v>12.2</v>
      </c>
      <c r="X2154" s="847">
        <f t="shared" si="415"/>
        <v>280.59999999999997</v>
      </c>
      <c r="Y2154" s="853">
        <v>0</v>
      </c>
      <c r="Z2154" s="849">
        <v>12.2</v>
      </c>
      <c r="AA2154" s="849"/>
      <c r="AB2154" s="849">
        <f t="shared" si="414"/>
        <v>280.59999999999997</v>
      </c>
      <c r="AC2154" s="850">
        <f t="shared" si="407"/>
        <v>280.59999999999997</v>
      </c>
      <c r="AD2154" s="851">
        <f t="shared" si="416"/>
        <v>27000</v>
      </c>
      <c r="AE2154" s="852">
        <v>25840</v>
      </c>
      <c r="AF2154" s="853">
        <v>0</v>
      </c>
      <c r="AG2154" s="854">
        <f t="shared" si="408"/>
        <v>0</v>
      </c>
      <c r="AH2154" s="853">
        <v>0.08</v>
      </c>
      <c r="AI2154" s="855">
        <f t="shared" si="409"/>
        <v>580056.31999999995</v>
      </c>
      <c r="AJ2154" s="845" t="s">
        <v>7051</v>
      </c>
      <c r="AK2154" s="857">
        <v>46367</v>
      </c>
      <c r="AL2154" s="899" t="s">
        <v>7056</v>
      </c>
      <c r="AM2154" s="843"/>
      <c r="AN2154" s="844"/>
      <c r="AO2154" s="844" t="s">
        <v>1741</v>
      </c>
      <c r="AP2154" s="841"/>
      <c r="AQ2154" s="841">
        <v>46047</v>
      </c>
      <c r="AR2154" s="841">
        <v>46052</v>
      </c>
      <c r="AS2154" s="842" t="s">
        <v>1581</v>
      </c>
      <c r="AT2154" s="842" t="s">
        <v>4795</v>
      </c>
      <c r="AU2154" s="842" t="s">
        <v>1090</v>
      </c>
      <c r="AV2154" s="845" t="s">
        <v>7057</v>
      </c>
      <c r="AW2154" s="861">
        <v>46058</v>
      </c>
      <c r="AX2154" s="862">
        <v>46059</v>
      </c>
      <c r="AY2154" s="843" t="s">
        <v>7071</v>
      </c>
      <c r="AZ2154" s="842" t="s">
        <v>5472</v>
      </c>
      <c r="BA2154" s="842" t="s">
        <v>120</v>
      </c>
      <c r="BB2154" s="863" t="s">
        <v>4775</v>
      </c>
      <c r="BC2154" s="864">
        <v>46059</v>
      </c>
      <c r="BD2154" s="860" t="s">
        <v>7059</v>
      </c>
      <c r="BE2154" s="865" cm="1">
        <f t="array" ref="BE2154">IF(BD2154="","",AC2154/SUMPRODUCT(--(BD2154=$BD$4:$BD$12824),$AC$4:$AC$12824))</f>
        <v>5.0396925176910093E-2</v>
      </c>
      <c r="BF2154" s="458"/>
      <c r="BG2154" s="458"/>
      <c r="BH2154" s="458"/>
      <c r="BI2154" s="458"/>
      <c r="BJ2154" s="458"/>
      <c r="BK2154" s="458"/>
      <c r="BL2154" s="458"/>
      <c r="BM2154" s="458"/>
      <c r="BN2154" s="458"/>
      <c r="BO2154" s="866">
        <f>VLOOKUP(BD2154,$BD$4:$BN$12824,3,0)*BE2154</f>
        <v>175479.06965049033</v>
      </c>
      <c r="BP2154" s="866"/>
      <c r="BQ2154" s="866"/>
      <c r="BR2154" s="866">
        <f>VLOOKUP(BD2154,$BD$4:$BN$12824,6,0)*BE2154</f>
        <v>99504.155707487356</v>
      </c>
      <c r="BS2154" s="866">
        <f>VLOOKUP(BD2154,$BD$4:$BN$12824,7,0)*BE2154</f>
        <v>0</v>
      </c>
      <c r="BT2154" s="866"/>
      <c r="BU2154" s="866">
        <f>VLOOKUP(BD2154,$BD$4:$BN$12824,9,0)*BE2154</f>
        <v>1007.9385035382019</v>
      </c>
      <c r="BV2154" s="867"/>
      <c r="BW2154" s="867">
        <f>VLOOKUP(BD2154,$BD$4:$BN$12824,11,0)*BE2154</f>
        <v>30238.155106146056</v>
      </c>
      <c r="BX2154" s="1146">
        <f t="shared" si="410"/>
        <v>306229.31896766194</v>
      </c>
      <c r="BY2154" s="867">
        <f t="shared" si="412"/>
        <v>328562.31821598526</v>
      </c>
      <c r="BZ2154" s="867">
        <f t="shared" si="411"/>
        <v>7556933.3189676609</v>
      </c>
      <c r="CA2154" s="867">
        <f>_xlfn.MAXIFS($BY$4:$BY$12824,$S$4:$S$12824,$S2154)</f>
        <v>328562.31821598526</v>
      </c>
      <c r="CB2154" s="1032"/>
    </row>
    <row r="2155" spans="2:84">
      <c r="B2155" s="839" t="s">
        <v>98</v>
      </c>
      <c r="C2155" s="839" t="s">
        <v>3454</v>
      </c>
      <c r="D2155" s="911" t="s">
        <v>7051</v>
      </c>
      <c r="E2155" s="839" t="s">
        <v>7052</v>
      </c>
      <c r="F2155" s="841">
        <v>46000</v>
      </c>
      <c r="G2155" s="868" t="s">
        <v>3456</v>
      </c>
      <c r="H2155" s="883" t="s">
        <v>102</v>
      </c>
      <c r="I2155" s="883" t="s">
        <v>7053</v>
      </c>
      <c r="J2155" s="841">
        <v>46000</v>
      </c>
      <c r="K2155" s="841"/>
      <c r="L2155" s="843" t="s">
        <v>106</v>
      </c>
      <c r="M2155" s="844" t="s">
        <v>107</v>
      </c>
      <c r="N2155" s="841"/>
      <c r="O2155" s="884" t="s">
        <v>3459</v>
      </c>
      <c r="P2155" s="842" t="s">
        <v>124</v>
      </c>
      <c r="Q2155" s="843"/>
      <c r="R2155" s="845" t="s">
        <v>7072</v>
      </c>
      <c r="S2155" s="1127" t="s">
        <v>7072</v>
      </c>
      <c r="T2155" s="885" t="s">
        <v>7073</v>
      </c>
      <c r="U2155" s="886">
        <v>22</v>
      </c>
      <c r="V2155" s="842" t="s">
        <v>8</v>
      </c>
      <c r="W2155" s="849">
        <v>2.2999999999999998</v>
      </c>
      <c r="X2155" s="847">
        <f t="shared" si="415"/>
        <v>50.599999999999994</v>
      </c>
      <c r="Y2155" s="853">
        <v>0</v>
      </c>
      <c r="Z2155" s="849">
        <v>2.2999999999999998</v>
      </c>
      <c r="AA2155" s="849"/>
      <c r="AB2155" s="849">
        <f t="shared" si="414"/>
        <v>50.599999999999994</v>
      </c>
      <c r="AC2155" s="850">
        <f t="shared" si="407"/>
        <v>50.599999999999994</v>
      </c>
      <c r="AD2155" s="851">
        <f t="shared" si="416"/>
        <v>27000</v>
      </c>
      <c r="AE2155" s="852">
        <v>25840</v>
      </c>
      <c r="AF2155" s="853">
        <v>0</v>
      </c>
      <c r="AG2155" s="854">
        <f t="shared" si="408"/>
        <v>0</v>
      </c>
      <c r="AH2155" s="853">
        <v>0.08</v>
      </c>
      <c r="AI2155" s="855">
        <f t="shared" si="409"/>
        <v>104600.31999999998</v>
      </c>
      <c r="AJ2155" s="845" t="s">
        <v>7051</v>
      </c>
      <c r="AK2155" s="857">
        <v>46367</v>
      </c>
      <c r="AL2155" s="899" t="s">
        <v>7056</v>
      </c>
      <c r="AM2155" s="843"/>
      <c r="AN2155" s="844"/>
      <c r="AO2155" s="844" t="s">
        <v>1741</v>
      </c>
      <c r="AP2155" s="841"/>
      <c r="AQ2155" s="841">
        <v>46047</v>
      </c>
      <c r="AR2155" s="841">
        <v>46052</v>
      </c>
      <c r="AS2155" s="842" t="s">
        <v>1581</v>
      </c>
      <c r="AT2155" s="842" t="s">
        <v>4795</v>
      </c>
      <c r="AU2155" s="842" t="s">
        <v>1090</v>
      </c>
      <c r="AV2155" s="845" t="s">
        <v>7057</v>
      </c>
      <c r="AW2155" s="861">
        <v>46058</v>
      </c>
      <c r="AX2155" s="862">
        <v>46059</v>
      </c>
      <c r="AY2155" s="843" t="s">
        <v>7074</v>
      </c>
      <c r="AZ2155" s="842" t="s">
        <v>7075</v>
      </c>
      <c r="BA2155" s="842" t="s">
        <v>120</v>
      </c>
      <c r="BB2155" s="863" t="s">
        <v>4775</v>
      </c>
      <c r="BC2155" s="864">
        <v>46059</v>
      </c>
      <c r="BD2155" s="860" t="s">
        <v>7059</v>
      </c>
      <c r="BE2155" s="865" cm="1">
        <f t="array" ref="BE2155">IF(BD2155="","",AC2155/SUMPRODUCT(--(BD2155=$BD$4:$BD$12824),$AC$4:$AC$12824))</f>
        <v>9.087970113869033E-3</v>
      </c>
      <c r="BF2155" s="458"/>
      <c r="BG2155" s="458"/>
      <c r="BH2155" s="458"/>
      <c r="BI2155" s="458"/>
      <c r="BJ2155" s="458"/>
      <c r="BK2155" s="458"/>
      <c r="BL2155" s="458"/>
      <c r="BM2155" s="458"/>
      <c r="BN2155" s="458"/>
      <c r="BO2155" s="866">
        <f>VLOOKUP(BD2155,$BD$4:$BN$12824,3,0)*BE2155</f>
        <v>31643.766658285142</v>
      </c>
      <c r="BP2155" s="866"/>
      <c r="BQ2155" s="866"/>
      <c r="BR2155" s="866">
        <f>VLOOKUP(BD2155,$BD$4:$BN$12824,6,0)*BE2155</f>
        <v>17943.372340694441</v>
      </c>
      <c r="BS2155" s="866">
        <f>VLOOKUP(BD2155,$BD$4:$BN$12824,7,0)*BE2155</f>
        <v>0</v>
      </c>
      <c r="BT2155" s="866"/>
      <c r="BU2155" s="866">
        <f>VLOOKUP(BD2155,$BD$4:$BN$12824,9,0)*BE2155</f>
        <v>181.75940227738067</v>
      </c>
      <c r="BV2155" s="867"/>
      <c r="BW2155" s="867">
        <f>VLOOKUP(BD2155,$BD$4:$BN$12824,11,0)*BE2155</f>
        <v>5452.7820683214195</v>
      </c>
      <c r="BX2155" s="1146">
        <f t="shared" si="410"/>
        <v>55221.680469578379</v>
      </c>
      <c r="BY2155" s="867">
        <f t="shared" si="412"/>
        <v>61942.076384980821</v>
      </c>
      <c r="BZ2155" s="867">
        <f t="shared" si="411"/>
        <v>1362725.6804695781</v>
      </c>
      <c r="CA2155" s="867">
        <f>_xlfn.MAXIFS($BY$4:$BY$12824,$S$4:$S$12824,$S2155)</f>
        <v>61942.076384980821</v>
      </c>
      <c r="CB2155" s="1032"/>
    </row>
    <row r="2156" spans="2:84">
      <c r="B2156" s="839" t="s">
        <v>98</v>
      </c>
      <c r="C2156" s="839" t="s">
        <v>3454</v>
      </c>
      <c r="D2156" s="911" t="s">
        <v>7051</v>
      </c>
      <c r="E2156" s="839" t="s">
        <v>7052</v>
      </c>
      <c r="F2156" s="841">
        <v>46000</v>
      </c>
      <c r="G2156" s="868" t="s">
        <v>3456</v>
      </c>
      <c r="H2156" s="883" t="s">
        <v>102</v>
      </c>
      <c r="I2156" s="883" t="s">
        <v>7053</v>
      </c>
      <c r="J2156" s="841">
        <v>46000</v>
      </c>
      <c r="K2156" s="841"/>
      <c r="L2156" s="843" t="s">
        <v>106</v>
      </c>
      <c r="M2156" s="844" t="s">
        <v>107</v>
      </c>
      <c r="N2156" s="841"/>
      <c r="O2156" s="884" t="s">
        <v>3459</v>
      </c>
      <c r="P2156" s="842" t="s">
        <v>124</v>
      </c>
      <c r="Q2156" s="843"/>
      <c r="R2156" s="845" t="s">
        <v>7076</v>
      </c>
      <c r="S2156" s="1127" t="s">
        <v>7076</v>
      </c>
      <c r="T2156" s="885" t="s">
        <v>7077</v>
      </c>
      <c r="U2156" s="886">
        <v>5</v>
      </c>
      <c r="V2156" s="842" t="s">
        <v>8</v>
      </c>
      <c r="W2156" s="849">
        <v>2.2999999999999998</v>
      </c>
      <c r="X2156" s="847">
        <f t="shared" si="415"/>
        <v>11.5</v>
      </c>
      <c r="Y2156" s="853">
        <v>0</v>
      </c>
      <c r="Z2156" s="849">
        <v>2.2999999999999998</v>
      </c>
      <c r="AA2156" s="849"/>
      <c r="AB2156" s="849">
        <f t="shared" si="414"/>
        <v>11.5</v>
      </c>
      <c r="AC2156" s="850">
        <f t="shared" si="407"/>
        <v>11.5</v>
      </c>
      <c r="AD2156" s="851">
        <f t="shared" si="416"/>
        <v>27000</v>
      </c>
      <c r="AE2156" s="852">
        <v>25840</v>
      </c>
      <c r="AF2156" s="853">
        <v>0</v>
      </c>
      <c r="AG2156" s="854">
        <f t="shared" si="408"/>
        <v>0</v>
      </c>
      <c r="AH2156" s="853">
        <v>0.08</v>
      </c>
      <c r="AI2156" s="855">
        <f t="shared" si="409"/>
        <v>23772.799999999999</v>
      </c>
      <c r="AJ2156" s="845" t="s">
        <v>7051</v>
      </c>
      <c r="AK2156" s="857">
        <v>46367</v>
      </c>
      <c r="AL2156" s="899" t="s">
        <v>7056</v>
      </c>
      <c r="AM2156" s="843"/>
      <c r="AN2156" s="844"/>
      <c r="AO2156" s="844" t="s">
        <v>1741</v>
      </c>
      <c r="AP2156" s="841"/>
      <c r="AQ2156" s="841">
        <v>46047</v>
      </c>
      <c r="AR2156" s="841">
        <v>46052</v>
      </c>
      <c r="AS2156" s="842" t="s">
        <v>1581</v>
      </c>
      <c r="AT2156" s="842" t="s">
        <v>4795</v>
      </c>
      <c r="AU2156" s="842" t="s">
        <v>1090</v>
      </c>
      <c r="AV2156" s="845" t="s">
        <v>7057</v>
      </c>
      <c r="AW2156" s="861">
        <v>46058</v>
      </c>
      <c r="AX2156" s="862">
        <v>46059</v>
      </c>
      <c r="AY2156" s="843" t="s">
        <v>7078</v>
      </c>
      <c r="AZ2156" s="842" t="s">
        <v>7075</v>
      </c>
      <c r="BA2156" s="842" t="s">
        <v>120</v>
      </c>
      <c r="BB2156" s="863" t="s">
        <v>4775</v>
      </c>
      <c r="BC2156" s="864">
        <v>46059</v>
      </c>
      <c r="BD2156" s="860" t="s">
        <v>7059</v>
      </c>
      <c r="BE2156" s="865" cm="1">
        <f t="array" ref="BE2156">IF(BD2156="","",AC2156/SUMPRODUCT(--(BD2156=$BD$4:$BD$12824),$AC$4:$AC$12824))</f>
        <v>2.0654477531520531E-3</v>
      </c>
      <c r="BF2156" s="458"/>
      <c r="BG2156" s="458"/>
      <c r="BH2156" s="458"/>
      <c r="BI2156" s="458"/>
      <c r="BJ2156" s="458"/>
      <c r="BK2156" s="458"/>
      <c r="BL2156" s="458"/>
      <c r="BM2156" s="458"/>
      <c r="BN2156" s="458"/>
      <c r="BO2156" s="866">
        <f>VLOOKUP(BD2156,$BD$4:$BN$12824,3,0)*BE2156</f>
        <v>7191.7651496102599</v>
      </c>
      <c r="BP2156" s="866"/>
      <c r="BQ2156" s="866"/>
      <c r="BR2156" s="866">
        <f>VLOOKUP(BD2156,$BD$4:$BN$12824,6,0)*BE2156</f>
        <v>4078.039168339646</v>
      </c>
      <c r="BS2156" s="866">
        <f>VLOOKUP(BD2156,$BD$4:$BN$12824,7,0)*BE2156</f>
        <v>0</v>
      </c>
      <c r="BT2156" s="866"/>
      <c r="BU2156" s="866">
        <f>VLOOKUP(BD2156,$BD$4:$BN$12824,9,0)*BE2156</f>
        <v>41.308955063041061</v>
      </c>
      <c r="BV2156" s="867"/>
      <c r="BW2156" s="867">
        <f>VLOOKUP(BD2156,$BD$4:$BN$12824,11,0)*BE2156</f>
        <v>1239.2686518912319</v>
      </c>
      <c r="BX2156" s="1146">
        <f t="shared" si="410"/>
        <v>12550.381924904179</v>
      </c>
      <c r="BY2156" s="867">
        <f t="shared" si="412"/>
        <v>61942.076384980835</v>
      </c>
      <c r="BZ2156" s="867">
        <f t="shared" si="411"/>
        <v>309710.38192490418</v>
      </c>
      <c r="CA2156" s="867">
        <f>_xlfn.MAXIFS($BY$4:$BY$12824,$S$4:$S$12824,$S2156)</f>
        <v>61942.076384980835</v>
      </c>
      <c r="CB2156" s="1032"/>
    </row>
    <row r="2157" spans="2:84">
      <c r="B2157" s="839" t="s">
        <v>98</v>
      </c>
      <c r="C2157" s="839" t="s">
        <v>3454</v>
      </c>
      <c r="D2157" s="911" t="s">
        <v>7051</v>
      </c>
      <c r="E2157" s="839" t="s">
        <v>7052</v>
      </c>
      <c r="F2157" s="841">
        <v>46000</v>
      </c>
      <c r="G2157" s="868" t="s">
        <v>3456</v>
      </c>
      <c r="H2157" s="883" t="s">
        <v>102</v>
      </c>
      <c r="I2157" s="883" t="s">
        <v>7079</v>
      </c>
      <c r="J2157" s="841">
        <v>46000</v>
      </c>
      <c r="K2157" s="841"/>
      <c r="L2157" s="843" t="s">
        <v>106</v>
      </c>
      <c r="M2157" s="844" t="s">
        <v>107</v>
      </c>
      <c r="N2157" s="841"/>
      <c r="O2157" s="884" t="s">
        <v>3459</v>
      </c>
      <c r="P2157" s="842" t="s">
        <v>2088</v>
      </c>
      <c r="Q2157" s="843"/>
      <c r="R2157" s="845" t="s">
        <v>7080</v>
      </c>
      <c r="S2157" s="1127" t="s">
        <v>7080</v>
      </c>
      <c r="T2157" s="885" t="s">
        <v>7081</v>
      </c>
      <c r="U2157" s="886">
        <v>5</v>
      </c>
      <c r="V2157" s="842" t="s">
        <v>8</v>
      </c>
      <c r="W2157" s="849">
        <v>8.1999999999999993</v>
      </c>
      <c r="X2157" s="847">
        <f t="shared" si="415"/>
        <v>41</v>
      </c>
      <c r="Y2157" s="853">
        <v>0</v>
      </c>
      <c r="Z2157" s="849">
        <v>8.1999999999999993</v>
      </c>
      <c r="AA2157" s="849"/>
      <c r="AB2157" s="849">
        <f t="shared" si="414"/>
        <v>41</v>
      </c>
      <c r="AC2157" s="850">
        <f t="shared" si="407"/>
        <v>41</v>
      </c>
      <c r="AD2157" s="851">
        <f t="shared" si="416"/>
        <v>27000</v>
      </c>
      <c r="AE2157" s="852">
        <v>25840</v>
      </c>
      <c r="AF2157" s="853">
        <v>0</v>
      </c>
      <c r="AG2157" s="854">
        <f t="shared" si="408"/>
        <v>0</v>
      </c>
      <c r="AH2157" s="853">
        <v>0.08</v>
      </c>
      <c r="AI2157" s="855">
        <f t="shared" si="409"/>
        <v>84755.199999999997</v>
      </c>
      <c r="AJ2157" s="845" t="s">
        <v>7051</v>
      </c>
      <c r="AK2157" s="857">
        <v>46367</v>
      </c>
      <c r="AL2157" s="899" t="s">
        <v>7056</v>
      </c>
      <c r="AM2157" s="843"/>
      <c r="AN2157" s="844"/>
      <c r="AO2157" s="844" t="s">
        <v>1741</v>
      </c>
      <c r="AP2157" s="841"/>
      <c r="AQ2157" s="841">
        <v>46047</v>
      </c>
      <c r="AR2157" s="841">
        <v>46052</v>
      </c>
      <c r="AS2157" s="842" t="s">
        <v>1581</v>
      </c>
      <c r="AT2157" s="842" t="s">
        <v>4795</v>
      </c>
      <c r="AU2157" s="842" t="s">
        <v>1090</v>
      </c>
      <c r="AV2157" s="845" t="s">
        <v>7057</v>
      </c>
      <c r="AW2157" s="861">
        <v>46058</v>
      </c>
      <c r="AX2157" s="862">
        <v>46059</v>
      </c>
      <c r="AY2157" s="843" t="s">
        <v>7082</v>
      </c>
      <c r="AZ2157" s="842" t="s">
        <v>5472</v>
      </c>
      <c r="BA2157" s="842" t="s">
        <v>120</v>
      </c>
      <c r="BB2157" s="863" t="s">
        <v>4775</v>
      </c>
      <c r="BC2157" s="864">
        <v>46059</v>
      </c>
      <c r="BD2157" s="860" t="s">
        <v>7059</v>
      </c>
      <c r="BE2157" s="865" cm="1">
        <f t="array" ref="BE2157">IF(BD2157="","",AC2157/SUMPRODUCT(--(BD2157=$BD$4:$BD$12824),$AC$4:$AC$12824))</f>
        <v>7.3637702503681892E-3</v>
      </c>
      <c r="BF2157" s="458"/>
      <c r="BG2157" s="458"/>
      <c r="BH2157" s="458"/>
      <c r="BI2157" s="458"/>
      <c r="BJ2157" s="458"/>
      <c r="BK2157" s="458"/>
      <c r="BL2157" s="458"/>
      <c r="BM2157" s="458"/>
      <c r="BN2157" s="458"/>
      <c r="BO2157" s="866">
        <f>VLOOKUP(BD2157,$BD$4:$BN$12824,3,0)*BE2157</f>
        <v>25640.206185567014</v>
      </c>
      <c r="BP2157" s="866"/>
      <c r="BQ2157" s="866"/>
      <c r="BR2157" s="866">
        <f>VLOOKUP(BD2157,$BD$4:$BN$12824,6,0)*BE2157</f>
        <v>14539.096165384826</v>
      </c>
      <c r="BS2157" s="866">
        <f>VLOOKUP(BD2157,$BD$4:$BN$12824,7,0)*BE2157</f>
        <v>0</v>
      </c>
      <c r="BT2157" s="866"/>
      <c r="BU2157" s="866">
        <f>VLOOKUP(BD2157,$BD$4:$BN$12824,9,0)*BE2157</f>
        <v>147.27540500736379</v>
      </c>
      <c r="BV2157" s="867"/>
      <c r="BW2157" s="867">
        <f>VLOOKUP(BD2157,$BD$4:$BN$12824,11,0)*BE2157</f>
        <v>4418.2621502209131</v>
      </c>
      <c r="BX2157" s="1146">
        <f t="shared" si="410"/>
        <v>44744.839906180117</v>
      </c>
      <c r="BY2157" s="867">
        <f t="shared" si="412"/>
        <v>220836.967981236</v>
      </c>
      <c r="BZ2157" s="867">
        <f t="shared" si="411"/>
        <v>1104184.83990618</v>
      </c>
      <c r="CA2157" s="867">
        <f>_xlfn.MAXIFS($BY$4:$BY$12824,$S$4:$S$12824,$S2157)</f>
        <v>220836.967981236</v>
      </c>
      <c r="CB2157" s="1032"/>
    </row>
    <row r="2158" spans="2:84">
      <c r="B2158" s="839" t="s">
        <v>98</v>
      </c>
      <c r="C2158" s="839" t="s">
        <v>3454</v>
      </c>
      <c r="D2158" s="911" t="s">
        <v>7051</v>
      </c>
      <c r="E2158" s="839" t="s">
        <v>7083</v>
      </c>
      <c r="F2158" s="841">
        <v>46006</v>
      </c>
      <c r="G2158" s="868" t="s">
        <v>3456</v>
      </c>
      <c r="H2158" s="883" t="s">
        <v>102</v>
      </c>
      <c r="I2158" s="883" t="s">
        <v>7084</v>
      </c>
      <c r="J2158" s="841">
        <v>46006</v>
      </c>
      <c r="K2158" s="841">
        <v>46052</v>
      </c>
      <c r="L2158" s="843" t="s">
        <v>106</v>
      </c>
      <c r="M2158" s="844" t="s">
        <v>107</v>
      </c>
      <c r="N2158" s="841"/>
      <c r="O2158" s="884" t="s">
        <v>3459</v>
      </c>
      <c r="P2158" s="842" t="s">
        <v>4953</v>
      </c>
      <c r="Q2158" s="843"/>
      <c r="R2158" s="845" t="s">
        <v>7085</v>
      </c>
      <c r="S2158" s="1128" t="s">
        <v>7085</v>
      </c>
      <c r="T2158" s="885" t="s">
        <v>7086</v>
      </c>
      <c r="U2158" s="886">
        <v>41</v>
      </c>
      <c r="V2158" s="842" t="s">
        <v>8</v>
      </c>
      <c r="W2158" s="846">
        <v>34.799999999999997</v>
      </c>
      <c r="X2158" s="847">
        <f t="shared" si="415"/>
        <v>1426.8</v>
      </c>
      <c r="Y2158" s="853">
        <v>0</v>
      </c>
      <c r="Z2158" s="849">
        <v>34.799999999999997</v>
      </c>
      <c r="AA2158" s="849"/>
      <c r="AB2158" s="849">
        <f t="shared" si="414"/>
        <v>1426.8</v>
      </c>
      <c r="AC2158" s="850">
        <f t="shared" si="407"/>
        <v>1426.8</v>
      </c>
      <c r="AD2158" s="851">
        <f t="shared" si="416"/>
        <v>27000</v>
      </c>
      <c r="AE2158" s="852">
        <v>25840</v>
      </c>
      <c r="AF2158" s="853">
        <v>0</v>
      </c>
      <c r="AG2158" s="854">
        <f t="shared" si="408"/>
        <v>0</v>
      </c>
      <c r="AH2158" s="853">
        <v>0.08</v>
      </c>
      <c r="AI2158" s="855">
        <f t="shared" si="409"/>
        <v>2949480.96</v>
      </c>
      <c r="AJ2158" s="845" t="s">
        <v>7051</v>
      </c>
      <c r="AK2158" s="857">
        <v>46367</v>
      </c>
      <c r="AL2158" s="899" t="s">
        <v>7056</v>
      </c>
      <c r="AM2158" s="843"/>
      <c r="AN2158" s="844"/>
      <c r="AO2158" s="844" t="s">
        <v>1741</v>
      </c>
      <c r="AP2158" s="841"/>
      <c r="AQ2158" s="841">
        <v>46047</v>
      </c>
      <c r="AR2158" s="841">
        <v>46052</v>
      </c>
      <c r="AS2158" s="842" t="s">
        <v>1581</v>
      </c>
      <c r="AT2158" s="842" t="s">
        <v>4795</v>
      </c>
      <c r="AU2158" s="842" t="s">
        <v>1090</v>
      </c>
      <c r="AV2158" s="845" t="s">
        <v>7057</v>
      </c>
      <c r="AW2158" s="861">
        <v>46058</v>
      </c>
      <c r="AX2158" s="862">
        <v>46059</v>
      </c>
      <c r="AY2158" s="843" t="s">
        <v>7087</v>
      </c>
      <c r="AZ2158" s="842" t="s">
        <v>5472</v>
      </c>
      <c r="BA2158" s="842" t="s">
        <v>120</v>
      </c>
      <c r="BB2158" s="863" t="s">
        <v>4775</v>
      </c>
      <c r="BC2158" s="864">
        <v>46059</v>
      </c>
      <c r="BD2158" s="860" t="s">
        <v>7059</v>
      </c>
      <c r="BE2158" s="865" cm="1">
        <f t="array" ref="BE2158">IF(BD2158="","",AC2158/SUMPRODUCT(--(BD2158=$BD$4:$BD$12824),$AC$4:$AC$12824))</f>
        <v>0.25625920471281299</v>
      </c>
      <c r="BF2158" s="458"/>
      <c r="BG2158" s="458"/>
      <c r="BH2158" s="458"/>
      <c r="BI2158" s="458"/>
      <c r="BJ2158" s="458"/>
      <c r="BK2158" s="458"/>
      <c r="BL2158" s="458"/>
      <c r="BM2158" s="458"/>
      <c r="BN2158" s="458"/>
      <c r="BO2158" s="866">
        <f>VLOOKUP(BD2158,$BD$4:$BN$12824,3,0)*BE2158</f>
        <v>892279.17525773204</v>
      </c>
      <c r="BP2158" s="866"/>
      <c r="BQ2158" s="866"/>
      <c r="BR2158" s="866">
        <f>VLOOKUP(BD2158,$BD$4:$BN$12824,6,0)*BE2158</f>
        <v>505960.54655539192</v>
      </c>
      <c r="BS2158" s="866">
        <f>VLOOKUP(BD2158,$BD$4:$BN$12824,7,0)*BE2158</f>
        <v>0</v>
      </c>
      <c r="BT2158" s="866"/>
      <c r="BU2158" s="866">
        <f>VLOOKUP(BD2158,$BD$4:$BN$12824,9,0)*BE2158</f>
        <v>5125.1840942562603</v>
      </c>
      <c r="BV2158" s="867"/>
      <c r="BW2158" s="867">
        <f>VLOOKUP(BD2158,$BD$4:$BN$12824,11,0)*BE2158</f>
        <v>153755.52282768779</v>
      </c>
      <c r="BX2158" s="1146">
        <f t="shared" si="410"/>
        <v>1557120.4287350681</v>
      </c>
      <c r="BY2158" s="867">
        <f t="shared" si="412"/>
        <v>937210.54704231874</v>
      </c>
      <c r="BZ2158" s="867">
        <f t="shared" si="411"/>
        <v>38425632.42873507</v>
      </c>
      <c r="CA2158" s="867">
        <f>_xlfn.MAXIFS($BY$4:$BY$12824,$S$4:$S$12824,$S2158)</f>
        <v>937210.54704231874</v>
      </c>
      <c r="CB2158" s="1032"/>
    </row>
    <row r="2159" spans="2:84">
      <c r="B2159" s="839" t="s">
        <v>98</v>
      </c>
      <c r="C2159" s="839" t="s">
        <v>3454</v>
      </c>
      <c r="D2159" s="911" t="s">
        <v>7051</v>
      </c>
      <c r="E2159" s="839" t="s">
        <v>7083</v>
      </c>
      <c r="F2159" s="841">
        <v>46006</v>
      </c>
      <c r="G2159" s="868" t="s">
        <v>3456</v>
      </c>
      <c r="H2159" s="883" t="s">
        <v>102</v>
      </c>
      <c r="I2159" s="883" t="s">
        <v>7084</v>
      </c>
      <c r="J2159" s="841">
        <v>46006</v>
      </c>
      <c r="K2159" s="841">
        <v>46052</v>
      </c>
      <c r="L2159" s="843" t="s">
        <v>106</v>
      </c>
      <c r="M2159" s="844" t="s">
        <v>107</v>
      </c>
      <c r="N2159" s="841"/>
      <c r="O2159" s="884" t="s">
        <v>3459</v>
      </c>
      <c r="P2159" s="842" t="s">
        <v>4953</v>
      </c>
      <c r="Q2159" s="843"/>
      <c r="R2159" s="845" t="s">
        <v>7088</v>
      </c>
      <c r="S2159" s="1128" t="s">
        <v>7088</v>
      </c>
      <c r="T2159" s="885" t="s">
        <v>7089</v>
      </c>
      <c r="U2159" s="886">
        <v>1</v>
      </c>
      <c r="V2159" s="842" t="s">
        <v>8</v>
      </c>
      <c r="W2159" s="846">
        <v>25.5</v>
      </c>
      <c r="X2159" s="847">
        <f t="shared" si="415"/>
        <v>25.5</v>
      </c>
      <c r="Y2159" s="853">
        <v>0</v>
      </c>
      <c r="Z2159" s="849">
        <v>25.5</v>
      </c>
      <c r="AA2159" s="849"/>
      <c r="AB2159" s="849">
        <f t="shared" si="414"/>
        <v>25.5</v>
      </c>
      <c r="AC2159" s="850">
        <f t="shared" si="407"/>
        <v>25.5</v>
      </c>
      <c r="AD2159" s="851">
        <f t="shared" si="416"/>
        <v>27000</v>
      </c>
      <c r="AE2159" s="852">
        <v>25840</v>
      </c>
      <c r="AF2159" s="853">
        <v>0</v>
      </c>
      <c r="AG2159" s="854">
        <f t="shared" si="408"/>
        <v>0</v>
      </c>
      <c r="AH2159" s="853">
        <v>0.08</v>
      </c>
      <c r="AI2159" s="855">
        <f t="shared" si="409"/>
        <v>52713.599999999999</v>
      </c>
      <c r="AJ2159" s="845" t="s">
        <v>7051</v>
      </c>
      <c r="AK2159" s="857">
        <v>46367</v>
      </c>
      <c r="AL2159" s="899" t="s">
        <v>7056</v>
      </c>
      <c r="AM2159" s="843"/>
      <c r="AN2159" s="844"/>
      <c r="AO2159" s="844" t="s">
        <v>1741</v>
      </c>
      <c r="AP2159" s="841"/>
      <c r="AQ2159" s="841">
        <v>46047</v>
      </c>
      <c r="AR2159" s="841">
        <v>46052</v>
      </c>
      <c r="AS2159" s="842" t="s">
        <v>1581</v>
      </c>
      <c r="AT2159" s="842" t="s">
        <v>4795</v>
      </c>
      <c r="AU2159" s="842" t="s">
        <v>1090</v>
      </c>
      <c r="AV2159" s="845" t="s">
        <v>7057</v>
      </c>
      <c r="AW2159" s="861">
        <v>46058</v>
      </c>
      <c r="AX2159" s="862">
        <v>46059</v>
      </c>
      <c r="AY2159" s="843" t="s">
        <v>7090</v>
      </c>
      <c r="AZ2159" s="842" t="s">
        <v>5472</v>
      </c>
      <c r="BA2159" s="842" t="s">
        <v>120</v>
      </c>
      <c r="BB2159" s="863" t="s">
        <v>4775</v>
      </c>
      <c r="BC2159" s="864">
        <v>46059</v>
      </c>
      <c r="BD2159" s="860" t="s">
        <v>7059</v>
      </c>
      <c r="BE2159" s="865" cm="1">
        <f t="array" ref="BE2159">IF(BD2159="","",AC2159/SUMPRODUCT(--(BD2159=$BD$4:$BD$12824),$AC$4:$AC$12824))</f>
        <v>4.5799058874241181E-3</v>
      </c>
      <c r="BF2159" s="458"/>
      <c r="BG2159" s="458"/>
      <c r="BH2159" s="458"/>
      <c r="BI2159" s="458"/>
      <c r="BJ2159" s="458"/>
      <c r="BK2159" s="458"/>
      <c r="BL2159" s="458"/>
      <c r="BM2159" s="458"/>
      <c r="BN2159" s="458"/>
      <c r="BO2159" s="866">
        <f>VLOOKUP(BD2159,$BD$4:$BN$12824,3,0)*BE2159</f>
        <v>15946.957505657534</v>
      </c>
      <c r="BP2159" s="866"/>
      <c r="BQ2159" s="866"/>
      <c r="BR2159" s="866">
        <f>VLOOKUP(BD2159,$BD$4:$BN$12824,6,0)*BE2159</f>
        <v>9042.6085906661719</v>
      </c>
      <c r="BS2159" s="866">
        <f>VLOOKUP(BD2159,$BD$4:$BN$12824,7,0)*BE2159</f>
        <v>0</v>
      </c>
      <c r="BT2159" s="866"/>
      <c r="BU2159" s="866">
        <f>VLOOKUP(BD2159,$BD$4:$BN$12824,9,0)*BE2159</f>
        <v>91.598117748482366</v>
      </c>
      <c r="BV2159" s="867"/>
      <c r="BW2159" s="867">
        <f>VLOOKUP(BD2159,$BD$4:$BN$12824,11,0)*BE2159</f>
        <v>2747.9435324544711</v>
      </c>
      <c r="BX2159" s="1146">
        <f t="shared" si="410"/>
        <v>27829.107746526661</v>
      </c>
      <c r="BY2159" s="867">
        <f t="shared" si="412"/>
        <v>686749.10774652672</v>
      </c>
      <c r="BZ2159" s="867">
        <f t="shared" si="411"/>
        <v>686749.10774652672</v>
      </c>
      <c r="CA2159" s="867">
        <f>_xlfn.MAXIFS($BY$4:$BY$12824,$S$4:$S$12824,$S2159)</f>
        <v>686749.10774652672</v>
      </c>
      <c r="CB2159" s="1032"/>
    </row>
    <row r="2160" spans="2:84">
      <c r="B2160" s="839" t="s">
        <v>98</v>
      </c>
      <c r="C2160" s="839" t="s">
        <v>3454</v>
      </c>
      <c r="D2160" s="911" t="s">
        <v>7051</v>
      </c>
      <c r="E2160" s="839" t="s">
        <v>7083</v>
      </c>
      <c r="F2160" s="841">
        <v>46006</v>
      </c>
      <c r="G2160" s="868" t="s">
        <v>3456</v>
      </c>
      <c r="H2160" s="883" t="s">
        <v>102</v>
      </c>
      <c r="I2160" s="883" t="s">
        <v>7084</v>
      </c>
      <c r="J2160" s="841">
        <v>46006</v>
      </c>
      <c r="K2160" s="841">
        <v>46052</v>
      </c>
      <c r="L2160" s="843" t="s">
        <v>106</v>
      </c>
      <c r="M2160" s="844" t="s">
        <v>107</v>
      </c>
      <c r="N2160" s="841"/>
      <c r="O2160" s="884" t="s">
        <v>3459</v>
      </c>
      <c r="P2160" s="842" t="s">
        <v>4953</v>
      </c>
      <c r="Q2160" s="843"/>
      <c r="R2160" s="845" t="s">
        <v>7091</v>
      </c>
      <c r="S2160" s="1128" t="s">
        <v>7091</v>
      </c>
      <c r="T2160" s="885" t="s">
        <v>7092</v>
      </c>
      <c r="U2160" s="886">
        <v>1</v>
      </c>
      <c r="V2160" s="842" t="s">
        <v>8</v>
      </c>
      <c r="W2160" s="846">
        <v>21.3</v>
      </c>
      <c r="X2160" s="847">
        <f t="shared" si="415"/>
        <v>21.3</v>
      </c>
      <c r="Y2160" s="853">
        <v>0</v>
      </c>
      <c r="Z2160" s="849">
        <v>21.3</v>
      </c>
      <c r="AA2160" s="849"/>
      <c r="AB2160" s="849">
        <f t="shared" si="414"/>
        <v>21.3</v>
      </c>
      <c r="AC2160" s="850">
        <f t="shared" si="407"/>
        <v>21.3</v>
      </c>
      <c r="AD2160" s="851">
        <f t="shared" si="416"/>
        <v>27000</v>
      </c>
      <c r="AE2160" s="852">
        <v>25840</v>
      </c>
      <c r="AF2160" s="853">
        <v>0</v>
      </c>
      <c r="AG2160" s="854">
        <f t="shared" si="408"/>
        <v>0</v>
      </c>
      <c r="AH2160" s="853">
        <v>0.08</v>
      </c>
      <c r="AI2160" s="855">
        <f t="shared" si="409"/>
        <v>44031.360000000001</v>
      </c>
      <c r="AJ2160" s="845" t="s">
        <v>7051</v>
      </c>
      <c r="AK2160" s="857">
        <v>46367</v>
      </c>
      <c r="AL2160" s="899" t="s">
        <v>7056</v>
      </c>
      <c r="AM2160" s="843"/>
      <c r="AN2160" s="844"/>
      <c r="AO2160" s="844" t="s">
        <v>1741</v>
      </c>
      <c r="AP2160" s="841"/>
      <c r="AQ2160" s="841">
        <v>46047</v>
      </c>
      <c r="AR2160" s="841">
        <v>46052</v>
      </c>
      <c r="AS2160" s="842" t="s">
        <v>1581</v>
      </c>
      <c r="AT2160" s="842" t="s">
        <v>4795</v>
      </c>
      <c r="AU2160" s="842" t="s">
        <v>1090</v>
      </c>
      <c r="AV2160" s="845" t="s">
        <v>7057</v>
      </c>
      <c r="AW2160" s="861">
        <v>46058</v>
      </c>
      <c r="AX2160" s="862">
        <v>46059</v>
      </c>
      <c r="AY2160" s="843" t="s">
        <v>7093</v>
      </c>
      <c r="AZ2160" s="842" t="s">
        <v>5472</v>
      </c>
      <c r="BA2160" s="842" t="s">
        <v>120</v>
      </c>
      <c r="BB2160" s="863" t="s">
        <v>4775</v>
      </c>
      <c r="BC2160" s="864">
        <v>46059</v>
      </c>
      <c r="BD2160" s="860" t="s">
        <v>7059</v>
      </c>
      <c r="BE2160" s="865" cm="1">
        <f t="array" ref="BE2160">IF(BD2160="","",AC2160/SUMPRODUCT(--(BD2160=$BD$4:$BD$12824),$AC$4:$AC$12824))</f>
        <v>3.8255684471424985E-3</v>
      </c>
      <c r="BF2160" s="458"/>
      <c r="BG2160" s="458"/>
      <c r="BH2160" s="458"/>
      <c r="BI2160" s="458"/>
      <c r="BJ2160" s="458"/>
      <c r="BK2160" s="458"/>
      <c r="BL2160" s="458"/>
      <c r="BM2160" s="458"/>
      <c r="BN2160" s="458"/>
      <c r="BO2160" s="866">
        <f>VLOOKUP(BD2160,$BD$4:$BN$12824,3,0)*BE2160</f>
        <v>13320.399798843351</v>
      </c>
      <c r="BP2160" s="866"/>
      <c r="BQ2160" s="866"/>
      <c r="BR2160" s="866">
        <f>VLOOKUP(BD2160,$BD$4:$BN$12824,6,0)*BE2160</f>
        <v>7553.2377639682145</v>
      </c>
      <c r="BS2160" s="866">
        <f>VLOOKUP(BD2160,$BD$4:$BN$12824,7,0)*BE2160</f>
        <v>0</v>
      </c>
      <c r="BT2160" s="866"/>
      <c r="BU2160" s="866">
        <f>VLOOKUP(BD2160,$BD$4:$BN$12824,9,0)*BE2160</f>
        <v>76.51136894284997</v>
      </c>
      <c r="BV2160" s="867"/>
      <c r="BW2160" s="867">
        <f>VLOOKUP(BD2160,$BD$4:$BN$12824,11,0)*BE2160</f>
        <v>2295.3410682854992</v>
      </c>
      <c r="BX2160" s="1146">
        <f t="shared" si="410"/>
        <v>23245.490000039914</v>
      </c>
      <c r="BY2160" s="867">
        <f t="shared" si="412"/>
        <v>573637.49000003992</v>
      </c>
      <c r="BZ2160" s="867">
        <f t="shared" si="411"/>
        <v>573637.49000003992</v>
      </c>
      <c r="CA2160" s="867">
        <f>_xlfn.MAXIFS($BY$4:$BY$12824,$S$4:$S$12824,$S2160)</f>
        <v>573637.49000003992</v>
      </c>
      <c r="CB2160" s="1032"/>
    </row>
    <row r="2161" spans="2:80">
      <c r="B2161" s="839" t="s">
        <v>98</v>
      </c>
      <c r="C2161" s="839" t="s">
        <v>3454</v>
      </c>
      <c r="D2161" s="911" t="s">
        <v>7051</v>
      </c>
      <c r="E2161" s="839" t="s">
        <v>7083</v>
      </c>
      <c r="F2161" s="841">
        <v>46006</v>
      </c>
      <c r="G2161" s="868" t="s">
        <v>3456</v>
      </c>
      <c r="H2161" s="883" t="s">
        <v>102</v>
      </c>
      <c r="I2161" s="883" t="s">
        <v>7084</v>
      </c>
      <c r="J2161" s="841">
        <v>46006</v>
      </c>
      <c r="K2161" s="841">
        <v>46052</v>
      </c>
      <c r="L2161" s="843" t="s">
        <v>106</v>
      </c>
      <c r="M2161" s="844" t="s">
        <v>107</v>
      </c>
      <c r="N2161" s="841"/>
      <c r="O2161" s="884" t="s">
        <v>3459</v>
      </c>
      <c r="P2161" s="842" t="s">
        <v>124</v>
      </c>
      <c r="Q2161" s="843"/>
      <c r="R2161" s="845" t="s">
        <v>7094</v>
      </c>
      <c r="S2161" s="1128" t="s">
        <v>7094</v>
      </c>
      <c r="T2161" s="885" t="s">
        <v>7095</v>
      </c>
      <c r="U2161" s="886">
        <v>43</v>
      </c>
      <c r="V2161" s="842" t="s">
        <v>8</v>
      </c>
      <c r="W2161" s="846">
        <v>4.2</v>
      </c>
      <c r="X2161" s="847">
        <f t="shared" si="415"/>
        <v>180.6</v>
      </c>
      <c r="Y2161" s="853">
        <v>0</v>
      </c>
      <c r="Z2161" s="849">
        <v>4.2</v>
      </c>
      <c r="AA2161" s="849"/>
      <c r="AB2161" s="849">
        <f t="shared" si="414"/>
        <v>180.6</v>
      </c>
      <c r="AC2161" s="850">
        <f t="shared" si="407"/>
        <v>180.6</v>
      </c>
      <c r="AD2161" s="851">
        <f t="shared" si="416"/>
        <v>27000</v>
      </c>
      <c r="AE2161" s="852">
        <v>25840</v>
      </c>
      <c r="AF2161" s="853">
        <v>0.05</v>
      </c>
      <c r="AG2161" s="854">
        <f t="shared" si="408"/>
        <v>238982.29906965047</v>
      </c>
      <c r="AH2161" s="853">
        <v>0.08</v>
      </c>
      <c r="AI2161" s="855">
        <f t="shared" si="409"/>
        <v>392454.90392557206</v>
      </c>
      <c r="AJ2161" s="845" t="s">
        <v>7051</v>
      </c>
      <c r="AK2161" s="857">
        <v>46367</v>
      </c>
      <c r="AL2161" s="899" t="s">
        <v>7056</v>
      </c>
      <c r="AM2161" s="843"/>
      <c r="AN2161" s="844"/>
      <c r="AO2161" s="844" t="s">
        <v>1741</v>
      </c>
      <c r="AP2161" s="841"/>
      <c r="AQ2161" s="841">
        <v>46047</v>
      </c>
      <c r="AR2161" s="841">
        <v>46052</v>
      </c>
      <c r="AS2161" s="842" t="s">
        <v>1581</v>
      </c>
      <c r="AT2161" s="842" t="s">
        <v>4795</v>
      </c>
      <c r="AU2161" s="842" t="s">
        <v>1090</v>
      </c>
      <c r="AV2161" s="845" t="s">
        <v>7057</v>
      </c>
      <c r="AW2161" s="861">
        <v>46058</v>
      </c>
      <c r="AX2161" s="862">
        <v>46059</v>
      </c>
      <c r="AY2161" s="843" t="s">
        <v>7096</v>
      </c>
      <c r="AZ2161" s="842" t="s">
        <v>7097</v>
      </c>
      <c r="BA2161" s="842" t="s">
        <v>120</v>
      </c>
      <c r="BB2161" s="863" t="s">
        <v>4775</v>
      </c>
      <c r="BC2161" s="864">
        <v>46059</v>
      </c>
      <c r="BD2161" s="860" t="s">
        <v>7059</v>
      </c>
      <c r="BE2161" s="865" cm="1">
        <f t="array" ref="BE2161">IF(BD2161="","",AC2161/SUMPRODUCT(--(BD2161=$BD$4:$BD$12824),$AC$4:$AC$12824))</f>
        <v>3.2436509932109635E-2</v>
      </c>
      <c r="BF2161" s="458"/>
      <c r="BG2161" s="458"/>
      <c r="BH2161" s="458"/>
      <c r="BI2161" s="458"/>
      <c r="BJ2161" s="458"/>
      <c r="BK2161" s="458"/>
      <c r="BL2161" s="458"/>
      <c r="BM2161" s="458"/>
      <c r="BN2161" s="458"/>
      <c r="BO2161" s="866">
        <f>VLOOKUP(BD2161,$BD$4:$BN$12824,3,0)*BE2161</f>
        <v>112941.98139300982</v>
      </c>
      <c r="BP2161" s="866"/>
      <c r="BQ2161" s="866"/>
      <c r="BR2161" s="866">
        <f>VLOOKUP(BD2161,$BD$4:$BN$12824,6,0)*BE2161</f>
        <v>64042.945548012183</v>
      </c>
      <c r="BS2161" s="866">
        <f>VLOOKUP(BD2161,$BD$4:$BN$12824,7,0)*BE2161</f>
        <v>0</v>
      </c>
      <c r="BT2161" s="866"/>
      <c r="BU2161" s="866">
        <f>VLOOKUP(BD2161,$BD$4:$BN$12824,9,0)*BE2161</f>
        <v>648.7301986421927</v>
      </c>
      <c r="BV2161" s="867"/>
      <c r="BW2161" s="867">
        <f>VLOOKUP(BD2161,$BD$4:$BN$12824,11,0)*BE2161</f>
        <v>19461.90595926578</v>
      </c>
      <c r="BX2161" s="1146">
        <f t="shared" si="410"/>
        <v>197095.56309892994</v>
      </c>
      <c r="BY2161" s="867">
        <f t="shared" si="412"/>
        <v>118669.34563182745</v>
      </c>
      <c r="BZ2161" s="867">
        <f t="shared" si="411"/>
        <v>5102781.8621685803</v>
      </c>
      <c r="CA2161" s="867">
        <f>_xlfn.MAXIFS($BY$4:$BY$12824,$S$4:$S$12824,$S2161)</f>
        <v>118669.34563182745</v>
      </c>
      <c r="CB2161" s="1032"/>
    </row>
    <row r="2162" spans="2:80">
      <c r="B2162" s="839" t="s">
        <v>98</v>
      </c>
      <c r="C2162" s="839" t="s">
        <v>3454</v>
      </c>
      <c r="D2162" s="911" t="s">
        <v>7051</v>
      </c>
      <c r="E2162" s="839" t="s">
        <v>7083</v>
      </c>
      <c r="F2162" s="841">
        <v>46006</v>
      </c>
      <c r="G2162" s="868" t="s">
        <v>3456</v>
      </c>
      <c r="H2162" s="883" t="s">
        <v>102</v>
      </c>
      <c r="I2162" s="883" t="s">
        <v>7084</v>
      </c>
      <c r="J2162" s="841">
        <v>46006</v>
      </c>
      <c r="K2162" s="841">
        <v>46052</v>
      </c>
      <c r="L2162" s="843" t="s">
        <v>106</v>
      </c>
      <c r="M2162" s="844" t="s">
        <v>107</v>
      </c>
      <c r="N2162" s="841"/>
      <c r="O2162" s="884" t="s">
        <v>3459</v>
      </c>
      <c r="P2162" s="842" t="s">
        <v>124</v>
      </c>
      <c r="Q2162" s="843"/>
      <c r="R2162" s="845" t="s">
        <v>7098</v>
      </c>
      <c r="S2162" s="1128" t="s">
        <v>7098</v>
      </c>
      <c r="T2162" s="885" t="s">
        <v>7099</v>
      </c>
      <c r="U2162" s="886">
        <v>10</v>
      </c>
      <c r="V2162" s="842" t="s">
        <v>8</v>
      </c>
      <c r="W2162" s="846">
        <v>3.5</v>
      </c>
      <c r="X2162" s="847">
        <f t="shared" si="415"/>
        <v>35</v>
      </c>
      <c r="Y2162" s="853">
        <v>0</v>
      </c>
      <c r="Z2162" s="849">
        <v>3.5</v>
      </c>
      <c r="AA2162" s="849"/>
      <c r="AB2162" s="849">
        <f t="shared" si="414"/>
        <v>35</v>
      </c>
      <c r="AC2162" s="850">
        <f t="shared" si="407"/>
        <v>35</v>
      </c>
      <c r="AD2162" s="851">
        <f t="shared" si="416"/>
        <v>27000</v>
      </c>
      <c r="AE2162" s="852">
        <v>25840</v>
      </c>
      <c r="AF2162" s="853">
        <v>0.05</v>
      </c>
      <c r="AG2162" s="854">
        <f t="shared" si="408"/>
        <v>46314.39904450591</v>
      </c>
      <c r="AH2162" s="853">
        <v>0.08</v>
      </c>
      <c r="AI2162" s="855">
        <f t="shared" si="409"/>
        <v>76057.151923560479</v>
      </c>
      <c r="AJ2162" s="845" t="s">
        <v>7051</v>
      </c>
      <c r="AK2162" s="857">
        <v>46367</v>
      </c>
      <c r="AL2162" s="899" t="s">
        <v>7056</v>
      </c>
      <c r="AM2162" s="843"/>
      <c r="AN2162" s="844"/>
      <c r="AO2162" s="844" t="s">
        <v>1741</v>
      </c>
      <c r="AP2162" s="841"/>
      <c r="AQ2162" s="841">
        <v>46047</v>
      </c>
      <c r="AR2162" s="841">
        <v>46052</v>
      </c>
      <c r="AS2162" s="842" t="s">
        <v>1581</v>
      </c>
      <c r="AT2162" s="842" t="s">
        <v>4795</v>
      </c>
      <c r="AU2162" s="842" t="s">
        <v>1090</v>
      </c>
      <c r="AV2162" s="845" t="s">
        <v>7057</v>
      </c>
      <c r="AW2162" s="861">
        <v>46058</v>
      </c>
      <c r="AX2162" s="862">
        <v>46059</v>
      </c>
      <c r="AY2162" s="843" t="s">
        <v>7100</v>
      </c>
      <c r="AZ2162" s="842" t="s">
        <v>7097</v>
      </c>
      <c r="BA2162" s="842" t="s">
        <v>120</v>
      </c>
      <c r="BB2162" s="863" t="s">
        <v>4775</v>
      </c>
      <c r="BC2162" s="864">
        <v>46059</v>
      </c>
      <c r="BD2162" s="860" t="s">
        <v>7059</v>
      </c>
      <c r="BE2162" s="865" cm="1">
        <f t="array" ref="BE2162">IF(BD2162="","",AC2162/SUMPRODUCT(--(BD2162=$BD$4:$BD$12824),$AC$4:$AC$12824))</f>
        <v>6.2861453356801615E-3</v>
      </c>
      <c r="BF2162" s="458"/>
      <c r="BG2162" s="458"/>
      <c r="BH2162" s="458"/>
      <c r="BI2162" s="458"/>
      <c r="BJ2162" s="458"/>
      <c r="BK2162" s="458"/>
      <c r="BL2162" s="458"/>
      <c r="BM2162" s="458"/>
      <c r="BN2162" s="458"/>
      <c r="BO2162" s="866">
        <f>VLOOKUP(BD2162,$BD$4:$BN$12824,3,0)*BE2162</f>
        <v>21887.980890118182</v>
      </c>
      <c r="BP2162" s="866"/>
      <c r="BQ2162" s="866"/>
      <c r="BR2162" s="866">
        <f>VLOOKUP(BD2162,$BD$4:$BN$12824,6,0)*BE2162</f>
        <v>12411.423555816315</v>
      </c>
      <c r="BS2162" s="866">
        <f>VLOOKUP(BD2162,$BD$4:$BN$12824,7,0)*BE2162</f>
        <v>0</v>
      </c>
      <c r="BT2162" s="866"/>
      <c r="BU2162" s="866">
        <f>VLOOKUP(BD2162,$BD$4:$BN$12824,9,0)*BE2162</f>
        <v>125.72290671360324</v>
      </c>
      <c r="BV2162" s="867"/>
      <c r="BW2162" s="867">
        <f>VLOOKUP(BD2162,$BD$4:$BN$12824,11,0)*BE2162</f>
        <v>3771.6872014080968</v>
      </c>
      <c r="BX2162" s="1146">
        <f t="shared" si="410"/>
        <v>38196.814554056196</v>
      </c>
      <c r="BY2162" s="867">
        <f t="shared" si="412"/>
        <v>98891.121359856203</v>
      </c>
      <c r="BZ2162" s="867">
        <f t="shared" si="411"/>
        <v>988911.21359856206</v>
      </c>
      <c r="CA2162" s="867">
        <f>_xlfn.MAXIFS($BY$4:$BY$12824,$S$4:$S$12824,$S2162)</f>
        <v>98891.121359856203</v>
      </c>
      <c r="CB2162" s="1032"/>
    </row>
    <row r="2163" spans="2:80">
      <c r="B2163" s="839" t="s">
        <v>98</v>
      </c>
      <c r="C2163" s="839" t="s">
        <v>3454</v>
      </c>
      <c r="D2163" s="911" t="s">
        <v>7051</v>
      </c>
      <c r="E2163" s="839" t="s">
        <v>7083</v>
      </c>
      <c r="F2163" s="841">
        <v>46006</v>
      </c>
      <c r="G2163" s="868" t="s">
        <v>3456</v>
      </c>
      <c r="H2163" s="883" t="s">
        <v>102</v>
      </c>
      <c r="I2163" s="883" t="s">
        <v>7084</v>
      </c>
      <c r="J2163" s="841">
        <v>46006</v>
      </c>
      <c r="K2163" s="841">
        <v>46052</v>
      </c>
      <c r="L2163" s="843" t="s">
        <v>106</v>
      </c>
      <c r="M2163" s="844" t="s">
        <v>107</v>
      </c>
      <c r="N2163" s="841"/>
      <c r="O2163" s="884" t="s">
        <v>3459</v>
      </c>
      <c r="P2163" s="842" t="s">
        <v>124</v>
      </c>
      <c r="Q2163" s="843"/>
      <c r="R2163" s="845" t="s">
        <v>7101</v>
      </c>
      <c r="S2163" s="1128" t="s">
        <v>7101</v>
      </c>
      <c r="T2163" s="885" t="s">
        <v>7102</v>
      </c>
      <c r="U2163" s="886">
        <v>10</v>
      </c>
      <c r="V2163" s="842" t="s">
        <v>8</v>
      </c>
      <c r="W2163" s="846">
        <v>0.5</v>
      </c>
      <c r="X2163" s="847">
        <f t="shared" si="415"/>
        <v>5</v>
      </c>
      <c r="Y2163" s="853">
        <v>0</v>
      </c>
      <c r="Z2163" s="849">
        <v>0.5</v>
      </c>
      <c r="AA2163" s="849"/>
      <c r="AB2163" s="849">
        <f t="shared" si="414"/>
        <v>5</v>
      </c>
      <c r="AC2163" s="850">
        <f t="shared" si="407"/>
        <v>5</v>
      </c>
      <c r="AD2163" s="851">
        <f t="shared" si="416"/>
        <v>27000</v>
      </c>
      <c r="AE2163" s="852">
        <v>25840</v>
      </c>
      <c r="AF2163" s="853">
        <v>0.05</v>
      </c>
      <c r="AG2163" s="854">
        <f t="shared" si="408"/>
        <v>6616.3427206437018</v>
      </c>
      <c r="AH2163" s="853">
        <v>0.08</v>
      </c>
      <c r="AI2163" s="855">
        <f t="shared" si="409"/>
        <v>10865.307417651497</v>
      </c>
      <c r="AJ2163" s="845" t="s">
        <v>7051</v>
      </c>
      <c r="AK2163" s="857">
        <v>46367</v>
      </c>
      <c r="AL2163" s="899" t="s">
        <v>7056</v>
      </c>
      <c r="AM2163" s="843"/>
      <c r="AN2163" s="844"/>
      <c r="AO2163" s="844" t="s">
        <v>1741</v>
      </c>
      <c r="AP2163" s="841"/>
      <c r="AQ2163" s="841">
        <v>46047</v>
      </c>
      <c r="AR2163" s="841">
        <v>46052</v>
      </c>
      <c r="AS2163" s="842" t="s">
        <v>1581</v>
      </c>
      <c r="AT2163" s="842" t="s">
        <v>4795</v>
      </c>
      <c r="AU2163" s="842" t="s">
        <v>1090</v>
      </c>
      <c r="AV2163" s="845" t="s">
        <v>7057</v>
      </c>
      <c r="AW2163" s="861">
        <v>46058</v>
      </c>
      <c r="AX2163" s="862">
        <v>46059</v>
      </c>
      <c r="AY2163" s="843" t="s">
        <v>7103</v>
      </c>
      <c r="AZ2163" s="842" t="s">
        <v>7097</v>
      </c>
      <c r="BA2163" s="842" t="s">
        <v>120</v>
      </c>
      <c r="BB2163" s="863" t="s">
        <v>4775</v>
      </c>
      <c r="BC2163" s="864">
        <v>46059</v>
      </c>
      <c r="BD2163" s="860" t="s">
        <v>7059</v>
      </c>
      <c r="BE2163" s="865" cm="1">
        <f t="array" ref="BE2163">IF(BD2163="","",AC2163/SUMPRODUCT(--(BD2163=$BD$4:$BD$12824),$AC$4:$AC$12824))</f>
        <v>8.9802076224002308E-4</v>
      </c>
      <c r="BF2163" s="458"/>
      <c r="BG2163" s="458"/>
      <c r="BH2163" s="458"/>
      <c r="BI2163" s="458"/>
      <c r="BJ2163" s="458"/>
      <c r="BK2163" s="458"/>
      <c r="BL2163" s="458"/>
      <c r="BM2163" s="458"/>
      <c r="BN2163" s="458"/>
      <c r="BO2163" s="866">
        <f>VLOOKUP(BD2163,$BD$4:$BN$12824,3,0)*BE2163</f>
        <v>3126.8544128740259</v>
      </c>
      <c r="BP2163" s="866"/>
      <c r="BQ2163" s="866"/>
      <c r="BR2163" s="866">
        <f>VLOOKUP(BD2163,$BD$4:$BN$12824,6,0)*BE2163</f>
        <v>1773.0605079737593</v>
      </c>
      <c r="BS2163" s="866">
        <f>VLOOKUP(BD2163,$BD$4:$BN$12824,7,0)*BE2163</f>
        <v>0</v>
      </c>
      <c r="BT2163" s="866"/>
      <c r="BU2163" s="866">
        <f>VLOOKUP(BD2163,$BD$4:$BN$12824,9,0)*BE2163</f>
        <v>17.960415244800462</v>
      </c>
      <c r="BV2163" s="867"/>
      <c r="BW2163" s="867">
        <f>VLOOKUP(BD2163,$BD$4:$BN$12824,11,0)*BE2163</f>
        <v>538.81245734401386</v>
      </c>
      <c r="BX2163" s="1146">
        <f t="shared" si="410"/>
        <v>5456.6877934365984</v>
      </c>
      <c r="BY2163" s="867">
        <f t="shared" si="412"/>
        <v>14127.303051408031</v>
      </c>
      <c r="BZ2163" s="867">
        <f t="shared" si="411"/>
        <v>141273.03051408031</v>
      </c>
      <c r="CA2163" s="867">
        <f>_xlfn.MAXIFS($BY$4:$BY$12824,$S$4:$S$12824,$S2163)</f>
        <v>14127.303051408031</v>
      </c>
      <c r="CB2163" s="1032"/>
    </row>
    <row r="2164" spans="2:80">
      <c r="B2164" s="839" t="s">
        <v>98</v>
      </c>
      <c r="C2164" s="839" t="s">
        <v>3454</v>
      </c>
      <c r="D2164" s="911" t="s">
        <v>7051</v>
      </c>
      <c r="E2164" s="839" t="s">
        <v>7083</v>
      </c>
      <c r="F2164" s="841">
        <v>46006</v>
      </c>
      <c r="G2164" s="868" t="s">
        <v>3456</v>
      </c>
      <c r="H2164" s="883" t="s">
        <v>102</v>
      </c>
      <c r="I2164" s="883" t="s">
        <v>7084</v>
      </c>
      <c r="J2164" s="841">
        <v>46006</v>
      </c>
      <c r="K2164" s="841">
        <v>46052</v>
      </c>
      <c r="L2164" s="843" t="s">
        <v>106</v>
      </c>
      <c r="M2164" s="844" t="s">
        <v>107</v>
      </c>
      <c r="N2164" s="841"/>
      <c r="O2164" s="884" t="s">
        <v>3459</v>
      </c>
      <c r="P2164" s="842" t="s">
        <v>4953</v>
      </c>
      <c r="Q2164" s="843"/>
      <c r="R2164" s="845" t="s">
        <v>7104</v>
      </c>
      <c r="S2164" s="1128" t="s">
        <v>7104</v>
      </c>
      <c r="T2164" s="885" t="s">
        <v>7105</v>
      </c>
      <c r="U2164" s="886">
        <v>5</v>
      </c>
      <c r="V2164" s="842" t="s">
        <v>8</v>
      </c>
      <c r="W2164" s="846">
        <v>13.9</v>
      </c>
      <c r="X2164" s="847">
        <f t="shared" si="415"/>
        <v>69.5</v>
      </c>
      <c r="Y2164" s="853">
        <v>0</v>
      </c>
      <c r="Z2164" s="849">
        <v>13.9</v>
      </c>
      <c r="AA2164" s="849"/>
      <c r="AB2164" s="849">
        <f t="shared" si="414"/>
        <v>69.5</v>
      </c>
      <c r="AC2164" s="850">
        <f t="shared" si="407"/>
        <v>69.5</v>
      </c>
      <c r="AD2164" s="851">
        <f t="shared" si="416"/>
        <v>27000</v>
      </c>
      <c r="AE2164" s="852">
        <v>25840</v>
      </c>
      <c r="AF2164" s="853">
        <v>0</v>
      </c>
      <c r="AG2164" s="854">
        <f t="shared" si="408"/>
        <v>0</v>
      </c>
      <c r="AH2164" s="853">
        <v>0.08</v>
      </c>
      <c r="AI2164" s="855">
        <f t="shared" si="409"/>
        <v>143670.39999999999</v>
      </c>
      <c r="AJ2164" s="845" t="s">
        <v>7051</v>
      </c>
      <c r="AK2164" s="857">
        <v>46367</v>
      </c>
      <c r="AL2164" s="899" t="s">
        <v>7056</v>
      </c>
      <c r="AM2164" s="843"/>
      <c r="AN2164" s="844"/>
      <c r="AO2164" s="844" t="s">
        <v>1741</v>
      </c>
      <c r="AP2164" s="841"/>
      <c r="AQ2164" s="841">
        <v>46047</v>
      </c>
      <c r="AR2164" s="841">
        <v>46052</v>
      </c>
      <c r="AS2164" s="842" t="s">
        <v>1581</v>
      </c>
      <c r="AT2164" s="842" t="s">
        <v>4795</v>
      </c>
      <c r="AU2164" s="842" t="s">
        <v>1090</v>
      </c>
      <c r="AV2164" s="845" t="s">
        <v>7057</v>
      </c>
      <c r="AW2164" s="861">
        <v>46058</v>
      </c>
      <c r="AX2164" s="862">
        <v>46059</v>
      </c>
      <c r="AY2164" s="843" t="s">
        <v>7106</v>
      </c>
      <c r="AZ2164" s="842" t="s">
        <v>5472</v>
      </c>
      <c r="BA2164" s="842" t="s">
        <v>120</v>
      </c>
      <c r="BB2164" s="863" t="s">
        <v>4775</v>
      </c>
      <c r="BC2164" s="864">
        <v>46059</v>
      </c>
      <c r="BD2164" s="860" t="s">
        <v>7059</v>
      </c>
      <c r="BE2164" s="865" cm="1">
        <f t="array" ref="BE2164">IF(BD2164="","",AC2164/SUMPRODUCT(--(BD2164=$BD$4:$BD$12824),$AC$4:$AC$12824))</f>
        <v>1.248248859513632E-2</v>
      </c>
      <c r="BF2164" s="458"/>
      <c r="BG2164" s="458"/>
      <c r="BH2164" s="458"/>
      <c r="BI2164" s="458"/>
      <c r="BJ2164" s="458"/>
      <c r="BK2164" s="458"/>
      <c r="BL2164" s="458"/>
      <c r="BM2164" s="458"/>
      <c r="BN2164" s="458"/>
      <c r="BO2164" s="866">
        <f>VLOOKUP(BD2164,$BD$4:$BN$12824,3,0)*BE2164</f>
        <v>43463.276338948963</v>
      </c>
      <c r="BP2164" s="866"/>
      <c r="BQ2164" s="866"/>
      <c r="BR2164" s="866">
        <f>VLOOKUP(BD2164,$BD$4:$BN$12824,6,0)*BE2164</f>
        <v>24645.54106083525</v>
      </c>
      <c r="BS2164" s="866">
        <f>VLOOKUP(BD2164,$BD$4:$BN$12824,7,0)*BE2164</f>
        <v>0</v>
      </c>
      <c r="BT2164" s="866"/>
      <c r="BU2164" s="866">
        <f>VLOOKUP(BD2164,$BD$4:$BN$12824,9,0)*BE2164</f>
        <v>249.6497719027264</v>
      </c>
      <c r="BV2164" s="867"/>
      <c r="BW2164" s="867">
        <f>VLOOKUP(BD2164,$BD$4:$BN$12824,11,0)*BE2164</f>
        <v>7489.4931570817926</v>
      </c>
      <c r="BX2164" s="1146">
        <f t="shared" si="410"/>
        <v>75847.960328768721</v>
      </c>
      <c r="BY2164" s="867">
        <f t="shared" si="412"/>
        <v>374345.59206575376</v>
      </c>
      <c r="BZ2164" s="867">
        <f t="shared" si="411"/>
        <v>1871727.9603287689</v>
      </c>
      <c r="CA2164" s="867">
        <f>_xlfn.MAXIFS($BY$4:$BY$12824,$S$4:$S$12824,$S2164)</f>
        <v>374345.59206575376</v>
      </c>
      <c r="CB2164" s="1032"/>
    </row>
    <row r="2165" spans="2:80">
      <c r="B2165" s="839" t="s">
        <v>98</v>
      </c>
      <c r="C2165" s="839" t="s">
        <v>3454</v>
      </c>
      <c r="D2165" s="911" t="s">
        <v>7051</v>
      </c>
      <c r="E2165" s="839" t="s">
        <v>7083</v>
      </c>
      <c r="F2165" s="841">
        <v>46006</v>
      </c>
      <c r="G2165" s="868" t="s">
        <v>3456</v>
      </c>
      <c r="H2165" s="883" t="s">
        <v>102</v>
      </c>
      <c r="I2165" s="883" t="s">
        <v>7084</v>
      </c>
      <c r="J2165" s="841">
        <v>46006</v>
      </c>
      <c r="K2165" s="841">
        <v>46052</v>
      </c>
      <c r="L2165" s="843" t="s">
        <v>106</v>
      </c>
      <c r="M2165" s="844" t="s">
        <v>107</v>
      </c>
      <c r="N2165" s="841"/>
      <c r="O2165" s="884" t="s">
        <v>3459</v>
      </c>
      <c r="P2165" s="842" t="s">
        <v>4953</v>
      </c>
      <c r="Q2165" s="843"/>
      <c r="R2165" s="845" t="s">
        <v>7107</v>
      </c>
      <c r="S2165" s="1128" t="s">
        <v>7107</v>
      </c>
      <c r="T2165" s="885" t="s">
        <v>7108</v>
      </c>
      <c r="U2165" s="886">
        <v>25</v>
      </c>
      <c r="V2165" s="842" t="s">
        <v>8</v>
      </c>
      <c r="W2165" s="846">
        <v>50.8</v>
      </c>
      <c r="X2165" s="847">
        <f t="shared" si="415"/>
        <v>1270</v>
      </c>
      <c r="Y2165" s="853">
        <v>0</v>
      </c>
      <c r="Z2165" s="849">
        <v>50.8</v>
      </c>
      <c r="AA2165" s="849"/>
      <c r="AB2165" s="849">
        <f t="shared" si="414"/>
        <v>1270</v>
      </c>
      <c r="AC2165" s="850">
        <f t="shared" si="407"/>
        <v>1270</v>
      </c>
      <c r="AD2165" s="851">
        <f t="shared" si="416"/>
        <v>27000</v>
      </c>
      <c r="AE2165" s="852">
        <v>25840</v>
      </c>
      <c r="AF2165" s="853">
        <v>0</v>
      </c>
      <c r="AG2165" s="854">
        <f t="shared" si="408"/>
        <v>0</v>
      </c>
      <c r="AH2165" s="853">
        <v>0.08</v>
      </c>
      <c r="AI2165" s="855">
        <f t="shared" si="409"/>
        <v>2625344</v>
      </c>
      <c r="AJ2165" s="845" t="s">
        <v>7051</v>
      </c>
      <c r="AK2165" s="857">
        <v>46367</v>
      </c>
      <c r="AL2165" s="899" t="s">
        <v>7056</v>
      </c>
      <c r="AM2165" s="843"/>
      <c r="AN2165" s="844"/>
      <c r="AO2165" s="844" t="s">
        <v>1741</v>
      </c>
      <c r="AP2165" s="841"/>
      <c r="AQ2165" s="841">
        <v>46047</v>
      </c>
      <c r="AR2165" s="841">
        <v>46052</v>
      </c>
      <c r="AS2165" s="842" t="s">
        <v>1581</v>
      </c>
      <c r="AT2165" s="842" t="s">
        <v>4795</v>
      </c>
      <c r="AU2165" s="842" t="s">
        <v>1090</v>
      </c>
      <c r="AV2165" s="845" t="s">
        <v>7057</v>
      </c>
      <c r="AW2165" s="861">
        <v>46058</v>
      </c>
      <c r="AX2165" s="862">
        <v>46059</v>
      </c>
      <c r="AY2165" s="843" t="s">
        <v>7109</v>
      </c>
      <c r="AZ2165" s="842" t="s">
        <v>5472</v>
      </c>
      <c r="BA2165" s="842" t="s">
        <v>120</v>
      </c>
      <c r="BB2165" s="863" t="s">
        <v>4775</v>
      </c>
      <c r="BC2165" s="864">
        <v>46059</v>
      </c>
      <c r="BD2165" s="860" t="s">
        <v>7059</v>
      </c>
      <c r="BE2165" s="865" cm="1">
        <f t="array" ref="BE2165">IF(BD2165="","",AC2165/SUMPRODUCT(--(BD2165=$BD$4:$BD$12824),$AC$4:$AC$12824))</f>
        <v>0.22809727360896587</v>
      </c>
      <c r="BF2165" s="458"/>
      <c r="BG2165" s="458"/>
      <c r="BH2165" s="458"/>
      <c r="BI2165" s="458"/>
      <c r="BJ2165" s="458"/>
      <c r="BK2165" s="458"/>
      <c r="BL2165" s="458"/>
      <c r="BM2165" s="458"/>
      <c r="BN2165" s="458"/>
      <c r="BO2165" s="866">
        <f>VLOOKUP(BD2165,$BD$4:$BN$12824,3,0)*BE2165</f>
        <v>794221.02087000257</v>
      </c>
      <c r="BP2165" s="866"/>
      <c r="BQ2165" s="866"/>
      <c r="BR2165" s="866">
        <f>VLOOKUP(BD2165,$BD$4:$BN$12824,6,0)*BE2165</f>
        <v>450357.36902533483</v>
      </c>
      <c r="BS2165" s="866">
        <f>VLOOKUP(BD2165,$BD$4:$BN$12824,7,0)*BE2165</f>
        <v>0</v>
      </c>
      <c r="BT2165" s="866"/>
      <c r="BU2165" s="866">
        <f>VLOOKUP(BD2165,$BD$4:$BN$12824,9,0)*BE2165</f>
        <v>4561.9454721793172</v>
      </c>
      <c r="BV2165" s="867"/>
      <c r="BW2165" s="867">
        <f>VLOOKUP(BD2165,$BD$4:$BN$12824,11,0)*BE2165</f>
        <v>136858.36416537952</v>
      </c>
      <c r="BX2165" s="1146">
        <f t="shared" si="410"/>
        <v>1385998.699532896</v>
      </c>
      <c r="BY2165" s="867">
        <f t="shared" si="412"/>
        <v>1368111.9479813159</v>
      </c>
      <c r="BZ2165" s="867">
        <f t="shared" si="411"/>
        <v>34202798.699532896</v>
      </c>
      <c r="CA2165" s="867">
        <f>_xlfn.MAXIFS($BY$4:$BY$12824,$S$4:$S$12824,$S2165)</f>
        <v>1368111.9479813159</v>
      </c>
      <c r="CB2165" s="1032"/>
    </row>
    <row r="2166" spans="2:80">
      <c r="B2166" s="839" t="s">
        <v>98</v>
      </c>
      <c r="C2166" s="839" t="s">
        <v>3454</v>
      </c>
      <c r="D2166" s="911" t="s">
        <v>7051</v>
      </c>
      <c r="E2166" s="839" t="s">
        <v>7083</v>
      </c>
      <c r="F2166" s="841">
        <v>46006</v>
      </c>
      <c r="G2166" s="868" t="s">
        <v>3456</v>
      </c>
      <c r="H2166" s="883" t="s">
        <v>102</v>
      </c>
      <c r="I2166" s="883" t="s">
        <v>7084</v>
      </c>
      <c r="J2166" s="841">
        <v>46006</v>
      </c>
      <c r="K2166" s="841">
        <v>46052</v>
      </c>
      <c r="L2166" s="843" t="s">
        <v>106</v>
      </c>
      <c r="M2166" s="844" t="s">
        <v>107</v>
      </c>
      <c r="N2166" s="841"/>
      <c r="O2166" s="884" t="s">
        <v>3459</v>
      </c>
      <c r="P2166" s="842" t="s">
        <v>124</v>
      </c>
      <c r="Q2166" s="843"/>
      <c r="R2166" s="845" t="s">
        <v>7110</v>
      </c>
      <c r="S2166" s="1128" t="s">
        <v>7110</v>
      </c>
      <c r="T2166" s="885" t="s">
        <v>7111</v>
      </c>
      <c r="U2166" s="886">
        <v>25</v>
      </c>
      <c r="V2166" s="842" t="s">
        <v>8</v>
      </c>
      <c r="W2166" s="846">
        <v>3.3</v>
      </c>
      <c r="X2166" s="847">
        <f t="shared" si="415"/>
        <v>82.5</v>
      </c>
      <c r="Y2166" s="853">
        <v>0</v>
      </c>
      <c r="Z2166" s="849">
        <v>3.3</v>
      </c>
      <c r="AA2166" s="849"/>
      <c r="AB2166" s="849">
        <f t="shared" si="414"/>
        <v>82.5</v>
      </c>
      <c r="AC2166" s="850">
        <f t="shared" si="407"/>
        <v>82.5</v>
      </c>
      <c r="AD2166" s="851">
        <f t="shared" si="416"/>
        <v>27000</v>
      </c>
      <c r="AE2166" s="852">
        <v>25840</v>
      </c>
      <c r="AF2166" s="853">
        <v>0.05</v>
      </c>
      <c r="AG2166" s="854">
        <f t="shared" si="408"/>
        <v>109169.65489062108</v>
      </c>
      <c r="AH2166" s="853">
        <v>0.08</v>
      </c>
      <c r="AI2166" s="855">
        <f t="shared" si="409"/>
        <v>179277.57239124968</v>
      </c>
      <c r="AJ2166" s="845" t="s">
        <v>7051</v>
      </c>
      <c r="AK2166" s="857">
        <v>46367</v>
      </c>
      <c r="AL2166" s="899" t="s">
        <v>7056</v>
      </c>
      <c r="AM2166" s="843"/>
      <c r="AN2166" s="844"/>
      <c r="AO2166" s="844" t="s">
        <v>1741</v>
      </c>
      <c r="AP2166" s="841"/>
      <c r="AQ2166" s="841">
        <v>46047</v>
      </c>
      <c r="AR2166" s="841">
        <v>46052</v>
      </c>
      <c r="AS2166" s="842" t="s">
        <v>1581</v>
      </c>
      <c r="AT2166" s="842" t="s">
        <v>4795</v>
      </c>
      <c r="AU2166" s="842" t="s">
        <v>1090</v>
      </c>
      <c r="AV2166" s="845" t="s">
        <v>7057</v>
      </c>
      <c r="AW2166" s="861">
        <v>46058</v>
      </c>
      <c r="AX2166" s="862">
        <v>46059</v>
      </c>
      <c r="AY2166" s="843" t="s">
        <v>7112</v>
      </c>
      <c r="AZ2166" s="842" t="s">
        <v>7097</v>
      </c>
      <c r="BA2166" s="842" t="s">
        <v>120</v>
      </c>
      <c r="BB2166" s="863" t="s">
        <v>4775</v>
      </c>
      <c r="BC2166" s="864">
        <v>46059</v>
      </c>
      <c r="BD2166" s="860" t="s">
        <v>7059</v>
      </c>
      <c r="BE2166" s="865" cm="1">
        <f t="array" ref="BE2166">IF(BD2166="","",AC2166/SUMPRODUCT(--(BD2166=$BD$4:$BD$12824),$AC$4:$AC$12824))</f>
        <v>1.4817342576960381E-2</v>
      </c>
      <c r="BF2166" s="458"/>
      <c r="BG2166" s="458"/>
      <c r="BH2166" s="458"/>
      <c r="BI2166" s="458"/>
      <c r="BJ2166" s="458"/>
      <c r="BK2166" s="458"/>
      <c r="BL2166" s="458"/>
      <c r="BM2166" s="458"/>
      <c r="BN2166" s="458"/>
      <c r="BO2166" s="866">
        <f>VLOOKUP(BD2166,$BD$4:$BN$12824,3,0)*BE2166</f>
        <v>51593.097812421431</v>
      </c>
      <c r="BP2166" s="866"/>
      <c r="BQ2166" s="866"/>
      <c r="BR2166" s="866">
        <f>VLOOKUP(BD2166,$BD$4:$BN$12824,6,0)*BE2166</f>
        <v>29255.498381567028</v>
      </c>
      <c r="BS2166" s="866">
        <f>VLOOKUP(BD2166,$BD$4:$BN$12824,7,0)*BE2166</f>
        <v>0</v>
      </c>
      <c r="BT2166" s="866"/>
      <c r="BU2166" s="866">
        <f>VLOOKUP(BD2166,$BD$4:$BN$12824,9,0)*BE2166</f>
        <v>296.34685153920765</v>
      </c>
      <c r="BV2166" s="867"/>
      <c r="BW2166" s="867">
        <f>VLOOKUP(BD2166,$BD$4:$BN$12824,11,0)*BE2166</f>
        <v>8890.4055461762291</v>
      </c>
      <c r="BX2166" s="1146">
        <f t="shared" si="410"/>
        <v>90035.348591703892</v>
      </c>
      <c r="BY2166" s="867">
        <f t="shared" si="412"/>
        <v>93240.200139292996</v>
      </c>
      <c r="BZ2166" s="867">
        <f t="shared" si="411"/>
        <v>2331005.003482325</v>
      </c>
      <c r="CA2166" s="867">
        <f>_xlfn.MAXIFS($BY$4:$BY$12824,$S$4:$S$12824,$S2166)</f>
        <v>93240.200139292996</v>
      </c>
      <c r="CB2166" s="1032"/>
    </row>
    <row r="2167" spans="2:80">
      <c r="B2167" s="839" t="s">
        <v>98</v>
      </c>
      <c r="C2167" s="839" t="s">
        <v>3454</v>
      </c>
      <c r="D2167" s="911" t="s">
        <v>7051</v>
      </c>
      <c r="E2167" s="839" t="s">
        <v>7083</v>
      </c>
      <c r="F2167" s="841">
        <v>46006</v>
      </c>
      <c r="G2167" s="868" t="s">
        <v>3456</v>
      </c>
      <c r="H2167" s="883" t="s">
        <v>102</v>
      </c>
      <c r="I2167" s="883" t="s">
        <v>7084</v>
      </c>
      <c r="J2167" s="841">
        <v>46006</v>
      </c>
      <c r="K2167" s="841">
        <v>46052</v>
      </c>
      <c r="L2167" s="843" t="s">
        <v>106</v>
      </c>
      <c r="M2167" s="844" t="s">
        <v>107</v>
      </c>
      <c r="N2167" s="841"/>
      <c r="O2167" s="884" t="s">
        <v>3459</v>
      </c>
      <c r="P2167" s="842" t="s">
        <v>124</v>
      </c>
      <c r="Q2167" s="843"/>
      <c r="R2167" s="845" t="s">
        <v>7113</v>
      </c>
      <c r="S2167" s="1128" t="s">
        <v>7113</v>
      </c>
      <c r="T2167" s="885" t="s">
        <v>7114</v>
      </c>
      <c r="U2167" s="886">
        <v>25</v>
      </c>
      <c r="V2167" s="842" t="s">
        <v>8</v>
      </c>
      <c r="W2167" s="846">
        <v>2.1</v>
      </c>
      <c r="X2167" s="847">
        <f t="shared" si="415"/>
        <v>52.5</v>
      </c>
      <c r="Y2167" s="853">
        <v>0</v>
      </c>
      <c r="Z2167" s="849">
        <v>2.1</v>
      </c>
      <c r="AA2167" s="849"/>
      <c r="AB2167" s="849">
        <f t="shared" si="414"/>
        <v>52.5</v>
      </c>
      <c r="AC2167" s="850">
        <f t="shared" si="407"/>
        <v>52.5</v>
      </c>
      <c r="AD2167" s="851">
        <f t="shared" si="416"/>
        <v>27000</v>
      </c>
      <c r="AE2167" s="852">
        <v>25840</v>
      </c>
      <c r="AF2167" s="853">
        <v>0.05</v>
      </c>
      <c r="AG2167" s="854">
        <f t="shared" si="408"/>
        <v>69471.598566758868</v>
      </c>
      <c r="AH2167" s="853">
        <v>0.08</v>
      </c>
      <c r="AI2167" s="855">
        <f t="shared" si="409"/>
        <v>114085.72788534072</v>
      </c>
      <c r="AJ2167" s="845" t="s">
        <v>7051</v>
      </c>
      <c r="AK2167" s="857">
        <v>46367</v>
      </c>
      <c r="AL2167" s="899" t="s">
        <v>7056</v>
      </c>
      <c r="AM2167" s="843"/>
      <c r="AN2167" s="844"/>
      <c r="AO2167" s="844" t="s">
        <v>1741</v>
      </c>
      <c r="AP2167" s="841"/>
      <c r="AQ2167" s="841">
        <v>46047</v>
      </c>
      <c r="AR2167" s="841">
        <v>46052</v>
      </c>
      <c r="AS2167" s="842" t="s">
        <v>1581</v>
      </c>
      <c r="AT2167" s="842" t="s">
        <v>4795</v>
      </c>
      <c r="AU2167" s="842" t="s">
        <v>1090</v>
      </c>
      <c r="AV2167" s="845" t="s">
        <v>7057</v>
      </c>
      <c r="AW2167" s="861">
        <v>46058</v>
      </c>
      <c r="AX2167" s="862">
        <v>46059</v>
      </c>
      <c r="AY2167" s="843" t="s">
        <v>7115</v>
      </c>
      <c r="AZ2167" s="842" t="s">
        <v>7097</v>
      </c>
      <c r="BA2167" s="842" t="s">
        <v>120</v>
      </c>
      <c r="BB2167" s="863" t="s">
        <v>4775</v>
      </c>
      <c r="BC2167" s="864">
        <v>46059</v>
      </c>
      <c r="BD2167" s="860" t="s">
        <v>7059</v>
      </c>
      <c r="BE2167" s="865" cm="1">
        <f t="array" ref="BE2167">IF(BD2167="","",AC2167/SUMPRODUCT(--(BD2167=$BD$4:$BD$12824),$AC$4:$AC$12824))</f>
        <v>9.4292180035202428E-3</v>
      </c>
      <c r="BF2167" s="458"/>
      <c r="BG2167" s="458"/>
      <c r="BH2167" s="458"/>
      <c r="BI2167" s="458"/>
      <c r="BJ2167" s="458"/>
      <c r="BK2167" s="458"/>
      <c r="BL2167" s="458"/>
      <c r="BM2167" s="458"/>
      <c r="BN2167" s="458"/>
      <c r="BO2167" s="866">
        <f>VLOOKUP(BD2167,$BD$4:$BN$12824,3,0)*BE2167</f>
        <v>32831.971335177273</v>
      </c>
      <c r="BP2167" s="866"/>
      <c r="BQ2167" s="866"/>
      <c r="BR2167" s="866">
        <f>VLOOKUP(BD2167,$BD$4:$BN$12824,6,0)*BE2167</f>
        <v>18617.135333724473</v>
      </c>
      <c r="BS2167" s="866">
        <f>VLOOKUP(BD2167,$BD$4:$BN$12824,7,0)*BE2167</f>
        <v>0</v>
      </c>
      <c r="BT2167" s="866"/>
      <c r="BU2167" s="866">
        <f>VLOOKUP(BD2167,$BD$4:$BN$12824,9,0)*BE2167</f>
        <v>188.58436007040484</v>
      </c>
      <c r="BV2167" s="867"/>
      <c r="BW2167" s="867">
        <f>VLOOKUP(BD2167,$BD$4:$BN$12824,11,0)*BE2167</f>
        <v>5657.5308021121455</v>
      </c>
      <c r="BX2167" s="1146">
        <f t="shared" si="410"/>
        <v>57295.221831084295</v>
      </c>
      <c r="BY2167" s="867">
        <f t="shared" si="412"/>
        <v>59334.672815913727</v>
      </c>
      <c r="BZ2167" s="867">
        <f t="shared" si="411"/>
        <v>1483366.8203978431</v>
      </c>
      <c r="CA2167" s="867">
        <f>_xlfn.MAXIFS($BY$4:$BY$12824,$S$4:$S$12824,$S2167)</f>
        <v>59334.672815913727</v>
      </c>
      <c r="CB2167" s="1032"/>
    </row>
    <row r="2168" spans="2:80">
      <c r="B2168" s="839" t="s">
        <v>98</v>
      </c>
      <c r="C2168" s="839" t="s">
        <v>3454</v>
      </c>
      <c r="D2168" s="911" t="s">
        <v>7051</v>
      </c>
      <c r="E2168" s="839" t="s">
        <v>7083</v>
      </c>
      <c r="F2168" s="841">
        <v>46006</v>
      </c>
      <c r="G2168" s="868" t="s">
        <v>3456</v>
      </c>
      <c r="H2168" s="883" t="s">
        <v>102</v>
      </c>
      <c r="I2168" s="883" t="s">
        <v>7084</v>
      </c>
      <c r="J2168" s="841">
        <v>46006</v>
      </c>
      <c r="K2168" s="841">
        <v>46052</v>
      </c>
      <c r="L2168" s="843" t="s">
        <v>106</v>
      </c>
      <c r="M2168" s="844" t="s">
        <v>107</v>
      </c>
      <c r="N2168" s="841"/>
      <c r="O2168" s="884" t="s">
        <v>3459</v>
      </c>
      <c r="P2168" s="842" t="s">
        <v>124</v>
      </c>
      <c r="Q2168" s="843"/>
      <c r="R2168" s="845" t="s">
        <v>7116</v>
      </c>
      <c r="S2168" s="1128" t="s">
        <v>7116</v>
      </c>
      <c r="T2168" s="885" t="s">
        <v>7117</v>
      </c>
      <c r="U2168" s="886">
        <v>5</v>
      </c>
      <c r="V2168" s="842" t="s">
        <v>8</v>
      </c>
      <c r="W2168" s="846">
        <v>3.3</v>
      </c>
      <c r="X2168" s="847">
        <f t="shared" si="415"/>
        <v>16.5</v>
      </c>
      <c r="Y2168" s="853">
        <v>0</v>
      </c>
      <c r="Z2168" s="849">
        <v>3.3</v>
      </c>
      <c r="AA2168" s="849"/>
      <c r="AB2168" s="849">
        <f t="shared" si="414"/>
        <v>16.5</v>
      </c>
      <c r="AC2168" s="850">
        <f t="shared" si="407"/>
        <v>16.5</v>
      </c>
      <c r="AD2168" s="851">
        <f t="shared" si="416"/>
        <v>27000</v>
      </c>
      <c r="AE2168" s="852">
        <v>25840</v>
      </c>
      <c r="AF2168" s="853">
        <v>0.05</v>
      </c>
      <c r="AG2168" s="854">
        <f t="shared" si="408"/>
        <v>21833.930978124215</v>
      </c>
      <c r="AH2168" s="853">
        <v>0.08</v>
      </c>
      <c r="AI2168" s="855">
        <f t="shared" si="409"/>
        <v>35855.514478249934</v>
      </c>
      <c r="AJ2168" s="845" t="s">
        <v>7051</v>
      </c>
      <c r="AK2168" s="857">
        <v>46367</v>
      </c>
      <c r="AL2168" s="899" t="s">
        <v>7056</v>
      </c>
      <c r="AM2168" s="843"/>
      <c r="AN2168" s="844"/>
      <c r="AO2168" s="844" t="s">
        <v>1741</v>
      </c>
      <c r="AP2168" s="841"/>
      <c r="AQ2168" s="841">
        <v>46047</v>
      </c>
      <c r="AR2168" s="841">
        <v>46052</v>
      </c>
      <c r="AS2168" s="842" t="s">
        <v>1581</v>
      </c>
      <c r="AT2168" s="842" t="s">
        <v>4795</v>
      </c>
      <c r="AU2168" s="842" t="s">
        <v>1090</v>
      </c>
      <c r="AV2168" s="845" t="s">
        <v>7057</v>
      </c>
      <c r="AW2168" s="861">
        <v>46058</v>
      </c>
      <c r="AX2168" s="862">
        <v>46059</v>
      </c>
      <c r="AY2168" s="843" t="s">
        <v>7118</v>
      </c>
      <c r="AZ2168" s="842" t="s">
        <v>7097</v>
      </c>
      <c r="BA2168" s="842" t="s">
        <v>120</v>
      </c>
      <c r="BB2168" s="863" t="s">
        <v>4775</v>
      </c>
      <c r="BC2168" s="864">
        <v>46059</v>
      </c>
      <c r="BD2168" s="860" t="s">
        <v>7059</v>
      </c>
      <c r="BE2168" s="865" cm="1">
        <f t="array" ref="BE2168">IF(BD2168="","",AC2168/SUMPRODUCT(--(BD2168=$BD$4:$BD$12824),$AC$4:$AC$12824))</f>
        <v>2.9634685153920762E-3</v>
      </c>
      <c r="BF2168" s="458"/>
      <c r="BG2168" s="458"/>
      <c r="BH2168" s="458"/>
      <c r="BI2168" s="458"/>
      <c r="BJ2168" s="458"/>
      <c r="BK2168" s="458"/>
      <c r="BL2168" s="458"/>
      <c r="BM2168" s="458"/>
      <c r="BN2168" s="458"/>
      <c r="BO2168" s="866">
        <f>VLOOKUP(BD2168,$BD$4:$BN$12824,3,0)*BE2168</f>
        <v>10318.619562484286</v>
      </c>
      <c r="BP2168" s="866"/>
      <c r="BQ2168" s="866"/>
      <c r="BR2168" s="866">
        <f>VLOOKUP(BD2168,$BD$4:$BN$12824,6,0)*BE2168</f>
        <v>5851.0996763134053</v>
      </c>
      <c r="BS2168" s="866">
        <f>VLOOKUP(BD2168,$BD$4:$BN$12824,7,0)*BE2168</f>
        <v>0</v>
      </c>
      <c r="BT2168" s="866"/>
      <c r="BU2168" s="866">
        <f>VLOOKUP(BD2168,$BD$4:$BN$12824,9,0)*BE2168</f>
        <v>59.26937030784152</v>
      </c>
      <c r="BV2168" s="867"/>
      <c r="BW2168" s="867">
        <f>VLOOKUP(BD2168,$BD$4:$BN$12824,11,0)*BE2168</f>
        <v>1778.0811092352458</v>
      </c>
      <c r="BX2168" s="1146">
        <f t="shared" si="410"/>
        <v>18007.069718340779</v>
      </c>
      <c r="BY2168" s="867">
        <f t="shared" si="412"/>
        <v>93240.200139292996</v>
      </c>
      <c r="BZ2168" s="867">
        <f t="shared" si="411"/>
        <v>466201.00069646497</v>
      </c>
      <c r="CA2168" s="867">
        <f>_xlfn.MAXIFS($BY$4:$BY$12824,$S$4:$S$12824,$S2168)</f>
        <v>93240.200139292996</v>
      </c>
      <c r="CB2168" s="1032"/>
    </row>
    <row r="2169" spans="2:80">
      <c r="B2169" s="839" t="s">
        <v>98</v>
      </c>
      <c r="C2169" s="839" t="s">
        <v>3454</v>
      </c>
      <c r="D2169" s="911" t="s">
        <v>7051</v>
      </c>
      <c r="E2169" s="839" t="s">
        <v>7083</v>
      </c>
      <c r="F2169" s="841">
        <v>46006</v>
      </c>
      <c r="G2169" s="868" t="s">
        <v>3456</v>
      </c>
      <c r="H2169" s="883" t="s">
        <v>102</v>
      </c>
      <c r="I2169" s="883" t="s">
        <v>7084</v>
      </c>
      <c r="J2169" s="841">
        <v>46006</v>
      </c>
      <c r="K2169" s="841">
        <v>46052</v>
      </c>
      <c r="L2169" s="843" t="s">
        <v>106</v>
      </c>
      <c r="M2169" s="844" t="s">
        <v>107</v>
      </c>
      <c r="N2169" s="841"/>
      <c r="O2169" s="884" t="s">
        <v>3459</v>
      </c>
      <c r="P2169" s="842" t="s">
        <v>124</v>
      </c>
      <c r="Q2169" s="843"/>
      <c r="R2169" s="845" t="s">
        <v>7119</v>
      </c>
      <c r="S2169" s="1128" t="s">
        <v>7119</v>
      </c>
      <c r="T2169" s="885" t="s">
        <v>7120</v>
      </c>
      <c r="U2169" s="886">
        <v>25</v>
      </c>
      <c r="V2169" s="842" t="s">
        <v>8</v>
      </c>
      <c r="W2169" s="846">
        <v>7.3</v>
      </c>
      <c r="X2169" s="847">
        <f t="shared" si="415"/>
        <v>182.5</v>
      </c>
      <c r="Y2169" s="853">
        <v>0</v>
      </c>
      <c r="Z2169" s="849">
        <v>7.3</v>
      </c>
      <c r="AA2169" s="849"/>
      <c r="AB2169" s="849">
        <f t="shared" si="414"/>
        <v>182.5</v>
      </c>
      <c r="AC2169" s="850">
        <f t="shared" si="407"/>
        <v>182.5</v>
      </c>
      <c r="AD2169" s="851">
        <f t="shared" si="416"/>
        <v>27000</v>
      </c>
      <c r="AE2169" s="852">
        <v>25840</v>
      </c>
      <c r="AF2169" s="853">
        <v>0.05</v>
      </c>
      <c r="AG2169" s="854">
        <f t="shared" si="408"/>
        <v>241496.50930349511</v>
      </c>
      <c r="AH2169" s="853">
        <v>0.08</v>
      </c>
      <c r="AI2169" s="855">
        <f t="shared" si="409"/>
        <v>396583.72074427962</v>
      </c>
      <c r="AJ2169" s="845" t="s">
        <v>7051</v>
      </c>
      <c r="AK2169" s="857">
        <v>46367</v>
      </c>
      <c r="AL2169" s="899" t="s">
        <v>7056</v>
      </c>
      <c r="AM2169" s="843"/>
      <c r="AN2169" s="844"/>
      <c r="AO2169" s="844" t="s">
        <v>1741</v>
      </c>
      <c r="AP2169" s="841"/>
      <c r="AQ2169" s="841">
        <v>46047</v>
      </c>
      <c r="AR2169" s="841">
        <v>46052</v>
      </c>
      <c r="AS2169" s="842" t="s">
        <v>1581</v>
      </c>
      <c r="AT2169" s="842" t="s">
        <v>4795</v>
      </c>
      <c r="AU2169" s="842" t="s">
        <v>1090</v>
      </c>
      <c r="AV2169" s="845" t="s">
        <v>7057</v>
      </c>
      <c r="AW2169" s="861">
        <v>46058</v>
      </c>
      <c r="AX2169" s="862">
        <v>46059</v>
      </c>
      <c r="AY2169" s="843" t="s">
        <v>7121</v>
      </c>
      <c r="AZ2169" s="842" t="s">
        <v>7097</v>
      </c>
      <c r="BA2169" s="842" t="s">
        <v>120</v>
      </c>
      <c r="BB2169" s="863" t="s">
        <v>4775</v>
      </c>
      <c r="BC2169" s="864">
        <v>46059</v>
      </c>
      <c r="BD2169" s="860" t="s">
        <v>7059</v>
      </c>
      <c r="BE2169" s="865" cm="1">
        <f t="array" ref="BE2169">IF(BD2169="","",AC2169/SUMPRODUCT(--(BD2169=$BD$4:$BD$12824),$AC$4:$AC$12824))</f>
        <v>3.2777757821760845E-2</v>
      </c>
      <c r="BF2169" s="458"/>
      <c r="BG2169" s="458"/>
      <c r="BH2169" s="458"/>
      <c r="BI2169" s="458"/>
      <c r="BJ2169" s="458"/>
      <c r="BK2169" s="458"/>
      <c r="BL2169" s="458"/>
      <c r="BM2169" s="458"/>
      <c r="BN2169" s="458"/>
      <c r="BO2169" s="866">
        <f>VLOOKUP(BD2169,$BD$4:$BN$12824,3,0)*BE2169</f>
        <v>114130.18606990196</v>
      </c>
      <c r="BP2169" s="866"/>
      <c r="BQ2169" s="866"/>
      <c r="BR2169" s="866">
        <f>VLOOKUP(BD2169,$BD$4:$BN$12824,6,0)*BE2169</f>
        <v>64716.708541042215</v>
      </c>
      <c r="BS2169" s="866">
        <f>VLOOKUP(BD2169,$BD$4:$BN$12824,7,0)*BE2169</f>
        <v>0</v>
      </c>
      <c r="BT2169" s="866"/>
      <c r="BU2169" s="866">
        <f>VLOOKUP(BD2169,$BD$4:$BN$12824,9,0)*BE2169</f>
        <v>655.55515643521687</v>
      </c>
      <c r="BV2169" s="867"/>
      <c r="BW2169" s="867">
        <f>VLOOKUP(BD2169,$BD$4:$BN$12824,11,0)*BE2169</f>
        <v>19666.654693056505</v>
      </c>
      <c r="BX2169" s="1146">
        <f t="shared" si="410"/>
        <v>199169.10446043589</v>
      </c>
      <c r="BY2169" s="867">
        <f t="shared" si="412"/>
        <v>206258.62455055726</v>
      </c>
      <c r="BZ2169" s="867">
        <f t="shared" si="411"/>
        <v>5156465.6137639312</v>
      </c>
      <c r="CA2169" s="867">
        <f>_xlfn.MAXIFS($BY$4:$BY$12824,$S$4:$S$12824,$S2169)</f>
        <v>206258.62455055726</v>
      </c>
      <c r="CB2169" s="1032"/>
    </row>
    <row r="2170" spans="2:80">
      <c r="B2170" s="839" t="s">
        <v>98</v>
      </c>
      <c r="C2170" s="839" t="s">
        <v>3454</v>
      </c>
      <c r="D2170" s="911" t="s">
        <v>7051</v>
      </c>
      <c r="E2170" s="839" t="s">
        <v>7083</v>
      </c>
      <c r="F2170" s="841">
        <v>46006</v>
      </c>
      <c r="G2170" s="868" t="s">
        <v>3456</v>
      </c>
      <c r="H2170" s="883" t="s">
        <v>102</v>
      </c>
      <c r="I2170" s="883" t="s">
        <v>7084</v>
      </c>
      <c r="J2170" s="841">
        <v>46006</v>
      </c>
      <c r="K2170" s="841">
        <v>46052</v>
      </c>
      <c r="L2170" s="843" t="s">
        <v>106</v>
      </c>
      <c r="M2170" s="844" t="s">
        <v>107</v>
      </c>
      <c r="N2170" s="841"/>
      <c r="O2170" s="884" t="s">
        <v>3459</v>
      </c>
      <c r="P2170" s="842" t="s">
        <v>124</v>
      </c>
      <c r="Q2170" s="843"/>
      <c r="R2170" s="845" t="s">
        <v>7122</v>
      </c>
      <c r="S2170" s="1128" t="s">
        <v>7122</v>
      </c>
      <c r="T2170" s="885" t="s">
        <v>7123</v>
      </c>
      <c r="U2170" s="886">
        <v>12</v>
      </c>
      <c r="V2170" s="842" t="s">
        <v>8</v>
      </c>
      <c r="W2170" s="846">
        <v>0.5</v>
      </c>
      <c r="X2170" s="847">
        <f t="shared" si="415"/>
        <v>6</v>
      </c>
      <c r="Y2170" s="853">
        <v>0</v>
      </c>
      <c r="Z2170" s="849">
        <v>0.5</v>
      </c>
      <c r="AA2170" s="849"/>
      <c r="AB2170" s="849">
        <f t="shared" si="414"/>
        <v>6</v>
      </c>
      <c r="AC2170" s="850">
        <f t="shared" si="407"/>
        <v>6</v>
      </c>
      <c r="AD2170" s="851">
        <f t="shared" si="416"/>
        <v>27000</v>
      </c>
      <c r="AE2170" s="852">
        <v>25840</v>
      </c>
      <c r="AF2170" s="853">
        <v>0.05</v>
      </c>
      <c r="AG2170" s="854">
        <f t="shared" si="408"/>
        <v>7939.6112647724412</v>
      </c>
      <c r="AH2170" s="853">
        <v>0.08</v>
      </c>
      <c r="AI2170" s="855">
        <f t="shared" si="409"/>
        <v>13038.368901181797</v>
      </c>
      <c r="AJ2170" s="845" t="s">
        <v>7051</v>
      </c>
      <c r="AK2170" s="857">
        <v>46367</v>
      </c>
      <c r="AL2170" s="899" t="s">
        <v>7056</v>
      </c>
      <c r="AM2170" s="843"/>
      <c r="AN2170" s="844"/>
      <c r="AO2170" s="844" t="s">
        <v>1741</v>
      </c>
      <c r="AP2170" s="841"/>
      <c r="AQ2170" s="841">
        <v>46047</v>
      </c>
      <c r="AR2170" s="841">
        <v>46052</v>
      </c>
      <c r="AS2170" s="842" t="s">
        <v>1581</v>
      </c>
      <c r="AT2170" s="842" t="s">
        <v>4795</v>
      </c>
      <c r="AU2170" s="842" t="s">
        <v>1090</v>
      </c>
      <c r="AV2170" s="845" t="s">
        <v>7057</v>
      </c>
      <c r="AW2170" s="861">
        <v>46058</v>
      </c>
      <c r="AX2170" s="862">
        <v>46059</v>
      </c>
      <c r="AY2170" s="843" t="s">
        <v>7124</v>
      </c>
      <c r="AZ2170" s="842" t="s">
        <v>7097</v>
      </c>
      <c r="BA2170" s="842" t="s">
        <v>120</v>
      </c>
      <c r="BB2170" s="863" t="s">
        <v>4775</v>
      </c>
      <c r="BC2170" s="864">
        <v>46059</v>
      </c>
      <c r="BD2170" s="860" t="s">
        <v>7059</v>
      </c>
      <c r="BE2170" s="865" cm="1">
        <f t="array" ref="BE2170">IF(BD2170="","",AC2170/SUMPRODUCT(--(BD2170=$BD$4:$BD$12824),$AC$4:$AC$12824))</f>
        <v>1.0776249146880277E-3</v>
      </c>
      <c r="BF2170" s="458"/>
      <c r="BG2170" s="458"/>
      <c r="BH2170" s="458"/>
      <c r="BI2170" s="458"/>
      <c r="BJ2170" s="458"/>
      <c r="BK2170" s="458"/>
      <c r="BL2170" s="458"/>
      <c r="BM2170" s="458"/>
      <c r="BN2170" s="458"/>
      <c r="BO2170" s="866">
        <f>VLOOKUP(BD2170,$BD$4:$BN$12824,3,0)*BE2170</f>
        <v>3752.2252954488313</v>
      </c>
      <c r="BP2170" s="866"/>
      <c r="BQ2170" s="866"/>
      <c r="BR2170" s="866">
        <f>VLOOKUP(BD2170,$BD$4:$BN$12824,6,0)*BE2170</f>
        <v>2127.6726095685112</v>
      </c>
      <c r="BS2170" s="866">
        <f>VLOOKUP(BD2170,$BD$4:$BN$12824,7,0)*BE2170</f>
        <v>0</v>
      </c>
      <c r="BT2170" s="866"/>
      <c r="BU2170" s="866">
        <f>VLOOKUP(BD2170,$BD$4:$BN$12824,9,0)*BE2170</f>
        <v>21.552498293760554</v>
      </c>
      <c r="BV2170" s="867"/>
      <c r="BW2170" s="867">
        <f>VLOOKUP(BD2170,$BD$4:$BN$12824,11,0)*BE2170</f>
        <v>646.57494881281661</v>
      </c>
      <c r="BX2170" s="1146">
        <f t="shared" si="410"/>
        <v>6548.0253521239192</v>
      </c>
      <c r="BY2170" s="867">
        <f t="shared" si="412"/>
        <v>14127.303051408031</v>
      </c>
      <c r="BZ2170" s="867">
        <f t="shared" si="411"/>
        <v>169527.63661689637</v>
      </c>
      <c r="CA2170" s="867">
        <f>_xlfn.MAXIFS($BY$4:$BY$12824,$S$4:$S$12824,$S2170)</f>
        <v>14127.303051408031</v>
      </c>
      <c r="CB2170" s="1032"/>
    </row>
    <row r="2171" spans="2:80">
      <c r="B2171" s="839" t="s">
        <v>98</v>
      </c>
      <c r="C2171" s="839" t="s">
        <v>3454</v>
      </c>
      <c r="D2171" s="911" t="s">
        <v>7051</v>
      </c>
      <c r="E2171" s="839" t="s">
        <v>7083</v>
      </c>
      <c r="F2171" s="841">
        <v>46006</v>
      </c>
      <c r="G2171" s="868" t="s">
        <v>3482</v>
      </c>
      <c r="H2171" s="883" t="s">
        <v>102</v>
      </c>
      <c r="I2171" s="883" t="s">
        <v>7084</v>
      </c>
      <c r="J2171" s="841">
        <v>46006</v>
      </c>
      <c r="K2171" s="841">
        <v>46052</v>
      </c>
      <c r="L2171" s="843" t="s">
        <v>106</v>
      </c>
      <c r="M2171" s="844" t="s">
        <v>107</v>
      </c>
      <c r="N2171" s="841"/>
      <c r="O2171" s="884" t="s">
        <v>3459</v>
      </c>
      <c r="P2171" s="842" t="s">
        <v>124</v>
      </c>
      <c r="Q2171" s="843"/>
      <c r="R2171" s="845" t="s">
        <v>6282</v>
      </c>
      <c r="S2171" s="1128" t="s">
        <v>6282</v>
      </c>
      <c r="T2171" s="885" t="s">
        <v>7125</v>
      </c>
      <c r="U2171" s="886">
        <v>5</v>
      </c>
      <c r="V2171" s="842" t="s">
        <v>8</v>
      </c>
      <c r="W2171" s="846">
        <v>42.9</v>
      </c>
      <c r="X2171" s="847">
        <f t="shared" si="415"/>
        <v>214.5</v>
      </c>
      <c r="Y2171" s="853">
        <v>0</v>
      </c>
      <c r="Z2171" s="849">
        <v>42.9</v>
      </c>
      <c r="AA2171" s="849"/>
      <c r="AB2171" s="849">
        <f t="shared" si="414"/>
        <v>214.5</v>
      </c>
      <c r="AC2171" s="850">
        <f t="shared" si="407"/>
        <v>214.5</v>
      </c>
      <c r="AD2171" s="851">
        <f t="shared" si="416"/>
        <v>27000</v>
      </c>
      <c r="AE2171" s="852">
        <v>25840</v>
      </c>
      <c r="AF2171" s="853">
        <v>0</v>
      </c>
      <c r="AG2171" s="854">
        <f t="shared" si="408"/>
        <v>0</v>
      </c>
      <c r="AH2171" s="853">
        <v>0.08</v>
      </c>
      <c r="AI2171" s="855">
        <f t="shared" si="409"/>
        <v>443414.4</v>
      </c>
      <c r="AJ2171" s="845" t="s">
        <v>7051</v>
      </c>
      <c r="AK2171" s="857">
        <v>46367</v>
      </c>
      <c r="AL2171" s="899" t="s">
        <v>7056</v>
      </c>
      <c r="AM2171" s="843"/>
      <c r="AN2171" s="844"/>
      <c r="AO2171" s="844" t="s">
        <v>1741</v>
      </c>
      <c r="AP2171" s="841"/>
      <c r="AQ2171" s="841">
        <v>46047</v>
      </c>
      <c r="AR2171" s="841">
        <v>46052</v>
      </c>
      <c r="AS2171" s="842" t="s">
        <v>1581</v>
      </c>
      <c r="AT2171" s="842" t="s">
        <v>4795</v>
      </c>
      <c r="AU2171" s="842" t="s">
        <v>1090</v>
      </c>
      <c r="AV2171" s="845" t="s">
        <v>7057</v>
      </c>
      <c r="AW2171" s="861">
        <v>46058</v>
      </c>
      <c r="AX2171" s="862">
        <v>46059</v>
      </c>
      <c r="AY2171" s="843" t="s">
        <v>7126</v>
      </c>
      <c r="AZ2171" s="842" t="s">
        <v>7127</v>
      </c>
      <c r="BA2171" s="842" t="s">
        <v>120</v>
      </c>
      <c r="BB2171" s="863" t="s">
        <v>4775</v>
      </c>
      <c r="BC2171" s="864">
        <v>46059</v>
      </c>
      <c r="BD2171" s="860" t="s">
        <v>7059</v>
      </c>
      <c r="BE2171" s="865" cm="1">
        <f t="array" ref="BE2171">IF(BD2171="","",AC2171/SUMPRODUCT(--(BD2171=$BD$4:$BD$12824),$AC$4:$AC$12824))</f>
        <v>3.8525090700096992E-2</v>
      </c>
      <c r="BF2171" s="458"/>
      <c r="BG2171" s="458"/>
      <c r="BH2171" s="458"/>
      <c r="BI2171" s="458"/>
      <c r="BJ2171" s="458"/>
      <c r="BK2171" s="458"/>
      <c r="BL2171" s="458"/>
      <c r="BM2171" s="458"/>
      <c r="BN2171" s="458"/>
      <c r="BO2171" s="866">
        <f>VLOOKUP(BD2171,$BD$4:$BN$12824,3,0)*BE2171</f>
        <v>134142.05431229572</v>
      </c>
      <c r="BP2171" s="866"/>
      <c r="BQ2171" s="866"/>
      <c r="BR2171" s="866">
        <f>VLOOKUP(BD2171,$BD$4:$BN$12824,6,0)*BE2171</f>
        <v>76064.295792074277</v>
      </c>
      <c r="BS2171" s="866">
        <f>VLOOKUP(BD2171,$BD$4:$BN$12824,7,0)*BE2171</f>
        <v>0</v>
      </c>
      <c r="BT2171" s="866"/>
      <c r="BU2171" s="866">
        <f>VLOOKUP(BD2171,$BD$4:$BN$12824,9,0)*BE2171</f>
        <v>770.50181400193981</v>
      </c>
      <c r="BV2171" s="867"/>
      <c r="BW2171" s="867">
        <f>VLOOKUP(BD2171,$BD$4:$BN$12824,11,0)*BE2171</f>
        <v>23115.054420058197</v>
      </c>
      <c r="BX2171" s="1146">
        <f t="shared" si="410"/>
        <v>234091.90633843013</v>
      </c>
      <c r="BY2171" s="867">
        <f t="shared" si="412"/>
        <v>1155354.3812676859</v>
      </c>
      <c r="BZ2171" s="867">
        <f t="shared" si="411"/>
        <v>5776771.9063384291</v>
      </c>
      <c r="CA2171" s="867">
        <f>_xlfn.MAXIFS($BY$4:$BY$12824,$S$4:$S$12824,$S2171)</f>
        <v>1272801.940945664</v>
      </c>
      <c r="CB2171" s="1032"/>
    </row>
    <row r="2172" spans="2:80">
      <c r="B2172" s="839" t="s">
        <v>98</v>
      </c>
      <c r="C2172" s="839" t="s">
        <v>3454</v>
      </c>
      <c r="D2172" s="911" t="s">
        <v>7051</v>
      </c>
      <c r="E2172" s="839" t="s">
        <v>7128</v>
      </c>
      <c r="F2172" s="841">
        <v>46020</v>
      </c>
      <c r="G2172" s="868" t="s">
        <v>3456</v>
      </c>
      <c r="H2172" s="883" t="s">
        <v>102</v>
      </c>
      <c r="I2172" s="883" t="s">
        <v>7129</v>
      </c>
      <c r="J2172" s="841">
        <v>46020</v>
      </c>
      <c r="K2172" s="841"/>
      <c r="L2172" s="843" t="s">
        <v>106</v>
      </c>
      <c r="M2172" s="844" t="s">
        <v>107</v>
      </c>
      <c r="N2172" s="841"/>
      <c r="O2172" s="884" t="s">
        <v>3459</v>
      </c>
      <c r="P2172" s="842" t="s">
        <v>3460</v>
      </c>
      <c r="Q2172" s="843"/>
      <c r="R2172" s="845" t="s">
        <v>7130</v>
      </c>
      <c r="S2172" s="1128" t="s">
        <v>7130</v>
      </c>
      <c r="T2172" s="885" t="s">
        <v>7131</v>
      </c>
      <c r="U2172" s="886">
        <v>20</v>
      </c>
      <c r="V2172" s="842" t="s">
        <v>8</v>
      </c>
      <c r="W2172" s="846">
        <v>9.9</v>
      </c>
      <c r="X2172" s="847">
        <f t="shared" si="415"/>
        <v>198</v>
      </c>
      <c r="Y2172" s="853">
        <v>0</v>
      </c>
      <c r="Z2172" s="849">
        <f t="shared" ref="Z2172:Z2177" si="417">W2172*(1-Y2172)</f>
        <v>9.9</v>
      </c>
      <c r="AA2172" s="849"/>
      <c r="AB2172" s="849">
        <f t="shared" si="414"/>
        <v>198</v>
      </c>
      <c r="AC2172" s="850">
        <f t="shared" si="407"/>
        <v>198</v>
      </c>
      <c r="AD2172" s="851">
        <f t="shared" si="416"/>
        <v>27000</v>
      </c>
      <c r="AE2172" s="852">
        <v>25840</v>
      </c>
      <c r="AF2172" s="853">
        <v>0</v>
      </c>
      <c r="AG2172" s="854">
        <f t="shared" si="408"/>
        <v>0</v>
      </c>
      <c r="AH2172" s="853">
        <v>0.08</v>
      </c>
      <c r="AI2172" s="855">
        <f t="shared" si="409"/>
        <v>409305.60000000003</v>
      </c>
      <c r="AJ2172" s="845" t="s">
        <v>7051</v>
      </c>
      <c r="AK2172" s="857">
        <v>46367</v>
      </c>
      <c r="AL2172" s="899" t="s">
        <v>7056</v>
      </c>
      <c r="AM2172" s="843"/>
      <c r="AN2172" s="844"/>
      <c r="AO2172" s="844" t="s">
        <v>1741</v>
      </c>
      <c r="AP2172" s="841"/>
      <c r="AQ2172" s="841">
        <v>46047</v>
      </c>
      <c r="AR2172" s="841">
        <v>46052</v>
      </c>
      <c r="AS2172" s="842" t="s">
        <v>1581</v>
      </c>
      <c r="AT2172" s="842" t="s">
        <v>4795</v>
      </c>
      <c r="AU2172" s="842" t="s">
        <v>1090</v>
      </c>
      <c r="AV2172" s="845" t="s">
        <v>7057</v>
      </c>
      <c r="AW2172" s="861">
        <v>46058</v>
      </c>
      <c r="AX2172" s="862">
        <v>46059</v>
      </c>
      <c r="AY2172" s="843" t="s">
        <v>7132</v>
      </c>
      <c r="AZ2172" s="842" t="s">
        <v>5472</v>
      </c>
      <c r="BA2172" s="842" t="s">
        <v>120</v>
      </c>
      <c r="BB2172" s="863" t="s">
        <v>4775</v>
      </c>
      <c r="BC2172" s="864">
        <v>46059</v>
      </c>
      <c r="BD2172" s="860" t="s">
        <v>7059</v>
      </c>
      <c r="BE2172" s="865" cm="1">
        <f t="array" ref="BE2172">IF(BD2172="","",AC2172/SUMPRODUCT(--(BD2172=$BD$4:$BD$12824),$AC$4:$AC$12824))</f>
        <v>3.5561622184704912E-2</v>
      </c>
      <c r="BF2172" s="458"/>
      <c r="BG2172" s="458"/>
      <c r="BH2172" s="458"/>
      <c r="BI2172" s="458"/>
      <c r="BJ2172" s="458"/>
      <c r="BK2172" s="458"/>
      <c r="BL2172" s="458"/>
      <c r="BM2172" s="458"/>
      <c r="BN2172" s="458"/>
      <c r="BO2172" s="866">
        <f>VLOOKUP(BD2172,$BD$4:$BN$12824,3,0)*BE2172</f>
        <v>123823.43474981142</v>
      </c>
      <c r="BP2172" s="866"/>
      <c r="BQ2172" s="866"/>
      <c r="BR2172" s="866">
        <f>VLOOKUP(BD2172,$BD$4:$BN$12824,6,0)*BE2172</f>
        <v>70213.19611576086</v>
      </c>
      <c r="BS2172" s="866">
        <f>VLOOKUP(BD2172,$BD$4:$BN$12824,7,0)*BE2172</f>
        <v>0</v>
      </c>
      <c r="BT2172" s="866"/>
      <c r="BU2172" s="866">
        <f>VLOOKUP(BD2172,$BD$4:$BN$12824,9,0)*BE2172</f>
        <v>711.23244369409827</v>
      </c>
      <c r="BV2172" s="867"/>
      <c r="BW2172" s="867">
        <f>VLOOKUP(BD2172,$BD$4:$BN$12824,11,0)*BE2172</f>
        <v>21336.973310822948</v>
      </c>
      <c r="BX2172" s="1146">
        <f t="shared" si="410"/>
        <v>216084.83662008934</v>
      </c>
      <c r="BY2172" s="867">
        <f t="shared" si="412"/>
        <v>266620.2418310045</v>
      </c>
      <c r="BZ2172" s="867">
        <f t="shared" si="411"/>
        <v>5332404.8366200905</v>
      </c>
      <c r="CA2172" s="867">
        <f>_xlfn.MAXIFS($BY$4:$BY$12824,$S$4:$S$12824,$S2172)</f>
        <v>266620.2418310045</v>
      </c>
      <c r="CB2172" s="1032"/>
    </row>
    <row r="2173" spans="2:80">
      <c r="B2173" s="839" t="s">
        <v>98</v>
      </c>
      <c r="C2173" s="839" t="s">
        <v>3454</v>
      </c>
      <c r="D2173" s="911" t="s">
        <v>7051</v>
      </c>
      <c r="E2173" s="839" t="s">
        <v>7128</v>
      </c>
      <c r="F2173" s="841">
        <v>46020</v>
      </c>
      <c r="G2173" s="868" t="s">
        <v>3456</v>
      </c>
      <c r="H2173" s="883" t="s">
        <v>102</v>
      </c>
      <c r="I2173" s="883" t="s">
        <v>7129</v>
      </c>
      <c r="J2173" s="841">
        <v>46020</v>
      </c>
      <c r="K2173" s="841"/>
      <c r="L2173" s="843" t="s">
        <v>106</v>
      </c>
      <c r="M2173" s="844" t="s">
        <v>107</v>
      </c>
      <c r="N2173" s="841"/>
      <c r="O2173" s="884" t="s">
        <v>3459</v>
      </c>
      <c r="P2173" s="842" t="s">
        <v>3460</v>
      </c>
      <c r="Q2173" s="843"/>
      <c r="R2173" s="845" t="s">
        <v>7133</v>
      </c>
      <c r="S2173" s="1127" t="s">
        <v>7133</v>
      </c>
      <c r="T2173" s="885" t="s">
        <v>7134</v>
      </c>
      <c r="U2173" s="886">
        <v>16</v>
      </c>
      <c r="V2173" s="842" t="s">
        <v>8</v>
      </c>
      <c r="W2173" s="846">
        <v>9.9</v>
      </c>
      <c r="X2173" s="847">
        <f t="shared" si="415"/>
        <v>158.4</v>
      </c>
      <c r="Y2173" s="853">
        <v>0</v>
      </c>
      <c r="Z2173" s="849">
        <f t="shared" si="417"/>
        <v>9.9</v>
      </c>
      <c r="AA2173" s="849"/>
      <c r="AB2173" s="849">
        <f t="shared" si="414"/>
        <v>158.4</v>
      </c>
      <c r="AC2173" s="850">
        <f t="shared" si="407"/>
        <v>158.4</v>
      </c>
      <c r="AD2173" s="851">
        <f t="shared" si="416"/>
        <v>27000</v>
      </c>
      <c r="AE2173" s="852">
        <v>25840</v>
      </c>
      <c r="AF2173" s="853">
        <v>0</v>
      </c>
      <c r="AG2173" s="854">
        <f t="shared" si="408"/>
        <v>0</v>
      </c>
      <c r="AH2173" s="853">
        <v>0.08</v>
      </c>
      <c r="AI2173" s="855">
        <f t="shared" si="409"/>
        <v>327444.47999999998</v>
      </c>
      <c r="AJ2173" s="845" t="s">
        <v>7051</v>
      </c>
      <c r="AK2173" s="857">
        <v>46367</v>
      </c>
      <c r="AL2173" s="899" t="s">
        <v>7056</v>
      </c>
      <c r="AM2173" s="843"/>
      <c r="AN2173" s="844"/>
      <c r="AO2173" s="844" t="s">
        <v>1741</v>
      </c>
      <c r="AP2173" s="841"/>
      <c r="AQ2173" s="841">
        <v>46047</v>
      </c>
      <c r="AR2173" s="841">
        <v>46052</v>
      </c>
      <c r="AS2173" s="842" t="s">
        <v>1581</v>
      </c>
      <c r="AT2173" s="842" t="s">
        <v>4795</v>
      </c>
      <c r="AU2173" s="842" t="s">
        <v>1090</v>
      </c>
      <c r="AV2173" s="845" t="s">
        <v>7057</v>
      </c>
      <c r="AW2173" s="861">
        <v>46058</v>
      </c>
      <c r="AX2173" s="862">
        <v>46059</v>
      </c>
      <c r="AY2173" s="843" t="s">
        <v>7135</v>
      </c>
      <c r="AZ2173" s="842" t="s">
        <v>5472</v>
      </c>
      <c r="BA2173" s="842" t="s">
        <v>120</v>
      </c>
      <c r="BB2173" s="863" t="s">
        <v>4775</v>
      </c>
      <c r="BC2173" s="864">
        <v>46059</v>
      </c>
      <c r="BD2173" s="860" t="s">
        <v>7059</v>
      </c>
      <c r="BE2173" s="865" cm="1">
        <f t="array" ref="BE2173">IF(BD2173="","",AC2173/SUMPRODUCT(--(BD2173=$BD$4:$BD$12824),$AC$4:$AC$12824))</f>
        <v>2.8449297747763932E-2</v>
      </c>
      <c r="BF2173" s="458"/>
      <c r="BG2173" s="458"/>
      <c r="BH2173" s="458"/>
      <c r="BI2173" s="458"/>
      <c r="BJ2173" s="458"/>
      <c r="BK2173" s="458"/>
      <c r="BL2173" s="458"/>
      <c r="BM2173" s="458"/>
      <c r="BN2173" s="458"/>
      <c r="BO2173" s="866">
        <f>VLOOKUP(BD2173,$BD$4:$BN$12824,3,0)*BE2173</f>
        <v>99058.747799849152</v>
      </c>
      <c r="BP2173" s="866"/>
      <c r="BQ2173" s="866"/>
      <c r="BR2173" s="866">
        <f>VLOOKUP(BD2173,$BD$4:$BN$12824,6,0)*BE2173</f>
        <v>56170.556892608693</v>
      </c>
      <c r="BS2173" s="866">
        <f>VLOOKUP(BD2173,$BD$4:$BN$12824,7,0)*BE2173</f>
        <v>0</v>
      </c>
      <c r="BT2173" s="866"/>
      <c r="BU2173" s="866">
        <f>VLOOKUP(BD2173,$BD$4:$BN$12824,9,0)*BE2173</f>
        <v>568.98595495527866</v>
      </c>
      <c r="BV2173" s="867"/>
      <c r="BW2173" s="867">
        <f>VLOOKUP(BD2173,$BD$4:$BN$12824,11,0)*BE2173</f>
        <v>17069.57864865836</v>
      </c>
      <c r="BX2173" s="1146">
        <f t="shared" si="410"/>
        <v>172867.86929607147</v>
      </c>
      <c r="BY2173" s="867">
        <f t="shared" si="412"/>
        <v>266620.24183100444</v>
      </c>
      <c r="BZ2173" s="867">
        <f t="shared" si="411"/>
        <v>4265923.8692960711</v>
      </c>
      <c r="CA2173" s="867">
        <f>_xlfn.MAXIFS($BY$4:$BY$12824,$S$4:$S$12824,$S2173)</f>
        <v>266620.24183100444</v>
      </c>
      <c r="CB2173" s="1032"/>
    </row>
    <row r="2174" spans="2:80">
      <c r="B2174" s="839" t="s">
        <v>98</v>
      </c>
      <c r="C2174" s="839" t="s">
        <v>3454</v>
      </c>
      <c r="D2174" s="911" t="s">
        <v>7051</v>
      </c>
      <c r="E2174" s="839" t="s">
        <v>7128</v>
      </c>
      <c r="F2174" s="841">
        <v>46020</v>
      </c>
      <c r="G2174" s="868" t="s">
        <v>3456</v>
      </c>
      <c r="H2174" s="883" t="s">
        <v>102</v>
      </c>
      <c r="I2174" s="883" t="s">
        <v>7129</v>
      </c>
      <c r="J2174" s="841">
        <v>46020</v>
      </c>
      <c r="K2174" s="841"/>
      <c r="L2174" s="843" t="s">
        <v>106</v>
      </c>
      <c r="M2174" s="844" t="s">
        <v>107</v>
      </c>
      <c r="N2174" s="841"/>
      <c r="O2174" s="884" t="s">
        <v>3459</v>
      </c>
      <c r="P2174" s="842" t="s">
        <v>3460</v>
      </c>
      <c r="Q2174" s="843"/>
      <c r="R2174" s="845" t="s">
        <v>7136</v>
      </c>
      <c r="S2174" s="1127" t="s">
        <v>7136</v>
      </c>
      <c r="T2174" s="885" t="s">
        <v>7137</v>
      </c>
      <c r="U2174" s="886">
        <v>16</v>
      </c>
      <c r="V2174" s="842" t="s">
        <v>8</v>
      </c>
      <c r="W2174" s="846">
        <v>11.6</v>
      </c>
      <c r="X2174" s="847">
        <f t="shared" si="415"/>
        <v>185.6</v>
      </c>
      <c r="Y2174" s="853">
        <v>0</v>
      </c>
      <c r="Z2174" s="849">
        <f t="shared" si="417"/>
        <v>11.6</v>
      </c>
      <c r="AA2174" s="849"/>
      <c r="AB2174" s="849">
        <f t="shared" si="414"/>
        <v>185.6</v>
      </c>
      <c r="AC2174" s="850">
        <f t="shared" si="407"/>
        <v>185.6</v>
      </c>
      <c r="AD2174" s="851">
        <f t="shared" si="416"/>
        <v>27000</v>
      </c>
      <c r="AE2174" s="852">
        <v>25840</v>
      </c>
      <c r="AF2174" s="853">
        <v>0</v>
      </c>
      <c r="AG2174" s="854">
        <f t="shared" si="408"/>
        <v>0</v>
      </c>
      <c r="AH2174" s="853">
        <v>0.08</v>
      </c>
      <c r="AI2174" s="855">
        <f t="shared" si="409"/>
        <v>383672.32000000001</v>
      </c>
      <c r="AJ2174" s="845" t="s">
        <v>7051</v>
      </c>
      <c r="AK2174" s="857">
        <v>46367</v>
      </c>
      <c r="AL2174" s="899" t="s">
        <v>7056</v>
      </c>
      <c r="AM2174" s="843"/>
      <c r="AN2174" s="844"/>
      <c r="AO2174" s="844" t="s">
        <v>1741</v>
      </c>
      <c r="AP2174" s="841"/>
      <c r="AQ2174" s="841">
        <v>46047</v>
      </c>
      <c r="AR2174" s="841">
        <v>46052</v>
      </c>
      <c r="AS2174" s="842" t="s">
        <v>1581</v>
      </c>
      <c r="AT2174" s="842" t="s">
        <v>4795</v>
      </c>
      <c r="AU2174" s="842" t="s">
        <v>1090</v>
      </c>
      <c r="AV2174" s="845" t="s">
        <v>7057</v>
      </c>
      <c r="AW2174" s="861">
        <v>46058</v>
      </c>
      <c r="AX2174" s="862">
        <v>46059</v>
      </c>
      <c r="AY2174" s="843" t="s">
        <v>7138</v>
      </c>
      <c r="AZ2174" s="842" t="s">
        <v>5472</v>
      </c>
      <c r="BA2174" s="842" t="s">
        <v>120</v>
      </c>
      <c r="BB2174" s="863" t="s">
        <v>4775</v>
      </c>
      <c r="BC2174" s="864">
        <v>46059</v>
      </c>
      <c r="BD2174" s="860" t="s">
        <v>7059</v>
      </c>
      <c r="BE2174" s="865" cm="1">
        <f t="array" ref="BE2174">IF(BD2174="","",AC2174/SUMPRODUCT(--(BD2174=$BD$4:$BD$12824),$AC$4:$AC$12824))</f>
        <v>3.3334530694349655E-2</v>
      </c>
      <c r="BF2174" s="458"/>
      <c r="BG2174" s="458"/>
      <c r="BH2174" s="458"/>
      <c r="BI2174" s="458"/>
      <c r="BJ2174" s="458"/>
      <c r="BK2174" s="458"/>
      <c r="BL2174" s="458"/>
      <c r="BM2174" s="458"/>
      <c r="BN2174" s="458"/>
      <c r="BO2174" s="866">
        <f>VLOOKUP(BD2174,$BD$4:$BN$12824,3,0)*BE2174</f>
        <v>116068.83580588383</v>
      </c>
      <c r="BP2174" s="866"/>
      <c r="BQ2174" s="866"/>
      <c r="BR2174" s="866">
        <f>VLOOKUP(BD2174,$BD$4:$BN$12824,6,0)*BE2174</f>
        <v>65816.006055985941</v>
      </c>
      <c r="BS2174" s="866">
        <f>VLOOKUP(BD2174,$BD$4:$BN$12824,7,0)*BE2174</f>
        <v>0</v>
      </c>
      <c r="BT2174" s="866"/>
      <c r="BU2174" s="866">
        <f>VLOOKUP(BD2174,$BD$4:$BN$12824,9,0)*BE2174</f>
        <v>666.69061388699311</v>
      </c>
      <c r="BV2174" s="867"/>
      <c r="BW2174" s="867">
        <f>VLOOKUP(BD2174,$BD$4:$BN$12824,11,0)*BE2174</f>
        <v>20000.718416609794</v>
      </c>
      <c r="BX2174" s="1146">
        <f t="shared" si="410"/>
        <v>202552.25089236657</v>
      </c>
      <c r="BY2174" s="867">
        <f t="shared" si="412"/>
        <v>312403.51568077289</v>
      </c>
      <c r="BZ2174" s="867">
        <f t="shared" si="411"/>
        <v>4998456.2508923663</v>
      </c>
      <c r="CA2174" s="867">
        <f>_xlfn.MAXIFS($BY$4:$BY$12824,$S$4:$S$12824,$S2174)</f>
        <v>312403.51568077289</v>
      </c>
      <c r="CB2174" s="1032"/>
    </row>
    <row r="2175" spans="2:80">
      <c r="B2175" s="839" t="s">
        <v>98</v>
      </c>
      <c r="C2175" s="839" t="s">
        <v>3454</v>
      </c>
      <c r="D2175" s="911" t="s">
        <v>7051</v>
      </c>
      <c r="E2175" s="839" t="s">
        <v>7128</v>
      </c>
      <c r="F2175" s="841">
        <v>46020</v>
      </c>
      <c r="G2175" s="868"/>
      <c r="H2175" s="883" t="s">
        <v>7139</v>
      </c>
      <c r="I2175" s="883"/>
      <c r="J2175" s="841"/>
      <c r="K2175" s="841"/>
      <c r="L2175" s="843" t="s">
        <v>106</v>
      </c>
      <c r="M2175" s="844" t="s">
        <v>107</v>
      </c>
      <c r="N2175" s="841"/>
      <c r="O2175" s="884" t="s">
        <v>3459</v>
      </c>
      <c r="P2175" s="842"/>
      <c r="Q2175" s="843"/>
      <c r="R2175" s="845" t="s">
        <v>7140</v>
      </c>
      <c r="S2175" s="1127" t="s">
        <v>7140</v>
      </c>
      <c r="T2175" s="885" t="s">
        <v>7141</v>
      </c>
      <c r="U2175" s="886">
        <v>1</v>
      </c>
      <c r="V2175" s="842" t="s">
        <v>8</v>
      </c>
      <c r="W2175" s="846">
        <v>80</v>
      </c>
      <c r="X2175" s="847">
        <f t="shared" si="415"/>
        <v>80</v>
      </c>
      <c r="Y2175" s="853">
        <v>0</v>
      </c>
      <c r="Z2175" s="849">
        <f t="shared" si="417"/>
        <v>80</v>
      </c>
      <c r="AA2175" s="849"/>
      <c r="AB2175" s="849">
        <f t="shared" si="414"/>
        <v>80</v>
      </c>
      <c r="AC2175" s="850">
        <f t="shared" si="407"/>
        <v>80</v>
      </c>
      <c r="AD2175" s="851">
        <f t="shared" si="416"/>
        <v>27000</v>
      </c>
      <c r="AE2175" s="852">
        <v>25840</v>
      </c>
      <c r="AF2175" s="853">
        <v>0</v>
      </c>
      <c r="AG2175" s="854">
        <f t="shared" si="408"/>
        <v>0</v>
      </c>
      <c r="AH2175" s="853">
        <v>0.08</v>
      </c>
      <c r="AI2175" s="855">
        <f t="shared" si="409"/>
        <v>165376</v>
      </c>
      <c r="AJ2175" s="845" t="s">
        <v>7051</v>
      </c>
      <c r="AK2175" s="857">
        <v>46367</v>
      </c>
      <c r="AL2175" s="899" t="s">
        <v>7056</v>
      </c>
      <c r="AM2175" s="843"/>
      <c r="AN2175" s="844"/>
      <c r="AO2175" s="844" t="s">
        <v>1741</v>
      </c>
      <c r="AP2175" s="841"/>
      <c r="AQ2175" s="841">
        <v>46047</v>
      </c>
      <c r="AR2175" s="841">
        <v>46052</v>
      </c>
      <c r="AS2175" s="842" t="s">
        <v>1581</v>
      </c>
      <c r="AT2175" s="842" t="s">
        <v>4795</v>
      </c>
      <c r="AU2175" s="842" t="s">
        <v>1090</v>
      </c>
      <c r="AV2175" s="845" t="s">
        <v>7057</v>
      </c>
      <c r="AW2175" s="861">
        <v>46058</v>
      </c>
      <c r="AX2175" s="862">
        <v>46059</v>
      </c>
      <c r="AY2175" s="843" t="s">
        <v>7142</v>
      </c>
      <c r="AZ2175" s="842" t="s">
        <v>7127</v>
      </c>
      <c r="BA2175" s="842" t="s">
        <v>120</v>
      </c>
      <c r="BB2175" s="863" t="s">
        <v>4775</v>
      </c>
      <c r="BC2175" s="864">
        <v>46059</v>
      </c>
      <c r="BD2175" s="860" t="s">
        <v>7059</v>
      </c>
      <c r="BE2175" s="865" cm="1">
        <f t="array" ref="BE2175">IF(BD2175="","",AC2175/SUMPRODUCT(--(BD2175=$BD$4:$BD$12824),$AC$4:$AC$12824))</f>
        <v>1.4368332195840369E-2</v>
      </c>
      <c r="BF2175" s="458"/>
      <c r="BG2175" s="458"/>
      <c r="BH2175" s="458"/>
      <c r="BI2175" s="458"/>
      <c r="BJ2175" s="458"/>
      <c r="BK2175" s="458"/>
      <c r="BL2175" s="458"/>
      <c r="BM2175" s="458"/>
      <c r="BN2175" s="458"/>
      <c r="BO2175" s="866">
        <f>VLOOKUP(BD2175,$BD$4:$BN$12824,3,0)*BE2175</f>
        <v>50029.670605984415</v>
      </c>
      <c r="BP2175" s="866"/>
      <c r="BQ2175" s="866"/>
      <c r="BR2175" s="866">
        <f>VLOOKUP(BD2175,$BD$4:$BN$12824,6,0)*BE2175</f>
        <v>28368.968127580149</v>
      </c>
      <c r="BS2175" s="866">
        <f>VLOOKUP(BD2175,$BD$4:$BN$12824,7,0)*BE2175</f>
        <v>0</v>
      </c>
      <c r="BT2175" s="866"/>
      <c r="BU2175" s="866">
        <f>VLOOKUP(BD2175,$BD$4:$BN$12824,9,0)*BE2175</f>
        <v>287.36664391680739</v>
      </c>
      <c r="BV2175" s="867"/>
      <c r="BW2175" s="867">
        <f>VLOOKUP(BD2175,$BD$4:$BN$12824,11,0)*BE2175</f>
        <v>8620.9993175042218</v>
      </c>
      <c r="BX2175" s="1146">
        <f t="shared" si="410"/>
        <v>87307.004694985575</v>
      </c>
      <c r="BY2175" s="867">
        <f t="shared" si="412"/>
        <v>2154507.0046949857</v>
      </c>
      <c r="BZ2175" s="867">
        <f t="shared" si="411"/>
        <v>2154507.0046949857</v>
      </c>
      <c r="CA2175" s="867">
        <f>_xlfn.MAXIFS($BY$4:$BY$12824,$S$4:$S$12824,$S2175)</f>
        <v>2154507.0046949857</v>
      </c>
      <c r="CB2175" s="1032"/>
    </row>
    <row r="2176" spans="2:80">
      <c r="B2176" s="839" t="s">
        <v>98</v>
      </c>
      <c r="C2176" s="839" t="s">
        <v>4175</v>
      </c>
      <c r="D2176" s="839" t="s">
        <v>7143</v>
      </c>
      <c r="E2176" s="839" t="s">
        <v>7143</v>
      </c>
      <c r="F2176" s="841">
        <v>46022</v>
      </c>
      <c r="G2176" s="868" t="s">
        <v>4177</v>
      </c>
      <c r="H2176" s="883" t="s">
        <v>102</v>
      </c>
      <c r="I2176" s="883" t="s">
        <v>7144</v>
      </c>
      <c r="J2176" s="841">
        <v>46022</v>
      </c>
      <c r="K2176" s="841"/>
      <c r="L2176" s="843" t="s">
        <v>106</v>
      </c>
      <c r="M2176" s="844" t="s">
        <v>107</v>
      </c>
      <c r="N2176" s="841"/>
      <c r="O2176" s="884" t="s">
        <v>108</v>
      </c>
      <c r="P2176" s="842" t="s">
        <v>4619</v>
      </c>
      <c r="Q2176" s="843"/>
      <c r="R2176" s="845" t="s">
        <v>7145</v>
      </c>
      <c r="S2176" s="1128" t="s">
        <v>7146</v>
      </c>
      <c r="T2176" s="885" t="s">
        <v>7147</v>
      </c>
      <c r="U2176" s="886">
        <v>1</v>
      </c>
      <c r="V2176" s="842" t="s">
        <v>3</v>
      </c>
      <c r="W2176" s="846">
        <v>1810</v>
      </c>
      <c r="X2176" s="847">
        <f t="shared" si="415"/>
        <v>1810</v>
      </c>
      <c r="Y2176" s="853">
        <v>0.45</v>
      </c>
      <c r="Z2176" s="849">
        <f t="shared" si="417"/>
        <v>995.50000000000011</v>
      </c>
      <c r="AA2176" s="849"/>
      <c r="AB2176" s="849">
        <f t="shared" si="414"/>
        <v>995.50000000000011</v>
      </c>
      <c r="AC2176" s="850">
        <f t="shared" si="407"/>
        <v>995.50000000000011</v>
      </c>
      <c r="AD2176" s="851">
        <v>32000</v>
      </c>
      <c r="AE2176" s="852">
        <v>29835.53</v>
      </c>
      <c r="AF2176" s="853">
        <v>0</v>
      </c>
      <c r="AG2176" s="854">
        <f t="shared" si="408"/>
        <v>0</v>
      </c>
      <c r="AH2176" s="853">
        <v>0.08</v>
      </c>
      <c r="AI2176" s="855">
        <f t="shared" si="409"/>
        <v>3210779.2092000004</v>
      </c>
      <c r="AJ2176" s="845" t="s">
        <v>7148</v>
      </c>
      <c r="AK2176" s="857">
        <v>46086</v>
      </c>
      <c r="AL2176" s="843" t="s">
        <v>7149</v>
      </c>
      <c r="AM2176" s="843"/>
      <c r="AN2176" s="844"/>
      <c r="AO2176" s="844" t="s">
        <v>116</v>
      </c>
      <c r="AP2176" s="841"/>
      <c r="AQ2176" s="841">
        <v>46095</v>
      </c>
      <c r="AR2176" s="841">
        <v>46096</v>
      </c>
      <c r="AS2176" s="842" t="s">
        <v>1209</v>
      </c>
      <c r="AT2176" s="842" t="s">
        <v>7150</v>
      </c>
      <c r="AU2176" s="842" t="s">
        <v>1188</v>
      </c>
      <c r="AV2176" s="845" t="s">
        <v>7151</v>
      </c>
      <c r="AW2176" s="861">
        <v>46098</v>
      </c>
      <c r="AX2176" s="861">
        <v>46098</v>
      </c>
      <c r="AY2176" s="843" t="s">
        <v>7152</v>
      </c>
      <c r="AZ2176" s="842">
        <v>94052190</v>
      </c>
      <c r="BA2176" s="842" t="s">
        <v>120</v>
      </c>
      <c r="BB2176" s="863" t="s">
        <v>121</v>
      </c>
      <c r="BC2176" s="864">
        <v>46099</v>
      </c>
      <c r="BD2176" s="860" t="s">
        <v>7153</v>
      </c>
      <c r="BE2176" s="865" cm="1">
        <f t="array" ref="BE2176">IF(BD2176="","",AC2176/SUMPRODUCT(--(BD2176=$BD$4:$BD$12824),$AC$4:$AC$12824))</f>
        <v>1</v>
      </c>
      <c r="BF2176" s="458" cm="1">
        <f t="array" ref="BF2176">SUM(_xlfn._xlws.FILTER( INDEX(Cost!$B$3:$BK$77,MATCH(LDL!$BD2176, Cost!$F$3:$F$77, 0),0),Cost!$B$3:$BK$3 = BF$3))</f>
        <v>10183470</v>
      </c>
      <c r="BG2176" s="458"/>
      <c r="BH2176" s="458"/>
      <c r="BI2176" s="458" cm="1">
        <f t="array" ref="BI2176">SUM(_xlfn._xlws.FILTER( INDEX(Cost!$B$3:$BK$77,MATCH(LDL!$BD2176, Cost!$F$3:$F$77, 0),0),Cost!$B$3:$BK$3 = BI$3))/1.08</f>
        <v>1896539.8148148146</v>
      </c>
      <c r="BJ2176" s="458" cm="1">
        <f t="array" ref="BJ2176">SUM(_xlfn._xlws.FILTER( INDEX(Cost!$B$3:$BK$77,MATCH(LDL!$BD2176, Cost!$F$3:$F$77, 0),0),Cost!$B$3:$BK$3 = BJ$3))</f>
        <v>249999.99999999997</v>
      </c>
      <c r="BK2176" s="458"/>
      <c r="BL2176" s="458" cm="1">
        <f t="array" ref="BL2176">SUM(_xlfn._xlws.FILTER( INDEX(Cost!$B$3:$BK$77,MATCH(LDL!$BD2176, Cost!$F$3:$F$77, 0),0),Cost!$B$3:$BK$3 = BL$3))</f>
        <v>20000</v>
      </c>
      <c r="BM2176" s="458"/>
      <c r="BN2176" s="458" cm="1">
        <f t="array" ref="BN2176">SUM(_xlfn._xlws.FILTER( INDEX(Cost!$B$3:$BK$77,MATCH(LDL!$BD2176, Cost!$F$3:$F$77, 0),0),Cost!$B$3:$BK$3 = BN$3))/1.08</f>
        <v>1525925.9259259258</v>
      </c>
      <c r="BO2176" s="866">
        <f>VLOOKUP(BD2176,$BD$4:$BN$12824,3,0)*BE2176</f>
        <v>10183470</v>
      </c>
      <c r="BP2176" s="866"/>
      <c r="BQ2176" s="866"/>
      <c r="BR2176" s="866">
        <f>VLOOKUP(BD2176,$BD$4:$BN$12824,6,0)*BE2176</f>
        <v>1896539.8148148146</v>
      </c>
      <c r="BS2176" s="866">
        <f>VLOOKUP(BD2176,$BD$4:$BN$12824,7,0)*BE2176</f>
        <v>249999.99999999997</v>
      </c>
      <c r="BT2176" s="866"/>
      <c r="BU2176" s="866">
        <f>VLOOKUP(BD2176,$BD$4:$BN$12824,9,0)*BE2176</f>
        <v>20000</v>
      </c>
      <c r="BV2176" s="867"/>
      <c r="BW2176" s="867">
        <f>VLOOKUP(BD2176,$BD$4:$BN$12824,11,0)*BE2176</f>
        <v>1525925.9259259258</v>
      </c>
      <c r="BX2176" s="1146">
        <f t="shared" si="410"/>
        <v>13875935.740740741</v>
      </c>
      <c r="BY2176" s="867">
        <f t="shared" si="412"/>
        <v>43577205.855740741</v>
      </c>
      <c r="BZ2176" s="867">
        <f t="shared" si="411"/>
        <v>43577205.855740741</v>
      </c>
      <c r="CA2176" s="867">
        <f>_xlfn.MAXIFS($BY$4:$BY$12824,$S$4:$S$12824,$S2176)</f>
        <v>43577205.855740741</v>
      </c>
      <c r="CB2176" s="1032"/>
    </row>
    <row r="2177" spans="2:84">
      <c r="B2177" s="839" t="s">
        <v>98</v>
      </c>
      <c r="C2177" s="839" t="s">
        <v>254</v>
      </c>
      <c r="D2177" s="839" t="s">
        <v>7154</v>
      </c>
      <c r="E2177" s="839" t="s">
        <v>7154</v>
      </c>
      <c r="F2177" s="841">
        <v>46024</v>
      </c>
      <c r="G2177" s="868" t="s">
        <v>254</v>
      </c>
      <c r="H2177" s="883" t="s">
        <v>102</v>
      </c>
      <c r="I2177" s="883" t="s">
        <v>7155</v>
      </c>
      <c r="J2177" s="841">
        <v>46022</v>
      </c>
      <c r="K2177" s="841"/>
      <c r="L2177" s="843" t="s">
        <v>106</v>
      </c>
      <c r="M2177" s="844" t="s">
        <v>107</v>
      </c>
      <c r="N2177" s="841"/>
      <c r="O2177" s="884" t="s">
        <v>108</v>
      </c>
      <c r="P2177" s="842" t="s">
        <v>160</v>
      </c>
      <c r="Q2177" s="843"/>
      <c r="R2177" s="845" t="s">
        <v>2525</v>
      </c>
      <c r="S2177" s="1128" t="s">
        <v>2526</v>
      </c>
      <c r="T2177" s="885" t="s">
        <v>7156</v>
      </c>
      <c r="U2177" s="886">
        <v>1</v>
      </c>
      <c r="V2177" s="842" t="s">
        <v>3</v>
      </c>
      <c r="W2177" s="846">
        <v>943</v>
      </c>
      <c r="X2177" s="847">
        <f t="shared" si="415"/>
        <v>943</v>
      </c>
      <c r="Y2177" s="853">
        <v>0.51</v>
      </c>
      <c r="Z2177" s="849">
        <f t="shared" si="417"/>
        <v>462.07</v>
      </c>
      <c r="AA2177" s="849"/>
      <c r="AB2177" s="849">
        <f t="shared" si="414"/>
        <v>462.07</v>
      </c>
      <c r="AC2177" s="850">
        <f t="shared" si="407"/>
        <v>462.07</v>
      </c>
      <c r="AD2177" s="851">
        <v>32000</v>
      </c>
      <c r="AE2177" s="852">
        <v>29835.53</v>
      </c>
      <c r="AF2177" s="853">
        <v>0</v>
      </c>
      <c r="AG2177" s="854">
        <f t="shared" si="408"/>
        <v>0</v>
      </c>
      <c r="AH2177" s="853">
        <v>0.08</v>
      </c>
      <c r="AI2177" s="855">
        <f t="shared" si="409"/>
        <v>4098860.507768</v>
      </c>
      <c r="AJ2177" s="845" t="s">
        <v>7157</v>
      </c>
      <c r="AK2177" s="857">
        <v>46086</v>
      </c>
      <c r="AL2177" s="843" t="s">
        <v>7158</v>
      </c>
      <c r="AM2177" s="843"/>
      <c r="AN2177" s="844"/>
      <c r="AO2177" s="844" t="s">
        <v>116</v>
      </c>
      <c r="AP2177" s="841"/>
      <c r="AQ2177" s="842"/>
      <c r="AR2177" s="841">
        <v>46099</v>
      </c>
      <c r="AS2177" s="842" t="s">
        <v>4772</v>
      </c>
      <c r="AT2177" s="842" t="s">
        <v>7159</v>
      </c>
      <c r="AU2177" s="842" t="s">
        <v>6575</v>
      </c>
      <c r="AV2177" s="845" t="s">
        <v>7160</v>
      </c>
      <c r="AW2177" s="861">
        <v>46100</v>
      </c>
      <c r="AX2177" s="862">
        <v>46101</v>
      </c>
      <c r="AY2177" s="843" t="s">
        <v>7161</v>
      </c>
      <c r="AZ2177" s="842">
        <v>94052190</v>
      </c>
      <c r="BA2177" s="842" t="s">
        <v>120</v>
      </c>
      <c r="BB2177" s="863" t="s">
        <v>121</v>
      </c>
      <c r="BC2177" s="864">
        <v>46104</v>
      </c>
      <c r="BD2177" s="860" t="s">
        <v>7162</v>
      </c>
      <c r="BE2177" s="865" cm="1">
        <f t="array" ref="BE2177">IF(BD2177="","",AC2177/SUMPRODUCT(--(BD2177=$BD$4:$BD$12824),$AC$4:$AC$12824))</f>
        <v>0.11861336821715177</v>
      </c>
      <c r="BF2177" s="458" cm="1">
        <f t="array" ref="BF2177">SUM(_xlfn._xlws.FILTER( INDEX(Cost!$B$3:$BK$77,MATCH(LDL!$BD2177, Cost!$F$3:$F$77, 0),0),Cost!$B$3:$BK$3 = BF$3))</f>
        <v>37199653</v>
      </c>
      <c r="BG2177" s="458"/>
      <c r="BH2177" s="458"/>
      <c r="BI2177" s="458" cm="1">
        <f t="array" ref="BI2177">SUM(_xlfn._xlws.FILTER( INDEX(Cost!$B$3:$BK$77,MATCH(LDL!$BD2177, Cost!$F$3:$F$77, 0),0),Cost!$B$3:$BK$3 = BI$3))/1.08</f>
        <v>2783183.333333333</v>
      </c>
      <c r="BJ2177" s="458" cm="1">
        <f t="array" ref="BJ2177">SUM(_xlfn._xlws.FILTER( INDEX(Cost!$B$3:$BK$77,MATCH(LDL!$BD2177, Cost!$F$3:$F$77, 0),0),Cost!$B$3:$BK$3 = BJ$3))</f>
        <v>249999.99999999997</v>
      </c>
      <c r="BK2177" s="458"/>
      <c r="BL2177" s="458" cm="1">
        <f t="array" ref="BL2177">SUM(_xlfn._xlws.FILTER( INDEX(Cost!$B$3:$BK$77,MATCH(LDL!$BD2177, Cost!$F$3:$F$77, 0),0),Cost!$B$3:$BK$3 = BL$3))</f>
        <v>20000</v>
      </c>
      <c r="BM2177" s="458"/>
      <c r="BN2177" s="458" cm="1">
        <f t="array" ref="BN2177">SUM(_xlfn._xlws.FILTER( INDEX(Cost!$B$3:$BK$77,MATCH(LDL!$BD2177, Cost!$F$3:$F$77, 0),0),Cost!$B$3:$BK$3 = BN$3))/1.08</f>
        <v>600000</v>
      </c>
      <c r="BO2177" s="866">
        <f>VLOOKUP(BD2177,$BD$4:$BN$12824,3,0)*BE2177</f>
        <v>4412376.1388392746</v>
      </c>
      <c r="BP2177" s="866"/>
      <c r="BQ2177" s="866"/>
      <c r="BR2177" s="866">
        <f>VLOOKUP(BD2177,$BD$4:$BN$12824,6,0)*BE2177</f>
        <v>330122.74953250645</v>
      </c>
      <c r="BS2177" s="866">
        <f>VLOOKUP(BD2177,$BD$4:$BN$12824,7,0)*BE2177</f>
        <v>29653.342054287939</v>
      </c>
      <c r="BT2177" s="866"/>
      <c r="BU2177" s="866">
        <f>VLOOKUP(BD2177,$BD$4:$BN$12824,9,0)*BE2177</f>
        <v>2372.2673643430353</v>
      </c>
      <c r="BV2177" s="867"/>
      <c r="BW2177" s="867">
        <f>VLOOKUP(BD2177,$BD$4:$BN$12824,11,0)*BE2177</f>
        <v>71168.020930291066</v>
      </c>
      <c r="BX2177" s="1146">
        <f t="shared" si="410"/>
        <v>4845692.5187207032</v>
      </c>
      <c r="BY2177" s="867">
        <f t="shared" si="412"/>
        <v>18631795.865820702</v>
      </c>
      <c r="BZ2177" s="867">
        <f t="shared" si="411"/>
        <v>18631795.865820702</v>
      </c>
      <c r="CA2177" s="867">
        <f>_xlfn.MAXIFS($BY$4:$BY$12824,$S$4:$S$12824,$S2177)</f>
        <v>18631795.865820702</v>
      </c>
      <c r="CB2177" s="1032"/>
    </row>
    <row r="2178" spans="2:84">
      <c r="B2178" s="839" t="s">
        <v>98</v>
      </c>
      <c r="C2178" s="839" t="s">
        <v>254</v>
      </c>
      <c r="D2178" s="839" t="s">
        <v>7163</v>
      </c>
      <c r="E2178" s="839" t="s">
        <v>7163</v>
      </c>
      <c r="F2178" s="841">
        <v>46063</v>
      </c>
      <c r="G2178" s="868" t="s">
        <v>254</v>
      </c>
      <c r="H2178" s="883" t="s">
        <v>102</v>
      </c>
      <c r="I2178" s="883" t="s">
        <v>7164</v>
      </c>
      <c r="J2178" s="841">
        <v>45698</v>
      </c>
      <c r="K2178" s="841">
        <v>46101</v>
      </c>
      <c r="L2178" s="843" t="s">
        <v>106</v>
      </c>
      <c r="M2178" s="844" t="s">
        <v>107</v>
      </c>
      <c r="N2178" s="841"/>
      <c r="O2178" s="884" t="s">
        <v>108</v>
      </c>
      <c r="P2178" s="842" t="s">
        <v>4619</v>
      </c>
      <c r="Q2178" s="843"/>
      <c r="R2178" s="845" t="s">
        <v>7165</v>
      </c>
      <c r="S2178" s="1128" t="s">
        <v>7166</v>
      </c>
      <c r="T2178" s="885" t="s">
        <v>7167</v>
      </c>
      <c r="U2178" s="886">
        <v>4</v>
      </c>
      <c r="V2178" s="842" t="s">
        <v>3</v>
      </c>
      <c r="W2178" s="846">
        <v>1844</v>
      </c>
      <c r="X2178" s="847">
        <f t="shared" si="415"/>
        <v>7376</v>
      </c>
      <c r="Y2178" s="847" t="s">
        <v>7168</v>
      </c>
      <c r="Z2178" s="849">
        <v>858.38199999999995</v>
      </c>
      <c r="AA2178" s="849"/>
      <c r="AB2178" s="849">
        <f t="shared" si="414"/>
        <v>3433.5279999999998</v>
      </c>
      <c r="AC2178" s="850">
        <f t="shared" si="407"/>
        <v>3433.5279999999998</v>
      </c>
      <c r="AD2178" s="851">
        <v>32000</v>
      </c>
      <c r="AE2178" s="852">
        <v>29835.53</v>
      </c>
      <c r="AF2178" s="853">
        <v>0</v>
      </c>
      <c r="AG2178" s="854">
        <f t="shared" si="408"/>
        <v>0</v>
      </c>
      <c r="AH2178" s="853">
        <v>0.08</v>
      </c>
      <c r="AI2178" s="855">
        <f t="shared" si="409"/>
        <v>8195290.2119871983</v>
      </c>
      <c r="AJ2178" s="845" t="s">
        <v>7157</v>
      </c>
      <c r="AK2178" s="857">
        <v>46086</v>
      </c>
      <c r="AL2178" s="843" t="s">
        <v>7158</v>
      </c>
      <c r="AM2178" s="843"/>
      <c r="AN2178" s="844"/>
      <c r="AO2178" s="844" t="s">
        <v>116</v>
      </c>
      <c r="AP2178" s="841"/>
      <c r="AQ2178" s="842"/>
      <c r="AR2178" s="841">
        <v>46099</v>
      </c>
      <c r="AS2178" s="842" t="s">
        <v>4772</v>
      </c>
      <c r="AT2178" s="842" t="s">
        <v>7159</v>
      </c>
      <c r="AU2178" s="842" t="s">
        <v>6575</v>
      </c>
      <c r="AV2178" s="845" t="s">
        <v>7160</v>
      </c>
      <c r="AW2178" s="861">
        <v>46100</v>
      </c>
      <c r="AX2178" s="862">
        <v>46101</v>
      </c>
      <c r="AY2178" s="843" t="s">
        <v>7169</v>
      </c>
      <c r="AZ2178" s="842">
        <v>94052990</v>
      </c>
      <c r="BA2178" s="842" t="s">
        <v>120</v>
      </c>
      <c r="BB2178" s="863" t="s">
        <v>121</v>
      </c>
      <c r="BC2178" s="864">
        <v>46104</v>
      </c>
      <c r="BD2178" s="860" t="s">
        <v>7162</v>
      </c>
      <c r="BE2178" s="865" cm="1">
        <f t="array" ref="BE2178">IF(BD2178="","",AC2178/SUMPRODUCT(--(BD2178=$BD$4:$BD$12824),$AC$4:$AC$12824))</f>
        <v>0.88138663178284815</v>
      </c>
      <c r="BF2178" s="458"/>
      <c r="BG2178" s="458"/>
      <c r="BH2178" s="458"/>
      <c r="BI2178" s="458"/>
      <c r="BJ2178" s="458"/>
      <c r="BK2178" s="458"/>
      <c r="BL2178" s="458"/>
      <c r="BM2178" s="458"/>
      <c r="BN2178" s="458"/>
      <c r="BO2178" s="866">
        <f>VLOOKUP(BD2178,$BD$4:$BN$12824,3,0)*BE2178</f>
        <v>32787276.861160722</v>
      </c>
      <c r="BP2178" s="866"/>
      <c r="BQ2178" s="866"/>
      <c r="BR2178" s="866">
        <f>VLOOKUP(BD2178,$BD$4:$BN$12824,6,0)*BE2178</f>
        <v>2453060.5838008262</v>
      </c>
      <c r="BS2178" s="866">
        <f>VLOOKUP(BD2178,$BD$4:$BN$12824,7,0)*BE2178</f>
        <v>220346.65794571201</v>
      </c>
      <c r="BT2178" s="866"/>
      <c r="BU2178" s="866">
        <f>VLOOKUP(BD2178,$BD$4:$BN$12824,9,0)*BE2178</f>
        <v>17627.732635656965</v>
      </c>
      <c r="BV2178" s="867"/>
      <c r="BW2178" s="867">
        <f>VLOOKUP(BD2178,$BD$4:$BN$12824,11,0)*BE2178</f>
        <v>528831.97906970885</v>
      </c>
      <c r="BX2178" s="1146">
        <f t="shared" si="410"/>
        <v>36007143.814612627</v>
      </c>
      <c r="BY2178" s="867">
        <f t="shared" si="412"/>
        <v>34612067.866113156</v>
      </c>
      <c r="BZ2178" s="867">
        <f t="shared" si="411"/>
        <v>138448271.46445262</v>
      </c>
      <c r="CA2178" s="867">
        <f>_xlfn.MAXIFS($BY$4:$BY$12824,$S$4:$S$12824,$S2178)</f>
        <v>34612067.866113156</v>
      </c>
      <c r="CB2178" s="1032"/>
    </row>
    <row r="2179" spans="2:84">
      <c r="B2179" s="839" t="s">
        <v>98</v>
      </c>
      <c r="C2179" s="840" t="s">
        <v>7170</v>
      </c>
      <c r="D2179" s="839" t="s">
        <v>7171</v>
      </c>
      <c r="E2179" s="839" t="s">
        <v>7171</v>
      </c>
      <c r="F2179" s="841">
        <v>46002</v>
      </c>
      <c r="G2179" s="840" t="s">
        <v>7170</v>
      </c>
      <c r="H2179" s="883" t="s">
        <v>102</v>
      </c>
      <c r="I2179" s="883" t="s">
        <v>7172</v>
      </c>
      <c r="J2179" s="841">
        <v>45827</v>
      </c>
      <c r="K2179" s="841">
        <v>46054</v>
      </c>
      <c r="L2179" s="843" t="s">
        <v>106</v>
      </c>
      <c r="M2179" s="844" t="s">
        <v>107</v>
      </c>
      <c r="N2179" s="841"/>
      <c r="O2179" s="884" t="s">
        <v>108</v>
      </c>
      <c r="P2179" s="842" t="s">
        <v>4990</v>
      </c>
      <c r="Q2179" s="843"/>
      <c r="R2179" s="845" t="s">
        <v>2629</v>
      </c>
      <c r="S2179" s="1127" t="s">
        <v>2630</v>
      </c>
      <c r="T2179" s="885" t="s">
        <v>7173</v>
      </c>
      <c r="U2179" s="886">
        <v>1</v>
      </c>
      <c r="V2179" s="842" t="s">
        <v>3</v>
      </c>
      <c r="W2179" s="846">
        <v>260</v>
      </c>
      <c r="X2179" s="847">
        <f t="shared" si="415"/>
        <v>260</v>
      </c>
      <c r="Y2179" s="853" t="s">
        <v>7174</v>
      </c>
      <c r="Z2179" s="849">
        <f>X2179*(1-30%)*(1-25%)*(1-1.5%)</f>
        <v>134.45249999999999</v>
      </c>
      <c r="AA2179" s="849"/>
      <c r="AB2179" s="849">
        <f t="shared" si="414"/>
        <v>134.45249999999999</v>
      </c>
      <c r="AC2179" s="850">
        <f t="shared" si="407"/>
        <v>134.45249999999999</v>
      </c>
      <c r="AD2179" s="851">
        <f t="shared" ref="AD2179:AD2186" si="418">IF(V2179=$AD$2,$AE$2,$AE$3)</f>
        <v>32000</v>
      </c>
      <c r="AE2179" s="852">
        <v>29835.53</v>
      </c>
      <c r="AF2179" s="853">
        <v>0</v>
      </c>
      <c r="AG2179" s="854">
        <f t="shared" si="408"/>
        <v>0</v>
      </c>
      <c r="AH2179" s="853">
        <v>0.08</v>
      </c>
      <c r="AI2179" s="855">
        <f t="shared" si="409"/>
        <v>952427.24778599991</v>
      </c>
      <c r="AJ2179" s="845" t="s">
        <v>7175</v>
      </c>
      <c r="AK2179" s="857">
        <v>46082</v>
      </c>
      <c r="AL2179" s="899" t="s">
        <v>7176</v>
      </c>
      <c r="AM2179" s="843"/>
      <c r="AN2179" s="844"/>
      <c r="AO2179" s="844" t="s">
        <v>6258</v>
      </c>
      <c r="AP2179" s="841"/>
      <c r="AQ2179" s="842"/>
      <c r="AR2179" s="841">
        <v>46094</v>
      </c>
      <c r="AS2179" s="842"/>
      <c r="AT2179" s="842" t="s">
        <v>1187</v>
      </c>
      <c r="AU2179" s="842" t="s">
        <v>6258</v>
      </c>
      <c r="AV2179" s="845" t="s">
        <v>7177</v>
      </c>
      <c r="AW2179" s="861">
        <v>46097</v>
      </c>
      <c r="AX2179" s="861">
        <v>46097</v>
      </c>
      <c r="AY2179" s="843" t="s">
        <v>7178</v>
      </c>
      <c r="AZ2179" s="897" t="s">
        <v>4798</v>
      </c>
      <c r="BA2179" s="842" t="s">
        <v>120</v>
      </c>
      <c r="BB2179" s="863" t="s">
        <v>121</v>
      </c>
      <c r="BC2179" s="864">
        <v>46107</v>
      </c>
      <c r="BD2179" s="860" t="s">
        <v>7179</v>
      </c>
      <c r="BE2179" s="912">
        <f>1.9/(1.9+10.4)</f>
        <v>0.15447154471544713</v>
      </c>
      <c r="BF2179" s="458" cm="1">
        <f t="array" ref="BF2179">SUM(_xlfn._xlws.FILTER( INDEX(Cost!$B$3:$BK$77,MATCH(LDL!$BD2179, Cost!$F$3:$F$77, 0),0),Cost!$B$3:$BK$3 = BF$3))</f>
        <v>7893879</v>
      </c>
      <c r="BG2179" s="458"/>
      <c r="BH2179" s="458"/>
      <c r="BI2179" s="458" cm="1">
        <f t="array" ref="BI2179">SUM(_xlfn._xlws.FILTER( INDEX(Cost!$B$3:$BK$77,MATCH(LDL!$BD2179, Cost!$F$3:$F$77, 0),0),Cost!$B$3:$BK$3 = BI$3))/1.08</f>
        <v>0</v>
      </c>
      <c r="BJ2179" s="458" cm="1">
        <f t="array" ref="BJ2179">SUM(_xlfn._xlws.FILTER( INDEX(Cost!$B$3:$BK$77,MATCH(LDL!$BD2179, Cost!$F$3:$F$77, 0),0),Cost!$B$3:$BK$3 = BJ$3))</f>
        <v>0</v>
      </c>
      <c r="BK2179" s="458"/>
      <c r="BL2179" s="458" cm="1">
        <f t="array" ref="BL2179">SUM(_xlfn._xlws.FILTER( INDEX(Cost!$B$3:$BK$77,MATCH(LDL!$BD2179, Cost!$F$3:$F$77, 0),0),Cost!$B$3:$BK$3 = BL$3))</f>
        <v>20000</v>
      </c>
      <c r="BM2179" s="458"/>
      <c r="BN2179" s="458" cm="1">
        <f t="array" ref="BN2179">SUM(_xlfn._xlws.FILTER( INDEX(Cost!$B$3:$BK$77,MATCH(LDL!$BD2179, Cost!$F$3:$F$77, 0),0),Cost!$B$3:$BK$3 = BN$3))/1.08</f>
        <v>600000</v>
      </c>
      <c r="BO2179" s="866">
        <f>VLOOKUP(BD2179,$BD$4:$BN$12824,3,0)*BE2179</f>
        <v>1219379.6829268292</v>
      </c>
      <c r="BP2179" s="866"/>
      <c r="BQ2179" s="866"/>
      <c r="BR2179" s="866">
        <f>VLOOKUP(BD2179,$BD$4:$BN$12824,6,0)*BE2179</f>
        <v>0</v>
      </c>
      <c r="BS2179" s="866">
        <f>VLOOKUP(BD2179,$BD$4:$BN$12824,7,0)*BE2179</f>
        <v>0</v>
      </c>
      <c r="BT2179" s="866"/>
      <c r="BU2179" s="866">
        <f>VLOOKUP(BD2179,$BD$4:$BN$12824,9,0)*BE2179</f>
        <v>3089.4308943089427</v>
      </c>
      <c r="BV2179" s="867"/>
      <c r="BW2179" s="867">
        <f>VLOOKUP(BD2179,$BD$4:$BN$12824,11,0)*BE2179</f>
        <v>92682.926829268283</v>
      </c>
      <c r="BX2179" s="1146">
        <f t="shared" si="410"/>
        <v>1315152.0406504064</v>
      </c>
      <c r="BY2179" s="867">
        <f t="shared" si="412"/>
        <v>5326613.6379754059</v>
      </c>
      <c r="BZ2179" s="867">
        <f t="shared" si="411"/>
        <v>5326613.6379754059</v>
      </c>
      <c r="CA2179" s="867">
        <f>_xlfn.MAXIFS($BY$4:$BY$12824,$S$4:$S$12824,$S2179)</f>
        <v>5326613.6379754059</v>
      </c>
      <c r="CB2179" s="1032"/>
    </row>
    <row r="2180" spans="2:84" s="1032" customFormat="1">
      <c r="B2180" s="839" t="s">
        <v>98</v>
      </c>
      <c r="C2180" s="840" t="s">
        <v>7170</v>
      </c>
      <c r="D2180" s="839" t="s">
        <v>7171</v>
      </c>
      <c r="E2180" s="839" t="s">
        <v>7171</v>
      </c>
      <c r="F2180" s="841">
        <v>46002</v>
      </c>
      <c r="G2180" s="840" t="s">
        <v>7170</v>
      </c>
      <c r="H2180" s="883" t="s">
        <v>134</v>
      </c>
      <c r="I2180" s="883"/>
      <c r="J2180" s="841">
        <v>45827</v>
      </c>
      <c r="K2180" s="841">
        <v>46054</v>
      </c>
      <c r="L2180" s="843" t="s">
        <v>106</v>
      </c>
      <c r="M2180" s="844" t="s">
        <v>107</v>
      </c>
      <c r="N2180" s="841"/>
      <c r="O2180" s="884"/>
      <c r="P2180" s="842"/>
      <c r="Q2180" s="843"/>
      <c r="R2180" s="845" t="s">
        <v>7180</v>
      </c>
      <c r="S2180" s="1127" t="s">
        <v>7181</v>
      </c>
      <c r="T2180" s="885" t="s">
        <v>7182</v>
      </c>
      <c r="U2180" s="886">
        <v>1</v>
      </c>
      <c r="V2180" s="842" t="s">
        <v>3</v>
      </c>
      <c r="W2180" s="846">
        <v>10</v>
      </c>
      <c r="X2180" s="847">
        <f t="shared" si="415"/>
        <v>10</v>
      </c>
      <c r="Y2180" s="853">
        <v>0</v>
      </c>
      <c r="Z2180" s="849">
        <v>10</v>
      </c>
      <c r="AA2180" s="849" t="s">
        <v>40</v>
      </c>
      <c r="AB2180" s="849">
        <f t="shared" si="414"/>
        <v>0</v>
      </c>
      <c r="AC2180" s="850">
        <f t="shared" si="407"/>
        <v>10</v>
      </c>
      <c r="AD2180" s="851">
        <f t="shared" si="418"/>
        <v>32000</v>
      </c>
      <c r="AE2180" s="852">
        <v>29835.53</v>
      </c>
      <c r="AF2180" s="853">
        <v>0</v>
      </c>
      <c r="AG2180" s="854">
        <f t="shared" si="408"/>
        <v>0</v>
      </c>
      <c r="AH2180" s="853">
        <v>0.08</v>
      </c>
      <c r="AI2180" s="855">
        <f t="shared" si="409"/>
        <v>23868.423999999999</v>
      </c>
      <c r="AJ2180" s="845" t="s">
        <v>7175</v>
      </c>
      <c r="AK2180" s="857">
        <v>46082</v>
      </c>
      <c r="AL2180" s="899" t="s">
        <v>7176</v>
      </c>
      <c r="AM2180" s="843"/>
      <c r="AN2180" s="844"/>
      <c r="AO2180" s="844" t="s">
        <v>6258</v>
      </c>
      <c r="AP2180" s="841"/>
      <c r="AQ2180" s="842"/>
      <c r="AR2180" s="841">
        <v>46094</v>
      </c>
      <c r="AS2180" s="842"/>
      <c r="AT2180" s="842" t="s">
        <v>1187</v>
      </c>
      <c r="AU2180" s="842" t="s">
        <v>6258</v>
      </c>
      <c r="AV2180" s="845" t="s">
        <v>7177</v>
      </c>
      <c r="AW2180" s="861">
        <v>46097</v>
      </c>
      <c r="AX2180" s="861">
        <v>46097</v>
      </c>
      <c r="AY2180" s="843" t="s">
        <v>7183</v>
      </c>
      <c r="AZ2180" s="842">
        <v>94059950</v>
      </c>
      <c r="BA2180" s="842" t="s">
        <v>120</v>
      </c>
      <c r="BB2180" s="863" t="s">
        <v>121</v>
      </c>
      <c r="BC2180" s="864">
        <v>46107</v>
      </c>
      <c r="BD2180" s="860" t="s">
        <v>7179</v>
      </c>
      <c r="BE2180" s="912">
        <f>10.4/(1.9+10.4)</f>
        <v>0.84552845528455278</v>
      </c>
      <c r="BF2180" s="458"/>
      <c r="BG2180" s="458"/>
      <c r="BH2180" s="458"/>
      <c r="BI2180" s="458"/>
      <c r="BJ2180" s="458"/>
      <c r="BK2180" s="458"/>
      <c r="BL2180" s="458"/>
      <c r="BM2180" s="458"/>
      <c r="BN2180" s="458"/>
      <c r="BO2180" s="866">
        <f>VLOOKUP(BD2180,$BD$4:$BN$12824,3,0)*BE2180</f>
        <v>6674499.3170731701</v>
      </c>
      <c r="BP2180" s="866"/>
      <c r="BQ2180" s="866"/>
      <c r="BR2180" s="866">
        <f>VLOOKUP(BD2180,$BD$4:$BN$12824,6,0)*BE2180</f>
        <v>0</v>
      </c>
      <c r="BS2180" s="866">
        <f>VLOOKUP(BD2180,$BD$4:$BN$12824,7,0)*BE2180</f>
        <v>0</v>
      </c>
      <c r="BT2180" s="866"/>
      <c r="BU2180" s="866">
        <f>VLOOKUP(BD2180,$BD$4:$BN$12824,9,0)*BE2180</f>
        <v>16910.569105691055</v>
      </c>
      <c r="BV2180" s="867"/>
      <c r="BW2180" s="867">
        <f>VLOOKUP(BD2180,$BD$4:$BN$12824,11,0)*BE2180</f>
        <v>507317.07317073166</v>
      </c>
      <c r="BX2180" s="1146">
        <f t="shared" si="410"/>
        <v>7198726.9593495931</v>
      </c>
      <c r="BY2180" s="867">
        <f t="shared" si="412"/>
        <v>7198726.9593495931</v>
      </c>
      <c r="BZ2180" s="867">
        <f t="shared" si="411"/>
        <v>7198726.9593495931</v>
      </c>
      <c r="CA2180" s="867">
        <f>_xlfn.MAXIFS($BY$4:$BY$12824,$S$4:$S$12824,$S2180)</f>
        <v>7198726.9593495931</v>
      </c>
      <c r="CF2180" s="944"/>
    </row>
    <row r="2181" spans="2:84">
      <c r="B2181" s="839" t="s">
        <v>98</v>
      </c>
      <c r="C2181" s="839" t="s">
        <v>3454</v>
      </c>
      <c r="D2181" s="839" t="s">
        <v>7184</v>
      </c>
      <c r="E2181" s="839" t="s">
        <v>7184</v>
      </c>
      <c r="F2181" s="841">
        <v>46049</v>
      </c>
      <c r="G2181" s="839" t="s">
        <v>3456</v>
      </c>
      <c r="H2181" s="883" t="s">
        <v>102</v>
      </c>
      <c r="I2181" s="883" t="s">
        <v>7185</v>
      </c>
      <c r="J2181" s="841">
        <v>46049</v>
      </c>
      <c r="K2181" s="841"/>
      <c r="L2181" s="843" t="s">
        <v>106</v>
      </c>
      <c r="M2181" s="844" t="s">
        <v>107</v>
      </c>
      <c r="N2181" s="841"/>
      <c r="O2181" s="884" t="s">
        <v>3459</v>
      </c>
      <c r="P2181" s="842" t="s">
        <v>6655</v>
      </c>
      <c r="Q2181" s="843"/>
      <c r="R2181" s="845" t="s">
        <v>7186</v>
      </c>
      <c r="S2181" s="1127" t="s">
        <v>7186</v>
      </c>
      <c r="T2181" s="885" t="s">
        <v>7187</v>
      </c>
      <c r="U2181" s="886">
        <v>21</v>
      </c>
      <c r="V2181" s="842" t="s">
        <v>8</v>
      </c>
      <c r="W2181" s="846">
        <v>12.6</v>
      </c>
      <c r="X2181" s="847">
        <f t="shared" si="415"/>
        <v>264.59999999999997</v>
      </c>
      <c r="Y2181" s="853">
        <v>0</v>
      </c>
      <c r="Z2181" s="849">
        <f>W2181*(1-Y2181)</f>
        <v>12.6</v>
      </c>
      <c r="AA2181" s="849"/>
      <c r="AB2181" s="849">
        <f t="shared" si="414"/>
        <v>264.59999999999997</v>
      </c>
      <c r="AC2181" s="850">
        <f t="shared" ref="AC2181:AC2206" si="419">Z2181*U2181</f>
        <v>264.59999999999997</v>
      </c>
      <c r="AD2181" s="851">
        <f t="shared" si="418"/>
        <v>27000</v>
      </c>
      <c r="AE2181" s="852">
        <v>27000</v>
      </c>
      <c r="AF2181" s="853">
        <v>0</v>
      </c>
      <c r="AG2181" s="854">
        <f t="shared" ref="AG2181:AG2200" si="420">(AC2181*AE2181+BO2181+BP2181+BQ2181+BS2181)*AF2181</f>
        <v>0</v>
      </c>
      <c r="AH2181" s="853">
        <v>0</v>
      </c>
      <c r="AI2181" s="855">
        <f t="shared" ref="AI2181:AI2201" si="421">(AC2181*AE2181+AG2181+BF2181+BG2181+BH2181+BJ2181)*AH2181</f>
        <v>0</v>
      </c>
      <c r="AJ2181" s="845" t="s">
        <v>3320</v>
      </c>
      <c r="AK2181" s="845" t="s">
        <v>3320</v>
      </c>
      <c r="AL2181" s="845" t="s">
        <v>3320</v>
      </c>
      <c r="AM2181" s="845" t="s">
        <v>3320</v>
      </c>
      <c r="AN2181" s="845" t="s">
        <v>3320</v>
      </c>
      <c r="AO2181" s="844" t="s">
        <v>7188</v>
      </c>
      <c r="AP2181" s="845" t="s">
        <v>3320</v>
      </c>
      <c r="AQ2181" s="845" t="s">
        <v>3320</v>
      </c>
      <c r="AR2181" s="845" t="s">
        <v>3320</v>
      </c>
      <c r="AS2181" s="845" t="s">
        <v>3320</v>
      </c>
      <c r="AT2181" s="845" t="s">
        <v>3320</v>
      </c>
      <c r="AU2181" s="842" t="s">
        <v>7189</v>
      </c>
      <c r="AV2181" s="845" t="s">
        <v>3320</v>
      </c>
      <c r="AW2181" s="845" t="s">
        <v>3320</v>
      </c>
      <c r="AX2181" s="845" t="s">
        <v>3320</v>
      </c>
      <c r="AY2181" s="845" t="s">
        <v>3320</v>
      </c>
      <c r="AZ2181" s="845" t="s">
        <v>3320</v>
      </c>
      <c r="BA2181" s="842" t="s">
        <v>120</v>
      </c>
      <c r="BB2181" s="863" t="s">
        <v>121</v>
      </c>
      <c r="BC2181" s="864">
        <v>46107</v>
      </c>
      <c r="BD2181" s="860" t="s">
        <v>7190</v>
      </c>
      <c r="BE2181" s="865" cm="1">
        <f t="array" ref="BE2181">IF(BD2181="","",AC2181/SUMPRODUCT(--(BD2181=$BD$4:$BD$12824),$AC$4:$AC$12824))</f>
        <v>0.84213876511775931</v>
      </c>
      <c r="BF2181" s="458" cm="1">
        <f t="array" ref="BF2181">SUM(_xlfn._xlws.FILTER( INDEX(Cost!$B$3:$BK$77,MATCH(LDL!$BD2181, Cost!$F$3:$F$77, 0),0),Cost!$B$3:$BK$3 = BF$3))</f>
        <v>1135420</v>
      </c>
      <c r="BG2181" s="458"/>
      <c r="BH2181" s="458"/>
      <c r="BI2181" s="458" cm="1">
        <f t="array" ref="BI2181">SUM(_xlfn._xlws.FILTER( INDEX(Cost!$B$3:$BK$77,MATCH(LDL!$BD2181, Cost!$F$3:$F$77, 0),0),Cost!$B$3:$BK$3 = BI$3))/1.08</f>
        <v>0</v>
      </c>
      <c r="BJ2181" s="458" cm="1">
        <f t="array" ref="BJ2181">SUM(_xlfn._xlws.FILTER( INDEX(Cost!$B$3:$BK$77,MATCH(LDL!$BD2181, Cost!$F$3:$F$77, 0),0),Cost!$B$3:$BK$3 = BJ$3))</f>
        <v>0</v>
      </c>
      <c r="BK2181" s="458"/>
      <c r="BL2181" s="458" cm="1">
        <f t="array" ref="BL2181">SUM(_xlfn._xlws.FILTER( INDEX(Cost!$B$3:$BK$77,MATCH(LDL!$BD2181, Cost!$F$3:$F$77, 0),0),Cost!$B$3:$BK$3 = BL$3))</f>
        <v>0</v>
      </c>
      <c r="BM2181" s="458"/>
      <c r="BN2181" s="458" cm="1">
        <f t="array" ref="BN2181">SUM(_xlfn._xlws.FILTER( INDEX(Cost!$B$3:$BK$77,MATCH(LDL!$BD2181, Cost!$F$3:$F$77, 0),0),Cost!$B$3:$BK$3 = BN$3))/1.08</f>
        <v>0</v>
      </c>
      <c r="BO2181" s="866">
        <f>VLOOKUP(BD2181,$BD$4:$BN$12824,3,0)*BE2181</f>
        <v>956181.1966900063</v>
      </c>
      <c r="BP2181" s="866"/>
      <c r="BQ2181" s="866"/>
      <c r="BR2181" s="866">
        <f>VLOOKUP(BD2181,$BD$4:$BN$12824,6,0)*BE2181</f>
        <v>0</v>
      </c>
      <c r="BS2181" s="866">
        <f>VLOOKUP(BD2181,$BD$4:$BN$12824,7,0)*BE2181</f>
        <v>0</v>
      </c>
      <c r="BT2181" s="866"/>
      <c r="BU2181" s="866">
        <f>VLOOKUP(BD2181,$BD$4:$BN$12824,9,0)*BE2181</f>
        <v>0</v>
      </c>
      <c r="BV2181" s="867"/>
      <c r="BW2181" s="867">
        <f>VLOOKUP(BD2181,$BD$4:$BN$12824,11,0)*BE2181</f>
        <v>0</v>
      </c>
      <c r="BX2181" s="1146">
        <f t="shared" ref="BX2181:BX2187" si="422">SUM(BO2181:BW2181)</f>
        <v>956181.1966900063</v>
      </c>
      <c r="BY2181" s="867">
        <f t="shared" si="412"/>
        <v>385732.43793761928</v>
      </c>
      <c r="BZ2181" s="867">
        <f t="shared" ref="BZ2181:BZ2186" si="423">BY2181*U2181</f>
        <v>8100381.1966900053</v>
      </c>
      <c r="CA2181" s="867">
        <f>_xlfn.MAXIFS($BY$4:$BY$12824,$S$4:$S$12824,$S2181)</f>
        <v>385732.43793761928</v>
      </c>
      <c r="CB2181" s="1032"/>
    </row>
    <row r="2182" spans="2:84">
      <c r="B2182" s="839" t="s">
        <v>98</v>
      </c>
      <c r="C2182" s="839" t="s">
        <v>3454</v>
      </c>
      <c r="D2182" s="839" t="s">
        <v>7184</v>
      </c>
      <c r="E2182" s="839" t="s">
        <v>7184</v>
      </c>
      <c r="F2182" s="841">
        <v>46049</v>
      </c>
      <c r="G2182" s="839" t="s">
        <v>3456</v>
      </c>
      <c r="H2182" s="883" t="s">
        <v>102</v>
      </c>
      <c r="I2182" s="883" t="s">
        <v>7185</v>
      </c>
      <c r="J2182" s="841">
        <v>46049</v>
      </c>
      <c r="K2182" s="841"/>
      <c r="L2182" s="843" t="s">
        <v>106</v>
      </c>
      <c r="M2182" s="844" t="s">
        <v>107</v>
      </c>
      <c r="N2182" s="841"/>
      <c r="O2182" s="884" t="s">
        <v>3459</v>
      </c>
      <c r="P2182" s="842" t="s">
        <v>6655</v>
      </c>
      <c r="Q2182" s="843"/>
      <c r="R2182" s="845" t="s">
        <v>7191</v>
      </c>
      <c r="S2182" s="1127" t="s">
        <v>7191</v>
      </c>
      <c r="T2182" s="885" t="s">
        <v>7192</v>
      </c>
      <c r="U2182" s="886">
        <v>4</v>
      </c>
      <c r="V2182" s="842" t="s">
        <v>8</v>
      </c>
      <c r="W2182" s="846">
        <v>12.4</v>
      </c>
      <c r="X2182" s="847">
        <f t="shared" si="415"/>
        <v>49.6</v>
      </c>
      <c r="Y2182" s="853">
        <v>0</v>
      </c>
      <c r="Z2182" s="849">
        <f>W2182*(1-Y2182)</f>
        <v>12.4</v>
      </c>
      <c r="AA2182" s="849"/>
      <c r="AB2182" s="849">
        <f t="shared" si="414"/>
        <v>49.6</v>
      </c>
      <c r="AC2182" s="850">
        <f t="shared" si="419"/>
        <v>49.6</v>
      </c>
      <c r="AD2182" s="851">
        <f t="shared" si="418"/>
        <v>27000</v>
      </c>
      <c r="AE2182" s="852">
        <v>27000</v>
      </c>
      <c r="AF2182" s="853">
        <v>0</v>
      </c>
      <c r="AG2182" s="854">
        <f t="shared" si="420"/>
        <v>0</v>
      </c>
      <c r="AH2182" s="853">
        <v>0</v>
      </c>
      <c r="AI2182" s="855">
        <f t="shared" si="421"/>
        <v>0</v>
      </c>
      <c r="AJ2182" s="845" t="s">
        <v>3320</v>
      </c>
      <c r="AK2182" s="845" t="s">
        <v>3320</v>
      </c>
      <c r="AL2182" s="845" t="s">
        <v>3320</v>
      </c>
      <c r="AM2182" s="845" t="s">
        <v>3320</v>
      </c>
      <c r="AN2182" s="845" t="s">
        <v>3320</v>
      </c>
      <c r="AO2182" s="844" t="s">
        <v>7188</v>
      </c>
      <c r="AP2182" s="845" t="s">
        <v>3320</v>
      </c>
      <c r="AQ2182" s="845" t="s">
        <v>3320</v>
      </c>
      <c r="AR2182" s="845" t="s">
        <v>3320</v>
      </c>
      <c r="AS2182" s="845" t="s">
        <v>3320</v>
      </c>
      <c r="AT2182" s="845" t="s">
        <v>3320</v>
      </c>
      <c r="AU2182" s="842" t="s">
        <v>7189</v>
      </c>
      <c r="AV2182" s="845" t="s">
        <v>3320</v>
      </c>
      <c r="AW2182" s="845" t="s">
        <v>3320</v>
      </c>
      <c r="AX2182" s="845" t="s">
        <v>3320</v>
      </c>
      <c r="AY2182" s="845" t="s">
        <v>3320</v>
      </c>
      <c r="AZ2182" s="845" t="s">
        <v>3320</v>
      </c>
      <c r="BA2182" s="842" t="s">
        <v>120</v>
      </c>
      <c r="BB2182" s="863" t="s">
        <v>121</v>
      </c>
      <c r="BC2182" s="864">
        <v>46107</v>
      </c>
      <c r="BD2182" s="860" t="s">
        <v>7190</v>
      </c>
      <c r="BE2182" s="865" cm="1">
        <f t="array" ref="BE2182">IF(BD2182="","",AC2182/SUMPRODUCT(--(BD2182=$BD$4:$BD$12824),$AC$4:$AC$12824))</f>
        <v>0.15786123488224063</v>
      </c>
      <c r="BF2182" s="458"/>
      <c r="BG2182" s="458"/>
      <c r="BH2182" s="458"/>
      <c r="BI2182" s="458"/>
      <c r="BJ2182" s="458"/>
      <c r="BK2182" s="458"/>
      <c r="BL2182" s="458"/>
      <c r="BM2182" s="458"/>
      <c r="BN2182" s="458"/>
      <c r="BO2182" s="866">
        <f>VLOOKUP(BD2182,$BD$4:$BN$12824,3,0)*BE2182</f>
        <v>179238.80330999364</v>
      </c>
      <c r="BP2182" s="866"/>
      <c r="BQ2182" s="866"/>
      <c r="BR2182" s="866">
        <f>VLOOKUP(BD2182,$BD$4:$BN$12824,6,0)*BE2182</f>
        <v>0</v>
      </c>
      <c r="BS2182" s="866">
        <f>VLOOKUP(BD2182,$BD$4:$BN$12824,7,0)*BE2182</f>
        <v>0</v>
      </c>
      <c r="BT2182" s="866"/>
      <c r="BU2182" s="866">
        <f>VLOOKUP(BD2182,$BD$4:$BN$12824,9,0)*BE2182</f>
        <v>0</v>
      </c>
      <c r="BV2182" s="867"/>
      <c r="BW2182" s="867">
        <f>VLOOKUP(BD2182,$BD$4:$BN$12824,11,0)*BE2182</f>
        <v>0</v>
      </c>
      <c r="BX2182" s="1146">
        <f t="shared" si="422"/>
        <v>179238.80330999364</v>
      </c>
      <c r="BY2182" s="867">
        <f t="shared" ref="BY2182:BY2187" si="424">(AB2182*AE2182+AG2182+BX2182)/U2182</f>
        <v>379609.7008274984</v>
      </c>
      <c r="BZ2182" s="867">
        <f t="shared" si="423"/>
        <v>1518438.8033099936</v>
      </c>
      <c r="CA2182" s="867">
        <f>_xlfn.MAXIFS($BY$4:$BY$12824,$S$4:$S$12824,$S2182)</f>
        <v>379609.7008274984</v>
      </c>
      <c r="CB2182" s="1032"/>
    </row>
    <row r="2183" spans="2:84">
      <c r="B2183" s="839" t="s">
        <v>98</v>
      </c>
      <c r="C2183" s="839" t="s">
        <v>3454</v>
      </c>
      <c r="D2183" s="839" t="s">
        <v>7193</v>
      </c>
      <c r="E2183" s="839" t="s">
        <v>7193</v>
      </c>
      <c r="F2183" s="841">
        <v>46102</v>
      </c>
      <c r="G2183" s="839" t="s">
        <v>3456</v>
      </c>
      <c r="H2183" s="883" t="s">
        <v>102</v>
      </c>
      <c r="I2183" s="883" t="s">
        <v>7194</v>
      </c>
      <c r="J2183" s="841">
        <v>46102</v>
      </c>
      <c r="K2183" s="841"/>
      <c r="L2183" s="843" t="s">
        <v>106</v>
      </c>
      <c r="M2183" s="844" t="s">
        <v>107</v>
      </c>
      <c r="N2183" s="841"/>
      <c r="O2183" s="884" t="s">
        <v>3459</v>
      </c>
      <c r="P2183" s="842" t="s">
        <v>7195</v>
      </c>
      <c r="Q2183" s="843"/>
      <c r="R2183" s="845"/>
      <c r="S2183" s="1127" t="s">
        <v>7196</v>
      </c>
      <c r="T2183" s="913" t="s">
        <v>7197</v>
      </c>
      <c r="U2183" s="886">
        <v>6</v>
      </c>
      <c r="V2183" s="842" t="s">
        <v>8</v>
      </c>
      <c r="W2183" s="846">
        <v>9.9</v>
      </c>
      <c r="X2183" s="847">
        <f>W2183*U2183</f>
        <v>59.400000000000006</v>
      </c>
      <c r="Y2183" s="853">
        <v>0</v>
      </c>
      <c r="Z2183" s="849">
        <f>W2183*(1-Y2183)</f>
        <v>9.9</v>
      </c>
      <c r="AA2183" s="849"/>
      <c r="AB2183" s="849">
        <f>IF(AA2183="F.O.C", 0, Z2183*U2183)</f>
        <v>59.400000000000006</v>
      </c>
      <c r="AC2183" s="850">
        <f>Z2183*U2183</f>
        <v>59.400000000000006</v>
      </c>
      <c r="AD2183" s="851">
        <f>IF(V2183=$AD$2,$AE$2,$AE$3)</f>
        <v>27000</v>
      </c>
      <c r="AE2183" s="852">
        <v>27000</v>
      </c>
      <c r="AF2183" s="853">
        <v>0</v>
      </c>
      <c r="AG2183" s="854">
        <f t="shared" ref="AG2183:AG2184" si="425">(AC2183*AE2183+BO2183+BP2183+BQ2183+BS2183)*AF2183</f>
        <v>0</v>
      </c>
      <c r="AH2183" s="853">
        <v>0</v>
      </c>
      <c r="AI2183" s="855">
        <f t="shared" ref="AI2183:AI2184" si="426">(AC2183*AE2183+AG2183+BF2183+BG2183+BH2183+BJ2183)*AH2183</f>
        <v>0</v>
      </c>
      <c r="AJ2183" s="845" t="s">
        <v>3320</v>
      </c>
      <c r="AK2183" s="845" t="s">
        <v>3320</v>
      </c>
      <c r="AL2183" s="845" t="s">
        <v>3320</v>
      </c>
      <c r="AM2183" s="845" t="s">
        <v>3320</v>
      </c>
      <c r="AN2183" s="845" t="s">
        <v>3320</v>
      </c>
      <c r="AO2183" s="844" t="s">
        <v>7188</v>
      </c>
      <c r="AP2183" s="845" t="s">
        <v>3320</v>
      </c>
      <c r="AQ2183" s="845" t="s">
        <v>3320</v>
      </c>
      <c r="AR2183" s="845" t="s">
        <v>3320</v>
      </c>
      <c r="AS2183" s="845" t="s">
        <v>3320</v>
      </c>
      <c r="AT2183" s="845" t="s">
        <v>3320</v>
      </c>
      <c r="AU2183" s="842" t="s">
        <v>7189</v>
      </c>
      <c r="AV2183" s="845" t="s">
        <v>3320</v>
      </c>
      <c r="AW2183" s="845" t="s">
        <v>3320</v>
      </c>
      <c r="AX2183" s="845" t="s">
        <v>3320</v>
      </c>
      <c r="AY2183" s="845" t="s">
        <v>3320</v>
      </c>
      <c r="AZ2183" s="845" t="s">
        <v>3320</v>
      </c>
      <c r="BA2183" s="842" t="s">
        <v>120</v>
      </c>
      <c r="BB2183" s="863" t="s">
        <v>121</v>
      </c>
      <c r="BC2183" s="864">
        <v>46129</v>
      </c>
      <c r="BD2183" s="860" t="s">
        <v>7198</v>
      </c>
      <c r="BE2183" s="865" cm="1">
        <f t="array" ref="BE2183">IF(BD2183="","",AC2183/SUMPRODUCT(--(BD2183=$BD$4:$BD$12824),$AC$4:$AC$12824))</f>
        <v>0.43231441048034935</v>
      </c>
      <c r="BF2183" s="458" cm="1">
        <f t="array" ref="BF2183">SUM(_xlfn._xlws.FILTER( INDEX(Cost!$B$3:$BK$77,MATCH(LDL!$BD2183, Cost!$F$3:$F$77, 0),0),Cost!$B$3:$BK$3 = BF$3))</f>
        <v>316000</v>
      </c>
      <c r="BG2183" s="458"/>
      <c r="BH2183" s="458"/>
      <c r="BI2183" s="458" cm="1">
        <f t="array" ref="BI2183">SUM(_xlfn._xlws.FILTER( INDEX(Cost!$B$3:$BK$77,MATCH(LDL!$BD2183, Cost!$F$3:$F$77, 0),0),Cost!$B$3:$BK$3 = BI$3))/1.08</f>
        <v>0</v>
      </c>
      <c r="BJ2183" s="458" cm="1">
        <f t="array" ref="BJ2183">SUM(_xlfn._xlws.FILTER( INDEX(Cost!$B$3:$BK$77,MATCH(LDL!$BD2183, Cost!$F$3:$F$77, 0),0),Cost!$B$3:$BK$3 = BJ$3))</f>
        <v>0</v>
      </c>
      <c r="BK2183" s="458"/>
      <c r="BL2183" s="458" cm="1">
        <f t="array" ref="BL2183">SUM(_xlfn._xlws.FILTER( INDEX(Cost!$B$3:$BK$77,MATCH(LDL!$BD2183, Cost!$F$3:$F$77, 0),0),Cost!$B$3:$BK$3 = BL$3))</f>
        <v>0</v>
      </c>
      <c r="BM2183" s="458"/>
      <c r="BN2183" s="458" cm="1">
        <f t="array" ref="BN2183">SUM(_xlfn._xlws.FILTER( INDEX(Cost!$B$3:$BK$77,MATCH(LDL!$BD2183, Cost!$F$3:$F$77, 0),0),Cost!$B$3:$BK$3 = BN$3))/1.08</f>
        <v>0</v>
      </c>
      <c r="BO2183" s="866">
        <f>VLOOKUP(BD2183,$BD$4:$BN$12824,3,0)*BE2183</f>
        <v>136611.35371179041</v>
      </c>
      <c r="BP2183" s="866"/>
      <c r="BQ2183" s="866"/>
      <c r="BR2183" s="866">
        <f>VLOOKUP(BD2183,$BD$4:$BN$12824,6,0)*BE2183</f>
        <v>0</v>
      </c>
      <c r="BS2183" s="866">
        <f>VLOOKUP(BD2183,$BD$4:$BN$12824,7,0)*BE2183</f>
        <v>0</v>
      </c>
      <c r="BT2183" s="866"/>
      <c r="BU2183" s="866">
        <f>VLOOKUP(BD2183,$BD$4:$BN$12824,9,0)*BE2183</f>
        <v>0</v>
      </c>
      <c r="BV2183" s="867"/>
      <c r="BW2183" s="867">
        <f>VLOOKUP(BD2183,$BD$4:$BN$12824,11,0)*BE2183</f>
        <v>0</v>
      </c>
      <c r="BX2183" s="1146">
        <f t="shared" ref="BX2183:BX2184" si="427">SUM(BO2183:BW2183)</f>
        <v>136611.35371179041</v>
      </c>
      <c r="BY2183" s="867">
        <f t="shared" ref="BY2183:BY2184" si="428">(AB2183*AE2183+AG2183+BX2183)/U2183</f>
        <v>290068.55895196513</v>
      </c>
      <c r="BZ2183" s="867">
        <f t="shared" ref="BZ2183:BZ2184" si="429">BY2183*U2183</f>
        <v>1740411.3537117909</v>
      </c>
      <c r="CA2183" s="867">
        <f>_xlfn.MAXIFS($BY$4:$BY$12824,$S$4:$S$12824,$S2183)</f>
        <v>290068.55895196513</v>
      </c>
      <c r="CB2183" s="1032"/>
    </row>
    <row r="2184" spans="2:84">
      <c r="B2184" s="839" t="s">
        <v>98</v>
      </c>
      <c r="C2184" s="839" t="s">
        <v>3454</v>
      </c>
      <c r="D2184" s="839" t="s">
        <v>7199</v>
      </c>
      <c r="E2184" s="839" t="s">
        <v>7199</v>
      </c>
      <c r="F2184" s="841">
        <v>46112</v>
      </c>
      <c r="G2184" s="839" t="s">
        <v>3456</v>
      </c>
      <c r="H2184" s="883" t="s">
        <v>102</v>
      </c>
      <c r="I2184" s="883" t="s">
        <v>7200</v>
      </c>
      <c r="J2184" s="841">
        <v>46112</v>
      </c>
      <c r="K2184" s="841"/>
      <c r="L2184" s="843" t="s">
        <v>106</v>
      </c>
      <c r="M2184" s="844" t="s">
        <v>107</v>
      </c>
      <c r="N2184" s="841"/>
      <c r="O2184" s="884" t="s">
        <v>3459</v>
      </c>
      <c r="P2184" s="842" t="s">
        <v>6655</v>
      </c>
      <c r="Q2184" s="843"/>
      <c r="R2184" s="845" t="s">
        <v>7201</v>
      </c>
      <c r="S2184" s="1127" t="s">
        <v>7201</v>
      </c>
      <c r="T2184" s="913" t="s">
        <v>7202</v>
      </c>
      <c r="U2184" s="886">
        <v>10</v>
      </c>
      <c r="V2184" s="842" t="s">
        <v>8</v>
      </c>
      <c r="W2184" s="846">
        <v>7.8</v>
      </c>
      <c r="X2184" s="847">
        <f>W2184*U2184</f>
        <v>78</v>
      </c>
      <c r="Y2184" s="853">
        <v>0</v>
      </c>
      <c r="Z2184" s="849">
        <f>W2184*(1-Y2184)</f>
        <v>7.8</v>
      </c>
      <c r="AA2184" s="849"/>
      <c r="AB2184" s="849">
        <f>IF(AA2184="F.O.C", 0, Z2184*U2184)</f>
        <v>78</v>
      </c>
      <c r="AC2184" s="850">
        <f>Z2184*U2184</f>
        <v>78</v>
      </c>
      <c r="AD2184" s="851">
        <f>IF(V2184=$AD$2,$AE$2,$AE$3)</f>
        <v>27000</v>
      </c>
      <c r="AE2184" s="852">
        <v>27000</v>
      </c>
      <c r="AF2184" s="853">
        <v>0</v>
      </c>
      <c r="AG2184" s="854">
        <f t="shared" si="425"/>
        <v>0</v>
      </c>
      <c r="AH2184" s="853">
        <v>0</v>
      </c>
      <c r="AI2184" s="855">
        <f t="shared" si="426"/>
        <v>0</v>
      </c>
      <c r="AJ2184" s="845" t="s">
        <v>3320</v>
      </c>
      <c r="AK2184" s="845" t="s">
        <v>3320</v>
      </c>
      <c r="AL2184" s="845" t="s">
        <v>3320</v>
      </c>
      <c r="AM2184" s="845" t="s">
        <v>3320</v>
      </c>
      <c r="AN2184" s="845" t="s">
        <v>3320</v>
      </c>
      <c r="AO2184" s="844" t="s">
        <v>7188</v>
      </c>
      <c r="AP2184" s="845" t="s">
        <v>3320</v>
      </c>
      <c r="AQ2184" s="845" t="s">
        <v>3320</v>
      </c>
      <c r="AR2184" s="845" t="s">
        <v>3320</v>
      </c>
      <c r="AS2184" s="845" t="s">
        <v>3320</v>
      </c>
      <c r="AT2184" s="845" t="s">
        <v>3320</v>
      </c>
      <c r="AU2184" s="842" t="s">
        <v>7189</v>
      </c>
      <c r="AV2184" s="845" t="s">
        <v>3320</v>
      </c>
      <c r="AW2184" s="845" t="s">
        <v>3320</v>
      </c>
      <c r="AX2184" s="845" t="s">
        <v>3320</v>
      </c>
      <c r="AY2184" s="845" t="s">
        <v>3320</v>
      </c>
      <c r="AZ2184" s="845" t="s">
        <v>3320</v>
      </c>
      <c r="BA2184" s="842" t="s">
        <v>120</v>
      </c>
      <c r="BB2184" s="863" t="s">
        <v>121</v>
      </c>
      <c r="BC2184" s="864">
        <v>46129</v>
      </c>
      <c r="BD2184" s="860" t="s">
        <v>7198</v>
      </c>
      <c r="BE2184" s="865" cm="1">
        <f t="array" ref="BE2184">IF(BD2184="","",AC2184/SUMPRODUCT(--(BD2184=$BD$4:$BD$12824),$AC$4:$AC$12824))</f>
        <v>0.56768558951965065</v>
      </c>
      <c r="BF2184" s="458"/>
      <c r="BG2184" s="458"/>
      <c r="BH2184" s="458"/>
      <c r="BI2184" s="458"/>
      <c r="BJ2184" s="458"/>
      <c r="BK2184" s="458"/>
      <c r="BL2184" s="458"/>
      <c r="BM2184" s="458"/>
      <c r="BN2184" s="458"/>
      <c r="BO2184" s="866">
        <f>VLOOKUP(BD2184,$BD$4:$BN$12824,3,0)*BE2184</f>
        <v>179388.64628820959</v>
      </c>
      <c r="BP2184" s="866"/>
      <c r="BQ2184" s="866"/>
      <c r="BR2184" s="866">
        <f>VLOOKUP(BD2184,$BD$4:$BN$12824,6,0)*BE2184</f>
        <v>0</v>
      </c>
      <c r="BS2184" s="866">
        <f>VLOOKUP(BD2184,$BD$4:$BN$12824,7,0)*BE2184</f>
        <v>0</v>
      </c>
      <c r="BT2184" s="866"/>
      <c r="BU2184" s="866">
        <f>VLOOKUP(BD2184,$BD$4:$BN$12824,9,0)*BE2184</f>
        <v>0</v>
      </c>
      <c r="BV2184" s="867"/>
      <c r="BW2184" s="867">
        <f>VLOOKUP(BD2184,$BD$4:$BN$12824,11,0)*BE2184</f>
        <v>0</v>
      </c>
      <c r="BX2184" s="1146">
        <f t="shared" si="427"/>
        <v>179388.64628820959</v>
      </c>
      <c r="BY2184" s="867">
        <f t="shared" si="428"/>
        <v>228538.86462882097</v>
      </c>
      <c r="BZ2184" s="867">
        <f t="shared" si="429"/>
        <v>2285388.6462882096</v>
      </c>
      <c r="CA2184" s="867">
        <f>_xlfn.MAXIFS($BY$4:$BY$12824,$S$4:$S$12824,$S2184)</f>
        <v>228538.86462882097</v>
      </c>
      <c r="CB2184" s="1032"/>
    </row>
    <row r="2185" spans="2:84">
      <c r="B2185" s="839" t="s">
        <v>98</v>
      </c>
      <c r="C2185" s="839" t="s">
        <v>99</v>
      </c>
      <c r="D2185" s="839" t="s">
        <v>6977</v>
      </c>
      <c r="E2185" s="839" t="s">
        <v>6977</v>
      </c>
      <c r="F2185" s="841">
        <v>45961</v>
      </c>
      <c r="G2185" s="839" t="s">
        <v>99</v>
      </c>
      <c r="H2185" s="883" t="s">
        <v>134</v>
      </c>
      <c r="I2185" s="883"/>
      <c r="J2185" s="841"/>
      <c r="K2185" s="841"/>
      <c r="L2185" s="843" t="s">
        <v>1135</v>
      </c>
      <c r="M2185" s="844" t="s">
        <v>535</v>
      </c>
      <c r="N2185" s="841"/>
      <c r="O2185" s="884" t="s">
        <v>108</v>
      </c>
      <c r="P2185" s="842" t="s">
        <v>3622</v>
      </c>
      <c r="Q2185" s="843"/>
      <c r="R2185" s="845">
        <v>5741109249</v>
      </c>
      <c r="S2185" s="1127" t="s">
        <v>7203</v>
      </c>
      <c r="T2185" s="843" t="s">
        <v>7204</v>
      </c>
      <c r="U2185" s="886">
        <v>1</v>
      </c>
      <c r="V2185" s="842" t="s">
        <v>3</v>
      </c>
      <c r="W2185" s="846">
        <v>4040</v>
      </c>
      <c r="X2185" s="847">
        <f t="shared" si="415"/>
        <v>4040</v>
      </c>
      <c r="Y2185" s="853" t="s">
        <v>6980</v>
      </c>
      <c r="Z2185" s="849">
        <v>1575.6000000000001</v>
      </c>
      <c r="AA2185" s="849"/>
      <c r="AB2185" s="849">
        <f t="shared" si="414"/>
        <v>1575.6000000000001</v>
      </c>
      <c r="AC2185" s="850">
        <f t="shared" si="419"/>
        <v>1575.6000000000001</v>
      </c>
      <c r="AD2185" s="851">
        <f t="shared" si="418"/>
        <v>32000</v>
      </c>
      <c r="AE2185" s="852">
        <v>29701.37</v>
      </c>
      <c r="AF2185" s="853">
        <v>0</v>
      </c>
      <c r="AG2185" s="854">
        <f t="shared" si="420"/>
        <v>0</v>
      </c>
      <c r="AH2185" s="853">
        <v>0.08</v>
      </c>
      <c r="AI2185" s="855">
        <f t="shared" si="421"/>
        <v>3743798.2857600003</v>
      </c>
      <c r="AJ2185" s="845" t="s">
        <v>7205</v>
      </c>
      <c r="AK2185" s="857">
        <v>46094</v>
      </c>
      <c r="AL2185" s="843">
        <v>7913938992</v>
      </c>
      <c r="AM2185" s="845"/>
      <c r="AN2185" s="845"/>
      <c r="AO2185" s="844" t="s">
        <v>7206</v>
      </c>
      <c r="AP2185" s="841"/>
      <c r="AQ2185" s="842"/>
      <c r="AR2185" s="841"/>
      <c r="AS2185" s="842" t="s">
        <v>4697</v>
      </c>
      <c r="AT2185" s="842" t="s">
        <v>7207</v>
      </c>
      <c r="AU2185" s="842" t="s">
        <v>1612</v>
      </c>
      <c r="AV2185" s="845" t="s">
        <v>7208</v>
      </c>
      <c r="AW2185" s="861">
        <v>46104</v>
      </c>
      <c r="AX2185" s="862">
        <v>46105</v>
      </c>
      <c r="AY2185" s="843" t="s">
        <v>7209</v>
      </c>
      <c r="AZ2185" s="842">
        <v>94051999</v>
      </c>
      <c r="BA2185" s="842" t="s">
        <v>120</v>
      </c>
      <c r="BB2185" s="863" t="s">
        <v>121</v>
      </c>
      <c r="BC2185" s="864">
        <v>46108</v>
      </c>
      <c r="BD2185" s="860" t="s">
        <v>7210</v>
      </c>
      <c r="BE2185" s="865" cm="1">
        <f t="array" ref="BE2185">IF(BD2185="","",AC2185/SUMPRODUCT(--(BD2185=$BD$4:$BD$12824),$AC$4:$AC$12824))</f>
        <v>1</v>
      </c>
      <c r="BF2185" s="458" cm="1">
        <f t="array" ref="BF2185">SUM(_xlfn._xlws.FILTER( INDEX(Cost!$B$3:$BK$77,MATCH(LDL!$BD2185, Cost!$F$3:$F$77, 0),0),Cost!$B$3:$BK$3 = BF$3))</f>
        <v>0</v>
      </c>
      <c r="BG2185" s="458"/>
      <c r="BH2185" s="458"/>
      <c r="BI2185" s="458" cm="1">
        <f t="array" ref="BI2185">SUM(_xlfn._xlws.FILTER( INDEX(Cost!$B$3:$BK$77,MATCH(LDL!$BD2185, Cost!$F$3:$F$77, 0),0),Cost!$B$3:$BK$3 = BI$3))/1.08</f>
        <v>0</v>
      </c>
      <c r="BJ2185" s="458" cm="1">
        <f t="array" ref="BJ2185">SUM(_xlfn._xlws.FILTER( INDEX(Cost!$B$3:$BK$77,MATCH(LDL!$BD2185, Cost!$F$3:$F$77, 0),0),Cost!$B$3:$BK$3 = BJ$3))</f>
        <v>0</v>
      </c>
      <c r="BK2185" s="458"/>
      <c r="BL2185" s="458" cm="1">
        <f t="array" ref="BL2185">SUM(_xlfn._xlws.FILTER( INDEX(Cost!$B$3:$BK$77,MATCH(LDL!$BD2185, Cost!$F$3:$F$77, 0),0),Cost!$B$3:$BK$3 = BL$3))</f>
        <v>20000</v>
      </c>
      <c r="BM2185" s="458"/>
      <c r="BN2185" s="458" cm="1">
        <f t="array" ref="BN2185">SUM(_xlfn._xlws.FILTER( INDEX(Cost!$B$3:$BK$77,MATCH(LDL!$BD2185, Cost!$F$3:$F$77, 0),0),Cost!$B$3:$BK$3 = BN$3))/1.08</f>
        <v>600000</v>
      </c>
      <c r="BO2185" s="866">
        <f>VLOOKUP(BD2185,$BD$4:$BN$12824,3,0)*BE2185</f>
        <v>0</v>
      </c>
      <c r="BP2185" s="866"/>
      <c r="BQ2185" s="866"/>
      <c r="BR2185" s="866">
        <f>VLOOKUP(BD2185,$BD$4:$BN$12824,6,0)*BE2185</f>
        <v>0</v>
      </c>
      <c r="BS2185" s="866">
        <f>VLOOKUP(BD2185,$BD$4:$BN$12824,7,0)*BE2185</f>
        <v>0</v>
      </c>
      <c r="BT2185" s="866"/>
      <c r="BU2185" s="866">
        <f>VLOOKUP(BD2185,$BD$4:$BN$12824,9,0)*BE2185</f>
        <v>20000</v>
      </c>
      <c r="BV2185" s="867"/>
      <c r="BW2185" s="867">
        <f>VLOOKUP(BD2185,$BD$4:$BN$12824,11,0)*BE2185</f>
        <v>600000</v>
      </c>
      <c r="BX2185" s="1146">
        <f t="shared" si="422"/>
        <v>620000</v>
      </c>
      <c r="BY2185" s="867">
        <f t="shared" si="424"/>
        <v>47417478.572000004</v>
      </c>
      <c r="BZ2185" s="867">
        <f t="shared" si="423"/>
        <v>47417478.572000004</v>
      </c>
      <c r="CA2185" s="867">
        <f>_xlfn.MAXIFS($BY$4:$BY$12824,$S$4:$S$12824,$S2185)</f>
        <v>47417478.572000004</v>
      </c>
      <c r="CB2185" s="1032"/>
    </row>
    <row r="2186" spans="2:84">
      <c r="B2186" s="839" t="s">
        <v>98</v>
      </c>
      <c r="C2186" s="839" t="s">
        <v>383</v>
      </c>
      <c r="D2186" s="839" t="s">
        <v>7211</v>
      </c>
      <c r="E2186" s="839" t="s">
        <v>7211</v>
      </c>
      <c r="F2186" s="841">
        <v>46038</v>
      </c>
      <c r="G2186" s="839" t="s">
        <v>99</v>
      </c>
      <c r="H2186" s="883" t="s">
        <v>134</v>
      </c>
      <c r="I2186" s="883"/>
      <c r="J2186" s="841"/>
      <c r="K2186" s="841"/>
      <c r="L2186" s="843" t="s">
        <v>106</v>
      </c>
      <c r="M2186" s="844" t="s">
        <v>107</v>
      </c>
      <c r="N2186" s="841"/>
      <c r="O2186" s="884"/>
      <c r="P2186" s="842"/>
      <c r="Q2186" s="843"/>
      <c r="R2186" s="845" t="s">
        <v>7212</v>
      </c>
      <c r="S2186" s="1127" t="s">
        <v>7213</v>
      </c>
      <c r="T2186" s="843" t="s">
        <v>7214</v>
      </c>
      <c r="U2186" s="886">
        <v>1</v>
      </c>
      <c r="V2186" s="842" t="s">
        <v>3</v>
      </c>
      <c r="W2186" s="849">
        <v>88.32</v>
      </c>
      <c r="X2186" s="847">
        <f t="shared" si="415"/>
        <v>88.32</v>
      </c>
      <c r="Y2186" s="853">
        <v>0</v>
      </c>
      <c r="Z2186" s="849">
        <v>88.32</v>
      </c>
      <c r="AA2186" s="849"/>
      <c r="AB2186" s="849">
        <f t="shared" si="414"/>
        <v>88.32</v>
      </c>
      <c r="AC2186" s="850">
        <f t="shared" si="419"/>
        <v>88.32</v>
      </c>
      <c r="AD2186" s="851">
        <f t="shared" si="418"/>
        <v>32000</v>
      </c>
      <c r="AE2186" s="852">
        <v>29937.22</v>
      </c>
      <c r="AF2186" s="853">
        <v>0</v>
      </c>
      <c r="AG2186" s="854">
        <f t="shared" si="420"/>
        <v>0</v>
      </c>
      <c r="AH2186" s="853">
        <v>0.1</v>
      </c>
      <c r="AI2186" s="855">
        <f t="shared" si="421"/>
        <v>264405.52704000002</v>
      </c>
      <c r="AJ2186" s="845" t="s">
        <v>7215</v>
      </c>
      <c r="AK2186" s="857">
        <v>46078</v>
      </c>
      <c r="AL2186" s="843" t="s">
        <v>7216</v>
      </c>
      <c r="AM2186" s="845" t="s">
        <v>3320</v>
      </c>
      <c r="AN2186" s="845" t="s">
        <v>3320</v>
      </c>
      <c r="AO2186" s="844" t="s">
        <v>3349</v>
      </c>
      <c r="AP2186" s="841"/>
      <c r="AQ2186" s="842"/>
      <c r="AR2186" s="841"/>
      <c r="AS2186" s="842" t="s">
        <v>4697</v>
      </c>
      <c r="AT2186" s="842" t="s">
        <v>7217</v>
      </c>
      <c r="AU2186" s="842" t="s">
        <v>1612</v>
      </c>
      <c r="AV2186" s="845" t="s">
        <v>7218</v>
      </c>
      <c r="AW2186" s="861">
        <v>46092</v>
      </c>
      <c r="AX2186" s="862">
        <v>46093</v>
      </c>
      <c r="AY2186" s="843" t="s">
        <v>7219</v>
      </c>
      <c r="AZ2186" s="842"/>
      <c r="BA2186" s="842" t="s">
        <v>120</v>
      </c>
      <c r="BB2186" s="863" t="s">
        <v>121</v>
      </c>
      <c r="BC2186" s="864">
        <v>46095</v>
      </c>
      <c r="BD2186" s="860" t="s">
        <v>7220</v>
      </c>
      <c r="BE2186" s="865" cm="1">
        <f t="array" ref="BE2186">IF(BD2186="","",AC2186/SUMPRODUCT(--(BD2186=$BD$4:$BD$12824),$AC$4:$AC$12824))</f>
        <v>1</v>
      </c>
      <c r="BF2186" s="458" cm="1">
        <f t="array" ref="BF2186">SUM(_xlfn._xlws.FILTER( INDEX(Cost!$B$3:$BK$77,MATCH(LDL!$BD2186, Cost!$F$3:$F$77, 0),0),Cost!$B$3:$BK$3 = BF$3))</f>
        <v>0</v>
      </c>
      <c r="BG2186" s="458"/>
      <c r="BH2186" s="458"/>
      <c r="BI2186" s="458" cm="1">
        <f t="array" ref="BI2186">SUM(_xlfn._xlws.FILTER( INDEX(Cost!$B$3:$BK$77,MATCH(LDL!$BD2186, Cost!$F$3:$F$77, 0),0),Cost!$B$3:$BK$3 = BI$3))/1.08</f>
        <v>0</v>
      </c>
      <c r="BJ2186" s="458" cm="1">
        <f t="array" ref="BJ2186">SUM(_xlfn._xlws.FILTER( INDEX(Cost!$B$3:$BK$77,MATCH(LDL!$BD2186, Cost!$F$3:$F$77, 0),0),Cost!$B$3:$BK$3 = BJ$3))</f>
        <v>0</v>
      </c>
      <c r="BK2186" s="458"/>
      <c r="BL2186" s="458" cm="1">
        <f t="array" ref="BL2186">SUM(_xlfn._xlws.FILTER( INDEX(Cost!$B$3:$BK$77,MATCH(LDL!$BD2186, Cost!$F$3:$F$77, 0),0),Cost!$B$3:$BK$3 = BL$3))</f>
        <v>20000</v>
      </c>
      <c r="BM2186" s="458"/>
      <c r="BN2186" s="458" cm="1">
        <f t="array" ref="BN2186">SUM(_xlfn._xlws.FILTER( INDEX(Cost!$B$3:$BK$77,MATCH(LDL!$BD2186, Cost!$F$3:$F$77, 0),0),Cost!$B$3:$BK$3 = BN$3))/1.08</f>
        <v>600000</v>
      </c>
      <c r="BO2186" s="866">
        <f>VLOOKUP(BD2186,$BD$4:$BN$12824,3,0)*BE2186</f>
        <v>0</v>
      </c>
      <c r="BP2186" s="866"/>
      <c r="BQ2186" s="866"/>
      <c r="BR2186" s="866">
        <f>VLOOKUP(BD2186,$BD$4:$BN$12824,6,0)*BE2186</f>
        <v>0</v>
      </c>
      <c r="BS2186" s="866">
        <f>VLOOKUP(BD2186,$BD$4:$BN$12824,7,0)*BE2186</f>
        <v>0</v>
      </c>
      <c r="BT2186" s="866"/>
      <c r="BU2186" s="866">
        <f>VLOOKUP(BD2186,$BD$4:$BN$12824,9,0)*BE2186</f>
        <v>20000</v>
      </c>
      <c r="BV2186" s="867"/>
      <c r="BW2186" s="867">
        <f>VLOOKUP(BD2186,$BD$4:$BN$12824,11,0)*BE2186</f>
        <v>600000</v>
      </c>
      <c r="BX2186" s="1146">
        <f t="shared" si="422"/>
        <v>620000</v>
      </c>
      <c r="BY2186" s="867">
        <f t="shared" si="424"/>
        <v>3264055.2703999998</v>
      </c>
      <c r="BZ2186" s="867">
        <f t="shared" si="423"/>
        <v>3264055.2703999998</v>
      </c>
      <c r="CA2186" s="867">
        <f>_xlfn.MAXIFS($BY$4:$BY$12824,$S$4:$S$12824,$S2186)</f>
        <v>3264055.2703999998</v>
      </c>
      <c r="CB2186" s="1032"/>
    </row>
    <row r="2187" spans="2:84">
      <c r="B2187" s="839" t="s">
        <v>98</v>
      </c>
      <c r="C2187" s="839" t="s">
        <v>4583</v>
      </c>
      <c r="D2187" s="839" t="s">
        <v>7221</v>
      </c>
      <c r="E2187" s="839" t="s">
        <v>7221</v>
      </c>
      <c r="F2187" s="841">
        <v>46020</v>
      </c>
      <c r="G2187" s="868" t="s">
        <v>4585</v>
      </c>
      <c r="H2187" s="883" t="s">
        <v>102</v>
      </c>
      <c r="I2187" s="883" t="s">
        <v>7222</v>
      </c>
      <c r="J2187" s="841">
        <v>46020</v>
      </c>
      <c r="K2187" s="841"/>
      <c r="L2187" s="843" t="s">
        <v>7223</v>
      </c>
      <c r="M2187" s="844" t="s">
        <v>107</v>
      </c>
      <c r="N2187" s="841"/>
      <c r="O2187" s="884" t="s">
        <v>108</v>
      </c>
      <c r="P2187" s="842" t="s">
        <v>160</v>
      </c>
      <c r="Q2187" s="843"/>
      <c r="R2187" s="845" t="s">
        <v>7224</v>
      </c>
      <c r="S2187" s="1128" t="s">
        <v>7224</v>
      </c>
      <c r="T2187" s="885" t="s">
        <v>7225</v>
      </c>
      <c r="U2187" s="886">
        <v>3</v>
      </c>
      <c r="V2187" s="842" t="s">
        <v>3</v>
      </c>
      <c r="W2187" s="846">
        <v>1009.29</v>
      </c>
      <c r="X2187" s="847">
        <f t="shared" si="415"/>
        <v>3027.87</v>
      </c>
      <c r="Y2187" s="853">
        <v>7.0000000000000007E-2</v>
      </c>
      <c r="Z2187" s="849">
        <f>W2187*(1-Y2187)</f>
        <v>938.63969999999995</v>
      </c>
      <c r="AA2187" s="849"/>
      <c r="AB2187" s="849">
        <f t="shared" si="414"/>
        <v>2815.9191000000001</v>
      </c>
      <c r="AC2187" s="850">
        <f t="shared" si="419"/>
        <v>2815.9191000000001</v>
      </c>
      <c r="AD2187" s="851">
        <v>32000</v>
      </c>
      <c r="AE2187" s="852">
        <v>29964.35</v>
      </c>
      <c r="AF2187" s="853">
        <v>0</v>
      </c>
      <c r="AG2187" s="854">
        <f t="shared" si="420"/>
        <v>0</v>
      </c>
      <c r="AH2187" s="853">
        <v>0.08</v>
      </c>
      <c r="AI2187" s="855">
        <f t="shared" si="421"/>
        <v>7487085.2387267994</v>
      </c>
      <c r="AJ2187" s="845" t="s">
        <v>7226</v>
      </c>
      <c r="AK2187" s="857">
        <v>46100</v>
      </c>
      <c r="AL2187" s="843">
        <v>73805977296</v>
      </c>
      <c r="AM2187" s="843"/>
      <c r="AN2187" s="844"/>
      <c r="AO2187" s="844" t="s">
        <v>116</v>
      </c>
      <c r="AP2187" s="841"/>
      <c r="AQ2187" s="842"/>
      <c r="AR2187" s="841"/>
      <c r="AS2187" s="842" t="s">
        <v>4772</v>
      </c>
      <c r="AT2187" s="842" t="s">
        <v>7159</v>
      </c>
      <c r="AU2187" s="842" t="s">
        <v>1565</v>
      </c>
      <c r="AV2187" s="845" t="s">
        <v>7227</v>
      </c>
      <c r="AW2187" s="861">
        <v>46114</v>
      </c>
      <c r="AX2187" s="862">
        <v>46115</v>
      </c>
      <c r="AY2187" s="843" t="s">
        <v>7228</v>
      </c>
      <c r="AZ2187" s="842">
        <v>94052190</v>
      </c>
      <c r="BA2187" s="842" t="s">
        <v>120</v>
      </c>
      <c r="BB2187" s="863" t="s">
        <v>121</v>
      </c>
      <c r="BC2187" s="864">
        <v>46115</v>
      </c>
      <c r="BD2187" s="860" t="s">
        <v>7229</v>
      </c>
      <c r="BE2187" s="865" cm="1">
        <f t="array" ref="BE2187">IF(BD2187="","",AC2187/SUMPRODUCT(--(BD2187=$BD$4:$BD$12824),$AC$4:$AC$12824))</f>
        <v>1</v>
      </c>
      <c r="BF2187" s="458" cm="1">
        <f t="array" ref="BF2187">SUM(_xlfn._xlws.FILTER( INDEX(Cost!$B$3:$BK$77,MATCH(LDL!$BD2187, Cost!$F$3:$F$77, 0),0),Cost!$B$3:$BK$3 = BF$3))</f>
        <v>8961380</v>
      </c>
      <c r="BG2187" s="458"/>
      <c r="BH2187" s="458"/>
      <c r="BI2187" s="458" cm="1">
        <f t="array" ref="BI2187">SUM(_xlfn._xlws.FILTER( INDEX(Cost!$B$3:$BK$77,MATCH(LDL!$BD2187, Cost!$F$3:$F$77, 0),0),Cost!$B$3:$BK$3 = BI$3))/1.08</f>
        <v>2749330.5555555555</v>
      </c>
      <c r="BJ2187" s="458" cm="1">
        <f t="array" ref="BJ2187">SUM(_xlfn._xlws.FILTER( INDEX(Cost!$B$3:$BK$77,MATCH(LDL!$BD2187, Cost!$F$3:$F$77, 0),0),Cost!$B$3:$BK$3 = BJ$3))</f>
        <v>249999.99999999997</v>
      </c>
      <c r="BK2187" s="458"/>
      <c r="BL2187" s="458" cm="1">
        <f t="array" ref="BL2187">SUM(_xlfn._xlws.FILTER( INDEX(Cost!$B$3:$BK$77,MATCH(LDL!$BD2187, Cost!$F$3:$F$77, 0),0),Cost!$B$3:$BK$3 = BL$3))</f>
        <v>20000</v>
      </c>
      <c r="BM2187" s="458"/>
      <c r="BN2187" s="458" cm="1">
        <f t="array" ref="BN2187">SUM(_xlfn._xlws.FILTER( INDEX(Cost!$B$3:$BK$77,MATCH(LDL!$BD2187, Cost!$F$3:$F$77, 0),0),Cost!$B$3:$BK$3 = BN$3))/1.08</f>
        <v>1062962.9629629629</v>
      </c>
      <c r="BO2187" s="866">
        <f>VLOOKUP(BD2187,$BD$4:$BN$12824,3,0)*BE2187</f>
        <v>8961380</v>
      </c>
      <c r="BP2187" s="866"/>
      <c r="BQ2187" s="866"/>
      <c r="BR2187" s="866">
        <f>VLOOKUP(BD2187,$BD$4:$BN$12824,6,0)*BE2187</f>
        <v>2749330.5555555555</v>
      </c>
      <c r="BS2187" s="866">
        <f>VLOOKUP(BD2187,$BD$4:$BN$12824,7,0)*BE2187</f>
        <v>249999.99999999997</v>
      </c>
      <c r="BT2187" s="866"/>
      <c r="BU2187" s="866">
        <f>VLOOKUP(BD2187,$BD$4:$BN$12824,9,0)*BE2187</f>
        <v>20000</v>
      </c>
      <c r="BV2187" s="867"/>
      <c r="BW2187" s="867">
        <f>VLOOKUP(BD2187,$BD$4:$BN$12824,11,0)*BE2187</f>
        <v>1062962.9629629629</v>
      </c>
      <c r="BX2187" s="1146">
        <f t="shared" si="422"/>
        <v>13043673.518518519</v>
      </c>
      <c r="BY2187" s="867">
        <f t="shared" si="424"/>
        <v>32473619.667534504</v>
      </c>
      <c r="BZ2187" s="867">
        <f>BY2187*U2187</f>
        <v>97420859.002603516</v>
      </c>
      <c r="CA2187" s="867">
        <f>_xlfn.MAXIFS($BY$4:$BY$12824,$S$4:$S$12824,$S2187)</f>
        <v>32473619.667534504</v>
      </c>
      <c r="CB2187" s="1032"/>
    </row>
    <row r="2188" spans="2:84">
      <c r="B2188" s="839" t="s">
        <v>98</v>
      </c>
      <c r="C2188" s="839" t="s">
        <v>3783</v>
      </c>
      <c r="D2188" s="839" t="s">
        <v>7230</v>
      </c>
      <c r="E2188" s="839" t="s">
        <v>7230</v>
      </c>
      <c r="F2188" s="841">
        <v>45960</v>
      </c>
      <c r="G2188" s="868" t="s">
        <v>3783</v>
      </c>
      <c r="H2188" s="883" t="s">
        <v>102</v>
      </c>
      <c r="I2188" s="883" t="s">
        <v>7231</v>
      </c>
      <c r="J2188" s="841">
        <v>45960</v>
      </c>
      <c r="K2188" s="841"/>
      <c r="L2188" s="843" t="s">
        <v>106</v>
      </c>
      <c r="M2188" s="844" t="s">
        <v>107</v>
      </c>
      <c r="N2188" s="841"/>
      <c r="O2188" s="884" t="s">
        <v>150</v>
      </c>
      <c r="P2188" s="842" t="s">
        <v>5488</v>
      </c>
      <c r="Q2188" s="843"/>
      <c r="R2188" s="845" t="s">
        <v>3873</v>
      </c>
      <c r="S2188" s="1127" t="s">
        <v>3874</v>
      </c>
      <c r="T2188" s="885" t="s">
        <v>7232</v>
      </c>
      <c r="U2188" s="886">
        <v>1</v>
      </c>
      <c r="V2188" s="842" t="s">
        <v>3</v>
      </c>
      <c r="W2188" s="846">
        <v>7250</v>
      </c>
      <c r="X2188" s="847">
        <f t="shared" si="415"/>
        <v>7250</v>
      </c>
      <c r="Y2188" s="847" t="s">
        <v>7233</v>
      </c>
      <c r="Z2188" s="849">
        <v>3262.5</v>
      </c>
      <c r="AA2188" s="849"/>
      <c r="AB2188" s="849">
        <f t="shared" si="414"/>
        <v>3262.5</v>
      </c>
      <c r="AC2188" s="850">
        <f t="shared" si="419"/>
        <v>3262.5</v>
      </c>
      <c r="AD2188" s="851">
        <f t="shared" ref="AD2188:AD2219" si="430">IF(V2188=$AD$2,$AE$2,$AE$3)</f>
        <v>32000</v>
      </c>
      <c r="AE2188" s="852">
        <v>30329.89</v>
      </c>
      <c r="AF2188" s="853">
        <v>0</v>
      </c>
      <c r="AG2188" s="854">
        <f t="shared" si="420"/>
        <v>0</v>
      </c>
      <c r="AH2188" s="853">
        <v>0.08</v>
      </c>
      <c r="AI2188" s="855">
        <f t="shared" si="421"/>
        <v>8520475.7045454551</v>
      </c>
      <c r="AJ2188" s="845" t="s">
        <v>7234</v>
      </c>
      <c r="AK2188" s="857">
        <v>46062</v>
      </c>
      <c r="AL2188" s="843">
        <v>126303674</v>
      </c>
      <c r="AM2188" s="843" t="s">
        <v>7235</v>
      </c>
      <c r="AN2188" s="844" t="s">
        <v>3951</v>
      </c>
      <c r="AO2188" s="844" t="s">
        <v>7236</v>
      </c>
      <c r="AP2188" s="845"/>
      <c r="AQ2188" s="845"/>
      <c r="AR2188" s="845"/>
      <c r="AS2188" s="845" t="s">
        <v>7237</v>
      </c>
      <c r="AT2188" s="842" t="s">
        <v>4795</v>
      </c>
      <c r="AU2188" s="842" t="s">
        <v>7238</v>
      </c>
      <c r="AV2188" s="845" t="s">
        <v>7239</v>
      </c>
      <c r="AW2188" s="861">
        <v>46149</v>
      </c>
      <c r="AX2188" s="862">
        <v>46151</v>
      </c>
      <c r="AY2188" s="843" t="s">
        <v>7240</v>
      </c>
      <c r="AZ2188" s="842">
        <v>94038990</v>
      </c>
      <c r="BA2188" s="842" t="s">
        <v>120</v>
      </c>
      <c r="BB2188" s="863" t="s">
        <v>121</v>
      </c>
      <c r="BC2188" s="864">
        <v>46154</v>
      </c>
      <c r="BD2188" s="860" t="s">
        <v>7241</v>
      </c>
      <c r="BE2188" s="865" cm="1">
        <f t="array" ref="BE2188">IF(BD2188="","",AC2188/SUMPRODUCT(--(BD2188=$BD$4:$BD$12824),$AC$4:$AC$12824))</f>
        <v>0.36940792825843266</v>
      </c>
      <c r="BF2188" s="458" cm="1">
        <f t="array" ref="BF2188">SUM(_xlfn._xlws.FILTER( INDEX(Cost!$B$3:$BK$77,MATCH(LDL!$BD2188, Cost!$F$3:$F$77, 0),0),Cost!$B$3:$BK$3 = BF$3))</f>
        <v>7290752</v>
      </c>
      <c r="BG2188" s="458"/>
      <c r="BH2188" s="458"/>
      <c r="BI2188" s="458" cm="1">
        <f t="array" ref="BI2188">SUM(_xlfn._xlws.FILTER( INDEX(Cost!$B$3:$BK$77,MATCH(LDL!$BD2188, Cost!$F$3:$F$77, 0),0),Cost!$B$3:$BK$3 = BI$3))/1.08</f>
        <v>5004646.2962962957</v>
      </c>
      <c r="BJ2188" s="458" cm="1">
        <f t="array" ref="BJ2188">SUM(_xlfn._xlws.FILTER( INDEX(Cost!$B$3:$BK$77,MATCH(LDL!$BD2188, Cost!$F$3:$F$77, 0),0),Cost!$B$3:$BK$3 = BJ$3))</f>
        <v>263928.18181818182</v>
      </c>
      <c r="BK2188" s="458"/>
      <c r="BL2188" s="458" cm="1">
        <f t="array" ref="BL2188">SUM(_xlfn._xlws.FILTER( INDEX(Cost!$B$3:$BK$77,MATCH(LDL!$BD2188, Cost!$F$3:$F$77, 0),0),Cost!$B$3:$BK$3 = BL$3))</f>
        <v>20000</v>
      </c>
      <c r="BM2188" s="458"/>
      <c r="BN2188" s="458" cm="1">
        <f t="array" ref="BN2188">SUM(_xlfn._xlws.FILTER( INDEX(Cost!$B$3:$BK$77,MATCH(LDL!$BD2188, Cost!$F$3:$F$77, 0),0),Cost!$B$3:$BK$3 = BN$3))/1.08</f>
        <v>600000</v>
      </c>
      <c r="BO2188" s="866">
        <f>VLOOKUP(BD2188,$BD$4:$BN$12824,3,0)*BE2188</f>
        <v>2693261.5917660245</v>
      </c>
      <c r="BP2188" s="866"/>
      <c r="BQ2188" s="866"/>
      <c r="BR2188" s="866">
        <f>VLOOKUP(BD2188,$BD$4:$BN$12824,6,0)*BE2188</f>
        <v>1848756.0199810527</v>
      </c>
      <c r="BS2188" s="866">
        <f>VLOOKUP(BD2188,$BD$4:$BN$12824,7,0)*BE2188</f>
        <v>97497.162854469483</v>
      </c>
      <c r="BT2188" s="866"/>
      <c r="BU2188" s="866">
        <f>VLOOKUP(BD2188,$BD$4:$BN$12824,9,0)*BE2188</f>
        <v>7388.1585651686528</v>
      </c>
      <c r="BV2188" s="867"/>
      <c r="BW2188" s="867">
        <f>VLOOKUP(BD2188,$BD$4:$BN$12824,11,0)*BE2188</f>
        <v>221644.75695505959</v>
      </c>
      <c r="BX2188" s="1146">
        <f t="shared" ref="BX2188:BX2207" si="431">SUM(BO2188:BW2188)</f>
        <v>4868547.6901217736</v>
      </c>
      <c r="BY2188" s="867">
        <f t="shared" ref="BY2188:BY2207" si="432">(AB2188*AE2188+AG2188+BX2188)/U2188</f>
        <v>103819813.81512177</v>
      </c>
      <c r="BZ2188" s="867">
        <f t="shared" ref="BZ2188:BZ2207" si="433">BY2188*U2188</f>
        <v>103819813.81512177</v>
      </c>
      <c r="CA2188" s="867">
        <f>_xlfn.MAXIFS($BY$4:$BY$12824,$S$4:$S$12824,$S2188)</f>
        <v>107886977.6870283</v>
      </c>
      <c r="CB2188" s="1032"/>
    </row>
    <row r="2189" spans="2:84">
      <c r="B2189" s="839" t="s">
        <v>98</v>
      </c>
      <c r="C2189" s="839" t="s">
        <v>3783</v>
      </c>
      <c r="D2189" s="839" t="s">
        <v>7230</v>
      </c>
      <c r="E2189" s="839" t="s">
        <v>7230</v>
      </c>
      <c r="F2189" s="841">
        <v>45960</v>
      </c>
      <c r="G2189" s="868" t="s">
        <v>3783</v>
      </c>
      <c r="H2189" s="883" t="s">
        <v>102</v>
      </c>
      <c r="I2189" s="883" t="s">
        <v>7231</v>
      </c>
      <c r="J2189" s="841">
        <v>45960</v>
      </c>
      <c r="K2189" s="841"/>
      <c r="L2189" s="843" t="s">
        <v>106</v>
      </c>
      <c r="M2189" s="844" t="s">
        <v>107</v>
      </c>
      <c r="N2189" s="841"/>
      <c r="O2189" s="884" t="s">
        <v>150</v>
      </c>
      <c r="P2189" s="842" t="s">
        <v>7242</v>
      </c>
      <c r="Q2189" s="843"/>
      <c r="R2189" s="845" t="s">
        <v>3807</v>
      </c>
      <c r="S2189" s="1127" t="s">
        <v>3808</v>
      </c>
      <c r="T2189" s="885" t="s">
        <v>7243</v>
      </c>
      <c r="U2189" s="886">
        <v>4</v>
      </c>
      <c r="V2189" s="842" t="s">
        <v>3</v>
      </c>
      <c r="W2189" s="846">
        <v>3094</v>
      </c>
      <c r="X2189" s="847">
        <f t="shared" si="415"/>
        <v>12376</v>
      </c>
      <c r="Y2189" s="847" t="s">
        <v>7233</v>
      </c>
      <c r="Z2189" s="849">
        <v>1392.3</v>
      </c>
      <c r="AA2189" s="849"/>
      <c r="AB2189" s="849">
        <f t="shared" si="414"/>
        <v>5569.2</v>
      </c>
      <c r="AC2189" s="850">
        <f t="shared" si="419"/>
        <v>5569.2</v>
      </c>
      <c r="AD2189" s="851">
        <f t="shared" si="430"/>
        <v>32000</v>
      </c>
      <c r="AE2189" s="852">
        <v>30329.89</v>
      </c>
      <c r="AF2189" s="853">
        <v>0</v>
      </c>
      <c r="AG2189" s="854">
        <f t="shared" si="420"/>
        <v>0</v>
      </c>
      <c r="AH2189" s="853">
        <v>0.08</v>
      </c>
      <c r="AI2189" s="855">
        <f t="shared" si="421"/>
        <v>13513057.87104</v>
      </c>
      <c r="AJ2189" s="845" t="s">
        <v>7234</v>
      </c>
      <c r="AK2189" s="857">
        <v>46062</v>
      </c>
      <c r="AL2189" s="843">
        <v>126303674</v>
      </c>
      <c r="AM2189" s="843" t="s">
        <v>7235</v>
      </c>
      <c r="AN2189" s="844" t="s">
        <v>3951</v>
      </c>
      <c r="AO2189" s="844" t="s">
        <v>7236</v>
      </c>
      <c r="AP2189" s="845"/>
      <c r="AQ2189" s="845"/>
      <c r="AR2189" s="845"/>
      <c r="AS2189" s="845" t="s">
        <v>7237</v>
      </c>
      <c r="AT2189" s="842" t="s">
        <v>4795</v>
      </c>
      <c r="AU2189" s="842" t="s">
        <v>7238</v>
      </c>
      <c r="AV2189" s="845" t="s">
        <v>7239</v>
      </c>
      <c r="AW2189" s="861">
        <v>46149</v>
      </c>
      <c r="AX2189" s="862">
        <v>46151</v>
      </c>
      <c r="AY2189" s="843" t="s">
        <v>7244</v>
      </c>
      <c r="AZ2189" s="842">
        <v>94017100</v>
      </c>
      <c r="BA2189" s="842" t="s">
        <v>120</v>
      </c>
      <c r="BB2189" s="863" t="s">
        <v>121</v>
      </c>
      <c r="BC2189" s="864">
        <v>46154</v>
      </c>
      <c r="BD2189" s="860" t="s">
        <v>7241</v>
      </c>
      <c r="BE2189" s="865" cm="1">
        <f t="array" ref="BE2189">IF(BD2189="","",AC2189/SUMPRODUCT(--(BD2189=$BD$4:$BD$12824),$AC$4:$AC$12824))</f>
        <v>0.63059207174156728</v>
      </c>
      <c r="BF2189" s="458"/>
      <c r="BG2189" s="458"/>
      <c r="BH2189" s="458"/>
      <c r="BI2189" s="458"/>
      <c r="BJ2189" s="458"/>
      <c r="BK2189" s="458"/>
      <c r="BL2189" s="458"/>
      <c r="BM2189" s="458"/>
      <c r="BN2189" s="458"/>
      <c r="BO2189" s="866">
        <f>VLOOKUP(BD2189,$BD$4:$BN$12824,3,0)*BE2189</f>
        <v>4597490.4082339751</v>
      </c>
      <c r="BP2189" s="866"/>
      <c r="BQ2189" s="866"/>
      <c r="BR2189" s="866">
        <f>VLOOKUP(BD2189,$BD$4:$BN$12824,6,0)*BE2189</f>
        <v>3155890.2763152425</v>
      </c>
      <c r="BS2189" s="866">
        <f>VLOOKUP(BD2189,$BD$4:$BN$12824,7,0)*BE2189</f>
        <v>166431.01896371233</v>
      </c>
      <c r="BT2189" s="866"/>
      <c r="BU2189" s="866">
        <f>VLOOKUP(BD2189,$BD$4:$BN$12824,9,0)*BE2189</f>
        <v>12611.841434831345</v>
      </c>
      <c r="BV2189" s="867"/>
      <c r="BW2189" s="867">
        <f>VLOOKUP(BD2189,$BD$4:$BN$12824,11,0)*BE2189</f>
        <v>378355.24304494035</v>
      </c>
      <c r="BX2189" s="1146">
        <f t="shared" si="431"/>
        <v>8310778.7879927028</v>
      </c>
      <c r="BY2189" s="867">
        <f t="shared" si="432"/>
        <v>44306000.543998174</v>
      </c>
      <c r="BZ2189" s="867">
        <f t="shared" si="433"/>
        <v>177224002.1759927</v>
      </c>
      <c r="CA2189" s="867">
        <f>_xlfn.MAXIFS($BY$4:$BY$12824,$S$4:$S$12824,$S2189)</f>
        <v>46279793.187125243</v>
      </c>
      <c r="CB2189" s="1032"/>
    </row>
    <row r="2190" spans="2:84">
      <c r="B2190" s="839" t="s">
        <v>98</v>
      </c>
      <c r="C2190" s="839" t="s">
        <v>131</v>
      </c>
      <c r="D2190" s="839" t="s">
        <v>7245</v>
      </c>
      <c r="E2190" s="839" t="s">
        <v>7245</v>
      </c>
      <c r="F2190" s="841">
        <v>46113</v>
      </c>
      <c r="G2190" s="839" t="s">
        <v>133</v>
      </c>
      <c r="H2190" s="883" t="s">
        <v>102</v>
      </c>
      <c r="I2190" s="883" t="s">
        <v>7246</v>
      </c>
      <c r="J2190" s="841"/>
      <c r="K2190" s="841"/>
      <c r="L2190" s="843" t="s">
        <v>106</v>
      </c>
      <c r="M2190" s="844" t="s">
        <v>107</v>
      </c>
      <c r="N2190" s="841">
        <v>46122</v>
      </c>
      <c r="O2190" s="884" t="s">
        <v>150</v>
      </c>
      <c r="P2190" s="842" t="s">
        <v>4953</v>
      </c>
      <c r="Q2190" s="843"/>
      <c r="R2190" s="845" t="s">
        <v>7247</v>
      </c>
      <c r="S2190" s="1127" t="s">
        <v>7248</v>
      </c>
      <c r="T2190" s="885" t="s">
        <v>7249</v>
      </c>
      <c r="U2190" s="886">
        <v>5</v>
      </c>
      <c r="V2190" s="842" t="s">
        <v>8</v>
      </c>
      <c r="W2190" s="846">
        <v>382</v>
      </c>
      <c r="X2190" s="847">
        <f t="shared" ref="X2190:X2198" si="434">W2190*U2190</f>
        <v>1910</v>
      </c>
      <c r="Y2190" s="853">
        <v>0.43</v>
      </c>
      <c r="Z2190" s="849">
        <v>217.74</v>
      </c>
      <c r="AA2190" s="849"/>
      <c r="AB2190" s="849">
        <f t="shared" ref="AB2190:AB2198" si="435">IF(AA2190="F.O.C", 0, Z2190*U2190)</f>
        <v>1088.7</v>
      </c>
      <c r="AC2190" s="850">
        <f t="shared" ref="AC2190:AC2198" si="436">Z2190*U2190</f>
        <v>1088.7</v>
      </c>
      <c r="AD2190" s="851">
        <f>IF(V2190=$AD$2,$AE$2,$AE$3)</f>
        <v>27000</v>
      </c>
      <c r="AE2190" s="852">
        <v>26138</v>
      </c>
      <c r="AF2190" s="853">
        <v>0</v>
      </c>
      <c r="AG2190" s="854">
        <f t="shared" si="420"/>
        <v>0</v>
      </c>
      <c r="AH2190" s="853">
        <v>0.08</v>
      </c>
      <c r="AI2190" s="855">
        <f t="shared" si="421"/>
        <v>3272094.2880000002</v>
      </c>
      <c r="AJ2190" s="845" t="s">
        <v>7250</v>
      </c>
      <c r="AK2190" s="857">
        <v>46272</v>
      </c>
      <c r="AL2190" s="843" t="s">
        <v>7251</v>
      </c>
      <c r="AM2190" s="843" t="s">
        <v>7252</v>
      </c>
      <c r="AN2190" s="844" t="s">
        <v>3951</v>
      </c>
      <c r="AO2190" s="844" t="s">
        <v>7236</v>
      </c>
      <c r="AP2190" s="841"/>
      <c r="AQ2190" s="842"/>
      <c r="AR2190" s="841">
        <v>46143</v>
      </c>
      <c r="AS2190" s="842" t="s">
        <v>1874</v>
      </c>
      <c r="AT2190" s="842" t="s">
        <v>4795</v>
      </c>
      <c r="AU2190" s="842" t="s">
        <v>7253</v>
      </c>
      <c r="AV2190" s="845" t="s">
        <v>7254</v>
      </c>
      <c r="AW2190" s="861">
        <v>46147</v>
      </c>
      <c r="AX2190" s="862">
        <v>46151</v>
      </c>
      <c r="AY2190" s="843" t="s">
        <v>7255</v>
      </c>
      <c r="AZ2190" s="842" t="s">
        <v>4269</v>
      </c>
      <c r="BA2190" s="842" t="s">
        <v>120</v>
      </c>
      <c r="BB2190" s="863" t="s">
        <v>121</v>
      </c>
      <c r="BC2190" s="864">
        <v>46158</v>
      </c>
      <c r="BD2190" s="860" t="s">
        <v>7256</v>
      </c>
      <c r="BE2190" s="865" cm="1">
        <f t="array" ref="BE2190">IF(BD2190="","",AC2190/SUMPRODUCT(--(BD2190=$BD$4:$BD$12824),$AC$4:$AC$12824))</f>
        <v>0.14717949896513358</v>
      </c>
      <c r="BF2190" s="458" cm="1">
        <f t="array" ref="BF2190">SUM(_xlfn._xlws.FILTER( INDEX(Cost!$B$3:$BK$77,MATCH(LDL!$BD2190, Cost!$F$3:$F$77, 0),0),Cost!$B$3:$BK$3 = BF$3))</f>
        <v>12194738</v>
      </c>
      <c r="BG2190" s="458"/>
      <c r="BH2190" s="458"/>
      <c r="BI2190" s="458" cm="1">
        <f t="array" ref="BI2190">SUM(_xlfn._xlws.FILTER( INDEX(Cost!$B$3:$BK$77,MATCH(LDL!$BD2190, Cost!$F$3:$F$77, 0),0),Cost!$B$3:$BK$3 = BI$3))/1.08</f>
        <v>7918129.6296296287</v>
      </c>
      <c r="BJ2190" s="458" cm="1">
        <f t="array" ref="BJ2190">SUM(_xlfn._xlws.FILTER( INDEX(Cost!$B$3:$BK$77,MATCH(LDL!$BD2190, Cost!$F$3:$F$77, 0),0),Cost!$B$3:$BK$3 = BJ$3))</f>
        <v>249999.99999999997</v>
      </c>
      <c r="BK2190" s="458"/>
      <c r="BL2190" s="458" cm="1">
        <f t="array" ref="BL2190">SUM(_xlfn._xlws.FILTER( INDEX(Cost!$B$3:$BK$77,MATCH(LDL!$BD2190, Cost!$F$3:$F$77, 0),0),Cost!$B$3:$BK$3 = BL$3))</f>
        <v>20000</v>
      </c>
      <c r="BM2190" s="458"/>
      <c r="BN2190" s="458" cm="1">
        <f t="array" ref="BN2190">SUM(_xlfn._xlws.FILTER( INDEX(Cost!$B$3:$BK$77,MATCH(LDL!$BD2190, Cost!$F$3:$F$77, 0),0),Cost!$B$3:$BK$3 = BN$3))/1.08</f>
        <v>1340740.7407407407</v>
      </c>
      <c r="BO2190" s="866">
        <f>VLOOKUP(BD2190,$BD$4:$BN$12824,3,0)*BE2190</f>
        <v>1794815.428851075</v>
      </c>
      <c r="BP2190" s="866"/>
      <c r="BQ2190" s="866"/>
      <c r="BR2190" s="866">
        <f>VLOOKUP(BD2190,$BD$4:$BN$12824,6,0)*BE2190</f>
        <v>1165386.3516298675</v>
      </c>
      <c r="BS2190" s="866">
        <f>VLOOKUP(BD2190,$BD$4:$BN$12824,7,0)*BE2190</f>
        <v>36794.874741283391</v>
      </c>
      <c r="BT2190" s="866"/>
      <c r="BU2190" s="866">
        <f>VLOOKUP(BD2190,$BD$4:$BN$12824,9,0)*BE2190</f>
        <v>2943.5899793026715</v>
      </c>
      <c r="BV2190" s="867"/>
      <c r="BW2190" s="867">
        <f>VLOOKUP(BD2190,$BD$4:$BN$12824,11,0)*BE2190</f>
        <v>197329.55046436426</v>
      </c>
      <c r="BX2190" s="1146">
        <f t="shared" si="431"/>
        <v>3197269.7956658928</v>
      </c>
      <c r="BY2190" s="867">
        <f>(AB2190*AE2190+AG2190+BX2190)/U2190</f>
        <v>6330742.079133179</v>
      </c>
      <c r="BZ2190" s="867">
        <f t="shared" si="433"/>
        <v>31653710.395665895</v>
      </c>
      <c r="CA2190" s="867">
        <f>_xlfn.MAXIFS($BY$4:$BY$12824,$S$4:$S$12824,$S2190)</f>
        <v>6330742.079133179</v>
      </c>
      <c r="CB2190" s="1032"/>
    </row>
    <row r="2191" spans="2:84">
      <c r="B2191" s="839" t="s">
        <v>98</v>
      </c>
      <c r="C2191" s="839" t="s">
        <v>131</v>
      </c>
      <c r="D2191" s="839" t="s">
        <v>7245</v>
      </c>
      <c r="E2191" s="839" t="s">
        <v>7245</v>
      </c>
      <c r="F2191" s="841">
        <v>46113</v>
      </c>
      <c r="G2191" s="839" t="s">
        <v>133</v>
      </c>
      <c r="H2191" s="883" t="s">
        <v>102</v>
      </c>
      <c r="I2191" s="883" t="s">
        <v>7246</v>
      </c>
      <c r="J2191" s="841"/>
      <c r="K2191" s="841"/>
      <c r="L2191" s="843" t="s">
        <v>106</v>
      </c>
      <c r="M2191" s="844" t="s">
        <v>107</v>
      </c>
      <c r="N2191" s="841">
        <v>46122</v>
      </c>
      <c r="O2191" s="884" t="s">
        <v>150</v>
      </c>
      <c r="P2191" s="842" t="s">
        <v>4953</v>
      </c>
      <c r="Q2191" s="843"/>
      <c r="R2191" s="845" t="s">
        <v>7257</v>
      </c>
      <c r="S2191" s="1127" t="s">
        <v>7258</v>
      </c>
      <c r="T2191" s="885" t="s">
        <v>7259</v>
      </c>
      <c r="U2191" s="886">
        <v>3</v>
      </c>
      <c r="V2191" s="842" t="s">
        <v>8</v>
      </c>
      <c r="W2191" s="846">
        <v>351</v>
      </c>
      <c r="X2191" s="847">
        <f t="shared" si="434"/>
        <v>1053</v>
      </c>
      <c r="Y2191" s="853">
        <v>0.43</v>
      </c>
      <c r="Z2191" s="849">
        <f t="shared" ref="Z2191:Z2198" si="437">W2191*(1-Y2191)</f>
        <v>200.07000000000002</v>
      </c>
      <c r="AA2191" s="849"/>
      <c r="AB2191" s="849">
        <f t="shared" si="435"/>
        <v>600.21</v>
      </c>
      <c r="AC2191" s="850">
        <f t="shared" si="436"/>
        <v>600.21</v>
      </c>
      <c r="AD2191" s="851">
        <f t="shared" ref="AD2191:AD2201" si="438">IF(V2191=$AD$2,$AE$2,$AE$3)</f>
        <v>27000</v>
      </c>
      <c r="AE2191" s="852">
        <v>26138</v>
      </c>
      <c r="AF2191" s="853">
        <v>0.05</v>
      </c>
      <c r="AG2191" s="854">
        <f t="shared" si="420"/>
        <v>834903.6021330565</v>
      </c>
      <c r="AH2191" s="853">
        <v>0.08</v>
      </c>
      <c r="AI2191" s="855">
        <f t="shared" si="421"/>
        <v>1321855.4065706446</v>
      </c>
      <c r="AJ2191" s="845" t="s">
        <v>7250</v>
      </c>
      <c r="AK2191" s="857">
        <v>46272</v>
      </c>
      <c r="AL2191" s="843" t="s">
        <v>7251</v>
      </c>
      <c r="AM2191" s="843" t="s">
        <v>7252</v>
      </c>
      <c r="AN2191" s="844" t="s">
        <v>3951</v>
      </c>
      <c r="AO2191" s="844" t="s">
        <v>7236</v>
      </c>
      <c r="AP2191" s="841"/>
      <c r="AQ2191" s="842"/>
      <c r="AR2191" s="841">
        <v>46143</v>
      </c>
      <c r="AS2191" s="842" t="s">
        <v>1874</v>
      </c>
      <c r="AT2191" s="842" t="s">
        <v>4795</v>
      </c>
      <c r="AU2191" s="842" t="s">
        <v>7253</v>
      </c>
      <c r="AV2191" s="845" t="s">
        <v>7254</v>
      </c>
      <c r="AW2191" s="861">
        <v>46147</v>
      </c>
      <c r="AX2191" s="862">
        <v>46151</v>
      </c>
      <c r="AY2191" s="843" t="s">
        <v>7260</v>
      </c>
      <c r="AZ2191" s="842" t="s">
        <v>4700</v>
      </c>
      <c r="BA2191" s="842" t="s">
        <v>120</v>
      </c>
      <c r="BB2191" s="863" t="s">
        <v>121</v>
      </c>
      <c r="BC2191" s="864">
        <v>46158</v>
      </c>
      <c r="BD2191" s="860" t="s">
        <v>7256</v>
      </c>
      <c r="BE2191" s="865" cm="1">
        <f t="array" ref="BE2191">IF(BD2191="","",AC2191/SUMPRODUCT(--(BD2191=$BD$4:$BD$12824),$AC$4:$AC$12824))</f>
        <v>8.1141367754076252E-2</v>
      </c>
      <c r="BF2191" s="458"/>
      <c r="BG2191" s="458"/>
      <c r="BH2191" s="458"/>
      <c r="BI2191" s="458"/>
      <c r="BJ2191" s="458"/>
      <c r="BK2191" s="458"/>
      <c r="BL2191" s="458"/>
      <c r="BM2191" s="458"/>
      <c r="BN2191" s="458"/>
      <c r="BO2191" s="866">
        <f>VLOOKUP(BD2191,$BD$4:$BN$12824,3,0)*BE2191</f>
        <v>989497.72072260827</v>
      </c>
      <c r="BP2191" s="866"/>
      <c r="BQ2191" s="866"/>
      <c r="BR2191" s="866">
        <f>VLOOKUP(BD2191,$BD$4:$BN$12824,6,0)*BE2191</f>
        <v>642487.86820222531</v>
      </c>
      <c r="BS2191" s="866">
        <f>VLOOKUP(BD2191,$BD$4:$BN$12824,7,0)*BE2191</f>
        <v>20285.341938519061</v>
      </c>
      <c r="BT2191" s="866"/>
      <c r="BU2191" s="866">
        <f>VLOOKUP(BD2191,$BD$4:$BN$12824,9,0)*BE2191</f>
        <v>1622.827355081525</v>
      </c>
      <c r="BV2191" s="867"/>
      <c r="BW2191" s="867">
        <f>VLOOKUP(BD2191,$BD$4:$BN$12824,11,0)*BE2191</f>
        <v>108789.53750731704</v>
      </c>
      <c r="BX2191" s="1146">
        <f t="shared" si="431"/>
        <v>1762683.2957257512</v>
      </c>
      <c r="BY2191" s="867">
        <f t="shared" ref="BY2191:BY2201" si="439">(AB2191*AE2191+AG2191+BX2191)/U2191</f>
        <v>6095291.9592862688</v>
      </c>
      <c r="BZ2191" s="867">
        <f t="shared" si="433"/>
        <v>18285875.877858806</v>
      </c>
      <c r="CA2191" s="867">
        <f>_xlfn.MAXIFS($BY$4:$BY$12824,$S$4:$S$12824,$S2191)</f>
        <v>6095291.9592862688</v>
      </c>
      <c r="CB2191" s="1032"/>
    </row>
    <row r="2192" spans="2:84">
      <c r="B2192" s="839" t="s">
        <v>98</v>
      </c>
      <c r="C2192" s="839" t="s">
        <v>131</v>
      </c>
      <c r="D2192" s="839" t="s">
        <v>7245</v>
      </c>
      <c r="E2192" s="839" t="s">
        <v>7245</v>
      </c>
      <c r="F2192" s="841">
        <v>46113</v>
      </c>
      <c r="G2192" s="839" t="s">
        <v>133</v>
      </c>
      <c r="H2192" s="883" t="s">
        <v>102</v>
      </c>
      <c r="I2192" s="883" t="s">
        <v>7246</v>
      </c>
      <c r="J2192" s="841"/>
      <c r="K2192" s="841"/>
      <c r="L2192" s="843" t="s">
        <v>106</v>
      </c>
      <c r="M2192" s="844" t="s">
        <v>107</v>
      </c>
      <c r="N2192" s="841">
        <v>46122</v>
      </c>
      <c r="O2192" s="884" t="s">
        <v>150</v>
      </c>
      <c r="P2192" s="842" t="s">
        <v>4953</v>
      </c>
      <c r="Q2192" s="843"/>
      <c r="R2192" s="845" t="s">
        <v>418</v>
      </c>
      <c r="S2192" s="1127" t="s">
        <v>419</v>
      </c>
      <c r="T2192" s="885" t="s">
        <v>7261</v>
      </c>
      <c r="U2192" s="886">
        <v>6</v>
      </c>
      <c r="V2192" s="842" t="s">
        <v>8</v>
      </c>
      <c r="W2192" s="846">
        <v>244</v>
      </c>
      <c r="X2192" s="847">
        <f t="shared" si="434"/>
        <v>1464</v>
      </c>
      <c r="Y2192" s="853">
        <v>0.43</v>
      </c>
      <c r="Z2192" s="849">
        <f t="shared" si="437"/>
        <v>139.08000000000001</v>
      </c>
      <c r="AA2192" s="849"/>
      <c r="AB2192" s="849">
        <f t="shared" si="435"/>
        <v>834.48</v>
      </c>
      <c r="AC2192" s="850">
        <f t="shared" si="436"/>
        <v>834.48</v>
      </c>
      <c r="AD2192" s="851">
        <f t="shared" si="438"/>
        <v>27000</v>
      </c>
      <c r="AE2192" s="852">
        <v>26138</v>
      </c>
      <c r="AF2192" s="853">
        <v>0</v>
      </c>
      <c r="AG2192" s="854">
        <f t="shared" si="420"/>
        <v>0</v>
      </c>
      <c r="AH2192" s="853">
        <v>0.08</v>
      </c>
      <c r="AI2192" s="855">
        <f t="shared" si="421"/>
        <v>1744931.0592000003</v>
      </c>
      <c r="AJ2192" s="845" t="s">
        <v>7250</v>
      </c>
      <c r="AK2192" s="857">
        <v>46272</v>
      </c>
      <c r="AL2192" s="843" t="s">
        <v>7251</v>
      </c>
      <c r="AM2192" s="843" t="s">
        <v>7252</v>
      </c>
      <c r="AN2192" s="844" t="s">
        <v>3951</v>
      </c>
      <c r="AO2192" s="844" t="s">
        <v>7236</v>
      </c>
      <c r="AP2192" s="841"/>
      <c r="AQ2192" s="842"/>
      <c r="AR2192" s="841">
        <v>46143</v>
      </c>
      <c r="AS2192" s="842" t="s">
        <v>1874</v>
      </c>
      <c r="AT2192" s="842" t="s">
        <v>4795</v>
      </c>
      <c r="AU2192" s="842" t="s">
        <v>7253</v>
      </c>
      <c r="AV2192" s="845" t="s">
        <v>7254</v>
      </c>
      <c r="AW2192" s="861">
        <v>46147</v>
      </c>
      <c r="AX2192" s="862">
        <v>46151</v>
      </c>
      <c r="AY2192" s="843" t="s">
        <v>7262</v>
      </c>
      <c r="AZ2192" s="842" t="s">
        <v>4276</v>
      </c>
      <c r="BA2192" s="842" t="s">
        <v>120</v>
      </c>
      <c r="BB2192" s="863" t="s">
        <v>121</v>
      </c>
      <c r="BC2192" s="864">
        <v>46158</v>
      </c>
      <c r="BD2192" s="860" t="s">
        <v>7256</v>
      </c>
      <c r="BE2192" s="865" cm="1">
        <f t="array" ref="BE2192">IF(BD2192="","",AC2192/SUMPRODUCT(--(BD2192=$BD$4:$BD$12824),$AC$4:$AC$12824))</f>
        <v>0.11281193009683536</v>
      </c>
      <c r="BF2192" s="458"/>
      <c r="BG2192" s="458"/>
      <c r="BH2192" s="458"/>
      <c r="BI2192" s="458"/>
      <c r="BJ2192" s="458"/>
      <c r="BK2192" s="458"/>
      <c r="BL2192" s="458"/>
      <c r="BM2192" s="458"/>
      <c r="BN2192" s="458"/>
      <c r="BO2192" s="866">
        <f>VLOOKUP(BD2192,$BD$4:$BN$12824,3,0)*BE2192</f>
        <v>1375711.9308052219</v>
      </c>
      <c r="BP2192" s="866"/>
      <c r="BQ2192" s="866"/>
      <c r="BR2192" s="866">
        <f>VLOOKUP(BD2192,$BD$4:$BN$12824,6,0)*BE2192</f>
        <v>893259.48627545859</v>
      </c>
      <c r="BS2192" s="866">
        <f>VLOOKUP(BD2192,$BD$4:$BN$12824,7,0)*BE2192</f>
        <v>28202.982524208837</v>
      </c>
      <c r="BT2192" s="866"/>
      <c r="BU2192" s="866">
        <f>VLOOKUP(BD2192,$BD$4:$BN$12824,9,0)*BE2192</f>
        <v>2256.2386019367073</v>
      </c>
      <c r="BV2192" s="867"/>
      <c r="BW2192" s="867">
        <f>VLOOKUP(BD2192,$BD$4:$BN$12824,11,0)*BE2192</f>
        <v>151251.55072242371</v>
      </c>
      <c r="BX2192" s="1146">
        <f t="shared" si="431"/>
        <v>2450682.1889292495</v>
      </c>
      <c r="BY2192" s="867">
        <f t="shared" si="439"/>
        <v>4043720.0714882086</v>
      </c>
      <c r="BZ2192" s="867">
        <f t="shared" si="433"/>
        <v>24262320.428929251</v>
      </c>
      <c r="CA2192" s="867">
        <f>_xlfn.MAXIFS($BY$4:$BY$12824,$S$4:$S$12824,$S2192)</f>
        <v>4043720.0714882086</v>
      </c>
      <c r="CB2192" s="1032"/>
    </row>
    <row r="2193" spans="2:80">
      <c r="B2193" s="839" t="s">
        <v>98</v>
      </c>
      <c r="C2193" s="839" t="s">
        <v>131</v>
      </c>
      <c r="D2193" s="839" t="s">
        <v>7245</v>
      </c>
      <c r="E2193" s="839" t="s">
        <v>7245</v>
      </c>
      <c r="F2193" s="841">
        <v>46113</v>
      </c>
      <c r="G2193" s="839" t="s">
        <v>133</v>
      </c>
      <c r="H2193" s="883" t="s">
        <v>102</v>
      </c>
      <c r="I2193" s="883" t="s">
        <v>7246</v>
      </c>
      <c r="J2193" s="841"/>
      <c r="K2193" s="841"/>
      <c r="L2193" s="843" t="s">
        <v>106</v>
      </c>
      <c r="M2193" s="844" t="s">
        <v>107</v>
      </c>
      <c r="N2193" s="841">
        <v>46122</v>
      </c>
      <c r="O2193" s="884" t="s">
        <v>150</v>
      </c>
      <c r="P2193" s="842" t="s">
        <v>4953</v>
      </c>
      <c r="Q2193" s="843"/>
      <c r="R2193" s="845" t="s">
        <v>7263</v>
      </c>
      <c r="S2193" s="1127" t="s">
        <v>7264</v>
      </c>
      <c r="T2193" s="885" t="s">
        <v>7265</v>
      </c>
      <c r="U2193" s="886">
        <v>6</v>
      </c>
      <c r="V2193" s="842" t="s">
        <v>8</v>
      </c>
      <c r="W2193" s="846">
        <v>244</v>
      </c>
      <c r="X2193" s="847">
        <f t="shared" si="434"/>
        <v>1464</v>
      </c>
      <c r="Y2193" s="853">
        <v>0.43</v>
      </c>
      <c r="Z2193" s="849">
        <f t="shared" si="437"/>
        <v>139.08000000000001</v>
      </c>
      <c r="AA2193" s="849"/>
      <c r="AB2193" s="849">
        <f t="shared" si="435"/>
        <v>834.48</v>
      </c>
      <c r="AC2193" s="850">
        <f t="shared" si="436"/>
        <v>834.48</v>
      </c>
      <c r="AD2193" s="851">
        <f t="shared" si="438"/>
        <v>27000</v>
      </c>
      <c r="AE2193" s="852">
        <v>26138</v>
      </c>
      <c r="AF2193" s="853">
        <v>0</v>
      </c>
      <c r="AG2193" s="854">
        <f t="shared" si="420"/>
        <v>0</v>
      </c>
      <c r="AH2193" s="853">
        <v>0.08</v>
      </c>
      <c r="AI2193" s="855">
        <f t="shared" si="421"/>
        <v>1744931.0592000003</v>
      </c>
      <c r="AJ2193" s="845" t="s">
        <v>7250</v>
      </c>
      <c r="AK2193" s="857">
        <v>46272</v>
      </c>
      <c r="AL2193" s="843" t="s">
        <v>7251</v>
      </c>
      <c r="AM2193" s="843" t="s">
        <v>7252</v>
      </c>
      <c r="AN2193" s="844" t="s">
        <v>3951</v>
      </c>
      <c r="AO2193" s="844" t="s">
        <v>7236</v>
      </c>
      <c r="AP2193" s="841"/>
      <c r="AQ2193" s="842"/>
      <c r="AR2193" s="841">
        <v>46143</v>
      </c>
      <c r="AS2193" s="842" t="s">
        <v>1874</v>
      </c>
      <c r="AT2193" s="842" t="s">
        <v>4795</v>
      </c>
      <c r="AU2193" s="842" t="s">
        <v>7253</v>
      </c>
      <c r="AV2193" s="845" t="s">
        <v>7254</v>
      </c>
      <c r="AW2193" s="861">
        <v>46147</v>
      </c>
      <c r="AX2193" s="862">
        <v>46151</v>
      </c>
      <c r="AY2193" s="843" t="s">
        <v>7266</v>
      </c>
      <c r="AZ2193" s="842" t="s">
        <v>4276</v>
      </c>
      <c r="BA2193" s="842" t="s">
        <v>120</v>
      </c>
      <c r="BB2193" s="863" t="s">
        <v>121</v>
      </c>
      <c r="BC2193" s="864">
        <v>46158</v>
      </c>
      <c r="BD2193" s="860" t="s">
        <v>7256</v>
      </c>
      <c r="BE2193" s="865" cm="1">
        <f t="array" ref="BE2193">IF(BD2193="","",AC2193/SUMPRODUCT(--(BD2193=$BD$4:$BD$12824),$AC$4:$AC$12824))</f>
        <v>0.11281193009683536</v>
      </c>
      <c r="BF2193" s="458"/>
      <c r="BG2193" s="458"/>
      <c r="BH2193" s="458"/>
      <c r="BI2193" s="458"/>
      <c r="BJ2193" s="458"/>
      <c r="BK2193" s="458"/>
      <c r="BL2193" s="458"/>
      <c r="BM2193" s="458"/>
      <c r="BN2193" s="458"/>
      <c r="BO2193" s="866">
        <f>VLOOKUP(BD2193,$BD$4:$BN$12824,3,0)*BE2193</f>
        <v>1375711.9308052219</v>
      </c>
      <c r="BP2193" s="866"/>
      <c r="BQ2193" s="866"/>
      <c r="BR2193" s="866">
        <f>VLOOKUP(BD2193,$BD$4:$BN$12824,6,0)*BE2193</f>
        <v>893259.48627545859</v>
      </c>
      <c r="BS2193" s="866">
        <f>VLOOKUP(BD2193,$BD$4:$BN$12824,7,0)*BE2193</f>
        <v>28202.982524208837</v>
      </c>
      <c r="BT2193" s="866"/>
      <c r="BU2193" s="866">
        <f>VLOOKUP(BD2193,$BD$4:$BN$12824,9,0)*BE2193</f>
        <v>2256.2386019367073</v>
      </c>
      <c r="BV2193" s="867"/>
      <c r="BW2193" s="867">
        <f>VLOOKUP(BD2193,$BD$4:$BN$12824,11,0)*BE2193</f>
        <v>151251.55072242371</v>
      </c>
      <c r="BX2193" s="1146">
        <f t="shared" si="431"/>
        <v>2450682.1889292495</v>
      </c>
      <c r="BY2193" s="867">
        <f t="shared" si="439"/>
        <v>4043720.0714882086</v>
      </c>
      <c r="BZ2193" s="867">
        <f t="shared" si="433"/>
        <v>24262320.428929251</v>
      </c>
      <c r="CA2193" s="867">
        <f>_xlfn.MAXIFS($BY$4:$BY$12824,$S$4:$S$12824,$S2193)</f>
        <v>4043720.0714882086</v>
      </c>
      <c r="CB2193" s="1032"/>
    </row>
    <row r="2194" spans="2:80">
      <c r="B2194" s="839" t="s">
        <v>98</v>
      </c>
      <c r="C2194" s="839" t="s">
        <v>131</v>
      </c>
      <c r="D2194" s="839" t="s">
        <v>7245</v>
      </c>
      <c r="E2194" s="839" t="s">
        <v>7245</v>
      </c>
      <c r="F2194" s="841">
        <v>46113</v>
      </c>
      <c r="G2194" s="839" t="s">
        <v>133</v>
      </c>
      <c r="H2194" s="883" t="s">
        <v>102</v>
      </c>
      <c r="I2194" s="883" t="s">
        <v>7246</v>
      </c>
      <c r="J2194" s="841"/>
      <c r="K2194" s="841"/>
      <c r="L2194" s="843" t="s">
        <v>106</v>
      </c>
      <c r="M2194" s="844" t="s">
        <v>107</v>
      </c>
      <c r="N2194" s="841">
        <v>46122</v>
      </c>
      <c r="O2194" s="884" t="s">
        <v>150</v>
      </c>
      <c r="P2194" s="842" t="s">
        <v>4953</v>
      </c>
      <c r="Q2194" s="843"/>
      <c r="R2194" s="845" t="s">
        <v>7267</v>
      </c>
      <c r="S2194" s="1127" t="s">
        <v>7268</v>
      </c>
      <c r="T2194" s="885" t="s">
        <v>7269</v>
      </c>
      <c r="U2194" s="886">
        <v>6</v>
      </c>
      <c r="V2194" s="842" t="s">
        <v>8</v>
      </c>
      <c r="W2194" s="846">
        <v>160</v>
      </c>
      <c r="X2194" s="847">
        <f t="shared" si="434"/>
        <v>960</v>
      </c>
      <c r="Y2194" s="853">
        <v>0.43</v>
      </c>
      <c r="Z2194" s="849">
        <f t="shared" si="437"/>
        <v>91.200000000000017</v>
      </c>
      <c r="AA2194" s="849"/>
      <c r="AB2194" s="849">
        <f t="shared" si="435"/>
        <v>547.20000000000005</v>
      </c>
      <c r="AC2194" s="850">
        <f t="shared" si="436"/>
        <v>547.20000000000005</v>
      </c>
      <c r="AD2194" s="851">
        <f t="shared" si="438"/>
        <v>27000</v>
      </c>
      <c r="AE2194" s="852">
        <v>26138</v>
      </c>
      <c r="AF2194" s="853">
        <v>0</v>
      </c>
      <c r="AG2194" s="854">
        <f t="shared" si="420"/>
        <v>0</v>
      </c>
      <c r="AH2194" s="853">
        <v>0.08</v>
      </c>
      <c r="AI2194" s="855">
        <f t="shared" si="421"/>
        <v>1144217.0880000002</v>
      </c>
      <c r="AJ2194" s="845" t="s">
        <v>7250</v>
      </c>
      <c r="AK2194" s="857">
        <v>46272</v>
      </c>
      <c r="AL2194" s="843" t="s">
        <v>7251</v>
      </c>
      <c r="AM2194" s="843" t="s">
        <v>7252</v>
      </c>
      <c r="AN2194" s="844" t="s">
        <v>3951</v>
      </c>
      <c r="AO2194" s="844" t="s">
        <v>7236</v>
      </c>
      <c r="AP2194" s="841"/>
      <c r="AQ2194" s="842"/>
      <c r="AR2194" s="841">
        <v>46143</v>
      </c>
      <c r="AS2194" s="842" t="s">
        <v>1874</v>
      </c>
      <c r="AT2194" s="842" t="s">
        <v>4795</v>
      </c>
      <c r="AU2194" s="842" t="s">
        <v>7253</v>
      </c>
      <c r="AV2194" s="845" t="s">
        <v>7254</v>
      </c>
      <c r="AW2194" s="861">
        <v>46147</v>
      </c>
      <c r="AX2194" s="862">
        <v>46151</v>
      </c>
      <c r="AY2194" s="843" t="s">
        <v>7270</v>
      </c>
      <c r="AZ2194" s="842" t="s">
        <v>4276</v>
      </c>
      <c r="BA2194" s="842" t="s">
        <v>120</v>
      </c>
      <c r="BB2194" s="863" t="s">
        <v>121</v>
      </c>
      <c r="BC2194" s="864">
        <v>46158</v>
      </c>
      <c r="BD2194" s="860" t="s">
        <v>7256</v>
      </c>
      <c r="BE2194" s="865" cm="1">
        <f t="array" ref="BE2194">IF(BD2194="","",AC2194/SUMPRODUCT(--(BD2194=$BD$4:$BD$12824),$AC$4:$AC$12824))</f>
        <v>7.3975036129072372E-2</v>
      </c>
      <c r="BF2194" s="458"/>
      <c r="BG2194" s="458"/>
      <c r="BH2194" s="458"/>
      <c r="BI2194" s="458"/>
      <c r="BJ2194" s="458"/>
      <c r="BK2194" s="458"/>
      <c r="BL2194" s="458"/>
      <c r="BM2194" s="458"/>
      <c r="BN2194" s="458"/>
      <c r="BO2194" s="866">
        <f>VLOOKUP(BD2194,$BD$4:$BN$12824,3,0)*BE2194</f>
        <v>902106.18413457181</v>
      </c>
      <c r="BP2194" s="866"/>
      <c r="BQ2194" s="866"/>
      <c r="BR2194" s="866">
        <f>VLOOKUP(BD2194,$BD$4:$BN$12824,6,0)*BE2194</f>
        <v>585743.92542653019</v>
      </c>
      <c r="BS2194" s="866">
        <f>VLOOKUP(BD2194,$BD$4:$BN$12824,7,0)*BE2194</f>
        <v>18493.759032268092</v>
      </c>
      <c r="BT2194" s="866"/>
      <c r="BU2194" s="866">
        <f>VLOOKUP(BD2194,$BD$4:$BN$12824,9,0)*BE2194</f>
        <v>1479.5007225814475</v>
      </c>
      <c r="BV2194" s="867"/>
      <c r="BW2194" s="867">
        <f>VLOOKUP(BD2194,$BD$4:$BN$12824,11,0)*BE2194</f>
        <v>99181.344736015541</v>
      </c>
      <c r="BX2194" s="1146">
        <f t="shared" si="431"/>
        <v>1607004.714051967</v>
      </c>
      <c r="BY2194" s="867">
        <f t="shared" si="439"/>
        <v>2651619.7190086613</v>
      </c>
      <c r="BZ2194" s="867">
        <f t="shared" si="433"/>
        <v>15909718.314051967</v>
      </c>
      <c r="CA2194" s="867">
        <f>_xlfn.MAXIFS($BY$4:$BY$12824,$S$4:$S$12824,$S2194)</f>
        <v>2651619.7190086613</v>
      </c>
      <c r="CB2194" s="1032"/>
    </row>
    <row r="2195" spans="2:80">
      <c r="B2195" s="839" t="s">
        <v>98</v>
      </c>
      <c r="C2195" s="839" t="s">
        <v>131</v>
      </c>
      <c r="D2195" s="839" t="s">
        <v>7245</v>
      </c>
      <c r="E2195" s="839" t="s">
        <v>7245</v>
      </c>
      <c r="F2195" s="841">
        <v>46113</v>
      </c>
      <c r="G2195" s="839" t="s">
        <v>133</v>
      </c>
      <c r="H2195" s="883" t="s">
        <v>102</v>
      </c>
      <c r="I2195" s="883" t="s">
        <v>7246</v>
      </c>
      <c r="J2195" s="841"/>
      <c r="K2195" s="841"/>
      <c r="L2195" s="843" t="s">
        <v>106</v>
      </c>
      <c r="M2195" s="844" t="s">
        <v>107</v>
      </c>
      <c r="N2195" s="841">
        <v>46122</v>
      </c>
      <c r="O2195" s="884" t="s">
        <v>150</v>
      </c>
      <c r="P2195" s="842" t="s">
        <v>4953</v>
      </c>
      <c r="Q2195" s="843"/>
      <c r="R2195" s="845" t="s">
        <v>7271</v>
      </c>
      <c r="S2195" s="1127" t="s">
        <v>7272</v>
      </c>
      <c r="T2195" s="885" t="s">
        <v>7273</v>
      </c>
      <c r="U2195" s="886">
        <v>2</v>
      </c>
      <c r="V2195" s="842" t="s">
        <v>8</v>
      </c>
      <c r="W2195" s="846">
        <v>427</v>
      </c>
      <c r="X2195" s="847">
        <f t="shared" si="434"/>
        <v>854</v>
      </c>
      <c r="Y2195" s="853">
        <v>0.43</v>
      </c>
      <c r="Z2195" s="849">
        <f t="shared" si="437"/>
        <v>243.39000000000001</v>
      </c>
      <c r="AA2195" s="849"/>
      <c r="AB2195" s="849">
        <f t="shared" si="435"/>
        <v>486.78000000000003</v>
      </c>
      <c r="AC2195" s="850">
        <f t="shared" si="436"/>
        <v>486.78000000000003</v>
      </c>
      <c r="AD2195" s="851">
        <f t="shared" si="438"/>
        <v>27000</v>
      </c>
      <c r="AE2195" s="852">
        <v>26138</v>
      </c>
      <c r="AF2195" s="853">
        <v>0</v>
      </c>
      <c r="AG2195" s="854">
        <f t="shared" si="420"/>
        <v>0</v>
      </c>
      <c r="AH2195" s="853">
        <v>0.08</v>
      </c>
      <c r="AI2195" s="855">
        <f t="shared" si="421"/>
        <v>1017876.4512000001</v>
      </c>
      <c r="AJ2195" s="845" t="s">
        <v>7250</v>
      </c>
      <c r="AK2195" s="857">
        <v>46272</v>
      </c>
      <c r="AL2195" s="843" t="s">
        <v>7251</v>
      </c>
      <c r="AM2195" s="843" t="s">
        <v>7252</v>
      </c>
      <c r="AN2195" s="844" t="s">
        <v>3951</v>
      </c>
      <c r="AO2195" s="844" t="s">
        <v>7236</v>
      </c>
      <c r="AP2195" s="841"/>
      <c r="AQ2195" s="842"/>
      <c r="AR2195" s="841">
        <v>46143</v>
      </c>
      <c r="AS2195" s="842" t="s">
        <v>1874</v>
      </c>
      <c r="AT2195" s="842" t="s">
        <v>4795</v>
      </c>
      <c r="AU2195" s="842" t="s">
        <v>7253</v>
      </c>
      <c r="AV2195" s="845" t="s">
        <v>7254</v>
      </c>
      <c r="AW2195" s="861">
        <v>46147</v>
      </c>
      <c r="AX2195" s="862">
        <v>46151</v>
      </c>
      <c r="AY2195" s="843" t="s">
        <v>7274</v>
      </c>
      <c r="AZ2195" s="842" t="s">
        <v>4276</v>
      </c>
      <c r="BA2195" s="842" t="s">
        <v>120</v>
      </c>
      <c r="BB2195" s="863" t="s">
        <v>121</v>
      </c>
      <c r="BC2195" s="864">
        <v>46158</v>
      </c>
      <c r="BD2195" s="860" t="s">
        <v>7256</v>
      </c>
      <c r="BE2195" s="865" cm="1">
        <f t="array" ref="BE2195">IF(BD2195="","",AC2195/SUMPRODUCT(--(BD2195=$BD$4:$BD$12824),$AC$4:$AC$12824))</f>
        <v>6.5806959223153966E-2</v>
      </c>
      <c r="BF2195" s="458"/>
      <c r="BG2195" s="458"/>
      <c r="BH2195" s="458"/>
      <c r="BI2195" s="458"/>
      <c r="BJ2195" s="458"/>
      <c r="BK2195" s="458"/>
      <c r="BL2195" s="458"/>
      <c r="BM2195" s="458"/>
      <c r="BN2195" s="458"/>
      <c r="BO2195" s="866">
        <f>VLOOKUP(BD2195,$BD$4:$BN$12824,3,0)*BE2195</f>
        <v>802498.62630304613</v>
      </c>
      <c r="BP2195" s="866"/>
      <c r="BQ2195" s="866"/>
      <c r="BR2195" s="866">
        <f>VLOOKUP(BD2195,$BD$4:$BN$12824,6,0)*BE2195</f>
        <v>521068.03366068419</v>
      </c>
      <c r="BS2195" s="866">
        <f>VLOOKUP(BD2195,$BD$4:$BN$12824,7,0)*BE2195</f>
        <v>16451.739805788489</v>
      </c>
      <c r="BT2195" s="866"/>
      <c r="BU2195" s="866">
        <f>VLOOKUP(BD2195,$BD$4:$BN$12824,9,0)*BE2195</f>
        <v>1316.1391844630793</v>
      </c>
      <c r="BV2195" s="867"/>
      <c r="BW2195" s="867">
        <f>VLOOKUP(BD2195,$BD$4:$BN$12824,11,0)*BE2195</f>
        <v>88230.071254747163</v>
      </c>
      <c r="BX2195" s="1146">
        <f t="shared" si="431"/>
        <v>1429564.610208729</v>
      </c>
      <c r="BY2195" s="867">
        <f t="shared" si="439"/>
        <v>7076510.1251043649</v>
      </c>
      <c r="BZ2195" s="867">
        <f t="shared" si="433"/>
        <v>14153020.25020873</v>
      </c>
      <c r="CA2195" s="867">
        <f>_xlfn.MAXIFS($BY$4:$BY$12824,$S$4:$S$12824,$S2195)</f>
        <v>7076510.1251043649</v>
      </c>
      <c r="CB2195" s="1032"/>
    </row>
    <row r="2196" spans="2:80">
      <c r="B2196" s="839" t="s">
        <v>98</v>
      </c>
      <c r="C2196" s="839" t="s">
        <v>131</v>
      </c>
      <c r="D2196" s="839" t="s">
        <v>7245</v>
      </c>
      <c r="E2196" s="839" t="s">
        <v>7245</v>
      </c>
      <c r="F2196" s="841">
        <v>46113</v>
      </c>
      <c r="G2196" s="839" t="s">
        <v>133</v>
      </c>
      <c r="H2196" s="883" t="s">
        <v>102</v>
      </c>
      <c r="I2196" s="883" t="s">
        <v>7246</v>
      </c>
      <c r="J2196" s="841"/>
      <c r="K2196" s="841"/>
      <c r="L2196" s="843" t="s">
        <v>106</v>
      </c>
      <c r="M2196" s="844" t="s">
        <v>107</v>
      </c>
      <c r="N2196" s="841">
        <v>46122</v>
      </c>
      <c r="O2196" s="884" t="s">
        <v>150</v>
      </c>
      <c r="P2196" s="842" t="s">
        <v>4953</v>
      </c>
      <c r="Q2196" s="843"/>
      <c r="R2196" s="845" t="s">
        <v>7275</v>
      </c>
      <c r="S2196" s="1127" t="s">
        <v>7276</v>
      </c>
      <c r="T2196" s="885" t="s">
        <v>7277</v>
      </c>
      <c r="U2196" s="886">
        <v>6</v>
      </c>
      <c r="V2196" s="842" t="s">
        <v>8</v>
      </c>
      <c r="W2196" s="846">
        <v>143</v>
      </c>
      <c r="X2196" s="847">
        <f t="shared" si="434"/>
        <v>858</v>
      </c>
      <c r="Y2196" s="853">
        <v>0.43</v>
      </c>
      <c r="Z2196" s="849">
        <f t="shared" si="437"/>
        <v>81.510000000000005</v>
      </c>
      <c r="AA2196" s="849"/>
      <c r="AB2196" s="849">
        <f t="shared" si="435"/>
        <v>489.06000000000006</v>
      </c>
      <c r="AC2196" s="850">
        <f t="shared" si="436"/>
        <v>489.06000000000006</v>
      </c>
      <c r="AD2196" s="851">
        <f t="shared" si="438"/>
        <v>27000</v>
      </c>
      <c r="AE2196" s="852">
        <v>26138</v>
      </c>
      <c r="AF2196" s="853">
        <v>0</v>
      </c>
      <c r="AG2196" s="854">
        <f t="shared" si="420"/>
        <v>0</v>
      </c>
      <c r="AH2196" s="853">
        <v>0.08</v>
      </c>
      <c r="AI2196" s="855">
        <f t="shared" si="421"/>
        <v>1022644.0224000001</v>
      </c>
      <c r="AJ2196" s="845" t="s">
        <v>7250</v>
      </c>
      <c r="AK2196" s="857">
        <v>46272</v>
      </c>
      <c r="AL2196" s="843" t="s">
        <v>7251</v>
      </c>
      <c r="AM2196" s="843" t="s">
        <v>7252</v>
      </c>
      <c r="AN2196" s="844" t="s">
        <v>3951</v>
      </c>
      <c r="AO2196" s="844" t="s">
        <v>7236</v>
      </c>
      <c r="AP2196" s="841"/>
      <c r="AQ2196" s="842"/>
      <c r="AR2196" s="841">
        <v>46143</v>
      </c>
      <c r="AS2196" s="842" t="s">
        <v>1874</v>
      </c>
      <c r="AT2196" s="842" t="s">
        <v>4795</v>
      </c>
      <c r="AU2196" s="842" t="s">
        <v>7253</v>
      </c>
      <c r="AV2196" s="845" t="s">
        <v>7254</v>
      </c>
      <c r="AW2196" s="861">
        <v>46147</v>
      </c>
      <c r="AX2196" s="862">
        <v>46151</v>
      </c>
      <c r="AY2196" s="843" t="s">
        <v>7278</v>
      </c>
      <c r="AZ2196" s="842" t="s">
        <v>4276</v>
      </c>
      <c r="BA2196" s="842" t="s">
        <v>120</v>
      </c>
      <c r="BB2196" s="863" t="s">
        <v>121</v>
      </c>
      <c r="BC2196" s="864">
        <v>46158</v>
      </c>
      <c r="BD2196" s="860" t="s">
        <v>7256</v>
      </c>
      <c r="BE2196" s="865" cm="1">
        <f t="array" ref="BE2196">IF(BD2196="","",AC2196/SUMPRODUCT(--(BD2196=$BD$4:$BD$12824),$AC$4:$AC$12824))</f>
        <v>6.611518854035843E-2</v>
      </c>
      <c r="BF2196" s="458"/>
      <c r="BG2196" s="458"/>
      <c r="BH2196" s="458"/>
      <c r="BI2196" s="458"/>
      <c r="BJ2196" s="458"/>
      <c r="BK2196" s="458"/>
      <c r="BL2196" s="458"/>
      <c r="BM2196" s="458"/>
      <c r="BN2196" s="458"/>
      <c r="BO2196" s="866">
        <f>VLOOKUP(BD2196,$BD$4:$BN$12824,3,0)*BE2196</f>
        <v>806257.40207027353</v>
      </c>
      <c r="BP2196" s="866"/>
      <c r="BQ2196" s="866"/>
      <c r="BR2196" s="866">
        <f>VLOOKUP(BD2196,$BD$4:$BN$12824,6,0)*BE2196</f>
        <v>523508.63334996137</v>
      </c>
      <c r="BS2196" s="866">
        <f>VLOOKUP(BD2196,$BD$4:$BN$12824,7,0)*BE2196</f>
        <v>16528.797135089604</v>
      </c>
      <c r="BT2196" s="866"/>
      <c r="BU2196" s="866">
        <f>VLOOKUP(BD2196,$BD$4:$BN$12824,9,0)*BE2196</f>
        <v>1322.3037708071686</v>
      </c>
      <c r="BV2196" s="867"/>
      <c r="BW2196" s="867">
        <f>VLOOKUP(BD2196,$BD$4:$BN$12824,11,0)*BE2196</f>
        <v>88643.326857813896</v>
      </c>
      <c r="BX2196" s="1146">
        <f t="shared" si="431"/>
        <v>1436260.4631839453</v>
      </c>
      <c r="BY2196" s="867">
        <f t="shared" si="439"/>
        <v>2369885.1238639909</v>
      </c>
      <c r="BZ2196" s="867">
        <f t="shared" si="433"/>
        <v>14219310.743183944</v>
      </c>
      <c r="CA2196" s="867">
        <f>_xlfn.MAXIFS($BY$4:$BY$12824,$S$4:$S$12824,$S2196)</f>
        <v>2369885.1238639909</v>
      </c>
      <c r="CB2196" s="1032"/>
    </row>
    <row r="2197" spans="2:80">
      <c r="B2197" s="839" t="s">
        <v>98</v>
      </c>
      <c r="C2197" s="839" t="s">
        <v>131</v>
      </c>
      <c r="D2197" s="839" t="s">
        <v>7245</v>
      </c>
      <c r="E2197" s="839" t="s">
        <v>7245</v>
      </c>
      <c r="F2197" s="841">
        <v>46113</v>
      </c>
      <c r="G2197" s="839" t="s">
        <v>133</v>
      </c>
      <c r="H2197" s="883" t="s">
        <v>102</v>
      </c>
      <c r="I2197" s="883" t="s">
        <v>7246</v>
      </c>
      <c r="J2197" s="841"/>
      <c r="K2197" s="841"/>
      <c r="L2197" s="843" t="s">
        <v>106</v>
      </c>
      <c r="M2197" s="844" t="s">
        <v>107</v>
      </c>
      <c r="N2197" s="841">
        <v>46122</v>
      </c>
      <c r="O2197" s="884" t="s">
        <v>150</v>
      </c>
      <c r="P2197" s="842" t="s">
        <v>4953</v>
      </c>
      <c r="Q2197" s="843"/>
      <c r="R2197" s="845" t="s">
        <v>7279</v>
      </c>
      <c r="S2197" s="1127" t="s">
        <v>7280</v>
      </c>
      <c r="T2197" s="885" t="s">
        <v>7281</v>
      </c>
      <c r="U2197" s="886">
        <v>7</v>
      </c>
      <c r="V2197" s="842" t="s">
        <v>8</v>
      </c>
      <c r="W2197" s="846">
        <v>465</v>
      </c>
      <c r="X2197" s="847">
        <f t="shared" si="434"/>
        <v>3255</v>
      </c>
      <c r="Y2197" s="853">
        <v>0.43</v>
      </c>
      <c r="Z2197" s="849">
        <f t="shared" si="437"/>
        <v>265.05</v>
      </c>
      <c r="AA2197" s="849"/>
      <c r="AB2197" s="849">
        <f t="shared" si="435"/>
        <v>1855.3500000000001</v>
      </c>
      <c r="AC2197" s="850">
        <f t="shared" si="436"/>
        <v>1855.3500000000001</v>
      </c>
      <c r="AD2197" s="851">
        <f t="shared" si="438"/>
        <v>27000</v>
      </c>
      <c r="AE2197" s="852">
        <v>26138</v>
      </c>
      <c r="AF2197" s="853">
        <v>0.05</v>
      </c>
      <c r="AG2197" s="854">
        <f t="shared" si="420"/>
        <v>2580827.3741150033</v>
      </c>
      <c r="AH2197" s="853">
        <v>0.08</v>
      </c>
      <c r="AI2197" s="855">
        <f t="shared" si="421"/>
        <v>4086077.253929201</v>
      </c>
      <c r="AJ2197" s="845" t="s">
        <v>7250</v>
      </c>
      <c r="AK2197" s="857">
        <v>46272</v>
      </c>
      <c r="AL2197" s="843" t="s">
        <v>7251</v>
      </c>
      <c r="AM2197" s="843" t="s">
        <v>7252</v>
      </c>
      <c r="AN2197" s="844" t="s">
        <v>3951</v>
      </c>
      <c r="AO2197" s="844" t="s">
        <v>7236</v>
      </c>
      <c r="AP2197" s="841"/>
      <c r="AQ2197" s="842"/>
      <c r="AR2197" s="841">
        <v>46143</v>
      </c>
      <c r="AS2197" s="842" t="s">
        <v>1874</v>
      </c>
      <c r="AT2197" s="842" t="s">
        <v>4795</v>
      </c>
      <c r="AU2197" s="842" t="s">
        <v>7253</v>
      </c>
      <c r="AV2197" s="845" t="s">
        <v>7254</v>
      </c>
      <c r="AW2197" s="861">
        <v>46147</v>
      </c>
      <c r="AX2197" s="862">
        <v>46151</v>
      </c>
      <c r="AY2197" s="843" t="s">
        <v>7282</v>
      </c>
      <c r="AZ2197" s="842" t="s">
        <v>4700</v>
      </c>
      <c r="BA2197" s="842" t="s">
        <v>120</v>
      </c>
      <c r="BB2197" s="863" t="s">
        <v>121</v>
      </c>
      <c r="BC2197" s="864">
        <v>46158</v>
      </c>
      <c r="BD2197" s="860" t="s">
        <v>7256</v>
      </c>
      <c r="BE2197" s="865" cm="1">
        <f t="array" ref="BE2197">IF(BD2197="","",AC2197/SUMPRODUCT(--(BD2197=$BD$4:$BD$12824),$AC$4:$AC$12824))</f>
        <v>0.25082160687513599</v>
      </c>
      <c r="BF2197" s="458"/>
      <c r="BG2197" s="458"/>
      <c r="BH2197" s="458"/>
      <c r="BI2197" s="458"/>
      <c r="BJ2197" s="458"/>
      <c r="BK2197" s="458"/>
      <c r="BL2197" s="458"/>
      <c r="BM2197" s="458"/>
      <c r="BN2197" s="458"/>
      <c r="BO2197" s="866">
        <f>VLOOKUP(BD2197,$BD$4:$BN$12824,3,0)*BE2197</f>
        <v>3058703.780581282</v>
      </c>
      <c r="BP2197" s="866"/>
      <c r="BQ2197" s="866"/>
      <c r="BR2197" s="866">
        <f>VLOOKUP(BD2197,$BD$4:$BN$12824,6,0)*BE2197</f>
        <v>1986037.9971493289</v>
      </c>
      <c r="BS2197" s="866">
        <f>VLOOKUP(BD2197,$BD$4:$BN$12824,7,0)*BE2197</f>
        <v>62705.401718783993</v>
      </c>
      <c r="BT2197" s="866"/>
      <c r="BU2197" s="866">
        <f>VLOOKUP(BD2197,$BD$4:$BN$12824,9,0)*BE2197</f>
        <v>5016.4321375027203</v>
      </c>
      <c r="BV2197" s="867"/>
      <c r="BW2197" s="867">
        <f>VLOOKUP(BD2197,$BD$4:$BN$12824,11,0)*BE2197</f>
        <v>336286.74699555268</v>
      </c>
      <c r="BX2197" s="1146">
        <f t="shared" si="431"/>
        <v>5448750.3585824501</v>
      </c>
      <c r="BY2197" s="867">
        <f t="shared" si="439"/>
        <v>8074959.4332424942</v>
      </c>
      <c r="BZ2197" s="867">
        <f t="shared" si="433"/>
        <v>56524716.032697462</v>
      </c>
      <c r="CA2197" s="867">
        <f>_xlfn.MAXIFS($BY$4:$BY$12824,$S$4:$S$12824,$S2197)</f>
        <v>8074959.4332424942</v>
      </c>
      <c r="CB2197" s="1032"/>
    </row>
    <row r="2198" spans="2:80">
      <c r="B2198" s="839" t="s">
        <v>98</v>
      </c>
      <c r="C2198" s="839" t="s">
        <v>131</v>
      </c>
      <c r="D2198" s="839" t="s">
        <v>7245</v>
      </c>
      <c r="E2198" s="839" t="s">
        <v>7245</v>
      </c>
      <c r="F2198" s="841">
        <v>46113</v>
      </c>
      <c r="G2198" s="839" t="s">
        <v>7283</v>
      </c>
      <c r="H2198" s="883" t="s">
        <v>102</v>
      </c>
      <c r="I2198" s="883"/>
      <c r="J2198" s="841"/>
      <c r="K2198" s="841"/>
      <c r="L2198" s="843" t="s">
        <v>106</v>
      </c>
      <c r="M2198" s="844" t="s">
        <v>107</v>
      </c>
      <c r="N2198" s="841">
        <v>46122</v>
      </c>
      <c r="O2198" s="884" t="s">
        <v>150</v>
      </c>
      <c r="P2198" s="842" t="s">
        <v>4953</v>
      </c>
      <c r="Q2198" s="843"/>
      <c r="R2198" s="845" t="s">
        <v>2084</v>
      </c>
      <c r="S2198" s="1127" t="s">
        <v>2085</v>
      </c>
      <c r="T2198" s="885" t="s">
        <v>7284</v>
      </c>
      <c r="U2198" s="886">
        <v>1</v>
      </c>
      <c r="V2198" s="842" t="s">
        <v>8</v>
      </c>
      <c r="W2198" s="846">
        <v>336</v>
      </c>
      <c r="X2198" s="847">
        <f t="shared" si="434"/>
        <v>336</v>
      </c>
      <c r="Y2198" s="853">
        <v>0.45</v>
      </c>
      <c r="Z2198" s="849">
        <f t="shared" si="437"/>
        <v>184.8</v>
      </c>
      <c r="AA2198" s="849"/>
      <c r="AB2198" s="849">
        <f t="shared" si="435"/>
        <v>184.8</v>
      </c>
      <c r="AC2198" s="850">
        <f t="shared" si="436"/>
        <v>184.8</v>
      </c>
      <c r="AD2198" s="851">
        <f t="shared" si="438"/>
        <v>27000</v>
      </c>
      <c r="AE2198" s="852">
        <v>26138</v>
      </c>
      <c r="AF2198" s="853">
        <v>0</v>
      </c>
      <c r="AG2198" s="854">
        <f t="shared" si="420"/>
        <v>0</v>
      </c>
      <c r="AH2198" s="853">
        <v>0.08</v>
      </c>
      <c r="AI2198" s="855">
        <f t="shared" si="421"/>
        <v>386424.19200000004</v>
      </c>
      <c r="AJ2198" s="845" t="s">
        <v>7250</v>
      </c>
      <c r="AK2198" s="857">
        <v>46272</v>
      </c>
      <c r="AL2198" s="843" t="s">
        <v>7251</v>
      </c>
      <c r="AM2198" s="843" t="s">
        <v>7252</v>
      </c>
      <c r="AN2198" s="844" t="s">
        <v>3951</v>
      </c>
      <c r="AO2198" s="844" t="s">
        <v>7236</v>
      </c>
      <c r="AP2198" s="841"/>
      <c r="AQ2198" s="842"/>
      <c r="AR2198" s="841">
        <v>46143</v>
      </c>
      <c r="AS2198" s="842" t="s">
        <v>1874</v>
      </c>
      <c r="AT2198" s="842" t="s">
        <v>4795</v>
      </c>
      <c r="AU2198" s="842" t="s">
        <v>7253</v>
      </c>
      <c r="AV2198" s="845" t="s">
        <v>7254</v>
      </c>
      <c r="AW2198" s="861">
        <v>46147</v>
      </c>
      <c r="AX2198" s="862">
        <v>46151</v>
      </c>
      <c r="AY2198" s="843" t="s">
        <v>7285</v>
      </c>
      <c r="AZ2198" s="842" t="s">
        <v>1631</v>
      </c>
      <c r="BA2198" s="842" t="s">
        <v>120</v>
      </c>
      <c r="BB2198" s="863" t="s">
        <v>121</v>
      </c>
      <c r="BC2198" s="864">
        <v>46158</v>
      </c>
      <c r="BD2198" s="860" t="s">
        <v>7256</v>
      </c>
      <c r="BE2198" s="865" cm="1">
        <f t="array" ref="BE2198">IF(BD2198="","",AC2198/SUMPRODUCT(--(BD2198=$BD$4:$BD$12824),$AC$4:$AC$12824))</f>
        <v>2.4982797289204266E-2</v>
      </c>
      <c r="BF2198" s="458"/>
      <c r="BG2198" s="458"/>
      <c r="BH2198" s="458"/>
      <c r="BI2198" s="458"/>
      <c r="BJ2198" s="458"/>
      <c r="BK2198" s="458"/>
      <c r="BL2198" s="458"/>
      <c r="BM2198" s="458"/>
      <c r="BN2198" s="458"/>
      <c r="BO2198" s="866">
        <f>VLOOKUP(BD2198,$BD$4:$BN$12824,3,0)*BE2198</f>
        <v>304658.66744895623</v>
      </c>
      <c r="BP2198" s="866"/>
      <c r="BQ2198" s="866"/>
      <c r="BR2198" s="866">
        <f>VLOOKUP(BD2198,$BD$4:$BN$12824,6,0)*BE2198</f>
        <v>197817.02744667907</v>
      </c>
      <c r="BS2198" s="866">
        <f>VLOOKUP(BD2198,$BD$4:$BN$12824,7,0)*BE2198</f>
        <v>6245.6993223010659</v>
      </c>
      <c r="BT2198" s="866"/>
      <c r="BU2198" s="866">
        <f>VLOOKUP(BD2198,$BD$4:$BN$12824,9,0)*BE2198</f>
        <v>499.6559457840853</v>
      </c>
      <c r="BV2198" s="867"/>
      <c r="BW2198" s="867">
        <f>VLOOKUP(BD2198,$BD$4:$BN$12824,11,0)*BE2198</f>
        <v>33495.454143303497</v>
      </c>
      <c r="BX2198" s="1146">
        <f t="shared" si="431"/>
        <v>542716.50430702395</v>
      </c>
      <c r="BY2198" s="867">
        <f t="shared" si="439"/>
        <v>5373018.9043070246</v>
      </c>
      <c r="BZ2198" s="867">
        <f t="shared" si="433"/>
        <v>5373018.9043070246</v>
      </c>
      <c r="CA2198" s="867">
        <f>_xlfn.MAXIFS($BY$4:$BY$12824,$S$4:$S$12824,$S2198)</f>
        <v>5373018.9043070246</v>
      </c>
      <c r="CB2198" s="1032"/>
    </row>
    <row r="2199" spans="2:80">
      <c r="B2199" s="839" t="s">
        <v>98</v>
      </c>
      <c r="C2199" s="839" t="s">
        <v>131</v>
      </c>
      <c r="D2199" s="839" t="s">
        <v>7245</v>
      </c>
      <c r="E2199" s="839" t="s">
        <v>5685</v>
      </c>
      <c r="F2199" s="841">
        <v>46113</v>
      </c>
      <c r="G2199" s="839" t="s">
        <v>149</v>
      </c>
      <c r="H2199" s="883" t="s">
        <v>5686</v>
      </c>
      <c r="I2199" s="883"/>
      <c r="J2199" s="841"/>
      <c r="K2199" s="841"/>
      <c r="L2199" s="843" t="s">
        <v>106</v>
      </c>
      <c r="M2199" s="844" t="s">
        <v>107</v>
      </c>
      <c r="N2199" s="841">
        <v>46122</v>
      </c>
      <c r="O2199" s="884"/>
      <c r="P2199" s="842"/>
      <c r="Q2199" s="843"/>
      <c r="R2199" s="845" t="s">
        <v>5218</v>
      </c>
      <c r="S2199" s="1127" t="s">
        <v>5219</v>
      </c>
      <c r="T2199" s="885" t="s">
        <v>7286</v>
      </c>
      <c r="U2199" s="886">
        <v>1</v>
      </c>
      <c r="V2199" s="842" t="s">
        <v>8</v>
      </c>
      <c r="W2199" s="846">
        <v>426.03</v>
      </c>
      <c r="X2199" s="847">
        <f t="shared" ref="X2199:X2201" si="440">W2199*U2199</f>
        <v>426.03</v>
      </c>
      <c r="Y2199" s="853"/>
      <c r="Z2199" s="849">
        <f t="shared" ref="Z2199:Z2201" si="441">W2199*(1-Y2199)</f>
        <v>426.03</v>
      </c>
      <c r="AA2199" s="849" t="s">
        <v>40</v>
      </c>
      <c r="AB2199" s="849">
        <f t="shared" ref="AB2199:AB2201" si="442">IF(AA2199="F.O.C", 0, Z2199*U2199)</f>
        <v>0</v>
      </c>
      <c r="AC2199" s="850">
        <f t="shared" ref="AC2199:AC2201" si="443">Z2199*U2199</f>
        <v>426.03</v>
      </c>
      <c r="AD2199" s="851">
        <f t="shared" si="438"/>
        <v>27000</v>
      </c>
      <c r="AE2199" s="852">
        <v>26138</v>
      </c>
      <c r="AF2199" s="853">
        <v>0.3</v>
      </c>
      <c r="AG2199" s="854">
        <f t="shared" si="420"/>
        <v>3555695.3228044785</v>
      </c>
      <c r="AH2199" s="853">
        <v>0.08</v>
      </c>
      <c r="AI2199" s="855">
        <f t="shared" si="421"/>
        <v>1175301.3970243582</v>
      </c>
      <c r="AJ2199" s="845" t="s">
        <v>7250</v>
      </c>
      <c r="AK2199" s="857">
        <v>46272</v>
      </c>
      <c r="AL2199" s="843" t="s">
        <v>7251</v>
      </c>
      <c r="AM2199" s="843" t="s">
        <v>7252</v>
      </c>
      <c r="AN2199" s="844" t="s">
        <v>3951</v>
      </c>
      <c r="AO2199" s="844" t="s">
        <v>7236</v>
      </c>
      <c r="AP2199" s="841"/>
      <c r="AQ2199" s="842"/>
      <c r="AR2199" s="841">
        <v>46143</v>
      </c>
      <c r="AS2199" s="842" t="s">
        <v>1874</v>
      </c>
      <c r="AT2199" s="842" t="s">
        <v>4795</v>
      </c>
      <c r="AU2199" s="842" t="s">
        <v>7253</v>
      </c>
      <c r="AV2199" s="845" t="s">
        <v>7254</v>
      </c>
      <c r="AW2199" s="861">
        <v>46147</v>
      </c>
      <c r="AX2199" s="862">
        <v>46151</v>
      </c>
      <c r="AY2199" s="843" t="s">
        <v>7287</v>
      </c>
      <c r="AZ2199" s="842" t="s">
        <v>4813</v>
      </c>
      <c r="BA2199" s="842" t="s">
        <v>120</v>
      </c>
      <c r="BB2199" s="863" t="s">
        <v>121</v>
      </c>
      <c r="BC2199" s="864">
        <v>46158</v>
      </c>
      <c r="BD2199" s="860" t="s">
        <v>7256</v>
      </c>
      <c r="BE2199" s="865" cm="1">
        <f t="array" ref="BE2199">IF(BD2199="","",AC2199/SUMPRODUCT(--(BD2199=$BD$4:$BD$12824),$AC$4:$AC$12824))</f>
        <v>5.7594270179219115E-2</v>
      </c>
      <c r="BF2199" s="458"/>
      <c r="BG2199" s="458"/>
      <c r="BH2199" s="458"/>
      <c r="BI2199" s="458"/>
      <c r="BJ2199" s="458"/>
      <c r="BK2199" s="458"/>
      <c r="BL2199" s="458"/>
      <c r="BM2199" s="458"/>
      <c r="BN2199" s="458"/>
      <c r="BO2199" s="866">
        <f>VLOOKUP(BD2199,$BD$4:$BN$12824,3,0)*BE2199</f>
        <v>702347.03513679013</v>
      </c>
      <c r="BP2199" s="866"/>
      <c r="BQ2199" s="866"/>
      <c r="BR2199" s="866">
        <f>VLOOKUP(BD2199,$BD$4:$BN$12824,6,0)*BE2199</f>
        <v>456038.897202969</v>
      </c>
      <c r="BS2199" s="866">
        <f>VLOOKUP(BD2199,$BD$4:$BN$12824,7,0)*BE2199</f>
        <v>14398.567544804777</v>
      </c>
      <c r="BT2199" s="866"/>
      <c r="BU2199" s="866">
        <f>VLOOKUP(BD2199,$BD$4:$BN$12824,9,0)*BE2199</f>
        <v>1151.8854035843824</v>
      </c>
      <c r="BV2199" s="867"/>
      <c r="BW2199" s="867">
        <f>VLOOKUP(BD2199,$BD$4:$BN$12824,11,0)*BE2199</f>
        <v>77218.984462508583</v>
      </c>
      <c r="BX2199" s="1146">
        <f t="shared" ref="BX2199:BX2204" si="444">SUM(BO2199:BW2199)</f>
        <v>1251155.3697506571</v>
      </c>
      <c r="BY2199" s="867">
        <f t="shared" si="439"/>
        <v>4806850.6925551351</v>
      </c>
      <c r="BZ2199" s="867">
        <f t="shared" ref="BZ2199:BZ2204" si="445">BY2199*U2199</f>
        <v>4806850.6925551351</v>
      </c>
      <c r="CA2199" s="867">
        <f>_xlfn.MAXIFS($BY$4:$BY$12824,$S$4:$S$12824,$S2199)</f>
        <v>23273075.675385054</v>
      </c>
      <c r="CB2199" s="1032"/>
    </row>
    <row r="2200" spans="2:80">
      <c r="B2200" s="839" t="s">
        <v>98</v>
      </c>
      <c r="C2200" s="839" t="s">
        <v>131</v>
      </c>
      <c r="D2200" s="839" t="s">
        <v>7245</v>
      </c>
      <c r="E2200" s="839" t="s">
        <v>5685</v>
      </c>
      <c r="F2200" s="841">
        <v>46113</v>
      </c>
      <c r="G2200" s="839" t="s">
        <v>7283</v>
      </c>
      <c r="H2200" s="883" t="s">
        <v>5686</v>
      </c>
      <c r="I2200" s="883"/>
      <c r="J2200" s="841"/>
      <c r="K2200" s="841"/>
      <c r="L2200" s="843" t="s">
        <v>106</v>
      </c>
      <c r="M2200" s="844" t="s">
        <v>107</v>
      </c>
      <c r="N2200" s="841">
        <v>46122</v>
      </c>
      <c r="O2200" s="884"/>
      <c r="P2200" s="842"/>
      <c r="Q2200" s="843"/>
      <c r="R2200" s="845">
        <v>133048</v>
      </c>
      <c r="S2200" s="1127" t="s">
        <v>7288</v>
      </c>
      <c r="T2200" s="885" t="s">
        <v>7289</v>
      </c>
      <c r="U2200" s="886">
        <v>1</v>
      </c>
      <c r="V2200" s="842" t="s">
        <v>8</v>
      </c>
      <c r="W2200" s="846">
        <v>50</v>
      </c>
      <c r="X2200" s="847">
        <f t="shared" si="440"/>
        <v>50</v>
      </c>
      <c r="Y2200" s="853"/>
      <c r="Z2200" s="849">
        <f t="shared" si="441"/>
        <v>50</v>
      </c>
      <c r="AA2200" s="849" t="s">
        <v>40</v>
      </c>
      <c r="AB2200" s="849">
        <f t="shared" si="442"/>
        <v>0</v>
      </c>
      <c r="AC2200" s="850">
        <f t="shared" si="443"/>
        <v>50</v>
      </c>
      <c r="AD2200" s="851">
        <f t="shared" si="438"/>
        <v>27000</v>
      </c>
      <c r="AE2200" s="852">
        <v>26138</v>
      </c>
      <c r="AF2200" s="853">
        <v>0</v>
      </c>
      <c r="AG2200" s="854">
        <f t="shared" si="420"/>
        <v>0</v>
      </c>
      <c r="AH2200" s="853">
        <v>0.08</v>
      </c>
      <c r="AI2200" s="855">
        <f t="shared" si="421"/>
        <v>104552</v>
      </c>
      <c r="AJ2200" s="845" t="s">
        <v>7250</v>
      </c>
      <c r="AK2200" s="857">
        <v>46272</v>
      </c>
      <c r="AL2200" s="843" t="s">
        <v>7251</v>
      </c>
      <c r="AM2200" s="843" t="s">
        <v>7252</v>
      </c>
      <c r="AN2200" s="844" t="s">
        <v>3951</v>
      </c>
      <c r="AO2200" s="844" t="s">
        <v>7236</v>
      </c>
      <c r="AP2200" s="841"/>
      <c r="AQ2200" s="842"/>
      <c r="AR2200" s="841">
        <v>46143</v>
      </c>
      <c r="AS2200" s="842" t="s">
        <v>1874</v>
      </c>
      <c r="AT2200" s="842" t="s">
        <v>4795</v>
      </c>
      <c r="AU2200" s="842" t="s">
        <v>7253</v>
      </c>
      <c r="AV2200" s="845" t="s">
        <v>7254</v>
      </c>
      <c r="AW2200" s="861">
        <v>46147</v>
      </c>
      <c r="AX2200" s="862">
        <v>46151</v>
      </c>
      <c r="AY2200" s="843" t="s">
        <v>7290</v>
      </c>
      <c r="AZ2200" s="842" t="s">
        <v>5981</v>
      </c>
      <c r="BA2200" s="842" t="s">
        <v>120</v>
      </c>
      <c r="BB2200" s="863" t="s">
        <v>121</v>
      </c>
      <c r="BC2200" s="864">
        <v>46158</v>
      </c>
      <c r="BD2200" s="860" t="s">
        <v>7256</v>
      </c>
      <c r="BE2200" s="865" cm="1">
        <f t="array" ref="BE2200">IF(BD2200="","",AC2200/SUMPRODUCT(--(BD2200=$BD$4:$BD$12824),$AC$4:$AC$12824))</f>
        <v>6.7594148509751801E-3</v>
      </c>
      <c r="BF2200" s="458"/>
      <c r="BG2200" s="458"/>
      <c r="BH2200" s="458"/>
      <c r="BI2200" s="458"/>
      <c r="BJ2200" s="458"/>
      <c r="BK2200" s="458"/>
      <c r="BL2200" s="458"/>
      <c r="BM2200" s="458"/>
      <c r="BN2200" s="458"/>
      <c r="BO2200" s="866">
        <f>VLOOKUP(BD2200,$BD$4:$BN$12824,3,0)*BE2200</f>
        <v>82429.293140951369</v>
      </c>
      <c r="BP2200" s="866"/>
      <c r="BQ2200" s="866"/>
      <c r="BR2200" s="866">
        <f>VLOOKUP(BD2200,$BD$4:$BN$12824,6,0)*BE2200</f>
        <v>53521.923010465114</v>
      </c>
      <c r="BS2200" s="866">
        <f>VLOOKUP(BD2200,$BD$4:$BN$12824,7,0)*BE2200</f>
        <v>1689.8537127437949</v>
      </c>
      <c r="BT2200" s="866"/>
      <c r="BU2200" s="866">
        <f>VLOOKUP(BD2200,$BD$4:$BN$12824,9,0)*BE2200</f>
        <v>135.18829701950361</v>
      </c>
      <c r="BV2200" s="867"/>
      <c r="BW2200" s="867">
        <f>VLOOKUP(BD2200,$BD$4:$BN$12824,11,0)*BE2200</f>
        <v>9062.6228742704261</v>
      </c>
      <c r="BX2200" s="1146">
        <f t="shared" si="444"/>
        <v>146838.88103545021</v>
      </c>
      <c r="BY2200" s="867">
        <f t="shared" si="439"/>
        <v>146838.88103545021</v>
      </c>
      <c r="BZ2200" s="867">
        <f t="shared" si="445"/>
        <v>146838.88103545021</v>
      </c>
      <c r="CA2200" s="867">
        <f>_xlfn.MAXIFS($BY$4:$BY$12824,$S$4:$S$12824,$S2200)</f>
        <v>146838.88103545021</v>
      </c>
      <c r="CB2200" s="1032"/>
    </row>
    <row r="2201" spans="2:80">
      <c r="B2201" s="839" t="s">
        <v>98</v>
      </c>
      <c r="C2201" s="839" t="s">
        <v>4175</v>
      </c>
      <c r="D2201" s="839"/>
      <c r="E2201" s="839" t="s">
        <v>5685</v>
      </c>
      <c r="F2201" s="841">
        <v>46121</v>
      </c>
      <c r="G2201" s="839" t="s">
        <v>4177</v>
      </c>
      <c r="H2201" s="883" t="s">
        <v>5686</v>
      </c>
      <c r="I2201" s="883"/>
      <c r="J2201" s="841"/>
      <c r="K2201" s="841"/>
      <c r="L2201" s="843" t="s">
        <v>106</v>
      </c>
      <c r="M2201" s="844" t="s">
        <v>107</v>
      </c>
      <c r="N2201" s="841"/>
      <c r="O2201" s="884"/>
      <c r="P2201" s="842"/>
      <c r="Q2201" s="843"/>
      <c r="R2201" s="845" t="s">
        <v>7291</v>
      </c>
      <c r="S2201" s="1127" t="s">
        <v>7291</v>
      </c>
      <c r="T2201" s="885" t="s">
        <v>7292</v>
      </c>
      <c r="U2201" s="886">
        <v>1</v>
      </c>
      <c r="V2201" s="842" t="s">
        <v>3</v>
      </c>
      <c r="W2201" s="846">
        <v>10</v>
      </c>
      <c r="X2201" s="847">
        <f t="shared" si="440"/>
        <v>10</v>
      </c>
      <c r="Y2201" s="853"/>
      <c r="Z2201" s="849">
        <f t="shared" si="441"/>
        <v>10</v>
      </c>
      <c r="AA2201" s="849" t="s">
        <v>40</v>
      </c>
      <c r="AB2201" s="849">
        <f t="shared" si="442"/>
        <v>0</v>
      </c>
      <c r="AC2201" s="850">
        <f t="shared" si="443"/>
        <v>10</v>
      </c>
      <c r="AD2201" s="851">
        <f t="shared" si="438"/>
        <v>32000</v>
      </c>
      <c r="AE2201" s="852">
        <v>30458</v>
      </c>
      <c r="AF2201" s="853">
        <v>0</v>
      </c>
      <c r="AG2201" s="854">
        <f t="shared" ref="AG2201" si="446">(AC2201*AE2201+BO2201+BP2201+BQ2201+BS2201)*AF2201</f>
        <v>0</v>
      </c>
      <c r="AH2201" s="853">
        <v>0.08</v>
      </c>
      <c r="AI2201" s="855">
        <f t="shared" si="421"/>
        <v>369556.16000000003</v>
      </c>
      <c r="AJ2201" s="845" t="s">
        <v>7293</v>
      </c>
      <c r="AK2201" s="857">
        <v>46121</v>
      </c>
      <c r="AL2201" s="843">
        <v>1742836933</v>
      </c>
      <c r="AM2201" s="843" t="s">
        <v>3320</v>
      </c>
      <c r="AN2201" s="844" t="s">
        <v>3320</v>
      </c>
      <c r="AO2201" s="844" t="s">
        <v>116</v>
      </c>
      <c r="AP2201" s="841"/>
      <c r="AQ2201" s="842"/>
      <c r="AR2201" s="841"/>
      <c r="AS2201" s="842"/>
      <c r="AT2201" s="842"/>
      <c r="AU2201" s="842" t="s">
        <v>1612</v>
      </c>
      <c r="AV2201" s="845" t="s">
        <v>7294</v>
      </c>
      <c r="AW2201" s="861">
        <v>46159</v>
      </c>
      <c r="AX2201" s="861">
        <v>46159</v>
      </c>
      <c r="AY2201" s="843" t="s">
        <v>7295</v>
      </c>
      <c r="AZ2201" s="842"/>
      <c r="BA2201" s="842" t="s">
        <v>120</v>
      </c>
      <c r="BB2201" s="863" t="s">
        <v>121</v>
      </c>
      <c r="BC2201" s="864">
        <v>46161</v>
      </c>
      <c r="BD2201" s="860" t="s">
        <v>7296</v>
      </c>
      <c r="BE2201" s="865" cm="1">
        <f t="array" ref="BE2201">IF(BD2201="","",AC2201/SUMPRODUCT(--(BD2201=$BD$4:$BD$12824),$AC$4:$AC$12824))</f>
        <v>1</v>
      </c>
      <c r="BF2201" s="458" cm="1">
        <f t="array" ref="BF2201">SUM(_xlfn._xlws.FILTER( INDEX(Cost!$B$3:$BK$77,MATCH(LDL!$BD2201, Cost!$F$3:$F$77, 0),0),Cost!$B$3:$BK$3 = BF$3))</f>
        <v>4314872</v>
      </c>
      <c r="BG2201" s="458"/>
      <c r="BH2201" s="458"/>
      <c r="BI2201" s="458" cm="1">
        <f t="array" ref="BI2201">SUM(_xlfn._xlws.FILTER( INDEX(Cost!$B$3:$BK$77,MATCH(LDL!$BD2201, Cost!$F$3:$F$77, 0),0),Cost!$B$3:$BK$3 = BI$3))/1.08</f>
        <v>9259.2592592592591</v>
      </c>
      <c r="BJ2201" s="458" cm="1">
        <f t="array" ref="BJ2201">SUM(_xlfn._xlws.FILTER( INDEX(Cost!$B$3:$BK$77,MATCH(LDL!$BD2201, Cost!$F$3:$F$77, 0),0),Cost!$B$3:$BK$3 = BJ$3))</f>
        <v>0</v>
      </c>
      <c r="BK2201" s="458"/>
      <c r="BL2201" s="458" cm="1">
        <f t="array" ref="BL2201">SUM(_xlfn._xlws.FILTER( INDEX(Cost!$B$3:$BK$77,MATCH(LDL!$BD2201, Cost!$F$3:$F$77, 0),0),Cost!$B$3:$BK$3 = BL$3))</f>
        <v>0</v>
      </c>
      <c r="BM2201" s="458"/>
      <c r="BN2201" s="458" cm="1">
        <f t="array" ref="BN2201">SUM(_xlfn._xlws.FILTER( INDEX(Cost!$B$3:$BK$77,MATCH(LDL!$BD2201, Cost!$F$3:$F$77, 0),0),Cost!$B$3:$BK$3 = BN$3))/1.08</f>
        <v>0</v>
      </c>
      <c r="BO2201" s="866">
        <f>VLOOKUP(BD2201,$BD$4:$BN$12824,3,0)*BE2201</f>
        <v>4314872</v>
      </c>
      <c r="BP2201" s="866"/>
      <c r="BQ2201" s="866"/>
      <c r="BR2201" s="866">
        <f>VLOOKUP(BD2201,$BD$4:$BN$12824,6,0)*BE2201</f>
        <v>9259.2592592592591</v>
      </c>
      <c r="BS2201" s="866">
        <f>VLOOKUP(BD2201,$BD$4:$BN$12824,7,0)*BE2201</f>
        <v>0</v>
      </c>
      <c r="BT2201" s="866"/>
      <c r="BU2201" s="866">
        <f>VLOOKUP(BD2201,$BD$4:$BN$12824,9,0)*BE2201</f>
        <v>0</v>
      </c>
      <c r="BV2201" s="867"/>
      <c r="BW2201" s="867">
        <f>VLOOKUP(BD2201,$BD$4:$BN$12824,11,0)*BE2201</f>
        <v>0</v>
      </c>
      <c r="BX2201" s="1146">
        <f t="shared" si="444"/>
        <v>4324131.2592592593</v>
      </c>
      <c r="BY2201" s="867">
        <f t="shared" si="439"/>
        <v>4324131.2592592593</v>
      </c>
      <c r="BZ2201" s="867">
        <f t="shared" si="445"/>
        <v>4324131.2592592593</v>
      </c>
      <c r="CA2201" s="867">
        <f>_xlfn.MAXIFS($BY$4:$BY$12824,$S$4:$S$12824,$S2201)</f>
        <v>4324131.2592592593</v>
      </c>
      <c r="CB2201" s="1032"/>
    </row>
    <row r="2202" spans="2:80">
      <c r="B2202" s="839" t="s">
        <v>98</v>
      </c>
      <c r="C2202" s="839" t="s">
        <v>383</v>
      </c>
      <c r="D2202" s="839" t="s">
        <v>7297</v>
      </c>
      <c r="E2202" s="839" t="s">
        <v>7297</v>
      </c>
      <c r="F2202" s="841">
        <v>46038</v>
      </c>
      <c r="G2202" s="839" t="s">
        <v>383</v>
      </c>
      <c r="H2202" s="883" t="s">
        <v>102</v>
      </c>
      <c r="I2202" s="883" t="s">
        <v>7298</v>
      </c>
      <c r="J2202" s="841">
        <v>46038</v>
      </c>
      <c r="K2202" s="841"/>
      <c r="L2202" s="843" t="s">
        <v>106</v>
      </c>
      <c r="M2202" s="844" t="s">
        <v>107</v>
      </c>
      <c r="N2202" s="841"/>
      <c r="O2202" s="884" t="s">
        <v>150</v>
      </c>
      <c r="P2202" s="842" t="s">
        <v>5523</v>
      </c>
      <c r="Q2202" s="843"/>
      <c r="R2202" s="845">
        <v>3101</v>
      </c>
      <c r="S2202" s="1128" t="s">
        <v>7299</v>
      </c>
      <c r="T2202" s="885" t="s">
        <v>7300</v>
      </c>
      <c r="U2202" s="886">
        <v>2</v>
      </c>
      <c r="V2202" s="842" t="s">
        <v>3</v>
      </c>
      <c r="W2202" s="846">
        <v>436</v>
      </c>
      <c r="X2202" s="847">
        <f t="shared" si="415"/>
        <v>872</v>
      </c>
      <c r="Y2202" s="853">
        <v>0.45</v>
      </c>
      <c r="Z2202" s="849">
        <f>W2202*(1-Y2202)</f>
        <v>239.8</v>
      </c>
      <c r="AA2202" s="849"/>
      <c r="AB2202" s="849">
        <f t="shared" si="414"/>
        <v>479.6</v>
      </c>
      <c r="AC2202" s="850">
        <f t="shared" si="419"/>
        <v>479.6</v>
      </c>
      <c r="AD2202" s="851">
        <f t="shared" si="430"/>
        <v>32000</v>
      </c>
      <c r="AE2202" s="852">
        <v>30377.72</v>
      </c>
      <c r="AF2202" s="853">
        <v>0</v>
      </c>
      <c r="AG2202" s="854">
        <f>(AC2202*AE2202+BO2202+BP2202+BQ2202+BS2202)*AF2202</f>
        <v>0</v>
      </c>
      <c r="AH2202" s="853">
        <v>0.08</v>
      </c>
      <c r="AI2202" s="855">
        <f t="shared" ref="AI2202:AI2206" si="447">(AC2202*AE2202+AG2202+BF2202+BG2202+BH2202+BJ2202)*AH2202</f>
        <v>1829423.9609600003</v>
      </c>
      <c r="AJ2202" s="845" t="s">
        <v>7301</v>
      </c>
      <c r="AK2202" s="857">
        <v>46094</v>
      </c>
      <c r="AL2202" s="843" t="s">
        <v>7302</v>
      </c>
      <c r="AM2202" s="843" t="s">
        <v>7303</v>
      </c>
      <c r="AN2202" s="844" t="s">
        <v>3951</v>
      </c>
      <c r="AO2202" s="844" t="s">
        <v>7236</v>
      </c>
      <c r="AP2202" s="841"/>
      <c r="AQ2202" s="841">
        <v>46109</v>
      </c>
      <c r="AR2202" s="841">
        <v>46148</v>
      </c>
      <c r="AS2202" s="842" t="s">
        <v>7304</v>
      </c>
      <c r="AT2202" s="842" t="s">
        <v>7305</v>
      </c>
      <c r="AU2202" s="842" t="s">
        <v>1565</v>
      </c>
      <c r="AV2202" s="845" t="s">
        <v>7306</v>
      </c>
      <c r="AW2202" s="861">
        <v>46163</v>
      </c>
      <c r="AX2202" s="862">
        <v>46164</v>
      </c>
      <c r="AY2202" s="843" t="s">
        <v>7307</v>
      </c>
      <c r="AZ2202" s="842">
        <v>94017990</v>
      </c>
      <c r="BA2202" s="842" t="s">
        <v>120</v>
      </c>
      <c r="BB2202" s="863" t="s">
        <v>121</v>
      </c>
      <c r="BC2202" s="864">
        <v>46169</v>
      </c>
      <c r="BD2202" s="860" t="s">
        <v>7308</v>
      </c>
      <c r="BE2202" s="865" cm="1">
        <f t="array" ref="BE2202">IF(BD2202="","",AC2202/SUMPRODUCT(--(BD2202=$BD$4:$BD$12824),$AC$4:$AC$12824))</f>
        <v>0.2</v>
      </c>
      <c r="BF2202" s="458" cm="1">
        <f t="array" ref="BF2202">SUM(_xlfn._xlws.FILTER( INDEX(Cost!$B$3:$BK$77,MATCH(LDL!$BD2202, Cost!$F$3:$F$77, 0),0),Cost!$B$3:$BK$3 = BF$3))</f>
        <v>8048645</v>
      </c>
      <c r="BG2202" s="458"/>
      <c r="BH2202" s="458"/>
      <c r="BI2202" s="458" cm="1">
        <f t="array" ref="BI2202">SUM(_xlfn._xlws.FILTER( INDEX(Cost!$B$3:$BK$77,MATCH(LDL!$BD2202, Cost!$F$3:$F$77, 0),0),Cost!$B$3:$BK$3 = BI$3))/1.08</f>
        <v>3166679.6296296292</v>
      </c>
      <c r="BJ2202" s="458" cm="1">
        <f t="array" ref="BJ2202">SUM(_xlfn._xlws.FILTER( INDEX(Cost!$B$3:$BK$77,MATCH(LDL!$BD2202, Cost!$F$3:$F$77, 0),0),Cost!$B$3:$BK$3 = BJ$3))</f>
        <v>249999.99999999997</v>
      </c>
      <c r="BK2202" s="458"/>
      <c r="BL2202" s="458" cm="1">
        <f t="array" ref="BL2202">SUM(_xlfn._xlws.FILTER( INDEX(Cost!$B$3:$BK$77,MATCH(LDL!$BD2202, Cost!$F$3:$F$77, 0),0),Cost!$B$3:$BK$3 = BL$3))</f>
        <v>20000</v>
      </c>
      <c r="BM2202" s="458"/>
      <c r="BN2202" s="458" cm="1">
        <f t="array" ref="BN2202">SUM(_xlfn._xlws.FILTER( INDEX(Cost!$B$3:$BK$77,MATCH(LDL!$BD2202, Cost!$F$3:$F$77, 0),0),Cost!$B$3:$BK$3 = BN$3))/1.08</f>
        <v>600000</v>
      </c>
      <c r="BO2202" s="866">
        <f>VLOOKUP(BD2202,$BD$4:$BN$12824,3,0)*BE2202</f>
        <v>1609729</v>
      </c>
      <c r="BP2202" s="866"/>
      <c r="BQ2202" s="866"/>
      <c r="BR2202" s="866">
        <f>VLOOKUP(BD2202,$BD$4:$BN$12824,6,0)*BE2202</f>
        <v>633335.92592592584</v>
      </c>
      <c r="BS2202" s="866">
        <f>VLOOKUP(BD2202,$BD$4:$BN$12824,7,0)*BE2202</f>
        <v>50000</v>
      </c>
      <c r="BT2202" s="866"/>
      <c r="BU2202" s="866">
        <f>VLOOKUP(BD2202,$BD$4:$BN$12824,9,0)*BE2202</f>
        <v>4000</v>
      </c>
      <c r="BV2202" s="867"/>
      <c r="BW2202" s="867">
        <f>VLOOKUP(BD2202,$BD$4:$BN$12824,11,0)*BE2202</f>
        <v>120000</v>
      </c>
      <c r="BX2202" s="1146">
        <f t="shared" si="444"/>
        <v>2417064.9259259258</v>
      </c>
      <c r="BY2202" s="867">
        <f t="shared" ref="BY2202:BY2204" si="448">(AB2202*AE2202+AG2202+BX2202)/U2202</f>
        <v>8493109.7189629637</v>
      </c>
      <c r="BZ2202" s="867">
        <f t="shared" si="445"/>
        <v>16986219.437925927</v>
      </c>
      <c r="CA2202" s="867">
        <f>_xlfn.MAXIFS($BY$4:$BY$12824,$S$4:$S$12824,$S2202)</f>
        <v>8493109.7189629637</v>
      </c>
      <c r="CB2202" s="1032"/>
    </row>
    <row r="2203" spans="2:80">
      <c r="B2203" s="839" t="s">
        <v>98</v>
      </c>
      <c r="C2203" s="839" t="s">
        <v>383</v>
      </c>
      <c r="D2203" s="839" t="s">
        <v>7297</v>
      </c>
      <c r="E2203" s="839" t="s">
        <v>7297</v>
      </c>
      <c r="F2203" s="841">
        <v>46038</v>
      </c>
      <c r="G2203" s="839" t="s">
        <v>383</v>
      </c>
      <c r="H2203" s="883" t="s">
        <v>102</v>
      </c>
      <c r="I2203" s="883" t="s">
        <v>7298</v>
      </c>
      <c r="J2203" s="841">
        <v>46038</v>
      </c>
      <c r="K2203" s="841"/>
      <c r="L2203" s="843" t="s">
        <v>106</v>
      </c>
      <c r="M2203" s="844" t="s">
        <v>107</v>
      </c>
      <c r="N2203" s="841"/>
      <c r="O2203" s="884" t="s">
        <v>150</v>
      </c>
      <c r="P2203" s="842" t="s">
        <v>5523</v>
      </c>
      <c r="Q2203" s="843"/>
      <c r="R2203" s="845">
        <v>3101</v>
      </c>
      <c r="S2203" s="1128" t="s">
        <v>7309</v>
      </c>
      <c r="T2203" s="885" t="s">
        <v>7310</v>
      </c>
      <c r="U2203" s="886">
        <v>2</v>
      </c>
      <c r="V2203" s="842" t="s">
        <v>3</v>
      </c>
      <c r="W2203" s="846">
        <v>436</v>
      </c>
      <c r="X2203" s="847">
        <f t="shared" si="415"/>
        <v>872</v>
      </c>
      <c r="Y2203" s="853">
        <v>0.45</v>
      </c>
      <c r="Z2203" s="849">
        <f>W2203*(1-Y2203)</f>
        <v>239.8</v>
      </c>
      <c r="AA2203" s="849"/>
      <c r="AB2203" s="849">
        <f t="shared" si="414"/>
        <v>479.6</v>
      </c>
      <c r="AC2203" s="850">
        <f t="shared" si="419"/>
        <v>479.6</v>
      </c>
      <c r="AD2203" s="851">
        <f t="shared" si="430"/>
        <v>32000</v>
      </c>
      <c r="AE2203" s="852">
        <v>30377.72</v>
      </c>
      <c r="AF2203" s="853">
        <v>0</v>
      </c>
      <c r="AG2203" s="854">
        <f t="shared" ref="AG2203:AG2206" si="449">(AC2203*AE2203+BO2203+BP2203+BQ2203+BS2203)*AF2203</f>
        <v>0</v>
      </c>
      <c r="AH2203" s="853">
        <v>0.08</v>
      </c>
      <c r="AI2203" s="855">
        <f t="shared" si="447"/>
        <v>1165532.3609600002</v>
      </c>
      <c r="AJ2203" s="845" t="s">
        <v>7301</v>
      </c>
      <c r="AK2203" s="857">
        <v>46094</v>
      </c>
      <c r="AL2203" s="843" t="s">
        <v>7302</v>
      </c>
      <c r="AM2203" s="843" t="s">
        <v>7303</v>
      </c>
      <c r="AN2203" s="844" t="s">
        <v>3951</v>
      </c>
      <c r="AO2203" s="844" t="s">
        <v>7236</v>
      </c>
      <c r="AP2203" s="841"/>
      <c r="AQ2203" s="841">
        <v>46109</v>
      </c>
      <c r="AR2203" s="841">
        <v>46148</v>
      </c>
      <c r="AS2203" s="842" t="s">
        <v>7304</v>
      </c>
      <c r="AT2203" s="842" t="s">
        <v>7305</v>
      </c>
      <c r="AU2203" s="842" t="s">
        <v>1565</v>
      </c>
      <c r="AV2203" s="845" t="s">
        <v>7306</v>
      </c>
      <c r="AW2203" s="861">
        <v>46163</v>
      </c>
      <c r="AX2203" s="862">
        <v>46164</v>
      </c>
      <c r="AY2203" s="843" t="s">
        <v>7311</v>
      </c>
      <c r="AZ2203" s="842">
        <v>94017990</v>
      </c>
      <c r="BA2203" s="842" t="s">
        <v>120</v>
      </c>
      <c r="BB2203" s="863" t="s">
        <v>121</v>
      </c>
      <c r="BC2203" s="864">
        <v>46169</v>
      </c>
      <c r="BD2203" s="860" t="s">
        <v>7308</v>
      </c>
      <c r="BE2203" s="865" cm="1">
        <f t="array" ref="BE2203">IF(BD2203="","",AC2203/SUMPRODUCT(--(BD2203=$BD$4:$BD$12824),$AC$4:$AC$12824))</f>
        <v>0.2</v>
      </c>
      <c r="BF2203" s="458"/>
      <c r="BG2203" s="458"/>
      <c r="BH2203" s="458"/>
      <c r="BI2203" s="458"/>
      <c r="BJ2203" s="458"/>
      <c r="BK2203" s="458"/>
      <c r="BL2203" s="458"/>
      <c r="BM2203" s="458"/>
      <c r="BN2203" s="458"/>
      <c r="BO2203" s="866">
        <f>VLOOKUP(BD2203,$BD$4:$BN$12824,3,0)*BE2203</f>
        <v>1609729</v>
      </c>
      <c r="BP2203" s="866"/>
      <c r="BQ2203" s="866"/>
      <c r="BR2203" s="866">
        <f>VLOOKUP(BD2203,$BD$4:$BN$12824,6,0)*BE2203</f>
        <v>633335.92592592584</v>
      </c>
      <c r="BS2203" s="866">
        <f>VLOOKUP(BD2203,$BD$4:$BN$12824,7,0)*BE2203</f>
        <v>50000</v>
      </c>
      <c r="BT2203" s="866"/>
      <c r="BU2203" s="866">
        <f>VLOOKUP(BD2203,$BD$4:$BN$12824,9,0)*BE2203</f>
        <v>4000</v>
      </c>
      <c r="BV2203" s="867"/>
      <c r="BW2203" s="867">
        <f>VLOOKUP(BD2203,$BD$4:$BN$12824,11,0)*BE2203</f>
        <v>120000</v>
      </c>
      <c r="BX2203" s="1146">
        <f t="shared" si="444"/>
        <v>2417064.9259259258</v>
      </c>
      <c r="BY2203" s="867">
        <f t="shared" si="448"/>
        <v>8493109.7189629637</v>
      </c>
      <c r="BZ2203" s="867">
        <f t="shared" si="445"/>
        <v>16986219.437925927</v>
      </c>
      <c r="CA2203" s="867">
        <f>_xlfn.MAXIFS($BY$4:$BY$12824,$S$4:$S$12824,$S2203)</f>
        <v>8493109.7189629637</v>
      </c>
      <c r="CB2203" s="1032"/>
    </row>
    <row r="2204" spans="2:80">
      <c r="B2204" s="839" t="s">
        <v>98</v>
      </c>
      <c r="C2204" s="839" t="s">
        <v>383</v>
      </c>
      <c r="D2204" s="839" t="s">
        <v>7297</v>
      </c>
      <c r="E2204" s="839" t="s">
        <v>7297</v>
      </c>
      <c r="F2204" s="841">
        <v>46038</v>
      </c>
      <c r="G2204" s="839" t="s">
        <v>383</v>
      </c>
      <c r="H2204" s="883" t="s">
        <v>102</v>
      </c>
      <c r="I2204" s="883" t="s">
        <v>7298</v>
      </c>
      <c r="J2204" s="841">
        <v>46038</v>
      </c>
      <c r="K2204" s="841"/>
      <c r="L2204" s="843" t="s">
        <v>106</v>
      </c>
      <c r="M2204" s="844" t="s">
        <v>107</v>
      </c>
      <c r="N2204" s="841"/>
      <c r="O2204" s="884" t="s">
        <v>150</v>
      </c>
      <c r="P2204" s="842" t="s">
        <v>5523</v>
      </c>
      <c r="Q2204" s="843"/>
      <c r="R2204" s="845">
        <v>3101</v>
      </c>
      <c r="S2204" s="1128" t="s">
        <v>7312</v>
      </c>
      <c r="T2204" s="885" t="s">
        <v>7313</v>
      </c>
      <c r="U2204" s="886">
        <v>2</v>
      </c>
      <c r="V2204" s="842" t="s">
        <v>3</v>
      </c>
      <c r="W2204" s="846">
        <v>436</v>
      </c>
      <c r="X2204" s="847">
        <f t="shared" si="415"/>
        <v>872</v>
      </c>
      <c r="Y2204" s="853">
        <v>0.45</v>
      </c>
      <c r="Z2204" s="849">
        <f>W2204*(1-Y2204)</f>
        <v>239.8</v>
      </c>
      <c r="AA2204" s="849"/>
      <c r="AB2204" s="849">
        <f t="shared" si="414"/>
        <v>479.6</v>
      </c>
      <c r="AC2204" s="850">
        <f t="shared" si="419"/>
        <v>479.6</v>
      </c>
      <c r="AD2204" s="851">
        <f t="shared" si="430"/>
        <v>32000</v>
      </c>
      <c r="AE2204" s="852">
        <v>30377.72</v>
      </c>
      <c r="AF2204" s="853">
        <v>0</v>
      </c>
      <c r="AG2204" s="854">
        <f t="shared" si="449"/>
        <v>0</v>
      </c>
      <c r="AH2204" s="853">
        <v>0.08</v>
      </c>
      <c r="AI2204" s="855">
        <f t="shared" si="447"/>
        <v>1165532.3609600002</v>
      </c>
      <c r="AJ2204" s="845" t="s">
        <v>7301</v>
      </c>
      <c r="AK2204" s="857">
        <v>46094</v>
      </c>
      <c r="AL2204" s="843" t="s">
        <v>7302</v>
      </c>
      <c r="AM2204" s="843" t="s">
        <v>7303</v>
      </c>
      <c r="AN2204" s="844" t="s">
        <v>3951</v>
      </c>
      <c r="AO2204" s="844" t="s">
        <v>7236</v>
      </c>
      <c r="AP2204" s="841"/>
      <c r="AQ2204" s="841">
        <v>46109</v>
      </c>
      <c r="AR2204" s="841">
        <v>46148</v>
      </c>
      <c r="AS2204" s="842" t="s">
        <v>7304</v>
      </c>
      <c r="AT2204" s="842" t="s">
        <v>7305</v>
      </c>
      <c r="AU2204" s="842" t="s">
        <v>1565</v>
      </c>
      <c r="AV2204" s="845" t="s">
        <v>7306</v>
      </c>
      <c r="AW2204" s="861">
        <v>46163</v>
      </c>
      <c r="AX2204" s="862">
        <v>46164</v>
      </c>
      <c r="AY2204" s="843" t="s">
        <v>7314</v>
      </c>
      <c r="AZ2204" s="842">
        <v>94017990</v>
      </c>
      <c r="BA2204" s="842" t="s">
        <v>120</v>
      </c>
      <c r="BB2204" s="863" t="s">
        <v>121</v>
      </c>
      <c r="BC2204" s="864">
        <v>46169</v>
      </c>
      <c r="BD2204" s="860" t="s">
        <v>7308</v>
      </c>
      <c r="BE2204" s="865" cm="1">
        <f t="array" ref="BE2204">IF(BD2204="","",AC2204/SUMPRODUCT(--(BD2204=$BD$4:$BD$12824),$AC$4:$AC$12824))</f>
        <v>0.2</v>
      </c>
      <c r="BF2204" s="458"/>
      <c r="BG2204" s="458"/>
      <c r="BH2204" s="458"/>
      <c r="BI2204" s="458"/>
      <c r="BJ2204" s="458"/>
      <c r="BK2204" s="458"/>
      <c r="BL2204" s="458"/>
      <c r="BM2204" s="458"/>
      <c r="BN2204" s="458"/>
      <c r="BO2204" s="866">
        <f>VLOOKUP(BD2204,$BD$4:$BN$12824,3,0)*BE2204</f>
        <v>1609729</v>
      </c>
      <c r="BP2204" s="866"/>
      <c r="BQ2204" s="866"/>
      <c r="BR2204" s="866">
        <f>VLOOKUP(BD2204,$BD$4:$BN$12824,6,0)*BE2204</f>
        <v>633335.92592592584</v>
      </c>
      <c r="BS2204" s="866">
        <f>VLOOKUP(BD2204,$BD$4:$BN$12824,7,0)*BE2204</f>
        <v>50000</v>
      </c>
      <c r="BT2204" s="866"/>
      <c r="BU2204" s="866">
        <f>VLOOKUP(BD2204,$BD$4:$BN$12824,9,0)*BE2204</f>
        <v>4000</v>
      </c>
      <c r="BV2204" s="867"/>
      <c r="BW2204" s="867">
        <f>VLOOKUP(BD2204,$BD$4:$BN$12824,11,0)*BE2204</f>
        <v>120000</v>
      </c>
      <c r="BX2204" s="1146">
        <f t="shared" si="444"/>
        <v>2417064.9259259258</v>
      </c>
      <c r="BY2204" s="867">
        <f t="shared" si="448"/>
        <v>8493109.7189629637</v>
      </c>
      <c r="BZ2204" s="867">
        <f t="shared" si="445"/>
        <v>16986219.437925927</v>
      </c>
      <c r="CA2204" s="867">
        <f>_xlfn.MAXIFS($BY$4:$BY$12824,$S$4:$S$12824,$S2204)</f>
        <v>8493109.7189629637</v>
      </c>
      <c r="CB2204" s="1032"/>
    </row>
    <row r="2205" spans="2:80">
      <c r="B2205" s="839" t="s">
        <v>98</v>
      </c>
      <c r="C2205" s="839" t="s">
        <v>383</v>
      </c>
      <c r="D2205" s="839" t="s">
        <v>7297</v>
      </c>
      <c r="E2205" s="839" t="s">
        <v>7297</v>
      </c>
      <c r="F2205" s="841">
        <v>46038</v>
      </c>
      <c r="G2205" s="839" t="s">
        <v>383</v>
      </c>
      <c r="H2205" s="883" t="s">
        <v>102</v>
      </c>
      <c r="I2205" s="883" t="s">
        <v>7298</v>
      </c>
      <c r="J2205" s="841">
        <v>46038</v>
      </c>
      <c r="K2205" s="841"/>
      <c r="L2205" s="843" t="s">
        <v>106</v>
      </c>
      <c r="M2205" s="844" t="s">
        <v>107</v>
      </c>
      <c r="N2205" s="841"/>
      <c r="O2205" s="884" t="s">
        <v>150</v>
      </c>
      <c r="P2205" s="842" t="s">
        <v>5523</v>
      </c>
      <c r="Q2205" s="843"/>
      <c r="R2205" s="845">
        <v>3101</v>
      </c>
      <c r="S2205" s="1128" t="s">
        <v>7315</v>
      </c>
      <c r="T2205" s="885" t="s">
        <v>7316</v>
      </c>
      <c r="U2205" s="886">
        <v>2</v>
      </c>
      <c r="V2205" s="842" t="s">
        <v>3</v>
      </c>
      <c r="W2205" s="846">
        <v>436</v>
      </c>
      <c r="X2205" s="847">
        <f t="shared" si="415"/>
        <v>872</v>
      </c>
      <c r="Y2205" s="853">
        <v>0.45</v>
      </c>
      <c r="Z2205" s="849">
        <f>W2205*(1-Y2205)</f>
        <v>239.8</v>
      </c>
      <c r="AA2205" s="849"/>
      <c r="AB2205" s="849">
        <f t="shared" si="414"/>
        <v>479.6</v>
      </c>
      <c r="AC2205" s="850">
        <f t="shared" si="419"/>
        <v>479.6</v>
      </c>
      <c r="AD2205" s="851">
        <f t="shared" si="430"/>
        <v>32000</v>
      </c>
      <c r="AE2205" s="852">
        <v>30377.72</v>
      </c>
      <c r="AF2205" s="853">
        <v>0</v>
      </c>
      <c r="AG2205" s="854">
        <f t="shared" si="449"/>
        <v>0</v>
      </c>
      <c r="AH2205" s="853">
        <v>0.08</v>
      </c>
      <c r="AI2205" s="855">
        <f t="shared" si="447"/>
        <v>1165532.3609600002</v>
      </c>
      <c r="AJ2205" s="845" t="s">
        <v>7301</v>
      </c>
      <c r="AK2205" s="857">
        <v>46094</v>
      </c>
      <c r="AL2205" s="843" t="s">
        <v>7302</v>
      </c>
      <c r="AM2205" s="843" t="s">
        <v>7303</v>
      </c>
      <c r="AN2205" s="844" t="s">
        <v>3951</v>
      </c>
      <c r="AO2205" s="844" t="s">
        <v>7236</v>
      </c>
      <c r="AP2205" s="841"/>
      <c r="AQ2205" s="841">
        <v>46109</v>
      </c>
      <c r="AR2205" s="841">
        <v>46148</v>
      </c>
      <c r="AS2205" s="842" t="s">
        <v>7304</v>
      </c>
      <c r="AT2205" s="842" t="s">
        <v>7305</v>
      </c>
      <c r="AU2205" s="842" t="s">
        <v>1565</v>
      </c>
      <c r="AV2205" s="845" t="s">
        <v>7306</v>
      </c>
      <c r="AW2205" s="861">
        <v>46163</v>
      </c>
      <c r="AX2205" s="862">
        <v>46164</v>
      </c>
      <c r="AY2205" s="843" t="s">
        <v>7317</v>
      </c>
      <c r="AZ2205" s="842">
        <v>94017990</v>
      </c>
      <c r="BA2205" s="842" t="s">
        <v>120</v>
      </c>
      <c r="BB2205" s="863" t="s">
        <v>121</v>
      </c>
      <c r="BC2205" s="864">
        <v>46169</v>
      </c>
      <c r="BD2205" s="860" t="s">
        <v>7308</v>
      </c>
      <c r="BE2205" s="865" cm="1">
        <f t="array" ref="BE2205">IF(BD2205="","",AC2205/SUMPRODUCT(--(BD2205=$BD$4:$BD$12824),$AC$4:$AC$12824))</f>
        <v>0.2</v>
      </c>
      <c r="BF2205" s="458"/>
      <c r="BG2205" s="458"/>
      <c r="BH2205" s="458"/>
      <c r="BI2205" s="458"/>
      <c r="BJ2205" s="458"/>
      <c r="BK2205" s="458"/>
      <c r="BL2205" s="458"/>
      <c r="BM2205" s="458"/>
      <c r="BN2205" s="458"/>
      <c r="BO2205" s="866">
        <f>VLOOKUP(BD2205,$BD$4:$BN$12824,3,0)*BE2205</f>
        <v>1609729</v>
      </c>
      <c r="BP2205" s="866"/>
      <c r="BQ2205" s="866"/>
      <c r="BR2205" s="866">
        <f>VLOOKUP(BD2205,$BD$4:$BN$12824,6,0)*BE2205</f>
        <v>633335.92592592584</v>
      </c>
      <c r="BS2205" s="866">
        <f>VLOOKUP(BD2205,$BD$4:$BN$12824,7,0)*BE2205</f>
        <v>50000</v>
      </c>
      <c r="BT2205" s="866"/>
      <c r="BU2205" s="866">
        <f>VLOOKUP(BD2205,$BD$4:$BN$12824,9,0)*BE2205</f>
        <v>4000</v>
      </c>
      <c r="BV2205" s="867"/>
      <c r="BW2205" s="867">
        <f>VLOOKUP(BD2205,$BD$4:$BN$12824,11,0)*BE2205</f>
        <v>120000</v>
      </c>
      <c r="BX2205" s="1146">
        <f t="shared" si="431"/>
        <v>2417064.9259259258</v>
      </c>
      <c r="BY2205" s="867">
        <f t="shared" si="432"/>
        <v>8493109.7189629637</v>
      </c>
      <c r="BZ2205" s="867">
        <f t="shared" si="433"/>
        <v>16986219.437925927</v>
      </c>
      <c r="CA2205" s="867">
        <f>_xlfn.MAXIFS($BY$4:$BY$12824,$S$4:$S$12824,$S2205)</f>
        <v>8493109.7189629637</v>
      </c>
      <c r="CB2205" s="1032"/>
    </row>
    <row r="2206" spans="2:80">
      <c r="B2206" s="839" t="s">
        <v>98</v>
      </c>
      <c r="C2206" s="839" t="s">
        <v>383</v>
      </c>
      <c r="D2206" s="839" t="s">
        <v>7297</v>
      </c>
      <c r="E2206" s="839" t="s">
        <v>7297</v>
      </c>
      <c r="F2206" s="841">
        <v>46038</v>
      </c>
      <c r="G2206" s="839" t="s">
        <v>383</v>
      </c>
      <c r="H2206" s="883" t="s">
        <v>102</v>
      </c>
      <c r="I2206" s="883" t="s">
        <v>7298</v>
      </c>
      <c r="J2206" s="841">
        <v>46038</v>
      </c>
      <c r="K2206" s="841"/>
      <c r="L2206" s="843" t="s">
        <v>106</v>
      </c>
      <c r="M2206" s="844" t="s">
        <v>107</v>
      </c>
      <c r="N2206" s="841"/>
      <c r="O2206" s="884" t="s">
        <v>150</v>
      </c>
      <c r="P2206" s="842" t="s">
        <v>5523</v>
      </c>
      <c r="Q2206" s="843"/>
      <c r="R2206" s="845">
        <v>3101</v>
      </c>
      <c r="S2206" s="1128" t="s">
        <v>7318</v>
      </c>
      <c r="T2206" s="885" t="s">
        <v>7319</v>
      </c>
      <c r="U2206" s="886">
        <v>2</v>
      </c>
      <c r="V2206" s="842" t="s">
        <v>3</v>
      </c>
      <c r="W2206" s="846">
        <v>436</v>
      </c>
      <c r="X2206" s="847">
        <f t="shared" si="415"/>
        <v>872</v>
      </c>
      <c r="Y2206" s="853">
        <v>0.45</v>
      </c>
      <c r="Z2206" s="849">
        <f>W2206*(1-Y2206)</f>
        <v>239.8</v>
      </c>
      <c r="AA2206" s="849"/>
      <c r="AB2206" s="849">
        <f t="shared" si="414"/>
        <v>479.6</v>
      </c>
      <c r="AC2206" s="850">
        <f t="shared" si="419"/>
        <v>479.6</v>
      </c>
      <c r="AD2206" s="851">
        <f t="shared" si="430"/>
        <v>32000</v>
      </c>
      <c r="AE2206" s="852">
        <v>30377.72</v>
      </c>
      <c r="AF2206" s="853">
        <v>0</v>
      </c>
      <c r="AG2206" s="854">
        <f t="shared" si="449"/>
        <v>0</v>
      </c>
      <c r="AH2206" s="853">
        <v>0.08</v>
      </c>
      <c r="AI2206" s="855">
        <f t="shared" si="447"/>
        <v>1165532.3609600002</v>
      </c>
      <c r="AJ2206" s="845" t="s">
        <v>7301</v>
      </c>
      <c r="AK2206" s="857">
        <v>46094</v>
      </c>
      <c r="AL2206" s="843" t="s">
        <v>7302</v>
      </c>
      <c r="AM2206" s="843" t="s">
        <v>7303</v>
      </c>
      <c r="AN2206" s="844" t="s">
        <v>3951</v>
      </c>
      <c r="AO2206" s="844" t="s">
        <v>7236</v>
      </c>
      <c r="AP2206" s="841"/>
      <c r="AQ2206" s="841">
        <v>46109</v>
      </c>
      <c r="AR2206" s="841">
        <v>46148</v>
      </c>
      <c r="AS2206" s="842" t="s">
        <v>7304</v>
      </c>
      <c r="AT2206" s="842" t="s">
        <v>7305</v>
      </c>
      <c r="AU2206" s="842" t="s">
        <v>1565</v>
      </c>
      <c r="AV2206" s="845" t="s">
        <v>7306</v>
      </c>
      <c r="AW2206" s="861">
        <v>46163</v>
      </c>
      <c r="AX2206" s="862">
        <v>46164</v>
      </c>
      <c r="AY2206" s="843" t="s">
        <v>7320</v>
      </c>
      <c r="AZ2206" s="842">
        <v>94017990</v>
      </c>
      <c r="BA2206" s="842" t="s">
        <v>120</v>
      </c>
      <c r="BB2206" s="863" t="s">
        <v>121</v>
      </c>
      <c r="BC2206" s="864">
        <v>46169</v>
      </c>
      <c r="BD2206" s="860" t="s">
        <v>7308</v>
      </c>
      <c r="BE2206" s="865" cm="1">
        <f t="array" ref="BE2206">IF(BD2206="","",AC2206/SUMPRODUCT(--(BD2206=$BD$4:$BD$12824),$AC$4:$AC$12824))</f>
        <v>0.2</v>
      </c>
      <c r="BF2206" s="458"/>
      <c r="BG2206" s="458"/>
      <c r="BH2206" s="458"/>
      <c r="BI2206" s="458"/>
      <c r="BJ2206" s="458"/>
      <c r="BK2206" s="458"/>
      <c r="BL2206" s="458"/>
      <c r="BM2206" s="458"/>
      <c r="BN2206" s="458"/>
      <c r="BO2206" s="866">
        <f>VLOOKUP(BD2206,$BD$4:$BN$12824,3,0)*BE2206</f>
        <v>1609729</v>
      </c>
      <c r="BP2206" s="866"/>
      <c r="BQ2206" s="866"/>
      <c r="BR2206" s="866">
        <f>VLOOKUP(BD2206,$BD$4:$BN$12824,6,0)*BE2206</f>
        <v>633335.92592592584</v>
      </c>
      <c r="BS2206" s="866">
        <f>VLOOKUP(BD2206,$BD$4:$BN$12824,7,0)*BE2206</f>
        <v>50000</v>
      </c>
      <c r="BT2206" s="866"/>
      <c r="BU2206" s="866">
        <f>VLOOKUP(BD2206,$BD$4:$BN$12824,9,0)*BE2206</f>
        <v>4000</v>
      </c>
      <c r="BV2206" s="867"/>
      <c r="BW2206" s="867">
        <f>VLOOKUP(BD2206,$BD$4:$BN$12824,11,0)*BE2206</f>
        <v>120000</v>
      </c>
      <c r="BX2206" s="1146">
        <f t="shared" si="431"/>
        <v>2417064.9259259258</v>
      </c>
      <c r="BY2206" s="867">
        <f t="shared" si="432"/>
        <v>8493109.7189629637</v>
      </c>
      <c r="BZ2206" s="867">
        <f t="shared" si="433"/>
        <v>16986219.437925927</v>
      </c>
      <c r="CA2206" s="867">
        <f>_xlfn.MAXIFS($BY$4:$BY$12824,$S$4:$S$12824,$S2206)</f>
        <v>8493109.7189629637</v>
      </c>
      <c r="CB2206" s="1032"/>
    </row>
    <row r="2207" spans="2:80">
      <c r="B2207" s="839" t="s">
        <v>98</v>
      </c>
      <c r="C2207" s="839" t="s">
        <v>5697</v>
      </c>
      <c r="D2207" s="839" t="s">
        <v>6207</v>
      </c>
      <c r="E2207" s="839" t="s">
        <v>6207</v>
      </c>
      <c r="F2207" s="841">
        <v>45805</v>
      </c>
      <c r="G2207" s="839" t="s">
        <v>5697</v>
      </c>
      <c r="H2207" s="883" t="s">
        <v>134</v>
      </c>
      <c r="I2207" s="883"/>
      <c r="J2207" s="841"/>
      <c r="K2207" s="841"/>
      <c r="L2207" s="843" t="s">
        <v>106</v>
      </c>
      <c r="M2207" s="844" t="s">
        <v>107</v>
      </c>
      <c r="N2207" s="841"/>
      <c r="O2207" s="884"/>
      <c r="P2207" s="842"/>
      <c r="Q2207" s="843"/>
      <c r="R2207" s="845" t="s">
        <v>5816</v>
      </c>
      <c r="S2207" s="1127" t="s">
        <v>5817</v>
      </c>
      <c r="T2207" s="885" t="s">
        <v>7321</v>
      </c>
      <c r="U2207" s="886">
        <v>4</v>
      </c>
      <c r="V2207" s="842" t="s">
        <v>3</v>
      </c>
      <c r="W2207" s="846">
        <v>1810</v>
      </c>
      <c r="X2207" s="847">
        <f t="shared" si="415"/>
        <v>7240</v>
      </c>
      <c r="Y2207" s="853" t="s">
        <v>6209</v>
      </c>
      <c r="Z2207" s="849">
        <v>944.82000000000016</v>
      </c>
      <c r="AA2207" s="849"/>
      <c r="AB2207" s="849">
        <f t="shared" ref="AB2207:AB2208" si="450">IF(AA2207="F.O.C", 0, Z2207*U2207)</f>
        <v>3779.2800000000007</v>
      </c>
      <c r="AC2207" s="850">
        <f t="shared" ref="AC2207:AC2208" si="451">Z2207*U2207</f>
        <v>3779.2800000000007</v>
      </c>
      <c r="AD2207" s="851">
        <f t="shared" si="430"/>
        <v>32000</v>
      </c>
      <c r="AE2207" s="852">
        <v>30117.3</v>
      </c>
      <c r="AF2207" s="853">
        <v>0</v>
      </c>
      <c r="AG2207" s="854">
        <f t="shared" ref="AG2207:AG2210" si="452">(AC2207*AE2207+BO2207+BP2207+BQ2207+BS2207)*AF2207</f>
        <v>0</v>
      </c>
      <c r="AH2207" s="853">
        <v>0.08</v>
      </c>
      <c r="AI2207" s="855">
        <f t="shared" ref="AI2207:AI2210" si="453">(AC2207*AE2207+AG2207+BF2207+BG2207+BH2207+BJ2207)*AH2207</f>
        <v>9492436.1307927296</v>
      </c>
      <c r="AJ2207" s="845" t="s">
        <v>7322</v>
      </c>
      <c r="AK2207" s="857">
        <v>46108</v>
      </c>
      <c r="AL2207" s="843" t="s">
        <v>7323</v>
      </c>
      <c r="AM2207" s="843"/>
      <c r="AN2207" s="844" t="s">
        <v>3951</v>
      </c>
      <c r="AO2207" s="844" t="s">
        <v>7236</v>
      </c>
      <c r="AP2207" s="841"/>
      <c r="AQ2207" s="841">
        <v>46120</v>
      </c>
      <c r="AR2207" s="841">
        <v>46172</v>
      </c>
      <c r="AS2207" s="842" t="s">
        <v>6737</v>
      </c>
      <c r="AT2207" s="842" t="s">
        <v>7305</v>
      </c>
      <c r="AU2207" s="842" t="s">
        <v>7253</v>
      </c>
      <c r="AV2207" s="845" t="s">
        <v>7324</v>
      </c>
      <c r="AW2207" s="861">
        <v>46176</v>
      </c>
      <c r="AX2207" s="862">
        <v>46177</v>
      </c>
      <c r="AY2207" s="843" t="s">
        <v>7325</v>
      </c>
      <c r="AZ2207" s="842" t="s">
        <v>5173</v>
      </c>
      <c r="BA2207" s="842" t="s">
        <v>120</v>
      </c>
      <c r="BB2207" s="863" t="s">
        <v>121</v>
      </c>
      <c r="BC2207" s="864">
        <v>46181</v>
      </c>
      <c r="BD2207" s="860" t="s">
        <v>7326</v>
      </c>
      <c r="BE2207" s="865" cm="1">
        <f t="array" ref="BE2207">IF(BD2207="","",AC2207/SUMPRODUCT(--(BD2207=$BD$4:$BD$12824),$AC$4:$AC$12824))</f>
        <v>0.25233891967683786</v>
      </c>
      <c r="BF2207" s="458" cm="1">
        <f t="array" ref="BF2207">SUM(_xlfn._xlws.FILTER( INDEX(Cost!$B$3:$BK$77,MATCH(LDL!$BD2207, Cost!$F$3:$F$77, 0),0),Cost!$B$3:$BK$3 = BF$3))</f>
        <v>4441223</v>
      </c>
      <c r="BG2207" s="458"/>
      <c r="BH2207" s="458"/>
      <c r="BI2207" s="458" cm="1">
        <f t="array" ref="BI2207">SUM(_xlfn._xlws.FILTER( INDEX(Cost!$B$3:$BK$77,MATCH(LDL!$BD2207, Cost!$F$3:$F$77, 0),0),Cost!$B$3:$BK$3 = BI$3))/1.08</f>
        <v>7344867.5925925924</v>
      </c>
      <c r="BJ2207" s="458" cm="1">
        <f t="array" ref="BJ2207">SUM(_xlfn._xlws.FILTER( INDEX(Cost!$B$3:$BK$77,MATCH(LDL!$BD2207, Cost!$F$3:$F$77, 0),0),Cost!$B$3:$BK$3 = BJ$3))</f>
        <v>392519.09090909088</v>
      </c>
      <c r="BK2207" s="458"/>
      <c r="BL2207" s="458" cm="1">
        <f t="array" ref="BL2207">SUM(_xlfn._xlws.FILTER( INDEX(Cost!$B$3:$BK$77,MATCH(LDL!$BD2207, Cost!$F$3:$F$77, 0),0),Cost!$B$3:$BK$3 = BL$3))</f>
        <v>20000</v>
      </c>
      <c r="BM2207" s="458"/>
      <c r="BN2207" s="458" cm="1">
        <f t="array" ref="BN2207">SUM(_xlfn._xlws.FILTER( INDEX(Cost!$B$3:$BK$77,MATCH(LDL!$BD2207, Cost!$F$3:$F$77, 0),0),Cost!$B$3:$BK$3 = BN$3))/1.08</f>
        <v>1988888.8888888888</v>
      </c>
      <c r="BO2207" s="866">
        <f>VLOOKUP(BD2207,$BD$4:$BN$12824,3,0)*BE2207</f>
        <v>1120693.4138639248</v>
      </c>
      <c r="BP2207" s="866"/>
      <c r="BQ2207" s="866"/>
      <c r="BR2207" s="866">
        <f>VLOOKUP(BD2207,$BD$4:$BN$12824,6,0)*BE2207</f>
        <v>1853395.9534842316</v>
      </c>
      <c r="BS2207" s="866">
        <f>VLOOKUP(BD2207,$BD$4:$BN$12824,7,0)*BE2207</f>
        <v>99047.843352534503</v>
      </c>
      <c r="BT2207" s="866"/>
      <c r="BU2207" s="866">
        <f>VLOOKUP(BD2207,$BD$4:$BN$12824,9,0)*BE2207</f>
        <v>5046.778393536757</v>
      </c>
      <c r="BV2207" s="867"/>
      <c r="BW2207" s="867">
        <f>VLOOKUP(BD2207,$BD$4:$BN$12824,11,0)*BE2207</f>
        <v>501874.07357948861</v>
      </c>
      <c r="BX2207" s="1146">
        <f t="shared" si="431"/>
        <v>3580058.0626737163</v>
      </c>
      <c r="BY2207" s="867">
        <f t="shared" si="432"/>
        <v>29350441.901668433</v>
      </c>
      <c r="BZ2207" s="867">
        <f t="shared" si="433"/>
        <v>117401767.60667373</v>
      </c>
      <c r="CA2207" s="867">
        <f>_xlfn.MAXIFS($BY$4:$BY$12824,$S$4:$S$12824,$S2207)</f>
        <v>29350441.901668433</v>
      </c>
      <c r="CB2207" s="1032"/>
    </row>
    <row r="2208" spans="2:80">
      <c r="B2208" s="839" t="s">
        <v>98</v>
      </c>
      <c r="C2208" s="839" t="s">
        <v>5697</v>
      </c>
      <c r="D2208" s="839" t="s">
        <v>6207</v>
      </c>
      <c r="E2208" s="839" t="s">
        <v>6207</v>
      </c>
      <c r="F2208" s="841">
        <v>45805</v>
      </c>
      <c r="G2208" s="839" t="s">
        <v>5697</v>
      </c>
      <c r="H2208" s="883" t="s">
        <v>134</v>
      </c>
      <c r="I2208" s="883"/>
      <c r="J2208" s="841"/>
      <c r="K2208" s="841"/>
      <c r="L2208" s="843" t="s">
        <v>106</v>
      </c>
      <c r="M2208" s="844" t="s">
        <v>107</v>
      </c>
      <c r="N2208" s="841"/>
      <c r="O2208" s="884"/>
      <c r="P2208" s="842"/>
      <c r="Q2208" s="843"/>
      <c r="R2208" s="845" t="s">
        <v>7327</v>
      </c>
      <c r="S2208" s="1127" t="s">
        <v>7328</v>
      </c>
      <c r="T2208" s="885" t="s">
        <v>7329</v>
      </c>
      <c r="U2208" s="886">
        <v>2</v>
      </c>
      <c r="V2208" s="842" t="s">
        <v>3</v>
      </c>
      <c r="W2208" s="846">
        <v>1525</v>
      </c>
      <c r="X2208" s="847">
        <f t="shared" si="415"/>
        <v>3050</v>
      </c>
      <c r="Y2208" s="853" t="s">
        <v>6209</v>
      </c>
      <c r="Z2208" s="849">
        <v>796.05000000000007</v>
      </c>
      <c r="AA2208" s="849"/>
      <c r="AB2208" s="849">
        <f t="shared" si="450"/>
        <v>1592.1000000000001</v>
      </c>
      <c r="AC2208" s="850">
        <f t="shared" si="451"/>
        <v>1592.1000000000001</v>
      </c>
      <c r="AD2208" s="851">
        <f t="shared" si="430"/>
        <v>32000</v>
      </c>
      <c r="AE2208" s="852">
        <v>30117.3</v>
      </c>
      <c r="AF2208" s="853">
        <v>0</v>
      </c>
      <c r="AG2208" s="854">
        <f t="shared" si="452"/>
        <v>0</v>
      </c>
      <c r="AH2208" s="853">
        <v>0.08</v>
      </c>
      <c r="AI2208" s="855">
        <f t="shared" si="453"/>
        <v>3835980.2664000005</v>
      </c>
      <c r="AJ2208" s="845" t="s">
        <v>7322</v>
      </c>
      <c r="AK2208" s="857">
        <v>46108</v>
      </c>
      <c r="AL2208" s="843" t="s">
        <v>7323</v>
      </c>
      <c r="AM2208" s="843"/>
      <c r="AN2208" s="844" t="s">
        <v>3951</v>
      </c>
      <c r="AO2208" s="844" t="s">
        <v>7236</v>
      </c>
      <c r="AP2208" s="841"/>
      <c r="AQ2208" s="841">
        <v>46120</v>
      </c>
      <c r="AR2208" s="841">
        <v>46172</v>
      </c>
      <c r="AS2208" s="842" t="s">
        <v>6737</v>
      </c>
      <c r="AT2208" s="842" t="s">
        <v>7305</v>
      </c>
      <c r="AU2208" s="842" t="s">
        <v>7253</v>
      </c>
      <c r="AV2208" s="845" t="s">
        <v>7324</v>
      </c>
      <c r="AW2208" s="861">
        <v>46176</v>
      </c>
      <c r="AX2208" s="862">
        <v>46177</v>
      </c>
      <c r="AY2208" s="843" t="s">
        <v>7330</v>
      </c>
      <c r="AZ2208" s="842" t="s">
        <v>5173</v>
      </c>
      <c r="BA2208" s="842" t="s">
        <v>120</v>
      </c>
      <c r="BB2208" s="863" t="s">
        <v>121</v>
      </c>
      <c r="BC2208" s="864">
        <v>46181</v>
      </c>
      <c r="BD2208" s="860" t="s">
        <v>7326</v>
      </c>
      <c r="BE2208" s="865" cm="1">
        <f t="array" ref="BE2208">IF(BD2208="","",AC2208/SUMPRODUCT(--(BD2208=$BD$4:$BD$12824),$AC$4:$AC$12824))</f>
        <v>0.10630299793015957</v>
      </c>
      <c r="BF2208" s="458"/>
      <c r="BG2208" s="458"/>
      <c r="BH2208" s="458"/>
      <c r="BI2208" s="458"/>
      <c r="BJ2208" s="458"/>
      <c r="BK2208" s="458"/>
      <c r="BL2208" s="458"/>
      <c r="BM2208" s="458"/>
      <c r="BN2208" s="458"/>
      <c r="BO2208" s="866">
        <f>VLOOKUP(BD2208,$BD$4:$BN$12824,3,0)*BE2208</f>
        <v>472115.3193763771</v>
      </c>
      <c r="BP2208" s="866"/>
      <c r="BQ2208" s="866"/>
      <c r="BR2208" s="866">
        <f>VLOOKUP(BD2208,$BD$4:$BN$12824,6,0)*BE2208</f>
        <v>780781.4444926664</v>
      </c>
      <c r="BS2208" s="866">
        <f>VLOOKUP(BD2208,$BD$4:$BN$12824,7,0)*BE2208</f>
        <v>41725.956108457205</v>
      </c>
      <c r="BT2208" s="866"/>
      <c r="BU2208" s="866">
        <f>VLOOKUP(BD2208,$BD$4:$BN$12824,9,0)*BE2208</f>
        <v>2126.0599586031913</v>
      </c>
      <c r="BV2208" s="867"/>
      <c r="BW2208" s="867">
        <f>VLOOKUP(BD2208,$BD$4:$BN$12824,11,0)*BE2208</f>
        <v>211424.85143887292</v>
      </c>
      <c r="BX2208" s="1146">
        <f t="shared" ref="BX2208:BX2221" si="454">SUM(BO2208:BW2208)</f>
        <v>1508173.6313749768</v>
      </c>
      <c r="BY2208" s="867">
        <f t="shared" ref="BY2208:BY2221" si="455">(AB2208*AE2208+AG2208+BX2208)/U2208</f>
        <v>24728963.480687492</v>
      </c>
      <c r="BZ2208" s="867">
        <f t="shared" ref="BZ2208:BZ2221" si="456">BY2208*U2208</f>
        <v>49457926.961374983</v>
      </c>
      <c r="CA2208" s="867">
        <f>_xlfn.MAXIFS($BY$4:$BY$12824,$S$4:$S$12824,$S2208)</f>
        <v>24728963.480687492</v>
      </c>
      <c r="CB2208" s="1032"/>
    </row>
    <row r="2209" spans="2:80">
      <c r="B2209" s="839" t="s">
        <v>98</v>
      </c>
      <c r="C2209" s="839" t="s">
        <v>5697</v>
      </c>
      <c r="D2209" s="839" t="s">
        <v>5754</v>
      </c>
      <c r="E2209" s="839" t="s">
        <v>5754</v>
      </c>
      <c r="F2209" s="841">
        <v>45842</v>
      </c>
      <c r="G2209" s="839" t="s">
        <v>5697</v>
      </c>
      <c r="H2209" s="883" t="s">
        <v>3457</v>
      </c>
      <c r="I2209" s="883"/>
      <c r="J2209" s="841"/>
      <c r="K2209" s="841"/>
      <c r="L2209" s="843" t="s">
        <v>106</v>
      </c>
      <c r="M2209" s="844" t="s">
        <v>107</v>
      </c>
      <c r="N2209" s="841"/>
      <c r="O2209" s="884"/>
      <c r="P2209" s="842"/>
      <c r="Q2209" s="843"/>
      <c r="R2209" s="845" t="s">
        <v>7331</v>
      </c>
      <c r="S2209" s="1127" t="s">
        <v>7332</v>
      </c>
      <c r="T2209" s="885" t="s">
        <v>7333</v>
      </c>
      <c r="U2209" s="886">
        <v>1</v>
      </c>
      <c r="V2209" s="842" t="s">
        <v>3</v>
      </c>
      <c r="W2209" s="846">
        <v>2385</v>
      </c>
      <c r="X2209" s="847">
        <f t="shared" si="415"/>
        <v>2385</v>
      </c>
      <c r="Y2209" s="853" t="s">
        <v>6209</v>
      </c>
      <c r="Z2209" s="849">
        <v>1244.97</v>
      </c>
      <c r="AA2209" s="849"/>
      <c r="AB2209" s="849">
        <f t="shared" ref="AB2209:AB2219" si="457">IF(AA2209="F.O.C", 0, Z2209*U2209)</f>
        <v>1244.97</v>
      </c>
      <c r="AC2209" s="850">
        <f t="shared" ref="AC2209:AC2219" si="458">Z2209*U2209</f>
        <v>1244.97</v>
      </c>
      <c r="AD2209" s="851">
        <f t="shared" si="430"/>
        <v>32000</v>
      </c>
      <c r="AE2209" s="852">
        <v>30117.3</v>
      </c>
      <c r="AF2209" s="853">
        <v>0</v>
      </c>
      <c r="AG2209" s="854">
        <f t="shared" si="452"/>
        <v>0</v>
      </c>
      <c r="AH2209" s="853">
        <v>0.08</v>
      </c>
      <c r="AI2209" s="855">
        <f t="shared" si="453"/>
        <v>2999610.7984799999</v>
      </c>
      <c r="AJ2209" s="845" t="s">
        <v>7322</v>
      </c>
      <c r="AK2209" s="857">
        <v>46108</v>
      </c>
      <c r="AL2209" s="843" t="s">
        <v>7323</v>
      </c>
      <c r="AM2209" s="843"/>
      <c r="AN2209" s="844" t="s">
        <v>3951</v>
      </c>
      <c r="AO2209" s="844" t="s">
        <v>7236</v>
      </c>
      <c r="AP2209" s="841"/>
      <c r="AQ2209" s="841">
        <v>46120</v>
      </c>
      <c r="AR2209" s="841">
        <v>46172</v>
      </c>
      <c r="AS2209" s="842" t="s">
        <v>6737</v>
      </c>
      <c r="AT2209" s="842" t="s">
        <v>7305</v>
      </c>
      <c r="AU2209" s="842" t="s">
        <v>7253</v>
      </c>
      <c r="AV2209" s="845" t="s">
        <v>7324</v>
      </c>
      <c r="AW2209" s="861">
        <v>46176</v>
      </c>
      <c r="AX2209" s="862">
        <v>46177</v>
      </c>
      <c r="AY2209" s="843" t="s">
        <v>7334</v>
      </c>
      <c r="AZ2209" s="842" t="s">
        <v>5214</v>
      </c>
      <c r="BA2209" s="842" t="s">
        <v>120</v>
      </c>
      <c r="BB2209" s="863" t="s">
        <v>121</v>
      </c>
      <c r="BC2209" s="864">
        <v>46181</v>
      </c>
      <c r="BD2209" s="860" t="s">
        <v>7326</v>
      </c>
      <c r="BE2209" s="865" cm="1">
        <f t="array" ref="BE2209">IF(BD2209="","",AC2209/SUMPRODUCT(--(BD2209=$BD$4:$BD$12824),$AC$4:$AC$12824))</f>
        <v>8.3125459037190347E-2</v>
      </c>
      <c r="BF2209" s="458"/>
      <c r="BG2209" s="458"/>
      <c r="BH2209" s="458"/>
      <c r="BI2209" s="458"/>
      <c r="BJ2209" s="458"/>
      <c r="BK2209" s="458"/>
      <c r="BL2209" s="458"/>
      <c r="BM2209" s="458"/>
      <c r="BN2209" s="458"/>
      <c r="BO2209" s="866">
        <f>VLOOKUP(BD2209,$BD$4:$BN$12824,3,0)*BE2209</f>
        <v>369178.70056152763</v>
      </c>
      <c r="BP2209" s="866"/>
      <c r="BQ2209" s="866"/>
      <c r="BR2209" s="866">
        <f>VLOOKUP(BD2209,$BD$4:$BN$12824,6,0)*BE2209</f>
        <v>610545.49020164239</v>
      </c>
      <c r="BS2209" s="866">
        <f>VLOOKUP(BD2209,$BD$4:$BN$12824,7,0)*BE2209</f>
        <v>32628.329612678826</v>
      </c>
      <c r="BT2209" s="866"/>
      <c r="BU2209" s="866">
        <f>VLOOKUP(BD2209,$BD$4:$BN$12824,9,0)*BE2209</f>
        <v>1662.5091807438068</v>
      </c>
      <c r="BV2209" s="867"/>
      <c r="BW2209" s="867">
        <f>VLOOKUP(BD2209,$BD$4:$BN$12824,11,0)*BE2209</f>
        <v>165327.30186285634</v>
      </c>
      <c r="BX2209" s="1146">
        <f t="shared" si="454"/>
        <v>1179342.3314194491</v>
      </c>
      <c r="BY2209" s="867">
        <f t="shared" si="455"/>
        <v>38674477.312419444</v>
      </c>
      <c r="BZ2209" s="867">
        <f t="shared" si="456"/>
        <v>38674477.312419444</v>
      </c>
      <c r="CA2209" s="867">
        <f>_xlfn.MAXIFS($BY$4:$BY$12824,$S$4:$S$12824,$S2209)</f>
        <v>38674477.312419444</v>
      </c>
      <c r="CB2209" s="1032"/>
    </row>
    <row r="2210" spans="2:80">
      <c r="B2210" s="839" t="s">
        <v>98</v>
      </c>
      <c r="C2210" s="839" t="s">
        <v>5697</v>
      </c>
      <c r="D2210" s="839" t="s">
        <v>5754</v>
      </c>
      <c r="E2210" s="839" t="s">
        <v>5754</v>
      </c>
      <c r="F2210" s="841">
        <v>45996</v>
      </c>
      <c r="G2210" s="839" t="s">
        <v>5697</v>
      </c>
      <c r="H2210" s="883" t="s">
        <v>3457</v>
      </c>
      <c r="I2210" s="883"/>
      <c r="J2210" s="841"/>
      <c r="K2210" s="841"/>
      <c r="L2210" s="843" t="s">
        <v>106</v>
      </c>
      <c r="M2210" s="844" t="s">
        <v>107</v>
      </c>
      <c r="N2210" s="841"/>
      <c r="O2210" s="884"/>
      <c r="P2210" s="842"/>
      <c r="Q2210" s="843"/>
      <c r="R2210" s="845" t="s">
        <v>7335</v>
      </c>
      <c r="S2210" s="1127" t="s">
        <v>7336</v>
      </c>
      <c r="T2210" s="885" t="s">
        <v>7337</v>
      </c>
      <c r="U2210" s="886">
        <v>2</v>
      </c>
      <c r="V2210" s="842" t="s">
        <v>3</v>
      </c>
      <c r="W2210" s="846">
        <v>3160</v>
      </c>
      <c r="X2210" s="847">
        <f t="shared" si="415"/>
        <v>6320</v>
      </c>
      <c r="Y2210" s="853" t="s">
        <v>6209</v>
      </c>
      <c r="Z2210" s="849">
        <v>1649.52</v>
      </c>
      <c r="AA2210" s="849"/>
      <c r="AB2210" s="849">
        <f t="shared" si="457"/>
        <v>3299.04</v>
      </c>
      <c r="AC2210" s="850">
        <f t="shared" si="458"/>
        <v>3299.04</v>
      </c>
      <c r="AD2210" s="851">
        <f t="shared" si="430"/>
        <v>32000</v>
      </c>
      <c r="AE2210" s="852">
        <v>30117.3</v>
      </c>
      <c r="AF2210" s="853">
        <v>0</v>
      </c>
      <c r="AG2210" s="854">
        <f t="shared" si="452"/>
        <v>0</v>
      </c>
      <c r="AH2210" s="853">
        <v>0.08</v>
      </c>
      <c r="AI2210" s="855">
        <f t="shared" si="453"/>
        <v>7948654.1913599996</v>
      </c>
      <c r="AJ2210" s="845" t="s">
        <v>7322</v>
      </c>
      <c r="AK2210" s="857">
        <v>46108</v>
      </c>
      <c r="AL2210" s="843" t="s">
        <v>7323</v>
      </c>
      <c r="AM2210" s="843"/>
      <c r="AN2210" s="844" t="s">
        <v>3951</v>
      </c>
      <c r="AO2210" s="844" t="s">
        <v>7236</v>
      </c>
      <c r="AP2210" s="841"/>
      <c r="AQ2210" s="841">
        <v>46120</v>
      </c>
      <c r="AR2210" s="841">
        <v>46172</v>
      </c>
      <c r="AS2210" s="842" t="s">
        <v>6737</v>
      </c>
      <c r="AT2210" s="842" t="s">
        <v>7305</v>
      </c>
      <c r="AU2210" s="842" t="s">
        <v>7253</v>
      </c>
      <c r="AV2210" s="845" t="s">
        <v>7324</v>
      </c>
      <c r="AW2210" s="861">
        <v>46176</v>
      </c>
      <c r="AX2210" s="862">
        <v>46177</v>
      </c>
      <c r="AY2210" s="843" t="s">
        <v>7338</v>
      </c>
      <c r="AZ2210" s="842" t="s">
        <v>4813</v>
      </c>
      <c r="BA2210" s="842" t="s">
        <v>120</v>
      </c>
      <c r="BB2210" s="863" t="s">
        <v>121</v>
      </c>
      <c r="BC2210" s="864">
        <v>46181</v>
      </c>
      <c r="BD2210" s="860" t="s">
        <v>7326</v>
      </c>
      <c r="BE2210" s="865" cm="1">
        <f t="array" ref="BE2210">IF(BD2210="","",AC2210/SUMPRODUCT(--(BD2210=$BD$4:$BD$12824),$AC$4:$AC$12824))</f>
        <v>0.22027375308806835</v>
      </c>
      <c r="BF2210" s="458"/>
      <c r="BG2210" s="458"/>
      <c r="BH2210" s="458"/>
      <c r="BI2210" s="458"/>
      <c r="BJ2210" s="458"/>
      <c r="BK2210" s="458"/>
      <c r="BL2210" s="458"/>
      <c r="BM2210" s="458"/>
      <c r="BN2210" s="458"/>
      <c r="BO2210" s="866">
        <f>VLOOKUP(BD2210,$BD$4:$BN$12824,3,0)*BE2210</f>
        <v>978284.85851105012</v>
      </c>
      <c r="BP2210" s="866"/>
      <c r="BQ2210" s="866"/>
      <c r="BR2210" s="866">
        <f>VLOOKUP(BD2210,$BD$4:$BN$12824,6,0)*BE2210</f>
        <v>1617881.5505552958</v>
      </c>
      <c r="BS2210" s="866">
        <f>VLOOKUP(BD2210,$BD$4:$BN$12824,7,0)*BE2210</f>
        <v>86461.653313262141</v>
      </c>
      <c r="BT2210" s="866"/>
      <c r="BU2210" s="866">
        <f>VLOOKUP(BD2210,$BD$4:$BN$12824,9,0)*BE2210</f>
        <v>4405.4750617613672</v>
      </c>
      <c r="BV2210" s="867"/>
      <c r="BW2210" s="867">
        <f>VLOOKUP(BD2210,$BD$4:$BN$12824,11,0)*BE2210</f>
        <v>438100.0200307137</v>
      </c>
      <c r="BX2210" s="1146">
        <f t="shared" si="454"/>
        <v>3125133.5574720828</v>
      </c>
      <c r="BY2210" s="867">
        <f t="shared" si="455"/>
        <v>51241655.474736035</v>
      </c>
      <c r="BZ2210" s="867">
        <f t="shared" si="456"/>
        <v>102483310.94947207</v>
      </c>
      <c r="CA2210" s="867">
        <f>_xlfn.MAXIFS($BY$4:$BY$12824,$S$4:$S$12824,$S2210)</f>
        <v>51241655.474736035</v>
      </c>
      <c r="CB2210" s="1032"/>
    </row>
    <row r="2211" spans="2:80">
      <c r="B2211" s="839" t="s">
        <v>98</v>
      </c>
      <c r="C2211" s="839" t="s">
        <v>5697</v>
      </c>
      <c r="D2211" s="839" t="s">
        <v>5754</v>
      </c>
      <c r="E2211" s="839" t="s">
        <v>5754</v>
      </c>
      <c r="F2211" s="841">
        <v>45996</v>
      </c>
      <c r="G2211" s="839" t="s">
        <v>5697</v>
      </c>
      <c r="H2211" s="883" t="s">
        <v>3457</v>
      </c>
      <c r="I2211" s="883"/>
      <c r="J2211" s="841"/>
      <c r="K2211" s="841"/>
      <c r="L2211" s="843" t="s">
        <v>106</v>
      </c>
      <c r="M2211" s="844" t="s">
        <v>107</v>
      </c>
      <c r="N2211" s="841"/>
      <c r="O2211" s="884"/>
      <c r="P2211" s="842"/>
      <c r="Q2211" s="843"/>
      <c r="R2211" s="845" t="s">
        <v>7339</v>
      </c>
      <c r="S2211" s="1127" t="s">
        <v>7340</v>
      </c>
      <c r="T2211" s="885" t="s">
        <v>7341</v>
      </c>
      <c r="U2211" s="886">
        <v>1</v>
      </c>
      <c r="V2211" s="842" t="s">
        <v>3</v>
      </c>
      <c r="W2211" s="846">
        <v>380</v>
      </c>
      <c r="X2211" s="847">
        <f t="shared" si="415"/>
        <v>380</v>
      </c>
      <c r="Y2211" s="853" t="s">
        <v>5703</v>
      </c>
      <c r="Z2211" s="849">
        <v>198.36</v>
      </c>
      <c r="AA2211" s="849"/>
      <c r="AB2211" s="849">
        <f t="shared" si="457"/>
        <v>198.36</v>
      </c>
      <c r="AC2211" s="850">
        <f t="shared" si="458"/>
        <v>198.36</v>
      </c>
      <c r="AD2211" s="851">
        <f t="shared" si="430"/>
        <v>32000</v>
      </c>
      <c r="AE2211" s="852">
        <v>30117.3</v>
      </c>
      <c r="AF2211" s="865">
        <v>3.6999999999999998E-2</v>
      </c>
      <c r="AG2211" s="854">
        <f t="shared" ref="AG2211:AG2219" si="459">(AC2211*AE2211+BO2211+BP2211+BQ2211+BS2211)*AF2211</f>
        <v>223409.22627971045</v>
      </c>
      <c r="AH2211" s="853">
        <v>0.08</v>
      </c>
      <c r="AI2211" s="855">
        <f t="shared" ref="AI2211:AI2219" si="460">(AC2211*AE2211+AG2211+BF2211+BG2211+BH2211+BJ2211)*AH2211</f>
        <v>495798.14834237687</v>
      </c>
      <c r="AJ2211" s="845" t="s">
        <v>7322</v>
      </c>
      <c r="AK2211" s="857">
        <v>46108</v>
      </c>
      <c r="AL2211" s="843" t="s">
        <v>7323</v>
      </c>
      <c r="AM2211" s="843"/>
      <c r="AN2211" s="844" t="s">
        <v>3951</v>
      </c>
      <c r="AO2211" s="844" t="s">
        <v>7236</v>
      </c>
      <c r="AP2211" s="841"/>
      <c r="AQ2211" s="841">
        <v>46120</v>
      </c>
      <c r="AR2211" s="841">
        <v>46172</v>
      </c>
      <c r="AS2211" s="842" t="s">
        <v>6737</v>
      </c>
      <c r="AT2211" s="842" t="s">
        <v>7305</v>
      </c>
      <c r="AU2211" s="842" t="s">
        <v>7253</v>
      </c>
      <c r="AV2211" s="845" t="s">
        <v>7324</v>
      </c>
      <c r="AW2211" s="861">
        <v>46176</v>
      </c>
      <c r="AX2211" s="862">
        <v>46177</v>
      </c>
      <c r="AY2211" s="843" t="s">
        <v>7342</v>
      </c>
      <c r="AZ2211" s="842" t="s">
        <v>3033</v>
      </c>
      <c r="BA2211" s="842" t="s">
        <v>120</v>
      </c>
      <c r="BB2211" s="863" t="s">
        <v>121</v>
      </c>
      <c r="BC2211" s="864">
        <v>46181</v>
      </c>
      <c r="BD2211" s="860" t="s">
        <v>7326</v>
      </c>
      <c r="BE2211" s="865" cm="1">
        <f t="array" ref="BE2211">IF(BD2211="","",AC2211/SUMPRODUCT(--(BD2211=$BD$4:$BD$12824),$AC$4:$AC$12824))</f>
        <v>1.3244307938839553E-2</v>
      </c>
      <c r="BF2211" s="458"/>
      <c r="BG2211" s="458"/>
      <c r="BH2211" s="458"/>
      <c r="BI2211" s="458"/>
      <c r="BJ2211" s="458"/>
      <c r="BK2211" s="458"/>
      <c r="BL2211" s="458"/>
      <c r="BM2211" s="458"/>
      <c r="BN2211" s="458"/>
      <c r="BO2211" s="866">
        <f>VLOOKUP(BD2211,$BD$4:$BN$12824,3,0)*BE2211</f>
        <v>58820.925037056819</v>
      </c>
      <c r="BP2211" s="866"/>
      <c r="BQ2211" s="866"/>
      <c r="BR2211" s="866">
        <f>VLOOKUP(BD2211,$BD$4:$BN$12824,6,0)*BE2211</f>
        <v>97277.688166299427</v>
      </c>
      <c r="BS2211" s="866">
        <f>VLOOKUP(BD2211,$BD$4:$BN$12824,7,0)*BE2211</f>
        <v>5198.6437118733566</v>
      </c>
      <c r="BT2211" s="866"/>
      <c r="BU2211" s="866">
        <f>VLOOKUP(BD2211,$BD$4:$BN$12824,9,0)*BE2211</f>
        <v>264.88615877679109</v>
      </c>
      <c r="BV2211" s="867"/>
      <c r="BW2211" s="867">
        <f>VLOOKUP(BD2211,$BD$4:$BN$12824,11,0)*BE2211</f>
        <v>26341.456900580888</v>
      </c>
      <c r="BX2211" s="1146">
        <f t="shared" si="454"/>
        <v>187903.59997458727</v>
      </c>
      <c r="BY2211" s="867">
        <f t="shared" si="455"/>
        <v>6385380.4542542985</v>
      </c>
      <c r="BZ2211" s="867">
        <f t="shared" si="456"/>
        <v>6385380.4542542985</v>
      </c>
      <c r="CA2211" s="867">
        <f>_xlfn.MAXIFS($BY$4:$BY$12824,$S$4:$S$12824,$S2211)</f>
        <v>6385380.4542542985</v>
      </c>
      <c r="CB2211" s="1032"/>
    </row>
    <row r="2212" spans="2:80">
      <c r="B2212" s="839" t="s">
        <v>98</v>
      </c>
      <c r="C2212" s="839" t="s">
        <v>5697</v>
      </c>
      <c r="D2212" s="839" t="s">
        <v>7343</v>
      </c>
      <c r="E2212" s="839" t="s">
        <v>7343</v>
      </c>
      <c r="F2212" s="841">
        <v>45805</v>
      </c>
      <c r="G2212" s="839" t="s">
        <v>5697</v>
      </c>
      <c r="H2212" s="883" t="s">
        <v>102</v>
      </c>
      <c r="I2212" s="883" t="s">
        <v>7344</v>
      </c>
      <c r="J2212" s="841"/>
      <c r="K2212" s="841"/>
      <c r="L2212" s="843" t="s">
        <v>106</v>
      </c>
      <c r="M2212" s="844" t="s">
        <v>107</v>
      </c>
      <c r="N2212" s="841"/>
      <c r="O2212" s="884"/>
      <c r="P2212" s="842"/>
      <c r="Q2212" s="843"/>
      <c r="R2212" s="845" t="s">
        <v>7345</v>
      </c>
      <c r="S2212" s="1127" t="s">
        <v>7346</v>
      </c>
      <c r="T2212" s="885" t="s">
        <v>7347</v>
      </c>
      <c r="U2212" s="886">
        <v>1</v>
      </c>
      <c r="V2212" s="842" t="s">
        <v>3</v>
      </c>
      <c r="W2212" s="846">
        <v>2050</v>
      </c>
      <c r="X2212" s="847">
        <f t="shared" ref="X2212:X2275" si="461">W2212*U2212</f>
        <v>2050</v>
      </c>
      <c r="Y2212" s="853" t="s">
        <v>5703</v>
      </c>
      <c r="Z2212" s="849">
        <v>1070.0999999999999</v>
      </c>
      <c r="AA2212" s="849"/>
      <c r="AB2212" s="849">
        <f t="shared" si="457"/>
        <v>1070.0999999999999</v>
      </c>
      <c r="AC2212" s="850">
        <f t="shared" si="458"/>
        <v>1070.0999999999999</v>
      </c>
      <c r="AD2212" s="851">
        <f t="shared" si="430"/>
        <v>32000</v>
      </c>
      <c r="AE2212" s="852">
        <v>30117.3</v>
      </c>
      <c r="AF2212" s="865">
        <v>3.6999999999999998E-2</v>
      </c>
      <c r="AG2212" s="854">
        <f t="shared" si="459"/>
        <v>1205233.9838773848</v>
      </c>
      <c r="AH2212" s="853">
        <v>0.08</v>
      </c>
      <c r="AI2212" s="855">
        <f t="shared" si="460"/>
        <v>2674700.5371101904</v>
      </c>
      <c r="AJ2212" s="845" t="s">
        <v>7322</v>
      </c>
      <c r="AK2212" s="857">
        <v>46108</v>
      </c>
      <c r="AL2212" s="843" t="s">
        <v>7323</v>
      </c>
      <c r="AM2212" s="843"/>
      <c r="AN2212" s="844" t="s">
        <v>3951</v>
      </c>
      <c r="AO2212" s="844" t="s">
        <v>7236</v>
      </c>
      <c r="AP2212" s="841"/>
      <c r="AQ2212" s="841">
        <v>46120</v>
      </c>
      <c r="AR2212" s="841">
        <v>46172</v>
      </c>
      <c r="AS2212" s="842" t="s">
        <v>6737</v>
      </c>
      <c r="AT2212" s="842" t="s">
        <v>7305</v>
      </c>
      <c r="AU2212" s="842" t="s">
        <v>7253</v>
      </c>
      <c r="AV2212" s="845" t="s">
        <v>7324</v>
      </c>
      <c r="AW2212" s="861">
        <v>46176</v>
      </c>
      <c r="AX2212" s="862">
        <v>46177</v>
      </c>
      <c r="AY2212" s="843" t="s">
        <v>7348</v>
      </c>
      <c r="AZ2212" s="842" t="s">
        <v>6143</v>
      </c>
      <c r="BA2212" s="842" t="s">
        <v>120</v>
      </c>
      <c r="BB2212" s="863" t="s">
        <v>121</v>
      </c>
      <c r="BC2212" s="864">
        <v>46181</v>
      </c>
      <c r="BD2212" s="860" t="s">
        <v>7326</v>
      </c>
      <c r="BE2212" s="865" cm="1">
        <f t="array" ref="BE2212">IF(BD2212="","",AC2212/SUMPRODUCT(--(BD2212=$BD$4:$BD$12824),$AC$4:$AC$12824))</f>
        <v>7.1449555985844945E-2</v>
      </c>
      <c r="BF2212" s="458"/>
      <c r="BG2212" s="458"/>
      <c r="BH2212" s="458"/>
      <c r="BI2212" s="458"/>
      <c r="BJ2212" s="458"/>
      <c r="BK2212" s="458"/>
      <c r="BL2212" s="458"/>
      <c r="BM2212" s="458"/>
      <c r="BN2212" s="458"/>
      <c r="BO2212" s="866">
        <f>VLOOKUP(BD2212,$BD$4:$BN$12824,3,0)*BE2212</f>
        <v>317323.41138412227</v>
      </c>
      <c r="BP2212" s="866"/>
      <c r="BQ2212" s="866"/>
      <c r="BR2212" s="866">
        <f>VLOOKUP(BD2212,$BD$4:$BN$12824,6,0)*BE2212</f>
        <v>524787.52826556261</v>
      </c>
      <c r="BS2212" s="866">
        <f>VLOOKUP(BD2212,$BD$4:$BN$12824,7,0)*BE2212</f>
        <v>28045.314761422051</v>
      </c>
      <c r="BT2212" s="866"/>
      <c r="BU2212" s="866">
        <f>VLOOKUP(BD2212,$BD$4:$BN$12824,9,0)*BE2212</f>
        <v>1428.991119716899</v>
      </c>
      <c r="BV2212" s="867"/>
      <c r="BW2212" s="867">
        <f>VLOOKUP(BD2212,$BD$4:$BN$12824,11,0)*BE2212</f>
        <v>142105.2280162916</v>
      </c>
      <c r="BX2212" s="1146">
        <f t="shared" si="454"/>
        <v>1013690.4735471155</v>
      </c>
      <c r="BY2212" s="867">
        <f t="shared" si="455"/>
        <v>34447447.187424496</v>
      </c>
      <c r="BZ2212" s="867">
        <f t="shared" si="456"/>
        <v>34447447.187424496</v>
      </c>
      <c r="CA2212" s="867">
        <f>_xlfn.MAXIFS($BY$4:$BY$12824,$S$4:$S$12824,$S2212)</f>
        <v>34447447.187424496</v>
      </c>
      <c r="CB2212" s="1032"/>
    </row>
    <row r="2213" spans="2:80">
      <c r="B2213" s="839" t="s">
        <v>98</v>
      </c>
      <c r="C2213" s="839" t="s">
        <v>5697</v>
      </c>
      <c r="D2213" s="839" t="s">
        <v>7343</v>
      </c>
      <c r="E2213" s="839" t="s">
        <v>7343</v>
      </c>
      <c r="F2213" s="841">
        <v>45805</v>
      </c>
      <c r="G2213" s="839" t="s">
        <v>5697</v>
      </c>
      <c r="H2213" s="883" t="s">
        <v>102</v>
      </c>
      <c r="I2213" s="883" t="s">
        <v>7349</v>
      </c>
      <c r="J2213" s="841"/>
      <c r="K2213" s="841"/>
      <c r="L2213" s="843" t="s">
        <v>106</v>
      </c>
      <c r="M2213" s="844" t="s">
        <v>107</v>
      </c>
      <c r="N2213" s="841"/>
      <c r="O2213" s="884"/>
      <c r="P2213" s="842"/>
      <c r="Q2213" s="843"/>
      <c r="R2213" s="845" t="s">
        <v>7345</v>
      </c>
      <c r="S2213" s="1127" t="s">
        <v>7346</v>
      </c>
      <c r="T2213" s="885" t="s">
        <v>7347</v>
      </c>
      <c r="U2213" s="886">
        <v>1</v>
      </c>
      <c r="V2213" s="842" t="s">
        <v>3</v>
      </c>
      <c r="W2213" s="846">
        <v>2050</v>
      </c>
      <c r="X2213" s="847">
        <f t="shared" si="461"/>
        <v>2050</v>
      </c>
      <c r="Y2213" s="853" t="s">
        <v>5703</v>
      </c>
      <c r="Z2213" s="849">
        <v>1070.0999999999999</v>
      </c>
      <c r="AA2213" s="849"/>
      <c r="AB2213" s="849">
        <f t="shared" si="457"/>
        <v>1070.0999999999999</v>
      </c>
      <c r="AC2213" s="850">
        <f t="shared" si="458"/>
        <v>1070.0999999999999</v>
      </c>
      <c r="AD2213" s="851">
        <f t="shared" si="430"/>
        <v>32000</v>
      </c>
      <c r="AE2213" s="852">
        <v>30117.3</v>
      </c>
      <c r="AF2213" s="865">
        <v>3.6999999999999998E-2</v>
      </c>
      <c r="AG2213" s="854">
        <f t="shared" si="459"/>
        <v>1205233.9838773848</v>
      </c>
      <c r="AH2213" s="853">
        <v>0.08</v>
      </c>
      <c r="AI2213" s="855">
        <f t="shared" si="460"/>
        <v>2674700.5371101904</v>
      </c>
      <c r="AJ2213" s="845" t="s">
        <v>7322</v>
      </c>
      <c r="AK2213" s="857">
        <v>46108</v>
      </c>
      <c r="AL2213" s="843" t="s">
        <v>7323</v>
      </c>
      <c r="AM2213" s="843"/>
      <c r="AN2213" s="844" t="s">
        <v>3951</v>
      </c>
      <c r="AO2213" s="844" t="s">
        <v>7236</v>
      </c>
      <c r="AP2213" s="841"/>
      <c r="AQ2213" s="841">
        <v>46120</v>
      </c>
      <c r="AR2213" s="841">
        <v>46172</v>
      </c>
      <c r="AS2213" s="842" t="s">
        <v>6737</v>
      </c>
      <c r="AT2213" s="842" t="s">
        <v>7305</v>
      </c>
      <c r="AU2213" s="842" t="s">
        <v>7253</v>
      </c>
      <c r="AV2213" s="845" t="s">
        <v>7324</v>
      </c>
      <c r="AW2213" s="861">
        <v>46176</v>
      </c>
      <c r="AX2213" s="862">
        <v>46177</v>
      </c>
      <c r="AY2213" s="843" t="s">
        <v>7348</v>
      </c>
      <c r="AZ2213" s="842" t="s">
        <v>6143</v>
      </c>
      <c r="BA2213" s="842" t="s">
        <v>120</v>
      </c>
      <c r="BB2213" s="863" t="s">
        <v>121</v>
      </c>
      <c r="BC2213" s="864">
        <v>46181</v>
      </c>
      <c r="BD2213" s="860" t="s">
        <v>7326</v>
      </c>
      <c r="BE2213" s="865" cm="1">
        <f t="array" ref="BE2213">IF(BD2213="","",AC2213/SUMPRODUCT(--(BD2213=$BD$4:$BD$12824),$AC$4:$AC$12824))</f>
        <v>7.1449555985844945E-2</v>
      </c>
      <c r="BF2213" s="458"/>
      <c r="BG2213" s="458"/>
      <c r="BH2213" s="458"/>
      <c r="BI2213" s="458"/>
      <c r="BJ2213" s="458"/>
      <c r="BK2213" s="458"/>
      <c r="BL2213" s="458"/>
      <c r="BM2213" s="458"/>
      <c r="BN2213" s="458"/>
      <c r="BO2213" s="866">
        <f>VLOOKUP(BD2213,$BD$4:$BN$12824,3,0)*BE2213</f>
        <v>317323.41138412227</v>
      </c>
      <c r="BP2213" s="866"/>
      <c r="BQ2213" s="866"/>
      <c r="BR2213" s="866">
        <f>VLOOKUP(BD2213,$BD$4:$BN$12824,6,0)*BE2213</f>
        <v>524787.52826556261</v>
      </c>
      <c r="BS2213" s="866">
        <f>VLOOKUP(BD2213,$BD$4:$BN$12824,7,0)*BE2213</f>
        <v>28045.314761422051</v>
      </c>
      <c r="BT2213" s="866"/>
      <c r="BU2213" s="866">
        <f>VLOOKUP(BD2213,$BD$4:$BN$12824,9,0)*BE2213</f>
        <v>1428.991119716899</v>
      </c>
      <c r="BV2213" s="867"/>
      <c r="BW2213" s="867">
        <f>VLOOKUP(BD2213,$BD$4:$BN$12824,11,0)*BE2213</f>
        <v>142105.2280162916</v>
      </c>
      <c r="BX2213" s="1146">
        <f t="shared" si="454"/>
        <v>1013690.4735471155</v>
      </c>
      <c r="BY2213" s="867">
        <f t="shared" si="455"/>
        <v>34447447.187424496</v>
      </c>
      <c r="BZ2213" s="867">
        <f t="shared" si="456"/>
        <v>34447447.187424496</v>
      </c>
      <c r="CA2213" s="867">
        <f>_xlfn.MAXIFS($BY$4:$BY$12824,$S$4:$S$12824,$S2213)</f>
        <v>34447447.187424496</v>
      </c>
      <c r="CB2213" s="1032"/>
    </row>
    <row r="2214" spans="2:80">
      <c r="B2214" s="839" t="s">
        <v>98</v>
      </c>
      <c r="C2214" s="839" t="s">
        <v>5697</v>
      </c>
      <c r="D2214" s="839" t="s">
        <v>7343</v>
      </c>
      <c r="E2214" s="839" t="s">
        <v>7343</v>
      </c>
      <c r="F2214" s="841">
        <v>45842</v>
      </c>
      <c r="G2214" s="839" t="s">
        <v>5697</v>
      </c>
      <c r="H2214" s="883" t="s">
        <v>102</v>
      </c>
      <c r="I2214" s="883" t="s">
        <v>7350</v>
      </c>
      <c r="J2214" s="841"/>
      <c r="K2214" s="841"/>
      <c r="L2214" s="843" t="s">
        <v>106</v>
      </c>
      <c r="M2214" s="844" t="s">
        <v>107</v>
      </c>
      <c r="N2214" s="841"/>
      <c r="O2214" s="884"/>
      <c r="P2214" s="842"/>
      <c r="Q2214" s="843"/>
      <c r="R2214" s="845" t="s">
        <v>7351</v>
      </c>
      <c r="S2214" s="1127" t="s">
        <v>7352</v>
      </c>
      <c r="T2214" s="885" t="s">
        <v>7353</v>
      </c>
      <c r="U2214" s="886">
        <v>1</v>
      </c>
      <c r="V2214" s="842" t="s">
        <v>3</v>
      </c>
      <c r="W2214" s="846">
        <v>2050</v>
      </c>
      <c r="X2214" s="847">
        <f t="shared" si="461"/>
        <v>2050</v>
      </c>
      <c r="Y2214" s="853" t="s">
        <v>5703</v>
      </c>
      <c r="Z2214" s="849">
        <v>1070.0999999999999</v>
      </c>
      <c r="AA2214" s="849"/>
      <c r="AB2214" s="849">
        <f t="shared" si="457"/>
        <v>1070.0999999999999</v>
      </c>
      <c r="AC2214" s="850">
        <f t="shared" si="458"/>
        <v>1070.0999999999999</v>
      </c>
      <c r="AD2214" s="851">
        <f t="shared" si="430"/>
        <v>32000</v>
      </c>
      <c r="AE2214" s="852">
        <v>30117.3</v>
      </c>
      <c r="AF2214" s="865">
        <v>3.6999999999999998E-2</v>
      </c>
      <c r="AG2214" s="854">
        <f t="shared" si="459"/>
        <v>1205233.9838773848</v>
      </c>
      <c r="AH2214" s="853">
        <v>0.08</v>
      </c>
      <c r="AI2214" s="855">
        <f t="shared" si="460"/>
        <v>2674700.5371101904</v>
      </c>
      <c r="AJ2214" s="845" t="s">
        <v>7322</v>
      </c>
      <c r="AK2214" s="857">
        <v>46108</v>
      </c>
      <c r="AL2214" s="843" t="s">
        <v>7323</v>
      </c>
      <c r="AM2214" s="843"/>
      <c r="AN2214" s="844" t="s">
        <v>3951</v>
      </c>
      <c r="AO2214" s="844" t="s">
        <v>7236</v>
      </c>
      <c r="AP2214" s="841"/>
      <c r="AQ2214" s="841">
        <v>46120</v>
      </c>
      <c r="AR2214" s="841">
        <v>46172</v>
      </c>
      <c r="AS2214" s="842" t="s">
        <v>6737</v>
      </c>
      <c r="AT2214" s="842" t="s">
        <v>7305</v>
      </c>
      <c r="AU2214" s="842" t="s">
        <v>7253</v>
      </c>
      <c r="AV2214" s="845" t="s">
        <v>7324</v>
      </c>
      <c r="AW2214" s="861">
        <v>46176</v>
      </c>
      <c r="AX2214" s="862">
        <v>46177</v>
      </c>
      <c r="AY2214" s="843" t="s">
        <v>7354</v>
      </c>
      <c r="AZ2214" s="842" t="s">
        <v>6143</v>
      </c>
      <c r="BA2214" s="842" t="s">
        <v>120</v>
      </c>
      <c r="BB2214" s="863" t="s">
        <v>121</v>
      </c>
      <c r="BC2214" s="864">
        <v>46181</v>
      </c>
      <c r="BD2214" s="860" t="s">
        <v>7326</v>
      </c>
      <c r="BE2214" s="865" cm="1">
        <f t="array" ref="BE2214">IF(BD2214="","",AC2214/SUMPRODUCT(--(BD2214=$BD$4:$BD$12824),$AC$4:$AC$12824))</f>
        <v>7.1449555985844945E-2</v>
      </c>
      <c r="BF2214" s="458"/>
      <c r="BG2214" s="458"/>
      <c r="BH2214" s="458"/>
      <c r="BI2214" s="458"/>
      <c r="BJ2214" s="458"/>
      <c r="BK2214" s="458"/>
      <c r="BL2214" s="458"/>
      <c r="BM2214" s="458"/>
      <c r="BN2214" s="458"/>
      <c r="BO2214" s="866">
        <f>VLOOKUP(BD2214,$BD$4:$BN$12824,3,0)*BE2214</f>
        <v>317323.41138412227</v>
      </c>
      <c r="BP2214" s="866"/>
      <c r="BQ2214" s="866"/>
      <c r="BR2214" s="866">
        <f>VLOOKUP(BD2214,$BD$4:$BN$12824,6,0)*BE2214</f>
        <v>524787.52826556261</v>
      </c>
      <c r="BS2214" s="866">
        <f>VLOOKUP(BD2214,$BD$4:$BN$12824,7,0)*BE2214</f>
        <v>28045.314761422051</v>
      </c>
      <c r="BT2214" s="866"/>
      <c r="BU2214" s="866">
        <f>VLOOKUP(BD2214,$BD$4:$BN$12824,9,0)*BE2214</f>
        <v>1428.991119716899</v>
      </c>
      <c r="BV2214" s="867"/>
      <c r="BW2214" s="867">
        <f>VLOOKUP(BD2214,$BD$4:$BN$12824,11,0)*BE2214</f>
        <v>142105.2280162916</v>
      </c>
      <c r="BX2214" s="1146">
        <f t="shared" si="454"/>
        <v>1013690.4735471155</v>
      </c>
      <c r="BY2214" s="867">
        <f t="shared" si="455"/>
        <v>34447447.187424496</v>
      </c>
      <c r="BZ2214" s="867">
        <f t="shared" si="456"/>
        <v>34447447.187424496</v>
      </c>
      <c r="CA2214" s="867">
        <f>_xlfn.MAXIFS($BY$4:$BY$12824,$S$4:$S$12824,$S2214)</f>
        <v>34447447.187424496</v>
      </c>
      <c r="CB2214" s="1032"/>
    </row>
    <row r="2215" spans="2:80">
      <c r="B2215" s="839" t="s">
        <v>98</v>
      </c>
      <c r="C2215" s="839" t="s">
        <v>5697</v>
      </c>
      <c r="D2215" s="839" t="s">
        <v>7343</v>
      </c>
      <c r="E2215" s="839" t="s">
        <v>5685</v>
      </c>
      <c r="F2215" s="841">
        <v>45996</v>
      </c>
      <c r="G2215" s="839" t="s">
        <v>5697</v>
      </c>
      <c r="H2215" s="883" t="s">
        <v>5686</v>
      </c>
      <c r="I2215" s="883"/>
      <c r="J2215" s="841"/>
      <c r="K2215" s="841"/>
      <c r="L2215" s="843" t="s">
        <v>106</v>
      </c>
      <c r="M2215" s="844" t="s">
        <v>107</v>
      </c>
      <c r="N2215" s="841"/>
      <c r="O2215" s="884"/>
      <c r="P2215" s="842"/>
      <c r="Q2215" s="843"/>
      <c r="R2215" s="845" t="s">
        <v>5812</v>
      </c>
      <c r="S2215" s="1127" t="s">
        <v>5813</v>
      </c>
      <c r="T2215" s="885" t="s">
        <v>7355</v>
      </c>
      <c r="U2215" s="886">
        <v>1</v>
      </c>
      <c r="V2215" s="842" t="s">
        <v>3</v>
      </c>
      <c r="W2215" s="846"/>
      <c r="X2215" s="847">
        <f t="shared" si="461"/>
        <v>0</v>
      </c>
      <c r="Y2215" s="853"/>
      <c r="Z2215" s="849">
        <v>412.38</v>
      </c>
      <c r="AA2215" s="849" t="s">
        <v>40</v>
      </c>
      <c r="AB2215" s="849">
        <f t="shared" si="457"/>
        <v>0</v>
      </c>
      <c r="AC2215" s="850">
        <f t="shared" si="458"/>
        <v>412.38</v>
      </c>
      <c r="AD2215" s="851">
        <f t="shared" si="430"/>
        <v>32000</v>
      </c>
      <c r="AE2215" s="852">
        <v>30117.3</v>
      </c>
      <c r="AF2215" s="865">
        <v>0</v>
      </c>
      <c r="AG2215" s="854">
        <f t="shared" si="459"/>
        <v>0</v>
      </c>
      <c r="AH2215" s="853">
        <v>0.08</v>
      </c>
      <c r="AI2215" s="855">
        <f t="shared" si="460"/>
        <v>993581.77391999995</v>
      </c>
      <c r="AJ2215" s="845" t="s">
        <v>7322</v>
      </c>
      <c r="AK2215" s="857">
        <v>46108</v>
      </c>
      <c r="AL2215" s="843" t="s">
        <v>7323</v>
      </c>
      <c r="AM2215" s="843"/>
      <c r="AN2215" s="844" t="s">
        <v>3951</v>
      </c>
      <c r="AO2215" s="844" t="s">
        <v>7236</v>
      </c>
      <c r="AP2215" s="841"/>
      <c r="AQ2215" s="841">
        <v>46120</v>
      </c>
      <c r="AR2215" s="841">
        <v>46172</v>
      </c>
      <c r="AS2215" s="842" t="s">
        <v>6737</v>
      </c>
      <c r="AT2215" s="842" t="s">
        <v>7305</v>
      </c>
      <c r="AU2215" s="842" t="s">
        <v>7253</v>
      </c>
      <c r="AV2215" s="845" t="s">
        <v>7324</v>
      </c>
      <c r="AW2215" s="861">
        <v>46176</v>
      </c>
      <c r="AX2215" s="862">
        <v>46177</v>
      </c>
      <c r="AY2215" s="843" t="s">
        <v>7356</v>
      </c>
      <c r="AZ2215" s="842" t="s">
        <v>5173</v>
      </c>
      <c r="BA2215" s="842" t="s">
        <v>120</v>
      </c>
      <c r="BB2215" s="863" t="s">
        <v>121</v>
      </c>
      <c r="BC2215" s="864">
        <v>46181</v>
      </c>
      <c r="BD2215" s="860" t="s">
        <v>7326</v>
      </c>
      <c r="BE2215" s="865" cm="1">
        <f t="array" ref="BE2215">IF(BD2215="","",AC2215/SUMPRODUCT(--(BD2215=$BD$4:$BD$12824),$AC$4:$AC$12824))</f>
        <v>2.7534219136008543E-2</v>
      </c>
      <c r="BF2215" s="458"/>
      <c r="BG2215" s="458"/>
      <c r="BH2215" s="458"/>
      <c r="BI2215" s="458"/>
      <c r="BJ2215" s="458"/>
      <c r="BK2215" s="458"/>
      <c r="BL2215" s="458"/>
      <c r="BM2215" s="458"/>
      <c r="BN2215" s="458"/>
      <c r="BO2215" s="866">
        <f>VLOOKUP(BD2215,$BD$4:$BN$12824,3,0)*BE2215</f>
        <v>122285.60731388126</v>
      </c>
      <c r="BP2215" s="866"/>
      <c r="BQ2215" s="866"/>
      <c r="BR2215" s="866">
        <f>VLOOKUP(BD2215,$BD$4:$BN$12824,6,0)*BE2215</f>
        <v>202235.19381941197</v>
      </c>
      <c r="BS2215" s="866">
        <f>VLOOKUP(BD2215,$BD$4:$BN$12824,7,0)*BE2215</f>
        <v>10807.706664157768</v>
      </c>
      <c r="BT2215" s="866"/>
      <c r="BU2215" s="866">
        <f>VLOOKUP(BD2215,$BD$4:$BN$12824,9,0)*BE2215</f>
        <v>550.6843827201709</v>
      </c>
      <c r="BV2215" s="867"/>
      <c r="BW2215" s="867">
        <f>VLOOKUP(BD2215,$BD$4:$BN$12824,11,0)*BE2215</f>
        <v>54762.502503839212</v>
      </c>
      <c r="BX2215" s="1146">
        <f t="shared" si="454"/>
        <v>390641.69468401035</v>
      </c>
      <c r="BY2215" s="867">
        <f t="shared" si="455"/>
        <v>390641.69468401035</v>
      </c>
      <c r="BZ2215" s="867">
        <f t="shared" si="456"/>
        <v>390641.69468401035</v>
      </c>
      <c r="CA2215" s="867">
        <f>_xlfn.MAXIFS($BY$4:$BY$12824,$S$4:$S$12824,$S2215)</f>
        <v>12516023.20327145</v>
      </c>
      <c r="CB2215" s="1032"/>
    </row>
    <row r="2216" spans="2:80">
      <c r="B2216" s="839" t="s">
        <v>98</v>
      </c>
      <c r="C2216" s="839" t="s">
        <v>5697</v>
      </c>
      <c r="D2216" s="839" t="s">
        <v>7343</v>
      </c>
      <c r="E2216" s="839" t="s">
        <v>5685</v>
      </c>
      <c r="F2216" s="841">
        <v>45996</v>
      </c>
      <c r="G2216" s="839" t="s">
        <v>5697</v>
      </c>
      <c r="H2216" s="883" t="s">
        <v>5686</v>
      </c>
      <c r="I2216" s="883"/>
      <c r="J2216" s="841"/>
      <c r="K2216" s="841"/>
      <c r="L2216" s="843" t="s">
        <v>106</v>
      </c>
      <c r="M2216" s="844" t="s">
        <v>107</v>
      </c>
      <c r="N2216" s="841"/>
      <c r="O2216" s="884"/>
      <c r="P2216" s="842"/>
      <c r="Q2216" s="843"/>
      <c r="R2216" s="845">
        <v>66101000</v>
      </c>
      <c r="S2216" s="1127" t="s">
        <v>6100</v>
      </c>
      <c r="T2216" s="843" t="s">
        <v>7357</v>
      </c>
      <c r="U2216" s="886">
        <v>2</v>
      </c>
      <c r="V2216" s="842" t="s">
        <v>3</v>
      </c>
      <c r="W2216" s="846"/>
      <c r="X2216" s="847">
        <f t="shared" si="461"/>
        <v>0</v>
      </c>
      <c r="Y2216" s="853"/>
      <c r="Z2216" s="849">
        <v>156.6</v>
      </c>
      <c r="AA2216" s="849" t="s">
        <v>40</v>
      </c>
      <c r="AB2216" s="849">
        <f t="shared" si="457"/>
        <v>0</v>
      </c>
      <c r="AC2216" s="850">
        <f t="shared" si="458"/>
        <v>313.2</v>
      </c>
      <c r="AD2216" s="851">
        <f t="shared" si="430"/>
        <v>32000</v>
      </c>
      <c r="AE2216" s="852">
        <v>30117.3</v>
      </c>
      <c r="AF2216" s="865">
        <v>4.2999999999999997E-2</v>
      </c>
      <c r="AG2216" s="854">
        <f t="shared" si="459"/>
        <v>409954.34125295363</v>
      </c>
      <c r="AH2216" s="853">
        <v>0.08</v>
      </c>
      <c r="AI2216" s="855">
        <f t="shared" si="460"/>
        <v>787415.41610023624</v>
      </c>
      <c r="AJ2216" s="845" t="s">
        <v>7322</v>
      </c>
      <c r="AK2216" s="857">
        <v>46108</v>
      </c>
      <c r="AL2216" s="843" t="s">
        <v>7323</v>
      </c>
      <c r="AM2216" s="843"/>
      <c r="AN2216" s="844" t="s">
        <v>3951</v>
      </c>
      <c r="AO2216" s="844" t="s">
        <v>7236</v>
      </c>
      <c r="AP2216" s="841"/>
      <c r="AQ2216" s="841">
        <v>46120</v>
      </c>
      <c r="AR2216" s="841">
        <v>46172</v>
      </c>
      <c r="AS2216" s="842" t="s">
        <v>6737</v>
      </c>
      <c r="AT2216" s="842" t="s">
        <v>7305</v>
      </c>
      <c r="AU2216" s="842" t="s">
        <v>7253</v>
      </c>
      <c r="AV2216" s="845" t="s">
        <v>7324</v>
      </c>
      <c r="AW2216" s="861">
        <v>46176</v>
      </c>
      <c r="AX2216" s="862">
        <v>46177</v>
      </c>
      <c r="AY2216" s="843" t="s">
        <v>7358</v>
      </c>
      <c r="AZ2216" s="842" t="s">
        <v>5103</v>
      </c>
      <c r="BA2216" s="842" t="s">
        <v>120</v>
      </c>
      <c r="BB2216" s="863" t="s">
        <v>121</v>
      </c>
      <c r="BC2216" s="864">
        <v>46181</v>
      </c>
      <c r="BD2216" s="860" t="s">
        <v>7326</v>
      </c>
      <c r="BE2216" s="865" cm="1">
        <f t="array" ref="BE2216">IF(BD2216="","",AC2216/SUMPRODUCT(--(BD2216=$BD$4:$BD$12824),$AC$4:$AC$12824))</f>
        <v>2.0912065166588768E-2</v>
      </c>
      <c r="BF2216" s="458"/>
      <c r="BG2216" s="458"/>
      <c r="BH2216" s="458"/>
      <c r="BI2216" s="458"/>
      <c r="BJ2216" s="458"/>
      <c r="BK2216" s="458"/>
      <c r="BL2216" s="458"/>
      <c r="BM2216" s="458"/>
      <c r="BN2216" s="458"/>
      <c r="BO2216" s="866">
        <f>VLOOKUP(BD2216,$BD$4:$BN$12824,3,0)*BE2216</f>
        <v>92875.14479535287</v>
      </c>
      <c r="BP2216" s="866"/>
      <c r="BQ2216" s="866"/>
      <c r="BR2216" s="866">
        <f>VLOOKUP(BD2216,$BD$4:$BN$12824,6,0)*BE2216</f>
        <v>153596.34973626226</v>
      </c>
      <c r="BS2216" s="866">
        <f>VLOOKUP(BD2216,$BD$4:$BN$12824,7,0)*BE2216</f>
        <v>8208.3848082210898</v>
      </c>
      <c r="BT2216" s="866"/>
      <c r="BU2216" s="866">
        <f>VLOOKUP(BD2216,$BD$4:$BN$12824,9,0)*BE2216</f>
        <v>418.24130333177533</v>
      </c>
      <c r="BV2216" s="867"/>
      <c r="BW2216" s="867">
        <f>VLOOKUP(BD2216,$BD$4:$BN$12824,11,0)*BE2216</f>
        <v>41591.774053548768</v>
      </c>
      <c r="BX2216" s="1146">
        <f t="shared" si="454"/>
        <v>296689.89469671674</v>
      </c>
      <c r="BY2216" s="867">
        <f t="shared" si="455"/>
        <v>353322.11797483522</v>
      </c>
      <c r="BZ2216" s="867">
        <f t="shared" si="456"/>
        <v>706644.23594967043</v>
      </c>
      <c r="CA2216" s="867">
        <f>_xlfn.MAXIFS($BY$4:$BY$12824,$S$4:$S$12824,$S2216)</f>
        <v>5464493.5302296411</v>
      </c>
      <c r="CB2216" s="1032"/>
    </row>
    <row r="2217" spans="2:80">
      <c r="B2217" s="839" t="s">
        <v>98</v>
      </c>
      <c r="C2217" s="839" t="s">
        <v>5697</v>
      </c>
      <c r="D2217" s="839" t="s">
        <v>7343</v>
      </c>
      <c r="E2217" s="839" t="s">
        <v>5685</v>
      </c>
      <c r="F2217" s="841">
        <v>45996</v>
      </c>
      <c r="G2217" s="839" t="s">
        <v>5697</v>
      </c>
      <c r="H2217" s="883" t="s">
        <v>5686</v>
      </c>
      <c r="I2217" s="883"/>
      <c r="J2217" s="841"/>
      <c r="K2217" s="841"/>
      <c r="L2217" s="843" t="s">
        <v>106</v>
      </c>
      <c r="M2217" s="844" t="s">
        <v>107</v>
      </c>
      <c r="N2217" s="841"/>
      <c r="O2217" s="884"/>
      <c r="P2217" s="842"/>
      <c r="Q2217" s="843"/>
      <c r="R2217" s="845">
        <v>13512000</v>
      </c>
      <c r="S2217" s="1127" t="s">
        <v>6116</v>
      </c>
      <c r="T2217" s="843" t="s">
        <v>7359</v>
      </c>
      <c r="U2217" s="886">
        <v>1</v>
      </c>
      <c r="V2217" s="842" t="s">
        <v>3</v>
      </c>
      <c r="W2217" s="846"/>
      <c r="X2217" s="847">
        <f t="shared" si="461"/>
        <v>0</v>
      </c>
      <c r="Y2217" s="853"/>
      <c r="Z2217" s="849">
        <v>159.21</v>
      </c>
      <c r="AA2217" s="849" t="s">
        <v>40</v>
      </c>
      <c r="AB2217" s="849">
        <f t="shared" si="457"/>
        <v>0</v>
      </c>
      <c r="AC2217" s="850">
        <f t="shared" si="458"/>
        <v>159.21</v>
      </c>
      <c r="AD2217" s="851">
        <f t="shared" si="430"/>
        <v>32000</v>
      </c>
      <c r="AE2217" s="852">
        <v>30117.3</v>
      </c>
      <c r="AF2217" s="865">
        <v>3.6999999999999998E-2</v>
      </c>
      <c r="AG2217" s="854">
        <f t="shared" si="459"/>
        <v>179315.30004029389</v>
      </c>
      <c r="AH2217" s="853">
        <v>0.08</v>
      </c>
      <c r="AI2217" s="855">
        <f t="shared" si="460"/>
        <v>397943.25064322352</v>
      </c>
      <c r="AJ2217" s="845" t="s">
        <v>7322</v>
      </c>
      <c r="AK2217" s="857">
        <v>46108</v>
      </c>
      <c r="AL2217" s="843" t="s">
        <v>7323</v>
      </c>
      <c r="AM2217" s="843"/>
      <c r="AN2217" s="844" t="s">
        <v>3951</v>
      </c>
      <c r="AO2217" s="844" t="s">
        <v>7236</v>
      </c>
      <c r="AP2217" s="841"/>
      <c r="AQ2217" s="841">
        <v>46120</v>
      </c>
      <c r="AR2217" s="841">
        <v>46172</v>
      </c>
      <c r="AS2217" s="842" t="s">
        <v>6737</v>
      </c>
      <c r="AT2217" s="842" t="s">
        <v>7305</v>
      </c>
      <c r="AU2217" s="842" t="s">
        <v>7253</v>
      </c>
      <c r="AV2217" s="845" t="s">
        <v>7324</v>
      </c>
      <c r="AW2217" s="861">
        <v>46176</v>
      </c>
      <c r="AX2217" s="862">
        <v>46177</v>
      </c>
      <c r="AY2217" s="843" t="s">
        <v>7360</v>
      </c>
      <c r="AZ2217" s="842" t="s">
        <v>3033</v>
      </c>
      <c r="BA2217" s="842" t="s">
        <v>120</v>
      </c>
      <c r="BB2217" s="863" t="s">
        <v>121</v>
      </c>
      <c r="BC2217" s="864">
        <v>46181</v>
      </c>
      <c r="BD2217" s="860" t="s">
        <v>7326</v>
      </c>
      <c r="BE2217" s="865" cm="1">
        <f t="array" ref="BE2217">IF(BD2217="","",AC2217/SUMPRODUCT(--(BD2217=$BD$4:$BD$12824),$AC$4:$AC$12824))</f>
        <v>1.0630299793015958E-2</v>
      </c>
      <c r="BF2217" s="458"/>
      <c r="BG2217" s="458"/>
      <c r="BH2217" s="458"/>
      <c r="BI2217" s="458"/>
      <c r="BJ2217" s="458"/>
      <c r="BK2217" s="458"/>
      <c r="BL2217" s="458"/>
      <c r="BM2217" s="458"/>
      <c r="BN2217" s="458"/>
      <c r="BO2217" s="866">
        <f>VLOOKUP(BD2217,$BD$4:$BN$12824,3,0)*BE2217</f>
        <v>47211.531937637708</v>
      </c>
      <c r="BP2217" s="866"/>
      <c r="BQ2217" s="866"/>
      <c r="BR2217" s="866">
        <f>VLOOKUP(BD2217,$BD$4:$BN$12824,6,0)*BE2217</f>
        <v>78078.144449266649</v>
      </c>
      <c r="BS2217" s="866">
        <f>VLOOKUP(BD2217,$BD$4:$BN$12824,7,0)*BE2217</f>
        <v>4172.5956108457203</v>
      </c>
      <c r="BT2217" s="866"/>
      <c r="BU2217" s="866">
        <f>VLOOKUP(BD2217,$BD$4:$BN$12824,9,0)*BE2217</f>
        <v>212.60599586031915</v>
      </c>
      <c r="BV2217" s="867"/>
      <c r="BW2217" s="867">
        <f>VLOOKUP(BD2217,$BD$4:$BN$12824,11,0)*BE2217</f>
        <v>21142.485143887294</v>
      </c>
      <c r="BX2217" s="1146">
        <f t="shared" si="454"/>
        <v>150817.36313749768</v>
      </c>
      <c r="BY2217" s="867">
        <f t="shared" si="455"/>
        <v>330132.66317779158</v>
      </c>
      <c r="BZ2217" s="867">
        <f t="shared" si="456"/>
        <v>330132.66317779158</v>
      </c>
      <c r="CA2217" s="867">
        <f>_xlfn.MAXIFS($BY$4:$BY$12824,$S$4:$S$12824,$S2217)</f>
        <v>6279001.3042967385</v>
      </c>
      <c r="CB2217" s="1032"/>
    </row>
    <row r="2218" spans="2:80">
      <c r="B2218" s="839" t="s">
        <v>98</v>
      </c>
      <c r="C2218" s="839" t="s">
        <v>5697</v>
      </c>
      <c r="D2218" s="839" t="s">
        <v>7343</v>
      </c>
      <c r="E2218" s="839" t="s">
        <v>5685</v>
      </c>
      <c r="F2218" s="841">
        <v>45996</v>
      </c>
      <c r="G2218" s="839" t="s">
        <v>5697</v>
      </c>
      <c r="H2218" s="883" t="s">
        <v>5686</v>
      </c>
      <c r="I2218" s="883"/>
      <c r="J2218" s="841"/>
      <c r="K2218" s="841"/>
      <c r="L2218" s="843" t="s">
        <v>106</v>
      </c>
      <c r="M2218" s="844" t="s">
        <v>107</v>
      </c>
      <c r="N2218" s="841"/>
      <c r="O2218" s="884"/>
      <c r="P2218" s="842"/>
      <c r="Q2218" s="843"/>
      <c r="R2218" s="845" t="s">
        <v>5759</v>
      </c>
      <c r="S2218" s="1127" t="s">
        <v>5760</v>
      </c>
      <c r="T2218" s="843" t="s">
        <v>7361</v>
      </c>
      <c r="U2218" s="886">
        <v>1</v>
      </c>
      <c r="V2218" s="842" t="s">
        <v>3</v>
      </c>
      <c r="W2218" s="846"/>
      <c r="X2218" s="847">
        <f t="shared" si="461"/>
        <v>0</v>
      </c>
      <c r="Y2218" s="853"/>
      <c r="Z2218" s="849">
        <v>668.16</v>
      </c>
      <c r="AA2218" s="849" t="s">
        <v>40</v>
      </c>
      <c r="AB2218" s="849">
        <f t="shared" si="457"/>
        <v>0</v>
      </c>
      <c r="AC2218" s="850">
        <f t="shared" si="458"/>
        <v>668.16</v>
      </c>
      <c r="AD2218" s="851">
        <f t="shared" si="430"/>
        <v>32000</v>
      </c>
      <c r="AE2218" s="852">
        <v>30117.3</v>
      </c>
      <c r="AF2218" s="865">
        <v>0</v>
      </c>
      <c r="AG2218" s="854">
        <f t="shared" si="459"/>
        <v>0</v>
      </c>
      <c r="AH2218" s="853">
        <v>0.08</v>
      </c>
      <c r="AI2218" s="855">
        <f t="shared" si="460"/>
        <v>1609854.0134399999</v>
      </c>
      <c r="AJ2218" s="845" t="s">
        <v>7322</v>
      </c>
      <c r="AK2218" s="857">
        <v>46108</v>
      </c>
      <c r="AL2218" s="843" t="s">
        <v>7323</v>
      </c>
      <c r="AM2218" s="843"/>
      <c r="AN2218" s="844" t="s">
        <v>3951</v>
      </c>
      <c r="AO2218" s="844" t="s">
        <v>7236</v>
      </c>
      <c r="AP2218" s="841"/>
      <c r="AQ2218" s="841">
        <v>46120</v>
      </c>
      <c r="AR2218" s="841">
        <v>46172</v>
      </c>
      <c r="AS2218" s="842" t="s">
        <v>6737</v>
      </c>
      <c r="AT2218" s="842" t="s">
        <v>7305</v>
      </c>
      <c r="AU2218" s="842" t="s">
        <v>7253</v>
      </c>
      <c r="AV2218" s="845" t="s">
        <v>7324</v>
      </c>
      <c r="AW2218" s="861">
        <v>46176</v>
      </c>
      <c r="AX2218" s="862">
        <v>46177</v>
      </c>
      <c r="AY2218" s="843" t="s">
        <v>7362</v>
      </c>
      <c r="AZ2218" s="842" t="s">
        <v>4798</v>
      </c>
      <c r="BA2218" s="842" t="s">
        <v>120</v>
      </c>
      <c r="BB2218" s="863" t="s">
        <v>121</v>
      </c>
      <c r="BC2218" s="864">
        <v>46181</v>
      </c>
      <c r="BD2218" s="860" t="s">
        <v>7326</v>
      </c>
      <c r="BE2218" s="865" cm="1">
        <f t="array" ref="BE2218">IF(BD2218="","",AC2218/SUMPRODUCT(--(BD2218=$BD$4:$BD$12824),$AC$4:$AC$12824))</f>
        <v>4.4612405688722698E-2</v>
      </c>
      <c r="BF2218" s="458"/>
      <c r="BG2218" s="458"/>
      <c r="BH2218" s="458"/>
      <c r="BI2218" s="458"/>
      <c r="BJ2218" s="458"/>
      <c r="BK2218" s="458"/>
      <c r="BL2218" s="458"/>
      <c r="BM2218" s="458"/>
      <c r="BN2218" s="458"/>
      <c r="BO2218" s="866">
        <f>VLOOKUP(BD2218,$BD$4:$BN$12824,3,0)*BE2218</f>
        <v>198133.64223008609</v>
      </c>
      <c r="BP2218" s="866"/>
      <c r="BQ2218" s="866"/>
      <c r="BR2218" s="866">
        <f>VLOOKUP(BD2218,$BD$4:$BN$12824,6,0)*BE2218</f>
        <v>327672.21277069277</v>
      </c>
      <c r="BS2218" s="866">
        <f>VLOOKUP(BD2218,$BD$4:$BN$12824,7,0)*BE2218</f>
        <v>17511.220924204987</v>
      </c>
      <c r="BT2218" s="866"/>
      <c r="BU2218" s="866">
        <f>VLOOKUP(BD2218,$BD$4:$BN$12824,9,0)*BE2218</f>
        <v>892.24811377445394</v>
      </c>
      <c r="BV2218" s="867"/>
      <c r="BW2218" s="867">
        <f>VLOOKUP(BD2218,$BD$4:$BN$12824,11,0)*BE2218</f>
        <v>88729.117980904033</v>
      </c>
      <c r="BX2218" s="1146">
        <f t="shared" si="454"/>
        <v>632938.44201966235</v>
      </c>
      <c r="BY2218" s="867">
        <f t="shared" si="455"/>
        <v>632938.44201966235</v>
      </c>
      <c r="BZ2218" s="867">
        <f t="shared" si="456"/>
        <v>632938.44201966235</v>
      </c>
      <c r="CA2218" s="867">
        <f>_xlfn.MAXIFS($BY$4:$BY$12824,$S$4:$S$12824,$S2218)</f>
        <v>25339203.190898165</v>
      </c>
      <c r="CB2218" s="1032"/>
    </row>
    <row r="2219" spans="2:80">
      <c r="B2219" s="839" t="s">
        <v>98</v>
      </c>
      <c r="C2219" s="839" t="s">
        <v>5697</v>
      </c>
      <c r="D2219" s="839" t="s">
        <v>7343</v>
      </c>
      <c r="E2219" s="839" t="s">
        <v>5685</v>
      </c>
      <c r="F2219" s="841">
        <v>45996</v>
      </c>
      <c r="G2219" s="839" t="s">
        <v>5697</v>
      </c>
      <c r="H2219" s="883" t="s">
        <v>5686</v>
      </c>
      <c r="I2219" s="883"/>
      <c r="J2219" s="841"/>
      <c r="K2219" s="841"/>
      <c r="L2219" s="843" t="s">
        <v>106</v>
      </c>
      <c r="M2219" s="844" t="s">
        <v>107</v>
      </c>
      <c r="N2219" s="841"/>
      <c r="O2219" s="884"/>
      <c r="P2219" s="842"/>
      <c r="Q2219" s="843"/>
      <c r="R2219" s="845" t="s">
        <v>7363</v>
      </c>
      <c r="S2219" s="1127" t="s">
        <v>7364</v>
      </c>
      <c r="T2219" s="843" t="s">
        <v>7365</v>
      </c>
      <c r="U2219" s="886">
        <v>1</v>
      </c>
      <c r="V2219" s="842" t="s">
        <v>3</v>
      </c>
      <c r="W2219" s="846"/>
      <c r="X2219" s="847">
        <f t="shared" si="461"/>
        <v>0</v>
      </c>
      <c r="Y2219" s="853"/>
      <c r="Z2219" s="849">
        <v>100</v>
      </c>
      <c r="AA2219" s="849" t="s">
        <v>40</v>
      </c>
      <c r="AB2219" s="849">
        <f t="shared" si="457"/>
        <v>0</v>
      </c>
      <c r="AC2219" s="850">
        <f t="shared" si="458"/>
        <v>100</v>
      </c>
      <c r="AD2219" s="851">
        <f t="shared" si="430"/>
        <v>32000</v>
      </c>
      <c r="AE2219" s="852">
        <v>30117.3</v>
      </c>
      <c r="AF2219" s="865">
        <v>0</v>
      </c>
      <c r="AG2219" s="854">
        <f t="shared" si="459"/>
        <v>0</v>
      </c>
      <c r="AH2219" s="853">
        <v>0.08</v>
      </c>
      <c r="AI2219" s="855">
        <f t="shared" si="460"/>
        <v>240938.4</v>
      </c>
      <c r="AJ2219" s="845" t="s">
        <v>7322</v>
      </c>
      <c r="AK2219" s="857">
        <v>46108</v>
      </c>
      <c r="AL2219" s="843" t="s">
        <v>7323</v>
      </c>
      <c r="AM2219" s="843"/>
      <c r="AN2219" s="844" t="s">
        <v>3951</v>
      </c>
      <c r="AO2219" s="844" t="s">
        <v>7236</v>
      </c>
      <c r="AP2219" s="841"/>
      <c r="AQ2219" s="841">
        <v>46120</v>
      </c>
      <c r="AR2219" s="841">
        <v>46172</v>
      </c>
      <c r="AS2219" s="842" t="s">
        <v>6737</v>
      </c>
      <c r="AT2219" s="842" t="s">
        <v>7305</v>
      </c>
      <c r="AU2219" s="842" t="s">
        <v>7253</v>
      </c>
      <c r="AV2219" s="845" t="s">
        <v>7324</v>
      </c>
      <c r="AW2219" s="861">
        <v>46176</v>
      </c>
      <c r="AX2219" s="862">
        <v>46177</v>
      </c>
      <c r="AY2219" s="843" t="s">
        <v>7366</v>
      </c>
      <c r="AZ2219" s="842" t="s">
        <v>5981</v>
      </c>
      <c r="BA2219" s="842" t="s">
        <v>120</v>
      </c>
      <c r="BB2219" s="863" t="s">
        <v>121</v>
      </c>
      <c r="BC2219" s="864">
        <v>46181</v>
      </c>
      <c r="BD2219" s="860" t="s">
        <v>7326</v>
      </c>
      <c r="BE2219" s="865" cm="1">
        <f t="array" ref="BE2219">IF(BD2219="","",AC2219/SUMPRODUCT(--(BD2219=$BD$4:$BD$12824),$AC$4:$AC$12824))</f>
        <v>6.6769045870334505E-3</v>
      </c>
      <c r="BF2219" s="458"/>
      <c r="BG2219" s="458"/>
      <c r="BH2219" s="458"/>
      <c r="BI2219" s="458"/>
      <c r="BJ2219" s="458"/>
      <c r="BK2219" s="458"/>
      <c r="BL2219" s="458"/>
      <c r="BM2219" s="458"/>
      <c r="BN2219" s="458"/>
      <c r="BO2219" s="866">
        <f>VLOOKUP(BD2219,$BD$4:$BN$12824,3,0)*BE2219</f>
        <v>29653.622220738464</v>
      </c>
      <c r="BP2219" s="866"/>
      <c r="BQ2219" s="866"/>
      <c r="BR2219" s="866">
        <f>VLOOKUP(BD2219,$BD$4:$BN$12824,6,0)*BE2219</f>
        <v>49040.980120134816</v>
      </c>
      <c r="BS2219" s="866">
        <f>VLOOKUP(BD2219,$BD$4:$BN$12824,7,0)*BE2219</f>
        <v>2620.812518589109</v>
      </c>
      <c r="BT2219" s="866"/>
      <c r="BU2219" s="866">
        <f>VLOOKUP(BD2219,$BD$4:$BN$12824,9,0)*BE2219</f>
        <v>133.53809174066902</v>
      </c>
      <c r="BV2219" s="867"/>
      <c r="BW2219" s="867">
        <f>VLOOKUP(BD2219,$BD$4:$BN$12824,11,0)*BE2219</f>
        <v>13279.621345322084</v>
      </c>
      <c r="BX2219" s="1146">
        <f t="shared" si="454"/>
        <v>94728.574296525141</v>
      </c>
      <c r="BY2219" s="867">
        <f t="shared" si="455"/>
        <v>94728.574296525141</v>
      </c>
      <c r="BZ2219" s="867">
        <f t="shared" si="456"/>
        <v>94728.574296525141</v>
      </c>
      <c r="CA2219" s="867">
        <f>_xlfn.MAXIFS($BY$4:$BY$12824,$S$4:$S$12824,$S2219)</f>
        <v>94728.574296525141</v>
      </c>
      <c r="CB2219" s="1032"/>
    </row>
    <row r="2220" spans="2:80">
      <c r="B2220" s="839" t="s">
        <v>98</v>
      </c>
      <c r="C2220" s="839" t="s">
        <v>4757</v>
      </c>
      <c r="D2220" s="839" t="s">
        <v>7367</v>
      </c>
      <c r="E2220" s="839" t="s">
        <v>7367</v>
      </c>
      <c r="F2220" s="841">
        <v>46140</v>
      </c>
      <c r="G2220" s="839" t="s">
        <v>4757</v>
      </c>
      <c r="H2220" s="883" t="s">
        <v>102</v>
      </c>
      <c r="I2220" s="883" t="s">
        <v>7368</v>
      </c>
      <c r="J2220" s="841"/>
      <c r="K2220" s="841"/>
      <c r="L2220" s="843" t="s">
        <v>106</v>
      </c>
      <c r="M2220" s="844" t="s">
        <v>107</v>
      </c>
      <c r="N2220" s="841"/>
      <c r="O2220" s="884"/>
      <c r="P2220" s="842"/>
      <c r="Q2220" s="843"/>
      <c r="R2220" s="845"/>
      <c r="S2220" s="1127" t="s">
        <v>7369</v>
      </c>
      <c r="T2220" s="843" t="s">
        <v>7370</v>
      </c>
      <c r="U2220" s="886">
        <v>1</v>
      </c>
      <c r="V2220" s="842" t="s">
        <v>3</v>
      </c>
      <c r="W2220" s="846">
        <v>560</v>
      </c>
      <c r="X2220" s="847">
        <f t="shared" si="461"/>
        <v>560</v>
      </c>
      <c r="Y2220" s="853">
        <v>0.45</v>
      </c>
      <c r="Z2220" s="849">
        <v>308</v>
      </c>
      <c r="AA2220" s="849"/>
      <c r="AB2220" s="849">
        <f t="shared" ref="AB2220:AB2231" si="462">IF(AA2220="F.O.C", 0, Z2220*U2220)</f>
        <v>308</v>
      </c>
      <c r="AC2220" s="850">
        <f t="shared" ref="AC2220:AC2231" si="463">Z2220*U2220</f>
        <v>308</v>
      </c>
      <c r="AD2220" s="851">
        <f t="shared" ref="AD2220:AD2245" si="464">IF(V2220=$AD$2,$AE$2,$AE$3)</f>
        <v>32000</v>
      </c>
      <c r="AE2220" s="852">
        <v>30162.01</v>
      </c>
      <c r="AF2220" s="853">
        <v>0</v>
      </c>
      <c r="AG2220" s="854">
        <f t="shared" ref="AG2220:AG2231" si="465">(AC2220*AE2220+BO2220+BP2220+BQ2220+BS2220)*AF2220</f>
        <v>0</v>
      </c>
      <c r="AH2220" s="853">
        <v>0.08</v>
      </c>
      <c r="AI2220" s="855">
        <f t="shared" ref="AI2220:AI2231" si="466">(AC2220*AE2220+AG2220+BF2220+BG2220+BH2220+BJ2220)*AH2220</f>
        <v>1235271.2864000001</v>
      </c>
      <c r="AJ2220" s="845" t="s">
        <v>7371</v>
      </c>
      <c r="AK2220" s="857">
        <v>46154</v>
      </c>
      <c r="AL2220" s="843">
        <v>6160180876</v>
      </c>
      <c r="AM2220" s="843"/>
      <c r="AN2220" s="844" t="s">
        <v>1612</v>
      </c>
      <c r="AO2220" s="844" t="s">
        <v>1612</v>
      </c>
      <c r="AP2220" s="841"/>
      <c r="AQ2220" s="842"/>
      <c r="AR2220" s="841"/>
      <c r="AS2220" s="842"/>
      <c r="AT2220" s="842"/>
      <c r="AU2220" s="842" t="s">
        <v>1612</v>
      </c>
      <c r="AV2220" s="845" t="s">
        <v>7372</v>
      </c>
      <c r="AW2220" s="861">
        <v>46169</v>
      </c>
      <c r="AX2220" s="862">
        <v>46170</v>
      </c>
      <c r="AY2220" s="843" t="s">
        <v>7373</v>
      </c>
      <c r="AZ2220" s="842">
        <v>94052990</v>
      </c>
      <c r="BA2220" s="842" t="s">
        <v>120</v>
      </c>
      <c r="BB2220" s="863" t="s">
        <v>121</v>
      </c>
      <c r="BC2220" s="864">
        <v>46177</v>
      </c>
      <c r="BD2220" s="860" t="s">
        <v>7374</v>
      </c>
      <c r="BE2220" s="865" cm="1">
        <f t="array" ref="BE2220">IF(BD2220="","",AC2220/SUMPRODUCT(--(BD2220=$BD$4:$BD$12824),$AC$4:$AC$12824))</f>
        <v>1</v>
      </c>
      <c r="BF2220" s="458" cm="1">
        <f t="array" ref="BF2220">SUM(_xlfn._xlws.FILTER( INDEX(Cost!$B$3:$BK$77,MATCH(LDL!$BD2220, Cost!$F$3:$F$77, 0),0),Cost!$B$3:$BK$3 = BF$3))</f>
        <v>6150992</v>
      </c>
      <c r="BG2220" s="458"/>
      <c r="BH2220" s="458"/>
      <c r="BI2220" s="458" cm="1">
        <f t="array" ref="BI2220">SUM(_xlfn._xlws.FILTER( INDEX(Cost!$B$3:$BK$77,MATCH(LDL!$BD2220, Cost!$F$3:$F$77, 0),0),Cost!$B$3:$BK$3 = BI$3))/1.08</f>
        <v>219259.25925925924</v>
      </c>
      <c r="BJ2220" s="458" cm="1">
        <f t="array" ref="BJ2220">SUM(_xlfn._xlws.FILTER( INDEX(Cost!$B$3:$BK$77,MATCH(LDL!$BD2220, Cost!$F$3:$F$77, 0),0),Cost!$B$3:$BK$3 = BJ$3))</f>
        <v>0</v>
      </c>
      <c r="BK2220" s="458"/>
      <c r="BL2220" s="458" cm="1">
        <f t="array" ref="BL2220">SUM(_xlfn._xlws.FILTER( INDEX(Cost!$B$3:$BK$77,MATCH(LDL!$BD2220, Cost!$F$3:$F$77, 0),0),Cost!$B$3:$BK$3 = BL$3))</f>
        <v>20000</v>
      </c>
      <c r="BM2220" s="458"/>
      <c r="BN2220" s="458" cm="1">
        <f t="array" ref="BN2220">SUM(_xlfn._xlws.FILTER( INDEX(Cost!$B$3:$BK$77,MATCH(LDL!$BD2220, Cost!$F$3:$F$77, 0),0),Cost!$B$3:$BK$3 = BN$3))/1.08</f>
        <v>600000</v>
      </c>
      <c r="BO2220" s="866">
        <f>VLOOKUP(BD2220,$BD$4:$BN$12824,3,0)*BE2220</f>
        <v>6150992</v>
      </c>
      <c r="BP2220" s="866"/>
      <c r="BQ2220" s="866"/>
      <c r="BR2220" s="866">
        <f>VLOOKUP(BD2220,$BD$4:$BN$12824,6,0)*BE2220</f>
        <v>219259.25925925924</v>
      </c>
      <c r="BS2220" s="866">
        <f>VLOOKUP(BD2220,$BD$4:$BN$12824,7,0)*BE2220</f>
        <v>0</v>
      </c>
      <c r="BT2220" s="866"/>
      <c r="BU2220" s="866">
        <f>VLOOKUP(BD2220,$BD$4:$BN$12824,9,0)*BE2220</f>
        <v>20000</v>
      </c>
      <c r="BV2220" s="867"/>
      <c r="BW2220" s="867">
        <f>VLOOKUP(BD2220,$BD$4:$BN$12824,11,0)*BE2220</f>
        <v>600000</v>
      </c>
      <c r="BX2220" s="1146">
        <f t="shared" si="454"/>
        <v>6990251.2592592593</v>
      </c>
      <c r="BY2220" s="867">
        <f t="shared" si="455"/>
        <v>16280150.339259259</v>
      </c>
      <c r="BZ2220" s="867">
        <f t="shared" si="456"/>
        <v>16280150.339259259</v>
      </c>
      <c r="CA2220" s="867">
        <f>_xlfn.MAXIFS($BY$4:$BY$12824,$S$4:$S$12824,$S2220)</f>
        <v>16280150.339259259</v>
      </c>
      <c r="CB2220" s="1032"/>
    </row>
    <row r="2221" spans="2:80">
      <c r="B2221" s="839" t="s">
        <v>98</v>
      </c>
      <c r="C2221" s="839" t="s">
        <v>3454</v>
      </c>
      <c r="D2221" s="839" t="s">
        <v>7375</v>
      </c>
      <c r="E2221" s="839" t="s">
        <v>7375</v>
      </c>
      <c r="F2221" s="841"/>
      <c r="G2221" s="839" t="s">
        <v>3456</v>
      </c>
      <c r="H2221" s="883" t="s">
        <v>102</v>
      </c>
      <c r="I2221" s="883"/>
      <c r="J2221" s="841"/>
      <c r="K2221" s="841"/>
      <c r="L2221" s="843" t="s">
        <v>106</v>
      </c>
      <c r="M2221" s="844" t="s">
        <v>107</v>
      </c>
      <c r="N2221" s="841"/>
      <c r="O2221" s="884"/>
      <c r="P2221" s="842"/>
      <c r="Q2221" s="843"/>
      <c r="R2221" s="845" t="s">
        <v>7376</v>
      </c>
      <c r="S2221" s="1127" t="s">
        <v>7376</v>
      </c>
      <c r="T2221" s="843" t="s">
        <v>7377</v>
      </c>
      <c r="U2221" s="886">
        <v>290</v>
      </c>
      <c r="V2221" s="842" t="s">
        <v>8</v>
      </c>
      <c r="W2221" s="846">
        <v>1.6</v>
      </c>
      <c r="X2221" s="847">
        <f t="shared" si="461"/>
        <v>464</v>
      </c>
      <c r="Y2221" s="853">
        <v>0</v>
      </c>
      <c r="Z2221" s="849">
        <v>1.6</v>
      </c>
      <c r="AA2221" s="849"/>
      <c r="AB2221" s="849">
        <f t="shared" si="462"/>
        <v>464</v>
      </c>
      <c r="AC2221" s="850">
        <f t="shared" si="463"/>
        <v>464</v>
      </c>
      <c r="AD2221" s="851">
        <f t="shared" si="464"/>
        <v>27000</v>
      </c>
      <c r="AE2221" s="852">
        <v>27000</v>
      </c>
      <c r="AF2221" s="853">
        <v>0</v>
      </c>
      <c r="AG2221" s="854">
        <f t="shared" si="465"/>
        <v>0</v>
      </c>
      <c r="AH2221" s="853">
        <v>0</v>
      </c>
      <c r="AI2221" s="855">
        <f t="shared" si="466"/>
        <v>0</v>
      </c>
      <c r="AJ2221" s="845"/>
      <c r="AK2221" s="857"/>
      <c r="AL2221" s="843"/>
      <c r="AM2221" s="843"/>
      <c r="AN2221" s="844"/>
      <c r="AO2221" s="844" t="s">
        <v>7188</v>
      </c>
      <c r="AP2221" s="841"/>
      <c r="AQ2221" s="842"/>
      <c r="AR2221" s="841"/>
      <c r="AS2221" s="842"/>
      <c r="AT2221" s="842"/>
      <c r="AU2221" s="844" t="s">
        <v>7188</v>
      </c>
      <c r="AV2221" s="845"/>
      <c r="AW2221" s="861"/>
      <c r="AX2221" s="862"/>
      <c r="AY2221" s="843"/>
      <c r="AZ2221" s="842"/>
      <c r="BA2221" s="842" t="s">
        <v>120</v>
      </c>
      <c r="BB2221" s="863" t="s">
        <v>121</v>
      </c>
      <c r="BC2221" s="864">
        <v>46186</v>
      </c>
      <c r="BD2221" s="860" t="s">
        <v>7378</v>
      </c>
      <c r="BE2221" s="865" cm="1">
        <f t="array" ref="BE2221">IF(BD2221="","",AC2221/SUMPRODUCT(--(BD2221=$BD$4:$BD$12824),$AC$4:$AC$12824))</f>
        <v>0.23622367938744757</v>
      </c>
      <c r="BF2221" s="458" cm="1">
        <f t="array" ref="BF2221">SUM(_xlfn._xlws.FILTER( INDEX(Cost!$B$3:$BK$77,MATCH(LDL!$BD2221, Cost!$F$3:$F$77, 0),0),Cost!$B$3:$BK$3 = BF$3))</f>
        <v>5016960</v>
      </c>
      <c r="BG2221" s="458"/>
      <c r="BH2221" s="458"/>
      <c r="BI2221" s="458" cm="1">
        <f t="array" ref="BI2221">SUM(_xlfn._xlws.FILTER( INDEX(Cost!$B$3:$BK$77,MATCH(LDL!$BD2221, Cost!$F$3:$F$77, 0),0),Cost!$B$3:$BK$3 = BI$3))/1.08</f>
        <v>0</v>
      </c>
      <c r="BJ2221" s="458" cm="1">
        <f t="array" ref="BJ2221">SUM(_xlfn._xlws.FILTER( INDEX(Cost!$B$3:$BK$77,MATCH(LDL!$BD2221, Cost!$F$3:$F$77, 0),0),Cost!$B$3:$BK$3 = BJ$3))</f>
        <v>0</v>
      </c>
      <c r="BK2221" s="458"/>
      <c r="BL2221" s="458" cm="1">
        <f t="array" ref="BL2221">SUM(_xlfn._xlws.FILTER( INDEX(Cost!$B$3:$BK$77,MATCH(LDL!$BD2221, Cost!$F$3:$F$77, 0),0),Cost!$B$3:$BK$3 = BL$3))</f>
        <v>0</v>
      </c>
      <c r="BM2221" s="458"/>
      <c r="BN2221" s="458" cm="1">
        <f t="array" ref="BN2221">SUM(_xlfn._xlws.FILTER( INDEX(Cost!$B$3:$BK$77,MATCH(LDL!$BD2221, Cost!$F$3:$F$77, 0),0),Cost!$B$3:$BK$3 = BN$3))/1.08</f>
        <v>0</v>
      </c>
      <c r="BO2221" s="866">
        <f>VLOOKUP(BD2221,$BD$4:$BN$12824,3,0)*BE2221</f>
        <v>1185124.750539649</v>
      </c>
      <c r="BP2221" s="866"/>
      <c r="BQ2221" s="866"/>
      <c r="BR2221" s="866">
        <f>VLOOKUP(BD2221,$BD$4:$BN$12824,6,0)*BE2221</f>
        <v>0</v>
      </c>
      <c r="BS2221" s="866">
        <f>VLOOKUP(BD2221,$BD$4:$BN$12824,7,0)*BE2221</f>
        <v>0</v>
      </c>
      <c r="BT2221" s="866"/>
      <c r="BU2221" s="866">
        <f>VLOOKUP(BD2221,$BD$4:$BN$12824,9,0)*BE2221</f>
        <v>0</v>
      </c>
      <c r="BV2221" s="867"/>
      <c r="BW2221" s="867">
        <f>VLOOKUP(BD2221,$BD$4:$BN$12824,11,0)*BE2221</f>
        <v>0</v>
      </c>
      <c r="BX2221" s="1146">
        <f t="shared" si="454"/>
        <v>1185124.750539649</v>
      </c>
      <c r="BY2221" s="867">
        <f t="shared" si="455"/>
        <v>47286.637070826378</v>
      </c>
      <c r="BZ2221" s="867">
        <f t="shared" si="456"/>
        <v>13713124.750539649</v>
      </c>
      <c r="CA2221" s="867">
        <f>_xlfn.MAXIFS($BY$4:$BY$12824,$S$4:$S$12824,$S2221)</f>
        <v>47286.637070826378</v>
      </c>
      <c r="CB2221" s="1032"/>
    </row>
    <row r="2222" spans="2:80">
      <c r="B2222" s="839" t="s">
        <v>98</v>
      </c>
      <c r="C2222" s="839" t="s">
        <v>3454</v>
      </c>
      <c r="D2222" s="839" t="s">
        <v>7375</v>
      </c>
      <c r="E2222" s="839" t="s">
        <v>7375</v>
      </c>
      <c r="F2222" s="841"/>
      <c r="G2222" s="839" t="s">
        <v>3456</v>
      </c>
      <c r="H2222" s="883" t="s">
        <v>102</v>
      </c>
      <c r="I2222" s="883"/>
      <c r="J2222" s="841"/>
      <c r="K2222" s="841"/>
      <c r="L2222" s="843" t="s">
        <v>106</v>
      </c>
      <c r="M2222" s="844" t="s">
        <v>107</v>
      </c>
      <c r="N2222" s="841"/>
      <c r="O2222" s="884"/>
      <c r="P2222" s="842"/>
      <c r="Q2222" s="843"/>
      <c r="R2222" s="845" t="s">
        <v>7379</v>
      </c>
      <c r="S2222" s="1127" t="s">
        <v>7379</v>
      </c>
      <c r="T2222" s="843" t="s">
        <v>7380</v>
      </c>
      <c r="U2222" s="886">
        <v>60</v>
      </c>
      <c r="V2222" s="842" t="s">
        <v>8</v>
      </c>
      <c r="W2222" s="846">
        <v>2.1</v>
      </c>
      <c r="X2222" s="847">
        <f t="shared" si="461"/>
        <v>126</v>
      </c>
      <c r="Y2222" s="853">
        <v>0</v>
      </c>
      <c r="Z2222" s="849">
        <v>2.1</v>
      </c>
      <c r="AA2222" s="849"/>
      <c r="AB2222" s="849">
        <f t="shared" si="462"/>
        <v>126</v>
      </c>
      <c r="AC2222" s="850">
        <f t="shared" si="463"/>
        <v>126</v>
      </c>
      <c r="AD2222" s="851">
        <f t="shared" si="464"/>
        <v>27000</v>
      </c>
      <c r="AE2222" s="852">
        <v>27000</v>
      </c>
      <c r="AF2222" s="853">
        <v>0</v>
      </c>
      <c r="AG2222" s="854">
        <f t="shared" si="465"/>
        <v>0</v>
      </c>
      <c r="AH2222" s="853">
        <v>0</v>
      </c>
      <c r="AI2222" s="855">
        <f t="shared" si="466"/>
        <v>0</v>
      </c>
      <c r="AJ2222" s="845"/>
      <c r="AK2222" s="857"/>
      <c r="AL2222" s="843"/>
      <c r="AM2222" s="843"/>
      <c r="AN2222" s="844"/>
      <c r="AO2222" s="844" t="s">
        <v>7188</v>
      </c>
      <c r="AP2222" s="841"/>
      <c r="AQ2222" s="842"/>
      <c r="AR2222" s="841"/>
      <c r="AS2222" s="842"/>
      <c r="AT2222" s="842"/>
      <c r="AU2222" s="844" t="s">
        <v>7188</v>
      </c>
      <c r="AV2222" s="845"/>
      <c r="AW2222" s="861"/>
      <c r="AX2222" s="862"/>
      <c r="AY2222" s="843"/>
      <c r="AZ2222" s="842"/>
      <c r="BA2222" s="842" t="s">
        <v>120</v>
      </c>
      <c r="BB2222" s="863" t="s">
        <v>121</v>
      </c>
      <c r="BC2222" s="864">
        <v>46186</v>
      </c>
      <c r="BD2222" s="860" t="s">
        <v>7378</v>
      </c>
      <c r="BE2222" s="865" cm="1">
        <f t="array" ref="BE2222">IF(BD2222="","",AC2222/SUMPRODUCT(--(BD2222=$BD$4:$BD$12824),$AC$4:$AC$12824))</f>
        <v>6.414694741986722E-2</v>
      </c>
      <c r="BF2222" s="458"/>
      <c r="BG2222" s="458"/>
      <c r="BH2222" s="458"/>
      <c r="BI2222" s="458"/>
      <c r="BJ2222" s="458"/>
      <c r="BK2222" s="458"/>
      <c r="BL2222" s="458"/>
      <c r="BM2222" s="458"/>
      <c r="BN2222" s="458"/>
      <c r="BO2222" s="866">
        <f>VLOOKUP(BD2222,$BD$4:$BN$12824,3,0)*BE2222</f>
        <v>321822.66932757705</v>
      </c>
      <c r="BP2222" s="866"/>
      <c r="BQ2222" s="866"/>
      <c r="BR2222" s="866">
        <f>VLOOKUP(BD2222,$BD$4:$BN$12824,6,0)*BE2222</f>
        <v>0</v>
      </c>
      <c r="BS2222" s="866">
        <f>VLOOKUP(BD2222,$BD$4:$BN$12824,7,0)*BE2222</f>
        <v>0</v>
      </c>
      <c r="BT2222" s="866"/>
      <c r="BU2222" s="866">
        <f>VLOOKUP(BD2222,$BD$4:$BN$12824,9,0)*BE2222</f>
        <v>0</v>
      </c>
      <c r="BV2222" s="867"/>
      <c r="BW2222" s="867">
        <f>VLOOKUP(BD2222,$BD$4:$BN$12824,11,0)*BE2222</f>
        <v>0</v>
      </c>
      <c r="BX2222" s="1146">
        <f t="shared" ref="BX2222:BX2233" si="467">SUM(BO2222:BW2222)</f>
        <v>321822.66932757705</v>
      </c>
      <c r="BY2222" s="867">
        <f t="shared" ref="BY2222:BY2233" si="468">(AB2222*AE2222+AG2222+BX2222)/U2222</f>
        <v>62063.711155459619</v>
      </c>
      <c r="BZ2222" s="867">
        <f t="shared" ref="BZ2222:BZ2233" si="469">BY2222*U2222</f>
        <v>3723822.6693275771</v>
      </c>
      <c r="CA2222" s="867">
        <f>_xlfn.MAXIFS($BY$4:$BY$12824,$S$4:$S$12824,$S2222)</f>
        <v>62063.711155459619</v>
      </c>
      <c r="CB2222" s="1032"/>
    </row>
    <row r="2223" spans="2:80">
      <c r="B2223" s="839" t="s">
        <v>98</v>
      </c>
      <c r="C2223" s="839" t="s">
        <v>3454</v>
      </c>
      <c r="D2223" s="839" t="s">
        <v>7375</v>
      </c>
      <c r="E2223" s="839" t="s">
        <v>7375</v>
      </c>
      <c r="F2223" s="841"/>
      <c r="G2223" s="839" t="s">
        <v>3456</v>
      </c>
      <c r="H2223" s="883" t="s">
        <v>102</v>
      </c>
      <c r="I2223" s="883"/>
      <c r="J2223" s="841"/>
      <c r="K2223" s="841"/>
      <c r="L2223" s="843" t="s">
        <v>106</v>
      </c>
      <c r="M2223" s="844" t="s">
        <v>107</v>
      </c>
      <c r="N2223" s="841"/>
      <c r="O2223" s="884"/>
      <c r="P2223" s="842"/>
      <c r="Q2223" s="843"/>
      <c r="R2223" s="845" t="s">
        <v>7381</v>
      </c>
      <c r="S2223" s="1127" t="s">
        <v>7381</v>
      </c>
      <c r="T2223" s="843" t="s">
        <v>7382</v>
      </c>
      <c r="U2223" s="886">
        <v>5</v>
      </c>
      <c r="V2223" s="842" t="s">
        <v>8</v>
      </c>
      <c r="W2223" s="846">
        <v>0</v>
      </c>
      <c r="X2223" s="847">
        <f t="shared" si="461"/>
        <v>0</v>
      </c>
      <c r="Y2223" s="853">
        <v>0</v>
      </c>
      <c r="Z2223" s="849">
        <v>0</v>
      </c>
      <c r="AA2223" s="849" t="s">
        <v>40</v>
      </c>
      <c r="AB2223" s="849">
        <f t="shared" si="462"/>
        <v>0</v>
      </c>
      <c r="AC2223" s="850">
        <f t="shared" si="463"/>
        <v>0</v>
      </c>
      <c r="AD2223" s="851">
        <f t="shared" si="464"/>
        <v>27000</v>
      </c>
      <c r="AE2223" s="852">
        <v>27000</v>
      </c>
      <c r="AF2223" s="853">
        <v>0</v>
      </c>
      <c r="AG2223" s="854">
        <f t="shared" si="465"/>
        <v>0</v>
      </c>
      <c r="AH2223" s="853">
        <v>0</v>
      </c>
      <c r="AI2223" s="855">
        <f t="shared" si="466"/>
        <v>0</v>
      </c>
      <c r="AJ2223" s="845"/>
      <c r="AK2223" s="857"/>
      <c r="AL2223" s="843"/>
      <c r="AM2223" s="843"/>
      <c r="AN2223" s="844"/>
      <c r="AO2223" s="844" t="s">
        <v>7188</v>
      </c>
      <c r="AP2223" s="841"/>
      <c r="AQ2223" s="842"/>
      <c r="AR2223" s="841"/>
      <c r="AS2223" s="842"/>
      <c r="AT2223" s="842"/>
      <c r="AU2223" s="844" t="s">
        <v>7188</v>
      </c>
      <c r="AV2223" s="845"/>
      <c r="AW2223" s="861"/>
      <c r="AX2223" s="862"/>
      <c r="AY2223" s="843"/>
      <c r="AZ2223" s="842"/>
      <c r="BA2223" s="842" t="s">
        <v>120</v>
      </c>
      <c r="BB2223" s="863" t="s">
        <v>121</v>
      </c>
      <c r="BC2223" s="864">
        <v>46186</v>
      </c>
      <c r="BD2223" s="860" t="s">
        <v>7378</v>
      </c>
      <c r="BE2223" s="865" cm="1">
        <f t="array" ref="BE2223">IF(BD2223="","",AC2223/SUMPRODUCT(--(BD2223=$BD$4:$BD$12824),$AC$4:$AC$12824))</f>
        <v>0</v>
      </c>
      <c r="BF2223" s="458"/>
      <c r="BG2223" s="458"/>
      <c r="BH2223" s="458"/>
      <c r="BI2223" s="458"/>
      <c r="BJ2223" s="458"/>
      <c r="BK2223" s="458"/>
      <c r="BL2223" s="458"/>
      <c r="BM2223" s="458"/>
      <c r="BN2223" s="458"/>
      <c r="BO2223" s="866">
        <f>VLOOKUP(BD2223,$BD$4:$BN$12824,3,0)*BE2223</f>
        <v>0</v>
      </c>
      <c r="BP2223" s="866"/>
      <c r="BQ2223" s="866"/>
      <c r="BR2223" s="866">
        <f>VLOOKUP(BD2223,$BD$4:$BN$12824,6,0)*BE2223</f>
        <v>0</v>
      </c>
      <c r="BS2223" s="866">
        <f>VLOOKUP(BD2223,$BD$4:$BN$12824,7,0)*BE2223</f>
        <v>0</v>
      </c>
      <c r="BT2223" s="866"/>
      <c r="BU2223" s="866">
        <f>VLOOKUP(BD2223,$BD$4:$BN$12824,9,0)*BE2223</f>
        <v>0</v>
      </c>
      <c r="BV2223" s="867"/>
      <c r="BW2223" s="867">
        <f>VLOOKUP(BD2223,$BD$4:$BN$12824,11,0)*BE2223</f>
        <v>0</v>
      </c>
      <c r="BX2223" s="1146">
        <f t="shared" si="467"/>
        <v>0</v>
      </c>
      <c r="BY2223" s="867">
        <f t="shared" si="468"/>
        <v>0</v>
      </c>
      <c r="BZ2223" s="867">
        <f t="shared" si="469"/>
        <v>0</v>
      </c>
      <c r="CA2223" s="867">
        <f>_xlfn.MAXIFS($BY$4:$BY$12824,$S$4:$S$12824,$S2223)</f>
        <v>0</v>
      </c>
      <c r="CB2223" s="1032"/>
    </row>
    <row r="2224" spans="2:80">
      <c r="B2224" s="839" t="s">
        <v>98</v>
      </c>
      <c r="C2224" s="839" t="s">
        <v>3454</v>
      </c>
      <c r="D2224" s="839" t="s">
        <v>7375</v>
      </c>
      <c r="E2224" s="839" t="s">
        <v>7375</v>
      </c>
      <c r="F2224" s="841"/>
      <c r="G2224" s="839" t="s">
        <v>3456</v>
      </c>
      <c r="H2224" s="883" t="s">
        <v>102</v>
      </c>
      <c r="I2224" s="883"/>
      <c r="J2224" s="841"/>
      <c r="K2224" s="841"/>
      <c r="L2224" s="843" t="s">
        <v>106</v>
      </c>
      <c r="M2224" s="844" t="s">
        <v>107</v>
      </c>
      <c r="N2224" s="841"/>
      <c r="O2224" s="884"/>
      <c r="P2224" s="842"/>
      <c r="Q2224" s="843"/>
      <c r="R2224" s="845" t="s">
        <v>7383</v>
      </c>
      <c r="S2224" s="1127" t="s">
        <v>7383</v>
      </c>
      <c r="T2224" s="843" t="s">
        <v>7384</v>
      </c>
      <c r="U2224" s="886">
        <v>260</v>
      </c>
      <c r="V2224" s="842" t="s">
        <v>8</v>
      </c>
      <c r="W2224" s="846">
        <v>0.15</v>
      </c>
      <c r="X2224" s="847">
        <f t="shared" si="461"/>
        <v>39</v>
      </c>
      <c r="Y2224" s="853">
        <v>0</v>
      </c>
      <c r="Z2224" s="849">
        <v>0.15</v>
      </c>
      <c r="AA2224" s="849"/>
      <c r="AB2224" s="849">
        <f t="shared" si="462"/>
        <v>39</v>
      </c>
      <c r="AC2224" s="850">
        <f t="shared" si="463"/>
        <v>39</v>
      </c>
      <c r="AD2224" s="851">
        <f t="shared" si="464"/>
        <v>27000</v>
      </c>
      <c r="AE2224" s="852">
        <v>27000</v>
      </c>
      <c r="AF2224" s="853">
        <v>0</v>
      </c>
      <c r="AG2224" s="854">
        <f t="shared" si="465"/>
        <v>0</v>
      </c>
      <c r="AH2224" s="853">
        <v>0</v>
      </c>
      <c r="AI2224" s="855">
        <f t="shared" si="466"/>
        <v>0</v>
      </c>
      <c r="AJ2224" s="845"/>
      <c r="AK2224" s="857"/>
      <c r="AL2224" s="843"/>
      <c r="AM2224" s="843"/>
      <c r="AN2224" s="844"/>
      <c r="AO2224" s="844" t="s">
        <v>7188</v>
      </c>
      <c r="AP2224" s="841"/>
      <c r="AQ2224" s="842"/>
      <c r="AR2224" s="841"/>
      <c r="AS2224" s="842"/>
      <c r="AT2224" s="842"/>
      <c r="AU2224" s="844" t="s">
        <v>7188</v>
      </c>
      <c r="AV2224" s="845"/>
      <c r="AW2224" s="861"/>
      <c r="AX2224" s="862"/>
      <c r="AY2224" s="843"/>
      <c r="AZ2224" s="842"/>
      <c r="BA2224" s="842" t="s">
        <v>120</v>
      </c>
      <c r="BB2224" s="863" t="s">
        <v>121</v>
      </c>
      <c r="BC2224" s="864">
        <v>46186</v>
      </c>
      <c r="BD2224" s="860" t="s">
        <v>7378</v>
      </c>
      <c r="BE2224" s="865" cm="1">
        <f t="array" ref="BE2224">IF(BD2224="","",AC2224/SUMPRODUCT(--(BD2224=$BD$4:$BD$12824),$AC$4:$AC$12824))</f>
        <v>1.9855007534720807E-2</v>
      </c>
      <c r="BF2224" s="458"/>
      <c r="BG2224" s="458"/>
      <c r="BH2224" s="458"/>
      <c r="BI2224" s="458"/>
      <c r="BJ2224" s="458"/>
      <c r="BK2224" s="458"/>
      <c r="BL2224" s="458"/>
      <c r="BM2224" s="458"/>
      <c r="BN2224" s="458"/>
      <c r="BO2224" s="866">
        <f>VLOOKUP(BD2224,$BD$4:$BN$12824,3,0)*BE2224</f>
        <v>99611.7786013929</v>
      </c>
      <c r="BP2224" s="866"/>
      <c r="BQ2224" s="866"/>
      <c r="BR2224" s="866">
        <f>VLOOKUP(BD2224,$BD$4:$BN$12824,6,0)*BE2224</f>
        <v>0</v>
      </c>
      <c r="BS2224" s="866">
        <f>VLOOKUP(BD2224,$BD$4:$BN$12824,7,0)*BE2224</f>
        <v>0</v>
      </c>
      <c r="BT2224" s="866"/>
      <c r="BU2224" s="866">
        <f>VLOOKUP(BD2224,$BD$4:$BN$12824,9,0)*BE2224</f>
        <v>0</v>
      </c>
      <c r="BV2224" s="867"/>
      <c r="BW2224" s="867">
        <f>VLOOKUP(BD2224,$BD$4:$BN$12824,11,0)*BE2224</f>
        <v>0</v>
      </c>
      <c r="BX2224" s="1146">
        <f t="shared" si="467"/>
        <v>99611.7786013929</v>
      </c>
      <c r="BY2224" s="867">
        <f t="shared" si="468"/>
        <v>4433.1222253899723</v>
      </c>
      <c r="BZ2224" s="867">
        <f t="shared" si="469"/>
        <v>1152611.7786013929</v>
      </c>
      <c r="CA2224" s="867">
        <f>_xlfn.MAXIFS($BY$4:$BY$12824,$S$4:$S$12824,$S2224)</f>
        <v>4433.1222253899723</v>
      </c>
      <c r="CB2224" s="1032"/>
    </row>
    <row r="2225" spans="2:80">
      <c r="B2225" s="839" t="s">
        <v>98</v>
      </c>
      <c r="C2225" s="839" t="s">
        <v>3454</v>
      </c>
      <c r="D2225" s="839" t="s">
        <v>7375</v>
      </c>
      <c r="E2225" s="839" t="s">
        <v>7375</v>
      </c>
      <c r="F2225" s="841"/>
      <c r="G2225" s="839" t="s">
        <v>3456</v>
      </c>
      <c r="H2225" s="883" t="s">
        <v>102</v>
      </c>
      <c r="I2225" s="883"/>
      <c r="J2225" s="841"/>
      <c r="K2225" s="841"/>
      <c r="L2225" s="843" t="s">
        <v>106</v>
      </c>
      <c r="M2225" s="844" t="s">
        <v>107</v>
      </c>
      <c r="N2225" s="841"/>
      <c r="O2225" s="884"/>
      <c r="P2225" s="842"/>
      <c r="Q2225" s="843"/>
      <c r="R2225" s="845" t="s">
        <v>7385</v>
      </c>
      <c r="S2225" s="1127" t="s">
        <v>7385</v>
      </c>
      <c r="T2225" s="843" t="s">
        <v>7386</v>
      </c>
      <c r="U2225" s="886">
        <v>3</v>
      </c>
      <c r="V2225" s="842" t="s">
        <v>8</v>
      </c>
      <c r="W2225" s="846">
        <v>14</v>
      </c>
      <c r="X2225" s="847">
        <f t="shared" si="461"/>
        <v>42</v>
      </c>
      <c r="Y2225" s="853">
        <v>0</v>
      </c>
      <c r="Z2225" s="849">
        <v>14</v>
      </c>
      <c r="AA2225" s="849"/>
      <c r="AB2225" s="849">
        <f t="shared" si="462"/>
        <v>42</v>
      </c>
      <c r="AC2225" s="850">
        <f t="shared" si="463"/>
        <v>42</v>
      </c>
      <c r="AD2225" s="851">
        <f t="shared" si="464"/>
        <v>27000</v>
      </c>
      <c r="AE2225" s="852">
        <v>27000</v>
      </c>
      <c r="AF2225" s="853">
        <v>0</v>
      </c>
      <c r="AG2225" s="854">
        <f t="shared" si="465"/>
        <v>0</v>
      </c>
      <c r="AH2225" s="853">
        <v>0</v>
      </c>
      <c r="AI2225" s="855">
        <f t="shared" si="466"/>
        <v>0</v>
      </c>
      <c r="AJ2225" s="845"/>
      <c r="AK2225" s="857"/>
      <c r="AL2225" s="843"/>
      <c r="AM2225" s="843"/>
      <c r="AN2225" s="844"/>
      <c r="AO2225" s="844" t="s">
        <v>7188</v>
      </c>
      <c r="AP2225" s="841"/>
      <c r="AQ2225" s="842"/>
      <c r="AR2225" s="841"/>
      <c r="AS2225" s="842"/>
      <c r="AT2225" s="842"/>
      <c r="AU2225" s="844" t="s">
        <v>7188</v>
      </c>
      <c r="AV2225" s="845"/>
      <c r="AW2225" s="861"/>
      <c r="AX2225" s="862"/>
      <c r="AY2225" s="843"/>
      <c r="AZ2225" s="842"/>
      <c r="BA2225" s="842" t="s">
        <v>120</v>
      </c>
      <c r="BB2225" s="863" t="s">
        <v>121</v>
      </c>
      <c r="BC2225" s="864">
        <v>46186</v>
      </c>
      <c r="BD2225" s="860" t="s">
        <v>7378</v>
      </c>
      <c r="BE2225" s="865" cm="1">
        <f t="array" ref="BE2225">IF(BD2225="","",AC2225/SUMPRODUCT(--(BD2225=$BD$4:$BD$12824),$AC$4:$AC$12824))</f>
        <v>2.138231580662241E-2</v>
      </c>
      <c r="BF2225" s="458"/>
      <c r="BG2225" s="458"/>
      <c r="BH2225" s="458"/>
      <c r="BI2225" s="458"/>
      <c r="BJ2225" s="458"/>
      <c r="BK2225" s="458"/>
      <c r="BL2225" s="458"/>
      <c r="BM2225" s="458"/>
      <c r="BN2225" s="458"/>
      <c r="BO2225" s="866">
        <f>VLOOKUP(BD2225,$BD$4:$BN$12824,3,0)*BE2225</f>
        <v>107274.22310919236</v>
      </c>
      <c r="BP2225" s="866"/>
      <c r="BQ2225" s="866"/>
      <c r="BR2225" s="866">
        <f>VLOOKUP(BD2225,$BD$4:$BN$12824,6,0)*BE2225</f>
        <v>0</v>
      </c>
      <c r="BS2225" s="866">
        <f>VLOOKUP(BD2225,$BD$4:$BN$12824,7,0)*BE2225</f>
        <v>0</v>
      </c>
      <c r="BT2225" s="866"/>
      <c r="BU2225" s="866">
        <f>VLOOKUP(BD2225,$BD$4:$BN$12824,9,0)*BE2225</f>
        <v>0</v>
      </c>
      <c r="BV2225" s="867"/>
      <c r="BW2225" s="867">
        <f>VLOOKUP(BD2225,$BD$4:$BN$12824,11,0)*BE2225</f>
        <v>0</v>
      </c>
      <c r="BX2225" s="1146">
        <f t="shared" si="467"/>
        <v>107274.22310919236</v>
      </c>
      <c r="BY2225" s="867">
        <f t="shared" si="468"/>
        <v>413758.07436973084</v>
      </c>
      <c r="BZ2225" s="867">
        <f t="shared" si="469"/>
        <v>1241274.2231091924</v>
      </c>
      <c r="CA2225" s="867">
        <f>_xlfn.MAXIFS($BY$4:$BY$12824,$S$4:$S$12824,$S2225)</f>
        <v>413758.07436973084</v>
      </c>
      <c r="CB2225" s="1032"/>
    </row>
    <row r="2226" spans="2:80">
      <c r="B2226" s="839" t="s">
        <v>98</v>
      </c>
      <c r="C2226" s="839" t="s">
        <v>3454</v>
      </c>
      <c r="D2226" s="839" t="s">
        <v>7375</v>
      </c>
      <c r="E2226" s="839" t="s">
        <v>7375</v>
      </c>
      <c r="F2226" s="841"/>
      <c r="G2226" s="839" t="s">
        <v>3456</v>
      </c>
      <c r="H2226" s="883" t="s">
        <v>102</v>
      </c>
      <c r="I2226" s="883"/>
      <c r="J2226" s="841"/>
      <c r="K2226" s="841"/>
      <c r="L2226" s="843" t="s">
        <v>106</v>
      </c>
      <c r="M2226" s="844" t="s">
        <v>107</v>
      </c>
      <c r="N2226" s="841"/>
      <c r="O2226" s="884"/>
      <c r="P2226" s="842"/>
      <c r="Q2226" s="843"/>
      <c r="R2226" s="845" t="s">
        <v>7387</v>
      </c>
      <c r="S2226" s="1127" t="s">
        <v>7387</v>
      </c>
      <c r="T2226" s="843" t="s">
        <v>7388</v>
      </c>
      <c r="U2226" s="886">
        <v>6</v>
      </c>
      <c r="V2226" s="842" t="s">
        <v>8</v>
      </c>
      <c r="W2226" s="846">
        <v>16</v>
      </c>
      <c r="X2226" s="847">
        <f t="shared" si="461"/>
        <v>96</v>
      </c>
      <c r="Y2226" s="853">
        <v>0</v>
      </c>
      <c r="Z2226" s="849">
        <v>16</v>
      </c>
      <c r="AA2226" s="849"/>
      <c r="AB2226" s="849">
        <f t="shared" si="462"/>
        <v>96</v>
      </c>
      <c r="AC2226" s="850">
        <f t="shared" si="463"/>
        <v>96</v>
      </c>
      <c r="AD2226" s="851">
        <f t="shared" si="464"/>
        <v>27000</v>
      </c>
      <c r="AE2226" s="852">
        <v>27000</v>
      </c>
      <c r="AF2226" s="853">
        <v>0</v>
      </c>
      <c r="AG2226" s="854">
        <f t="shared" si="465"/>
        <v>0</v>
      </c>
      <c r="AH2226" s="853">
        <v>0</v>
      </c>
      <c r="AI2226" s="855">
        <f t="shared" si="466"/>
        <v>0</v>
      </c>
      <c r="AJ2226" s="845"/>
      <c r="AK2226" s="857"/>
      <c r="AL2226" s="843"/>
      <c r="AM2226" s="843"/>
      <c r="AN2226" s="844"/>
      <c r="AO2226" s="844" t="s">
        <v>7188</v>
      </c>
      <c r="AP2226" s="841"/>
      <c r="AQ2226" s="842"/>
      <c r="AR2226" s="841"/>
      <c r="AS2226" s="842"/>
      <c r="AT2226" s="842"/>
      <c r="AU2226" s="844" t="s">
        <v>7188</v>
      </c>
      <c r="AV2226" s="845"/>
      <c r="AW2226" s="861"/>
      <c r="AX2226" s="862"/>
      <c r="AY2226" s="843"/>
      <c r="AZ2226" s="842"/>
      <c r="BA2226" s="842" t="s">
        <v>120</v>
      </c>
      <c r="BB2226" s="863" t="s">
        <v>121</v>
      </c>
      <c r="BC2226" s="864">
        <v>46186</v>
      </c>
      <c r="BD2226" s="860" t="s">
        <v>7378</v>
      </c>
      <c r="BE2226" s="865" cm="1">
        <f t="array" ref="BE2226">IF(BD2226="","",AC2226/SUMPRODUCT(--(BD2226=$BD$4:$BD$12824),$AC$4:$AC$12824))</f>
        <v>4.887386470085122E-2</v>
      </c>
      <c r="BF2226" s="458"/>
      <c r="BG2226" s="458"/>
      <c r="BH2226" s="458"/>
      <c r="BI2226" s="458"/>
      <c r="BJ2226" s="458"/>
      <c r="BK2226" s="458"/>
      <c r="BL2226" s="458"/>
      <c r="BM2226" s="458"/>
      <c r="BN2226" s="458"/>
      <c r="BO2226" s="866">
        <f>VLOOKUP(BD2226,$BD$4:$BN$12824,3,0)*BE2226</f>
        <v>245198.22424958253</v>
      </c>
      <c r="BP2226" s="866"/>
      <c r="BQ2226" s="866"/>
      <c r="BR2226" s="866">
        <f>VLOOKUP(BD2226,$BD$4:$BN$12824,6,0)*BE2226</f>
        <v>0</v>
      </c>
      <c r="BS2226" s="866">
        <f>VLOOKUP(BD2226,$BD$4:$BN$12824,7,0)*BE2226</f>
        <v>0</v>
      </c>
      <c r="BT2226" s="866"/>
      <c r="BU2226" s="866">
        <f>VLOOKUP(BD2226,$BD$4:$BN$12824,9,0)*BE2226</f>
        <v>0</v>
      </c>
      <c r="BV2226" s="867"/>
      <c r="BW2226" s="867">
        <f>VLOOKUP(BD2226,$BD$4:$BN$12824,11,0)*BE2226</f>
        <v>0</v>
      </c>
      <c r="BX2226" s="1146">
        <f t="shared" si="467"/>
        <v>245198.22424958253</v>
      </c>
      <c r="BY2226" s="867">
        <f t="shared" si="468"/>
        <v>472866.37070826377</v>
      </c>
      <c r="BZ2226" s="867">
        <f t="shared" si="469"/>
        <v>2837198.2242495827</v>
      </c>
      <c r="CA2226" s="867">
        <f>_xlfn.MAXIFS($BY$4:$BY$12824,$S$4:$S$12824,$S2226)</f>
        <v>472866.37070826377</v>
      </c>
      <c r="CB2226" s="1032"/>
    </row>
    <row r="2227" spans="2:80">
      <c r="B2227" s="839" t="s">
        <v>98</v>
      </c>
      <c r="C2227" s="839" t="s">
        <v>3454</v>
      </c>
      <c r="D2227" s="839" t="s">
        <v>7375</v>
      </c>
      <c r="E2227" s="839" t="s">
        <v>7375</v>
      </c>
      <c r="F2227" s="841"/>
      <c r="G2227" s="839" t="s">
        <v>3456</v>
      </c>
      <c r="H2227" s="883" t="s">
        <v>102</v>
      </c>
      <c r="I2227" s="883"/>
      <c r="J2227" s="841"/>
      <c r="K2227" s="841"/>
      <c r="L2227" s="843" t="s">
        <v>106</v>
      </c>
      <c r="M2227" s="844" t="s">
        <v>107</v>
      </c>
      <c r="N2227" s="841"/>
      <c r="O2227" s="884"/>
      <c r="P2227" s="842"/>
      <c r="Q2227" s="843"/>
      <c r="R2227" s="845" t="s">
        <v>7389</v>
      </c>
      <c r="S2227" s="1127" t="s">
        <v>7389</v>
      </c>
      <c r="T2227" s="843" t="s">
        <v>7390</v>
      </c>
      <c r="U2227" s="886">
        <v>9</v>
      </c>
      <c r="V2227" s="842" t="s">
        <v>8</v>
      </c>
      <c r="W2227" s="846">
        <v>13.3</v>
      </c>
      <c r="X2227" s="847">
        <f t="shared" si="461"/>
        <v>119.7</v>
      </c>
      <c r="Y2227" s="853">
        <v>0</v>
      </c>
      <c r="Z2227" s="849">
        <v>13.3</v>
      </c>
      <c r="AA2227" s="849"/>
      <c r="AB2227" s="849">
        <f t="shared" si="462"/>
        <v>119.7</v>
      </c>
      <c r="AC2227" s="850">
        <f t="shared" si="463"/>
        <v>119.7</v>
      </c>
      <c r="AD2227" s="851">
        <f t="shared" si="464"/>
        <v>27000</v>
      </c>
      <c r="AE2227" s="852">
        <v>27000</v>
      </c>
      <c r="AF2227" s="853">
        <v>0</v>
      </c>
      <c r="AG2227" s="854">
        <f t="shared" si="465"/>
        <v>0</v>
      </c>
      <c r="AH2227" s="853">
        <v>0</v>
      </c>
      <c r="AI2227" s="855">
        <f t="shared" si="466"/>
        <v>0</v>
      </c>
      <c r="AJ2227" s="845"/>
      <c r="AK2227" s="857"/>
      <c r="AL2227" s="843"/>
      <c r="AM2227" s="843"/>
      <c r="AN2227" s="844"/>
      <c r="AO2227" s="844" t="s">
        <v>7188</v>
      </c>
      <c r="AP2227" s="841"/>
      <c r="AQ2227" s="842"/>
      <c r="AR2227" s="841"/>
      <c r="AS2227" s="842"/>
      <c r="AT2227" s="842"/>
      <c r="AU2227" s="844" t="s">
        <v>7188</v>
      </c>
      <c r="AV2227" s="845"/>
      <c r="AW2227" s="861"/>
      <c r="AX2227" s="862"/>
      <c r="AY2227" s="843"/>
      <c r="AZ2227" s="842"/>
      <c r="BA2227" s="842" t="s">
        <v>120</v>
      </c>
      <c r="BB2227" s="863" t="s">
        <v>121</v>
      </c>
      <c r="BC2227" s="864">
        <v>46186</v>
      </c>
      <c r="BD2227" s="860" t="s">
        <v>7378</v>
      </c>
      <c r="BE2227" s="865" cm="1">
        <f t="array" ref="BE2227">IF(BD2227="","",AC2227/SUMPRODUCT(--(BD2227=$BD$4:$BD$12824),$AC$4:$AC$12824))</f>
        <v>6.0939600048873867E-2</v>
      </c>
      <c r="BF2227" s="458"/>
      <c r="BG2227" s="458"/>
      <c r="BH2227" s="458"/>
      <c r="BI2227" s="458"/>
      <c r="BJ2227" s="458"/>
      <c r="BK2227" s="458"/>
      <c r="BL2227" s="458"/>
      <c r="BM2227" s="458"/>
      <c r="BN2227" s="458"/>
      <c r="BO2227" s="866">
        <f>VLOOKUP(BD2227,$BD$4:$BN$12824,3,0)*BE2227</f>
        <v>305731.53586119821</v>
      </c>
      <c r="BP2227" s="866"/>
      <c r="BQ2227" s="866"/>
      <c r="BR2227" s="866">
        <f>VLOOKUP(BD2227,$BD$4:$BN$12824,6,0)*BE2227</f>
        <v>0</v>
      </c>
      <c r="BS2227" s="866">
        <f>VLOOKUP(BD2227,$BD$4:$BN$12824,7,0)*BE2227</f>
        <v>0</v>
      </c>
      <c r="BT2227" s="866"/>
      <c r="BU2227" s="866">
        <f>VLOOKUP(BD2227,$BD$4:$BN$12824,9,0)*BE2227</f>
        <v>0</v>
      </c>
      <c r="BV2227" s="867"/>
      <c r="BW2227" s="867">
        <f>VLOOKUP(BD2227,$BD$4:$BN$12824,11,0)*BE2227</f>
        <v>0</v>
      </c>
      <c r="BX2227" s="1146">
        <f t="shared" si="467"/>
        <v>305731.53586119821</v>
      </c>
      <c r="BY2227" s="867">
        <f t="shared" si="468"/>
        <v>393070.17065124423</v>
      </c>
      <c r="BZ2227" s="867">
        <f t="shared" si="469"/>
        <v>3537631.5358611979</v>
      </c>
      <c r="CA2227" s="867">
        <f>_xlfn.MAXIFS($BY$4:$BY$12824,$S$4:$S$12824,$S2227)</f>
        <v>393070.17065124423</v>
      </c>
      <c r="CB2227" s="1032"/>
    </row>
    <row r="2228" spans="2:80">
      <c r="B2228" s="839" t="s">
        <v>98</v>
      </c>
      <c r="C2228" s="839" t="s">
        <v>3454</v>
      </c>
      <c r="D2228" s="839" t="s">
        <v>7375</v>
      </c>
      <c r="E2228" s="839" t="s">
        <v>7375</v>
      </c>
      <c r="F2228" s="841"/>
      <c r="G2228" s="839" t="s">
        <v>3456</v>
      </c>
      <c r="H2228" s="883" t="s">
        <v>102</v>
      </c>
      <c r="I2228" s="883"/>
      <c r="J2228" s="841"/>
      <c r="K2228" s="841"/>
      <c r="L2228" s="843" t="s">
        <v>106</v>
      </c>
      <c r="M2228" s="844" t="s">
        <v>107</v>
      </c>
      <c r="N2228" s="841"/>
      <c r="O2228" s="884"/>
      <c r="P2228" s="842"/>
      <c r="Q2228" s="843"/>
      <c r="R2228" s="845" t="s">
        <v>7391</v>
      </c>
      <c r="S2228" s="1127" t="s">
        <v>7391</v>
      </c>
      <c r="T2228" s="843" t="s">
        <v>7392</v>
      </c>
      <c r="U2228" s="886">
        <v>8</v>
      </c>
      <c r="V2228" s="842" t="s">
        <v>8</v>
      </c>
      <c r="W2228" s="846">
        <v>10.23</v>
      </c>
      <c r="X2228" s="847">
        <f t="shared" si="461"/>
        <v>81.84</v>
      </c>
      <c r="Y2228" s="853">
        <v>0</v>
      </c>
      <c r="Z2228" s="849">
        <v>10.23</v>
      </c>
      <c r="AA2228" s="849"/>
      <c r="AB2228" s="849">
        <f t="shared" si="462"/>
        <v>81.84</v>
      </c>
      <c r="AC2228" s="850">
        <f t="shared" si="463"/>
        <v>81.84</v>
      </c>
      <c r="AD2228" s="851">
        <f t="shared" si="464"/>
        <v>27000</v>
      </c>
      <c r="AE2228" s="852">
        <v>27000</v>
      </c>
      <c r="AF2228" s="853">
        <v>0</v>
      </c>
      <c r="AG2228" s="854">
        <f t="shared" si="465"/>
        <v>0</v>
      </c>
      <c r="AH2228" s="853">
        <v>0</v>
      </c>
      <c r="AI2228" s="855">
        <f t="shared" si="466"/>
        <v>0</v>
      </c>
      <c r="AJ2228" s="845"/>
      <c r="AK2228" s="857"/>
      <c r="AL2228" s="843"/>
      <c r="AM2228" s="843"/>
      <c r="AN2228" s="844"/>
      <c r="AO2228" s="844" t="s">
        <v>7188</v>
      </c>
      <c r="AP2228" s="841"/>
      <c r="AQ2228" s="842"/>
      <c r="AR2228" s="841"/>
      <c r="AS2228" s="842"/>
      <c r="AT2228" s="842"/>
      <c r="AU2228" s="844" t="s">
        <v>7188</v>
      </c>
      <c r="AV2228" s="845"/>
      <c r="AW2228" s="861"/>
      <c r="AX2228" s="862"/>
      <c r="AY2228" s="843"/>
      <c r="AZ2228" s="842"/>
      <c r="BA2228" s="842" t="s">
        <v>120</v>
      </c>
      <c r="BB2228" s="863" t="s">
        <v>121</v>
      </c>
      <c r="BC2228" s="864">
        <v>46186</v>
      </c>
      <c r="BD2228" s="860" t="s">
        <v>7378</v>
      </c>
      <c r="BE2228" s="865" cm="1">
        <f t="array" ref="BE2228">IF(BD2228="","",AC2228/SUMPRODUCT(--(BD2228=$BD$4:$BD$12824),$AC$4:$AC$12824))</f>
        <v>4.1664969657475667E-2</v>
      </c>
      <c r="BF2228" s="458"/>
      <c r="BG2228" s="458"/>
      <c r="BH2228" s="458"/>
      <c r="BI2228" s="458"/>
      <c r="BJ2228" s="458"/>
      <c r="BK2228" s="458"/>
      <c r="BL2228" s="458"/>
      <c r="BM2228" s="458"/>
      <c r="BN2228" s="458"/>
      <c r="BO2228" s="866">
        <f>VLOOKUP(BD2228,$BD$4:$BN$12824,3,0)*BE2228</f>
        <v>209031.48617276913</v>
      </c>
      <c r="BP2228" s="866"/>
      <c r="BQ2228" s="866"/>
      <c r="BR2228" s="866">
        <f>VLOOKUP(BD2228,$BD$4:$BN$12824,6,0)*BE2228</f>
        <v>0</v>
      </c>
      <c r="BS2228" s="866">
        <f>VLOOKUP(BD2228,$BD$4:$BN$12824,7,0)*BE2228</f>
        <v>0</v>
      </c>
      <c r="BT2228" s="866"/>
      <c r="BU2228" s="866">
        <f>VLOOKUP(BD2228,$BD$4:$BN$12824,9,0)*BE2228</f>
        <v>0</v>
      </c>
      <c r="BV2228" s="867"/>
      <c r="BW2228" s="867">
        <f>VLOOKUP(BD2228,$BD$4:$BN$12824,11,0)*BE2228</f>
        <v>0</v>
      </c>
      <c r="BX2228" s="1146">
        <f t="shared" si="467"/>
        <v>209031.48617276913</v>
      </c>
      <c r="BY2228" s="867">
        <f t="shared" si="468"/>
        <v>302338.93577159615</v>
      </c>
      <c r="BZ2228" s="867">
        <f t="shared" si="469"/>
        <v>2418711.4861727692</v>
      </c>
      <c r="CA2228" s="867">
        <f>_xlfn.MAXIFS($BY$4:$BY$12824,$S$4:$S$12824,$S2228)</f>
        <v>302338.93577159615</v>
      </c>
      <c r="CB2228" s="1032"/>
    </row>
    <row r="2229" spans="2:80">
      <c r="B2229" s="839" t="s">
        <v>98</v>
      </c>
      <c r="C2229" s="839" t="s">
        <v>3454</v>
      </c>
      <c r="D2229" s="839" t="s">
        <v>7375</v>
      </c>
      <c r="E2229" s="839" t="s">
        <v>7375</v>
      </c>
      <c r="F2229" s="841"/>
      <c r="G2229" s="839" t="s">
        <v>3456</v>
      </c>
      <c r="H2229" s="883" t="s">
        <v>102</v>
      </c>
      <c r="I2229" s="883"/>
      <c r="J2229" s="841"/>
      <c r="K2229" s="841"/>
      <c r="L2229" s="843" t="s">
        <v>106</v>
      </c>
      <c r="M2229" s="844" t="s">
        <v>107</v>
      </c>
      <c r="N2229" s="841"/>
      <c r="O2229" s="884"/>
      <c r="P2229" s="842"/>
      <c r="Q2229" s="843"/>
      <c r="R2229" s="845" t="s">
        <v>7393</v>
      </c>
      <c r="S2229" s="1127" t="s">
        <v>7393</v>
      </c>
      <c r="T2229" s="843" t="s">
        <v>7394</v>
      </c>
      <c r="U2229" s="886">
        <v>3</v>
      </c>
      <c r="V2229" s="842" t="s">
        <v>8</v>
      </c>
      <c r="W2229" s="846">
        <v>11.8</v>
      </c>
      <c r="X2229" s="847">
        <f t="shared" si="461"/>
        <v>35.400000000000006</v>
      </c>
      <c r="Y2229" s="853">
        <v>0</v>
      </c>
      <c r="Z2229" s="849">
        <v>11.8</v>
      </c>
      <c r="AA2229" s="849"/>
      <c r="AB2229" s="849">
        <f t="shared" si="462"/>
        <v>35.400000000000006</v>
      </c>
      <c r="AC2229" s="850">
        <f t="shared" si="463"/>
        <v>35.400000000000006</v>
      </c>
      <c r="AD2229" s="851">
        <f t="shared" si="464"/>
        <v>27000</v>
      </c>
      <c r="AE2229" s="852">
        <v>27000</v>
      </c>
      <c r="AF2229" s="853">
        <v>0</v>
      </c>
      <c r="AG2229" s="854">
        <f t="shared" si="465"/>
        <v>0</v>
      </c>
      <c r="AH2229" s="853">
        <v>0</v>
      </c>
      <c r="AI2229" s="855">
        <f t="shared" si="466"/>
        <v>0</v>
      </c>
      <c r="AJ2229" s="845"/>
      <c r="AK2229" s="857"/>
      <c r="AL2229" s="843"/>
      <c r="AM2229" s="843"/>
      <c r="AN2229" s="844"/>
      <c r="AO2229" s="844" t="s">
        <v>7188</v>
      </c>
      <c r="AP2229" s="841"/>
      <c r="AQ2229" s="842"/>
      <c r="AR2229" s="841"/>
      <c r="AS2229" s="842"/>
      <c r="AT2229" s="842"/>
      <c r="AU2229" s="844" t="s">
        <v>7188</v>
      </c>
      <c r="AV2229" s="845"/>
      <c r="AW2229" s="861"/>
      <c r="AX2229" s="862"/>
      <c r="AY2229" s="843"/>
      <c r="AZ2229" s="842"/>
      <c r="BA2229" s="842" t="s">
        <v>120</v>
      </c>
      <c r="BB2229" s="863" t="s">
        <v>121</v>
      </c>
      <c r="BC2229" s="864">
        <v>46186</v>
      </c>
      <c r="BD2229" s="860" t="s">
        <v>7378</v>
      </c>
      <c r="BE2229" s="865" cm="1">
        <f t="array" ref="BE2229">IF(BD2229="","",AC2229/SUMPRODUCT(--(BD2229=$BD$4:$BD$12824),$AC$4:$AC$12824))</f>
        <v>1.802223760843889E-2</v>
      </c>
      <c r="BF2229" s="458"/>
      <c r="BG2229" s="458"/>
      <c r="BH2229" s="458"/>
      <c r="BI2229" s="458"/>
      <c r="BJ2229" s="458"/>
      <c r="BK2229" s="458"/>
      <c r="BL2229" s="458"/>
      <c r="BM2229" s="458"/>
      <c r="BN2229" s="458"/>
      <c r="BO2229" s="866">
        <f>VLOOKUP(BD2229,$BD$4:$BN$12824,3,0)*BE2229</f>
        <v>90416.845192033565</v>
      </c>
      <c r="BP2229" s="866"/>
      <c r="BQ2229" s="866"/>
      <c r="BR2229" s="866">
        <f>VLOOKUP(BD2229,$BD$4:$BN$12824,6,0)*BE2229</f>
        <v>0</v>
      </c>
      <c r="BS2229" s="866">
        <f>VLOOKUP(BD2229,$BD$4:$BN$12824,7,0)*BE2229</f>
        <v>0</v>
      </c>
      <c r="BT2229" s="866"/>
      <c r="BU2229" s="866">
        <f>VLOOKUP(BD2229,$BD$4:$BN$12824,9,0)*BE2229</f>
        <v>0</v>
      </c>
      <c r="BV2229" s="867"/>
      <c r="BW2229" s="867">
        <f>VLOOKUP(BD2229,$BD$4:$BN$12824,11,0)*BE2229</f>
        <v>0</v>
      </c>
      <c r="BX2229" s="1146">
        <f t="shared" si="467"/>
        <v>90416.845192033565</v>
      </c>
      <c r="BY2229" s="867">
        <f t="shared" si="468"/>
        <v>348738.94839734456</v>
      </c>
      <c r="BZ2229" s="867">
        <f t="shared" si="469"/>
        <v>1046216.8451920337</v>
      </c>
      <c r="CA2229" s="867">
        <f>_xlfn.MAXIFS($BY$4:$BY$12824,$S$4:$S$12824,$S2229)</f>
        <v>348738.94839734456</v>
      </c>
      <c r="CB2229" s="1032"/>
    </row>
    <row r="2230" spans="2:80">
      <c r="B2230" s="839" t="s">
        <v>98</v>
      </c>
      <c r="C2230" s="839" t="s">
        <v>3454</v>
      </c>
      <c r="D2230" s="839" t="s">
        <v>7395</v>
      </c>
      <c r="E2230" s="839" t="s">
        <v>7395</v>
      </c>
      <c r="F2230" s="841"/>
      <c r="G2230" s="839" t="s">
        <v>3456</v>
      </c>
      <c r="H2230" s="883" t="s">
        <v>102</v>
      </c>
      <c r="I2230" s="883" t="s">
        <v>7396</v>
      </c>
      <c r="J2230" s="841"/>
      <c r="K2230" s="841"/>
      <c r="L2230" s="843" t="s">
        <v>106</v>
      </c>
      <c r="M2230" s="844" t="s">
        <v>107</v>
      </c>
      <c r="N2230" s="841"/>
      <c r="O2230" s="884"/>
      <c r="P2230" s="842"/>
      <c r="Q2230" s="843"/>
      <c r="R2230" s="845" t="s">
        <v>7397</v>
      </c>
      <c r="S2230" s="1127" t="s">
        <v>7397</v>
      </c>
      <c r="T2230" s="843" t="s">
        <v>7398</v>
      </c>
      <c r="U2230" s="886">
        <v>37</v>
      </c>
      <c r="V2230" s="842" t="s">
        <v>8</v>
      </c>
      <c r="W2230" s="846">
        <v>14.3</v>
      </c>
      <c r="X2230" s="847">
        <f t="shared" si="461"/>
        <v>529.1</v>
      </c>
      <c r="Y2230" s="853">
        <v>0</v>
      </c>
      <c r="Z2230" s="849">
        <v>14.3</v>
      </c>
      <c r="AA2230" s="849"/>
      <c r="AB2230" s="849">
        <f t="shared" si="462"/>
        <v>529.1</v>
      </c>
      <c r="AC2230" s="850">
        <f t="shared" si="463"/>
        <v>529.1</v>
      </c>
      <c r="AD2230" s="851">
        <f t="shared" si="464"/>
        <v>27000</v>
      </c>
      <c r="AE2230" s="852">
        <v>27000</v>
      </c>
      <c r="AF2230" s="853">
        <v>0</v>
      </c>
      <c r="AG2230" s="854">
        <f t="shared" si="465"/>
        <v>0</v>
      </c>
      <c r="AH2230" s="853">
        <v>0</v>
      </c>
      <c r="AI2230" s="855">
        <f t="shared" si="466"/>
        <v>0</v>
      </c>
      <c r="AJ2230" s="845"/>
      <c r="AK2230" s="857"/>
      <c r="AL2230" s="843"/>
      <c r="AM2230" s="843"/>
      <c r="AN2230" s="844"/>
      <c r="AO2230" s="844" t="s">
        <v>7188</v>
      </c>
      <c r="AP2230" s="841"/>
      <c r="AQ2230" s="842"/>
      <c r="AR2230" s="841"/>
      <c r="AS2230" s="842"/>
      <c r="AT2230" s="842"/>
      <c r="AU2230" s="844" t="s">
        <v>7188</v>
      </c>
      <c r="AV2230" s="845"/>
      <c r="AW2230" s="861"/>
      <c r="AX2230" s="862"/>
      <c r="AY2230" s="843"/>
      <c r="AZ2230" s="842"/>
      <c r="BA2230" s="842" t="s">
        <v>120</v>
      </c>
      <c r="BB2230" s="863" t="s">
        <v>121</v>
      </c>
      <c r="BC2230" s="864">
        <v>46186</v>
      </c>
      <c r="BD2230" s="860" t="s">
        <v>7378</v>
      </c>
      <c r="BE2230" s="865" cm="1">
        <f t="array" ref="BE2230">IF(BD2230="","",AC2230/SUMPRODUCT(--(BD2230=$BD$4:$BD$12824),$AC$4:$AC$12824))</f>
        <v>0.26936626888771231</v>
      </c>
      <c r="BF2230" s="458"/>
      <c r="BG2230" s="458"/>
      <c r="BH2230" s="458"/>
      <c r="BI2230" s="458"/>
      <c r="BJ2230" s="458"/>
      <c r="BK2230" s="458"/>
      <c r="BL2230" s="458"/>
      <c r="BM2230" s="458"/>
      <c r="BN2230" s="458"/>
      <c r="BO2230" s="866">
        <f>VLOOKUP(BD2230,$BD$4:$BN$12824,3,0)*BE2230</f>
        <v>1351399.7963588971</v>
      </c>
      <c r="BP2230" s="866"/>
      <c r="BQ2230" s="866"/>
      <c r="BR2230" s="866">
        <f>VLOOKUP(BD2230,$BD$4:$BN$12824,6,0)*BE2230</f>
        <v>0</v>
      </c>
      <c r="BS2230" s="866">
        <f>VLOOKUP(BD2230,$BD$4:$BN$12824,7,0)*BE2230</f>
        <v>0</v>
      </c>
      <c r="BT2230" s="866"/>
      <c r="BU2230" s="866">
        <f>VLOOKUP(BD2230,$BD$4:$BN$12824,9,0)*BE2230</f>
        <v>0</v>
      </c>
      <c r="BV2230" s="867"/>
      <c r="BW2230" s="867">
        <f>VLOOKUP(BD2230,$BD$4:$BN$12824,11,0)*BE2230</f>
        <v>0</v>
      </c>
      <c r="BX2230" s="1146">
        <f t="shared" si="467"/>
        <v>1351399.7963588971</v>
      </c>
      <c r="BY2230" s="867">
        <f t="shared" si="468"/>
        <v>422624.3188205107</v>
      </c>
      <c r="BZ2230" s="867">
        <f t="shared" si="469"/>
        <v>15637099.796358896</v>
      </c>
      <c r="CA2230" s="867">
        <f>_xlfn.MAXIFS($BY$4:$BY$12824,$S$4:$S$12824,$S2230)</f>
        <v>422624.3188205107</v>
      </c>
      <c r="CB2230" s="1032"/>
    </row>
    <row r="2231" spans="2:80">
      <c r="B2231" s="839" t="s">
        <v>98</v>
      </c>
      <c r="C2231" s="839" t="s">
        <v>3454</v>
      </c>
      <c r="D2231" s="839" t="s">
        <v>7395</v>
      </c>
      <c r="E2231" s="839" t="s">
        <v>7395</v>
      </c>
      <c r="F2231" s="841"/>
      <c r="G2231" s="839" t="s">
        <v>3456</v>
      </c>
      <c r="H2231" s="883" t="s">
        <v>102</v>
      </c>
      <c r="I2231" s="883" t="s">
        <v>7396</v>
      </c>
      <c r="J2231" s="841"/>
      <c r="K2231" s="841"/>
      <c r="L2231" s="843" t="s">
        <v>106</v>
      </c>
      <c r="M2231" s="844" t="s">
        <v>107</v>
      </c>
      <c r="N2231" s="841"/>
      <c r="O2231" s="884"/>
      <c r="P2231" s="842"/>
      <c r="Q2231" s="843"/>
      <c r="R2231" s="845" t="s">
        <v>7399</v>
      </c>
      <c r="S2231" s="1127" t="s">
        <v>7399</v>
      </c>
      <c r="T2231" s="843" t="s">
        <v>7400</v>
      </c>
      <c r="U2231" s="886">
        <v>22</v>
      </c>
      <c r="V2231" s="842" t="s">
        <v>8</v>
      </c>
      <c r="W2231" s="846">
        <v>19.600000000000001</v>
      </c>
      <c r="X2231" s="847">
        <f t="shared" si="461"/>
        <v>431.20000000000005</v>
      </c>
      <c r="Y2231" s="853">
        <v>0</v>
      </c>
      <c r="Z2231" s="849">
        <v>19.600000000000001</v>
      </c>
      <c r="AA2231" s="849"/>
      <c r="AB2231" s="849">
        <f t="shared" si="462"/>
        <v>431.20000000000005</v>
      </c>
      <c r="AC2231" s="850">
        <f t="shared" si="463"/>
        <v>431.20000000000005</v>
      </c>
      <c r="AD2231" s="851">
        <f t="shared" si="464"/>
        <v>27000</v>
      </c>
      <c r="AE2231" s="852">
        <v>27000</v>
      </c>
      <c r="AF2231" s="853">
        <v>0</v>
      </c>
      <c r="AG2231" s="854">
        <f t="shared" si="465"/>
        <v>0</v>
      </c>
      <c r="AH2231" s="853">
        <v>0</v>
      </c>
      <c r="AI2231" s="855">
        <f t="shared" si="466"/>
        <v>0</v>
      </c>
      <c r="AJ2231" s="845"/>
      <c r="AK2231" s="857"/>
      <c r="AL2231" s="843"/>
      <c r="AM2231" s="843"/>
      <c r="AN2231" s="844"/>
      <c r="AO2231" s="844" t="s">
        <v>7188</v>
      </c>
      <c r="AP2231" s="841"/>
      <c r="AQ2231" s="842"/>
      <c r="AR2231" s="841"/>
      <c r="AS2231" s="842"/>
      <c r="AT2231" s="842"/>
      <c r="AU2231" s="844" t="s">
        <v>7188</v>
      </c>
      <c r="AV2231" s="845"/>
      <c r="AW2231" s="861"/>
      <c r="AX2231" s="862"/>
      <c r="AY2231" s="843"/>
      <c r="AZ2231" s="842"/>
      <c r="BA2231" s="842" t="s">
        <v>120</v>
      </c>
      <c r="BB2231" s="863" t="s">
        <v>121</v>
      </c>
      <c r="BC2231" s="864">
        <v>46186</v>
      </c>
      <c r="BD2231" s="860" t="s">
        <v>7378</v>
      </c>
      <c r="BE2231" s="865" cm="1">
        <f t="array" ref="BE2231">IF(BD2231="","",AC2231/SUMPRODUCT(--(BD2231=$BD$4:$BD$12824),$AC$4:$AC$12824))</f>
        <v>0.21952510894799007</v>
      </c>
      <c r="BF2231" s="458"/>
      <c r="BG2231" s="458"/>
      <c r="BH2231" s="458"/>
      <c r="BI2231" s="458"/>
      <c r="BJ2231" s="458"/>
      <c r="BK2231" s="458"/>
      <c r="BL2231" s="458"/>
      <c r="BM2231" s="458"/>
      <c r="BN2231" s="458"/>
      <c r="BO2231" s="866">
        <f>VLOOKUP(BD2231,$BD$4:$BN$12824,3,0)*BE2231</f>
        <v>1101348.6905877083</v>
      </c>
      <c r="BP2231" s="866"/>
      <c r="BQ2231" s="866"/>
      <c r="BR2231" s="866">
        <f>VLOOKUP(BD2231,$BD$4:$BN$12824,6,0)*BE2231</f>
        <v>0</v>
      </c>
      <c r="BS2231" s="866">
        <f>VLOOKUP(BD2231,$BD$4:$BN$12824,7,0)*BE2231</f>
        <v>0</v>
      </c>
      <c r="BT2231" s="866"/>
      <c r="BU2231" s="866">
        <f>VLOOKUP(BD2231,$BD$4:$BN$12824,9,0)*BE2231</f>
        <v>0</v>
      </c>
      <c r="BV2231" s="867"/>
      <c r="BW2231" s="867">
        <f>VLOOKUP(BD2231,$BD$4:$BN$12824,11,0)*BE2231</f>
        <v>0</v>
      </c>
      <c r="BX2231" s="1146">
        <f t="shared" si="467"/>
        <v>1101348.6905877083</v>
      </c>
      <c r="BY2231" s="867">
        <f t="shared" si="468"/>
        <v>579261.30411762325</v>
      </c>
      <c r="BZ2231" s="867">
        <f t="shared" si="469"/>
        <v>12743748.690587711</v>
      </c>
      <c r="CA2231" s="867">
        <f>_xlfn.MAXIFS($BY$4:$BY$12824,$S$4:$S$12824,$S2231)</f>
        <v>579261.30411762325</v>
      </c>
      <c r="CB2231" s="1032"/>
    </row>
    <row r="2232" spans="2:80">
      <c r="B2232" s="839" t="s">
        <v>98</v>
      </c>
      <c r="C2232" s="839" t="s">
        <v>273</v>
      </c>
      <c r="D2232" s="839" t="s">
        <v>7401</v>
      </c>
      <c r="E2232" s="839" t="s">
        <v>7402</v>
      </c>
      <c r="F2232" s="841">
        <v>46086</v>
      </c>
      <c r="G2232" s="839" t="s">
        <v>273</v>
      </c>
      <c r="H2232" s="883" t="s">
        <v>102</v>
      </c>
      <c r="I2232" s="883" t="s">
        <v>7403</v>
      </c>
      <c r="J2232" s="841"/>
      <c r="K2232" s="841"/>
      <c r="L2232" s="843" t="s">
        <v>106</v>
      </c>
      <c r="M2232" s="844" t="s">
        <v>275</v>
      </c>
      <c r="N2232" s="841"/>
      <c r="O2232" s="884"/>
      <c r="P2232" s="842"/>
      <c r="Q2232" s="843"/>
      <c r="R2232" s="845">
        <v>11725.24</v>
      </c>
      <c r="S2232" s="1127" t="s">
        <v>7404</v>
      </c>
      <c r="T2232" s="843" t="s">
        <v>7405</v>
      </c>
      <c r="U2232" s="886">
        <v>1</v>
      </c>
      <c r="V2232" s="842" t="s">
        <v>3</v>
      </c>
      <c r="W2232" s="846">
        <v>67.86</v>
      </c>
      <c r="X2232" s="847">
        <f t="shared" si="461"/>
        <v>67.86</v>
      </c>
      <c r="Y2232" s="853">
        <v>0.5</v>
      </c>
      <c r="Z2232" s="849">
        <v>33.92</v>
      </c>
      <c r="AA2232" s="849"/>
      <c r="AB2232" s="849">
        <f t="shared" ref="AB2232:AB2261" si="470">IF(AA2232="F.O.C", 0, Z2232*U2232)</f>
        <v>33.92</v>
      </c>
      <c r="AC2232" s="850">
        <f t="shared" ref="AC2232:AC2261" si="471">Z2232*U2232</f>
        <v>33.92</v>
      </c>
      <c r="AD2232" s="851">
        <f t="shared" si="464"/>
        <v>32000</v>
      </c>
      <c r="AE2232" s="852">
        <v>29845.73</v>
      </c>
      <c r="AF2232" s="853">
        <v>0.1</v>
      </c>
      <c r="AG2232" s="854">
        <f t="shared" ref="AG2232:AG2295" si="472">(AC2232*AE2232+BO2232+BP2232+BQ2232+BS2232)*AF2232</f>
        <v>128532.10807810393</v>
      </c>
      <c r="AH2232" s="853">
        <v>0</v>
      </c>
      <c r="AI2232" s="855">
        <f t="shared" ref="AI2232:AI2295" si="473">(AC2232*AE2232+AG2232+BF2232+BG2232+BH2232+BJ2232)*AH2232</f>
        <v>0</v>
      </c>
      <c r="AJ2232" s="845" t="s">
        <v>7406</v>
      </c>
      <c r="AK2232" s="857">
        <v>46184</v>
      </c>
      <c r="AL2232" s="843" t="s">
        <v>7407</v>
      </c>
      <c r="AM2232" s="843"/>
      <c r="AN2232" s="844"/>
      <c r="AO2232" s="844" t="s">
        <v>116</v>
      </c>
      <c r="AP2232" s="841"/>
      <c r="AQ2232" s="842"/>
      <c r="AR2232" s="841">
        <v>46194</v>
      </c>
      <c r="AS2232" s="842" t="s">
        <v>7408</v>
      </c>
      <c r="AT2232" s="842" t="s">
        <v>1187</v>
      </c>
      <c r="AU2232" s="842" t="s">
        <v>7253</v>
      </c>
      <c r="AV2232" s="845" t="s">
        <v>7409</v>
      </c>
      <c r="AW2232" s="861">
        <v>46197</v>
      </c>
      <c r="AX2232" s="862">
        <v>46198</v>
      </c>
      <c r="AY2232" s="843"/>
      <c r="AZ2232" s="842"/>
      <c r="BA2232" s="842" t="s">
        <v>120</v>
      </c>
      <c r="BB2232" s="863" t="s">
        <v>121</v>
      </c>
      <c r="BC2232" s="864">
        <v>46202</v>
      </c>
      <c r="BD2232" s="860" t="s">
        <v>7410</v>
      </c>
      <c r="BE2232" s="865" cm="1">
        <f t="array" ref="BE2232">IF(BD2232="","",AC2232/SUMPRODUCT(--(BD2232=$BD$4:$BD$12824),$AC$4:$AC$12824))</f>
        <v>1.5097362857460781E-2</v>
      </c>
      <c r="BF2232" s="458" cm="1">
        <f t="array" ref="BF2232">SUM(_xlfn._xlws.FILTER( INDEX(Cost!$B$3:$BK$77,MATCH(LDL!$BD2232, Cost!$F$3:$F$77, 0),0),Cost!$B$3:$BK$3 = BF$3))</f>
        <v>17829576</v>
      </c>
      <c r="BG2232" s="458"/>
      <c r="BH2232" s="458"/>
      <c r="BI2232" s="458" cm="1">
        <f t="array" ref="BI2232">SUM(_xlfn._xlws.FILTER( INDEX(Cost!$B$3:$BK$77,MATCH(LDL!$BD2232, Cost!$F$3:$F$77, 0),0),Cost!$B$3:$BK$3 = BI$3))/1.08</f>
        <v>3145872.222222222</v>
      </c>
      <c r="BJ2232" s="458" cm="1">
        <f t="array" ref="BJ2232">SUM(_xlfn._xlws.FILTER( INDEX(Cost!$B$3:$BK$77,MATCH(LDL!$BD2232, Cost!$F$3:$F$77, 0),0),Cost!$B$3:$BK$3 = BJ$3))</f>
        <v>249999.99999999997</v>
      </c>
      <c r="BK2232" s="458"/>
      <c r="BL2232" s="458" cm="1">
        <f t="array" ref="BL2232">SUM(_xlfn._xlws.FILTER( INDEX(Cost!$B$3:$BK$77,MATCH(LDL!$BD2232, Cost!$F$3:$F$77, 0),0),Cost!$B$3:$BK$3 = BL$3))</f>
        <v>20000</v>
      </c>
      <c r="BM2232" s="458"/>
      <c r="BN2232" s="458" cm="1">
        <f t="array" ref="BN2232">SUM(_xlfn._xlws.FILTER( INDEX(Cost!$B$3:$BK$77,MATCH(LDL!$BD2232, Cost!$F$3:$F$77, 0),0),Cost!$B$3:$BK$3 = BN$3))/1.08</f>
        <v>0</v>
      </c>
      <c r="BO2232" s="866">
        <f>VLOOKUP(BD2232,$BD$4:$BN$12824,3,0)*BE2232</f>
        <v>269179.57846667414</v>
      </c>
      <c r="BP2232" s="866"/>
      <c r="BQ2232" s="866"/>
      <c r="BR2232" s="866">
        <f>VLOOKUP(BD2232,$BD$4:$BN$12824,6,0)*BE2232</f>
        <v>47494.374442095381</v>
      </c>
      <c r="BS2232" s="866">
        <f>VLOOKUP(BD2232,$BD$4:$BN$12824,7,0)*BE2232</f>
        <v>3774.3407143651948</v>
      </c>
      <c r="BT2232" s="866"/>
      <c r="BU2232" s="866">
        <f>VLOOKUP(BD2232,$BD$4:$BN$12824,9,0)*BE2232</f>
        <v>301.9472571492156</v>
      </c>
      <c r="BV2232" s="867"/>
      <c r="BW2232" s="867">
        <f>VLOOKUP(BD2232,$BD$4:$BN$12824,11,0)*BE2232</f>
        <v>0</v>
      </c>
      <c r="BX2232" s="1146">
        <f t="shared" si="467"/>
        <v>320750.24088028393</v>
      </c>
      <c r="BY2232" s="867">
        <f t="shared" si="468"/>
        <v>1461649.510558388</v>
      </c>
      <c r="BZ2232" s="867">
        <f t="shared" si="469"/>
        <v>1461649.510558388</v>
      </c>
      <c r="CA2232" s="867">
        <f>_xlfn.MAXIFS($BY$4:$BY$12824,$S$4:$S$12824,$S2232)</f>
        <v>1461649.510558388</v>
      </c>
      <c r="CB2232" s="1032"/>
    </row>
    <row r="2233" spans="2:80">
      <c r="B2233" s="839" t="s">
        <v>98</v>
      </c>
      <c r="C2233" s="839" t="s">
        <v>273</v>
      </c>
      <c r="D2233" s="839" t="s">
        <v>7401</v>
      </c>
      <c r="E2233" s="839" t="s">
        <v>7402</v>
      </c>
      <c r="F2233" s="841">
        <v>46086</v>
      </c>
      <c r="G2233" s="839" t="s">
        <v>273</v>
      </c>
      <c r="H2233" s="883" t="s">
        <v>102</v>
      </c>
      <c r="I2233" s="883" t="s">
        <v>7403</v>
      </c>
      <c r="J2233" s="841"/>
      <c r="K2233" s="841"/>
      <c r="L2233" s="843" t="s">
        <v>106</v>
      </c>
      <c r="M2233" s="844" t="s">
        <v>275</v>
      </c>
      <c r="N2233" s="841"/>
      <c r="O2233" s="884"/>
      <c r="P2233" s="842"/>
      <c r="Q2233" s="843"/>
      <c r="R2233" s="845">
        <v>14266.24</v>
      </c>
      <c r="S2233" s="1127" t="s">
        <v>2390</v>
      </c>
      <c r="T2233" s="843" t="s">
        <v>4674</v>
      </c>
      <c r="U2233" s="886">
        <v>1</v>
      </c>
      <c r="V2233" s="842" t="s">
        <v>3</v>
      </c>
      <c r="W2233" s="846">
        <v>78.02</v>
      </c>
      <c r="X2233" s="847">
        <f t="shared" si="461"/>
        <v>78.02</v>
      </c>
      <c r="Y2233" s="853">
        <v>0.5</v>
      </c>
      <c r="Z2233" s="849">
        <v>39</v>
      </c>
      <c r="AA2233" s="849"/>
      <c r="AB2233" s="849">
        <f t="shared" si="470"/>
        <v>39</v>
      </c>
      <c r="AC2233" s="850">
        <f t="shared" si="471"/>
        <v>39</v>
      </c>
      <c r="AD2233" s="851">
        <f t="shared" si="464"/>
        <v>32000</v>
      </c>
      <c r="AE2233" s="852">
        <v>29845.73</v>
      </c>
      <c r="AF2233" s="853">
        <v>0.1</v>
      </c>
      <c r="AG2233" s="854">
        <f t="shared" si="472"/>
        <v>147781.61011338601</v>
      </c>
      <c r="AH2233" s="853">
        <v>0</v>
      </c>
      <c r="AI2233" s="855">
        <f t="shared" si="473"/>
        <v>0</v>
      </c>
      <c r="AJ2233" s="845" t="s">
        <v>7406</v>
      </c>
      <c r="AK2233" s="857">
        <v>46184</v>
      </c>
      <c r="AL2233" s="843" t="s">
        <v>7407</v>
      </c>
      <c r="AM2233" s="843"/>
      <c r="AN2233" s="844"/>
      <c r="AO2233" s="844" t="s">
        <v>116</v>
      </c>
      <c r="AP2233" s="841"/>
      <c r="AQ2233" s="842"/>
      <c r="AR2233" s="841">
        <v>46194</v>
      </c>
      <c r="AS2233" s="842" t="s">
        <v>7408</v>
      </c>
      <c r="AT2233" s="842" t="s">
        <v>1187</v>
      </c>
      <c r="AU2233" s="842" t="s">
        <v>7253</v>
      </c>
      <c r="AV2233" s="845" t="s">
        <v>7409</v>
      </c>
      <c r="AW2233" s="861">
        <v>46197</v>
      </c>
      <c r="AX2233" s="862">
        <v>46198</v>
      </c>
      <c r="AY2233" s="843"/>
      <c r="AZ2233" s="842"/>
      <c r="BA2233" s="842" t="s">
        <v>120</v>
      </c>
      <c r="BB2233" s="863" t="s">
        <v>121</v>
      </c>
      <c r="BC2233" s="864">
        <v>46202</v>
      </c>
      <c r="BD2233" s="860" t="s">
        <v>7410</v>
      </c>
      <c r="BE2233" s="865" cm="1">
        <f t="array" ref="BE2233">IF(BD2233="","",AC2233/SUMPRODUCT(--(BD2233=$BD$4:$BD$12824),$AC$4:$AC$12824))</f>
        <v>1.7358406587292759E-2</v>
      </c>
      <c r="BF2233" s="458"/>
      <c r="BG2233" s="458"/>
      <c r="BH2233" s="458"/>
      <c r="BI2233" s="458"/>
      <c r="BJ2233" s="458"/>
      <c r="BK2233" s="458"/>
      <c r="BL2233" s="458"/>
      <c r="BM2233" s="458"/>
      <c r="BN2233" s="458"/>
      <c r="BO2233" s="866">
        <f>VLOOKUP(BD2233,$BD$4:$BN$12824,3,0)*BE2233</f>
        <v>309493.02948703687</v>
      </c>
      <c r="BP2233" s="866"/>
      <c r="BQ2233" s="866"/>
      <c r="BR2233" s="866">
        <f>VLOOKUP(BD2233,$BD$4:$BN$12824,6,0)*BE2233</f>
        <v>54607.329105003533</v>
      </c>
      <c r="BS2233" s="866">
        <f>VLOOKUP(BD2233,$BD$4:$BN$12824,7,0)*BE2233</f>
        <v>4339.6016468231892</v>
      </c>
      <c r="BT2233" s="866"/>
      <c r="BU2233" s="866">
        <f>VLOOKUP(BD2233,$BD$4:$BN$12824,9,0)*BE2233</f>
        <v>347.16813174585519</v>
      </c>
      <c r="BV2233" s="867"/>
      <c r="BW2233" s="867">
        <f>VLOOKUP(BD2233,$BD$4:$BN$12824,11,0)*BE2233</f>
        <v>0</v>
      </c>
      <c r="BX2233" s="1146">
        <f t="shared" si="467"/>
        <v>368787.12837060937</v>
      </c>
      <c r="BY2233" s="867">
        <f t="shared" si="468"/>
        <v>1680552.2084839954</v>
      </c>
      <c r="BZ2233" s="867">
        <f t="shared" si="469"/>
        <v>1680552.2084839954</v>
      </c>
      <c r="CA2233" s="867">
        <f>_xlfn.MAXIFS($BY$4:$BY$12824,$S$4:$S$12824,$S2233)</f>
        <v>1680552.2084839954</v>
      </c>
      <c r="CB2233" s="1032"/>
    </row>
    <row r="2234" spans="2:80">
      <c r="B2234" s="839" t="s">
        <v>98</v>
      </c>
      <c r="C2234" s="839" t="s">
        <v>273</v>
      </c>
      <c r="D2234" s="839" t="s">
        <v>7401</v>
      </c>
      <c r="E2234" s="839" t="s">
        <v>7402</v>
      </c>
      <c r="F2234" s="841">
        <v>46086</v>
      </c>
      <c r="G2234" s="839" t="s">
        <v>273</v>
      </c>
      <c r="H2234" s="883" t="s">
        <v>102</v>
      </c>
      <c r="I2234" s="883" t="s">
        <v>7403</v>
      </c>
      <c r="J2234" s="841"/>
      <c r="K2234" s="841"/>
      <c r="L2234" s="843" t="s">
        <v>106</v>
      </c>
      <c r="M2234" s="844" t="s">
        <v>275</v>
      </c>
      <c r="N2234" s="841"/>
      <c r="O2234" s="884"/>
      <c r="P2234" s="842"/>
      <c r="Q2234" s="843"/>
      <c r="R2234" s="845">
        <v>14266.34</v>
      </c>
      <c r="S2234" s="1127" t="s">
        <v>7411</v>
      </c>
      <c r="T2234" s="843" t="s">
        <v>7412</v>
      </c>
      <c r="U2234" s="886">
        <v>1</v>
      </c>
      <c r="V2234" s="842" t="s">
        <v>3</v>
      </c>
      <c r="W2234" s="846">
        <v>78.02</v>
      </c>
      <c r="X2234" s="847">
        <f t="shared" si="461"/>
        <v>78.02</v>
      </c>
      <c r="Y2234" s="853">
        <v>0.5</v>
      </c>
      <c r="Z2234" s="849">
        <v>39.01</v>
      </c>
      <c r="AA2234" s="849"/>
      <c r="AB2234" s="849">
        <f t="shared" si="470"/>
        <v>39.01</v>
      </c>
      <c r="AC2234" s="850">
        <f t="shared" si="471"/>
        <v>39.01</v>
      </c>
      <c r="AD2234" s="851">
        <f t="shared" si="464"/>
        <v>32000</v>
      </c>
      <c r="AE2234" s="852">
        <v>29845.73</v>
      </c>
      <c r="AF2234" s="853">
        <v>0.1</v>
      </c>
      <c r="AG2234" s="854">
        <f t="shared" si="472"/>
        <v>147819.50283392789</v>
      </c>
      <c r="AH2234" s="853">
        <v>0</v>
      </c>
      <c r="AI2234" s="855">
        <f t="shared" si="473"/>
        <v>0</v>
      </c>
      <c r="AJ2234" s="845" t="s">
        <v>7406</v>
      </c>
      <c r="AK2234" s="857">
        <v>46184</v>
      </c>
      <c r="AL2234" s="843" t="s">
        <v>7407</v>
      </c>
      <c r="AM2234" s="843"/>
      <c r="AN2234" s="844"/>
      <c r="AO2234" s="844" t="s">
        <v>116</v>
      </c>
      <c r="AP2234" s="841"/>
      <c r="AQ2234" s="842"/>
      <c r="AR2234" s="841">
        <v>46194</v>
      </c>
      <c r="AS2234" s="842" t="s">
        <v>7408</v>
      </c>
      <c r="AT2234" s="842" t="s">
        <v>1187</v>
      </c>
      <c r="AU2234" s="842" t="s">
        <v>7253</v>
      </c>
      <c r="AV2234" s="845" t="s">
        <v>7409</v>
      </c>
      <c r="AW2234" s="861">
        <v>46197</v>
      </c>
      <c r="AX2234" s="862">
        <v>46198</v>
      </c>
      <c r="AY2234" s="843"/>
      <c r="AZ2234" s="842"/>
      <c r="BA2234" s="842" t="s">
        <v>120</v>
      </c>
      <c r="BB2234" s="863" t="s">
        <v>121</v>
      </c>
      <c r="BC2234" s="864">
        <v>46202</v>
      </c>
      <c r="BD2234" s="860" t="s">
        <v>7410</v>
      </c>
      <c r="BE2234" s="865" cm="1">
        <f t="array" ref="BE2234">IF(BD2234="","",AC2234/SUMPRODUCT(--(BD2234=$BD$4:$BD$12824),$AC$4:$AC$12824))</f>
        <v>1.736285746077668E-2</v>
      </c>
      <c r="BF2234" s="458"/>
      <c r="BG2234" s="458"/>
      <c r="BH2234" s="458"/>
      <c r="BI2234" s="458"/>
      <c r="BJ2234" s="458"/>
      <c r="BK2234" s="458"/>
      <c r="BL2234" s="458"/>
      <c r="BM2234" s="458"/>
      <c r="BN2234" s="458"/>
      <c r="BO2234" s="866">
        <f>VLOOKUP(BD2234,$BD$4:$BN$12824,3,0)*BE2234</f>
        <v>309572.38667408482</v>
      </c>
      <c r="BP2234" s="866"/>
      <c r="BQ2234" s="866"/>
      <c r="BR2234" s="866">
        <f>VLOOKUP(BD2234,$BD$4:$BN$12824,6,0)*BE2234</f>
        <v>54621.330984261222</v>
      </c>
      <c r="BS2234" s="866">
        <f>VLOOKUP(BD2234,$BD$4:$BN$12824,7,0)*BE2234</f>
        <v>4340.7143651941697</v>
      </c>
      <c r="BT2234" s="866"/>
      <c r="BU2234" s="866">
        <f>VLOOKUP(BD2234,$BD$4:$BN$12824,9,0)*BE2234</f>
        <v>347.25714921553362</v>
      </c>
      <c r="BV2234" s="867"/>
      <c r="BW2234" s="867">
        <f>VLOOKUP(BD2234,$BD$4:$BN$12824,11,0)*BE2234</f>
        <v>0</v>
      </c>
      <c r="BX2234" s="1146">
        <f t="shared" ref="BX2234:BX2261" si="474">SUM(BO2234:BW2234)</f>
        <v>368881.68917275575</v>
      </c>
      <c r="BY2234" s="867">
        <f t="shared" ref="BY2234:BY2260" si="475">(AB2234*AE2234+AG2234+BX2234)/U2234</f>
        <v>1680983.1193066835</v>
      </c>
      <c r="BZ2234" s="867">
        <f t="shared" ref="BZ2234:BZ2261" si="476">BY2234*U2234</f>
        <v>1680983.1193066835</v>
      </c>
      <c r="CA2234" s="867">
        <f>_xlfn.MAXIFS($BY$4:$BY$12824,$S$4:$S$12824,$S2234)</f>
        <v>1680983.1193066835</v>
      </c>
      <c r="CB2234" s="1032"/>
    </row>
    <row r="2235" spans="2:80">
      <c r="B2235" s="839" t="s">
        <v>98</v>
      </c>
      <c r="C2235" s="839" t="s">
        <v>273</v>
      </c>
      <c r="D2235" s="839" t="s">
        <v>7401</v>
      </c>
      <c r="E2235" s="839" t="s">
        <v>7402</v>
      </c>
      <c r="F2235" s="841">
        <v>46086</v>
      </c>
      <c r="G2235" s="839" t="s">
        <v>273</v>
      </c>
      <c r="H2235" s="883" t="s">
        <v>102</v>
      </c>
      <c r="I2235" s="883" t="s">
        <v>7403</v>
      </c>
      <c r="J2235" s="841"/>
      <c r="K2235" s="841"/>
      <c r="L2235" s="843" t="s">
        <v>106</v>
      </c>
      <c r="M2235" s="844" t="s">
        <v>275</v>
      </c>
      <c r="N2235" s="841"/>
      <c r="O2235" s="884"/>
      <c r="P2235" s="842"/>
      <c r="Q2235" s="843"/>
      <c r="R2235" s="845">
        <v>15523.31</v>
      </c>
      <c r="S2235" s="1127" t="s">
        <v>7413</v>
      </c>
      <c r="T2235" s="843" t="s">
        <v>7414</v>
      </c>
      <c r="U2235" s="886">
        <v>1</v>
      </c>
      <c r="V2235" s="842" t="s">
        <v>3</v>
      </c>
      <c r="W2235" s="846">
        <v>65.069999999999993</v>
      </c>
      <c r="X2235" s="847">
        <f t="shared" si="461"/>
        <v>65.069999999999993</v>
      </c>
      <c r="Y2235" s="853">
        <v>0.5</v>
      </c>
      <c r="Z2235" s="849">
        <v>32.54</v>
      </c>
      <c r="AA2235" s="849"/>
      <c r="AB2235" s="849">
        <f t="shared" si="470"/>
        <v>32.54</v>
      </c>
      <c r="AC2235" s="850">
        <f t="shared" si="471"/>
        <v>32.54</v>
      </c>
      <c r="AD2235" s="851">
        <f t="shared" si="464"/>
        <v>32000</v>
      </c>
      <c r="AE2235" s="852">
        <v>29845.73</v>
      </c>
      <c r="AF2235" s="853">
        <v>0.1</v>
      </c>
      <c r="AG2235" s="854">
        <f t="shared" si="472"/>
        <v>123302.91264332259</v>
      </c>
      <c r="AH2235" s="853">
        <v>0</v>
      </c>
      <c r="AI2235" s="855">
        <f t="shared" si="473"/>
        <v>0</v>
      </c>
      <c r="AJ2235" s="845" t="s">
        <v>7406</v>
      </c>
      <c r="AK2235" s="857">
        <v>46184</v>
      </c>
      <c r="AL2235" s="843" t="s">
        <v>7407</v>
      </c>
      <c r="AM2235" s="843"/>
      <c r="AN2235" s="844"/>
      <c r="AO2235" s="844" t="s">
        <v>116</v>
      </c>
      <c r="AP2235" s="841"/>
      <c r="AQ2235" s="842"/>
      <c r="AR2235" s="841">
        <v>46194</v>
      </c>
      <c r="AS2235" s="842" t="s">
        <v>7408</v>
      </c>
      <c r="AT2235" s="842" t="s">
        <v>1187</v>
      </c>
      <c r="AU2235" s="842" t="s">
        <v>7253</v>
      </c>
      <c r="AV2235" s="845" t="s">
        <v>7409</v>
      </c>
      <c r="AW2235" s="861">
        <v>46197</v>
      </c>
      <c r="AX2235" s="862">
        <v>46198</v>
      </c>
      <c r="AY2235" s="843"/>
      <c r="AZ2235" s="842"/>
      <c r="BA2235" s="842" t="s">
        <v>120</v>
      </c>
      <c r="BB2235" s="863" t="s">
        <v>121</v>
      </c>
      <c r="BC2235" s="864">
        <v>46202</v>
      </c>
      <c r="BD2235" s="860" t="s">
        <v>7410</v>
      </c>
      <c r="BE2235" s="865" cm="1">
        <f t="array" ref="BE2235">IF(BD2235="","",AC2235/SUMPRODUCT(--(BD2235=$BD$4:$BD$12824),$AC$4:$AC$12824))</f>
        <v>1.448314231667965E-2</v>
      </c>
      <c r="BF2235" s="458"/>
      <c r="BG2235" s="458"/>
      <c r="BH2235" s="458"/>
      <c r="BI2235" s="458"/>
      <c r="BJ2235" s="458"/>
      <c r="BK2235" s="458"/>
      <c r="BL2235" s="458"/>
      <c r="BM2235" s="458"/>
      <c r="BN2235" s="458"/>
      <c r="BO2235" s="866">
        <f>VLOOKUP(BD2235,$BD$4:$BN$12824,3,0)*BE2235</f>
        <v>258228.2866540559</v>
      </c>
      <c r="BP2235" s="866"/>
      <c r="BQ2235" s="866"/>
      <c r="BR2235" s="866">
        <f>VLOOKUP(BD2235,$BD$4:$BN$12824,6,0)*BE2235</f>
        <v>45562.11510453371</v>
      </c>
      <c r="BS2235" s="866">
        <f>VLOOKUP(BD2235,$BD$4:$BN$12824,7,0)*BE2235</f>
        <v>3620.7855791699121</v>
      </c>
      <c r="BT2235" s="866"/>
      <c r="BU2235" s="866">
        <f>VLOOKUP(BD2235,$BD$4:$BN$12824,9,0)*BE2235</f>
        <v>289.662846333593</v>
      </c>
      <c r="BV2235" s="867"/>
      <c r="BW2235" s="867">
        <f>VLOOKUP(BD2235,$BD$4:$BN$12824,11,0)*BE2235</f>
        <v>0</v>
      </c>
      <c r="BX2235" s="1146">
        <f t="shared" si="474"/>
        <v>307700.85018409311</v>
      </c>
      <c r="BY2235" s="867">
        <f t="shared" si="475"/>
        <v>1402183.8170274156</v>
      </c>
      <c r="BZ2235" s="867">
        <f t="shared" si="476"/>
        <v>1402183.8170274156</v>
      </c>
      <c r="CA2235" s="867">
        <f>_xlfn.MAXIFS($BY$4:$BY$12824,$S$4:$S$12824,$S2235)</f>
        <v>1402183.8170274156</v>
      </c>
      <c r="CB2235" s="1032"/>
    </row>
    <row r="2236" spans="2:80">
      <c r="B2236" s="839" t="s">
        <v>98</v>
      </c>
      <c r="C2236" s="839" t="s">
        <v>273</v>
      </c>
      <c r="D2236" s="839" t="s">
        <v>7401</v>
      </c>
      <c r="E2236" s="839" t="s">
        <v>7402</v>
      </c>
      <c r="F2236" s="841">
        <v>46086</v>
      </c>
      <c r="G2236" s="839" t="s">
        <v>273</v>
      </c>
      <c r="H2236" s="883" t="s">
        <v>102</v>
      </c>
      <c r="I2236" s="883" t="s">
        <v>7403</v>
      </c>
      <c r="J2236" s="841"/>
      <c r="K2236" s="841"/>
      <c r="L2236" s="843" t="s">
        <v>106</v>
      </c>
      <c r="M2236" s="844" t="s">
        <v>275</v>
      </c>
      <c r="N2236" s="841"/>
      <c r="O2236" s="884"/>
      <c r="P2236" s="842"/>
      <c r="Q2236" s="843"/>
      <c r="R2236" s="845">
        <v>18703</v>
      </c>
      <c r="S2236" s="1127" t="s">
        <v>1131</v>
      </c>
      <c r="T2236" s="843" t="s">
        <v>1132</v>
      </c>
      <c r="U2236" s="886">
        <v>2</v>
      </c>
      <c r="V2236" s="842" t="s">
        <v>3</v>
      </c>
      <c r="W2236" s="846">
        <v>2.1800000000000002</v>
      </c>
      <c r="X2236" s="847">
        <f t="shared" si="461"/>
        <v>4.3600000000000003</v>
      </c>
      <c r="Y2236" s="853">
        <v>0.5</v>
      </c>
      <c r="Z2236" s="849">
        <v>1.0900000000000001</v>
      </c>
      <c r="AA2236" s="849"/>
      <c r="AB2236" s="849">
        <f t="shared" si="470"/>
        <v>2.1800000000000002</v>
      </c>
      <c r="AC2236" s="850">
        <f t="shared" si="471"/>
        <v>2.1800000000000002</v>
      </c>
      <c r="AD2236" s="851">
        <f t="shared" si="464"/>
        <v>32000</v>
      </c>
      <c r="AE2236" s="852">
        <v>29845.73</v>
      </c>
      <c r="AF2236" s="853">
        <v>0.1</v>
      </c>
      <c r="AG2236" s="854">
        <f t="shared" si="472"/>
        <v>8260.6130781328593</v>
      </c>
      <c r="AH2236" s="853">
        <v>0</v>
      </c>
      <c r="AI2236" s="855">
        <f t="shared" si="473"/>
        <v>0</v>
      </c>
      <c r="AJ2236" s="845" t="s">
        <v>7406</v>
      </c>
      <c r="AK2236" s="857">
        <v>46184</v>
      </c>
      <c r="AL2236" s="843" t="s">
        <v>7407</v>
      </c>
      <c r="AM2236" s="843"/>
      <c r="AN2236" s="844"/>
      <c r="AO2236" s="844" t="s">
        <v>116</v>
      </c>
      <c r="AP2236" s="841"/>
      <c r="AQ2236" s="842"/>
      <c r="AR2236" s="841">
        <v>46194</v>
      </c>
      <c r="AS2236" s="842" t="s">
        <v>7408</v>
      </c>
      <c r="AT2236" s="842" t="s">
        <v>1187</v>
      </c>
      <c r="AU2236" s="842" t="s">
        <v>7253</v>
      </c>
      <c r="AV2236" s="845" t="s">
        <v>7409</v>
      </c>
      <c r="AW2236" s="861">
        <v>46197</v>
      </c>
      <c r="AX2236" s="862">
        <v>46198</v>
      </c>
      <c r="AY2236" s="843"/>
      <c r="AZ2236" s="842"/>
      <c r="BA2236" s="842" t="s">
        <v>120</v>
      </c>
      <c r="BB2236" s="863" t="s">
        <v>121</v>
      </c>
      <c r="BC2236" s="864">
        <v>46202</v>
      </c>
      <c r="BD2236" s="860" t="s">
        <v>7410</v>
      </c>
      <c r="BE2236" s="865" cm="1">
        <f t="array" ref="BE2236">IF(BD2236="","",AC2236/SUMPRODUCT(--(BD2236=$BD$4:$BD$12824),$AC$4:$AC$12824))</f>
        <v>9.7029041949482609E-4</v>
      </c>
      <c r="BF2236" s="458"/>
      <c r="BG2236" s="458"/>
      <c r="BH2236" s="458"/>
      <c r="BI2236" s="458"/>
      <c r="BJ2236" s="458"/>
      <c r="BK2236" s="458"/>
      <c r="BL2236" s="458"/>
      <c r="BM2236" s="458"/>
      <c r="BN2236" s="458"/>
      <c r="BO2236" s="866">
        <f>VLOOKUP(BD2236,$BD$4:$BN$12824,3,0)*BE2236</f>
        <v>17299.866776454885</v>
      </c>
      <c r="BP2236" s="866"/>
      <c r="BQ2236" s="866"/>
      <c r="BR2236" s="866">
        <f>VLOOKUP(BD2236,$BD$4:$BN$12824,6,0)*BE2236</f>
        <v>3052.4096781771204</v>
      </c>
      <c r="BS2236" s="866">
        <f>VLOOKUP(BD2236,$BD$4:$BN$12824,7,0)*BE2236</f>
        <v>242.5726048737065</v>
      </c>
      <c r="BT2236" s="866"/>
      <c r="BU2236" s="866">
        <f>VLOOKUP(BD2236,$BD$4:$BN$12824,9,0)*BE2236</f>
        <v>19.405808389896521</v>
      </c>
      <c r="BV2236" s="867"/>
      <c r="BW2236" s="867">
        <f>VLOOKUP(BD2236,$BD$4:$BN$12824,11,0)*BE2236</f>
        <v>0</v>
      </c>
      <c r="BX2236" s="1146">
        <f t="shared" si="474"/>
        <v>20614.254867895605</v>
      </c>
      <c r="BY2236" s="867">
        <f t="shared" si="475"/>
        <v>46969.279673014236</v>
      </c>
      <c r="BZ2236" s="867">
        <f t="shared" si="476"/>
        <v>93938.559346028473</v>
      </c>
      <c r="CA2236" s="867">
        <f>_xlfn.MAXIFS($BY$4:$BY$12824,$S$4:$S$12824,$S2236)</f>
        <v>46969.279673014236</v>
      </c>
      <c r="CB2236" s="1032"/>
    </row>
    <row r="2237" spans="2:80">
      <c r="B2237" s="839" t="s">
        <v>98</v>
      </c>
      <c r="C2237" s="839" t="s">
        <v>273</v>
      </c>
      <c r="D2237" s="839" t="s">
        <v>7401</v>
      </c>
      <c r="E2237" s="839" t="s">
        <v>7402</v>
      </c>
      <c r="F2237" s="841">
        <v>46086</v>
      </c>
      <c r="G2237" s="839" t="s">
        <v>273</v>
      </c>
      <c r="H2237" s="883" t="s">
        <v>102</v>
      </c>
      <c r="I2237" s="883" t="s">
        <v>7403</v>
      </c>
      <c r="J2237" s="841"/>
      <c r="K2237" s="841"/>
      <c r="L2237" s="843" t="s">
        <v>106</v>
      </c>
      <c r="M2237" s="844" t="s">
        <v>275</v>
      </c>
      <c r="N2237" s="841"/>
      <c r="O2237" s="884"/>
      <c r="P2237" s="842"/>
      <c r="Q2237" s="843"/>
      <c r="R2237" s="845">
        <v>18707.240000000002</v>
      </c>
      <c r="S2237" s="1127" t="s">
        <v>7415</v>
      </c>
      <c r="T2237" s="843" t="s">
        <v>7416</v>
      </c>
      <c r="U2237" s="886">
        <v>1</v>
      </c>
      <c r="V2237" s="842" t="s">
        <v>3</v>
      </c>
      <c r="W2237" s="846">
        <v>50.65</v>
      </c>
      <c r="X2237" s="847">
        <f t="shared" si="461"/>
        <v>50.65</v>
      </c>
      <c r="Y2237" s="853">
        <v>0.5</v>
      </c>
      <c r="Z2237" s="849">
        <v>25.33</v>
      </c>
      <c r="AA2237" s="849"/>
      <c r="AB2237" s="849">
        <f t="shared" si="470"/>
        <v>25.33</v>
      </c>
      <c r="AC2237" s="850">
        <f t="shared" si="471"/>
        <v>25.33</v>
      </c>
      <c r="AD2237" s="851">
        <f t="shared" si="464"/>
        <v>32000</v>
      </c>
      <c r="AE2237" s="852">
        <v>29845.73</v>
      </c>
      <c r="AF2237" s="853">
        <v>0.1</v>
      </c>
      <c r="AG2237" s="854">
        <f t="shared" si="472"/>
        <v>95982.261132617117</v>
      </c>
      <c r="AH2237" s="853">
        <v>0</v>
      </c>
      <c r="AI2237" s="855">
        <f t="shared" si="473"/>
        <v>0</v>
      </c>
      <c r="AJ2237" s="845" t="s">
        <v>7406</v>
      </c>
      <c r="AK2237" s="857">
        <v>46184</v>
      </c>
      <c r="AL2237" s="843" t="s">
        <v>7407</v>
      </c>
      <c r="AM2237" s="843"/>
      <c r="AN2237" s="844"/>
      <c r="AO2237" s="844" t="s">
        <v>116</v>
      </c>
      <c r="AP2237" s="841"/>
      <c r="AQ2237" s="842"/>
      <c r="AR2237" s="841">
        <v>46194</v>
      </c>
      <c r="AS2237" s="842" t="s">
        <v>7408</v>
      </c>
      <c r="AT2237" s="842" t="s">
        <v>1187</v>
      </c>
      <c r="AU2237" s="842" t="s">
        <v>7253</v>
      </c>
      <c r="AV2237" s="845" t="s">
        <v>7409</v>
      </c>
      <c r="AW2237" s="861">
        <v>46197</v>
      </c>
      <c r="AX2237" s="862">
        <v>46198</v>
      </c>
      <c r="AY2237" s="843"/>
      <c r="AZ2237" s="842"/>
      <c r="BA2237" s="842" t="s">
        <v>120</v>
      </c>
      <c r="BB2237" s="863" t="s">
        <v>121</v>
      </c>
      <c r="BC2237" s="864">
        <v>46202</v>
      </c>
      <c r="BD2237" s="860" t="s">
        <v>7410</v>
      </c>
      <c r="BE2237" s="865" cm="1">
        <f t="array" ref="BE2237">IF(BD2237="","",AC2237/SUMPRODUCT(--(BD2237=$BD$4:$BD$12824),$AC$4:$AC$12824))</f>
        <v>1.127406253477245E-2</v>
      </c>
      <c r="BF2237" s="458"/>
      <c r="BG2237" s="458"/>
      <c r="BH2237" s="458"/>
      <c r="BI2237" s="458"/>
      <c r="BJ2237" s="458"/>
      <c r="BK2237" s="458"/>
      <c r="BL2237" s="458"/>
      <c r="BM2237" s="458"/>
      <c r="BN2237" s="458"/>
      <c r="BO2237" s="866">
        <f>VLOOKUP(BD2237,$BD$4:$BN$12824,3,0)*BE2237</f>
        <v>201011.75479247805</v>
      </c>
      <c r="BP2237" s="866"/>
      <c r="BQ2237" s="866"/>
      <c r="BR2237" s="866">
        <f>VLOOKUP(BD2237,$BD$4:$BN$12824,6,0)*BE2237</f>
        <v>35466.760159736907</v>
      </c>
      <c r="BS2237" s="866">
        <f>VLOOKUP(BD2237,$BD$4:$BN$12824,7,0)*BE2237</f>
        <v>2818.5156336931122</v>
      </c>
      <c r="BT2237" s="866"/>
      <c r="BU2237" s="866">
        <f>VLOOKUP(BD2237,$BD$4:$BN$12824,9,0)*BE2237</f>
        <v>225.48125069544901</v>
      </c>
      <c r="BV2237" s="867"/>
      <c r="BW2237" s="867">
        <f>VLOOKUP(BD2237,$BD$4:$BN$12824,11,0)*BE2237</f>
        <v>0</v>
      </c>
      <c r="BX2237" s="1146">
        <f t="shared" si="474"/>
        <v>239522.51183660352</v>
      </c>
      <c r="BY2237" s="867">
        <f t="shared" si="475"/>
        <v>1091497.1138692205</v>
      </c>
      <c r="BZ2237" s="867">
        <f t="shared" si="476"/>
        <v>1091497.1138692205</v>
      </c>
      <c r="CA2237" s="867">
        <f>_xlfn.MAXIFS($BY$4:$BY$12824,$S$4:$S$12824,$S2237)</f>
        <v>1091497.1138692205</v>
      </c>
      <c r="CB2237" s="1032"/>
    </row>
    <row r="2238" spans="2:80">
      <c r="B2238" s="839" t="s">
        <v>98</v>
      </c>
      <c r="C2238" s="839" t="s">
        <v>273</v>
      </c>
      <c r="D2238" s="839" t="s">
        <v>7401</v>
      </c>
      <c r="E2238" s="839" t="s">
        <v>7402</v>
      </c>
      <c r="F2238" s="841">
        <v>46086</v>
      </c>
      <c r="G2238" s="839" t="s">
        <v>273</v>
      </c>
      <c r="H2238" s="883" t="s">
        <v>102</v>
      </c>
      <c r="I2238" s="883" t="s">
        <v>7403</v>
      </c>
      <c r="J2238" s="841"/>
      <c r="K2238" s="841"/>
      <c r="L2238" s="843" t="s">
        <v>106</v>
      </c>
      <c r="M2238" s="844" t="s">
        <v>275</v>
      </c>
      <c r="N2238" s="841"/>
      <c r="O2238" s="884"/>
      <c r="P2238" s="842"/>
      <c r="Q2238" s="843"/>
      <c r="R2238" s="845">
        <v>18710</v>
      </c>
      <c r="S2238" s="1127" t="s">
        <v>7417</v>
      </c>
      <c r="T2238" s="843" t="s">
        <v>7418</v>
      </c>
      <c r="U2238" s="886">
        <v>2</v>
      </c>
      <c r="V2238" s="842" t="s">
        <v>3</v>
      </c>
      <c r="W2238" s="846">
        <v>14.78</v>
      </c>
      <c r="X2238" s="847">
        <f t="shared" si="461"/>
        <v>29.56</v>
      </c>
      <c r="Y2238" s="853">
        <v>0.5</v>
      </c>
      <c r="Z2238" s="849">
        <v>7.39</v>
      </c>
      <c r="AA2238" s="849"/>
      <c r="AB2238" s="849">
        <f t="shared" si="470"/>
        <v>14.78</v>
      </c>
      <c r="AC2238" s="850">
        <f t="shared" si="471"/>
        <v>14.78</v>
      </c>
      <c r="AD2238" s="851">
        <f t="shared" si="464"/>
        <v>32000</v>
      </c>
      <c r="AE2238" s="852">
        <v>29845.73</v>
      </c>
      <c r="AF2238" s="853">
        <v>0.1</v>
      </c>
      <c r="AG2238" s="854">
        <f t="shared" si="472"/>
        <v>56005.440960919113</v>
      </c>
      <c r="AH2238" s="853">
        <v>0</v>
      </c>
      <c r="AI2238" s="855">
        <f t="shared" si="473"/>
        <v>0</v>
      </c>
      <c r="AJ2238" s="845" t="s">
        <v>7406</v>
      </c>
      <c r="AK2238" s="857">
        <v>46184</v>
      </c>
      <c r="AL2238" s="843" t="s">
        <v>7407</v>
      </c>
      <c r="AM2238" s="843"/>
      <c r="AN2238" s="844"/>
      <c r="AO2238" s="844" t="s">
        <v>116</v>
      </c>
      <c r="AP2238" s="841"/>
      <c r="AQ2238" s="842"/>
      <c r="AR2238" s="841">
        <v>46194</v>
      </c>
      <c r="AS2238" s="842" t="s">
        <v>7408</v>
      </c>
      <c r="AT2238" s="842" t="s">
        <v>1187</v>
      </c>
      <c r="AU2238" s="842" t="s">
        <v>7253</v>
      </c>
      <c r="AV2238" s="845" t="s">
        <v>7409</v>
      </c>
      <c r="AW2238" s="861">
        <v>46197</v>
      </c>
      <c r="AX2238" s="862">
        <v>46198</v>
      </c>
      <c r="AY2238" s="843"/>
      <c r="AZ2238" s="842"/>
      <c r="BA2238" s="842" t="s">
        <v>120</v>
      </c>
      <c r="BB2238" s="863" t="s">
        <v>121</v>
      </c>
      <c r="BC2238" s="864">
        <v>46202</v>
      </c>
      <c r="BD2238" s="860" t="s">
        <v>7410</v>
      </c>
      <c r="BE2238" s="865" cm="1">
        <f t="array" ref="BE2238">IF(BD2238="","",AC2238/SUMPRODUCT(--(BD2238=$BD$4:$BD$12824),$AC$4:$AC$12824))</f>
        <v>6.5783910092355631E-3</v>
      </c>
      <c r="BF2238" s="458"/>
      <c r="BG2238" s="458"/>
      <c r="BH2238" s="458"/>
      <c r="BI2238" s="458"/>
      <c r="BJ2238" s="458"/>
      <c r="BK2238" s="458"/>
      <c r="BL2238" s="458"/>
      <c r="BM2238" s="458"/>
      <c r="BN2238" s="458"/>
      <c r="BO2238" s="866">
        <f>VLOOKUP(BD2238,$BD$4:$BN$12824,3,0)*BE2238</f>
        <v>117289.92245688218</v>
      </c>
      <c r="BP2238" s="866"/>
      <c r="BQ2238" s="866"/>
      <c r="BR2238" s="866">
        <f>VLOOKUP(BD2238,$BD$4:$BN$12824,6,0)*BE2238</f>
        <v>20694.777542870568</v>
      </c>
      <c r="BS2238" s="866">
        <f>VLOOKUP(BD2238,$BD$4:$BN$12824,7,0)*BE2238</f>
        <v>1644.5977523088907</v>
      </c>
      <c r="BT2238" s="866"/>
      <c r="BU2238" s="866">
        <f>VLOOKUP(BD2238,$BD$4:$BN$12824,9,0)*BE2238</f>
        <v>131.56782018471125</v>
      </c>
      <c r="BV2238" s="867"/>
      <c r="BW2238" s="867">
        <f>VLOOKUP(BD2238,$BD$4:$BN$12824,11,0)*BE2238</f>
        <v>0</v>
      </c>
      <c r="BX2238" s="1146">
        <f t="shared" si="474"/>
        <v>139760.86557224634</v>
      </c>
      <c r="BY2238" s="867">
        <f t="shared" si="475"/>
        <v>318443.09796658275</v>
      </c>
      <c r="BZ2238" s="867">
        <f t="shared" si="476"/>
        <v>636886.19593316549</v>
      </c>
      <c r="CA2238" s="867">
        <f>_xlfn.MAXIFS($BY$4:$BY$12824,$S$4:$S$12824,$S2238)</f>
        <v>318443.09796658275</v>
      </c>
      <c r="CB2238" s="1032"/>
    </row>
    <row r="2239" spans="2:80">
      <c r="B2239" s="839" t="s">
        <v>98</v>
      </c>
      <c r="C2239" s="839" t="s">
        <v>273</v>
      </c>
      <c r="D2239" s="839" t="s">
        <v>7401</v>
      </c>
      <c r="E2239" s="839" t="s">
        <v>7402</v>
      </c>
      <c r="F2239" s="841">
        <v>46086</v>
      </c>
      <c r="G2239" s="839" t="s">
        <v>273</v>
      </c>
      <c r="H2239" s="883" t="s">
        <v>102</v>
      </c>
      <c r="I2239" s="883" t="s">
        <v>7403</v>
      </c>
      <c r="J2239" s="841"/>
      <c r="K2239" s="841"/>
      <c r="L2239" s="843" t="s">
        <v>106</v>
      </c>
      <c r="M2239" s="844" t="s">
        <v>275</v>
      </c>
      <c r="N2239" s="841"/>
      <c r="O2239" s="884"/>
      <c r="P2239" s="842"/>
      <c r="Q2239" s="843"/>
      <c r="R2239" s="845">
        <v>18715</v>
      </c>
      <c r="S2239" s="1127" t="s">
        <v>7419</v>
      </c>
      <c r="T2239" s="843" t="s">
        <v>7420</v>
      </c>
      <c r="U2239" s="886">
        <v>2</v>
      </c>
      <c r="V2239" s="842" t="s">
        <v>3</v>
      </c>
      <c r="W2239" s="846">
        <v>2.58</v>
      </c>
      <c r="X2239" s="847">
        <f t="shared" si="461"/>
        <v>5.16</v>
      </c>
      <c r="Y2239" s="853">
        <v>0.5</v>
      </c>
      <c r="Z2239" s="849">
        <v>1.29</v>
      </c>
      <c r="AA2239" s="849"/>
      <c r="AB2239" s="849">
        <f t="shared" si="470"/>
        <v>2.58</v>
      </c>
      <c r="AC2239" s="850">
        <f t="shared" si="471"/>
        <v>2.58</v>
      </c>
      <c r="AD2239" s="851">
        <f t="shared" si="464"/>
        <v>32000</v>
      </c>
      <c r="AE2239" s="852">
        <v>29845.73</v>
      </c>
      <c r="AF2239" s="853">
        <v>0.1</v>
      </c>
      <c r="AG2239" s="854">
        <f t="shared" si="472"/>
        <v>9776.321899808614</v>
      </c>
      <c r="AH2239" s="853">
        <v>0</v>
      </c>
      <c r="AI2239" s="855">
        <f t="shared" si="473"/>
        <v>0</v>
      </c>
      <c r="AJ2239" s="845" t="s">
        <v>7406</v>
      </c>
      <c r="AK2239" s="857">
        <v>46184</v>
      </c>
      <c r="AL2239" s="843" t="s">
        <v>7407</v>
      </c>
      <c r="AM2239" s="843"/>
      <c r="AN2239" s="844"/>
      <c r="AO2239" s="844" t="s">
        <v>116</v>
      </c>
      <c r="AP2239" s="841"/>
      <c r="AQ2239" s="842"/>
      <c r="AR2239" s="841">
        <v>46194</v>
      </c>
      <c r="AS2239" s="842" t="s">
        <v>7408</v>
      </c>
      <c r="AT2239" s="842" t="s">
        <v>1187</v>
      </c>
      <c r="AU2239" s="842" t="s">
        <v>7253</v>
      </c>
      <c r="AV2239" s="845" t="s">
        <v>7409</v>
      </c>
      <c r="AW2239" s="861">
        <v>46197</v>
      </c>
      <c r="AX2239" s="862">
        <v>46198</v>
      </c>
      <c r="AY2239" s="843"/>
      <c r="AZ2239" s="842"/>
      <c r="BA2239" s="842" t="s">
        <v>120</v>
      </c>
      <c r="BB2239" s="863" t="s">
        <v>121</v>
      </c>
      <c r="BC2239" s="864">
        <v>46202</v>
      </c>
      <c r="BD2239" s="860" t="s">
        <v>7410</v>
      </c>
      <c r="BE2239" s="865" cm="1">
        <f t="array" ref="BE2239">IF(BD2239="","",AC2239/SUMPRODUCT(--(BD2239=$BD$4:$BD$12824),$AC$4:$AC$12824))</f>
        <v>1.1483253588516749E-3</v>
      </c>
      <c r="BF2239" s="458"/>
      <c r="BG2239" s="458"/>
      <c r="BH2239" s="458"/>
      <c r="BI2239" s="458"/>
      <c r="BJ2239" s="458"/>
      <c r="BK2239" s="458"/>
      <c r="BL2239" s="458"/>
      <c r="BM2239" s="458"/>
      <c r="BN2239" s="458"/>
      <c r="BO2239" s="866">
        <f>VLOOKUP(BD2239,$BD$4:$BN$12824,3,0)*BE2239</f>
        <v>20474.154258373212</v>
      </c>
      <c r="BP2239" s="866"/>
      <c r="BQ2239" s="866"/>
      <c r="BR2239" s="866">
        <f>VLOOKUP(BD2239,$BD$4:$BN$12824,6,0)*BE2239</f>
        <v>3612.484848484849</v>
      </c>
      <c r="BS2239" s="866">
        <f>VLOOKUP(BD2239,$BD$4:$BN$12824,7,0)*BE2239</f>
        <v>287.08133971291869</v>
      </c>
      <c r="BT2239" s="866"/>
      <c r="BU2239" s="866">
        <f>VLOOKUP(BD2239,$BD$4:$BN$12824,9,0)*BE2239</f>
        <v>22.966507177033499</v>
      </c>
      <c r="BV2239" s="867"/>
      <c r="BW2239" s="867">
        <f>VLOOKUP(BD2239,$BD$4:$BN$12824,11,0)*BE2239</f>
        <v>0</v>
      </c>
      <c r="BX2239" s="1146">
        <f t="shared" si="474"/>
        <v>24396.686953748012</v>
      </c>
      <c r="BY2239" s="867">
        <f t="shared" si="475"/>
        <v>55587.496126778307</v>
      </c>
      <c r="BZ2239" s="867">
        <f t="shared" si="476"/>
        <v>111174.99225355661</v>
      </c>
      <c r="CA2239" s="867">
        <f>_xlfn.MAXIFS($BY$4:$BY$12824,$S$4:$S$12824,$S2239)</f>
        <v>55587.496126778307</v>
      </c>
      <c r="CB2239" s="1032"/>
    </row>
    <row r="2240" spans="2:80">
      <c r="B2240" s="839" t="s">
        <v>98</v>
      </c>
      <c r="C2240" s="839" t="s">
        <v>273</v>
      </c>
      <c r="D2240" s="839" t="s">
        <v>7401</v>
      </c>
      <c r="E2240" s="839" t="s">
        <v>7421</v>
      </c>
      <c r="F2240" s="841">
        <v>46113</v>
      </c>
      <c r="G2240" s="839" t="s">
        <v>273</v>
      </c>
      <c r="H2240" s="883" t="s">
        <v>102</v>
      </c>
      <c r="I2240" s="883" t="s">
        <v>7422</v>
      </c>
      <c r="J2240" s="841"/>
      <c r="K2240" s="841"/>
      <c r="L2240" s="843" t="s">
        <v>106</v>
      </c>
      <c r="M2240" s="844" t="s">
        <v>275</v>
      </c>
      <c r="N2240" s="841"/>
      <c r="O2240" s="884"/>
      <c r="P2240" s="842"/>
      <c r="Q2240" s="843"/>
      <c r="R2240" s="845" t="s">
        <v>7423</v>
      </c>
      <c r="S2240" s="1127" t="s">
        <v>6334</v>
      </c>
      <c r="T2240" s="843" t="s">
        <v>6335</v>
      </c>
      <c r="U2240" s="886">
        <v>28</v>
      </c>
      <c r="V2240" s="842" t="s">
        <v>3</v>
      </c>
      <c r="W2240" s="846">
        <v>34.43</v>
      </c>
      <c r="X2240" s="847">
        <f t="shared" si="461"/>
        <v>964.04</v>
      </c>
      <c r="Y2240" s="853" t="s">
        <v>6255</v>
      </c>
      <c r="Z2240" s="849">
        <v>17.22</v>
      </c>
      <c r="AA2240" s="849"/>
      <c r="AB2240" s="849">
        <f t="shared" si="470"/>
        <v>482.15999999999997</v>
      </c>
      <c r="AC2240" s="850">
        <f t="shared" si="471"/>
        <v>482.15999999999997</v>
      </c>
      <c r="AD2240" s="851">
        <f t="shared" si="464"/>
        <v>32000</v>
      </c>
      <c r="AE2240" s="852">
        <v>29845.73</v>
      </c>
      <c r="AF2240" s="853">
        <v>0.1</v>
      </c>
      <c r="AG2240" s="854">
        <f t="shared" si="472"/>
        <v>1827035.4136479539</v>
      </c>
      <c r="AH2240" s="853">
        <v>0</v>
      </c>
      <c r="AI2240" s="855">
        <f t="shared" si="473"/>
        <v>0</v>
      </c>
      <c r="AJ2240" s="845" t="s">
        <v>7406</v>
      </c>
      <c r="AK2240" s="857">
        <v>46184</v>
      </c>
      <c r="AL2240" s="843" t="s">
        <v>7407</v>
      </c>
      <c r="AM2240" s="843"/>
      <c r="AN2240" s="844"/>
      <c r="AO2240" s="844" t="s">
        <v>116</v>
      </c>
      <c r="AP2240" s="841"/>
      <c r="AQ2240" s="842"/>
      <c r="AR2240" s="841">
        <v>46194</v>
      </c>
      <c r="AS2240" s="842" t="s">
        <v>7408</v>
      </c>
      <c r="AT2240" s="842" t="s">
        <v>1187</v>
      </c>
      <c r="AU2240" s="842" t="s">
        <v>7253</v>
      </c>
      <c r="AV2240" s="845" t="s">
        <v>7409</v>
      </c>
      <c r="AW2240" s="861">
        <v>46197</v>
      </c>
      <c r="AX2240" s="862">
        <v>46198</v>
      </c>
      <c r="AY2240" s="843"/>
      <c r="AZ2240" s="842"/>
      <c r="BA2240" s="842" t="s">
        <v>120</v>
      </c>
      <c r="BB2240" s="863" t="s">
        <v>121</v>
      </c>
      <c r="BC2240" s="864">
        <v>46202</v>
      </c>
      <c r="BD2240" s="860" t="s">
        <v>7410</v>
      </c>
      <c r="BE2240" s="865" cm="1">
        <f t="array" ref="BE2240">IF(BD2240="","",AC2240/SUMPRODUCT(--(BD2240=$BD$4:$BD$12824),$AC$4:$AC$12824))</f>
        <v>0.21460331590074555</v>
      </c>
      <c r="BF2240" s="458"/>
      <c r="BG2240" s="458"/>
      <c r="BH2240" s="458"/>
      <c r="BI2240" s="458"/>
      <c r="BJ2240" s="458"/>
      <c r="BK2240" s="458"/>
      <c r="BL2240" s="458"/>
      <c r="BM2240" s="458"/>
      <c r="BN2240" s="458"/>
      <c r="BO2240" s="866">
        <f>VLOOKUP(BD2240,$BD$4:$BN$12824,3,0)*BE2240</f>
        <v>3826286.1307043512</v>
      </c>
      <c r="BP2240" s="866"/>
      <c r="BQ2240" s="866"/>
      <c r="BR2240" s="866">
        <f>VLOOKUP(BD2240,$BD$4:$BN$12824,6,0)*BE2240</f>
        <v>675114.61028893595</v>
      </c>
      <c r="BS2240" s="866">
        <f>VLOOKUP(BD2240,$BD$4:$BN$12824,7,0)*BE2240</f>
        <v>53650.828975186385</v>
      </c>
      <c r="BT2240" s="866"/>
      <c r="BU2240" s="866">
        <f>VLOOKUP(BD2240,$BD$4:$BN$12824,9,0)*BE2240</f>
        <v>4292.0663180149113</v>
      </c>
      <c r="BV2240" s="867"/>
      <c r="BW2240" s="867">
        <f>VLOOKUP(BD2240,$BD$4:$BN$12824,11,0)*BE2240</f>
        <v>0</v>
      </c>
      <c r="BX2240" s="1146">
        <f t="shared" si="474"/>
        <v>4559343.6362864887</v>
      </c>
      <c r="BY2240" s="867">
        <f t="shared" si="475"/>
        <v>742028.43666908715</v>
      </c>
      <c r="BZ2240" s="867">
        <f t="shared" si="476"/>
        <v>20776796.226734441</v>
      </c>
      <c r="CA2240" s="867">
        <f>_xlfn.MAXIFS($BY$4:$BY$12824,$S$4:$S$12824,$S2240)</f>
        <v>742028.43666908715</v>
      </c>
      <c r="CB2240" s="1032"/>
    </row>
    <row r="2241" spans="2:80">
      <c r="B2241" s="839" t="s">
        <v>98</v>
      </c>
      <c r="C2241" s="839" t="s">
        <v>273</v>
      </c>
      <c r="D2241" s="839" t="s">
        <v>7401</v>
      </c>
      <c r="E2241" s="839" t="s">
        <v>7421</v>
      </c>
      <c r="F2241" s="841">
        <v>46113</v>
      </c>
      <c r="G2241" s="839" t="s">
        <v>273</v>
      </c>
      <c r="H2241" s="883" t="s">
        <v>102</v>
      </c>
      <c r="I2241" s="883" t="s">
        <v>7422</v>
      </c>
      <c r="J2241" s="841"/>
      <c r="K2241" s="841"/>
      <c r="L2241" s="843" t="s">
        <v>106</v>
      </c>
      <c r="M2241" s="844" t="s">
        <v>275</v>
      </c>
      <c r="N2241" s="841"/>
      <c r="O2241" s="884"/>
      <c r="P2241" s="842"/>
      <c r="Q2241" s="843"/>
      <c r="R2241" s="845" t="s">
        <v>7424</v>
      </c>
      <c r="S2241" s="1127" t="s">
        <v>7425</v>
      </c>
      <c r="T2241" s="843" t="s">
        <v>7426</v>
      </c>
      <c r="U2241" s="886">
        <v>12</v>
      </c>
      <c r="V2241" s="842" t="s">
        <v>3</v>
      </c>
      <c r="W2241" s="846">
        <v>29.78</v>
      </c>
      <c r="X2241" s="847">
        <f t="shared" si="461"/>
        <v>357.36</v>
      </c>
      <c r="Y2241" s="853" t="s">
        <v>6255</v>
      </c>
      <c r="Z2241" s="849">
        <v>14.89</v>
      </c>
      <c r="AA2241" s="849"/>
      <c r="AB2241" s="849">
        <f t="shared" si="470"/>
        <v>178.68</v>
      </c>
      <c r="AC2241" s="850">
        <f t="shared" si="471"/>
        <v>178.68</v>
      </c>
      <c r="AD2241" s="851">
        <f t="shared" si="464"/>
        <v>32000</v>
      </c>
      <c r="AE2241" s="852">
        <v>29845.73</v>
      </c>
      <c r="AF2241" s="853">
        <v>0.1</v>
      </c>
      <c r="AG2241" s="854">
        <f t="shared" si="472"/>
        <v>677067.13064255938</v>
      </c>
      <c r="AH2241" s="853">
        <v>0</v>
      </c>
      <c r="AI2241" s="855">
        <f t="shared" si="473"/>
        <v>0</v>
      </c>
      <c r="AJ2241" s="845" t="s">
        <v>7406</v>
      </c>
      <c r="AK2241" s="857">
        <v>46184</v>
      </c>
      <c r="AL2241" s="843" t="s">
        <v>7407</v>
      </c>
      <c r="AM2241" s="843"/>
      <c r="AN2241" s="844"/>
      <c r="AO2241" s="844" t="s">
        <v>116</v>
      </c>
      <c r="AP2241" s="841"/>
      <c r="AQ2241" s="842"/>
      <c r="AR2241" s="841">
        <v>46194</v>
      </c>
      <c r="AS2241" s="842" t="s">
        <v>7408</v>
      </c>
      <c r="AT2241" s="842" t="s">
        <v>1187</v>
      </c>
      <c r="AU2241" s="842" t="s">
        <v>7253</v>
      </c>
      <c r="AV2241" s="845" t="s">
        <v>7409</v>
      </c>
      <c r="AW2241" s="861">
        <v>46197</v>
      </c>
      <c r="AX2241" s="862">
        <v>46198</v>
      </c>
      <c r="AY2241" s="843"/>
      <c r="AZ2241" s="842"/>
      <c r="BA2241" s="842" t="s">
        <v>120</v>
      </c>
      <c r="BB2241" s="863" t="s">
        <v>121</v>
      </c>
      <c r="BC2241" s="864">
        <v>46202</v>
      </c>
      <c r="BD2241" s="860" t="s">
        <v>7410</v>
      </c>
      <c r="BE2241" s="865" cm="1">
        <f t="array" ref="BE2241">IF(BD2241="","",AC2241/SUMPRODUCT(--(BD2241=$BD$4:$BD$12824),$AC$4:$AC$12824))</f>
        <v>7.9528207410704363E-2</v>
      </c>
      <c r="BF2241" s="458"/>
      <c r="BG2241" s="458"/>
      <c r="BH2241" s="458"/>
      <c r="BI2241" s="458"/>
      <c r="BJ2241" s="458"/>
      <c r="BK2241" s="458"/>
      <c r="BL2241" s="458"/>
      <c r="BM2241" s="458"/>
      <c r="BN2241" s="458"/>
      <c r="BO2241" s="866">
        <f>VLOOKUP(BD2241,$BD$4:$BN$12824,3,0)*BE2241</f>
        <v>1417954.2181729167</v>
      </c>
      <c r="BP2241" s="866"/>
      <c r="BQ2241" s="866"/>
      <c r="BR2241" s="866">
        <f>VLOOKUP(BD2241,$BD$4:$BN$12824,6,0)*BE2241</f>
        <v>250185.57857646231</v>
      </c>
      <c r="BS2241" s="866">
        <f>VLOOKUP(BD2241,$BD$4:$BN$12824,7,0)*BE2241</f>
        <v>19882.05185267609</v>
      </c>
      <c r="BT2241" s="866"/>
      <c r="BU2241" s="866">
        <f>VLOOKUP(BD2241,$BD$4:$BN$12824,9,0)*BE2241</f>
        <v>1590.5641482140873</v>
      </c>
      <c r="BV2241" s="867"/>
      <c r="BW2241" s="867">
        <f>VLOOKUP(BD2241,$BD$4:$BN$12824,11,0)*BE2241</f>
        <v>0</v>
      </c>
      <c r="BX2241" s="1146">
        <f t="shared" si="474"/>
        <v>1689612.4127502693</v>
      </c>
      <c r="BY2241" s="867">
        <f t="shared" si="475"/>
        <v>641626.21498273581</v>
      </c>
      <c r="BZ2241" s="867">
        <f t="shared" si="476"/>
        <v>7699514.5797928292</v>
      </c>
      <c r="CA2241" s="867">
        <f>_xlfn.MAXIFS($BY$4:$BY$12824,$S$4:$S$12824,$S2241)</f>
        <v>641626.21498273581</v>
      </c>
      <c r="CB2241" s="1032"/>
    </row>
    <row r="2242" spans="2:80">
      <c r="B2242" s="839" t="s">
        <v>98</v>
      </c>
      <c r="C2242" s="839" t="s">
        <v>273</v>
      </c>
      <c r="D2242" s="839" t="s">
        <v>7401</v>
      </c>
      <c r="E2242" s="839" t="s">
        <v>7421</v>
      </c>
      <c r="F2242" s="841">
        <v>46113</v>
      </c>
      <c r="G2242" s="839" t="s">
        <v>273</v>
      </c>
      <c r="H2242" s="883" t="s">
        <v>102</v>
      </c>
      <c r="I2242" s="883" t="s">
        <v>7422</v>
      </c>
      <c r="J2242" s="841"/>
      <c r="K2242" s="841"/>
      <c r="L2242" s="843" t="s">
        <v>106</v>
      </c>
      <c r="M2242" s="844" t="s">
        <v>275</v>
      </c>
      <c r="N2242" s="841"/>
      <c r="O2242" s="884"/>
      <c r="P2242" s="842"/>
      <c r="Q2242" s="843"/>
      <c r="R2242" s="845" t="s">
        <v>7427</v>
      </c>
      <c r="S2242" s="1127" t="s">
        <v>7428</v>
      </c>
      <c r="T2242" s="843" t="s">
        <v>7429</v>
      </c>
      <c r="U2242" s="886">
        <v>6</v>
      </c>
      <c r="V2242" s="842" t="s">
        <v>3</v>
      </c>
      <c r="W2242" s="846">
        <v>27.82</v>
      </c>
      <c r="X2242" s="847">
        <f t="shared" si="461"/>
        <v>166.92000000000002</v>
      </c>
      <c r="Y2242" s="853" t="s">
        <v>6255</v>
      </c>
      <c r="Z2242" s="849">
        <v>13.91</v>
      </c>
      <c r="AA2242" s="849"/>
      <c r="AB2242" s="849">
        <f t="shared" si="470"/>
        <v>83.460000000000008</v>
      </c>
      <c r="AC2242" s="850">
        <f t="shared" si="471"/>
        <v>83.460000000000008</v>
      </c>
      <c r="AD2242" s="851">
        <f t="shared" si="464"/>
        <v>32000</v>
      </c>
      <c r="AE2242" s="852">
        <v>29845.73</v>
      </c>
      <c r="AF2242" s="853">
        <v>0.1</v>
      </c>
      <c r="AG2242" s="854">
        <f t="shared" si="472"/>
        <v>316252.64564264612</v>
      </c>
      <c r="AH2242" s="853">
        <v>0</v>
      </c>
      <c r="AI2242" s="855">
        <f t="shared" si="473"/>
        <v>0</v>
      </c>
      <c r="AJ2242" s="845" t="s">
        <v>7406</v>
      </c>
      <c r="AK2242" s="857">
        <v>46184</v>
      </c>
      <c r="AL2242" s="843" t="s">
        <v>7407</v>
      </c>
      <c r="AM2242" s="843"/>
      <c r="AN2242" s="844"/>
      <c r="AO2242" s="844" t="s">
        <v>116</v>
      </c>
      <c r="AP2242" s="841"/>
      <c r="AQ2242" s="842"/>
      <c r="AR2242" s="841">
        <v>46194</v>
      </c>
      <c r="AS2242" s="842" t="s">
        <v>7408</v>
      </c>
      <c r="AT2242" s="842" t="s">
        <v>1187</v>
      </c>
      <c r="AU2242" s="842" t="s">
        <v>7253</v>
      </c>
      <c r="AV2242" s="845" t="s">
        <v>7409</v>
      </c>
      <c r="AW2242" s="861">
        <v>46197</v>
      </c>
      <c r="AX2242" s="862">
        <v>46198</v>
      </c>
      <c r="AY2242" s="843"/>
      <c r="AZ2242" s="842"/>
      <c r="BA2242" s="842" t="s">
        <v>120</v>
      </c>
      <c r="BB2242" s="863" t="s">
        <v>121</v>
      </c>
      <c r="BC2242" s="864">
        <v>46202</v>
      </c>
      <c r="BD2242" s="860" t="s">
        <v>7410</v>
      </c>
      <c r="BE2242" s="865" cm="1">
        <f t="array" ref="BE2242">IF(BD2242="","",AC2242/SUMPRODUCT(--(BD2242=$BD$4:$BD$12824),$AC$4:$AC$12824))</f>
        <v>3.7146990096806512E-2</v>
      </c>
      <c r="BF2242" s="458"/>
      <c r="BG2242" s="458"/>
      <c r="BH2242" s="458"/>
      <c r="BI2242" s="458"/>
      <c r="BJ2242" s="458"/>
      <c r="BK2242" s="458"/>
      <c r="BL2242" s="458"/>
      <c r="BM2242" s="458"/>
      <c r="BN2242" s="458"/>
      <c r="BO2242" s="866">
        <f>VLOOKUP(BD2242,$BD$4:$BN$12824,3,0)*BE2242</f>
        <v>662315.08310225909</v>
      </c>
      <c r="BP2242" s="866"/>
      <c r="BQ2242" s="866"/>
      <c r="BR2242" s="866">
        <f>VLOOKUP(BD2242,$BD$4:$BN$12824,6,0)*BE2242</f>
        <v>116859.68428470757</v>
      </c>
      <c r="BS2242" s="866">
        <f>VLOOKUP(BD2242,$BD$4:$BN$12824,7,0)*BE2242</f>
        <v>9286.7475242016262</v>
      </c>
      <c r="BT2242" s="866"/>
      <c r="BU2242" s="866">
        <f>VLOOKUP(BD2242,$BD$4:$BN$12824,9,0)*BE2242</f>
        <v>742.93980193613027</v>
      </c>
      <c r="BV2242" s="867"/>
      <c r="BW2242" s="867">
        <f>VLOOKUP(BD2242,$BD$4:$BN$12824,11,0)*BE2242</f>
        <v>0</v>
      </c>
      <c r="BX2242" s="1146">
        <f t="shared" si="474"/>
        <v>789204.45471310441</v>
      </c>
      <c r="BY2242" s="867">
        <f t="shared" si="475"/>
        <v>599396.9543592917</v>
      </c>
      <c r="BZ2242" s="867">
        <f t="shared" si="476"/>
        <v>3596381.7261557505</v>
      </c>
      <c r="CA2242" s="867">
        <f>_xlfn.MAXIFS($BY$4:$BY$12824,$S$4:$S$12824,$S2242)</f>
        <v>599396.9543592917</v>
      </c>
      <c r="CB2242" s="1032"/>
    </row>
    <row r="2243" spans="2:80">
      <c r="B2243" s="839" t="s">
        <v>98</v>
      </c>
      <c r="C2243" s="839" t="s">
        <v>273</v>
      </c>
      <c r="D2243" s="839" t="s">
        <v>7401</v>
      </c>
      <c r="E2243" s="839" t="s">
        <v>7421</v>
      </c>
      <c r="F2243" s="841">
        <v>46113</v>
      </c>
      <c r="G2243" s="839" t="s">
        <v>273</v>
      </c>
      <c r="H2243" s="883" t="s">
        <v>102</v>
      </c>
      <c r="I2243" s="883" t="s">
        <v>7422</v>
      </c>
      <c r="J2243" s="841"/>
      <c r="K2243" s="841"/>
      <c r="L2243" s="843" t="s">
        <v>106</v>
      </c>
      <c r="M2243" s="844" t="s">
        <v>275</v>
      </c>
      <c r="N2243" s="841"/>
      <c r="O2243" s="884"/>
      <c r="P2243" s="842"/>
      <c r="Q2243" s="843"/>
      <c r="R2243" s="845" t="s">
        <v>7430</v>
      </c>
      <c r="S2243" s="1127" t="s">
        <v>7431</v>
      </c>
      <c r="T2243" s="843" t="s">
        <v>7432</v>
      </c>
      <c r="U2243" s="886">
        <v>14</v>
      </c>
      <c r="V2243" s="842" t="s">
        <v>3</v>
      </c>
      <c r="W2243" s="846">
        <v>31.77</v>
      </c>
      <c r="X2243" s="847">
        <f t="shared" si="461"/>
        <v>444.78</v>
      </c>
      <c r="Y2243" s="853" t="s">
        <v>6255</v>
      </c>
      <c r="Z2243" s="849">
        <v>15.89</v>
      </c>
      <c r="AA2243" s="849"/>
      <c r="AB2243" s="849">
        <f t="shared" si="470"/>
        <v>222.46</v>
      </c>
      <c r="AC2243" s="850">
        <f t="shared" si="471"/>
        <v>222.46</v>
      </c>
      <c r="AD2243" s="851">
        <f t="shared" si="464"/>
        <v>32000</v>
      </c>
      <c r="AE2243" s="852">
        <v>29845.73</v>
      </c>
      <c r="AF2243" s="853">
        <v>0.1</v>
      </c>
      <c r="AG2243" s="854">
        <f t="shared" si="472"/>
        <v>842961.46117497049</v>
      </c>
      <c r="AH2243" s="853">
        <v>0</v>
      </c>
      <c r="AI2243" s="855">
        <f t="shared" si="473"/>
        <v>0</v>
      </c>
      <c r="AJ2243" s="845" t="s">
        <v>7406</v>
      </c>
      <c r="AK2243" s="857">
        <v>46184</v>
      </c>
      <c r="AL2243" s="843" t="s">
        <v>7407</v>
      </c>
      <c r="AM2243" s="843"/>
      <c r="AN2243" s="844"/>
      <c r="AO2243" s="844" t="s">
        <v>116</v>
      </c>
      <c r="AP2243" s="841"/>
      <c r="AQ2243" s="842"/>
      <c r="AR2243" s="841">
        <v>46194</v>
      </c>
      <c r="AS2243" s="842" t="s">
        <v>7408</v>
      </c>
      <c r="AT2243" s="842" t="s">
        <v>1187</v>
      </c>
      <c r="AU2243" s="842" t="s">
        <v>7253</v>
      </c>
      <c r="AV2243" s="845" t="s">
        <v>7409</v>
      </c>
      <c r="AW2243" s="861">
        <v>46197</v>
      </c>
      <c r="AX2243" s="862">
        <v>46198</v>
      </c>
      <c r="AY2243" s="843"/>
      <c r="AZ2243" s="842"/>
      <c r="BA2243" s="842" t="s">
        <v>120</v>
      </c>
      <c r="BB2243" s="863" t="s">
        <v>121</v>
      </c>
      <c r="BC2243" s="864">
        <v>46202</v>
      </c>
      <c r="BD2243" s="860" t="s">
        <v>7410</v>
      </c>
      <c r="BE2243" s="865" cm="1">
        <f t="array" ref="BE2243">IF(BD2243="","",AC2243/SUMPRODUCT(--(BD2243=$BD$4:$BD$12824),$AC$4:$AC$12824))</f>
        <v>9.9014131523311469E-2</v>
      </c>
      <c r="BF2243" s="458"/>
      <c r="BG2243" s="458"/>
      <c r="BH2243" s="458"/>
      <c r="BI2243" s="458"/>
      <c r="BJ2243" s="458"/>
      <c r="BK2243" s="458"/>
      <c r="BL2243" s="458"/>
      <c r="BM2243" s="458"/>
      <c r="BN2243" s="458"/>
      <c r="BO2243" s="866">
        <f>VLOOKUP(BD2243,$BD$4:$BN$12824,3,0)*BE2243</f>
        <v>1765379.9830688776</v>
      </c>
      <c r="BP2243" s="866"/>
      <c r="BQ2243" s="866"/>
      <c r="BR2243" s="866">
        <f>VLOOKUP(BD2243,$BD$4:$BN$12824,6,0)*BE2243</f>
        <v>311485.80596664321</v>
      </c>
      <c r="BS2243" s="866">
        <f>VLOOKUP(BD2243,$BD$4:$BN$12824,7,0)*BE2243</f>
        <v>24753.532880827865</v>
      </c>
      <c r="BT2243" s="866"/>
      <c r="BU2243" s="866">
        <f>VLOOKUP(BD2243,$BD$4:$BN$12824,9,0)*BE2243</f>
        <v>1980.2826304662294</v>
      </c>
      <c r="BV2243" s="867"/>
      <c r="BW2243" s="867">
        <f>VLOOKUP(BD2243,$BD$4:$BN$12824,11,0)*BE2243</f>
        <v>0</v>
      </c>
      <c r="BX2243" s="1146">
        <f t="shared" si="474"/>
        <v>2103599.6045468152</v>
      </c>
      <c r="BY2243" s="867">
        <f t="shared" si="475"/>
        <v>684717.29725155607</v>
      </c>
      <c r="BZ2243" s="867">
        <f t="shared" si="476"/>
        <v>9586042.161521785</v>
      </c>
      <c r="CA2243" s="867">
        <f>_xlfn.MAXIFS($BY$4:$BY$12824,$S$4:$S$12824,$S2243)</f>
        <v>684717.29725155607</v>
      </c>
      <c r="CB2243" s="1032"/>
    </row>
    <row r="2244" spans="2:80">
      <c r="B2244" s="839" t="s">
        <v>98</v>
      </c>
      <c r="C2244" s="839" t="s">
        <v>273</v>
      </c>
      <c r="D2244" s="839" t="s">
        <v>7401</v>
      </c>
      <c r="E2244" s="839" t="s">
        <v>7421</v>
      </c>
      <c r="F2244" s="841">
        <v>46113</v>
      </c>
      <c r="G2244" s="839" t="s">
        <v>273</v>
      </c>
      <c r="H2244" s="883" t="s">
        <v>102</v>
      </c>
      <c r="I2244" s="883" t="s">
        <v>7422</v>
      </c>
      <c r="J2244" s="841"/>
      <c r="K2244" s="841"/>
      <c r="L2244" s="843" t="s">
        <v>106</v>
      </c>
      <c r="M2244" s="844" t="s">
        <v>275</v>
      </c>
      <c r="N2244" s="841"/>
      <c r="O2244" s="884"/>
      <c r="P2244" s="842"/>
      <c r="Q2244" s="843"/>
      <c r="R2244" s="845" t="s">
        <v>7433</v>
      </c>
      <c r="S2244" s="1127" t="s">
        <v>7434</v>
      </c>
      <c r="T2244" s="843" t="s">
        <v>7435</v>
      </c>
      <c r="U2244" s="886">
        <v>11</v>
      </c>
      <c r="V2244" s="842" t="s">
        <v>3</v>
      </c>
      <c r="W2244" s="846">
        <v>41.85</v>
      </c>
      <c r="X2244" s="847">
        <f t="shared" si="461"/>
        <v>460.35</v>
      </c>
      <c r="Y2244" s="853" t="s">
        <v>6255</v>
      </c>
      <c r="Z2244" s="849">
        <v>20.93</v>
      </c>
      <c r="AA2244" s="849"/>
      <c r="AB2244" s="849">
        <f t="shared" si="470"/>
        <v>230.23</v>
      </c>
      <c r="AC2244" s="850">
        <f t="shared" si="471"/>
        <v>230.23</v>
      </c>
      <c r="AD2244" s="851">
        <f t="shared" si="464"/>
        <v>32000</v>
      </c>
      <c r="AE2244" s="852">
        <v>29845.73</v>
      </c>
      <c r="AF2244" s="853">
        <v>0.1</v>
      </c>
      <c r="AG2244" s="854">
        <f t="shared" si="472"/>
        <v>872404.10503602203</v>
      </c>
      <c r="AH2244" s="853">
        <v>0</v>
      </c>
      <c r="AI2244" s="855">
        <f t="shared" si="473"/>
        <v>0</v>
      </c>
      <c r="AJ2244" s="845" t="s">
        <v>7406</v>
      </c>
      <c r="AK2244" s="857">
        <v>46184</v>
      </c>
      <c r="AL2244" s="843" t="s">
        <v>7407</v>
      </c>
      <c r="AM2244" s="843"/>
      <c r="AN2244" s="844"/>
      <c r="AO2244" s="844" t="s">
        <v>116</v>
      </c>
      <c r="AP2244" s="841"/>
      <c r="AQ2244" s="842"/>
      <c r="AR2244" s="841">
        <v>46194</v>
      </c>
      <c r="AS2244" s="842" t="s">
        <v>7408</v>
      </c>
      <c r="AT2244" s="842" t="s">
        <v>1187</v>
      </c>
      <c r="AU2244" s="842" t="s">
        <v>7253</v>
      </c>
      <c r="AV2244" s="845" t="s">
        <v>7409</v>
      </c>
      <c r="AW2244" s="861">
        <v>46197</v>
      </c>
      <c r="AX2244" s="862">
        <v>46198</v>
      </c>
      <c r="AY2244" s="843"/>
      <c r="AZ2244" s="842"/>
      <c r="BA2244" s="842" t="s">
        <v>120</v>
      </c>
      <c r="BB2244" s="863" t="s">
        <v>121</v>
      </c>
      <c r="BC2244" s="864">
        <v>46202</v>
      </c>
      <c r="BD2244" s="860" t="s">
        <v>7410</v>
      </c>
      <c r="BE2244" s="865" cm="1">
        <f t="array" ref="BE2244">IF(BD2244="","",AC2244/SUMPRODUCT(--(BD2244=$BD$4:$BD$12824),$AC$4:$AC$12824))</f>
        <v>0.10247246022031825</v>
      </c>
      <c r="BF2244" s="458"/>
      <c r="BG2244" s="458"/>
      <c r="BH2244" s="458"/>
      <c r="BI2244" s="458"/>
      <c r="BJ2244" s="458"/>
      <c r="BK2244" s="458"/>
      <c r="BL2244" s="458"/>
      <c r="BM2244" s="458"/>
      <c r="BN2244" s="458"/>
      <c r="BO2244" s="866">
        <f>VLOOKUP(BD2244,$BD$4:$BN$12824,3,0)*BE2244</f>
        <v>1827040.5174051409</v>
      </c>
      <c r="BP2244" s="866"/>
      <c r="BQ2244" s="866"/>
      <c r="BR2244" s="866">
        <f>VLOOKUP(BD2244,$BD$4:$BN$12824,6,0)*BE2244</f>
        <v>322365.26614987082</v>
      </c>
      <c r="BS2244" s="866">
        <f>VLOOKUP(BD2244,$BD$4:$BN$12824,7,0)*BE2244</f>
        <v>25618.115055079561</v>
      </c>
      <c r="BT2244" s="866"/>
      <c r="BU2244" s="866">
        <f>VLOOKUP(BD2244,$BD$4:$BN$12824,9,0)*BE2244</f>
        <v>2049.449204406365</v>
      </c>
      <c r="BV2244" s="867"/>
      <c r="BW2244" s="867">
        <f>VLOOKUP(BD2244,$BD$4:$BN$12824,11,0)*BE2244</f>
        <v>0</v>
      </c>
      <c r="BX2244" s="1146">
        <f t="shared" si="474"/>
        <v>2177073.3478144975</v>
      </c>
      <c r="BY2244" s="867">
        <f t="shared" si="475"/>
        <v>901896.35188641096</v>
      </c>
      <c r="BZ2244" s="867">
        <f t="shared" si="476"/>
        <v>9920859.8707505204</v>
      </c>
      <c r="CA2244" s="867">
        <f>_xlfn.MAXIFS($BY$4:$BY$12824,$S$4:$S$12824,$S2244)</f>
        <v>901896.35188641096</v>
      </c>
      <c r="CB2244" s="1032"/>
    </row>
    <row r="2245" spans="2:80">
      <c r="B2245" s="839" t="s">
        <v>98</v>
      </c>
      <c r="C2245" s="839" t="s">
        <v>273</v>
      </c>
      <c r="D2245" s="839" t="s">
        <v>7401</v>
      </c>
      <c r="E2245" s="839" t="s">
        <v>7421</v>
      </c>
      <c r="F2245" s="841">
        <v>46113</v>
      </c>
      <c r="G2245" s="839" t="s">
        <v>273</v>
      </c>
      <c r="H2245" s="883" t="s">
        <v>102</v>
      </c>
      <c r="I2245" s="883" t="s">
        <v>7422</v>
      </c>
      <c r="J2245" s="841"/>
      <c r="K2245" s="841"/>
      <c r="L2245" s="843" t="s">
        <v>106</v>
      </c>
      <c r="M2245" s="844" t="s">
        <v>275</v>
      </c>
      <c r="N2245" s="841"/>
      <c r="O2245" s="884"/>
      <c r="P2245" s="842"/>
      <c r="Q2245" s="843"/>
      <c r="R2245" s="845" t="s">
        <v>6556</v>
      </c>
      <c r="S2245" s="1127" t="s">
        <v>6557</v>
      </c>
      <c r="T2245" s="843" t="s">
        <v>6558</v>
      </c>
      <c r="U2245" s="886">
        <v>15</v>
      </c>
      <c r="V2245" s="842" t="s">
        <v>3</v>
      </c>
      <c r="W2245" s="846">
        <v>40.159999999999997</v>
      </c>
      <c r="X2245" s="847">
        <f t="shared" si="461"/>
        <v>602.4</v>
      </c>
      <c r="Y2245" s="853" t="s">
        <v>6255</v>
      </c>
      <c r="Z2245" s="849">
        <v>20.079999999999998</v>
      </c>
      <c r="AA2245" s="849"/>
      <c r="AB2245" s="849">
        <f t="shared" si="470"/>
        <v>301.2</v>
      </c>
      <c r="AC2245" s="850">
        <f t="shared" si="471"/>
        <v>301.2</v>
      </c>
      <c r="AD2245" s="851">
        <f t="shared" si="464"/>
        <v>32000</v>
      </c>
      <c r="AE2245" s="852">
        <v>29845.73</v>
      </c>
      <c r="AF2245" s="853">
        <v>0.1</v>
      </c>
      <c r="AG2245" s="854">
        <f t="shared" si="472"/>
        <v>1141328.7427218428</v>
      </c>
      <c r="AH2245" s="853">
        <v>0</v>
      </c>
      <c r="AI2245" s="855">
        <f t="shared" si="473"/>
        <v>0</v>
      </c>
      <c r="AJ2245" s="845" t="s">
        <v>7406</v>
      </c>
      <c r="AK2245" s="857">
        <v>46184</v>
      </c>
      <c r="AL2245" s="843" t="s">
        <v>7407</v>
      </c>
      <c r="AM2245" s="843"/>
      <c r="AN2245" s="844"/>
      <c r="AO2245" s="844" t="s">
        <v>116</v>
      </c>
      <c r="AP2245" s="841"/>
      <c r="AQ2245" s="842"/>
      <c r="AR2245" s="841">
        <v>46194</v>
      </c>
      <c r="AS2245" s="842" t="s">
        <v>7408</v>
      </c>
      <c r="AT2245" s="842" t="s">
        <v>1187</v>
      </c>
      <c r="AU2245" s="842" t="s">
        <v>7253</v>
      </c>
      <c r="AV2245" s="845" t="s">
        <v>7409</v>
      </c>
      <c r="AW2245" s="861">
        <v>46197</v>
      </c>
      <c r="AX2245" s="862">
        <v>46198</v>
      </c>
      <c r="AY2245" s="843"/>
      <c r="AZ2245" s="842"/>
      <c r="BA2245" s="842" t="s">
        <v>120</v>
      </c>
      <c r="BB2245" s="863" t="s">
        <v>121</v>
      </c>
      <c r="BC2245" s="864">
        <v>46202</v>
      </c>
      <c r="BD2245" s="860" t="s">
        <v>7410</v>
      </c>
      <c r="BE2245" s="865" cm="1">
        <f t="array" ref="BE2245">IF(BD2245="","",AC2245/SUMPRODUCT(--(BD2245=$BD$4:$BD$12824),$AC$4:$AC$12824))</f>
        <v>0.13406030933570715</v>
      </c>
      <c r="BF2245" s="458"/>
      <c r="BG2245" s="458"/>
      <c r="BH2245" s="458"/>
      <c r="BI2245" s="458"/>
      <c r="BJ2245" s="458"/>
      <c r="BK2245" s="458"/>
      <c r="BL2245" s="458"/>
      <c r="BM2245" s="458"/>
      <c r="BN2245" s="458"/>
      <c r="BO2245" s="866">
        <f>VLOOKUP(BD2245,$BD$4:$BN$12824,3,0)*BE2245</f>
        <v>2390238.4738845001</v>
      </c>
      <c r="BP2245" s="866"/>
      <c r="BQ2245" s="866"/>
      <c r="BR2245" s="866">
        <f>VLOOKUP(BD2245,$BD$4:$BN$12824,6,0)*BE2245</f>
        <v>421736.60324171954</v>
      </c>
      <c r="BS2245" s="866">
        <f>VLOOKUP(BD2245,$BD$4:$BN$12824,7,0)*BE2245</f>
        <v>33515.077333926783</v>
      </c>
      <c r="BT2245" s="866"/>
      <c r="BU2245" s="866">
        <f>VLOOKUP(BD2245,$BD$4:$BN$12824,9,0)*BE2245</f>
        <v>2681.2061867141429</v>
      </c>
      <c r="BV2245" s="867"/>
      <c r="BW2245" s="867">
        <f>VLOOKUP(BD2245,$BD$4:$BN$12824,11,0)*BE2245</f>
        <v>0</v>
      </c>
      <c r="BX2245" s="1146">
        <f t="shared" si="474"/>
        <v>2848171.3606468607</v>
      </c>
      <c r="BY2245" s="867">
        <f t="shared" si="475"/>
        <v>865268.93195791356</v>
      </c>
      <c r="BZ2245" s="867">
        <f t="shared" si="476"/>
        <v>12979033.979368703</v>
      </c>
      <c r="CA2245" s="867">
        <f>_xlfn.MAXIFS($BY$4:$BY$12824,$S$4:$S$12824,$S2245)</f>
        <v>865268.93195791356</v>
      </c>
      <c r="CB2245" s="1032"/>
    </row>
    <row r="2246" spans="2:80">
      <c r="B2246" s="839" t="s">
        <v>98</v>
      </c>
      <c r="C2246" s="839" t="s">
        <v>273</v>
      </c>
      <c r="D2246" s="839" t="s">
        <v>7401</v>
      </c>
      <c r="E2246" s="839" t="s">
        <v>7421</v>
      </c>
      <c r="F2246" s="841">
        <v>46113</v>
      </c>
      <c r="G2246" s="839" t="s">
        <v>273</v>
      </c>
      <c r="H2246" s="883" t="s">
        <v>102</v>
      </c>
      <c r="I2246" s="883" t="s">
        <v>7422</v>
      </c>
      <c r="J2246" s="841"/>
      <c r="K2246" s="841"/>
      <c r="L2246" s="843" t="s">
        <v>106</v>
      </c>
      <c r="M2246" s="844" t="s">
        <v>275</v>
      </c>
      <c r="N2246" s="841"/>
      <c r="O2246" s="884"/>
      <c r="P2246" s="842"/>
      <c r="Q2246" s="843"/>
      <c r="R2246" s="845">
        <v>14108.24</v>
      </c>
      <c r="S2246" s="1127" t="s">
        <v>4021</v>
      </c>
      <c r="T2246" s="843" t="s">
        <v>7436</v>
      </c>
      <c r="U2246" s="886">
        <v>1</v>
      </c>
      <c r="V2246" s="842" t="s">
        <v>3</v>
      </c>
      <c r="W2246" s="846">
        <v>5.0599999999999996</v>
      </c>
      <c r="X2246" s="847">
        <f t="shared" si="461"/>
        <v>5.0599999999999996</v>
      </c>
      <c r="Y2246" s="853" t="s">
        <v>6255</v>
      </c>
      <c r="Z2246" s="849">
        <v>2.2599999999999998</v>
      </c>
      <c r="AA2246" s="849"/>
      <c r="AB2246" s="849">
        <f t="shared" si="470"/>
        <v>2.2599999999999998</v>
      </c>
      <c r="AC2246" s="850">
        <f t="shared" si="471"/>
        <v>2.2599999999999998</v>
      </c>
      <c r="AD2246" s="851">
        <v>32000</v>
      </c>
      <c r="AE2246" s="852">
        <v>29845.73</v>
      </c>
      <c r="AF2246" s="853">
        <v>0.1</v>
      </c>
      <c r="AG2246" s="854">
        <f t="shared" si="472"/>
        <v>8563.7548424680099</v>
      </c>
      <c r="AH2246" s="853">
        <v>0</v>
      </c>
      <c r="AI2246" s="855">
        <f t="shared" si="473"/>
        <v>0</v>
      </c>
      <c r="AJ2246" s="845" t="s">
        <v>7406</v>
      </c>
      <c r="AK2246" s="857">
        <v>46184</v>
      </c>
      <c r="AL2246" s="843" t="s">
        <v>7407</v>
      </c>
      <c r="AM2246" s="843"/>
      <c r="AN2246" s="844"/>
      <c r="AO2246" s="844" t="s">
        <v>116</v>
      </c>
      <c r="AP2246" s="841"/>
      <c r="AQ2246" s="842"/>
      <c r="AR2246" s="841">
        <v>46194</v>
      </c>
      <c r="AS2246" s="842" t="s">
        <v>7408</v>
      </c>
      <c r="AT2246" s="842" t="s">
        <v>1187</v>
      </c>
      <c r="AU2246" s="842" t="s">
        <v>7253</v>
      </c>
      <c r="AV2246" s="845" t="s">
        <v>7409</v>
      </c>
      <c r="AW2246" s="861">
        <v>46197</v>
      </c>
      <c r="AX2246" s="862">
        <v>46198</v>
      </c>
      <c r="AY2246" s="843"/>
      <c r="AZ2246" s="842"/>
      <c r="BA2246" s="842" t="s">
        <v>120</v>
      </c>
      <c r="BB2246" s="863" t="s">
        <v>121</v>
      </c>
      <c r="BC2246" s="864">
        <v>46202</v>
      </c>
      <c r="BD2246" s="860" t="s">
        <v>7410</v>
      </c>
      <c r="BE2246" s="865" cm="1">
        <f t="array" ref="BE2246">IF(BD2246="","",AC2246/SUMPRODUCT(--(BD2246=$BD$4:$BD$12824),$AC$4:$AC$12824))</f>
        <v>1.0058974073661956E-3</v>
      </c>
      <c r="BF2246" s="458"/>
      <c r="BG2246" s="458"/>
      <c r="BH2246" s="458"/>
      <c r="BI2246" s="458"/>
      <c r="BJ2246" s="458"/>
      <c r="BK2246" s="458"/>
      <c r="BL2246" s="458"/>
      <c r="BM2246" s="458"/>
      <c r="BN2246" s="458"/>
      <c r="BO2246" s="866">
        <f>VLOOKUP(BD2246,$BD$4:$BN$12824,3,0)*BE2246</f>
        <v>17934.724272838546</v>
      </c>
      <c r="BP2246" s="866"/>
      <c r="BQ2246" s="866"/>
      <c r="BR2246" s="866">
        <f>VLOOKUP(BD2246,$BD$4:$BN$12824,6,0)*BE2246</f>
        <v>3164.4247122386655</v>
      </c>
      <c r="BS2246" s="866">
        <f>VLOOKUP(BD2246,$BD$4:$BN$12824,7,0)*BE2246</f>
        <v>251.47435184154887</v>
      </c>
      <c r="BT2246" s="866"/>
      <c r="BU2246" s="866">
        <f>VLOOKUP(BD2246,$BD$4:$BN$12824,9,0)*BE2246</f>
        <v>20.117948147323911</v>
      </c>
      <c r="BV2246" s="867"/>
      <c r="BW2246" s="867">
        <f>VLOOKUP(BD2246,$BD$4:$BN$12824,11,0)*BE2246</f>
        <v>0</v>
      </c>
      <c r="BX2246" s="1146">
        <f t="shared" si="474"/>
        <v>21370.741285066084</v>
      </c>
      <c r="BY2246" s="867">
        <f t="shared" si="475"/>
        <v>97385.845927534101</v>
      </c>
      <c r="BZ2246" s="867">
        <f t="shared" si="476"/>
        <v>97385.845927534101</v>
      </c>
      <c r="CA2246" s="867">
        <f>_xlfn.MAXIFS($BY$4:$BY$12824,$S$4:$S$12824,$S2246)</f>
        <v>97385.845927534101</v>
      </c>
      <c r="CB2246" s="1032"/>
    </row>
    <row r="2247" spans="2:80">
      <c r="B2247" s="839" t="s">
        <v>98</v>
      </c>
      <c r="C2247" s="839" t="s">
        <v>273</v>
      </c>
      <c r="D2247" s="839" t="s">
        <v>7437</v>
      </c>
      <c r="E2247" s="839" t="s">
        <v>7438</v>
      </c>
      <c r="F2247" s="841">
        <v>46034</v>
      </c>
      <c r="G2247" s="839" t="s">
        <v>273</v>
      </c>
      <c r="H2247" s="883" t="s">
        <v>102</v>
      </c>
      <c r="I2247" s="883" t="s">
        <v>7439</v>
      </c>
      <c r="J2247" s="841"/>
      <c r="K2247" s="841"/>
      <c r="L2247" s="843" t="s">
        <v>106</v>
      </c>
      <c r="M2247" s="844" t="s">
        <v>275</v>
      </c>
      <c r="N2247" s="841"/>
      <c r="O2247" s="884"/>
      <c r="P2247" s="842"/>
      <c r="Q2247" s="843"/>
      <c r="R2247" s="845">
        <v>11103.28</v>
      </c>
      <c r="S2247" s="1127" t="s">
        <v>7440</v>
      </c>
      <c r="T2247" s="843" t="s">
        <v>7441</v>
      </c>
      <c r="U2247" s="886">
        <v>3</v>
      </c>
      <c r="V2247" s="842" t="s">
        <v>3</v>
      </c>
      <c r="W2247" s="846">
        <v>79.86</v>
      </c>
      <c r="X2247" s="847">
        <f t="shared" si="461"/>
        <v>239.57999999999998</v>
      </c>
      <c r="Y2247" s="853" t="s">
        <v>6255</v>
      </c>
      <c r="Z2247" s="849">
        <v>39.93</v>
      </c>
      <c r="AA2247" s="849"/>
      <c r="AB2247" s="849">
        <f t="shared" si="470"/>
        <v>119.78999999999999</v>
      </c>
      <c r="AC2247" s="850">
        <f t="shared" si="471"/>
        <v>119.78999999999999</v>
      </c>
      <c r="AD2247" s="851">
        <v>32000</v>
      </c>
      <c r="AE2247" s="852">
        <v>29845.73</v>
      </c>
      <c r="AF2247" s="853">
        <v>0.1</v>
      </c>
      <c r="AG2247" s="854">
        <f t="shared" si="472"/>
        <v>453916.8993713464</v>
      </c>
      <c r="AH2247" s="853">
        <v>0</v>
      </c>
      <c r="AI2247" s="855">
        <f t="shared" si="473"/>
        <v>0</v>
      </c>
      <c r="AJ2247" s="845" t="s">
        <v>7406</v>
      </c>
      <c r="AK2247" s="857">
        <v>46184</v>
      </c>
      <c r="AL2247" s="843" t="s">
        <v>7407</v>
      </c>
      <c r="AM2247" s="843"/>
      <c r="AN2247" s="844"/>
      <c r="AO2247" s="844" t="s">
        <v>116</v>
      </c>
      <c r="AP2247" s="841"/>
      <c r="AQ2247" s="842"/>
      <c r="AR2247" s="841">
        <v>46194</v>
      </c>
      <c r="AS2247" s="842" t="s">
        <v>7408</v>
      </c>
      <c r="AT2247" s="842" t="s">
        <v>1187</v>
      </c>
      <c r="AU2247" s="842" t="s">
        <v>7253</v>
      </c>
      <c r="AV2247" s="845" t="s">
        <v>7409</v>
      </c>
      <c r="AW2247" s="861">
        <v>46197</v>
      </c>
      <c r="AX2247" s="862">
        <v>46198</v>
      </c>
      <c r="AY2247" s="843"/>
      <c r="AZ2247" s="842"/>
      <c r="BA2247" s="842" t="s">
        <v>120</v>
      </c>
      <c r="BB2247" s="863" t="s">
        <v>121</v>
      </c>
      <c r="BC2247" s="864">
        <v>46202</v>
      </c>
      <c r="BD2247" s="860" t="s">
        <v>7410</v>
      </c>
      <c r="BE2247" s="865" cm="1">
        <f t="array" ref="BE2247">IF(BD2247="","",AC2247/SUMPRODUCT(--(BD2247=$BD$4:$BD$12824),$AC$4:$AC$12824))</f>
        <v>5.3317013463892296E-2</v>
      </c>
      <c r="BF2247" s="458"/>
      <c r="BG2247" s="458"/>
      <c r="BH2247" s="458"/>
      <c r="BI2247" s="458"/>
      <c r="BJ2247" s="458"/>
      <c r="BK2247" s="458"/>
      <c r="BL2247" s="458"/>
      <c r="BM2247" s="458"/>
      <c r="BN2247" s="458"/>
      <c r="BO2247" s="866">
        <f>VLOOKUP(BD2247,$BD$4:$BN$12824,3,0)*BE2247</f>
        <v>950619.74364749098</v>
      </c>
      <c r="BP2247" s="866"/>
      <c r="BQ2247" s="866"/>
      <c r="BR2247" s="866">
        <f>VLOOKUP(BD2247,$BD$4:$BN$12824,6,0)*BE2247</f>
        <v>167728.51162790699</v>
      </c>
      <c r="BS2247" s="866">
        <f>VLOOKUP(BD2247,$BD$4:$BN$12824,7,0)*BE2247</f>
        <v>13329.253365973073</v>
      </c>
      <c r="BT2247" s="866"/>
      <c r="BU2247" s="866">
        <f>VLOOKUP(BD2247,$BD$4:$BN$12824,9,0)*BE2247</f>
        <v>1066.3402692778459</v>
      </c>
      <c r="BV2247" s="867"/>
      <c r="BW2247" s="867">
        <f>VLOOKUP(BD2247,$BD$4:$BN$12824,11,0)*BE2247</f>
        <v>0</v>
      </c>
      <c r="BX2247" s="1146">
        <f t="shared" si="474"/>
        <v>1132743.8489106488</v>
      </c>
      <c r="BY2247" s="867">
        <f t="shared" si="475"/>
        <v>1720626.9149939984</v>
      </c>
      <c r="BZ2247" s="867">
        <f t="shared" si="476"/>
        <v>5161880.7449819949</v>
      </c>
      <c r="CA2247" s="867">
        <f>_xlfn.MAXIFS($BY$4:$BY$12824,$S$4:$S$12824,$S2247)</f>
        <v>1720626.9149939984</v>
      </c>
      <c r="CB2247" s="1032"/>
    </row>
    <row r="2248" spans="2:80">
      <c r="B2248" s="839" t="s">
        <v>98</v>
      </c>
      <c r="C2248" s="839" t="s">
        <v>273</v>
      </c>
      <c r="D2248" s="839" t="s">
        <v>7437</v>
      </c>
      <c r="E2248" s="839" t="s">
        <v>7438</v>
      </c>
      <c r="F2248" s="841">
        <v>46034</v>
      </c>
      <c r="G2248" s="839" t="s">
        <v>273</v>
      </c>
      <c r="H2248" s="883" t="s">
        <v>102</v>
      </c>
      <c r="I2248" s="883" t="s">
        <v>7439</v>
      </c>
      <c r="J2248" s="841"/>
      <c r="K2248" s="841"/>
      <c r="L2248" s="843" t="s">
        <v>106</v>
      </c>
      <c r="M2248" s="844" t="s">
        <v>275</v>
      </c>
      <c r="N2248" s="841"/>
      <c r="O2248" s="884"/>
      <c r="P2248" s="842"/>
      <c r="Q2248" s="843"/>
      <c r="R2248" s="845">
        <v>14108.28</v>
      </c>
      <c r="S2248" s="1127" t="s">
        <v>7442</v>
      </c>
      <c r="T2248" s="843" t="s">
        <v>7443</v>
      </c>
      <c r="U2248" s="886">
        <v>3</v>
      </c>
      <c r="V2248" s="842" t="s">
        <v>3</v>
      </c>
      <c r="W2248" s="846">
        <v>5.0599999999999996</v>
      </c>
      <c r="X2248" s="847">
        <f t="shared" si="461"/>
        <v>15.18</v>
      </c>
      <c r="Y2248" s="853" t="s">
        <v>6255</v>
      </c>
      <c r="Z2248" s="849">
        <v>2.5299999999999998</v>
      </c>
      <c r="AA2248" s="849"/>
      <c r="AB2248" s="849">
        <f t="shared" si="470"/>
        <v>7.59</v>
      </c>
      <c r="AC2248" s="850">
        <f t="shared" si="471"/>
        <v>7.59</v>
      </c>
      <c r="AD2248" s="851">
        <v>32000</v>
      </c>
      <c r="AE2248" s="852">
        <v>29845.73</v>
      </c>
      <c r="AF2248" s="853">
        <v>0.1</v>
      </c>
      <c r="AG2248" s="854">
        <f t="shared" si="472"/>
        <v>28760.574891297434</v>
      </c>
      <c r="AH2248" s="853">
        <v>0</v>
      </c>
      <c r="AI2248" s="855">
        <f t="shared" si="473"/>
        <v>0</v>
      </c>
      <c r="AJ2248" s="845" t="s">
        <v>7406</v>
      </c>
      <c r="AK2248" s="857">
        <v>46184</v>
      </c>
      <c r="AL2248" s="843" t="s">
        <v>7407</v>
      </c>
      <c r="AM2248" s="843"/>
      <c r="AN2248" s="844"/>
      <c r="AO2248" s="844" t="s">
        <v>116</v>
      </c>
      <c r="AP2248" s="841"/>
      <c r="AQ2248" s="842"/>
      <c r="AR2248" s="841">
        <v>46194</v>
      </c>
      <c r="AS2248" s="842" t="s">
        <v>7408</v>
      </c>
      <c r="AT2248" s="842" t="s">
        <v>1187</v>
      </c>
      <c r="AU2248" s="842" t="s">
        <v>7253</v>
      </c>
      <c r="AV2248" s="845" t="s">
        <v>7409</v>
      </c>
      <c r="AW2248" s="861">
        <v>46197</v>
      </c>
      <c r="AX2248" s="862">
        <v>46198</v>
      </c>
      <c r="AY2248" s="843"/>
      <c r="AZ2248" s="842"/>
      <c r="BA2248" s="842" t="s">
        <v>120</v>
      </c>
      <c r="BB2248" s="863" t="s">
        <v>121</v>
      </c>
      <c r="BC2248" s="864">
        <v>46202</v>
      </c>
      <c r="BD2248" s="860" t="s">
        <v>7410</v>
      </c>
      <c r="BE2248" s="865" cm="1">
        <f t="array" ref="BE2248">IF(BD2248="","",AC2248/SUMPRODUCT(--(BD2248=$BD$4:$BD$12824),$AC$4:$AC$12824))</f>
        <v>3.3782129742962064E-3</v>
      </c>
      <c r="BF2248" s="458"/>
      <c r="BG2248" s="458"/>
      <c r="BH2248" s="458"/>
      <c r="BI2248" s="458"/>
      <c r="BJ2248" s="458"/>
      <c r="BK2248" s="458"/>
      <c r="BL2248" s="458"/>
      <c r="BM2248" s="458"/>
      <c r="BN2248" s="458"/>
      <c r="BO2248" s="866">
        <f>VLOOKUP(BD2248,$BD$4:$BN$12824,3,0)*BE2248</f>
        <v>60232.104969400258</v>
      </c>
      <c r="BP2248" s="866"/>
      <c r="BQ2248" s="866"/>
      <c r="BR2248" s="866">
        <f>VLOOKUP(BD2248,$BD$4:$BN$12824,6,0)*BE2248</f>
        <v>10627.426356589149</v>
      </c>
      <c r="BS2248" s="866">
        <f>VLOOKUP(BD2248,$BD$4:$BN$12824,7,0)*BE2248</f>
        <v>844.55324357405152</v>
      </c>
      <c r="BT2248" s="866"/>
      <c r="BU2248" s="866">
        <f>VLOOKUP(BD2248,$BD$4:$BN$12824,9,0)*BE2248</f>
        <v>67.564259485924126</v>
      </c>
      <c r="BV2248" s="867"/>
      <c r="BW2248" s="867">
        <f>VLOOKUP(BD2248,$BD$4:$BN$12824,11,0)*BE2248</f>
        <v>0</v>
      </c>
      <c r="BX2248" s="1146">
        <f t="shared" si="474"/>
        <v>71771.648829049373</v>
      </c>
      <c r="BY2248" s="867">
        <f t="shared" si="475"/>
        <v>109020.4381401156</v>
      </c>
      <c r="BZ2248" s="867">
        <f t="shared" si="476"/>
        <v>327061.31442034681</v>
      </c>
      <c r="CA2248" s="867">
        <f>_xlfn.MAXIFS($BY$4:$BY$12824,$S$4:$S$12824,$S2248)</f>
        <v>109020.4381401156</v>
      </c>
      <c r="CB2248" s="1032"/>
    </row>
    <row r="2249" spans="2:80">
      <c r="B2249" s="839" t="s">
        <v>98</v>
      </c>
      <c r="C2249" s="839" t="s">
        <v>273</v>
      </c>
      <c r="D2249" s="839" t="s">
        <v>7437</v>
      </c>
      <c r="E2249" s="839" t="s">
        <v>7438</v>
      </c>
      <c r="F2249" s="841">
        <v>46034</v>
      </c>
      <c r="G2249" s="839" t="s">
        <v>273</v>
      </c>
      <c r="H2249" s="883" t="s">
        <v>102</v>
      </c>
      <c r="I2249" s="883" t="s">
        <v>7439</v>
      </c>
      <c r="J2249" s="841"/>
      <c r="K2249" s="841"/>
      <c r="L2249" s="843" t="s">
        <v>106</v>
      </c>
      <c r="M2249" s="844" t="s">
        <v>275</v>
      </c>
      <c r="N2249" s="841"/>
      <c r="O2249" s="884"/>
      <c r="P2249" s="842"/>
      <c r="Q2249" s="843"/>
      <c r="R2249" s="845">
        <v>14109.28</v>
      </c>
      <c r="S2249" s="1127" t="s">
        <v>7444</v>
      </c>
      <c r="T2249" s="843" t="s">
        <v>7445</v>
      </c>
      <c r="U2249" s="886">
        <v>3</v>
      </c>
      <c r="V2249" s="842" t="s">
        <v>3</v>
      </c>
      <c r="W2249" s="846">
        <v>5.0599999999999996</v>
      </c>
      <c r="X2249" s="847">
        <f t="shared" si="461"/>
        <v>15.18</v>
      </c>
      <c r="Y2249" s="853" t="s">
        <v>6255</v>
      </c>
      <c r="Z2249" s="849">
        <v>2.5299999999999998</v>
      </c>
      <c r="AA2249" s="849"/>
      <c r="AB2249" s="849">
        <f t="shared" si="470"/>
        <v>7.59</v>
      </c>
      <c r="AC2249" s="850">
        <f t="shared" si="471"/>
        <v>7.59</v>
      </c>
      <c r="AD2249" s="851">
        <v>32000</v>
      </c>
      <c r="AE2249" s="852">
        <v>29845.73</v>
      </c>
      <c r="AF2249" s="853">
        <v>0.1</v>
      </c>
      <c r="AG2249" s="854">
        <f t="shared" si="472"/>
        <v>28760.574891297434</v>
      </c>
      <c r="AH2249" s="853">
        <v>0</v>
      </c>
      <c r="AI2249" s="855">
        <f t="shared" si="473"/>
        <v>0</v>
      </c>
      <c r="AJ2249" s="845" t="s">
        <v>7406</v>
      </c>
      <c r="AK2249" s="857">
        <v>46184</v>
      </c>
      <c r="AL2249" s="843" t="s">
        <v>7407</v>
      </c>
      <c r="AM2249" s="843"/>
      <c r="AN2249" s="844"/>
      <c r="AO2249" s="844" t="s">
        <v>116</v>
      </c>
      <c r="AP2249" s="841"/>
      <c r="AQ2249" s="842"/>
      <c r="AR2249" s="841">
        <v>46194</v>
      </c>
      <c r="AS2249" s="842" t="s">
        <v>7408</v>
      </c>
      <c r="AT2249" s="842" t="s">
        <v>1187</v>
      </c>
      <c r="AU2249" s="842" t="s">
        <v>7253</v>
      </c>
      <c r="AV2249" s="845" t="s">
        <v>7409</v>
      </c>
      <c r="AW2249" s="861">
        <v>46197</v>
      </c>
      <c r="AX2249" s="862">
        <v>46198</v>
      </c>
      <c r="AY2249" s="843"/>
      <c r="AZ2249" s="842"/>
      <c r="BA2249" s="842" t="s">
        <v>120</v>
      </c>
      <c r="BB2249" s="863" t="s">
        <v>121</v>
      </c>
      <c r="BC2249" s="864">
        <v>46202</v>
      </c>
      <c r="BD2249" s="860" t="s">
        <v>7410</v>
      </c>
      <c r="BE2249" s="865" cm="1">
        <f t="array" ref="BE2249">IF(BD2249="","",AC2249/SUMPRODUCT(--(BD2249=$BD$4:$BD$12824),$AC$4:$AC$12824))</f>
        <v>3.3782129742962064E-3</v>
      </c>
      <c r="BF2249" s="458"/>
      <c r="BG2249" s="458"/>
      <c r="BH2249" s="458"/>
      <c r="BI2249" s="458"/>
      <c r="BJ2249" s="458"/>
      <c r="BK2249" s="458"/>
      <c r="BL2249" s="458"/>
      <c r="BM2249" s="458"/>
      <c r="BN2249" s="458"/>
      <c r="BO2249" s="866">
        <f>VLOOKUP(BD2249,$BD$4:$BN$12824,3,0)*BE2249</f>
        <v>60232.104969400258</v>
      </c>
      <c r="BP2249" s="866"/>
      <c r="BQ2249" s="866"/>
      <c r="BR2249" s="866">
        <f>VLOOKUP(BD2249,$BD$4:$BN$12824,6,0)*BE2249</f>
        <v>10627.426356589149</v>
      </c>
      <c r="BS2249" s="866">
        <f>VLOOKUP(BD2249,$BD$4:$BN$12824,7,0)*BE2249</f>
        <v>844.55324357405152</v>
      </c>
      <c r="BT2249" s="866"/>
      <c r="BU2249" s="866">
        <f>VLOOKUP(BD2249,$BD$4:$BN$12824,9,0)*BE2249</f>
        <v>67.564259485924126</v>
      </c>
      <c r="BV2249" s="867"/>
      <c r="BW2249" s="867">
        <f>VLOOKUP(BD2249,$BD$4:$BN$12824,11,0)*BE2249</f>
        <v>0</v>
      </c>
      <c r="BX2249" s="1146">
        <f t="shared" si="474"/>
        <v>71771.648829049373</v>
      </c>
      <c r="BY2249" s="867">
        <f t="shared" si="475"/>
        <v>109020.4381401156</v>
      </c>
      <c r="BZ2249" s="867">
        <f t="shared" si="476"/>
        <v>327061.31442034681</v>
      </c>
      <c r="CA2249" s="867">
        <f>_xlfn.MAXIFS($BY$4:$BY$12824,$S$4:$S$12824,$S2249)</f>
        <v>109020.4381401156</v>
      </c>
      <c r="CB2249" s="1032"/>
    </row>
    <row r="2250" spans="2:80">
      <c r="B2250" s="839" t="s">
        <v>98</v>
      </c>
      <c r="C2250" s="839" t="s">
        <v>273</v>
      </c>
      <c r="D2250" s="839" t="s">
        <v>7437</v>
      </c>
      <c r="E2250" s="839" t="s">
        <v>7438</v>
      </c>
      <c r="F2250" s="841">
        <v>46034</v>
      </c>
      <c r="G2250" s="839" t="s">
        <v>273</v>
      </c>
      <c r="H2250" s="883" t="s">
        <v>102</v>
      </c>
      <c r="I2250" s="883" t="s">
        <v>7439</v>
      </c>
      <c r="J2250" s="841"/>
      <c r="K2250" s="841"/>
      <c r="L2250" s="843" t="s">
        <v>106</v>
      </c>
      <c r="M2250" s="844" t="s">
        <v>275</v>
      </c>
      <c r="N2250" s="841"/>
      <c r="O2250" s="884"/>
      <c r="P2250" s="842"/>
      <c r="Q2250" s="843"/>
      <c r="R2250" s="845">
        <v>18453</v>
      </c>
      <c r="S2250" s="1127" t="s">
        <v>4029</v>
      </c>
      <c r="T2250" s="843" t="s">
        <v>4030</v>
      </c>
      <c r="U2250" s="886">
        <v>3</v>
      </c>
      <c r="V2250" s="842" t="s">
        <v>3</v>
      </c>
      <c r="W2250" s="846">
        <v>31.7</v>
      </c>
      <c r="X2250" s="847">
        <f t="shared" si="461"/>
        <v>95.1</v>
      </c>
      <c r="Y2250" s="853" t="s">
        <v>6255</v>
      </c>
      <c r="Z2250" s="849">
        <v>15.85</v>
      </c>
      <c r="AA2250" s="849"/>
      <c r="AB2250" s="849">
        <f t="shared" si="470"/>
        <v>47.55</v>
      </c>
      <c r="AC2250" s="850">
        <f t="shared" si="471"/>
        <v>47.55</v>
      </c>
      <c r="AD2250" s="851">
        <v>32000</v>
      </c>
      <c r="AE2250" s="852">
        <v>29845.73</v>
      </c>
      <c r="AF2250" s="853">
        <v>0.1</v>
      </c>
      <c r="AG2250" s="854">
        <f t="shared" si="472"/>
        <v>180179.88617670524</v>
      </c>
      <c r="AH2250" s="853">
        <v>0</v>
      </c>
      <c r="AI2250" s="855">
        <f t="shared" si="473"/>
        <v>0</v>
      </c>
      <c r="AJ2250" s="845" t="s">
        <v>7406</v>
      </c>
      <c r="AK2250" s="857">
        <v>46184</v>
      </c>
      <c r="AL2250" s="843" t="s">
        <v>7407</v>
      </c>
      <c r="AM2250" s="843"/>
      <c r="AN2250" s="844"/>
      <c r="AO2250" s="844" t="s">
        <v>116</v>
      </c>
      <c r="AP2250" s="841"/>
      <c r="AQ2250" s="842"/>
      <c r="AR2250" s="841">
        <v>46194</v>
      </c>
      <c r="AS2250" s="842" t="s">
        <v>7408</v>
      </c>
      <c r="AT2250" s="842" t="s">
        <v>1187</v>
      </c>
      <c r="AU2250" s="842" t="s">
        <v>7253</v>
      </c>
      <c r="AV2250" s="845" t="s">
        <v>7409</v>
      </c>
      <c r="AW2250" s="861">
        <v>46197</v>
      </c>
      <c r="AX2250" s="862">
        <v>46198</v>
      </c>
      <c r="AY2250" s="843"/>
      <c r="AZ2250" s="842"/>
      <c r="BA2250" s="842" t="s">
        <v>120</v>
      </c>
      <c r="BB2250" s="863" t="s">
        <v>121</v>
      </c>
      <c r="BC2250" s="864">
        <v>46202</v>
      </c>
      <c r="BD2250" s="860" t="s">
        <v>7410</v>
      </c>
      <c r="BE2250" s="865" cm="1">
        <f t="array" ref="BE2250">IF(BD2250="","",AC2250/SUMPRODUCT(--(BD2250=$BD$4:$BD$12824),$AC$4:$AC$12824))</f>
        <v>2.1163903416045401E-2</v>
      </c>
      <c r="BF2250" s="458"/>
      <c r="BG2250" s="458"/>
      <c r="BH2250" s="458"/>
      <c r="BI2250" s="458"/>
      <c r="BJ2250" s="458"/>
      <c r="BK2250" s="458"/>
      <c r="BL2250" s="458"/>
      <c r="BM2250" s="458"/>
      <c r="BN2250" s="458"/>
      <c r="BO2250" s="866">
        <f>VLOOKUP(BD2250,$BD$4:$BN$12824,3,0)*BE2250</f>
        <v>377343.4244130411</v>
      </c>
      <c r="BP2250" s="866"/>
      <c r="BQ2250" s="866"/>
      <c r="BR2250" s="866">
        <f>VLOOKUP(BD2250,$BD$4:$BN$12824,6,0)*BE2250</f>
        <v>66578.935870331217</v>
      </c>
      <c r="BS2250" s="866">
        <f>VLOOKUP(BD2250,$BD$4:$BN$12824,7,0)*BE2250</f>
        <v>5290.9758540113498</v>
      </c>
      <c r="BT2250" s="866"/>
      <c r="BU2250" s="866">
        <f>VLOOKUP(BD2250,$BD$4:$BN$12824,9,0)*BE2250</f>
        <v>423.27806832090801</v>
      </c>
      <c r="BV2250" s="867"/>
      <c r="BW2250" s="867">
        <f>VLOOKUP(BD2250,$BD$4:$BN$12824,11,0)*BE2250</f>
        <v>0</v>
      </c>
      <c r="BX2250" s="1146">
        <f t="shared" si="474"/>
        <v>449636.61420570459</v>
      </c>
      <c r="BY2250" s="867">
        <f t="shared" si="475"/>
        <v>682993.65396080317</v>
      </c>
      <c r="BZ2250" s="867">
        <f t="shared" si="476"/>
        <v>2048980.9618824096</v>
      </c>
      <c r="CA2250" s="867">
        <f>_xlfn.MAXIFS($BY$4:$BY$12824,$S$4:$S$12824,$S2250)</f>
        <v>682993.65396080317</v>
      </c>
      <c r="CB2250" s="1032"/>
    </row>
    <row r="2251" spans="2:80">
      <c r="B2251" s="839" t="s">
        <v>98</v>
      </c>
      <c r="C2251" s="839" t="s">
        <v>273</v>
      </c>
      <c r="D2251" s="839" t="s">
        <v>7437</v>
      </c>
      <c r="E2251" s="839" t="s">
        <v>7438</v>
      </c>
      <c r="F2251" s="841">
        <v>46034</v>
      </c>
      <c r="G2251" s="839" t="s">
        <v>273</v>
      </c>
      <c r="H2251" s="883" t="s">
        <v>102</v>
      </c>
      <c r="I2251" s="883" t="s">
        <v>7439</v>
      </c>
      <c r="J2251" s="841"/>
      <c r="K2251" s="841"/>
      <c r="L2251" s="843" t="s">
        <v>106</v>
      </c>
      <c r="M2251" s="844" t="s">
        <v>275</v>
      </c>
      <c r="N2251" s="841"/>
      <c r="O2251" s="884"/>
      <c r="P2251" s="842"/>
      <c r="Q2251" s="843"/>
      <c r="R2251" s="845">
        <v>18454</v>
      </c>
      <c r="S2251" s="1127" t="s">
        <v>4031</v>
      </c>
      <c r="T2251" s="843" t="s">
        <v>4032</v>
      </c>
      <c r="U2251" s="886">
        <v>3</v>
      </c>
      <c r="V2251" s="842" t="s">
        <v>3</v>
      </c>
      <c r="W2251" s="846">
        <v>31.7</v>
      </c>
      <c r="X2251" s="847">
        <f t="shared" si="461"/>
        <v>95.1</v>
      </c>
      <c r="Y2251" s="853" t="s">
        <v>6255</v>
      </c>
      <c r="Z2251" s="849">
        <v>15.85</v>
      </c>
      <c r="AA2251" s="849"/>
      <c r="AB2251" s="849">
        <f t="shared" si="470"/>
        <v>47.55</v>
      </c>
      <c r="AC2251" s="850">
        <f t="shared" si="471"/>
        <v>47.55</v>
      </c>
      <c r="AD2251" s="851">
        <v>32000</v>
      </c>
      <c r="AE2251" s="852">
        <v>29845.73</v>
      </c>
      <c r="AF2251" s="853">
        <v>0.1</v>
      </c>
      <c r="AG2251" s="854">
        <f t="shared" si="472"/>
        <v>180179.88617670524</v>
      </c>
      <c r="AH2251" s="853">
        <v>0</v>
      </c>
      <c r="AI2251" s="855">
        <f t="shared" si="473"/>
        <v>0</v>
      </c>
      <c r="AJ2251" s="845" t="s">
        <v>7406</v>
      </c>
      <c r="AK2251" s="857">
        <v>46184</v>
      </c>
      <c r="AL2251" s="843" t="s">
        <v>7407</v>
      </c>
      <c r="AM2251" s="843"/>
      <c r="AN2251" s="844"/>
      <c r="AO2251" s="844" t="s">
        <v>116</v>
      </c>
      <c r="AP2251" s="841"/>
      <c r="AQ2251" s="842"/>
      <c r="AR2251" s="841">
        <v>46194</v>
      </c>
      <c r="AS2251" s="842" t="s">
        <v>7408</v>
      </c>
      <c r="AT2251" s="842" t="s">
        <v>1187</v>
      </c>
      <c r="AU2251" s="842" t="s">
        <v>7253</v>
      </c>
      <c r="AV2251" s="845" t="s">
        <v>7409</v>
      </c>
      <c r="AW2251" s="861">
        <v>46197</v>
      </c>
      <c r="AX2251" s="862">
        <v>46198</v>
      </c>
      <c r="AY2251" s="843"/>
      <c r="AZ2251" s="842"/>
      <c r="BA2251" s="842" t="s">
        <v>120</v>
      </c>
      <c r="BB2251" s="863" t="s">
        <v>121</v>
      </c>
      <c r="BC2251" s="864">
        <v>46202</v>
      </c>
      <c r="BD2251" s="860" t="s">
        <v>7410</v>
      </c>
      <c r="BE2251" s="865" cm="1">
        <f t="array" ref="BE2251">IF(BD2251="","",AC2251/SUMPRODUCT(--(BD2251=$BD$4:$BD$12824),$AC$4:$AC$12824))</f>
        <v>2.1163903416045401E-2</v>
      </c>
      <c r="BF2251" s="458"/>
      <c r="BG2251" s="458"/>
      <c r="BH2251" s="458"/>
      <c r="BI2251" s="458"/>
      <c r="BJ2251" s="458"/>
      <c r="BK2251" s="458"/>
      <c r="BL2251" s="458"/>
      <c r="BM2251" s="458"/>
      <c r="BN2251" s="458"/>
      <c r="BO2251" s="866">
        <f>VLOOKUP(BD2251,$BD$4:$BN$12824,3,0)*BE2251</f>
        <v>377343.4244130411</v>
      </c>
      <c r="BP2251" s="866"/>
      <c r="BQ2251" s="866"/>
      <c r="BR2251" s="866">
        <f>VLOOKUP(BD2251,$BD$4:$BN$12824,6,0)*BE2251</f>
        <v>66578.935870331217</v>
      </c>
      <c r="BS2251" s="866">
        <f>VLOOKUP(BD2251,$BD$4:$BN$12824,7,0)*BE2251</f>
        <v>5290.9758540113498</v>
      </c>
      <c r="BT2251" s="866"/>
      <c r="BU2251" s="866">
        <f>VLOOKUP(BD2251,$BD$4:$BN$12824,9,0)*BE2251</f>
        <v>423.27806832090801</v>
      </c>
      <c r="BV2251" s="867"/>
      <c r="BW2251" s="867">
        <f>VLOOKUP(BD2251,$BD$4:$BN$12824,11,0)*BE2251</f>
        <v>0</v>
      </c>
      <c r="BX2251" s="1146">
        <f t="shared" si="474"/>
        <v>449636.61420570459</v>
      </c>
      <c r="BY2251" s="867">
        <f t="shared" si="475"/>
        <v>682993.65396080317</v>
      </c>
      <c r="BZ2251" s="867">
        <f t="shared" si="476"/>
        <v>2048980.9618824096</v>
      </c>
      <c r="CA2251" s="867">
        <f>_xlfn.MAXIFS($BY$4:$BY$12824,$S$4:$S$12824,$S2251)</f>
        <v>682993.65396080317</v>
      </c>
      <c r="CB2251" s="1032"/>
    </row>
    <row r="2252" spans="2:80">
      <c r="B2252" s="839" t="s">
        <v>98</v>
      </c>
      <c r="C2252" s="839" t="s">
        <v>273</v>
      </c>
      <c r="D2252" s="839" t="s">
        <v>7437</v>
      </c>
      <c r="E2252" s="839" t="s">
        <v>7438</v>
      </c>
      <c r="F2252" s="841">
        <v>46034</v>
      </c>
      <c r="G2252" s="839" t="s">
        <v>273</v>
      </c>
      <c r="H2252" s="883" t="s">
        <v>102</v>
      </c>
      <c r="I2252" s="883" t="s">
        <v>7439</v>
      </c>
      <c r="J2252" s="841"/>
      <c r="K2252" s="841"/>
      <c r="L2252" s="843" t="s">
        <v>106</v>
      </c>
      <c r="M2252" s="844" t="s">
        <v>275</v>
      </c>
      <c r="N2252" s="841"/>
      <c r="O2252" s="884"/>
      <c r="P2252" s="842"/>
      <c r="Q2252" s="843"/>
      <c r="R2252" s="845">
        <v>18463</v>
      </c>
      <c r="S2252" s="1127" t="s">
        <v>4571</v>
      </c>
      <c r="T2252" s="843" t="s">
        <v>4572</v>
      </c>
      <c r="U2252" s="886">
        <v>6</v>
      </c>
      <c r="V2252" s="842" t="s">
        <v>3</v>
      </c>
      <c r="W2252" s="846">
        <v>0.9</v>
      </c>
      <c r="X2252" s="847">
        <f t="shared" si="461"/>
        <v>5.4</v>
      </c>
      <c r="Y2252" s="853" t="s">
        <v>6255</v>
      </c>
      <c r="Z2252" s="849">
        <v>0.45</v>
      </c>
      <c r="AA2252" s="849"/>
      <c r="AB2252" s="849">
        <f t="shared" si="470"/>
        <v>2.7</v>
      </c>
      <c r="AC2252" s="850">
        <f t="shared" si="471"/>
        <v>2.7</v>
      </c>
      <c r="AD2252" s="851">
        <v>32000</v>
      </c>
      <c r="AE2252" s="852">
        <v>29845.73</v>
      </c>
      <c r="AF2252" s="853">
        <v>0.1</v>
      </c>
      <c r="AG2252" s="854">
        <f t="shared" si="472"/>
        <v>10231.034546311341</v>
      </c>
      <c r="AH2252" s="853">
        <v>0</v>
      </c>
      <c r="AI2252" s="855">
        <f t="shared" si="473"/>
        <v>0</v>
      </c>
      <c r="AJ2252" s="845" t="s">
        <v>7406</v>
      </c>
      <c r="AK2252" s="857">
        <v>46184</v>
      </c>
      <c r="AL2252" s="843" t="s">
        <v>7407</v>
      </c>
      <c r="AM2252" s="843"/>
      <c r="AN2252" s="844"/>
      <c r="AO2252" s="844" t="s">
        <v>116</v>
      </c>
      <c r="AP2252" s="841"/>
      <c r="AQ2252" s="842"/>
      <c r="AR2252" s="841">
        <v>46194</v>
      </c>
      <c r="AS2252" s="842" t="s">
        <v>7408</v>
      </c>
      <c r="AT2252" s="842" t="s">
        <v>1187</v>
      </c>
      <c r="AU2252" s="842" t="s">
        <v>7253</v>
      </c>
      <c r="AV2252" s="845" t="s">
        <v>7409</v>
      </c>
      <c r="AW2252" s="861">
        <v>46197</v>
      </c>
      <c r="AX2252" s="862">
        <v>46198</v>
      </c>
      <c r="AY2252" s="843"/>
      <c r="AZ2252" s="842"/>
      <c r="BA2252" s="842" t="s">
        <v>120</v>
      </c>
      <c r="BB2252" s="863" t="s">
        <v>121</v>
      </c>
      <c r="BC2252" s="864">
        <v>46202</v>
      </c>
      <c r="BD2252" s="860" t="s">
        <v>7410</v>
      </c>
      <c r="BE2252" s="865" cm="1">
        <f t="array" ref="BE2252">IF(BD2252="","",AC2252/SUMPRODUCT(--(BD2252=$BD$4:$BD$12824),$AC$4:$AC$12824))</f>
        <v>1.2017358406587297E-3</v>
      </c>
      <c r="BF2252" s="458"/>
      <c r="BG2252" s="458"/>
      <c r="BH2252" s="458"/>
      <c r="BI2252" s="458"/>
      <c r="BJ2252" s="458"/>
      <c r="BK2252" s="458"/>
      <c r="BL2252" s="458"/>
      <c r="BM2252" s="458"/>
      <c r="BN2252" s="458"/>
      <c r="BO2252" s="866">
        <f>VLOOKUP(BD2252,$BD$4:$BN$12824,3,0)*BE2252</f>
        <v>21426.44050294871</v>
      </c>
      <c r="BP2252" s="866"/>
      <c r="BQ2252" s="866"/>
      <c r="BR2252" s="866">
        <f>VLOOKUP(BD2252,$BD$4:$BN$12824,6,0)*BE2252</f>
        <v>3780.5073995771681</v>
      </c>
      <c r="BS2252" s="866">
        <f>VLOOKUP(BD2252,$BD$4:$BN$12824,7,0)*BE2252</f>
        <v>300.43396016468239</v>
      </c>
      <c r="BT2252" s="866"/>
      <c r="BU2252" s="866">
        <f>VLOOKUP(BD2252,$BD$4:$BN$12824,9,0)*BE2252</f>
        <v>24.034716813174594</v>
      </c>
      <c r="BV2252" s="867"/>
      <c r="BW2252" s="867">
        <f>VLOOKUP(BD2252,$BD$4:$BN$12824,11,0)*BE2252</f>
        <v>0</v>
      </c>
      <c r="BX2252" s="1146">
        <f t="shared" si="474"/>
        <v>25531.416579503733</v>
      </c>
      <c r="BY2252" s="867">
        <f t="shared" si="475"/>
        <v>19390.987020969184</v>
      </c>
      <c r="BZ2252" s="867">
        <f t="shared" si="476"/>
        <v>116345.92212581509</v>
      </c>
      <c r="CA2252" s="867">
        <f>_xlfn.MAXIFS($BY$4:$BY$12824,$S$4:$S$12824,$S2252)</f>
        <v>19390.987020969184</v>
      </c>
      <c r="CB2252" s="1032"/>
    </row>
    <row r="2253" spans="2:80">
      <c r="B2253" s="839" t="s">
        <v>98</v>
      </c>
      <c r="C2253" s="839" t="s">
        <v>273</v>
      </c>
      <c r="D2253" s="839" t="s">
        <v>7437</v>
      </c>
      <c r="E2253" s="839" t="s">
        <v>7438</v>
      </c>
      <c r="F2253" s="841">
        <v>46034</v>
      </c>
      <c r="G2253" s="839" t="s">
        <v>273</v>
      </c>
      <c r="H2253" s="883" t="s">
        <v>102</v>
      </c>
      <c r="I2253" s="883" t="s">
        <v>7439</v>
      </c>
      <c r="J2253" s="841"/>
      <c r="K2253" s="841"/>
      <c r="L2253" s="843" t="s">
        <v>106</v>
      </c>
      <c r="M2253" s="844" t="s">
        <v>275</v>
      </c>
      <c r="N2253" s="841"/>
      <c r="O2253" s="884"/>
      <c r="P2253" s="842"/>
      <c r="Q2253" s="843"/>
      <c r="R2253" s="845">
        <v>18476</v>
      </c>
      <c r="S2253" s="1127" t="s">
        <v>4033</v>
      </c>
      <c r="T2253" s="843" t="s">
        <v>4034</v>
      </c>
      <c r="U2253" s="886">
        <v>3</v>
      </c>
      <c r="V2253" s="842" t="s">
        <v>3</v>
      </c>
      <c r="W2253" s="846">
        <v>22.06</v>
      </c>
      <c r="X2253" s="847">
        <f t="shared" si="461"/>
        <v>66.179999999999993</v>
      </c>
      <c r="Y2253" s="853" t="s">
        <v>6255</v>
      </c>
      <c r="Z2253" s="849">
        <v>11.03</v>
      </c>
      <c r="AA2253" s="849"/>
      <c r="AB2253" s="849">
        <f t="shared" si="470"/>
        <v>33.089999999999996</v>
      </c>
      <c r="AC2253" s="850">
        <f t="shared" si="471"/>
        <v>33.089999999999996</v>
      </c>
      <c r="AD2253" s="851">
        <v>32000</v>
      </c>
      <c r="AE2253" s="852">
        <v>29845.73</v>
      </c>
      <c r="AF2253" s="853">
        <v>0.1</v>
      </c>
      <c r="AG2253" s="854">
        <f t="shared" si="472"/>
        <v>125387.01227312673</v>
      </c>
      <c r="AH2253" s="853">
        <v>0</v>
      </c>
      <c r="AI2253" s="855">
        <f t="shared" si="473"/>
        <v>0</v>
      </c>
      <c r="AJ2253" s="845" t="s">
        <v>7406</v>
      </c>
      <c r="AK2253" s="857">
        <v>46184</v>
      </c>
      <c r="AL2253" s="843" t="s">
        <v>7407</v>
      </c>
      <c r="AM2253" s="843"/>
      <c r="AN2253" s="844"/>
      <c r="AO2253" s="844" t="s">
        <v>116</v>
      </c>
      <c r="AP2253" s="841"/>
      <c r="AQ2253" s="842"/>
      <c r="AR2253" s="841">
        <v>46194</v>
      </c>
      <c r="AS2253" s="842" t="s">
        <v>7408</v>
      </c>
      <c r="AT2253" s="842" t="s">
        <v>1187</v>
      </c>
      <c r="AU2253" s="842" t="s">
        <v>7253</v>
      </c>
      <c r="AV2253" s="845" t="s">
        <v>7409</v>
      </c>
      <c r="AW2253" s="861">
        <v>46197</v>
      </c>
      <c r="AX2253" s="862">
        <v>46198</v>
      </c>
      <c r="AY2253" s="843"/>
      <c r="AZ2253" s="842"/>
      <c r="BA2253" s="842" t="s">
        <v>120</v>
      </c>
      <c r="BB2253" s="863" t="s">
        <v>121</v>
      </c>
      <c r="BC2253" s="864">
        <v>46202</v>
      </c>
      <c r="BD2253" s="860" t="s">
        <v>7410</v>
      </c>
      <c r="BE2253" s="865" cm="1">
        <f t="array" ref="BE2253">IF(BD2253="","",AC2253/SUMPRODUCT(--(BD2253=$BD$4:$BD$12824),$AC$4:$AC$12824))</f>
        <v>1.4727940358295317E-2</v>
      </c>
      <c r="BF2253" s="458"/>
      <c r="BG2253" s="458"/>
      <c r="BH2253" s="458"/>
      <c r="BI2253" s="458"/>
      <c r="BJ2253" s="458"/>
      <c r="BK2253" s="458"/>
      <c r="BL2253" s="458"/>
      <c r="BM2253" s="458"/>
      <c r="BN2253" s="458"/>
      <c r="BO2253" s="866">
        <f>VLOOKUP(BD2253,$BD$4:$BN$12824,3,0)*BE2253</f>
        <v>262592.93194169359</v>
      </c>
      <c r="BP2253" s="866"/>
      <c r="BQ2253" s="866"/>
      <c r="BR2253" s="866">
        <f>VLOOKUP(BD2253,$BD$4:$BN$12824,6,0)*BE2253</f>
        <v>46332.218463706835</v>
      </c>
      <c r="BS2253" s="866">
        <f>VLOOKUP(BD2253,$BD$4:$BN$12824,7,0)*BE2253</f>
        <v>3681.9850895738286</v>
      </c>
      <c r="BT2253" s="866"/>
      <c r="BU2253" s="866">
        <f>VLOOKUP(BD2253,$BD$4:$BN$12824,9,0)*BE2253</f>
        <v>294.55880716590633</v>
      </c>
      <c r="BV2253" s="867"/>
      <c r="BW2253" s="867">
        <f>VLOOKUP(BD2253,$BD$4:$BN$12824,11,0)*BE2253</f>
        <v>0</v>
      </c>
      <c r="BX2253" s="1146">
        <f t="shared" si="474"/>
        <v>312901.69430214015</v>
      </c>
      <c r="BY2253" s="867">
        <f t="shared" si="475"/>
        <v>475294.63742508896</v>
      </c>
      <c r="BZ2253" s="867">
        <f t="shared" si="476"/>
        <v>1425883.9122752668</v>
      </c>
      <c r="CA2253" s="867">
        <f>_xlfn.MAXIFS($BY$4:$BY$12824,$S$4:$S$12824,$S2253)</f>
        <v>475294.63742508896</v>
      </c>
      <c r="CB2253" s="1032"/>
    </row>
    <row r="2254" spans="2:80">
      <c r="B2254" s="839" t="s">
        <v>98</v>
      </c>
      <c r="C2254" s="839" t="s">
        <v>273</v>
      </c>
      <c r="D2254" s="839" t="s">
        <v>7437</v>
      </c>
      <c r="E2254" s="839" t="s">
        <v>7446</v>
      </c>
      <c r="F2254" s="841">
        <v>46086</v>
      </c>
      <c r="G2254" s="839" t="s">
        <v>273</v>
      </c>
      <c r="H2254" s="883" t="s">
        <v>102</v>
      </c>
      <c r="I2254" s="883" t="s">
        <v>7447</v>
      </c>
      <c r="J2254" s="841"/>
      <c r="K2254" s="841"/>
      <c r="L2254" s="843" t="s">
        <v>106</v>
      </c>
      <c r="M2254" s="844" t="s">
        <v>275</v>
      </c>
      <c r="N2254" s="841"/>
      <c r="O2254" s="884"/>
      <c r="P2254" s="842"/>
      <c r="Q2254" s="843"/>
      <c r="R2254" s="845" t="s">
        <v>7448</v>
      </c>
      <c r="S2254" s="1127" t="s">
        <v>6413</v>
      </c>
      <c r="T2254" s="843" t="s">
        <v>6414</v>
      </c>
      <c r="U2254" s="886">
        <v>2</v>
      </c>
      <c r="V2254" s="842" t="s">
        <v>3</v>
      </c>
      <c r="W2254" s="846">
        <v>46.79</v>
      </c>
      <c r="X2254" s="847">
        <f t="shared" si="461"/>
        <v>93.58</v>
      </c>
      <c r="Y2254" s="853" t="s">
        <v>6255</v>
      </c>
      <c r="Z2254" s="849">
        <v>23.395</v>
      </c>
      <c r="AA2254" s="849"/>
      <c r="AB2254" s="849">
        <f t="shared" si="470"/>
        <v>46.79</v>
      </c>
      <c r="AC2254" s="850">
        <f t="shared" si="471"/>
        <v>46.79</v>
      </c>
      <c r="AD2254" s="851">
        <v>32000</v>
      </c>
      <c r="AE2254" s="852">
        <v>29845.73</v>
      </c>
      <c r="AF2254" s="853">
        <v>0.1</v>
      </c>
      <c r="AG2254" s="854">
        <f t="shared" si="472"/>
        <v>177300.03941552131</v>
      </c>
      <c r="AH2254" s="853">
        <v>0</v>
      </c>
      <c r="AI2254" s="855">
        <f t="shared" si="473"/>
        <v>0</v>
      </c>
      <c r="AJ2254" s="845" t="s">
        <v>7406</v>
      </c>
      <c r="AK2254" s="857">
        <v>46184</v>
      </c>
      <c r="AL2254" s="843" t="s">
        <v>7407</v>
      </c>
      <c r="AM2254" s="843"/>
      <c r="AN2254" s="844"/>
      <c r="AO2254" s="844" t="s">
        <v>116</v>
      </c>
      <c r="AP2254" s="841"/>
      <c r="AQ2254" s="842"/>
      <c r="AR2254" s="841">
        <v>46194</v>
      </c>
      <c r="AS2254" s="842" t="s">
        <v>7408</v>
      </c>
      <c r="AT2254" s="842" t="s">
        <v>1187</v>
      </c>
      <c r="AU2254" s="842" t="s">
        <v>7253</v>
      </c>
      <c r="AV2254" s="845" t="s">
        <v>7409</v>
      </c>
      <c r="AW2254" s="861">
        <v>46197</v>
      </c>
      <c r="AX2254" s="862">
        <v>46198</v>
      </c>
      <c r="AY2254" s="843"/>
      <c r="AZ2254" s="842"/>
      <c r="BA2254" s="842" t="s">
        <v>120</v>
      </c>
      <c r="BB2254" s="863" t="s">
        <v>121</v>
      </c>
      <c r="BC2254" s="864">
        <v>46202</v>
      </c>
      <c r="BD2254" s="860" t="s">
        <v>7410</v>
      </c>
      <c r="BE2254" s="865" cm="1">
        <f t="array" ref="BE2254">IF(BD2254="","",AC2254/SUMPRODUCT(--(BD2254=$BD$4:$BD$12824),$AC$4:$AC$12824))</f>
        <v>2.0825637031267389E-2</v>
      </c>
      <c r="BF2254" s="458"/>
      <c r="BG2254" s="458"/>
      <c r="BH2254" s="458"/>
      <c r="BI2254" s="458"/>
      <c r="BJ2254" s="458"/>
      <c r="BK2254" s="458"/>
      <c r="BL2254" s="458"/>
      <c r="BM2254" s="458"/>
      <c r="BN2254" s="458"/>
      <c r="BO2254" s="866">
        <f>VLOOKUP(BD2254,$BD$4:$BN$12824,3,0)*BE2254</f>
        <v>371312.27819739631</v>
      </c>
      <c r="BP2254" s="866"/>
      <c r="BQ2254" s="866"/>
      <c r="BR2254" s="866">
        <f>VLOOKUP(BD2254,$BD$4:$BN$12824,6,0)*BE2254</f>
        <v>65514.793046746541</v>
      </c>
      <c r="BS2254" s="866">
        <f>VLOOKUP(BD2254,$BD$4:$BN$12824,7,0)*BE2254</f>
        <v>5206.4092578168465</v>
      </c>
      <c r="BT2254" s="866"/>
      <c r="BU2254" s="866">
        <f>VLOOKUP(BD2254,$BD$4:$BN$12824,9,0)*BE2254</f>
        <v>416.51274062534776</v>
      </c>
      <c r="BV2254" s="867"/>
      <c r="BW2254" s="867">
        <f>VLOOKUP(BD2254,$BD$4:$BN$12824,11,0)*BE2254</f>
        <v>0</v>
      </c>
      <c r="BX2254" s="1146">
        <f t="shared" si="474"/>
        <v>442449.99324258504</v>
      </c>
      <c r="BY2254" s="867">
        <f t="shared" si="475"/>
        <v>1008115.8696790532</v>
      </c>
      <c r="BZ2254" s="867">
        <f t="shared" si="476"/>
        <v>2016231.7393581064</v>
      </c>
      <c r="CA2254" s="867">
        <f>_xlfn.MAXIFS($BY$4:$BY$12824,$S$4:$S$12824,$S2254)</f>
        <v>1008115.8696790532</v>
      </c>
      <c r="CB2254" s="1032"/>
    </row>
    <row r="2255" spans="2:80">
      <c r="B2255" s="839" t="s">
        <v>98</v>
      </c>
      <c r="C2255" s="839" t="s">
        <v>273</v>
      </c>
      <c r="D2255" s="839" t="s">
        <v>7437</v>
      </c>
      <c r="E2255" s="839" t="s">
        <v>7446</v>
      </c>
      <c r="F2255" s="841">
        <v>46086</v>
      </c>
      <c r="G2255" s="839" t="s">
        <v>273</v>
      </c>
      <c r="H2255" s="883" t="s">
        <v>102</v>
      </c>
      <c r="I2255" s="883" t="s">
        <v>7447</v>
      </c>
      <c r="J2255" s="841"/>
      <c r="K2255" s="841"/>
      <c r="L2255" s="843" t="s">
        <v>106</v>
      </c>
      <c r="M2255" s="844" t="s">
        <v>275</v>
      </c>
      <c r="N2255" s="841"/>
      <c r="O2255" s="884"/>
      <c r="P2255" s="842"/>
      <c r="Q2255" s="843"/>
      <c r="R2255" s="845" t="s">
        <v>7449</v>
      </c>
      <c r="S2255" s="1127" t="s">
        <v>6472</v>
      </c>
      <c r="T2255" s="843" t="s">
        <v>6473</v>
      </c>
      <c r="U2255" s="886">
        <v>2</v>
      </c>
      <c r="V2255" s="842" t="s">
        <v>3</v>
      </c>
      <c r="W2255" s="846">
        <v>90.17</v>
      </c>
      <c r="X2255" s="847">
        <f t="shared" si="461"/>
        <v>180.34</v>
      </c>
      <c r="Y2255" s="853" t="s">
        <v>6255</v>
      </c>
      <c r="Z2255" s="849">
        <v>45.080000000000005</v>
      </c>
      <c r="AA2255" s="849"/>
      <c r="AB2255" s="849">
        <f t="shared" si="470"/>
        <v>90.160000000000011</v>
      </c>
      <c r="AC2255" s="850">
        <f t="shared" si="471"/>
        <v>90.160000000000011</v>
      </c>
      <c r="AD2255" s="851">
        <v>32000</v>
      </c>
      <c r="AE2255" s="852">
        <v>29845.73</v>
      </c>
      <c r="AF2255" s="853">
        <v>0.1</v>
      </c>
      <c r="AG2255" s="854">
        <f t="shared" si="472"/>
        <v>341640.768405715</v>
      </c>
      <c r="AH2255" s="853">
        <v>0</v>
      </c>
      <c r="AI2255" s="855">
        <f t="shared" si="473"/>
        <v>0</v>
      </c>
      <c r="AJ2255" s="845" t="s">
        <v>7406</v>
      </c>
      <c r="AK2255" s="857">
        <v>46184</v>
      </c>
      <c r="AL2255" s="843" t="s">
        <v>7407</v>
      </c>
      <c r="AM2255" s="843"/>
      <c r="AN2255" s="844"/>
      <c r="AO2255" s="844" t="s">
        <v>116</v>
      </c>
      <c r="AP2255" s="841"/>
      <c r="AQ2255" s="842"/>
      <c r="AR2255" s="841">
        <v>46194</v>
      </c>
      <c r="AS2255" s="842" t="s">
        <v>7408</v>
      </c>
      <c r="AT2255" s="842" t="s">
        <v>1187</v>
      </c>
      <c r="AU2255" s="842" t="s">
        <v>7253</v>
      </c>
      <c r="AV2255" s="845" t="s">
        <v>7409</v>
      </c>
      <c r="AW2255" s="861">
        <v>46197</v>
      </c>
      <c r="AX2255" s="862">
        <v>46198</v>
      </c>
      <c r="AY2255" s="843"/>
      <c r="AZ2255" s="842"/>
      <c r="BA2255" s="842" t="s">
        <v>120</v>
      </c>
      <c r="BB2255" s="863" t="s">
        <v>121</v>
      </c>
      <c r="BC2255" s="864">
        <v>46202</v>
      </c>
      <c r="BD2255" s="860" t="s">
        <v>7410</v>
      </c>
      <c r="BE2255" s="865" cm="1">
        <f t="array" ref="BE2255">IF(BD2255="","",AC2255/SUMPRODUCT(--(BD2255=$BD$4:$BD$12824),$AC$4:$AC$12824))</f>
        <v>4.0129075331033728E-2</v>
      </c>
      <c r="BF2255" s="458"/>
      <c r="BG2255" s="458"/>
      <c r="BH2255" s="458"/>
      <c r="BI2255" s="458"/>
      <c r="BJ2255" s="458"/>
      <c r="BK2255" s="458"/>
      <c r="BL2255" s="458"/>
      <c r="BM2255" s="458"/>
      <c r="BN2255" s="458"/>
      <c r="BO2255" s="866">
        <f>VLOOKUP(BD2255,$BD$4:$BN$12824,3,0)*BE2255</f>
        <v>715484.39842439105</v>
      </c>
      <c r="BP2255" s="866"/>
      <c r="BQ2255" s="866"/>
      <c r="BR2255" s="866">
        <f>VLOOKUP(BD2255,$BD$4:$BN$12824,6,0)*BE2255</f>
        <v>126240.94338736203</v>
      </c>
      <c r="BS2255" s="866">
        <f>VLOOKUP(BD2255,$BD$4:$BN$12824,7,0)*BE2255</f>
        <v>10032.268832758431</v>
      </c>
      <c r="BT2255" s="866"/>
      <c r="BU2255" s="866">
        <f>VLOOKUP(BD2255,$BD$4:$BN$12824,9,0)*BE2255</f>
        <v>802.58150662067453</v>
      </c>
      <c r="BV2255" s="867"/>
      <c r="BW2255" s="867">
        <f>VLOOKUP(BD2255,$BD$4:$BN$12824,11,0)*BE2255</f>
        <v>0</v>
      </c>
      <c r="BX2255" s="1146">
        <f t="shared" si="474"/>
        <v>852560.19215113216</v>
      </c>
      <c r="BY2255" s="867">
        <f t="shared" si="475"/>
        <v>1942545.9886784237</v>
      </c>
      <c r="BZ2255" s="867">
        <f t="shared" si="476"/>
        <v>3885091.9773568474</v>
      </c>
      <c r="CA2255" s="867">
        <f>_xlfn.MAXIFS($BY$4:$BY$12824,$S$4:$S$12824,$S2255)</f>
        <v>1942545.9886784237</v>
      </c>
      <c r="CB2255" s="1032"/>
    </row>
    <row r="2256" spans="2:80">
      <c r="B2256" s="839" t="s">
        <v>98</v>
      </c>
      <c r="C2256" s="839" t="s">
        <v>273</v>
      </c>
      <c r="D2256" s="839" t="s">
        <v>7437</v>
      </c>
      <c r="E2256" s="839" t="s">
        <v>7450</v>
      </c>
      <c r="F2256" s="841">
        <v>46090</v>
      </c>
      <c r="G2256" s="839" t="s">
        <v>273</v>
      </c>
      <c r="H2256" s="883" t="s">
        <v>102</v>
      </c>
      <c r="I2256" s="883" t="s">
        <v>7451</v>
      </c>
      <c r="J2256" s="841"/>
      <c r="K2256" s="841"/>
      <c r="L2256" s="843" t="s">
        <v>106</v>
      </c>
      <c r="M2256" s="844" t="s">
        <v>275</v>
      </c>
      <c r="N2256" s="841"/>
      <c r="O2256" s="884"/>
      <c r="P2256" s="842"/>
      <c r="Q2256" s="843"/>
      <c r="R2256" s="845">
        <v>11853.25</v>
      </c>
      <c r="S2256" s="1127" t="s">
        <v>6886</v>
      </c>
      <c r="T2256" s="843" t="s">
        <v>6887</v>
      </c>
      <c r="U2256" s="886">
        <v>1</v>
      </c>
      <c r="V2256" s="842" t="s">
        <v>3</v>
      </c>
      <c r="W2256" s="846">
        <v>67.86</v>
      </c>
      <c r="X2256" s="847">
        <f t="shared" si="461"/>
        <v>67.86</v>
      </c>
      <c r="Y2256" s="853" t="s">
        <v>6255</v>
      </c>
      <c r="Z2256" s="849">
        <v>33.93</v>
      </c>
      <c r="AA2256" s="849"/>
      <c r="AB2256" s="849">
        <f t="shared" si="470"/>
        <v>33.93</v>
      </c>
      <c r="AC2256" s="850">
        <f t="shared" si="471"/>
        <v>33.93</v>
      </c>
      <c r="AD2256" s="851">
        <v>32000</v>
      </c>
      <c r="AE2256" s="852">
        <v>29845.73</v>
      </c>
      <c r="AF2256" s="853">
        <v>0.1</v>
      </c>
      <c r="AG2256" s="854">
        <f t="shared" si="472"/>
        <v>128570.00079864584</v>
      </c>
      <c r="AH2256" s="853">
        <v>0</v>
      </c>
      <c r="AI2256" s="855">
        <f t="shared" si="473"/>
        <v>0</v>
      </c>
      <c r="AJ2256" s="845" t="s">
        <v>7406</v>
      </c>
      <c r="AK2256" s="857">
        <v>46184</v>
      </c>
      <c r="AL2256" s="843" t="s">
        <v>7407</v>
      </c>
      <c r="AM2256" s="843"/>
      <c r="AN2256" s="844"/>
      <c r="AO2256" s="844" t="s">
        <v>116</v>
      </c>
      <c r="AP2256" s="841"/>
      <c r="AQ2256" s="842"/>
      <c r="AR2256" s="841">
        <v>46194</v>
      </c>
      <c r="AS2256" s="842" t="s">
        <v>7408</v>
      </c>
      <c r="AT2256" s="842" t="s">
        <v>1187</v>
      </c>
      <c r="AU2256" s="842" t="s">
        <v>7253</v>
      </c>
      <c r="AV2256" s="845" t="s">
        <v>7409</v>
      </c>
      <c r="AW2256" s="861">
        <v>46197</v>
      </c>
      <c r="AX2256" s="862">
        <v>46198</v>
      </c>
      <c r="AY2256" s="843"/>
      <c r="AZ2256" s="842"/>
      <c r="BA2256" s="842" t="s">
        <v>120</v>
      </c>
      <c r="BB2256" s="863" t="s">
        <v>121</v>
      </c>
      <c r="BC2256" s="864">
        <v>46202</v>
      </c>
      <c r="BD2256" s="860" t="s">
        <v>7410</v>
      </c>
      <c r="BE2256" s="865" cm="1">
        <f t="array" ref="BE2256">IF(BD2256="","",AC2256/SUMPRODUCT(--(BD2256=$BD$4:$BD$12824),$AC$4:$AC$12824))</f>
        <v>1.5101813730944701E-2</v>
      </c>
      <c r="BF2256" s="458"/>
      <c r="BG2256" s="458"/>
      <c r="BH2256" s="458"/>
      <c r="BI2256" s="458"/>
      <c r="BJ2256" s="458"/>
      <c r="BK2256" s="458"/>
      <c r="BL2256" s="458"/>
      <c r="BM2256" s="458"/>
      <c r="BN2256" s="458"/>
      <c r="BO2256" s="866">
        <f>VLOOKUP(BD2256,$BD$4:$BN$12824,3,0)*BE2256</f>
        <v>269258.93565372209</v>
      </c>
      <c r="BP2256" s="866"/>
      <c r="BQ2256" s="866"/>
      <c r="BR2256" s="866">
        <f>VLOOKUP(BD2256,$BD$4:$BN$12824,6,0)*BE2256</f>
        <v>47508.376321353069</v>
      </c>
      <c r="BS2256" s="866">
        <f>VLOOKUP(BD2256,$BD$4:$BN$12824,7,0)*BE2256</f>
        <v>3775.4534327361748</v>
      </c>
      <c r="BT2256" s="866"/>
      <c r="BU2256" s="866">
        <f>VLOOKUP(BD2256,$BD$4:$BN$12824,9,0)*BE2256</f>
        <v>302.03627461889403</v>
      </c>
      <c r="BV2256" s="867"/>
      <c r="BW2256" s="867">
        <f>VLOOKUP(BD2256,$BD$4:$BN$12824,11,0)*BE2256</f>
        <v>0</v>
      </c>
      <c r="BX2256" s="1146">
        <f t="shared" si="474"/>
        <v>320844.8016824302</v>
      </c>
      <c r="BY2256" s="867">
        <f t="shared" si="475"/>
        <v>1462080.4213810759</v>
      </c>
      <c r="BZ2256" s="867">
        <f t="shared" si="476"/>
        <v>1462080.4213810759</v>
      </c>
      <c r="CA2256" s="867">
        <f>_xlfn.MAXIFS($BY$4:$BY$12824,$S$4:$S$12824,$S2256)</f>
        <v>1462080.4213810759</v>
      </c>
      <c r="CB2256" s="1032"/>
    </row>
    <row r="2257" spans="2:80">
      <c r="B2257" s="839" t="s">
        <v>98</v>
      </c>
      <c r="C2257" s="839" t="s">
        <v>273</v>
      </c>
      <c r="D2257" s="839" t="s">
        <v>7437</v>
      </c>
      <c r="E2257" s="839" t="s">
        <v>7450</v>
      </c>
      <c r="F2257" s="841">
        <v>46090</v>
      </c>
      <c r="G2257" s="839" t="s">
        <v>273</v>
      </c>
      <c r="H2257" s="883" t="s">
        <v>102</v>
      </c>
      <c r="I2257" s="883" t="s">
        <v>7451</v>
      </c>
      <c r="J2257" s="841"/>
      <c r="K2257" s="841"/>
      <c r="L2257" s="843" t="s">
        <v>106</v>
      </c>
      <c r="M2257" s="844" t="s">
        <v>275</v>
      </c>
      <c r="N2257" s="841"/>
      <c r="O2257" s="884"/>
      <c r="P2257" s="842"/>
      <c r="Q2257" s="843"/>
      <c r="R2257" s="845">
        <v>13518.25</v>
      </c>
      <c r="S2257" s="1127" t="s">
        <v>6888</v>
      </c>
      <c r="T2257" s="843" t="s">
        <v>6889</v>
      </c>
      <c r="U2257" s="886">
        <v>1</v>
      </c>
      <c r="V2257" s="842" t="s">
        <v>3</v>
      </c>
      <c r="W2257" s="846">
        <v>53.9</v>
      </c>
      <c r="X2257" s="847">
        <f t="shared" si="461"/>
        <v>53.9</v>
      </c>
      <c r="Y2257" s="853" t="s">
        <v>6255</v>
      </c>
      <c r="Z2257" s="849">
        <v>26.95</v>
      </c>
      <c r="AA2257" s="849"/>
      <c r="AB2257" s="849">
        <f t="shared" si="470"/>
        <v>26.95</v>
      </c>
      <c r="AC2257" s="850">
        <f t="shared" si="471"/>
        <v>26.95</v>
      </c>
      <c r="AD2257" s="851">
        <v>32000</v>
      </c>
      <c r="AE2257" s="852">
        <v>29845.73</v>
      </c>
      <c r="AF2257" s="853">
        <v>0.1</v>
      </c>
      <c r="AG2257" s="854">
        <f t="shared" si="472"/>
        <v>102120.88186040393</v>
      </c>
      <c r="AH2257" s="853">
        <v>0</v>
      </c>
      <c r="AI2257" s="855">
        <f t="shared" si="473"/>
        <v>0</v>
      </c>
      <c r="AJ2257" s="845" t="s">
        <v>7406</v>
      </c>
      <c r="AK2257" s="857">
        <v>46184</v>
      </c>
      <c r="AL2257" s="843" t="s">
        <v>7407</v>
      </c>
      <c r="AM2257" s="843"/>
      <c r="AN2257" s="844"/>
      <c r="AO2257" s="844" t="s">
        <v>116</v>
      </c>
      <c r="AP2257" s="841"/>
      <c r="AQ2257" s="842"/>
      <c r="AR2257" s="841">
        <v>46194</v>
      </c>
      <c r="AS2257" s="842" t="s">
        <v>7408</v>
      </c>
      <c r="AT2257" s="842" t="s">
        <v>1187</v>
      </c>
      <c r="AU2257" s="842" t="s">
        <v>7253</v>
      </c>
      <c r="AV2257" s="845" t="s">
        <v>7409</v>
      </c>
      <c r="AW2257" s="861">
        <v>46197</v>
      </c>
      <c r="AX2257" s="862">
        <v>46198</v>
      </c>
      <c r="AY2257" s="843"/>
      <c r="AZ2257" s="842"/>
      <c r="BA2257" s="842" t="s">
        <v>120</v>
      </c>
      <c r="BB2257" s="863" t="s">
        <v>121</v>
      </c>
      <c r="BC2257" s="864">
        <v>46202</v>
      </c>
      <c r="BD2257" s="860" t="s">
        <v>7410</v>
      </c>
      <c r="BE2257" s="865" cm="1">
        <f t="array" ref="BE2257">IF(BD2257="","",AC2257/SUMPRODUCT(--(BD2257=$BD$4:$BD$12824),$AC$4:$AC$12824))</f>
        <v>1.1995104039167689E-2</v>
      </c>
      <c r="BF2257" s="458"/>
      <c r="BG2257" s="458"/>
      <c r="BH2257" s="458"/>
      <c r="BI2257" s="458"/>
      <c r="BJ2257" s="458"/>
      <c r="BK2257" s="458"/>
      <c r="BL2257" s="458"/>
      <c r="BM2257" s="458"/>
      <c r="BN2257" s="458"/>
      <c r="BO2257" s="866">
        <f>VLOOKUP(BD2257,$BD$4:$BN$12824,3,0)*BE2257</f>
        <v>213867.61909424729</v>
      </c>
      <c r="BP2257" s="866"/>
      <c r="BQ2257" s="866"/>
      <c r="BR2257" s="866">
        <f>VLOOKUP(BD2257,$BD$4:$BN$12824,6,0)*BE2257</f>
        <v>37735.064599483208</v>
      </c>
      <c r="BS2257" s="866">
        <f>VLOOKUP(BD2257,$BD$4:$BN$12824,7,0)*BE2257</f>
        <v>2998.7760097919222</v>
      </c>
      <c r="BT2257" s="866"/>
      <c r="BU2257" s="866">
        <f>VLOOKUP(BD2257,$BD$4:$BN$12824,9,0)*BE2257</f>
        <v>239.9020807833538</v>
      </c>
      <c r="BV2257" s="867"/>
      <c r="BW2257" s="867">
        <f>VLOOKUP(BD2257,$BD$4:$BN$12824,11,0)*BE2257</f>
        <v>0</v>
      </c>
      <c r="BX2257" s="1146">
        <f t="shared" si="474"/>
        <v>254841.36178430577</v>
      </c>
      <c r="BY2257" s="867">
        <f t="shared" si="475"/>
        <v>1161304.6671447097</v>
      </c>
      <c r="BZ2257" s="867">
        <f t="shared" si="476"/>
        <v>1161304.6671447097</v>
      </c>
      <c r="CA2257" s="867">
        <f>_xlfn.MAXIFS($BY$4:$BY$12824,$S$4:$S$12824,$S2257)</f>
        <v>1161304.6671447097</v>
      </c>
      <c r="CB2257" s="1032"/>
    </row>
    <row r="2258" spans="2:80">
      <c r="B2258" s="839" t="s">
        <v>98</v>
      </c>
      <c r="C2258" s="839" t="s">
        <v>273</v>
      </c>
      <c r="D2258" s="839" t="s">
        <v>7437</v>
      </c>
      <c r="E2258" s="839" t="s">
        <v>7450</v>
      </c>
      <c r="F2258" s="841">
        <v>46090</v>
      </c>
      <c r="G2258" s="839" t="s">
        <v>273</v>
      </c>
      <c r="H2258" s="883" t="s">
        <v>102</v>
      </c>
      <c r="I2258" s="883" t="s">
        <v>7451</v>
      </c>
      <c r="J2258" s="841"/>
      <c r="K2258" s="841"/>
      <c r="L2258" s="843" t="s">
        <v>106</v>
      </c>
      <c r="M2258" s="844" t="s">
        <v>275</v>
      </c>
      <c r="N2258" s="841"/>
      <c r="O2258" s="884"/>
      <c r="P2258" s="842"/>
      <c r="Q2258" s="843"/>
      <c r="R2258" s="845">
        <v>16603.25</v>
      </c>
      <c r="S2258" s="1127" t="s">
        <v>6890</v>
      </c>
      <c r="T2258" s="843" t="s">
        <v>6891</v>
      </c>
      <c r="U2258" s="886">
        <v>2</v>
      </c>
      <c r="V2258" s="842" t="s">
        <v>3</v>
      </c>
      <c r="W2258" s="846">
        <v>27.64</v>
      </c>
      <c r="X2258" s="847">
        <f t="shared" si="461"/>
        <v>55.28</v>
      </c>
      <c r="Y2258" s="853" t="s">
        <v>6255</v>
      </c>
      <c r="Z2258" s="849">
        <v>13.82</v>
      </c>
      <c r="AA2258" s="849"/>
      <c r="AB2258" s="849">
        <f t="shared" si="470"/>
        <v>27.64</v>
      </c>
      <c r="AC2258" s="850">
        <f t="shared" si="471"/>
        <v>27.64</v>
      </c>
      <c r="AD2258" s="851">
        <v>32000</v>
      </c>
      <c r="AE2258" s="852">
        <v>29845.73</v>
      </c>
      <c r="AF2258" s="853">
        <v>0.1</v>
      </c>
      <c r="AG2258" s="854">
        <f t="shared" si="472"/>
        <v>104735.4795777946</v>
      </c>
      <c r="AH2258" s="853">
        <v>0</v>
      </c>
      <c r="AI2258" s="855">
        <f t="shared" si="473"/>
        <v>0</v>
      </c>
      <c r="AJ2258" s="845" t="s">
        <v>7406</v>
      </c>
      <c r="AK2258" s="857">
        <v>46184</v>
      </c>
      <c r="AL2258" s="843" t="s">
        <v>7407</v>
      </c>
      <c r="AM2258" s="843"/>
      <c r="AN2258" s="844"/>
      <c r="AO2258" s="844" t="s">
        <v>116</v>
      </c>
      <c r="AP2258" s="841"/>
      <c r="AQ2258" s="842"/>
      <c r="AR2258" s="841">
        <v>46194</v>
      </c>
      <c r="AS2258" s="842" t="s">
        <v>7408</v>
      </c>
      <c r="AT2258" s="842" t="s">
        <v>1187</v>
      </c>
      <c r="AU2258" s="842" t="s">
        <v>7253</v>
      </c>
      <c r="AV2258" s="845" t="s">
        <v>7409</v>
      </c>
      <c r="AW2258" s="861">
        <v>46197</v>
      </c>
      <c r="AX2258" s="862">
        <v>46198</v>
      </c>
      <c r="AY2258" s="843"/>
      <c r="AZ2258" s="842"/>
      <c r="BA2258" s="842" t="s">
        <v>120</v>
      </c>
      <c r="BB2258" s="863" t="s">
        <v>121</v>
      </c>
      <c r="BC2258" s="864">
        <v>46202</v>
      </c>
      <c r="BD2258" s="860" t="s">
        <v>7410</v>
      </c>
      <c r="BE2258" s="865" cm="1">
        <f t="array" ref="BE2258">IF(BD2258="","",AC2258/SUMPRODUCT(--(BD2258=$BD$4:$BD$12824),$AC$4:$AC$12824))</f>
        <v>1.2302214309558253E-2</v>
      </c>
      <c r="BF2258" s="458"/>
      <c r="BG2258" s="458"/>
      <c r="BH2258" s="458"/>
      <c r="BI2258" s="458"/>
      <c r="BJ2258" s="458"/>
      <c r="BK2258" s="458"/>
      <c r="BL2258" s="458"/>
      <c r="BM2258" s="458"/>
      <c r="BN2258" s="458"/>
      <c r="BO2258" s="866">
        <f>VLOOKUP(BD2258,$BD$4:$BN$12824,3,0)*BE2258</f>
        <v>219343.26500055639</v>
      </c>
      <c r="BP2258" s="866"/>
      <c r="BQ2258" s="866"/>
      <c r="BR2258" s="866">
        <f>VLOOKUP(BD2258,$BD$4:$BN$12824,6,0)*BE2258</f>
        <v>38701.194268264037</v>
      </c>
      <c r="BS2258" s="866">
        <f>VLOOKUP(BD2258,$BD$4:$BN$12824,7,0)*BE2258</f>
        <v>3075.5535773895626</v>
      </c>
      <c r="BT2258" s="866"/>
      <c r="BU2258" s="866">
        <f>VLOOKUP(BD2258,$BD$4:$BN$12824,9,0)*BE2258</f>
        <v>246.04428619116507</v>
      </c>
      <c r="BV2258" s="867"/>
      <c r="BW2258" s="867">
        <f>VLOOKUP(BD2258,$BD$4:$BN$12824,11,0)*BE2258</f>
        <v>0</v>
      </c>
      <c r="BX2258" s="1146">
        <f t="shared" si="474"/>
        <v>261366.05713240115</v>
      </c>
      <c r="BY2258" s="867">
        <f t="shared" si="475"/>
        <v>595518.7569550979</v>
      </c>
      <c r="BZ2258" s="867">
        <f t="shared" si="476"/>
        <v>1191037.5139101958</v>
      </c>
      <c r="CA2258" s="867">
        <f>_xlfn.MAXIFS($BY$4:$BY$12824,$S$4:$S$12824,$S2258)</f>
        <v>595518.7569550979</v>
      </c>
      <c r="CB2258" s="1032"/>
    </row>
    <row r="2259" spans="2:80">
      <c r="B2259" s="839" t="s">
        <v>98</v>
      </c>
      <c r="C2259" s="839" t="s">
        <v>273</v>
      </c>
      <c r="D2259" s="839" t="s">
        <v>7437</v>
      </c>
      <c r="E2259" s="839" t="s">
        <v>7450</v>
      </c>
      <c r="F2259" s="841">
        <v>46090</v>
      </c>
      <c r="G2259" s="839" t="s">
        <v>273</v>
      </c>
      <c r="H2259" s="883" t="s">
        <v>102</v>
      </c>
      <c r="I2259" s="883" t="s">
        <v>7451</v>
      </c>
      <c r="J2259" s="841"/>
      <c r="K2259" s="841"/>
      <c r="L2259" s="843" t="s">
        <v>106</v>
      </c>
      <c r="M2259" s="844" t="s">
        <v>275</v>
      </c>
      <c r="N2259" s="841"/>
      <c r="O2259" s="884"/>
      <c r="P2259" s="842"/>
      <c r="Q2259" s="843"/>
      <c r="R2259" s="845">
        <v>16606.25</v>
      </c>
      <c r="S2259" s="1127" t="s">
        <v>6892</v>
      </c>
      <c r="T2259" s="843" t="s">
        <v>6893</v>
      </c>
      <c r="U2259" s="886">
        <v>1</v>
      </c>
      <c r="V2259" s="842" t="s">
        <v>3</v>
      </c>
      <c r="W2259" s="846">
        <v>29.33</v>
      </c>
      <c r="X2259" s="847">
        <f t="shared" si="461"/>
        <v>29.33</v>
      </c>
      <c r="Y2259" s="853" t="s">
        <v>6255</v>
      </c>
      <c r="Z2259" s="849">
        <v>14.67</v>
      </c>
      <c r="AA2259" s="849"/>
      <c r="AB2259" s="849">
        <f t="shared" si="470"/>
        <v>14.67</v>
      </c>
      <c r="AC2259" s="850">
        <f t="shared" si="471"/>
        <v>14.67</v>
      </c>
      <c r="AD2259" s="851">
        <v>32000</v>
      </c>
      <c r="AE2259" s="852">
        <v>29845.73</v>
      </c>
      <c r="AF2259" s="853">
        <v>0.1</v>
      </c>
      <c r="AG2259" s="854">
        <f t="shared" si="472"/>
        <v>55588.621034958276</v>
      </c>
      <c r="AH2259" s="853">
        <v>0</v>
      </c>
      <c r="AI2259" s="855">
        <f t="shared" si="473"/>
        <v>0</v>
      </c>
      <c r="AJ2259" s="845" t="s">
        <v>7406</v>
      </c>
      <c r="AK2259" s="857">
        <v>46184</v>
      </c>
      <c r="AL2259" s="843" t="s">
        <v>7407</v>
      </c>
      <c r="AM2259" s="843"/>
      <c r="AN2259" s="844"/>
      <c r="AO2259" s="844" t="s">
        <v>116</v>
      </c>
      <c r="AP2259" s="841"/>
      <c r="AQ2259" s="842"/>
      <c r="AR2259" s="841">
        <v>46194</v>
      </c>
      <c r="AS2259" s="842" t="s">
        <v>7408</v>
      </c>
      <c r="AT2259" s="842" t="s">
        <v>1187</v>
      </c>
      <c r="AU2259" s="842" t="s">
        <v>7253</v>
      </c>
      <c r="AV2259" s="845" t="s">
        <v>7409</v>
      </c>
      <c r="AW2259" s="861">
        <v>46197</v>
      </c>
      <c r="AX2259" s="862">
        <v>46198</v>
      </c>
      <c r="AY2259" s="843"/>
      <c r="AZ2259" s="842"/>
      <c r="BA2259" s="842" t="s">
        <v>120</v>
      </c>
      <c r="BB2259" s="863" t="s">
        <v>121</v>
      </c>
      <c r="BC2259" s="864">
        <v>46202</v>
      </c>
      <c r="BD2259" s="860" t="s">
        <v>7410</v>
      </c>
      <c r="BE2259" s="865" cm="1">
        <f t="array" ref="BE2259">IF(BD2259="","",AC2259/SUMPRODUCT(--(BD2259=$BD$4:$BD$12824),$AC$4:$AC$12824))</f>
        <v>6.5294314009124305E-3</v>
      </c>
      <c r="BF2259" s="458"/>
      <c r="BG2259" s="458"/>
      <c r="BH2259" s="458"/>
      <c r="BI2259" s="458"/>
      <c r="BJ2259" s="458"/>
      <c r="BK2259" s="458"/>
      <c r="BL2259" s="458"/>
      <c r="BM2259" s="458"/>
      <c r="BN2259" s="458"/>
      <c r="BO2259" s="866">
        <f>VLOOKUP(BD2259,$BD$4:$BN$12824,3,0)*BE2259</f>
        <v>116416.99339935464</v>
      </c>
      <c r="BP2259" s="866"/>
      <c r="BQ2259" s="866"/>
      <c r="BR2259" s="866">
        <f>VLOOKUP(BD2259,$BD$4:$BN$12824,6,0)*BE2259</f>
        <v>20540.756871035945</v>
      </c>
      <c r="BS2259" s="866">
        <f>VLOOKUP(BD2259,$BD$4:$BN$12824,7,0)*BE2259</f>
        <v>1632.3578502281075</v>
      </c>
      <c r="BT2259" s="866"/>
      <c r="BU2259" s="866">
        <f>VLOOKUP(BD2259,$BD$4:$BN$12824,9,0)*BE2259</f>
        <v>130.58862801824861</v>
      </c>
      <c r="BV2259" s="867"/>
      <c r="BW2259" s="867">
        <f>VLOOKUP(BD2259,$BD$4:$BN$12824,11,0)*BE2259</f>
        <v>0</v>
      </c>
      <c r="BX2259" s="1146">
        <f t="shared" si="474"/>
        <v>138720.69674863695</v>
      </c>
      <c r="BY2259" s="867">
        <f t="shared" si="475"/>
        <v>632146.1768835953</v>
      </c>
      <c r="BZ2259" s="867">
        <f t="shared" si="476"/>
        <v>632146.1768835953</v>
      </c>
      <c r="CA2259" s="867">
        <f>_xlfn.MAXIFS($BY$4:$BY$12824,$S$4:$S$12824,$S2259)</f>
        <v>632146.1768835953</v>
      </c>
      <c r="CB2259" s="1032"/>
    </row>
    <row r="2260" spans="2:80">
      <c r="B2260" s="839" t="s">
        <v>98</v>
      </c>
      <c r="C2260" s="839" t="s">
        <v>273</v>
      </c>
      <c r="D2260" s="839" t="s">
        <v>7437</v>
      </c>
      <c r="E2260" s="839" t="s">
        <v>7450</v>
      </c>
      <c r="F2260" s="841">
        <v>46090</v>
      </c>
      <c r="G2260" s="839" t="s">
        <v>273</v>
      </c>
      <c r="H2260" s="883" t="s">
        <v>102</v>
      </c>
      <c r="I2260" s="883" t="s">
        <v>7451</v>
      </c>
      <c r="J2260" s="841"/>
      <c r="K2260" s="841"/>
      <c r="L2260" s="843" t="s">
        <v>106</v>
      </c>
      <c r="M2260" s="844" t="s">
        <v>275</v>
      </c>
      <c r="N2260" s="841"/>
      <c r="O2260" s="884"/>
      <c r="P2260" s="842"/>
      <c r="Q2260" s="843"/>
      <c r="R2260" s="845">
        <v>18478</v>
      </c>
      <c r="S2260" s="1127" t="s">
        <v>6894</v>
      </c>
      <c r="T2260" s="843" t="s">
        <v>6895</v>
      </c>
      <c r="U2260" s="886">
        <v>1</v>
      </c>
      <c r="V2260" s="842" t="s">
        <v>3</v>
      </c>
      <c r="W2260" s="846">
        <v>22.06</v>
      </c>
      <c r="X2260" s="847">
        <f t="shared" si="461"/>
        <v>22.06</v>
      </c>
      <c r="Y2260" s="853" t="s">
        <v>6255</v>
      </c>
      <c r="Z2260" s="849">
        <v>11.03</v>
      </c>
      <c r="AA2260" s="849"/>
      <c r="AB2260" s="849">
        <f t="shared" si="470"/>
        <v>11.03</v>
      </c>
      <c r="AC2260" s="850">
        <f t="shared" si="471"/>
        <v>11.03</v>
      </c>
      <c r="AD2260" s="851">
        <v>32000</v>
      </c>
      <c r="AE2260" s="852">
        <v>29845.73</v>
      </c>
      <c r="AF2260" s="853">
        <v>0.1</v>
      </c>
      <c r="AG2260" s="854">
        <f t="shared" si="472"/>
        <v>41795.670757708918</v>
      </c>
      <c r="AH2260" s="853">
        <v>0</v>
      </c>
      <c r="AI2260" s="855">
        <f t="shared" si="473"/>
        <v>0</v>
      </c>
      <c r="AJ2260" s="845" t="s">
        <v>7406</v>
      </c>
      <c r="AK2260" s="857">
        <v>46184</v>
      </c>
      <c r="AL2260" s="843" t="s">
        <v>7407</v>
      </c>
      <c r="AM2260" s="843"/>
      <c r="AN2260" s="844"/>
      <c r="AO2260" s="844" t="s">
        <v>116</v>
      </c>
      <c r="AP2260" s="841"/>
      <c r="AQ2260" s="842"/>
      <c r="AR2260" s="841">
        <v>46194</v>
      </c>
      <c r="AS2260" s="842" t="s">
        <v>7408</v>
      </c>
      <c r="AT2260" s="842" t="s">
        <v>1187</v>
      </c>
      <c r="AU2260" s="842" t="s">
        <v>7253</v>
      </c>
      <c r="AV2260" s="845" t="s">
        <v>7409</v>
      </c>
      <c r="AW2260" s="861">
        <v>46197</v>
      </c>
      <c r="AX2260" s="862">
        <v>46198</v>
      </c>
      <c r="AY2260" s="843"/>
      <c r="AZ2260" s="842"/>
      <c r="BA2260" s="842" t="s">
        <v>120</v>
      </c>
      <c r="BB2260" s="863" t="s">
        <v>121</v>
      </c>
      <c r="BC2260" s="864">
        <v>46202</v>
      </c>
      <c r="BD2260" s="860" t="s">
        <v>7410</v>
      </c>
      <c r="BE2260" s="865" cm="1">
        <f t="array" ref="BE2260">IF(BD2260="","",AC2260/SUMPRODUCT(--(BD2260=$BD$4:$BD$12824),$AC$4:$AC$12824))</f>
        <v>4.909313452765106E-3</v>
      </c>
      <c r="BF2260" s="458"/>
      <c r="BG2260" s="458"/>
      <c r="BH2260" s="458"/>
      <c r="BI2260" s="458"/>
      <c r="BJ2260" s="458"/>
      <c r="BK2260" s="458"/>
      <c r="BL2260" s="458"/>
      <c r="BM2260" s="458"/>
      <c r="BN2260" s="458"/>
      <c r="BO2260" s="866">
        <f>VLOOKUP(BD2260,$BD$4:$BN$12824,3,0)*BE2260</f>
        <v>87530.977313897863</v>
      </c>
      <c r="BP2260" s="866"/>
      <c r="BQ2260" s="866"/>
      <c r="BR2260" s="866">
        <f>VLOOKUP(BD2260,$BD$4:$BN$12824,6,0)*BE2260</f>
        <v>15444.072821235613</v>
      </c>
      <c r="BS2260" s="866">
        <f>VLOOKUP(BD2260,$BD$4:$BN$12824,7,0)*BE2260</f>
        <v>1227.3283631912764</v>
      </c>
      <c r="BT2260" s="866"/>
      <c r="BU2260" s="866">
        <f>VLOOKUP(BD2260,$BD$4:$BN$12824,9,0)*BE2260</f>
        <v>98.18626905530212</v>
      </c>
      <c r="BV2260" s="867"/>
      <c r="BW2260" s="867">
        <f>VLOOKUP(BD2260,$BD$4:$BN$12824,11,0)*BE2260</f>
        <v>0</v>
      </c>
      <c r="BX2260" s="1146">
        <f t="shared" si="474"/>
        <v>104300.56476738006</v>
      </c>
      <c r="BY2260" s="867">
        <f t="shared" si="475"/>
        <v>475294.63742508896</v>
      </c>
      <c r="BZ2260" s="867">
        <f t="shared" si="476"/>
        <v>475294.63742508896</v>
      </c>
      <c r="CA2260" s="867">
        <f>_xlfn.MAXIFS($BY$4:$BY$12824,$S$4:$S$12824,$S2260)</f>
        <v>475294.63742508896</v>
      </c>
      <c r="CB2260" s="1032"/>
    </row>
    <row r="2261" spans="2:80">
      <c r="B2261" s="839" t="s">
        <v>98</v>
      </c>
      <c r="C2261" s="839" t="s">
        <v>273</v>
      </c>
      <c r="D2261" s="839" t="s">
        <v>7437</v>
      </c>
      <c r="E2261" s="839" t="s">
        <v>7452</v>
      </c>
      <c r="F2261" s="841">
        <v>46113</v>
      </c>
      <c r="G2261" s="839" t="s">
        <v>273</v>
      </c>
      <c r="H2261" s="883" t="s">
        <v>102</v>
      </c>
      <c r="I2261" s="883" t="s">
        <v>7439</v>
      </c>
      <c r="J2261" s="841"/>
      <c r="K2261" s="841"/>
      <c r="L2261" s="843" t="s">
        <v>106</v>
      </c>
      <c r="M2261" s="844" t="s">
        <v>275</v>
      </c>
      <c r="N2261" s="841"/>
      <c r="O2261" s="884"/>
      <c r="P2261" s="842"/>
      <c r="Q2261" s="843"/>
      <c r="R2261" s="845" t="s">
        <v>7453</v>
      </c>
      <c r="S2261" s="1127" t="s">
        <v>4019</v>
      </c>
      <c r="T2261" s="843" t="s">
        <v>4020</v>
      </c>
      <c r="U2261" s="886">
        <v>1</v>
      </c>
      <c r="V2261" s="842" t="s">
        <v>3</v>
      </c>
      <c r="W2261" s="846">
        <v>79.86</v>
      </c>
      <c r="X2261" s="847">
        <f t="shared" si="461"/>
        <v>79.86</v>
      </c>
      <c r="Y2261" s="853" t="s">
        <v>6255</v>
      </c>
      <c r="Z2261" s="849">
        <v>39.93</v>
      </c>
      <c r="AA2261" s="849"/>
      <c r="AB2261" s="849">
        <f t="shared" si="470"/>
        <v>39.93</v>
      </c>
      <c r="AC2261" s="850">
        <f t="shared" si="471"/>
        <v>39.93</v>
      </c>
      <c r="AD2261" s="851">
        <v>32000</v>
      </c>
      <c r="AE2261" s="852">
        <v>29845.73</v>
      </c>
      <c r="AF2261" s="853">
        <v>0.1</v>
      </c>
      <c r="AG2261" s="854">
        <f t="shared" si="472"/>
        <v>151305.63312378214</v>
      </c>
      <c r="AH2261" s="853">
        <v>0</v>
      </c>
      <c r="AI2261" s="855">
        <f t="shared" si="473"/>
        <v>0</v>
      </c>
      <c r="AJ2261" s="845" t="s">
        <v>7406</v>
      </c>
      <c r="AK2261" s="857">
        <v>46184</v>
      </c>
      <c r="AL2261" s="843" t="s">
        <v>7407</v>
      </c>
      <c r="AM2261" s="843"/>
      <c r="AN2261" s="844"/>
      <c r="AO2261" s="844" t="s">
        <v>116</v>
      </c>
      <c r="AP2261" s="841"/>
      <c r="AQ2261" s="842"/>
      <c r="AR2261" s="841">
        <v>46194</v>
      </c>
      <c r="AS2261" s="842" t="s">
        <v>7408</v>
      </c>
      <c r="AT2261" s="842" t="s">
        <v>1187</v>
      </c>
      <c r="AU2261" s="842" t="s">
        <v>7253</v>
      </c>
      <c r="AV2261" s="845" t="s">
        <v>7409</v>
      </c>
      <c r="AW2261" s="861">
        <v>46197</v>
      </c>
      <c r="AX2261" s="862">
        <v>46198</v>
      </c>
      <c r="AY2261" s="843"/>
      <c r="AZ2261" s="842"/>
      <c r="BA2261" s="842" t="s">
        <v>120</v>
      </c>
      <c r="BB2261" s="863" t="s">
        <v>121</v>
      </c>
      <c r="BC2261" s="864">
        <v>46202</v>
      </c>
      <c r="BD2261" s="860" t="s">
        <v>7410</v>
      </c>
      <c r="BE2261" s="865" cm="1">
        <f t="array" ref="BE2261">IF(BD2261="","",AC2261/SUMPRODUCT(--(BD2261=$BD$4:$BD$12824),$AC$4:$AC$12824))</f>
        <v>1.7772337821297432E-2</v>
      </c>
      <c r="BF2261" s="458"/>
      <c r="BG2261" s="458"/>
      <c r="BH2261" s="458"/>
      <c r="BI2261" s="458"/>
      <c r="BJ2261" s="458"/>
      <c r="BK2261" s="458"/>
      <c r="BL2261" s="458"/>
      <c r="BM2261" s="458"/>
      <c r="BN2261" s="458"/>
      <c r="BO2261" s="866">
        <f>VLOOKUP(BD2261,$BD$4:$BN$12824,3,0)*BE2261</f>
        <v>316873.24788249697</v>
      </c>
      <c r="BP2261" s="866"/>
      <c r="BQ2261" s="866"/>
      <c r="BR2261" s="866">
        <f>VLOOKUP(BD2261,$BD$4:$BN$12824,6,0)*BE2261</f>
        <v>55909.503875969</v>
      </c>
      <c r="BS2261" s="866">
        <f>VLOOKUP(BD2261,$BD$4:$BN$12824,7,0)*BE2261</f>
        <v>4443.0844553243578</v>
      </c>
      <c r="BT2261" s="866"/>
      <c r="BU2261" s="866">
        <f>VLOOKUP(BD2261,$BD$4:$BN$12824,9,0)*BE2261</f>
        <v>355.44675642594865</v>
      </c>
      <c r="BV2261" s="867"/>
      <c r="BW2261" s="867">
        <f>VLOOKUP(BD2261,$BD$4:$BN$12824,11,0)*BE2261</f>
        <v>0</v>
      </c>
      <c r="BX2261" s="1146">
        <f t="shared" si="474"/>
        <v>377581.28297021624</v>
      </c>
      <c r="BY2261" s="867">
        <f>(AB2261*AE2261+AG2261+BX2261)/U2261</f>
        <v>1720626.9149939986</v>
      </c>
      <c r="BZ2261" s="867">
        <f t="shared" si="476"/>
        <v>1720626.9149939986</v>
      </c>
      <c r="CA2261" s="867">
        <f>_xlfn.MAXIFS($BY$4:$BY$12824,$S$4:$S$12824,$S2261)</f>
        <v>1720626.9149939986</v>
      </c>
      <c r="CB2261" s="1032"/>
    </row>
    <row r="2262" spans="2:80">
      <c r="B2262" s="839" t="s">
        <v>98</v>
      </c>
      <c r="C2262" s="839" t="s">
        <v>7454</v>
      </c>
      <c r="D2262" s="839" t="s">
        <v>7455</v>
      </c>
      <c r="E2262" s="839" t="s">
        <v>7455</v>
      </c>
      <c r="F2262" s="841">
        <v>46056</v>
      </c>
      <c r="G2262" s="839" t="s">
        <v>7454</v>
      </c>
      <c r="H2262" s="883" t="s">
        <v>3457</v>
      </c>
      <c r="I2262" s="883"/>
      <c r="J2262" s="841"/>
      <c r="K2262" s="841"/>
      <c r="L2262" s="843" t="s">
        <v>7456</v>
      </c>
      <c r="M2262" s="844" t="s">
        <v>107</v>
      </c>
      <c r="N2262" s="841"/>
      <c r="O2262" s="884"/>
      <c r="P2262" s="842"/>
      <c r="Q2262" s="843"/>
      <c r="R2262" s="845" t="s">
        <v>7457</v>
      </c>
      <c r="S2262" s="1127" t="s">
        <v>7458</v>
      </c>
      <c r="T2262" s="843" t="s">
        <v>7459</v>
      </c>
      <c r="U2262" s="886">
        <v>1</v>
      </c>
      <c r="V2262" s="842" t="s">
        <v>3</v>
      </c>
      <c r="W2262" s="846">
        <v>5548</v>
      </c>
      <c r="X2262" s="847">
        <f t="shared" si="461"/>
        <v>5548</v>
      </c>
      <c r="Y2262" s="853" t="s">
        <v>7460</v>
      </c>
      <c r="Z2262" s="849">
        <v>3861.41</v>
      </c>
      <c r="AA2262" s="849"/>
      <c r="AB2262" s="849">
        <f t="shared" ref="AB2262:AB2305" si="477">IF(AA2262="F.O.C", 0, Z2262*U2262)</f>
        <v>3861.41</v>
      </c>
      <c r="AC2262" s="850">
        <f t="shared" ref="AC2262:AC2305" si="478">Z2262*U2262</f>
        <v>3861.41</v>
      </c>
      <c r="AD2262" s="851">
        <v>32000</v>
      </c>
      <c r="AE2262" s="852">
        <v>29845.73</v>
      </c>
      <c r="AF2262" s="853">
        <v>0</v>
      </c>
      <c r="AG2262" s="854">
        <f t="shared" si="472"/>
        <v>0</v>
      </c>
      <c r="AH2262" s="853">
        <v>0.08</v>
      </c>
      <c r="AI2262" s="855">
        <f t="shared" si="473"/>
        <v>14564447.367798543</v>
      </c>
      <c r="AJ2262" s="845" t="s">
        <v>7461</v>
      </c>
      <c r="AK2262" s="857">
        <v>46106</v>
      </c>
      <c r="AL2262" s="843" t="s">
        <v>7462</v>
      </c>
      <c r="AM2262" s="843"/>
      <c r="AN2262" s="844">
        <v>2</v>
      </c>
      <c r="AO2262" s="844" t="s">
        <v>7463</v>
      </c>
      <c r="AP2262" s="841"/>
      <c r="AQ2262" s="842"/>
      <c r="AR2262" s="841">
        <v>46194</v>
      </c>
      <c r="AS2262" s="842" t="s">
        <v>6737</v>
      </c>
      <c r="AT2262" s="842" t="s">
        <v>1187</v>
      </c>
      <c r="AU2262" s="842" t="s">
        <v>1565</v>
      </c>
      <c r="AV2262" s="843" t="s">
        <v>7464</v>
      </c>
      <c r="AW2262" s="861">
        <v>46198</v>
      </c>
      <c r="AX2262" s="862">
        <v>46199</v>
      </c>
      <c r="AY2262" s="843" t="s">
        <v>7465</v>
      </c>
      <c r="AZ2262" s="842" t="s">
        <v>4269</v>
      </c>
      <c r="BA2262" s="842" t="s">
        <v>120</v>
      </c>
      <c r="BB2262" s="863" t="s">
        <v>121</v>
      </c>
      <c r="BC2262" s="864">
        <v>46202</v>
      </c>
      <c r="BD2262" s="860" t="s">
        <v>7466</v>
      </c>
      <c r="BE2262" s="865" cm="1">
        <f t="array" ref="BE2262">IF(BD2262="","",AC2262/SUMPRODUCT(--(BD2262=$BD$4:$BD$12824),$AC$4:$AC$12824))</f>
        <v>2.399986922982833E-2</v>
      </c>
      <c r="BF2262" s="458" cm="1">
        <f t="array" ref="BF2262">SUM(_xlfn._xlws.FILTER( INDEX(Cost!$B$3:$BK$77,MATCH(LDL!$BD2262, Cost!$F$3:$F$77, 0),0),Cost!$B$3:$BK$3 = BF$3))</f>
        <v>62001800</v>
      </c>
      <c r="BG2262" s="458"/>
      <c r="BH2262" s="458"/>
      <c r="BI2262" s="458" cm="1">
        <f t="array" ref="BI2262">SUM(_xlfn._xlws.FILTER( INDEX(Cost!$B$3:$BK$77,MATCH(LDL!$BD2262, Cost!$F$3:$F$77, 0),0),Cost!$B$3:$BK$3 = BI$3))/1.08</f>
        <v>28666915.740740739</v>
      </c>
      <c r="BJ2262" s="458" cm="1">
        <f t="array" ref="BJ2262">SUM(_xlfn._xlws.FILTER( INDEX(Cost!$B$3:$BK$77,MATCH(LDL!$BD2262, Cost!$F$3:$F$77, 0),0),Cost!$B$3:$BK$3 = BJ$3))</f>
        <v>4807191.8181818174</v>
      </c>
      <c r="BK2262" s="458"/>
      <c r="BL2262" s="458" cm="1">
        <f t="array" ref="BL2262">SUM(_xlfn._xlws.FILTER( INDEX(Cost!$B$3:$BK$77,MATCH(LDL!$BD2262, Cost!$F$3:$F$77, 0),0),Cost!$B$3:$BK$3 = BL$3))</f>
        <v>790000</v>
      </c>
      <c r="BM2262" s="458"/>
      <c r="BN2262" s="458" cm="1">
        <f t="array" ref="BN2262">SUM(_xlfn._xlws.FILTER( INDEX(Cost!$B$3:$BK$77,MATCH(LDL!$BD2262, Cost!$F$3:$F$77, 0),0),Cost!$B$3:$BK$3 = BN$3))/1.08</f>
        <v>5954629.6296296297</v>
      </c>
      <c r="BO2262" s="866">
        <f>VLOOKUP(BD2262,$BD$4:$BN$12824,3,0)*BE2262</f>
        <v>1488035.0920139703</v>
      </c>
      <c r="BP2262" s="866"/>
      <c r="BQ2262" s="866"/>
      <c r="BR2262" s="866">
        <f>VLOOKUP(BD2262,$BD$4:$BN$12824,6,0)*BE2262</f>
        <v>688002.22900028503</v>
      </c>
      <c r="BS2262" s="866">
        <f>VLOOKUP(BD2262,$BD$4:$BN$12824,7,0)*BE2262</f>
        <v>115371.9749990643</v>
      </c>
      <c r="BT2262" s="866"/>
      <c r="BU2262" s="866">
        <f>VLOOKUP(BD2262,$BD$4:$BN$12824,9,0)*BE2262</f>
        <v>18959.89669156438</v>
      </c>
      <c r="BV2262" s="867"/>
      <c r="BW2262" s="867">
        <f>VLOOKUP(BD2262,$BD$4:$BN$12824,11,0)*BE2262</f>
        <v>142910.33242317222</v>
      </c>
      <c r="BX2262" s="1146">
        <f t="shared" ref="BX2262:BX2325" si="479">SUM(BO2262:BW2262)</f>
        <v>2453279.5251280563</v>
      </c>
      <c r="BY2262" s="867">
        <f t="shared" ref="BY2262:BY2325" si="480">(AB2262*AE2262+AG2262+BX2262)/U2262</f>
        <v>117699879.80442804</v>
      </c>
      <c r="BZ2262" s="867">
        <f t="shared" ref="BZ2262:BZ2325" si="481">BY2262*U2262</f>
        <v>117699879.80442804</v>
      </c>
      <c r="CA2262" s="867">
        <f>_xlfn.MAXIFS($BY$4:$BY$12824,$S$4:$S$12824,$S2262)</f>
        <v>117699879.80442804</v>
      </c>
      <c r="CB2262" s="1032"/>
    </row>
    <row r="2263" spans="2:80">
      <c r="B2263" s="839" t="s">
        <v>98</v>
      </c>
      <c r="C2263" s="839" t="s">
        <v>7454</v>
      </c>
      <c r="D2263" s="839" t="s">
        <v>7455</v>
      </c>
      <c r="E2263" s="839" t="s">
        <v>7455</v>
      </c>
      <c r="F2263" s="841">
        <v>46056</v>
      </c>
      <c r="G2263" s="839" t="s">
        <v>7454</v>
      </c>
      <c r="H2263" s="883" t="s">
        <v>3457</v>
      </c>
      <c r="I2263" s="883"/>
      <c r="J2263" s="841"/>
      <c r="K2263" s="841"/>
      <c r="L2263" s="843" t="s">
        <v>7456</v>
      </c>
      <c r="M2263" s="844" t="s">
        <v>107</v>
      </c>
      <c r="N2263" s="841"/>
      <c r="O2263" s="884"/>
      <c r="P2263" s="842"/>
      <c r="Q2263" s="843"/>
      <c r="R2263" s="845" t="s">
        <v>7467</v>
      </c>
      <c r="S2263" s="1127" t="s">
        <v>7468</v>
      </c>
      <c r="T2263" s="843" t="s">
        <v>7469</v>
      </c>
      <c r="U2263" s="886">
        <v>6</v>
      </c>
      <c r="V2263" s="842" t="s">
        <v>3</v>
      </c>
      <c r="W2263" s="846">
        <v>1105</v>
      </c>
      <c r="X2263" s="847">
        <f t="shared" si="461"/>
        <v>6630</v>
      </c>
      <c r="Y2263" s="853" t="s">
        <v>7460</v>
      </c>
      <c r="Z2263" s="849">
        <v>769.08</v>
      </c>
      <c r="AA2263" s="849"/>
      <c r="AB2263" s="849">
        <f t="shared" si="477"/>
        <v>4614.4800000000005</v>
      </c>
      <c r="AC2263" s="850">
        <f t="shared" si="478"/>
        <v>4614.4800000000005</v>
      </c>
      <c r="AD2263" s="851">
        <v>32000</v>
      </c>
      <c r="AE2263" s="852">
        <v>29845.73</v>
      </c>
      <c r="AF2263" s="853">
        <v>0</v>
      </c>
      <c r="AG2263" s="854">
        <f t="shared" si="472"/>
        <v>0</v>
      </c>
      <c r="AH2263" s="853">
        <v>0.08</v>
      </c>
      <c r="AI2263" s="855">
        <f t="shared" si="473"/>
        <v>11017801.933632001</v>
      </c>
      <c r="AJ2263" s="845" t="s">
        <v>7461</v>
      </c>
      <c r="AK2263" s="857">
        <v>46106</v>
      </c>
      <c r="AL2263" s="843" t="s">
        <v>7462</v>
      </c>
      <c r="AM2263" s="843"/>
      <c r="AN2263" s="844">
        <v>2</v>
      </c>
      <c r="AO2263" s="844" t="s">
        <v>7463</v>
      </c>
      <c r="AP2263" s="841"/>
      <c r="AQ2263" s="842"/>
      <c r="AR2263" s="841">
        <v>46194</v>
      </c>
      <c r="AS2263" s="842" t="s">
        <v>6737</v>
      </c>
      <c r="AT2263" s="842" t="s">
        <v>1187</v>
      </c>
      <c r="AU2263" s="842" t="s">
        <v>1565</v>
      </c>
      <c r="AV2263" s="843" t="s">
        <v>7464</v>
      </c>
      <c r="AW2263" s="861">
        <v>46198</v>
      </c>
      <c r="AX2263" s="862">
        <v>46199</v>
      </c>
      <c r="AY2263" s="843" t="s">
        <v>7470</v>
      </c>
      <c r="AZ2263" s="842" t="s">
        <v>3183</v>
      </c>
      <c r="BA2263" s="842" t="s">
        <v>120</v>
      </c>
      <c r="BB2263" s="863" t="s">
        <v>121</v>
      </c>
      <c r="BC2263" s="864">
        <v>46202</v>
      </c>
      <c r="BD2263" s="860" t="s">
        <v>7466</v>
      </c>
      <c r="BE2263" s="865" cm="1">
        <f t="array" ref="BE2263">IF(BD2263="","",AC2263/SUMPRODUCT(--(BD2263=$BD$4:$BD$12824),$AC$4:$AC$12824))</f>
        <v>2.8680434495082948E-2</v>
      </c>
      <c r="BF2263" s="458"/>
      <c r="BG2263" s="458"/>
      <c r="BH2263" s="458"/>
      <c r="BI2263" s="458"/>
      <c r="BJ2263" s="458"/>
      <c r="BK2263" s="458"/>
      <c r="BL2263" s="458"/>
      <c r="BM2263" s="458"/>
      <c r="BN2263" s="458"/>
      <c r="BO2263" s="866">
        <f>VLOOKUP(BD2263,$BD$4:$BN$12824,3,0)*BE2263</f>
        <v>1778238.563477234</v>
      </c>
      <c r="BP2263" s="866"/>
      <c r="BQ2263" s="866"/>
      <c r="BR2263" s="866">
        <f>VLOOKUP(BD2263,$BD$4:$BN$12824,6,0)*BE2263</f>
        <v>822179.59907837701</v>
      </c>
      <c r="BS2263" s="866">
        <f>VLOOKUP(BD2263,$BD$4:$BN$12824,7,0)*BE2263</f>
        <v>137872.35004666232</v>
      </c>
      <c r="BT2263" s="866"/>
      <c r="BU2263" s="866">
        <f>VLOOKUP(BD2263,$BD$4:$BN$12824,9,0)*BE2263</f>
        <v>22657.54325111553</v>
      </c>
      <c r="BV2263" s="867"/>
      <c r="BW2263" s="867">
        <f>VLOOKUP(BD2263,$BD$4:$BN$12824,11,0)*BE2263</f>
        <v>170781.36503507264</v>
      </c>
      <c r="BX2263" s="1146">
        <f t="shared" si="479"/>
        <v>2931729.4208884607</v>
      </c>
      <c r="BY2263" s="867">
        <f t="shared" si="480"/>
        <v>23442375.598548081</v>
      </c>
      <c r="BZ2263" s="867">
        <f t="shared" si="481"/>
        <v>140654253.59128848</v>
      </c>
      <c r="CA2263" s="867">
        <f>_xlfn.MAXIFS($BY$4:$BY$12824,$S$4:$S$12824,$S2263)</f>
        <v>23442375.598548081</v>
      </c>
      <c r="CB2263" s="1032"/>
    </row>
    <row r="2264" spans="2:80">
      <c r="B2264" s="839" t="s">
        <v>98</v>
      </c>
      <c r="C2264" s="839" t="s">
        <v>7454</v>
      </c>
      <c r="D2264" s="839" t="s">
        <v>7455</v>
      </c>
      <c r="E2264" s="839" t="s">
        <v>7455</v>
      </c>
      <c r="F2264" s="841">
        <v>46056</v>
      </c>
      <c r="G2264" s="839" t="s">
        <v>7454</v>
      </c>
      <c r="H2264" s="883" t="s">
        <v>3457</v>
      </c>
      <c r="I2264" s="883"/>
      <c r="J2264" s="841"/>
      <c r="K2264" s="841"/>
      <c r="L2264" s="843" t="s">
        <v>7456</v>
      </c>
      <c r="M2264" s="844" t="s">
        <v>107</v>
      </c>
      <c r="N2264" s="841"/>
      <c r="O2264" s="884"/>
      <c r="P2264" s="842"/>
      <c r="Q2264" s="843"/>
      <c r="R2264" s="845" t="s">
        <v>7471</v>
      </c>
      <c r="S2264" s="1127" t="s">
        <v>7472</v>
      </c>
      <c r="T2264" s="843" t="s">
        <v>7473</v>
      </c>
      <c r="U2264" s="886">
        <v>1</v>
      </c>
      <c r="V2264" s="842" t="s">
        <v>3</v>
      </c>
      <c r="W2264" s="846">
        <v>2903</v>
      </c>
      <c r="X2264" s="847">
        <f t="shared" si="461"/>
        <v>2903</v>
      </c>
      <c r="Y2264" s="853" t="s">
        <v>7460</v>
      </c>
      <c r="Z2264" s="849">
        <v>2020.49</v>
      </c>
      <c r="AA2264" s="849"/>
      <c r="AB2264" s="849">
        <f t="shared" si="477"/>
        <v>2020.49</v>
      </c>
      <c r="AC2264" s="850">
        <f t="shared" si="478"/>
        <v>2020.49</v>
      </c>
      <c r="AD2264" s="851">
        <v>32000</v>
      </c>
      <c r="AE2264" s="852">
        <v>29845.73</v>
      </c>
      <c r="AF2264" s="853">
        <v>0</v>
      </c>
      <c r="AG2264" s="854">
        <f t="shared" si="472"/>
        <v>0</v>
      </c>
      <c r="AH2264" s="853">
        <v>0.08</v>
      </c>
      <c r="AI2264" s="855">
        <f t="shared" si="473"/>
        <v>4824239.920616</v>
      </c>
      <c r="AJ2264" s="845" t="s">
        <v>7461</v>
      </c>
      <c r="AK2264" s="857">
        <v>46106</v>
      </c>
      <c r="AL2264" s="843" t="s">
        <v>7462</v>
      </c>
      <c r="AM2264" s="843"/>
      <c r="AN2264" s="844">
        <v>2</v>
      </c>
      <c r="AO2264" s="844" t="s">
        <v>7463</v>
      </c>
      <c r="AP2264" s="841"/>
      <c r="AQ2264" s="842"/>
      <c r="AR2264" s="841">
        <v>46194</v>
      </c>
      <c r="AS2264" s="842" t="s">
        <v>6737</v>
      </c>
      <c r="AT2264" s="842" t="s">
        <v>1187</v>
      </c>
      <c r="AU2264" s="842" t="s">
        <v>1565</v>
      </c>
      <c r="AV2264" s="843" t="s">
        <v>7464</v>
      </c>
      <c r="AW2264" s="861">
        <v>46198</v>
      </c>
      <c r="AX2264" s="862">
        <v>46199</v>
      </c>
      <c r="AY2264" s="843" t="s">
        <v>7474</v>
      </c>
      <c r="AZ2264" s="842" t="s">
        <v>2704</v>
      </c>
      <c r="BA2264" s="842" t="s">
        <v>120</v>
      </c>
      <c r="BB2264" s="863" t="s">
        <v>121</v>
      </c>
      <c r="BC2264" s="864">
        <v>46202</v>
      </c>
      <c r="BD2264" s="860" t="s">
        <v>7466</v>
      </c>
      <c r="BE2264" s="865" cm="1">
        <f t="array" ref="BE2264">IF(BD2264="","",AC2264/SUMPRODUCT(--(BD2264=$BD$4:$BD$12824),$AC$4:$AC$12824))</f>
        <v>1.2557976433524501E-2</v>
      </c>
      <c r="BF2264" s="458"/>
      <c r="BG2264" s="458"/>
      <c r="BH2264" s="458"/>
      <c r="BI2264" s="458"/>
      <c r="BJ2264" s="458"/>
      <c r="BK2264" s="458"/>
      <c r="BL2264" s="458"/>
      <c r="BM2264" s="458"/>
      <c r="BN2264" s="458"/>
      <c r="BO2264" s="866">
        <f>VLOOKUP(BD2264,$BD$4:$BN$12824,3,0)*BE2264</f>
        <v>778617.14323609939</v>
      </c>
      <c r="BP2264" s="866"/>
      <c r="BQ2264" s="866"/>
      <c r="BR2264" s="866">
        <f>VLOOKUP(BD2264,$BD$4:$BN$12824,6,0)*BE2264</f>
        <v>359998.45229405479</v>
      </c>
      <c r="BS2264" s="866">
        <f>VLOOKUP(BD2264,$BD$4:$BN$12824,7,0)*BE2264</f>
        <v>60368.601564159064</v>
      </c>
      <c r="BT2264" s="866"/>
      <c r="BU2264" s="866">
        <f>VLOOKUP(BD2264,$BD$4:$BN$12824,9,0)*BE2264</f>
        <v>9920.8013824843565</v>
      </c>
      <c r="BV2264" s="867"/>
      <c r="BW2264" s="867">
        <f>VLOOKUP(BD2264,$BD$4:$BN$12824,11,0)*BE2264</f>
        <v>74778.098559255624</v>
      </c>
      <c r="BX2264" s="1146">
        <f t="shared" si="479"/>
        <v>1283683.0970360534</v>
      </c>
      <c r="BY2264" s="867">
        <f t="shared" si="480"/>
        <v>61586682.104736052</v>
      </c>
      <c r="BZ2264" s="867">
        <f t="shared" si="481"/>
        <v>61586682.104736052</v>
      </c>
      <c r="CA2264" s="867">
        <f>_xlfn.MAXIFS($BY$4:$BY$12824,$S$4:$S$12824,$S2264)</f>
        <v>61586682.104736052</v>
      </c>
      <c r="CB2264" s="1032"/>
    </row>
    <row r="2265" spans="2:80">
      <c r="B2265" s="839" t="s">
        <v>98</v>
      </c>
      <c r="C2265" s="839" t="s">
        <v>7454</v>
      </c>
      <c r="D2265" s="839" t="s">
        <v>7455</v>
      </c>
      <c r="E2265" s="839" t="s">
        <v>7455</v>
      </c>
      <c r="F2265" s="841">
        <v>46056</v>
      </c>
      <c r="G2265" s="839" t="s">
        <v>7454</v>
      </c>
      <c r="H2265" s="883" t="s">
        <v>3457</v>
      </c>
      <c r="I2265" s="883"/>
      <c r="J2265" s="841"/>
      <c r="K2265" s="841"/>
      <c r="L2265" s="843" t="s">
        <v>7456</v>
      </c>
      <c r="M2265" s="844" t="s">
        <v>107</v>
      </c>
      <c r="N2265" s="841"/>
      <c r="O2265" s="884"/>
      <c r="P2265" s="842"/>
      <c r="Q2265" s="843"/>
      <c r="R2265" s="845" t="s">
        <v>7475</v>
      </c>
      <c r="S2265" s="1127" t="s">
        <v>7476</v>
      </c>
      <c r="T2265" s="843" t="s">
        <v>7477</v>
      </c>
      <c r="U2265" s="886">
        <v>1</v>
      </c>
      <c r="V2265" s="842" t="s">
        <v>3</v>
      </c>
      <c r="W2265" s="846">
        <v>3143</v>
      </c>
      <c r="X2265" s="847">
        <f t="shared" si="461"/>
        <v>3143</v>
      </c>
      <c r="Y2265" s="853" t="s">
        <v>7460</v>
      </c>
      <c r="Z2265" s="849">
        <v>2187.5300000000002</v>
      </c>
      <c r="AA2265" s="849"/>
      <c r="AB2265" s="849">
        <f t="shared" si="477"/>
        <v>2187.5300000000002</v>
      </c>
      <c r="AC2265" s="850">
        <f t="shared" si="478"/>
        <v>2187.5300000000002</v>
      </c>
      <c r="AD2265" s="851">
        <v>32000</v>
      </c>
      <c r="AE2265" s="852">
        <v>29845.73</v>
      </c>
      <c r="AF2265" s="853">
        <v>0</v>
      </c>
      <c r="AG2265" s="854">
        <f t="shared" si="472"/>
        <v>0</v>
      </c>
      <c r="AH2265" s="853">
        <v>0.08</v>
      </c>
      <c r="AI2265" s="855">
        <f t="shared" si="473"/>
        <v>5223074.3797520008</v>
      </c>
      <c r="AJ2265" s="845" t="s">
        <v>7461</v>
      </c>
      <c r="AK2265" s="857">
        <v>46106</v>
      </c>
      <c r="AL2265" s="843" t="s">
        <v>7462</v>
      </c>
      <c r="AM2265" s="843"/>
      <c r="AN2265" s="844">
        <v>2</v>
      </c>
      <c r="AO2265" s="844" t="s">
        <v>7463</v>
      </c>
      <c r="AP2265" s="841"/>
      <c r="AQ2265" s="842"/>
      <c r="AR2265" s="841">
        <v>46194</v>
      </c>
      <c r="AS2265" s="842" t="s">
        <v>6737</v>
      </c>
      <c r="AT2265" s="842" t="s">
        <v>1187</v>
      </c>
      <c r="AU2265" s="842" t="s">
        <v>1565</v>
      </c>
      <c r="AV2265" s="843" t="s">
        <v>7464</v>
      </c>
      <c r="AW2265" s="861">
        <v>46198</v>
      </c>
      <c r="AX2265" s="862">
        <v>46199</v>
      </c>
      <c r="AY2265" s="843" t="s">
        <v>7478</v>
      </c>
      <c r="AZ2265" s="842" t="s">
        <v>2704</v>
      </c>
      <c r="BA2265" s="842" t="s">
        <v>120</v>
      </c>
      <c r="BB2265" s="863" t="s">
        <v>121</v>
      </c>
      <c r="BC2265" s="864">
        <v>46202</v>
      </c>
      <c r="BD2265" s="860" t="s">
        <v>7466</v>
      </c>
      <c r="BE2265" s="865" cm="1">
        <f t="array" ref="BE2265">IF(BD2265="","",AC2265/SUMPRODUCT(--(BD2265=$BD$4:$BD$12824),$AC$4:$AC$12824))</f>
        <v>1.3596182207102165E-2</v>
      </c>
      <c r="BF2265" s="458"/>
      <c r="BG2265" s="458"/>
      <c r="BH2265" s="458"/>
      <c r="BI2265" s="458"/>
      <c r="BJ2265" s="458"/>
      <c r="BK2265" s="458"/>
      <c r="BL2265" s="458"/>
      <c r="BM2265" s="458"/>
      <c r="BN2265" s="458"/>
      <c r="BO2265" s="866">
        <f>VLOOKUP(BD2265,$BD$4:$BN$12824,3,0)*BE2265</f>
        <v>842987.76996830699</v>
      </c>
      <c r="BP2265" s="866"/>
      <c r="BQ2265" s="866"/>
      <c r="BR2265" s="866">
        <f>VLOOKUP(BD2265,$BD$4:$BN$12824,6,0)*BE2265</f>
        <v>389760.60972675623</v>
      </c>
      <c r="BS2265" s="866">
        <f>VLOOKUP(BD2265,$BD$4:$BN$12824,7,0)*BE2265</f>
        <v>65359.45586449073</v>
      </c>
      <c r="BT2265" s="866"/>
      <c r="BU2265" s="866">
        <f>VLOOKUP(BD2265,$BD$4:$BN$12824,9,0)*BE2265</f>
        <v>10740.98394361071</v>
      </c>
      <c r="BV2265" s="867"/>
      <c r="BW2265" s="867">
        <f>VLOOKUP(BD2265,$BD$4:$BN$12824,11,0)*BE2265</f>
        <v>80960.22942025373</v>
      </c>
      <c r="BX2265" s="1146">
        <f t="shared" si="479"/>
        <v>1389809.0489234184</v>
      </c>
      <c r="BY2265" s="867">
        <f t="shared" si="480"/>
        <v>66678238.795823425</v>
      </c>
      <c r="BZ2265" s="867">
        <f t="shared" si="481"/>
        <v>66678238.795823425</v>
      </c>
      <c r="CA2265" s="867">
        <f>_xlfn.MAXIFS($BY$4:$BY$12824,$S$4:$S$12824,$S2265)</f>
        <v>66678238.795823425</v>
      </c>
      <c r="CB2265" s="1032"/>
    </row>
    <row r="2266" spans="2:80">
      <c r="B2266" s="839" t="s">
        <v>98</v>
      </c>
      <c r="C2266" s="839" t="s">
        <v>7454</v>
      </c>
      <c r="D2266" s="839" t="s">
        <v>7455</v>
      </c>
      <c r="E2266" s="839" t="s">
        <v>7455</v>
      </c>
      <c r="F2266" s="841">
        <v>46056</v>
      </c>
      <c r="G2266" s="839" t="s">
        <v>7454</v>
      </c>
      <c r="H2266" s="883" t="s">
        <v>3457</v>
      </c>
      <c r="I2266" s="883"/>
      <c r="J2266" s="841"/>
      <c r="K2266" s="841"/>
      <c r="L2266" s="843" t="s">
        <v>7456</v>
      </c>
      <c r="M2266" s="844" t="s">
        <v>107</v>
      </c>
      <c r="N2266" s="841"/>
      <c r="O2266" s="884"/>
      <c r="P2266" s="842"/>
      <c r="Q2266" s="843"/>
      <c r="R2266" s="845" t="s">
        <v>7479</v>
      </c>
      <c r="S2266" s="1127" t="s">
        <v>7480</v>
      </c>
      <c r="T2266" s="843" t="s">
        <v>7481</v>
      </c>
      <c r="U2266" s="886">
        <v>1</v>
      </c>
      <c r="V2266" s="842" t="s">
        <v>3</v>
      </c>
      <c r="W2266" s="846">
        <v>2184</v>
      </c>
      <c r="X2266" s="847">
        <f t="shared" si="461"/>
        <v>2184</v>
      </c>
      <c r="Y2266" s="853" t="s">
        <v>7460</v>
      </c>
      <c r="Z2266" s="849">
        <v>1520.06</v>
      </c>
      <c r="AA2266" s="849"/>
      <c r="AB2266" s="849">
        <f t="shared" si="477"/>
        <v>1520.06</v>
      </c>
      <c r="AC2266" s="850">
        <f t="shared" si="478"/>
        <v>1520.06</v>
      </c>
      <c r="AD2266" s="851">
        <v>32000</v>
      </c>
      <c r="AE2266" s="852">
        <v>29845.73</v>
      </c>
      <c r="AF2266" s="853">
        <v>0</v>
      </c>
      <c r="AG2266" s="854">
        <f t="shared" si="472"/>
        <v>0</v>
      </c>
      <c r="AH2266" s="853">
        <v>0.08</v>
      </c>
      <c r="AI2266" s="855">
        <f t="shared" si="473"/>
        <v>3629384.0275040003</v>
      </c>
      <c r="AJ2266" s="845" t="s">
        <v>7461</v>
      </c>
      <c r="AK2266" s="857">
        <v>46106</v>
      </c>
      <c r="AL2266" s="843" t="s">
        <v>7462</v>
      </c>
      <c r="AM2266" s="843"/>
      <c r="AN2266" s="844">
        <v>2</v>
      </c>
      <c r="AO2266" s="844" t="s">
        <v>7463</v>
      </c>
      <c r="AP2266" s="841"/>
      <c r="AQ2266" s="842"/>
      <c r="AR2266" s="841">
        <v>46194</v>
      </c>
      <c r="AS2266" s="842" t="s">
        <v>6737</v>
      </c>
      <c r="AT2266" s="842" t="s">
        <v>1187</v>
      </c>
      <c r="AU2266" s="842" t="s">
        <v>1565</v>
      </c>
      <c r="AV2266" s="843" t="s">
        <v>7464</v>
      </c>
      <c r="AW2266" s="861">
        <v>46198</v>
      </c>
      <c r="AX2266" s="862">
        <v>46199</v>
      </c>
      <c r="AY2266" s="843" t="s">
        <v>7482</v>
      </c>
      <c r="AZ2266" s="842" t="s">
        <v>2704</v>
      </c>
      <c r="BA2266" s="842" t="s">
        <v>120</v>
      </c>
      <c r="BB2266" s="863" t="s">
        <v>121</v>
      </c>
      <c r="BC2266" s="864">
        <v>46202</v>
      </c>
      <c r="BD2266" s="860" t="s">
        <v>7466</v>
      </c>
      <c r="BE2266" s="865" cm="1">
        <f t="array" ref="BE2266">IF(BD2266="","",AC2266/SUMPRODUCT(--(BD2266=$BD$4:$BD$12824),$AC$4:$AC$12824))</f>
        <v>9.4476476783073669E-3</v>
      </c>
      <c r="BF2266" s="458"/>
      <c r="BG2266" s="458"/>
      <c r="BH2266" s="458"/>
      <c r="BI2266" s="458"/>
      <c r="BJ2266" s="458"/>
      <c r="BK2266" s="458"/>
      <c r="BL2266" s="458"/>
      <c r="BM2266" s="458"/>
      <c r="BN2266" s="458"/>
      <c r="BO2266" s="866">
        <f>VLOOKUP(BD2266,$BD$4:$BN$12824,3,0)*BE2266</f>
        <v>585771.16182087769</v>
      </c>
      <c r="BP2266" s="866"/>
      <c r="BQ2266" s="866"/>
      <c r="BR2266" s="866">
        <f>VLOOKUP(BD2266,$BD$4:$BN$12824,6,0)*BE2266</f>
        <v>270834.91994224215</v>
      </c>
      <c r="BS2266" s="866">
        <f>VLOOKUP(BD2266,$BD$4:$BN$12824,7,0)*BE2266</f>
        <v>45416.65462022362</v>
      </c>
      <c r="BT2266" s="866"/>
      <c r="BU2266" s="866">
        <f>VLOOKUP(BD2266,$BD$4:$BN$12824,9,0)*BE2266</f>
        <v>7463.6416658628195</v>
      </c>
      <c r="BV2266" s="867"/>
      <c r="BW2266" s="867">
        <f>VLOOKUP(BD2266,$BD$4:$BN$12824,11,0)*BE2266</f>
        <v>56257.242795550628</v>
      </c>
      <c r="BX2266" s="1146">
        <f t="shared" si="479"/>
        <v>965743.62084475707</v>
      </c>
      <c r="BY2266" s="867">
        <f t="shared" si="480"/>
        <v>46333043.96464476</v>
      </c>
      <c r="BZ2266" s="867">
        <f t="shared" si="481"/>
        <v>46333043.96464476</v>
      </c>
      <c r="CA2266" s="867">
        <f>_xlfn.MAXIFS($BY$4:$BY$12824,$S$4:$S$12824,$S2266)</f>
        <v>46333043.96464476</v>
      </c>
      <c r="CB2266" s="1032"/>
    </row>
    <row r="2267" spans="2:80">
      <c r="B2267" s="839" t="s">
        <v>98</v>
      </c>
      <c r="C2267" s="839" t="s">
        <v>7454</v>
      </c>
      <c r="D2267" s="839" t="s">
        <v>7455</v>
      </c>
      <c r="E2267" s="839" t="s">
        <v>7455</v>
      </c>
      <c r="F2267" s="841">
        <v>46056</v>
      </c>
      <c r="G2267" s="839" t="s">
        <v>7454</v>
      </c>
      <c r="H2267" s="883" t="s">
        <v>3457</v>
      </c>
      <c r="I2267" s="883"/>
      <c r="J2267" s="841"/>
      <c r="K2267" s="841"/>
      <c r="L2267" s="843" t="s">
        <v>7456</v>
      </c>
      <c r="M2267" s="844" t="s">
        <v>107</v>
      </c>
      <c r="N2267" s="841"/>
      <c r="O2267" s="884"/>
      <c r="P2267" s="842"/>
      <c r="Q2267" s="843"/>
      <c r="R2267" s="845" t="s">
        <v>7483</v>
      </c>
      <c r="S2267" s="1127" t="s">
        <v>7484</v>
      </c>
      <c r="T2267" s="843" t="s">
        <v>7485</v>
      </c>
      <c r="U2267" s="886">
        <v>1</v>
      </c>
      <c r="V2267" s="842" t="s">
        <v>3</v>
      </c>
      <c r="W2267" s="846">
        <v>668</v>
      </c>
      <c r="X2267" s="847">
        <f t="shared" si="461"/>
        <v>668</v>
      </c>
      <c r="Y2267" s="853" t="s">
        <v>7460</v>
      </c>
      <c r="Z2267" s="849">
        <v>464.93</v>
      </c>
      <c r="AA2267" s="849"/>
      <c r="AB2267" s="849">
        <f t="shared" si="477"/>
        <v>464.93</v>
      </c>
      <c r="AC2267" s="850">
        <f t="shared" si="478"/>
        <v>464.93</v>
      </c>
      <c r="AD2267" s="851">
        <v>32000</v>
      </c>
      <c r="AE2267" s="852">
        <v>29845.73</v>
      </c>
      <c r="AF2267" s="853">
        <v>0</v>
      </c>
      <c r="AG2267" s="854">
        <f t="shared" si="472"/>
        <v>0</v>
      </c>
      <c r="AH2267" s="853">
        <v>0.08</v>
      </c>
      <c r="AI2267" s="855">
        <f t="shared" si="473"/>
        <v>1110094.019912</v>
      </c>
      <c r="AJ2267" s="845" t="s">
        <v>7461</v>
      </c>
      <c r="AK2267" s="857">
        <v>46106</v>
      </c>
      <c r="AL2267" s="843" t="s">
        <v>7462</v>
      </c>
      <c r="AM2267" s="843"/>
      <c r="AN2267" s="844">
        <v>2</v>
      </c>
      <c r="AO2267" s="844" t="s">
        <v>7463</v>
      </c>
      <c r="AP2267" s="841"/>
      <c r="AQ2267" s="842"/>
      <c r="AR2267" s="841">
        <v>46194</v>
      </c>
      <c r="AS2267" s="842" t="s">
        <v>6737</v>
      </c>
      <c r="AT2267" s="842" t="s">
        <v>1187</v>
      </c>
      <c r="AU2267" s="842" t="s">
        <v>1565</v>
      </c>
      <c r="AV2267" s="843" t="s">
        <v>7464</v>
      </c>
      <c r="AW2267" s="861">
        <v>46198</v>
      </c>
      <c r="AX2267" s="862">
        <v>46199</v>
      </c>
      <c r="AY2267" s="843" t="s">
        <v>7486</v>
      </c>
      <c r="AZ2267" s="842" t="s">
        <v>2939</v>
      </c>
      <c r="BA2267" s="842" t="s">
        <v>120</v>
      </c>
      <c r="BB2267" s="863" t="s">
        <v>121</v>
      </c>
      <c r="BC2267" s="864">
        <v>46202</v>
      </c>
      <c r="BD2267" s="860" t="s">
        <v>7466</v>
      </c>
      <c r="BE2267" s="865" cm="1">
        <f t="array" ref="BE2267">IF(BD2267="","",AC2267/SUMPRODUCT(--(BD2267=$BD$4:$BD$12824),$AC$4:$AC$12824))</f>
        <v>2.8896851670825127E-3</v>
      </c>
      <c r="BF2267" s="458"/>
      <c r="BG2267" s="458"/>
      <c r="BH2267" s="458"/>
      <c r="BI2267" s="458"/>
      <c r="BJ2267" s="458"/>
      <c r="BK2267" s="458"/>
      <c r="BL2267" s="458"/>
      <c r="BM2267" s="458"/>
      <c r="BN2267" s="458"/>
      <c r="BO2267" s="866">
        <f>VLOOKUP(BD2267,$BD$4:$BN$12824,3,0)*BE2267</f>
        <v>179165.68179241652</v>
      </c>
      <c r="BP2267" s="866"/>
      <c r="BQ2267" s="866"/>
      <c r="BR2267" s="866">
        <f>VLOOKUP(BD2267,$BD$4:$BN$12824,6,0)*BE2267</f>
        <v>82838.361202022716</v>
      </c>
      <c r="BS2267" s="866">
        <f>VLOOKUP(BD2267,$BD$4:$BN$12824,7,0)*BE2267</f>
        <v>13891.270892320414</v>
      </c>
      <c r="BT2267" s="866"/>
      <c r="BU2267" s="866">
        <f>VLOOKUP(BD2267,$BD$4:$BN$12824,9,0)*BE2267</f>
        <v>2282.8512819951852</v>
      </c>
      <c r="BV2267" s="867"/>
      <c r="BW2267" s="867">
        <f>VLOOKUP(BD2267,$BD$4:$BN$12824,11,0)*BE2267</f>
        <v>17207.004916210775</v>
      </c>
      <c r="BX2267" s="1146">
        <f t="shared" si="479"/>
        <v>295385.17008496565</v>
      </c>
      <c r="BY2267" s="867">
        <f t="shared" si="480"/>
        <v>14171560.418984966</v>
      </c>
      <c r="BZ2267" s="867">
        <f t="shared" si="481"/>
        <v>14171560.418984966</v>
      </c>
      <c r="CA2267" s="867">
        <f>_xlfn.MAXIFS($BY$4:$BY$12824,$S$4:$S$12824,$S2267)</f>
        <v>14171560.418984966</v>
      </c>
      <c r="CB2267" s="1032"/>
    </row>
    <row r="2268" spans="2:80">
      <c r="B2268" s="839" t="s">
        <v>98</v>
      </c>
      <c r="C2268" s="839" t="s">
        <v>7454</v>
      </c>
      <c r="D2268" s="839" t="s">
        <v>7455</v>
      </c>
      <c r="E2268" s="839" t="s">
        <v>7455</v>
      </c>
      <c r="F2268" s="841">
        <v>46056</v>
      </c>
      <c r="G2268" s="839" t="s">
        <v>7454</v>
      </c>
      <c r="H2268" s="883" t="s">
        <v>3457</v>
      </c>
      <c r="I2268" s="883"/>
      <c r="J2268" s="841"/>
      <c r="K2268" s="841"/>
      <c r="L2268" s="843" t="s">
        <v>7456</v>
      </c>
      <c r="M2268" s="844" t="s">
        <v>107</v>
      </c>
      <c r="N2268" s="841"/>
      <c r="O2268" s="884"/>
      <c r="P2268" s="842"/>
      <c r="Q2268" s="843"/>
      <c r="R2268" s="845" t="s">
        <v>7487</v>
      </c>
      <c r="S2268" s="1127" t="s">
        <v>7488</v>
      </c>
      <c r="T2268" s="843" t="s">
        <v>7489</v>
      </c>
      <c r="U2268" s="886">
        <v>1</v>
      </c>
      <c r="V2268" s="842" t="s">
        <v>3</v>
      </c>
      <c r="W2268" s="846">
        <v>830</v>
      </c>
      <c r="X2268" s="847">
        <f t="shared" si="461"/>
        <v>830</v>
      </c>
      <c r="Y2268" s="853" t="s">
        <v>7460</v>
      </c>
      <c r="Z2268" s="849">
        <v>577.67999999999995</v>
      </c>
      <c r="AA2268" s="849"/>
      <c r="AB2268" s="849">
        <f t="shared" si="477"/>
        <v>577.67999999999995</v>
      </c>
      <c r="AC2268" s="850">
        <f t="shared" si="478"/>
        <v>577.67999999999995</v>
      </c>
      <c r="AD2268" s="851">
        <v>32000</v>
      </c>
      <c r="AE2268" s="852">
        <v>29845.73</v>
      </c>
      <c r="AF2268" s="853">
        <v>0</v>
      </c>
      <c r="AG2268" s="854">
        <f t="shared" si="472"/>
        <v>0</v>
      </c>
      <c r="AH2268" s="853">
        <v>0.08</v>
      </c>
      <c r="AI2268" s="855">
        <f t="shared" si="473"/>
        <v>1379302.5045119999</v>
      </c>
      <c r="AJ2268" s="845" t="s">
        <v>7461</v>
      </c>
      <c r="AK2268" s="857">
        <v>46106</v>
      </c>
      <c r="AL2268" s="843" t="s">
        <v>7462</v>
      </c>
      <c r="AM2268" s="843"/>
      <c r="AN2268" s="844">
        <v>2</v>
      </c>
      <c r="AO2268" s="844" t="s">
        <v>7463</v>
      </c>
      <c r="AP2268" s="841"/>
      <c r="AQ2268" s="842"/>
      <c r="AR2268" s="841">
        <v>46194</v>
      </c>
      <c r="AS2268" s="842" t="s">
        <v>6737</v>
      </c>
      <c r="AT2268" s="842" t="s">
        <v>1187</v>
      </c>
      <c r="AU2268" s="842" t="s">
        <v>1565</v>
      </c>
      <c r="AV2268" s="843" t="s">
        <v>7464</v>
      </c>
      <c r="AW2268" s="861">
        <v>46198</v>
      </c>
      <c r="AX2268" s="862">
        <v>46199</v>
      </c>
      <c r="AY2268" s="843" t="s">
        <v>7490</v>
      </c>
      <c r="AZ2268" s="842" t="s">
        <v>2939</v>
      </c>
      <c r="BA2268" s="842" t="s">
        <v>120</v>
      </c>
      <c r="BB2268" s="863" t="s">
        <v>121</v>
      </c>
      <c r="BC2268" s="864">
        <v>46202</v>
      </c>
      <c r="BD2268" s="860" t="s">
        <v>7466</v>
      </c>
      <c r="BE2268" s="865" cm="1">
        <f t="array" ref="BE2268">IF(BD2268="","",AC2268/SUMPRODUCT(--(BD2268=$BD$4:$BD$12824),$AC$4:$AC$12824))</f>
        <v>3.5904616336227511E-3</v>
      </c>
      <c r="BF2268" s="458"/>
      <c r="BG2268" s="458"/>
      <c r="BH2268" s="458"/>
      <c r="BI2268" s="458"/>
      <c r="BJ2268" s="458"/>
      <c r="BK2268" s="458"/>
      <c r="BL2268" s="458"/>
      <c r="BM2268" s="458"/>
      <c r="BN2268" s="458"/>
      <c r="BO2268" s="866">
        <f>VLOOKUP(BD2268,$BD$4:$BN$12824,3,0)*BE2268</f>
        <v>222615.08411555109</v>
      </c>
      <c r="BP2268" s="866"/>
      <c r="BQ2268" s="866"/>
      <c r="BR2268" s="866">
        <f>VLOOKUP(BD2268,$BD$4:$BN$12824,6,0)*BE2268</f>
        <v>102927.46112142575</v>
      </c>
      <c r="BS2268" s="866">
        <f>VLOOKUP(BD2268,$BD$4:$BN$12824,7,0)*BE2268</f>
        <v>17260.037788647012</v>
      </c>
      <c r="BT2268" s="866"/>
      <c r="BU2268" s="866">
        <f>VLOOKUP(BD2268,$BD$4:$BN$12824,9,0)*BE2268</f>
        <v>2836.4646905619734</v>
      </c>
      <c r="BV2268" s="867"/>
      <c r="BW2268" s="867">
        <f>VLOOKUP(BD2268,$BD$4:$BN$12824,11,0)*BE2268</f>
        <v>21379.869227618437</v>
      </c>
      <c r="BX2268" s="1146">
        <f t="shared" si="479"/>
        <v>367018.91694380424</v>
      </c>
      <c r="BY2268" s="867">
        <f t="shared" si="480"/>
        <v>17608300.223343801</v>
      </c>
      <c r="BZ2268" s="867">
        <f t="shared" si="481"/>
        <v>17608300.223343801</v>
      </c>
      <c r="CA2268" s="867">
        <f>_xlfn.MAXIFS($BY$4:$BY$12824,$S$4:$S$12824,$S2268)</f>
        <v>17608300.223343801</v>
      </c>
      <c r="CB2268" s="1032"/>
    </row>
    <row r="2269" spans="2:80">
      <c r="B2269" s="839" t="s">
        <v>98</v>
      </c>
      <c r="C2269" s="839" t="s">
        <v>7454</v>
      </c>
      <c r="D2269" s="839" t="s">
        <v>7455</v>
      </c>
      <c r="E2269" s="839" t="s">
        <v>7455</v>
      </c>
      <c r="F2269" s="841">
        <v>46056</v>
      </c>
      <c r="G2269" s="839" t="s">
        <v>7454</v>
      </c>
      <c r="H2269" s="883" t="s">
        <v>3457</v>
      </c>
      <c r="I2269" s="883"/>
      <c r="J2269" s="841"/>
      <c r="K2269" s="841"/>
      <c r="L2269" s="843" t="s">
        <v>7456</v>
      </c>
      <c r="M2269" s="844" t="s">
        <v>107</v>
      </c>
      <c r="N2269" s="841"/>
      <c r="O2269" s="884"/>
      <c r="P2269" s="842"/>
      <c r="Q2269" s="843"/>
      <c r="R2269" s="845" t="s">
        <v>7491</v>
      </c>
      <c r="S2269" s="1127" t="s">
        <v>7492</v>
      </c>
      <c r="T2269" s="843" t="s">
        <v>7493</v>
      </c>
      <c r="U2269" s="886">
        <v>1</v>
      </c>
      <c r="V2269" s="842" t="s">
        <v>3</v>
      </c>
      <c r="W2269" s="846">
        <v>19860</v>
      </c>
      <c r="X2269" s="847">
        <f t="shared" si="461"/>
        <v>19860</v>
      </c>
      <c r="Y2269" s="853" t="s">
        <v>7460</v>
      </c>
      <c r="Z2269" s="849">
        <v>13822.57</v>
      </c>
      <c r="AA2269" s="849"/>
      <c r="AB2269" s="849">
        <f t="shared" si="477"/>
        <v>13822.57</v>
      </c>
      <c r="AC2269" s="850">
        <f t="shared" si="478"/>
        <v>13822.57</v>
      </c>
      <c r="AD2269" s="851">
        <v>32000</v>
      </c>
      <c r="AE2269" s="852">
        <v>29845.73</v>
      </c>
      <c r="AF2269" s="853">
        <v>0</v>
      </c>
      <c r="AG2269" s="854">
        <f t="shared" si="472"/>
        <v>0</v>
      </c>
      <c r="AH2269" s="853">
        <v>0.08</v>
      </c>
      <c r="AI2269" s="855">
        <f t="shared" si="473"/>
        <v>33003575.370088</v>
      </c>
      <c r="AJ2269" s="845" t="s">
        <v>7461</v>
      </c>
      <c r="AK2269" s="857">
        <v>46106</v>
      </c>
      <c r="AL2269" s="843" t="s">
        <v>7462</v>
      </c>
      <c r="AM2269" s="843"/>
      <c r="AN2269" s="844">
        <v>2</v>
      </c>
      <c r="AO2269" s="844" t="s">
        <v>7463</v>
      </c>
      <c r="AP2269" s="841"/>
      <c r="AQ2269" s="842"/>
      <c r="AR2269" s="841">
        <v>46194</v>
      </c>
      <c r="AS2269" s="842" t="s">
        <v>6737</v>
      </c>
      <c r="AT2269" s="842" t="s">
        <v>1187</v>
      </c>
      <c r="AU2269" s="842" t="s">
        <v>1565</v>
      </c>
      <c r="AV2269" s="843" t="s">
        <v>7464</v>
      </c>
      <c r="AW2269" s="861">
        <v>46198</v>
      </c>
      <c r="AX2269" s="862">
        <v>46199</v>
      </c>
      <c r="AY2269" s="843" t="s">
        <v>7494</v>
      </c>
      <c r="AZ2269" s="842" t="s">
        <v>5856</v>
      </c>
      <c r="BA2269" s="842" t="s">
        <v>120</v>
      </c>
      <c r="BB2269" s="863" t="s">
        <v>121</v>
      </c>
      <c r="BC2269" s="864">
        <v>46202</v>
      </c>
      <c r="BD2269" s="860" t="s">
        <v>7466</v>
      </c>
      <c r="BE2269" s="865" cm="1">
        <f t="array" ref="BE2269">IF(BD2269="","",AC2269/SUMPRODUCT(--(BD2269=$BD$4:$BD$12824),$AC$4:$AC$12824))</f>
        <v>8.5911589916675038E-2</v>
      </c>
      <c r="BF2269" s="458"/>
      <c r="BG2269" s="458"/>
      <c r="BH2269" s="458"/>
      <c r="BI2269" s="458"/>
      <c r="BJ2269" s="458"/>
      <c r="BK2269" s="458"/>
      <c r="BL2269" s="458"/>
      <c r="BM2269" s="458"/>
      <c r="BN2269" s="458"/>
      <c r="BO2269" s="866">
        <f>VLOOKUP(BD2269,$BD$4:$BN$12824,3,0)*BE2269</f>
        <v>5326673.2156957025</v>
      </c>
      <c r="BP2269" s="866"/>
      <c r="BQ2269" s="866"/>
      <c r="BR2269" s="866">
        <f>VLOOKUP(BD2269,$BD$4:$BN$12824,6,0)*BE2269</f>
        <v>2462820.3092943951</v>
      </c>
      <c r="BS2269" s="866">
        <f>VLOOKUP(BD2269,$BD$4:$BN$12824,7,0)*BE2269</f>
        <v>412993.49213443178</v>
      </c>
      <c r="BT2269" s="866"/>
      <c r="BU2269" s="866">
        <f>VLOOKUP(BD2269,$BD$4:$BN$12824,9,0)*BE2269</f>
        <v>67870.156034173284</v>
      </c>
      <c r="BV2269" s="867"/>
      <c r="BW2269" s="867">
        <f>VLOOKUP(BD2269,$BD$4:$BN$12824,11,0)*BE2269</f>
        <v>511571.6988464233</v>
      </c>
      <c r="BX2269" s="1146">
        <f t="shared" si="479"/>
        <v>8781928.8720051255</v>
      </c>
      <c r="BY2269" s="867">
        <f t="shared" si="480"/>
        <v>421326620.99810511</v>
      </c>
      <c r="BZ2269" s="867">
        <f t="shared" si="481"/>
        <v>421326620.99810511</v>
      </c>
      <c r="CA2269" s="867">
        <f>_xlfn.MAXIFS($BY$4:$BY$12824,$S$4:$S$12824,$S2269)</f>
        <v>421326620.99810511</v>
      </c>
      <c r="CB2269" s="1032"/>
    </row>
    <row r="2270" spans="2:80">
      <c r="B2270" s="839" t="s">
        <v>98</v>
      </c>
      <c r="C2270" s="839" t="s">
        <v>7454</v>
      </c>
      <c r="D2270" s="839" t="s">
        <v>7455</v>
      </c>
      <c r="E2270" s="839" t="s">
        <v>7455</v>
      </c>
      <c r="F2270" s="841">
        <v>46056</v>
      </c>
      <c r="G2270" s="839" t="s">
        <v>7454</v>
      </c>
      <c r="H2270" s="883" t="s">
        <v>3457</v>
      </c>
      <c r="I2270" s="883"/>
      <c r="J2270" s="841"/>
      <c r="K2270" s="841"/>
      <c r="L2270" s="843" t="s">
        <v>7456</v>
      </c>
      <c r="M2270" s="844" t="s">
        <v>107</v>
      </c>
      <c r="N2270" s="841"/>
      <c r="O2270" s="884"/>
      <c r="P2270" s="842"/>
      <c r="Q2270" s="843"/>
      <c r="R2270" s="845" t="s">
        <v>7495</v>
      </c>
      <c r="S2270" s="1127" t="s">
        <v>7496</v>
      </c>
      <c r="T2270" s="843" t="s">
        <v>7497</v>
      </c>
      <c r="U2270" s="886">
        <v>2</v>
      </c>
      <c r="V2270" s="842" t="s">
        <v>3</v>
      </c>
      <c r="W2270" s="846">
        <v>1706</v>
      </c>
      <c r="X2270" s="847">
        <f t="shared" si="461"/>
        <v>3412</v>
      </c>
      <c r="Y2270" s="853" t="s">
        <v>7460</v>
      </c>
      <c r="Z2270" s="849">
        <v>1187.3800000000001</v>
      </c>
      <c r="AA2270" s="849"/>
      <c r="AB2270" s="849">
        <f t="shared" si="477"/>
        <v>2374.7600000000002</v>
      </c>
      <c r="AC2270" s="850">
        <f t="shared" si="478"/>
        <v>2374.7600000000002</v>
      </c>
      <c r="AD2270" s="851">
        <v>32000</v>
      </c>
      <c r="AE2270" s="852">
        <v>29845.73</v>
      </c>
      <c r="AF2270" s="853">
        <v>0</v>
      </c>
      <c r="AG2270" s="854">
        <f t="shared" si="472"/>
        <v>0</v>
      </c>
      <c r="AH2270" s="853">
        <v>0.08</v>
      </c>
      <c r="AI2270" s="855">
        <f t="shared" si="473"/>
        <v>5670115.6619840004</v>
      </c>
      <c r="AJ2270" s="845" t="s">
        <v>7461</v>
      </c>
      <c r="AK2270" s="857">
        <v>46106</v>
      </c>
      <c r="AL2270" s="843" t="s">
        <v>7462</v>
      </c>
      <c r="AM2270" s="843"/>
      <c r="AN2270" s="844">
        <v>2</v>
      </c>
      <c r="AO2270" s="844" t="s">
        <v>7463</v>
      </c>
      <c r="AP2270" s="841"/>
      <c r="AQ2270" s="842"/>
      <c r="AR2270" s="841">
        <v>46194</v>
      </c>
      <c r="AS2270" s="842" t="s">
        <v>6737</v>
      </c>
      <c r="AT2270" s="842" t="s">
        <v>1187</v>
      </c>
      <c r="AU2270" s="842" t="s">
        <v>1565</v>
      </c>
      <c r="AV2270" s="843" t="s">
        <v>7464</v>
      </c>
      <c r="AW2270" s="861">
        <v>46198</v>
      </c>
      <c r="AX2270" s="862">
        <v>46199</v>
      </c>
      <c r="AY2270" s="843" t="s">
        <v>7498</v>
      </c>
      <c r="AZ2270" s="842" t="s">
        <v>4276</v>
      </c>
      <c r="BA2270" s="842" t="s">
        <v>120</v>
      </c>
      <c r="BB2270" s="863" t="s">
        <v>121</v>
      </c>
      <c r="BC2270" s="864">
        <v>46202</v>
      </c>
      <c r="BD2270" s="860" t="s">
        <v>7466</v>
      </c>
      <c r="BE2270" s="865" cm="1">
        <f t="array" ref="BE2270">IF(BD2270="","",AC2270/SUMPRODUCT(--(BD2270=$BD$4:$BD$12824),$AC$4:$AC$12824))</f>
        <v>1.4759875136861179E-2</v>
      </c>
      <c r="BF2270" s="458"/>
      <c r="BG2270" s="458"/>
      <c r="BH2270" s="458"/>
      <c r="BI2270" s="458"/>
      <c r="BJ2270" s="458"/>
      <c r="BK2270" s="458"/>
      <c r="BL2270" s="458"/>
      <c r="BM2270" s="458"/>
      <c r="BN2270" s="458"/>
      <c r="BO2270" s="866">
        <f>VLOOKUP(BD2270,$BD$4:$BN$12824,3,0)*BE2270</f>
        <v>915138.82626063947</v>
      </c>
      <c r="BP2270" s="866"/>
      <c r="BQ2270" s="866"/>
      <c r="BR2270" s="866">
        <f>VLOOKUP(BD2270,$BD$4:$BN$12824,6,0)*BE2270</f>
        <v>423120.09689225361</v>
      </c>
      <c r="BS2270" s="866">
        <f>VLOOKUP(BD2270,$BD$4:$BN$12824,7,0)*BE2270</f>
        <v>70953.550995304293</v>
      </c>
      <c r="BT2270" s="866"/>
      <c r="BU2270" s="866">
        <f>VLOOKUP(BD2270,$BD$4:$BN$12824,9,0)*BE2270</f>
        <v>11660.301358120332</v>
      </c>
      <c r="BV2270" s="867"/>
      <c r="BW2270" s="867">
        <f>VLOOKUP(BD2270,$BD$4:$BN$12824,11,0)*BE2270</f>
        <v>87889.589819587258</v>
      </c>
      <c r="BX2270" s="1146">
        <f t="shared" si="479"/>
        <v>1508762.3653259049</v>
      </c>
      <c r="BY2270" s="867">
        <f t="shared" si="480"/>
        <v>36192604.07006295</v>
      </c>
      <c r="BZ2270" s="867">
        <f t="shared" si="481"/>
        <v>72385208.140125901</v>
      </c>
      <c r="CA2270" s="867">
        <f>_xlfn.MAXIFS($BY$4:$BY$12824,$S$4:$S$12824,$S2270)</f>
        <v>36192604.07006295</v>
      </c>
      <c r="CB2270" s="1032"/>
    </row>
    <row r="2271" spans="2:80">
      <c r="B2271" s="839" t="s">
        <v>98</v>
      </c>
      <c r="C2271" s="839" t="s">
        <v>7454</v>
      </c>
      <c r="D2271" s="839" t="s">
        <v>7455</v>
      </c>
      <c r="E2271" s="839" t="s">
        <v>7455</v>
      </c>
      <c r="F2271" s="841">
        <v>46056</v>
      </c>
      <c r="G2271" s="839" t="s">
        <v>7454</v>
      </c>
      <c r="H2271" s="883" t="s">
        <v>3457</v>
      </c>
      <c r="I2271" s="883"/>
      <c r="J2271" s="841"/>
      <c r="K2271" s="841"/>
      <c r="L2271" s="843" t="s">
        <v>7456</v>
      </c>
      <c r="M2271" s="844" t="s">
        <v>107</v>
      </c>
      <c r="N2271" s="841"/>
      <c r="O2271" s="884"/>
      <c r="P2271" s="842"/>
      <c r="Q2271" s="843"/>
      <c r="R2271" s="845" t="s">
        <v>7499</v>
      </c>
      <c r="S2271" s="1127" t="s">
        <v>7500</v>
      </c>
      <c r="T2271" s="843" t="s">
        <v>7501</v>
      </c>
      <c r="U2271" s="886">
        <v>1</v>
      </c>
      <c r="V2271" s="842" t="s">
        <v>3</v>
      </c>
      <c r="W2271" s="846">
        <v>14264</v>
      </c>
      <c r="X2271" s="847">
        <f t="shared" si="461"/>
        <v>14264</v>
      </c>
      <c r="Y2271" s="853" t="s">
        <v>7460</v>
      </c>
      <c r="Z2271" s="849">
        <v>9927.75</v>
      </c>
      <c r="AA2271" s="849"/>
      <c r="AB2271" s="849">
        <f t="shared" si="477"/>
        <v>9927.75</v>
      </c>
      <c r="AC2271" s="850">
        <f t="shared" si="478"/>
        <v>9927.75</v>
      </c>
      <c r="AD2271" s="851">
        <v>32000</v>
      </c>
      <c r="AE2271" s="852">
        <v>29845.73</v>
      </c>
      <c r="AF2271" s="853">
        <v>0</v>
      </c>
      <c r="AG2271" s="854">
        <f t="shared" si="472"/>
        <v>0</v>
      </c>
      <c r="AH2271" s="853">
        <v>0.08</v>
      </c>
      <c r="AI2271" s="855">
        <f>(AC2271*AE2271+AG2271+BF2271+BG2271+BH2271+BJ2271)*AH2271</f>
        <v>23704075.680599999</v>
      </c>
      <c r="AJ2271" s="845" t="s">
        <v>7461</v>
      </c>
      <c r="AK2271" s="857">
        <v>46106</v>
      </c>
      <c r="AL2271" s="843" t="s">
        <v>7462</v>
      </c>
      <c r="AM2271" s="843"/>
      <c r="AN2271" s="844">
        <v>2</v>
      </c>
      <c r="AO2271" s="844" t="s">
        <v>7463</v>
      </c>
      <c r="AP2271" s="841"/>
      <c r="AQ2271" s="842"/>
      <c r="AR2271" s="841">
        <v>46194</v>
      </c>
      <c r="AS2271" s="842" t="s">
        <v>6737</v>
      </c>
      <c r="AT2271" s="842" t="s">
        <v>1187</v>
      </c>
      <c r="AU2271" s="842" t="s">
        <v>1565</v>
      </c>
      <c r="AV2271" s="843" t="s">
        <v>7464</v>
      </c>
      <c r="AW2271" s="861">
        <v>46198</v>
      </c>
      <c r="AX2271" s="862">
        <v>46199</v>
      </c>
      <c r="AY2271" s="843" t="s">
        <v>7502</v>
      </c>
      <c r="AZ2271" s="842" t="s">
        <v>3183</v>
      </c>
      <c r="BA2271" s="842" t="s">
        <v>120</v>
      </c>
      <c r="BB2271" s="863" t="s">
        <v>121</v>
      </c>
      <c r="BC2271" s="864">
        <v>46202</v>
      </c>
      <c r="BD2271" s="860" t="s">
        <v>7466</v>
      </c>
      <c r="BE2271" s="865" cm="1">
        <f t="array" ref="BE2271">IF(BD2271="","",AC2271/SUMPRODUCT(--(BD2271=$BD$4:$BD$12824),$AC$4:$AC$12824))</f>
        <v>6.1704067101506492E-2</v>
      </c>
      <c r="BF2271" s="458"/>
      <c r="BG2271" s="458"/>
      <c r="BH2271" s="458"/>
      <c r="BI2271" s="458"/>
      <c r="BJ2271" s="458"/>
      <c r="BK2271" s="458"/>
      <c r="BL2271" s="458"/>
      <c r="BM2271" s="458"/>
      <c r="BN2271" s="458"/>
      <c r="BO2271" s="866">
        <f>VLOOKUP(BD2271,$BD$4:$BN$12824,3,0)*BE2271</f>
        <v>3825763.2276141853</v>
      </c>
      <c r="BP2271" s="866"/>
      <c r="BQ2271" s="866"/>
      <c r="BR2271" s="866">
        <f>VLOOKUP(BD2271,$BD$4:$BN$12824,6,0)*BE2271</f>
        <v>1768865.2924598993</v>
      </c>
      <c r="BS2271" s="866">
        <f>VLOOKUP(BD2271,$BD$4:$BN$12824,7,0)*BE2271</f>
        <v>296623.28651890386</v>
      </c>
      <c r="BT2271" s="866"/>
      <c r="BU2271" s="866">
        <f>VLOOKUP(BD2271,$BD$4:$BN$12824,9,0)*BE2271</f>
        <v>48746.213010190128</v>
      </c>
      <c r="BV2271" s="867"/>
      <c r="BW2271" s="867">
        <f>VLOOKUP(BD2271,$BD$4:$BN$12824,11,0)*BE2271</f>
        <v>367424.86623128544</v>
      </c>
      <c r="BX2271" s="1146">
        <f t="shared" si="479"/>
        <v>6307422.8858344629</v>
      </c>
      <c r="BY2271" s="867">
        <f t="shared" si="480"/>
        <v>302608368.89333445</v>
      </c>
      <c r="BZ2271" s="867">
        <f t="shared" si="481"/>
        <v>302608368.89333445</v>
      </c>
      <c r="CA2271" s="867">
        <f>_xlfn.MAXIFS($BY$4:$BY$12824,$S$4:$S$12824,$S2271)</f>
        <v>302608368.89333445</v>
      </c>
      <c r="CB2271" s="1032"/>
    </row>
    <row r="2272" spans="2:80">
      <c r="B2272" s="839" t="s">
        <v>98</v>
      </c>
      <c r="C2272" s="839" t="s">
        <v>7454</v>
      </c>
      <c r="D2272" s="839" t="s">
        <v>7455</v>
      </c>
      <c r="E2272" s="839" t="s">
        <v>7455</v>
      </c>
      <c r="F2272" s="841">
        <v>46056</v>
      </c>
      <c r="G2272" s="839" t="s">
        <v>7454</v>
      </c>
      <c r="H2272" s="883" t="s">
        <v>3457</v>
      </c>
      <c r="I2272" s="883"/>
      <c r="J2272" s="841"/>
      <c r="K2272" s="841"/>
      <c r="L2272" s="843" t="s">
        <v>7456</v>
      </c>
      <c r="M2272" s="844" t="s">
        <v>107</v>
      </c>
      <c r="N2272" s="841"/>
      <c r="O2272" s="884"/>
      <c r="P2272" s="842"/>
      <c r="Q2272" s="843"/>
      <c r="R2272" s="845" t="s">
        <v>7483</v>
      </c>
      <c r="S2272" s="1127" t="s">
        <v>7484</v>
      </c>
      <c r="T2272" s="843" t="s">
        <v>7485</v>
      </c>
      <c r="U2272" s="886">
        <v>1</v>
      </c>
      <c r="V2272" s="842" t="s">
        <v>3</v>
      </c>
      <c r="W2272" s="846">
        <v>668</v>
      </c>
      <c r="X2272" s="847">
        <f t="shared" si="461"/>
        <v>668</v>
      </c>
      <c r="Y2272" s="853" t="s">
        <v>7460</v>
      </c>
      <c r="Z2272" s="849">
        <v>464.93</v>
      </c>
      <c r="AA2272" s="849"/>
      <c r="AB2272" s="849">
        <f t="shared" si="477"/>
        <v>464.93</v>
      </c>
      <c r="AC2272" s="850">
        <f t="shared" si="478"/>
        <v>464.93</v>
      </c>
      <c r="AD2272" s="851">
        <v>32000</v>
      </c>
      <c r="AE2272" s="852">
        <v>29845.73</v>
      </c>
      <c r="AF2272" s="853">
        <v>0</v>
      </c>
      <c r="AG2272" s="854">
        <f t="shared" si="472"/>
        <v>0</v>
      </c>
      <c r="AH2272" s="853">
        <v>0.08</v>
      </c>
      <c r="AI2272" s="855">
        <f t="shared" si="473"/>
        <v>1110094.019912</v>
      </c>
      <c r="AJ2272" s="845" t="s">
        <v>7461</v>
      </c>
      <c r="AK2272" s="857">
        <v>46106</v>
      </c>
      <c r="AL2272" s="843" t="s">
        <v>7462</v>
      </c>
      <c r="AM2272" s="843"/>
      <c r="AN2272" s="844">
        <v>2</v>
      </c>
      <c r="AO2272" s="844" t="s">
        <v>7463</v>
      </c>
      <c r="AP2272" s="841"/>
      <c r="AQ2272" s="842"/>
      <c r="AR2272" s="841">
        <v>46194</v>
      </c>
      <c r="AS2272" s="842" t="s">
        <v>6737</v>
      </c>
      <c r="AT2272" s="842" t="s">
        <v>1187</v>
      </c>
      <c r="AU2272" s="842" t="s">
        <v>1565</v>
      </c>
      <c r="AV2272" s="843" t="s">
        <v>7464</v>
      </c>
      <c r="AW2272" s="861">
        <v>46198</v>
      </c>
      <c r="AX2272" s="862">
        <v>46199</v>
      </c>
      <c r="AY2272" s="843" t="s">
        <v>7486</v>
      </c>
      <c r="AZ2272" s="842" t="s">
        <v>2939</v>
      </c>
      <c r="BA2272" s="842" t="s">
        <v>120</v>
      </c>
      <c r="BB2272" s="863" t="s">
        <v>121</v>
      </c>
      <c r="BC2272" s="864">
        <v>46202</v>
      </c>
      <c r="BD2272" s="860" t="s">
        <v>7466</v>
      </c>
      <c r="BE2272" s="865" cm="1">
        <f t="array" ref="BE2272">IF(BD2272="","",AC2272/SUMPRODUCT(--(BD2272=$BD$4:$BD$12824),$AC$4:$AC$12824))</f>
        <v>2.8896851670825127E-3</v>
      </c>
      <c r="BF2272" s="458"/>
      <c r="BG2272" s="458"/>
      <c r="BH2272" s="458"/>
      <c r="BI2272" s="458"/>
      <c r="BJ2272" s="458"/>
      <c r="BK2272" s="458"/>
      <c r="BL2272" s="458"/>
      <c r="BM2272" s="458"/>
      <c r="BN2272" s="458"/>
      <c r="BO2272" s="866">
        <f>VLOOKUP(BD2272,$BD$4:$BN$12824,3,0)*BE2272</f>
        <v>179165.68179241652</v>
      </c>
      <c r="BP2272" s="866"/>
      <c r="BQ2272" s="866"/>
      <c r="BR2272" s="866">
        <f>VLOOKUP(BD2272,$BD$4:$BN$12824,6,0)*BE2272</f>
        <v>82838.361202022716</v>
      </c>
      <c r="BS2272" s="866">
        <f>VLOOKUP(BD2272,$BD$4:$BN$12824,7,0)*BE2272</f>
        <v>13891.270892320414</v>
      </c>
      <c r="BT2272" s="866"/>
      <c r="BU2272" s="866">
        <f>VLOOKUP(BD2272,$BD$4:$BN$12824,9,0)*BE2272</f>
        <v>2282.8512819951852</v>
      </c>
      <c r="BV2272" s="867"/>
      <c r="BW2272" s="867">
        <f>VLOOKUP(BD2272,$BD$4:$BN$12824,11,0)*BE2272</f>
        <v>17207.004916210775</v>
      </c>
      <c r="BX2272" s="1146">
        <f t="shared" si="479"/>
        <v>295385.17008496565</v>
      </c>
      <c r="BY2272" s="867">
        <f t="shared" si="480"/>
        <v>14171560.418984966</v>
      </c>
      <c r="BZ2272" s="867">
        <f t="shared" si="481"/>
        <v>14171560.418984966</v>
      </c>
      <c r="CA2272" s="867">
        <f>_xlfn.MAXIFS($BY$4:$BY$12824,$S$4:$S$12824,$S2272)</f>
        <v>14171560.418984966</v>
      </c>
      <c r="CB2272" s="1032"/>
    </row>
    <row r="2273" spans="2:80">
      <c r="B2273" s="839" t="s">
        <v>98</v>
      </c>
      <c r="C2273" s="839" t="s">
        <v>7454</v>
      </c>
      <c r="D2273" s="839" t="s">
        <v>7455</v>
      </c>
      <c r="E2273" s="839" t="s">
        <v>7455</v>
      </c>
      <c r="F2273" s="841">
        <v>46056</v>
      </c>
      <c r="G2273" s="839" t="s">
        <v>7454</v>
      </c>
      <c r="H2273" s="883" t="s">
        <v>3457</v>
      </c>
      <c r="I2273" s="883"/>
      <c r="J2273" s="841"/>
      <c r="K2273" s="841"/>
      <c r="L2273" s="843" t="s">
        <v>7456</v>
      </c>
      <c r="M2273" s="844" t="s">
        <v>107</v>
      </c>
      <c r="N2273" s="841"/>
      <c r="O2273" s="884"/>
      <c r="P2273" s="842"/>
      <c r="Q2273" s="843"/>
      <c r="R2273" s="845" t="s">
        <v>7503</v>
      </c>
      <c r="S2273" s="1127" t="s">
        <v>7504</v>
      </c>
      <c r="T2273" s="843" t="s">
        <v>7505</v>
      </c>
      <c r="U2273" s="886">
        <v>1</v>
      </c>
      <c r="V2273" s="842" t="s">
        <v>3</v>
      </c>
      <c r="W2273" s="846">
        <v>2758</v>
      </c>
      <c r="X2273" s="847">
        <f t="shared" si="461"/>
        <v>2758</v>
      </c>
      <c r="Y2273" s="853" t="s">
        <v>7460</v>
      </c>
      <c r="Z2273" s="849">
        <v>1919.57</v>
      </c>
      <c r="AA2273" s="849"/>
      <c r="AB2273" s="849">
        <f t="shared" si="477"/>
        <v>1919.57</v>
      </c>
      <c r="AC2273" s="850">
        <f t="shared" si="478"/>
        <v>1919.57</v>
      </c>
      <c r="AD2273" s="851">
        <v>32000</v>
      </c>
      <c r="AE2273" s="852">
        <v>29845.73</v>
      </c>
      <c r="AF2273" s="853">
        <v>0</v>
      </c>
      <c r="AG2273" s="854">
        <f t="shared" si="472"/>
        <v>0</v>
      </c>
      <c r="AH2273" s="853">
        <v>0.08</v>
      </c>
      <c r="AI2273" s="855">
        <f t="shared" si="473"/>
        <v>4583277.4348879997</v>
      </c>
      <c r="AJ2273" s="845" t="s">
        <v>7461</v>
      </c>
      <c r="AK2273" s="857">
        <v>46106</v>
      </c>
      <c r="AL2273" s="843" t="s">
        <v>7462</v>
      </c>
      <c r="AM2273" s="843"/>
      <c r="AN2273" s="844">
        <v>2</v>
      </c>
      <c r="AO2273" s="844" t="s">
        <v>7463</v>
      </c>
      <c r="AP2273" s="841"/>
      <c r="AQ2273" s="842"/>
      <c r="AR2273" s="841">
        <v>46194</v>
      </c>
      <c r="AS2273" s="842" t="s">
        <v>6737</v>
      </c>
      <c r="AT2273" s="842" t="s">
        <v>1187</v>
      </c>
      <c r="AU2273" s="842" t="s">
        <v>1565</v>
      </c>
      <c r="AV2273" s="843" t="s">
        <v>7464</v>
      </c>
      <c r="AW2273" s="861">
        <v>46198</v>
      </c>
      <c r="AX2273" s="862">
        <v>46199</v>
      </c>
      <c r="AY2273" s="843" t="s">
        <v>7506</v>
      </c>
      <c r="AZ2273" s="842" t="s">
        <v>4269</v>
      </c>
      <c r="BA2273" s="842" t="s">
        <v>120</v>
      </c>
      <c r="BB2273" s="863" t="s">
        <v>121</v>
      </c>
      <c r="BC2273" s="864">
        <v>46202</v>
      </c>
      <c r="BD2273" s="860" t="s">
        <v>7466</v>
      </c>
      <c r="BE2273" s="865" cm="1">
        <f t="array" ref="BE2273">IF(BD2273="","",AC2273/SUMPRODUCT(--(BD2273=$BD$4:$BD$12824),$AC$4:$AC$12824))</f>
        <v>1.1930727111987996E-2</v>
      </c>
      <c r="BF2273" s="458"/>
      <c r="BG2273" s="458"/>
      <c r="BH2273" s="458"/>
      <c r="BI2273" s="458"/>
      <c r="BJ2273" s="458"/>
      <c r="BK2273" s="458"/>
      <c r="BL2273" s="458"/>
      <c r="BM2273" s="458"/>
      <c r="BN2273" s="458"/>
      <c r="BO2273" s="866">
        <f>VLOOKUP(BD2273,$BD$4:$BN$12824,3,0)*BE2273</f>
        <v>739726.55625205731</v>
      </c>
      <c r="BP2273" s="866"/>
      <c r="BQ2273" s="866"/>
      <c r="BR2273" s="866">
        <f>VLOOKUP(BD2273,$BD$4:$BN$12824,6,0)*BE2273</f>
        <v>342017.14884513099</v>
      </c>
      <c r="BS2273" s="866">
        <f>VLOOKUP(BD2273,$BD$4:$BN$12824,7,0)*BE2273</f>
        <v>57353.293757708678</v>
      </c>
      <c r="BT2273" s="866"/>
      <c r="BU2273" s="866">
        <f>VLOOKUP(BD2273,$BD$4:$BN$12824,9,0)*BE2273</f>
        <v>9425.274418470517</v>
      </c>
      <c r="BV2273" s="867"/>
      <c r="BW2273" s="867">
        <f>VLOOKUP(BD2273,$BD$4:$BN$12824,11,0)*BE2273</f>
        <v>71043.061164069266</v>
      </c>
      <c r="BX2273" s="1146">
        <f t="shared" si="479"/>
        <v>1219565.3344374367</v>
      </c>
      <c r="BY2273" s="867">
        <f t="shared" si="480"/>
        <v>58510533.270537436</v>
      </c>
      <c r="BZ2273" s="867">
        <f t="shared" si="481"/>
        <v>58510533.270537436</v>
      </c>
      <c r="CA2273" s="867">
        <f>_xlfn.MAXIFS($BY$4:$BY$12824,$S$4:$S$12824,$S2273)</f>
        <v>58510533.270537436</v>
      </c>
      <c r="CB2273" s="1032"/>
    </row>
    <row r="2274" spans="2:80">
      <c r="B2274" s="839" t="s">
        <v>98</v>
      </c>
      <c r="C2274" s="839" t="s">
        <v>7454</v>
      </c>
      <c r="D2274" s="839" t="s">
        <v>7455</v>
      </c>
      <c r="E2274" s="839" t="s">
        <v>7455</v>
      </c>
      <c r="F2274" s="841">
        <v>46056</v>
      </c>
      <c r="G2274" s="839" t="s">
        <v>7454</v>
      </c>
      <c r="H2274" s="883" t="s">
        <v>3457</v>
      </c>
      <c r="I2274" s="883"/>
      <c r="J2274" s="841"/>
      <c r="K2274" s="841"/>
      <c r="L2274" s="843" t="s">
        <v>7456</v>
      </c>
      <c r="M2274" s="844" t="s">
        <v>107</v>
      </c>
      <c r="N2274" s="841"/>
      <c r="O2274" s="884"/>
      <c r="P2274" s="842"/>
      <c r="Q2274" s="843"/>
      <c r="R2274" s="845" t="s">
        <v>7507</v>
      </c>
      <c r="S2274" s="1127" t="s">
        <v>7508</v>
      </c>
      <c r="T2274" s="843" t="s">
        <v>7509</v>
      </c>
      <c r="U2274" s="886">
        <v>1</v>
      </c>
      <c r="V2274" s="842" t="s">
        <v>3</v>
      </c>
      <c r="W2274" s="846">
        <v>3569</v>
      </c>
      <c r="X2274" s="847">
        <f t="shared" si="461"/>
        <v>3569</v>
      </c>
      <c r="Y2274" s="853" t="s">
        <v>7460</v>
      </c>
      <c r="Z2274" s="849">
        <v>2484.0300000000002</v>
      </c>
      <c r="AA2274" s="849"/>
      <c r="AB2274" s="849">
        <f t="shared" si="477"/>
        <v>2484.0300000000002</v>
      </c>
      <c r="AC2274" s="850">
        <f t="shared" si="478"/>
        <v>2484.0300000000002</v>
      </c>
      <c r="AD2274" s="851">
        <v>32000</v>
      </c>
      <c r="AE2274" s="852">
        <v>29845.73</v>
      </c>
      <c r="AF2274" s="853">
        <v>0</v>
      </c>
      <c r="AG2274" s="854">
        <f t="shared" si="472"/>
        <v>0</v>
      </c>
      <c r="AH2274" s="853">
        <v>0.08</v>
      </c>
      <c r="AI2274" s="855">
        <f t="shared" si="473"/>
        <v>5931015.0953520006</v>
      </c>
      <c r="AJ2274" s="845" t="s">
        <v>7461</v>
      </c>
      <c r="AK2274" s="857">
        <v>46106</v>
      </c>
      <c r="AL2274" s="843" t="s">
        <v>7462</v>
      </c>
      <c r="AM2274" s="843"/>
      <c r="AN2274" s="844">
        <v>2</v>
      </c>
      <c r="AO2274" s="844" t="s">
        <v>7463</v>
      </c>
      <c r="AP2274" s="841"/>
      <c r="AQ2274" s="842"/>
      <c r="AR2274" s="841">
        <v>46194</v>
      </c>
      <c r="AS2274" s="842" t="s">
        <v>6737</v>
      </c>
      <c r="AT2274" s="842" t="s">
        <v>1187</v>
      </c>
      <c r="AU2274" s="842" t="s">
        <v>1565</v>
      </c>
      <c r="AV2274" s="843" t="s">
        <v>7464</v>
      </c>
      <c r="AW2274" s="861">
        <v>46198</v>
      </c>
      <c r="AX2274" s="862">
        <v>46199</v>
      </c>
      <c r="AY2274" s="843" t="s">
        <v>7510</v>
      </c>
      <c r="AZ2274" s="842" t="s">
        <v>3183</v>
      </c>
      <c r="BA2274" s="842" t="s">
        <v>120</v>
      </c>
      <c r="BB2274" s="863" t="s">
        <v>121</v>
      </c>
      <c r="BC2274" s="864">
        <v>46202</v>
      </c>
      <c r="BD2274" s="860" t="s">
        <v>7466</v>
      </c>
      <c r="BE2274" s="865" cm="1">
        <f t="array" ref="BE2274">IF(BD2274="","",AC2274/SUMPRODUCT(--(BD2274=$BD$4:$BD$12824),$AC$4:$AC$12824))</f>
        <v>1.5439022316451884E-2</v>
      </c>
      <c r="BF2274" s="458"/>
      <c r="BG2274" s="458"/>
      <c r="BH2274" s="458"/>
      <c r="BI2274" s="458"/>
      <c r="BJ2274" s="458"/>
      <c r="BK2274" s="458"/>
      <c r="BL2274" s="458"/>
      <c r="BM2274" s="458"/>
      <c r="BN2274" s="458"/>
      <c r="BO2274" s="866">
        <f>VLOOKUP(BD2274,$BD$4:$BN$12824,3,0)*BE2274</f>
        <v>957247.17386018636</v>
      </c>
      <c r="BP2274" s="866"/>
      <c r="BQ2274" s="866"/>
      <c r="BR2274" s="866">
        <f>VLOOKUP(BD2274,$BD$4:$BN$12824,6,0)*BE2274</f>
        <v>442589.15186514205</v>
      </c>
      <c r="BS2274" s="866">
        <f>VLOOKUP(BD2274,$BD$4:$BN$12824,7,0)*BE2274</f>
        <v>74218.34176037398</v>
      </c>
      <c r="BT2274" s="866"/>
      <c r="BU2274" s="866">
        <f>VLOOKUP(BD2274,$BD$4:$BN$12824,9,0)*BE2274</f>
        <v>12196.827629996988</v>
      </c>
      <c r="BV2274" s="867"/>
      <c r="BW2274" s="867">
        <f>VLOOKUP(BD2274,$BD$4:$BN$12824,11,0)*BE2274</f>
        <v>91933.659738057468</v>
      </c>
      <c r="BX2274" s="1146">
        <f t="shared" si="479"/>
        <v>1578185.1548537568</v>
      </c>
      <c r="BY2274" s="867">
        <f t="shared" si="480"/>
        <v>75715873.846753761</v>
      </c>
      <c r="BZ2274" s="867">
        <f t="shared" si="481"/>
        <v>75715873.846753761</v>
      </c>
      <c r="CA2274" s="867">
        <f>_xlfn.MAXIFS($BY$4:$BY$12824,$S$4:$S$12824,$S2274)</f>
        <v>75715873.846753761</v>
      </c>
      <c r="CB2274" s="1032"/>
    </row>
    <row r="2275" spans="2:80">
      <c r="B2275" s="839" t="s">
        <v>98</v>
      </c>
      <c r="C2275" s="839" t="s">
        <v>7454</v>
      </c>
      <c r="D2275" s="839" t="s">
        <v>7455</v>
      </c>
      <c r="E2275" s="839" t="s">
        <v>7455</v>
      </c>
      <c r="F2275" s="841">
        <v>46056</v>
      </c>
      <c r="G2275" s="839" t="s">
        <v>7454</v>
      </c>
      <c r="H2275" s="883" t="s">
        <v>3457</v>
      </c>
      <c r="I2275" s="883"/>
      <c r="J2275" s="841"/>
      <c r="K2275" s="841"/>
      <c r="L2275" s="843" t="s">
        <v>7456</v>
      </c>
      <c r="M2275" s="844" t="s">
        <v>107</v>
      </c>
      <c r="N2275" s="841"/>
      <c r="O2275" s="884"/>
      <c r="P2275" s="842"/>
      <c r="Q2275" s="843"/>
      <c r="R2275" s="845" t="s">
        <v>7511</v>
      </c>
      <c r="S2275" s="1127" t="s">
        <v>7512</v>
      </c>
      <c r="T2275" s="843" t="s">
        <v>7513</v>
      </c>
      <c r="U2275" s="886">
        <v>2</v>
      </c>
      <c r="V2275" s="842" t="s">
        <v>3</v>
      </c>
      <c r="W2275" s="846">
        <v>711</v>
      </c>
      <c r="X2275" s="847">
        <f t="shared" si="461"/>
        <v>1422</v>
      </c>
      <c r="Y2275" s="853" t="s">
        <v>7460</v>
      </c>
      <c r="Z2275" s="849">
        <v>494.86</v>
      </c>
      <c r="AA2275" s="849"/>
      <c r="AB2275" s="849">
        <f t="shared" si="477"/>
        <v>989.72</v>
      </c>
      <c r="AC2275" s="850">
        <f t="shared" si="478"/>
        <v>989.72</v>
      </c>
      <c r="AD2275" s="851">
        <v>32000</v>
      </c>
      <c r="AE2275" s="852">
        <v>29845.73</v>
      </c>
      <c r="AF2275" s="853">
        <v>0</v>
      </c>
      <c r="AG2275" s="854">
        <f t="shared" si="472"/>
        <v>0</v>
      </c>
      <c r="AH2275" s="853">
        <v>0.08</v>
      </c>
      <c r="AI2275" s="855">
        <f t="shared" si="473"/>
        <v>2363113.271648</v>
      </c>
      <c r="AJ2275" s="845" t="s">
        <v>7461</v>
      </c>
      <c r="AK2275" s="857">
        <v>46106</v>
      </c>
      <c r="AL2275" s="843" t="s">
        <v>7462</v>
      </c>
      <c r="AM2275" s="843"/>
      <c r="AN2275" s="844">
        <v>2</v>
      </c>
      <c r="AO2275" s="844" t="s">
        <v>7463</v>
      </c>
      <c r="AP2275" s="841"/>
      <c r="AQ2275" s="842"/>
      <c r="AR2275" s="841">
        <v>46194</v>
      </c>
      <c r="AS2275" s="842" t="s">
        <v>6737</v>
      </c>
      <c r="AT2275" s="842" t="s">
        <v>1187</v>
      </c>
      <c r="AU2275" s="842" t="s">
        <v>1565</v>
      </c>
      <c r="AV2275" s="843" t="s">
        <v>7464</v>
      </c>
      <c r="AW2275" s="861">
        <v>46198</v>
      </c>
      <c r="AX2275" s="862">
        <v>46199</v>
      </c>
      <c r="AY2275" s="843" t="s">
        <v>7514</v>
      </c>
      <c r="AZ2275" s="842" t="s">
        <v>3183</v>
      </c>
      <c r="BA2275" s="842" t="s">
        <v>120</v>
      </c>
      <c r="BB2275" s="863" t="s">
        <v>121</v>
      </c>
      <c r="BC2275" s="864">
        <v>46202</v>
      </c>
      <c r="BD2275" s="860" t="s">
        <v>7466</v>
      </c>
      <c r="BE2275" s="865" cm="1">
        <f t="array" ref="BE2275">IF(BD2275="","",AC2275/SUMPRODUCT(--(BD2275=$BD$4:$BD$12824),$AC$4:$AC$12824))</f>
        <v>6.1514189309463891E-3</v>
      </c>
      <c r="BF2275" s="458"/>
      <c r="BG2275" s="458"/>
      <c r="BH2275" s="458"/>
      <c r="BI2275" s="458"/>
      <c r="BJ2275" s="458"/>
      <c r="BK2275" s="458"/>
      <c r="BL2275" s="458"/>
      <c r="BM2275" s="458"/>
      <c r="BN2275" s="458"/>
      <c r="BO2275" s="866">
        <f>VLOOKUP(BD2275,$BD$4:$BN$12824,3,0)*BE2275</f>
        <v>381399.04627275182</v>
      </c>
      <c r="BP2275" s="866"/>
      <c r="BQ2275" s="866"/>
      <c r="BR2275" s="866">
        <f>VLOOKUP(BD2275,$BD$4:$BN$12824,6,0)*BE2275</f>
        <v>176342.20817943761</v>
      </c>
      <c r="BS2275" s="866">
        <f>VLOOKUP(BD2275,$BD$4:$BN$12824,7,0)*BE2275</f>
        <v>29571.050755054224</v>
      </c>
      <c r="BT2275" s="866"/>
      <c r="BU2275" s="866">
        <f>VLOOKUP(BD2275,$BD$4:$BN$12824,9,0)*BE2275</f>
        <v>4859.6209554476472</v>
      </c>
      <c r="BV2275" s="867"/>
      <c r="BW2275" s="867">
        <f>VLOOKUP(BD2275,$BD$4:$BN$12824,11,0)*BE2275</f>
        <v>36629.421430477989</v>
      </c>
      <c r="BX2275" s="1146">
        <f t="shared" si="479"/>
        <v>628801.34759316931</v>
      </c>
      <c r="BY2275" s="867">
        <f t="shared" si="480"/>
        <v>15083858.621596584</v>
      </c>
      <c r="BZ2275" s="867">
        <f t="shared" si="481"/>
        <v>30167717.243193168</v>
      </c>
      <c r="CA2275" s="867">
        <f>_xlfn.MAXIFS($BY$4:$BY$12824,$S$4:$S$12824,$S2275)</f>
        <v>15083858.621596584</v>
      </c>
      <c r="CB2275" s="1032"/>
    </row>
    <row r="2276" spans="2:80">
      <c r="B2276" s="839" t="s">
        <v>98</v>
      </c>
      <c r="C2276" s="839" t="s">
        <v>7454</v>
      </c>
      <c r="D2276" s="839" t="s">
        <v>7455</v>
      </c>
      <c r="E2276" s="839" t="s">
        <v>7455</v>
      </c>
      <c r="F2276" s="841">
        <v>46056</v>
      </c>
      <c r="G2276" s="839" t="s">
        <v>7454</v>
      </c>
      <c r="H2276" s="883" t="s">
        <v>3457</v>
      </c>
      <c r="I2276" s="883"/>
      <c r="J2276" s="841"/>
      <c r="K2276" s="841"/>
      <c r="L2276" s="843" t="s">
        <v>7456</v>
      </c>
      <c r="M2276" s="844" t="s">
        <v>107</v>
      </c>
      <c r="N2276" s="841"/>
      <c r="O2276" s="884"/>
      <c r="P2276" s="842"/>
      <c r="Q2276" s="843"/>
      <c r="R2276" s="845" t="s">
        <v>7515</v>
      </c>
      <c r="S2276" s="1127" t="s">
        <v>7516</v>
      </c>
      <c r="T2276" s="843" t="s">
        <v>7517</v>
      </c>
      <c r="U2276" s="886">
        <v>1</v>
      </c>
      <c r="V2276" s="842" t="s">
        <v>3</v>
      </c>
      <c r="W2276" s="846">
        <v>6389</v>
      </c>
      <c r="X2276" s="847">
        <f t="shared" ref="X2276:X2360" si="482">W2276*U2276</f>
        <v>6389</v>
      </c>
      <c r="Y2276" s="853" t="s">
        <v>7460</v>
      </c>
      <c r="Z2276" s="849">
        <v>4446.75</v>
      </c>
      <c r="AA2276" s="849"/>
      <c r="AB2276" s="849">
        <f t="shared" si="477"/>
        <v>4446.75</v>
      </c>
      <c r="AC2276" s="850">
        <f t="shared" si="478"/>
        <v>4446.75</v>
      </c>
      <c r="AD2276" s="851">
        <v>32000</v>
      </c>
      <c r="AE2276" s="852">
        <v>29845.73</v>
      </c>
      <c r="AF2276" s="853">
        <v>0</v>
      </c>
      <c r="AG2276" s="854">
        <f t="shared" si="472"/>
        <v>0</v>
      </c>
      <c r="AH2276" s="853">
        <v>0.08</v>
      </c>
      <c r="AI2276" s="855">
        <f t="shared" si="473"/>
        <v>10617319.9902</v>
      </c>
      <c r="AJ2276" s="845" t="s">
        <v>7461</v>
      </c>
      <c r="AK2276" s="857">
        <v>46106</v>
      </c>
      <c r="AL2276" s="843" t="s">
        <v>7462</v>
      </c>
      <c r="AM2276" s="843"/>
      <c r="AN2276" s="844">
        <v>2</v>
      </c>
      <c r="AO2276" s="844" t="s">
        <v>7463</v>
      </c>
      <c r="AP2276" s="841"/>
      <c r="AQ2276" s="842"/>
      <c r="AR2276" s="841">
        <v>46194</v>
      </c>
      <c r="AS2276" s="842" t="s">
        <v>6737</v>
      </c>
      <c r="AT2276" s="842" t="s">
        <v>1187</v>
      </c>
      <c r="AU2276" s="842" t="s">
        <v>1565</v>
      </c>
      <c r="AV2276" s="843" t="s">
        <v>7464</v>
      </c>
      <c r="AW2276" s="861">
        <v>46198</v>
      </c>
      <c r="AX2276" s="862">
        <v>46199</v>
      </c>
      <c r="AY2276" s="843" t="s">
        <v>7518</v>
      </c>
      <c r="AZ2276" s="842" t="s">
        <v>3183</v>
      </c>
      <c r="BA2276" s="842" t="s">
        <v>120</v>
      </c>
      <c r="BB2276" s="863" t="s">
        <v>121</v>
      </c>
      <c r="BC2276" s="864">
        <v>46202</v>
      </c>
      <c r="BD2276" s="860" t="s">
        <v>7466</v>
      </c>
      <c r="BE2276" s="865" cm="1">
        <f t="array" ref="BE2276">IF(BD2276="","",AC2276/SUMPRODUCT(--(BD2276=$BD$4:$BD$12824),$AC$4:$AC$12824))</f>
        <v>2.7637940155989426E-2</v>
      </c>
      <c r="BF2276" s="458"/>
      <c r="BG2276" s="458"/>
      <c r="BH2276" s="458"/>
      <c r="BI2276" s="458"/>
      <c r="BJ2276" s="458"/>
      <c r="BK2276" s="458"/>
      <c r="BL2276" s="458"/>
      <c r="BM2276" s="458"/>
      <c r="BN2276" s="458"/>
      <c r="BO2276" s="866">
        <f>VLOOKUP(BD2276,$BD$4:$BN$12824,3,0)*BE2276</f>
        <v>1713602.0379636253</v>
      </c>
      <c r="BP2276" s="866"/>
      <c r="BQ2276" s="866"/>
      <c r="BR2276" s="866">
        <f>VLOOKUP(BD2276,$BD$4:$BN$12824,6,0)*BE2276</f>
        <v>792294.50169938384</v>
      </c>
      <c r="BS2276" s="866">
        <f>VLOOKUP(BD2276,$BD$4:$BN$12824,7,0)*BE2276</f>
        <v>132860.87978927107</v>
      </c>
      <c r="BT2276" s="866"/>
      <c r="BU2276" s="866">
        <f>VLOOKUP(BD2276,$BD$4:$BN$12824,9,0)*BE2276</f>
        <v>21833.972723231647</v>
      </c>
      <c r="BV2276" s="867"/>
      <c r="BW2276" s="867">
        <f>VLOOKUP(BD2276,$BD$4:$BN$12824,11,0)*BE2276</f>
        <v>164573.6973547852</v>
      </c>
      <c r="BX2276" s="1146">
        <f t="shared" si="479"/>
        <v>2825165.0895302971</v>
      </c>
      <c r="BY2276" s="867">
        <f t="shared" si="480"/>
        <v>135541664.96703029</v>
      </c>
      <c r="BZ2276" s="867">
        <f t="shared" si="481"/>
        <v>135541664.96703029</v>
      </c>
      <c r="CA2276" s="867">
        <f>_xlfn.MAXIFS($BY$4:$BY$12824,$S$4:$S$12824,$S2276)</f>
        <v>135541664.96703029</v>
      </c>
      <c r="CB2276" s="1032"/>
    </row>
    <row r="2277" spans="2:80">
      <c r="B2277" s="839" t="s">
        <v>98</v>
      </c>
      <c r="C2277" s="839" t="s">
        <v>7454</v>
      </c>
      <c r="D2277" s="839" t="s">
        <v>7455</v>
      </c>
      <c r="E2277" s="839" t="s">
        <v>7455</v>
      </c>
      <c r="F2277" s="841">
        <v>46056</v>
      </c>
      <c r="G2277" s="839" t="s">
        <v>7454</v>
      </c>
      <c r="H2277" s="883" t="s">
        <v>3457</v>
      </c>
      <c r="I2277" s="883"/>
      <c r="J2277" s="841"/>
      <c r="K2277" s="841"/>
      <c r="L2277" s="843" t="s">
        <v>7456</v>
      </c>
      <c r="M2277" s="844" t="s">
        <v>107</v>
      </c>
      <c r="N2277" s="841"/>
      <c r="O2277" s="884"/>
      <c r="P2277" s="842"/>
      <c r="Q2277" s="843"/>
      <c r="R2277" s="845" t="s">
        <v>7519</v>
      </c>
      <c r="S2277" s="1127" t="s">
        <v>7520</v>
      </c>
      <c r="T2277" s="843" t="s">
        <v>7521</v>
      </c>
      <c r="U2277" s="886">
        <v>1</v>
      </c>
      <c r="V2277" s="842" t="s">
        <v>3</v>
      </c>
      <c r="W2277" s="846">
        <v>10062</v>
      </c>
      <c r="X2277" s="847">
        <f t="shared" si="482"/>
        <v>10062</v>
      </c>
      <c r="Y2277" s="853" t="s">
        <v>7460</v>
      </c>
      <c r="Z2277" s="849">
        <v>7003.15</v>
      </c>
      <c r="AA2277" s="849"/>
      <c r="AB2277" s="849">
        <f t="shared" si="477"/>
        <v>7003.15</v>
      </c>
      <c r="AC2277" s="850">
        <f t="shared" si="478"/>
        <v>7003.15</v>
      </c>
      <c r="AD2277" s="851">
        <v>32000</v>
      </c>
      <c r="AE2277" s="852">
        <v>29845.73</v>
      </c>
      <c r="AF2277" s="853">
        <v>0</v>
      </c>
      <c r="AG2277" s="854">
        <f t="shared" si="472"/>
        <v>0</v>
      </c>
      <c r="AH2277" s="853">
        <v>0.08</v>
      </c>
      <c r="AI2277" s="855">
        <f t="shared" si="473"/>
        <v>16721129.92396</v>
      </c>
      <c r="AJ2277" s="845" t="s">
        <v>7461</v>
      </c>
      <c r="AK2277" s="857">
        <v>46106</v>
      </c>
      <c r="AL2277" s="843" t="s">
        <v>7462</v>
      </c>
      <c r="AM2277" s="843"/>
      <c r="AN2277" s="844">
        <v>2</v>
      </c>
      <c r="AO2277" s="844" t="s">
        <v>7463</v>
      </c>
      <c r="AP2277" s="841"/>
      <c r="AQ2277" s="842"/>
      <c r="AR2277" s="841">
        <v>46194</v>
      </c>
      <c r="AS2277" s="842" t="s">
        <v>6737</v>
      </c>
      <c r="AT2277" s="842" t="s">
        <v>1187</v>
      </c>
      <c r="AU2277" s="842" t="s">
        <v>1565</v>
      </c>
      <c r="AV2277" s="843" t="s">
        <v>7464</v>
      </c>
      <c r="AW2277" s="861">
        <v>46198</v>
      </c>
      <c r="AX2277" s="862">
        <v>46199</v>
      </c>
      <c r="AY2277" s="843" t="s">
        <v>7522</v>
      </c>
      <c r="AZ2277" s="842" t="s">
        <v>3183</v>
      </c>
      <c r="BA2277" s="842" t="s">
        <v>120</v>
      </c>
      <c r="BB2277" s="863" t="s">
        <v>121</v>
      </c>
      <c r="BC2277" s="864">
        <v>46202</v>
      </c>
      <c r="BD2277" s="860" t="s">
        <v>7466</v>
      </c>
      <c r="BE2277" s="865" cm="1">
        <f t="array" ref="BE2277">IF(BD2277="","",AC2277/SUMPRODUCT(--(BD2277=$BD$4:$BD$12824),$AC$4:$AC$12824))</f>
        <v>4.3526764626618843E-2</v>
      </c>
      <c r="BF2277" s="458"/>
      <c r="BG2277" s="458"/>
      <c r="BH2277" s="458"/>
      <c r="BI2277" s="458"/>
      <c r="BJ2277" s="458"/>
      <c r="BK2277" s="458"/>
      <c r="BL2277" s="458"/>
      <c r="BM2277" s="458"/>
      <c r="BN2277" s="458"/>
      <c r="BO2277" s="866">
        <f>VLOOKUP(BD2277,$BD$4:$BN$12824,3,0)*BE2277</f>
        <v>2698737.7550266962</v>
      </c>
      <c r="BP2277" s="866"/>
      <c r="BQ2277" s="866"/>
      <c r="BR2277" s="866">
        <f>VLOOKUP(BD2277,$BD$4:$BN$12824,6,0)*BE2277</f>
        <v>1247778.0940183369</v>
      </c>
      <c r="BS2277" s="866">
        <f>VLOOKUP(BD2277,$BD$4:$BN$12824,7,0)*BE2277</f>
        <v>209241.50678500786</v>
      </c>
      <c r="BT2277" s="866"/>
      <c r="BU2277" s="866">
        <f>VLOOKUP(BD2277,$BD$4:$BN$12824,9,0)*BE2277</f>
        <v>34386.144055028883</v>
      </c>
      <c r="BV2277" s="867"/>
      <c r="BW2277" s="867">
        <f>VLOOKUP(BD2277,$BD$4:$BN$12824,11,0)*BE2277</f>
        <v>259185.76232757943</v>
      </c>
      <c r="BX2277" s="1146">
        <f t="shared" si="479"/>
        <v>4449329.262212649</v>
      </c>
      <c r="BY2277" s="867">
        <f t="shared" si="480"/>
        <v>213463453.31171262</v>
      </c>
      <c r="BZ2277" s="867">
        <f t="shared" si="481"/>
        <v>213463453.31171262</v>
      </c>
      <c r="CA2277" s="867">
        <f>_xlfn.MAXIFS($BY$4:$BY$12824,$S$4:$S$12824,$S2277)</f>
        <v>213463453.31171262</v>
      </c>
      <c r="CB2277" s="1032"/>
    </row>
    <row r="2278" spans="2:80">
      <c r="B2278" s="839" t="s">
        <v>98</v>
      </c>
      <c r="C2278" s="839" t="s">
        <v>7454</v>
      </c>
      <c r="D2278" s="839" t="s">
        <v>7455</v>
      </c>
      <c r="E2278" s="839" t="s">
        <v>7455</v>
      </c>
      <c r="F2278" s="841">
        <v>46056</v>
      </c>
      <c r="G2278" s="839" t="s">
        <v>7454</v>
      </c>
      <c r="H2278" s="883" t="s">
        <v>3457</v>
      </c>
      <c r="I2278" s="883"/>
      <c r="J2278" s="841"/>
      <c r="K2278" s="841"/>
      <c r="L2278" s="843" t="s">
        <v>7456</v>
      </c>
      <c r="M2278" s="844" t="s">
        <v>107</v>
      </c>
      <c r="N2278" s="841"/>
      <c r="O2278" s="884"/>
      <c r="P2278" s="842"/>
      <c r="Q2278" s="843"/>
      <c r="R2278" s="845" t="s">
        <v>7523</v>
      </c>
      <c r="S2278" s="1127" t="s">
        <v>7524</v>
      </c>
      <c r="T2278" s="843" t="s">
        <v>7525</v>
      </c>
      <c r="U2278" s="886">
        <v>1</v>
      </c>
      <c r="V2278" s="842" t="s">
        <v>3</v>
      </c>
      <c r="W2278" s="846">
        <v>3051</v>
      </c>
      <c r="X2278" s="847">
        <f t="shared" si="482"/>
        <v>3051</v>
      </c>
      <c r="Y2278" s="853" t="s">
        <v>7460</v>
      </c>
      <c r="Z2278" s="849">
        <v>2123.5</v>
      </c>
      <c r="AA2278" s="849"/>
      <c r="AB2278" s="849">
        <f t="shared" si="477"/>
        <v>2123.5</v>
      </c>
      <c r="AC2278" s="850">
        <f t="shared" si="478"/>
        <v>2123.5</v>
      </c>
      <c r="AD2278" s="851">
        <v>32000</v>
      </c>
      <c r="AE2278" s="852">
        <v>29845.73</v>
      </c>
      <c r="AF2278" s="853">
        <v>0</v>
      </c>
      <c r="AG2278" s="854">
        <f t="shared" si="472"/>
        <v>0</v>
      </c>
      <c r="AH2278" s="853">
        <v>0.08</v>
      </c>
      <c r="AI2278" s="855">
        <f t="shared" si="473"/>
        <v>5070192.6124</v>
      </c>
      <c r="AJ2278" s="845" t="s">
        <v>7461</v>
      </c>
      <c r="AK2278" s="857">
        <v>46106</v>
      </c>
      <c r="AL2278" s="843" t="s">
        <v>7462</v>
      </c>
      <c r="AM2278" s="843"/>
      <c r="AN2278" s="844">
        <v>2</v>
      </c>
      <c r="AO2278" s="844" t="s">
        <v>7463</v>
      </c>
      <c r="AP2278" s="841"/>
      <c r="AQ2278" s="842"/>
      <c r="AR2278" s="841">
        <v>46194</v>
      </c>
      <c r="AS2278" s="842" t="s">
        <v>6737</v>
      </c>
      <c r="AT2278" s="842" t="s">
        <v>1187</v>
      </c>
      <c r="AU2278" s="842" t="s">
        <v>1565</v>
      </c>
      <c r="AV2278" s="843" t="s">
        <v>7464</v>
      </c>
      <c r="AW2278" s="861">
        <v>46198</v>
      </c>
      <c r="AX2278" s="862">
        <v>46199</v>
      </c>
      <c r="AY2278" s="843" t="s">
        <v>7526</v>
      </c>
      <c r="AZ2278" s="842" t="s">
        <v>4269</v>
      </c>
      <c r="BA2278" s="842" t="s">
        <v>120</v>
      </c>
      <c r="BB2278" s="863" t="s">
        <v>121</v>
      </c>
      <c r="BC2278" s="864">
        <v>46202</v>
      </c>
      <c r="BD2278" s="860" t="s">
        <v>7466</v>
      </c>
      <c r="BE2278" s="865" cm="1">
        <f t="array" ref="BE2278">IF(BD2278="","",AC2278/SUMPRODUCT(--(BD2278=$BD$4:$BD$12824),$AC$4:$AC$12824))</f>
        <v>1.319821575785541E-2</v>
      </c>
      <c r="BF2278" s="458"/>
      <c r="BG2278" s="458"/>
      <c r="BH2278" s="458"/>
      <c r="BI2278" s="458"/>
      <c r="BJ2278" s="458"/>
      <c r="BK2278" s="458"/>
      <c r="BL2278" s="458"/>
      <c r="BM2278" s="458"/>
      <c r="BN2278" s="458"/>
      <c r="BO2278" s="866">
        <f>VLOOKUP(BD2278,$BD$4:$BN$12824,3,0)*BE2278</f>
        <v>818313.13377539953</v>
      </c>
      <c r="BP2278" s="866"/>
      <c r="BQ2278" s="866"/>
      <c r="BR2278" s="866">
        <f>VLOOKUP(BD2278,$BD$4:$BN$12824,6,0)*BE2278</f>
        <v>378352.13905855769</v>
      </c>
      <c r="BS2278" s="866">
        <f>VLOOKUP(BD2278,$BD$4:$BN$12824,7,0)*BE2278</f>
        <v>63446.354805760857</v>
      </c>
      <c r="BT2278" s="866"/>
      <c r="BU2278" s="866">
        <f>VLOOKUP(BD2278,$BD$4:$BN$12824,9,0)*BE2278</f>
        <v>10426.590448705774</v>
      </c>
      <c r="BV2278" s="867"/>
      <c r="BW2278" s="867">
        <f>VLOOKUP(BD2278,$BD$4:$BN$12824,11,0)*BE2278</f>
        <v>78590.486609970496</v>
      </c>
      <c r="BX2278" s="1146">
        <f t="shared" si="479"/>
        <v>1349128.7046983943</v>
      </c>
      <c r="BY2278" s="867">
        <f t="shared" si="480"/>
        <v>64726536.359698392</v>
      </c>
      <c r="BZ2278" s="867">
        <f t="shared" si="481"/>
        <v>64726536.359698392</v>
      </c>
      <c r="CA2278" s="867">
        <f>_xlfn.MAXIFS($BY$4:$BY$12824,$S$4:$S$12824,$S2278)</f>
        <v>64726536.359698392</v>
      </c>
      <c r="CB2278" s="1032"/>
    </row>
    <row r="2279" spans="2:80">
      <c r="B2279" s="839" t="s">
        <v>98</v>
      </c>
      <c r="C2279" s="839" t="s">
        <v>7454</v>
      </c>
      <c r="D2279" s="839" t="s">
        <v>7455</v>
      </c>
      <c r="E2279" s="839" t="s">
        <v>7455</v>
      </c>
      <c r="F2279" s="841">
        <v>46056</v>
      </c>
      <c r="G2279" s="839" t="s">
        <v>7454</v>
      </c>
      <c r="H2279" s="883" t="s">
        <v>3457</v>
      </c>
      <c r="I2279" s="883"/>
      <c r="J2279" s="841"/>
      <c r="K2279" s="841"/>
      <c r="L2279" s="843" t="s">
        <v>7456</v>
      </c>
      <c r="M2279" s="844" t="s">
        <v>107</v>
      </c>
      <c r="N2279" s="841"/>
      <c r="O2279" s="884"/>
      <c r="P2279" s="842"/>
      <c r="Q2279" s="843"/>
      <c r="R2279" s="845" t="s">
        <v>7527</v>
      </c>
      <c r="S2279" s="1127" t="s">
        <v>7528</v>
      </c>
      <c r="T2279" s="843" t="s">
        <v>7529</v>
      </c>
      <c r="U2279" s="886">
        <v>1</v>
      </c>
      <c r="V2279" s="842" t="s">
        <v>3</v>
      </c>
      <c r="W2279" s="846">
        <v>1905</v>
      </c>
      <c r="X2279" s="847">
        <f t="shared" si="482"/>
        <v>1905</v>
      </c>
      <c r="Y2279" s="853" t="s">
        <v>7460</v>
      </c>
      <c r="Z2279" s="849">
        <v>1325.88</v>
      </c>
      <c r="AA2279" s="849"/>
      <c r="AB2279" s="849">
        <f t="shared" si="477"/>
        <v>1325.88</v>
      </c>
      <c r="AC2279" s="850">
        <f t="shared" si="478"/>
        <v>1325.88</v>
      </c>
      <c r="AD2279" s="851">
        <v>32000</v>
      </c>
      <c r="AE2279" s="852">
        <v>29845.73</v>
      </c>
      <c r="AF2279" s="853">
        <v>0</v>
      </c>
      <c r="AG2279" s="854">
        <f t="shared" si="472"/>
        <v>0</v>
      </c>
      <c r="AH2279" s="853">
        <v>0.08</v>
      </c>
      <c r="AI2279" s="855">
        <f t="shared" si="473"/>
        <v>3165748.5193920005</v>
      </c>
      <c r="AJ2279" s="845" t="s">
        <v>7461</v>
      </c>
      <c r="AK2279" s="857">
        <v>46106</v>
      </c>
      <c r="AL2279" s="843" t="s">
        <v>7462</v>
      </c>
      <c r="AM2279" s="843"/>
      <c r="AN2279" s="844">
        <v>2</v>
      </c>
      <c r="AO2279" s="844" t="s">
        <v>7463</v>
      </c>
      <c r="AP2279" s="841"/>
      <c r="AQ2279" s="842"/>
      <c r="AR2279" s="841">
        <v>46194</v>
      </c>
      <c r="AS2279" s="842" t="s">
        <v>6737</v>
      </c>
      <c r="AT2279" s="842" t="s">
        <v>1187</v>
      </c>
      <c r="AU2279" s="842" t="s">
        <v>1565</v>
      </c>
      <c r="AV2279" s="843" t="s">
        <v>7464</v>
      </c>
      <c r="AW2279" s="861">
        <v>46198</v>
      </c>
      <c r="AX2279" s="862">
        <v>46199</v>
      </c>
      <c r="AY2279" s="843" t="s">
        <v>7530</v>
      </c>
      <c r="AZ2279" s="842" t="s">
        <v>4269</v>
      </c>
      <c r="BA2279" s="842" t="s">
        <v>120</v>
      </c>
      <c r="BB2279" s="863" t="s">
        <v>121</v>
      </c>
      <c r="BC2279" s="864">
        <v>46202</v>
      </c>
      <c r="BD2279" s="860" t="s">
        <v>7466</v>
      </c>
      <c r="BE2279" s="865" cm="1">
        <f t="array" ref="BE2279">IF(BD2279="","",AC2279/SUMPRODUCT(--(BD2279=$BD$4:$BD$12824),$AC$4:$AC$12824))</f>
        <v>8.2407583277727021E-3</v>
      </c>
      <c r="BF2279" s="458"/>
      <c r="BG2279" s="458"/>
      <c r="BH2279" s="458"/>
      <c r="BI2279" s="458"/>
      <c r="BJ2279" s="458"/>
      <c r="BK2279" s="458"/>
      <c r="BL2279" s="458"/>
      <c r="BM2279" s="458"/>
      <c r="BN2279" s="458"/>
      <c r="BO2279" s="866">
        <f>VLOOKUP(BD2279,$BD$4:$BN$12824,3,0)*BE2279</f>
        <v>510941.84968689753</v>
      </c>
      <c r="BP2279" s="866"/>
      <c r="BQ2279" s="866"/>
      <c r="BR2279" s="866">
        <f>VLOOKUP(BD2279,$BD$4:$BN$12824,6,0)*BE2279</f>
        <v>236237.12462206761</v>
      </c>
      <c r="BS2279" s="866">
        <f>VLOOKUP(BD2279,$BD$4:$BN$12824,7,0)*BE2279</f>
        <v>39614.906008882608</v>
      </c>
      <c r="BT2279" s="866"/>
      <c r="BU2279" s="866">
        <f>VLOOKUP(BD2279,$BD$4:$BN$12824,9,0)*BE2279</f>
        <v>6510.1990789404344</v>
      </c>
      <c r="BV2279" s="867"/>
      <c r="BW2279" s="867">
        <f>VLOOKUP(BD2279,$BD$4:$BN$12824,11,0)*BE2279</f>
        <v>49070.663709172455</v>
      </c>
      <c r="BX2279" s="1146">
        <f t="shared" si="479"/>
        <v>842374.74310596054</v>
      </c>
      <c r="BY2279" s="867">
        <f t="shared" si="480"/>
        <v>40414231.235505968</v>
      </c>
      <c r="BZ2279" s="867">
        <f t="shared" si="481"/>
        <v>40414231.235505968</v>
      </c>
      <c r="CA2279" s="867">
        <f>_xlfn.MAXIFS($BY$4:$BY$12824,$S$4:$S$12824,$S2279)</f>
        <v>40414231.235505968</v>
      </c>
      <c r="CB2279" s="1032"/>
    </row>
    <row r="2280" spans="2:80">
      <c r="B2280" s="839" t="s">
        <v>98</v>
      </c>
      <c r="C2280" s="839" t="s">
        <v>7454</v>
      </c>
      <c r="D2280" s="839" t="s">
        <v>7455</v>
      </c>
      <c r="E2280" s="839" t="s">
        <v>7455</v>
      </c>
      <c r="F2280" s="841">
        <v>46056</v>
      </c>
      <c r="G2280" s="839" t="s">
        <v>7454</v>
      </c>
      <c r="H2280" s="883" t="s">
        <v>3457</v>
      </c>
      <c r="I2280" s="883"/>
      <c r="J2280" s="841"/>
      <c r="K2280" s="841"/>
      <c r="L2280" s="843" t="s">
        <v>7456</v>
      </c>
      <c r="M2280" s="844" t="s">
        <v>107</v>
      </c>
      <c r="N2280" s="841"/>
      <c r="O2280" s="884"/>
      <c r="P2280" s="842"/>
      <c r="Q2280" s="843"/>
      <c r="R2280" s="845" t="s">
        <v>7531</v>
      </c>
      <c r="S2280" s="1127" t="s">
        <v>7532</v>
      </c>
      <c r="T2280" s="843" t="s">
        <v>7533</v>
      </c>
      <c r="U2280" s="886">
        <v>1</v>
      </c>
      <c r="V2280" s="842" t="s">
        <v>3</v>
      </c>
      <c r="W2280" s="846">
        <v>2089</v>
      </c>
      <c r="X2280" s="847">
        <f t="shared" si="482"/>
        <v>2089</v>
      </c>
      <c r="Y2280" s="853" t="s">
        <v>7460</v>
      </c>
      <c r="Z2280" s="849">
        <v>1453.94</v>
      </c>
      <c r="AA2280" s="849"/>
      <c r="AB2280" s="849">
        <f t="shared" si="477"/>
        <v>1453.94</v>
      </c>
      <c r="AC2280" s="850">
        <f t="shared" si="478"/>
        <v>1453.94</v>
      </c>
      <c r="AD2280" s="851">
        <v>32000</v>
      </c>
      <c r="AE2280" s="852">
        <v>29845.73</v>
      </c>
      <c r="AF2280" s="853">
        <v>0</v>
      </c>
      <c r="AG2280" s="854">
        <f t="shared" si="472"/>
        <v>0</v>
      </c>
      <c r="AH2280" s="853">
        <v>0.08</v>
      </c>
      <c r="AI2280" s="855">
        <f t="shared" si="473"/>
        <v>3471512.0540960003</v>
      </c>
      <c r="AJ2280" s="845" t="s">
        <v>7461</v>
      </c>
      <c r="AK2280" s="857">
        <v>46106</v>
      </c>
      <c r="AL2280" s="843" t="s">
        <v>7462</v>
      </c>
      <c r="AM2280" s="843"/>
      <c r="AN2280" s="844">
        <v>2</v>
      </c>
      <c r="AO2280" s="844" t="s">
        <v>7463</v>
      </c>
      <c r="AP2280" s="841"/>
      <c r="AQ2280" s="842"/>
      <c r="AR2280" s="841">
        <v>46194</v>
      </c>
      <c r="AS2280" s="842" t="s">
        <v>6737</v>
      </c>
      <c r="AT2280" s="842" t="s">
        <v>1187</v>
      </c>
      <c r="AU2280" s="842" t="s">
        <v>1565</v>
      </c>
      <c r="AV2280" s="843" t="s">
        <v>7464</v>
      </c>
      <c r="AW2280" s="861">
        <v>46198</v>
      </c>
      <c r="AX2280" s="862">
        <v>46199</v>
      </c>
      <c r="AY2280" s="843" t="s">
        <v>7534</v>
      </c>
      <c r="AZ2280" s="842" t="s">
        <v>4269</v>
      </c>
      <c r="BA2280" s="842" t="s">
        <v>120</v>
      </c>
      <c r="BB2280" s="863" t="s">
        <v>121</v>
      </c>
      <c r="BC2280" s="864">
        <v>46202</v>
      </c>
      <c r="BD2280" s="860" t="s">
        <v>7466</v>
      </c>
      <c r="BE2280" s="865" cm="1">
        <f t="array" ref="BE2280">IF(BD2280="","",AC2280/SUMPRODUCT(--(BD2280=$BD$4:$BD$12824),$AC$4:$AC$12824))</f>
        <v>9.0366912262662084E-3</v>
      </c>
      <c r="BF2280" s="458"/>
      <c r="BG2280" s="458"/>
      <c r="BH2280" s="458"/>
      <c r="BI2280" s="458"/>
      <c r="BJ2280" s="458"/>
      <c r="BK2280" s="458"/>
      <c r="BL2280" s="458"/>
      <c r="BM2280" s="458"/>
      <c r="BN2280" s="458"/>
      <c r="BO2280" s="866">
        <f>VLOOKUP(BD2280,$BD$4:$BN$12824,3,0)*BE2280</f>
        <v>560291.12207271217</v>
      </c>
      <c r="BP2280" s="866"/>
      <c r="BQ2280" s="866"/>
      <c r="BR2280" s="866">
        <f>VLOOKUP(BD2280,$BD$4:$BN$12824,6,0)*BE2280</f>
        <v>259054.06595846449</v>
      </c>
      <c r="BS2280" s="866">
        <f>VLOOKUP(BD2280,$BD$4:$BN$12824,7,0)*BE2280</f>
        <v>43441.108126342333</v>
      </c>
      <c r="BT2280" s="866"/>
      <c r="BU2280" s="866">
        <f>VLOOKUP(BD2280,$BD$4:$BN$12824,9,0)*BE2280</f>
        <v>7138.9860687503042</v>
      </c>
      <c r="BV2280" s="867"/>
      <c r="BW2280" s="867">
        <f>VLOOKUP(BD2280,$BD$4:$BN$12824,11,0)*BE2280</f>
        <v>53810.149329738873</v>
      </c>
      <c r="BX2280" s="1146">
        <f t="shared" si="479"/>
        <v>923735.43155600817</v>
      </c>
      <c r="BY2280" s="867">
        <f t="shared" si="480"/>
        <v>44317636.107756011</v>
      </c>
      <c r="BZ2280" s="867">
        <f t="shared" si="481"/>
        <v>44317636.107756011</v>
      </c>
      <c r="CA2280" s="867">
        <f>_xlfn.MAXIFS($BY$4:$BY$12824,$S$4:$S$12824,$S2280)</f>
        <v>44317636.107756011</v>
      </c>
      <c r="CB2280" s="1032"/>
    </row>
    <row r="2281" spans="2:80">
      <c r="B2281" s="839" t="s">
        <v>98</v>
      </c>
      <c r="C2281" s="839" t="s">
        <v>7454</v>
      </c>
      <c r="D2281" s="839" t="s">
        <v>7455</v>
      </c>
      <c r="E2281" s="839" t="s">
        <v>7455</v>
      </c>
      <c r="F2281" s="841">
        <v>46056</v>
      </c>
      <c r="G2281" s="839" t="s">
        <v>7454</v>
      </c>
      <c r="H2281" s="883" t="s">
        <v>3457</v>
      </c>
      <c r="I2281" s="883"/>
      <c r="J2281" s="841"/>
      <c r="K2281" s="841"/>
      <c r="L2281" s="843" t="s">
        <v>7456</v>
      </c>
      <c r="M2281" s="844" t="s">
        <v>107</v>
      </c>
      <c r="N2281" s="841"/>
      <c r="O2281" s="884"/>
      <c r="P2281" s="842"/>
      <c r="Q2281" s="843"/>
      <c r="R2281" s="845" t="s">
        <v>7535</v>
      </c>
      <c r="S2281" s="1127" t="s">
        <v>7536</v>
      </c>
      <c r="T2281" s="843" t="s">
        <v>7537</v>
      </c>
      <c r="U2281" s="886">
        <v>2</v>
      </c>
      <c r="V2281" s="842" t="s">
        <v>3</v>
      </c>
      <c r="W2281" s="846">
        <v>1101</v>
      </c>
      <c r="X2281" s="847">
        <f t="shared" si="482"/>
        <v>2202</v>
      </c>
      <c r="Y2281" s="853" t="s">
        <v>7460</v>
      </c>
      <c r="Z2281" s="849">
        <v>766.3</v>
      </c>
      <c r="AA2281" s="849"/>
      <c r="AB2281" s="849">
        <f t="shared" si="477"/>
        <v>1532.6</v>
      </c>
      <c r="AC2281" s="850">
        <f t="shared" si="478"/>
        <v>1532.6</v>
      </c>
      <c r="AD2281" s="851">
        <v>32000</v>
      </c>
      <c r="AE2281" s="852">
        <v>29845.73</v>
      </c>
      <c r="AF2281" s="853">
        <v>0</v>
      </c>
      <c r="AG2281" s="854">
        <f t="shared" si="472"/>
        <v>0</v>
      </c>
      <c r="AH2281" s="853">
        <v>0.08</v>
      </c>
      <c r="AI2281" s="855">
        <f t="shared" si="473"/>
        <v>3659325.2638399997</v>
      </c>
      <c r="AJ2281" s="845" t="s">
        <v>7461</v>
      </c>
      <c r="AK2281" s="857">
        <v>46106</v>
      </c>
      <c r="AL2281" s="843" t="s">
        <v>7462</v>
      </c>
      <c r="AM2281" s="843"/>
      <c r="AN2281" s="844">
        <v>2</v>
      </c>
      <c r="AO2281" s="844" t="s">
        <v>7463</v>
      </c>
      <c r="AP2281" s="841"/>
      <c r="AQ2281" s="842"/>
      <c r="AR2281" s="841">
        <v>46194</v>
      </c>
      <c r="AS2281" s="842" t="s">
        <v>6737</v>
      </c>
      <c r="AT2281" s="842" t="s">
        <v>1187</v>
      </c>
      <c r="AU2281" s="842" t="s">
        <v>1565</v>
      </c>
      <c r="AV2281" s="843" t="s">
        <v>7464</v>
      </c>
      <c r="AW2281" s="861">
        <v>46198</v>
      </c>
      <c r="AX2281" s="862">
        <v>46199</v>
      </c>
      <c r="AY2281" s="843" t="s">
        <v>7538</v>
      </c>
      <c r="AZ2281" s="842" t="s">
        <v>4269</v>
      </c>
      <c r="BA2281" s="842" t="s">
        <v>120</v>
      </c>
      <c r="BB2281" s="863" t="s">
        <v>121</v>
      </c>
      <c r="BC2281" s="864">
        <v>46202</v>
      </c>
      <c r="BD2281" s="860" t="s">
        <v>7466</v>
      </c>
      <c r="BE2281" s="865" cm="1">
        <f t="array" ref="BE2281">IF(BD2281="","",AC2281/SUMPRODUCT(--(BD2281=$BD$4:$BD$12824),$AC$4:$AC$12824))</f>
        <v>9.5255876950737922E-3</v>
      </c>
      <c r="BF2281" s="458"/>
      <c r="BG2281" s="458"/>
      <c r="BH2281" s="458"/>
      <c r="BI2281" s="458"/>
      <c r="BJ2281" s="458"/>
      <c r="BK2281" s="458"/>
      <c r="BL2281" s="458"/>
      <c r="BM2281" s="458"/>
      <c r="BN2281" s="458"/>
      <c r="BO2281" s="866">
        <f>VLOOKUP(BD2281,$BD$4:$BN$12824,3,0)*BE2281</f>
        <v>590603.58315242629</v>
      </c>
      <c r="BP2281" s="866"/>
      <c r="BQ2281" s="866"/>
      <c r="BR2281" s="866">
        <f>VLOOKUP(BD2281,$BD$4:$BN$12824,6,0)*BE2281</f>
        <v>273069.21983571717</v>
      </c>
      <c r="BS2281" s="866">
        <f>VLOOKUP(BD2281,$BD$4:$BN$12824,7,0)*BE2281</f>
        <v>45791.327231132127</v>
      </c>
      <c r="BT2281" s="866"/>
      <c r="BU2281" s="866">
        <f>VLOOKUP(BD2281,$BD$4:$BN$12824,9,0)*BE2281</f>
        <v>7525.2142791082961</v>
      </c>
      <c r="BV2281" s="867"/>
      <c r="BW2281" s="867">
        <f>VLOOKUP(BD2281,$BD$4:$BN$12824,11,0)*BE2281</f>
        <v>56721.346728721815</v>
      </c>
      <c r="BX2281" s="1146">
        <f t="shared" si="479"/>
        <v>973710.69122710568</v>
      </c>
      <c r="BY2281" s="867">
        <f t="shared" si="480"/>
        <v>23357638.244613551</v>
      </c>
      <c r="BZ2281" s="867">
        <f t="shared" si="481"/>
        <v>46715276.489227101</v>
      </c>
      <c r="CA2281" s="867">
        <f>_xlfn.MAXIFS($BY$4:$BY$12824,$S$4:$S$12824,$S2281)</f>
        <v>23357638.244613551</v>
      </c>
      <c r="CB2281" s="1032"/>
    </row>
    <row r="2282" spans="2:80">
      <c r="B2282" s="839" t="s">
        <v>98</v>
      </c>
      <c r="C2282" s="839" t="s">
        <v>7454</v>
      </c>
      <c r="D2282" s="839" t="s">
        <v>7455</v>
      </c>
      <c r="E2282" s="839" t="s">
        <v>7455</v>
      </c>
      <c r="F2282" s="841">
        <v>46056</v>
      </c>
      <c r="G2282" s="839" t="s">
        <v>7454</v>
      </c>
      <c r="H2282" s="883" t="s">
        <v>3457</v>
      </c>
      <c r="I2282" s="883"/>
      <c r="J2282" s="841"/>
      <c r="K2282" s="841"/>
      <c r="L2282" s="843" t="s">
        <v>7456</v>
      </c>
      <c r="M2282" s="844" t="s">
        <v>107</v>
      </c>
      <c r="N2282" s="841"/>
      <c r="O2282" s="884"/>
      <c r="P2282" s="842"/>
      <c r="Q2282" s="843"/>
      <c r="R2282" s="845" t="s">
        <v>7539</v>
      </c>
      <c r="S2282" s="1127" t="s">
        <v>7540</v>
      </c>
      <c r="T2282" s="843" t="s">
        <v>7541</v>
      </c>
      <c r="U2282" s="886">
        <v>2</v>
      </c>
      <c r="V2282" s="842" t="s">
        <v>3</v>
      </c>
      <c r="W2282" s="846">
        <v>1385</v>
      </c>
      <c r="X2282" s="847">
        <f t="shared" si="482"/>
        <v>2770</v>
      </c>
      <c r="Y2282" s="853" t="s">
        <v>7460</v>
      </c>
      <c r="Z2282" s="849">
        <v>963.96</v>
      </c>
      <c r="AA2282" s="849"/>
      <c r="AB2282" s="849">
        <f t="shared" si="477"/>
        <v>1927.92</v>
      </c>
      <c r="AC2282" s="850">
        <f t="shared" si="478"/>
        <v>1927.92</v>
      </c>
      <c r="AD2282" s="851">
        <v>32000</v>
      </c>
      <c r="AE2282" s="852">
        <v>29845.73</v>
      </c>
      <c r="AF2282" s="853">
        <v>0</v>
      </c>
      <c r="AG2282" s="854">
        <f t="shared" si="472"/>
        <v>0</v>
      </c>
      <c r="AH2282" s="853">
        <v>0.08</v>
      </c>
      <c r="AI2282" s="855">
        <f t="shared" si="473"/>
        <v>4603214.3825279996</v>
      </c>
      <c r="AJ2282" s="845" t="s">
        <v>7461</v>
      </c>
      <c r="AK2282" s="857">
        <v>46106</v>
      </c>
      <c r="AL2282" s="843" t="s">
        <v>7462</v>
      </c>
      <c r="AM2282" s="843"/>
      <c r="AN2282" s="844">
        <v>2</v>
      </c>
      <c r="AO2282" s="844" t="s">
        <v>7463</v>
      </c>
      <c r="AP2282" s="841"/>
      <c r="AQ2282" s="842"/>
      <c r="AR2282" s="841">
        <v>46194</v>
      </c>
      <c r="AS2282" s="842" t="s">
        <v>6737</v>
      </c>
      <c r="AT2282" s="842" t="s">
        <v>1187</v>
      </c>
      <c r="AU2282" s="842" t="s">
        <v>1565</v>
      </c>
      <c r="AV2282" s="843" t="s">
        <v>7464</v>
      </c>
      <c r="AW2282" s="861">
        <v>46198</v>
      </c>
      <c r="AX2282" s="862">
        <v>46199</v>
      </c>
      <c r="AY2282" s="843" t="s">
        <v>7542</v>
      </c>
      <c r="AZ2282" s="842" t="s">
        <v>3183</v>
      </c>
      <c r="BA2282" s="842" t="s">
        <v>120</v>
      </c>
      <c r="BB2282" s="863" t="s">
        <v>121</v>
      </c>
      <c r="BC2282" s="864">
        <v>46202</v>
      </c>
      <c r="BD2282" s="860" t="s">
        <v>7466</v>
      </c>
      <c r="BE2282" s="865" cm="1">
        <f t="array" ref="BE2282">IF(BD2282="","",AC2282/SUMPRODUCT(--(BD2282=$BD$4:$BD$12824),$AC$4:$AC$12824))</f>
        <v>1.1982624970042195E-2</v>
      </c>
      <c r="BF2282" s="458"/>
      <c r="BG2282" s="458"/>
      <c r="BH2282" s="458"/>
      <c r="BI2282" s="458"/>
      <c r="BJ2282" s="458"/>
      <c r="BK2282" s="458"/>
      <c r="BL2282" s="458"/>
      <c r="BM2282" s="458"/>
      <c r="BN2282" s="458"/>
      <c r="BO2282" s="866">
        <f>VLOOKUP(BD2282,$BD$4:$BN$12824,3,0)*BE2282</f>
        <v>742944.31686756213</v>
      </c>
      <c r="BP2282" s="866"/>
      <c r="BQ2282" s="866"/>
      <c r="BR2282" s="866">
        <f>VLOOKUP(BD2282,$BD$4:$BN$12824,6,0)*BE2282</f>
        <v>343504.90036909562</v>
      </c>
      <c r="BS2282" s="866">
        <f>VLOOKUP(BD2282,$BD$4:$BN$12824,7,0)*BE2282</f>
        <v>57602.776716327986</v>
      </c>
      <c r="BT2282" s="866"/>
      <c r="BU2282" s="866">
        <f>VLOOKUP(BD2282,$BD$4:$BN$12824,9,0)*BE2282</f>
        <v>9466.2737263333347</v>
      </c>
      <c r="BV2282" s="867"/>
      <c r="BW2282" s="867">
        <f>VLOOKUP(BD2282,$BD$4:$BN$12824,11,0)*BE2282</f>
        <v>71352.093687353103</v>
      </c>
      <c r="BX2282" s="1146">
        <f t="shared" si="479"/>
        <v>1224870.3613666722</v>
      </c>
      <c r="BY2282" s="867">
        <f t="shared" si="480"/>
        <v>29382525.071483336</v>
      </c>
      <c r="BZ2282" s="867">
        <f t="shared" si="481"/>
        <v>58765050.142966673</v>
      </c>
      <c r="CA2282" s="867">
        <f>_xlfn.MAXIFS($BY$4:$BY$12824,$S$4:$S$12824,$S2282)</f>
        <v>29382525.071483336</v>
      </c>
      <c r="CB2282" s="1032"/>
    </row>
    <row r="2283" spans="2:80">
      <c r="B2283" s="839" t="s">
        <v>98</v>
      </c>
      <c r="C2283" s="839" t="s">
        <v>7454</v>
      </c>
      <c r="D2283" s="839" t="s">
        <v>7455</v>
      </c>
      <c r="E2283" s="839" t="s">
        <v>7455</v>
      </c>
      <c r="F2283" s="841">
        <v>46056</v>
      </c>
      <c r="G2283" s="839" t="s">
        <v>7454</v>
      </c>
      <c r="H2283" s="883" t="s">
        <v>3457</v>
      </c>
      <c r="I2283" s="883"/>
      <c r="J2283" s="841"/>
      <c r="K2283" s="841"/>
      <c r="L2283" s="843" t="s">
        <v>7456</v>
      </c>
      <c r="M2283" s="844" t="s">
        <v>107</v>
      </c>
      <c r="N2283" s="841"/>
      <c r="O2283" s="884"/>
      <c r="P2283" s="842"/>
      <c r="Q2283" s="843"/>
      <c r="R2283" s="845" t="s">
        <v>7543</v>
      </c>
      <c r="S2283" s="1127" t="s">
        <v>7544</v>
      </c>
      <c r="T2283" s="843" t="s">
        <v>7545</v>
      </c>
      <c r="U2283" s="886">
        <v>1</v>
      </c>
      <c r="V2283" s="842" t="s">
        <v>3</v>
      </c>
      <c r="W2283" s="846">
        <v>1306</v>
      </c>
      <c r="X2283" s="847">
        <f t="shared" si="482"/>
        <v>1306</v>
      </c>
      <c r="Y2283" s="853" t="s">
        <v>7460</v>
      </c>
      <c r="Z2283" s="849">
        <v>908.98</v>
      </c>
      <c r="AA2283" s="849"/>
      <c r="AB2283" s="849">
        <f t="shared" si="477"/>
        <v>908.98</v>
      </c>
      <c r="AC2283" s="850">
        <f t="shared" si="478"/>
        <v>908.98</v>
      </c>
      <c r="AD2283" s="851">
        <v>32000</v>
      </c>
      <c r="AE2283" s="852">
        <v>29845.73</v>
      </c>
      <c r="AF2283" s="853">
        <v>0</v>
      </c>
      <c r="AG2283" s="854">
        <f t="shared" si="472"/>
        <v>0</v>
      </c>
      <c r="AH2283" s="853">
        <v>0.08</v>
      </c>
      <c r="AI2283" s="855">
        <f t="shared" si="473"/>
        <v>2170333.7324319999</v>
      </c>
      <c r="AJ2283" s="845" t="s">
        <v>7461</v>
      </c>
      <c r="AK2283" s="857">
        <v>46106</v>
      </c>
      <c r="AL2283" s="843" t="s">
        <v>7462</v>
      </c>
      <c r="AM2283" s="843"/>
      <c r="AN2283" s="844">
        <v>2</v>
      </c>
      <c r="AO2283" s="844" t="s">
        <v>7463</v>
      </c>
      <c r="AP2283" s="841"/>
      <c r="AQ2283" s="842"/>
      <c r="AR2283" s="841">
        <v>46194</v>
      </c>
      <c r="AS2283" s="842" t="s">
        <v>6737</v>
      </c>
      <c r="AT2283" s="842" t="s">
        <v>1187</v>
      </c>
      <c r="AU2283" s="842" t="s">
        <v>1565</v>
      </c>
      <c r="AV2283" s="843" t="s">
        <v>7464</v>
      </c>
      <c r="AW2283" s="861">
        <v>46198</v>
      </c>
      <c r="AX2283" s="862">
        <v>46199</v>
      </c>
      <c r="AY2283" s="843" t="s">
        <v>7546</v>
      </c>
      <c r="AZ2283" s="842" t="s">
        <v>4269</v>
      </c>
      <c r="BA2283" s="842" t="s">
        <v>120</v>
      </c>
      <c r="BB2283" s="863" t="s">
        <v>121</v>
      </c>
      <c r="BC2283" s="864">
        <v>46202</v>
      </c>
      <c r="BD2283" s="860" t="s">
        <v>7466</v>
      </c>
      <c r="BE2283" s="865" cm="1">
        <f t="array" ref="BE2283">IF(BD2283="","",AC2283/SUMPRODUCT(--(BD2283=$BD$4:$BD$12824),$AC$4:$AC$12824))</f>
        <v>5.6495946124678178E-3</v>
      </c>
      <c r="BF2283" s="458"/>
      <c r="BG2283" s="458"/>
      <c r="BH2283" s="458"/>
      <c r="BI2283" s="458"/>
      <c r="BJ2283" s="458"/>
      <c r="BK2283" s="458"/>
      <c r="BL2283" s="458"/>
      <c r="BM2283" s="458"/>
      <c r="BN2283" s="458"/>
      <c r="BO2283" s="866">
        <f>VLOOKUP(BD2283,$BD$4:$BN$12824,3,0)*BE2283</f>
        <v>350285.03524330712</v>
      </c>
      <c r="BP2283" s="866"/>
      <c r="BQ2283" s="866"/>
      <c r="BR2283" s="866">
        <f>VLOOKUP(BD2283,$BD$4:$BN$12824,6,0)*BE2283</f>
        <v>161956.45272495775</v>
      </c>
      <c r="BS2283" s="866">
        <f>VLOOKUP(BD2283,$BD$4:$BN$12824,7,0)*BE2283</f>
        <v>27158.684997099368</v>
      </c>
      <c r="BT2283" s="866"/>
      <c r="BU2283" s="866">
        <f>VLOOKUP(BD2283,$BD$4:$BN$12824,9,0)*BE2283</f>
        <v>4463.179743849576</v>
      </c>
      <c r="BV2283" s="867"/>
      <c r="BW2283" s="867">
        <f>VLOOKUP(BD2283,$BD$4:$BN$12824,11,0)*BE2283</f>
        <v>33641.243474796793</v>
      </c>
      <c r="BX2283" s="1146">
        <f t="shared" si="479"/>
        <v>577504.5961840105</v>
      </c>
      <c r="BY2283" s="867">
        <f t="shared" si="480"/>
        <v>27706676.251584012</v>
      </c>
      <c r="BZ2283" s="867">
        <f t="shared" si="481"/>
        <v>27706676.251584012</v>
      </c>
      <c r="CA2283" s="867">
        <f>_xlfn.MAXIFS($BY$4:$BY$12824,$S$4:$S$12824,$S2283)</f>
        <v>27706676.251584012</v>
      </c>
      <c r="CB2283" s="1032"/>
    </row>
    <row r="2284" spans="2:80">
      <c r="B2284" s="839" t="s">
        <v>98</v>
      </c>
      <c r="C2284" s="839" t="s">
        <v>7454</v>
      </c>
      <c r="D2284" s="839" t="s">
        <v>7455</v>
      </c>
      <c r="E2284" s="839" t="s">
        <v>7455</v>
      </c>
      <c r="F2284" s="841">
        <v>46056</v>
      </c>
      <c r="G2284" s="839" t="s">
        <v>7454</v>
      </c>
      <c r="H2284" s="883" t="s">
        <v>3457</v>
      </c>
      <c r="I2284" s="883"/>
      <c r="J2284" s="841"/>
      <c r="K2284" s="841"/>
      <c r="L2284" s="843" t="s">
        <v>7456</v>
      </c>
      <c r="M2284" s="844" t="s">
        <v>107</v>
      </c>
      <c r="N2284" s="841"/>
      <c r="O2284" s="884"/>
      <c r="P2284" s="842"/>
      <c r="Q2284" s="843"/>
      <c r="R2284" s="845" t="s">
        <v>7547</v>
      </c>
      <c r="S2284" s="1127" t="s">
        <v>7548</v>
      </c>
      <c r="T2284" s="843" t="s">
        <v>7549</v>
      </c>
      <c r="U2284" s="886">
        <v>6</v>
      </c>
      <c r="V2284" s="842" t="s">
        <v>3</v>
      </c>
      <c r="W2284" s="846">
        <v>1308</v>
      </c>
      <c r="X2284" s="847">
        <f t="shared" si="482"/>
        <v>7848</v>
      </c>
      <c r="Y2284" s="853" t="s">
        <v>7460</v>
      </c>
      <c r="Z2284" s="849">
        <v>910.37</v>
      </c>
      <c r="AA2284" s="849"/>
      <c r="AB2284" s="849">
        <f t="shared" si="477"/>
        <v>5462.22</v>
      </c>
      <c r="AC2284" s="850">
        <f t="shared" si="478"/>
        <v>5462.22</v>
      </c>
      <c r="AD2284" s="851">
        <v>32000</v>
      </c>
      <c r="AE2284" s="852">
        <v>29845.73</v>
      </c>
      <c r="AF2284" s="853">
        <v>0</v>
      </c>
      <c r="AG2284" s="854">
        <f t="shared" si="472"/>
        <v>0</v>
      </c>
      <c r="AH2284" s="853">
        <v>0.08</v>
      </c>
      <c r="AI2284" s="855">
        <f t="shared" si="473"/>
        <v>13041915.465648001</v>
      </c>
      <c r="AJ2284" s="845" t="s">
        <v>7461</v>
      </c>
      <c r="AK2284" s="857">
        <v>46106</v>
      </c>
      <c r="AL2284" s="843" t="s">
        <v>7462</v>
      </c>
      <c r="AM2284" s="843"/>
      <c r="AN2284" s="844">
        <v>2</v>
      </c>
      <c r="AO2284" s="844" t="s">
        <v>7463</v>
      </c>
      <c r="AP2284" s="841"/>
      <c r="AQ2284" s="842"/>
      <c r="AR2284" s="841">
        <v>46194</v>
      </c>
      <c r="AS2284" s="842" t="s">
        <v>6737</v>
      </c>
      <c r="AT2284" s="842" t="s">
        <v>1187</v>
      </c>
      <c r="AU2284" s="842" t="s">
        <v>1565</v>
      </c>
      <c r="AV2284" s="843" t="s">
        <v>7464</v>
      </c>
      <c r="AW2284" s="861">
        <v>46198</v>
      </c>
      <c r="AX2284" s="862">
        <v>46199</v>
      </c>
      <c r="AY2284" s="843" t="s">
        <v>7550</v>
      </c>
      <c r="AZ2284" s="842" t="s">
        <v>3200</v>
      </c>
      <c r="BA2284" s="842" t="s">
        <v>120</v>
      </c>
      <c r="BB2284" s="863" t="s">
        <v>121</v>
      </c>
      <c r="BC2284" s="864">
        <v>46202</v>
      </c>
      <c r="BD2284" s="860" t="s">
        <v>7466</v>
      </c>
      <c r="BE2284" s="865" cm="1">
        <f t="array" ref="BE2284">IF(BD2284="","",AC2284/SUMPRODUCT(--(BD2284=$BD$4:$BD$12824),$AC$4:$AC$12824))</f>
        <v>3.3949403379737689E-2</v>
      </c>
      <c r="BF2284" s="458"/>
      <c r="BG2284" s="458"/>
      <c r="BH2284" s="458"/>
      <c r="BI2284" s="458"/>
      <c r="BJ2284" s="458"/>
      <c r="BK2284" s="458"/>
      <c r="BL2284" s="458"/>
      <c r="BM2284" s="458"/>
      <c r="BN2284" s="458"/>
      <c r="BO2284" s="866">
        <f>VLOOKUP(BD2284,$BD$4:$BN$12824,3,0)*BE2284</f>
        <v>2104924.1184698204</v>
      </c>
      <c r="BP2284" s="866"/>
      <c r="BQ2284" s="866"/>
      <c r="BR2284" s="866">
        <f>VLOOKUP(BD2284,$BD$4:$BN$12824,6,0)*BE2284</f>
        <v>973224.68613535922</v>
      </c>
      <c r="BS2284" s="866">
        <f>VLOOKUP(BD2284,$BD$4:$BN$12824,7,0)*BE2284</f>
        <v>163201.29415922915</v>
      </c>
      <c r="BT2284" s="866"/>
      <c r="BU2284" s="866">
        <f>VLOOKUP(BD2284,$BD$4:$BN$12824,9,0)*BE2284</f>
        <v>26820.028669992775</v>
      </c>
      <c r="BV2284" s="867"/>
      <c r="BW2284" s="867">
        <f>VLOOKUP(BD2284,$BD$4:$BN$12824,11,0)*BE2284</f>
        <v>202156.12327323432</v>
      </c>
      <c r="BX2284" s="1146">
        <f t="shared" si="479"/>
        <v>3470326.2507076357</v>
      </c>
      <c r="BY2284" s="867">
        <f t="shared" si="480"/>
        <v>27749044.928551272</v>
      </c>
      <c r="BZ2284" s="867">
        <f t="shared" si="481"/>
        <v>166494269.57130763</v>
      </c>
      <c r="CA2284" s="867">
        <f>_xlfn.MAXIFS($BY$4:$BY$12824,$S$4:$S$12824,$S2284)</f>
        <v>27749044.928551272</v>
      </c>
      <c r="CB2284" s="1032"/>
    </row>
    <row r="2285" spans="2:80">
      <c r="B2285" s="839" t="s">
        <v>98</v>
      </c>
      <c r="C2285" s="839" t="s">
        <v>7454</v>
      </c>
      <c r="D2285" s="839" t="s">
        <v>7455</v>
      </c>
      <c r="E2285" s="839" t="s">
        <v>7455</v>
      </c>
      <c r="F2285" s="841">
        <v>46056</v>
      </c>
      <c r="G2285" s="839" t="s">
        <v>7454</v>
      </c>
      <c r="H2285" s="883" t="s">
        <v>3457</v>
      </c>
      <c r="I2285" s="883"/>
      <c r="J2285" s="841"/>
      <c r="K2285" s="841"/>
      <c r="L2285" s="843" t="s">
        <v>7456</v>
      </c>
      <c r="M2285" s="844" t="s">
        <v>107</v>
      </c>
      <c r="N2285" s="841"/>
      <c r="O2285" s="884"/>
      <c r="P2285" s="842"/>
      <c r="Q2285" s="843"/>
      <c r="R2285" s="845" t="s">
        <v>7551</v>
      </c>
      <c r="S2285" s="1127" t="s">
        <v>7552</v>
      </c>
      <c r="T2285" s="843" t="s">
        <v>7553</v>
      </c>
      <c r="U2285" s="886">
        <v>1</v>
      </c>
      <c r="V2285" s="842" t="s">
        <v>3</v>
      </c>
      <c r="W2285" s="846">
        <v>15522</v>
      </c>
      <c r="X2285" s="847">
        <f t="shared" si="482"/>
        <v>15522</v>
      </c>
      <c r="Y2285" s="853" t="s">
        <v>7460</v>
      </c>
      <c r="Z2285" s="849">
        <v>10803.31</v>
      </c>
      <c r="AA2285" s="849"/>
      <c r="AB2285" s="849">
        <f t="shared" si="477"/>
        <v>10803.31</v>
      </c>
      <c r="AC2285" s="850">
        <f t="shared" si="478"/>
        <v>10803.31</v>
      </c>
      <c r="AD2285" s="851">
        <v>32000</v>
      </c>
      <c r="AE2285" s="852">
        <v>29845.73</v>
      </c>
      <c r="AF2285" s="853">
        <v>0</v>
      </c>
      <c r="AG2285" s="854">
        <f t="shared" si="472"/>
        <v>0</v>
      </c>
      <c r="AH2285" s="853">
        <v>0.08</v>
      </c>
      <c r="AI2285" s="855">
        <f t="shared" si="473"/>
        <v>25794613.869304001</v>
      </c>
      <c r="AJ2285" s="845" t="s">
        <v>7461</v>
      </c>
      <c r="AK2285" s="857">
        <v>46106</v>
      </c>
      <c r="AL2285" s="843" t="s">
        <v>7462</v>
      </c>
      <c r="AM2285" s="843"/>
      <c r="AN2285" s="844">
        <v>2</v>
      </c>
      <c r="AO2285" s="844" t="s">
        <v>7463</v>
      </c>
      <c r="AP2285" s="841"/>
      <c r="AQ2285" s="842"/>
      <c r="AR2285" s="841">
        <v>46194</v>
      </c>
      <c r="AS2285" s="842" t="s">
        <v>6737</v>
      </c>
      <c r="AT2285" s="842" t="s">
        <v>1187</v>
      </c>
      <c r="AU2285" s="842" t="s">
        <v>1565</v>
      </c>
      <c r="AV2285" s="843" t="s">
        <v>7464</v>
      </c>
      <c r="AW2285" s="861">
        <v>46198</v>
      </c>
      <c r="AX2285" s="862">
        <v>46199</v>
      </c>
      <c r="AY2285" s="843" t="s">
        <v>7554</v>
      </c>
      <c r="AZ2285" s="842" t="s">
        <v>3183</v>
      </c>
      <c r="BA2285" s="842" t="s">
        <v>120</v>
      </c>
      <c r="BB2285" s="863" t="s">
        <v>121</v>
      </c>
      <c r="BC2285" s="864">
        <v>46202</v>
      </c>
      <c r="BD2285" s="860" t="s">
        <v>7466</v>
      </c>
      <c r="BE2285" s="865" cm="1">
        <f t="array" ref="BE2285">IF(BD2285="","",AC2285/SUMPRODUCT(--(BD2285=$BD$4:$BD$12824),$AC$4:$AC$12824))</f>
        <v>6.7145945975510671E-2</v>
      </c>
      <c r="BF2285" s="458"/>
      <c r="BG2285" s="458"/>
      <c r="BH2285" s="458"/>
      <c r="BI2285" s="458"/>
      <c r="BJ2285" s="458"/>
      <c r="BK2285" s="458"/>
      <c r="BL2285" s="458"/>
      <c r="BM2285" s="458"/>
      <c r="BN2285" s="458"/>
      <c r="BO2285" s="866">
        <f>VLOOKUP(BD2285,$BD$4:$BN$12824,3,0)*BE2285</f>
        <v>4163169.5131844175</v>
      </c>
      <c r="BP2285" s="866"/>
      <c r="BQ2285" s="866"/>
      <c r="BR2285" s="866">
        <f>VLOOKUP(BD2285,$BD$4:$BN$12824,6,0)*BE2285</f>
        <v>1924867.1756122941</v>
      </c>
      <c r="BS2285" s="866">
        <f>VLOOKUP(BD2285,$BD$4:$BN$12824,7,0)*BE2285</f>
        <v>322783.4421175532</v>
      </c>
      <c r="BT2285" s="866"/>
      <c r="BU2285" s="866">
        <f>VLOOKUP(BD2285,$BD$4:$BN$12824,9,0)*BE2285</f>
        <v>53045.29732065343</v>
      </c>
      <c r="BV2285" s="867"/>
      <c r="BW2285" s="867">
        <f>VLOOKUP(BD2285,$BD$4:$BN$12824,11,0)*BE2285</f>
        <v>399829.23941528623</v>
      </c>
      <c r="BX2285" s="1146">
        <f t="shared" si="479"/>
        <v>6863694.6676502051</v>
      </c>
      <c r="BY2285" s="867">
        <f t="shared" si="480"/>
        <v>329296368.03395021</v>
      </c>
      <c r="BZ2285" s="867">
        <f t="shared" si="481"/>
        <v>329296368.03395021</v>
      </c>
      <c r="CA2285" s="867">
        <f>_xlfn.MAXIFS($BY$4:$BY$12824,$S$4:$S$12824,$S2285)</f>
        <v>329296368.03395021</v>
      </c>
      <c r="CB2285" s="1032"/>
    </row>
    <row r="2286" spans="2:80">
      <c r="B2286" s="839" t="s">
        <v>98</v>
      </c>
      <c r="C2286" s="839" t="s">
        <v>7454</v>
      </c>
      <c r="D2286" s="839" t="s">
        <v>7455</v>
      </c>
      <c r="E2286" s="839" t="s">
        <v>7455</v>
      </c>
      <c r="F2286" s="841">
        <v>46056</v>
      </c>
      <c r="G2286" s="839" t="s">
        <v>7454</v>
      </c>
      <c r="H2286" s="883" t="s">
        <v>3457</v>
      </c>
      <c r="I2286" s="883"/>
      <c r="J2286" s="841"/>
      <c r="K2286" s="841"/>
      <c r="L2286" s="843" t="s">
        <v>7456</v>
      </c>
      <c r="M2286" s="844" t="s">
        <v>107</v>
      </c>
      <c r="N2286" s="841"/>
      <c r="O2286" s="884"/>
      <c r="P2286" s="842"/>
      <c r="Q2286" s="843"/>
      <c r="R2286" s="845" t="s">
        <v>7555</v>
      </c>
      <c r="S2286" s="1127" t="s">
        <v>7556</v>
      </c>
      <c r="T2286" s="843" t="s">
        <v>7557</v>
      </c>
      <c r="U2286" s="886">
        <v>1</v>
      </c>
      <c r="V2286" s="842" t="s">
        <v>3</v>
      </c>
      <c r="W2286" s="846">
        <v>1032</v>
      </c>
      <c r="X2286" s="847">
        <f t="shared" si="482"/>
        <v>1032</v>
      </c>
      <c r="Y2286" s="853" t="s">
        <v>7460</v>
      </c>
      <c r="Z2286" s="849">
        <v>718.27</v>
      </c>
      <c r="AA2286" s="849"/>
      <c r="AB2286" s="849">
        <f t="shared" si="477"/>
        <v>718.27</v>
      </c>
      <c r="AC2286" s="850">
        <f t="shared" si="478"/>
        <v>718.27</v>
      </c>
      <c r="AD2286" s="851">
        <v>32000</v>
      </c>
      <c r="AE2286" s="852">
        <v>29845.73</v>
      </c>
      <c r="AF2286" s="853">
        <v>0</v>
      </c>
      <c r="AG2286" s="854">
        <f t="shared" si="472"/>
        <v>0</v>
      </c>
      <c r="AH2286" s="853">
        <v>0.08</v>
      </c>
      <c r="AI2286" s="855">
        <f t="shared" si="473"/>
        <v>1714983.398968</v>
      </c>
      <c r="AJ2286" s="845" t="s">
        <v>7461</v>
      </c>
      <c r="AK2286" s="857">
        <v>46106</v>
      </c>
      <c r="AL2286" s="843" t="s">
        <v>7462</v>
      </c>
      <c r="AM2286" s="843"/>
      <c r="AN2286" s="844">
        <v>2</v>
      </c>
      <c r="AO2286" s="844" t="s">
        <v>7463</v>
      </c>
      <c r="AP2286" s="841"/>
      <c r="AQ2286" s="842"/>
      <c r="AR2286" s="841">
        <v>46194</v>
      </c>
      <c r="AS2286" s="842" t="s">
        <v>6737</v>
      </c>
      <c r="AT2286" s="842" t="s">
        <v>1187</v>
      </c>
      <c r="AU2286" s="842" t="s">
        <v>1565</v>
      </c>
      <c r="AV2286" s="843" t="s">
        <v>7464</v>
      </c>
      <c r="AW2286" s="861">
        <v>46198</v>
      </c>
      <c r="AX2286" s="862">
        <v>46199</v>
      </c>
      <c r="AY2286" s="843" t="s">
        <v>7558</v>
      </c>
      <c r="AZ2286" s="842" t="s">
        <v>4269</v>
      </c>
      <c r="BA2286" s="842" t="s">
        <v>120</v>
      </c>
      <c r="BB2286" s="863" t="s">
        <v>121</v>
      </c>
      <c r="BC2286" s="864">
        <v>46202</v>
      </c>
      <c r="BD2286" s="860" t="s">
        <v>7466</v>
      </c>
      <c r="BE2286" s="865" cm="1">
        <f t="array" ref="BE2286">IF(BD2286="","",AC2286/SUMPRODUCT(--(BD2286=$BD$4:$BD$12824),$AC$4:$AC$12824))</f>
        <v>4.4642723957592674E-3</v>
      </c>
      <c r="BF2286" s="458"/>
      <c r="BG2286" s="458"/>
      <c r="BH2286" s="458"/>
      <c r="BI2286" s="458"/>
      <c r="BJ2286" s="458"/>
      <c r="BK2286" s="458"/>
      <c r="BL2286" s="458"/>
      <c r="BM2286" s="458"/>
      <c r="BN2286" s="458"/>
      <c r="BO2286" s="866">
        <f>VLOOKUP(BD2286,$BD$4:$BN$12824,3,0)*BE2286</f>
        <v>276792.92422738695</v>
      </c>
      <c r="BP2286" s="866"/>
      <c r="BQ2286" s="866"/>
      <c r="BR2286" s="866">
        <f>VLOOKUP(BD2286,$BD$4:$BN$12824,6,0)*BE2286</f>
        <v>127976.92061294572</v>
      </c>
      <c r="BS2286" s="866">
        <f>VLOOKUP(BD2286,$BD$4:$BN$12824,7,0)*BE2286</f>
        <v>21460.613735028892</v>
      </c>
      <c r="BT2286" s="866"/>
      <c r="BU2286" s="866">
        <f>VLOOKUP(BD2286,$BD$4:$BN$12824,9,0)*BE2286</f>
        <v>3526.7751926498213</v>
      </c>
      <c r="BV2286" s="867"/>
      <c r="BW2286" s="867">
        <f>VLOOKUP(BD2286,$BD$4:$BN$12824,11,0)*BE2286</f>
        <v>26583.088682525788</v>
      </c>
      <c r="BX2286" s="1146">
        <f t="shared" si="479"/>
        <v>456340.32245053712</v>
      </c>
      <c r="BY2286" s="867">
        <f t="shared" si="480"/>
        <v>21893632.809550535</v>
      </c>
      <c r="BZ2286" s="867">
        <f t="shared" si="481"/>
        <v>21893632.809550535</v>
      </c>
      <c r="CA2286" s="867">
        <f>_xlfn.MAXIFS($BY$4:$BY$12824,$S$4:$S$12824,$S2286)</f>
        <v>21893632.809550535</v>
      </c>
      <c r="CB2286" s="1032"/>
    </row>
    <row r="2287" spans="2:80">
      <c r="B2287" s="839" t="s">
        <v>98</v>
      </c>
      <c r="C2287" s="839" t="s">
        <v>7454</v>
      </c>
      <c r="D2287" s="839" t="s">
        <v>7455</v>
      </c>
      <c r="E2287" s="839" t="s">
        <v>7455</v>
      </c>
      <c r="F2287" s="841">
        <v>46056</v>
      </c>
      <c r="G2287" s="839" t="s">
        <v>7454</v>
      </c>
      <c r="H2287" s="883" t="s">
        <v>3457</v>
      </c>
      <c r="I2287" s="883"/>
      <c r="J2287" s="841"/>
      <c r="K2287" s="841"/>
      <c r="L2287" s="843" t="s">
        <v>7456</v>
      </c>
      <c r="M2287" s="844" t="s">
        <v>107</v>
      </c>
      <c r="N2287" s="841"/>
      <c r="O2287" s="884"/>
      <c r="P2287" s="842"/>
      <c r="Q2287" s="843"/>
      <c r="R2287" s="845" t="s">
        <v>7559</v>
      </c>
      <c r="S2287" s="1127" t="s">
        <v>7560</v>
      </c>
      <c r="T2287" s="843" t="s">
        <v>7561</v>
      </c>
      <c r="U2287" s="886">
        <v>2</v>
      </c>
      <c r="V2287" s="842" t="s">
        <v>3</v>
      </c>
      <c r="W2287" s="846">
        <v>955</v>
      </c>
      <c r="X2287" s="847">
        <f t="shared" si="482"/>
        <v>1910</v>
      </c>
      <c r="Y2287" s="853" t="s">
        <v>7460</v>
      </c>
      <c r="Z2287" s="849">
        <v>664.68</v>
      </c>
      <c r="AA2287" s="849"/>
      <c r="AB2287" s="849">
        <f t="shared" si="477"/>
        <v>1329.36</v>
      </c>
      <c r="AC2287" s="850">
        <f t="shared" si="478"/>
        <v>1329.36</v>
      </c>
      <c r="AD2287" s="851">
        <v>32000</v>
      </c>
      <c r="AE2287" s="852">
        <v>29845.73</v>
      </c>
      <c r="AF2287" s="853">
        <v>0</v>
      </c>
      <c r="AG2287" s="854">
        <f t="shared" si="472"/>
        <v>0</v>
      </c>
      <c r="AH2287" s="853">
        <v>0.08</v>
      </c>
      <c r="AI2287" s="855">
        <f t="shared" si="473"/>
        <v>3174057.5706239999</v>
      </c>
      <c r="AJ2287" s="845" t="s">
        <v>7461</v>
      </c>
      <c r="AK2287" s="857">
        <v>46106</v>
      </c>
      <c r="AL2287" s="843" t="s">
        <v>7462</v>
      </c>
      <c r="AM2287" s="843"/>
      <c r="AN2287" s="844">
        <v>2</v>
      </c>
      <c r="AO2287" s="844" t="s">
        <v>7463</v>
      </c>
      <c r="AP2287" s="841"/>
      <c r="AQ2287" s="842"/>
      <c r="AR2287" s="841">
        <v>46194</v>
      </c>
      <c r="AS2287" s="842" t="s">
        <v>6737</v>
      </c>
      <c r="AT2287" s="842" t="s">
        <v>1187</v>
      </c>
      <c r="AU2287" s="842" t="s">
        <v>1565</v>
      </c>
      <c r="AV2287" s="843" t="s">
        <v>7464</v>
      </c>
      <c r="AW2287" s="861">
        <v>46198</v>
      </c>
      <c r="AX2287" s="862">
        <v>46199</v>
      </c>
      <c r="AY2287" s="843" t="s">
        <v>7562</v>
      </c>
      <c r="AZ2287" s="842" t="s">
        <v>4269</v>
      </c>
      <c r="BA2287" s="842" t="s">
        <v>120</v>
      </c>
      <c r="BB2287" s="863" t="s">
        <v>121</v>
      </c>
      <c r="BC2287" s="864">
        <v>46202</v>
      </c>
      <c r="BD2287" s="860" t="s">
        <v>7466</v>
      </c>
      <c r="BE2287" s="865" cm="1">
        <f t="array" ref="BE2287">IF(BD2287="","",AC2287/SUMPRODUCT(--(BD2287=$BD$4:$BD$12824),$AC$4:$AC$12824))</f>
        <v>8.2623876147222344E-3</v>
      </c>
      <c r="BF2287" s="458"/>
      <c r="BG2287" s="458"/>
      <c r="BH2287" s="458"/>
      <c r="BI2287" s="458"/>
      <c r="BJ2287" s="458"/>
      <c r="BK2287" s="458"/>
      <c r="BL2287" s="458"/>
      <c r="BM2287" s="458"/>
      <c r="BN2287" s="458"/>
      <c r="BO2287" s="866">
        <f>VLOOKUP(BD2287,$BD$4:$BN$12824,3,0)*BE2287</f>
        <v>512282.90441048506</v>
      </c>
      <c r="BP2287" s="866"/>
      <c r="BQ2287" s="866"/>
      <c r="BR2287" s="866">
        <f>VLOOKUP(BD2287,$BD$4:$BN$12824,6,0)*BE2287</f>
        <v>236857.16956858215</v>
      </c>
      <c r="BS2287" s="866">
        <f>VLOOKUP(BD2287,$BD$4:$BN$12824,7,0)*BE2287</f>
        <v>39718.882140139511</v>
      </c>
      <c r="BT2287" s="866"/>
      <c r="BU2287" s="866">
        <f>VLOOKUP(BD2287,$BD$4:$BN$12824,9,0)*BE2287</f>
        <v>6527.2862156305655</v>
      </c>
      <c r="BV2287" s="867"/>
      <c r="BW2287" s="867">
        <f>VLOOKUP(BD2287,$BD$4:$BN$12824,11,0)*BE2287</f>
        <v>49199.4581021099</v>
      </c>
      <c r="BX2287" s="1146">
        <f t="shared" si="479"/>
        <v>844585.70043694717</v>
      </c>
      <c r="BY2287" s="867">
        <f t="shared" si="480"/>
        <v>20260152.666618474</v>
      </c>
      <c r="BZ2287" s="867">
        <f t="shared" si="481"/>
        <v>40520305.333236948</v>
      </c>
      <c r="CA2287" s="867">
        <f>_xlfn.MAXIFS($BY$4:$BY$12824,$S$4:$S$12824,$S2287)</f>
        <v>20260152.666618474</v>
      </c>
      <c r="CB2287" s="1032"/>
    </row>
    <row r="2288" spans="2:80">
      <c r="B2288" s="839" t="s">
        <v>98</v>
      </c>
      <c r="C2288" s="839" t="s">
        <v>7454</v>
      </c>
      <c r="D2288" s="839" t="s">
        <v>7455</v>
      </c>
      <c r="E2288" s="839" t="s">
        <v>7455</v>
      </c>
      <c r="F2288" s="841">
        <v>46056</v>
      </c>
      <c r="G2288" s="839" t="s">
        <v>7454</v>
      </c>
      <c r="H2288" s="883" t="s">
        <v>3457</v>
      </c>
      <c r="I2288" s="883"/>
      <c r="J2288" s="841"/>
      <c r="K2288" s="841"/>
      <c r="L2288" s="843" t="s">
        <v>7456</v>
      </c>
      <c r="M2288" s="844" t="s">
        <v>107</v>
      </c>
      <c r="N2288" s="841"/>
      <c r="O2288" s="884"/>
      <c r="P2288" s="842"/>
      <c r="Q2288" s="843"/>
      <c r="R2288" s="845" t="s">
        <v>7487</v>
      </c>
      <c r="S2288" s="1127" t="s">
        <v>7563</v>
      </c>
      <c r="T2288" s="843" t="s">
        <v>7564</v>
      </c>
      <c r="U2288" s="886">
        <v>1</v>
      </c>
      <c r="V2288" s="842" t="s">
        <v>3</v>
      </c>
      <c r="W2288" s="846">
        <v>830</v>
      </c>
      <c r="X2288" s="847">
        <f t="shared" si="482"/>
        <v>830</v>
      </c>
      <c r="Y2288" s="853" t="s">
        <v>7460</v>
      </c>
      <c r="Z2288" s="849">
        <v>577.67999999999995</v>
      </c>
      <c r="AA2288" s="849"/>
      <c r="AB2288" s="849">
        <f t="shared" si="477"/>
        <v>577.67999999999995</v>
      </c>
      <c r="AC2288" s="850">
        <f t="shared" si="478"/>
        <v>577.67999999999995</v>
      </c>
      <c r="AD2288" s="851">
        <v>32000</v>
      </c>
      <c r="AE2288" s="852">
        <v>29845.73</v>
      </c>
      <c r="AF2288" s="853">
        <v>0</v>
      </c>
      <c r="AG2288" s="854">
        <f t="shared" si="472"/>
        <v>0</v>
      </c>
      <c r="AH2288" s="853">
        <v>0.08</v>
      </c>
      <c r="AI2288" s="855">
        <f t="shared" si="473"/>
        <v>1379302.5045119999</v>
      </c>
      <c r="AJ2288" s="845" t="s">
        <v>7461</v>
      </c>
      <c r="AK2288" s="857">
        <v>46106</v>
      </c>
      <c r="AL2288" s="843" t="s">
        <v>7462</v>
      </c>
      <c r="AM2288" s="843"/>
      <c r="AN2288" s="844">
        <v>2</v>
      </c>
      <c r="AO2288" s="844" t="s">
        <v>7463</v>
      </c>
      <c r="AP2288" s="841"/>
      <c r="AQ2288" s="842"/>
      <c r="AR2288" s="841">
        <v>46194</v>
      </c>
      <c r="AS2288" s="842" t="s">
        <v>6737</v>
      </c>
      <c r="AT2288" s="842" t="s">
        <v>1187</v>
      </c>
      <c r="AU2288" s="842" t="s">
        <v>1565</v>
      </c>
      <c r="AV2288" s="843" t="s">
        <v>7464</v>
      </c>
      <c r="AW2288" s="861">
        <v>46198</v>
      </c>
      <c r="AX2288" s="862">
        <v>46199</v>
      </c>
      <c r="AY2288" s="843" t="s">
        <v>7565</v>
      </c>
      <c r="AZ2288" s="842" t="s">
        <v>2939</v>
      </c>
      <c r="BA2288" s="842" t="s">
        <v>120</v>
      </c>
      <c r="BB2288" s="863" t="s">
        <v>121</v>
      </c>
      <c r="BC2288" s="864">
        <v>46202</v>
      </c>
      <c r="BD2288" s="860" t="s">
        <v>7466</v>
      </c>
      <c r="BE2288" s="865" cm="1">
        <f t="array" ref="BE2288">IF(BD2288="","",AC2288/SUMPRODUCT(--(BD2288=$BD$4:$BD$12824),$AC$4:$AC$12824))</f>
        <v>3.5904616336227511E-3</v>
      </c>
      <c r="BF2288" s="458"/>
      <c r="BG2288" s="458"/>
      <c r="BH2288" s="458"/>
      <c r="BI2288" s="458"/>
      <c r="BJ2288" s="458"/>
      <c r="BK2288" s="458"/>
      <c r="BL2288" s="458"/>
      <c r="BM2288" s="458"/>
      <c r="BN2288" s="458"/>
      <c r="BO2288" s="866">
        <f>VLOOKUP(BD2288,$BD$4:$BN$12824,3,0)*BE2288</f>
        <v>222615.08411555109</v>
      </c>
      <c r="BP2288" s="866"/>
      <c r="BQ2288" s="866"/>
      <c r="BR2288" s="866">
        <f>VLOOKUP(BD2288,$BD$4:$BN$12824,6,0)*BE2288</f>
        <v>102927.46112142575</v>
      </c>
      <c r="BS2288" s="866">
        <f>VLOOKUP(BD2288,$BD$4:$BN$12824,7,0)*BE2288</f>
        <v>17260.037788647012</v>
      </c>
      <c r="BT2288" s="866"/>
      <c r="BU2288" s="866">
        <f>VLOOKUP(BD2288,$BD$4:$BN$12824,9,0)*BE2288</f>
        <v>2836.4646905619734</v>
      </c>
      <c r="BV2288" s="867"/>
      <c r="BW2288" s="867">
        <f>VLOOKUP(BD2288,$BD$4:$BN$12824,11,0)*BE2288</f>
        <v>21379.869227618437</v>
      </c>
      <c r="BX2288" s="1146">
        <f t="shared" si="479"/>
        <v>367018.91694380424</v>
      </c>
      <c r="BY2288" s="867">
        <f t="shared" si="480"/>
        <v>17608300.223343801</v>
      </c>
      <c r="BZ2288" s="867">
        <f t="shared" si="481"/>
        <v>17608300.223343801</v>
      </c>
      <c r="CA2288" s="867">
        <f>_xlfn.MAXIFS($BY$4:$BY$12824,$S$4:$S$12824,$S2288)</f>
        <v>17608300.223343801</v>
      </c>
      <c r="CB2288" s="1032"/>
    </row>
    <row r="2289" spans="2:80">
      <c r="B2289" s="839" t="s">
        <v>98</v>
      </c>
      <c r="C2289" s="839" t="s">
        <v>7454</v>
      </c>
      <c r="D2289" s="839" t="s">
        <v>7455</v>
      </c>
      <c r="E2289" s="839" t="s">
        <v>7455</v>
      </c>
      <c r="F2289" s="841">
        <v>46056</v>
      </c>
      <c r="G2289" s="839" t="s">
        <v>7454</v>
      </c>
      <c r="H2289" s="883" t="s">
        <v>3457</v>
      </c>
      <c r="I2289" s="883"/>
      <c r="J2289" s="841"/>
      <c r="K2289" s="841"/>
      <c r="L2289" s="843" t="s">
        <v>7456</v>
      </c>
      <c r="M2289" s="844" t="s">
        <v>107</v>
      </c>
      <c r="N2289" s="841"/>
      <c r="O2289" s="884"/>
      <c r="P2289" s="842"/>
      <c r="Q2289" s="843"/>
      <c r="R2289" s="845" t="s">
        <v>7566</v>
      </c>
      <c r="S2289" s="1127" t="s">
        <v>7567</v>
      </c>
      <c r="T2289" s="843" t="s">
        <v>7568</v>
      </c>
      <c r="U2289" s="886">
        <v>1</v>
      </c>
      <c r="V2289" s="842" t="s">
        <v>3</v>
      </c>
      <c r="W2289" s="846">
        <v>2056</v>
      </c>
      <c r="X2289" s="847">
        <f t="shared" si="482"/>
        <v>2056</v>
      </c>
      <c r="Y2289" s="853" t="s">
        <v>7460</v>
      </c>
      <c r="Z2289" s="849">
        <v>1430.98</v>
      </c>
      <c r="AA2289" s="849"/>
      <c r="AB2289" s="849">
        <f t="shared" si="477"/>
        <v>1430.98</v>
      </c>
      <c r="AC2289" s="850">
        <f t="shared" si="478"/>
        <v>1430.98</v>
      </c>
      <c r="AD2289" s="851">
        <v>32000</v>
      </c>
      <c r="AE2289" s="852">
        <v>29845.73</v>
      </c>
      <c r="AF2289" s="853">
        <v>0</v>
      </c>
      <c r="AG2289" s="854">
        <f t="shared" si="472"/>
        <v>0</v>
      </c>
      <c r="AH2289" s="853">
        <v>0.08</v>
      </c>
      <c r="AI2289" s="855">
        <f t="shared" si="473"/>
        <v>3416691.4172320003</v>
      </c>
      <c r="AJ2289" s="845" t="s">
        <v>7461</v>
      </c>
      <c r="AK2289" s="857">
        <v>46106</v>
      </c>
      <c r="AL2289" s="843" t="s">
        <v>7462</v>
      </c>
      <c r="AM2289" s="843"/>
      <c r="AN2289" s="844">
        <v>2</v>
      </c>
      <c r="AO2289" s="844" t="s">
        <v>7463</v>
      </c>
      <c r="AP2289" s="841"/>
      <c r="AQ2289" s="842"/>
      <c r="AR2289" s="841">
        <v>46194</v>
      </c>
      <c r="AS2289" s="842" t="s">
        <v>6737</v>
      </c>
      <c r="AT2289" s="842" t="s">
        <v>1187</v>
      </c>
      <c r="AU2289" s="842" t="s">
        <v>1565</v>
      </c>
      <c r="AV2289" s="843" t="s">
        <v>7464</v>
      </c>
      <c r="AW2289" s="861">
        <v>46198</v>
      </c>
      <c r="AX2289" s="862">
        <v>46199</v>
      </c>
      <c r="AY2289" s="843" t="s">
        <v>7569</v>
      </c>
      <c r="AZ2289" s="842" t="s">
        <v>3183</v>
      </c>
      <c r="BA2289" s="842" t="s">
        <v>120</v>
      </c>
      <c r="BB2289" s="863" t="s">
        <v>121</v>
      </c>
      <c r="BC2289" s="864">
        <v>46202</v>
      </c>
      <c r="BD2289" s="860" t="s">
        <v>7466</v>
      </c>
      <c r="BE2289" s="865" cm="1">
        <f t="array" ref="BE2289">IF(BD2289="","",AC2289/SUMPRODUCT(--(BD2289=$BD$4:$BD$12824),$AC$4:$AC$12824))</f>
        <v>8.8939876548980151E-3</v>
      </c>
      <c r="BF2289" s="458"/>
      <c r="BG2289" s="458"/>
      <c r="BH2289" s="458"/>
      <c r="BI2289" s="458"/>
      <c r="BJ2289" s="458"/>
      <c r="BK2289" s="458"/>
      <c r="BL2289" s="458"/>
      <c r="BM2289" s="458"/>
      <c r="BN2289" s="458"/>
      <c r="BO2289" s="866">
        <f>VLOOKUP(BD2289,$BD$4:$BN$12824,3,0)*BE2289</f>
        <v>551443.24378145579</v>
      </c>
      <c r="BP2289" s="866"/>
      <c r="BQ2289" s="866"/>
      <c r="BR2289" s="866">
        <f>VLOOKUP(BD2289,$BD$4:$BN$12824,6,0)*BE2289</f>
        <v>254963.19470214972</v>
      </c>
      <c r="BS2289" s="866">
        <f>VLOOKUP(BD2289,$BD$4:$BN$12824,7,0)*BE2289</f>
        <v>42755.10468563583</v>
      </c>
      <c r="BT2289" s="866"/>
      <c r="BU2289" s="866">
        <f>VLOOKUP(BD2289,$BD$4:$BN$12824,9,0)*BE2289</f>
        <v>7026.2502473694321</v>
      </c>
      <c r="BV2289" s="867"/>
      <c r="BW2289" s="867">
        <f>VLOOKUP(BD2289,$BD$4:$BN$12824,11,0)*BE2289</f>
        <v>52960.402415415869</v>
      </c>
      <c r="BX2289" s="1146">
        <f t="shared" si="479"/>
        <v>909148.19583202666</v>
      </c>
      <c r="BY2289" s="867">
        <f t="shared" si="480"/>
        <v>43617790.911232032</v>
      </c>
      <c r="BZ2289" s="867">
        <f t="shared" si="481"/>
        <v>43617790.911232032</v>
      </c>
      <c r="CA2289" s="867">
        <f>_xlfn.MAXIFS($BY$4:$BY$12824,$S$4:$S$12824,$S2289)</f>
        <v>43617790.911232032</v>
      </c>
      <c r="CB2289" s="1032"/>
    </row>
    <row r="2290" spans="2:80">
      <c r="B2290" s="839" t="s">
        <v>98</v>
      </c>
      <c r="C2290" s="839" t="s">
        <v>7454</v>
      </c>
      <c r="D2290" s="839" t="s">
        <v>7455</v>
      </c>
      <c r="E2290" s="839" t="s">
        <v>7455</v>
      </c>
      <c r="F2290" s="841">
        <v>46056</v>
      </c>
      <c r="G2290" s="839" t="s">
        <v>7454</v>
      </c>
      <c r="H2290" s="883" t="s">
        <v>3457</v>
      </c>
      <c r="I2290" s="883"/>
      <c r="J2290" s="841"/>
      <c r="K2290" s="841"/>
      <c r="L2290" s="843" t="s">
        <v>7456</v>
      </c>
      <c r="M2290" s="844" t="s">
        <v>107</v>
      </c>
      <c r="N2290" s="841"/>
      <c r="O2290" s="884"/>
      <c r="P2290" s="842"/>
      <c r="Q2290" s="843"/>
      <c r="R2290" s="845" t="s">
        <v>7570</v>
      </c>
      <c r="S2290" s="1127" t="s">
        <v>7571</v>
      </c>
      <c r="T2290" s="843" t="s">
        <v>7572</v>
      </c>
      <c r="U2290" s="886">
        <v>1</v>
      </c>
      <c r="V2290" s="842" t="s">
        <v>3</v>
      </c>
      <c r="W2290" s="846">
        <v>6035</v>
      </c>
      <c r="X2290" s="847">
        <f t="shared" si="482"/>
        <v>6035</v>
      </c>
      <c r="Y2290" s="853" t="s">
        <v>7460</v>
      </c>
      <c r="Z2290" s="849">
        <v>4200.3599999999997</v>
      </c>
      <c r="AA2290" s="849"/>
      <c r="AB2290" s="849">
        <f t="shared" si="477"/>
        <v>4200.3599999999997</v>
      </c>
      <c r="AC2290" s="850">
        <f t="shared" si="478"/>
        <v>4200.3599999999997</v>
      </c>
      <c r="AD2290" s="851">
        <v>32000</v>
      </c>
      <c r="AE2290" s="852">
        <v>29845.73</v>
      </c>
      <c r="AF2290" s="853">
        <v>0</v>
      </c>
      <c r="AG2290" s="854">
        <f t="shared" si="472"/>
        <v>0</v>
      </c>
      <c r="AH2290" s="853">
        <v>0.08</v>
      </c>
      <c r="AI2290" s="855">
        <f t="shared" si="473"/>
        <v>10029024.837024</v>
      </c>
      <c r="AJ2290" s="845" t="s">
        <v>7461</v>
      </c>
      <c r="AK2290" s="857">
        <v>46106</v>
      </c>
      <c r="AL2290" s="843" t="s">
        <v>7462</v>
      </c>
      <c r="AM2290" s="843"/>
      <c r="AN2290" s="844">
        <v>2</v>
      </c>
      <c r="AO2290" s="844" t="s">
        <v>7463</v>
      </c>
      <c r="AP2290" s="841"/>
      <c r="AQ2290" s="842"/>
      <c r="AR2290" s="841">
        <v>46194</v>
      </c>
      <c r="AS2290" s="842" t="s">
        <v>6737</v>
      </c>
      <c r="AT2290" s="842" t="s">
        <v>1187</v>
      </c>
      <c r="AU2290" s="842" t="s">
        <v>1565</v>
      </c>
      <c r="AV2290" s="843" t="s">
        <v>7464</v>
      </c>
      <c r="AW2290" s="861">
        <v>46198</v>
      </c>
      <c r="AX2290" s="862">
        <v>46199</v>
      </c>
      <c r="AY2290" s="843" t="s">
        <v>7573</v>
      </c>
      <c r="AZ2290" s="842" t="s">
        <v>4269</v>
      </c>
      <c r="BA2290" s="842" t="s">
        <v>120</v>
      </c>
      <c r="BB2290" s="863" t="s">
        <v>121</v>
      </c>
      <c r="BC2290" s="864">
        <v>46202</v>
      </c>
      <c r="BD2290" s="860" t="s">
        <v>7466</v>
      </c>
      <c r="BE2290" s="865" cm="1">
        <f t="array" ref="BE2290">IF(BD2290="","",AC2290/SUMPRODUCT(--(BD2290=$BD$4:$BD$12824),$AC$4:$AC$12824))</f>
        <v>2.6106549348088318E-2</v>
      </c>
      <c r="BF2290" s="458"/>
      <c r="BG2290" s="458"/>
      <c r="BH2290" s="458"/>
      <c r="BI2290" s="458"/>
      <c r="BJ2290" s="458"/>
      <c r="BK2290" s="458"/>
      <c r="BL2290" s="458"/>
      <c r="BM2290" s="458"/>
      <c r="BN2290" s="458"/>
      <c r="BO2290" s="866">
        <f>VLOOKUP(BD2290,$BD$4:$BN$12824,3,0)*BE2290</f>
        <v>1618653.0513703022</v>
      </c>
      <c r="BP2290" s="866"/>
      <c r="BQ2290" s="866"/>
      <c r="BR2290" s="866">
        <f>VLOOKUP(BD2290,$BD$4:$BN$12824,6,0)*BE2290</f>
        <v>748394.25044313783</v>
      </c>
      <c r="BS2290" s="866">
        <f>VLOOKUP(BD2290,$BD$4:$BN$12824,7,0)*BE2290</f>
        <v>125499.19042709003</v>
      </c>
      <c r="BT2290" s="866"/>
      <c r="BU2290" s="866">
        <f>VLOOKUP(BD2290,$BD$4:$BN$12824,9,0)*BE2290</f>
        <v>20624.173984989771</v>
      </c>
      <c r="BV2290" s="867"/>
      <c r="BW2290" s="867">
        <f>VLOOKUP(BD2290,$BD$4:$BN$12824,11,0)*BE2290</f>
        <v>155454.83227551478</v>
      </c>
      <c r="BX2290" s="1146">
        <f t="shared" si="479"/>
        <v>2668625.4985010349</v>
      </c>
      <c r="BY2290" s="867">
        <f t="shared" si="480"/>
        <v>128031435.96130101</v>
      </c>
      <c r="BZ2290" s="867">
        <f t="shared" si="481"/>
        <v>128031435.96130101</v>
      </c>
      <c r="CA2290" s="867">
        <f>_xlfn.MAXIFS($BY$4:$BY$12824,$S$4:$S$12824,$S2290)</f>
        <v>128031435.96130101</v>
      </c>
      <c r="CB2290" s="1032"/>
    </row>
    <row r="2291" spans="2:80">
      <c r="B2291" s="839" t="s">
        <v>98</v>
      </c>
      <c r="C2291" s="839" t="s">
        <v>7454</v>
      </c>
      <c r="D2291" s="839" t="s">
        <v>7455</v>
      </c>
      <c r="E2291" s="839" t="s">
        <v>7455</v>
      </c>
      <c r="F2291" s="841">
        <v>46056</v>
      </c>
      <c r="G2291" s="839" t="s">
        <v>7454</v>
      </c>
      <c r="H2291" s="883" t="s">
        <v>3457</v>
      </c>
      <c r="I2291" s="883"/>
      <c r="J2291" s="841"/>
      <c r="K2291" s="841"/>
      <c r="L2291" s="843" t="s">
        <v>7456</v>
      </c>
      <c r="M2291" s="844" t="s">
        <v>107</v>
      </c>
      <c r="N2291" s="841"/>
      <c r="O2291" s="884"/>
      <c r="P2291" s="842"/>
      <c r="Q2291" s="843"/>
      <c r="R2291" s="845" t="s">
        <v>7574</v>
      </c>
      <c r="S2291" s="1127" t="s">
        <v>7575</v>
      </c>
      <c r="T2291" s="843" t="s">
        <v>7576</v>
      </c>
      <c r="U2291" s="886">
        <v>10</v>
      </c>
      <c r="V2291" s="842" t="s">
        <v>3</v>
      </c>
      <c r="W2291" s="846">
        <v>919</v>
      </c>
      <c r="X2291" s="847">
        <f t="shared" si="482"/>
        <v>9190</v>
      </c>
      <c r="Y2291" s="853" t="s">
        <v>7460</v>
      </c>
      <c r="Z2291" s="849">
        <v>639.62</v>
      </c>
      <c r="AA2291" s="849"/>
      <c r="AB2291" s="849">
        <f t="shared" si="477"/>
        <v>6396.2</v>
      </c>
      <c r="AC2291" s="850">
        <f t="shared" si="478"/>
        <v>6396.2</v>
      </c>
      <c r="AD2291" s="851">
        <v>32000</v>
      </c>
      <c r="AE2291" s="852">
        <v>29845.73</v>
      </c>
      <c r="AF2291" s="853">
        <v>0</v>
      </c>
      <c r="AG2291" s="854">
        <f t="shared" si="472"/>
        <v>0</v>
      </c>
      <c r="AH2291" s="853">
        <v>0.08</v>
      </c>
      <c r="AI2291" s="855">
        <f t="shared" si="473"/>
        <v>15271940.658079999</v>
      </c>
      <c r="AJ2291" s="845" t="s">
        <v>7461</v>
      </c>
      <c r="AK2291" s="857">
        <v>46106</v>
      </c>
      <c r="AL2291" s="843" t="s">
        <v>7462</v>
      </c>
      <c r="AM2291" s="843"/>
      <c r="AN2291" s="844">
        <v>2</v>
      </c>
      <c r="AO2291" s="844" t="s">
        <v>7463</v>
      </c>
      <c r="AP2291" s="841"/>
      <c r="AQ2291" s="842"/>
      <c r="AR2291" s="841">
        <v>46194</v>
      </c>
      <c r="AS2291" s="842" t="s">
        <v>6737</v>
      </c>
      <c r="AT2291" s="842" t="s">
        <v>1187</v>
      </c>
      <c r="AU2291" s="842" t="s">
        <v>1565</v>
      </c>
      <c r="AV2291" s="843" t="s">
        <v>7464</v>
      </c>
      <c r="AW2291" s="861">
        <v>46198</v>
      </c>
      <c r="AX2291" s="862">
        <v>46199</v>
      </c>
      <c r="AY2291" s="843" t="s">
        <v>7577</v>
      </c>
      <c r="AZ2291" s="842" t="s">
        <v>3183</v>
      </c>
      <c r="BA2291" s="842" t="s">
        <v>120</v>
      </c>
      <c r="BB2291" s="863" t="s">
        <v>121</v>
      </c>
      <c r="BC2291" s="864">
        <v>46202</v>
      </c>
      <c r="BD2291" s="860" t="s">
        <v>7466</v>
      </c>
      <c r="BE2291" s="865" cm="1">
        <f t="array" ref="BE2291">IF(BD2291="","",AC2291/SUMPRODUCT(--(BD2291=$BD$4:$BD$12824),$AC$4:$AC$12824))</f>
        <v>3.9754380800751006E-2</v>
      </c>
      <c r="BF2291" s="458"/>
      <c r="BG2291" s="458"/>
      <c r="BH2291" s="458"/>
      <c r="BI2291" s="458"/>
      <c r="BJ2291" s="458"/>
      <c r="BK2291" s="458"/>
      <c r="BL2291" s="458"/>
      <c r="BM2291" s="458"/>
      <c r="BN2291" s="458"/>
      <c r="BO2291" s="866">
        <f>VLOOKUP(BD2291,$BD$4:$BN$12824,3,0)*BE2291</f>
        <v>2464843.167532004</v>
      </c>
      <c r="BP2291" s="866"/>
      <c r="BQ2291" s="866"/>
      <c r="BR2291" s="866">
        <f>VLOOKUP(BD2291,$BD$4:$BN$12824,6,0)*BE2291</f>
        <v>1139635.4847404505</v>
      </c>
      <c r="BS2291" s="866">
        <f>VLOOKUP(BD2291,$BD$4:$BN$12824,7,0)*BE2291</f>
        <v>191106.93412225458</v>
      </c>
      <c r="BT2291" s="866"/>
      <c r="BU2291" s="866">
        <f>VLOOKUP(BD2291,$BD$4:$BN$12824,9,0)*BE2291</f>
        <v>31405.960832593293</v>
      </c>
      <c r="BV2291" s="867"/>
      <c r="BW2291" s="867">
        <f>VLOOKUP(BD2291,$BD$4:$BN$12824,11,0)*BE2291</f>
        <v>236722.61382373123</v>
      </c>
      <c r="BX2291" s="1146">
        <f t="shared" si="479"/>
        <v>4063714.161051034</v>
      </c>
      <c r="BY2291" s="867">
        <f t="shared" si="480"/>
        <v>19496297.238705102</v>
      </c>
      <c r="BZ2291" s="867">
        <f t="shared" si="481"/>
        <v>194962972.38705102</v>
      </c>
      <c r="CA2291" s="867">
        <f>_xlfn.MAXIFS($BY$4:$BY$12824,$S$4:$S$12824,$S2291)</f>
        <v>19496297.238705102</v>
      </c>
      <c r="CB2291" s="1032"/>
    </row>
    <row r="2292" spans="2:80">
      <c r="B2292" s="839" t="s">
        <v>98</v>
      </c>
      <c r="C2292" s="839" t="s">
        <v>7454</v>
      </c>
      <c r="D2292" s="839" t="s">
        <v>7455</v>
      </c>
      <c r="E2292" s="839" t="s">
        <v>7455</v>
      </c>
      <c r="F2292" s="841">
        <v>46056</v>
      </c>
      <c r="G2292" s="839" t="s">
        <v>7454</v>
      </c>
      <c r="H2292" s="883" t="s">
        <v>3457</v>
      </c>
      <c r="I2292" s="883"/>
      <c r="J2292" s="841"/>
      <c r="K2292" s="841"/>
      <c r="L2292" s="843" t="s">
        <v>7456</v>
      </c>
      <c r="M2292" s="844" t="s">
        <v>107</v>
      </c>
      <c r="N2292" s="841"/>
      <c r="O2292" s="884"/>
      <c r="P2292" s="842"/>
      <c r="Q2292" s="843"/>
      <c r="R2292" s="845" t="s">
        <v>7578</v>
      </c>
      <c r="S2292" s="1127" t="s">
        <v>7579</v>
      </c>
      <c r="T2292" s="843" t="s">
        <v>7580</v>
      </c>
      <c r="U2292" s="886">
        <v>1</v>
      </c>
      <c r="V2292" s="842" t="s">
        <v>3</v>
      </c>
      <c r="W2292" s="846">
        <v>8247</v>
      </c>
      <c r="X2292" s="847">
        <f t="shared" si="482"/>
        <v>8247</v>
      </c>
      <c r="Y2292" s="853" t="s">
        <v>7460</v>
      </c>
      <c r="Z2292" s="849">
        <v>5739.91</v>
      </c>
      <c r="AA2292" s="849"/>
      <c r="AB2292" s="849">
        <f t="shared" si="477"/>
        <v>5739.91</v>
      </c>
      <c r="AC2292" s="850">
        <f t="shared" si="478"/>
        <v>5739.91</v>
      </c>
      <c r="AD2292" s="851">
        <v>32000</v>
      </c>
      <c r="AE2292" s="852">
        <v>29845.73</v>
      </c>
      <c r="AF2292" s="853">
        <v>0</v>
      </c>
      <c r="AG2292" s="854">
        <f t="shared" si="472"/>
        <v>0</v>
      </c>
      <c r="AH2292" s="853">
        <v>0.08</v>
      </c>
      <c r="AI2292" s="855">
        <f t="shared" si="473"/>
        <v>13704944.326743999</v>
      </c>
      <c r="AJ2292" s="845" t="s">
        <v>7461</v>
      </c>
      <c r="AK2292" s="857">
        <v>46106</v>
      </c>
      <c r="AL2292" s="843" t="s">
        <v>7462</v>
      </c>
      <c r="AM2292" s="843"/>
      <c r="AN2292" s="844">
        <v>2</v>
      </c>
      <c r="AO2292" s="844" t="s">
        <v>7463</v>
      </c>
      <c r="AP2292" s="841"/>
      <c r="AQ2292" s="842"/>
      <c r="AR2292" s="841">
        <v>46194</v>
      </c>
      <c r="AS2292" s="842" t="s">
        <v>6737</v>
      </c>
      <c r="AT2292" s="842" t="s">
        <v>1187</v>
      </c>
      <c r="AU2292" s="842" t="s">
        <v>1565</v>
      </c>
      <c r="AV2292" s="843" t="s">
        <v>7464</v>
      </c>
      <c r="AW2292" s="861">
        <v>46198</v>
      </c>
      <c r="AX2292" s="862">
        <v>46199</v>
      </c>
      <c r="AY2292" s="843" t="s">
        <v>7581</v>
      </c>
      <c r="AZ2292" s="842" t="s">
        <v>3183</v>
      </c>
      <c r="BA2292" s="842" t="s">
        <v>120</v>
      </c>
      <c r="BB2292" s="863" t="s">
        <v>121</v>
      </c>
      <c r="BC2292" s="864">
        <v>46202</v>
      </c>
      <c r="BD2292" s="860" t="s">
        <v>7466</v>
      </c>
      <c r="BE2292" s="865" cm="1">
        <f t="array" ref="BE2292">IF(BD2292="","",AC2292/SUMPRODUCT(--(BD2292=$BD$4:$BD$12824),$AC$4:$AC$12824))</f>
        <v>3.5675333463937767E-2</v>
      </c>
      <c r="BF2292" s="458"/>
      <c r="BG2292" s="458"/>
      <c r="BH2292" s="458"/>
      <c r="BI2292" s="458"/>
      <c r="BJ2292" s="458"/>
      <c r="BK2292" s="458"/>
      <c r="BL2292" s="458"/>
      <c r="BM2292" s="458"/>
      <c r="BN2292" s="458"/>
      <c r="BO2292" s="866">
        <f>VLOOKUP(BD2292,$BD$4:$BN$12824,3,0)*BE2292</f>
        <v>2211934.8903643768</v>
      </c>
      <c r="BP2292" s="866"/>
      <c r="BQ2292" s="866"/>
      <c r="BR2292" s="866">
        <f>VLOOKUP(BD2292,$BD$4:$BN$12824,6,0)*BE2292</f>
        <v>1022701.7784335323</v>
      </c>
      <c r="BS2292" s="866">
        <f>VLOOKUP(BD2292,$BD$4:$BN$12824,7,0)*BE2292</f>
        <v>171498.17113874963</v>
      </c>
      <c r="BT2292" s="866"/>
      <c r="BU2292" s="866">
        <f>VLOOKUP(BD2292,$BD$4:$BN$12824,9,0)*BE2292</f>
        <v>28183.513436510835</v>
      </c>
      <c r="BV2292" s="867"/>
      <c r="BW2292" s="867">
        <f>VLOOKUP(BD2292,$BD$4:$BN$12824,11,0)*BE2292</f>
        <v>212433.39769128128</v>
      </c>
      <c r="BX2292" s="1146">
        <f t="shared" si="479"/>
        <v>3646751.7510644505</v>
      </c>
      <c r="BY2292" s="867">
        <f t="shared" si="480"/>
        <v>174958555.83536443</v>
      </c>
      <c r="BZ2292" s="867">
        <f t="shared" si="481"/>
        <v>174958555.83536443</v>
      </c>
      <c r="CA2292" s="867">
        <f>_xlfn.MAXIFS($BY$4:$BY$12824,$S$4:$S$12824,$S2292)</f>
        <v>174958555.83536443</v>
      </c>
      <c r="CB2292" s="1032"/>
    </row>
    <row r="2293" spans="2:80">
      <c r="B2293" s="839" t="s">
        <v>98</v>
      </c>
      <c r="C2293" s="839" t="s">
        <v>7454</v>
      </c>
      <c r="D2293" s="839" t="s">
        <v>7455</v>
      </c>
      <c r="E2293" s="839" t="s">
        <v>7455</v>
      </c>
      <c r="F2293" s="841">
        <v>46056</v>
      </c>
      <c r="G2293" s="839" t="s">
        <v>7454</v>
      </c>
      <c r="H2293" s="883" t="s">
        <v>3457</v>
      </c>
      <c r="I2293" s="883"/>
      <c r="J2293" s="841"/>
      <c r="K2293" s="841"/>
      <c r="L2293" s="843" t="s">
        <v>7456</v>
      </c>
      <c r="M2293" s="844" t="s">
        <v>107</v>
      </c>
      <c r="N2293" s="841"/>
      <c r="O2293" s="884"/>
      <c r="P2293" s="842"/>
      <c r="Q2293" s="843"/>
      <c r="R2293" s="845" t="s">
        <v>7582</v>
      </c>
      <c r="S2293" s="1127" t="s">
        <v>7583</v>
      </c>
      <c r="T2293" s="843" t="s">
        <v>7584</v>
      </c>
      <c r="U2293" s="886">
        <v>1</v>
      </c>
      <c r="V2293" s="842" t="s">
        <v>3</v>
      </c>
      <c r="W2293" s="846">
        <v>608</v>
      </c>
      <c r="X2293" s="847">
        <f t="shared" si="482"/>
        <v>608</v>
      </c>
      <c r="Y2293" s="853" t="s">
        <v>7460</v>
      </c>
      <c r="Z2293" s="849">
        <v>423.17</v>
      </c>
      <c r="AA2293" s="849"/>
      <c r="AB2293" s="849">
        <f t="shared" si="477"/>
        <v>423.17</v>
      </c>
      <c r="AC2293" s="850">
        <f t="shared" si="478"/>
        <v>423.17</v>
      </c>
      <c r="AD2293" s="851">
        <v>32000</v>
      </c>
      <c r="AE2293" s="852">
        <v>29845.73</v>
      </c>
      <c r="AF2293" s="853">
        <v>0</v>
      </c>
      <c r="AG2293" s="854">
        <f t="shared" si="472"/>
        <v>0</v>
      </c>
      <c r="AH2293" s="853">
        <v>0.08</v>
      </c>
      <c r="AI2293" s="855">
        <f t="shared" si="473"/>
        <v>1010385.4051280001</v>
      </c>
      <c r="AJ2293" s="845" t="s">
        <v>7461</v>
      </c>
      <c r="AK2293" s="857">
        <v>46106</v>
      </c>
      <c r="AL2293" s="843" t="s">
        <v>7462</v>
      </c>
      <c r="AM2293" s="843"/>
      <c r="AN2293" s="844">
        <v>2</v>
      </c>
      <c r="AO2293" s="844" t="s">
        <v>7463</v>
      </c>
      <c r="AP2293" s="841"/>
      <c r="AQ2293" s="842"/>
      <c r="AR2293" s="841">
        <v>46194</v>
      </c>
      <c r="AS2293" s="842" t="s">
        <v>6737</v>
      </c>
      <c r="AT2293" s="842" t="s">
        <v>1187</v>
      </c>
      <c r="AU2293" s="842" t="s">
        <v>1565</v>
      </c>
      <c r="AV2293" s="843" t="s">
        <v>7464</v>
      </c>
      <c r="AW2293" s="861">
        <v>46198</v>
      </c>
      <c r="AX2293" s="862">
        <v>46199</v>
      </c>
      <c r="AY2293" s="843" t="s">
        <v>7585</v>
      </c>
      <c r="AZ2293" s="842" t="s">
        <v>4700</v>
      </c>
      <c r="BA2293" s="842" t="s">
        <v>120</v>
      </c>
      <c r="BB2293" s="863" t="s">
        <v>121</v>
      </c>
      <c r="BC2293" s="864">
        <v>46202</v>
      </c>
      <c r="BD2293" s="860" t="s">
        <v>7466</v>
      </c>
      <c r="BE2293" s="865" cm="1">
        <f t="array" ref="BE2293">IF(BD2293="","",AC2293/SUMPRODUCT(--(BD2293=$BD$4:$BD$12824),$AC$4:$AC$12824))</f>
        <v>2.6301337236880971E-3</v>
      </c>
      <c r="BF2293" s="458"/>
      <c r="BG2293" s="458"/>
      <c r="BH2293" s="458"/>
      <c r="BI2293" s="458"/>
      <c r="BJ2293" s="458"/>
      <c r="BK2293" s="458"/>
      <c r="BL2293" s="458"/>
      <c r="BM2293" s="458"/>
      <c r="BN2293" s="458"/>
      <c r="BO2293" s="866">
        <f>VLOOKUP(BD2293,$BD$4:$BN$12824,3,0)*BE2293</f>
        <v>163073.02510936465</v>
      </c>
      <c r="BP2293" s="866"/>
      <c r="BQ2293" s="866"/>
      <c r="BR2293" s="866">
        <f>VLOOKUP(BD2293,$BD$4:$BN$12824,6,0)*BE2293</f>
        <v>75397.821843847356</v>
      </c>
      <c r="BS2293" s="866">
        <f>VLOOKUP(BD2293,$BD$4:$BN$12824,7,0)*BE2293</f>
        <v>12643.557317237497</v>
      </c>
      <c r="BT2293" s="866"/>
      <c r="BU2293" s="866">
        <f>VLOOKUP(BD2293,$BD$4:$BN$12824,9,0)*BE2293</f>
        <v>2077.8056417135967</v>
      </c>
      <c r="BV2293" s="867"/>
      <c r="BW2293" s="867">
        <f>VLOOKUP(BD2293,$BD$4:$BN$12824,11,0)*BE2293</f>
        <v>15661.472200961252</v>
      </c>
      <c r="BX2293" s="1146">
        <f t="shared" si="479"/>
        <v>268853.68211312435</v>
      </c>
      <c r="BY2293" s="867">
        <f t="shared" si="480"/>
        <v>12898671.246213125</v>
      </c>
      <c r="BZ2293" s="867">
        <f t="shared" si="481"/>
        <v>12898671.246213125</v>
      </c>
      <c r="CA2293" s="867">
        <f>_xlfn.MAXIFS($BY$4:$BY$12824,$S$4:$S$12824,$S2293)</f>
        <v>12898671.246213125</v>
      </c>
      <c r="CB2293" s="1032"/>
    </row>
    <row r="2294" spans="2:80">
      <c r="B2294" s="839" t="s">
        <v>98</v>
      </c>
      <c r="C2294" s="839" t="s">
        <v>7454</v>
      </c>
      <c r="D2294" s="839" t="s">
        <v>7455</v>
      </c>
      <c r="E2294" s="839" t="s">
        <v>7455</v>
      </c>
      <c r="F2294" s="841">
        <v>46056</v>
      </c>
      <c r="G2294" s="839" t="s">
        <v>7454</v>
      </c>
      <c r="H2294" s="883" t="s">
        <v>3457</v>
      </c>
      <c r="I2294" s="883"/>
      <c r="J2294" s="841"/>
      <c r="K2294" s="841"/>
      <c r="L2294" s="843" t="s">
        <v>7456</v>
      </c>
      <c r="M2294" s="844" t="s">
        <v>107</v>
      </c>
      <c r="N2294" s="841"/>
      <c r="O2294" s="884"/>
      <c r="P2294" s="842"/>
      <c r="Q2294" s="843"/>
      <c r="R2294" s="845" t="s">
        <v>7586</v>
      </c>
      <c r="S2294" s="1127" t="s">
        <v>7587</v>
      </c>
      <c r="T2294" s="843" t="s">
        <v>7588</v>
      </c>
      <c r="U2294" s="886">
        <v>1</v>
      </c>
      <c r="V2294" s="842" t="s">
        <v>3</v>
      </c>
      <c r="W2294" s="846">
        <v>1346</v>
      </c>
      <c r="X2294" s="847">
        <f t="shared" si="482"/>
        <v>1346</v>
      </c>
      <c r="Y2294" s="853" t="s">
        <v>7460</v>
      </c>
      <c r="Z2294" s="849">
        <v>936.82</v>
      </c>
      <c r="AA2294" s="849"/>
      <c r="AB2294" s="849">
        <f t="shared" si="477"/>
        <v>936.82</v>
      </c>
      <c r="AC2294" s="850">
        <f t="shared" si="478"/>
        <v>936.82</v>
      </c>
      <c r="AD2294" s="851">
        <v>32000</v>
      </c>
      <c r="AE2294" s="852">
        <v>29845.73</v>
      </c>
      <c r="AF2294" s="853">
        <v>0</v>
      </c>
      <c r="AG2294" s="854">
        <f t="shared" si="472"/>
        <v>0</v>
      </c>
      <c r="AH2294" s="853">
        <v>0.08</v>
      </c>
      <c r="AI2294" s="855">
        <f t="shared" si="473"/>
        <v>2236806.1422879999</v>
      </c>
      <c r="AJ2294" s="845" t="s">
        <v>7461</v>
      </c>
      <c r="AK2294" s="857">
        <v>46106</v>
      </c>
      <c r="AL2294" s="843" t="s">
        <v>7462</v>
      </c>
      <c r="AM2294" s="843"/>
      <c r="AN2294" s="844">
        <v>2</v>
      </c>
      <c r="AO2294" s="844" t="s">
        <v>7463</v>
      </c>
      <c r="AP2294" s="841"/>
      <c r="AQ2294" s="842"/>
      <c r="AR2294" s="841">
        <v>46194</v>
      </c>
      <c r="AS2294" s="842" t="s">
        <v>6737</v>
      </c>
      <c r="AT2294" s="842" t="s">
        <v>1187</v>
      </c>
      <c r="AU2294" s="842" t="s">
        <v>1565</v>
      </c>
      <c r="AV2294" s="843" t="s">
        <v>7464</v>
      </c>
      <c r="AW2294" s="861">
        <v>46198</v>
      </c>
      <c r="AX2294" s="862">
        <v>46199</v>
      </c>
      <c r="AY2294" s="843" t="s">
        <v>7589</v>
      </c>
      <c r="AZ2294" s="842" t="s">
        <v>4700</v>
      </c>
      <c r="BA2294" s="842" t="s">
        <v>120</v>
      </c>
      <c r="BB2294" s="863" t="s">
        <v>121</v>
      </c>
      <c r="BC2294" s="864">
        <v>46202</v>
      </c>
      <c r="BD2294" s="860" t="s">
        <v>7466</v>
      </c>
      <c r="BE2294" s="865" cm="1">
        <f t="array" ref="BE2294">IF(BD2294="","",AC2294/SUMPRODUCT(--(BD2294=$BD$4:$BD$12824),$AC$4:$AC$12824))</f>
        <v>5.8226289080640951E-3</v>
      </c>
      <c r="BF2294" s="458"/>
      <c r="BG2294" s="458"/>
      <c r="BH2294" s="458"/>
      <c r="BI2294" s="458"/>
      <c r="BJ2294" s="458"/>
      <c r="BK2294" s="458"/>
      <c r="BL2294" s="458"/>
      <c r="BM2294" s="458"/>
      <c r="BN2294" s="458"/>
      <c r="BO2294" s="866">
        <f>VLOOKUP(BD2294,$BD$4:$BN$12824,3,0)*BE2294</f>
        <v>361013.47303200839</v>
      </c>
      <c r="BP2294" s="866"/>
      <c r="BQ2294" s="866"/>
      <c r="BR2294" s="866">
        <f>VLOOKUP(BD2294,$BD$4:$BN$12824,6,0)*BE2294</f>
        <v>166916.81229707468</v>
      </c>
      <c r="BS2294" s="866">
        <f>VLOOKUP(BD2294,$BD$4:$BN$12824,7,0)*BE2294</f>
        <v>27990.494047154647</v>
      </c>
      <c r="BT2294" s="866"/>
      <c r="BU2294" s="866">
        <f>VLOOKUP(BD2294,$BD$4:$BN$12824,9,0)*BE2294</f>
        <v>4599.8768373706353</v>
      </c>
      <c r="BV2294" s="867"/>
      <c r="BW2294" s="867">
        <f>VLOOKUP(BD2294,$BD$4:$BN$12824,11,0)*BE2294</f>
        <v>34671.598618296477</v>
      </c>
      <c r="BX2294" s="1146">
        <f t="shared" si="479"/>
        <v>595192.25483190489</v>
      </c>
      <c r="BY2294" s="867">
        <f t="shared" si="480"/>
        <v>28555269.033431906</v>
      </c>
      <c r="BZ2294" s="867">
        <f t="shared" si="481"/>
        <v>28555269.033431906</v>
      </c>
      <c r="CA2294" s="867">
        <f>_xlfn.MAXIFS($BY$4:$BY$12824,$S$4:$S$12824,$S2294)</f>
        <v>28555269.033431906</v>
      </c>
      <c r="CB2294" s="1032"/>
    </row>
    <row r="2295" spans="2:80">
      <c r="B2295" s="839" t="s">
        <v>98</v>
      </c>
      <c r="C2295" s="839" t="s">
        <v>7454</v>
      </c>
      <c r="D2295" s="839" t="s">
        <v>7455</v>
      </c>
      <c r="E2295" s="839" t="s">
        <v>7455</v>
      </c>
      <c r="F2295" s="841">
        <v>46056</v>
      </c>
      <c r="G2295" s="839" t="s">
        <v>7454</v>
      </c>
      <c r="H2295" s="883" t="s">
        <v>3457</v>
      </c>
      <c r="I2295" s="883"/>
      <c r="J2295" s="841"/>
      <c r="K2295" s="841"/>
      <c r="L2295" s="843" t="s">
        <v>7456</v>
      </c>
      <c r="M2295" s="844" t="s">
        <v>107</v>
      </c>
      <c r="N2295" s="841"/>
      <c r="O2295" s="884"/>
      <c r="P2295" s="842"/>
      <c r="Q2295" s="843"/>
      <c r="R2295" s="845" t="s">
        <v>7590</v>
      </c>
      <c r="S2295" s="1127" t="s">
        <v>7591</v>
      </c>
      <c r="T2295" s="843" t="s">
        <v>7592</v>
      </c>
      <c r="U2295" s="886">
        <v>1</v>
      </c>
      <c r="V2295" s="842" t="s">
        <v>3</v>
      </c>
      <c r="W2295" s="846">
        <v>2843</v>
      </c>
      <c r="X2295" s="847">
        <f t="shared" si="482"/>
        <v>2843</v>
      </c>
      <c r="Y2295" s="853" t="s">
        <v>7460</v>
      </c>
      <c r="Z2295" s="849">
        <v>1978.73</v>
      </c>
      <c r="AA2295" s="849"/>
      <c r="AB2295" s="849">
        <f t="shared" si="477"/>
        <v>1978.73</v>
      </c>
      <c r="AC2295" s="850">
        <f t="shared" si="478"/>
        <v>1978.73</v>
      </c>
      <c r="AD2295" s="851">
        <v>32000</v>
      </c>
      <c r="AE2295" s="852">
        <v>29845.73</v>
      </c>
      <c r="AF2295" s="853">
        <v>0</v>
      </c>
      <c r="AG2295" s="854">
        <f t="shared" si="472"/>
        <v>0</v>
      </c>
      <c r="AH2295" s="853">
        <v>0.08</v>
      </c>
      <c r="AI2295" s="855">
        <f t="shared" si="473"/>
        <v>4724531.3058319995</v>
      </c>
      <c r="AJ2295" s="845" t="s">
        <v>7461</v>
      </c>
      <c r="AK2295" s="857">
        <v>46106</v>
      </c>
      <c r="AL2295" s="843" t="s">
        <v>7462</v>
      </c>
      <c r="AM2295" s="843"/>
      <c r="AN2295" s="844">
        <v>2</v>
      </c>
      <c r="AO2295" s="844" t="s">
        <v>7463</v>
      </c>
      <c r="AP2295" s="841"/>
      <c r="AQ2295" s="842"/>
      <c r="AR2295" s="841">
        <v>46194</v>
      </c>
      <c r="AS2295" s="842" t="s">
        <v>6737</v>
      </c>
      <c r="AT2295" s="842" t="s">
        <v>1187</v>
      </c>
      <c r="AU2295" s="842" t="s">
        <v>1565</v>
      </c>
      <c r="AV2295" s="843" t="s">
        <v>7464</v>
      </c>
      <c r="AW2295" s="861">
        <v>46198</v>
      </c>
      <c r="AX2295" s="862">
        <v>46199</v>
      </c>
      <c r="AY2295" s="843" t="s">
        <v>7593</v>
      </c>
      <c r="AZ2295" s="842" t="s">
        <v>3183</v>
      </c>
      <c r="BA2295" s="842" t="s">
        <v>120</v>
      </c>
      <c r="BB2295" s="863" t="s">
        <v>121</v>
      </c>
      <c r="BC2295" s="864">
        <v>46202</v>
      </c>
      <c r="BD2295" s="860" t="s">
        <v>7466</v>
      </c>
      <c r="BE2295" s="865" cm="1">
        <f t="array" ref="BE2295">IF(BD2295="","",AC2295/SUMPRODUCT(--(BD2295=$BD$4:$BD$12824),$AC$4:$AC$12824))</f>
        <v>1.2298424990130084E-2</v>
      </c>
      <c r="BF2295" s="458"/>
      <c r="BG2295" s="458"/>
      <c r="BH2295" s="458"/>
      <c r="BI2295" s="458"/>
      <c r="BJ2295" s="458"/>
      <c r="BK2295" s="458"/>
      <c r="BL2295" s="458"/>
      <c r="BM2295" s="458"/>
      <c r="BN2295" s="458"/>
      <c r="BO2295" s="866">
        <f>VLOOKUP(BD2295,$BD$4:$BN$12824,3,0)*BE2295</f>
        <v>762524.48655304743</v>
      </c>
      <c r="BP2295" s="866"/>
      <c r="BQ2295" s="866"/>
      <c r="BR2295" s="866">
        <f>VLOOKUP(BD2295,$BD$4:$BN$12824,6,0)*BE2295</f>
        <v>352557.91293587937</v>
      </c>
      <c r="BS2295" s="866">
        <f>VLOOKUP(BD2295,$BD$4:$BN$12824,7,0)*BE2295</f>
        <v>59120.887989076138</v>
      </c>
      <c r="BT2295" s="866"/>
      <c r="BU2295" s="866">
        <f>VLOOKUP(BD2295,$BD$4:$BN$12824,9,0)*BE2295</f>
        <v>9715.7557422027658</v>
      </c>
      <c r="BV2295" s="867"/>
      <c r="BW2295" s="867">
        <f>VLOOKUP(BD2295,$BD$4:$BN$12824,11,0)*BE2295</f>
        <v>73232.56584400608</v>
      </c>
      <c r="BX2295" s="1146">
        <f t="shared" si="479"/>
        <v>1257151.6090642118</v>
      </c>
      <c r="BY2295" s="867">
        <f t="shared" si="480"/>
        <v>60313792.931964211</v>
      </c>
      <c r="BZ2295" s="867">
        <f t="shared" si="481"/>
        <v>60313792.931964211</v>
      </c>
      <c r="CA2295" s="867">
        <f>_xlfn.MAXIFS($BY$4:$BY$12824,$S$4:$S$12824,$S2295)</f>
        <v>60313792.931964211</v>
      </c>
      <c r="CB2295" s="1032"/>
    </row>
    <row r="2296" spans="2:80">
      <c r="B2296" s="839" t="s">
        <v>98</v>
      </c>
      <c r="C2296" s="839" t="s">
        <v>7454</v>
      </c>
      <c r="D2296" s="839" t="s">
        <v>7455</v>
      </c>
      <c r="E2296" s="839" t="s">
        <v>7455</v>
      </c>
      <c r="F2296" s="841">
        <v>46056</v>
      </c>
      <c r="G2296" s="839" t="s">
        <v>7454</v>
      </c>
      <c r="H2296" s="883" t="s">
        <v>3457</v>
      </c>
      <c r="I2296" s="883"/>
      <c r="J2296" s="841"/>
      <c r="K2296" s="841"/>
      <c r="L2296" s="843" t="s">
        <v>7456</v>
      </c>
      <c r="M2296" s="844" t="s">
        <v>107</v>
      </c>
      <c r="N2296" s="841"/>
      <c r="O2296" s="884"/>
      <c r="P2296" s="842"/>
      <c r="Q2296" s="843"/>
      <c r="R2296" s="845" t="s">
        <v>7594</v>
      </c>
      <c r="S2296" s="1127" t="s">
        <v>7595</v>
      </c>
      <c r="T2296" s="843" t="s">
        <v>7596</v>
      </c>
      <c r="U2296" s="886">
        <v>1</v>
      </c>
      <c r="V2296" s="842" t="s">
        <v>3</v>
      </c>
      <c r="W2296" s="846">
        <v>1136.9971264367816</v>
      </c>
      <c r="X2296" s="847">
        <f t="shared" si="482"/>
        <v>1136.9971264367816</v>
      </c>
      <c r="Y2296" s="853" t="s">
        <v>7460</v>
      </c>
      <c r="Z2296" s="849">
        <v>791.35</v>
      </c>
      <c r="AA2296" s="849"/>
      <c r="AB2296" s="849">
        <f t="shared" si="477"/>
        <v>791.35</v>
      </c>
      <c r="AC2296" s="850">
        <f t="shared" si="478"/>
        <v>791.35</v>
      </c>
      <c r="AD2296" s="851">
        <v>32000</v>
      </c>
      <c r="AE2296" s="852">
        <v>29845.73</v>
      </c>
      <c r="AF2296" s="853">
        <v>0.25</v>
      </c>
      <c r="AG2296" s="854">
        <f t="shared" ref="AG2296:AG2327" si="483">(AC2296*AE2296+BO2296+BP2296+BQ2296+BS2296)*AF2296</f>
        <v>5986754.4053535378</v>
      </c>
      <c r="AH2296" s="853">
        <v>0.08</v>
      </c>
      <c r="AI2296" s="855">
        <f t="shared" ref="AI2296:AI2327" si="484">(AC2296*AE2296+AG2296+BF2296+BG2296+BH2296+BJ2296)*AH2296</f>
        <v>2368413.8272682833</v>
      </c>
      <c r="AJ2296" s="845" t="s">
        <v>7461</v>
      </c>
      <c r="AK2296" s="857">
        <v>46106</v>
      </c>
      <c r="AL2296" s="843" t="s">
        <v>7462</v>
      </c>
      <c r="AM2296" s="843"/>
      <c r="AN2296" s="844">
        <v>2</v>
      </c>
      <c r="AO2296" s="844" t="s">
        <v>7463</v>
      </c>
      <c r="AP2296" s="841"/>
      <c r="AQ2296" s="842"/>
      <c r="AR2296" s="841">
        <v>46194</v>
      </c>
      <c r="AS2296" s="842" t="s">
        <v>6737</v>
      </c>
      <c r="AT2296" s="842" t="s">
        <v>1187</v>
      </c>
      <c r="AU2296" s="842" t="s">
        <v>1565</v>
      </c>
      <c r="AV2296" s="843" t="s">
        <v>7464</v>
      </c>
      <c r="AW2296" s="861">
        <v>46198</v>
      </c>
      <c r="AX2296" s="862">
        <v>46199</v>
      </c>
      <c r="AY2296" s="843" t="s">
        <v>7597</v>
      </c>
      <c r="AZ2296" s="842" t="s">
        <v>4276</v>
      </c>
      <c r="BA2296" s="842" t="s">
        <v>120</v>
      </c>
      <c r="BB2296" s="863" t="s">
        <v>121</v>
      </c>
      <c r="BC2296" s="864">
        <v>46202</v>
      </c>
      <c r="BD2296" s="860" t="s">
        <v>7466</v>
      </c>
      <c r="BE2296" s="865" cm="1">
        <f t="array" ref="BE2296">IF(BD2296="","",AC2296/SUMPRODUCT(--(BD2296=$BD$4:$BD$12824),$AC$4:$AC$12824))</f>
        <v>4.9184874216994957E-3</v>
      </c>
      <c r="BF2296" s="458"/>
      <c r="BG2296" s="458"/>
      <c r="BH2296" s="458"/>
      <c r="BI2296" s="458"/>
      <c r="BJ2296" s="458"/>
      <c r="BK2296" s="458"/>
      <c r="BL2296" s="458"/>
      <c r="BM2296" s="458"/>
      <c r="BN2296" s="458"/>
      <c r="BO2296" s="866">
        <f>VLOOKUP(BD2296,$BD$4:$BN$12824,3,0)*BE2296</f>
        <v>304955.07342272782</v>
      </c>
      <c r="BP2296" s="866"/>
      <c r="BQ2296" s="866"/>
      <c r="BR2296" s="866">
        <f>VLOOKUP(BD2296,$BD$4:$BN$12824,6,0)*BE2296</f>
        <v>140997.8644897526</v>
      </c>
      <c r="BS2296" s="866">
        <f>VLOOKUP(BD2296,$BD$4:$BN$12824,7,0)*BE2296</f>
        <v>23644.112491423999</v>
      </c>
      <c r="BT2296" s="866"/>
      <c r="BU2296" s="866">
        <f>VLOOKUP(BD2296,$BD$4:$BN$12824,9,0)*BE2296</f>
        <v>3885.6050631426015</v>
      </c>
      <c r="BV2296" s="867"/>
      <c r="BW2296" s="867">
        <f>VLOOKUP(BD2296,$BD$4:$BN$12824,11,0)*BE2296</f>
        <v>29287.770934212462</v>
      </c>
      <c r="BX2296" s="1146">
        <f t="shared" si="479"/>
        <v>502770.42640125955</v>
      </c>
      <c r="BY2296" s="867">
        <f t="shared" si="480"/>
        <v>30107943.2672548</v>
      </c>
      <c r="BZ2296" s="867">
        <f t="shared" si="481"/>
        <v>30107943.2672548</v>
      </c>
      <c r="CA2296" s="867">
        <f>_xlfn.MAXIFS($BY$4:$BY$12824,$S$4:$S$12824,$S2296)</f>
        <v>30107943.2672548</v>
      </c>
      <c r="CB2296" s="1032"/>
    </row>
    <row r="2297" spans="2:80">
      <c r="B2297" s="839" t="s">
        <v>98</v>
      </c>
      <c r="C2297" s="839" t="s">
        <v>7454</v>
      </c>
      <c r="D2297" s="839" t="s">
        <v>7455</v>
      </c>
      <c r="E2297" s="839" t="s">
        <v>7455</v>
      </c>
      <c r="F2297" s="841">
        <v>46056</v>
      </c>
      <c r="G2297" s="839" t="s">
        <v>7454</v>
      </c>
      <c r="H2297" s="883" t="s">
        <v>3457</v>
      </c>
      <c r="I2297" s="883"/>
      <c r="J2297" s="841"/>
      <c r="K2297" s="841"/>
      <c r="L2297" s="843" t="s">
        <v>7456</v>
      </c>
      <c r="M2297" s="844" t="s">
        <v>107</v>
      </c>
      <c r="N2297" s="841"/>
      <c r="O2297" s="884"/>
      <c r="P2297" s="842"/>
      <c r="Q2297" s="843"/>
      <c r="R2297" s="845" t="s">
        <v>7598</v>
      </c>
      <c r="S2297" s="1127" t="s">
        <v>7599</v>
      </c>
      <c r="T2297" s="843" t="s">
        <v>7600</v>
      </c>
      <c r="U2297" s="886">
        <v>1</v>
      </c>
      <c r="V2297" s="842" t="s">
        <v>3</v>
      </c>
      <c r="W2297" s="846">
        <v>581.99712643678151</v>
      </c>
      <c r="X2297" s="847">
        <f t="shared" si="482"/>
        <v>581.99712643678151</v>
      </c>
      <c r="Y2297" s="853" t="s">
        <v>7460</v>
      </c>
      <c r="Z2297" s="849">
        <v>405.07</v>
      </c>
      <c r="AA2297" s="849"/>
      <c r="AB2297" s="849">
        <f t="shared" si="477"/>
        <v>405.07</v>
      </c>
      <c r="AC2297" s="850">
        <f t="shared" si="478"/>
        <v>405.07</v>
      </c>
      <c r="AD2297" s="851">
        <v>32000</v>
      </c>
      <c r="AE2297" s="852">
        <v>29845.73</v>
      </c>
      <c r="AF2297" s="853">
        <v>0</v>
      </c>
      <c r="AG2297" s="854">
        <f t="shared" si="483"/>
        <v>0</v>
      </c>
      <c r="AH2297" s="853">
        <v>0.08</v>
      </c>
      <c r="AI2297" s="855">
        <f t="shared" si="484"/>
        <v>967168.78808800003</v>
      </c>
      <c r="AJ2297" s="845" t="s">
        <v>7461</v>
      </c>
      <c r="AK2297" s="857">
        <v>46106</v>
      </c>
      <c r="AL2297" s="843" t="s">
        <v>7462</v>
      </c>
      <c r="AM2297" s="843"/>
      <c r="AN2297" s="844">
        <v>2</v>
      </c>
      <c r="AO2297" s="844" t="s">
        <v>7463</v>
      </c>
      <c r="AP2297" s="841"/>
      <c r="AQ2297" s="842"/>
      <c r="AR2297" s="841">
        <v>46194</v>
      </c>
      <c r="AS2297" s="842" t="s">
        <v>6737</v>
      </c>
      <c r="AT2297" s="842" t="s">
        <v>1187</v>
      </c>
      <c r="AU2297" s="842" t="s">
        <v>1565</v>
      </c>
      <c r="AV2297" s="843" t="s">
        <v>7601</v>
      </c>
      <c r="AW2297" s="861">
        <v>46198</v>
      </c>
      <c r="AX2297" s="862">
        <v>46199</v>
      </c>
      <c r="AY2297" s="843" t="s">
        <v>7602</v>
      </c>
      <c r="AZ2297" s="842" t="s">
        <v>4977</v>
      </c>
      <c r="BA2297" s="842" t="s">
        <v>120</v>
      </c>
      <c r="BB2297" s="863" t="s">
        <v>121</v>
      </c>
      <c r="BC2297" s="864">
        <v>46202</v>
      </c>
      <c r="BD2297" s="860" t="s">
        <v>7466</v>
      </c>
      <c r="BE2297" s="865" cm="1">
        <f t="array" ref="BE2297">IF(BD2297="","",AC2297/SUMPRODUCT(--(BD2297=$BD$4:$BD$12824),$AC$4:$AC$12824))</f>
        <v>2.5176365703011494E-3</v>
      </c>
      <c r="BF2297" s="458"/>
      <c r="BG2297" s="458"/>
      <c r="BH2297" s="458"/>
      <c r="BI2297" s="458"/>
      <c r="BJ2297" s="458"/>
      <c r="BK2297" s="458"/>
      <c r="BL2297" s="458"/>
      <c r="BM2297" s="458"/>
      <c r="BN2297" s="458"/>
      <c r="BO2297" s="866">
        <f>VLOOKUP(BD2297,$BD$4:$BN$12824,3,0)*BE2297</f>
        <v>156097.99910449781</v>
      </c>
      <c r="BP2297" s="866"/>
      <c r="BQ2297" s="866"/>
      <c r="BR2297" s="866">
        <f>VLOOKUP(BD2297,$BD$4:$BN$12824,6,0)*BE2297</f>
        <v>72172.875426630548</v>
      </c>
      <c r="BS2297" s="866">
        <f>VLOOKUP(BD2297,$BD$4:$BN$12824,7,0)*BE2297</f>
        <v>12102.761921907017</v>
      </c>
      <c r="BT2297" s="866"/>
      <c r="BU2297" s="866">
        <f>VLOOKUP(BD2297,$BD$4:$BN$12824,9,0)*BE2297</f>
        <v>1988.932890537908</v>
      </c>
      <c r="BV2297" s="867"/>
      <c r="BW2297" s="867">
        <f>VLOOKUP(BD2297,$BD$4:$BN$12824,11,0)*BE2297</f>
        <v>14991.593318154344</v>
      </c>
      <c r="BX2297" s="1146">
        <f t="shared" si="479"/>
        <v>257354.16266172763</v>
      </c>
      <c r="BY2297" s="867">
        <f t="shared" si="480"/>
        <v>12346964.013761727</v>
      </c>
      <c r="BZ2297" s="867">
        <f t="shared" si="481"/>
        <v>12346964.013761727</v>
      </c>
      <c r="CA2297" s="867">
        <f>_xlfn.MAXIFS($BY$4:$BY$12824,$S$4:$S$12824,$S2297)</f>
        <v>12346964.013761727</v>
      </c>
      <c r="CB2297" s="1032"/>
    </row>
    <row r="2298" spans="2:80">
      <c r="B2298" s="839" t="s">
        <v>98</v>
      </c>
      <c r="C2298" s="839" t="s">
        <v>7454</v>
      </c>
      <c r="D2298" s="839" t="s">
        <v>7455</v>
      </c>
      <c r="E2298" s="839" t="s">
        <v>7455</v>
      </c>
      <c r="F2298" s="841">
        <v>46056</v>
      </c>
      <c r="G2298" s="839" t="s">
        <v>7454</v>
      </c>
      <c r="H2298" s="883" t="s">
        <v>3457</v>
      </c>
      <c r="I2298" s="883"/>
      <c r="J2298" s="841"/>
      <c r="K2298" s="841"/>
      <c r="L2298" s="843" t="s">
        <v>7456</v>
      </c>
      <c r="M2298" s="844" t="s">
        <v>107</v>
      </c>
      <c r="N2298" s="841"/>
      <c r="O2298" s="884"/>
      <c r="P2298" s="842"/>
      <c r="Q2298" s="843"/>
      <c r="R2298" s="845" t="s">
        <v>7603</v>
      </c>
      <c r="S2298" s="1127" t="s">
        <v>7604</v>
      </c>
      <c r="T2298" s="843" t="s">
        <v>7605</v>
      </c>
      <c r="U2298" s="886">
        <v>1</v>
      </c>
      <c r="V2298" s="842" t="s">
        <v>3</v>
      </c>
      <c r="W2298" s="846">
        <v>678.00287356321826</v>
      </c>
      <c r="X2298" s="847">
        <f t="shared" si="482"/>
        <v>678.00287356321826</v>
      </c>
      <c r="Y2298" s="853" t="s">
        <v>7460</v>
      </c>
      <c r="Z2298" s="849">
        <v>471.89</v>
      </c>
      <c r="AA2298" s="849"/>
      <c r="AB2298" s="849">
        <f t="shared" si="477"/>
        <v>471.89</v>
      </c>
      <c r="AC2298" s="850">
        <f t="shared" si="478"/>
        <v>471.89</v>
      </c>
      <c r="AD2298" s="851">
        <v>32000</v>
      </c>
      <c r="AE2298" s="852">
        <v>29845.73</v>
      </c>
      <c r="AF2298" s="853">
        <v>0</v>
      </c>
      <c r="AG2298" s="854">
        <f t="shared" si="483"/>
        <v>0</v>
      </c>
      <c r="AH2298" s="853">
        <v>0.08</v>
      </c>
      <c r="AI2298" s="855">
        <f t="shared" si="484"/>
        <v>1126712.122376</v>
      </c>
      <c r="AJ2298" s="845" t="s">
        <v>7461</v>
      </c>
      <c r="AK2298" s="857">
        <v>46106</v>
      </c>
      <c r="AL2298" s="843" t="s">
        <v>7462</v>
      </c>
      <c r="AM2298" s="843"/>
      <c r="AN2298" s="844">
        <v>2</v>
      </c>
      <c r="AO2298" s="844" t="s">
        <v>7463</v>
      </c>
      <c r="AP2298" s="841"/>
      <c r="AQ2298" s="842"/>
      <c r="AR2298" s="841">
        <v>46194</v>
      </c>
      <c r="AS2298" s="842" t="s">
        <v>6737</v>
      </c>
      <c r="AT2298" s="842" t="s">
        <v>1187</v>
      </c>
      <c r="AU2298" s="842" t="s">
        <v>1565</v>
      </c>
      <c r="AV2298" s="843" t="s">
        <v>7601</v>
      </c>
      <c r="AW2298" s="861">
        <v>46198</v>
      </c>
      <c r="AX2298" s="862">
        <v>46199</v>
      </c>
      <c r="AY2298" s="843" t="s">
        <v>7606</v>
      </c>
      <c r="AZ2298" s="842" t="s">
        <v>4977</v>
      </c>
      <c r="BA2298" s="842" t="s">
        <v>120</v>
      </c>
      <c r="BB2298" s="863" t="s">
        <v>121</v>
      </c>
      <c r="BC2298" s="864">
        <v>46202</v>
      </c>
      <c r="BD2298" s="860" t="s">
        <v>7466</v>
      </c>
      <c r="BE2298" s="865" cm="1">
        <f t="array" ref="BE2298">IF(BD2298="","",AC2298/SUMPRODUCT(--(BD2298=$BD$4:$BD$12824),$AC$4:$AC$12824))</f>
        <v>2.932943740981582E-3</v>
      </c>
      <c r="BF2298" s="458"/>
      <c r="BG2298" s="458"/>
      <c r="BH2298" s="458"/>
      <c r="BI2298" s="458"/>
      <c r="BJ2298" s="458"/>
      <c r="BK2298" s="458"/>
      <c r="BL2298" s="458"/>
      <c r="BM2298" s="458"/>
      <c r="BN2298" s="458"/>
      <c r="BO2298" s="866">
        <f>VLOOKUP(BD2298,$BD$4:$BN$12824,3,0)*BE2298</f>
        <v>181847.79123959184</v>
      </c>
      <c r="BP2298" s="866"/>
      <c r="BQ2298" s="866"/>
      <c r="BR2298" s="866">
        <f>VLOOKUP(BD2298,$BD$4:$BN$12824,6,0)*BE2298</f>
        <v>84078.451095051947</v>
      </c>
      <c r="BS2298" s="866">
        <f>VLOOKUP(BD2298,$BD$4:$BN$12824,7,0)*BE2298</f>
        <v>14099.223154834233</v>
      </c>
      <c r="BT2298" s="866"/>
      <c r="BU2298" s="866">
        <f>VLOOKUP(BD2298,$BD$4:$BN$12824,9,0)*BE2298</f>
        <v>2317.0255553754496</v>
      </c>
      <c r="BV2298" s="867"/>
      <c r="BW2298" s="867">
        <f>VLOOKUP(BD2298,$BD$4:$BN$12824,11,0)*BE2298</f>
        <v>17464.593702085698</v>
      </c>
      <c r="BX2298" s="1146">
        <f t="shared" si="479"/>
        <v>299807.08474693919</v>
      </c>
      <c r="BY2298" s="867">
        <f t="shared" si="480"/>
        <v>14383708.61444694</v>
      </c>
      <c r="BZ2298" s="867">
        <f t="shared" si="481"/>
        <v>14383708.61444694</v>
      </c>
      <c r="CA2298" s="867">
        <f>_xlfn.MAXIFS($BY$4:$BY$12824,$S$4:$S$12824,$S2298)</f>
        <v>14383708.61444694</v>
      </c>
      <c r="CB2298" s="1032"/>
    </row>
    <row r="2299" spans="2:80">
      <c r="B2299" s="839" t="s">
        <v>98</v>
      </c>
      <c r="C2299" s="839" t="s">
        <v>7454</v>
      </c>
      <c r="D2299" s="839" t="s">
        <v>7455</v>
      </c>
      <c r="E2299" s="839" t="s">
        <v>7455</v>
      </c>
      <c r="F2299" s="841">
        <v>46056</v>
      </c>
      <c r="G2299" s="839" t="s">
        <v>7454</v>
      </c>
      <c r="H2299" s="883" t="s">
        <v>3457</v>
      </c>
      <c r="I2299" s="883"/>
      <c r="J2299" s="841"/>
      <c r="K2299" s="841"/>
      <c r="L2299" s="843" t="s">
        <v>7456</v>
      </c>
      <c r="M2299" s="844" t="s">
        <v>107</v>
      </c>
      <c r="N2299" s="841"/>
      <c r="O2299" s="884"/>
      <c r="P2299" s="842"/>
      <c r="Q2299" s="843"/>
      <c r="R2299" s="845" t="s">
        <v>7607</v>
      </c>
      <c r="S2299" s="1127" t="s">
        <v>7608</v>
      </c>
      <c r="T2299" s="843" t="s">
        <v>7609</v>
      </c>
      <c r="U2299" s="886">
        <v>1</v>
      </c>
      <c r="V2299" s="842" t="s">
        <v>3</v>
      </c>
      <c r="W2299" s="846">
        <v>695</v>
      </c>
      <c r="X2299" s="847">
        <f t="shared" si="482"/>
        <v>695</v>
      </c>
      <c r="Y2299" s="853" t="s">
        <v>7460</v>
      </c>
      <c r="Z2299" s="849">
        <v>483.72</v>
      </c>
      <c r="AA2299" s="849"/>
      <c r="AB2299" s="849">
        <f t="shared" si="477"/>
        <v>483.72</v>
      </c>
      <c r="AC2299" s="850">
        <f t="shared" si="478"/>
        <v>483.72</v>
      </c>
      <c r="AD2299" s="851">
        <v>32000</v>
      </c>
      <c r="AE2299" s="852">
        <v>29845.73</v>
      </c>
      <c r="AF2299" s="853">
        <v>0</v>
      </c>
      <c r="AG2299" s="854">
        <f t="shared" si="483"/>
        <v>0</v>
      </c>
      <c r="AH2299" s="853">
        <v>0.08</v>
      </c>
      <c r="AI2299" s="855">
        <f t="shared" si="484"/>
        <v>1154958.1212480001</v>
      </c>
      <c r="AJ2299" s="845" t="s">
        <v>7461</v>
      </c>
      <c r="AK2299" s="857">
        <v>46106</v>
      </c>
      <c r="AL2299" s="843" t="s">
        <v>7462</v>
      </c>
      <c r="AM2299" s="843"/>
      <c r="AN2299" s="844">
        <v>2</v>
      </c>
      <c r="AO2299" s="844" t="s">
        <v>7463</v>
      </c>
      <c r="AP2299" s="841"/>
      <c r="AQ2299" s="842"/>
      <c r="AR2299" s="841">
        <v>46194</v>
      </c>
      <c r="AS2299" s="842" t="s">
        <v>6737</v>
      </c>
      <c r="AT2299" s="842" t="s">
        <v>1187</v>
      </c>
      <c r="AU2299" s="842" t="s">
        <v>1565</v>
      </c>
      <c r="AV2299" s="843" t="s">
        <v>7464</v>
      </c>
      <c r="AW2299" s="861">
        <v>46198</v>
      </c>
      <c r="AX2299" s="862">
        <v>46199</v>
      </c>
      <c r="AY2299" s="843" t="s">
        <v>7610</v>
      </c>
      <c r="AZ2299" s="842" t="s">
        <v>4269</v>
      </c>
      <c r="BA2299" s="842" t="s">
        <v>120</v>
      </c>
      <c r="BB2299" s="863" t="s">
        <v>121</v>
      </c>
      <c r="BC2299" s="864">
        <v>46202</v>
      </c>
      <c r="BD2299" s="860" t="s">
        <v>7466</v>
      </c>
      <c r="BE2299" s="865" cm="1">
        <f t="array" ref="BE2299">IF(BD2299="","",AC2299/SUMPRODUCT(--(BD2299=$BD$4:$BD$12824),$AC$4:$AC$12824))</f>
        <v>3.0064708859853162E-3</v>
      </c>
      <c r="BF2299" s="458"/>
      <c r="BG2299" s="458"/>
      <c r="BH2299" s="458"/>
      <c r="BI2299" s="458"/>
      <c r="BJ2299" s="458"/>
      <c r="BK2299" s="458"/>
      <c r="BL2299" s="458"/>
      <c r="BM2299" s="458"/>
      <c r="BN2299" s="458"/>
      <c r="BO2299" s="866">
        <f>VLOOKUP(BD2299,$BD$4:$BN$12824,3,0)*BE2299</f>
        <v>186406.60657868438</v>
      </c>
      <c r="BP2299" s="866"/>
      <c r="BQ2299" s="866"/>
      <c r="BR2299" s="866">
        <f>VLOOKUP(BD2299,$BD$4:$BN$12824,6,0)*BE2299</f>
        <v>86186.247565531216</v>
      </c>
      <c r="BS2299" s="866">
        <f>VLOOKUP(BD2299,$BD$4:$BN$12824,7,0)*BE2299</f>
        <v>14452.682244710451</v>
      </c>
      <c r="BT2299" s="866"/>
      <c r="BU2299" s="866">
        <f>VLOOKUP(BD2299,$BD$4:$BN$12824,9,0)*BE2299</f>
        <v>2375.1119999283997</v>
      </c>
      <c r="BV2299" s="867"/>
      <c r="BW2299" s="867">
        <f>VLOOKUP(BD2299,$BD$4:$BN$12824,11,0)*BE2299</f>
        <v>17902.420618307009</v>
      </c>
      <c r="BX2299" s="1146">
        <f t="shared" si="479"/>
        <v>307323.06900716148</v>
      </c>
      <c r="BY2299" s="867">
        <f t="shared" si="480"/>
        <v>14744299.584607163</v>
      </c>
      <c r="BZ2299" s="867">
        <f t="shared" si="481"/>
        <v>14744299.584607163</v>
      </c>
      <c r="CA2299" s="867">
        <f>_xlfn.MAXIFS($BY$4:$BY$12824,$S$4:$S$12824,$S2299)</f>
        <v>14744299.584607163</v>
      </c>
      <c r="CB2299" s="1032"/>
    </row>
    <row r="2300" spans="2:80">
      <c r="B2300" s="839" t="s">
        <v>98</v>
      </c>
      <c r="C2300" s="839" t="s">
        <v>7454</v>
      </c>
      <c r="D2300" s="839" t="s">
        <v>7455</v>
      </c>
      <c r="E2300" s="839" t="s">
        <v>7455</v>
      </c>
      <c r="F2300" s="841">
        <v>46056</v>
      </c>
      <c r="G2300" s="839" t="s">
        <v>7454</v>
      </c>
      <c r="H2300" s="883" t="s">
        <v>3457</v>
      </c>
      <c r="I2300" s="883"/>
      <c r="J2300" s="841"/>
      <c r="K2300" s="841"/>
      <c r="L2300" s="843" t="s">
        <v>7456</v>
      </c>
      <c r="M2300" s="844" t="s">
        <v>107</v>
      </c>
      <c r="N2300" s="841"/>
      <c r="O2300" s="884"/>
      <c r="P2300" s="842"/>
      <c r="Q2300" s="843"/>
      <c r="R2300" s="845" t="s">
        <v>7611</v>
      </c>
      <c r="S2300" s="1127" t="s">
        <v>7612</v>
      </c>
      <c r="T2300" s="843" t="s">
        <v>7613</v>
      </c>
      <c r="U2300" s="886">
        <v>1</v>
      </c>
      <c r="V2300" s="842" t="s">
        <v>3</v>
      </c>
      <c r="W2300" s="846">
        <v>4105</v>
      </c>
      <c r="X2300" s="847">
        <f t="shared" si="482"/>
        <v>4105</v>
      </c>
      <c r="Y2300" s="853" t="s">
        <v>7460</v>
      </c>
      <c r="Z2300" s="849">
        <v>2857.08</v>
      </c>
      <c r="AA2300" s="849"/>
      <c r="AB2300" s="849">
        <f t="shared" si="477"/>
        <v>2857.08</v>
      </c>
      <c r="AC2300" s="850">
        <f t="shared" si="478"/>
        <v>2857.08</v>
      </c>
      <c r="AD2300" s="851">
        <v>32000</v>
      </c>
      <c r="AE2300" s="852">
        <v>29845.73</v>
      </c>
      <c r="AF2300" s="853">
        <v>0</v>
      </c>
      <c r="AG2300" s="854">
        <f t="shared" si="483"/>
        <v>0</v>
      </c>
      <c r="AH2300" s="853">
        <v>0.08</v>
      </c>
      <c r="AI2300" s="855">
        <f t="shared" si="484"/>
        <v>6821731.0614719996</v>
      </c>
      <c r="AJ2300" s="845" t="s">
        <v>7461</v>
      </c>
      <c r="AK2300" s="857">
        <v>46106</v>
      </c>
      <c r="AL2300" s="843" t="s">
        <v>7462</v>
      </c>
      <c r="AM2300" s="843"/>
      <c r="AN2300" s="844">
        <v>2</v>
      </c>
      <c r="AO2300" s="844" t="s">
        <v>7463</v>
      </c>
      <c r="AP2300" s="841"/>
      <c r="AQ2300" s="842"/>
      <c r="AR2300" s="841">
        <v>46194</v>
      </c>
      <c r="AS2300" s="842" t="s">
        <v>6737</v>
      </c>
      <c r="AT2300" s="842" t="s">
        <v>1187</v>
      </c>
      <c r="AU2300" s="842" t="s">
        <v>1565</v>
      </c>
      <c r="AV2300" s="843" t="s">
        <v>7464</v>
      </c>
      <c r="AW2300" s="861">
        <v>46198</v>
      </c>
      <c r="AX2300" s="862">
        <v>46199</v>
      </c>
      <c r="AY2300" s="843" t="s">
        <v>7614</v>
      </c>
      <c r="AZ2300" s="842" t="s">
        <v>4269</v>
      </c>
      <c r="BA2300" s="842" t="s">
        <v>120</v>
      </c>
      <c r="BB2300" s="863" t="s">
        <v>121</v>
      </c>
      <c r="BC2300" s="864">
        <v>46202</v>
      </c>
      <c r="BD2300" s="860" t="s">
        <v>7466</v>
      </c>
      <c r="BE2300" s="865" cm="1">
        <f t="array" ref="BE2300">IF(BD2300="","",AC2300/SUMPRODUCT(--(BD2300=$BD$4:$BD$12824),$AC$4:$AC$12824))</f>
        <v>1.7757644585567944E-2</v>
      </c>
      <c r="BF2300" s="458"/>
      <c r="BG2300" s="458"/>
      <c r="BH2300" s="458"/>
      <c r="BI2300" s="458"/>
      <c r="BJ2300" s="458"/>
      <c r="BK2300" s="458"/>
      <c r="BL2300" s="458"/>
      <c r="BM2300" s="458"/>
      <c r="BN2300" s="458"/>
      <c r="BO2300" s="866">
        <f>VLOOKUP(BD2300,$BD$4:$BN$12824,3,0)*BE2300</f>
        <v>1101005.9280654665</v>
      </c>
      <c r="BP2300" s="866"/>
      <c r="BQ2300" s="866"/>
      <c r="BR2300" s="866">
        <f>VLOOKUP(BD2300,$BD$4:$BN$12824,6,0)*BE2300</f>
        <v>509056.90108849725</v>
      </c>
      <c r="BS2300" s="866">
        <f>VLOOKUP(BD2300,$BD$4:$BN$12824,7,0)*BE2300</f>
        <v>85364.403761922877</v>
      </c>
      <c r="BT2300" s="866"/>
      <c r="BU2300" s="866">
        <f>VLOOKUP(BD2300,$BD$4:$BN$12824,9,0)*BE2300</f>
        <v>14028.539222598676</v>
      </c>
      <c r="BV2300" s="867"/>
      <c r="BW2300" s="867">
        <f>VLOOKUP(BD2300,$BD$4:$BN$12824,11,0)*BE2300</f>
        <v>105740.19660165504</v>
      </c>
      <c r="BX2300" s="1146">
        <f t="shared" si="479"/>
        <v>1815195.9687401406</v>
      </c>
      <c r="BY2300" s="867">
        <f t="shared" si="480"/>
        <v>87086834.237140134</v>
      </c>
      <c r="BZ2300" s="867">
        <f t="shared" si="481"/>
        <v>87086834.237140134</v>
      </c>
      <c r="CA2300" s="867">
        <f>_xlfn.MAXIFS($BY$4:$BY$12824,$S$4:$S$12824,$S2300)</f>
        <v>87086834.237140134</v>
      </c>
      <c r="CB2300" s="1032"/>
    </row>
    <row r="2301" spans="2:80">
      <c r="B2301" s="839" t="s">
        <v>98</v>
      </c>
      <c r="C2301" s="839" t="s">
        <v>7454</v>
      </c>
      <c r="D2301" s="839" t="s">
        <v>7455</v>
      </c>
      <c r="E2301" s="839" t="s">
        <v>7455</v>
      </c>
      <c r="F2301" s="841">
        <v>46056</v>
      </c>
      <c r="G2301" s="839" t="s">
        <v>7454</v>
      </c>
      <c r="H2301" s="883" t="s">
        <v>3457</v>
      </c>
      <c r="I2301" s="883"/>
      <c r="J2301" s="841"/>
      <c r="K2301" s="841"/>
      <c r="L2301" s="843" t="s">
        <v>7456</v>
      </c>
      <c r="M2301" s="844" t="s">
        <v>107</v>
      </c>
      <c r="N2301" s="841"/>
      <c r="O2301" s="884"/>
      <c r="P2301" s="842"/>
      <c r="Q2301" s="843"/>
      <c r="R2301" s="845" t="s">
        <v>7615</v>
      </c>
      <c r="S2301" s="1127" t="s">
        <v>7616</v>
      </c>
      <c r="T2301" s="843" t="s">
        <v>7617</v>
      </c>
      <c r="U2301" s="886">
        <v>1</v>
      </c>
      <c r="V2301" s="842" t="s">
        <v>3</v>
      </c>
      <c r="W2301" s="846">
        <v>10208.002873563219</v>
      </c>
      <c r="X2301" s="847">
        <f t="shared" si="482"/>
        <v>10208.002873563219</v>
      </c>
      <c r="Y2301" s="853" t="s">
        <v>7460</v>
      </c>
      <c r="Z2301" s="849">
        <v>7104.77</v>
      </c>
      <c r="AA2301" s="849"/>
      <c r="AB2301" s="849">
        <f t="shared" si="477"/>
        <v>7104.77</v>
      </c>
      <c r="AC2301" s="850">
        <f t="shared" si="478"/>
        <v>7104.77</v>
      </c>
      <c r="AD2301" s="851">
        <v>32000</v>
      </c>
      <c r="AE2301" s="852">
        <v>29845.73</v>
      </c>
      <c r="AF2301" s="853">
        <v>0</v>
      </c>
      <c r="AG2301" s="854">
        <f t="shared" si="483"/>
        <v>0</v>
      </c>
      <c r="AH2301" s="853">
        <v>0.08</v>
      </c>
      <c r="AI2301" s="855">
        <f t="shared" si="484"/>
        <v>16963763.770568002</v>
      </c>
      <c r="AJ2301" s="845" t="s">
        <v>7461</v>
      </c>
      <c r="AK2301" s="857">
        <v>46106</v>
      </c>
      <c r="AL2301" s="843" t="s">
        <v>7462</v>
      </c>
      <c r="AM2301" s="843"/>
      <c r="AN2301" s="844">
        <v>2</v>
      </c>
      <c r="AO2301" s="844" t="s">
        <v>7463</v>
      </c>
      <c r="AP2301" s="841"/>
      <c r="AQ2301" s="842"/>
      <c r="AR2301" s="841">
        <v>46194</v>
      </c>
      <c r="AS2301" s="842" t="s">
        <v>6737</v>
      </c>
      <c r="AT2301" s="842" t="s">
        <v>1187</v>
      </c>
      <c r="AU2301" s="842" t="s">
        <v>1565</v>
      </c>
      <c r="AV2301" s="843" t="s">
        <v>7464</v>
      </c>
      <c r="AW2301" s="861">
        <v>46198</v>
      </c>
      <c r="AX2301" s="862">
        <v>46199</v>
      </c>
      <c r="AY2301" s="843" t="s">
        <v>7618</v>
      </c>
      <c r="AZ2301" s="842" t="s">
        <v>4700</v>
      </c>
      <c r="BA2301" s="842" t="s">
        <v>120</v>
      </c>
      <c r="BB2301" s="863" t="s">
        <v>121</v>
      </c>
      <c r="BC2301" s="864">
        <v>46202</v>
      </c>
      <c r="BD2301" s="860" t="s">
        <v>7466</v>
      </c>
      <c r="BE2301" s="865" cm="1">
        <f t="array" ref="BE2301">IF(BD2301="","",AC2301/SUMPRODUCT(--(BD2301=$BD$4:$BD$12824),$AC$4:$AC$12824))</f>
        <v>4.4158364666794625E-2</v>
      </c>
      <c r="BF2301" s="458"/>
      <c r="BG2301" s="458"/>
      <c r="BH2301" s="458"/>
      <c r="BI2301" s="458"/>
      <c r="BJ2301" s="458"/>
      <c r="BK2301" s="458"/>
      <c r="BL2301" s="458"/>
      <c r="BM2301" s="458"/>
      <c r="BN2301" s="458"/>
      <c r="BO2301" s="866">
        <f>VLOOKUP(BD2301,$BD$4:$BN$12824,3,0)*BE2301</f>
        <v>2737898.0943976669</v>
      </c>
      <c r="BP2301" s="866"/>
      <c r="BQ2301" s="866"/>
      <c r="BR2301" s="866">
        <f>VLOOKUP(BD2301,$BD$4:$BN$12824,6,0)*BE2301</f>
        <v>1265884.1191519045</v>
      </c>
      <c r="BS2301" s="866">
        <f>VLOOKUP(BD2301,$BD$4:$BN$12824,7,0)*BE2301</f>
        <v>212277.72933050417</v>
      </c>
      <c r="BT2301" s="866"/>
      <c r="BU2301" s="866">
        <f>VLOOKUP(BD2301,$BD$4:$BN$12824,9,0)*BE2301</f>
        <v>34885.108086767752</v>
      </c>
      <c r="BV2301" s="867"/>
      <c r="BW2301" s="867">
        <f>VLOOKUP(BD2301,$BD$4:$BN$12824,11,0)*BE2301</f>
        <v>262946.70664088539</v>
      </c>
      <c r="BX2301" s="1146">
        <f t="shared" si="479"/>
        <v>4513891.7576077282</v>
      </c>
      <c r="BY2301" s="867">
        <f t="shared" si="480"/>
        <v>216560938.88970774</v>
      </c>
      <c r="BZ2301" s="867">
        <f t="shared" si="481"/>
        <v>216560938.88970774</v>
      </c>
      <c r="CA2301" s="867">
        <f>_xlfn.MAXIFS($BY$4:$BY$12824,$S$4:$S$12824,$S2301)</f>
        <v>216560938.88970774</v>
      </c>
      <c r="CB2301" s="1032"/>
    </row>
    <row r="2302" spans="2:80">
      <c r="B2302" s="839" t="s">
        <v>98</v>
      </c>
      <c r="C2302" s="839" t="s">
        <v>7454</v>
      </c>
      <c r="D2302" s="839" t="s">
        <v>7455</v>
      </c>
      <c r="E2302" s="839" t="s">
        <v>7455</v>
      </c>
      <c r="F2302" s="841">
        <v>46056</v>
      </c>
      <c r="G2302" s="839" t="s">
        <v>7454</v>
      </c>
      <c r="H2302" s="883" t="s">
        <v>3457</v>
      </c>
      <c r="I2302" s="883"/>
      <c r="J2302" s="841"/>
      <c r="K2302" s="841"/>
      <c r="L2302" s="843" t="s">
        <v>7456</v>
      </c>
      <c r="M2302" s="844" t="s">
        <v>107</v>
      </c>
      <c r="N2302" s="841"/>
      <c r="O2302" s="884"/>
      <c r="P2302" s="842"/>
      <c r="Q2302" s="843"/>
      <c r="R2302" s="845" t="s">
        <v>7619</v>
      </c>
      <c r="S2302" s="1127" t="s">
        <v>7620</v>
      </c>
      <c r="T2302" s="843" t="s">
        <v>7621</v>
      </c>
      <c r="U2302" s="886">
        <v>2</v>
      </c>
      <c r="V2302" s="842" t="s">
        <v>3</v>
      </c>
      <c r="W2302" s="846">
        <v>1422</v>
      </c>
      <c r="X2302" s="847">
        <f t="shared" si="482"/>
        <v>2844</v>
      </c>
      <c r="Y2302" s="853" t="s">
        <v>7460</v>
      </c>
      <c r="Z2302" s="849">
        <v>989.71</v>
      </c>
      <c r="AA2302" s="849"/>
      <c r="AB2302" s="849">
        <f t="shared" si="477"/>
        <v>1979.42</v>
      </c>
      <c r="AC2302" s="850">
        <f t="shared" si="478"/>
        <v>1979.42</v>
      </c>
      <c r="AD2302" s="851">
        <v>32000</v>
      </c>
      <c r="AE2302" s="852">
        <v>29845.73</v>
      </c>
      <c r="AF2302" s="853">
        <v>0</v>
      </c>
      <c r="AG2302" s="854">
        <f t="shared" si="483"/>
        <v>0</v>
      </c>
      <c r="AH2302" s="853">
        <v>0.08</v>
      </c>
      <c r="AI2302" s="855">
        <f t="shared" si="484"/>
        <v>4726178.7901280001</v>
      </c>
      <c r="AJ2302" s="845" t="s">
        <v>7461</v>
      </c>
      <c r="AK2302" s="857">
        <v>46106</v>
      </c>
      <c r="AL2302" s="843" t="s">
        <v>7462</v>
      </c>
      <c r="AM2302" s="843"/>
      <c r="AN2302" s="844">
        <v>2</v>
      </c>
      <c r="AO2302" s="844" t="s">
        <v>7463</v>
      </c>
      <c r="AP2302" s="841"/>
      <c r="AQ2302" s="842"/>
      <c r="AR2302" s="841">
        <v>46194</v>
      </c>
      <c r="AS2302" s="842" t="s">
        <v>6737</v>
      </c>
      <c r="AT2302" s="842" t="s">
        <v>1187</v>
      </c>
      <c r="AU2302" s="842" t="s">
        <v>1565</v>
      </c>
      <c r="AV2302" s="843" t="s">
        <v>7464</v>
      </c>
      <c r="AW2302" s="861">
        <v>46198</v>
      </c>
      <c r="AX2302" s="862">
        <v>46199</v>
      </c>
      <c r="AY2302" s="843" t="s">
        <v>7622</v>
      </c>
      <c r="AZ2302" s="842" t="s">
        <v>4269</v>
      </c>
      <c r="BA2302" s="842" t="s">
        <v>120</v>
      </c>
      <c r="BB2302" s="863" t="s">
        <v>121</v>
      </c>
      <c r="BC2302" s="864">
        <v>46202</v>
      </c>
      <c r="BD2302" s="860" t="s">
        <v>7466</v>
      </c>
      <c r="BE2302" s="865" cm="1">
        <f t="array" ref="BE2302">IF(BD2302="","",AC2302/SUMPRODUCT(--(BD2302=$BD$4:$BD$12824),$AC$4:$AC$12824))</f>
        <v>1.2302713555645941E-2</v>
      </c>
      <c r="BF2302" s="458"/>
      <c r="BG2302" s="458"/>
      <c r="BH2302" s="458"/>
      <c r="BI2302" s="458"/>
      <c r="BJ2302" s="458"/>
      <c r="BK2302" s="458"/>
      <c r="BL2302" s="458"/>
      <c r="BM2302" s="458"/>
      <c r="BN2302" s="458"/>
      <c r="BO2302" s="866">
        <f>VLOOKUP(BD2302,$BD$4:$BN$12824,3,0)*BE2302</f>
        <v>762790.38533444842</v>
      </c>
      <c r="BP2302" s="866"/>
      <c r="BQ2302" s="866"/>
      <c r="BR2302" s="866">
        <f>VLOOKUP(BD2302,$BD$4:$BN$12824,6,0)*BE2302</f>
        <v>352680.85288217105</v>
      </c>
      <c r="BS2302" s="866">
        <f>VLOOKUP(BD2302,$BD$4:$BN$12824,7,0)*BE2302</f>
        <v>59141.503946135701</v>
      </c>
      <c r="BT2302" s="866"/>
      <c r="BU2302" s="866">
        <f>VLOOKUP(BD2302,$BD$4:$BN$12824,9,0)*BE2302</f>
        <v>9719.1437089602932</v>
      </c>
      <c r="BV2302" s="867"/>
      <c r="BW2302" s="867">
        <f>VLOOKUP(BD2302,$BD$4:$BN$12824,11,0)*BE2302</f>
        <v>73258.102663295416</v>
      </c>
      <c r="BX2302" s="1146">
        <f t="shared" si="479"/>
        <v>1257589.988535011</v>
      </c>
      <c r="BY2302" s="867">
        <f t="shared" si="480"/>
        <v>30167412.432567507</v>
      </c>
      <c r="BZ2302" s="867">
        <f t="shared" si="481"/>
        <v>60334824.865135014</v>
      </c>
      <c r="CA2302" s="867">
        <f>_xlfn.MAXIFS($BY$4:$BY$12824,$S$4:$S$12824,$S2302)</f>
        <v>30167412.432567507</v>
      </c>
      <c r="CB2302" s="1032"/>
    </row>
    <row r="2303" spans="2:80">
      <c r="B2303" s="839" t="s">
        <v>98</v>
      </c>
      <c r="C2303" s="839" t="s">
        <v>7454</v>
      </c>
      <c r="D2303" s="839" t="s">
        <v>7455</v>
      </c>
      <c r="E2303" s="839" t="s">
        <v>7455</v>
      </c>
      <c r="F2303" s="841">
        <v>46056</v>
      </c>
      <c r="G2303" s="839" t="s">
        <v>7454</v>
      </c>
      <c r="H2303" s="883" t="s">
        <v>3457</v>
      </c>
      <c r="I2303" s="883"/>
      <c r="J2303" s="841"/>
      <c r="K2303" s="841"/>
      <c r="L2303" s="843" t="s">
        <v>7456</v>
      </c>
      <c r="M2303" s="844" t="s">
        <v>107</v>
      </c>
      <c r="N2303" s="841"/>
      <c r="O2303" s="884"/>
      <c r="P2303" s="842"/>
      <c r="Q2303" s="843"/>
      <c r="R2303" s="845" t="s">
        <v>7623</v>
      </c>
      <c r="S2303" s="1127" t="s">
        <v>7624</v>
      </c>
      <c r="T2303" s="843" t="s">
        <v>7625</v>
      </c>
      <c r="U2303" s="886">
        <v>2</v>
      </c>
      <c r="V2303" s="842" t="s">
        <v>3</v>
      </c>
      <c r="W2303" s="846">
        <v>2366</v>
      </c>
      <c r="X2303" s="847">
        <f t="shared" si="482"/>
        <v>4732</v>
      </c>
      <c r="Y2303" s="853" t="s">
        <v>7460</v>
      </c>
      <c r="Z2303" s="849">
        <v>1646.74</v>
      </c>
      <c r="AA2303" s="849"/>
      <c r="AB2303" s="849">
        <f t="shared" si="477"/>
        <v>3293.48</v>
      </c>
      <c r="AC2303" s="850">
        <f t="shared" si="478"/>
        <v>3293.48</v>
      </c>
      <c r="AD2303" s="851">
        <v>32000</v>
      </c>
      <c r="AE2303" s="852">
        <v>29845.73</v>
      </c>
      <c r="AF2303" s="853">
        <v>0</v>
      </c>
      <c r="AG2303" s="854">
        <f t="shared" si="483"/>
        <v>0</v>
      </c>
      <c r="AH2303" s="853">
        <v>0.08</v>
      </c>
      <c r="AI2303" s="855">
        <f t="shared" si="484"/>
        <v>7863705.1872319998</v>
      </c>
      <c r="AJ2303" s="845" t="s">
        <v>7461</v>
      </c>
      <c r="AK2303" s="857">
        <v>46106</v>
      </c>
      <c r="AL2303" s="843" t="s">
        <v>7462</v>
      </c>
      <c r="AM2303" s="843"/>
      <c r="AN2303" s="844">
        <v>2</v>
      </c>
      <c r="AO2303" s="844" t="s">
        <v>7463</v>
      </c>
      <c r="AP2303" s="841"/>
      <c r="AQ2303" s="842"/>
      <c r="AR2303" s="841">
        <v>46194</v>
      </c>
      <c r="AS2303" s="842" t="s">
        <v>6737</v>
      </c>
      <c r="AT2303" s="842" t="s">
        <v>1187</v>
      </c>
      <c r="AU2303" s="842" t="s">
        <v>1565</v>
      </c>
      <c r="AV2303" s="843" t="s">
        <v>7464</v>
      </c>
      <c r="AW2303" s="861">
        <v>46198</v>
      </c>
      <c r="AX2303" s="862">
        <v>46199</v>
      </c>
      <c r="AY2303" s="843" t="s">
        <v>7626</v>
      </c>
      <c r="AZ2303" s="842" t="s">
        <v>2704</v>
      </c>
      <c r="BA2303" s="842" t="s">
        <v>120</v>
      </c>
      <c r="BB2303" s="863" t="s">
        <v>121</v>
      </c>
      <c r="BC2303" s="864">
        <v>46202</v>
      </c>
      <c r="BD2303" s="860" t="s">
        <v>7466</v>
      </c>
      <c r="BE2303" s="865" cm="1">
        <f t="array" ref="BE2303">IF(BD2303="","",AC2303/SUMPRODUCT(--(BD2303=$BD$4:$BD$12824),$AC$4:$AC$12824))</f>
        <v>2.0470006891538325E-2</v>
      </c>
      <c r="BF2303" s="458"/>
      <c r="BG2303" s="458"/>
      <c r="BH2303" s="458"/>
      <c r="BI2303" s="458"/>
      <c r="BJ2303" s="458"/>
      <c r="BK2303" s="458"/>
      <c r="BL2303" s="458"/>
      <c r="BM2303" s="458"/>
      <c r="BN2303" s="458"/>
      <c r="BO2303" s="866">
        <f>VLOOKUP(BD2303,$BD$4:$BN$12824,3,0)*BE2303</f>
        <v>1269177.2732877808</v>
      </c>
      <c r="BP2303" s="866"/>
      <c r="BQ2303" s="866"/>
      <c r="BR2303" s="866">
        <f>VLOOKUP(BD2303,$BD$4:$BN$12824,6,0)*BE2303</f>
        <v>586811.96277211141</v>
      </c>
      <c r="BS2303" s="866">
        <f>VLOOKUP(BD2303,$BD$4:$BN$12824,7,0)*BE2303</f>
        <v>98403.249647128454</v>
      </c>
      <c r="BT2303" s="866"/>
      <c r="BU2303" s="866">
        <f>VLOOKUP(BD2303,$BD$4:$BN$12824,9,0)*BE2303</f>
        <v>16171.305444315276</v>
      </c>
      <c r="BV2303" s="867"/>
      <c r="BW2303" s="867">
        <f>VLOOKUP(BD2303,$BD$4:$BN$12824,11,0)*BE2303</f>
        <v>121891.30955507682</v>
      </c>
      <c r="BX2303" s="1146">
        <f t="shared" si="479"/>
        <v>2092455.1007064127</v>
      </c>
      <c r="BY2303" s="867">
        <f t="shared" si="480"/>
        <v>50194384.970553204</v>
      </c>
      <c r="BZ2303" s="867">
        <f t="shared" si="481"/>
        <v>100388769.94110641</v>
      </c>
      <c r="CA2303" s="867">
        <f>_xlfn.MAXIFS($BY$4:$BY$12824,$S$4:$S$12824,$S2303)</f>
        <v>50194384.970553204</v>
      </c>
      <c r="CB2303" s="1032"/>
    </row>
    <row r="2304" spans="2:80">
      <c r="B2304" s="839" t="s">
        <v>98</v>
      </c>
      <c r="C2304" s="839" t="s">
        <v>7454</v>
      </c>
      <c r="D2304" s="839" t="s">
        <v>7455</v>
      </c>
      <c r="E2304" s="839" t="s">
        <v>7455</v>
      </c>
      <c r="F2304" s="841">
        <v>46056</v>
      </c>
      <c r="G2304" s="839" t="s">
        <v>7454</v>
      </c>
      <c r="H2304" s="883" t="s">
        <v>3457</v>
      </c>
      <c r="I2304" s="883"/>
      <c r="J2304" s="841"/>
      <c r="K2304" s="841"/>
      <c r="L2304" s="843" t="s">
        <v>7456</v>
      </c>
      <c r="M2304" s="844" t="s">
        <v>107</v>
      </c>
      <c r="N2304" s="841"/>
      <c r="O2304" s="884"/>
      <c r="P2304" s="842"/>
      <c r="Q2304" s="843"/>
      <c r="R2304" s="845" t="s">
        <v>7627</v>
      </c>
      <c r="S2304" s="1127" t="s">
        <v>7628</v>
      </c>
      <c r="T2304" s="843" t="s">
        <v>7629</v>
      </c>
      <c r="U2304" s="886">
        <v>1</v>
      </c>
      <c r="V2304" s="842" t="s">
        <v>3</v>
      </c>
      <c r="W2304" s="846">
        <v>481</v>
      </c>
      <c r="X2304" s="847">
        <f t="shared" si="482"/>
        <v>481</v>
      </c>
      <c r="Y2304" s="853" t="s">
        <v>7460</v>
      </c>
      <c r="Z2304" s="849">
        <v>334.78</v>
      </c>
      <c r="AA2304" s="849"/>
      <c r="AB2304" s="849">
        <f t="shared" si="477"/>
        <v>334.78</v>
      </c>
      <c r="AC2304" s="850">
        <f t="shared" si="478"/>
        <v>334.78</v>
      </c>
      <c r="AD2304" s="851">
        <v>32000</v>
      </c>
      <c r="AE2304" s="852">
        <v>29845.73</v>
      </c>
      <c r="AF2304" s="853">
        <v>0</v>
      </c>
      <c r="AG2304" s="854">
        <f t="shared" si="483"/>
        <v>0</v>
      </c>
      <c r="AH2304" s="853">
        <v>0.08</v>
      </c>
      <c r="AI2304" s="855">
        <f t="shared" si="484"/>
        <v>799340.27915199997</v>
      </c>
      <c r="AJ2304" s="845" t="s">
        <v>7461</v>
      </c>
      <c r="AK2304" s="857">
        <v>46106</v>
      </c>
      <c r="AL2304" s="843" t="s">
        <v>7462</v>
      </c>
      <c r="AM2304" s="843"/>
      <c r="AN2304" s="844">
        <v>2</v>
      </c>
      <c r="AO2304" s="844" t="s">
        <v>7463</v>
      </c>
      <c r="AP2304" s="841"/>
      <c r="AQ2304" s="842"/>
      <c r="AR2304" s="841">
        <v>46194</v>
      </c>
      <c r="AS2304" s="842" t="s">
        <v>6737</v>
      </c>
      <c r="AT2304" s="842" t="s">
        <v>1187</v>
      </c>
      <c r="AU2304" s="842" t="s">
        <v>1565</v>
      </c>
      <c r="AV2304" s="843" t="s">
        <v>7464</v>
      </c>
      <c r="AW2304" s="861">
        <v>46198</v>
      </c>
      <c r="AX2304" s="862">
        <v>46199</v>
      </c>
      <c r="AY2304" s="843" t="s">
        <v>7630</v>
      </c>
      <c r="AZ2304" s="842" t="s">
        <v>4700</v>
      </c>
      <c r="BA2304" s="842" t="s">
        <v>120</v>
      </c>
      <c r="BB2304" s="863" t="s">
        <v>121</v>
      </c>
      <c r="BC2304" s="864">
        <v>46202</v>
      </c>
      <c r="BD2304" s="860" t="s">
        <v>7466</v>
      </c>
      <c r="BE2304" s="865" cm="1">
        <f t="array" ref="BE2304">IF(BD2304="","",AC2304/SUMPRODUCT(--(BD2304=$BD$4:$BD$12824),$AC$4:$AC$12824))</f>
        <v>2.0807622657946002E-3</v>
      </c>
      <c r="BF2304" s="458"/>
      <c r="BG2304" s="458"/>
      <c r="BH2304" s="458"/>
      <c r="BI2304" s="458"/>
      <c r="BJ2304" s="458"/>
      <c r="BK2304" s="458"/>
      <c r="BL2304" s="458"/>
      <c r="BM2304" s="458"/>
      <c r="BN2304" s="458"/>
      <c r="BO2304" s="866">
        <f>VLOOKUP(BD2304,$BD$4:$BN$12824,3,0)*BE2304</f>
        <v>129011.00585134364</v>
      </c>
      <c r="BP2304" s="866"/>
      <c r="BQ2304" s="866"/>
      <c r="BR2304" s="866">
        <f>VLOOKUP(BD2304,$BD$4:$BN$12824,6,0)*BE2304</f>
        <v>59649.036550046592</v>
      </c>
      <c r="BS2304" s="866">
        <f>VLOOKUP(BD2304,$BD$4:$BN$12824,7,0)*BE2304</f>
        <v>10002.623339709262</v>
      </c>
      <c r="BT2304" s="866"/>
      <c r="BU2304" s="866">
        <f>VLOOKUP(BD2304,$BD$4:$BN$12824,9,0)*BE2304</f>
        <v>1643.8021899777341</v>
      </c>
      <c r="BV2304" s="867"/>
      <c r="BW2304" s="867">
        <f>VLOOKUP(BD2304,$BD$4:$BN$12824,11,0)*BE2304</f>
        <v>12390.168640115809</v>
      </c>
      <c r="BX2304" s="1146">
        <f t="shared" si="479"/>
        <v>212696.63657119306</v>
      </c>
      <c r="BY2304" s="867">
        <f t="shared" si="480"/>
        <v>10204450.125971192</v>
      </c>
      <c r="BZ2304" s="867">
        <f t="shared" si="481"/>
        <v>10204450.125971192</v>
      </c>
      <c r="CA2304" s="867">
        <f>_xlfn.MAXIFS($BY$4:$BY$12824,$S$4:$S$12824,$S2304)</f>
        <v>10204450.125971192</v>
      </c>
      <c r="CB2304" s="1032"/>
    </row>
    <row r="2305" spans="2:80">
      <c r="B2305" s="839" t="s">
        <v>98</v>
      </c>
      <c r="C2305" s="839" t="s">
        <v>7454</v>
      </c>
      <c r="D2305" s="839" t="s">
        <v>7455</v>
      </c>
      <c r="E2305" s="839" t="s">
        <v>7455</v>
      </c>
      <c r="F2305" s="841">
        <v>46056</v>
      </c>
      <c r="G2305" s="839" t="s">
        <v>7454</v>
      </c>
      <c r="H2305" s="883" t="s">
        <v>3457</v>
      </c>
      <c r="I2305" s="883"/>
      <c r="J2305" s="841"/>
      <c r="K2305" s="841"/>
      <c r="L2305" s="843" t="s">
        <v>7456</v>
      </c>
      <c r="M2305" s="844" t="s">
        <v>107</v>
      </c>
      <c r="N2305" s="841"/>
      <c r="O2305" s="884"/>
      <c r="P2305" s="842"/>
      <c r="Q2305" s="843"/>
      <c r="R2305" s="845" t="s">
        <v>7631</v>
      </c>
      <c r="S2305" s="1127" t="s">
        <v>7632</v>
      </c>
      <c r="T2305" s="843" t="s">
        <v>7633</v>
      </c>
      <c r="U2305" s="886">
        <v>1</v>
      </c>
      <c r="V2305" s="842" t="s">
        <v>3</v>
      </c>
      <c r="W2305" s="846">
        <v>2808</v>
      </c>
      <c r="X2305" s="847">
        <f t="shared" si="482"/>
        <v>2808</v>
      </c>
      <c r="Y2305" s="853" t="s">
        <v>7460</v>
      </c>
      <c r="Z2305" s="849">
        <v>1954.37</v>
      </c>
      <c r="AA2305" s="849"/>
      <c r="AB2305" s="849">
        <f t="shared" si="477"/>
        <v>1954.37</v>
      </c>
      <c r="AC2305" s="850">
        <f t="shared" si="478"/>
        <v>1954.37</v>
      </c>
      <c r="AD2305" s="851">
        <v>32000</v>
      </c>
      <c r="AE2305" s="852">
        <v>29845.73</v>
      </c>
      <c r="AF2305" s="853">
        <v>0</v>
      </c>
      <c r="AG2305" s="854">
        <f t="shared" si="483"/>
        <v>0</v>
      </c>
      <c r="AH2305" s="853">
        <v>0.08</v>
      </c>
      <c r="AI2305" s="855">
        <f t="shared" si="484"/>
        <v>4666367.9472080003</v>
      </c>
      <c r="AJ2305" s="845" t="s">
        <v>7461</v>
      </c>
      <c r="AK2305" s="857">
        <v>46106</v>
      </c>
      <c r="AL2305" s="843" t="s">
        <v>7462</v>
      </c>
      <c r="AM2305" s="843"/>
      <c r="AN2305" s="844">
        <v>2</v>
      </c>
      <c r="AO2305" s="844" t="s">
        <v>7463</v>
      </c>
      <c r="AP2305" s="841"/>
      <c r="AQ2305" s="842"/>
      <c r="AR2305" s="841">
        <v>46194</v>
      </c>
      <c r="AS2305" s="842" t="s">
        <v>6737</v>
      </c>
      <c r="AT2305" s="842" t="s">
        <v>1187</v>
      </c>
      <c r="AU2305" s="842" t="s">
        <v>1565</v>
      </c>
      <c r="AV2305" s="843" t="s">
        <v>7464</v>
      </c>
      <c r="AW2305" s="861">
        <v>46198</v>
      </c>
      <c r="AX2305" s="862">
        <v>46199</v>
      </c>
      <c r="AY2305" s="843" t="s">
        <v>7634</v>
      </c>
      <c r="AZ2305" s="842" t="s">
        <v>3183</v>
      </c>
      <c r="BA2305" s="842" t="s">
        <v>120</v>
      </c>
      <c r="BB2305" s="863" t="s">
        <v>121</v>
      </c>
      <c r="BC2305" s="864">
        <v>46202</v>
      </c>
      <c r="BD2305" s="860" t="s">
        <v>7466</v>
      </c>
      <c r="BE2305" s="865" cm="1">
        <f t="array" ref="BE2305">IF(BD2305="","",AC2305/SUMPRODUCT(--(BD2305=$BD$4:$BD$12824),$AC$4:$AC$12824))</f>
        <v>1.2147019981483341E-2</v>
      </c>
      <c r="BF2305" s="458"/>
      <c r="BG2305" s="458"/>
      <c r="BH2305" s="458"/>
      <c r="BI2305" s="458"/>
      <c r="BJ2305" s="458"/>
      <c r="BK2305" s="458"/>
      <c r="BL2305" s="458"/>
      <c r="BM2305" s="458"/>
      <c r="BN2305" s="458"/>
      <c r="BO2305" s="866">
        <f>VLOOKUP(BD2305,$BD$4:$BN$12824,3,0)*BE2305</f>
        <v>753137.10348793387</v>
      </c>
      <c r="BP2305" s="866"/>
      <c r="BQ2305" s="866"/>
      <c r="BR2305" s="866">
        <f>VLOOKUP(BD2305,$BD$4:$BN$12824,6,0)*BE2305</f>
        <v>348217.59831027704</v>
      </c>
      <c r="BS2305" s="866">
        <f>VLOOKUP(BD2305,$BD$4:$BN$12824,7,0)*BE2305</f>
        <v>58393.055070277769</v>
      </c>
      <c r="BT2305" s="866"/>
      <c r="BU2305" s="866">
        <f>VLOOKUP(BD2305,$BD$4:$BN$12824,9,0)*BE2305</f>
        <v>9596.1457853718402</v>
      </c>
      <c r="BV2305" s="867"/>
      <c r="BW2305" s="867">
        <f>VLOOKUP(BD2305,$BD$4:$BN$12824,11,0)*BE2305</f>
        <v>72331.005093443862</v>
      </c>
      <c r="BX2305" s="1146">
        <f t="shared" si="479"/>
        <v>1241674.9077473043</v>
      </c>
      <c r="BY2305" s="867">
        <f t="shared" si="480"/>
        <v>59571274.247847304</v>
      </c>
      <c r="BZ2305" s="867">
        <f t="shared" si="481"/>
        <v>59571274.247847304</v>
      </c>
      <c r="CA2305" s="867">
        <f>_xlfn.MAXIFS($BY$4:$BY$12824,$S$4:$S$12824,$S2305)</f>
        <v>59571274.247847304</v>
      </c>
      <c r="CB2305" s="1032"/>
    </row>
    <row r="2306" spans="2:80">
      <c r="B2306" s="839" t="s">
        <v>98</v>
      </c>
      <c r="C2306" s="839" t="s">
        <v>7454</v>
      </c>
      <c r="D2306" s="839" t="s">
        <v>7455</v>
      </c>
      <c r="E2306" s="839" t="s">
        <v>7455</v>
      </c>
      <c r="F2306" s="841">
        <v>46056</v>
      </c>
      <c r="G2306" s="839" t="s">
        <v>7454</v>
      </c>
      <c r="H2306" s="883" t="s">
        <v>3457</v>
      </c>
      <c r="I2306" s="883"/>
      <c r="J2306" s="841"/>
      <c r="K2306" s="841"/>
      <c r="L2306" s="843" t="s">
        <v>7456</v>
      </c>
      <c r="M2306" s="844" t="s">
        <v>107</v>
      </c>
      <c r="N2306" s="841"/>
      <c r="O2306" s="884"/>
      <c r="P2306" s="842"/>
      <c r="Q2306" s="843"/>
      <c r="R2306" s="845" t="s">
        <v>7635</v>
      </c>
      <c r="S2306" s="1127" t="s">
        <v>7636</v>
      </c>
      <c r="T2306" s="843" t="s">
        <v>7637</v>
      </c>
      <c r="U2306" s="886">
        <v>2</v>
      </c>
      <c r="V2306" s="842" t="s">
        <v>3</v>
      </c>
      <c r="W2306" s="846">
        <v>1128</v>
      </c>
      <c r="X2306" s="847">
        <f t="shared" si="482"/>
        <v>2256</v>
      </c>
      <c r="Y2306" s="853" t="s">
        <v>7460</v>
      </c>
      <c r="Z2306" s="849">
        <v>785.09</v>
      </c>
      <c r="AA2306" s="849"/>
      <c r="AB2306" s="849">
        <f t="shared" ref="AB2306:AB2314" si="485">IF(AA2306="F.O.C", 0, Z2306*U2306)</f>
        <v>1570.18</v>
      </c>
      <c r="AC2306" s="850">
        <f t="shared" ref="AC2306:AC2314" si="486">Z2306*U2306</f>
        <v>1570.18</v>
      </c>
      <c r="AD2306" s="851">
        <v>32000</v>
      </c>
      <c r="AE2306" s="852">
        <v>29845.73</v>
      </c>
      <c r="AF2306" s="853">
        <v>0</v>
      </c>
      <c r="AG2306" s="854">
        <f t="shared" si="483"/>
        <v>0</v>
      </c>
      <c r="AH2306" s="853">
        <v>0.08</v>
      </c>
      <c r="AI2306" s="855">
        <f t="shared" si="484"/>
        <v>3749053.4665120002</v>
      </c>
      <c r="AJ2306" s="845" t="s">
        <v>7461</v>
      </c>
      <c r="AK2306" s="857">
        <v>46106</v>
      </c>
      <c r="AL2306" s="843" t="s">
        <v>7462</v>
      </c>
      <c r="AM2306" s="843"/>
      <c r="AN2306" s="844">
        <v>2</v>
      </c>
      <c r="AO2306" s="844" t="s">
        <v>7463</v>
      </c>
      <c r="AP2306" s="841"/>
      <c r="AQ2306" s="842"/>
      <c r="AR2306" s="841">
        <v>46194</v>
      </c>
      <c r="AS2306" s="842" t="s">
        <v>6737</v>
      </c>
      <c r="AT2306" s="842" t="s">
        <v>1187</v>
      </c>
      <c r="AU2306" s="842" t="s">
        <v>1565</v>
      </c>
      <c r="AV2306" s="843" t="s">
        <v>7464</v>
      </c>
      <c r="AW2306" s="861">
        <v>46198</v>
      </c>
      <c r="AX2306" s="862">
        <v>46199</v>
      </c>
      <c r="AY2306" s="843" t="s">
        <v>7638</v>
      </c>
      <c r="AZ2306" s="842" t="s">
        <v>3183</v>
      </c>
      <c r="BA2306" s="842" t="s">
        <v>120</v>
      </c>
      <c r="BB2306" s="863" t="s">
        <v>121</v>
      </c>
      <c r="BC2306" s="864">
        <v>46202</v>
      </c>
      <c r="BD2306" s="860" t="s">
        <v>7466</v>
      </c>
      <c r="BE2306" s="865" cm="1">
        <f t="array" ref="BE2306">IF(BD2306="","",AC2306/SUMPRODUCT(--(BD2306=$BD$4:$BD$12824),$AC$4:$AC$12824))</f>
        <v>9.7591591328794018E-3</v>
      </c>
      <c r="BF2306" s="458"/>
      <c r="BG2306" s="458"/>
      <c r="BH2306" s="458"/>
      <c r="BI2306" s="458"/>
      <c r="BJ2306" s="458"/>
      <c r="BK2306" s="458"/>
      <c r="BL2306" s="458"/>
      <c r="BM2306" s="458"/>
      <c r="BN2306" s="458"/>
      <c r="BO2306" s="866">
        <f>VLOOKUP(BD2306,$BD$4:$BN$12824,3,0)*BE2306</f>
        <v>605085.43272496213</v>
      </c>
      <c r="BP2306" s="866"/>
      <c r="BQ2306" s="866"/>
      <c r="BR2306" s="866">
        <f>VLOOKUP(BD2306,$BD$4:$BN$12824,6,0)*BE2306</f>
        <v>279764.99256273429</v>
      </c>
      <c r="BS2306" s="866">
        <f>VLOOKUP(BD2306,$BD$4:$BN$12824,7,0)*BE2306</f>
        <v>46914.149935912217</v>
      </c>
      <c r="BT2306" s="866"/>
      <c r="BU2306" s="866">
        <f>VLOOKUP(BD2306,$BD$4:$BN$12824,9,0)*BE2306</f>
        <v>7709.7357149747277</v>
      </c>
      <c r="BV2306" s="867"/>
      <c r="BW2306" s="867">
        <f>VLOOKUP(BD2306,$BD$4:$BN$12824,11,0)*BE2306</f>
        <v>58112.17813291429</v>
      </c>
      <c r="BX2306" s="1146">
        <f t="shared" si="479"/>
        <v>997586.48907149758</v>
      </c>
      <c r="BY2306" s="867">
        <f t="shared" si="480"/>
        <v>23930377.410235748</v>
      </c>
      <c r="BZ2306" s="867">
        <f t="shared" si="481"/>
        <v>47860754.820471495</v>
      </c>
      <c r="CA2306" s="867">
        <f>_xlfn.MAXIFS($BY$4:$BY$12824,$S$4:$S$12824,$S2306)</f>
        <v>23930377.410235748</v>
      </c>
      <c r="CB2306" s="1032"/>
    </row>
    <row r="2307" spans="2:80">
      <c r="B2307" s="839" t="s">
        <v>98</v>
      </c>
      <c r="C2307" s="839" t="s">
        <v>7454</v>
      </c>
      <c r="D2307" s="839" t="s">
        <v>7455</v>
      </c>
      <c r="E2307" s="839" t="s">
        <v>7455</v>
      </c>
      <c r="F2307" s="841">
        <v>46056</v>
      </c>
      <c r="G2307" s="839" t="s">
        <v>7639</v>
      </c>
      <c r="H2307" s="883" t="s">
        <v>3457</v>
      </c>
      <c r="I2307" s="883"/>
      <c r="J2307" s="841"/>
      <c r="K2307" s="841"/>
      <c r="L2307" s="843" t="s">
        <v>7456</v>
      </c>
      <c r="M2307" s="844" t="s">
        <v>107</v>
      </c>
      <c r="N2307" s="841"/>
      <c r="O2307" s="884"/>
      <c r="P2307" s="842"/>
      <c r="Q2307" s="843"/>
      <c r="R2307" s="845" t="s">
        <v>7640</v>
      </c>
      <c r="S2307" s="1127" t="s">
        <v>7641</v>
      </c>
      <c r="T2307" s="843" t="s">
        <v>7642</v>
      </c>
      <c r="U2307" s="886">
        <v>1</v>
      </c>
      <c r="V2307" s="842" t="s">
        <v>3</v>
      </c>
      <c r="W2307" s="846">
        <v>1312</v>
      </c>
      <c r="X2307" s="847">
        <f t="shared" si="482"/>
        <v>1312</v>
      </c>
      <c r="Y2307" s="853" t="s">
        <v>7460</v>
      </c>
      <c r="Z2307" s="849">
        <v>913.15</v>
      </c>
      <c r="AA2307" s="849"/>
      <c r="AB2307" s="849">
        <f t="shared" si="485"/>
        <v>913.15</v>
      </c>
      <c r="AC2307" s="850">
        <f t="shared" si="486"/>
        <v>913.15</v>
      </c>
      <c r="AD2307" s="851">
        <v>32000</v>
      </c>
      <c r="AE2307" s="852">
        <v>29845.73</v>
      </c>
      <c r="AF2307" s="853">
        <v>0</v>
      </c>
      <c r="AG2307" s="854">
        <f t="shared" si="483"/>
        <v>0</v>
      </c>
      <c r="AH2307" s="853">
        <v>0.08</v>
      </c>
      <c r="AI2307" s="855">
        <f t="shared" si="484"/>
        <v>2180290.2679599999</v>
      </c>
      <c r="AJ2307" s="845" t="s">
        <v>7461</v>
      </c>
      <c r="AK2307" s="857">
        <v>46106</v>
      </c>
      <c r="AL2307" s="843" t="s">
        <v>7462</v>
      </c>
      <c r="AM2307" s="843"/>
      <c r="AN2307" s="844">
        <v>2</v>
      </c>
      <c r="AO2307" s="844" t="s">
        <v>7463</v>
      </c>
      <c r="AP2307" s="841"/>
      <c r="AQ2307" s="842"/>
      <c r="AR2307" s="841">
        <v>46194</v>
      </c>
      <c r="AS2307" s="842" t="s">
        <v>6737</v>
      </c>
      <c r="AT2307" s="842" t="s">
        <v>1187</v>
      </c>
      <c r="AU2307" s="842" t="s">
        <v>1565</v>
      </c>
      <c r="AV2307" s="843" t="s">
        <v>7464</v>
      </c>
      <c r="AW2307" s="861">
        <v>46198</v>
      </c>
      <c r="AX2307" s="862">
        <v>46199</v>
      </c>
      <c r="AY2307" s="843" t="s">
        <v>7643</v>
      </c>
      <c r="AZ2307" s="842" t="s">
        <v>3183</v>
      </c>
      <c r="BA2307" s="842" t="s">
        <v>120</v>
      </c>
      <c r="BB2307" s="863" t="s">
        <v>121</v>
      </c>
      <c r="BC2307" s="864">
        <v>46202</v>
      </c>
      <c r="BD2307" s="860" t="s">
        <v>7466</v>
      </c>
      <c r="BE2307" s="865" cm="1">
        <f t="array" ref="BE2307">IF(BD2307="","",AC2307/SUMPRODUCT(--(BD2307=$BD$4:$BD$12824),$AC$4:$AC$12824))</f>
        <v>5.675512464933208E-3</v>
      </c>
      <c r="BF2307" s="458"/>
      <c r="BG2307" s="458"/>
      <c r="BH2307" s="458"/>
      <c r="BI2307" s="458"/>
      <c r="BJ2307" s="458"/>
      <c r="BK2307" s="458"/>
      <c r="BL2307" s="458"/>
      <c r="BM2307" s="458"/>
      <c r="BN2307" s="458"/>
      <c r="BO2307" s="866">
        <f>VLOOKUP(BD2307,$BD$4:$BN$12824,3,0)*BE2307</f>
        <v>351891.98874829576</v>
      </c>
      <c r="BP2307" s="866"/>
      <c r="BQ2307" s="866"/>
      <c r="BR2307" s="866">
        <f>VLOOKUP(BD2307,$BD$4:$BN$12824,6,0)*BE2307</f>
        <v>162699.43761776405</v>
      </c>
      <c r="BS2307" s="866">
        <f>VLOOKUP(BD2307,$BD$4:$BN$12824,7,0)*BE2307</f>
        <v>27283.277085415837</v>
      </c>
      <c r="BT2307" s="866"/>
      <c r="BU2307" s="866">
        <f>VLOOKUP(BD2307,$BD$4:$BN$12824,9,0)*BE2307</f>
        <v>4483.6548472972345</v>
      </c>
      <c r="BV2307" s="867"/>
      <c r="BW2307" s="867">
        <f>VLOOKUP(BD2307,$BD$4:$BN$12824,11,0)*BE2307</f>
        <v>33795.574687023574</v>
      </c>
      <c r="BX2307" s="1146">
        <f t="shared" si="479"/>
        <v>580153.93298579636</v>
      </c>
      <c r="BY2307" s="867">
        <f t="shared" si="480"/>
        <v>27833782.282485798</v>
      </c>
      <c r="BZ2307" s="867">
        <f t="shared" si="481"/>
        <v>27833782.282485798</v>
      </c>
      <c r="CA2307" s="867">
        <f>_xlfn.MAXIFS($BY$4:$BY$12824,$S$4:$S$12824,$S2307)</f>
        <v>27833782.282485798</v>
      </c>
      <c r="CB2307" s="1032"/>
    </row>
    <row r="2308" spans="2:80">
      <c r="B2308" s="839" t="s">
        <v>98</v>
      </c>
      <c r="C2308" s="839" t="s">
        <v>7454</v>
      </c>
      <c r="D2308" s="839" t="s">
        <v>7455</v>
      </c>
      <c r="E2308" s="839" t="s">
        <v>7455</v>
      </c>
      <c r="F2308" s="841">
        <v>46056</v>
      </c>
      <c r="G2308" s="839" t="s">
        <v>7639</v>
      </c>
      <c r="H2308" s="883" t="s">
        <v>3457</v>
      </c>
      <c r="I2308" s="883"/>
      <c r="J2308" s="841"/>
      <c r="K2308" s="841"/>
      <c r="L2308" s="843" t="s">
        <v>7456</v>
      </c>
      <c r="M2308" s="844" t="s">
        <v>107</v>
      </c>
      <c r="N2308" s="841"/>
      <c r="O2308" s="884"/>
      <c r="P2308" s="842"/>
      <c r="Q2308" s="843"/>
      <c r="R2308" s="845" t="s">
        <v>7644</v>
      </c>
      <c r="S2308" s="1127" t="s">
        <v>7645</v>
      </c>
      <c r="T2308" s="843" t="s">
        <v>7646</v>
      </c>
      <c r="U2308" s="886">
        <v>1</v>
      </c>
      <c r="V2308" s="842" t="s">
        <v>3</v>
      </c>
      <c r="W2308" s="846">
        <v>2666</v>
      </c>
      <c r="X2308" s="847">
        <f t="shared" si="482"/>
        <v>2666</v>
      </c>
      <c r="Y2308" s="853" t="s">
        <v>7460</v>
      </c>
      <c r="Z2308" s="849">
        <v>1855.54</v>
      </c>
      <c r="AA2308" s="849"/>
      <c r="AB2308" s="849">
        <f t="shared" si="485"/>
        <v>1855.54</v>
      </c>
      <c r="AC2308" s="850">
        <f t="shared" si="486"/>
        <v>1855.54</v>
      </c>
      <c r="AD2308" s="851">
        <v>32000</v>
      </c>
      <c r="AE2308" s="852">
        <v>29845.73</v>
      </c>
      <c r="AF2308" s="853">
        <v>0</v>
      </c>
      <c r="AG2308" s="854">
        <f t="shared" si="483"/>
        <v>0</v>
      </c>
      <c r="AH2308" s="853">
        <v>0.08</v>
      </c>
      <c r="AI2308" s="855">
        <f t="shared" si="484"/>
        <v>4430395.6675359998</v>
      </c>
      <c r="AJ2308" s="845" t="s">
        <v>7461</v>
      </c>
      <c r="AK2308" s="857">
        <v>46106</v>
      </c>
      <c r="AL2308" s="843" t="s">
        <v>7462</v>
      </c>
      <c r="AM2308" s="843"/>
      <c r="AN2308" s="844">
        <v>2</v>
      </c>
      <c r="AO2308" s="844" t="s">
        <v>7463</v>
      </c>
      <c r="AP2308" s="841"/>
      <c r="AQ2308" s="842"/>
      <c r="AR2308" s="841">
        <v>46194</v>
      </c>
      <c r="AS2308" s="842" t="s">
        <v>6737</v>
      </c>
      <c r="AT2308" s="842" t="s">
        <v>1187</v>
      </c>
      <c r="AU2308" s="842" t="s">
        <v>1565</v>
      </c>
      <c r="AV2308" s="843" t="s">
        <v>7464</v>
      </c>
      <c r="AW2308" s="861">
        <v>46198</v>
      </c>
      <c r="AX2308" s="862">
        <v>46199</v>
      </c>
      <c r="AY2308" s="843" t="s">
        <v>7647</v>
      </c>
      <c r="AZ2308" s="842" t="s">
        <v>3183</v>
      </c>
      <c r="BA2308" s="842" t="s">
        <v>120</v>
      </c>
      <c r="BB2308" s="863" t="s">
        <v>121</v>
      </c>
      <c r="BC2308" s="864">
        <v>46202</v>
      </c>
      <c r="BD2308" s="860" t="s">
        <v>7466</v>
      </c>
      <c r="BE2308" s="865" cm="1">
        <f t="array" ref="BE2308">IF(BD2308="","",AC2308/SUMPRODUCT(--(BD2308=$BD$4:$BD$12824),$AC$4:$AC$12824))</f>
        <v>1.1532760662741242E-2</v>
      </c>
      <c r="BF2308" s="458"/>
      <c r="BG2308" s="458"/>
      <c r="BH2308" s="458"/>
      <c r="BI2308" s="458"/>
      <c r="BJ2308" s="458"/>
      <c r="BK2308" s="458"/>
      <c r="BL2308" s="458"/>
      <c r="BM2308" s="458"/>
      <c r="BN2308" s="458"/>
      <c r="BO2308" s="866">
        <f>VLOOKUP(BD2308,$BD$4:$BN$12824,3,0)*BE2308</f>
        <v>715051.92005914997</v>
      </c>
      <c r="BP2308" s="866"/>
      <c r="BQ2308" s="866"/>
      <c r="BR2308" s="866">
        <f>VLOOKUP(BD2308,$BD$4:$BN$12824,6,0)*BE2308</f>
        <v>330608.6781769325</v>
      </c>
      <c r="BS2308" s="866">
        <f>VLOOKUP(BD2308,$BD$4:$BN$12824,7,0)*BE2308</f>
        <v>55440.192698978812</v>
      </c>
      <c r="BT2308" s="866"/>
      <c r="BU2308" s="866">
        <f>VLOOKUP(BD2308,$BD$4:$BN$12824,9,0)*BE2308</f>
        <v>9110.8809235655808</v>
      </c>
      <c r="BV2308" s="867"/>
      <c r="BW2308" s="867">
        <f>VLOOKUP(BD2308,$BD$4:$BN$12824,11,0)*BE2308</f>
        <v>68673.318353786046</v>
      </c>
      <c r="BX2308" s="1146">
        <f t="shared" si="479"/>
        <v>1178884.9902124128</v>
      </c>
      <c r="BY2308" s="867">
        <f t="shared" si="480"/>
        <v>56558830.834412411</v>
      </c>
      <c r="BZ2308" s="867">
        <f t="shared" si="481"/>
        <v>56558830.834412411</v>
      </c>
      <c r="CA2308" s="867">
        <f>_xlfn.MAXIFS($BY$4:$BY$12824,$S$4:$S$12824,$S2308)</f>
        <v>56558830.834412411</v>
      </c>
      <c r="CB2308" s="1032"/>
    </row>
    <row r="2309" spans="2:80">
      <c r="B2309" s="839" t="s">
        <v>98</v>
      </c>
      <c r="C2309" s="839" t="s">
        <v>7454</v>
      </c>
      <c r="D2309" s="839" t="s">
        <v>7455</v>
      </c>
      <c r="E2309" s="839" t="s">
        <v>7455</v>
      </c>
      <c r="F2309" s="841">
        <v>46056</v>
      </c>
      <c r="G2309" s="839" t="s">
        <v>7639</v>
      </c>
      <c r="H2309" s="883" t="s">
        <v>3457</v>
      </c>
      <c r="I2309" s="883"/>
      <c r="J2309" s="841"/>
      <c r="K2309" s="841"/>
      <c r="L2309" s="843" t="s">
        <v>7456</v>
      </c>
      <c r="M2309" s="844" t="s">
        <v>107</v>
      </c>
      <c r="N2309" s="841"/>
      <c r="O2309" s="884"/>
      <c r="P2309" s="842"/>
      <c r="Q2309" s="843"/>
      <c r="R2309" s="845" t="s">
        <v>7648</v>
      </c>
      <c r="S2309" s="1127" t="s">
        <v>7649</v>
      </c>
      <c r="T2309" s="843" t="s">
        <v>7650</v>
      </c>
      <c r="U2309" s="886">
        <v>1</v>
      </c>
      <c r="V2309" s="842" t="s">
        <v>3</v>
      </c>
      <c r="W2309" s="846">
        <v>1365</v>
      </c>
      <c r="X2309" s="847">
        <f t="shared" si="482"/>
        <v>1365</v>
      </c>
      <c r="Y2309" s="853" t="s">
        <v>7460</v>
      </c>
      <c r="Z2309" s="849">
        <v>950.04</v>
      </c>
      <c r="AA2309" s="849"/>
      <c r="AB2309" s="849">
        <f t="shared" si="485"/>
        <v>950.04</v>
      </c>
      <c r="AC2309" s="850">
        <f t="shared" si="486"/>
        <v>950.04</v>
      </c>
      <c r="AD2309" s="851">
        <v>32000</v>
      </c>
      <c r="AE2309" s="852">
        <v>29845.73</v>
      </c>
      <c r="AF2309" s="853">
        <v>0</v>
      </c>
      <c r="AG2309" s="854">
        <f t="shared" si="483"/>
        <v>0</v>
      </c>
      <c r="AH2309" s="853">
        <v>0.08</v>
      </c>
      <c r="AI2309" s="855">
        <f t="shared" si="484"/>
        <v>2268370.9863359998</v>
      </c>
      <c r="AJ2309" s="845" t="s">
        <v>7461</v>
      </c>
      <c r="AK2309" s="857">
        <v>46106</v>
      </c>
      <c r="AL2309" s="843" t="s">
        <v>7462</v>
      </c>
      <c r="AM2309" s="843"/>
      <c r="AN2309" s="844">
        <v>2</v>
      </c>
      <c r="AO2309" s="844" t="s">
        <v>7463</v>
      </c>
      <c r="AP2309" s="841"/>
      <c r="AQ2309" s="842"/>
      <c r="AR2309" s="841">
        <v>46194</v>
      </c>
      <c r="AS2309" s="842" t="s">
        <v>6737</v>
      </c>
      <c r="AT2309" s="842" t="s">
        <v>1187</v>
      </c>
      <c r="AU2309" s="842" t="s">
        <v>1565</v>
      </c>
      <c r="AV2309" s="843" t="s">
        <v>7464</v>
      </c>
      <c r="AW2309" s="861">
        <v>46198</v>
      </c>
      <c r="AX2309" s="862">
        <v>46199</v>
      </c>
      <c r="AY2309" s="843" t="s">
        <v>7651</v>
      </c>
      <c r="AZ2309" s="842" t="s">
        <v>3183</v>
      </c>
      <c r="BA2309" s="842" t="s">
        <v>120</v>
      </c>
      <c r="BB2309" s="863" t="s">
        <v>121</v>
      </c>
      <c r="BC2309" s="864">
        <v>46202</v>
      </c>
      <c r="BD2309" s="860" t="s">
        <v>7466</v>
      </c>
      <c r="BE2309" s="865" cm="1">
        <f t="array" ref="BE2309">IF(BD2309="","",AC2309/SUMPRODUCT(--(BD2309=$BD$4:$BD$12824),$AC$4:$AC$12824))</f>
        <v>5.9047953372229588E-3</v>
      </c>
      <c r="BF2309" s="458"/>
      <c r="BG2309" s="458"/>
      <c r="BH2309" s="458"/>
      <c r="BI2309" s="458"/>
      <c r="BJ2309" s="458"/>
      <c r="BK2309" s="458"/>
      <c r="BL2309" s="458"/>
      <c r="BM2309" s="458"/>
      <c r="BN2309" s="458"/>
      <c r="BO2309" s="866">
        <f>VLOOKUP(BD2309,$BD$4:$BN$12824,3,0)*BE2309</f>
        <v>366107.93953943043</v>
      </c>
      <c r="BP2309" s="866"/>
      <c r="BQ2309" s="866"/>
      <c r="BR2309" s="866">
        <f>VLOOKUP(BD2309,$BD$4:$BN$12824,6,0)*BE2309</f>
        <v>169272.27039848935</v>
      </c>
      <c r="BS2309" s="866">
        <f>VLOOKUP(BD2309,$BD$4:$BN$12824,7,0)*BE2309</f>
        <v>28385.483833136353</v>
      </c>
      <c r="BT2309" s="866"/>
      <c r="BU2309" s="866">
        <f>VLOOKUP(BD2309,$BD$4:$BN$12824,9,0)*BE2309</f>
        <v>4664.7883164061377</v>
      </c>
      <c r="BV2309" s="867"/>
      <c r="BW2309" s="867">
        <f>VLOOKUP(BD2309,$BD$4:$BN$12824,11,0)*BE2309</f>
        <v>35160.869271926713</v>
      </c>
      <c r="BX2309" s="1146">
        <f t="shared" si="479"/>
        <v>603591.35135938902</v>
      </c>
      <c r="BY2309" s="867">
        <f t="shared" si="480"/>
        <v>28958228.680559389</v>
      </c>
      <c r="BZ2309" s="867">
        <f t="shared" si="481"/>
        <v>28958228.680559389</v>
      </c>
      <c r="CA2309" s="867">
        <f>_xlfn.MAXIFS($BY$4:$BY$12824,$S$4:$S$12824,$S2309)</f>
        <v>28958228.680559389</v>
      </c>
      <c r="CB2309" s="1032"/>
    </row>
    <row r="2310" spans="2:80">
      <c r="B2310" s="839" t="s">
        <v>98</v>
      </c>
      <c r="C2310" s="839" t="s">
        <v>7454</v>
      </c>
      <c r="D2310" s="839" t="s">
        <v>7455</v>
      </c>
      <c r="E2310" s="839" t="s">
        <v>7455</v>
      </c>
      <c r="F2310" s="841">
        <v>46056</v>
      </c>
      <c r="G2310" s="839" t="s">
        <v>7454</v>
      </c>
      <c r="H2310" s="883" t="s">
        <v>3457</v>
      </c>
      <c r="I2310" s="883"/>
      <c r="J2310" s="841"/>
      <c r="K2310" s="841"/>
      <c r="L2310" s="843" t="s">
        <v>7456</v>
      </c>
      <c r="M2310" s="844" t="s">
        <v>107</v>
      </c>
      <c r="N2310" s="841"/>
      <c r="O2310" s="884"/>
      <c r="P2310" s="842"/>
      <c r="Q2310" s="843"/>
      <c r="R2310" s="845" t="s">
        <v>7652</v>
      </c>
      <c r="S2310" s="1127" t="s">
        <v>7653</v>
      </c>
      <c r="T2310" s="843" t="s">
        <v>7654</v>
      </c>
      <c r="U2310" s="886">
        <v>1</v>
      </c>
      <c r="V2310" s="842" t="s">
        <v>3</v>
      </c>
      <c r="W2310" s="846">
        <v>1331</v>
      </c>
      <c r="X2310" s="847">
        <f t="shared" si="482"/>
        <v>1331</v>
      </c>
      <c r="Y2310" s="853" t="s">
        <v>7460</v>
      </c>
      <c r="Z2310" s="849">
        <v>926.38</v>
      </c>
      <c r="AA2310" s="849"/>
      <c r="AB2310" s="849">
        <f t="shared" si="485"/>
        <v>926.38</v>
      </c>
      <c r="AC2310" s="850">
        <f t="shared" si="486"/>
        <v>926.38</v>
      </c>
      <c r="AD2310" s="851">
        <v>32000</v>
      </c>
      <c r="AE2310" s="852">
        <v>29845.73</v>
      </c>
      <c r="AF2310" s="869">
        <v>3.6999999999999998E-2</v>
      </c>
      <c r="AG2310" s="854">
        <f t="shared" si="483"/>
        <v>1037226.7805808412</v>
      </c>
      <c r="AH2310" s="853">
        <v>0.08</v>
      </c>
      <c r="AI2310" s="855">
        <f t="shared" si="484"/>
        <v>2294857.1310384674</v>
      </c>
      <c r="AJ2310" s="845" t="s">
        <v>7461</v>
      </c>
      <c r="AK2310" s="857">
        <v>46106</v>
      </c>
      <c r="AL2310" s="843" t="s">
        <v>7462</v>
      </c>
      <c r="AM2310" s="843"/>
      <c r="AN2310" s="844">
        <v>2</v>
      </c>
      <c r="AO2310" s="844" t="s">
        <v>7463</v>
      </c>
      <c r="AP2310" s="841"/>
      <c r="AQ2310" s="842"/>
      <c r="AR2310" s="841">
        <v>46194</v>
      </c>
      <c r="AS2310" s="842" t="s">
        <v>6737</v>
      </c>
      <c r="AT2310" s="842" t="s">
        <v>1187</v>
      </c>
      <c r="AU2310" s="842" t="s">
        <v>1565</v>
      </c>
      <c r="AV2310" s="843" t="s">
        <v>7464</v>
      </c>
      <c r="AW2310" s="861">
        <v>46198</v>
      </c>
      <c r="AX2310" s="862">
        <v>46199</v>
      </c>
      <c r="AY2310" s="843" t="s">
        <v>7655</v>
      </c>
      <c r="AZ2310" s="842" t="s">
        <v>6143</v>
      </c>
      <c r="BA2310" s="842" t="s">
        <v>120</v>
      </c>
      <c r="BB2310" s="863" t="s">
        <v>121</v>
      </c>
      <c r="BC2310" s="864">
        <v>46202</v>
      </c>
      <c r="BD2310" s="860" t="s">
        <v>7466</v>
      </c>
      <c r="BE2310" s="865" cm="1">
        <f t="array" ref="BE2310">IF(BD2310="","",AC2310/SUMPRODUCT(--(BD2310=$BD$4:$BD$12824),$AC$4:$AC$12824))</f>
        <v>5.7577410472154904E-3</v>
      </c>
      <c r="BF2310" s="458"/>
      <c r="BG2310" s="458"/>
      <c r="BH2310" s="458"/>
      <c r="BI2310" s="458"/>
      <c r="BJ2310" s="458"/>
      <c r="BK2310" s="458"/>
      <c r="BL2310" s="458"/>
      <c r="BM2310" s="458"/>
      <c r="BN2310" s="458"/>
      <c r="BO2310" s="866">
        <f>VLOOKUP(BD2310,$BD$4:$BN$12824,3,0)*BE2310</f>
        <v>356990.3088612454</v>
      </c>
      <c r="BP2310" s="866"/>
      <c r="BQ2310" s="866"/>
      <c r="BR2310" s="866">
        <f>VLOOKUP(BD2310,$BD$4:$BN$12824,6,0)*BE2310</f>
        <v>165056.67745753081</v>
      </c>
      <c r="BS2310" s="866">
        <f>VLOOKUP(BD2310,$BD$4:$BN$12824,7,0)*BE2310</f>
        <v>27678.565653383914</v>
      </c>
      <c r="BT2310" s="866"/>
      <c r="BU2310" s="866">
        <f>VLOOKUP(BD2310,$BD$4:$BN$12824,9,0)*BE2310</f>
        <v>4548.6154273002376</v>
      </c>
      <c r="BV2310" s="867"/>
      <c r="BW2310" s="867">
        <f>VLOOKUP(BD2310,$BD$4:$BN$12824,11,0)*BE2310</f>
        <v>34285.215439484091</v>
      </c>
      <c r="BX2310" s="1146">
        <f t="shared" si="479"/>
        <v>588559.38283894444</v>
      </c>
      <c r="BY2310" s="867">
        <f t="shared" si="480"/>
        <v>29274273.520819787</v>
      </c>
      <c r="BZ2310" s="867">
        <f t="shared" si="481"/>
        <v>29274273.520819787</v>
      </c>
      <c r="CA2310" s="867">
        <f>_xlfn.MAXIFS($BY$4:$BY$12824,$S$4:$S$12824,$S2310)</f>
        <v>29274273.520819787</v>
      </c>
      <c r="CB2310" s="1032"/>
    </row>
    <row r="2311" spans="2:80">
      <c r="B2311" s="839" t="s">
        <v>98</v>
      </c>
      <c r="C2311" s="839" t="s">
        <v>7454</v>
      </c>
      <c r="D2311" s="839" t="s">
        <v>7455</v>
      </c>
      <c r="E2311" s="839" t="s">
        <v>7455</v>
      </c>
      <c r="F2311" s="841">
        <v>46056</v>
      </c>
      <c r="G2311" s="839" t="s">
        <v>7454</v>
      </c>
      <c r="H2311" s="883" t="s">
        <v>3457</v>
      </c>
      <c r="I2311" s="883"/>
      <c r="J2311" s="841"/>
      <c r="K2311" s="841"/>
      <c r="L2311" s="843" t="s">
        <v>7456</v>
      </c>
      <c r="M2311" s="844" t="s">
        <v>107</v>
      </c>
      <c r="N2311" s="841"/>
      <c r="O2311" s="884"/>
      <c r="P2311" s="842"/>
      <c r="Q2311" s="843"/>
      <c r="R2311" s="845" t="s">
        <v>7656</v>
      </c>
      <c r="S2311" s="1127" t="s">
        <v>7657</v>
      </c>
      <c r="T2311" s="843" t="s">
        <v>7658</v>
      </c>
      <c r="U2311" s="886">
        <v>1</v>
      </c>
      <c r="V2311" s="842" t="s">
        <v>3</v>
      </c>
      <c r="W2311" s="846">
        <v>3834</v>
      </c>
      <c r="X2311" s="847">
        <f t="shared" si="482"/>
        <v>3834</v>
      </c>
      <c r="Y2311" s="853" t="s">
        <v>7460</v>
      </c>
      <c r="Z2311" s="849">
        <v>2668.46</v>
      </c>
      <c r="AA2311" s="849"/>
      <c r="AB2311" s="849">
        <f t="shared" si="485"/>
        <v>2668.46</v>
      </c>
      <c r="AC2311" s="850">
        <f t="shared" si="486"/>
        <v>2668.46</v>
      </c>
      <c r="AD2311" s="851">
        <v>32000</v>
      </c>
      <c r="AE2311" s="852">
        <v>29845.73</v>
      </c>
      <c r="AF2311" s="853">
        <v>0</v>
      </c>
      <c r="AG2311" s="854">
        <f t="shared" si="483"/>
        <v>0</v>
      </c>
      <c r="AH2311" s="853">
        <v>0.08</v>
      </c>
      <c r="AI2311" s="855">
        <f t="shared" si="484"/>
        <v>6371370.9340639999</v>
      </c>
      <c r="AJ2311" s="845" t="s">
        <v>7461</v>
      </c>
      <c r="AK2311" s="857">
        <v>46106</v>
      </c>
      <c r="AL2311" s="843" t="s">
        <v>7462</v>
      </c>
      <c r="AM2311" s="843"/>
      <c r="AN2311" s="844">
        <v>2</v>
      </c>
      <c r="AO2311" s="844" t="s">
        <v>7463</v>
      </c>
      <c r="AP2311" s="841"/>
      <c r="AQ2311" s="842"/>
      <c r="AR2311" s="841">
        <v>46194</v>
      </c>
      <c r="AS2311" s="842" t="s">
        <v>6737</v>
      </c>
      <c r="AT2311" s="842" t="s">
        <v>1187</v>
      </c>
      <c r="AU2311" s="842" t="s">
        <v>1565</v>
      </c>
      <c r="AV2311" s="843" t="s">
        <v>7464</v>
      </c>
      <c r="AW2311" s="861">
        <v>46198</v>
      </c>
      <c r="AX2311" s="862">
        <v>46199</v>
      </c>
      <c r="AY2311" s="843" t="s">
        <v>7659</v>
      </c>
      <c r="AZ2311" s="842" t="s">
        <v>4269</v>
      </c>
      <c r="BA2311" s="842" t="s">
        <v>120</v>
      </c>
      <c r="BB2311" s="863" t="s">
        <v>121</v>
      </c>
      <c r="BC2311" s="864">
        <v>46202</v>
      </c>
      <c r="BD2311" s="860" t="s">
        <v>7466</v>
      </c>
      <c r="BE2311" s="865" cm="1">
        <f t="array" ref="BE2311">IF(BD2311="","",AC2311/SUMPRODUCT(--(BD2311=$BD$4:$BD$12824),$AC$4:$AC$12824))</f>
        <v>1.6585312371653803E-2</v>
      </c>
      <c r="BF2311" s="458"/>
      <c r="BG2311" s="458"/>
      <c r="BH2311" s="458"/>
      <c r="BI2311" s="458"/>
      <c r="BJ2311" s="458"/>
      <c r="BK2311" s="458"/>
      <c r="BL2311" s="458"/>
      <c r="BM2311" s="458"/>
      <c r="BN2311" s="458"/>
      <c r="BO2311" s="866">
        <f>VLOOKUP(BD2311,$BD$4:$BN$12824,3,0)*BE2311</f>
        <v>1028319.2206048048</v>
      </c>
      <c r="BP2311" s="866"/>
      <c r="BQ2311" s="866"/>
      <c r="BR2311" s="866">
        <f>VLOOKUP(BD2311,$BD$4:$BN$12824,6,0)*BE2311</f>
        <v>475449.75229206454</v>
      </c>
      <c r="BS2311" s="866">
        <f>VLOOKUP(BD2311,$BD$4:$BN$12824,7,0)*BE2311</f>
        <v>79728.777935003833</v>
      </c>
      <c r="BT2311" s="866"/>
      <c r="BU2311" s="866">
        <f>VLOOKUP(BD2311,$BD$4:$BN$12824,9,0)*BE2311</f>
        <v>13102.396773606504</v>
      </c>
      <c r="BV2311" s="867"/>
      <c r="BW2311" s="867">
        <f>VLOOKUP(BD2311,$BD$4:$BN$12824,11,0)*BE2311</f>
        <v>98759.392464912598</v>
      </c>
      <c r="BX2311" s="1146">
        <f t="shared" si="479"/>
        <v>1695359.5400703922</v>
      </c>
      <c r="BY2311" s="867">
        <f t="shared" si="480"/>
        <v>81337496.21587038</v>
      </c>
      <c r="BZ2311" s="867">
        <f t="shared" si="481"/>
        <v>81337496.21587038</v>
      </c>
      <c r="CA2311" s="867">
        <f>_xlfn.MAXIFS($BY$4:$BY$12824,$S$4:$S$12824,$S2311)</f>
        <v>81337496.21587038</v>
      </c>
      <c r="CB2311" s="1032"/>
    </row>
    <row r="2312" spans="2:80">
      <c r="B2312" s="839" t="s">
        <v>98</v>
      </c>
      <c r="C2312" s="839" t="s">
        <v>7454</v>
      </c>
      <c r="D2312" s="839" t="s">
        <v>7455</v>
      </c>
      <c r="E2312" s="839" t="s">
        <v>7455</v>
      </c>
      <c r="F2312" s="841">
        <v>46056</v>
      </c>
      <c r="G2312" s="839" t="s">
        <v>7454</v>
      </c>
      <c r="H2312" s="883" t="s">
        <v>3457</v>
      </c>
      <c r="I2312" s="883"/>
      <c r="J2312" s="841"/>
      <c r="K2312" s="841"/>
      <c r="L2312" s="843" t="s">
        <v>7456</v>
      </c>
      <c r="M2312" s="844" t="s">
        <v>107</v>
      </c>
      <c r="N2312" s="841"/>
      <c r="O2312" s="884"/>
      <c r="P2312" s="842"/>
      <c r="Q2312" s="843"/>
      <c r="R2312" s="845" t="s">
        <v>7660</v>
      </c>
      <c r="S2312" s="1127" t="s">
        <v>7661</v>
      </c>
      <c r="T2312" s="843" t="s">
        <v>7662</v>
      </c>
      <c r="U2312" s="886">
        <v>1</v>
      </c>
      <c r="V2312" s="842" t="s">
        <v>3</v>
      </c>
      <c r="W2312" s="846">
        <v>3671</v>
      </c>
      <c r="X2312" s="847">
        <f t="shared" si="482"/>
        <v>3671</v>
      </c>
      <c r="Y2312" s="853" t="s">
        <v>7460</v>
      </c>
      <c r="Z2312" s="849">
        <v>2555.02</v>
      </c>
      <c r="AA2312" s="849"/>
      <c r="AB2312" s="849">
        <f t="shared" si="485"/>
        <v>2555.02</v>
      </c>
      <c r="AC2312" s="850">
        <f t="shared" si="486"/>
        <v>2555.02</v>
      </c>
      <c r="AD2312" s="851">
        <v>32000</v>
      </c>
      <c r="AE2312" s="852">
        <v>29845.73</v>
      </c>
      <c r="AF2312" s="853">
        <v>0</v>
      </c>
      <c r="AG2312" s="854">
        <f t="shared" si="483"/>
        <v>0</v>
      </c>
      <c r="AH2312" s="853">
        <v>0.08</v>
      </c>
      <c r="AI2312" s="855">
        <f t="shared" si="484"/>
        <v>6100514.9651680002</v>
      </c>
      <c r="AJ2312" s="845" t="s">
        <v>7461</v>
      </c>
      <c r="AK2312" s="857">
        <v>46106</v>
      </c>
      <c r="AL2312" s="843" t="s">
        <v>7462</v>
      </c>
      <c r="AM2312" s="843"/>
      <c r="AN2312" s="844">
        <v>2</v>
      </c>
      <c r="AO2312" s="844" t="s">
        <v>7463</v>
      </c>
      <c r="AP2312" s="841"/>
      <c r="AQ2312" s="842"/>
      <c r="AR2312" s="841">
        <v>46194</v>
      </c>
      <c r="AS2312" s="842" t="s">
        <v>6737</v>
      </c>
      <c r="AT2312" s="842" t="s">
        <v>1187</v>
      </c>
      <c r="AU2312" s="842" t="s">
        <v>1565</v>
      </c>
      <c r="AV2312" s="843" t="s">
        <v>7464</v>
      </c>
      <c r="AW2312" s="861">
        <v>46198</v>
      </c>
      <c r="AX2312" s="862">
        <v>46199</v>
      </c>
      <c r="AY2312" s="843" t="s">
        <v>7663</v>
      </c>
      <c r="AZ2312" s="842" t="s">
        <v>4700</v>
      </c>
      <c r="BA2312" s="842" t="s">
        <v>120</v>
      </c>
      <c r="BB2312" s="863" t="s">
        <v>121</v>
      </c>
      <c r="BC2312" s="864">
        <v>46202</v>
      </c>
      <c r="BD2312" s="860" t="s">
        <v>7466</v>
      </c>
      <c r="BE2312" s="865" cm="1">
        <f t="array" ref="BE2312">IF(BD2312="","",AC2312/SUMPRODUCT(--(BD2312=$BD$4:$BD$12824),$AC$4:$AC$12824))</f>
        <v>1.5880247339597704E-2</v>
      </c>
      <c r="BF2312" s="458"/>
      <c r="BG2312" s="458"/>
      <c r="BH2312" s="458"/>
      <c r="BI2312" s="458"/>
      <c r="BJ2312" s="458"/>
      <c r="BK2312" s="458"/>
      <c r="BL2312" s="458"/>
      <c r="BM2312" s="458"/>
      <c r="BN2312" s="458"/>
      <c r="BO2312" s="866">
        <f>VLOOKUP(BD2312,$BD$4:$BN$12824,3,0)*BE2312</f>
        <v>984603.919500269</v>
      </c>
      <c r="BP2312" s="866"/>
      <c r="BQ2312" s="866"/>
      <c r="BR2312" s="866">
        <f>VLOOKUP(BD2312,$BD$4:$BN$12824,6,0)*BE2312</f>
        <v>455237.71242636966</v>
      </c>
      <c r="BS2312" s="866">
        <f>VLOOKUP(BD2312,$BD$4:$BN$12824,7,0)*BE2312</f>
        <v>76339.395081617651</v>
      </c>
      <c r="BT2312" s="866"/>
      <c r="BU2312" s="866">
        <f>VLOOKUP(BD2312,$BD$4:$BN$12824,9,0)*BE2312</f>
        <v>12545.395398282186</v>
      </c>
      <c r="BV2312" s="867"/>
      <c r="BW2312" s="867">
        <f>VLOOKUP(BD2312,$BD$4:$BN$12824,11,0)*BE2312</f>
        <v>94560.991334215592</v>
      </c>
      <c r="BX2312" s="1146">
        <f t="shared" si="479"/>
        <v>1623287.4137407539</v>
      </c>
      <c r="BY2312" s="867">
        <f t="shared" si="480"/>
        <v>77879724.47834076</v>
      </c>
      <c r="BZ2312" s="867">
        <f t="shared" si="481"/>
        <v>77879724.47834076</v>
      </c>
      <c r="CA2312" s="867">
        <f>_xlfn.MAXIFS($BY$4:$BY$12824,$S$4:$S$12824,$S2312)</f>
        <v>77879724.47834076</v>
      </c>
      <c r="CB2312" s="1032"/>
    </row>
    <row r="2313" spans="2:80">
      <c r="B2313" s="839" t="s">
        <v>98</v>
      </c>
      <c r="C2313" s="839" t="s">
        <v>7454</v>
      </c>
      <c r="D2313" s="839" t="s">
        <v>7455</v>
      </c>
      <c r="E2313" s="839" t="s">
        <v>7455</v>
      </c>
      <c r="F2313" s="841">
        <v>46056</v>
      </c>
      <c r="G2313" s="839" t="s">
        <v>7454</v>
      </c>
      <c r="H2313" s="883" t="s">
        <v>3457</v>
      </c>
      <c r="I2313" s="883"/>
      <c r="J2313" s="841"/>
      <c r="K2313" s="841"/>
      <c r="L2313" s="843" t="s">
        <v>7456</v>
      </c>
      <c r="M2313" s="844" t="s">
        <v>107</v>
      </c>
      <c r="N2313" s="841"/>
      <c r="O2313" s="884"/>
      <c r="P2313" s="842"/>
      <c r="Q2313" s="843"/>
      <c r="R2313" s="845" t="s">
        <v>7664</v>
      </c>
      <c r="S2313" s="1127" t="s">
        <v>7665</v>
      </c>
      <c r="T2313" s="843" t="s">
        <v>7666</v>
      </c>
      <c r="U2313" s="886">
        <v>1</v>
      </c>
      <c r="V2313" s="842" t="s">
        <v>3</v>
      </c>
      <c r="W2313" s="846">
        <v>798</v>
      </c>
      <c r="X2313" s="847">
        <f t="shared" si="482"/>
        <v>798</v>
      </c>
      <c r="Y2313" s="853" t="s">
        <v>7460</v>
      </c>
      <c r="Z2313" s="849">
        <v>555.41</v>
      </c>
      <c r="AA2313" s="849"/>
      <c r="AB2313" s="849">
        <f t="shared" si="485"/>
        <v>555.41</v>
      </c>
      <c r="AC2313" s="850">
        <f t="shared" si="486"/>
        <v>555.41</v>
      </c>
      <c r="AD2313" s="851">
        <v>32000</v>
      </c>
      <c r="AE2313" s="852">
        <v>29845.73</v>
      </c>
      <c r="AF2313" s="853">
        <v>0</v>
      </c>
      <c r="AG2313" s="854">
        <f t="shared" si="483"/>
        <v>0</v>
      </c>
      <c r="AH2313" s="853">
        <v>0.08</v>
      </c>
      <c r="AI2313" s="855">
        <f t="shared" si="484"/>
        <v>1326129.351944</v>
      </c>
      <c r="AJ2313" s="845" t="s">
        <v>7461</v>
      </c>
      <c r="AK2313" s="857">
        <v>46106</v>
      </c>
      <c r="AL2313" s="843" t="s">
        <v>7462</v>
      </c>
      <c r="AM2313" s="843"/>
      <c r="AN2313" s="844">
        <v>2</v>
      </c>
      <c r="AO2313" s="844" t="s">
        <v>7463</v>
      </c>
      <c r="AP2313" s="841"/>
      <c r="AQ2313" s="842"/>
      <c r="AR2313" s="841">
        <v>46194</v>
      </c>
      <c r="AS2313" s="842" t="s">
        <v>6737</v>
      </c>
      <c r="AT2313" s="842" t="s">
        <v>1187</v>
      </c>
      <c r="AU2313" s="842" t="s">
        <v>1565</v>
      </c>
      <c r="AV2313" s="843" t="s">
        <v>7464</v>
      </c>
      <c r="AW2313" s="861">
        <v>46198</v>
      </c>
      <c r="AX2313" s="862">
        <v>46199</v>
      </c>
      <c r="AY2313" s="843" t="s">
        <v>7667</v>
      </c>
      <c r="AZ2313" s="842" t="s">
        <v>3183</v>
      </c>
      <c r="BA2313" s="842" t="s">
        <v>120</v>
      </c>
      <c r="BB2313" s="863" t="s">
        <v>121</v>
      </c>
      <c r="BC2313" s="864">
        <v>46202</v>
      </c>
      <c r="BD2313" s="860" t="s">
        <v>7466</v>
      </c>
      <c r="BE2313" s="865" cm="1">
        <f t="array" ref="BE2313">IF(BD2313="","",AC2313/SUMPRODUCT(--(BD2313=$BD$4:$BD$12824),$AC$4:$AC$12824))</f>
        <v>3.4520466277704132E-3</v>
      </c>
      <c r="BF2313" s="458"/>
      <c r="BG2313" s="458"/>
      <c r="BH2313" s="458"/>
      <c r="BI2313" s="458"/>
      <c r="BJ2313" s="458"/>
      <c r="BK2313" s="458"/>
      <c r="BL2313" s="458"/>
      <c r="BM2313" s="458"/>
      <c r="BN2313" s="458"/>
      <c r="BO2313" s="866">
        <f>VLOOKUP(BD2313,$BD$4:$BN$12824,3,0)*BE2313</f>
        <v>214033.10460569561</v>
      </c>
      <c r="BP2313" s="866"/>
      <c r="BQ2313" s="866"/>
      <c r="BR2313" s="866">
        <f>VLOOKUP(BD2313,$BD$4:$BN$12824,6,0)*BE2313</f>
        <v>98959.529811402637</v>
      </c>
      <c r="BS2313" s="866">
        <f>VLOOKUP(BD2313,$BD$4:$BN$12824,7,0)*BE2313</f>
        <v>16594.650305000065</v>
      </c>
      <c r="BT2313" s="866"/>
      <c r="BU2313" s="866">
        <f>VLOOKUP(BD2313,$BD$4:$BN$12824,9,0)*BE2313</f>
        <v>2727.1168359386265</v>
      </c>
      <c r="BV2313" s="867"/>
      <c r="BW2313" s="867">
        <f>VLOOKUP(BD2313,$BD$4:$BN$12824,11,0)*BE2313</f>
        <v>20555.659132584748</v>
      </c>
      <c r="BX2313" s="1146">
        <f t="shared" si="479"/>
        <v>352870.06069062173</v>
      </c>
      <c r="BY2313" s="867">
        <f t="shared" si="480"/>
        <v>16929486.959990621</v>
      </c>
      <c r="BZ2313" s="867">
        <f t="shared" si="481"/>
        <v>16929486.959990621</v>
      </c>
      <c r="CA2313" s="867">
        <f>_xlfn.MAXIFS($BY$4:$BY$12824,$S$4:$S$12824,$S2313)</f>
        <v>16929486.959990621</v>
      </c>
      <c r="CB2313" s="1032"/>
    </row>
    <row r="2314" spans="2:80">
      <c r="B2314" s="839" t="s">
        <v>98</v>
      </c>
      <c r="C2314" s="839" t="s">
        <v>7454</v>
      </c>
      <c r="D2314" s="839" t="s">
        <v>7455</v>
      </c>
      <c r="E2314" s="839" t="s">
        <v>7455</v>
      </c>
      <c r="F2314" s="841">
        <v>46056</v>
      </c>
      <c r="G2314" s="839" t="s">
        <v>7454</v>
      </c>
      <c r="H2314" s="883" t="s">
        <v>3457</v>
      </c>
      <c r="I2314" s="883"/>
      <c r="J2314" s="841"/>
      <c r="K2314" s="841"/>
      <c r="L2314" s="843" t="s">
        <v>7456</v>
      </c>
      <c r="M2314" s="844" t="s">
        <v>107</v>
      </c>
      <c r="N2314" s="841"/>
      <c r="O2314" s="884"/>
      <c r="P2314" s="842"/>
      <c r="Q2314" s="843"/>
      <c r="R2314" s="845" t="s">
        <v>7668</v>
      </c>
      <c r="S2314" s="1127" t="s">
        <v>7669</v>
      </c>
      <c r="T2314" s="843" t="s">
        <v>7670</v>
      </c>
      <c r="U2314" s="886">
        <v>1</v>
      </c>
      <c r="V2314" s="842" t="s">
        <v>3</v>
      </c>
      <c r="W2314" s="846">
        <v>3095.91</v>
      </c>
      <c r="X2314" s="847">
        <f t="shared" si="482"/>
        <v>3095.91</v>
      </c>
      <c r="Y2314" s="853" t="s">
        <v>7460</v>
      </c>
      <c r="Z2314" s="849">
        <v>2154.75</v>
      </c>
      <c r="AA2314" s="849"/>
      <c r="AB2314" s="849">
        <f t="shared" si="485"/>
        <v>2154.75</v>
      </c>
      <c r="AC2314" s="850">
        <f t="shared" si="486"/>
        <v>2154.75</v>
      </c>
      <c r="AD2314" s="851">
        <v>32000</v>
      </c>
      <c r="AE2314" s="852">
        <v>29845.73</v>
      </c>
      <c r="AF2314" s="853">
        <v>0</v>
      </c>
      <c r="AG2314" s="854">
        <f t="shared" si="483"/>
        <v>0</v>
      </c>
      <c r="AH2314" s="853">
        <v>0.08</v>
      </c>
      <c r="AI2314" s="855">
        <f t="shared" si="484"/>
        <v>5144806.9374000002</v>
      </c>
      <c r="AJ2314" s="845" t="s">
        <v>7461</v>
      </c>
      <c r="AK2314" s="857">
        <v>46106</v>
      </c>
      <c r="AL2314" s="843" t="s">
        <v>7462</v>
      </c>
      <c r="AM2314" s="843"/>
      <c r="AN2314" s="844">
        <v>2</v>
      </c>
      <c r="AO2314" s="844" t="s">
        <v>7463</v>
      </c>
      <c r="AP2314" s="841"/>
      <c r="AQ2314" s="842"/>
      <c r="AR2314" s="841">
        <v>46194</v>
      </c>
      <c r="AS2314" s="842" t="s">
        <v>6737</v>
      </c>
      <c r="AT2314" s="842" t="s">
        <v>1187</v>
      </c>
      <c r="AU2314" s="842" t="s">
        <v>1565</v>
      </c>
      <c r="AV2314" s="843" t="s">
        <v>7464</v>
      </c>
      <c r="AW2314" s="861">
        <v>46198</v>
      </c>
      <c r="AX2314" s="862">
        <v>46199</v>
      </c>
      <c r="AY2314" s="843" t="s">
        <v>7671</v>
      </c>
      <c r="AZ2314" s="842" t="s">
        <v>4269</v>
      </c>
      <c r="BA2314" s="842" t="s">
        <v>120</v>
      </c>
      <c r="BB2314" s="863" t="s">
        <v>121</v>
      </c>
      <c r="BC2314" s="864">
        <v>46202</v>
      </c>
      <c r="BD2314" s="860" t="s">
        <v>7466</v>
      </c>
      <c r="BE2314" s="865" cm="1">
        <f t="array" ref="BE2314">IF(BD2314="","",AC2314/SUMPRODUCT(--(BD2314=$BD$4:$BD$12824),$AC$4:$AC$12824))</f>
        <v>1.3392444268537295E-2</v>
      </c>
      <c r="BF2314" s="458"/>
      <c r="BG2314" s="458"/>
      <c r="BH2314" s="458"/>
      <c r="BI2314" s="458"/>
      <c r="BJ2314" s="458"/>
      <c r="BK2314" s="458"/>
      <c r="BL2314" s="458"/>
      <c r="BM2314" s="458"/>
      <c r="BN2314" s="458"/>
      <c r="BO2314" s="866">
        <f>VLOOKUP(BD2314,$BD$4:$BN$12824,3,0)*BE2314</f>
        <v>830355.65104899567</v>
      </c>
      <c r="BP2314" s="866"/>
      <c r="BQ2314" s="866"/>
      <c r="BR2314" s="866">
        <f>VLOOKUP(BD2314,$BD$4:$BN$12824,6,0)*BE2314</f>
        <v>383920.07140872488</v>
      </c>
      <c r="BS2314" s="866">
        <f>VLOOKUP(BD2314,$BD$4:$BN$12824,7,0)*BE2314</f>
        <v>64380.048513168455</v>
      </c>
      <c r="BT2314" s="866"/>
      <c r="BU2314" s="866">
        <f>VLOOKUP(BD2314,$BD$4:$BN$12824,9,0)*BE2314</f>
        <v>10580.030972144463</v>
      </c>
      <c r="BV2314" s="867"/>
      <c r="BW2314" s="867">
        <f>VLOOKUP(BD2314,$BD$4:$BN$12824,11,0)*BE2314</f>
        <v>79747.045454595689</v>
      </c>
      <c r="BX2314" s="1146">
        <f t="shared" si="479"/>
        <v>1368982.8473976292</v>
      </c>
      <c r="BY2314" s="867">
        <f t="shared" si="480"/>
        <v>65679069.564897627</v>
      </c>
      <c r="BZ2314" s="867">
        <f t="shared" si="481"/>
        <v>65679069.564897627</v>
      </c>
      <c r="CA2314" s="867">
        <f>_xlfn.MAXIFS($BY$4:$BY$12824,$S$4:$S$12824,$S2314)</f>
        <v>65679069.564897627</v>
      </c>
      <c r="CB2314" s="1032"/>
    </row>
    <row r="2315" spans="2:80">
      <c r="B2315" s="839" t="s">
        <v>98</v>
      </c>
      <c r="C2315" s="839" t="s">
        <v>7454</v>
      </c>
      <c r="D2315" s="839" t="s">
        <v>7672</v>
      </c>
      <c r="E2315" s="839" t="s">
        <v>7672</v>
      </c>
      <c r="F2315" s="841">
        <v>46064</v>
      </c>
      <c r="G2315" s="839" t="s">
        <v>7454</v>
      </c>
      <c r="H2315" s="883" t="s">
        <v>3457</v>
      </c>
      <c r="I2315" s="883"/>
      <c r="J2315" s="841"/>
      <c r="K2315" s="841"/>
      <c r="L2315" s="843" t="s">
        <v>7456</v>
      </c>
      <c r="M2315" s="844" t="s">
        <v>107</v>
      </c>
      <c r="N2315" s="841"/>
      <c r="O2315" s="884"/>
      <c r="P2315" s="842"/>
      <c r="Q2315" s="843"/>
      <c r="R2315" s="845" t="s">
        <v>7673</v>
      </c>
      <c r="S2315" s="1127" t="s">
        <v>7674</v>
      </c>
      <c r="T2315" s="843" t="s">
        <v>7675</v>
      </c>
      <c r="U2315" s="886">
        <v>2</v>
      </c>
      <c r="V2315" s="842" t="s">
        <v>3</v>
      </c>
      <c r="W2315" s="846">
        <v>5977</v>
      </c>
      <c r="X2315" s="847">
        <f t="shared" si="482"/>
        <v>11954</v>
      </c>
      <c r="Y2315" s="853">
        <v>0.55000000000000004</v>
      </c>
      <c r="Z2315" s="849">
        <v>2689.65</v>
      </c>
      <c r="AA2315" s="849"/>
      <c r="AB2315" s="849">
        <f t="shared" ref="AB2315:AB2320" si="487">IF(AA2315="F.O.C", 0, Z2315*U2315)</f>
        <v>5379.3</v>
      </c>
      <c r="AC2315" s="850">
        <f t="shared" ref="AC2315:AC2320" si="488">Z2315*U2315</f>
        <v>5379.3</v>
      </c>
      <c r="AD2315" s="851">
        <v>32000</v>
      </c>
      <c r="AE2315" s="852">
        <v>29845.73</v>
      </c>
      <c r="AF2315" s="853">
        <v>0</v>
      </c>
      <c r="AG2315" s="854">
        <f t="shared" si="483"/>
        <v>0</v>
      </c>
      <c r="AH2315" s="853">
        <v>0.08</v>
      </c>
      <c r="AI2315" s="855">
        <f t="shared" si="484"/>
        <v>12843930.831119999</v>
      </c>
      <c r="AJ2315" s="845" t="s">
        <v>7461</v>
      </c>
      <c r="AK2315" s="857">
        <v>46106</v>
      </c>
      <c r="AL2315" s="843" t="s">
        <v>7462</v>
      </c>
      <c r="AM2315" s="843"/>
      <c r="AN2315" s="844">
        <v>2</v>
      </c>
      <c r="AO2315" s="844" t="s">
        <v>7463</v>
      </c>
      <c r="AP2315" s="841"/>
      <c r="AQ2315" s="842"/>
      <c r="AR2315" s="841">
        <v>46194</v>
      </c>
      <c r="AS2315" s="842" t="s">
        <v>6737</v>
      </c>
      <c r="AT2315" s="842" t="s">
        <v>1187</v>
      </c>
      <c r="AU2315" s="842" t="s">
        <v>1565</v>
      </c>
      <c r="AV2315" s="843" t="s">
        <v>7601</v>
      </c>
      <c r="AW2315" s="861">
        <v>46198</v>
      </c>
      <c r="AX2315" s="862">
        <v>46199</v>
      </c>
      <c r="AY2315" s="843" t="s">
        <v>7676</v>
      </c>
      <c r="AZ2315" s="842" t="s">
        <v>7677</v>
      </c>
      <c r="BA2315" s="842" t="s">
        <v>120</v>
      </c>
      <c r="BB2315" s="863" t="s">
        <v>121</v>
      </c>
      <c r="BC2315" s="864">
        <v>46202</v>
      </c>
      <c r="BD2315" s="860" t="s">
        <v>7466</v>
      </c>
      <c r="BE2315" s="865" cm="1">
        <f t="array" ref="BE2315">IF(BD2315="","",AC2315/SUMPRODUCT(--(BD2315=$BD$4:$BD$12824),$AC$4:$AC$12824))</f>
        <v>3.3434029680353951E-2</v>
      </c>
      <c r="BF2315" s="458"/>
      <c r="BG2315" s="458"/>
      <c r="BH2315" s="458"/>
      <c r="BI2315" s="458"/>
      <c r="BJ2315" s="458"/>
      <c r="BK2315" s="458"/>
      <c r="BL2315" s="458"/>
      <c r="BM2315" s="458"/>
      <c r="BN2315" s="458"/>
      <c r="BO2315" s="866">
        <f>VLOOKUP(BD2315,$BD$4:$BN$12824,3,0)*BE2315</f>
        <v>2072970.0214353695</v>
      </c>
      <c r="BP2315" s="866"/>
      <c r="BQ2315" s="866"/>
      <c r="BR2315" s="866">
        <f>VLOOKUP(BD2315,$BD$4:$BN$12824,6,0)*BE2315</f>
        <v>958450.51172013173</v>
      </c>
      <c r="BS2315" s="866">
        <f>VLOOKUP(BD2315,$BD$4:$BN$12824,7,0)*BE2315</f>
        <v>160723.79392824555</v>
      </c>
      <c r="BT2315" s="866"/>
      <c r="BU2315" s="866">
        <f>VLOOKUP(BD2315,$BD$4:$BN$12824,9,0)*BE2315</f>
        <v>26412.88344747962</v>
      </c>
      <c r="BV2315" s="867"/>
      <c r="BW2315" s="867">
        <f>VLOOKUP(BD2315,$BD$4:$BN$12824,11,0)*BE2315</f>
        <v>199087.26377255211</v>
      </c>
      <c r="BX2315" s="1146">
        <f t="shared" si="479"/>
        <v>3417644.4743037783</v>
      </c>
      <c r="BY2315" s="867">
        <f t="shared" si="480"/>
        <v>81983389.93165189</v>
      </c>
      <c r="BZ2315" s="867">
        <f t="shared" si="481"/>
        <v>163966779.86330378</v>
      </c>
      <c r="CA2315" s="867">
        <f>_xlfn.MAXIFS($BY$4:$BY$12824,$S$4:$S$12824,$S2315)</f>
        <v>81983389.93165189</v>
      </c>
      <c r="CB2315" s="1032"/>
    </row>
    <row r="2316" spans="2:80">
      <c r="B2316" s="839" t="s">
        <v>98</v>
      </c>
      <c r="C2316" s="839" t="s">
        <v>7454</v>
      </c>
      <c r="D2316" s="839" t="s">
        <v>7672</v>
      </c>
      <c r="E2316" s="839" t="s">
        <v>7672</v>
      </c>
      <c r="F2316" s="841">
        <v>46064</v>
      </c>
      <c r="G2316" s="839" t="s">
        <v>7454</v>
      </c>
      <c r="H2316" s="883" t="s">
        <v>3457</v>
      </c>
      <c r="I2316" s="883"/>
      <c r="J2316" s="841"/>
      <c r="K2316" s="841"/>
      <c r="L2316" s="843" t="s">
        <v>7456</v>
      </c>
      <c r="M2316" s="844" t="s">
        <v>107</v>
      </c>
      <c r="N2316" s="841"/>
      <c r="O2316" s="884"/>
      <c r="P2316" s="842"/>
      <c r="Q2316" s="843"/>
      <c r="R2316" s="845" t="s">
        <v>7678</v>
      </c>
      <c r="S2316" s="1127" t="s">
        <v>7679</v>
      </c>
      <c r="T2316" s="843" t="s">
        <v>7680</v>
      </c>
      <c r="U2316" s="886">
        <v>1</v>
      </c>
      <c r="V2316" s="842" t="s">
        <v>3</v>
      </c>
      <c r="W2316" s="846">
        <v>9226.5099999999984</v>
      </c>
      <c r="X2316" s="847">
        <f t="shared" si="482"/>
        <v>9226.5099999999984</v>
      </c>
      <c r="Y2316" s="853">
        <v>0.55000000000000004</v>
      </c>
      <c r="Z2316" s="849">
        <v>4151.93</v>
      </c>
      <c r="AA2316" s="849"/>
      <c r="AB2316" s="849">
        <f t="shared" si="487"/>
        <v>4151.93</v>
      </c>
      <c r="AC2316" s="850">
        <f t="shared" si="488"/>
        <v>4151.93</v>
      </c>
      <c r="AD2316" s="851">
        <v>32000</v>
      </c>
      <c r="AE2316" s="852">
        <v>29845.73</v>
      </c>
      <c r="AF2316" s="853">
        <v>0</v>
      </c>
      <c r="AG2316" s="854">
        <f t="shared" si="483"/>
        <v>0</v>
      </c>
      <c r="AH2316" s="853">
        <v>0.08</v>
      </c>
      <c r="AI2316" s="855">
        <f t="shared" si="484"/>
        <v>9913390.5407120008</v>
      </c>
      <c r="AJ2316" s="845" t="s">
        <v>7461</v>
      </c>
      <c r="AK2316" s="857">
        <v>46106</v>
      </c>
      <c r="AL2316" s="843" t="s">
        <v>7462</v>
      </c>
      <c r="AM2316" s="843"/>
      <c r="AN2316" s="844">
        <v>2</v>
      </c>
      <c r="AO2316" s="844" t="s">
        <v>7463</v>
      </c>
      <c r="AP2316" s="841"/>
      <c r="AQ2316" s="842"/>
      <c r="AR2316" s="841">
        <v>46194</v>
      </c>
      <c r="AS2316" s="842" t="s">
        <v>6737</v>
      </c>
      <c r="AT2316" s="842" t="s">
        <v>1187</v>
      </c>
      <c r="AU2316" s="842" t="s">
        <v>1565</v>
      </c>
      <c r="AV2316" s="843" t="s">
        <v>7601</v>
      </c>
      <c r="AW2316" s="861">
        <v>46198</v>
      </c>
      <c r="AX2316" s="862">
        <v>46199</v>
      </c>
      <c r="AY2316" s="843" t="s">
        <v>7681</v>
      </c>
      <c r="AZ2316" s="842" t="s">
        <v>7677</v>
      </c>
      <c r="BA2316" s="842" t="s">
        <v>120</v>
      </c>
      <c r="BB2316" s="863" t="s">
        <v>121</v>
      </c>
      <c r="BC2316" s="864">
        <v>46202</v>
      </c>
      <c r="BD2316" s="860" t="s">
        <v>7466</v>
      </c>
      <c r="BE2316" s="865" cm="1">
        <f t="array" ref="BE2316">IF(BD2316="","",AC2316/SUMPRODUCT(--(BD2316=$BD$4:$BD$12824),$AC$4:$AC$12824))</f>
        <v>2.5805541771373966E-2</v>
      </c>
      <c r="BF2316" s="458"/>
      <c r="BG2316" s="458"/>
      <c r="BH2316" s="458"/>
      <c r="BI2316" s="458"/>
      <c r="BJ2316" s="458"/>
      <c r="BK2316" s="458"/>
      <c r="BL2316" s="458"/>
      <c r="BM2316" s="458"/>
      <c r="BN2316" s="458"/>
      <c r="BO2316" s="866">
        <f>VLOOKUP(BD2316,$BD$4:$BN$12824,3,0)*BE2316</f>
        <v>1599990.0398003743</v>
      </c>
      <c r="BP2316" s="866"/>
      <c r="BQ2316" s="866"/>
      <c r="BR2316" s="866">
        <f>VLOOKUP(BD2316,$BD$4:$BN$12824,6,0)*BE2316</f>
        <v>739765.29160414299</v>
      </c>
      <c r="BS2316" s="866">
        <f>VLOOKUP(BD2316,$BD$4:$BN$12824,7,0)*BE2316</f>
        <v>124052.18926709806</v>
      </c>
      <c r="BT2316" s="866"/>
      <c r="BU2316" s="866">
        <f>VLOOKUP(BD2316,$BD$4:$BN$12824,9,0)*BE2316</f>
        <v>20386.377999385433</v>
      </c>
      <c r="BV2316" s="867"/>
      <c r="BW2316" s="867">
        <f>VLOOKUP(BD2316,$BD$4:$BN$12824,11,0)*BE2316</f>
        <v>153662.4436404685</v>
      </c>
      <c r="BX2316" s="1146">
        <f t="shared" si="479"/>
        <v>2637856.3423114694</v>
      </c>
      <c r="BY2316" s="867">
        <f t="shared" si="480"/>
        <v>126555238.10121147</v>
      </c>
      <c r="BZ2316" s="867">
        <f t="shared" si="481"/>
        <v>126555238.10121147</v>
      </c>
      <c r="CA2316" s="867">
        <f>_xlfn.MAXIFS($BY$4:$BY$12824,$S$4:$S$12824,$S2316)</f>
        <v>126555238.10121147</v>
      </c>
      <c r="CB2316" s="1032"/>
    </row>
    <row r="2317" spans="2:80">
      <c r="B2317" s="839" t="s">
        <v>98</v>
      </c>
      <c r="C2317" s="839" t="s">
        <v>7454</v>
      </c>
      <c r="D2317" s="839" t="s">
        <v>7672</v>
      </c>
      <c r="E2317" s="839" t="s">
        <v>7672</v>
      </c>
      <c r="F2317" s="841">
        <v>46064</v>
      </c>
      <c r="G2317" s="839" t="s">
        <v>7454</v>
      </c>
      <c r="H2317" s="883" t="s">
        <v>3457</v>
      </c>
      <c r="I2317" s="883"/>
      <c r="J2317" s="841"/>
      <c r="K2317" s="841"/>
      <c r="L2317" s="843" t="s">
        <v>7456</v>
      </c>
      <c r="M2317" s="844" t="s">
        <v>107</v>
      </c>
      <c r="N2317" s="841"/>
      <c r="O2317" s="884"/>
      <c r="P2317" s="842"/>
      <c r="Q2317" s="843"/>
      <c r="R2317" s="845" t="s">
        <v>7682</v>
      </c>
      <c r="S2317" s="1127" t="s">
        <v>7683</v>
      </c>
      <c r="T2317" s="843" t="s">
        <v>7684</v>
      </c>
      <c r="U2317" s="886">
        <v>2</v>
      </c>
      <c r="V2317" s="842" t="s">
        <v>3</v>
      </c>
      <c r="W2317" s="846">
        <v>4358</v>
      </c>
      <c r="X2317" s="847">
        <f t="shared" si="482"/>
        <v>8716</v>
      </c>
      <c r="Y2317" s="853">
        <v>0.55000000000000004</v>
      </c>
      <c r="Z2317" s="849">
        <v>1961.1</v>
      </c>
      <c r="AA2317" s="849"/>
      <c r="AB2317" s="849">
        <f t="shared" si="487"/>
        <v>3922.2</v>
      </c>
      <c r="AC2317" s="850">
        <f t="shared" si="488"/>
        <v>3922.2</v>
      </c>
      <c r="AD2317" s="851">
        <v>32000</v>
      </c>
      <c r="AE2317" s="852">
        <v>29845.73</v>
      </c>
      <c r="AF2317" s="853">
        <v>0</v>
      </c>
      <c r="AG2317" s="854">
        <f t="shared" si="483"/>
        <v>0</v>
      </c>
      <c r="AH2317" s="853">
        <v>0.08</v>
      </c>
      <c r="AI2317" s="855">
        <f t="shared" si="484"/>
        <v>9364873.7764800005</v>
      </c>
      <c r="AJ2317" s="845" t="s">
        <v>7461</v>
      </c>
      <c r="AK2317" s="857">
        <v>46106</v>
      </c>
      <c r="AL2317" s="843" t="s">
        <v>7462</v>
      </c>
      <c r="AM2317" s="843"/>
      <c r="AN2317" s="844">
        <v>2</v>
      </c>
      <c r="AO2317" s="844" t="s">
        <v>7463</v>
      </c>
      <c r="AP2317" s="841"/>
      <c r="AQ2317" s="842"/>
      <c r="AR2317" s="841">
        <v>46194</v>
      </c>
      <c r="AS2317" s="842" t="s">
        <v>6737</v>
      </c>
      <c r="AT2317" s="842" t="s">
        <v>1187</v>
      </c>
      <c r="AU2317" s="842" t="s">
        <v>1565</v>
      </c>
      <c r="AV2317" s="843" t="s">
        <v>7601</v>
      </c>
      <c r="AW2317" s="861">
        <v>46198</v>
      </c>
      <c r="AX2317" s="862">
        <v>46199</v>
      </c>
      <c r="AY2317" s="843" t="s">
        <v>7685</v>
      </c>
      <c r="AZ2317" s="842" t="s">
        <v>7677</v>
      </c>
      <c r="BA2317" s="842" t="s">
        <v>120</v>
      </c>
      <c r="BB2317" s="863" t="s">
        <v>121</v>
      </c>
      <c r="BC2317" s="864">
        <v>46202</v>
      </c>
      <c r="BD2317" s="860" t="s">
        <v>7466</v>
      </c>
      <c r="BE2317" s="865" cm="1">
        <f t="array" ref="BE2317">IF(BD2317="","",AC2317/SUMPRODUCT(--(BD2317=$BD$4:$BD$12824),$AC$4:$AC$12824))</f>
        <v>2.4377698067087585E-2</v>
      </c>
      <c r="BF2317" s="458"/>
      <c r="BG2317" s="458"/>
      <c r="BH2317" s="458"/>
      <c r="BI2317" s="458"/>
      <c r="BJ2317" s="458"/>
      <c r="BK2317" s="458"/>
      <c r="BL2317" s="458"/>
      <c r="BM2317" s="458"/>
      <c r="BN2317" s="458"/>
      <c r="BO2317" s="866">
        <f>VLOOKUP(BD2317,$BD$4:$BN$12824,3,0)*BE2317</f>
        <v>1511461.1600159511</v>
      </c>
      <c r="BP2317" s="866"/>
      <c r="BQ2317" s="866"/>
      <c r="BR2317" s="866">
        <f>VLOOKUP(BD2317,$BD$4:$BN$12824,6,0)*BE2317</f>
        <v>698833.41644241812</v>
      </c>
      <c r="BS2317" s="866">
        <f>VLOOKUP(BD2317,$BD$4:$BN$12824,7,0)*BE2317</f>
        <v>117188.27069421015</v>
      </c>
      <c r="BT2317" s="866"/>
      <c r="BU2317" s="866">
        <f>VLOOKUP(BD2317,$BD$4:$BN$12824,9,0)*BE2317</f>
        <v>19258.381472999194</v>
      </c>
      <c r="BV2317" s="867"/>
      <c r="BW2317" s="867">
        <f>VLOOKUP(BD2317,$BD$4:$BN$12824,11,0)*BE2317</f>
        <v>145160.16321244469</v>
      </c>
      <c r="BX2317" s="1146">
        <f t="shared" si="479"/>
        <v>2491901.3918380234</v>
      </c>
      <c r="BY2317" s="867">
        <f t="shared" si="480"/>
        <v>59776411.798919015</v>
      </c>
      <c r="BZ2317" s="867">
        <f t="shared" si="481"/>
        <v>119552823.59783803</v>
      </c>
      <c r="CA2317" s="867">
        <f>_xlfn.MAXIFS($BY$4:$BY$12824,$S$4:$S$12824,$S2317)</f>
        <v>59776411.798919015</v>
      </c>
      <c r="CB2317" s="1032"/>
    </row>
    <row r="2318" spans="2:80">
      <c r="B2318" s="839" t="s">
        <v>98</v>
      </c>
      <c r="C2318" s="839" t="s">
        <v>7454</v>
      </c>
      <c r="D2318" s="839" t="s">
        <v>7672</v>
      </c>
      <c r="E2318" s="839" t="s">
        <v>7672</v>
      </c>
      <c r="F2318" s="841">
        <v>46064</v>
      </c>
      <c r="G2318" s="839" t="s">
        <v>7454</v>
      </c>
      <c r="H2318" s="883" t="s">
        <v>3457</v>
      </c>
      <c r="I2318" s="883"/>
      <c r="J2318" s="841"/>
      <c r="K2318" s="841"/>
      <c r="L2318" s="843" t="s">
        <v>7456</v>
      </c>
      <c r="M2318" s="844" t="s">
        <v>107</v>
      </c>
      <c r="N2318" s="841"/>
      <c r="O2318" s="884"/>
      <c r="P2318" s="842"/>
      <c r="Q2318" s="843"/>
      <c r="R2318" s="845" t="s">
        <v>7686</v>
      </c>
      <c r="S2318" s="1127" t="s">
        <v>7687</v>
      </c>
      <c r="T2318" s="843" t="s">
        <v>7688</v>
      </c>
      <c r="U2318" s="886">
        <v>1</v>
      </c>
      <c r="V2318" s="842" t="s">
        <v>3</v>
      </c>
      <c r="W2318" s="846">
        <v>3072</v>
      </c>
      <c r="X2318" s="847">
        <f t="shared" si="482"/>
        <v>3072</v>
      </c>
      <c r="Y2318" s="853">
        <v>0.55000000000000004</v>
      </c>
      <c r="Z2318" s="849">
        <v>1382.4</v>
      </c>
      <c r="AA2318" s="849"/>
      <c r="AB2318" s="849">
        <f t="shared" si="487"/>
        <v>1382.4</v>
      </c>
      <c r="AC2318" s="850">
        <f t="shared" si="488"/>
        <v>1382.4</v>
      </c>
      <c r="AD2318" s="851">
        <v>32000</v>
      </c>
      <c r="AE2318" s="852">
        <v>29845.73</v>
      </c>
      <c r="AF2318" s="853">
        <v>0.12</v>
      </c>
      <c r="AG2318" s="854">
        <f t="shared" si="483"/>
        <v>5019931.5842309361</v>
      </c>
      <c r="AH2318" s="853">
        <v>0.08</v>
      </c>
      <c r="AI2318" s="855">
        <f t="shared" si="484"/>
        <v>3702293.4988984754</v>
      </c>
      <c r="AJ2318" s="845" t="s">
        <v>7461</v>
      </c>
      <c r="AK2318" s="857">
        <v>46106</v>
      </c>
      <c r="AL2318" s="843" t="s">
        <v>7462</v>
      </c>
      <c r="AM2318" s="843"/>
      <c r="AN2318" s="844">
        <v>2</v>
      </c>
      <c r="AO2318" s="844" t="s">
        <v>7463</v>
      </c>
      <c r="AP2318" s="841"/>
      <c r="AQ2318" s="842"/>
      <c r="AR2318" s="841">
        <v>46194</v>
      </c>
      <c r="AS2318" s="842" t="s">
        <v>6737</v>
      </c>
      <c r="AT2318" s="842" t="s">
        <v>1187</v>
      </c>
      <c r="AU2318" s="842" t="s">
        <v>1565</v>
      </c>
      <c r="AV2318" s="843" t="s">
        <v>7601</v>
      </c>
      <c r="AW2318" s="861">
        <v>46198</v>
      </c>
      <c r="AX2318" s="862">
        <v>46199</v>
      </c>
      <c r="AY2318" s="843" t="s">
        <v>7689</v>
      </c>
      <c r="AZ2318" s="842" t="s">
        <v>5714</v>
      </c>
      <c r="BA2318" s="842" t="s">
        <v>120</v>
      </c>
      <c r="BB2318" s="863" t="s">
        <v>121</v>
      </c>
      <c r="BC2318" s="864">
        <v>46202</v>
      </c>
      <c r="BD2318" s="860" t="s">
        <v>7466</v>
      </c>
      <c r="BE2318" s="865" cm="1">
        <f t="array" ref="BE2318">IF(BD2318="","",AC2318/SUMPRODUCT(--(BD2318=$BD$4:$BD$12824),$AC$4:$AC$12824))</f>
        <v>8.5920477813323844E-3</v>
      </c>
      <c r="BF2318" s="458"/>
      <c r="BG2318" s="458"/>
      <c r="BH2318" s="458"/>
      <c r="BI2318" s="458"/>
      <c r="BJ2318" s="458"/>
      <c r="BK2318" s="458"/>
      <c r="BL2318" s="458"/>
      <c r="BM2318" s="458"/>
      <c r="BN2318" s="458"/>
      <c r="BO2318" s="866">
        <f>VLOOKUP(BD2318,$BD$4:$BN$12824,3,0)*BE2318</f>
        <v>532722.42812861421</v>
      </c>
      <c r="BP2318" s="866"/>
      <c r="BQ2318" s="866"/>
      <c r="BR2318" s="866">
        <f>VLOOKUP(BD2318,$BD$4:$BN$12824,6,0)*BE2318</f>
        <v>246307.50978787386</v>
      </c>
      <c r="BS2318" s="866">
        <f>VLOOKUP(BD2318,$BD$4:$BN$12824,7,0)*BE2318</f>
        <v>41303.621795848274</v>
      </c>
      <c r="BT2318" s="866"/>
      <c r="BU2318" s="866">
        <f>VLOOKUP(BD2318,$BD$4:$BN$12824,9,0)*BE2318</f>
        <v>6787.7177472525836</v>
      </c>
      <c r="BV2318" s="867"/>
      <c r="BW2318" s="867">
        <f>VLOOKUP(BD2318,$BD$4:$BN$12824,11,0)*BE2318</f>
        <v>51162.462297915336</v>
      </c>
      <c r="BX2318" s="1146">
        <f t="shared" si="479"/>
        <v>878283.7397575042</v>
      </c>
      <c r="BY2318" s="867">
        <f t="shared" si="480"/>
        <v>47156952.47598844</v>
      </c>
      <c r="BZ2318" s="867">
        <f t="shared" si="481"/>
        <v>47156952.47598844</v>
      </c>
      <c r="CA2318" s="867">
        <f>_xlfn.MAXIFS($BY$4:$BY$12824,$S$4:$S$12824,$S2318)</f>
        <v>47156952.47598844</v>
      </c>
      <c r="CB2318" s="1032"/>
    </row>
    <row r="2319" spans="2:80">
      <c r="B2319" s="839" t="s">
        <v>98</v>
      </c>
      <c r="C2319" s="839" t="s">
        <v>7454</v>
      </c>
      <c r="D2319" s="839" t="s">
        <v>7672</v>
      </c>
      <c r="E2319" s="839" t="s">
        <v>7672</v>
      </c>
      <c r="F2319" s="841">
        <v>46064</v>
      </c>
      <c r="G2319" s="839" t="s">
        <v>7454</v>
      </c>
      <c r="H2319" s="883" t="s">
        <v>3457</v>
      </c>
      <c r="I2319" s="883"/>
      <c r="J2319" s="841"/>
      <c r="K2319" s="841"/>
      <c r="L2319" s="843" t="s">
        <v>7456</v>
      </c>
      <c r="M2319" s="844" t="s">
        <v>107</v>
      </c>
      <c r="N2319" s="841"/>
      <c r="O2319" s="884"/>
      <c r="P2319" s="842"/>
      <c r="Q2319" s="843"/>
      <c r="R2319" s="845" t="s">
        <v>7690</v>
      </c>
      <c r="S2319" s="1127" t="s">
        <v>7691</v>
      </c>
      <c r="T2319" s="843" t="s">
        <v>7692</v>
      </c>
      <c r="U2319" s="886">
        <v>1</v>
      </c>
      <c r="V2319" s="842" t="s">
        <v>3</v>
      </c>
      <c r="W2319" s="846">
        <v>3210</v>
      </c>
      <c r="X2319" s="847">
        <f t="shared" si="482"/>
        <v>3210</v>
      </c>
      <c r="Y2319" s="853">
        <v>0.55000000000000004</v>
      </c>
      <c r="Z2319" s="849">
        <v>1444.5</v>
      </c>
      <c r="AA2319" s="849"/>
      <c r="AB2319" s="849">
        <f t="shared" si="487"/>
        <v>1444.5</v>
      </c>
      <c r="AC2319" s="850">
        <f t="shared" si="488"/>
        <v>1444.5</v>
      </c>
      <c r="AD2319" s="851">
        <v>32000</v>
      </c>
      <c r="AE2319" s="852">
        <v>29845.73</v>
      </c>
      <c r="AF2319" s="853">
        <v>0</v>
      </c>
      <c r="AG2319" s="854">
        <f t="shared" si="483"/>
        <v>0</v>
      </c>
      <c r="AH2319" s="853">
        <v>0.08</v>
      </c>
      <c r="AI2319" s="855">
        <f t="shared" si="484"/>
        <v>3448972.5588000002</v>
      </c>
      <c r="AJ2319" s="845" t="s">
        <v>7461</v>
      </c>
      <c r="AK2319" s="857">
        <v>46106</v>
      </c>
      <c r="AL2319" s="843" t="s">
        <v>7462</v>
      </c>
      <c r="AM2319" s="843"/>
      <c r="AN2319" s="844">
        <v>2</v>
      </c>
      <c r="AO2319" s="844" t="s">
        <v>7463</v>
      </c>
      <c r="AP2319" s="841"/>
      <c r="AQ2319" s="842"/>
      <c r="AR2319" s="841">
        <v>46194</v>
      </c>
      <c r="AS2319" s="842" t="s">
        <v>6737</v>
      </c>
      <c r="AT2319" s="842" t="s">
        <v>1187</v>
      </c>
      <c r="AU2319" s="842" t="s">
        <v>1565</v>
      </c>
      <c r="AV2319" s="843" t="s">
        <v>7601</v>
      </c>
      <c r="AW2319" s="861">
        <v>46198</v>
      </c>
      <c r="AX2319" s="862">
        <v>46199</v>
      </c>
      <c r="AY2319" s="843" t="s">
        <v>7693</v>
      </c>
      <c r="AZ2319" s="842" t="s">
        <v>7677</v>
      </c>
      <c r="BA2319" s="842" t="s">
        <v>120</v>
      </c>
      <c r="BB2319" s="863" t="s">
        <v>121</v>
      </c>
      <c r="BC2319" s="864">
        <v>46202</v>
      </c>
      <c r="BD2319" s="860" t="s">
        <v>7466</v>
      </c>
      <c r="BE2319" s="865" cm="1">
        <f t="array" ref="BE2319">IF(BD2319="","",AC2319/SUMPRODUCT(--(BD2319=$BD$4:$BD$12824),$AC$4:$AC$12824))</f>
        <v>8.9780186777594258E-3</v>
      </c>
      <c r="BF2319" s="458"/>
      <c r="BG2319" s="458"/>
      <c r="BH2319" s="458"/>
      <c r="BI2319" s="458"/>
      <c r="BJ2319" s="458"/>
      <c r="BK2319" s="458"/>
      <c r="BL2319" s="458"/>
      <c r="BM2319" s="458"/>
      <c r="BN2319" s="458"/>
      <c r="BO2319" s="866">
        <f>VLOOKUP(BD2319,$BD$4:$BN$12824,3,0)*BE2319</f>
        <v>556653.31845470436</v>
      </c>
      <c r="BP2319" s="866"/>
      <c r="BQ2319" s="866"/>
      <c r="BR2319" s="866">
        <f>VLOOKUP(BD2319,$BD$4:$BN$12824,6,0)*BE2319</f>
        <v>257372.10495412603</v>
      </c>
      <c r="BS2319" s="866">
        <f>VLOOKUP(BD2319,$BD$4:$BN$12824,7,0)*BE2319</f>
        <v>43159.057931208648</v>
      </c>
      <c r="BT2319" s="866"/>
      <c r="BU2319" s="866">
        <f>VLOOKUP(BD2319,$BD$4:$BN$12824,9,0)*BE2319</f>
        <v>7092.6347554299464</v>
      </c>
      <c r="BV2319" s="867"/>
      <c r="BW2319" s="867">
        <f>VLOOKUP(BD2319,$BD$4:$BN$12824,11,0)*BE2319</f>
        <v>53460.776033954506</v>
      </c>
      <c r="BX2319" s="1146">
        <f t="shared" si="479"/>
        <v>917737.89212942345</v>
      </c>
      <c r="BY2319" s="867">
        <f t="shared" si="480"/>
        <v>44029894.877129421</v>
      </c>
      <c r="BZ2319" s="867">
        <f t="shared" si="481"/>
        <v>44029894.877129421</v>
      </c>
      <c r="CA2319" s="867">
        <f>_xlfn.MAXIFS($BY$4:$BY$12824,$S$4:$S$12824,$S2319)</f>
        <v>44029894.877129421</v>
      </c>
      <c r="CB2319" s="1032"/>
    </row>
    <row r="2320" spans="2:80">
      <c r="B2320" s="839" t="s">
        <v>98</v>
      </c>
      <c r="C2320" s="839" t="s">
        <v>7454</v>
      </c>
      <c r="D2320" s="839" t="s">
        <v>7672</v>
      </c>
      <c r="E2320" s="839" t="s">
        <v>7672</v>
      </c>
      <c r="F2320" s="841">
        <v>46064</v>
      </c>
      <c r="G2320" s="839" t="s">
        <v>7454</v>
      </c>
      <c r="H2320" s="883" t="s">
        <v>3457</v>
      </c>
      <c r="I2320" s="883"/>
      <c r="J2320" s="841"/>
      <c r="K2320" s="841"/>
      <c r="L2320" s="843" t="s">
        <v>7456</v>
      </c>
      <c r="M2320" s="844" t="s">
        <v>107</v>
      </c>
      <c r="N2320" s="841"/>
      <c r="O2320" s="884"/>
      <c r="P2320" s="842"/>
      <c r="Q2320" s="843"/>
      <c r="R2320" s="845" t="s">
        <v>7690</v>
      </c>
      <c r="S2320" s="1127" t="s">
        <v>7694</v>
      </c>
      <c r="T2320" s="843" t="s">
        <v>7695</v>
      </c>
      <c r="U2320" s="886">
        <v>1</v>
      </c>
      <c r="V2320" s="842" t="s">
        <v>3</v>
      </c>
      <c r="W2320" s="846">
        <v>4815</v>
      </c>
      <c r="X2320" s="847">
        <f t="shared" si="482"/>
        <v>4815</v>
      </c>
      <c r="Y2320" s="853">
        <v>0.55000000000000004</v>
      </c>
      <c r="Z2320" s="849">
        <v>2166.75</v>
      </c>
      <c r="AA2320" s="849"/>
      <c r="AB2320" s="849">
        <f t="shared" si="487"/>
        <v>2166.75</v>
      </c>
      <c r="AC2320" s="850">
        <f t="shared" si="488"/>
        <v>2166.75</v>
      </c>
      <c r="AD2320" s="851">
        <v>32000</v>
      </c>
      <c r="AE2320" s="852">
        <v>29845.73</v>
      </c>
      <c r="AF2320" s="853">
        <v>0</v>
      </c>
      <c r="AG2320" s="854">
        <f t="shared" si="483"/>
        <v>0</v>
      </c>
      <c r="AH2320" s="853">
        <v>0.08</v>
      </c>
      <c r="AI2320" s="855">
        <f t="shared" si="484"/>
        <v>5173458.8382000001</v>
      </c>
      <c r="AJ2320" s="845" t="s">
        <v>7461</v>
      </c>
      <c r="AK2320" s="857">
        <v>46106</v>
      </c>
      <c r="AL2320" s="843" t="s">
        <v>7462</v>
      </c>
      <c r="AM2320" s="843"/>
      <c r="AN2320" s="844">
        <v>2</v>
      </c>
      <c r="AO2320" s="844" t="s">
        <v>7463</v>
      </c>
      <c r="AP2320" s="841"/>
      <c r="AQ2320" s="842"/>
      <c r="AR2320" s="841">
        <v>46194</v>
      </c>
      <c r="AS2320" s="842" t="s">
        <v>6737</v>
      </c>
      <c r="AT2320" s="842" t="s">
        <v>1187</v>
      </c>
      <c r="AU2320" s="842" t="s">
        <v>1565</v>
      </c>
      <c r="AV2320" s="843" t="s">
        <v>7601</v>
      </c>
      <c r="AW2320" s="861">
        <v>46198</v>
      </c>
      <c r="AX2320" s="862">
        <v>46199</v>
      </c>
      <c r="AY2320" s="843" t="s">
        <v>7696</v>
      </c>
      <c r="AZ2320" s="842" t="s">
        <v>7677</v>
      </c>
      <c r="BA2320" s="842" t="s">
        <v>120</v>
      </c>
      <c r="BB2320" s="863" t="s">
        <v>121</v>
      </c>
      <c r="BC2320" s="864">
        <v>46202</v>
      </c>
      <c r="BD2320" s="860" t="s">
        <v>7466</v>
      </c>
      <c r="BE2320" s="865" cm="1">
        <f t="array" ref="BE2320">IF(BD2320="","",AC2320/SUMPRODUCT(--(BD2320=$BD$4:$BD$12824),$AC$4:$AC$12824))</f>
        <v>1.3467028016639137E-2</v>
      </c>
      <c r="BF2320" s="458"/>
      <c r="BG2320" s="458"/>
      <c r="BH2320" s="458"/>
      <c r="BI2320" s="458"/>
      <c r="BJ2320" s="458"/>
      <c r="BK2320" s="458"/>
      <c r="BL2320" s="458"/>
      <c r="BM2320" s="458"/>
      <c r="BN2320" s="458"/>
      <c r="BO2320" s="866">
        <f>VLOOKUP(BD2320,$BD$4:$BN$12824,3,0)*BE2320</f>
        <v>834979.97768205649</v>
      </c>
      <c r="BP2320" s="866"/>
      <c r="BQ2320" s="866"/>
      <c r="BR2320" s="866">
        <f>VLOOKUP(BD2320,$BD$4:$BN$12824,6,0)*BE2320</f>
        <v>386058.15743118903</v>
      </c>
      <c r="BS2320" s="866">
        <f>VLOOKUP(BD2320,$BD$4:$BN$12824,7,0)*BE2320</f>
        <v>64738.586896812965</v>
      </c>
      <c r="BT2320" s="866"/>
      <c r="BU2320" s="866">
        <f>VLOOKUP(BD2320,$BD$4:$BN$12824,9,0)*BE2320</f>
        <v>10638.952133144918</v>
      </c>
      <c r="BV2320" s="867"/>
      <c r="BW2320" s="867">
        <f>VLOOKUP(BD2320,$BD$4:$BN$12824,11,0)*BE2320</f>
        <v>80191.164050931751</v>
      </c>
      <c r="BX2320" s="1146">
        <f t="shared" si="479"/>
        <v>1376606.8381941353</v>
      </c>
      <c r="BY2320" s="867">
        <f t="shared" si="480"/>
        <v>66044842.315694131</v>
      </c>
      <c r="BZ2320" s="867">
        <f t="shared" si="481"/>
        <v>66044842.315694131</v>
      </c>
      <c r="CA2320" s="867">
        <f>_xlfn.MAXIFS($BY$4:$BY$12824,$S$4:$S$12824,$S2320)</f>
        <v>66044842.315694131</v>
      </c>
      <c r="CB2320" s="1032"/>
    </row>
    <row r="2321" spans="2:80">
      <c r="B2321" s="839" t="s">
        <v>98</v>
      </c>
      <c r="C2321" s="839" t="s">
        <v>7454</v>
      </c>
      <c r="D2321" s="839" t="s">
        <v>7455</v>
      </c>
      <c r="E2321" s="839" t="s">
        <v>7697</v>
      </c>
      <c r="F2321" s="841">
        <v>46056</v>
      </c>
      <c r="G2321" s="839" t="s">
        <v>7454</v>
      </c>
      <c r="H2321" s="883" t="s">
        <v>7697</v>
      </c>
      <c r="I2321" s="883"/>
      <c r="J2321" s="841"/>
      <c r="K2321" s="841"/>
      <c r="L2321" s="843" t="s">
        <v>7456</v>
      </c>
      <c r="M2321" s="844" t="s">
        <v>107</v>
      </c>
      <c r="N2321" s="841"/>
      <c r="O2321" s="884"/>
      <c r="P2321" s="842"/>
      <c r="Q2321" s="843"/>
      <c r="R2321" s="845" t="s">
        <v>7698</v>
      </c>
      <c r="S2321" s="1127" t="s">
        <v>7699</v>
      </c>
      <c r="T2321" s="843" t="s">
        <v>7700</v>
      </c>
      <c r="U2321" s="886">
        <v>2</v>
      </c>
      <c r="V2321" s="842" t="s">
        <v>3</v>
      </c>
      <c r="W2321" s="846"/>
      <c r="X2321" s="847">
        <f t="shared" si="482"/>
        <v>0</v>
      </c>
      <c r="Y2321" s="853"/>
      <c r="Z2321" s="849">
        <v>90</v>
      </c>
      <c r="AA2321" s="849" t="s">
        <v>40</v>
      </c>
      <c r="AB2321" s="849">
        <f t="shared" ref="AB2321:AB2327" si="489">IF(AA2321="F.O.C", 0, Z2321*U2321)</f>
        <v>0</v>
      </c>
      <c r="AC2321" s="850">
        <f t="shared" ref="AC2321:AC2327" si="490">Z2321*U2321</f>
        <v>180</v>
      </c>
      <c r="AD2321" s="851">
        <v>32000</v>
      </c>
      <c r="AE2321" s="852">
        <v>29845.73</v>
      </c>
      <c r="AF2321" s="853">
        <v>0</v>
      </c>
      <c r="AG2321" s="854">
        <f t="shared" si="483"/>
        <v>0</v>
      </c>
      <c r="AH2321" s="853">
        <v>0.08</v>
      </c>
      <c r="AI2321" s="855">
        <f t="shared" si="484"/>
        <v>429778.51200000005</v>
      </c>
      <c r="AJ2321" s="845" t="s">
        <v>7461</v>
      </c>
      <c r="AK2321" s="857">
        <v>46106</v>
      </c>
      <c r="AL2321" s="843" t="s">
        <v>7462</v>
      </c>
      <c r="AM2321" s="843"/>
      <c r="AN2321" s="844">
        <v>2</v>
      </c>
      <c r="AO2321" s="844" t="s">
        <v>7463</v>
      </c>
      <c r="AP2321" s="841"/>
      <c r="AQ2321" s="842"/>
      <c r="AR2321" s="841">
        <v>46194</v>
      </c>
      <c r="AS2321" s="842" t="s">
        <v>6737</v>
      </c>
      <c r="AT2321" s="842" t="s">
        <v>1187</v>
      </c>
      <c r="AU2321" s="842" t="s">
        <v>1565</v>
      </c>
      <c r="AV2321" s="843" t="s">
        <v>7601</v>
      </c>
      <c r="AW2321" s="861">
        <v>46198</v>
      </c>
      <c r="AX2321" s="862">
        <v>46199</v>
      </c>
      <c r="AY2321" s="843" t="s">
        <v>7701</v>
      </c>
      <c r="AZ2321" s="842" t="s">
        <v>4700</v>
      </c>
      <c r="BA2321" s="842" t="s">
        <v>120</v>
      </c>
      <c r="BB2321" s="863" t="s">
        <v>121</v>
      </c>
      <c r="BC2321" s="864">
        <v>46202</v>
      </c>
      <c r="BD2321" s="860" t="s">
        <v>7466</v>
      </c>
      <c r="BE2321" s="865" cm="1">
        <f t="array" ref="BE2321">IF(BD2321="","",AC2321/SUMPRODUCT(--(BD2321=$BD$4:$BD$12824),$AC$4:$AC$12824))</f>
        <v>1.1187562215276541E-3</v>
      </c>
      <c r="BF2321" s="458"/>
      <c r="BG2321" s="458"/>
      <c r="BH2321" s="458"/>
      <c r="BI2321" s="458"/>
      <c r="BJ2321" s="458"/>
      <c r="BK2321" s="458"/>
      <c r="BL2321" s="458"/>
      <c r="BM2321" s="458"/>
      <c r="BN2321" s="458"/>
      <c r="BO2321" s="866">
        <f>VLOOKUP(BD2321,$BD$4:$BN$12824,3,0)*BE2321</f>
        <v>69364.899495913312</v>
      </c>
      <c r="BP2321" s="866"/>
      <c r="BQ2321" s="866"/>
      <c r="BR2321" s="866">
        <f>VLOOKUP(BD2321,$BD$4:$BN$12824,6,0)*BE2321</f>
        <v>32071.290336962742</v>
      </c>
      <c r="BS2321" s="866">
        <f>VLOOKUP(BD2321,$BD$4:$BN$12824,7,0)*BE2321</f>
        <v>5378.0757546677441</v>
      </c>
      <c r="BT2321" s="866"/>
      <c r="BU2321" s="866">
        <f>VLOOKUP(BD2321,$BD$4:$BN$12824,9,0)*BE2321</f>
        <v>883.81741500684677</v>
      </c>
      <c r="BV2321" s="867"/>
      <c r="BW2321" s="867">
        <f>VLOOKUP(BD2321,$BD$4:$BN$12824,11,0)*BE2321</f>
        <v>6661.7789450410592</v>
      </c>
      <c r="BX2321" s="1146">
        <f t="shared" si="479"/>
        <v>114359.86194759172</v>
      </c>
      <c r="BY2321" s="867">
        <f t="shared" si="480"/>
        <v>57179.930973795861</v>
      </c>
      <c r="BZ2321" s="867">
        <f t="shared" si="481"/>
        <v>114359.86194759172</v>
      </c>
      <c r="CA2321" s="867">
        <f>_xlfn.MAXIFS($BY$4:$BY$12824,$S$4:$S$12824,$S2321)</f>
        <v>57179.930973795861</v>
      </c>
      <c r="CB2321" s="1032"/>
    </row>
    <row r="2322" spans="2:80">
      <c r="B2322" s="839" t="s">
        <v>98</v>
      </c>
      <c r="C2322" s="839" t="s">
        <v>7454</v>
      </c>
      <c r="D2322" s="839" t="s">
        <v>7455</v>
      </c>
      <c r="E2322" s="839" t="s">
        <v>7697</v>
      </c>
      <c r="F2322" s="841">
        <v>46056</v>
      </c>
      <c r="G2322" s="839" t="s">
        <v>7454</v>
      </c>
      <c r="H2322" s="883" t="s">
        <v>7697</v>
      </c>
      <c r="I2322" s="883"/>
      <c r="J2322" s="841"/>
      <c r="K2322" s="841"/>
      <c r="L2322" s="843" t="s">
        <v>7456</v>
      </c>
      <c r="M2322" s="844" t="s">
        <v>107</v>
      </c>
      <c r="N2322" s="841"/>
      <c r="O2322" s="884"/>
      <c r="P2322" s="842"/>
      <c r="Q2322" s="843"/>
      <c r="R2322" s="845" t="s">
        <v>7702</v>
      </c>
      <c r="S2322" s="1127" t="s">
        <v>7703</v>
      </c>
      <c r="T2322" s="843" t="s">
        <v>7704</v>
      </c>
      <c r="U2322" s="886">
        <v>2</v>
      </c>
      <c r="V2322" s="842" t="s">
        <v>3</v>
      </c>
      <c r="W2322" s="846"/>
      <c r="X2322" s="847">
        <f t="shared" si="482"/>
        <v>0</v>
      </c>
      <c r="Y2322" s="853"/>
      <c r="Z2322" s="849">
        <v>75.69</v>
      </c>
      <c r="AA2322" s="849" t="s">
        <v>40</v>
      </c>
      <c r="AB2322" s="849">
        <f t="shared" si="489"/>
        <v>0</v>
      </c>
      <c r="AC2322" s="850">
        <f t="shared" si="490"/>
        <v>151.38</v>
      </c>
      <c r="AD2322" s="851">
        <v>32000</v>
      </c>
      <c r="AE2322" s="852">
        <v>29845.73</v>
      </c>
      <c r="AF2322" s="853">
        <v>0</v>
      </c>
      <c r="AG2322" s="854">
        <f t="shared" si="483"/>
        <v>0</v>
      </c>
      <c r="AH2322" s="853">
        <v>0.1</v>
      </c>
      <c r="AI2322" s="855">
        <f t="shared" si="484"/>
        <v>451804.66074000002</v>
      </c>
      <c r="AJ2322" s="845" t="s">
        <v>7461</v>
      </c>
      <c r="AK2322" s="857">
        <v>46106</v>
      </c>
      <c r="AL2322" s="843" t="s">
        <v>7462</v>
      </c>
      <c r="AM2322" s="843"/>
      <c r="AN2322" s="844">
        <v>2</v>
      </c>
      <c r="AO2322" s="844" t="s">
        <v>7463</v>
      </c>
      <c r="AP2322" s="841"/>
      <c r="AQ2322" s="842"/>
      <c r="AR2322" s="841">
        <v>46194</v>
      </c>
      <c r="AS2322" s="842" t="s">
        <v>6737</v>
      </c>
      <c r="AT2322" s="842" t="s">
        <v>1187</v>
      </c>
      <c r="AU2322" s="842" t="s">
        <v>1565</v>
      </c>
      <c r="AV2322" s="843" t="s">
        <v>7601</v>
      </c>
      <c r="AW2322" s="861">
        <v>46198</v>
      </c>
      <c r="AX2322" s="862">
        <v>46199</v>
      </c>
      <c r="AY2322" s="843" t="s">
        <v>7705</v>
      </c>
      <c r="AZ2322" s="842" t="s">
        <v>5091</v>
      </c>
      <c r="BA2322" s="842" t="s">
        <v>120</v>
      </c>
      <c r="BB2322" s="863" t="s">
        <v>121</v>
      </c>
      <c r="BC2322" s="864">
        <v>46202</v>
      </c>
      <c r="BD2322" s="860" t="s">
        <v>7466</v>
      </c>
      <c r="BE2322" s="865" cm="1">
        <f t="array" ref="BE2322">IF(BD2322="","",AC2322/SUMPRODUCT(--(BD2322=$BD$4:$BD$12824),$AC$4:$AC$12824))</f>
        <v>9.4087398230475712E-4</v>
      </c>
      <c r="BF2322" s="458"/>
      <c r="BG2322" s="458"/>
      <c r="BH2322" s="458"/>
      <c r="BI2322" s="458"/>
      <c r="BJ2322" s="458"/>
      <c r="BK2322" s="458"/>
      <c r="BL2322" s="458"/>
      <c r="BM2322" s="458"/>
      <c r="BN2322" s="458"/>
      <c r="BO2322" s="866">
        <f>VLOOKUP(BD2322,$BD$4:$BN$12824,3,0)*BE2322</f>
        <v>58335.880476063088</v>
      </c>
      <c r="BP2322" s="866"/>
      <c r="BQ2322" s="866"/>
      <c r="BR2322" s="866">
        <f>VLOOKUP(BD2322,$BD$4:$BN$12824,6,0)*BE2322</f>
        <v>26971.955173385664</v>
      </c>
      <c r="BS2322" s="866">
        <f>VLOOKUP(BD2322,$BD$4:$BN$12824,7,0)*BE2322</f>
        <v>4522.9617096755728</v>
      </c>
      <c r="BT2322" s="866"/>
      <c r="BU2322" s="866">
        <f>VLOOKUP(BD2322,$BD$4:$BN$12824,9,0)*BE2322</f>
        <v>743.29044602075817</v>
      </c>
      <c r="BV2322" s="867"/>
      <c r="BW2322" s="867">
        <f>VLOOKUP(BD2322,$BD$4:$BN$12824,11,0)*BE2322</f>
        <v>5602.5560927795304</v>
      </c>
      <c r="BX2322" s="1146">
        <f t="shared" si="479"/>
        <v>96176.643897924616</v>
      </c>
      <c r="BY2322" s="867">
        <f t="shared" si="480"/>
        <v>48088.321948962308</v>
      </c>
      <c r="BZ2322" s="867">
        <f t="shared" si="481"/>
        <v>96176.643897924616</v>
      </c>
      <c r="CA2322" s="867">
        <f>_xlfn.MAXIFS($BY$4:$BY$12824,$S$4:$S$12824,$S2322)</f>
        <v>48088.321948962308</v>
      </c>
      <c r="CB2322" s="1032"/>
    </row>
    <row r="2323" spans="2:80">
      <c r="B2323" s="839" t="s">
        <v>98</v>
      </c>
      <c r="C2323" s="839" t="s">
        <v>7454</v>
      </c>
      <c r="D2323" s="839" t="s">
        <v>7455</v>
      </c>
      <c r="E2323" s="839" t="s">
        <v>7697</v>
      </c>
      <c r="F2323" s="841">
        <v>46056</v>
      </c>
      <c r="G2323" s="839" t="s">
        <v>7454</v>
      </c>
      <c r="H2323" s="883" t="s">
        <v>7697</v>
      </c>
      <c r="I2323" s="883"/>
      <c r="J2323" s="841"/>
      <c r="K2323" s="841"/>
      <c r="L2323" s="843" t="s">
        <v>7456</v>
      </c>
      <c r="M2323" s="844" t="s">
        <v>107</v>
      </c>
      <c r="N2323" s="841"/>
      <c r="O2323" s="884"/>
      <c r="P2323" s="842"/>
      <c r="Q2323" s="843"/>
      <c r="R2323" s="845" t="s">
        <v>7706</v>
      </c>
      <c r="S2323" s="1127" t="s">
        <v>7707</v>
      </c>
      <c r="T2323" s="843" t="s">
        <v>7708</v>
      </c>
      <c r="U2323" s="886">
        <v>2</v>
      </c>
      <c r="V2323" s="842" t="s">
        <v>3</v>
      </c>
      <c r="W2323" s="846"/>
      <c r="X2323" s="847">
        <f t="shared" si="482"/>
        <v>0</v>
      </c>
      <c r="Y2323" s="853"/>
      <c r="Z2323" s="849">
        <v>100</v>
      </c>
      <c r="AA2323" s="849" t="s">
        <v>40</v>
      </c>
      <c r="AB2323" s="849">
        <f t="shared" si="489"/>
        <v>0</v>
      </c>
      <c r="AC2323" s="850">
        <f t="shared" si="490"/>
        <v>200</v>
      </c>
      <c r="AD2323" s="851">
        <v>32000</v>
      </c>
      <c r="AE2323" s="852">
        <v>29845.73</v>
      </c>
      <c r="AF2323" s="853">
        <v>0</v>
      </c>
      <c r="AG2323" s="854">
        <f t="shared" si="483"/>
        <v>0</v>
      </c>
      <c r="AH2323" s="853">
        <v>0.08</v>
      </c>
      <c r="AI2323" s="855">
        <f t="shared" si="484"/>
        <v>477531.68</v>
      </c>
      <c r="AJ2323" s="845" t="s">
        <v>7461</v>
      </c>
      <c r="AK2323" s="857">
        <v>46106</v>
      </c>
      <c r="AL2323" s="843" t="s">
        <v>7462</v>
      </c>
      <c r="AM2323" s="843"/>
      <c r="AN2323" s="844">
        <v>2</v>
      </c>
      <c r="AO2323" s="844" t="s">
        <v>7463</v>
      </c>
      <c r="AP2323" s="841"/>
      <c r="AQ2323" s="842"/>
      <c r="AR2323" s="841">
        <v>46194</v>
      </c>
      <c r="AS2323" s="842" t="s">
        <v>6737</v>
      </c>
      <c r="AT2323" s="842" t="s">
        <v>1187</v>
      </c>
      <c r="AU2323" s="842" t="s">
        <v>1565</v>
      </c>
      <c r="AV2323" s="843" t="s">
        <v>7601</v>
      </c>
      <c r="AW2323" s="861">
        <v>46198</v>
      </c>
      <c r="AX2323" s="862">
        <v>46199</v>
      </c>
      <c r="AY2323" s="843" t="s">
        <v>7709</v>
      </c>
      <c r="AZ2323" s="842" t="s">
        <v>7710</v>
      </c>
      <c r="BA2323" s="842" t="s">
        <v>120</v>
      </c>
      <c r="BB2323" s="863" t="s">
        <v>121</v>
      </c>
      <c r="BC2323" s="864">
        <v>46202</v>
      </c>
      <c r="BD2323" s="860" t="s">
        <v>7466</v>
      </c>
      <c r="BE2323" s="865" cm="1">
        <f t="array" ref="BE2323">IF(BD2323="","",AC2323/SUMPRODUCT(--(BD2323=$BD$4:$BD$12824),$AC$4:$AC$12824))</f>
        <v>1.2430624683640603E-3</v>
      </c>
      <c r="BF2323" s="458"/>
      <c r="BG2323" s="458"/>
      <c r="BH2323" s="458"/>
      <c r="BI2323" s="458"/>
      <c r="BJ2323" s="458"/>
      <c r="BK2323" s="458"/>
      <c r="BL2323" s="458"/>
      <c r="BM2323" s="458"/>
      <c r="BN2323" s="458"/>
      <c r="BO2323" s="866">
        <f>VLOOKUP(BD2323,$BD$4:$BN$12824,3,0)*BE2323</f>
        <v>77072.11055101479</v>
      </c>
      <c r="BP2323" s="866"/>
      <c r="BQ2323" s="866"/>
      <c r="BR2323" s="866">
        <f>VLOOKUP(BD2323,$BD$4:$BN$12824,6,0)*BE2323</f>
        <v>35634.767041069717</v>
      </c>
      <c r="BS2323" s="866">
        <f>VLOOKUP(BD2323,$BD$4:$BN$12824,7,0)*BE2323</f>
        <v>5975.6397274086048</v>
      </c>
      <c r="BT2323" s="866"/>
      <c r="BU2323" s="866">
        <f>VLOOKUP(BD2323,$BD$4:$BN$12824,9,0)*BE2323</f>
        <v>982.01935000760761</v>
      </c>
      <c r="BV2323" s="867"/>
      <c r="BW2323" s="867">
        <f>VLOOKUP(BD2323,$BD$4:$BN$12824,11,0)*BE2323</f>
        <v>7401.9766056011777</v>
      </c>
      <c r="BX2323" s="1146">
        <f t="shared" si="479"/>
        <v>127066.5132751019</v>
      </c>
      <c r="BY2323" s="867">
        <f t="shared" si="480"/>
        <v>63533.256637550949</v>
      </c>
      <c r="BZ2323" s="867">
        <f t="shared" si="481"/>
        <v>127066.5132751019</v>
      </c>
      <c r="CA2323" s="867">
        <f>_xlfn.MAXIFS($BY$4:$BY$12824,$S$4:$S$12824,$S2323)</f>
        <v>63533.256637550949</v>
      </c>
      <c r="CB2323" s="1032"/>
    </row>
    <row r="2324" spans="2:80">
      <c r="B2324" s="839" t="s">
        <v>98</v>
      </c>
      <c r="C2324" s="839" t="s">
        <v>7454</v>
      </c>
      <c r="D2324" s="839" t="s">
        <v>7455</v>
      </c>
      <c r="E2324" s="839" t="s">
        <v>7697</v>
      </c>
      <c r="F2324" s="841">
        <v>46056</v>
      </c>
      <c r="G2324" s="839" t="s">
        <v>7454</v>
      </c>
      <c r="H2324" s="883" t="s">
        <v>7697</v>
      </c>
      <c r="I2324" s="883"/>
      <c r="J2324" s="841"/>
      <c r="K2324" s="841"/>
      <c r="L2324" s="843" t="s">
        <v>7456</v>
      </c>
      <c r="M2324" s="844" t="s">
        <v>107</v>
      </c>
      <c r="N2324" s="841"/>
      <c r="O2324" s="884"/>
      <c r="P2324" s="842"/>
      <c r="Q2324" s="843"/>
      <c r="R2324" s="845" t="s">
        <v>7711</v>
      </c>
      <c r="S2324" s="1127" t="s">
        <v>7712</v>
      </c>
      <c r="T2324" s="843" t="s">
        <v>7713</v>
      </c>
      <c r="U2324" s="886">
        <v>2</v>
      </c>
      <c r="V2324" s="842" t="s">
        <v>3</v>
      </c>
      <c r="W2324" s="846"/>
      <c r="X2324" s="847">
        <f t="shared" si="482"/>
        <v>0</v>
      </c>
      <c r="Y2324" s="853"/>
      <c r="Z2324" s="849">
        <v>20</v>
      </c>
      <c r="AA2324" s="849" t="s">
        <v>40</v>
      </c>
      <c r="AB2324" s="849">
        <f t="shared" si="489"/>
        <v>0</v>
      </c>
      <c r="AC2324" s="850">
        <f t="shared" si="490"/>
        <v>40</v>
      </c>
      <c r="AD2324" s="851">
        <v>32000</v>
      </c>
      <c r="AE2324" s="852">
        <v>29845.73</v>
      </c>
      <c r="AF2324" s="869">
        <v>3.6999999999999998E-2</v>
      </c>
      <c r="AG2324" s="854">
        <f t="shared" si="483"/>
        <v>44786.233752060332</v>
      </c>
      <c r="AH2324" s="853">
        <v>0.08</v>
      </c>
      <c r="AI2324" s="855">
        <f t="shared" si="484"/>
        <v>99089.23470016483</v>
      </c>
      <c r="AJ2324" s="845" t="s">
        <v>7461</v>
      </c>
      <c r="AK2324" s="857">
        <v>46106</v>
      </c>
      <c r="AL2324" s="843" t="s">
        <v>7462</v>
      </c>
      <c r="AM2324" s="843"/>
      <c r="AN2324" s="844">
        <v>2</v>
      </c>
      <c r="AO2324" s="844" t="s">
        <v>7463</v>
      </c>
      <c r="AP2324" s="841"/>
      <c r="AQ2324" s="842"/>
      <c r="AR2324" s="841">
        <v>46194</v>
      </c>
      <c r="AS2324" s="842" t="s">
        <v>6737</v>
      </c>
      <c r="AT2324" s="842" t="s">
        <v>1187</v>
      </c>
      <c r="AU2324" s="842" t="s">
        <v>1565</v>
      </c>
      <c r="AV2324" s="843" t="s">
        <v>7601</v>
      </c>
      <c r="AW2324" s="861">
        <v>46198</v>
      </c>
      <c r="AX2324" s="862">
        <v>46199</v>
      </c>
      <c r="AY2324" s="843" t="s">
        <v>7714</v>
      </c>
      <c r="AZ2324" s="842" t="s">
        <v>7715</v>
      </c>
      <c r="BA2324" s="842" t="s">
        <v>120</v>
      </c>
      <c r="BB2324" s="863" t="s">
        <v>121</v>
      </c>
      <c r="BC2324" s="864">
        <v>46202</v>
      </c>
      <c r="BD2324" s="860" t="s">
        <v>7466</v>
      </c>
      <c r="BE2324" s="865" cm="1">
        <f t="array" ref="BE2324">IF(BD2324="","",AC2324/SUMPRODUCT(--(BD2324=$BD$4:$BD$12824),$AC$4:$AC$12824))</f>
        <v>2.4861249367281205E-4</v>
      </c>
      <c r="BF2324" s="458"/>
      <c r="BG2324" s="458"/>
      <c r="BH2324" s="458"/>
      <c r="BI2324" s="458"/>
      <c r="BJ2324" s="458"/>
      <c r="BK2324" s="458"/>
      <c r="BL2324" s="458"/>
      <c r="BM2324" s="458"/>
      <c r="BN2324" s="458"/>
      <c r="BO2324" s="866">
        <f>VLOOKUP(BD2324,$BD$4:$BN$12824,3,0)*BE2324</f>
        <v>15414.422110202959</v>
      </c>
      <c r="BP2324" s="866"/>
      <c r="BQ2324" s="866"/>
      <c r="BR2324" s="866">
        <f>VLOOKUP(BD2324,$BD$4:$BN$12824,6,0)*BE2324</f>
        <v>7126.9534082139426</v>
      </c>
      <c r="BS2324" s="866">
        <f>VLOOKUP(BD2324,$BD$4:$BN$12824,7,0)*BE2324</f>
        <v>1195.1279454817209</v>
      </c>
      <c r="BT2324" s="866"/>
      <c r="BU2324" s="866">
        <f>VLOOKUP(BD2324,$BD$4:$BN$12824,9,0)*BE2324</f>
        <v>196.40387000152151</v>
      </c>
      <c r="BV2324" s="867"/>
      <c r="BW2324" s="867">
        <f>VLOOKUP(BD2324,$BD$4:$BN$12824,11,0)*BE2324</f>
        <v>1480.3953211202354</v>
      </c>
      <c r="BX2324" s="1146">
        <f t="shared" si="479"/>
        <v>25413.302655020379</v>
      </c>
      <c r="BY2324" s="867">
        <f t="shared" si="480"/>
        <v>35099.768203540356</v>
      </c>
      <c r="BZ2324" s="867">
        <f t="shared" si="481"/>
        <v>70199.536407080712</v>
      </c>
      <c r="CA2324" s="867">
        <f>_xlfn.MAXIFS($BY$4:$BY$12824,$S$4:$S$12824,$S2324)</f>
        <v>35099.768203540356</v>
      </c>
      <c r="CB2324" s="1032"/>
    </row>
    <row r="2325" spans="2:80">
      <c r="B2325" s="839" t="s">
        <v>98</v>
      </c>
      <c r="C2325" s="839" t="s">
        <v>7454</v>
      </c>
      <c r="D2325" s="839" t="s">
        <v>7455</v>
      </c>
      <c r="E2325" s="839" t="s">
        <v>7697</v>
      </c>
      <c r="F2325" s="841">
        <v>46056</v>
      </c>
      <c r="G2325" s="839" t="s">
        <v>7454</v>
      </c>
      <c r="H2325" s="883" t="s">
        <v>7697</v>
      </c>
      <c r="I2325" s="883"/>
      <c r="J2325" s="841"/>
      <c r="K2325" s="841"/>
      <c r="L2325" s="843" t="s">
        <v>7456</v>
      </c>
      <c r="M2325" s="844" t="s">
        <v>107</v>
      </c>
      <c r="N2325" s="841"/>
      <c r="O2325" s="884"/>
      <c r="P2325" s="842"/>
      <c r="Q2325" s="843"/>
      <c r="R2325" s="845" t="s">
        <v>7716</v>
      </c>
      <c r="S2325" s="1127" t="s">
        <v>7717</v>
      </c>
      <c r="T2325" s="843" t="s">
        <v>7718</v>
      </c>
      <c r="U2325" s="886">
        <v>2</v>
      </c>
      <c r="V2325" s="842" t="s">
        <v>3</v>
      </c>
      <c r="W2325" s="846"/>
      <c r="X2325" s="847">
        <f t="shared" si="482"/>
        <v>0</v>
      </c>
      <c r="Y2325" s="853"/>
      <c r="Z2325" s="849">
        <v>10</v>
      </c>
      <c r="AA2325" s="849" t="s">
        <v>40</v>
      </c>
      <c r="AB2325" s="849">
        <f t="shared" si="489"/>
        <v>0</v>
      </c>
      <c r="AC2325" s="850">
        <f t="shared" si="490"/>
        <v>20</v>
      </c>
      <c r="AD2325" s="851">
        <v>32000</v>
      </c>
      <c r="AE2325" s="852">
        <v>29845.73</v>
      </c>
      <c r="AF2325" s="853">
        <v>0</v>
      </c>
      <c r="AG2325" s="854">
        <f t="shared" si="483"/>
        <v>0</v>
      </c>
      <c r="AH2325" s="853">
        <v>0.08</v>
      </c>
      <c r="AI2325" s="855">
        <f t="shared" si="484"/>
        <v>47753.167999999998</v>
      </c>
      <c r="AJ2325" s="845" t="s">
        <v>7461</v>
      </c>
      <c r="AK2325" s="857">
        <v>46106</v>
      </c>
      <c r="AL2325" s="843" t="s">
        <v>7462</v>
      </c>
      <c r="AM2325" s="843"/>
      <c r="AN2325" s="844">
        <v>2</v>
      </c>
      <c r="AO2325" s="844" t="s">
        <v>7463</v>
      </c>
      <c r="AP2325" s="841"/>
      <c r="AQ2325" s="842"/>
      <c r="AR2325" s="841">
        <v>46194</v>
      </c>
      <c r="AS2325" s="842" t="s">
        <v>6737</v>
      </c>
      <c r="AT2325" s="842" t="s">
        <v>1187</v>
      </c>
      <c r="AU2325" s="842" t="s">
        <v>1565</v>
      </c>
      <c r="AV2325" s="843" t="s">
        <v>7601</v>
      </c>
      <c r="AW2325" s="861">
        <v>46198</v>
      </c>
      <c r="AX2325" s="862">
        <v>46199</v>
      </c>
      <c r="AY2325" s="843" t="s">
        <v>7719</v>
      </c>
      <c r="AZ2325" s="842" t="s">
        <v>7720</v>
      </c>
      <c r="BA2325" s="842" t="s">
        <v>120</v>
      </c>
      <c r="BB2325" s="863" t="s">
        <v>121</v>
      </c>
      <c r="BC2325" s="864">
        <v>46202</v>
      </c>
      <c r="BD2325" s="860" t="s">
        <v>7466</v>
      </c>
      <c r="BE2325" s="865" cm="1">
        <f t="array" ref="BE2325">IF(BD2325="","",AC2325/SUMPRODUCT(--(BD2325=$BD$4:$BD$12824),$AC$4:$AC$12824))</f>
        <v>1.2430624683640602E-4</v>
      </c>
      <c r="BF2325" s="458"/>
      <c r="BG2325" s="458"/>
      <c r="BH2325" s="458"/>
      <c r="BI2325" s="458"/>
      <c r="BJ2325" s="458"/>
      <c r="BK2325" s="458"/>
      <c r="BL2325" s="458"/>
      <c r="BM2325" s="458"/>
      <c r="BN2325" s="458"/>
      <c r="BO2325" s="866">
        <f>VLOOKUP(BD2325,$BD$4:$BN$12824,3,0)*BE2325</f>
        <v>7707.2110551014794</v>
      </c>
      <c r="BP2325" s="866"/>
      <c r="BQ2325" s="866"/>
      <c r="BR2325" s="866">
        <f>VLOOKUP(BD2325,$BD$4:$BN$12824,6,0)*BE2325</f>
        <v>3563.4767041069713</v>
      </c>
      <c r="BS2325" s="866">
        <f>VLOOKUP(BD2325,$BD$4:$BN$12824,7,0)*BE2325</f>
        <v>597.56397274086044</v>
      </c>
      <c r="BT2325" s="866"/>
      <c r="BU2325" s="866">
        <f>VLOOKUP(BD2325,$BD$4:$BN$12824,9,0)*BE2325</f>
        <v>98.201935000760756</v>
      </c>
      <c r="BV2325" s="867"/>
      <c r="BW2325" s="867">
        <f>VLOOKUP(BD2325,$BD$4:$BN$12824,11,0)*BE2325</f>
        <v>740.1976605601177</v>
      </c>
      <c r="BX2325" s="1146">
        <f t="shared" si="479"/>
        <v>12706.65132751019</v>
      </c>
      <c r="BY2325" s="867">
        <f t="shared" si="480"/>
        <v>6353.3256637550949</v>
      </c>
      <c r="BZ2325" s="867">
        <f t="shared" si="481"/>
        <v>12706.65132751019</v>
      </c>
      <c r="CA2325" s="867">
        <f>_xlfn.MAXIFS($BY$4:$BY$12824,$S$4:$S$12824,$S2325)</f>
        <v>6353.3256637550949</v>
      </c>
      <c r="CB2325" s="1032"/>
    </row>
    <row r="2326" spans="2:80">
      <c r="B2326" s="839" t="s">
        <v>98</v>
      </c>
      <c r="C2326" s="839" t="s">
        <v>7454</v>
      </c>
      <c r="D2326" s="839" t="s">
        <v>7455</v>
      </c>
      <c r="E2326" s="839" t="s">
        <v>7697</v>
      </c>
      <c r="F2326" s="841">
        <v>46056</v>
      </c>
      <c r="G2326" s="839" t="s">
        <v>7454</v>
      </c>
      <c r="H2326" s="883" t="s">
        <v>7697</v>
      </c>
      <c r="I2326" s="883"/>
      <c r="J2326" s="841"/>
      <c r="K2326" s="841"/>
      <c r="L2326" s="843" t="s">
        <v>7456</v>
      </c>
      <c r="M2326" s="844" t="s">
        <v>107</v>
      </c>
      <c r="N2326" s="841"/>
      <c r="O2326" s="884"/>
      <c r="P2326" s="842"/>
      <c r="Q2326" s="843"/>
      <c r="R2326" s="845" t="s">
        <v>7721</v>
      </c>
      <c r="S2326" s="1127" t="s">
        <v>7722</v>
      </c>
      <c r="T2326" s="843" t="s">
        <v>7723</v>
      </c>
      <c r="U2326" s="886">
        <v>2</v>
      </c>
      <c r="V2326" s="842" t="s">
        <v>3</v>
      </c>
      <c r="W2326" s="846"/>
      <c r="X2326" s="847">
        <f t="shared" si="482"/>
        <v>0</v>
      </c>
      <c r="Y2326" s="853"/>
      <c r="Z2326" s="849">
        <v>10</v>
      </c>
      <c r="AA2326" s="849" t="s">
        <v>40</v>
      </c>
      <c r="AB2326" s="849">
        <f t="shared" si="489"/>
        <v>0</v>
      </c>
      <c r="AC2326" s="850">
        <f t="shared" si="490"/>
        <v>20</v>
      </c>
      <c r="AD2326" s="851">
        <v>32000</v>
      </c>
      <c r="AE2326" s="852">
        <v>29845.73</v>
      </c>
      <c r="AF2326" s="853">
        <v>0</v>
      </c>
      <c r="AG2326" s="854">
        <f t="shared" si="483"/>
        <v>0</v>
      </c>
      <c r="AH2326" s="853">
        <v>0.08</v>
      </c>
      <c r="AI2326" s="855">
        <f t="shared" si="484"/>
        <v>47753.167999999998</v>
      </c>
      <c r="AJ2326" s="845" t="s">
        <v>7461</v>
      </c>
      <c r="AK2326" s="857">
        <v>46106</v>
      </c>
      <c r="AL2326" s="843" t="s">
        <v>7462</v>
      </c>
      <c r="AM2326" s="843"/>
      <c r="AN2326" s="844">
        <v>2</v>
      </c>
      <c r="AO2326" s="844" t="s">
        <v>7463</v>
      </c>
      <c r="AP2326" s="841"/>
      <c r="AQ2326" s="842"/>
      <c r="AR2326" s="841">
        <v>46194</v>
      </c>
      <c r="AS2326" s="842" t="s">
        <v>6737</v>
      </c>
      <c r="AT2326" s="842" t="s">
        <v>1187</v>
      </c>
      <c r="AU2326" s="842" t="s">
        <v>1565</v>
      </c>
      <c r="AV2326" s="843" t="s">
        <v>7601</v>
      </c>
      <c r="AW2326" s="861">
        <v>46198</v>
      </c>
      <c r="AX2326" s="862">
        <v>46199</v>
      </c>
      <c r="AY2326" s="843" t="s">
        <v>7724</v>
      </c>
      <c r="AZ2326" s="842" t="s">
        <v>7725</v>
      </c>
      <c r="BA2326" s="842" t="s">
        <v>120</v>
      </c>
      <c r="BB2326" s="863" t="s">
        <v>121</v>
      </c>
      <c r="BC2326" s="864">
        <v>46202</v>
      </c>
      <c r="BD2326" s="860" t="s">
        <v>7466</v>
      </c>
      <c r="BE2326" s="865" cm="1">
        <f t="array" ref="BE2326">IF(BD2326="","",AC2326/SUMPRODUCT(--(BD2326=$BD$4:$BD$12824),$AC$4:$AC$12824))</f>
        <v>1.2430624683640602E-4</v>
      </c>
      <c r="BF2326" s="458"/>
      <c r="BG2326" s="458"/>
      <c r="BH2326" s="458"/>
      <c r="BI2326" s="458"/>
      <c r="BJ2326" s="458"/>
      <c r="BK2326" s="458"/>
      <c r="BL2326" s="458"/>
      <c r="BM2326" s="458"/>
      <c r="BN2326" s="458"/>
      <c r="BO2326" s="866">
        <f>VLOOKUP(BD2326,$BD$4:$BN$12824,3,0)*BE2326</f>
        <v>7707.2110551014794</v>
      </c>
      <c r="BP2326" s="866"/>
      <c r="BQ2326" s="866"/>
      <c r="BR2326" s="866">
        <f>VLOOKUP(BD2326,$BD$4:$BN$12824,6,0)*BE2326</f>
        <v>3563.4767041069713</v>
      </c>
      <c r="BS2326" s="866">
        <f>VLOOKUP(BD2326,$BD$4:$BN$12824,7,0)*BE2326</f>
        <v>597.56397274086044</v>
      </c>
      <c r="BT2326" s="866"/>
      <c r="BU2326" s="866">
        <f>VLOOKUP(BD2326,$BD$4:$BN$12824,9,0)*BE2326</f>
        <v>98.201935000760756</v>
      </c>
      <c r="BV2326" s="867"/>
      <c r="BW2326" s="867">
        <f>VLOOKUP(BD2326,$BD$4:$BN$12824,11,0)*BE2326</f>
        <v>740.1976605601177</v>
      </c>
      <c r="BX2326" s="1146">
        <f t="shared" ref="BX2326:BX2327" si="491">SUM(BO2326:BW2326)</f>
        <v>12706.65132751019</v>
      </c>
      <c r="BY2326" s="867">
        <f t="shared" ref="BY2326:BY2327" si="492">(AB2326*AE2326+AG2326+BX2326)/U2326</f>
        <v>6353.3256637550949</v>
      </c>
      <c r="BZ2326" s="867">
        <f t="shared" ref="BZ2326:BZ2327" si="493">BY2326*U2326</f>
        <v>12706.65132751019</v>
      </c>
      <c r="CA2326" s="867">
        <f>_xlfn.MAXIFS($BY$4:$BY$12824,$S$4:$S$12824,$S2326)</f>
        <v>6353.3256637550949</v>
      </c>
      <c r="CB2326" s="1032"/>
    </row>
    <row r="2327" spans="2:80">
      <c r="B2327" s="839" t="s">
        <v>98</v>
      </c>
      <c r="C2327" s="839" t="s">
        <v>7454</v>
      </c>
      <c r="D2327" s="839" t="s">
        <v>7455</v>
      </c>
      <c r="E2327" s="839" t="s">
        <v>7697</v>
      </c>
      <c r="F2327" s="841">
        <v>46056</v>
      </c>
      <c r="G2327" s="839" t="s">
        <v>7454</v>
      </c>
      <c r="H2327" s="883" t="s">
        <v>7697</v>
      </c>
      <c r="I2327" s="883"/>
      <c r="J2327" s="841"/>
      <c r="K2327" s="841"/>
      <c r="L2327" s="843" t="s">
        <v>7456</v>
      </c>
      <c r="M2327" s="844" t="s">
        <v>107</v>
      </c>
      <c r="N2327" s="841"/>
      <c r="O2327" s="884"/>
      <c r="P2327" s="842"/>
      <c r="Q2327" s="843"/>
      <c r="R2327" s="845" t="s">
        <v>7726</v>
      </c>
      <c r="S2327" s="1127" t="s">
        <v>7727</v>
      </c>
      <c r="T2327" s="843" t="s">
        <v>7728</v>
      </c>
      <c r="U2327" s="886">
        <v>2</v>
      </c>
      <c r="V2327" s="842" t="s">
        <v>3</v>
      </c>
      <c r="W2327" s="846"/>
      <c r="X2327" s="847">
        <f t="shared" si="482"/>
        <v>0</v>
      </c>
      <c r="Y2327" s="853"/>
      <c r="Z2327" s="849">
        <v>30</v>
      </c>
      <c r="AA2327" s="849" t="s">
        <v>40</v>
      </c>
      <c r="AB2327" s="849">
        <f t="shared" si="489"/>
        <v>0</v>
      </c>
      <c r="AC2327" s="850">
        <f t="shared" si="490"/>
        <v>60</v>
      </c>
      <c r="AD2327" s="851">
        <v>32000</v>
      </c>
      <c r="AE2327" s="852">
        <v>29845.73</v>
      </c>
      <c r="AF2327" s="853">
        <v>0</v>
      </c>
      <c r="AG2327" s="854">
        <f t="shared" si="483"/>
        <v>0</v>
      </c>
      <c r="AH2327" s="853">
        <v>0.08</v>
      </c>
      <c r="AI2327" s="855">
        <f t="shared" si="484"/>
        <v>143259.50400000002</v>
      </c>
      <c r="AJ2327" s="845" t="s">
        <v>7461</v>
      </c>
      <c r="AK2327" s="857">
        <v>46106</v>
      </c>
      <c r="AL2327" s="843" t="s">
        <v>7462</v>
      </c>
      <c r="AM2327" s="843"/>
      <c r="AN2327" s="844">
        <v>2</v>
      </c>
      <c r="AO2327" s="844" t="s">
        <v>7463</v>
      </c>
      <c r="AP2327" s="841"/>
      <c r="AQ2327" s="842"/>
      <c r="AR2327" s="841">
        <v>46194</v>
      </c>
      <c r="AS2327" s="842" t="s">
        <v>6737</v>
      </c>
      <c r="AT2327" s="842" t="s">
        <v>1187</v>
      </c>
      <c r="AU2327" s="842" t="s">
        <v>1565</v>
      </c>
      <c r="AV2327" s="843" t="s">
        <v>7601</v>
      </c>
      <c r="AW2327" s="861">
        <v>46198</v>
      </c>
      <c r="AX2327" s="862">
        <v>46199</v>
      </c>
      <c r="AY2327" s="843" t="s">
        <v>7729</v>
      </c>
      <c r="AZ2327" s="842" t="s">
        <v>7730</v>
      </c>
      <c r="BA2327" s="842" t="s">
        <v>120</v>
      </c>
      <c r="BB2327" s="863" t="s">
        <v>121</v>
      </c>
      <c r="BC2327" s="864">
        <v>46202</v>
      </c>
      <c r="BD2327" s="860" t="s">
        <v>7466</v>
      </c>
      <c r="BE2327" s="865" cm="1">
        <f t="array" ref="BE2327">IF(BD2327="","",AC2327/SUMPRODUCT(--(BD2327=$BD$4:$BD$12824),$AC$4:$AC$12824))</f>
        <v>3.729187405092181E-4</v>
      </c>
      <c r="BF2327" s="458"/>
      <c r="BG2327" s="458"/>
      <c r="BH2327" s="458"/>
      <c r="BI2327" s="458"/>
      <c r="BJ2327" s="458"/>
      <c r="BK2327" s="458"/>
      <c r="BL2327" s="458"/>
      <c r="BM2327" s="458"/>
      <c r="BN2327" s="458"/>
      <c r="BO2327" s="866">
        <f>VLOOKUP(BD2327,$BD$4:$BN$12824,3,0)*BE2327</f>
        <v>23121.63316530444</v>
      </c>
      <c r="BP2327" s="866"/>
      <c r="BQ2327" s="866"/>
      <c r="BR2327" s="866">
        <f>VLOOKUP(BD2327,$BD$4:$BN$12824,6,0)*BE2327</f>
        <v>10690.430112320915</v>
      </c>
      <c r="BS2327" s="866">
        <f>VLOOKUP(BD2327,$BD$4:$BN$12824,7,0)*BE2327</f>
        <v>1792.6919182225815</v>
      </c>
      <c r="BT2327" s="866"/>
      <c r="BU2327" s="866">
        <f>VLOOKUP(BD2327,$BD$4:$BN$12824,9,0)*BE2327</f>
        <v>294.6058050022823</v>
      </c>
      <c r="BV2327" s="867"/>
      <c r="BW2327" s="867">
        <f>VLOOKUP(BD2327,$BD$4:$BN$12824,11,0)*BE2327</f>
        <v>2220.5929816803532</v>
      </c>
      <c r="BX2327" s="1146">
        <f t="shared" si="491"/>
        <v>38119.953982530576</v>
      </c>
      <c r="BY2327" s="867">
        <f t="shared" si="492"/>
        <v>19059.976991265288</v>
      </c>
      <c r="BZ2327" s="867">
        <f t="shared" si="493"/>
        <v>38119.953982530576</v>
      </c>
      <c r="CA2327" s="867">
        <f>_xlfn.MAXIFS($BY$4:$BY$12824,$S$4:$S$12824,$S2327)</f>
        <v>19059.976991265288</v>
      </c>
      <c r="CB2327" s="1032"/>
    </row>
    <row r="2328" spans="2:80">
      <c r="B2328" s="1033"/>
      <c r="C2328" s="1033"/>
      <c r="D2328" s="1033"/>
      <c r="E2328" s="1033"/>
      <c r="F2328" s="1034"/>
      <c r="G2328" s="1033"/>
      <c r="H2328" s="1063"/>
      <c r="I2328" s="1063"/>
      <c r="J2328" s="1034"/>
      <c r="K2328" s="1034"/>
      <c r="L2328" s="1036"/>
      <c r="M2328" s="1037"/>
      <c r="N2328" s="1034"/>
      <c r="O2328" s="1064"/>
      <c r="P2328" s="1035"/>
      <c r="Q2328" s="1036"/>
      <c r="R2328" s="1038"/>
      <c r="S2328" s="1131"/>
      <c r="T2328" s="1036"/>
      <c r="U2328" s="1066"/>
      <c r="V2328" s="1035"/>
      <c r="W2328" s="1039"/>
      <c r="X2328" s="1040"/>
      <c r="Y2328" s="1045"/>
      <c r="Z2328" s="1041"/>
      <c r="AA2328" s="1041"/>
      <c r="AB2328" s="1041"/>
      <c r="AC2328" s="1042"/>
      <c r="AD2328" s="1043"/>
      <c r="AE2328" s="1044"/>
      <c r="AF2328" s="1045"/>
      <c r="AG2328" s="1046"/>
      <c r="AH2328" s="1045"/>
      <c r="AI2328" s="1047"/>
      <c r="AJ2328" s="1038"/>
      <c r="AK2328" s="1048"/>
      <c r="AL2328" s="1036"/>
      <c r="AM2328" s="1036"/>
      <c r="AN2328" s="1037"/>
      <c r="AO2328" s="1037"/>
      <c r="AP2328" s="1034"/>
      <c r="AQ2328" s="1035"/>
      <c r="AR2328" s="1034"/>
      <c r="AS2328" s="1035"/>
      <c r="AT2328" s="1035"/>
      <c r="AU2328" s="1035"/>
      <c r="AV2328" s="1038"/>
      <c r="AW2328" s="1050"/>
      <c r="AX2328" s="1051"/>
      <c r="AY2328" s="1036"/>
      <c r="AZ2328" s="1035"/>
      <c r="BA2328" s="1035"/>
      <c r="BB2328" s="1052"/>
      <c r="BC2328" s="1053"/>
      <c r="BD2328" s="1049"/>
      <c r="BE2328" s="1054"/>
      <c r="BF2328" s="1055"/>
      <c r="BG2328" s="1055"/>
      <c r="BH2328" s="1055"/>
      <c r="BI2328" s="1055"/>
      <c r="BJ2328" s="1055"/>
      <c r="BK2328" s="1055"/>
      <c r="BL2328" s="1055"/>
      <c r="BM2328" s="1055"/>
      <c r="BN2328" s="1055"/>
      <c r="BO2328" s="1056"/>
      <c r="BP2328" s="1056"/>
      <c r="BQ2328" s="1056"/>
      <c r="BR2328" s="1056"/>
      <c r="BS2328" s="1056"/>
      <c r="BT2328" s="1056"/>
      <c r="BU2328" s="1056"/>
      <c r="BV2328" s="1057"/>
      <c r="BW2328" s="1057"/>
      <c r="BX2328" s="1148"/>
      <c r="BY2328" s="1057"/>
      <c r="BZ2328" s="1057"/>
      <c r="CA2328" s="1057"/>
      <c r="CB2328" s="1032"/>
    </row>
    <row r="2329" spans="2:80">
      <c r="B2329" s="1033" t="s">
        <v>7731</v>
      </c>
      <c r="C2329" s="1033" t="s">
        <v>3454</v>
      </c>
      <c r="D2329" s="1033" t="s">
        <v>7732</v>
      </c>
      <c r="E2329" s="1033" t="s">
        <v>7732</v>
      </c>
      <c r="F2329" s="1034">
        <v>46134</v>
      </c>
      <c r="G2329" s="1033" t="s">
        <v>3456</v>
      </c>
      <c r="H2329" s="1063" t="s">
        <v>134</v>
      </c>
      <c r="I2329" s="1063"/>
      <c r="J2329" s="1034"/>
      <c r="K2329" s="1034"/>
      <c r="L2329" s="1036" t="s">
        <v>106</v>
      </c>
      <c r="M2329" s="1037" t="s">
        <v>6834</v>
      </c>
      <c r="N2329" s="1034"/>
      <c r="O2329" s="1064"/>
      <c r="P2329" s="1035"/>
      <c r="Q2329" s="1036"/>
      <c r="R2329" s="1038" t="s">
        <v>7733</v>
      </c>
      <c r="S2329" s="1131" t="s">
        <v>7733</v>
      </c>
      <c r="T2329" s="1065" t="s">
        <v>7734</v>
      </c>
      <c r="U2329" s="1066">
        <v>60</v>
      </c>
      <c r="V2329" s="1035" t="s">
        <v>8</v>
      </c>
      <c r="W2329" s="1039">
        <v>12.1</v>
      </c>
      <c r="X2329" s="1040">
        <f>W2329*U2329</f>
        <v>726</v>
      </c>
      <c r="Y2329" s="1045"/>
      <c r="Z2329" s="1039">
        <v>12.1</v>
      </c>
      <c r="AA2329" s="1041"/>
      <c r="AB2329" s="1041">
        <f t="shared" ref="AB2329:AB2348" si="494">IF(AA2329="F.O.C", 0, Z2329*U2329)</f>
        <v>726</v>
      </c>
      <c r="AC2329" s="1042">
        <f t="shared" ref="AC2329:AC2348" si="495">Z2329*U2329</f>
        <v>726</v>
      </c>
      <c r="AD2329" s="1043">
        <v>27000</v>
      </c>
      <c r="AE2329" s="1044"/>
      <c r="AF2329" s="1045"/>
      <c r="AG2329" s="1046"/>
      <c r="AH2329" s="1045"/>
      <c r="AI2329" s="1047"/>
      <c r="AJ2329" s="1038"/>
      <c r="AK2329" s="1048"/>
      <c r="AL2329" s="1036"/>
      <c r="AM2329" s="1036"/>
      <c r="AN2329" s="1037"/>
      <c r="AO2329" s="1037"/>
      <c r="AP2329" s="1034"/>
      <c r="AQ2329" s="1035"/>
      <c r="AR2329" s="1034"/>
      <c r="AS2329" s="1035"/>
      <c r="AT2329" s="1035"/>
      <c r="AU2329" s="1035"/>
      <c r="AV2329" s="1038"/>
      <c r="AW2329" s="1050"/>
      <c r="AX2329" s="1051"/>
      <c r="AY2329" s="1036"/>
      <c r="AZ2329" s="1035"/>
      <c r="BA2329" s="1035"/>
      <c r="BB2329" s="1052"/>
      <c r="BC2329" s="1053"/>
      <c r="BD2329" s="1049"/>
      <c r="BE2329" s="1054"/>
      <c r="BF2329" s="1055"/>
      <c r="BG2329" s="1055"/>
      <c r="BH2329" s="1055"/>
      <c r="BI2329" s="1055"/>
      <c r="BJ2329" s="1055"/>
      <c r="BK2329" s="1055"/>
      <c r="BL2329" s="1055"/>
      <c r="BM2329" s="1055"/>
      <c r="BN2329" s="1055"/>
      <c r="BO2329" s="1056"/>
      <c r="BP2329" s="1056"/>
      <c r="BQ2329" s="1056"/>
      <c r="BR2329" s="1056"/>
      <c r="BS2329" s="1056"/>
      <c r="BT2329" s="1056"/>
      <c r="BU2329" s="1056"/>
      <c r="BV2329" s="1057"/>
      <c r="BW2329" s="1057"/>
      <c r="BX2329" s="1148"/>
      <c r="BY2329" s="1057"/>
      <c r="BZ2329" s="1057"/>
      <c r="CA2329" s="1057"/>
      <c r="CB2329" s="944"/>
    </row>
    <row r="2330" spans="2:80">
      <c r="B2330" s="1033" t="s">
        <v>7731</v>
      </c>
      <c r="C2330" s="1033" t="s">
        <v>3454</v>
      </c>
      <c r="D2330" s="1033" t="s">
        <v>7732</v>
      </c>
      <c r="E2330" s="1033" t="s">
        <v>7732</v>
      </c>
      <c r="F2330" s="1034">
        <v>46134</v>
      </c>
      <c r="G2330" s="1033" t="s">
        <v>3456</v>
      </c>
      <c r="H2330" s="1063" t="s">
        <v>134</v>
      </c>
      <c r="I2330" s="1063"/>
      <c r="J2330" s="1034"/>
      <c r="K2330" s="1034"/>
      <c r="L2330" s="1036" t="s">
        <v>106</v>
      </c>
      <c r="M2330" s="1037" t="s">
        <v>6834</v>
      </c>
      <c r="N2330" s="1034"/>
      <c r="O2330" s="1064"/>
      <c r="P2330" s="1035"/>
      <c r="Q2330" s="1036"/>
      <c r="R2330" s="1038" t="s">
        <v>7735</v>
      </c>
      <c r="S2330" s="1131" t="s">
        <v>7735</v>
      </c>
      <c r="T2330" s="1065" t="s">
        <v>7736</v>
      </c>
      <c r="U2330" s="1066">
        <v>100</v>
      </c>
      <c r="V2330" s="1035" t="s">
        <v>8</v>
      </c>
      <c r="W2330" s="1039">
        <v>12.5</v>
      </c>
      <c r="X2330" s="1040">
        <f>W2330*U2330</f>
        <v>1250</v>
      </c>
      <c r="Y2330" s="1045"/>
      <c r="Z2330" s="1039">
        <v>12.5</v>
      </c>
      <c r="AA2330" s="1041"/>
      <c r="AB2330" s="1041">
        <f t="shared" si="494"/>
        <v>1250</v>
      </c>
      <c r="AC2330" s="1042">
        <f t="shared" si="495"/>
        <v>1250</v>
      </c>
      <c r="AD2330" s="1043">
        <v>27000</v>
      </c>
      <c r="AE2330" s="1044"/>
      <c r="AF2330" s="1045"/>
      <c r="AG2330" s="1046"/>
      <c r="AH2330" s="1045"/>
      <c r="AI2330" s="1047"/>
      <c r="AJ2330" s="1038"/>
      <c r="AK2330" s="1048"/>
      <c r="AL2330" s="1036"/>
      <c r="AM2330" s="1036"/>
      <c r="AN2330" s="1037"/>
      <c r="AO2330" s="1037"/>
      <c r="AP2330" s="1034"/>
      <c r="AQ2330" s="1035"/>
      <c r="AR2330" s="1034"/>
      <c r="AS2330" s="1035"/>
      <c r="AT2330" s="1035"/>
      <c r="AU2330" s="1035"/>
      <c r="AV2330" s="1038"/>
      <c r="AW2330" s="1050"/>
      <c r="AX2330" s="1051"/>
      <c r="AY2330" s="1036"/>
      <c r="AZ2330" s="1035"/>
      <c r="BA2330" s="1035"/>
      <c r="BB2330" s="1052"/>
      <c r="BC2330" s="1053"/>
      <c r="BD2330" s="1049"/>
      <c r="BE2330" s="1054"/>
      <c r="BF2330" s="1055"/>
      <c r="BG2330" s="1055"/>
      <c r="BH2330" s="1055"/>
      <c r="BI2330" s="1055"/>
      <c r="BJ2330" s="1055"/>
      <c r="BK2330" s="1055"/>
      <c r="BL2330" s="1055"/>
      <c r="BM2330" s="1055"/>
      <c r="BN2330" s="1055"/>
      <c r="BO2330" s="1056"/>
      <c r="BP2330" s="1056"/>
      <c r="BQ2330" s="1056"/>
      <c r="BR2330" s="1056"/>
      <c r="BS2330" s="1056"/>
      <c r="BT2330" s="1056"/>
      <c r="BU2330" s="1056"/>
      <c r="BV2330" s="1057"/>
      <c r="BW2330" s="1057"/>
      <c r="BX2330" s="1148"/>
      <c r="BY2330" s="1057"/>
      <c r="BZ2330" s="1057"/>
      <c r="CA2330" s="1057"/>
      <c r="CB2330" s="944"/>
    </row>
    <row r="2331" spans="2:80">
      <c r="B2331" s="1033" t="s">
        <v>7731</v>
      </c>
      <c r="C2331" s="1033" t="s">
        <v>3454</v>
      </c>
      <c r="D2331" s="1033" t="s">
        <v>7732</v>
      </c>
      <c r="E2331" s="1033" t="s">
        <v>7732</v>
      </c>
      <c r="F2331" s="1034">
        <v>46134</v>
      </c>
      <c r="G2331" s="1033" t="s">
        <v>3456</v>
      </c>
      <c r="H2331" s="1063" t="s">
        <v>134</v>
      </c>
      <c r="I2331" s="1063"/>
      <c r="J2331" s="1034"/>
      <c r="K2331" s="1034"/>
      <c r="L2331" s="1036" t="s">
        <v>106</v>
      </c>
      <c r="M2331" s="1037" t="s">
        <v>6834</v>
      </c>
      <c r="N2331" s="1034"/>
      <c r="O2331" s="1064"/>
      <c r="P2331" s="1035"/>
      <c r="Q2331" s="1036"/>
      <c r="R2331" s="1038" t="s">
        <v>7737</v>
      </c>
      <c r="S2331" s="1131" t="s">
        <v>7737</v>
      </c>
      <c r="T2331" s="1065" t="s">
        <v>7738</v>
      </c>
      <c r="U2331" s="1066">
        <v>100</v>
      </c>
      <c r="V2331" s="1035" t="s">
        <v>8</v>
      </c>
      <c r="W2331" s="1039">
        <v>12.5</v>
      </c>
      <c r="X2331" s="1040">
        <f>W2331*U2331</f>
        <v>1250</v>
      </c>
      <c r="Y2331" s="1045"/>
      <c r="Z2331" s="1039">
        <v>12.5</v>
      </c>
      <c r="AA2331" s="1041"/>
      <c r="AB2331" s="1041">
        <f t="shared" si="494"/>
        <v>1250</v>
      </c>
      <c r="AC2331" s="1042">
        <f t="shared" si="495"/>
        <v>1250</v>
      </c>
      <c r="AD2331" s="1043">
        <v>27000</v>
      </c>
      <c r="AE2331" s="1044"/>
      <c r="AF2331" s="1045"/>
      <c r="AG2331" s="1046"/>
      <c r="AH2331" s="1045"/>
      <c r="AI2331" s="1047"/>
      <c r="AJ2331" s="1038"/>
      <c r="AK2331" s="1048"/>
      <c r="AL2331" s="1036"/>
      <c r="AM2331" s="1036"/>
      <c r="AN2331" s="1037"/>
      <c r="AO2331" s="1037"/>
      <c r="AP2331" s="1034"/>
      <c r="AQ2331" s="1035"/>
      <c r="AR2331" s="1034"/>
      <c r="AS2331" s="1035"/>
      <c r="AT2331" s="1035"/>
      <c r="AU2331" s="1035"/>
      <c r="AV2331" s="1038"/>
      <c r="AW2331" s="1050"/>
      <c r="AX2331" s="1051"/>
      <c r="AY2331" s="1036"/>
      <c r="AZ2331" s="1035"/>
      <c r="BA2331" s="1035"/>
      <c r="BB2331" s="1052"/>
      <c r="BC2331" s="1053"/>
      <c r="BD2331" s="1049"/>
      <c r="BE2331" s="1054"/>
      <c r="BF2331" s="1055"/>
      <c r="BG2331" s="1055"/>
      <c r="BH2331" s="1055"/>
      <c r="BI2331" s="1055"/>
      <c r="BJ2331" s="1055"/>
      <c r="BK2331" s="1055"/>
      <c r="BL2331" s="1055"/>
      <c r="BM2331" s="1055"/>
      <c r="BN2331" s="1055"/>
      <c r="BO2331" s="1056"/>
      <c r="BP2331" s="1056"/>
      <c r="BQ2331" s="1056"/>
      <c r="BR2331" s="1056"/>
      <c r="BS2331" s="1056"/>
      <c r="BT2331" s="1056"/>
      <c r="BU2331" s="1056"/>
      <c r="BV2331" s="1057"/>
      <c r="BW2331" s="1057"/>
      <c r="BX2331" s="1148"/>
      <c r="BY2331" s="1057"/>
      <c r="BZ2331" s="1057"/>
      <c r="CA2331" s="1057"/>
      <c r="CB2331" s="944"/>
    </row>
    <row r="2332" spans="2:80">
      <c r="B2332" s="1033" t="s">
        <v>7731</v>
      </c>
      <c r="C2332" s="1033" t="s">
        <v>3454</v>
      </c>
      <c r="D2332" s="1033" t="s">
        <v>7732</v>
      </c>
      <c r="E2332" s="1033" t="s">
        <v>7732</v>
      </c>
      <c r="F2332" s="1034">
        <v>46134</v>
      </c>
      <c r="G2332" s="1033" t="s">
        <v>3456</v>
      </c>
      <c r="H2332" s="1063" t="s">
        <v>134</v>
      </c>
      <c r="I2332" s="1063"/>
      <c r="J2332" s="1034"/>
      <c r="K2332" s="1034"/>
      <c r="L2332" s="1036" t="s">
        <v>106</v>
      </c>
      <c r="M2332" s="1037" t="s">
        <v>6834</v>
      </c>
      <c r="N2332" s="1034"/>
      <c r="O2332" s="1064"/>
      <c r="P2332" s="1035"/>
      <c r="Q2332" s="1036"/>
      <c r="R2332" s="1038" t="s">
        <v>7739</v>
      </c>
      <c r="S2332" s="1131" t="s">
        <v>7739</v>
      </c>
      <c r="T2332" s="1065" t="s">
        <v>7740</v>
      </c>
      <c r="U2332" s="1066">
        <v>100</v>
      </c>
      <c r="V2332" s="1035" t="s">
        <v>8</v>
      </c>
      <c r="W2332" s="1039">
        <v>7.2</v>
      </c>
      <c r="X2332" s="1040">
        <f>W2332*U2332</f>
        <v>720</v>
      </c>
      <c r="Y2332" s="1045"/>
      <c r="Z2332" s="1039">
        <v>7.2</v>
      </c>
      <c r="AA2332" s="1041"/>
      <c r="AB2332" s="1041">
        <f t="shared" si="494"/>
        <v>720</v>
      </c>
      <c r="AC2332" s="1042">
        <f t="shared" si="495"/>
        <v>720</v>
      </c>
      <c r="AD2332" s="1043">
        <v>27000</v>
      </c>
      <c r="AE2332" s="1044"/>
      <c r="AF2332" s="1045"/>
      <c r="AG2332" s="1046"/>
      <c r="AH2332" s="1045"/>
      <c r="AI2332" s="1047"/>
      <c r="AJ2332" s="1038"/>
      <c r="AK2332" s="1048"/>
      <c r="AL2332" s="1036"/>
      <c r="AM2332" s="1036"/>
      <c r="AN2332" s="1037"/>
      <c r="AO2332" s="1037"/>
      <c r="AP2332" s="1034"/>
      <c r="AQ2332" s="1035"/>
      <c r="AR2332" s="1034"/>
      <c r="AS2332" s="1035"/>
      <c r="AT2332" s="1035"/>
      <c r="AU2332" s="1035"/>
      <c r="AV2332" s="1038"/>
      <c r="AW2332" s="1050"/>
      <c r="AX2332" s="1051"/>
      <c r="AY2332" s="1036"/>
      <c r="AZ2332" s="1035"/>
      <c r="BA2332" s="1035"/>
      <c r="BB2332" s="1052"/>
      <c r="BC2332" s="1053"/>
      <c r="BD2332" s="1049"/>
      <c r="BE2332" s="1054"/>
      <c r="BF2332" s="1055"/>
      <c r="BG2332" s="1055"/>
      <c r="BH2332" s="1055"/>
      <c r="BI2332" s="1055"/>
      <c r="BJ2332" s="1055"/>
      <c r="BK2332" s="1055"/>
      <c r="BL2332" s="1055"/>
      <c r="BM2332" s="1055"/>
      <c r="BN2332" s="1055"/>
      <c r="BO2332" s="1056"/>
      <c r="BP2332" s="1056"/>
      <c r="BQ2332" s="1056"/>
      <c r="BR2332" s="1056"/>
      <c r="BS2332" s="1056"/>
      <c r="BT2332" s="1056"/>
      <c r="BU2332" s="1056"/>
      <c r="BV2332" s="1057"/>
      <c r="BW2332" s="1057"/>
      <c r="BX2332" s="1148"/>
      <c r="BY2332" s="1057"/>
      <c r="BZ2332" s="1057"/>
      <c r="CA2332" s="1057"/>
      <c r="CB2332" s="944"/>
    </row>
    <row r="2333" spans="2:80">
      <c r="B2333" s="1033" t="s">
        <v>7731</v>
      </c>
      <c r="C2333" s="1033" t="s">
        <v>3454</v>
      </c>
      <c r="D2333" s="1033" t="s">
        <v>7732</v>
      </c>
      <c r="E2333" s="1033" t="s">
        <v>7732</v>
      </c>
      <c r="F2333" s="1034">
        <v>46134</v>
      </c>
      <c r="G2333" s="1033" t="s">
        <v>3456</v>
      </c>
      <c r="H2333" s="1063" t="s">
        <v>134</v>
      </c>
      <c r="I2333" s="1063"/>
      <c r="J2333" s="1034"/>
      <c r="K2333" s="1034"/>
      <c r="L2333" s="1036" t="s">
        <v>106</v>
      </c>
      <c r="M2333" s="1037" t="s">
        <v>6834</v>
      </c>
      <c r="N2333" s="1034"/>
      <c r="O2333" s="1064"/>
      <c r="P2333" s="1035"/>
      <c r="Q2333" s="1036"/>
      <c r="R2333" s="1038" t="s">
        <v>7741</v>
      </c>
      <c r="S2333" s="1131" t="s">
        <v>7741</v>
      </c>
      <c r="T2333" s="1065" t="s">
        <v>7742</v>
      </c>
      <c r="U2333" s="1066">
        <v>100</v>
      </c>
      <c r="V2333" s="1035" t="s">
        <v>8</v>
      </c>
      <c r="W2333" s="1039">
        <v>7.2</v>
      </c>
      <c r="X2333" s="1040">
        <f>W2333*U2333</f>
        <v>720</v>
      </c>
      <c r="Y2333" s="1045"/>
      <c r="Z2333" s="1039">
        <v>7.2</v>
      </c>
      <c r="AA2333" s="1041"/>
      <c r="AB2333" s="1041">
        <f t="shared" si="494"/>
        <v>720</v>
      </c>
      <c r="AC2333" s="1042">
        <f t="shared" si="495"/>
        <v>720</v>
      </c>
      <c r="AD2333" s="1043">
        <v>27000</v>
      </c>
      <c r="AE2333" s="1044"/>
      <c r="AF2333" s="1045"/>
      <c r="AG2333" s="1046"/>
      <c r="AH2333" s="1045"/>
      <c r="AI2333" s="1047"/>
      <c r="AJ2333" s="1038"/>
      <c r="AK2333" s="1048"/>
      <c r="AL2333" s="1036"/>
      <c r="AM2333" s="1036"/>
      <c r="AN2333" s="1037"/>
      <c r="AO2333" s="1037"/>
      <c r="AP2333" s="1034"/>
      <c r="AQ2333" s="1035"/>
      <c r="AR2333" s="1034"/>
      <c r="AS2333" s="1035"/>
      <c r="AT2333" s="1035"/>
      <c r="AU2333" s="1035"/>
      <c r="AV2333" s="1038"/>
      <c r="AW2333" s="1050"/>
      <c r="AX2333" s="1051"/>
      <c r="AY2333" s="1036"/>
      <c r="AZ2333" s="1035"/>
      <c r="BA2333" s="1035"/>
      <c r="BB2333" s="1052"/>
      <c r="BC2333" s="1053"/>
      <c r="BD2333" s="1049"/>
      <c r="BE2333" s="1054"/>
      <c r="BF2333" s="1055"/>
      <c r="BG2333" s="1055"/>
      <c r="BH2333" s="1055"/>
      <c r="BI2333" s="1055"/>
      <c r="BJ2333" s="1055"/>
      <c r="BK2333" s="1055"/>
      <c r="BL2333" s="1055"/>
      <c r="BM2333" s="1055"/>
      <c r="BN2333" s="1055"/>
      <c r="BO2333" s="1056"/>
      <c r="BP2333" s="1056"/>
      <c r="BQ2333" s="1056"/>
      <c r="BR2333" s="1056"/>
      <c r="BS2333" s="1056"/>
      <c r="BT2333" s="1056"/>
      <c r="BU2333" s="1056"/>
      <c r="BV2333" s="1057"/>
      <c r="BW2333" s="1057"/>
      <c r="BX2333" s="1148"/>
      <c r="BY2333" s="1057"/>
      <c r="BZ2333" s="1057"/>
      <c r="CA2333" s="1057"/>
      <c r="CB2333" s="944"/>
    </row>
    <row r="2334" spans="2:80">
      <c r="B2334" s="1033" t="s">
        <v>7731</v>
      </c>
      <c r="C2334" s="1033" t="s">
        <v>3454</v>
      </c>
      <c r="D2334" s="1033" t="s">
        <v>7732</v>
      </c>
      <c r="E2334" s="1033" t="s">
        <v>7732</v>
      </c>
      <c r="F2334" s="1034">
        <v>46134</v>
      </c>
      <c r="G2334" s="1033" t="s">
        <v>3456</v>
      </c>
      <c r="H2334" s="1063" t="s">
        <v>134</v>
      </c>
      <c r="I2334" s="1063"/>
      <c r="J2334" s="1034"/>
      <c r="K2334" s="1034"/>
      <c r="L2334" s="1036" t="s">
        <v>106</v>
      </c>
      <c r="M2334" s="1037" t="s">
        <v>6834</v>
      </c>
      <c r="N2334" s="1034"/>
      <c r="O2334" s="1064"/>
      <c r="P2334" s="1035"/>
      <c r="Q2334" s="1036"/>
      <c r="R2334" s="1038" t="s">
        <v>7743</v>
      </c>
      <c r="S2334" s="1131" t="s">
        <v>7743</v>
      </c>
      <c r="T2334" s="1065" t="s">
        <v>7744</v>
      </c>
      <c r="U2334" s="1066">
        <v>120</v>
      </c>
      <c r="V2334" s="1035" t="s">
        <v>8</v>
      </c>
      <c r="W2334" s="1039">
        <v>7.1</v>
      </c>
      <c r="X2334" s="1040">
        <f>W2334*U2334</f>
        <v>852</v>
      </c>
      <c r="Y2334" s="1045"/>
      <c r="Z2334" s="1039">
        <v>7.1</v>
      </c>
      <c r="AA2334" s="1041"/>
      <c r="AB2334" s="1041">
        <f t="shared" si="494"/>
        <v>852</v>
      </c>
      <c r="AC2334" s="1042">
        <f t="shared" si="495"/>
        <v>852</v>
      </c>
      <c r="AD2334" s="1043">
        <v>27000</v>
      </c>
      <c r="AE2334" s="1044"/>
      <c r="AF2334" s="1045"/>
      <c r="AG2334" s="1046"/>
      <c r="AH2334" s="1045"/>
      <c r="AI2334" s="1047"/>
      <c r="AJ2334" s="1038"/>
      <c r="AK2334" s="1048"/>
      <c r="AL2334" s="1036"/>
      <c r="AM2334" s="1036"/>
      <c r="AN2334" s="1037"/>
      <c r="AO2334" s="1037"/>
      <c r="AP2334" s="1034"/>
      <c r="AQ2334" s="1035"/>
      <c r="AR2334" s="1034"/>
      <c r="AS2334" s="1035"/>
      <c r="AT2334" s="1035"/>
      <c r="AU2334" s="1035"/>
      <c r="AV2334" s="1038"/>
      <c r="AW2334" s="1050"/>
      <c r="AX2334" s="1051"/>
      <c r="AY2334" s="1036"/>
      <c r="AZ2334" s="1035"/>
      <c r="BA2334" s="1035"/>
      <c r="BB2334" s="1052"/>
      <c r="BC2334" s="1053"/>
      <c r="BD2334" s="1049"/>
      <c r="BE2334" s="1054"/>
      <c r="BF2334" s="1055"/>
      <c r="BG2334" s="1055"/>
      <c r="BH2334" s="1055"/>
      <c r="BI2334" s="1055"/>
      <c r="BJ2334" s="1055"/>
      <c r="BK2334" s="1055"/>
      <c r="BL2334" s="1055"/>
      <c r="BM2334" s="1055"/>
      <c r="BN2334" s="1055"/>
      <c r="BO2334" s="1056"/>
      <c r="BP2334" s="1056"/>
      <c r="BQ2334" s="1056"/>
      <c r="BR2334" s="1056"/>
      <c r="BS2334" s="1056"/>
      <c r="BT2334" s="1056"/>
      <c r="BU2334" s="1056"/>
      <c r="BV2334" s="1057"/>
      <c r="BW2334" s="1057"/>
      <c r="BX2334" s="1148"/>
      <c r="BY2334" s="1057"/>
      <c r="BZ2334" s="1057"/>
      <c r="CA2334" s="1057"/>
      <c r="CB2334" s="944"/>
    </row>
    <row r="2335" spans="2:80">
      <c r="B2335" s="1033" t="s">
        <v>7731</v>
      </c>
      <c r="C2335" s="1033" t="s">
        <v>3454</v>
      </c>
      <c r="D2335" s="1033" t="s">
        <v>7732</v>
      </c>
      <c r="E2335" s="1033" t="s">
        <v>7732</v>
      </c>
      <c r="F2335" s="1034">
        <v>46134</v>
      </c>
      <c r="G2335" s="1033" t="s">
        <v>3456</v>
      </c>
      <c r="H2335" s="1063" t="s">
        <v>134</v>
      </c>
      <c r="I2335" s="1063"/>
      <c r="J2335" s="1034"/>
      <c r="K2335" s="1034"/>
      <c r="L2335" s="1036" t="s">
        <v>106</v>
      </c>
      <c r="M2335" s="1037" t="s">
        <v>6834</v>
      </c>
      <c r="N2335" s="1034"/>
      <c r="O2335" s="1064"/>
      <c r="P2335" s="1035"/>
      <c r="Q2335" s="1036"/>
      <c r="R2335" s="1038" t="s">
        <v>7745</v>
      </c>
      <c r="S2335" s="1131" t="s">
        <v>7745</v>
      </c>
      <c r="T2335" s="1065" t="s">
        <v>7746</v>
      </c>
      <c r="U2335" s="1066">
        <v>120</v>
      </c>
      <c r="V2335" s="1035" t="s">
        <v>8</v>
      </c>
      <c r="W2335" s="1039">
        <v>7.1</v>
      </c>
      <c r="X2335" s="1040">
        <f>W2335*U2335</f>
        <v>852</v>
      </c>
      <c r="Y2335" s="1045"/>
      <c r="Z2335" s="1039">
        <v>7.1</v>
      </c>
      <c r="AA2335" s="1041"/>
      <c r="AB2335" s="1041">
        <f t="shared" si="494"/>
        <v>852</v>
      </c>
      <c r="AC2335" s="1042">
        <f t="shared" si="495"/>
        <v>852</v>
      </c>
      <c r="AD2335" s="1043">
        <v>27000</v>
      </c>
      <c r="AE2335" s="1044"/>
      <c r="AF2335" s="1045"/>
      <c r="AG2335" s="1046"/>
      <c r="AH2335" s="1045"/>
      <c r="AI2335" s="1047"/>
      <c r="AJ2335" s="1038"/>
      <c r="AK2335" s="1048"/>
      <c r="AL2335" s="1036"/>
      <c r="AM2335" s="1036"/>
      <c r="AN2335" s="1037"/>
      <c r="AO2335" s="1037"/>
      <c r="AP2335" s="1034"/>
      <c r="AQ2335" s="1035"/>
      <c r="AR2335" s="1034"/>
      <c r="AS2335" s="1035"/>
      <c r="AT2335" s="1035"/>
      <c r="AU2335" s="1035"/>
      <c r="AV2335" s="1038"/>
      <c r="AW2335" s="1050"/>
      <c r="AX2335" s="1051"/>
      <c r="AY2335" s="1036"/>
      <c r="AZ2335" s="1035"/>
      <c r="BA2335" s="1035"/>
      <c r="BB2335" s="1052"/>
      <c r="BC2335" s="1053"/>
      <c r="BD2335" s="1049"/>
      <c r="BE2335" s="1054"/>
      <c r="BF2335" s="1055"/>
      <c r="BG2335" s="1055"/>
      <c r="BH2335" s="1055"/>
      <c r="BI2335" s="1055"/>
      <c r="BJ2335" s="1055"/>
      <c r="BK2335" s="1055"/>
      <c r="BL2335" s="1055"/>
      <c r="BM2335" s="1055"/>
      <c r="BN2335" s="1055"/>
      <c r="BO2335" s="1056"/>
      <c r="BP2335" s="1056"/>
      <c r="BQ2335" s="1056"/>
      <c r="BR2335" s="1056"/>
      <c r="BS2335" s="1056"/>
      <c r="BT2335" s="1056"/>
      <c r="BU2335" s="1056"/>
      <c r="BV2335" s="1057"/>
      <c r="BW2335" s="1057"/>
      <c r="BX2335" s="1148"/>
      <c r="BY2335" s="1057"/>
      <c r="BZ2335" s="1057"/>
      <c r="CA2335" s="1057"/>
      <c r="CB2335" s="944"/>
    </row>
    <row r="2336" spans="2:80">
      <c r="B2336" s="1033" t="s">
        <v>7731</v>
      </c>
      <c r="C2336" s="1033" t="s">
        <v>3454</v>
      </c>
      <c r="D2336" s="1033" t="s">
        <v>7732</v>
      </c>
      <c r="E2336" s="1033" t="s">
        <v>7732</v>
      </c>
      <c r="F2336" s="1034">
        <v>46134</v>
      </c>
      <c r="G2336" s="1033" t="s">
        <v>3456</v>
      </c>
      <c r="H2336" s="1063" t="s">
        <v>134</v>
      </c>
      <c r="I2336" s="1063"/>
      <c r="J2336" s="1034"/>
      <c r="K2336" s="1034"/>
      <c r="L2336" s="1036" t="s">
        <v>106</v>
      </c>
      <c r="M2336" s="1037" t="s">
        <v>6834</v>
      </c>
      <c r="N2336" s="1034"/>
      <c r="O2336" s="1064"/>
      <c r="P2336" s="1035"/>
      <c r="Q2336" s="1036"/>
      <c r="R2336" s="1038" t="s">
        <v>7747</v>
      </c>
      <c r="S2336" s="1131" t="s">
        <v>7747</v>
      </c>
      <c r="T2336" s="1065" t="s">
        <v>7748</v>
      </c>
      <c r="U2336" s="1066">
        <v>200</v>
      </c>
      <c r="V2336" s="1035" t="s">
        <v>8</v>
      </c>
      <c r="W2336" s="1039">
        <v>10.199999999999999</v>
      </c>
      <c r="X2336" s="1040">
        <f>W2336*U2336</f>
        <v>2039.9999999999998</v>
      </c>
      <c r="Y2336" s="1045"/>
      <c r="Z2336" s="1039">
        <v>10.199999999999999</v>
      </c>
      <c r="AA2336" s="1041"/>
      <c r="AB2336" s="1041">
        <f t="shared" si="494"/>
        <v>2039.9999999999998</v>
      </c>
      <c r="AC2336" s="1042">
        <f t="shared" si="495"/>
        <v>2039.9999999999998</v>
      </c>
      <c r="AD2336" s="1043">
        <v>27000</v>
      </c>
      <c r="AE2336" s="1044"/>
      <c r="AF2336" s="1045"/>
      <c r="AG2336" s="1046"/>
      <c r="AH2336" s="1045"/>
      <c r="AI2336" s="1047"/>
      <c r="AJ2336" s="1038"/>
      <c r="AK2336" s="1048"/>
      <c r="AL2336" s="1036"/>
      <c r="AM2336" s="1036"/>
      <c r="AN2336" s="1037"/>
      <c r="AO2336" s="1037"/>
      <c r="AP2336" s="1034"/>
      <c r="AQ2336" s="1035"/>
      <c r="AR2336" s="1034"/>
      <c r="AS2336" s="1035"/>
      <c r="AT2336" s="1035"/>
      <c r="AU2336" s="1035"/>
      <c r="AV2336" s="1038"/>
      <c r="AW2336" s="1050"/>
      <c r="AX2336" s="1051"/>
      <c r="AY2336" s="1036"/>
      <c r="AZ2336" s="1035"/>
      <c r="BA2336" s="1035"/>
      <c r="BB2336" s="1052"/>
      <c r="BC2336" s="1053"/>
      <c r="BD2336" s="1049"/>
      <c r="BE2336" s="1054"/>
      <c r="BF2336" s="1055"/>
      <c r="BG2336" s="1055"/>
      <c r="BH2336" s="1055"/>
      <c r="BI2336" s="1055"/>
      <c r="BJ2336" s="1055"/>
      <c r="BK2336" s="1055"/>
      <c r="BL2336" s="1055"/>
      <c r="BM2336" s="1055"/>
      <c r="BN2336" s="1055"/>
      <c r="BO2336" s="1056"/>
      <c r="BP2336" s="1056"/>
      <c r="BQ2336" s="1056"/>
      <c r="BR2336" s="1056"/>
      <c r="BS2336" s="1056"/>
      <c r="BT2336" s="1056"/>
      <c r="BU2336" s="1056"/>
      <c r="BV2336" s="1057"/>
      <c r="BW2336" s="1057"/>
      <c r="BX2336" s="1148"/>
      <c r="BY2336" s="1057"/>
      <c r="BZ2336" s="1057"/>
      <c r="CA2336" s="1057"/>
      <c r="CB2336" s="944"/>
    </row>
    <row r="2337" spans="2:80">
      <c r="B2337" s="1033" t="s">
        <v>7731</v>
      </c>
      <c r="C2337" s="1033" t="s">
        <v>3454</v>
      </c>
      <c r="D2337" s="1033" t="s">
        <v>7732</v>
      </c>
      <c r="E2337" s="1033" t="s">
        <v>7732</v>
      </c>
      <c r="F2337" s="1034">
        <v>46134</v>
      </c>
      <c r="G2337" s="1033" t="s">
        <v>3456</v>
      </c>
      <c r="H2337" s="1063" t="s">
        <v>134</v>
      </c>
      <c r="I2337" s="1063"/>
      <c r="J2337" s="1034"/>
      <c r="K2337" s="1034"/>
      <c r="L2337" s="1036" t="s">
        <v>106</v>
      </c>
      <c r="M2337" s="1037" t="s">
        <v>6834</v>
      </c>
      <c r="N2337" s="1034"/>
      <c r="O2337" s="1064"/>
      <c r="P2337" s="1035"/>
      <c r="Q2337" s="1036"/>
      <c r="R2337" s="1038" t="s">
        <v>7749</v>
      </c>
      <c r="S2337" s="1131" t="s">
        <v>7749</v>
      </c>
      <c r="T2337" s="1065" t="s">
        <v>7750</v>
      </c>
      <c r="U2337" s="1066">
        <v>200</v>
      </c>
      <c r="V2337" s="1035" t="s">
        <v>8</v>
      </c>
      <c r="W2337" s="1039">
        <v>11.2</v>
      </c>
      <c r="X2337" s="1040">
        <f>W2337*U2337</f>
        <v>2240</v>
      </c>
      <c r="Y2337" s="1045"/>
      <c r="Z2337" s="1039">
        <v>11.2</v>
      </c>
      <c r="AA2337" s="1041"/>
      <c r="AB2337" s="1041">
        <f t="shared" si="494"/>
        <v>2240</v>
      </c>
      <c r="AC2337" s="1042">
        <f t="shared" si="495"/>
        <v>2240</v>
      </c>
      <c r="AD2337" s="1043">
        <v>27000</v>
      </c>
      <c r="AE2337" s="1044"/>
      <c r="AF2337" s="1045"/>
      <c r="AG2337" s="1046"/>
      <c r="AH2337" s="1045"/>
      <c r="AI2337" s="1047"/>
      <c r="AJ2337" s="1038"/>
      <c r="AK2337" s="1048"/>
      <c r="AL2337" s="1036"/>
      <c r="AM2337" s="1036"/>
      <c r="AN2337" s="1037"/>
      <c r="AO2337" s="1037"/>
      <c r="AP2337" s="1034"/>
      <c r="AQ2337" s="1035"/>
      <c r="AR2337" s="1034"/>
      <c r="AS2337" s="1035"/>
      <c r="AT2337" s="1035"/>
      <c r="AU2337" s="1035"/>
      <c r="AV2337" s="1038"/>
      <c r="AW2337" s="1050"/>
      <c r="AX2337" s="1051"/>
      <c r="AY2337" s="1036"/>
      <c r="AZ2337" s="1035"/>
      <c r="BA2337" s="1035"/>
      <c r="BB2337" s="1052"/>
      <c r="BC2337" s="1053"/>
      <c r="BD2337" s="1049"/>
      <c r="BE2337" s="1054"/>
      <c r="BF2337" s="1055"/>
      <c r="BG2337" s="1055"/>
      <c r="BH2337" s="1055"/>
      <c r="BI2337" s="1055"/>
      <c r="BJ2337" s="1055"/>
      <c r="BK2337" s="1055"/>
      <c r="BL2337" s="1055"/>
      <c r="BM2337" s="1055"/>
      <c r="BN2337" s="1055"/>
      <c r="BO2337" s="1056"/>
      <c r="BP2337" s="1056"/>
      <c r="BQ2337" s="1056"/>
      <c r="BR2337" s="1056"/>
      <c r="BS2337" s="1056"/>
      <c r="BT2337" s="1056"/>
      <c r="BU2337" s="1056"/>
      <c r="BV2337" s="1057"/>
      <c r="BW2337" s="1057"/>
      <c r="BX2337" s="1148"/>
      <c r="BY2337" s="1057"/>
      <c r="BZ2337" s="1057"/>
      <c r="CA2337" s="1057"/>
      <c r="CB2337" s="944"/>
    </row>
    <row r="2338" spans="2:80">
      <c r="B2338" s="1033" t="s">
        <v>7731</v>
      </c>
      <c r="C2338" s="1033" t="s">
        <v>3454</v>
      </c>
      <c r="D2338" s="1033" t="s">
        <v>7732</v>
      </c>
      <c r="E2338" s="1033" t="s">
        <v>7732</v>
      </c>
      <c r="F2338" s="1034">
        <v>46134</v>
      </c>
      <c r="G2338" s="1033" t="s">
        <v>3456</v>
      </c>
      <c r="H2338" s="1063" t="s">
        <v>134</v>
      </c>
      <c r="I2338" s="1063"/>
      <c r="J2338" s="1034"/>
      <c r="K2338" s="1034"/>
      <c r="L2338" s="1036" t="s">
        <v>106</v>
      </c>
      <c r="M2338" s="1037" t="s">
        <v>6834</v>
      </c>
      <c r="N2338" s="1034"/>
      <c r="O2338" s="1064"/>
      <c r="P2338" s="1035"/>
      <c r="Q2338" s="1036"/>
      <c r="R2338" s="1038" t="s">
        <v>7751</v>
      </c>
      <c r="S2338" s="1131" t="s">
        <v>7751</v>
      </c>
      <c r="T2338" s="1065" t="s">
        <v>7752</v>
      </c>
      <c r="U2338" s="1066">
        <v>50</v>
      </c>
      <c r="V2338" s="1035" t="s">
        <v>8</v>
      </c>
      <c r="W2338" s="1039">
        <v>12.5</v>
      </c>
      <c r="X2338" s="1040">
        <f>W2338*U2338</f>
        <v>625</v>
      </c>
      <c r="Y2338" s="1045"/>
      <c r="Z2338" s="1039">
        <v>12.5</v>
      </c>
      <c r="AA2338" s="1041"/>
      <c r="AB2338" s="1041">
        <f t="shared" si="494"/>
        <v>625</v>
      </c>
      <c r="AC2338" s="1042">
        <f t="shared" si="495"/>
        <v>625</v>
      </c>
      <c r="AD2338" s="1043">
        <v>27000</v>
      </c>
      <c r="AE2338" s="1044"/>
      <c r="AF2338" s="1045"/>
      <c r="AG2338" s="1046"/>
      <c r="AH2338" s="1045"/>
      <c r="AI2338" s="1047"/>
      <c r="AJ2338" s="1038"/>
      <c r="AK2338" s="1048"/>
      <c r="AL2338" s="1036"/>
      <c r="AM2338" s="1036"/>
      <c r="AN2338" s="1037"/>
      <c r="AO2338" s="1037"/>
      <c r="AP2338" s="1034"/>
      <c r="AQ2338" s="1035"/>
      <c r="AR2338" s="1034"/>
      <c r="AS2338" s="1035"/>
      <c r="AT2338" s="1035"/>
      <c r="AU2338" s="1035"/>
      <c r="AV2338" s="1038"/>
      <c r="AW2338" s="1050"/>
      <c r="AX2338" s="1051"/>
      <c r="AY2338" s="1036"/>
      <c r="AZ2338" s="1035"/>
      <c r="BA2338" s="1035"/>
      <c r="BB2338" s="1052"/>
      <c r="BC2338" s="1053"/>
      <c r="BD2338" s="1049"/>
      <c r="BE2338" s="1054"/>
      <c r="BF2338" s="1055"/>
      <c r="BG2338" s="1055"/>
      <c r="BH2338" s="1055"/>
      <c r="BI2338" s="1055"/>
      <c r="BJ2338" s="1055"/>
      <c r="BK2338" s="1055"/>
      <c r="BL2338" s="1055"/>
      <c r="BM2338" s="1055"/>
      <c r="BN2338" s="1055"/>
      <c r="BO2338" s="1056"/>
      <c r="BP2338" s="1056"/>
      <c r="BQ2338" s="1056"/>
      <c r="BR2338" s="1056"/>
      <c r="BS2338" s="1056"/>
      <c r="BT2338" s="1056"/>
      <c r="BU2338" s="1056"/>
      <c r="BV2338" s="1057"/>
      <c r="BW2338" s="1057"/>
      <c r="BX2338" s="1148"/>
      <c r="BY2338" s="1057"/>
      <c r="BZ2338" s="1057"/>
      <c r="CA2338" s="1057"/>
      <c r="CB2338" s="944"/>
    </row>
    <row r="2339" spans="2:80">
      <c r="B2339" s="1033" t="s">
        <v>7731</v>
      </c>
      <c r="C2339" s="1033" t="s">
        <v>3454</v>
      </c>
      <c r="D2339" s="1033" t="s">
        <v>7732</v>
      </c>
      <c r="E2339" s="1033" t="s">
        <v>7732</v>
      </c>
      <c r="F2339" s="1034">
        <v>46134</v>
      </c>
      <c r="G2339" s="1033" t="s">
        <v>3456</v>
      </c>
      <c r="H2339" s="1063" t="s">
        <v>134</v>
      </c>
      <c r="I2339" s="1063"/>
      <c r="J2339" s="1034"/>
      <c r="K2339" s="1034"/>
      <c r="L2339" s="1036" t="s">
        <v>106</v>
      </c>
      <c r="M2339" s="1037" t="s">
        <v>6834</v>
      </c>
      <c r="N2339" s="1034"/>
      <c r="O2339" s="1064"/>
      <c r="P2339" s="1035"/>
      <c r="Q2339" s="1036"/>
      <c r="R2339" s="1038" t="s">
        <v>7753</v>
      </c>
      <c r="S2339" s="1131" t="s">
        <v>7753</v>
      </c>
      <c r="T2339" s="1065" t="s">
        <v>7754</v>
      </c>
      <c r="U2339" s="1066">
        <v>100</v>
      </c>
      <c r="V2339" s="1035" t="s">
        <v>8</v>
      </c>
      <c r="W2339" s="1039">
        <v>9.1999999999999993</v>
      </c>
      <c r="X2339" s="1040">
        <f>W2339*U2339</f>
        <v>919.99999999999989</v>
      </c>
      <c r="Y2339" s="1045"/>
      <c r="Z2339" s="1039">
        <v>9.1999999999999993</v>
      </c>
      <c r="AA2339" s="1041"/>
      <c r="AB2339" s="1041">
        <f t="shared" si="494"/>
        <v>919.99999999999989</v>
      </c>
      <c r="AC2339" s="1042">
        <f t="shared" si="495"/>
        <v>919.99999999999989</v>
      </c>
      <c r="AD2339" s="1043">
        <v>27000</v>
      </c>
      <c r="AE2339" s="1044"/>
      <c r="AF2339" s="1045"/>
      <c r="AG2339" s="1046"/>
      <c r="AH2339" s="1045"/>
      <c r="AI2339" s="1047"/>
      <c r="AJ2339" s="1038"/>
      <c r="AK2339" s="1048"/>
      <c r="AL2339" s="1036"/>
      <c r="AM2339" s="1036"/>
      <c r="AN2339" s="1037"/>
      <c r="AO2339" s="1037"/>
      <c r="AP2339" s="1034"/>
      <c r="AQ2339" s="1035"/>
      <c r="AR2339" s="1034"/>
      <c r="AS2339" s="1035"/>
      <c r="AT2339" s="1035"/>
      <c r="AU2339" s="1035"/>
      <c r="AV2339" s="1038"/>
      <c r="AW2339" s="1050"/>
      <c r="AX2339" s="1051"/>
      <c r="AY2339" s="1036"/>
      <c r="AZ2339" s="1035"/>
      <c r="BA2339" s="1035"/>
      <c r="BB2339" s="1052"/>
      <c r="BC2339" s="1053"/>
      <c r="BD2339" s="1049"/>
      <c r="BE2339" s="1054"/>
      <c r="BF2339" s="1055"/>
      <c r="BG2339" s="1055"/>
      <c r="BH2339" s="1055"/>
      <c r="BI2339" s="1055"/>
      <c r="BJ2339" s="1055"/>
      <c r="BK2339" s="1055"/>
      <c r="BL2339" s="1055"/>
      <c r="BM2339" s="1055"/>
      <c r="BN2339" s="1055"/>
      <c r="BO2339" s="1056"/>
      <c r="BP2339" s="1056"/>
      <c r="BQ2339" s="1056"/>
      <c r="BR2339" s="1056"/>
      <c r="BS2339" s="1056"/>
      <c r="BT2339" s="1056"/>
      <c r="BU2339" s="1056"/>
      <c r="BV2339" s="1057"/>
      <c r="BW2339" s="1057"/>
      <c r="BX2339" s="1148"/>
      <c r="BY2339" s="1057"/>
      <c r="BZ2339" s="1057"/>
      <c r="CA2339" s="1057"/>
      <c r="CB2339" s="944"/>
    </row>
    <row r="2340" spans="2:80">
      <c r="B2340" s="1033" t="s">
        <v>7731</v>
      </c>
      <c r="C2340" s="1033" t="s">
        <v>3454</v>
      </c>
      <c r="D2340" s="1033" t="s">
        <v>7732</v>
      </c>
      <c r="E2340" s="1033" t="s">
        <v>7732</v>
      </c>
      <c r="F2340" s="1034">
        <v>46134</v>
      </c>
      <c r="G2340" s="1033" t="s">
        <v>3456</v>
      </c>
      <c r="H2340" s="1063" t="s">
        <v>134</v>
      </c>
      <c r="I2340" s="1063"/>
      <c r="J2340" s="1034"/>
      <c r="K2340" s="1034"/>
      <c r="L2340" s="1036" t="s">
        <v>106</v>
      </c>
      <c r="M2340" s="1037" t="s">
        <v>6834</v>
      </c>
      <c r="N2340" s="1034"/>
      <c r="O2340" s="1064"/>
      <c r="P2340" s="1035"/>
      <c r="Q2340" s="1036"/>
      <c r="R2340" s="1038" t="s">
        <v>7755</v>
      </c>
      <c r="S2340" s="1131" t="s">
        <v>7755</v>
      </c>
      <c r="T2340" s="1065" t="s">
        <v>7756</v>
      </c>
      <c r="U2340" s="1066">
        <v>50</v>
      </c>
      <c r="V2340" s="1035" t="s">
        <v>8</v>
      </c>
      <c r="W2340" s="1039">
        <v>11.3</v>
      </c>
      <c r="X2340" s="1040">
        <f>W2340*U2340</f>
        <v>565</v>
      </c>
      <c r="Y2340" s="1045"/>
      <c r="Z2340" s="1039">
        <v>11.3</v>
      </c>
      <c r="AA2340" s="1041"/>
      <c r="AB2340" s="1041">
        <f t="shared" si="494"/>
        <v>565</v>
      </c>
      <c r="AC2340" s="1042">
        <f t="shared" si="495"/>
        <v>565</v>
      </c>
      <c r="AD2340" s="1043">
        <v>27000</v>
      </c>
      <c r="AE2340" s="1044"/>
      <c r="AF2340" s="1045"/>
      <c r="AG2340" s="1046"/>
      <c r="AH2340" s="1045"/>
      <c r="AI2340" s="1047"/>
      <c r="AJ2340" s="1038"/>
      <c r="AK2340" s="1048"/>
      <c r="AL2340" s="1036"/>
      <c r="AM2340" s="1036"/>
      <c r="AN2340" s="1037"/>
      <c r="AO2340" s="1037"/>
      <c r="AP2340" s="1034"/>
      <c r="AQ2340" s="1035"/>
      <c r="AR2340" s="1034"/>
      <c r="AS2340" s="1035"/>
      <c r="AT2340" s="1035"/>
      <c r="AU2340" s="1035"/>
      <c r="AV2340" s="1038"/>
      <c r="AW2340" s="1050"/>
      <c r="AX2340" s="1051"/>
      <c r="AY2340" s="1036"/>
      <c r="AZ2340" s="1035"/>
      <c r="BA2340" s="1035"/>
      <c r="BB2340" s="1052"/>
      <c r="BC2340" s="1053"/>
      <c r="BD2340" s="1049"/>
      <c r="BE2340" s="1054"/>
      <c r="BF2340" s="1055"/>
      <c r="BG2340" s="1055"/>
      <c r="BH2340" s="1055"/>
      <c r="BI2340" s="1055"/>
      <c r="BJ2340" s="1055"/>
      <c r="BK2340" s="1055"/>
      <c r="BL2340" s="1055"/>
      <c r="BM2340" s="1055"/>
      <c r="BN2340" s="1055"/>
      <c r="BO2340" s="1056"/>
      <c r="BP2340" s="1056"/>
      <c r="BQ2340" s="1056"/>
      <c r="BR2340" s="1056"/>
      <c r="BS2340" s="1056"/>
      <c r="BT2340" s="1056"/>
      <c r="BU2340" s="1056"/>
      <c r="BV2340" s="1057"/>
      <c r="BW2340" s="1057"/>
      <c r="BX2340" s="1148"/>
      <c r="BY2340" s="1057"/>
      <c r="BZ2340" s="1057"/>
      <c r="CA2340" s="1057"/>
      <c r="CB2340" s="944"/>
    </row>
    <row r="2341" spans="2:80">
      <c r="B2341" s="1033" t="s">
        <v>7731</v>
      </c>
      <c r="C2341" s="1033" t="s">
        <v>3454</v>
      </c>
      <c r="D2341" s="1033" t="s">
        <v>7732</v>
      </c>
      <c r="E2341" s="1033" t="s">
        <v>7732</v>
      </c>
      <c r="F2341" s="1034">
        <v>46134</v>
      </c>
      <c r="G2341" s="1033" t="s">
        <v>3456</v>
      </c>
      <c r="H2341" s="1063" t="s">
        <v>134</v>
      </c>
      <c r="I2341" s="1063"/>
      <c r="J2341" s="1034"/>
      <c r="K2341" s="1034"/>
      <c r="L2341" s="1036" t="s">
        <v>106</v>
      </c>
      <c r="M2341" s="1037" t="s">
        <v>6834</v>
      </c>
      <c r="N2341" s="1034"/>
      <c r="O2341" s="1064"/>
      <c r="P2341" s="1035"/>
      <c r="Q2341" s="1036"/>
      <c r="R2341" s="1038" t="s">
        <v>7757</v>
      </c>
      <c r="S2341" s="1131" t="s">
        <v>7757</v>
      </c>
      <c r="T2341" s="1065" t="s">
        <v>7758</v>
      </c>
      <c r="U2341" s="1066">
        <v>100</v>
      </c>
      <c r="V2341" s="1035" t="s">
        <v>8</v>
      </c>
      <c r="W2341" s="1039">
        <v>13.8</v>
      </c>
      <c r="X2341" s="1040">
        <f>W2341*U2341</f>
        <v>1380</v>
      </c>
      <c r="Y2341" s="1045"/>
      <c r="Z2341" s="1039">
        <v>13.8</v>
      </c>
      <c r="AA2341" s="1041"/>
      <c r="AB2341" s="1041">
        <f t="shared" si="494"/>
        <v>1380</v>
      </c>
      <c r="AC2341" s="1042">
        <f t="shared" si="495"/>
        <v>1380</v>
      </c>
      <c r="AD2341" s="1043">
        <v>27000</v>
      </c>
      <c r="AE2341" s="1044"/>
      <c r="AF2341" s="1045"/>
      <c r="AG2341" s="1046"/>
      <c r="AH2341" s="1045"/>
      <c r="AI2341" s="1047"/>
      <c r="AJ2341" s="1038"/>
      <c r="AK2341" s="1048"/>
      <c r="AL2341" s="1036"/>
      <c r="AM2341" s="1036"/>
      <c r="AN2341" s="1037"/>
      <c r="AO2341" s="1037"/>
      <c r="AP2341" s="1034"/>
      <c r="AQ2341" s="1035"/>
      <c r="AR2341" s="1034"/>
      <c r="AS2341" s="1035"/>
      <c r="AT2341" s="1035"/>
      <c r="AU2341" s="1035"/>
      <c r="AV2341" s="1038"/>
      <c r="AW2341" s="1050"/>
      <c r="AX2341" s="1051"/>
      <c r="AY2341" s="1036"/>
      <c r="AZ2341" s="1035"/>
      <c r="BA2341" s="1035"/>
      <c r="BB2341" s="1052"/>
      <c r="BC2341" s="1053"/>
      <c r="BD2341" s="1049"/>
      <c r="BE2341" s="1054"/>
      <c r="BF2341" s="1055"/>
      <c r="BG2341" s="1055"/>
      <c r="BH2341" s="1055"/>
      <c r="BI2341" s="1055"/>
      <c r="BJ2341" s="1055"/>
      <c r="BK2341" s="1055"/>
      <c r="BL2341" s="1055"/>
      <c r="BM2341" s="1055"/>
      <c r="BN2341" s="1055"/>
      <c r="BO2341" s="1056"/>
      <c r="BP2341" s="1056"/>
      <c r="BQ2341" s="1056"/>
      <c r="BR2341" s="1056"/>
      <c r="BS2341" s="1056"/>
      <c r="BT2341" s="1056"/>
      <c r="BU2341" s="1056"/>
      <c r="BV2341" s="1057"/>
      <c r="BW2341" s="1057"/>
      <c r="BX2341" s="1148"/>
      <c r="BY2341" s="1057"/>
      <c r="BZ2341" s="1057"/>
      <c r="CA2341" s="1057"/>
      <c r="CB2341" s="944"/>
    </row>
    <row r="2342" spans="2:80">
      <c r="B2342" s="1033" t="s">
        <v>7731</v>
      </c>
      <c r="C2342" s="1033" t="s">
        <v>3454</v>
      </c>
      <c r="D2342" s="1033" t="s">
        <v>7732</v>
      </c>
      <c r="E2342" s="1033" t="s">
        <v>7732</v>
      </c>
      <c r="F2342" s="1034">
        <v>46134</v>
      </c>
      <c r="G2342" s="1033" t="s">
        <v>3456</v>
      </c>
      <c r="H2342" s="1063" t="s">
        <v>134</v>
      </c>
      <c r="I2342" s="1063"/>
      <c r="J2342" s="1034"/>
      <c r="K2342" s="1034"/>
      <c r="L2342" s="1036" t="s">
        <v>106</v>
      </c>
      <c r="M2342" s="1037" t="s">
        <v>6834</v>
      </c>
      <c r="N2342" s="1034"/>
      <c r="O2342" s="1064"/>
      <c r="P2342" s="1035"/>
      <c r="Q2342" s="1036"/>
      <c r="R2342" s="1038" t="s">
        <v>7759</v>
      </c>
      <c r="S2342" s="1131" t="s">
        <v>7759</v>
      </c>
      <c r="T2342" s="1065" t="s">
        <v>7760</v>
      </c>
      <c r="U2342" s="1066">
        <v>50</v>
      </c>
      <c r="V2342" s="1035" t="s">
        <v>8</v>
      </c>
      <c r="W2342" s="1039">
        <v>2.8</v>
      </c>
      <c r="X2342" s="1040">
        <f>W2342*U2342</f>
        <v>140</v>
      </c>
      <c r="Y2342" s="1045"/>
      <c r="Z2342" s="1039">
        <v>2.8</v>
      </c>
      <c r="AA2342" s="1041"/>
      <c r="AB2342" s="1041">
        <f t="shared" si="494"/>
        <v>140</v>
      </c>
      <c r="AC2342" s="1042">
        <f t="shared" si="495"/>
        <v>140</v>
      </c>
      <c r="AD2342" s="1043">
        <v>27000</v>
      </c>
      <c r="AE2342" s="1044"/>
      <c r="AF2342" s="1045"/>
      <c r="AG2342" s="1046"/>
      <c r="AH2342" s="1045"/>
      <c r="AI2342" s="1047"/>
      <c r="AJ2342" s="1038"/>
      <c r="AK2342" s="1048"/>
      <c r="AL2342" s="1036"/>
      <c r="AM2342" s="1036"/>
      <c r="AN2342" s="1037"/>
      <c r="AO2342" s="1037"/>
      <c r="AP2342" s="1034"/>
      <c r="AQ2342" s="1035"/>
      <c r="AR2342" s="1034"/>
      <c r="AS2342" s="1035"/>
      <c r="AT2342" s="1035"/>
      <c r="AU2342" s="1035"/>
      <c r="AV2342" s="1038"/>
      <c r="AW2342" s="1050"/>
      <c r="AX2342" s="1051"/>
      <c r="AY2342" s="1036"/>
      <c r="AZ2342" s="1035"/>
      <c r="BA2342" s="1035"/>
      <c r="BB2342" s="1052"/>
      <c r="BC2342" s="1053"/>
      <c r="BD2342" s="1049"/>
      <c r="BE2342" s="1054"/>
      <c r="BF2342" s="1055"/>
      <c r="BG2342" s="1055"/>
      <c r="BH2342" s="1055"/>
      <c r="BI2342" s="1055"/>
      <c r="BJ2342" s="1055"/>
      <c r="BK2342" s="1055"/>
      <c r="BL2342" s="1055"/>
      <c r="BM2342" s="1055"/>
      <c r="BN2342" s="1055"/>
      <c r="BO2342" s="1056"/>
      <c r="BP2342" s="1056"/>
      <c r="BQ2342" s="1056"/>
      <c r="BR2342" s="1056"/>
      <c r="BS2342" s="1056"/>
      <c r="BT2342" s="1056"/>
      <c r="BU2342" s="1056"/>
      <c r="BV2342" s="1057"/>
      <c r="BW2342" s="1057"/>
      <c r="BX2342" s="1148"/>
      <c r="BY2342" s="1057"/>
      <c r="BZ2342" s="1057"/>
      <c r="CA2342" s="1057"/>
      <c r="CB2342" s="944"/>
    </row>
    <row r="2343" spans="2:80">
      <c r="B2343" s="1033" t="s">
        <v>7731</v>
      </c>
      <c r="C2343" s="1033" t="s">
        <v>3454</v>
      </c>
      <c r="D2343" s="1033" t="s">
        <v>7732</v>
      </c>
      <c r="E2343" s="1033" t="s">
        <v>7732</v>
      </c>
      <c r="F2343" s="1034">
        <v>46134</v>
      </c>
      <c r="G2343" s="1033" t="s">
        <v>3456</v>
      </c>
      <c r="H2343" s="1063" t="s">
        <v>134</v>
      </c>
      <c r="I2343" s="1063"/>
      <c r="J2343" s="1034"/>
      <c r="K2343" s="1034"/>
      <c r="L2343" s="1036" t="s">
        <v>106</v>
      </c>
      <c r="M2343" s="1037" t="s">
        <v>6834</v>
      </c>
      <c r="N2343" s="1034"/>
      <c r="O2343" s="1064"/>
      <c r="P2343" s="1035"/>
      <c r="Q2343" s="1036"/>
      <c r="R2343" s="1038" t="s">
        <v>7761</v>
      </c>
      <c r="S2343" s="1131" t="s">
        <v>7761</v>
      </c>
      <c r="T2343" s="1065" t="s">
        <v>7762</v>
      </c>
      <c r="U2343" s="1066">
        <v>50</v>
      </c>
      <c r="V2343" s="1035" t="s">
        <v>8</v>
      </c>
      <c r="W2343" s="1039">
        <v>6.9</v>
      </c>
      <c r="X2343" s="1040">
        <f>W2343*U2343</f>
        <v>345</v>
      </c>
      <c r="Y2343" s="1045"/>
      <c r="Z2343" s="1039">
        <v>6.9</v>
      </c>
      <c r="AA2343" s="1041"/>
      <c r="AB2343" s="1041">
        <f t="shared" si="494"/>
        <v>345</v>
      </c>
      <c r="AC2343" s="1042">
        <f t="shared" si="495"/>
        <v>345</v>
      </c>
      <c r="AD2343" s="1043">
        <v>27000</v>
      </c>
      <c r="AE2343" s="1044"/>
      <c r="AF2343" s="1045"/>
      <c r="AG2343" s="1046"/>
      <c r="AH2343" s="1045"/>
      <c r="AI2343" s="1047"/>
      <c r="AJ2343" s="1038"/>
      <c r="AK2343" s="1048"/>
      <c r="AL2343" s="1036"/>
      <c r="AM2343" s="1036"/>
      <c r="AN2343" s="1037"/>
      <c r="AO2343" s="1037"/>
      <c r="AP2343" s="1034"/>
      <c r="AQ2343" s="1035"/>
      <c r="AR2343" s="1034"/>
      <c r="AS2343" s="1035"/>
      <c r="AT2343" s="1035"/>
      <c r="AU2343" s="1035"/>
      <c r="AV2343" s="1038"/>
      <c r="AW2343" s="1050"/>
      <c r="AX2343" s="1051"/>
      <c r="AY2343" s="1036"/>
      <c r="AZ2343" s="1035"/>
      <c r="BA2343" s="1035"/>
      <c r="BB2343" s="1052"/>
      <c r="BC2343" s="1053"/>
      <c r="BD2343" s="1049"/>
      <c r="BE2343" s="1054"/>
      <c r="BF2343" s="1055"/>
      <c r="BG2343" s="1055"/>
      <c r="BH2343" s="1055"/>
      <c r="BI2343" s="1055"/>
      <c r="BJ2343" s="1055"/>
      <c r="BK2343" s="1055"/>
      <c r="BL2343" s="1055"/>
      <c r="BM2343" s="1055"/>
      <c r="BN2343" s="1055"/>
      <c r="BO2343" s="1056"/>
      <c r="BP2343" s="1056"/>
      <c r="BQ2343" s="1056"/>
      <c r="BR2343" s="1056"/>
      <c r="BS2343" s="1056"/>
      <c r="BT2343" s="1056"/>
      <c r="BU2343" s="1056"/>
      <c r="BV2343" s="1057"/>
      <c r="BW2343" s="1057"/>
      <c r="BX2343" s="1148"/>
      <c r="BY2343" s="1057"/>
      <c r="BZ2343" s="1057"/>
      <c r="CA2343" s="1057"/>
      <c r="CB2343" s="944"/>
    </row>
    <row r="2344" spans="2:80">
      <c r="B2344" s="1033" t="s">
        <v>7731</v>
      </c>
      <c r="C2344" s="1033" t="s">
        <v>3454</v>
      </c>
      <c r="D2344" s="1033" t="s">
        <v>7732</v>
      </c>
      <c r="E2344" s="1033" t="s">
        <v>7732</v>
      </c>
      <c r="F2344" s="1034">
        <v>46134</v>
      </c>
      <c r="G2344" s="1033" t="s">
        <v>3456</v>
      </c>
      <c r="H2344" s="1063" t="s">
        <v>134</v>
      </c>
      <c r="I2344" s="1063"/>
      <c r="J2344" s="1034"/>
      <c r="K2344" s="1034"/>
      <c r="L2344" s="1036" t="s">
        <v>106</v>
      </c>
      <c r="M2344" s="1037" t="s">
        <v>6834</v>
      </c>
      <c r="N2344" s="1034"/>
      <c r="O2344" s="1064"/>
      <c r="P2344" s="1035"/>
      <c r="Q2344" s="1036"/>
      <c r="R2344" s="1038" t="s">
        <v>7763</v>
      </c>
      <c r="S2344" s="1131" t="s">
        <v>7763</v>
      </c>
      <c r="T2344" s="1065" t="s">
        <v>7764</v>
      </c>
      <c r="U2344" s="1066">
        <v>50</v>
      </c>
      <c r="V2344" s="1035" t="s">
        <v>8</v>
      </c>
      <c r="W2344" s="1039">
        <v>13.8</v>
      </c>
      <c r="X2344" s="1040">
        <f>W2344*U2344</f>
        <v>690</v>
      </c>
      <c r="Y2344" s="1045"/>
      <c r="Z2344" s="1039">
        <v>13.8</v>
      </c>
      <c r="AA2344" s="1041"/>
      <c r="AB2344" s="1041">
        <f t="shared" si="494"/>
        <v>690</v>
      </c>
      <c r="AC2344" s="1042">
        <f t="shared" si="495"/>
        <v>690</v>
      </c>
      <c r="AD2344" s="1043">
        <v>27000</v>
      </c>
      <c r="AE2344" s="1044"/>
      <c r="AF2344" s="1045"/>
      <c r="AG2344" s="1046"/>
      <c r="AH2344" s="1045"/>
      <c r="AI2344" s="1047"/>
      <c r="AJ2344" s="1038"/>
      <c r="AK2344" s="1048"/>
      <c r="AL2344" s="1036"/>
      <c r="AM2344" s="1036"/>
      <c r="AN2344" s="1037"/>
      <c r="AO2344" s="1037"/>
      <c r="AP2344" s="1034"/>
      <c r="AQ2344" s="1035"/>
      <c r="AR2344" s="1034"/>
      <c r="AS2344" s="1035"/>
      <c r="AT2344" s="1035"/>
      <c r="AU2344" s="1035"/>
      <c r="AV2344" s="1038"/>
      <c r="AW2344" s="1050"/>
      <c r="AX2344" s="1051"/>
      <c r="AY2344" s="1036"/>
      <c r="AZ2344" s="1035"/>
      <c r="BA2344" s="1035"/>
      <c r="BB2344" s="1052"/>
      <c r="BC2344" s="1053"/>
      <c r="BD2344" s="1049"/>
      <c r="BE2344" s="1054"/>
      <c r="BF2344" s="1055"/>
      <c r="BG2344" s="1055"/>
      <c r="BH2344" s="1055"/>
      <c r="BI2344" s="1055"/>
      <c r="BJ2344" s="1055"/>
      <c r="BK2344" s="1055"/>
      <c r="BL2344" s="1055"/>
      <c r="BM2344" s="1055"/>
      <c r="BN2344" s="1055"/>
      <c r="BO2344" s="1056"/>
      <c r="BP2344" s="1056"/>
      <c r="BQ2344" s="1056"/>
      <c r="BR2344" s="1056"/>
      <c r="BS2344" s="1056"/>
      <c r="BT2344" s="1056"/>
      <c r="BU2344" s="1056"/>
      <c r="BV2344" s="1057"/>
      <c r="BW2344" s="1057"/>
      <c r="BX2344" s="1148"/>
      <c r="BY2344" s="1057"/>
      <c r="BZ2344" s="1057"/>
      <c r="CA2344" s="1057"/>
      <c r="CB2344" s="944"/>
    </row>
    <row r="2345" spans="2:80">
      <c r="B2345" s="1033" t="s">
        <v>7731</v>
      </c>
      <c r="C2345" s="1033" t="s">
        <v>3454</v>
      </c>
      <c r="D2345" s="1033" t="s">
        <v>7732</v>
      </c>
      <c r="E2345" s="1033" t="s">
        <v>7732</v>
      </c>
      <c r="F2345" s="1034">
        <v>46134</v>
      </c>
      <c r="G2345" s="1033" t="s">
        <v>3456</v>
      </c>
      <c r="H2345" s="1063" t="s">
        <v>134</v>
      </c>
      <c r="I2345" s="1063"/>
      <c r="J2345" s="1034"/>
      <c r="K2345" s="1034"/>
      <c r="L2345" s="1036" t="s">
        <v>106</v>
      </c>
      <c r="M2345" s="1037" t="s">
        <v>6834</v>
      </c>
      <c r="N2345" s="1034"/>
      <c r="O2345" s="1064"/>
      <c r="P2345" s="1035"/>
      <c r="Q2345" s="1036"/>
      <c r="R2345" s="1038" t="s">
        <v>7765</v>
      </c>
      <c r="S2345" s="1131" t="s">
        <v>7765</v>
      </c>
      <c r="T2345" s="1065" t="s">
        <v>7766</v>
      </c>
      <c r="U2345" s="1066">
        <v>1</v>
      </c>
      <c r="V2345" s="1035" t="s">
        <v>8</v>
      </c>
      <c r="W2345" s="1039">
        <v>5</v>
      </c>
      <c r="X2345" s="1040">
        <f>W2345*U2345</f>
        <v>5</v>
      </c>
      <c r="Y2345" s="1045"/>
      <c r="Z2345" s="1039">
        <v>5</v>
      </c>
      <c r="AA2345" s="1041" t="s">
        <v>40</v>
      </c>
      <c r="AB2345" s="1041">
        <f t="shared" si="494"/>
        <v>0</v>
      </c>
      <c r="AC2345" s="1042">
        <f t="shared" si="495"/>
        <v>5</v>
      </c>
      <c r="AD2345" s="1043">
        <v>27000</v>
      </c>
      <c r="AE2345" s="1044"/>
      <c r="AF2345" s="1045"/>
      <c r="AG2345" s="1046"/>
      <c r="AH2345" s="1045"/>
      <c r="AI2345" s="1047"/>
      <c r="AJ2345" s="1038"/>
      <c r="AK2345" s="1048"/>
      <c r="AL2345" s="1036"/>
      <c r="AM2345" s="1036"/>
      <c r="AN2345" s="1037"/>
      <c r="AO2345" s="1037"/>
      <c r="AP2345" s="1034"/>
      <c r="AQ2345" s="1035"/>
      <c r="AR2345" s="1034"/>
      <c r="AS2345" s="1035"/>
      <c r="AT2345" s="1035"/>
      <c r="AU2345" s="1035"/>
      <c r="AV2345" s="1038"/>
      <c r="AW2345" s="1050"/>
      <c r="AX2345" s="1051"/>
      <c r="AY2345" s="1036"/>
      <c r="AZ2345" s="1035"/>
      <c r="BA2345" s="1035"/>
      <c r="BB2345" s="1052"/>
      <c r="BC2345" s="1053"/>
      <c r="BD2345" s="1049"/>
      <c r="BE2345" s="1054"/>
      <c r="BF2345" s="1055"/>
      <c r="BG2345" s="1055"/>
      <c r="BH2345" s="1055"/>
      <c r="BI2345" s="1055"/>
      <c r="BJ2345" s="1055"/>
      <c r="BK2345" s="1055"/>
      <c r="BL2345" s="1055"/>
      <c r="BM2345" s="1055"/>
      <c r="BN2345" s="1055"/>
      <c r="BO2345" s="1056"/>
      <c r="BP2345" s="1056"/>
      <c r="BQ2345" s="1056"/>
      <c r="BR2345" s="1056"/>
      <c r="BS2345" s="1056"/>
      <c r="BT2345" s="1056"/>
      <c r="BU2345" s="1056"/>
      <c r="BV2345" s="1057"/>
      <c r="BW2345" s="1057"/>
      <c r="BX2345" s="1148"/>
      <c r="BY2345" s="1057"/>
      <c r="BZ2345" s="1057"/>
      <c r="CA2345" s="1057"/>
      <c r="CB2345" s="944"/>
    </row>
    <row r="2346" spans="2:80">
      <c r="B2346" s="1033" t="s">
        <v>7731</v>
      </c>
      <c r="C2346" s="1033" t="s">
        <v>3454</v>
      </c>
      <c r="D2346" s="1033" t="s">
        <v>7732</v>
      </c>
      <c r="E2346" s="1033" t="s">
        <v>7732</v>
      </c>
      <c r="F2346" s="1034">
        <v>46134</v>
      </c>
      <c r="G2346" s="1033" t="s">
        <v>3456</v>
      </c>
      <c r="H2346" s="1063" t="s">
        <v>134</v>
      </c>
      <c r="I2346" s="1063"/>
      <c r="J2346" s="1034"/>
      <c r="K2346" s="1034"/>
      <c r="L2346" s="1036" t="s">
        <v>106</v>
      </c>
      <c r="M2346" s="1037" t="s">
        <v>6834</v>
      </c>
      <c r="N2346" s="1034"/>
      <c r="O2346" s="1064"/>
      <c r="P2346" s="1035"/>
      <c r="Q2346" s="1036"/>
      <c r="R2346" s="1038" t="s">
        <v>7767</v>
      </c>
      <c r="S2346" s="1131" t="s">
        <v>7767</v>
      </c>
      <c r="T2346" s="1065" t="s">
        <v>7768</v>
      </c>
      <c r="U2346" s="1066">
        <v>1</v>
      </c>
      <c r="V2346" s="1035" t="s">
        <v>8</v>
      </c>
      <c r="W2346" s="1039">
        <v>5</v>
      </c>
      <c r="X2346" s="1040">
        <f>W2346*U2346</f>
        <v>5</v>
      </c>
      <c r="Y2346" s="1045"/>
      <c r="Z2346" s="1039">
        <v>5</v>
      </c>
      <c r="AA2346" s="1041" t="s">
        <v>40</v>
      </c>
      <c r="AB2346" s="1041">
        <f t="shared" si="494"/>
        <v>0</v>
      </c>
      <c r="AC2346" s="1042">
        <f t="shared" si="495"/>
        <v>5</v>
      </c>
      <c r="AD2346" s="1043">
        <v>27000</v>
      </c>
      <c r="AE2346" s="1044"/>
      <c r="AF2346" s="1045"/>
      <c r="AG2346" s="1046"/>
      <c r="AH2346" s="1045"/>
      <c r="AI2346" s="1047"/>
      <c r="AJ2346" s="1038"/>
      <c r="AK2346" s="1048"/>
      <c r="AL2346" s="1036"/>
      <c r="AM2346" s="1036"/>
      <c r="AN2346" s="1037"/>
      <c r="AO2346" s="1037"/>
      <c r="AP2346" s="1034"/>
      <c r="AQ2346" s="1035"/>
      <c r="AR2346" s="1034"/>
      <c r="AS2346" s="1035"/>
      <c r="AT2346" s="1035"/>
      <c r="AU2346" s="1035"/>
      <c r="AV2346" s="1038"/>
      <c r="AW2346" s="1050"/>
      <c r="AX2346" s="1051"/>
      <c r="AY2346" s="1036"/>
      <c r="AZ2346" s="1035"/>
      <c r="BA2346" s="1035"/>
      <c r="BB2346" s="1052"/>
      <c r="BC2346" s="1053"/>
      <c r="BD2346" s="1049"/>
      <c r="BE2346" s="1054"/>
      <c r="BF2346" s="1055"/>
      <c r="BG2346" s="1055"/>
      <c r="BH2346" s="1055"/>
      <c r="BI2346" s="1055"/>
      <c r="BJ2346" s="1055"/>
      <c r="BK2346" s="1055"/>
      <c r="BL2346" s="1055"/>
      <c r="BM2346" s="1055"/>
      <c r="BN2346" s="1055"/>
      <c r="BO2346" s="1056"/>
      <c r="BP2346" s="1056"/>
      <c r="BQ2346" s="1056"/>
      <c r="BR2346" s="1056"/>
      <c r="BS2346" s="1056"/>
      <c r="BT2346" s="1056"/>
      <c r="BU2346" s="1056"/>
      <c r="BV2346" s="1057"/>
      <c r="BW2346" s="1057"/>
      <c r="BX2346" s="1148"/>
      <c r="BY2346" s="1057"/>
      <c r="BZ2346" s="1057"/>
      <c r="CA2346" s="1057"/>
      <c r="CB2346" s="944"/>
    </row>
    <row r="2347" spans="2:80">
      <c r="B2347" s="1033" t="s">
        <v>7731</v>
      </c>
      <c r="C2347" s="1033" t="s">
        <v>3454</v>
      </c>
      <c r="D2347" s="1033" t="s">
        <v>7732</v>
      </c>
      <c r="E2347" s="1033" t="s">
        <v>7732</v>
      </c>
      <c r="F2347" s="1034">
        <v>46134</v>
      </c>
      <c r="G2347" s="1033" t="s">
        <v>3456</v>
      </c>
      <c r="H2347" s="1063" t="s">
        <v>134</v>
      </c>
      <c r="I2347" s="1063"/>
      <c r="J2347" s="1034"/>
      <c r="K2347" s="1034"/>
      <c r="L2347" s="1036" t="s">
        <v>106</v>
      </c>
      <c r="M2347" s="1037" t="s">
        <v>6834</v>
      </c>
      <c r="N2347" s="1034"/>
      <c r="O2347" s="1064"/>
      <c r="P2347" s="1035"/>
      <c r="Q2347" s="1036"/>
      <c r="R2347" s="1038" t="s">
        <v>7769</v>
      </c>
      <c r="S2347" s="1131" t="s">
        <v>7769</v>
      </c>
      <c r="T2347" s="1065" t="s">
        <v>7770</v>
      </c>
      <c r="U2347" s="1066">
        <v>1</v>
      </c>
      <c r="V2347" s="1035" t="s">
        <v>8</v>
      </c>
      <c r="W2347" s="1039">
        <v>5</v>
      </c>
      <c r="X2347" s="1040">
        <f>W2347*U2347</f>
        <v>5</v>
      </c>
      <c r="Y2347" s="1045"/>
      <c r="Z2347" s="1039">
        <v>5</v>
      </c>
      <c r="AA2347" s="1041" t="s">
        <v>40</v>
      </c>
      <c r="AB2347" s="1041">
        <f t="shared" si="494"/>
        <v>0</v>
      </c>
      <c r="AC2347" s="1042">
        <f t="shared" si="495"/>
        <v>5</v>
      </c>
      <c r="AD2347" s="1043">
        <v>27000</v>
      </c>
      <c r="AE2347" s="1044"/>
      <c r="AF2347" s="1045"/>
      <c r="AG2347" s="1046"/>
      <c r="AH2347" s="1045"/>
      <c r="AI2347" s="1047"/>
      <c r="AJ2347" s="1038"/>
      <c r="AK2347" s="1048"/>
      <c r="AL2347" s="1036"/>
      <c r="AM2347" s="1036"/>
      <c r="AN2347" s="1037"/>
      <c r="AO2347" s="1037"/>
      <c r="AP2347" s="1034"/>
      <c r="AQ2347" s="1035"/>
      <c r="AR2347" s="1034"/>
      <c r="AS2347" s="1035"/>
      <c r="AT2347" s="1035"/>
      <c r="AU2347" s="1035"/>
      <c r="AV2347" s="1038"/>
      <c r="AW2347" s="1050"/>
      <c r="AX2347" s="1051"/>
      <c r="AY2347" s="1036"/>
      <c r="AZ2347" s="1035"/>
      <c r="BA2347" s="1035"/>
      <c r="BB2347" s="1052"/>
      <c r="BC2347" s="1053"/>
      <c r="BD2347" s="1049"/>
      <c r="BE2347" s="1054"/>
      <c r="BF2347" s="1055"/>
      <c r="BG2347" s="1055"/>
      <c r="BH2347" s="1055"/>
      <c r="BI2347" s="1055"/>
      <c r="BJ2347" s="1055"/>
      <c r="BK2347" s="1055"/>
      <c r="BL2347" s="1055"/>
      <c r="BM2347" s="1055"/>
      <c r="BN2347" s="1055"/>
      <c r="BO2347" s="1056"/>
      <c r="BP2347" s="1056"/>
      <c r="BQ2347" s="1056"/>
      <c r="BR2347" s="1056"/>
      <c r="BS2347" s="1056"/>
      <c r="BT2347" s="1056"/>
      <c r="BU2347" s="1056"/>
      <c r="BV2347" s="1057"/>
      <c r="BW2347" s="1057"/>
      <c r="BX2347" s="1148"/>
      <c r="BY2347" s="1057"/>
      <c r="BZ2347" s="1057"/>
      <c r="CA2347" s="1057"/>
      <c r="CB2347" s="944"/>
    </row>
    <row r="2348" spans="2:80">
      <c r="B2348" s="1033" t="s">
        <v>7731</v>
      </c>
      <c r="C2348" s="1033" t="s">
        <v>3454</v>
      </c>
      <c r="D2348" s="1033" t="s">
        <v>7732</v>
      </c>
      <c r="E2348" s="1033" t="s">
        <v>7732</v>
      </c>
      <c r="F2348" s="1034">
        <v>46134</v>
      </c>
      <c r="G2348" s="1033" t="s">
        <v>3456</v>
      </c>
      <c r="H2348" s="1063" t="s">
        <v>134</v>
      </c>
      <c r="I2348" s="1063"/>
      <c r="J2348" s="1034"/>
      <c r="K2348" s="1034"/>
      <c r="L2348" s="1036" t="s">
        <v>106</v>
      </c>
      <c r="M2348" s="1037" t="s">
        <v>6834</v>
      </c>
      <c r="N2348" s="1034"/>
      <c r="O2348" s="1064"/>
      <c r="P2348" s="1035"/>
      <c r="Q2348" s="1036"/>
      <c r="R2348" s="1038" t="s">
        <v>7771</v>
      </c>
      <c r="S2348" s="1131" t="s">
        <v>7771</v>
      </c>
      <c r="T2348" s="1065" t="s">
        <v>7772</v>
      </c>
      <c r="U2348" s="1066">
        <v>1</v>
      </c>
      <c r="V2348" s="1035" t="s">
        <v>8</v>
      </c>
      <c r="W2348" s="1039">
        <v>7</v>
      </c>
      <c r="X2348" s="1040">
        <f>W2348*U2348</f>
        <v>7</v>
      </c>
      <c r="Y2348" s="1045"/>
      <c r="Z2348" s="1039">
        <v>7</v>
      </c>
      <c r="AA2348" s="1041" t="s">
        <v>40</v>
      </c>
      <c r="AB2348" s="1041">
        <f t="shared" si="494"/>
        <v>0</v>
      </c>
      <c r="AC2348" s="1042">
        <f t="shared" si="495"/>
        <v>7</v>
      </c>
      <c r="AD2348" s="1043">
        <v>27000</v>
      </c>
      <c r="AE2348" s="1044"/>
      <c r="AF2348" s="1045"/>
      <c r="AG2348" s="1046"/>
      <c r="AH2348" s="1045"/>
      <c r="AI2348" s="1047"/>
      <c r="AJ2348" s="1038"/>
      <c r="AK2348" s="1048"/>
      <c r="AL2348" s="1036"/>
      <c r="AM2348" s="1036"/>
      <c r="AN2348" s="1037"/>
      <c r="AO2348" s="1037"/>
      <c r="AP2348" s="1034"/>
      <c r="AQ2348" s="1035"/>
      <c r="AR2348" s="1034"/>
      <c r="AS2348" s="1035"/>
      <c r="AT2348" s="1035"/>
      <c r="AU2348" s="1035"/>
      <c r="AV2348" s="1038"/>
      <c r="AW2348" s="1050"/>
      <c r="AX2348" s="1051"/>
      <c r="AY2348" s="1036"/>
      <c r="AZ2348" s="1035"/>
      <c r="BA2348" s="1035"/>
      <c r="BB2348" s="1052"/>
      <c r="BC2348" s="1053"/>
      <c r="BD2348" s="1049"/>
      <c r="BE2348" s="1054"/>
      <c r="BF2348" s="1055"/>
      <c r="BG2348" s="1055"/>
      <c r="BH2348" s="1055"/>
      <c r="BI2348" s="1055"/>
      <c r="BJ2348" s="1055"/>
      <c r="BK2348" s="1055"/>
      <c r="BL2348" s="1055"/>
      <c r="BM2348" s="1055"/>
      <c r="BN2348" s="1055"/>
      <c r="BO2348" s="1056"/>
      <c r="BP2348" s="1056"/>
      <c r="BQ2348" s="1056"/>
      <c r="BR2348" s="1056"/>
      <c r="BS2348" s="1056"/>
      <c r="BT2348" s="1056"/>
      <c r="BU2348" s="1056"/>
      <c r="BV2348" s="1057"/>
      <c r="BW2348" s="1057"/>
      <c r="BX2348" s="1148"/>
      <c r="BY2348" s="1057"/>
      <c r="BZ2348" s="1057"/>
      <c r="CA2348" s="1057"/>
      <c r="CB2348" s="944"/>
    </row>
    <row r="2349" spans="2:80">
      <c r="B2349" s="1033"/>
      <c r="C2349" s="1033"/>
      <c r="D2349" s="1033"/>
      <c r="E2349" s="1033"/>
      <c r="F2349" s="1034"/>
      <c r="G2349" s="1033"/>
      <c r="H2349" s="1063"/>
      <c r="I2349" s="1063"/>
      <c r="J2349" s="1034"/>
      <c r="K2349" s="1034"/>
      <c r="L2349" s="1036"/>
      <c r="M2349" s="1037"/>
      <c r="N2349" s="1034"/>
      <c r="O2349" s="1064"/>
      <c r="P2349" s="1035"/>
      <c r="Q2349" s="1036"/>
      <c r="R2349" s="1038"/>
      <c r="S2349" s="1131"/>
      <c r="T2349" s="1065"/>
      <c r="U2349" s="1066"/>
      <c r="V2349" s="1035"/>
      <c r="W2349" s="1039"/>
      <c r="X2349" s="1040"/>
      <c r="Y2349" s="1045"/>
      <c r="Z2349" s="1039"/>
      <c r="AA2349" s="1041"/>
      <c r="AB2349" s="1041"/>
      <c r="AC2349" s="1042"/>
      <c r="AD2349" s="1043"/>
      <c r="AE2349" s="1044"/>
      <c r="AF2349" s="1045"/>
      <c r="AG2349" s="1046"/>
      <c r="AH2349" s="1045"/>
      <c r="AI2349" s="1047"/>
      <c r="AJ2349" s="1038"/>
      <c r="AK2349" s="1048"/>
      <c r="AL2349" s="1036"/>
      <c r="AM2349" s="1036"/>
      <c r="AN2349" s="1037"/>
      <c r="AO2349" s="1037"/>
      <c r="AP2349" s="1034"/>
      <c r="AQ2349" s="1035"/>
      <c r="AR2349" s="1034"/>
      <c r="AS2349" s="1035"/>
      <c r="AT2349" s="1035"/>
      <c r="AU2349" s="1035"/>
      <c r="AV2349" s="1038"/>
      <c r="AW2349" s="1050"/>
      <c r="AX2349" s="1051"/>
      <c r="AY2349" s="1036"/>
      <c r="AZ2349" s="1035"/>
      <c r="BA2349" s="1035"/>
      <c r="BB2349" s="1052"/>
      <c r="BC2349" s="1053"/>
      <c r="BD2349" s="1049"/>
      <c r="BE2349" s="1054"/>
      <c r="BF2349" s="1055"/>
      <c r="BG2349" s="1055"/>
      <c r="BH2349" s="1055"/>
      <c r="BI2349" s="1055"/>
      <c r="BJ2349" s="1055"/>
      <c r="BK2349" s="1055"/>
      <c r="BL2349" s="1055"/>
      <c r="BM2349" s="1055"/>
      <c r="BN2349" s="1055"/>
      <c r="BO2349" s="1056"/>
      <c r="BP2349" s="1056"/>
      <c r="BQ2349" s="1056"/>
      <c r="BR2349" s="1056"/>
      <c r="BS2349" s="1056"/>
      <c r="BT2349" s="1056"/>
      <c r="BU2349" s="1056"/>
      <c r="BV2349" s="1057"/>
      <c r="BW2349" s="1057"/>
      <c r="BX2349" s="1148"/>
      <c r="BY2349" s="1057"/>
      <c r="BZ2349" s="1057"/>
      <c r="CA2349" s="1057"/>
      <c r="CB2349" s="944"/>
    </row>
    <row r="2350" spans="2:80">
      <c r="B2350" s="1033" t="s">
        <v>7773</v>
      </c>
      <c r="C2350" s="839" t="s">
        <v>7454</v>
      </c>
      <c r="D2350" s="1033" t="s">
        <v>7774</v>
      </c>
      <c r="E2350" s="1033" t="s">
        <v>7774</v>
      </c>
      <c r="F2350" s="1034">
        <v>46077</v>
      </c>
      <c r="G2350" s="1033" t="s">
        <v>7775</v>
      </c>
      <c r="H2350" s="1063" t="s">
        <v>3457</v>
      </c>
      <c r="I2350" s="1063"/>
      <c r="J2350" s="1034"/>
      <c r="K2350" s="1034"/>
      <c r="L2350" s="1036" t="s">
        <v>7456</v>
      </c>
      <c r="M2350" s="1037" t="s">
        <v>107</v>
      </c>
      <c r="N2350" s="1034"/>
      <c r="O2350" s="1064"/>
      <c r="P2350" s="1035"/>
      <c r="Q2350" s="1036"/>
      <c r="R2350" s="1038" t="s">
        <v>7776</v>
      </c>
      <c r="S2350" s="1131" t="s">
        <v>7777</v>
      </c>
      <c r="T2350" s="1036" t="s">
        <v>7778</v>
      </c>
      <c r="U2350" s="1066">
        <v>1</v>
      </c>
      <c r="V2350" s="1035" t="s">
        <v>3</v>
      </c>
      <c r="W2350" s="1039">
        <v>7929.9999999999991</v>
      </c>
      <c r="X2350" s="1040">
        <f t="shared" si="482"/>
        <v>7929.9999999999991</v>
      </c>
      <c r="Y2350" s="1045" t="s">
        <v>7460</v>
      </c>
      <c r="Z2350" s="1041">
        <v>5519.28</v>
      </c>
      <c r="AA2350" s="1041"/>
      <c r="AB2350" s="1041">
        <f t="shared" ref="AB2350:AB2382" si="496">IF(AA2350="F.O.C", 0, Z2350*U2350)</f>
        <v>5519.28</v>
      </c>
      <c r="AC2350" s="1042">
        <f t="shared" ref="AC2350:AC2382" si="497">Z2350*U2350</f>
        <v>5519.28</v>
      </c>
      <c r="AD2350" s="1043">
        <v>32000</v>
      </c>
      <c r="AE2350" s="1044"/>
      <c r="AF2350" s="1045"/>
      <c r="AG2350" s="1046"/>
      <c r="AH2350" s="1045"/>
      <c r="AI2350" s="1047"/>
      <c r="AJ2350" s="1038"/>
      <c r="AK2350" s="1048"/>
      <c r="AL2350" s="1036"/>
      <c r="AM2350" s="1036"/>
      <c r="AN2350" s="1037"/>
      <c r="AO2350" s="1037"/>
      <c r="AP2350" s="1034"/>
      <c r="AQ2350" s="1035"/>
      <c r="AR2350" s="1034"/>
      <c r="AS2350" s="1035"/>
      <c r="AT2350" s="1035"/>
      <c r="AU2350" s="1035"/>
      <c r="AV2350" s="1038"/>
      <c r="AW2350" s="1050"/>
      <c r="AX2350" s="1051"/>
      <c r="AY2350" s="1036"/>
      <c r="AZ2350" s="1035"/>
      <c r="BA2350" s="1035"/>
      <c r="BB2350" s="1052"/>
      <c r="BC2350" s="1053"/>
      <c r="BD2350" s="1049"/>
      <c r="BE2350" s="1054"/>
      <c r="BF2350" s="1055"/>
      <c r="BG2350" s="1055"/>
      <c r="BH2350" s="1055"/>
      <c r="BI2350" s="1055"/>
      <c r="BJ2350" s="1055"/>
      <c r="BK2350" s="1055"/>
      <c r="BL2350" s="1055"/>
      <c r="BM2350" s="1055"/>
      <c r="BN2350" s="1055"/>
      <c r="BO2350" s="1056"/>
      <c r="BP2350" s="1056"/>
      <c r="BQ2350" s="1056"/>
      <c r="BR2350" s="1056"/>
      <c r="BS2350" s="1056"/>
      <c r="BT2350" s="1056"/>
      <c r="BU2350" s="1056"/>
      <c r="BV2350" s="1057"/>
      <c r="BW2350" s="1057"/>
      <c r="BX2350" s="1148"/>
      <c r="BY2350" s="1057"/>
      <c r="BZ2350" s="1057"/>
      <c r="CA2350" s="1057"/>
      <c r="CB2350" s="1032"/>
    </row>
    <row r="2351" spans="2:80">
      <c r="B2351" s="1033" t="s">
        <v>7773</v>
      </c>
      <c r="C2351" s="839" t="s">
        <v>7454</v>
      </c>
      <c r="D2351" s="1033" t="s">
        <v>7774</v>
      </c>
      <c r="E2351" s="1033" t="s">
        <v>7774</v>
      </c>
      <c r="F2351" s="1034">
        <v>46077</v>
      </c>
      <c r="G2351" s="1033" t="s">
        <v>7775</v>
      </c>
      <c r="H2351" s="1063" t="s">
        <v>3457</v>
      </c>
      <c r="I2351" s="1063"/>
      <c r="J2351" s="1034"/>
      <c r="K2351" s="1034"/>
      <c r="L2351" s="1036" t="s">
        <v>7456</v>
      </c>
      <c r="M2351" s="1037" t="s">
        <v>107</v>
      </c>
      <c r="N2351" s="1034"/>
      <c r="O2351" s="1064"/>
      <c r="P2351" s="1035"/>
      <c r="Q2351" s="1036"/>
      <c r="R2351" s="1038" t="s">
        <v>7779</v>
      </c>
      <c r="S2351" s="1131" t="s">
        <v>7780</v>
      </c>
      <c r="T2351" s="1036" t="s">
        <v>7781</v>
      </c>
      <c r="U2351" s="1066">
        <v>10</v>
      </c>
      <c r="V2351" s="1035" t="s">
        <v>3</v>
      </c>
      <c r="W2351" s="1039">
        <v>926.99712643678163</v>
      </c>
      <c r="X2351" s="1040">
        <f t="shared" si="482"/>
        <v>9269.9712643678158</v>
      </c>
      <c r="Y2351" s="1045" t="s">
        <v>7460</v>
      </c>
      <c r="Z2351" s="1041">
        <v>645.19000000000005</v>
      </c>
      <c r="AA2351" s="1041"/>
      <c r="AB2351" s="1041">
        <f t="shared" si="496"/>
        <v>6451.9000000000005</v>
      </c>
      <c r="AC2351" s="1042">
        <f t="shared" si="497"/>
        <v>6451.9000000000005</v>
      </c>
      <c r="AD2351" s="1043">
        <v>32000</v>
      </c>
      <c r="AE2351" s="1044"/>
      <c r="AF2351" s="1045"/>
      <c r="AG2351" s="1046"/>
      <c r="AH2351" s="1045"/>
      <c r="AI2351" s="1047"/>
      <c r="AJ2351" s="1038"/>
      <c r="AK2351" s="1048"/>
      <c r="AL2351" s="1036"/>
      <c r="AM2351" s="1036"/>
      <c r="AN2351" s="1037"/>
      <c r="AO2351" s="1037"/>
      <c r="AP2351" s="1034"/>
      <c r="AQ2351" s="1035"/>
      <c r="AR2351" s="1034"/>
      <c r="AS2351" s="1035"/>
      <c r="AT2351" s="1035"/>
      <c r="AU2351" s="1035"/>
      <c r="AV2351" s="1038"/>
      <c r="AW2351" s="1050"/>
      <c r="AX2351" s="1051"/>
      <c r="AY2351" s="1036"/>
      <c r="AZ2351" s="1035"/>
      <c r="BA2351" s="1035"/>
      <c r="BB2351" s="1052"/>
      <c r="BC2351" s="1053"/>
      <c r="BD2351" s="1049"/>
      <c r="BE2351" s="1054"/>
      <c r="BF2351" s="1055"/>
      <c r="BG2351" s="1055"/>
      <c r="BH2351" s="1055"/>
      <c r="BI2351" s="1055"/>
      <c r="BJ2351" s="1055"/>
      <c r="BK2351" s="1055"/>
      <c r="BL2351" s="1055"/>
      <c r="BM2351" s="1055"/>
      <c r="BN2351" s="1055"/>
      <c r="BO2351" s="1056"/>
      <c r="BP2351" s="1056"/>
      <c r="BQ2351" s="1056"/>
      <c r="BR2351" s="1056"/>
      <c r="BS2351" s="1056"/>
      <c r="BT2351" s="1056"/>
      <c r="BU2351" s="1056"/>
      <c r="BV2351" s="1057"/>
      <c r="BW2351" s="1057"/>
      <c r="BX2351" s="1148"/>
      <c r="BY2351" s="1057"/>
      <c r="BZ2351" s="1057"/>
      <c r="CA2351" s="1057"/>
      <c r="CB2351" s="1032"/>
    </row>
    <row r="2352" spans="2:80">
      <c r="B2352" s="1033" t="s">
        <v>7773</v>
      </c>
      <c r="C2352" s="839" t="s">
        <v>7454</v>
      </c>
      <c r="D2352" s="1033" t="s">
        <v>7774</v>
      </c>
      <c r="E2352" s="1033" t="s">
        <v>7774</v>
      </c>
      <c r="F2352" s="1034">
        <v>46077</v>
      </c>
      <c r="G2352" s="1033" t="s">
        <v>7454</v>
      </c>
      <c r="H2352" s="1063" t="s">
        <v>3457</v>
      </c>
      <c r="I2352" s="1063"/>
      <c r="J2352" s="1034"/>
      <c r="K2352" s="1034"/>
      <c r="L2352" s="1036" t="s">
        <v>7456</v>
      </c>
      <c r="M2352" s="1037" t="s">
        <v>107</v>
      </c>
      <c r="N2352" s="1034"/>
      <c r="O2352" s="1064"/>
      <c r="P2352" s="1035"/>
      <c r="Q2352" s="1036"/>
      <c r="R2352" s="1038" t="s">
        <v>7487</v>
      </c>
      <c r="S2352" s="1131" t="s">
        <v>7488</v>
      </c>
      <c r="T2352" s="1036" t="s">
        <v>7782</v>
      </c>
      <c r="U2352" s="1066">
        <v>1</v>
      </c>
      <c r="V2352" s="1035" t="s">
        <v>3</v>
      </c>
      <c r="W2352" s="1039">
        <v>829.99999999999989</v>
      </c>
      <c r="X2352" s="1040">
        <f t="shared" si="482"/>
        <v>829.99999999999989</v>
      </c>
      <c r="Y2352" s="1045" t="s">
        <v>7460</v>
      </c>
      <c r="Z2352" s="1041">
        <v>577.67999999999995</v>
      </c>
      <c r="AA2352" s="1041"/>
      <c r="AB2352" s="1041">
        <f t="shared" si="496"/>
        <v>577.67999999999995</v>
      </c>
      <c r="AC2352" s="1042">
        <f t="shared" si="497"/>
        <v>577.67999999999995</v>
      </c>
      <c r="AD2352" s="1043">
        <v>32000</v>
      </c>
      <c r="AE2352" s="1044"/>
      <c r="AF2352" s="1045"/>
      <c r="AG2352" s="1046"/>
      <c r="AH2352" s="1045"/>
      <c r="AI2352" s="1047"/>
      <c r="AJ2352" s="1038"/>
      <c r="AK2352" s="1048"/>
      <c r="AL2352" s="1036"/>
      <c r="AM2352" s="1036"/>
      <c r="AN2352" s="1037"/>
      <c r="AO2352" s="1037"/>
      <c r="AP2352" s="1034"/>
      <c r="AQ2352" s="1035"/>
      <c r="AR2352" s="1034"/>
      <c r="AS2352" s="1035"/>
      <c r="AT2352" s="1035"/>
      <c r="AU2352" s="1035"/>
      <c r="AV2352" s="1038"/>
      <c r="AW2352" s="1050"/>
      <c r="AX2352" s="1051"/>
      <c r="AY2352" s="1036"/>
      <c r="AZ2352" s="1035"/>
      <c r="BA2352" s="1035"/>
      <c r="BB2352" s="1052"/>
      <c r="BC2352" s="1053"/>
      <c r="BD2352" s="1049"/>
      <c r="BE2352" s="1054"/>
      <c r="BF2352" s="1055"/>
      <c r="BG2352" s="1055"/>
      <c r="BH2352" s="1055"/>
      <c r="BI2352" s="1055"/>
      <c r="BJ2352" s="1055"/>
      <c r="BK2352" s="1055"/>
      <c r="BL2352" s="1055"/>
      <c r="BM2352" s="1055"/>
      <c r="BN2352" s="1055"/>
      <c r="BO2352" s="1056"/>
      <c r="BP2352" s="1056"/>
      <c r="BQ2352" s="1056"/>
      <c r="BR2352" s="1056"/>
      <c r="BS2352" s="1056"/>
      <c r="BT2352" s="1056"/>
      <c r="BU2352" s="1056"/>
      <c r="BV2352" s="1057"/>
      <c r="BW2352" s="1057"/>
      <c r="BX2352" s="1148"/>
      <c r="BY2352" s="1057"/>
      <c r="BZ2352" s="1057"/>
      <c r="CA2352" s="1057"/>
      <c r="CB2352" s="1032"/>
    </row>
    <row r="2353" spans="2:80">
      <c r="B2353" s="1033" t="s">
        <v>7773</v>
      </c>
      <c r="C2353" s="839" t="s">
        <v>7454</v>
      </c>
      <c r="D2353" s="1033" t="s">
        <v>7774</v>
      </c>
      <c r="E2353" s="1033" t="s">
        <v>7774</v>
      </c>
      <c r="F2353" s="1034">
        <v>46077</v>
      </c>
      <c r="G2353" s="1033" t="s">
        <v>7454</v>
      </c>
      <c r="H2353" s="1063" t="s">
        <v>3457</v>
      </c>
      <c r="I2353" s="1063"/>
      <c r="J2353" s="1034"/>
      <c r="K2353" s="1034"/>
      <c r="L2353" s="1036" t="s">
        <v>7456</v>
      </c>
      <c r="M2353" s="1037" t="s">
        <v>107</v>
      </c>
      <c r="N2353" s="1034"/>
      <c r="O2353" s="1064"/>
      <c r="P2353" s="1035"/>
      <c r="Q2353" s="1036"/>
      <c r="R2353" s="1038" t="s">
        <v>7783</v>
      </c>
      <c r="S2353" s="1131" t="s">
        <v>7784</v>
      </c>
      <c r="T2353" s="1036" t="s">
        <v>7785</v>
      </c>
      <c r="U2353" s="1066">
        <v>1</v>
      </c>
      <c r="V2353" s="1035" t="s">
        <v>3</v>
      </c>
      <c r="W2353" s="1039">
        <v>3216.0057471264367</v>
      </c>
      <c r="X2353" s="1040">
        <f t="shared" si="482"/>
        <v>3216.0057471264367</v>
      </c>
      <c r="Y2353" s="1045" t="s">
        <v>7460</v>
      </c>
      <c r="Z2353" s="1041">
        <v>2238.34</v>
      </c>
      <c r="AA2353" s="1041"/>
      <c r="AB2353" s="1041">
        <f t="shared" si="496"/>
        <v>2238.34</v>
      </c>
      <c r="AC2353" s="1042">
        <f t="shared" si="497"/>
        <v>2238.34</v>
      </c>
      <c r="AD2353" s="1043">
        <v>32000</v>
      </c>
      <c r="AE2353" s="1044"/>
      <c r="AF2353" s="1045"/>
      <c r="AG2353" s="1046"/>
      <c r="AH2353" s="1045"/>
      <c r="AI2353" s="1047"/>
      <c r="AJ2353" s="1038"/>
      <c r="AK2353" s="1048"/>
      <c r="AL2353" s="1036"/>
      <c r="AM2353" s="1036"/>
      <c r="AN2353" s="1037"/>
      <c r="AO2353" s="1037"/>
      <c r="AP2353" s="1034"/>
      <c r="AQ2353" s="1035"/>
      <c r="AR2353" s="1034"/>
      <c r="AS2353" s="1035"/>
      <c r="AT2353" s="1035"/>
      <c r="AU2353" s="1035"/>
      <c r="AV2353" s="1038"/>
      <c r="AW2353" s="1050"/>
      <c r="AX2353" s="1051"/>
      <c r="AY2353" s="1036"/>
      <c r="AZ2353" s="1035"/>
      <c r="BA2353" s="1035"/>
      <c r="BB2353" s="1052"/>
      <c r="BC2353" s="1053"/>
      <c r="BD2353" s="1049"/>
      <c r="BE2353" s="1054"/>
      <c r="BF2353" s="1055"/>
      <c r="BG2353" s="1055"/>
      <c r="BH2353" s="1055"/>
      <c r="BI2353" s="1055"/>
      <c r="BJ2353" s="1055"/>
      <c r="BK2353" s="1055"/>
      <c r="BL2353" s="1055"/>
      <c r="BM2353" s="1055"/>
      <c r="BN2353" s="1055"/>
      <c r="BO2353" s="1056"/>
      <c r="BP2353" s="1056"/>
      <c r="BQ2353" s="1056"/>
      <c r="BR2353" s="1056"/>
      <c r="BS2353" s="1056"/>
      <c r="BT2353" s="1056"/>
      <c r="BU2353" s="1056"/>
      <c r="BV2353" s="1057"/>
      <c r="BW2353" s="1057"/>
      <c r="BX2353" s="1148"/>
      <c r="BY2353" s="1057"/>
      <c r="BZ2353" s="1057"/>
      <c r="CA2353" s="1057"/>
      <c r="CB2353" s="1032"/>
    </row>
    <row r="2354" spans="2:80">
      <c r="B2354" s="1033" t="s">
        <v>7773</v>
      </c>
      <c r="C2354" s="839" t="s">
        <v>7454</v>
      </c>
      <c r="D2354" s="1033" t="s">
        <v>7774</v>
      </c>
      <c r="E2354" s="1033" t="s">
        <v>7774</v>
      </c>
      <c r="F2354" s="1034">
        <v>46077</v>
      </c>
      <c r="G2354" s="1033" t="s">
        <v>7454</v>
      </c>
      <c r="H2354" s="1063" t="s">
        <v>3457</v>
      </c>
      <c r="I2354" s="1063"/>
      <c r="J2354" s="1034"/>
      <c r="K2354" s="1034"/>
      <c r="L2354" s="1036" t="s">
        <v>7456</v>
      </c>
      <c r="M2354" s="1037" t="s">
        <v>107</v>
      </c>
      <c r="N2354" s="1034"/>
      <c r="O2354" s="1064"/>
      <c r="P2354" s="1035"/>
      <c r="Q2354" s="1036"/>
      <c r="R2354" s="1038" t="s">
        <v>7786</v>
      </c>
      <c r="S2354" s="1131" t="s">
        <v>7787</v>
      </c>
      <c r="T2354" s="1036" t="s">
        <v>7788</v>
      </c>
      <c r="U2354" s="1066">
        <v>1</v>
      </c>
      <c r="V2354" s="1035" t="s">
        <v>3</v>
      </c>
      <c r="W2354" s="1039">
        <v>12141.99712643678</v>
      </c>
      <c r="X2354" s="1040">
        <f t="shared" si="482"/>
        <v>12141.99712643678</v>
      </c>
      <c r="Y2354" s="1045" t="s">
        <v>7460</v>
      </c>
      <c r="Z2354" s="1041">
        <v>8450.83</v>
      </c>
      <c r="AA2354" s="1041"/>
      <c r="AB2354" s="1041">
        <f t="shared" si="496"/>
        <v>8450.83</v>
      </c>
      <c r="AC2354" s="1042">
        <f t="shared" si="497"/>
        <v>8450.83</v>
      </c>
      <c r="AD2354" s="1043">
        <v>32000</v>
      </c>
      <c r="AE2354" s="1044"/>
      <c r="AF2354" s="1045"/>
      <c r="AG2354" s="1046"/>
      <c r="AH2354" s="1045"/>
      <c r="AI2354" s="1047"/>
      <c r="AJ2354" s="1038"/>
      <c r="AK2354" s="1048"/>
      <c r="AL2354" s="1036"/>
      <c r="AM2354" s="1036"/>
      <c r="AN2354" s="1037"/>
      <c r="AO2354" s="1037"/>
      <c r="AP2354" s="1034"/>
      <c r="AQ2354" s="1035"/>
      <c r="AR2354" s="1034"/>
      <c r="AS2354" s="1035"/>
      <c r="AT2354" s="1035"/>
      <c r="AU2354" s="1035"/>
      <c r="AV2354" s="1038"/>
      <c r="AW2354" s="1050"/>
      <c r="AX2354" s="1051"/>
      <c r="AY2354" s="1036"/>
      <c r="AZ2354" s="1035"/>
      <c r="BA2354" s="1035"/>
      <c r="BB2354" s="1052"/>
      <c r="BC2354" s="1053"/>
      <c r="BD2354" s="1049"/>
      <c r="BE2354" s="1054"/>
      <c r="BF2354" s="1055"/>
      <c r="BG2354" s="1055"/>
      <c r="BH2354" s="1055"/>
      <c r="BI2354" s="1055"/>
      <c r="BJ2354" s="1055"/>
      <c r="BK2354" s="1055"/>
      <c r="BL2354" s="1055"/>
      <c r="BM2354" s="1055"/>
      <c r="BN2354" s="1055"/>
      <c r="BO2354" s="1056"/>
      <c r="BP2354" s="1056"/>
      <c r="BQ2354" s="1056"/>
      <c r="BR2354" s="1056"/>
      <c r="BS2354" s="1056"/>
      <c r="BT2354" s="1056"/>
      <c r="BU2354" s="1056"/>
      <c r="BV2354" s="1057"/>
      <c r="BW2354" s="1057"/>
      <c r="BX2354" s="1148"/>
      <c r="BY2354" s="1057"/>
      <c r="BZ2354" s="1057"/>
      <c r="CA2354" s="1057"/>
      <c r="CB2354" s="1032"/>
    </row>
    <row r="2355" spans="2:80">
      <c r="B2355" s="1033" t="s">
        <v>7773</v>
      </c>
      <c r="C2355" s="839" t="s">
        <v>7454</v>
      </c>
      <c r="D2355" s="1033" t="s">
        <v>7774</v>
      </c>
      <c r="E2355" s="1033" t="s">
        <v>7774</v>
      </c>
      <c r="F2355" s="1034">
        <v>46077</v>
      </c>
      <c r="G2355" s="1033" t="s">
        <v>7454</v>
      </c>
      <c r="H2355" s="1063" t="s">
        <v>3457</v>
      </c>
      <c r="I2355" s="1063"/>
      <c r="J2355" s="1034"/>
      <c r="K2355" s="1034"/>
      <c r="L2355" s="1036" t="s">
        <v>7456</v>
      </c>
      <c r="M2355" s="1037" t="s">
        <v>107</v>
      </c>
      <c r="N2355" s="1034"/>
      <c r="O2355" s="1064"/>
      <c r="P2355" s="1035"/>
      <c r="Q2355" s="1036"/>
      <c r="R2355" s="1038" t="s">
        <v>7483</v>
      </c>
      <c r="S2355" s="1131" t="s">
        <v>7484</v>
      </c>
      <c r="T2355" s="1036" t="s">
        <v>7789</v>
      </c>
      <c r="U2355" s="1066">
        <v>1</v>
      </c>
      <c r="V2355" s="1035" t="s">
        <v>3</v>
      </c>
      <c r="W2355" s="1039">
        <v>668.00287356321837</v>
      </c>
      <c r="X2355" s="1040">
        <f t="shared" si="482"/>
        <v>668.00287356321837</v>
      </c>
      <c r="Y2355" s="1045" t="s">
        <v>7460</v>
      </c>
      <c r="Z2355" s="1041">
        <v>464.93</v>
      </c>
      <c r="AA2355" s="1041"/>
      <c r="AB2355" s="1041">
        <f t="shared" si="496"/>
        <v>464.93</v>
      </c>
      <c r="AC2355" s="1042">
        <f t="shared" si="497"/>
        <v>464.93</v>
      </c>
      <c r="AD2355" s="1043">
        <v>32000</v>
      </c>
      <c r="AE2355" s="1044"/>
      <c r="AF2355" s="1045"/>
      <c r="AG2355" s="1046"/>
      <c r="AH2355" s="1045"/>
      <c r="AI2355" s="1047"/>
      <c r="AJ2355" s="1038"/>
      <c r="AK2355" s="1048"/>
      <c r="AL2355" s="1036"/>
      <c r="AM2355" s="1036"/>
      <c r="AN2355" s="1037"/>
      <c r="AO2355" s="1037"/>
      <c r="AP2355" s="1034"/>
      <c r="AQ2355" s="1035"/>
      <c r="AR2355" s="1034"/>
      <c r="AS2355" s="1035"/>
      <c r="AT2355" s="1035"/>
      <c r="AU2355" s="1035"/>
      <c r="AV2355" s="1038"/>
      <c r="AW2355" s="1050"/>
      <c r="AX2355" s="1051"/>
      <c r="AY2355" s="1036"/>
      <c r="AZ2355" s="1035"/>
      <c r="BA2355" s="1035"/>
      <c r="BB2355" s="1052"/>
      <c r="BC2355" s="1053"/>
      <c r="BD2355" s="1049"/>
      <c r="BE2355" s="1054"/>
      <c r="BF2355" s="1055"/>
      <c r="BG2355" s="1055"/>
      <c r="BH2355" s="1055"/>
      <c r="BI2355" s="1055"/>
      <c r="BJ2355" s="1055"/>
      <c r="BK2355" s="1055"/>
      <c r="BL2355" s="1055"/>
      <c r="BM2355" s="1055"/>
      <c r="BN2355" s="1055"/>
      <c r="BO2355" s="1056"/>
      <c r="BP2355" s="1056"/>
      <c r="BQ2355" s="1056"/>
      <c r="BR2355" s="1056"/>
      <c r="BS2355" s="1056"/>
      <c r="BT2355" s="1056"/>
      <c r="BU2355" s="1056"/>
      <c r="BV2355" s="1057"/>
      <c r="BW2355" s="1057"/>
      <c r="BX2355" s="1148"/>
      <c r="BY2355" s="1057"/>
      <c r="BZ2355" s="1057"/>
      <c r="CA2355" s="1057"/>
      <c r="CB2355" s="1032"/>
    </row>
    <row r="2356" spans="2:80">
      <c r="B2356" s="1033" t="s">
        <v>7773</v>
      </c>
      <c r="C2356" s="839" t="s">
        <v>7454</v>
      </c>
      <c r="D2356" s="1033" t="s">
        <v>7774</v>
      </c>
      <c r="E2356" s="1033" t="s">
        <v>7774</v>
      </c>
      <c r="F2356" s="1034">
        <v>46077</v>
      </c>
      <c r="G2356" s="1033" t="s">
        <v>7454</v>
      </c>
      <c r="H2356" s="1063" t="s">
        <v>3457</v>
      </c>
      <c r="I2356" s="1063"/>
      <c r="J2356" s="1034"/>
      <c r="K2356" s="1034"/>
      <c r="L2356" s="1036" t="s">
        <v>7456</v>
      </c>
      <c r="M2356" s="1037" t="s">
        <v>107</v>
      </c>
      <c r="N2356" s="1034"/>
      <c r="O2356" s="1064"/>
      <c r="P2356" s="1035"/>
      <c r="Q2356" s="1036"/>
      <c r="R2356" s="1038" t="s">
        <v>7790</v>
      </c>
      <c r="S2356" s="1131" t="s">
        <v>7791</v>
      </c>
      <c r="T2356" s="1036" t="s">
        <v>7792</v>
      </c>
      <c r="U2356" s="1066">
        <v>1</v>
      </c>
      <c r="V2356" s="1035" t="s">
        <v>3</v>
      </c>
      <c r="W2356" s="1039">
        <v>2406.0057471264363</v>
      </c>
      <c r="X2356" s="1040">
        <f t="shared" si="482"/>
        <v>2406.0057471264363</v>
      </c>
      <c r="Y2356" s="1045" t="s">
        <v>7460</v>
      </c>
      <c r="Z2356" s="1041">
        <v>1674.58</v>
      </c>
      <c r="AA2356" s="1041"/>
      <c r="AB2356" s="1041">
        <f t="shared" si="496"/>
        <v>1674.58</v>
      </c>
      <c r="AC2356" s="1042">
        <f t="shared" si="497"/>
        <v>1674.58</v>
      </c>
      <c r="AD2356" s="1043">
        <v>32000</v>
      </c>
      <c r="AE2356" s="1044"/>
      <c r="AF2356" s="1045"/>
      <c r="AG2356" s="1046"/>
      <c r="AH2356" s="1045"/>
      <c r="AI2356" s="1047"/>
      <c r="AJ2356" s="1038"/>
      <c r="AK2356" s="1048"/>
      <c r="AL2356" s="1036"/>
      <c r="AM2356" s="1036"/>
      <c r="AN2356" s="1037"/>
      <c r="AO2356" s="1037"/>
      <c r="AP2356" s="1034"/>
      <c r="AQ2356" s="1035"/>
      <c r="AR2356" s="1034"/>
      <c r="AS2356" s="1035"/>
      <c r="AT2356" s="1035"/>
      <c r="AU2356" s="1035"/>
      <c r="AV2356" s="1038"/>
      <c r="AW2356" s="1050"/>
      <c r="AX2356" s="1051"/>
      <c r="AY2356" s="1036"/>
      <c r="AZ2356" s="1035"/>
      <c r="BA2356" s="1035"/>
      <c r="BB2356" s="1052"/>
      <c r="BC2356" s="1053"/>
      <c r="BD2356" s="1049"/>
      <c r="BE2356" s="1054"/>
      <c r="BF2356" s="1055"/>
      <c r="BG2356" s="1055"/>
      <c r="BH2356" s="1055"/>
      <c r="BI2356" s="1055"/>
      <c r="BJ2356" s="1055"/>
      <c r="BK2356" s="1055"/>
      <c r="BL2356" s="1055"/>
      <c r="BM2356" s="1055"/>
      <c r="BN2356" s="1055"/>
      <c r="BO2356" s="1056"/>
      <c r="BP2356" s="1056"/>
      <c r="BQ2356" s="1056"/>
      <c r="BR2356" s="1056"/>
      <c r="BS2356" s="1056"/>
      <c r="BT2356" s="1056"/>
      <c r="BU2356" s="1056"/>
      <c r="BV2356" s="1057"/>
      <c r="BW2356" s="1057"/>
      <c r="BX2356" s="1148"/>
      <c r="BY2356" s="1057"/>
      <c r="BZ2356" s="1057"/>
      <c r="CA2356" s="1057"/>
      <c r="CB2356" s="1032"/>
    </row>
    <row r="2357" spans="2:80">
      <c r="B2357" s="1033" t="s">
        <v>7773</v>
      </c>
      <c r="C2357" s="839" t="s">
        <v>7454</v>
      </c>
      <c r="D2357" s="1033" t="s">
        <v>7774</v>
      </c>
      <c r="E2357" s="1033" t="s">
        <v>7774</v>
      </c>
      <c r="F2357" s="1034">
        <v>46077</v>
      </c>
      <c r="G2357" s="1033" t="s">
        <v>7454</v>
      </c>
      <c r="H2357" s="1063" t="s">
        <v>3457</v>
      </c>
      <c r="I2357" s="1063"/>
      <c r="J2357" s="1034"/>
      <c r="K2357" s="1034"/>
      <c r="L2357" s="1036" t="s">
        <v>7456</v>
      </c>
      <c r="M2357" s="1037" t="s">
        <v>107</v>
      </c>
      <c r="N2357" s="1034"/>
      <c r="O2357" s="1064"/>
      <c r="P2357" s="1035"/>
      <c r="Q2357" s="1036"/>
      <c r="R2357" s="1038" t="s">
        <v>7793</v>
      </c>
      <c r="S2357" s="1131" t="s">
        <v>7794</v>
      </c>
      <c r="T2357" s="1036" t="s">
        <v>7795</v>
      </c>
      <c r="U2357" s="1066">
        <v>2</v>
      </c>
      <c r="V2357" s="1035" t="s">
        <v>3</v>
      </c>
      <c r="W2357" s="1039">
        <v>908.99425287356314</v>
      </c>
      <c r="X2357" s="1040">
        <f t="shared" si="482"/>
        <v>1817.9885057471263</v>
      </c>
      <c r="Y2357" s="1045" t="s">
        <v>7460</v>
      </c>
      <c r="Z2357" s="1041">
        <v>632.66</v>
      </c>
      <c r="AA2357" s="1041"/>
      <c r="AB2357" s="1041">
        <f t="shared" si="496"/>
        <v>1265.32</v>
      </c>
      <c r="AC2357" s="1042">
        <f t="shared" si="497"/>
        <v>1265.32</v>
      </c>
      <c r="AD2357" s="1043">
        <v>32000</v>
      </c>
      <c r="AE2357" s="1044"/>
      <c r="AF2357" s="1045"/>
      <c r="AG2357" s="1046"/>
      <c r="AH2357" s="1045"/>
      <c r="AI2357" s="1047"/>
      <c r="AJ2357" s="1038"/>
      <c r="AK2357" s="1048"/>
      <c r="AL2357" s="1036"/>
      <c r="AM2357" s="1036"/>
      <c r="AN2357" s="1037"/>
      <c r="AO2357" s="1037"/>
      <c r="AP2357" s="1034"/>
      <c r="AQ2357" s="1035"/>
      <c r="AR2357" s="1034"/>
      <c r="AS2357" s="1035"/>
      <c r="AT2357" s="1035"/>
      <c r="AU2357" s="1035"/>
      <c r="AV2357" s="1038"/>
      <c r="AW2357" s="1050"/>
      <c r="AX2357" s="1051"/>
      <c r="AY2357" s="1036"/>
      <c r="AZ2357" s="1035"/>
      <c r="BA2357" s="1035"/>
      <c r="BB2357" s="1052"/>
      <c r="BC2357" s="1053"/>
      <c r="BD2357" s="1049"/>
      <c r="BE2357" s="1054"/>
      <c r="BF2357" s="1055"/>
      <c r="BG2357" s="1055"/>
      <c r="BH2357" s="1055"/>
      <c r="BI2357" s="1055"/>
      <c r="BJ2357" s="1055"/>
      <c r="BK2357" s="1055"/>
      <c r="BL2357" s="1055"/>
      <c r="BM2357" s="1055"/>
      <c r="BN2357" s="1055"/>
      <c r="BO2357" s="1056"/>
      <c r="BP2357" s="1056"/>
      <c r="BQ2357" s="1056"/>
      <c r="BR2357" s="1056"/>
      <c r="BS2357" s="1056"/>
      <c r="BT2357" s="1056"/>
      <c r="BU2357" s="1056"/>
      <c r="BV2357" s="1057"/>
      <c r="BW2357" s="1057"/>
      <c r="BX2357" s="1148"/>
      <c r="BY2357" s="1057"/>
      <c r="BZ2357" s="1057"/>
      <c r="CA2357" s="1057"/>
      <c r="CB2357" s="1032"/>
    </row>
    <row r="2358" spans="2:80">
      <c r="B2358" s="1033" t="s">
        <v>7773</v>
      </c>
      <c r="C2358" s="839" t="s">
        <v>7454</v>
      </c>
      <c r="D2358" s="1033" t="s">
        <v>7774</v>
      </c>
      <c r="E2358" s="1033" t="s">
        <v>7774</v>
      </c>
      <c r="F2358" s="1034">
        <v>46077</v>
      </c>
      <c r="G2358" s="1033" t="s">
        <v>7454</v>
      </c>
      <c r="H2358" s="1063" t="s">
        <v>3457</v>
      </c>
      <c r="I2358" s="1063"/>
      <c r="J2358" s="1034"/>
      <c r="K2358" s="1034"/>
      <c r="L2358" s="1036" t="s">
        <v>7456</v>
      </c>
      <c r="M2358" s="1037" t="s">
        <v>107</v>
      </c>
      <c r="N2358" s="1034"/>
      <c r="O2358" s="1064"/>
      <c r="P2358" s="1035"/>
      <c r="Q2358" s="1036"/>
      <c r="R2358" s="1038" t="s">
        <v>7796</v>
      </c>
      <c r="S2358" s="1131" t="s">
        <v>7797</v>
      </c>
      <c r="T2358" s="1036" t="s">
        <v>7798</v>
      </c>
      <c r="U2358" s="1066">
        <v>2</v>
      </c>
      <c r="V2358" s="1035" t="s">
        <v>3</v>
      </c>
      <c r="W2358" s="1039">
        <v>3681.0057471264363</v>
      </c>
      <c r="X2358" s="1040">
        <f t="shared" si="482"/>
        <v>7362.0114942528726</v>
      </c>
      <c r="Y2358" s="1045" t="s">
        <v>7460</v>
      </c>
      <c r="Z2358" s="1041">
        <v>2561.98</v>
      </c>
      <c r="AA2358" s="1041"/>
      <c r="AB2358" s="1041">
        <f t="shared" si="496"/>
        <v>5123.96</v>
      </c>
      <c r="AC2358" s="1042">
        <f t="shared" si="497"/>
        <v>5123.96</v>
      </c>
      <c r="AD2358" s="1043">
        <v>32000</v>
      </c>
      <c r="AE2358" s="1044"/>
      <c r="AF2358" s="1045"/>
      <c r="AG2358" s="1046"/>
      <c r="AH2358" s="1045"/>
      <c r="AI2358" s="1047"/>
      <c r="AJ2358" s="1038"/>
      <c r="AK2358" s="1048"/>
      <c r="AL2358" s="1036"/>
      <c r="AM2358" s="1036"/>
      <c r="AN2358" s="1037"/>
      <c r="AO2358" s="1037"/>
      <c r="AP2358" s="1034"/>
      <c r="AQ2358" s="1035"/>
      <c r="AR2358" s="1034"/>
      <c r="AS2358" s="1035"/>
      <c r="AT2358" s="1035"/>
      <c r="AU2358" s="1035"/>
      <c r="AV2358" s="1038"/>
      <c r="AW2358" s="1050"/>
      <c r="AX2358" s="1051"/>
      <c r="AY2358" s="1036"/>
      <c r="AZ2358" s="1035"/>
      <c r="BA2358" s="1035"/>
      <c r="BB2358" s="1052"/>
      <c r="BC2358" s="1053"/>
      <c r="BD2358" s="1049"/>
      <c r="BE2358" s="1054"/>
      <c r="BF2358" s="1055"/>
      <c r="BG2358" s="1055"/>
      <c r="BH2358" s="1055"/>
      <c r="BI2358" s="1055"/>
      <c r="BJ2358" s="1055"/>
      <c r="BK2358" s="1055"/>
      <c r="BL2358" s="1055"/>
      <c r="BM2358" s="1055"/>
      <c r="BN2358" s="1055"/>
      <c r="BO2358" s="1056"/>
      <c r="BP2358" s="1056"/>
      <c r="BQ2358" s="1056"/>
      <c r="BR2358" s="1056"/>
      <c r="BS2358" s="1056"/>
      <c r="BT2358" s="1056"/>
      <c r="BU2358" s="1056"/>
      <c r="BV2358" s="1057"/>
      <c r="BW2358" s="1057"/>
      <c r="BX2358" s="1148"/>
      <c r="BY2358" s="1057"/>
      <c r="BZ2358" s="1057"/>
      <c r="CA2358" s="1057"/>
      <c r="CB2358" s="1032"/>
    </row>
    <row r="2359" spans="2:80">
      <c r="B2359" s="1033" t="s">
        <v>7773</v>
      </c>
      <c r="C2359" s="839" t="s">
        <v>7454</v>
      </c>
      <c r="D2359" s="1033" t="s">
        <v>7774</v>
      </c>
      <c r="E2359" s="1033" t="s">
        <v>7774</v>
      </c>
      <c r="F2359" s="1034">
        <v>46077</v>
      </c>
      <c r="G2359" s="1033" t="s">
        <v>7454</v>
      </c>
      <c r="H2359" s="1063" t="s">
        <v>3457</v>
      </c>
      <c r="I2359" s="1063"/>
      <c r="J2359" s="1034"/>
      <c r="K2359" s="1034"/>
      <c r="L2359" s="1036" t="s">
        <v>7456</v>
      </c>
      <c r="M2359" s="1037" t="s">
        <v>107</v>
      </c>
      <c r="N2359" s="1034"/>
      <c r="O2359" s="1064"/>
      <c r="P2359" s="1035"/>
      <c r="Q2359" s="1036"/>
      <c r="R2359" s="1038" t="s">
        <v>7799</v>
      </c>
      <c r="S2359" s="1131" t="s">
        <v>7800</v>
      </c>
      <c r="T2359" s="1036" t="s">
        <v>7801</v>
      </c>
      <c r="U2359" s="1066">
        <v>1</v>
      </c>
      <c r="V2359" s="1035" t="s">
        <v>3</v>
      </c>
      <c r="W2359" s="1039">
        <v>15187.988505747126</v>
      </c>
      <c r="X2359" s="1040">
        <f t="shared" si="482"/>
        <v>15187.988505747126</v>
      </c>
      <c r="Y2359" s="1045" t="s">
        <v>7460</v>
      </c>
      <c r="Z2359" s="1041">
        <v>10570.84</v>
      </c>
      <c r="AA2359" s="1041"/>
      <c r="AB2359" s="1041">
        <f t="shared" si="496"/>
        <v>10570.84</v>
      </c>
      <c r="AC2359" s="1042">
        <f t="shared" si="497"/>
        <v>10570.84</v>
      </c>
      <c r="AD2359" s="1043">
        <v>32000</v>
      </c>
      <c r="AE2359" s="1044"/>
      <c r="AF2359" s="1045"/>
      <c r="AG2359" s="1046"/>
      <c r="AH2359" s="1045"/>
      <c r="AI2359" s="1047"/>
      <c r="AJ2359" s="1038"/>
      <c r="AK2359" s="1048"/>
      <c r="AL2359" s="1036"/>
      <c r="AM2359" s="1036"/>
      <c r="AN2359" s="1037"/>
      <c r="AO2359" s="1037"/>
      <c r="AP2359" s="1034"/>
      <c r="AQ2359" s="1035"/>
      <c r="AR2359" s="1034"/>
      <c r="AS2359" s="1035"/>
      <c r="AT2359" s="1035"/>
      <c r="AU2359" s="1035"/>
      <c r="AV2359" s="1038"/>
      <c r="AW2359" s="1050"/>
      <c r="AX2359" s="1051"/>
      <c r="AY2359" s="1036"/>
      <c r="AZ2359" s="1035"/>
      <c r="BA2359" s="1035"/>
      <c r="BB2359" s="1052"/>
      <c r="BC2359" s="1053"/>
      <c r="BD2359" s="1049"/>
      <c r="BE2359" s="1054"/>
      <c r="BF2359" s="1055"/>
      <c r="BG2359" s="1055"/>
      <c r="BH2359" s="1055"/>
      <c r="BI2359" s="1055"/>
      <c r="BJ2359" s="1055"/>
      <c r="BK2359" s="1055"/>
      <c r="BL2359" s="1055"/>
      <c r="BM2359" s="1055"/>
      <c r="BN2359" s="1055"/>
      <c r="BO2359" s="1056"/>
      <c r="BP2359" s="1056"/>
      <c r="BQ2359" s="1056"/>
      <c r="BR2359" s="1056"/>
      <c r="BS2359" s="1056"/>
      <c r="BT2359" s="1056"/>
      <c r="BU2359" s="1056"/>
      <c r="BV2359" s="1057"/>
      <c r="BW2359" s="1057"/>
      <c r="BX2359" s="1148"/>
      <c r="BY2359" s="1057"/>
      <c r="BZ2359" s="1057"/>
      <c r="CA2359" s="1057"/>
      <c r="CB2359" s="1032"/>
    </row>
    <row r="2360" spans="2:80">
      <c r="B2360" s="1033" t="s">
        <v>7773</v>
      </c>
      <c r="C2360" s="839" t="s">
        <v>7454</v>
      </c>
      <c r="D2360" s="1033" t="s">
        <v>7774</v>
      </c>
      <c r="E2360" s="1033" t="s">
        <v>7774</v>
      </c>
      <c r="F2360" s="1034">
        <v>46077</v>
      </c>
      <c r="G2360" s="1033" t="s">
        <v>7454</v>
      </c>
      <c r="H2360" s="1063" t="s">
        <v>3457</v>
      </c>
      <c r="I2360" s="1063"/>
      <c r="J2360" s="1034"/>
      <c r="K2360" s="1034"/>
      <c r="L2360" s="1036" t="s">
        <v>7456</v>
      </c>
      <c r="M2360" s="1037" t="s">
        <v>107</v>
      </c>
      <c r="N2360" s="1034"/>
      <c r="O2360" s="1064"/>
      <c r="P2360" s="1035"/>
      <c r="Q2360" s="1036"/>
      <c r="R2360" s="1038" t="s">
        <v>7802</v>
      </c>
      <c r="S2360" s="1131" t="s">
        <v>7803</v>
      </c>
      <c r="T2360" s="1036" t="s">
        <v>7804</v>
      </c>
      <c r="U2360" s="1066">
        <v>1</v>
      </c>
      <c r="V2360" s="1035" t="s">
        <v>3</v>
      </c>
      <c r="W2360" s="1039">
        <v>769.99999999999989</v>
      </c>
      <c r="X2360" s="1040">
        <f t="shared" si="482"/>
        <v>769.99999999999989</v>
      </c>
      <c r="Y2360" s="1045" t="s">
        <v>7460</v>
      </c>
      <c r="Z2360" s="1041">
        <v>535.91999999999996</v>
      </c>
      <c r="AA2360" s="1041"/>
      <c r="AB2360" s="1041">
        <f t="shared" si="496"/>
        <v>535.91999999999996</v>
      </c>
      <c r="AC2360" s="1042">
        <f t="shared" si="497"/>
        <v>535.91999999999996</v>
      </c>
      <c r="AD2360" s="1043">
        <v>32000</v>
      </c>
      <c r="AE2360" s="1044"/>
      <c r="AF2360" s="1045"/>
      <c r="AG2360" s="1046"/>
      <c r="AH2360" s="1045"/>
      <c r="AI2360" s="1047"/>
      <c r="AJ2360" s="1038"/>
      <c r="AK2360" s="1048"/>
      <c r="AL2360" s="1036"/>
      <c r="AM2360" s="1036"/>
      <c r="AN2360" s="1037"/>
      <c r="AO2360" s="1037"/>
      <c r="AP2360" s="1034"/>
      <c r="AQ2360" s="1035"/>
      <c r="AR2360" s="1034"/>
      <c r="AS2360" s="1035"/>
      <c r="AT2360" s="1035"/>
      <c r="AU2360" s="1035"/>
      <c r="AV2360" s="1038"/>
      <c r="AW2360" s="1050"/>
      <c r="AX2360" s="1051"/>
      <c r="AY2360" s="1036"/>
      <c r="AZ2360" s="1035"/>
      <c r="BA2360" s="1035"/>
      <c r="BB2360" s="1052"/>
      <c r="BC2360" s="1053"/>
      <c r="BD2360" s="1049"/>
      <c r="BE2360" s="1054"/>
      <c r="BF2360" s="1055"/>
      <c r="BG2360" s="1055"/>
      <c r="BH2360" s="1055"/>
      <c r="BI2360" s="1055"/>
      <c r="BJ2360" s="1055"/>
      <c r="BK2360" s="1055"/>
      <c r="BL2360" s="1055"/>
      <c r="BM2360" s="1055"/>
      <c r="BN2360" s="1055"/>
      <c r="BO2360" s="1056"/>
      <c r="BP2360" s="1056"/>
      <c r="BQ2360" s="1056"/>
      <c r="BR2360" s="1056"/>
      <c r="BS2360" s="1056"/>
      <c r="BT2360" s="1056"/>
      <c r="BU2360" s="1056"/>
      <c r="BV2360" s="1057"/>
      <c r="BW2360" s="1057"/>
      <c r="BX2360" s="1148"/>
      <c r="BY2360" s="1057"/>
      <c r="BZ2360" s="1057"/>
      <c r="CA2360" s="1057"/>
      <c r="CB2360" s="1032"/>
    </row>
    <row r="2361" spans="2:80">
      <c r="B2361" s="1033" t="s">
        <v>7773</v>
      </c>
      <c r="C2361" s="839" t="s">
        <v>7454</v>
      </c>
      <c r="D2361" s="1033" t="s">
        <v>7774</v>
      </c>
      <c r="E2361" s="1033" t="s">
        <v>7774</v>
      </c>
      <c r="F2361" s="1034">
        <v>46077</v>
      </c>
      <c r="G2361" s="1033" t="s">
        <v>7454</v>
      </c>
      <c r="H2361" s="1063" t="s">
        <v>3457</v>
      </c>
      <c r="I2361" s="1063"/>
      <c r="J2361" s="1034"/>
      <c r="K2361" s="1034"/>
      <c r="L2361" s="1036" t="s">
        <v>7456</v>
      </c>
      <c r="M2361" s="1037" t="s">
        <v>107</v>
      </c>
      <c r="N2361" s="1034"/>
      <c r="O2361" s="1064"/>
      <c r="P2361" s="1035"/>
      <c r="Q2361" s="1036"/>
      <c r="R2361" s="1038" t="s">
        <v>7805</v>
      </c>
      <c r="S2361" s="1131" t="s">
        <v>7476</v>
      </c>
      <c r="T2361" s="1036" t="s">
        <v>7806</v>
      </c>
      <c r="U2361" s="1066">
        <v>1</v>
      </c>
      <c r="V2361" s="1035" t="s">
        <v>3</v>
      </c>
      <c r="W2361" s="1039">
        <v>3143.0028735632186</v>
      </c>
      <c r="X2361" s="1040">
        <f t="shared" ref="X2361:X2413" si="498">W2361*U2361</f>
        <v>3143.0028735632186</v>
      </c>
      <c r="Y2361" s="1045" t="s">
        <v>7460</v>
      </c>
      <c r="Z2361" s="1041">
        <v>2187.5300000000002</v>
      </c>
      <c r="AA2361" s="1041"/>
      <c r="AB2361" s="1041">
        <f t="shared" si="496"/>
        <v>2187.5300000000002</v>
      </c>
      <c r="AC2361" s="1042">
        <f t="shared" si="497"/>
        <v>2187.5300000000002</v>
      </c>
      <c r="AD2361" s="1043">
        <v>32000</v>
      </c>
      <c r="AE2361" s="1044"/>
      <c r="AF2361" s="1045"/>
      <c r="AG2361" s="1046"/>
      <c r="AH2361" s="1045"/>
      <c r="AI2361" s="1047"/>
      <c r="AJ2361" s="1038"/>
      <c r="AK2361" s="1048"/>
      <c r="AL2361" s="1036"/>
      <c r="AM2361" s="1036"/>
      <c r="AN2361" s="1037"/>
      <c r="AO2361" s="1037"/>
      <c r="AP2361" s="1034"/>
      <c r="AQ2361" s="1035"/>
      <c r="AR2361" s="1034"/>
      <c r="AS2361" s="1035"/>
      <c r="AT2361" s="1035"/>
      <c r="AU2361" s="1035"/>
      <c r="AV2361" s="1038"/>
      <c r="AW2361" s="1050"/>
      <c r="AX2361" s="1051"/>
      <c r="AY2361" s="1036"/>
      <c r="AZ2361" s="1035"/>
      <c r="BA2361" s="1035"/>
      <c r="BB2361" s="1052"/>
      <c r="BC2361" s="1053"/>
      <c r="BD2361" s="1049"/>
      <c r="BE2361" s="1054"/>
      <c r="BF2361" s="1055"/>
      <c r="BG2361" s="1055"/>
      <c r="BH2361" s="1055"/>
      <c r="BI2361" s="1055"/>
      <c r="BJ2361" s="1055"/>
      <c r="BK2361" s="1055"/>
      <c r="BL2361" s="1055"/>
      <c r="BM2361" s="1055"/>
      <c r="BN2361" s="1055"/>
      <c r="BO2361" s="1056"/>
      <c r="BP2361" s="1056"/>
      <c r="BQ2361" s="1056"/>
      <c r="BR2361" s="1056"/>
      <c r="BS2361" s="1056"/>
      <c r="BT2361" s="1056"/>
      <c r="BU2361" s="1056"/>
      <c r="BV2361" s="1057"/>
      <c r="BW2361" s="1057"/>
      <c r="BX2361" s="1148"/>
      <c r="BY2361" s="1057"/>
      <c r="BZ2361" s="1057"/>
      <c r="CA2361" s="1057"/>
      <c r="CB2361" s="1032"/>
    </row>
    <row r="2362" spans="2:80">
      <c r="B2362" s="1033" t="s">
        <v>7773</v>
      </c>
      <c r="C2362" s="839" t="s">
        <v>7454</v>
      </c>
      <c r="D2362" s="1033" t="s">
        <v>7774</v>
      </c>
      <c r="E2362" s="1033" t="s">
        <v>7774</v>
      </c>
      <c r="F2362" s="1034">
        <v>46077</v>
      </c>
      <c r="G2362" s="1033" t="s">
        <v>7454</v>
      </c>
      <c r="H2362" s="1063" t="s">
        <v>3457</v>
      </c>
      <c r="I2362" s="1063"/>
      <c r="J2362" s="1034"/>
      <c r="K2362" s="1034"/>
      <c r="L2362" s="1036" t="s">
        <v>7456</v>
      </c>
      <c r="M2362" s="1037" t="s">
        <v>107</v>
      </c>
      <c r="N2362" s="1034"/>
      <c r="O2362" s="1064"/>
      <c r="P2362" s="1035"/>
      <c r="Q2362" s="1036"/>
      <c r="R2362" s="1038" t="s">
        <v>7807</v>
      </c>
      <c r="S2362" s="1131" t="s">
        <v>7808</v>
      </c>
      <c r="T2362" s="1036" t="s">
        <v>7809</v>
      </c>
      <c r="U2362" s="1066">
        <v>4</v>
      </c>
      <c r="V2362" s="1035" t="s">
        <v>3</v>
      </c>
      <c r="W2362" s="1039">
        <v>1266.0057471264367</v>
      </c>
      <c r="X2362" s="1040">
        <f t="shared" si="498"/>
        <v>5064.022988505747</v>
      </c>
      <c r="Y2362" s="1045" t="s">
        <v>7460</v>
      </c>
      <c r="Z2362" s="1041">
        <v>881.14</v>
      </c>
      <c r="AA2362" s="1041"/>
      <c r="AB2362" s="1041">
        <f t="shared" si="496"/>
        <v>3524.56</v>
      </c>
      <c r="AC2362" s="1042">
        <f t="shared" si="497"/>
        <v>3524.56</v>
      </c>
      <c r="AD2362" s="1043">
        <v>32000</v>
      </c>
      <c r="AE2362" s="1044"/>
      <c r="AF2362" s="1045"/>
      <c r="AG2362" s="1046"/>
      <c r="AH2362" s="1045"/>
      <c r="AI2362" s="1047"/>
      <c r="AJ2362" s="1038"/>
      <c r="AK2362" s="1048"/>
      <c r="AL2362" s="1036"/>
      <c r="AM2362" s="1036"/>
      <c r="AN2362" s="1037"/>
      <c r="AO2362" s="1037"/>
      <c r="AP2362" s="1034"/>
      <c r="AQ2362" s="1035"/>
      <c r="AR2362" s="1034"/>
      <c r="AS2362" s="1035"/>
      <c r="AT2362" s="1035"/>
      <c r="AU2362" s="1035"/>
      <c r="AV2362" s="1038"/>
      <c r="AW2362" s="1050"/>
      <c r="AX2362" s="1051"/>
      <c r="AY2362" s="1036"/>
      <c r="AZ2362" s="1035"/>
      <c r="BA2362" s="1035"/>
      <c r="BB2362" s="1052"/>
      <c r="BC2362" s="1053"/>
      <c r="BD2362" s="1049"/>
      <c r="BE2362" s="1054"/>
      <c r="BF2362" s="1055"/>
      <c r="BG2362" s="1055"/>
      <c r="BH2362" s="1055"/>
      <c r="BI2362" s="1055"/>
      <c r="BJ2362" s="1055"/>
      <c r="BK2362" s="1055"/>
      <c r="BL2362" s="1055"/>
      <c r="BM2362" s="1055"/>
      <c r="BN2362" s="1055"/>
      <c r="BO2362" s="1056"/>
      <c r="BP2362" s="1056"/>
      <c r="BQ2362" s="1056"/>
      <c r="BR2362" s="1056"/>
      <c r="BS2362" s="1056"/>
      <c r="BT2362" s="1056"/>
      <c r="BU2362" s="1056"/>
      <c r="BV2362" s="1057"/>
      <c r="BW2362" s="1057"/>
      <c r="BX2362" s="1148"/>
      <c r="BY2362" s="1057"/>
      <c r="BZ2362" s="1057"/>
      <c r="CA2362" s="1057"/>
      <c r="CB2362" s="1032"/>
    </row>
    <row r="2363" spans="2:80">
      <c r="B2363" s="1033" t="s">
        <v>7773</v>
      </c>
      <c r="C2363" s="839" t="s">
        <v>7454</v>
      </c>
      <c r="D2363" s="1033" t="s">
        <v>7774</v>
      </c>
      <c r="E2363" s="1033" t="s">
        <v>7774</v>
      </c>
      <c r="F2363" s="1034">
        <v>46077</v>
      </c>
      <c r="G2363" s="1033" t="s">
        <v>7810</v>
      </c>
      <c r="H2363" s="1063" t="s">
        <v>3457</v>
      </c>
      <c r="I2363" s="1063"/>
      <c r="J2363" s="1034"/>
      <c r="K2363" s="1034"/>
      <c r="L2363" s="1036" t="s">
        <v>7456</v>
      </c>
      <c r="M2363" s="1037" t="s">
        <v>107</v>
      </c>
      <c r="N2363" s="1034"/>
      <c r="O2363" s="1064"/>
      <c r="P2363" s="1035"/>
      <c r="Q2363" s="1036"/>
      <c r="R2363" s="1038" t="s">
        <v>7811</v>
      </c>
      <c r="S2363" s="1131" t="s">
        <v>7812</v>
      </c>
      <c r="T2363" s="1036" t="s">
        <v>7813</v>
      </c>
      <c r="U2363" s="1066">
        <v>2</v>
      </c>
      <c r="V2363" s="1035" t="s">
        <v>3</v>
      </c>
      <c r="W2363" s="1039">
        <v>1821.0057471264367</v>
      </c>
      <c r="X2363" s="1040">
        <f t="shared" si="498"/>
        <v>3642.0114942528735</v>
      </c>
      <c r="Y2363" s="1045" t="s">
        <v>7460</v>
      </c>
      <c r="Z2363" s="1041">
        <v>1267.42</v>
      </c>
      <c r="AA2363" s="1041"/>
      <c r="AB2363" s="1041">
        <f t="shared" si="496"/>
        <v>2534.84</v>
      </c>
      <c r="AC2363" s="1042">
        <f t="shared" si="497"/>
        <v>2534.84</v>
      </c>
      <c r="AD2363" s="1043">
        <v>32000</v>
      </c>
      <c r="AE2363" s="1044"/>
      <c r="AF2363" s="1045"/>
      <c r="AG2363" s="1046"/>
      <c r="AH2363" s="1045"/>
      <c r="AI2363" s="1047"/>
      <c r="AJ2363" s="1038"/>
      <c r="AK2363" s="1048"/>
      <c r="AL2363" s="1036"/>
      <c r="AM2363" s="1036"/>
      <c r="AN2363" s="1037"/>
      <c r="AO2363" s="1037"/>
      <c r="AP2363" s="1034"/>
      <c r="AQ2363" s="1035"/>
      <c r="AR2363" s="1034"/>
      <c r="AS2363" s="1035"/>
      <c r="AT2363" s="1035"/>
      <c r="AU2363" s="1035"/>
      <c r="AV2363" s="1038"/>
      <c r="AW2363" s="1050"/>
      <c r="AX2363" s="1051"/>
      <c r="AY2363" s="1036"/>
      <c r="AZ2363" s="1035"/>
      <c r="BA2363" s="1035"/>
      <c r="BB2363" s="1052"/>
      <c r="BC2363" s="1053"/>
      <c r="BD2363" s="1049"/>
      <c r="BE2363" s="1054"/>
      <c r="BF2363" s="1055"/>
      <c r="BG2363" s="1055"/>
      <c r="BH2363" s="1055"/>
      <c r="BI2363" s="1055"/>
      <c r="BJ2363" s="1055"/>
      <c r="BK2363" s="1055"/>
      <c r="BL2363" s="1055"/>
      <c r="BM2363" s="1055"/>
      <c r="BN2363" s="1055"/>
      <c r="BO2363" s="1056"/>
      <c r="BP2363" s="1056"/>
      <c r="BQ2363" s="1056"/>
      <c r="BR2363" s="1056"/>
      <c r="BS2363" s="1056"/>
      <c r="BT2363" s="1056"/>
      <c r="BU2363" s="1056"/>
      <c r="BV2363" s="1057"/>
      <c r="BW2363" s="1057"/>
      <c r="BX2363" s="1148"/>
      <c r="BY2363" s="1057"/>
      <c r="BZ2363" s="1057"/>
      <c r="CA2363" s="1057"/>
      <c r="CB2363" s="1032"/>
    </row>
    <row r="2364" spans="2:80">
      <c r="B2364" s="1033" t="s">
        <v>7773</v>
      </c>
      <c r="C2364" s="839" t="s">
        <v>7454</v>
      </c>
      <c r="D2364" s="1033" t="s">
        <v>7774</v>
      </c>
      <c r="E2364" s="1033" t="s">
        <v>7774</v>
      </c>
      <c r="F2364" s="1034">
        <v>46077</v>
      </c>
      <c r="G2364" s="1033" t="s">
        <v>7454</v>
      </c>
      <c r="H2364" s="1063" t="s">
        <v>3457</v>
      </c>
      <c r="I2364" s="1063"/>
      <c r="J2364" s="1034"/>
      <c r="K2364" s="1034"/>
      <c r="L2364" s="1036" t="s">
        <v>7456</v>
      </c>
      <c r="M2364" s="1037" t="s">
        <v>107</v>
      </c>
      <c r="N2364" s="1034"/>
      <c r="O2364" s="1064"/>
      <c r="P2364" s="1035"/>
      <c r="Q2364" s="1036"/>
      <c r="R2364" s="1038" t="s">
        <v>7814</v>
      </c>
      <c r="S2364" s="1131" t="s">
        <v>7815</v>
      </c>
      <c r="T2364" s="1036" t="s">
        <v>7816</v>
      </c>
      <c r="U2364" s="1066">
        <v>1</v>
      </c>
      <c r="V2364" s="1035" t="s">
        <v>3</v>
      </c>
      <c r="W2364" s="1039">
        <v>8138.0028735632177</v>
      </c>
      <c r="X2364" s="1040">
        <f t="shared" si="498"/>
        <v>8138.0028735632177</v>
      </c>
      <c r="Y2364" s="1045" t="s">
        <v>7460</v>
      </c>
      <c r="Z2364" s="1041">
        <v>5664.05</v>
      </c>
      <c r="AA2364" s="1041"/>
      <c r="AB2364" s="1041">
        <f t="shared" si="496"/>
        <v>5664.05</v>
      </c>
      <c r="AC2364" s="1042">
        <f t="shared" si="497"/>
        <v>5664.05</v>
      </c>
      <c r="AD2364" s="1043">
        <v>32000</v>
      </c>
      <c r="AE2364" s="1044"/>
      <c r="AF2364" s="1045"/>
      <c r="AG2364" s="1046"/>
      <c r="AH2364" s="1045"/>
      <c r="AI2364" s="1047"/>
      <c r="AJ2364" s="1038"/>
      <c r="AK2364" s="1048"/>
      <c r="AL2364" s="1036"/>
      <c r="AM2364" s="1036"/>
      <c r="AN2364" s="1037"/>
      <c r="AO2364" s="1037"/>
      <c r="AP2364" s="1034"/>
      <c r="AQ2364" s="1035"/>
      <c r="AR2364" s="1034"/>
      <c r="AS2364" s="1035"/>
      <c r="AT2364" s="1035"/>
      <c r="AU2364" s="1035"/>
      <c r="AV2364" s="1038"/>
      <c r="AW2364" s="1050"/>
      <c r="AX2364" s="1051"/>
      <c r="AY2364" s="1036"/>
      <c r="AZ2364" s="1035"/>
      <c r="BA2364" s="1035"/>
      <c r="BB2364" s="1052"/>
      <c r="BC2364" s="1053"/>
      <c r="BD2364" s="1049"/>
      <c r="BE2364" s="1054"/>
      <c r="BF2364" s="1055"/>
      <c r="BG2364" s="1055"/>
      <c r="BH2364" s="1055"/>
      <c r="BI2364" s="1055"/>
      <c r="BJ2364" s="1055"/>
      <c r="BK2364" s="1055"/>
      <c r="BL2364" s="1055"/>
      <c r="BM2364" s="1055"/>
      <c r="BN2364" s="1055"/>
      <c r="BO2364" s="1056"/>
      <c r="BP2364" s="1056"/>
      <c r="BQ2364" s="1056"/>
      <c r="BR2364" s="1056"/>
      <c r="BS2364" s="1056"/>
      <c r="BT2364" s="1056"/>
      <c r="BU2364" s="1056"/>
      <c r="BV2364" s="1057"/>
      <c r="BW2364" s="1057"/>
      <c r="BX2364" s="1148"/>
      <c r="BY2364" s="1057"/>
      <c r="BZ2364" s="1057"/>
      <c r="CA2364" s="1057"/>
      <c r="CB2364" s="1032"/>
    </row>
    <row r="2365" spans="2:80">
      <c r="B2365" s="1033" t="s">
        <v>7773</v>
      </c>
      <c r="C2365" s="839" t="s">
        <v>7454</v>
      </c>
      <c r="D2365" s="1033" t="s">
        <v>7774</v>
      </c>
      <c r="E2365" s="1033" t="s">
        <v>7774</v>
      </c>
      <c r="F2365" s="1034">
        <v>46077</v>
      </c>
      <c r="G2365" s="1033" t="s">
        <v>7454</v>
      </c>
      <c r="H2365" s="1063" t="s">
        <v>3457</v>
      </c>
      <c r="I2365" s="1063"/>
      <c r="J2365" s="1034"/>
      <c r="K2365" s="1034"/>
      <c r="L2365" s="1036" t="s">
        <v>7456</v>
      </c>
      <c r="M2365" s="1037" t="s">
        <v>107</v>
      </c>
      <c r="N2365" s="1034"/>
      <c r="O2365" s="1064"/>
      <c r="P2365" s="1035"/>
      <c r="Q2365" s="1036"/>
      <c r="R2365" s="1038" t="s">
        <v>7817</v>
      </c>
      <c r="S2365" s="1131" t="s">
        <v>7818</v>
      </c>
      <c r="T2365" s="1036" t="s">
        <v>7819</v>
      </c>
      <c r="U2365" s="1066">
        <v>4</v>
      </c>
      <c r="V2365" s="1035" t="s">
        <v>3</v>
      </c>
      <c r="W2365" s="1039">
        <v>1021.9971264367814</v>
      </c>
      <c r="X2365" s="1040">
        <f t="shared" si="498"/>
        <v>4087.9885057471256</v>
      </c>
      <c r="Y2365" s="1045" t="s">
        <v>7460</v>
      </c>
      <c r="Z2365" s="1041">
        <v>711.31</v>
      </c>
      <c r="AA2365" s="1041"/>
      <c r="AB2365" s="1041">
        <f t="shared" si="496"/>
        <v>2845.24</v>
      </c>
      <c r="AC2365" s="1042">
        <f t="shared" si="497"/>
        <v>2845.24</v>
      </c>
      <c r="AD2365" s="1043">
        <v>32000</v>
      </c>
      <c r="AE2365" s="1044"/>
      <c r="AF2365" s="1045"/>
      <c r="AG2365" s="1046"/>
      <c r="AH2365" s="1045"/>
      <c r="AI2365" s="1047"/>
      <c r="AJ2365" s="1038"/>
      <c r="AK2365" s="1048"/>
      <c r="AL2365" s="1036"/>
      <c r="AM2365" s="1036"/>
      <c r="AN2365" s="1037"/>
      <c r="AO2365" s="1037"/>
      <c r="AP2365" s="1034"/>
      <c r="AQ2365" s="1035"/>
      <c r="AR2365" s="1034"/>
      <c r="AS2365" s="1035"/>
      <c r="AT2365" s="1035"/>
      <c r="AU2365" s="1035"/>
      <c r="AV2365" s="1038"/>
      <c r="AW2365" s="1050"/>
      <c r="AX2365" s="1051"/>
      <c r="AY2365" s="1036"/>
      <c r="AZ2365" s="1035"/>
      <c r="BA2365" s="1035"/>
      <c r="BB2365" s="1052"/>
      <c r="BC2365" s="1053"/>
      <c r="BD2365" s="1049"/>
      <c r="BE2365" s="1054"/>
      <c r="BF2365" s="1055"/>
      <c r="BG2365" s="1055"/>
      <c r="BH2365" s="1055"/>
      <c r="BI2365" s="1055"/>
      <c r="BJ2365" s="1055"/>
      <c r="BK2365" s="1055"/>
      <c r="BL2365" s="1055"/>
      <c r="BM2365" s="1055"/>
      <c r="BN2365" s="1055"/>
      <c r="BO2365" s="1056"/>
      <c r="BP2365" s="1056"/>
      <c r="BQ2365" s="1056"/>
      <c r="BR2365" s="1056"/>
      <c r="BS2365" s="1056"/>
      <c r="BT2365" s="1056"/>
      <c r="BU2365" s="1056"/>
      <c r="BV2365" s="1057"/>
      <c r="BW2365" s="1057"/>
      <c r="BX2365" s="1148"/>
      <c r="BY2365" s="1057"/>
      <c r="BZ2365" s="1057"/>
      <c r="CA2365" s="1057"/>
      <c r="CB2365" s="1032"/>
    </row>
    <row r="2366" spans="2:80">
      <c r="B2366" s="1033" t="s">
        <v>7773</v>
      </c>
      <c r="C2366" s="839" t="s">
        <v>7454</v>
      </c>
      <c r="D2366" s="1033" t="s">
        <v>7774</v>
      </c>
      <c r="E2366" s="1033" t="s">
        <v>7774</v>
      </c>
      <c r="F2366" s="1034">
        <v>46077</v>
      </c>
      <c r="G2366" s="1033" t="s">
        <v>7454</v>
      </c>
      <c r="H2366" s="1063" t="s">
        <v>3457</v>
      </c>
      <c r="I2366" s="1063"/>
      <c r="J2366" s="1034"/>
      <c r="K2366" s="1034"/>
      <c r="L2366" s="1036" t="s">
        <v>7456</v>
      </c>
      <c r="M2366" s="1037" t="s">
        <v>107</v>
      </c>
      <c r="N2366" s="1034"/>
      <c r="O2366" s="1064"/>
      <c r="P2366" s="1035"/>
      <c r="Q2366" s="1036"/>
      <c r="R2366" s="1038" t="s">
        <v>7820</v>
      </c>
      <c r="S2366" s="1131" t="s">
        <v>7821</v>
      </c>
      <c r="T2366" s="1036" t="s">
        <v>7822</v>
      </c>
      <c r="U2366" s="1066">
        <v>1</v>
      </c>
      <c r="V2366" s="1035" t="s">
        <v>3</v>
      </c>
      <c r="W2366" s="1039">
        <v>3638.0028735632181</v>
      </c>
      <c r="X2366" s="1040">
        <f t="shared" si="498"/>
        <v>3638.0028735632181</v>
      </c>
      <c r="Y2366" s="1045" t="s">
        <v>7460</v>
      </c>
      <c r="Z2366" s="1041">
        <v>2532.0500000000002</v>
      </c>
      <c r="AA2366" s="1041"/>
      <c r="AB2366" s="1041">
        <f t="shared" si="496"/>
        <v>2532.0500000000002</v>
      </c>
      <c r="AC2366" s="1042">
        <f t="shared" si="497"/>
        <v>2532.0500000000002</v>
      </c>
      <c r="AD2366" s="1043">
        <v>32000</v>
      </c>
      <c r="AE2366" s="1044"/>
      <c r="AF2366" s="1045"/>
      <c r="AG2366" s="1046"/>
      <c r="AH2366" s="1045"/>
      <c r="AI2366" s="1047"/>
      <c r="AJ2366" s="1038"/>
      <c r="AK2366" s="1048"/>
      <c r="AL2366" s="1036"/>
      <c r="AM2366" s="1036"/>
      <c r="AN2366" s="1037"/>
      <c r="AO2366" s="1037"/>
      <c r="AP2366" s="1034"/>
      <c r="AQ2366" s="1035"/>
      <c r="AR2366" s="1034"/>
      <c r="AS2366" s="1035"/>
      <c r="AT2366" s="1035"/>
      <c r="AU2366" s="1035"/>
      <c r="AV2366" s="1038"/>
      <c r="AW2366" s="1050"/>
      <c r="AX2366" s="1051"/>
      <c r="AY2366" s="1036"/>
      <c r="AZ2366" s="1035"/>
      <c r="BA2366" s="1035"/>
      <c r="BB2366" s="1052"/>
      <c r="BC2366" s="1053"/>
      <c r="BD2366" s="1049"/>
      <c r="BE2366" s="1054"/>
      <c r="BF2366" s="1055"/>
      <c r="BG2366" s="1055"/>
      <c r="BH2366" s="1055"/>
      <c r="BI2366" s="1055"/>
      <c r="BJ2366" s="1055"/>
      <c r="BK2366" s="1055"/>
      <c r="BL2366" s="1055"/>
      <c r="BM2366" s="1055"/>
      <c r="BN2366" s="1055"/>
      <c r="BO2366" s="1056"/>
      <c r="BP2366" s="1056"/>
      <c r="BQ2366" s="1056"/>
      <c r="BR2366" s="1056"/>
      <c r="BS2366" s="1056"/>
      <c r="BT2366" s="1056"/>
      <c r="BU2366" s="1056"/>
      <c r="BV2366" s="1057"/>
      <c r="BW2366" s="1057"/>
      <c r="BX2366" s="1148"/>
      <c r="BY2366" s="1057"/>
      <c r="BZ2366" s="1057"/>
      <c r="CA2366" s="1057"/>
      <c r="CB2366" s="1032"/>
    </row>
    <row r="2367" spans="2:80">
      <c r="B2367" s="1033" t="s">
        <v>7773</v>
      </c>
      <c r="C2367" s="839" t="s">
        <v>7454</v>
      </c>
      <c r="D2367" s="1033" t="s">
        <v>7774</v>
      </c>
      <c r="E2367" s="1033" t="s">
        <v>7774</v>
      </c>
      <c r="F2367" s="1034">
        <v>46077</v>
      </c>
      <c r="G2367" s="1033" t="s">
        <v>7454</v>
      </c>
      <c r="H2367" s="1063" t="s">
        <v>3457</v>
      </c>
      <c r="I2367" s="1063"/>
      <c r="J2367" s="1034"/>
      <c r="K2367" s="1034"/>
      <c r="L2367" s="1036" t="s">
        <v>7456</v>
      </c>
      <c r="M2367" s="1037" t="s">
        <v>107</v>
      </c>
      <c r="N2367" s="1034"/>
      <c r="O2367" s="1064"/>
      <c r="P2367" s="1035"/>
      <c r="Q2367" s="1036"/>
      <c r="R2367" s="1038" t="s">
        <v>7823</v>
      </c>
      <c r="S2367" s="1131" t="s">
        <v>7824</v>
      </c>
      <c r="T2367" s="1036" t="s">
        <v>7825</v>
      </c>
      <c r="U2367" s="1066">
        <v>2</v>
      </c>
      <c r="V2367" s="1035" t="s">
        <v>3</v>
      </c>
      <c r="W2367" s="1039">
        <v>833.00287356321826</v>
      </c>
      <c r="X2367" s="1040">
        <f t="shared" si="498"/>
        <v>1666.0057471264365</v>
      </c>
      <c r="Y2367" s="1045" t="s">
        <v>7460</v>
      </c>
      <c r="Z2367" s="1041">
        <v>579.77</v>
      </c>
      <c r="AA2367" s="1041"/>
      <c r="AB2367" s="1041">
        <f t="shared" si="496"/>
        <v>1159.54</v>
      </c>
      <c r="AC2367" s="1042">
        <f t="shared" si="497"/>
        <v>1159.54</v>
      </c>
      <c r="AD2367" s="1043">
        <v>32000</v>
      </c>
      <c r="AE2367" s="1044"/>
      <c r="AF2367" s="1045"/>
      <c r="AG2367" s="1046"/>
      <c r="AH2367" s="1045"/>
      <c r="AI2367" s="1047"/>
      <c r="AJ2367" s="1038"/>
      <c r="AK2367" s="1048"/>
      <c r="AL2367" s="1036"/>
      <c r="AM2367" s="1036"/>
      <c r="AN2367" s="1037"/>
      <c r="AO2367" s="1037"/>
      <c r="AP2367" s="1034"/>
      <c r="AQ2367" s="1035"/>
      <c r="AR2367" s="1034"/>
      <c r="AS2367" s="1035"/>
      <c r="AT2367" s="1035"/>
      <c r="AU2367" s="1035"/>
      <c r="AV2367" s="1038"/>
      <c r="AW2367" s="1050"/>
      <c r="AX2367" s="1051"/>
      <c r="AY2367" s="1036"/>
      <c r="AZ2367" s="1035"/>
      <c r="BA2367" s="1035"/>
      <c r="BB2367" s="1052"/>
      <c r="BC2367" s="1053"/>
      <c r="BD2367" s="1049"/>
      <c r="BE2367" s="1054"/>
      <c r="BF2367" s="1055"/>
      <c r="BG2367" s="1055"/>
      <c r="BH2367" s="1055"/>
      <c r="BI2367" s="1055"/>
      <c r="BJ2367" s="1055"/>
      <c r="BK2367" s="1055"/>
      <c r="BL2367" s="1055"/>
      <c r="BM2367" s="1055"/>
      <c r="BN2367" s="1055"/>
      <c r="BO2367" s="1056"/>
      <c r="BP2367" s="1056"/>
      <c r="BQ2367" s="1056"/>
      <c r="BR2367" s="1056"/>
      <c r="BS2367" s="1056"/>
      <c r="BT2367" s="1056"/>
      <c r="BU2367" s="1056"/>
      <c r="BV2367" s="1057"/>
      <c r="BW2367" s="1057"/>
      <c r="BX2367" s="1148"/>
      <c r="BY2367" s="1057"/>
      <c r="BZ2367" s="1057"/>
      <c r="CA2367" s="1057"/>
      <c r="CB2367" s="1032"/>
    </row>
    <row r="2368" spans="2:80">
      <c r="B2368" s="1033" t="s">
        <v>7773</v>
      </c>
      <c r="C2368" s="839" t="s">
        <v>7454</v>
      </c>
      <c r="D2368" s="1033" t="s">
        <v>7774</v>
      </c>
      <c r="E2368" s="1033" t="s">
        <v>7774</v>
      </c>
      <c r="F2368" s="1034">
        <v>46077</v>
      </c>
      <c r="G2368" s="1033" t="s">
        <v>7454</v>
      </c>
      <c r="H2368" s="1063" t="s">
        <v>3457</v>
      </c>
      <c r="I2368" s="1063"/>
      <c r="J2368" s="1034"/>
      <c r="K2368" s="1034"/>
      <c r="L2368" s="1036" t="s">
        <v>7456</v>
      </c>
      <c r="M2368" s="1037" t="s">
        <v>107</v>
      </c>
      <c r="N2368" s="1034"/>
      <c r="O2368" s="1064"/>
      <c r="P2368" s="1035"/>
      <c r="Q2368" s="1036"/>
      <c r="R2368" s="1038" t="s">
        <v>7555</v>
      </c>
      <c r="S2368" s="1131" t="s">
        <v>7556</v>
      </c>
      <c r="T2368" s="1036" t="s">
        <v>7826</v>
      </c>
      <c r="U2368" s="1066">
        <v>1</v>
      </c>
      <c r="V2368" s="1035" t="s">
        <v>3</v>
      </c>
      <c r="W2368" s="1039">
        <v>1031.9971264367814</v>
      </c>
      <c r="X2368" s="1040">
        <f t="shared" si="498"/>
        <v>1031.9971264367814</v>
      </c>
      <c r="Y2368" s="1045" t="s">
        <v>7460</v>
      </c>
      <c r="Z2368" s="1041">
        <v>718.27</v>
      </c>
      <c r="AA2368" s="1041"/>
      <c r="AB2368" s="1041">
        <f t="shared" si="496"/>
        <v>718.27</v>
      </c>
      <c r="AC2368" s="1042">
        <f t="shared" si="497"/>
        <v>718.27</v>
      </c>
      <c r="AD2368" s="1043">
        <v>32000</v>
      </c>
      <c r="AE2368" s="1044"/>
      <c r="AF2368" s="1045"/>
      <c r="AG2368" s="1046"/>
      <c r="AH2368" s="1045"/>
      <c r="AI2368" s="1047"/>
      <c r="AJ2368" s="1038"/>
      <c r="AK2368" s="1048"/>
      <c r="AL2368" s="1036"/>
      <c r="AM2368" s="1036"/>
      <c r="AN2368" s="1037"/>
      <c r="AO2368" s="1037"/>
      <c r="AP2368" s="1034"/>
      <c r="AQ2368" s="1035"/>
      <c r="AR2368" s="1034"/>
      <c r="AS2368" s="1035"/>
      <c r="AT2368" s="1035"/>
      <c r="AU2368" s="1035"/>
      <c r="AV2368" s="1038"/>
      <c r="AW2368" s="1050"/>
      <c r="AX2368" s="1051"/>
      <c r="AY2368" s="1036"/>
      <c r="AZ2368" s="1035"/>
      <c r="BA2368" s="1035"/>
      <c r="BB2368" s="1052"/>
      <c r="BC2368" s="1053"/>
      <c r="BD2368" s="1049"/>
      <c r="BE2368" s="1054"/>
      <c r="BF2368" s="1055"/>
      <c r="BG2368" s="1055"/>
      <c r="BH2368" s="1055"/>
      <c r="BI2368" s="1055"/>
      <c r="BJ2368" s="1055"/>
      <c r="BK2368" s="1055"/>
      <c r="BL2368" s="1055"/>
      <c r="BM2368" s="1055"/>
      <c r="BN2368" s="1055"/>
      <c r="BO2368" s="1056"/>
      <c r="BP2368" s="1056"/>
      <c r="BQ2368" s="1056"/>
      <c r="BR2368" s="1056"/>
      <c r="BS2368" s="1056"/>
      <c r="BT2368" s="1056"/>
      <c r="BU2368" s="1056"/>
      <c r="BV2368" s="1057"/>
      <c r="BW2368" s="1057"/>
      <c r="BX2368" s="1148"/>
      <c r="BY2368" s="1057"/>
      <c r="BZ2368" s="1057"/>
      <c r="CA2368" s="1057"/>
      <c r="CB2368" s="1032"/>
    </row>
    <row r="2369" spans="2:80">
      <c r="B2369" s="1033" t="s">
        <v>7773</v>
      </c>
      <c r="C2369" s="839" t="s">
        <v>7454</v>
      </c>
      <c r="D2369" s="1033" t="s">
        <v>7774</v>
      </c>
      <c r="E2369" s="1033" t="s">
        <v>7774</v>
      </c>
      <c r="F2369" s="1034">
        <v>46077</v>
      </c>
      <c r="G2369" s="1033" t="s">
        <v>7454</v>
      </c>
      <c r="H2369" s="1063" t="s">
        <v>3457</v>
      </c>
      <c r="I2369" s="1063"/>
      <c r="J2369" s="1034"/>
      <c r="K2369" s="1034"/>
      <c r="L2369" s="1036" t="s">
        <v>7456</v>
      </c>
      <c r="M2369" s="1037" t="s">
        <v>107</v>
      </c>
      <c r="N2369" s="1034"/>
      <c r="O2369" s="1064"/>
      <c r="P2369" s="1035"/>
      <c r="Q2369" s="1036"/>
      <c r="R2369" s="1038" t="s">
        <v>7827</v>
      </c>
      <c r="S2369" s="1131" t="s">
        <v>7828</v>
      </c>
      <c r="T2369" s="1036" t="s">
        <v>7829</v>
      </c>
      <c r="U2369" s="1066">
        <v>1</v>
      </c>
      <c r="V2369" s="1035" t="s">
        <v>3</v>
      </c>
      <c r="W2369" s="1039">
        <v>10056.005747126435</v>
      </c>
      <c r="X2369" s="1040">
        <f t="shared" si="498"/>
        <v>10056.005747126435</v>
      </c>
      <c r="Y2369" s="1045" t="s">
        <v>7460</v>
      </c>
      <c r="Z2369" s="1041">
        <v>6998.98</v>
      </c>
      <c r="AA2369" s="1041"/>
      <c r="AB2369" s="1041">
        <f t="shared" si="496"/>
        <v>6998.98</v>
      </c>
      <c r="AC2369" s="1042">
        <f t="shared" si="497"/>
        <v>6998.98</v>
      </c>
      <c r="AD2369" s="1043">
        <v>32000</v>
      </c>
      <c r="AE2369" s="1044"/>
      <c r="AF2369" s="1045"/>
      <c r="AG2369" s="1046"/>
      <c r="AH2369" s="1045"/>
      <c r="AI2369" s="1047"/>
      <c r="AJ2369" s="1038"/>
      <c r="AK2369" s="1048"/>
      <c r="AL2369" s="1036"/>
      <c r="AM2369" s="1036"/>
      <c r="AN2369" s="1037"/>
      <c r="AO2369" s="1037"/>
      <c r="AP2369" s="1034"/>
      <c r="AQ2369" s="1035"/>
      <c r="AR2369" s="1034"/>
      <c r="AS2369" s="1035"/>
      <c r="AT2369" s="1035"/>
      <c r="AU2369" s="1035"/>
      <c r="AV2369" s="1038"/>
      <c r="AW2369" s="1050"/>
      <c r="AX2369" s="1051"/>
      <c r="AY2369" s="1036"/>
      <c r="AZ2369" s="1035"/>
      <c r="BA2369" s="1035"/>
      <c r="BB2369" s="1052"/>
      <c r="BC2369" s="1053"/>
      <c r="BD2369" s="1049"/>
      <c r="BE2369" s="1054"/>
      <c r="BF2369" s="1055"/>
      <c r="BG2369" s="1055"/>
      <c r="BH2369" s="1055"/>
      <c r="BI2369" s="1055"/>
      <c r="BJ2369" s="1055"/>
      <c r="BK2369" s="1055"/>
      <c r="BL2369" s="1055"/>
      <c r="BM2369" s="1055"/>
      <c r="BN2369" s="1055"/>
      <c r="BO2369" s="1056"/>
      <c r="BP2369" s="1056"/>
      <c r="BQ2369" s="1056"/>
      <c r="BR2369" s="1056"/>
      <c r="BS2369" s="1056"/>
      <c r="BT2369" s="1056"/>
      <c r="BU2369" s="1056"/>
      <c r="BV2369" s="1057"/>
      <c r="BW2369" s="1057"/>
      <c r="BX2369" s="1148"/>
      <c r="BY2369" s="1057"/>
      <c r="BZ2369" s="1057"/>
      <c r="CA2369" s="1057"/>
      <c r="CB2369" s="1032"/>
    </row>
    <row r="2370" spans="2:80">
      <c r="B2370" s="1033" t="s">
        <v>7773</v>
      </c>
      <c r="C2370" s="839" t="s">
        <v>7454</v>
      </c>
      <c r="D2370" s="1033" t="s">
        <v>7774</v>
      </c>
      <c r="E2370" s="1033" t="s">
        <v>7774</v>
      </c>
      <c r="F2370" s="1034">
        <v>46077</v>
      </c>
      <c r="G2370" s="1033" t="s">
        <v>7454</v>
      </c>
      <c r="H2370" s="1063" t="s">
        <v>3457</v>
      </c>
      <c r="I2370" s="1063"/>
      <c r="J2370" s="1034"/>
      <c r="K2370" s="1034"/>
      <c r="L2370" s="1036" t="s">
        <v>7456</v>
      </c>
      <c r="M2370" s="1037" t="s">
        <v>107</v>
      </c>
      <c r="N2370" s="1034"/>
      <c r="O2370" s="1064"/>
      <c r="P2370" s="1035"/>
      <c r="Q2370" s="1036"/>
      <c r="R2370" s="1038" t="s">
        <v>7830</v>
      </c>
      <c r="S2370" s="1131" t="s">
        <v>7831</v>
      </c>
      <c r="T2370" s="1036" t="s">
        <v>7832</v>
      </c>
      <c r="U2370" s="1066">
        <v>2</v>
      </c>
      <c r="V2370" s="1035" t="s">
        <v>3</v>
      </c>
      <c r="W2370" s="1039">
        <v>1203.0028735632181</v>
      </c>
      <c r="X2370" s="1040">
        <f t="shared" si="498"/>
        <v>2406.0057471264363</v>
      </c>
      <c r="Y2370" s="1045" t="s">
        <v>7460</v>
      </c>
      <c r="Z2370" s="1041">
        <v>837.29</v>
      </c>
      <c r="AA2370" s="1041"/>
      <c r="AB2370" s="1041">
        <f t="shared" si="496"/>
        <v>1674.58</v>
      </c>
      <c r="AC2370" s="1042">
        <f t="shared" si="497"/>
        <v>1674.58</v>
      </c>
      <c r="AD2370" s="1043">
        <v>32000</v>
      </c>
      <c r="AE2370" s="1044"/>
      <c r="AF2370" s="1045"/>
      <c r="AG2370" s="1046"/>
      <c r="AH2370" s="1045"/>
      <c r="AI2370" s="1047"/>
      <c r="AJ2370" s="1038"/>
      <c r="AK2370" s="1048"/>
      <c r="AL2370" s="1036"/>
      <c r="AM2370" s="1036"/>
      <c r="AN2370" s="1037"/>
      <c r="AO2370" s="1037"/>
      <c r="AP2370" s="1034"/>
      <c r="AQ2370" s="1035"/>
      <c r="AR2370" s="1034"/>
      <c r="AS2370" s="1035"/>
      <c r="AT2370" s="1035"/>
      <c r="AU2370" s="1035"/>
      <c r="AV2370" s="1038"/>
      <c r="AW2370" s="1050"/>
      <c r="AX2370" s="1051"/>
      <c r="AY2370" s="1036"/>
      <c r="AZ2370" s="1035"/>
      <c r="BA2370" s="1035"/>
      <c r="BB2370" s="1052"/>
      <c r="BC2370" s="1053"/>
      <c r="BD2370" s="1049"/>
      <c r="BE2370" s="1054"/>
      <c r="BF2370" s="1055"/>
      <c r="BG2370" s="1055"/>
      <c r="BH2370" s="1055"/>
      <c r="BI2370" s="1055"/>
      <c r="BJ2370" s="1055"/>
      <c r="BK2370" s="1055"/>
      <c r="BL2370" s="1055"/>
      <c r="BM2370" s="1055"/>
      <c r="BN2370" s="1055"/>
      <c r="BO2370" s="1056"/>
      <c r="BP2370" s="1056"/>
      <c r="BQ2370" s="1056"/>
      <c r="BR2370" s="1056"/>
      <c r="BS2370" s="1056"/>
      <c r="BT2370" s="1056"/>
      <c r="BU2370" s="1056"/>
      <c r="BV2370" s="1057"/>
      <c r="BW2370" s="1057"/>
      <c r="BX2370" s="1148"/>
      <c r="BY2370" s="1057"/>
      <c r="BZ2370" s="1057"/>
      <c r="CA2370" s="1057"/>
      <c r="CB2370" s="1032"/>
    </row>
    <row r="2371" spans="2:80">
      <c r="B2371" s="1033" t="s">
        <v>7773</v>
      </c>
      <c r="C2371" s="839" t="s">
        <v>7454</v>
      </c>
      <c r="D2371" s="1033" t="s">
        <v>7774</v>
      </c>
      <c r="E2371" s="1033" t="s">
        <v>7774</v>
      </c>
      <c r="F2371" s="1034">
        <v>46077</v>
      </c>
      <c r="G2371" s="1033" t="s">
        <v>7454</v>
      </c>
      <c r="H2371" s="1063" t="s">
        <v>3457</v>
      </c>
      <c r="I2371" s="1063"/>
      <c r="J2371" s="1034"/>
      <c r="K2371" s="1034"/>
      <c r="L2371" s="1036" t="s">
        <v>7456</v>
      </c>
      <c r="M2371" s="1037" t="s">
        <v>107</v>
      </c>
      <c r="N2371" s="1034"/>
      <c r="O2371" s="1064"/>
      <c r="P2371" s="1035"/>
      <c r="Q2371" s="1036"/>
      <c r="R2371" s="1038" t="s">
        <v>7833</v>
      </c>
      <c r="S2371" s="1131" t="s">
        <v>7834</v>
      </c>
      <c r="T2371" s="1036" t="s">
        <v>7835</v>
      </c>
      <c r="U2371" s="1066">
        <v>1</v>
      </c>
      <c r="V2371" s="1035" t="s">
        <v>3</v>
      </c>
      <c r="W2371" s="1039">
        <v>1491.9971264367816</v>
      </c>
      <c r="X2371" s="1040">
        <f t="shared" si="498"/>
        <v>1491.9971264367816</v>
      </c>
      <c r="Y2371" s="1045" t="s">
        <v>7460</v>
      </c>
      <c r="Z2371" s="1041">
        <v>1038.43</v>
      </c>
      <c r="AA2371" s="1041"/>
      <c r="AB2371" s="1041">
        <f t="shared" si="496"/>
        <v>1038.43</v>
      </c>
      <c r="AC2371" s="1042">
        <f t="shared" si="497"/>
        <v>1038.43</v>
      </c>
      <c r="AD2371" s="1043">
        <v>32000</v>
      </c>
      <c r="AE2371" s="1044"/>
      <c r="AF2371" s="1045"/>
      <c r="AG2371" s="1046"/>
      <c r="AH2371" s="1045"/>
      <c r="AI2371" s="1047"/>
      <c r="AJ2371" s="1038"/>
      <c r="AK2371" s="1048"/>
      <c r="AL2371" s="1036"/>
      <c r="AM2371" s="1036"/>
      <c r="AN2371" s="1037"/>
      <c r="AO2371" s="1037"/>
      <c r="AP2371" s="1034"/>
      <c r="AQ2371" s="1035"/>
      <c r="AR2371" s="1034"/>
      <c r="AS2371" s="1035"/>
      <c r="AT2371" s="1035"/>
      <c r="AU2371" s="1035"/>
      <c r="AV2371" s="1038"/>
      <c r="AW2371" s="1050"/>
      <c r="AX2371" s="1051"/>
      <c r="AY2371" s="1036"/>
      <c r="AZ2371" s="1035"/>
      <c r="BA2371" s="1035"/>
      <c r="BB2371" s="1052"/>
      <c r="BC2371" s="1053"/>
      <c r="BD2371" s="1049"/>
      <c r="BE2371" s="1054"/>
      <c r="BF2371" s="1055"/>
      <c r="BG2371" s="1055"/>
      <c r="BH2371" s="1055"/>
      <c r="BI2371" s="1055"/>
      <c r="BJ2371" s="1055"/>
      <c r="BK2371" s="1055"/>
      <c r="BL2371" s="1055"/>
      <c r="BM2371" s="1055"/>
      <c r="BN2371" s="1055"/>
      <c r="BO2371" s="1056"/>
      <c r="BP2371" s="1056"/>
      <c r="BQ2371" s="1056"/>
      <c r="BR2371" s="1056"/>
      <c r="BS2371" s="1056"/>
      <c r="BT2371" s="1056"/>
      <c r="BU2371" s="1056"/>
      <c r="BV2371" s="1057"/>
      <c r="BW2371" s="1057"/>
      <c r="BX2371" s="1148"/>
      <c r="BY2371" s="1057"/>
      <c r="BZ2371" s="1057"/>
      <c r="CA2371" s="1057"/>
      <c r="CB2371" s="1032"/>
    </row>
    <row r="2372" spans="2:80">
      <c r="B2372" s="1033" t="s">
        <v>7773</v>
      </c>
      <c r="C2372" s="839" t="s">
        <v>7454</v>
      </c>
      <c r="D2372" s="1033" t="s">
        <v>7774</v>
      </c>
      <c r="E2372" s="1033" t="s">
        <v>7774</v>
      </c>
      <c r="F2372" s="1034">
        <v>46077</v>
      </c>
      <c r="G2372" s="1033" t="s">
        <v>7454</v>
      </c>
      <c r="H2372" s="1063" t="s">
        <v>3457</v>
      </c>
      <c r="I2372" s="1063"/>
      <c r="J2372" s="1034"/>
      <c r="K2372" s="1034"/>
      <c r="L2372" s="1036" t="s">
        <v>7456</v>
      </c>
      <c r="M2372" s="1037" t="s">
        <v>107</v>
      </c>
      <c r="N2372" s="1034"/>
      <c r="O2372" s="1064"/>
      <c r="P2372" s="1035"/>
      <c r="Q2372" s="1036"/>
      <c r="R2372" s="1038" t="s">
        <v>7511</v>
      </c>
      <c r="S2372" s="1131" t="s">
        <v>7836</v>
      </c>
      <c r="T2372" s="1036" t="s">
        <v>7837</v>
      </c>
      <c r="U2372" s="1066">
        <v>1</v>
      </c>
      <c r="V2372" s="1035" t="s">
        <v>3</v>
      </c>
      <c r="W2372" s="1039">
        <v>1023.9942528735631</v>
      </c>
      <c r="X2372" s="1040">
        <f t="shared" si="498"/>
        <v>1023.9942528735631</v>
      </c>
      <c r="Y2372" s="1045" t="s">
        <v>7460</v>
      </c>
      <c r="Z2372" s="1041">
        <v>712.7</v>
      </c>
      <c r="AA2372" s="1041"/>
      <c r="AB2372" s="1041">
        <f t="shared" si="496"/>
        <v>712.7</v>
      </c>
      <c r="AC2372" s="1042">
        <f t="shared" si="497"/>
        <v>712.7</v>
      </c>
      <c r="AD2372" s="1043">
        <v>32000</v>
      </c>
      <c r="AE2372" s="1044"/>
      <c r="AF2372" s="1045"/>
      <c r="AG2372" s="1046"/>
      <c r="AH2372" s="1045"/>
      <c r="AI2372" s="1047"/>
      <c r="AJ2372" s="1038"/>
      <c r="AK2372" s="1048"/>
      <c r="AL2372" s="1036"/>
      <c r="AM2372" s="1036"/>
      <c r="AN2372" s="1037"/>
      <c r="AO2372" s="1037"/>
      <c r="AP2372" s="1034"/>
      <c r="AQ2372" s="1035"/>
      <c r="AR2372" s="1034"/>
      <c r="AS2372" s="1035"/>
      <c r="AT2372" s="1035"/>
      <c r="AU2372" s="1035"/>
      <c r="AV2372" s="1038"/>
      <c r="AW2372" s="1050"/>
      <c r="AX2372" s="1051"/>
      <c r="AY2372" s="1036"/>
      <c r="AZ2372" s="1035"/>
      <c r="BA2372" s="1035"/>
      <c r="BB2372" s="1052"/>
      <c r="BC2372" s="1053"/>
      <c r="BD2372" s="1049"/>
      <c r="BE2372" s="1054"/>
      <c r="BF2372" s="1055"/>
      <c r="BG2372" s="1055"/>
      <c r="BH2372" s="1055"/>
      <c r="BI2372" s="1055"/>
      <c r="BJ2372" s="1055"/>
      <c r="BK2372" s="1055"/>
      <c r="BL2372" s="1055"/>
      <c r="BM2372" s="1055"/>
      <c r="BN2372" s="1055"/>
      <c r="BO2372" s="1056"/>
      <c r="BP2372" s="1056"/>
      <c r="BQ2372" s="1056"/>
      <c r="BR2372" s="1056"/>
      <c r="BS2372" s="1056"/>
      <c r="BT2372" s="1056"/>
      <c r="BU2372" s="1056"/>
      <c r="BV2372" s="1057"/>
      <c r="BW2372" s="1057"/>
      <c r="BX2372" s="1148"/>
      <c r="BY2372" s="1057"/>
      <c r="BZ2372" s="1057"/>
      <c r="CA2372" s="1057"/>
      <c r="CB2372" s="1032"/>
    </row>
    <row r="2373" spans="2:80">
      <c r="B2373" s="1033" t="s">
        <v>7773</v>
      </c>
      <c r="C2373" s="839" t="s">
        <v>7454</v>
      </c>
      <c r="D2373" s="1033" t="s">
        <v>7774</v>
      </c>
      <c r="E2373" s="1033" t="s">
        <v>7774</v>
      </c>
      <c r="F2373" s="1034">
        <v>46077</v>
      </c>
      <c r="G2373" s="1033" t="s">
        <v>7775</v>
      </c>
      <c r="H2373" s="1063" t="s">
        <v>3457</v>
      </c>
      <c r="I2373" s="1063"/>
      <c r="J2373" s="1034"/>
      <c r="K2373" s="1034"/>
      <c r="L2373" s="1036" t="s">
        <v>7456</v>
      </c>
      <c r="M2373" s="1037" t="s">
        <v>107</v>
      </c>
      <c r="N2373" s="1034"/>
      <c r="O2373" s="1064"/>
      <c r="P2373" s="1035"/>
      <c r="Q2373" s="1036"/>
      <c r="R2373" s="1038" t="s">
        <v>7838</v>
      </c>
      <c r="S2373" s="1131" t="s">
        <v>7839</v>
      </c>
      <c r="T2373" s="1036" t="s">
        <v>7840</v>
      </c>
      <c r="U2373" s="1066">
        <v>1</v>
      </c>
      <c r="V2373" s="1035" t="s">
        <v>3</v>
      </c>
      <c r="W2373" s="1039">
        <v>5026.9971264367814</v>
      </c>
      <c r="X2373" s="1040">
        <f t="shared" si="498"/>
        <v>5026.9971264367814</v>
      </c>
      <c r="Y2373" s="1045" t="s">
        <v>7460</v>
      </c>
      <c r="Z2373" s="1041">
        <v>3498.79</v>
      </c>
      <c r="AA2373" s="1041"/>
      <c r="AB2373" s="1041">
        <f t="shared" si="496"/>
        <v>3498.79</v>
      </c>
      <c r="AC2373" s="1042">
        <f t="shared" si="497"/>
        <v>3498.79</v>
      </c>
      <c r="AD2373" s="1043">
        <v>32000</v>
      </c>
      <c r="AE2373" s="1044"/>
      <c r="AF2373" s="1045"/>
      <c r="AG2373" s="1046"/>
      <c r="AH2373" s="1045"/>
      <c r="AI2373" s="1047"/>
      <c r="AJ2373" s="1038"/>
      <c r="AK2373" s="1048"/>
      <c r="AL2373" s="1036"/>
      <c r="AM2373" s="1036"/>
      <c r="AN2373" s="1037"/>
      <c r="AO2373" s="1037"/>
      <c r="AP2373" s="1034"/>
      <c r="AQ2373" s="1035"/>
      <c r="AR2373" s="1034"/>
      <c r="AS2373" s="1035"/>
      <c r="AT2373" s="1035"/>
      <c r="AU2373" s="1035"/>
      <c r="AV2373" s="1038"/>
      <c r="AW2373" s="1050"/>
      <c r="AX2373" s="1051"/>
      <c r="AY2373" s="1036"/>
      <c r="AZ2373" s="1035"/>
      <c r="BA2373" s="1035"/>
      <c r="BB2373" s="1052"/>
      <c r="BC2373" s="1053"/>
      <c r="BD2373" s="1049"/>
      <c r="BE2373" s="1054"/>
      <c r="BF2373" s="1055"/>
      <c r="BG2373" s="1055"/>
      <c r="BH2373" s="1055"/>
      <c r="BI2373" s="1055"/>
      <c r="BJ2373" s="1055"/>
      <c r="BK2373" s="1055"/>
      <c r="BL2373" s="1055"/>
      <c r="BM2373" s="1055"/>
      <c r="BN2373" s="1055"/>
      <c r="BO2373" s="1056"/>
      <c r="BP2373" s="1056"/>
      <c r="BQ2373" s="1056"/>
      <c r="BR2373" s="1056"/>
      <c r="BS2373" s="1056"/>
      <c r="BT2373" s="1056"/>
      <c r="BU2373" s="1056"/>
      <c r="BV2373" s="1057"/>
      <c r="BW2373" s="1057"/>
      <c r="BX2373" s="1148"/>
      <c r="BY2373" s="1057"/>
      <c r="BZ2373" s="1057"/>
      <c r="CA2373" s="1057"/>
      <c r="CB2373" s="1032"/>
    </row>
    <row r="2374" spans="2:80">
      <c r="B2374" s="1033" t="s">
        <v>7773</v>
      </c>
      <c r="C2374" s="839" t="s">
        <v>7454</v>
      </c>
      <c r="D2374" s="1033" t="s">
        <v>7774</v>
      </c>
      <c r="E2374" s="1033" t="s">
        <v>7774</v>
      </c>
      <c r="F2374" s="1034">
        <v>46077</v>
      </c>
      <c r="G2374" s="1033" t="s">
        <v>7775</v>
      </c>
      <c r="H2374" s="1063" t="s">
        <v>3457</v>
      </c>
      <c r="I2374" s="1063"/>
      <c r="J2374" s="1034"/>
      <c r="K2374" s="1034"/>
      <c r="L2374" s="1036" t="s">
        <v>7456</v>
      </c>
      <c r="M2374" s="1037" t="s">
        <v>107</v>
      </c>
      <c r="N2374" s="1034"/>
      <c r="O2374" s="1064"/>
      <c r="P2374" s="1035"/>
      <c r="Q2374" s="1036"/>
      <c r="R2374" s="1038" t="s">
        <v>7841</v>
      </c>
      <c r="S2374" s="1131" t="s">
        <v>7842</v>
      </c>
      <c r="T2374" s="1036" t="s">
        <v>7843</v>
      </c>
      <c r="U2374" s="1066">
        <v>1</v>
      </c>
      <c r="V2374" s="1035" t="s">
        <v>3</v>
      </c>
      <c r="W2374" s="1039">
        <v>1243.0028735632184</v>
      </c>
      <c r="X2374" s="1040">
        <f t="shared" si="498"/>
        <v>1243.0028735632184</v>
      </c>
      <c r="Y2374" s="1045" t="s">
        <v>7460</v>
      </c>
      <c r="Z2374" s="1041">
        <v>865.13</v>
      </c>
      <c r="AA2374" s="1041"/>
      <c r="AB2374" s="1041">
        <f t="shared" si="496"/>
        <v>865.13</v>
      </c>
      <c r="AC2374" s="1042">
        <f t="shared" si="497"/>
        <v>865.13</v>
      </c>
      <c r="AD2374" s="1043">
        <v>32000</v>
      </c>
      <c r="AE2374" s="1044"/>
      <c r="AF2374" s="1045"/>
      <c r="AG2374" s="1046"/>
      <c r="AH2374" s="1045"/>
      <c r="AI2374" s="1047"/>
      <c r="AJ2374" s="1038"/>
      <c r="AK2374" s="1048"/>
      <c r="AL2374" s="1036"/>
      <c r="AM2374" s="1036"/>
      <c r="AN2374" s="1037"/>
      <c r="AO2374" s="1037"/>
      <c r="AP2374" s="1034"/>
      <c r="AQ2374" s="1035"/>
      <c r="AR2374" s="1034"/>
      <c r="AS2374" s="1035"/>
      <c r="AT2374" s="1035"/>
      <c r="AU2374" s="1035"/>
      <c r="AV2374" s="1038"/>
      <c r="AW2374" s="1050"/>
      <c r="AX2374" s="1051"/>
      <c r="AY2374" s="1036"/>
      <c r="AZ2374" s="1035"/>
      <c r="BA2374" s="1035"/>
      <c r="BB2374" s="1052"/>
      <c r="BC2374" s="1053"/>
      <c r="BD2374" s="1049"/>
      <c r="BE2374" s="1054"/>
      <c r="BF2374" s="1055"/>
      <c r="BG2374" s="1055"/>
      <c r="BH2374" s="1055"/>
      <c r="BI2374" s="1055"/>
      <c r="BJ2374" s="1055"/>
      <c r="BK2374" s="1055"/>
      <c r="BL2374" s="1055"/>
      <c r="BM2374" s="1055"/>
      <c r="BN2374" s="1055"/>
      <c r="BO2374" s="1056"/>
      <c r="BP2374" s="1056"/>
      <c r="BQ2374" s="1056"/>
      <c r="BR2374" s="1056"/>
      <c r="BS2374" s="1056"/>
      <c r="BT2374" s="1056"/>
      <c r="BU2374" s="1056"/>
      <c r="BV2374" s="1057"/>
      <c r="BW2374" s="1057"/>
      <c r="BX2374" s="1148"/>
      <c r="BY2374" s="1057"/>
      <c r="BZ2374" s="1057"/>
      <c r="CA2374" s="1057"/>
      <c r="CB2374" s="1032"/>
    </row>
    <row r="2375" spans="2:80">
      <c r="B2375" s="1033" t="s">
        <v>7773</v>
      </c>
      <c r="C2375" s="839" t="s">
        <v>7454</v>
      </c>
      <c r="D2375" s="1033" t="s">
        <v>7774</v>
      </c>
      <c r="E2375" s="1033" t="s">
        <v>7774</v>
      </c>
      <c r="F2375" s="1034">
        <v>46077</v>
      </c>
      <c r="G2375" s="1033" t="s">
        <v>7775</v>
      </c>
      <c r="H2375" s="1063" t="s">
        <v>3457</v>
      </c>
      <c r="I2375" s="1063"/>
      <c r="J2375" s="1034"/>
      <c r="K2375" s="1034"/>
      <c r="L2375" s="1036" t="s">
        <v>7456</v>
      </c>
      <c r="M2375" s="1037" t="s">
        <v>107</v>
      </c>
      <c r="N2375" s="1034"/>
      <c r="O2375" s="1064"/>
      <c r="P2375" s="1035"/>
      <c r="Q2375" s="1036"/>
      <c r="R2375" s="1038" t="s">
        <v>7844</v>
      </c>
      <c r="S2375" s="1131" t="s">
        <v>7845</v>
      </c>
      <c r="T2375" s="1036" t="s">
        <v>7846</v>
      </c>
      <c r="U2375" s="1066">
        <v>1</v>
      </c>
      <c r="V2375" s="1035" t="s">
        <v>3</v>
      </c>
      <c r="W2375" s="1039">
        <v>4121.9971264367814</v>
      </c>
      <c r="X2375" s="1040">
        <f t="shared" si="498"/>
        <v>4121.9971264367814</v>
      </c>
      <c r="Y2375" s="1045" t="s">
        <v>7460</v>
      </c>
      <c r="Z2375" s="1041">
        <v>2868.91</v>
      </c>
      <c r="AA2375" s="1041"/>
      <c r="AB2375" s="1041">
        <f t="shared" si="496"/>
        <v>2868.91</v>
      </c>
      <c r="AC2375" s="1042">
        <f t="shared" si="497"/>
        <v>2868.91</v>
      </c>
      <c r="AD2375" s="1043">
        <v>32000</v>
      </c>
      <c r="AE2375" s="1044"/>
      <c r="AF2375" s="1045"/>
      <c r="AG2375" s="1046"/>
      <c r="AH2375" s="1045"/>
      <c r="AI2375" s="1047"/>
      <c r="AJ2375" s="1038"/>
      <c r="AK2375" s="1048"/>
      <c r="AL2375" s="1036"/>
      <c r="AM2375" s="1036"/>
      <c r="AN2375" s="1037"/>
      <c r="AO2375" s="1037"/>
      <c r="AP2375" s="1034"/>
      <c r="AQ2375" s="1035"/>
      <c r="AR2375" s="1034"/>
      <c r="AS2375" s="1035"/>
      <c r="AT2375" s="1035"/>
      <c r="AU2375" s="1035"/>
      <c r="AV2375" s="1038"/>
      <c r="AW2375" s="1050"/>
      <c r="AX2375" s="1051"/>
      <c r="AY2375" s="1036"/>
      <c r="AZ2375" s="1035"/>
      <c r="BA2375" s="1035"/>
      <c r="BB2375" s="1052"/>
      <c r="BC2375" s="1053"/>
      <c r="BD2375" s="1049"/>
      <c r="BE2375" s="1054"/>
      <c r="BF2375" s="1055"/>
      <c r="BG2375" s="1055"/>
      <c r="BH2375" s="1055"/>
      <c r="BI2375" s="1055"/>
      <c r="BJ2375" s="1055"/>
      <c r="BK2375" s="1055"/>
      <c r="BL2375" s="1055"/>
      <c r="BM2375" s="1055"/>
      <c r="BN2375" s="1055"/>
      <c r="BO2375" s="1056"/>
      <c r="BP2375" s="1056"/>
      <c r="BQ2375" s="1056"/>
      <c r="BR2375" s="1056"/>
      <c r="BS2375" s="1056"/>
      <c r="BT2375" s="1056"/>
      <c r="BU2375" s="1056"/>
      <c r="BV2375" s="1057"/>
      <c r="BW2375" s="1057"/>
      <c r="BX2375" s="1148"/>
      <c r="BY2375" s="1057"/>
      <c r="BZ2375" s="1057"/>
      <c r="CA2375" s="1057"/>
      <c r="CB2375" s="1032"/>
    </row>
    <row r="2376" spans="2:80">
      <c r="B2376" s="1033" t="s">
        <v>7773</v>
      </c>
      <c r="C2376" s="839" t="s">
        <v>7454</v>
      </c>
      <c r="D2376" s="1033" t="s">
        <v>7774</v>
      </c>
      <c r="E2376" s="1033" t="s">
        <v>7774</v>
      </c>
      <c r="F2376" s="1034">
        <v>46077</v>
      </c>
      <c r="G2376" s="1033" t="s">
        <v>7775</v>
      </c>
      <c r="H2376" s="1063" t="s">
        <v>3457</v>
      </c>
      <c r="I2376" s="1063"/>
      <c r="J2376" s="1034"/>
      <c r="K2376" s="1034"/>
      <c r="L2376" s="1036" t="s">
        <v>7456</v>
      </c>
      <c r="M2376" s="1037" t="s">
        <v>107</v>
      </c>
      <c r="N2376" s="1034"/>
      <c r="O2376" s="1064"/>
      <c r="P2376" s="1035"/>
      <c r="Q2376" s="1036"/>
      <c r="R2376" s="1038" t="s">
        <v>7847</v>
      </c>
      <c r="S2376" s="1131" t="s">
        <v>7848</v>
      </c>
      <c r="T2376" s="1036" t="s">
        <v>7849</v>
      </c>
      <c r="U2376" s="1066">
        <v>1</v>
      </c>
      <c r="V2376" s="1035" t="s">
        <v>3</v>
      </c>
      <c r="W2376" s="1039">
        <v>7874.0086206896503</v>
      </c>
      <c r="X2376" s="1040">
        <f t="shared" si="498"/>
        <v>7874.0086206896503</v>
      </c>
      <c r="Y2376" s="1045" t="s">
        <v>7460</v>
      </c>
      <c r="Z2376" s="1041">
        <v>5480.31</v>
      </c>
      <c r="AA2376" s="1041"/>
      <c r="AB2376" s="1041">
        <f t="shared" si="496"/>
        <v>5480.31</v>
      </c>
      <c r="AC2376" s="1042">
        <f t="shared" si="497"/>
        <v>5480.31</v>
      </c>
      <c r="AD2376" s="1043">
        <v>32000</v>
      </c>
      <c r="AE2376" s="1044"/>
      <c r="AF2376" s="1045"/>
      <c r="AG2376" s="1046"/>
      <c r="AH2376" s="1045"/>
      <c r="AI2376" s="1047"/>
      <c r="AJ2376" s="1038"/>
      <c r="AK2376" s="1048"/>
      <c r="AL2376" s="1036"/>
      <c r="AM2376" s="1036"/>
      <c r="AN2376" s="1037"/>
      <c r="AO2376" s="1037"/>
      <c r="AP2376" s="1034"/>
      <c r="AQ2376" s="1035"/>
      <c r="AR2376" s="1034"/>
      <c r="AS2376" s="1035"/>
      <c r="AT2376" s="1035"/>
      <c r="AU2376" s="1035"/>
      <c r="AV2376" s="1038"/>
      <c r="AW2376" s="1050"/>
      <c r="AX2376" s="1051"/>
      <c r="AY2376" s="1036"/>
      <c r="AZ2376" s="1035"/>
      <c r="BA2376" s="1035"/>
      <c r="BB2376" s="1052"/>
      <c r="BC2376" s="1053"/>
      <c r="BD2376" s="1049"/>
      <c r="BE2376" s="1054"/>
      <c r="BF2376" s="1055"/>
      <c r="BG2376" s="1055"/>
      <c r="BH2376" s="1055"/>
      <c r="BI2376" s="1055"/>
      <c r="BJ2376" s="1055"/>
      <c r="BK2376" s="1055"/>
      <c r="BL2376" s="1055"/>
      <c r="BM2376" s="1055"/>
      <c r="BN2376" s="1055"/>
      <c r="BO2376" s="1056"/>
      <c r="BP2376" s="1056"/>
      <c r="BQ2376" s="1056"/>
      <c r="BR2376" s="1056"/>
      <c r="BS2376" s="1056"/>
      <c r="BT2376" s="1056"/>
      <c r="BU2376" s="1056"/>
      <c r="BV2376" s="1057"/>
      <c r="BW2376" s="1057"/>
      <c r="BX2376" s="1148"/>
      <c r="BY2376" s="1057"/>
      <c r="BZ2376" s="1057"/>
      <c r="CA2376" s="1057"/>
      <c r="CB2376" s="1032"/>
    </row>
    <row r="2377" spans="2:80">
      <c r="B2377" s="1033" t="s">
        <v>7773</v>
      </c>
      <c r="C2377" s="839" t="s">
        <v>7454</v>
      </c>
      <c r="D2377" s="1033" t="s">
        <v>7774</v>
      </c>
      <c r="E2377" s="1033" t="s">
        <v>7774</v>
      </c>
      <c r="F2377" s="1034">
        <v>46077</v>
      </c>
      <c r="G2377" s="1033" t="s">
        <v>7775</v>
      </c>
      <c r="H2377" s="1063" t="s">
        <v>3457</v>
      </c>
      <c r="I2377" s="1063"/>
      <c r="J2377" s="1034"/>
      <c r="K2377" s="1034"/>
      <c r="L2377" s="1036" t="s">
        <v>7456</v>
      </c>
      <c r="M2377" s="1037" t="s">
        <v>107</v>
      </c>
      <c r="N2377" s="1034"/>
      <c r="O2377" s="1064"/>
      <c r="P2377" s="1035"/>
      <c r="Q2377" s="1036"/>
      <c r="R2377" s="1038" t="s">
        <v>7850</v>
      </c>
      <c r="S2377" s="1131" t="s">
        <v>7851</v>
      </c>
      <c r="T2377" s="1036" t="s">
        <v>7852</v>
      </c>
      <c r="U2377" s="1066">
        <v>2</v>
      </c>
      <c r="V2377" s="1035" t="s">
        <v>3</v>
      </c>
      <c r="W2377" s="1039">
        <v>1734.9999999999998</v>
      </c>
      <c r="X2377" s="1040">
        <f t="shared" si="498"/>
        <v>3469.9999999999995</v>
      </c>
      <c r="Y2377" s="1045" t="s">
        <v>7460</v>
      </c>
      <c r="Z2377" s="1041">
        <v>1207.56</v>
      </c>
      <c r="AA2377" s="1041"/>
      <c r="AB2377" s="1041">
        <f t="shared" si="496"/>
        <v>2415.12</v>
      </c>
      <c r="AC2377" s="1042">
        <f t="shared" si="497"/>
        <v>2415.12</v>
      </c>
      <c r="AD2377" s="1043">
        <v>32000</v>
      </c>
      <c r="AE2377" s="1044"/>
      <c r="AF2377" s="1045"/>
      <c r="AG2377" s="1046"/>
      <c r="AH2377" s="1045"/>
      <c r="AI2377" s="1047"/>
      <c r="AJ2377" s="1038"/>
      <c r="AK2377" s="1048"/>
      <c r="AL2377" s="1036"/>
      <c r="AM2377" s="1036"/>
      <c r="AN2377" s="1037"/>
      <c r="AO2377" s="1037"/>
      <c r="AP2377" s="1034"/>
      <c r="AQ2377" s="1035"/>
      <c r="AR2377" s="1034"/>
      <c r="AS2377" s="1035"/>
      <c r="AT2377" s="1035"/>
      <c r="AU2377" s="1035"/>
      <c r="AV2377" s="1038"/>
      <c r="AW2377" s="1050"/>
      <c r="AX2377" s="1051"/>
      <c r="AY2377" s="1036"/>
      <c r="AZ2377" s="1035"/>
      <c r="BA2377" s="1035"/>
      <c r="BB2377" s="1052"/>
      <c r="BC2377" s="1053"/>
      <c r="BD2377" s="1049"/>
      <c r="BE2377" s="1054"/>
      <c r="BF2377" s="1055"/>
      <c r="BG2377" s="1055"/>
      <c r="BH2377" s="1055"/>
      <c r="BI2377" s="1055"/>
      <c r="BJ2377" s="1055"/>
      <c r="BK2377" s="1055"/>
      <c r="BL2377" s="1055"/>
      <c r="BM2377" s="1055"/>
      <c r="BN2377" s="1055"/>
      <c r="BO2377" s="1056"/>
      <c r="BP2377" s="1056"/>
      <c r="BQ2377" s="1056"/>
      <c r="BR2377" s="1056"/>
      <c r="BS2377" s="1056"/>
      <c r="BT2377" s="1056"/>
      <c r="BU2377" s="1056"/>
      <c r="BV2377" s="1057"/>
      <c r="BW2377" s="1057"/>
      <c r="BX2377" s="1148"/>
      <c r="BY2377" s="1057"/>
      <c r="BZ2377" s="1057"/>
      <c r="CA2377" s="1057"/>
      <c r="CB2377" s="1032"/>
    </row>
    <row r="2378" spans="2:80">
      <c r="B2378" s="1033" t="s">
        <v>7773</v>
      </c>
      <c r="C2378" s="839" t="s">
        <v>7454</v>
      </c>
      <c r="D2378" s="1033" t="s">
        <v>7774</v>
      </c>
      <c r="E2378" s="1033" t="s">
        <v>7774</v>
      </c>
      <c r="F2378" s="1034">
        <v>46077</v>
      </c>
      <c r="G2378" s="1033" t="s">
        <v>7775</v>
      </c>
      <c r="H2378" s="1063" t="s">
        <v>3457</v>
      </c>
      <c r="I2378" s="1063"/>
      <c r="J2378" s="1034"/>
      <c r="K2378" s="1034"/>
      <c r="L2378" s="1036" t="s">
        <v>7456</v>
      </c>
      <c r="M2378" s="1037" t="s">
        <v>107</v>
      </c>
      <c r="N2378" s="1034"/>
      <c r="O2378" s="1064"/>
      <c r="P2378" s="1035"/>
      <c r="Q2378" s="1036"/>
      <c r="R2378" s="1038" t="s">
        <v>7853</v>
      </c>
      <c r="S2378" s="1131" t="s">
        <v>7854</v>
      </c>
      <c r="T2378" s="1036" t="s">
        <v>7855</v>
      </c>
      <c r="U2378" s="1066">
        <v>1</v>
      </c>
      <c r="V2378" s="1035" t="s">
        <v>3</v>
      </c>
      <c r="W2378" s="1039">
        <v>1793.0028735632184</v>
      </c>
      <c r="X2378" s="1040">
        <f t="shared" si="498"/>
        <v>1793.0028735632184</v>
      </c>
      <c r="Y2378" s="1045" t="s">
        <v>7460</v>
      </c>
      <c r="Z2378" s="1041">
        <v>1247.93</v>
      </c>
      <c r="AA2378" s="1041"/>
      <c r="AB2378" s="1041">
        <f t="shared" si="496"/>
        <v>1247.93</v>
      </c>
      <c r="AC2378" s="1042">
        <f t="shared" si="497"/>
        <v>1247.93</v>
      </c>
      <c r="AD2378" s="1043">
        <v>32000</v>
      </c>
      <c r="AE2378" s="1044"/>
      <c r="AF2378" s="1045"/>
      <c r="AG2378" s="1046"/>
      <c r="AH2378" s="1045"/>
      <c r="AI2378" s="1047"/>
      <c r="AJ2378" s="1038"/>
      <c r="AK2378" s="1048"/>
      <c r="AL2378" s="1036"/>
      <c r="AM2378" s="1036"/>
      <c r="AN2378" s="1037"/>
      <c r="AO2378" s="1037"/>
      <c r="AP2378" s="1034"/>
      <c r="AQ2378" s="1035"/>
      <c r="AR2378" s="1034"/>
      <c r="AS2378" s="1035"/>
      <c r="AT2378" s="1035"/>
      <c r="AU2378" s="1035"/>
      <c r="AV2378" s="1038"/>
      <c r="AW2378" s="1050"/>
      <c r="AX2378" s="1051"/>
      <c r="AY2378" s="1036"/>
      <c r="AZ2378" s="1035"/>
      <c r="BA2378" s="1035"/>
      <c r="BB2378" s="1052"/>
      <c r="BC2378" s="1053"/>
      <c r="BD2378" s="1049"/>
      <c r="BE2378" s="1054"/>
      <c r="BF2378" s="1055"/>
      <c r="BG2378" s="1055"/>
      <c r="BH2378" s="1055"/>
      <c r="BI2378" s="1055"/>
      <c r="BJ2378" s="1055"/>
      <c r="BK2378" s="1055"/>
      <c r="BL2378" s="1055"/>
      <c r="BM2378" s="1055"/>
      <c r="BN2378" s="1055"/>
      <c r="BO2378" s="1056"/>
      <c r="BP2378" s="1056"/>
      <c r="BQ2378" s="1056"/>
      <c r="BR2378" s="1056"/>
      <c r="BS2378" s="1056"/>
      <c r="BT2378" s="1056"/>
      <c r="BU2378" s="1056"/>
      <c r="BV2378" s="1057"/>
      <c r="BW2378" s="1057"/>
      <c r="BX2378" s="1148"/>
      <c r="BY2378" s="1057"/>
      <c r="BZ2378" s="1057"/>
      <c r="CA2378" s="1057"/>
      <c r="CB2378" s="1032"/>
    </row>
    <row r="2379" spans="2:80">
      <c r="B2379" s="1033" t="s">
        <v>7773</v>
      </c>
      <c r="C2379" s="839" t="s">
        <v>7454</v>
      </c>
      <c r="D2379" s="1033" t="s">
        <v>7774</v>
      </c>
      <c r="E2379" s="1033" t="s">
        <v>7774</v>
      </c>
      <c r="F2379" s="1034">
        <v>46077</v>
      </c>
      <c r="G2379" s="1033" t="s">
        <v>7775</v>
      </c>
      <c r="H2379" s="1063" t="s">
        <v>3457</v>
      </c>
      <c r="I2379" s="1063"/>
      <c r="J2379" s="1034"/>
      <c r="K2379" s="1034"/>
      <c r="L2379" s="1036" t="s">
        <v>7456</v>
      </c>
      <c r="M2379" s="1037" t="s">
        <v>107</v>
      </c>
      <c r="N2379" s="1034"/>
      <c r="O2379" s="1064"/>
      <c r="P2379" s="1035"/>
      <c r="Q2379" s="1036"/>
      <c r="R2379" s="1038" t="s">
        <v>7856</v>
      </c>
      <c r="S2379" s="1131" t="s">
        <v>7857</v>
      </c>
      <c r="T2379" s="1036" t="s">
        <v>7858</v>
      </c>
      <c r="U2379" s="1066">
        <v>1</v>
      </c>
      <c r="V2379" s="1035" t="s">
        <v>3</v>
      </c>
      <c r="W2379" s="1039">
        <v>2426.9971264367814</v>
      </c>
      <c r="X2379" s="1040">
        <f t="shared" si="498"/>
        <v>2426.9971264367814</v>
      </c>
      <c r="Y2379" s="1045" t="s">
        <v>7460</v>
      </c>
      <c r="Z2379" s="1041">
        <v>1689.19</v>
      </c>
      <c r="AA2379" s="1041"/>
      <c r="AB2379" s="1041">
        <f t="shared" si="496"/>
        <v>1689.19</v>
      </c>
      <c r="AC2379" s="1042">
        <f t="shared" si="497"/>
        <v>1689.19</v>
      </c>
      <c r="AD2379" s="1043">
        <v>32000</v>
      </c>
      <c r="AE2379" s="1044"/>
      <c r="AF2379" s="1045"/>
      <c r="AG2379" s="1046"/>
      <c r="AH2379" s="1045"/>
      <c r="AI2379" s="1047"/>
      <c r="AJ2379" s="1038"/>
      <c r="AK2379" s="1048"/>
      <c r="AL2379" s="1036"/>
      <c r="AM2379" s="1036"/>
      <c r="AN2379" s="1037"/>
      <c r="AO2379" s="1037"/>
      <c r="AP2379" s="1034"/>
      <c r="AQ2379" s="1035"/>
      <c r="AR2379" s="1034"/>
      <c r="AS2379" s="1035"/>
      <c r="AT2379" s="1035"/>
      <c r="AU2379" s="1035"/>
      <c r="AV2379" s="1038"/>
      <c r="AW2379" s="1050"/>
      <c r="AX2379" s="1051"/>
      <c r="AY2379" s="1036"/>
      <c r="AZ2379" s="1035"/>
      <c r="BA2379" s="1035"/>
      <c r="BB2379" s="1052"/>
      <c r="BC2379" s="1053"/>
      <c r="BD2379" s="1049"/>
      <c r="BE2379" s="1054"/>
      <c r="BF2379" s="1055"/>
      <c r="BG2379" s="1055"/>
      <c r="BH2379" s="1055"/>
      <c r="BI2379" s="1055"/>
      <c r="BJ2379" s="1055"/>
      <c r="BK2379" s="1055"/>
      <c r="BL2379" s="1055"/>
      <c r="BM2379" s="1055"/>
      <c r="BN2379" s="1055"/>
      <c r="BO2379" s="1056"/>
      <c r="BP2379" s="1056"/>
      <c r="BQ2379" s="1056"/>
      <c r="BR2379" s="1056"/>
      <c r="BS2379" s="1056"/>
      <c r="BT2379" s="1056"/>
      <c r="BU2379" s="1056"/>
      <c r="BV2379" s="1057"/>
      <c r="BW2379" s="1057"/>
      <c r="BX2379" s="1148"/>
      <c r="BY2379" s="1057"/>
      <c r="BZ2379" s="1057"/>
      <c r="CA2379" s="1057"/>
      <c r="CB2379" s="1032"/>
    </row>
    <row r="2380" spans="2:80">
      <c r="B2380" s="1033" t="s">
        <v>7773</v>
      </c>
      <c r="C2380" s="839" t="s">
        <v>7454</v>
      </c>
      <c r="D2380" s="1033" t="s">
        <v>7774</v>
      </c>
      <c r="E2380" s="1033" t="s">
        <v>7774</v>
      </c>
      <c r="F2380" s="1034">
        <v>46077</v>
      </c>
      <c r="G2380" s="1033" t="s">
        <v>7775</v>
      </c>
      <c r="H2380" s="1063" t="s">
        <v>3457</v>
      </c>
      <c r="I2380" s="1063"/>
      <c r="J2380" s="1034"/>
      <c r="K2380" s="1034"/>
      <c r="L2380" s="1036" t="s">
        <v>7456</v>
      </c>
      <c r="M2380" s="1037" t="s">
        <v>107</v>
      </c>
      <c r="N2380" s="1034"/>
      <c r="O2380" s="1064"/>
      <c r="P2380" s="1035"/>
      <c r="Q2380" s="1036"/>
      <c r="R2380" s="1038" t="s">
        <v>7859</v>
      </c>
      <c r="S2380" s="1131" t="s">
        <v>7860</v>
      </c>
      <c r="T2380" s="1036" t="s">
        <v>7861</v>
      </c>
      <c r="U2380" s="1066">
        <v>1</v>
      </c>
      <c r="V2380" s="1035" t="s">
        <v>3</v>
      </c>
      <c r="W2380" s="1039">
        <v>660</v>
      </c>
      <c r="X2380" s="1040">
        <f t="shared" si="498"/>
        <v>660</v>
      </c>
      <c r="Y2380" s="1045" t="s">
        <v>7460</v>
      </c>
      <c r="Z2380" s="1041">
        <v>459.36</v>
      </c>
      <c r="AA2380" s="1041"/>
      <c r="AB2380" s="1041">
        <f t="shared" si="496"/>
        <v>459.36</v>
      </c>
      <c r="AC2380" s="1042">
        <f t="shared" si="497"/>
        <v>459.36</v>
      </c>
      <c r="AD2380" s="1043">
        <v>32000</v>
      </c>
      <c r="AE2380" s="1044"/>
      <c r="AF2380" s="1045"/>
      <c r="AG2380" s="1046"/>
      <c r="AH2380" s="1045"/>
      <c r="AI2380" s="1047"/>
      <c r="AJ2380" s="1038"/>
      <c r="AK2380" s="1048"/>
      <c r="AL2380" s="1036"/>
      <c r="AM2380" s="1036"/>
      <c r="AN2380" s="1037"/>
      <c r="AO2380" s="1037"/>
      <c r="AP2380" s="1034"/>
      <c r="AQ2380" s="1035"/>
      <c r="AR2380" s="1034"/>
      <c r="AS2380" s="1035"/>
      <c r="AT2380" s="1035"/>
      <c r="AU2380" s="1035"/>
      <c r="AV2380" s="1038"/>
      <c r="AW2380" s="1050"/>
      <c r="AX2380" s="1051"/>
      <c r="AY2380" s="1036"/>
      <c r="AZ2380" s="1035"/>
      <c r="BA2380" s="1035"/>
      <c r="BB2380" s="1052"/>
      <c r="BC2380" s="1053"/>
      <c r="BD2380" s="1049"/>
      <c r="BE2380" s="1054"/>
      <c r="BF2380" s="1055"/>
      <c r="BG2380" s="1055"/>
      <c r="BH2380" s="1055"/>
      <c r="BI2380" s="1055"/>
      <c r="BJ2380" s="1055"/>
      <c r="BK2380" s="1055"/>
      <c r="BL2380" s="1055"/>
      <c r="BM2380" s="1055"/>
      <c r="BN2380" s="1055"/>
      <c r="BO2380" s="1056"/>
      <c r="BP2380" s="1056"/>
      <c r="BQ2380" s="1056"/>
      <c r="BR2380" s="1056"/>
      <c r="BS2380" s="1056"/>
      <c r="BT2380" s="1056"/>
      <c r="BU2380" s="1056"/>
      <c r="BV2380" s="1057"/>
      <c r="BW2380" s="1057"/>
      <c r="BX2380" s="1148"/>
      <c r="BY2380" s="1057"/>
      <c r="BZ2380" s="1057"/>
      <c r="CA2380" s="1057"/>
      <c r="CB2380" s="1032"/>
    </row>
    <row r="2381" spans="2:80">
      <c r="B2381" s="1033" t="s">
        <v>7773</v>
      </c>
      <c r="C2381" s="839" t="s">
        <v>7454</v>
      </c>
      <c r="D2381" s="1033" t="s">
        <v>7774</v>
      </c>
      <c r="E2381" s="1033" t="s">
        <v>7774</v>
      </c>
      <c r="F2381" s="1034">
        <v>46077</v>
      </c>
      <c r="G2381" s="1033" t="s">
        <v>7775</v>
      </c>
      <c r="H2381" s="1063" t="s">
        <v>3457</v>
      </c>
      <c r="I2381" s="1063"/>
      <c r="J2381" s="1034"/>
      <c r="K2381" s="1034"/>
      <c r="L2381" s="1036" t="s">
        <v>7456</v>
      </c>
      <c r="M2381" s="1037" t="s">
        <v>107</v>
      </c>
      <c r="N2381" s="1034"/>
      <c r="O2381" s="1064"/>
      <c r="P2381" s="1035"/>
      <c r="Q2381" s="1036"/>
      <c r="R2381" s="1038" t="s">
        <v>7862</v>
      </c>
      <c r="S2381" s="1131" t="s">
        <v>7863</v>
      </c>
      <c r="T2381" s="1036" t="s">
        <v>7864</v>
      </c>
      <c r="U2381" s="1066">
        <v>1</v>
      </c>
      <c r="V2381" s="1035" t="s">
        <v>3</v>
      </c>
      <c r="W2381" s="1039">
        <v>3491.0057471264363</v>
      </c>
      <c r="X2381" s="1040">
        <f t="shared" si="498"/>
        <v>3491.0057471264363</v>
      </c>
      <c r="Y2381" s="1045" t="s">
        <v>7460</v>
      </c>
      <c r="Z2381" s="1041">
        <v>2429.7399999999998</v>
      </c>
      <c r="AA2381" s="1041"/>
      <c r="AB2381" s="1041">
        <f t="shared" si="496"/>
        <v>2429.7399999999998</v>
      </c>
      <c r="AC2381" s="1042">
        <f t="shared" si="497"/>
        <v>2429.7399999999998</v>
      </c>
      <c r="AD2381" s="1043">
        <v>32000</v>
      </c>
      <c r="AE2381" s="1044"/>
      <c r="AF2381" s="1045"/>
      <c r="AG2381" s="1046"/>
      <c r="AH2381" s="1045"/>
      <c r="AI2381" s="1047"/>
      <c r="AJ2381" s="1038"/>
      <c r="AK2381" s="1048"/>
      <c r="AL2381" s="1036"/>
      <c r="AM2381" s="1036"/>
      <c r="AN2381" s="1037"/>
      <c r="AO2381" s="1037"/>
      <c r="AP2381" s="1034"/>
      <c r="AQ2381" s="1035"/>
      <c r="AR2381" s="1034"/>
      <c r="AS2381" s="1035"/>
      <c r="AT2381" s="1035"/>
      <c r="AU2381" s="1035"/>
      <c r="AV2381" s="1038"/>
      <c r="AW2381" s="1050"/>
      <c r="AX2381" s="1051"/>
      <c r="AY2381" s="1036"/>
      <c r="AZ2381" s="1035"/>
      <c r="BA2381" s="1035"/>
      <c r="BB2381" s="1052"/>
      <c r="BC2381" s="1053"/>
      <c r="BD2381" s="1049"/>
      <c r="BE2381" s="1054"/>
      <c r="BF2381" s="1055"/>
      <c r="BG2381" s="1055"/>
      <c r="BH2381" s="1055"/>
      <c r="BI2381" s="1055"/>
      <c r="BJ2381" s="1055"/>
      <c r="BK2381" s="1055"/>
      <c r="BL2381" s="1055"/>
      <c r="BM2381" s="1055"/>
      <c r="BN2381" s="1055"/>
      <c r="BO2381" s="1056"/>
      <c r="BP2381" s="1056"/>
      <c r="BQ2381" s="1056"/>
      <c r="BR2381" s="1056"/>
      <c r="BS2381" s="1056"/>
      <c r="BT2381" s="1056"/>
      <c r="BU2381" s="1056"/>
      <c r="BV2381" s="1057"/>
      <c r="BW2381" s="1057"/>
      <c r="BX2381" s="1148"/>
      <c r="BY2381" s="1057"/>
      <c r="BZ2381" s="1057"/>
      <c r="CA2381" s="1057"/>
      <c r="CB2381" s="1032"/>
    </row>
    <row r="2382" spans="2:80">
      <c r="B2382" s="1033" t="s">
        <v>7773</v>
      </c>
      <c r="C2382" s="839" t="s">
        <v>7454</v>
      </c>
      <c r="D2382" s="1033" t="s">
        <v>7774</v>
      </c>
      <c r="E2382" s="1033" t="s">
        <v>7774</v>
      </c>
      <c r="F2382" s="1034">
        <v>46077</v>
      </c>
      <c r="G2382" s="1033" t="s">
        <v>7775</v>
      </c>
      <c r="H2382" s="1063" t="s">
        <v>3457</v>
      </c>
      <c r="I2382" s="1063"/>
      <c r="J2382" s="1034"/>
      <c r="K2382" s="1034"/>
      <c r="L2382" s="1036" t="s">
        <v>7456</v>
      </c>
      <c r="M2382" s="1037" t="s">
        <v>107</v>
      </c>
      <c r="N2382" s="1034"/>
      <c r="O2382" s="1064"/>
      <c r="P2382" s="1035"/>
      <c r="Q2382" s="1036"/>
      <c r="R2382" s="1038" t="s">
        <v>7865</v>
      </c>
      <c r="S2382" s="1131" t="s">
        <v>7866</v>
      </c>
      <c r="T2382" s="1036" t="s">
        <v>7867</v>
      </c>
      <c r="U2382" s="1066">
        <v>1</v>
      </c>
      <c r="V2382" s="1035" t="s">
        <v>3</v>
      </c>
      <c r="W2382" s="1039">
        <v>938.99425287356303</v>
      </c>
      <c r="X2382" s="1040">
        <f t="shared" si="498"/>
        <v>938.99425287356303</v>
      </c>
      <c r="Y2382" s="1045" t="s">
        <v>7460</v>
      </c>
      <c r="Z2382" s="1041">
        <v>653.54</v>
      </c>
      <c r="AA2382" s="1041"/>
      <c r="AB2382" s="1041">
        <f t="shared" si="496"/>
        <v>653.54</v>
      </c>
      <c r="AC2382" s="1042">
        <f t="shared" si="497"/>
        <v>653.54</v>
      </c>
      <c r="AD2382" s="1043">
        <v>32000</v>
      </c>
      <c r="AE2382" s="1044"/>
      <c r="AF2382" s="1045"/>
      <c r="AG2382" s="1046"/>
      <c r="AH2382" s="1045"/>
      <c r="AI2382" s="1047"/>
      <c r="AJ2382" s="1038"/>
      <c r="AK2382" s="1048"/>
      <c r="AL2382" s="1036"/>
      <c r="AM2382" s="1036"/>
      <c r="AN2382" s="1037"/>
      <c r="AO2382" s="1037"/>
      <c r="AP2382" s="1034"/>
      <c r="AQ2382" s="1035"/>
      <c r="AR2382" s="1034"/>
      <c r="AS2382" s="1035"/>
      <c r="AT2382" s="1035"/>
      <c r="AU2382" s="1035"/>
      <c r="AV2382" s="1038"/>
      <c r="AW2382" s="1050"/>
      <c r="AX2382" s="1051"/>
      <c r="AY2382" s="1036"/>
      <c r="AZ2382" s="1035"/>
      <c r="BA2382" s="1035"/>
      <c r="BB2382" s="1052"/>
      <c r="BC2382" s="1053"/>
      <c r="BD2382" s="1049"/>
      <c r="BE2382" s="1054"/>
      <c r="BF2382" s="1055"/>
      <c r="BG2382" s="1055"/>
      <c r="BH2382" s="1055"/>
      <c r="BI2382" s="1055"/>
      <c r="BJ2382" s="1055"/>
      <c r="BK2382" s="1055"/>
      <c r="BL2382" s="1055"/>
      <c r="BM2382" s="1055"/>
      <c r="BN2382" s="1055"/>
      <c r="BO2382" s="1056"/>
      <c r="BP2382" s="1056"/>
      <c r="BQ2382" s="1056"/>
      <c r="BR2382" s="1056"/>
      <c r="BS2382" s="1056"/>
      <c r="BT2382" s="1056"/>
      <c r="BU2382" s="1056"/>
      <c r="BV2382" s="1057"/>
      <c r="BW2382" s="1057"/>
      <c r="BX2382" s="1148"/>
      <c r="BY2382" s="1057"/>
      <c r="BZ2382" s="1057"/>
      <c r="CA2382" s="1057"/>
      <c r="CB2382" s="1032"/>
    </row>
    <row r="2383" spans="2:80">
      <c r="B2383" s="1033"/>
      <c r="C2383" s="1033"/>
      <c r="D2383" s="1033"/>
      <c r="E2383" s="1033"/>
      <c r="F2383" s="1034"/>
      <c r="G2383" s="1033"/>
      <c r="H2383" s="1063"/>
      <c r="I2383" s="1063"/>
      <c r="J2383" s="1034"/>
      <c r="K2383" s="1034"/>
      <c r="L2383" s="1036"/>
      <c r="M2383" s="1037"/>
      <c r="N2383" s="1034"/>
      <c r="O2383" s="1064"/>
      <c r="P2383" s="1035"/>
      <c r="Q2383" s="1036"/>
      <c r="R2383" s="1038"/>
      <c r="S2383" s="1131"/>
      <c r="T2383" s="1036"/>
      <c r="U2383" s="1066"/>
      <c r="V2383" s="1035"/>
      <c r="W2383" s="1039"/>
      <c r="X2383" s="1040"/>
      <c r="Y2383" s="1045"/>
      <c r="Z2383" s="1041"/>
      <c r="AA2383" s="1041"/>
      <c r="AB2383" s="1041"/>
      <c r="AC2383" s="1042"/>
      <c r="AD2383" s="1043"/>
      <c r="AE2383" s="1044"/>
      <c r="AF2383" s="1045"/>
      <c r="AG2383" s="1046"/>
      <c r="AH2383" s="1045"/>
      <c r="AI2383" s="1047"/>
      <c r="AJ2383" s="1038"/>
      <c r="AK2383" s="1048"/>
      <c r="AL2383" s="1036"/>
      <c r="AM2383" s="1036"/>
      <c r="AN2383" s="1037"/>
      <c r="AO2383" s="1037"/>
      <c r="AP2383" s="1034"/>
      <c r="AQ2383" s="1035"/>
      <c r="AR2383" s="1034"/>
      <c r="AS2383" s="1035"/>
      <c r="AT2383" s="1035"/>
      <c r="AU2383" s="1035"/>
      <c r="AV2383" s="1038"/>
      <c r="AW2383" s="1050"/>
      <c r="AX2383" s="1051"/>
      <c r="AY2383" s="1036"/>
      <c r="AZ2383" s="1035"/>
      <c r="BA2383" s="1035"/>
      <c r="BB2383" s="1052"/>
      <c r="BC2383" s="1053"/>
      <c r="BD2383" s="1049"/>
      <c r="BE2383" s="1054"/>
      <c r="BF2383" s="1055"/>
      <c r="BG2383" s="1055"/>
      <c r="BH2383" s="1055"/>
      <c r="BI2383" s="1055"/>
      <c r="BJ2383" s="1055"/>
      <c r="BK2383" s="1055"/>
      <c r="BL2383" s="1055"/>
      <c r="BM2383" s="1055"/>
      <c r="BN2383" s="1055"/>
      <c r="BO2383" s="1056"/>
      <c r="BP2383" s="1056"/>
      <c r="BQ2383" s="1056"/>
      <c r="BR2383" s="1056"/>
      <c r="BS2383" s="1056"/>
      <c r="BT2383" s="1056"/>
      <c r="BU2383" s="1056"/>
      <c r="BV2383" s="1057"/>
      <c r="BW2383" s="1057"/>
      <c r="BX2383" s="1148"/>
      <c r="BY2383" s="1057"/>
      <c r="BZ2383" s="1057"/>
      <c r="CA2383" s="1057"/>
      <c r="CB2383" s="1032"/>
    </row>
    <row r="2384" spans="2:80">
      <c r="B2384" s="1033" t="s">
        <v>7868</v>
      </c>
      <c r="C2384" s="839" t="s">
        <v>7454</v>
      </c>
      <c r="D2384" s="1033" t="s">
        <v>7455</v>
      </c>
      <c r="E2384" s="1033" t="s">
        <v>7455</v>
      </c>
      <c r="F2384" s="1034">
        <v>46056</v>
      </c>
      <c r="G2384" s="1033" t="s">
        <v>7454</v>
      </c>
      <c r="H2384" s="1063" t="s">
        <v>3457</v>
      </c>
      <c r="I2384" s="1063"/>
      <c r="J2384" s="1034"/>
      <c r="K2384" s="1034"/>
      <c r="L2384" s="1036" t="s">
        <v>7456</v>
      </c>
      <c r="M2384" s="1037" t="s">
        <v>107</v>
      </c>
      <c r="N2384" s="1034"/>
      <c r="O2384" s="1064"/>
      <c r="P2384" s="1035"/>
      <c r="Q2384" s="1036"/>
      <c r="R2384" s="1038" t="s">
        <v>7869</v>
      </c>
      <c r="S2384" s="1131" t="s">
        <v>7870</v>
      </c>
      <c r="T2384" s="1036" t="s">
        <v>7871</v>
      </c>
      <c r="U2384" s="1066">
        <v>1</v>
      </c>
      <c r="V2384" s="1035" t="s">
        <v>3</v>
      </c>
      <c r="W2384" s="1039">
        <v>19783.074712643676</v>
      </c>
      <c r="X2384" s="1040">
        <f t="shared" ref="X2384:X2390" si="499">W2384*U2384</f>
        <v>19783.074712643676</v>
      </c>
      <c r="Y2384" s="1045" t="s">
        <v>7460</v>
      </c>
      <c r="Z2384" s="1041">
        <v>13769.02</v>
      </c>
      <c r="AA2384" s="1041"/>
      <c r="AB2384" s="1041">
        <f t="shared" ref="AB2384:AB2390" si="500">IF(AA2384="F.O.C", 0, Z2384*U2384)</f>
        <v>13769.02</v>
      </c>
      <c r="AC2384" s="1042">
        <f t="shared" ref="AC2384:AC2390" si="501">Z2384*U2384</f>
        <v>13769.02</v>
      </c>
      <c r="AD2384" s="1043">
        <v>32000</v>
      </c>
      <c r="AE2384" s="1044"/>
      <c r="AF2384" s="1045"/>
      <c r="AG2384" s="1046"/>
      <c r="AH2384" s="1045"/>
      <c r="AI2384" s="1047"/>
      <c r="AJ2384" s="1038"/>
      <c r="AK2384" s="1048"/>
      <c r="AL2384" s="1036"/>
      <c r="AM2384" s="1036"/>
      <c r="AN2384" s="1037"/>
      <c r="AO2384" s="1037"/>
      <c r="AP2384" s="1034"/>
      <c r="AQ2384" s="1035"/>
      <c r="AR2384" s="1034"/>
      <c r="AS2384" s="1035"/>
      <c r="AT2384" s="1035"/>
      <c r="AU2384" s="1035"/>
      <c r="AV2384" s="1038"/>
      <c r="AW2384" s="1050"/>
      <c r="AX2384" s="1051"/>
      <c r="AY2384" s="1036"/>
      <c r="AZ2384" s="1035"/>
      <c r="BA2384" s="1035"/>
      <c r="BB2384" s="1052"/>
      <c r="BC2384" s="1053"/>
      <c r="BD2384" s="1049"/>
      <c r="BE2384" s="1054"/>
      <c r="BF2384" s="1055"/>
      <c r="BG2384" s="1055"/>
      <c r="BH2384" s="1055"/>
      <c r="BI2384" s="1055"/>
      <c r="BJ2384" s="1055"/>
      <c r="BK2384" s="1055"/>
      <c r="BL2384" s="1055"/>
      <c r="BM2384" s="1055"/>
      <c r="BN2384" s="1055"/>
      <c r="BO2384" s="1056"/>
      <c r="BP2384" s="1056"/>
      <c r="BQ2384" s="1056"/>
      <c r="BR2384" s="1056"/>
      <c r="BS2384" s="1056"/>
      <c r="BT2384" s="1056"/>
      <c r="BU2384" s="1056"/>
      <c r="BV2384" s="1057"/>
      <c r="BW2384" s="1057"/>
      <c r="BX2384" s="1148"/>
      <c r="BY2384" s="1057"/>
      <c r="BZ2384" s="1057"/>
      <c r="CA2384" s="1057"/>
      <c r="CB2384" s="1032"/>
    </row>
    <row r="2385" spans="2:80">
      <c r="B2385" s="1033" t="s">
        <v>7868</v>
      </c>
      <c r="C2385" s="839" t="s">
        <v>7454</v>
      </c>
      <c r="D2385" s="1033" t="s">
        <v>7455</v>
      </c>
      <c r="E2385" s="1033" t="s">
        <v>7455</v>
      </c>
      <c r="F2385" s="1034">
        <v>46056</v>
      </c>
      <c r="G2385" s="1033" t="s">
        <v>7454</v>
      </c>
      <c r="H2385" s="1063" t="s">
        <v>3457</v>
      </c>
      <c r="I2385" s="1063"/>
      <c r="J2385" s="1034"/>
      <c r="K2385" s="1034"/>
      <c r="L2385" s="1036" t="s">
        <v>7456</v>
      </c>
      <c r="M2385" s="1037" t="s">
        <v>107</v>
      </c>
      <c r="N2385" s="1034"/>
      <c r="O2385" s="1064"/>
      <c r="P2385" s="1035"/>
      <c r="Q2385" s="1036"/>
      <c r="R2385" s="1038" t="s">
        <v>7668</v>
      </c>
      <c r="S2385" s="1131" t="s">
        <v>7872</v>
      </c>
      <c r="T2385" s="1036" t="s">
        <v>7873</v>
      </c>
      <c r="U2385" s="1066">
        <v>1</v>
      </c>
      <c r="V2385" s="1035" t="s">
        <v>3</v>
      </c>
      <c r="W2385" s="1039">
        <v>19118.9511494252</v>
      </c>
      <c r="X2385" s="1040">
        <f t="shared" si="499"/>
        <v>19118.9511494252</v>
      </c>
      <c r="Y2385" s="1045" t="s">
        <v>7460</v>
      </c>
      <c r="Z2385" s="1041">
        <v>13306.79</v>
      </c>
      <c r="AA2385" s="1041"/>
      <c r="AB2385" s="1041">
        <f t="shared" si="500"/>
        <v>13306.79</v>
      </c>
      <c r="AC2385" s="1042">
        <f t="shared" si="501"/>
        <v>13306.79</v>
      </c>
      <c r="AD2385" s="1043">
        <v>32000</v>
      </c>
      <c r="AE2385" s="1044"/>
      <c r="AF2385" s="1045"/>
      <c r="AG2385" s="1046"/>
      <c r="AH2385" s="1045"/>
      <c r="AI2385" s="1047"/>
      <c r="AJ2385" s="1038"/>
      <c r="AK2385" s="1048"/>
      <c r="AL2385" s="1036"/>
      <c r="AM2385" s="1036"/>
      <c r="AN2385" s="1037"/>
      <c r="AO2385" s="1037"/>
      <c r="AP2385" s="1034"/>
      <c r="AQ2385" s="1035"/>
      <c r="AR2385" s="1034"/>
      <c r="AS2385" s="1035"/>
      <c r="AT2385" s="1035"/>
      <c r="AU2385" s="1035"/>
      <c r="AV2385" s="1038"/>
      <c r="AW2385" s="1050"/>
      <c r="AX2385" s="1051"/>
      <c r="AY2385" s="1036"/>
      <c r="AZ2385" s="1035"/>
      <c r="BA2385" s="1035"/>
      <c r="BB2385" s="1052"/>
      <c r="BC2385" s="1053"/>
      <c r="BD2385" s="1049"/>
      <c r="BE2385" s="1054"/>
      <c r="BF2385" s="1055"/>
      <c r="BG2385" s="1055"/>
      <c r="BH2385" s="1055"/>
      <c r="BI2385" s="1055"/>
      <c r="BJ2385" s="1055"/>
      <c r="BK2385" s="1055"/>
      <c r="BL2385" s="1055"/>
      <c r="BM2385" s="1055"/>
      <c r="BN2385" s="1055"/>
      <c r="BO2385" s="1056"/>
      <c r="BP2385" s="1056"/>
      <c r="BQ2385" s="1056"/>
      <c r="BR2385" s="1056"/>
      <c r="BS2385" s="1056"/>
      <c r="BT2385" s="1056"/>
      <c r="BU2385" s="1056"/>
      <c r="BV2385" s="1057"/>
      <c r="BW2385" s="1057"/>
      <c r="BX2385" s="1148"/>
      <c r="BY2385" s="1057"/>
      <c r="BZ2385" s="1057"/>
      <c r="CA2385" s="1057"/>
      <c r="CB2385" s="1032"/>
    </row>
    <row r="2386" spans="2:80">
      <c r="B2386" s="1033" t="s">
        <v>7868</v>
      </c>
      <c r="C2386" s="839" t="s">
        <v>7454</v>
      </c>
      <c r="D2386" s="1033" t="s">
        <v>7455</v>
      </c>
      <c r="E2386" s="1033" t="s">
        <v>7455</v>
      </c>
      <c r="F2386" s="1034">
        <v>46056</v>
      </c>
      <c r="G2386" s="1033" t="s">
        <v>7454</v>
      </c>
      <c r="H2386" s="1063" t="s">
        <v>3457</v>
      </c>
      <c r="I2386" s="1063"/>
      <c r="J2386" s="1034"/>
      <c r="K2386" s="1034"/>
      <c r="L2386" s="1036" t="s">
        <v>7456</v>
      </c>
      <c r="M2386" s="1037" t="s">
        <v>107</v>
      </c>
      <c r="N2386" s="1034"/>
      <c r="O2386" s="1064"/>
      <c r="P2386" s="1035"/>
      <c r="Q2386" s="1036"/>
      <c r="R2386" s="1038" t="s">
        <v>7874</v>
      </c>
      <c r="S2386" s="1131" t="s">
        <v>7875</v>
      </c>
      <c r="T2386" s="1036" t="s">
        <v>7876</v>
      </c>
      <c r="U2386" s="1066">
        <v>1</v>
      </c>
      <c r="V2386" s="1035" t="s">
        <v>3</v>
      </c>
      <c r="W2386" s="1039">
        <v>2619.9999999999995</v>
      </c>
      <c r="X2386" s="1040">
        <f t="shared" si="499"/>
        <v>2619.9999999999995</v>
      </c>
      <c r="Y2386" s="1045" t="s">
        <v>7460</v>
      </c>
      <c r="Z2386" s="1041">
        <v>1823.52</v>
      </c>
      <c r="AA2386" s="1041"/>
      <c r="AB2386" s="1041">
        <f t="shared" si="500"/>
        <v>1823.52</v>
      </c>
      <c r="AC2386" s="1042">
        <f t="shared" si="501"/>
        <v>1823.52</v>
      </c>
      <c r="AD2386" s="1043">
        <v>32000</v>
      </c>
      <c r="AE2386" s="1044"/>
      <c r="AF2386" s="1045"/>
      <c r="AG2386" s="1046"/>
      <c r="AH2386" s="1045"/>
      <c r="AI2386" s="1047"/>
      <c r="AJ2386" s="1038"/>
      <c r="AK2386" s="1048"/>
      <c r="AL2386" s="1036"/>
      <c r="AM2386" s="1036"/>
      <c r="AN2386" s="1037"/>
      <c r="AO2386" s="1037"/>
      <c r="AP2386" s="1034"/>
      <c r="AQ2386" s="1035"/>
      <c r="AR2386" s="1034"/>
      <c r="AS2386" s="1035"/>
      <c r="AT2386" s="1035"/>
      <c r="AU2386" s="1035"/>
      <c r="AV2386" s="1038"/>
      <c r="AW2386" s="1050"/>
      <c r="AX2386" s="1051"/>
      <c r="AY2386" s="1036"/>
      <c r="AZ2386" s="1035"/>
      <c r="BA2386" s="1035"/>
      <c r="BB2386" s="1052"/>
      <c r="BC2386" s="1053"/>
      <c r="BD2386" s="1049"/>
      <c r="BE2386" s="1054"/>
      <c r="BF2386" s="1055"/>
      <c r="BG2386" s="1055"/>
      <c r="BH2386" s="1055"/>
      <c r="BI2386" s="1055"/>
      <c r="BJ2386" s="1055"/>
      <c r="BK2386" s="1055"/>
      <c r="BL2386" s="1055"/>
      <c r="BM2386" s="1055"/>
      <c r="BN2386" s="1055"/>
      <c r="BO2386" s="1056"/>
      <c r="BP2386" s="1056"/>
      <c r="BQ2386" s="1056"/>
      <c r="BR2386" s="1056"/>
      <c r="BS2386" s="1056"/>
      <c r="BT2386" s="1056"/>
      <c r="BU2386" s="1056"/>
      <c r="BV2386" s="1057"/>
      <c r="BW2386" s="1057"/>
      <c r="BX2386" s="1148"/>
      <c r="BY2386" s="1057"/>
      <c r="BZ2386" s="1057"/>
      <c r="CA2386" s="1057"/>
      <c r="CB2386" s="1032"/>
    </row>
    <row r="2387" spans="2:80">
      <c r="B2387" s="1033" t="s">
        <v>7868</v>
      </c>
      <c r="C2387" s="839" t="s">
        <v>7454</v>
      </c>
      <c r="D2387" s="1033" t="s">
        <v>7455</v>
      </c>
      <c r="E2387" s="1033" t="s">
        <v>7455</v>
      </c>
      <c r="F2387" s="1034">
        <v>46056</v>
      </c>
      <c r="G2387" s="1033" t="s">
        <v>7454</v>
      </c>
      <c r="H2387" s="1063" t="s">
        <v>3457</v>
      </c>
      <c r="I2387" s="1063"/>
      <c r="J2387" s="1034"/>
      <c r="K2387" s="1034"/>
      <c r="L2387" s="1036" t="s">
        <v>7456</v>
      </c>
      <c r="M2387" s="1037" t="s">
        <v>107</v>
      </c>
      <c r="N2387" s="1034"/>
      <c r="O2387" s="1064"/>
      <c r="P2387" s="1035"/>
      <c r="Q2387" s="1036"/>
      <c r="R2387" s="1038" t="s">
        <v>7877</v>
      </c>
      <c r="S2387" s="1131" t="s">
        <v>7878</v>
      </c>
      <c r="T2387" s="1036" t="s">
        <v>7879</v>
      </c>
      <c r="U2387" s="1066">
        <v>1</v>
      </c>
      <c r="V2387" s="1035" t="s">
        <v>3</v>
      </c>
      <c r="W2387" s="1039">
        <v>1663.9942528735633</v>
      </c>
      <c r="X2387" s="1040">
        <f t="shared" si="499"/>
        <v>1663.9942528735633</v>
      </c>
      <c r="Y2387" s="1045" t="s">
        <v>7460</v>
      </c>
      <c r="Z2387" s="1041">
        <v>1158.1400000000001</v>
      </c>
      <c r="AA2387" s="1041"/>
      <c r="AB2387" s="1041">
        <f t="shared" si="500"/>
        <v>1158.1400000000001</v>
      </c>
      <c r="AC2387" s="1042">
        <f t="shared" si="501"/>
        <v>1158.1400000000001</v>
      </c>
      <c r="AD2387" s="1043">
        <v>32000</v>
      </c>
      <c r="AE2387" s="1044"/>
      <c r="AF2387" s="1045"/>
      <c r="AG2387" s="1046"/>
      <c r="AH2387" s="1045"/>
      <c r="AI2387" s="1047"/>
      <c r="AJ2387" s="1038"/>
      <c r="AK2387" s="1048"/>
      <c r="AL2387" s="1036"/>
      <c r="AM2387" s="1036"/>
      <c r="AN2387" s="1037"/>
      <c r="AO2387" s="1037"/>
      <c r="AP2387" s="1034"/>
      <c r="AQ2387" s="1035"/>
      <c r="AR2387" s="1034"/>
      <c r="AS2387" s="1035"/>
      <c r="AT2387" s="1035"/>
      <c r="AU2387" s="1035"/>
      <c r="AV2387" s="1038"/>
      <c r="AW2387" s="1050"/>
      <c r="AX2387" s="1051"/>
      <c r="AY2387" s="1036"/>
      <c r="AZ2387" s="1035"/>
      <c r="BA2387" s="1035"/>
      <c r="BB2387" s="1052"/>
      <c r="BC2387" s="1053"/>
      <c r="BD2387" s="1049"/>
      <c r="BE2387" s="1054"/>
      <c r="BF2387" s="1055"/>
      <c r="BG2387" s="1055"/>
      <c r="BH2387" s="1055"/>
      <c r="BI2387" s="1055"/>
      <c r="BJ2387" s="1055"/>
      <c r="BK2387" s="1055"/>
      <c r="BL2387" s="1055"/>
      <c r="BM2387" s="1055"/>
      <c r="BN2387" s="1055"/>
      <c r="BO2387" s="1056"/>
      <c r="BP2387" s="1056"/>
      <c r="BQ2387" s="1056"/>
      <c r="BR2387" s="1056"/>
      <c r="BS2387" s="1056"/>
      <c r="BT2387" s="1056"/>
      <c r="BU2387" s="1056"/>
      <c r="BV2387" s="1057"/>
      <c r="BW2387" s="1057"/>
      <c r="BX2387" s="1148"/>
      <c r="BY2387" s="1057"/>
      <c r="BZ2387" s="1057"/>
      <c r="CA2387" s="1057"/>
      <c r="CB2387" s="1032"/>
    </row>
    <row r="2388" spans="2:80">
      <c r="B2388" s="1033" t="s">
        <v>7868</v>
      </c>
      <c r="C2388" s="839" t="s">
        <v>7454</v>
      </c>
      <c r="D2388" s="1033" t="s">
        <v>7455</v>
      </c>
      <c r="E2388" s="1033" t="s">
        <v>7455</v>
      </c>
      <c r="F2388" s="1034">
        <v>46056</v>
      </c>
      <c r="G2388" s="1033" t="s">
        <v>7454</v>
      </c>
      <c r="H2388" s="1063" t="s">
        <v>3457</v>
      </c>
      <c r="I2388" s="1063"/>
      <c r="J2388" s="1034"/>
      <c r="K2388" s="1034"/>
      <c r="L2388" s="1036" t="s">
        <v>7456</v>
      </c>
      <c r="M2388" s="1037" t="s">
        <v>107</v>
      </c>
      <c r="N2388" s="1034"/>
      <c r="O2388" s="1064"/>
      <c r="P2388" s="1035"/>
      <c r="Q2388" s="1036"/>
      <c r="R2388" s="1038" t="s">
        <v>7880</v>
      </c>
      <c r="S2388" s="1131" t="s">
        <v>7881</v>
      </c>
      <c r="T2388" s="1036" t="s">
        <v>7882</v>
      </c>
      <c r="U2388" s="1066">
        <v>1</v>
      </c>
      <c r="V2388" s="1035" t="s">
        <v>3</v>
      </c>
      <c r="W2388" s="1039">
        <v>1821.0057471264367</v>
      </c>
      <c r="X2388" s="1040">
        <f t="shared" si="499"/>
        <v>1821.0057471264367</v>
      </c>
      <c r="Y2388" s="1045" t="s">
        <v>7460</v>
      </c>
      <c r="Z2388" s="1041">
        <v>1267.42</v>
      </c>
      <c r="AA2388" s="1041"/>
      <c r="AB2388" s="1041">
        <f t="shared" si="500"/>
        <v>1267.42</v>
      </c>
      <c r="AC2388" s="1042">
        <f t="shared" si="501"/>
        <v>1267.42</v>
      </c>
      <c r="AD2388" s="1043">
        <v>32000</v>
      </c>
      <c r="AE2388" s="1044"/>
      <c r="AF2388" s="1045"/>
      <c r="AG2388" s="1046"/>
      <c r="AH2388" s="1045"/>
      <c r="AI2388" s="1047"/>
      <c r="AJ2388" s="1038"/>
      <c r="AK2388" s="1048"/>
      <c r="AL2388" s="1036"/>
      <c r="AM2388" s="1036"/>
      <c r="AN2388" s="1037"/>
      <c r="AO2388" s="1037"/>
      <c r="AP2388" s="1034"/>
      <c r="AQ2388" s="1035"/>
      <c r="AR2388" s="1034"/>
      <c r="AS2388" s="1035"/>
      <c r="AT2388" s="1035"/>
      <c r="AU2388" s="1035"/>
      <c r="AV2388" s="1038"/>
      <c r="AW2388" s="1050"/>
      <c r="AX2388" s="1051"/>
      <c r="AY2388" s="1036"/>
      <c r="AZ2388" s="1035"/>
      <c r="BA2388" s="1035"/>
      <c r="BB2388" s="1052"/>
      <c r="BC2388" s="1053"/>
      <c r="BD2388" s="1049"/>
      <c r="BE2388" s="1054"/>
      <c r="BF2388" s="1055"/>
      <c r="BG2388" s="1055"/>
      <c r="BH2388" s="1055"/>
      <c r="BI2388" s="1055"/>
      <c r="BJ2388" s="1055"/>
      <c r="BK2388" s="1055"/>
      <c r="BL2388" s="1055"/>
      <c r="BM2388" s="1055"/>
      <c r="BN2388" s="1055"/>
      <c r="BO2388" s="1056"/>
      <c r="BP2388" s="1056"/>
      <c r="BQ2388" s="1056"/>
      <c r="BR2388" s="1056"/>
      <c r="BS2388" s="1056"/>
      <c r="BT2388" s="1056"/>
      <c r="BU2388" s="1056"/>
      <c r="BV2388" s="1057"/>
      <c r="BW2388" s="1057"/>
      <c r="BX2388" s="1148"/>
      <c r="BY2388" s="1057"/>
      <c r="BZ2388" s="1057"/>
      <c r="CA2388" s="1057"/>
      <c r="CB2388" s="1032"/>
    </row>
    <row r="2389" spans="2:80">
      <c r="B2389" s="1033" t="s">
        <v>7868</v>
      </c>
      <c r="C2389" s="839" t="s">
        <v>7454</v>
      </c>
      <c r="D2389" s="1033" t="s">
        <v>7455</v>
      </c>
      <c r="E2389" s="1033" t="s">
        <v>7455</v>
      </c>
      <c r="F2389" s="1034">
        <v>46056</v>
      </c>
      <c r="G2389" s="1033" t="s">
        <v>7454</v>
      </c>
      <c r="H2389" s="1063" t="s">
        <v>3457</v>
      </c>
      <c r="I2389" s="1063"/>
      <c r="J2389" s="1034"/>
      <c r="K2389" s="1034"/>
      <c r="L2389" s="1036" t="s">
        <v>7456</v>
      </c>
      <c r="M2389" s="1037" t="s">
        <v>107</v>
      </c>
      <c r="N2389" s="1034"/>
      <c r="O2389" s="1064"/>
      <c r="P2389" s="1035"/>
      <c r="Q2389" s="1036"/>
      <c r="R2389" s="1038" t="s">
        <v>7883</v>
      </c>
      <c r="S2389" s="1131" t="s">
        <v>7884</v>
      </c>
      <c r="T2389" s="1036" t="s">
        <v>7885</v>
      </c>
      <c r="U2389" s="1066">
        <v>1</v>
      </c>
      <c r="V2389" s="1035" t="s">
        <v>3</v>
      </c>
      <c r="W2389" s="1039">
        <v>353.9942528735632</v>
      </c>
      <c r="X2389" s="1040">
        <f t="shared" si="499"/>
        <v>353.9942528735632</v>
      </c>
      <c r="Y2389" s="1045" t="s">
        <v>7460</v>
      </c>
      <c r="Z2389" s="1041">
        <v>246.38</v>
      </c>
      <c r="AA2389" s="1041"/>
      <c r="AB2389" s="1041">
        <f t="shared" si="500"/>
        <v>246.38</v>
      </c>
      <c r="AC2389" s="1042">
        <f t="shared" si="501"/>
        <v>246.38</v>
      </c>
      <c r="AD2389" s="1043">
        <v>32000</v>
      </c>
      <c r="AE2389" s="1044"/>
      <c r="AF2389" s="1045"/>
      <c r="AG2389" s="1046"/>
      <c r="AH2389" s="1045"/>
      <c r="AI2389" s="1047"/>
      <c r="AJ2389" s="1038"/>
      <c r="AK2389" s="1048"/>
      <c r="AL2389" s="1036"/>
      <c r="AM2389" s="1036"/>
      <c r="AN2389" s="1037"/>
      <c r="AO2389" s="1037"/>
      <c r="AP2389" s="1034"/>
      <c r="AQ2389" s="1035"/>
      <c r="AR2389" s="1034"/>
      <c r="AS2389" s="1035"/>
      <c r="AT2389" s="1035"/>
      <c r="AU2389" s="1035"/>
      <c r="AV2389" s="1038"/>
      <c r="AW2389" s="1050"/>
      <c r="AX2389" s="1051"/>
      <c r="AY2389" s="1036"/>
      <c r="AZ2389" s="1035"/>
      <c r="BA2389" s="1035"/>
      <c r="BB2389" s="1052"/>
      <c r="BC2389" s="1053"/>
      <c r="BD2389" s="1049"/>
      <c r="BE2389" s="1054"/>
      <c r="BF2389" s="1055"/>
      <c r="BG2389" s="1055"/>
      <c r="BH2389" s="1055"/>
      <c r="BI2389" s="1055"/>
      <c r="BJ2389" s="1055"/>
      <c r="BK2389" s="1055"/>
      <c r="BL2389" s="1055"/>
      <c r="BM2389" s="1055"/>
      <c r="BN2389" s="1055"/>
      <c r="BO2389" s="1056"/>
      <c r="BP2389" s="1056"/>
      <c r="BQ2389" s="1056"/>
      <c r="BR2389" s="1056"/>
      <c r="BS2389" s="1056"/>
      <c r="BT2389" s="1056"/>
      <c r="BU2389" s="1056"/>
      <c r="BV2389" s="1057"/>
      <c r="BW2389" s="1057"/>
      <c r="BX2389" s="1148"/>
      <c r="BY2389" s="1057"/>
      <c r="BZ2389" s="1057"/>
      <c r="CA2389" s="1057"/>
      <c r="CB2389" s="1032"/>
    </row>
    <row r="2390" spans="2:80">
      <c r="B2390" s="1033" t="s">
        <v>7868</v>
      </c>
      <c r="C2390" s="839" t="s">
        <v>7454</v>
      </c>
      <c r="D2390" s="1033" t="s">
        <v>7455</v>
      </c>
      <c r="E2390" s="1033" t="s">
        <v>7455</v>
      </c>
      <c r="F2390" s="1034">
        <v>46056</v>
      </c>
      <c r="G2390" s="1033" t="s">
        <v>7454</v>
      </c>
      <c r="H2390" s="1063" t="s">
        <v>3457</v>
      </c>
      <c r="I2390" s="1063"/>
      <c r="J2390" s="1034"/>
      <c r="K2390" s="1034"/>
      <c r="L2390" s="1036" t="s">
        <v>7456</v>
      </c>
      <c r="M2390" s="1037" t="s">
        <v>107</v>
      </c>
      <c r="N2390" s="1034"/>
      <c r="O2390" s="1064"/>
      <c r="P2390" s="1035"/>
      <c r="Q2390" s="1036"/>
      <c r="R2390" s="1038" t="s">
        <v>7886</v>
      </c>
      <c r="S2390" s="1131" t="s">
        <v>7887</v>
      </c>
      <c r="T2390" s="1036" t="s">
        <v>7888</v>
      </c>
      <c r="U2390" s="1066">
        <v>1</v>
      </c>
      <c r="V2390" s="1035" t="s">
        <v>3</v>
      </c>
      <c r="W2390" s="1039">
        <v>689</v>
      </c>
      <c r="X2390" s="1040">
        <f t="shared" si="499"/>
        <v>689</v>
      </c>
      <c r="Y2390" s="1045" t="s">
        <v>7460</v>
      </c>
      <c r="Z2390" s="1041">
        <v>479.54</v>
      </c>
      <c r="AA2390" s="1041"/>
      <c r="AB2390" s="1041">
        <f t="shared" si="500"/>
        <v>479.54</v>
      </c>
      <c r="AC2390" s="1042">
        <f t="shared" si="501"/>
        <v>479.54</v>
      </c>
      <c r="AD2390" s="1043">
        <v>32000</v>
      </c>
      <c r="AE2390" s="1044"/>
      <c r="AF2390" s="1045"/>
      <c r="AG2390" s="1046"/>
      <c r="AH2390" s="1045"/>
      <c r="AI2390" s="1047"/>
      <c r="AJ2390" s="1038"/>
      <c r="AK2390" s="1048"/>
      <c r="AL2390" s="1036"/>
      <c r="AM2390" s="1036"/>
      <c r="AN2390" s="1037"/>
      <c r="AO2390" s="1037"/>
      <c r="AP2390" s="1034"/>
      <c r="AQ2390" s="1035"/>
      <c r="AR2390" s="1034"/>
      <c r="AS2390" s="1035"/>
      <c r="AT2390" s="1035"/>
      <c r="AU2390" s="1035"/>
      <c r="AV2390" s="1038"/>
      <c r="AW2390" s="1050"/>
      <c r="AX2390" s="1051"/>
      <c r="AY2390" s="1036"/>
      <c r="AZ2390" s="1035"/>
      <c r="BA2390" s="1035"/>
      <c r="BB2390" s="1052"/>
      <c r="BC2390" s="1053"/>
      <c r="BD2390" s="1049"/>
      <c r="BE2390" s="1054"/>
      <c r="BF2390" s="1055"/>
      <c r="BG2390" s="1055"/>
      <c r="BH2390" s="1055"/>
      <c r="BI2390" s="1055"/>
      <c r="BJ2390" s="1055"/>
      <c r="BK2390" s="1055"/>
      <c r="BL2390" s="1055"/>
      <c r="BM2390" s="1055"/>
      <c r="BN2390" s="1055"/>
      <c r="BO2390" s="1056"/>
      <c r="BP2390" s="1056"/>
      <c r="BQ2390" s="1056"/>
      <c r="BR2390" s="1056"/>
      <c r="BS2390" s="1056"/>
      <c r="BT2390" s="1056"/>
      <c r="BU2390" s="1056"/>
      <c r="BV2390" s="1057"/>
      <c r="BW2390" s="1057"/>
      <c r="BX2390" s="1148"/>
      <c r="BY2390" s="1057"/>
      <c r="BZ2390" s="1057"/>
      <c r="CA2390" s="1057"/>
      <c r="CB2390" s="1032"/>
    </row>
    <row r="2391" spans="2:80">
      <c r="B2391" s="1033" t="s">
        <v>7868</v>
      </c>
      <c r="C2391" s="839" t="s">
        <v>7454</v>
      </c>
      <c r="D2391" s="1033" t="s">
        <v>7672</v>
      </c>
      <c r="E2391" s="1033" t="s">
        <v>7672</v>
      </c>
      <c r="F2391" s="1034">
        <v>46064</v>
      </c>
      <c r="G2391" s="1033" t="s">
        <v>7454</v>
      </c>
      <c r="H2391" s="1063" t="s">
        <v>3457</v>
      </c>
      <c r="I2391" s="1063"/>
      <c r="J2391" s="1034"/>
      <c r="K2391" s="1034"/>
      <c r="L2391" s="1036" t="s">
        <v>7456</v>
      </c>
      <c r="M2391" s="1037" t="s">
        <v>107</v>
      </c>
      <c r="N2391" s="1034"/>
      <c r="O2391" s="1064"/>
      <c r="P2391" s="1035"/>
      <c r="Q2391" s="1036"/>
      <c r="R2391" s="1038" t="s">
        <v>7889</v>
      </c>
      <c r="S2391" s="1131" t="s">
        <v>7890</v>
      </c>
      <c r="T2391" s="1036" t="s">
        <v>7891</v>
      </c>
      <c r="U2391" s="1066">
        <v>2</v>
      </c>
      <c r="V2391" s="1035" t="s">
        <v>3</v>
      </c>
      <c r="W2391" s="1039">
        <v>1402</v>
      </c>
      <c r="X2391" s="1040">
        <f>W2391*U2391</f>
        <v>2804</v>
      </c>
      <c r="Y2391" s="1045">
        <v>0.55000000000000004</v>
      </c>
      <c r="Z2391" s="1041">
        <v>630.9</v>
      </c>
      <c r="AA2391" s="1041"/>
      <c r="AB2391" s="1041">
        <f>IF(AA2391="F.O.C", 0, Z2391*U2391)</f>
        <v>1261.8</v>
      </c>
      <c r="AC2391" s="1042">
        <f>Z2391*U2391</f>
        <v>1261.8</v>
      </c>
      <c r="AD2391" s="1043">
        <v>32000</v>
      </c>
      <c r="AE2391" s="1044"/>
      <c r="AF2391" s="1045"/>
      <c r="AG2391" s="1046"/>
      <c r="AH2391" s="1045"/>
      <c r="AI2391" s="1047"/>
      <c r="AJ2391" s="1038"/>
      <c r="AK2391" s="1048"/>
      <c r="AL2391" s="1036"/>
      <c r="AM2391" s="1036"/>
      <c r="AN2391" s="1037"/>
      <c r="AO2391" s="1037"/>
      <c r="AP2391" s="1034"/>
      <c r="AQ2391" s="1035"/>
      <c r="AR2391" s="1034"/>
      <c r="AS2391" s="1035"/>
      <c r="AT2391" s="1035"/>
      <c r="AU2391" s="1035"/>
      <c r="AV2391" s="1038"/>
      <c r="AW2391" s="1050"/>
      <c r="AX2391" s="1051"/>
      <c r="AY2391" s="1036"/>
      <c r="AZ2391" s="1035"/>
      <c r="BA2391" s="1035"/>
      <c r="BB2391" s="1052"/>
      <c r="BC2391" s="1053"/>
      <c r="BD2391" s="1049"/>
      <c r="BE2391" s="1054"/>
      <c r="BF2391" s="1055"/>
      <c r="BG2391" s="1055"/>
      <c r="BH2391" s="1055"/>
      <c r="BI2391" s="1055"/>
      <c r="BJ2391" s="1055"/>
      <c r="BK2391" s="1055"/>
      <c r="BL2391" s="1055"/>
      <c r="BM2391" s="1055"/>
      <c r="BN2391" s="1055"/>
      <c r="BO2391" s="1056"/>
      <c r="BP2391" s="1056"/>
      <c r="BQ2391" s="1056"/>
      <c r="BR2391" s="1056"/>
      <c r="BS2391" s="1056"/>
      <c r="BT2391" s="1056"/>
      <c r="BU2391" s="1056"/>
      <c r="BV2391" s="1057"/>
      <c r="BW2391" s="1057"/>
      <c r="BX2391" s="1148"/>
      <c r="BY2391" s="1057"/>
      <c r="BZ2391" s="1057"/>
      <c r="CA2391" s="1057"/>
      <c r="CB2391" s="1032"/>
    </row>
    <row r="2392" spans="2:80">
      <c r="B2392" s="1033" t="s">
        <v>7868</v>
      </c>
      <c r="C2392" s="839" t="s">
        <v>7454</v>
      </c>
      <c r="D2392" s="1033" t="s">
        <v>7672</v>
      </c>
      <c r="E2392" s="1033" t="s">
        <v>7672</v>
      </c>
      <c r="F2392" s="1034">
        <v>46064</v>
      </c>
      <c r="G2392" s="1033" t="s">
        <v>7454</v>
      </c>
      <c r="H2392" s="1063" t="s">
        <v>3457</v>
      </c>
      <c r="I2392" s="1063"/>
      <c r="J2392" s="1034"/>
      <c r="K2392" s="1034"/>
      <c r="L2392" s="1036" t="s">
        <v>7456</v>
      </c>
      <c r="M2392" s="1037" t="s">
        <v>107</v>
      </c>
      <c r="N2392" s="1034"/>
      <c r="O2392" s="1064"/>
      <c r="P2392" s="1035"/>
      <c r="Q2392" s="1036"/>
      <c r="R2392" s="1038" t="s">
        <v>7892</v>
      </c>
      <c r="S2392" s="1131" t="s">
        <v>7893</v>
      </c>
      <c r="T2392" s="1036" t="s">
        <v>7894</v>
      </c>
      <c r="U2392" s="1066">
        <v>1</v>
      </c>
      <c r="V2392" s="1035" t="s">
        <v>3</v>
      </c>
      <c r="W2392" s="1039">
        <v>2767</v>
      </c>
      <c r="X2392" s="1040">
        <f>W2392*U2392</f>
        <v>2767</v>
      </c>
      <c r="Y2392" s="1045">
        <v>0.55000000000000004</v>
      </c>
      <c r="Z2392" s="1041">
        <v>1245.1500000000001</v>
      </c>
      <c r="AA2392" s="1041"/>
      <c r="AB2392" s="1041">
        <f>IF(AA2392="F.O.C", 0, Z2392*U2392)</f>
        <v>1245.1500000000001</v>
      </c>
      <c r="AC2392" s="1042">
        <f>Z2392*U2392</f>
        <v>1245.1500000000001</v>
      </c>
      <c r="AD2392" s="1043">
        <v>32000</v>
      </c>
      <c r="AE2392" s="1044"/>
      <c r="AF2392" s="1045"/>
      <c r="AG2392" s="1046"/>
      <c r="AH2392" s="1045"/>
      <c r="AI2392" s="1047"/>
      <c r="AJ2392" s="1038"/>
      <c r="AK2392" s="1048"/>
      <c r="AL2392" s="1036"/>
      <c r="AM2392" s="1036"/>
      <c r="AN2392" s="1037"/>
      <c r="AO2392" s="1037"/>
      <c r="AP2392" s="1034"/>
      <c r="AQ2392" s="1035"/>
      <c r="AR2392" s="1034"/>
      <c r="AS2392" s="1035"/>
      <c r="AT2392" s="1035"/>
      <c r="AU2392" s="1035"/>
      <c r="AV2392" s="1038"/>
      <c r="AW2392" s="1050"/>
      <c r="AX2392" s="1051"/>
      <c r="AY2392" s="1036"/>
      <c r="AZ2392" s="1035"/>
      <c r="BA2392" s="1035"/>
      <c r="BB2392" s="1052"/>
      <c r="BC2392" s="1053"/>
      <c r="BD2392" s="1049"/>
      <c r="BE2392" s="1054"/>
      <c r="BF2392" s="1055"/>
      <c r="BG2392" s="1055"/>
      <c r="BH2392" s="1055"/>
      <c r="BI2392" s="1055"/>
      <c r="BJ2392" s="1055"/>
      <c r="BK2392" s="1055"/>
      <c r="BL2392" s="1055"/>
      <c r="BM2392" s="1055"/>
      <c r="BN2392" s="1055"/>
      <c r="BO2392" s="1056"/>
      <c r="BP2392" s="1056"/>
      <c r="BQ2392" s="1056"/>
      <c r="BR2392" s="1056"/>
      <c r="BS2392" s="1056"/>
      <c r="BT2392" s="1056"/>
      <c r="BU2392" s="1056"/>
      <c r="BV2392" s="1057"/>
      <c r="BW2392" s="1057"/>
      <c r="BX2392" s="1148"/>
      <c r="BY2392" s="1057"/>
      <c r="BZ2392" s="1057"/>
      <c r="CA2392" s="1057"/>
      <c r="CB2392" s="1032"/>
    </row>
    <row r="2393" spans="2:80">
      <c r="B2393" s="1033"/>
      <c r="C2393" s="1033"/>
      <c r="D2393" s="1033"/>
      <c r="E2393" s="1033"/>
      <c r="F2393" s="1034"/>
      <c r="G2393" s="1033"/>
      <c r="H2393" s="1063"/>
      <c r="I2393" s="1063"/>
      <c r="J2393" s="1034"/>
      <c r="K2393" s="1034"/>
      <c r="L2393" s="1036"/>
      <c r="M2393" s="1037"/>
      <c r="N2393" s="1034"/>
      <c r="O2393" s="1064"/>
      <c r="P2393" s="1035"/>
      <c r="Q2393" s="1036"/>
      <c r="R2393" s="1038"/>
      <c r="S2393" s="1131"/>
      <c r="T2393" s="1036"/>
      <c r="U2393" s="1066"/>
      <c r="V2393" s="1035"/>
      <c r="W2393" s="1039"/>
      <c r="X2393" s="1040"/>
      <c r="Y2393" s="1045"/>
      <c r="Z2393" s="1041"/>
      <c r="AA2393" s="1041"/>
      <c r="AB2393" s="1041"/>
      <c r="AC2393" s="1042"/>
      <c r="AD2393" s="1043"/>
      <c r="AE2393" s="1044"/>
      <c r="AF2393" s="1045"/>
      <c r="AG2393" s="1046"/>
      <c r="AH2393" s="1045"/>
      <c r="AI2393" s="1047"/>
      <c r="AJ2393" s="1038"/>
      <c r="AK2393" s="1048"/>
      <c r="AL2393" s="1036"/>
      <c r="AM2393" s="1036"/>
      <c r="AN2393" s="1037"/>
      <c r="AO2393" s="1037"/>
      <c r="AP2393" s="1034"/>
      <c r="AQ2393" s="1035"/>
      <c r="AR2393" s="1034"/>
      <c r="AS2393" s="1035"/>
      <c r="AT2393" s="1035"/>
      <c r="AU2393" s="1035"/>
      <c r="AV2393" s="1038"/>
      <c r="AW2393" s="1050"/>
      <c r="AX2393" s="1051"/>
      <c r="AY2393" s="1036"/>
      <c r="AZ2393" s="1035"/>
      <c r="BA2393" s="1035"/>
      <c r="BB2393" s="1052"/>
      <c r="BC2393" s="1053"/>
      <c r="BD2393" s="1049"/>
      <c r="BE2393" s="1054"/>
      <c r="BF2393" s="1055"/>
      <c r="BG2393" s="1055"/>
      <c r="BH2393" s="1055"/>
      <c r="BI2393" s="1055"/>
      <c r="BJ2393" s="1055"/>
      <c r="BK2393" s="1055"/>
      <c r="BL2393" s="1055"/>
      <c r="BM2393" s="1055"/>
      <c r="BN2393" s="1055"/>
      <c r="BO2393" s="1056"/>
      <c r="BP2393" s="1056"/>
      <c r="BQ2393" s="1056"/>
      <c r="BR2393" s="1056"/>
      <c r="BS2393" s="1056"/>
      <c r="BT2393" s="1056"/>
      <c r="BU2393" s="1056"/>
      <c r="BV2393" s="1057"/>
      <c r="BW2393" s="1057"/>
      <c r="BX2393" s="1148"/>
      <c r="BY2393" s="1057"/>
      <c r="BZ2393" s="1057"/>
      <c r="CA2393" s="1057"/>
      <c r="CB2393" s="1032"/>
    </row>
    <row r="2394" spans="2:80">
      <c r="B2394" s="1033" t="s">
        <v>7895</v>
      </c>
      <c r="C2394" s="839" t="s">
        <v>7454</v>
      </c>
      <c r="D2394" s="1033" t="s">
        <v>7774</v>
      </c>
      <c r="E2394" s="1033" t="s">
        <v>7774</v>
      </c>
      <c r="F2394" s="1034">
        <v>46077</v>
      </c>
      <c r="G2394" s="1033" t="s">
        <v>7454</v>
      </c>
      <c r="H2394" s="1063" t="s">
        <v>3457</v>
      </c>
      <c r="I2394" s="1063"/>
      <c r="J2394" s="1034"/>
      <c r="K2394" s="1034"/>
      <c r="L2394" s="1036" t="s">
        <v>7456</v>
      </c>
      <c r="M2394" s="1037" t="s">
        <v>107</v>
      </c>
      <c r="N2394" s="1034"/>
      <c r="O2394" s="1064"/>
      <c r="P2394" s="1035"/>
      <c r="Q2394" s="1036"/>
      <c r="R2394" s="1038" t="s">
        <v>7896</v>
      </c>
      <c r="S2394" s="1131" t="s">
        <v>7897</v>
      </c>
      <c r="T2394" s="1036" t="s">
        <v>7898</v>
      </c>
      <c r="U2394" s="1066">
        <v>2</v>
      </c>
      <c r="V2394" s="1035" t="s">
        <v>3</v>
      </c>
      <c r="W2394" s="1039">
        <v>1693.9999999999998</v>
      </c>
      <c r="X2394" s="1040">
        <f t="shared" ref="X2394:X2404" si="502">W2394*U2394</f>
        <v>3387.9999999999995</v>
      </c>
      <c r="Y2394" s="1045">
        <v>0.55000000000000004</v>
      </c>
      <c r="Z2394" s="1041">
        <v>762.3</v>
      </c>
      <c r="AA2394" s="1041"/>
      <c r="AB2394" s="1041">
        <f t="shared" ref="AB2394:AB2413" si="503">IF(AA2394="F.O.C", 0, Z2394*U2394)</f>
        <v>1524.6</v>
      </c>
      <c r="AC2394" s="1042">
        <f t="shared" ref="AC2394:AC2413" si="504">Z2394*U2394</f>
        <v>1524.6</v>
      </c>
      <c r="AD2394" s="1043">
        <v>32000</v>
      </c>
      <c r="AE2394" s="1044"/>
      <c r="AF2394" s="1045"/>
      <c r="AG2394" s="1046"/>
      <c r="AH2394" s="1045"/>
      <c r="AI2394" s="1047"/>
      <c r="AJ2394" s="1038"/>
      <c r="AK2394" s="1048"/>
      <c r="AL2394" s="1036"/>
      <c r="AM2394" s="1036"/>
      <c r="AN2394" s="1037"/>
      <c r="AO2394" s="1037"/>
      <c r="AP2394" s="1034"/>
      <c r="AQ2394" s="1035"/>
      <c r="AR2394" s="1034"/>
      <c r="AS2394" s="1035"/>
      <c r="AT2394" s="1035"/>
      <c r="AU2394" s="1035"/>
      <c r="AV2394" s="1038"/>
      <c r="AW2394" s="1050"/>
      <c r="AX2394" s="1051"/>
      <c r="AY2394" s="1036"/>
      <c r="AZ2394" s="1035"/>
      <c r="BA2394" s="1035"/>
      <c r="BB2394" s="1052"/>
      <c r="BC2394" s="1053"/>
      <c r="BD2394" s="1049"/>
      <c r="BE2394" s="1054"/>
      <c r="BF2394" s="1055"/>
      <c r="BG2394" s="1055"/>
      <c r="BH2394" s="1055"/>
      <c r="BI2394" s="1055"/>
      <c r="BJ2394" s="1055"/>
      <c r="BK2394" s="1055"/>
      <c r="BL2394" s="1055"/>
      <c r="BM2394" s="1055"/>
      <c r="BN2394" s="1055"/>
      <c r="BO2394" s="1056"/>
      <c r="BP2394" s="1056"/>
      <c r="BQ2394" s="1056"/>
      <c r="BR2394" s="1056"/>
      <c r="BS2394" s="1056"/>
      <c r="BT2394" s="1056"/>
      <c r="BU2394" s="1056"/>
      <c r="BV2394" s="1057"/>
      <c r="BW2394" s="1057"/>
      <c r="BX2394" s="1148"/>
      <c r="BY2394" s="1057"/>
      <c r="BZ2394" s="1057"/>
      <c r="CA2394" s="1057"/>
      <c r="CB2394" s="1032"/>
    </row>
    <row r="2395" spans="2:80">
      <c r="B2395" s="1033" t="s">
        <v>7895</v>
      </c>
      <c r="C2395" s="839" t="s">
        <v>7454</v>
      </c>
      <c r="D2395" s="1033" t="s">
        <v>7774</v>
      </c>
      <c r="E2395" s="1033" t="s">
        <v>7774</v>
      </c>
      <c r="F2395" s="1034">
        <v>46077</v>
      </c>
      <c r="G2395" s="1033" t="s">
        <v>7454</v>
      </c>
      <c r="H2395" s="1063" t="s">
        <v>3457</v>
      </c>
      <c r="I2395" s="1063"/>
      <c r="J2395" s="1034"/>
      <c r="K2395" s="1034"/>
      <c r="L2395" s="1036" t="s">
        <v>7456</v>
      </c>
      <c r="M2395" s="1037" t="s">
        <v>107</v>
      </c>
      <c r="N2395" s="1034"/>
      <c r="O2395" s="1064"/>
      <c r="P2395" s="1035"/>
      <c r="Q2395" s="1036"/>
      <c r="R2395" s="1038" t="s">
        <v>7869</v>
      </c>
      <c r="S2395" s="1131" t="s">
        <v>7899</v>
      </c>
      <c r="T2395" s="1036" t="s">
        <v>7900</v>
      </c>
      <c r="U2395" s="1066">
        <v>1</v>
      </c>
      <c r="V2395" s="1035" t="s">
        <v>3</v>
      </c>
      <c r="W2395" s="1039">
        <v>14245</v>
      </c>
      <c r="X2395" s="1040">
        <f t="shared" si="502"/>
        <v>14245</v>
      </c>
      <c r="Y2395" s="1045" t="s">
        <v>7460</v>
      </c>
      <c r="Z2395" s="1041">
        <v>9914.52</v>
      </c>
      <c r="AA2395" s="1041"/>
      <c r="AB2395" s="1041">
        <f t="shared" si="503"/>
        <v>9914.52</v>
      </c>
      <c r="AC2395" s="1042">
        <f t="shared" si="504"/>
        <v>9914.52</v>
      </c>
      <c r="AD2395" s="1043">
        <v>32000</v>
      </c>
      <c r="AE2395" s="1044"/>
      <c r="AF2395" s="1045"/>
      <c r="AG2395" s="1046"/>
      <c r="AH2395" s="1045"/>
      <c r="AI2395" s="1047"/>
      <c r="AJ2395" s="1038"/>
      <c r="AK2395" s="1048"/>
      <c r="AL2395" s="1036"/>
      <c r="AM2395" s="1036"/>
      <c r="AN2395" s="1037"/>
      <c r="AO2395" s="1037"/>
      <c r="AP2395" s="1034"/>
      <c r="AQ2395" s="1035"/>
      <c r="AR2395" s="1034"/>
      <c r="AS2395" s="1035"/>
      <c r="AT2395" s="1035"/>
      <c r="AU2395" s="1035"/>
      <c r="AV2395" s="1038"/>
      <c r="AW2395" s="1050"/>
      <c r="AX2395" s="1051"/>
      <c r="AY2395" s="1036"/>
      <c r="AZ2395" s="1035"/>
      <c r="BA2395" s="1035"/>
      <c r="BB2395" s="1052"/>
      <c r="BC2395" s="1053"/>
      <c r="BD2395" s="1049"/>
      <c r="BE2395" s="1054"/>
      <c r="BF2395" s="1055"/>
      <c r="BG2395" s="1055"/>
      <c r="BH2395" s="1055"/>
      <c r="BI2395" s="1055"/>
      <c r="BJ2395" s="1055"/>
      <c r="BK2395" s="1055"/>
      <c r="BL2395" s="1055"/>
      <c r="BM2395" s="1055"/>
      <c r="BN2395" s="1055"/>
      <c r="BO2395" s="1056"/>
      <c r="BP2395" s="1056"/>
      <c r="BQ2395" s="1056"/>
      <c r="BR2395" s="1056"/>
      <c r="BS2395" s="1056"/>
      <c r="BT2395" s="1056"/>
      <c r="BU2395" s="1056"/>
      <c r="BV2395" s="1057"/>
      <c r="BW2395" s="1057"/>
      <c r="BX2395" s="1148"/>
      <c r="BY2395" s="1057"/>
      <c r="BZ2395" s="1057"/>
      <c r="CA2395" s="1057"/>
      <c r="CB2395" s="1032"/>
    </row>
    <row r="2396" spans="2:80">
      <c r="B2396" s="1033" t="s">
        <v>7895</v>
      </c>
      <c r="C2396" s="839" t="s">
        <v>7454</v>
      </c>
      <c r="D2396" s="1033" t="s">
        <v>7774</v>
      </c>
      <c r="E2396" s="1033" t="s">
        <v>7774</v>
      </c>
      <c r="F2396" s="1034">
        <v>46077</v>
      </c>
      <c r="G2396" s="1033" t="s">
        <v>7454</v>
      </c>
      <c r="H2396" s="1063" t="s">
        <v>3457</v>
      </c>
      <c r="I2396" s="1063"/>
      <c r="J2396" s="1034"/>
      <c r="K2396" s="1034"/>
      <c r="L2396" s="1036" t="s">
        <v>7456</v>
      </c>
      <c r="M2396" s="1037" t="s">
        <v>107</v>
      </c>
      <c r="N2396" s="1034"/>
      <c r="O2396" s="1064"/>
      <c r="P2396" s="1035"/>
      <c r="Q2396" s="1036"/>
      <c r="R2396" s="1038" t="s">
        <v>7901</v>
      </c>
      <c r="S2396" s="1131" t="s">
        <v>7902</v>
      </c>
      <c r="T2396" s="1036" t="s">
        <v>7903</v>
      </c>
      <c r="U2396" s="1066">
        <v>1</v>
      </c>
      <c r="V2396" s="1035" t="s">
        <v>3</v>
      </c>
      <c r="W2396" s="1039">
        <v>7479.9999999999991</v>
      </c>
      <c r="X2396" s="1040">
        <f t="shared" si="502"/>
        <v>7479.9999999999991</v>
      </c>
      <c r="Y2396" s="1045" t="s">
        <v>7460</v>
      </c>
      <c r="Z2396" s="1041">
        <v>5206.08</v>
      </c>
      <c r="AA2396" s="1041"/>
      <c r="AB2396" s="1041">
        <f t="shared" si="503"/>
        <v>5206.08</v>
      </c>
      <c r="AC2396" s="1042">
        <f t="shared" si="504"/>
        <v>5206.08</v>
      </c>
      <c r="AD2396" s="1043">
        <v>32000</v>
      </c>
      <c r="AE2396" s="1044"/>
      <c r="AF2396" s="1045"/>
      <c r="AG2396" s="1046"/>
      <c r="AH2396" s="1045"/>
      <c r="AI2396" s="1047"/>
      <c r="AJ2396" s="1038"/>
      <c r="AK2396" s="1048"/>
      <c r="AL2396" s="1036"/>
      <c r="AM2396" s="1036"/>
      <c r="AN2396" s="1037"/>
      <c r="AO2396" s="1037"/>
      <c r="AP2396" s="1034"/>
      <c r="AQ2396" s="1035"/>
      <c r="AR2396" s="1034"/>
      <c r="AS2396" s="1035"/>
      <c r="AT2396" s="1035"/>
      <c r="AU2396" s="1035"/>
      <c r="AV2396" s="1038"/>
      <c r="AW2396" s="1050"/>
      <c r="AX2396" s="1051"/>
      <c r="AY2396" s="1036"/>
      <c r="AZ2396" s="1035"/>
      <c r="BA2396" s="1035"/>
      <c r="BB2396" s="1052"/>
      <c r="BC2396" s="1053"/>
      <c r="BD2396" s="1049"/>
      <c r="BE2396" s="1054"/>
      <c r="BF2396" s="1055"/>
      <c r="BG2396" s="1055"/>
      <c r="BH2396" s="1055"/>
      <c r="BI2396" s="1055"/>
      <c r="BJ2396" s="1055"/>
      <c r="BK2396" s="1055"/>
      <c r="BL2396" s="1055"/>
      <c r="BM2396" s="1055"/>
      <c r="BN2396" s="1055"/>
      <c r="BO2396" s="1056"/>
      <c r="BP2396" s="1056"/>
      <c r="BQ2396" s="1056"/>
      <c r="BR2396" s="1056"/>
      <c r="BS2396" s="1056"/>
      <c r="BT2396" s="1056"/>
      <c r="BU2396" s="1056"/>
      <c r="BV2396" s="1057"/>
      <c r="BW2396" s="1057"/>
      <c r="BX2396" s="1148"/>
      <c r="BY2396" s="1057"/>
      <c r="BZ2396" s="1057"/>
      <c r="CA2396" s="1057"/>
      <c r="CB2396" s="1032"/>
    </row>
    <row r="2397" spans="2:80">
      <c r="B2397" s="1033" t="s">
        <v>7895</v>
      </c>
      <c r="C2397" s="839" t="s">
        <v>7454</v>
      </c>
      <c r="D2397" s="1033" t="s">
        <v>7774</v>
      </c>
      <c r="E2397" s="1033" t="s">
        <v>7774</v>
      </c>
      <c r="F2397" s="1034">
        <v>46077</v>
      </c>
      <c r="G2397" s="1033" t="s">
        <v>7454</v>
      </c>
      <c r="H2397" s="1063" t="s">
        <v>3457</v>
      </c>
      <c r="I2397" s="1063"/>
      <c r="J2397" s="1034"/>
      <c r="K2397" s="1034"/>
      <c r="L2397" s="1036" t="s">
        <v>7456</v>
      </c>
      <c r="M2397" s="1037" t="s">
        <v>107</v>
      </c>
      <c r="N2397" s="1034"/>
      <c r="O2397" s="1064"/>
      <c r="P2397" s="1035"/>
      <c r="Q2397" s="1036"/>
      <c r="R2397" s="1038" t="s">
        <v>7904</v>
      </c>
      <c r="S2397" s="1131" t="s">
        <v>7905</v>
      </c>
      <c r="T2397" s="1036" t="s">
        <v>7906</v>
      </c>
      <c r="U2397" s="1066">
        <v>10</v>
      </c>
      <c r="V2397" s="1035" t="s">
        <v>3</v>
      </c>
      <c r="W2397" s="1039">
        <v>1399.9999999999998</v>
      </c>
      <c r="X2397" s="1040">
        <f t="shared" si="502"/>
        <v>13999.999999999998</v>
      </c>
      <c r="Y2397" s="1045" t="s">
        <v>7460</v>
      </c>
      <c r="Z2397" s="1041">
        <v>974.4</v>
      </c>
      <c r="AA2397" s="1041"/>
      <c r="AB2397" s="1041">
        <f t="shared" si="503"/>
        <v>9744</v>
      </c>
      <c r="AC2397" s="1042">
        <f t="shared" si="504"/>
        <v>9744</v>
      </c>
      <c r="AD2397" s="1043">
        <v>32000</v>
      </c>
      <c r="AE2397" s="1044"/>
      <c r="AF2397" s="1045"/>
      <c r="AG2397" s="1046"/>
      <c r="AH2397" s="1045"/>
      <c r="AI2397" s="1047"/>
      <c r="AJ2397" s="1038"/>
      <c r="AK2397" s="1048"/>
      <c r="AL2397" s="1036"/>
      <c r="AM2397" s="1036"/>
      <c r="AN2397" s="1037"/>
      <c r="AO2397" s="1037"/>
      <c r="AP2397" s="1034"/>
      <c r="AQ2397" s="1035"/>
      <c r="AR2397" s="1034"/>
      <c r="AS2397" s="1035"/>
      <c r="AT2397" s="1035"/>
      <c r="AU2397" s="1035"/>
      <c r="AV2397" s="1038"/>
      <c r="AW2397" s="1050"/>
      <c r="AX2397" s="1051"/>
      <c r="AY2397" s="1036"/>
      <c r="AZ2397" s="1035"/>
      <c r="BA2397" s="1035"/>
      <c r="BB2397" s="1052"/>
      <c r="BC2397" s="1053"/>
      <c r="BD2397" s="1049"/>
      <c r="BE2397" s="1054"/>
      <c r="BF2397" s="1055"/>
      <c r="BG2397" s="1055"/>
      <c r="BH2397" s="1055"/>
      <c r="BI2397" s="1055"/>
      <c r="BJ2397" s="1055"/>
      <c r="BK2397" s="1055"/>
      <c r="BL2397" s="1055"/>
      <c r="BM2397" s="1055"/>
      <c r="BN2397" s="1055"/>
      <c r="BO2397" s="1056"/>
      <c r="BP2397" s="1056"/>
      <c r="BQ2397" s="1056"/>
      <c r="BR2397" s="1056"/>
      <c r="BS2397" s="1056"/>
      <c r="BT2397" s="1056"/>
      <c r="BU2397" s="1056"/>
      <c r="BV2397" s="1057"/>
      <c r="BW2397" s="1057"/>
      <c r="BX2397" s="1148"/>
      <c r="BY2397" s="1057"/>
      <c r="BZ2397" s="1057"/>
      <c r="CA2397" s="1057"/>
      <c r="CB2397" s="1032"/>
    </row>
    <row r="2398" spans="2:80">
      <c r="B2398" s="1033" t="s">
        <v>7895</v>
      </c>
      <c r="C2398" s="839" t="s">
        <v>7454</v>
      </c>
      <c r="D2398" s="1033" t="s">
        <v>7774</v>
      </c>
      <c r="E2398" s="1033" t="s">
        <v>7774</v>
      </c>
      <c r="F2398" s="1034">
        <v>46077</v>
      </c>
      <c r="G2398" s="1033" t="s">
        <v>7454</v>
      </c>
      <c r="H2398" s="1063" t="s">
        <v>3457</v>
      </c>
      <c r="I2398" s="1063"/>
      <c r="J2398" s="1034"/>
      <c r="K2398" s="1034"/>
      <c r="L2398" s="1036" t="s">
        <v>7456</v>
      </c>
      <c r="M2398" s="1037" t="s">
        <v>107</v>
      </c>
      <c r="N2398" s="1034"/>
      <c r="O2398" s="1064"/>
      <c r="P2398" s="1035"/>
      <c r="Q2398" s="1036"/>
      <c r="R2398" s="1038" t="s">
        <v>7907</v>
      </c>
      <c r="S2398" s="1131" t="s">
        <v>7908</v>
      </c>
      <c r="T2398" s="1036" t="s">
        <v>7909</v>
      </c>
      <c r="U2398" s="1066">
        <v>1</v>
      </c>
      <c r="V2398" s="1035" t="s">
        <v>3</v>
      </c>
      <c r="W2398" s="1039">
        <v>11621.982758620688</v>
      </c>
      <c r="X2398" s="1040">
        <f t="shared" si="502"/>
        <v>11621.982758620688</v>
      </c>
      <c r="Y2398" s="1045" t="s">
        <v>7460</v>
      </c>
      <c r="Z2398" s="1041">
        <v>8088.9</v>
      </c>
      <c r="AA2398" s="1041"/>
      <c r="AB2398" s="1041">
        <f t="shared" si="503"/>
        <v>8088.9</v>
      </c>
      <c r="AC2398" s="1042">
        <f t="shared" si="504"/>
        <v>8088.9</v>
      </c>
      <c r="AD2398" s="1043">
        <v>32000</v>
      </c>
      <c r="AE2398" s="1044"/>
      <c r="AF2398" s="1045"/>
      <c r="AG2398" s="1046"/>
      <c r="AH2398" s="1045"/>
      <c r="AI2398" s="1047"/>
      <c r="AJ2398" s="1038"/>
      <c r="AK2398" s="1048"/>
      <c r="AL2398" s="1036"/>
      <c r="AM2398" s="1036"/>
      <c r="AN2398" s="1037"/>
      <c r="AO2398" s="1037"/>
      <c r="AP2398" s="1034"/>
      <c r="AQ2398" s="1035"/>
      <c r="AR2398" s="1034"/>
      <c r="AS2398" s="1035"/>
      <c r="AT2398" s="1035"/>
      <c r="AU2398" s="1035"/>
      <c r="AV2398" s="1038"/>
      <c r="AW2398" s="1050"/>
      <c r="AX2398" s="1051"/>
      <c r="AY2398" s="1036"/>
      <c r="AZ2398" s="1035"/>
      <c r="BA2398" s="1035"/>
      <c r="BB2398" s="1052"/>
      <c r="BC2398" s="1053"/>
      <c r="BD2398" s="1049"/>
      <c r="BE2398" s="1054"/>
      <c r="BF2398" s="1055"/>
      <c r="BG2398" s="1055"/>
      <c r="BH2398" s="1055"/>
      <c r="BI2398" s="1055"/>
      <c r="BJ2398" s="1055"/>
      <c r="BK2398" s="1055"/>
      <c r="BL2398" s="1055"/>
      <c r="BM2398" s="1055"/>
      <c r="BN2398" s="1055"/>
      <c r="BO2398" s="1056"/>
      <c r="BP2398" s="1056"/>
      <c r="BQ2398" s="1056"/>
      <c r="BR2398" s="1056"/>
      <c r="BS2398" s="1056"/>
      <c r="BT2398" s="1056"/>
      <c r="BU2398" s="1056"/>
      <c r="BV2398" s="1057"/>
      <c r="BW2398" s="1057"/>
      <c r="BX2398" s="1148"/>
      <c r="BY2398" s="1057"/>
      <c r="BZ2398" s="1057"/>
      <c r="CA2398" s="1057"/>
      <c r="CB2398" s="1032"/>
    </row>
    <row r="2399" spans="2:80">
      <c r="B2399" s="1033" t="s">
        <v>7895</v>
      </c>
      <c r="C2399" s="839" t="s">
        <v>7454</v>
      </c>
      <c r="D2399" s="1033" t="s">
        <v>7774</v>
      </c>
      <c r="E2399" s="1033" t="s">
        <v>7774</v>
      </c>
      <c r="F2399" s="1034">
        <v>46077</v>
      </c>
      <c r="G2399" s="1033" t="s">
        <v>7454</v>
      </c>
      <c r="H2399" s="1063" t="s">
        <v>3457</v>
      </c>
      <c r="I2399" s="1063"/>
      <c r="J2399" s="1034"/>
      <c r="K2399" s="1034"/>
      <c r="L2399" s="1036" t="s">
        <v>7456</v>
      </c>
      <c r="M2399" s="1037" t="s">
        <v>107</v>
      </c>
      <c r="N2399" s="1034"/>
      <c r="O2399" s="1064"/>
      <c r="P2399" s="1035"/>
      <c r="Q2399" s="1036"/>
      <c r="R2399" s="1038" t="s">
        <v>7910</v>
      </c>
      <c r="S2399" s="1131" t="s">
        <v>7911</v>
      </c>
      <c r="T2399" s="1036" t="s">
        <v>7912</v>
      </c>
      <c r="U2399" s="1066">
        <v>1</v>
      </c>
      <c r="V2399" s="1035" t="s">
        <v>3</v>
      </c>
      <c r="W2399" s="1039">
        <v>1466.9971264367814</v>
      </c>
      <c r="X2399" s="1040">
        <f t="shared" si="502"/>
        <v>1466.9971264367814</v>
      </c>
      <c r="Y2399" s="1045" t="s">
        <v>7460</v>
      </c>
      <c r="Z2399" s="1041">
        <v>1021.03</v>
      </c>
      <c r="AA2399" s="1041"/>
      <c r="AB2399" s="1041">
        <f t="shared" si="503"/>
        <v>1021.03</v>
      </c>
      <c r="AC2399" s="1042">
        <f t="shared" si="504"/>
        <v>1021.03</v>
      </c>
      <c r="AD2399" s="1043">
        <v>32000</v>
      </c>
      <c r="AE2399" s="1044"/>
      <c r="AF2399" s="1045"/>
      <c r="AG2399" s="1046"/>
      <c r="AH2399" s="1045"/>
      <c r="AI2399" s="1047"/>
      <c r="AJ2399" s="1038"/>
      <c r="AK2399" s="1048"/>
      <c r="AL2399" s="1036"/>
      <c r="AM2399" s="1036"/>
      <c r="AN2399" s="1037"/>
      <c r="AO2399" s="1037"/>
      <c r="AP2399" s="1034"/>
      <c r="AQ2399" s="1035"/>
      <c r="AR2399" s="1034"/>
      <c r="AS2399" s="1035"/>
      <c r="AT2399" s="1035"/>
      <c r="AU2399" s="1035"/>
      <c r="AV2399" s="1038"/>
      <c r="AW2399" s="1050"/>
      <c r="AX2399" s="1051"/>
      <c r="AY2399" s="1036"/>
      <c r="AZ2399" s="1035"/>
      <c r="BA2399" s="1035"/>
      <c r="BB2399" s="1052"/>
      <c r="BC2399" s="1053"/>
      <c r="BD2399" s="1049"/>
      <c r="BE2399" s="1054"/>
      <c r="BF2399" s="1055"/>
      <c r="BG2399" s="1055"/>
      <c r="BH2399" s="1055"/>
      <c r="BI2399" s="1055"/>
      <c r="BJ2399" s="1055"/>
      <c r="BK2399" s="1055"/>
      <c r="BL2399" s="1055"/>
      <c r="BM2399" s="1055"/>
      <c r="BN2399" s="1055"/>
      <c r="BO2399" s="1056"/>
      <c r="BP2399" s="1056"/>
      <c r="BQ2399" s="1056"/>
      <c r="BR2399" s="1056"/>
      <c r="BS2399" s="1056"/>
      <c r="BT2399" s="1056"/>
      <c r="BU2399" s="1056"/>
      <c r="BV2399" s="1057"/>
      <c r="BW2399" s="1057"/>
      <c r="BX2399" s="1148"/>
      <c r="BY2399" s="1057"/>
      <c r="BZ2399" s="1057"/>
      <c r="CA2399" s="1057"/>
      <c r="CB2399" s="1032"/>
    </row>
    <row r="2400" spans="2:80">
      <c r="B2400" s="1033" t="s">
        <v>7895</v>
      </c>
      <c r="C2400" s="839" t="s">
        <v>7454</v>
      </c>
      <c r="D2400" s="1033" t="s">
        <v>7774</v>
      </c>
      <c r="E2400" s="1033" t="s">
        <v>7774</v>
      </c>
      <c r="F2400" s="1034">
        <v>46077</v>
      </c>
      <c r="G2400" s="1033" t="s">
        <v>7454</v>
      </c>
      <c r="H2400" s="1063" t="s">
        <v>3457</v>
      </c>
      <c r="I2400" s="1063"/>
      <c r="J2400" s="1034"/>
      <c r="K2400" s="1034"/>
      <c r="L2400" s="1036" t="s">
        <v>7456</v>
      </c>
      <c r="M2400" s="1037" t="s">
        <v>107</v>
      </c>
      <c r="N2400" s="1034"/>
      <c r="O2400" s="1064"/>
      <c r="P2400" s="1035"/>
      <c r="Q2400" s="1036"/>
      <c r="R2400" s="1038" t="s">
        <v>7913</v>
      </c>
      <c r="S2400" s="1131" t="s">
        <v>7914</v>
      </c>
      <c r="T2400" s="1036" t="s">
        <v>7915</v>
      </c>
      <c r="U2400" s="1066">
        <v>3</v>
      </c>
      <c r="V2400" s="1035" t="s">
        <v>3</v>
      </c>
      <c r="W2400" s="1039">
        <v>4017.9999999999995</v>
      </c>
      <c r="X2400" s="1040">
        <f t="shared" si="502"/>
        <v>12053.999999999998</v>
      </c>
      <c r="Y2400" s="1045">
        <v>0.55000000000000004</v>
      </c>
      <c r="Z2400" s="1041">
        <v>1808.1</v>
      </c>
      <c r="AA2400" s="1041"/>
      <c r="AB2400" s="1041">
        <f t="shared" si="503"/>
        <v>5424.2999999999993</v>
      </c>
      <c r="AC2400" s="1042">
        <f t="shared" si="504"/>
        <v>5424.2999999999993</v>
      </c>
      <c r="AD2400" s="1043">
        <v>32000</v>
      </c>
      <c r="AE2400" s="1044"/>
      <c r="AF2400" s="1045"/>
      <c r="AG2400" s="1046"/>
      <c r="AH2400" s="1045"/>
      <c r="AI2400" s="1047"/>
      <c r="AJ2400" s="1038"/>
      <c r="AK2400" s="1048"/>
      <c r="AL2400" s="1036"/>
      <c r="AM2400" s="1036"/>
      <c r="AN2400" s="1037"/>
      <c r="AO2400" s="1037"/>
      <c r="AP2400" s="1034"/>
      <c r="AQ2400" s="1035"/>
      <c r="AR2400" s="1034"/>
      <c r="AS2400" s="1035"/>
      <c r="AT2400" s="1035"/>
      <c r="AU2400" s="1035"/>
      <c r="AV2400" s="1038"/>
      <c r="AW2400" s="1050"/>
      <c r="AX2400" s="1051"/>
      <c r="AY2400" s="1036"/>
      <c r="AZ2400" s="1035"/>
      <c r="BA2400" s="1035"/>
      <c r="BB2400" s="1052"/>
      <c r="BC2400" s="1053"/>
      <c r="BD2400" s="1049"/>
      <c r="BE2400" s="1054"/>
      <c r="BF2400" s="1055"/>
      <c r="BG2400" s="1055"/>
      <c r="BH2400" s="1055"/>
      <c r="BI2400" s="1055"/>
      <c r="BJ2400" s="1055"/>
      <c r="BK2400" s="1055"/>
      <c r="BL2400" s="1055"/>
      <c r="BM2400" s="1055"/>
      <c r="BN2400" s="1055"/>
      <c r="BO2400" s="1056"/>
      <c r="BP2400" s="1056"/>
      <c r="BQ2400" s="1056"/>
      <c r="BR2400" s="1056"/>
      <c r="BS2400" s="1056"/>
      <c r="BT2400" s="1056"/>
      <c r="BU2400" s="1056"/>
      <c r="BV2400" s="1057"/>
      <c r="BW2400" s="1057"/>
      <c r="BX2400" s="1148"/>
      <c r="BY2400" s="1057"/>
      <c r="BZ2400" s="1057"/>
      <c r="CA2400" s="1057"/>
      <c r="CB2400" s="1032"/>
    </row>
    <row r="2401" spans="2:80">
      <c r="B2401" s="1033" t="s">
        <v>7895</v>
      </c>
      <c r="C2401" s="839" t="s">
        <v>7454</v>
      </c>
      <c r="D2401" s="1033" t="s">
        <v>7774</v>
      </c>
      <c r="E2401" s="1033" t="s">
        <v>7774</v>
      </c>
      <c r="F2401" s="1034">
        <v>46077</v>
      </c>
      <c r="G2401" s="1033" t="s">
        <v>7454</v>
      </c>
      <c r="H2401" s="1063" t="s">
        <v>3457</v>
      </c>
      <c r="I2401" s="1063"/>
      <c r="J2401" s="1034"/>
      <c r="K2401" s="1034"/>
      <c r="L2401" s="1036" t="s">
        <v>7456</v>
      </c>
      <c r="M2401" s="1037" t="s">
        <v>107</v>
      </c>
      <c r="N2401" s="1034"/>
      <c r="O2401" s="1064"/>
      <c r="P2401" s="1035"/>
      <c r="Q2401" s="1036"/>
      <c r="R2401" s="1038" t="s">
        <v>7668</v>
      </c>
      <c r="S2401" s="1131" t="s">
        <v>7916</v>
      </c>
      <c r="T2401" s="1036" t="s">
        <v>7917</v>
      </c>
      <c r="U2401" s="1066">
        <v>1</v>
      </c>
      <c r="V2401" s="1035" t="s">
        <v>3</v>
      </c>
      <c r="W2401" s="1039">
        <v>9434.0373563218382</v>
      </c>
      <c r="X2401" s="1040">
        <f t="shared" si="502"/>
        <v>9434.0373563218382</v>
      </c>
      <c r="Y2401" s="1045" t="s">
        <v>7460</v>
      </c>
      <c r="Z2401" s="1041">
        <v>6566.09</v>
      </c>
      <c r="AA2401" s="1041"/>
      <c r="AB2401" s="1041">
        <f t="shared" si="503"/>
        <v>6566.09</v>
      </c>
      <c r="AC2401" s="1042">
        <f t="shared" si="504"/>
        <v>6566.09</v>
      </c>
      <c r="AD2401" s="1043">
        <v>32000</v>
      </c>
      <c r="AE2401" s="1044"/>
      <c r="AF2401" s="1045"/>
      <c r="AG2401" s="1046"/>
      <c r="AH2401" s="1045"/>
      <c r="AI2401" s="1047"/>
      <c r="AJ2401" s="1038"/>
      <c r="AK2401" s="1048"/>
      <c r="AL2401" s="1036"/>
      <c r="AM2401" s="1036"/>
      <c r="AN2401" s="1037"/>
      <c r="AO2401" s="1037"/>
      <c r="AP2401" s="1034"/>
      <c r="AQ2401" s="1035"/>
      <c r="AR2401" s="1034"/>
      <c r="AS2401" s="1035"/>
      <c r="AT2401" s="1035"/>
      <c r="AU2401" s="1035"/>
      <c r="AV2401" s="1038"/>
      <c r="AW2401" s="1050"/>
      <c r="AX2401" s="1051"/>
      <c r="AY2401" s="1036"/>
      <c r="AZ2401" s="1035"/>
      <c r="BA2401" s="1035"/>
      <c r="BB2401" s="1052"/>
      <c r="BC2401" s="1053"/>
      <c r="BD2401" s="1049"/>
      <c r="BE2401" s="1054"/>
      <c r="BF2401" s="1055"/>
      <c r="BG2401" s="1055"/>
      <c r="BH2401" s="1055"/>
      <c r="BI2401" s="1055"/>
      <c r="BJ2401" s="1055"/>
      <c r="BK2401" s="1055"/>
      <c r="BL2401" s="1055"/>
      <c r="BM2401" s="1055"/>
      <c r="BN2401" s="1055"/>
      <c r="BO2401" s="1056"/>
      <c r="BP2401" s="1056"/>
      <c r="BQ2401" s="1056"/>
      <c r="BR2401" s="1056"/>
      <c r="BS2401" s="1056"/>
      <c r="BT2401" s="1056"/>
      <c r="BU2401" s="1056"/>
      <c r="BV2401" s="1057"/>
      <c r="BW2401" s="1057"/>
      <c r="BX2401" s="1148"/>
      <c r="BY2401" s="1057"/>
      <c r="BZ2401" s="1057"/>
      <c r="CA2401" s="1057"/>
      <c r="CB2401" s="1032"/>
    </row>
    <row r="2402" spans="2:80" ht="10.5" customHeight="1">
      <c r="B2402" s="1033" t="s">
        <v>7895</v>
      </c>
      <c r="C2402" s="839" t="s">
        <v>7454</v>
      </c>
      <c r="D2402" s="1033" t="s">
        <v>7774</v>
      </c>
      <c r="E2402" s="1033" t="s">
        <v>7774</v>
      </c>
      <c r="F2402" s="1034">
        <v>46077</v>
      </c>
      <c r="G2402" s="1033" t="s">
        <v>7454</v>
      </c>
      <c r="H2402" s="1063" t="s">
        <v>3457</v>
      </c>
      <c r="I2402" s="1063"/>
      <c r="J2402" s="1034"/>
      <c r="K2402" s="1034"/>
      <c r="L2402" s="1036" t="s">
        <v>7456</v>
      </c>
      <c r="M2402" s="1037" t="s">
        <v>107</v>
      </c>
      <c r="N2402" s="1034"/>
      <c r="O2402" s="1064"/>
      <c r="P2402" s="1035"/>
      <c r="Q2402" s="1036"/>
      <c r="R2402" s="1038" t="s">
        <v>7682</v>
      </c>
      <c r="S2402" s="1131" t="s">
        <v>7683</v>
      </c>
      <c r="T2402" s="1036" t="s">
        <v>7918</v>
      </c>
      <c r="U2402" s="1066">
        <v>2</v>
      </c>
      <c r="V2402" s="1035" t="s">
        <v>3</v>
      </c>
      <c r="W2402" s="1039">
        <v>4358</v>
      </c>
      <c r="X2402" s="1040">
        <f t="shared" si="502"/>
        <v>8716</v>
      </c>
      <c r="Y2402" s="1045">
        <v>0.55000000000000004</v>
      </c>
      <c r="Z2402" s="1041">
        <v>1961.1</v>
      </c>
      <c r="AA2402" s="1041"/>
      <c r="AB2402" s="1041">
        <f t="shared" si="503"/>
        <v>3922.2</v>
      </c>
      <c r="AC2402" s="1042">
        <f t="shared" si="504"/>
        <v>3922.2</v>
      </c>
      <c r="AD2402" s="1043">
        <v>32000</v>
      </c>
      <c r="AE2402" s="1044"/>
      <c r="AF2402" s="1045"/>
      <c r="AG2402" s="1046"/>
      <c r="AH2402" s="1045"/>
      <c r="AI2402" s="1047"/>
      <c r="AJ2402" s="1038"/>
      <c r="AK2402" s="1048"/>
      <c r="AL2402" s="1036"/>
      <c r="AM2402" s="1036"/>
      <c r="AN2402" s="1037"/>
      <c r="AO2402" s="1037"/>
      <c r="AP2402" s="1034"/>
      <c r="AQ2402" s="1035"/>
      <c r="AR2402" s="1034"/>
      <c r="AS2402" s="1035"/>
      <c r="AT2402" s="1035"/>
      <c r="AU2402" s="1035"/>
      <c r="AV2402" s="1038"/>
      <c r="AW2402" s="1050"/>
      <c r="AX2402" s="1051"/>
      <c r="AY2402" s="1036"/>
      <c r="AZ2402" s="1035"/>
      <c r="BA2402" s="1035"/>
      <c r="BB2402" s="1052"/>
      <c r="BC2402" s="1053"/>
      <c r="BD2402" s="1049"/>
      <c r="BE2402" s="1054"/>
      <c r="BF2402" s="1055"/>
      <c r="BG2402" s="1055"/>
      <c r="BH2402" s="1055"/>
      <c r="BI2402" s="1055"/>
      <c r="BJ2402" s="1055"/>
      <c r="BK2402" s="1055"/>
      <c r="BL2402" s="1055"/>
      <c r="BM2402" s="1055"/>
      <c r="BN2402" s="1055"/>
      <c r="BO2402" s="1056"/>
      <c r="BP2402" s="1056"/>
      <c r="BQ2402" s="1056"/>
      <c r="BR2402" s="1056"/>
      <c r="BS2402" s="1056"/>
      <c r="BT2402" s="1056"/>
      <c r="BU2402" s="1056"/>
      <c r="BV2402" s="1057"/>
      <c r="BW2402" s="1057"/>
      <c r="BX2402" s="1148"/>
      <c r="BY2402" s="1057"/>
      <c r="BZ2402" s="1057"/>
      <c r="CA2402" s="1057"/>
      <c r="CB2402" s="1032"/>
    </row>
    <row r="2403" spans="2:80">
      <c r="B2403" s="1033" t="s">
        <v>7895</v>
      </c>
      <c r="C2403" s="839" t="s">
        <v>7454</v>
      </c>
      <c r="D2403" s="1033" t="s">
        <v>7774</v>
      </c>
      <c r="E2403" s="1033" t="s">
        <v>7774</v>
      </c>
      <c r="F2403" s="1034">
        <v>46077</v>
      </c>
      <c r="G2403" s="1033" t="s">
        <v>7454</v>
      </c>
      <c r="H2403" s="1063" t="s">
        <v>3457</v>
      </c>
      <c r="I2403" s="1063"/>
      <c r="J2403" s="1034"/>
      <c r="K2403" s="1034"/>
      <c r="L2403" s="1036" t="s">
        <v>7456</v>
      </c>
      <c r="M2403" s="1037" t="s">
        <v>107</v>
      </c>
      <c r="N2403" s="1034"/>
      <c r="O2403" s="1064"/>
      <c r="P2403" s="1035"/>
      <c r="Q2403" s="1036"/>
      <c r="R2403" s="1038" t="s">
        <v>7919</v>
      </c>
      <c r="S2403" s="1131" t="s">
        <v>7920</v>
      </c>
      <c r="T2403" s="1036" t="s">
        <v>7921</v>
      </c>
      <c r="U2403" s="1066">
        <v>1</v>
      </c>
      <c r="V2403" s="1035" t="s">
        <v>3</v>
      </c>
      <c r="W2403" s="1039">
        <v>2476.9396551724135</v>
      </c>
      <c r="X2403" s="1040">
        <f t="shared" si="502"/>
        <v>2476.9396551724135</v>
      </c>
      <c r="Y2403" s="1045">
        <v>0.55000000000000004</v>
      </c>
      <c r="Z2403" s="1041">
        <v>1723.95</v>
      </c>
      <c r="AA2403" s="1041"/>
      <c r="AB2403" s="1041">
        <f t="shared" si="503"/>
        <v>1723.95</v>
      </c>
      <c r="AC2403" s="1042">
        <f t="shared" si="504"/>
        <v>1723.95</v>
      </c>
      <c r="AD2403" s="1043">
        <v>32000</v>
      </c>
      <c r="AE2403" s="1044"/>
      <c r="AF2403" s="1045"/>
      <c r="AG2403" s="1046"/>
      <c r="AH2403" s="1045"/>
      <c r="AI2403" s="1047"/>
      <c r="AJ2403" s="1038"/>
      <c r="AK2403" s="1048"/>
      <c r="AL2403" s="1036"/>
      <c r="AM2403" s="1036"/>
      <c r="AN2403" s="1037"/>
      <c r="AO2403" s="1037"/>
      <c r="AP2403" s="1034"/>
      <c r="AQ2403" s="1035"/>
      <c r="AR2403" s="1034"/>
      <c r="AS2403" s="1035"/>
      <c r="AT2403" s="1035"/>
      <c r="AU2403" s="1035"/>
      <c r="AV2403" s="1038"/>
      <c r="AW2403" s="1050"/>
      <c r="AX2403" s="1051"/>
      <c r="AY2403" s="1036"/>
      <c r="AZ2403" s="1035"/>
      <c r="BA2403" s="1035"/>
      <c r="BB2403" s="1052"/>
      <c r="BC2403" s="1053"/>
      <c r="BD2403" s="1049"/>
      <c r="BE2403" s="1054"/>
      <c r="BF2403" s="1055"/>
      <c r="BG2403" s="1055"/>
      <c r="BH2403" s="1055"/>
      <c r="BI2403" s="1055"/>
      <c r="BJ2403" s="1055"/>
      <c r="BK2403" s="1055"/>
      <c r="BL2403" s="1055"/>
      <c r="BM2403" s="1055"/>
      <c r="BN2403" s="1055"/>
      <c r="BO2403" s="1056"/>
      <c r="BP2403" s="1056"/>
      <c r="BQ2403" s="1056"/>
      <c r="BR2403" s="1056"/>
      <c r="BS2403" s="1056"/>
      <c r="BT2403" s="1056"/>
      <c r="BU2403" s="1056"/>
      <c r="BV2403" s="1057"/>
      <c r="BW2403" s="1057"/>
      <c r="BX2403" s="1148"/>
      <c r="BY2403" s="1057"/>
      <c r="BZ2403" s="1057"/>
      <c r="CA2403" s="1057"/>
      <c r="CB2403" s="1032"/>
    </row>
    <row r="2404" spans="2:80">
      <c r="B2404" s="1033" t="s">
        <v>7895</v>
      </c>
      <c r="C2404" s="839" t="s">
        <v>7454</v>
      </c>
      <c r="D2404" s="1033" t="s">
        <v>7774</v>
      </c>
      <c r="E2404" s="1033" t="s">
        <v>7774</v>
      </c>
      <c r="F2404" s="1034">
        <v>46077</v>
      </c>
      <c r="G2404" s="1033" t="s">
        <v>7454</v>
      </c>
      <c r="H2404" s="1063" t="s">
        <v>3457</v>
      </c>
      <c r="I2404" s="1063"/>
      <c r="J2404" s="1034"/>
      <c r="K2404" s="1034"/>
      <c r="L2404" s="1036" t="s">
        <v>7456</v>
      </c>
      <c r="M2404" s="1037" t="s">
        <v>107</v>
      </c>
      <c r="N2404" s="1034"/>
      <c r="O2404" s="1064"/>
      <c r="P2404" s="1035"/>
      <c r="Q2404" s="1036"/>
      <c r="R2404" s="1038" t="s">
        <v>7690</v>
      </c>
      <c r="S2404" s="1131" t="s">
        <v>7922</v>
      </c>
      <c r="T2404" s="1036" t="s">
        <v>7923</v>
      </c>
      <c r="U2404" s="1066">
        <v>1</v>
      </c>
      <c r="V2404" s="1035" t="s">
        <v>3</v>
      </c>
      <c r="W2404" s="1039">
        <v>2567.9999999999995</v>
      </c>
      <c r="X2404" s="1040">
        <f t="shared" si="502"/>
        <v>2567.9999999999995</v>
      </c>
      <c r="Y2404" s="1045">
        <v>0.55000000000000004</v>
      </c>
      <c r="Z2404" s="1041">
        <v>1155.5999999999999</v>
      </c>
      <c r="AA2404" s="1041"/>
      <c r="AB2404" s="1041">
        <f t="shared" si="503"/>
        <v>1155.5999999999999</v>
      </c>
      <c r="AC2404" s="1042">
        <f t="shared" si="504"/>
        <v>1155.5999999999999</v>
      </c>
      <c r="AD2404" s="1043">
        <v>32000</v>
      </c>
      <c r="AE2404" s="1044"/>
      <c r="AF2404" s="1045"/>
      <c r="AG2404" s="1046"/>
      <c r="AH2404" s="1045"/>
      <c r="AI2404" s="1047"/>
      <c r="AJ2404" s="1038"/>
      <c r="AK2404" s="1048"/>
      <c r="AL2404" s="1036"/>
      <c r="AM2404" s="1036"/>
      <c r="AN2404" s="1037"/>
      <c r="AO2404" s="1037"/>
      <c r="AP2404" s="1034"/>
      <c r="AQ2404" s="1035"/>
      <c r="AR2404" s="1034"/>
      <c r="AS2404" s="1035"/>
      <c r="AT2404" s="1035"/>
      <c r="AU2404" s="1035"/>
      <c r="AV2404" s="1038"/>
      <c r="AW2404" s="1050"/>
      <c r="AX2404" s="1051"/>
      <c r="AY2404" s="1036"/>
      <c r="AZ2404" s="1035"/>
      <c r="BA2404" s="1035"/>
      <c r="BB2404" s="1052"/>
      <c r="BC2404" s="1053"/>
      <c r="BD2404" s="1049"/>
      <c r="BE2404" s="1054"/>
      <c r="BF2404" s="1055"/>
      <c r="BG2404" s="1055"/>
      <c r="BH2404" s="1055"/>
      <c r="BI2404" s="1055"/>
      <c r="BJ2404" s="1055"/>
      <c r="BK2404" s="1055"/>
      <c r="BL2404" s="1055"/>
      <c r="BM2404" s="1055"/>
      <c r="BN2404" s="1055"/>
      <c r="BO2404" s="1056"/>
      <c r="BP2404" s="1056"/>
      <c r="BQ2404" s="1056"/>
      <c r="BR2404" s="1056"/>
      <c r="BS2404" s="1056"/>
      <c r="BT2404" s="1056"/>
      <c r="BU2404" s="1056"/>
      <c r="BV2404" s="1057"/>
      <c r="BW2404" s="1057"/>
      <c r="BX2404" s="1148"/>
      <c r="BY2404" s="1057"/>
      <c r="BZ2404" s="1057"/>
      <c r="CA2404" s="1057"/>
      <c r="CB2404" s="1032"/>
    </row>
    <row r="2405" spans="2:80">
      <c r="B2405" s="1033" t="s">
        <v>7895</v>
      </c>
      <c r="C2405" s="839" t="s">
        <v>7454</v>
      </c>
      <c r="D2405" s="1033" t="s">
        <v>7774</v>
      </c>
      <c r="E2405" s="1033" t="s">
        <v>7774</v>
      </c>
      <c r="F2405" s="1034">
        <v>46077</v>
      </c>
      <c r="G2405" s="1033" t="s">
        <v>7454</v>
      </c>
      <c r="H2405" s="1063" t="s">
        <v>3457</v>
      </c>
      <c r="I2405" s="1063"/>
      <c r="J2405" s="1034"/>
      <c r="K2405" s="1034"/>
      <c r="L2405" s="1036" t="s">
        <v>7456</v>
      </c>
      <c r="M2405" s="1037" t="s">
        <v>107</v>
      </c>
      <c r="N2405" s="1034"/>
      <c r="O2405" s="1064"/>
      <c r="P2405" s="1035"/>
      <c r="Q2405" s="1036"/>
      <c r="R2405" s="1038" t="s">
        <v>7924</v>
      </c>
      <c r="S2405" s="1131" t="s">
        <v>7925</v>
      </c>
      <c r="T2405" s="1036" t="s">
        <v>7926</v>
      </c>
      <c r="U2405" s="1066">
        <v>1</v>
      </c>
      <c r="V2405" s="1035" t="s">
        <v>3</v>
      </c>
      <c r="W2405" s="1039">
        <v>2806</v>
      </c>
      <c r="X2405" s="1040">
        <f t="shared" si="498"/>
        <v>2806</v>
      </c>
      <c r="Y2405" s="1045">
        <v>0.55000000000000004</v>
      </c>
      <c r="Z2405" s="1041">
        <v>1262.7</v>
      </c>
      <c r="AA2405" s="1041"/>
      <c r="AB2405" s="1041">
        <f t="shared" si="503"/>
        <v>1262.7</v>
      </c>
      <c r="AC2405" s="1042">
        <f t="shared" si="504"/>
        <v>1262.7</v>
      </c>
      <c r="AD2405" s="1043">
        <v>32000</v>
      </c>
      <c r="AE2405" s="1044"/>
      <c r="AF2405" s="1045"/>
      <c r="AG2405" s="1046"/>
      <c r="AH2405" s="1045"/>
      <c r="AI2405" s="1047"/>
      <c r="AJ2405" s="1038"/>
      <c r="AK2405" s="1048"/>
      <c r="AL2405" s="1036"/>
      <c r="AM2405" s="1036"/>
      <c r="AN2405" s="1037"/>
      <c r="AO2405" s="1037"/>
      <c r="AP2405" s="1034"/>
      <c r="AQ2405" s="1035"/>
      <c r="AR2405" s="1034"/>
      <c r="AS2405" s="1035"/>
      <c r="AT2405" s="1035"/>
      <c r="AU2405" s="1035"/>
      <c r="AV2405" s="1038"/>
      <c r="AW2405" s="1050"/>
      <c r="AX2405" s="1051"/>
      <c r="AY2405" s="1036"/>
      <c r="AZ2405" s="1035"/>
      <c r="BA2405" s="1035"/>
      <c r="BB2405" s="1052"/>
      <c r="BC2405" s="1053"/>
      <c r="BD2405" s="1049"/>
      <c r="BE2405" s="1054"/>
      <c r="BF2405" s="1055"/>
      <c r="BG2405" s="1055"/>
      <c r="BH2405" s="1055"/>
      <c r="BI2405" s="1055"/>
      <c r="BJ2405" s="1055"/>
      <c r="BK2405" s="1055"/>
      <c r="BL2405" s="1055"/>
      <c r="BM2405" s="1055"/>
      <c r="BN2405" s="1055"/>
      <c r="BO2405" s="1056"/>
      <c r="BP2405" s="1056"/>
      <c r="BQ2405" s="1056"/>
      <c r="BR2405" s="1056"/>
      <c r="BS2405" s="1056"/>
      <c r="BT2405" s="1056"/>
      <c r="BU2405" s="1056"/>
      <c r="BV2405" s="1057"/>
      <c r="BW2405" s="1057"/>
      <c r="BX2405" s="1148"/>
      <c r="BY2405" s="1057"/>
      <c r="BZ2405" s="1057"/>
      <c r="CA2405" s="1057"/>
      <c r="CB2405" s="1032"/>
    </row>
    <row r="2406" spans="2:80">
      <c r="B2406" s="1033" t="s">
        <v>7895</v>
      </c>
      <c r="C2406" s="839" t="s">
        <v>7454</v>
      </c>
      <c r="D2406" s="1033" t="s">
        <v>7774</v>
      </c>
      <c r="E2406" s="1033" t="s">
        <v>7774</v>
      </c>
      <c r="F2406" s="1034">
        <v>46077</v>
      </c>
      <c r="G2406" s="1033" t="s">
        <v>7775</v>
      </c>
      <c r="H2406" s="1063" t="s">
        <v>3457</v>
      </c>
      <c r="I2406" s="1063"/>
      <c r="J2406" s="1034"/>
      <c r="K2406" s="1034"/>
      <c r="L2406" s="1036" t="s">
        <v>7456</v>
      </c>
      <c r="M2406" s="1037" t="s">
        <v>107</v>
      </c>
      <c r="N2406" s="1034"/>
      <c r="O2406" s="1064"/>
      <c r="P2406" s="1035"/>
      <c r="Q2406" s="1036"/>
      <c r="R2406" s="1038" t="s">
        <v>7927</v>
      </c>
      <c r="S2406" s="1131" t="s">
        <v>7928</v>
      </c>
      <c r="T2406" s="1036" t="s">
        <v>7929</v>
      </c>
      <c r="U2406" s="1066">
        <v>1</v>
      </c>
      <c r="V2406" s="1035" t="s">
        <v>3</v>
      </c>
      <c r="W2406" s="1039">
        <v>15119.985632183907</v>
      </c>
      <c r="X2406" s="1040">
        <f t="shared" si="498"/>
        <v>15119.985632183907</v>
      </c>
      <c r="Y2406" s="1045" t="s">
        <v>7460</v>
      </c>
      <c r="Z2406" s="1041">
        <v>10523.51</v>
      </c>
      <c r="AA2406" s="1041"/>
      <c r="AB2406" s="1041">
        <f t="shared" si="503"/>
        <v>10523.51</v>
      </c>
      <c r="AC2406" s="1042">
        <f t="shared" si="504"/>
        <v>10523.51</v>
      </c>
      <c r="AD2406" s="1043">
        <v>32000</v>
      </c>
      <c r="AE2406" s="1044"/>
      <c r="AF2406" s="1045"/>
      <c r="AG2406" s="1046"/>
      <c r="AH2406" s="1045"/>
      <c r="AI2406" s="1047"/>
      <c r="AJ2406" s="1038"/>
      <c r="AK2406" s="1048"/>
      <c r="AL2406" s="1036"/>
      <c r="AM2406" s="1036"/>
      <c r="AN2406" s="1037"/>
      <c r="AO2406" s="1037"/>
      <c r="AP2406" s="1034"/>
      <c r="AQ2406" s="1035"/>
      <c r="AR2406" s="1034"/>
      <c r="AS2406" s="1035"/>
      <c r="AT2406" s="1035"/>
      <c r="AU2406" s="1035"/>
      <c r="AV2406" s="1038"/>
      <c r="AW2406" s="1050"/>
      <c r="AX2406" s="1051"/>
      <c r="AY2406" s="1036"/>
      <c r="AZ2406" s="1035"/>
      <c r="BA2406" s="1035"/>
      <c r="BB2406" s="1052"/>
      <c r="BC2406" s="1053"/>
      <c r="BD2406" s="1049"/>
      <c r="BE2406" s="1054"/>
      <c r="BF2406" s="1055"/>
      <c r="BG2406" s="1055"/>
      <c r="BH2406" s="1055"/>
      <c r="BI2406" s="1055"/>
      <c r="BJ2406" s="1055"/>
      <c r="BK2406" s="1055"/>
      <c r="BL2406" s="1055"/>
      <c r="BM2406" s="1055"/>
      <c r="BN2406" s="1055"/>
      <c r="BO2406" s="1056"/>
      <c r="BP2406" s="1056"/>
      <c r="BQ2406" s="1056"/>
      <c r="BR2406" s="1056"/>
      <c r="BS2406" s="1056"/>
      <c r="BT2406" s="1056"/>
      <c r="BU2406" s="1056"/>
      <c r="BV2406" s="1057"/>
      <c r="BW2406" s="1057"/>
      <c r="BX2406" s="1148"/>
      <c r="BY2406" s="1057"/>
      <c r="BZ2406" s="1057"/>
      <c r="CA2406" s="1057"/>
      <c r="CB2406" s="1032"/>
    </row>
    <row r="2407" spans="2:80">
      <c r="B2407" s="1033" t="s">
        <v>7895</v>
      </c>
      <c r="C2407" s="839" t="s">
        <v>7454</v>
      </c>
      <c r="D2407" s="1033" t="s">
        <v>7774</v>
      </c>
      <c r="E2407" s="1033" t="s">
        <v>7774</v>
      </c>
      <c r="F2407" s="1034">
        <v>46077</v>
      </c>
      <c r="G2407" s="1033" t="s">
        <v>7775</v>
      </c>
      <c r="H2407" s="1063" t="s">
        <v>3457</v>
      </c>
      <c r="I2407" s="1063"/>
      <c r="J2407" s="1034"/>
      <c r="K2407" s="1034"/>
      <c r="L2407" s="1036" t="s">
        <v>7456</v>
      </c>
      <c r="M2407" s="1037" t="s">
        <v>107</v>
      </c>
      <c r="N2407" s="1034"/>
      <c r="O2407" s="1064"/>
      <c r="P2407" s="1035"/>
      <c r="Q2407" s="1036"/>
      <c r="R2407" s="1038" t="s">
        <v>7930</v>
      </c>
      <c r="S2407" s="1131" t="s">
        <v>7931</v>
      </c>
      <c r="T2407" s="1036" t="s">
        <v>7932</v>
      </c>
      <c r="U2407" s="1066">
        <v>1</v>
      </c>
      <c r="V2407" s="1035" t="s">
        <v>3</v>
      </c>
      <c r="W2407" s="1039">
        <v>956.99712643678163</v>
      </c>
      <c r="X2407" s="1040">
        <f t="shared" si="498"/>
        <v>956.99712643678163</v>
      </c>
      <c r="Y2407" s="1045" t="s">
        <v>7460</v>
      </c>
      <c r="Z2407" s="1041">
        <v>666.07</v>
      </c>
      <c r="AA2407" s="1041"/>
      <c r="AB2407" s="1041">
        <f t="shared" si="503"/>
        <v>666.07</v>
      </c>
      <c r="AC2407" s="1042">
        <f t="shared" si="504"/>
        <v>666.07</v>
      </c>
      <c r="AD2407" s="1043">
        <v>32000</v>
      </c>
      <c r="AE2407" s="1044"/>
      <c r="AF2407" s="1045"/>
      <c r="AG2407" s="1046"/>
      <c r="AH2407" s="1045"/>
      <c r="AI2407" s="1047"/>
      <c r="AJ2407" s="1038"/>
      <c r="AK2407" s="1048"/>
      <c r="AL2407" s="1036"/>
      <c r="AM2407" s="1036"/>
      <c r="AN2407" s="1037"/>
      <c r="AO2407" s="1037"/>
      <c r="AP2407" s="1034"/>
      <c r="AQ2407" s="1035"/>
      <c r="AR2407" s="1034"/>
      <c r="AS2407" s="1035"/>
      <c r="AT2407" s="1035"/>
      <c r="AU2407" s="1035"/>
      <c r="AV2407" s="1038"/>
      <c r="AW2407" s="1050"/>
      <c r="AX2407" s="1051"/>
      <c r="AY2407" s="1036"/>
      <c r="AZ2407" s="1035"/>
      <c r="BA2407" s="1035"/>
      <c r="BB2407" s="1052"/>
      <c r="BC2407" s="1053"/>
      <c r="BD2407" s="1049"/>
      <c r="BE2407" s="1054"/>
      <c r="BF2407" s="1055"/>
      <c r="BG2407" s="1055"/>
      <c r="BH2407" s="1055"/>
      <c r="BI2407" s="1055"/>
      <c r="BJ2407" s="1055"/>
      <c r="BK2407" s="1055"/>
      <c r="BL2407" s="1055"/>
      <c r="BM2407" s="1055"/>
      <c r="BN2407" s="1055"/>
      <c r="BO2407" s="1056"/>
      <c r="BP2407" s="1056"/>
      <c r="BQ2407" s="1056"/>
      <c r="BR2407" s="1056"/>
      <c r="BS2407" s="1056"/>
      <c r="BT2407" s="1056"/>
      <c r="BU2407" s="1056"/>
      <c r="BV2407" s="1057"/>
      <c r="BW2407" s="1057"/>
      <c r="BX2407" s="1148"/>
      <c r="BY2407" s="1057"/>
      <c r="BZ2407" s="1057"/>
      <c r="CA2407" s="1057"/>
      <c r="CB2407" s="1032"/>
    </row>
    <row r="2408" spans="2:80">
      <c r="B2408" s="1033" t="s">
        <v>7895</v>
      </c>
      <c r="C2408" s="839" t="s">
        <v>7454</v>
      </c>
      <c r="D2408" s="1033" t="s">
        <v>7774</v>
      </c>
      <c r="E2408" s="1033" t="s">
        <v>7774</v>
      </c>
      <c r="F2408" s="1034">
        <v>46077</v>
      </c>
      <c r="G2408" s="1033" t="s">
        <v>7775</v>
      </c>
      <c r="H2408" s="1063" t="s">
        <v>3457</v>
      </c>
      <c r="I2408" s="1063"/>
      <c r="J2408" s="1034"/>
      <c r="K2408" s="1034"/>
      <c r="L2408" s="1036" t="s">
        <v>7456</v>
      </c>
      <c r="M2408" s="1037" t="s">
        <v>107</v>
      </c>
      <c r="N2408" s="1034"/>
      <c r="O2408" s="1064"/>
      <c r="P2408" s="1035"/>
      <c r="Q2408" s="1036"/>
      <c r="R2408" s="1038" t="s">
        <v>7933</v>
      </c>
      <c r="S2408" s="1131" t="s">
        <v>7934</v>
      </c>
      <c r="T2408" s="1036" t="s">
        <v>7935</v>
      </c>
      <c r="U2408" s="1066">
        <v>1</v>
      </c>
      <c r="V2408" s="1035" t="s">
        <v>3</v>
      </c>
      <c r="W2408" s="1039">
        <v>5898.9942528735628</v>
      </c>
      <c r="X2408" s="1040">
        <f t="shared" si="498"/>
        <v>5898.9942528735628</v>
      </c>
      <c r="Y2408" s="1045" t="s">
        <v>7460</v>
      </c>
      <c r="Z2408" s="1041">
        <v>4105.7</v>
      </c>
      <c r="AA2408" s="1041"/>
      <c r="AB2408" s="1041">
        <f t="shared" si="503"/>
        <v>4105.7</v>
      </c>
      <c r="AC2408" s="1042">
        <f t="shared" si="504"/>
        <v>4105.7</v>
      </c>
      <c r="AD2408" s="1043">
        <v>32000</v>
      </c>
      <c r="AE2408" s="1044"/>
      <c r="AF2408" s="1045"/>
      <c r="AG2408" s="1046"/>
      <c r="AH2408" s="1045"/>
      <c r="AI2408" s="1047"/>
      <c r="AJ2408" s="1038"/>
      <c r="AK2408" s="1048"/>
      <c r="AL2408" s="1036"/>
      <c r="AM2408" s="1036"/>
      <c r="AN2408" s="1037"/>
      <c r="AO2408" s="1037"/>
      <c r="AP2408" s="1034"/>
      <c r="AQ2408" s="1035"/>
      <c r="AR2408" s="1034"/>
      <c r="AS2408" s="1035"/>
      <c r="AT2408" s="1035"/>
      <c r="AU2408" s="1035"/>
      <c r="AV2408" s="1038"/>
      <c r="AW2408" s="1050"/>
      <c r="AX2408" s="1051"/>
      <c r="AY2408" s="1036"/>
      <c r="AZ2408" s="1035"/>
      <c r="BA2408" s="1035"/>
      <c r="BB2408" s="1052"/>
      <c r="BC2408" s="1053"/>
      <c r="BD2408" s="1049"/>
      <c r="BE2408" s="1054"/>
      <c r="BF2408" s="1055"/>
      <c r="BG2408" s="1055"/>
      <c r="BH2408" s="1055"/>
      <c r="BI2408" s="1055"/>
      <c r="BJ2408" s="1055"/>
      <c r="BK2408" s="1055"/>
      <c r="BL2408" s="1055"/>
      <c r="BM2408" s="1055"/>
      <c r="BN2408" s="1055"/>
      <c r="BO2408" s="1056"/>
      <c r="BP2408" s="1056"/>
      <c r="BQ2408" s="1056"/>
      <c r="BR2408" s="1056"/>
      <c r="BS2408" s="1056"/>
      <c r="BT2408" s="1056"/>
      <c r="BU2408" s="1056"/>
      <c r="BV2408" s="1057"/>
      <c r="BW2408" s="1057"/>
      <c r="BX2408" s="1148"/>
      <c r="BY2408" s="1057"/>
      <c r="BZ2408" s="1057"/>
      <c r="CA2408" s="1057"/>
      <c r="CB2408" s="1032"/>
    </row>
    <row r="2409" spans="2:80">
      <c r="B2409" s="1033" t="s">
        <v>7895</v>
      </c>
      <c r="C2409" s="839" t="s">
        <v>7454</v>
      </c>
      <c r="D2409" s="1033" t="s">
        <v>7774</v>
      </c>
      <c r="E2409" s="1033" t="s">
        <v>7774</v>
      </c>
      <c r="F2409" s="1034">
        <v>46077</v>
      </c>
      <c r="G2409" s="1033" t="s">
        <v>7775</v>
      </c>
      <c r="H2409" s="1063" t="s">
        <v>3457</v>
      </c>
      <c r="I2409" s="1063"/>
      <c r="J2409" s="1034"/>
      <c r="K2409" s="1034"/>
      <c r="L2409" s="1036" t="s">
        <v>7456</v>
      </c>
      <c r="M2409" s="1037" t="s">
        <v>107</v>
      </c>
      <c r="N2409" s="1034"/>
      <c r="O2409" s="1064"/>
      <c r="P2409" s="1035"/>
      <c r="Q2409" s="1036"/>
      <c r="R2409" s="1038" t="s">
        <v>7936</v>
      </c>
      <c r="S2409" s="1131" t="s">
        <v>7937</v>
      </c>
      <c r="T2409" s="1036" t="s">
        <v>7938</v>
      </c>
      <c r="U2409" s="1066">
        <v>2</v>
      </c>
      <c r="V2409" s="1035" t="s">
        <v>3</v>
      </c>
      <c r="W2409" s="1039">
        <v>1723.9942528735633</v>
      </c>
      <c r="X2409" s="1040">
        <f t="shared" si="498"/>
        <v>3447.9885057471265</v>
      </c>
      <c r="Y2409" s="1045" t="s">
        <v>7460</v>
      </c>
      <c r="Z2409" s="1041">
        <v>1199.9000000000001</v>
      </c>
      <c r="AA2409" s="1041"/>
      <c r="AB2409" s="1041">
        <f t="shared" si="503"/>
        <v>2399.8000000000002</v>
      </c>
      <c r="AC2409" s="1042">
        <f t="shared" si="504"/>
        <v>2399.8000000000002</v>
      </c>
      <c r="AD2409" s="1043">
        <v>32000</v>
      </c>
      <c r="AE2409" s="1044"/>
      <c r="AF2409" s="1045"/>
      <c r="AG2409" s="1046"/>
      <c r="AH2409" s="1045"/>
      <c r="AI2409" s="1047"/>
      <c r="AJ2409" s="1038"/>
      <c r="AK2409" s="1048"/>
      <c r="AL2409" s="1036"/>
      <c r="AM2409" s="1036"/>
      <c r="AN2409" s="1037"/>
      <c r="AO2409" s="1037"/>
      <c r="AP2409" s="1034"/>
      <c r="AQ2409" s="1035"/>
      <c r="AR2409" s="1034"/>
      <c r="AS2409" s="1035"/>
      <c r="AT2409" s="1035"/>
      <c r="AU2409" s="1035"/>
      <c r="AV2409" s="1038"/>
      <c r="AW2409" s="1050"/>
      <c r="AX2409" s="1051"/>
      <c r="AY2409" s="1036"/>
      <c r="AZ2409" s="1035"/>
      <c r="BA2409" s="1035"/>
      <c r="BB2409" s="1052"/>
      <c r="BC2409" s="1053"/>
      <c r="BD2409" s="1049"/>
      <c r="BE2409" s="1054"/>
      <c r="BF2409" s="1055"/>
      <c r="BG2409" s="1055"/>
      <c r="BH2409" s="1055"/>
      <c r="BI2409" s="1055"/>
      <c r="BJ2409" s="1055"/>
      <c r="BK2409" s="1055"/>
      <c r="BL2409" s="1055"/>
      <c r="BM2409" s="1055"/>
      <c r="BN2409" s="1055"/>
      <c r="BO2409" s="1056"/>
      <c r="BP2409" s="1056"/>
      <c r="BQ2409" s="1056"/>
      <c r="BR2409" s="1056"/>
      <c r="BS2409" s="1056"/>
      <c r="BT2409" s="1056"/>
      <c r="BU2409" s="1056"/>
      <c r="BV2409" s="1057"/>
      <c r="BW2409" s="1057"/>
      <c r="BX2409" s="1148"/>
      <c r="BY2409" s="1057"/>
      <c r="BZ2409" s="1057"/>
      <c r="CA2409" s="1057"/>
      <c r="CB2409" s="1032"/>
    </row>
    <row r="2410" spans="2:80">
      <c r="B2410" s="1033" t="s">
        <v>7895</v>
      </c>
      <c r="C2410" s="839" t="s">
        <v>7454</v>
      </c>
      <c r="D2410" s="1033" t="s">
        <v>7774</v>
      </c>
      <c r="E2410" s="1033" t="s">
        <v>7774</v>
      </c>
      <c r="F2410" s="1034">
        <v>46077</v>
      </c>
      <c r="G2410" s="1033" t="s">
        <v>7775</v>
      </c>
      <c r="H2410" s="1063" t="s">
        <v>3457</v>
      </c>
      <c r="I2410" s="1063"/>
      <c r="J2410" s="1034"/>
      <c r="K2410" s="1034"/>
      <c r="L2410" s="1036" t="s">
        <v>7456</v>
      </c>
      <c r="M2410" s="1037" t="s">
        <v>107</v>
      </c>
      <c r="N2410" s="1034"/>
      <c r="O2410" s="1064"/>
      <c r="P2410" s="1035"/>
      <c r="Q2410" s="1036"/>
      <c r="R2410" s="1038" t="s">
        <v>7939</v>
      </c>
      <c r="S2410" s="1131" t="s">
        <v>7940</v>
      </c>
      <c r="T2410" s="1036" t="s">
        <v>7941</v>
      </c>
      <c r="U2410" s="1066">
        <v>1</v>
      </c>
      <c r="V2410" s="1035" t="s">
        <v>3</v>
      </c>
      <c r="W2410" s="1039">
        <v>5566.9971264367814</v>
      </c>
      <c r="X2410" s="1040">
        <f t="shared" si="498"/>
        <v>5566.9971264367814</v>
      </c>
      <c r="Y2410" s="1045" t="s">
        <v>7460</v>
      </c>
      <c r="Z2410" s="1041">
        <v>3874.63</v>
      </c>
      <c r="AA2410" s="1041"/>
      <c r="AB2410" s="1041">
        <f t="shared" si="503"/>
        <v>3874.63</v>
      </c>
      <c r="AC2410" s="1042">
        <f t="shared" si="504"/>
        <v>3874.63</v>
      </c>
      <c r="AD2410" s="1043">
        <v>32000</v>
      </c>
      <c r="AE2410" s="1044"/>
      <c r="AF2410" s="1045"/>
      <c r="AG2410" s="1046"/>
      <c r="AH2410" s="1045"/>
      <c r="AI2410" s="1047"/>
      <c r="AJ2410" s="1038"/>
      <c r="AK2410" s="1048"/>
      <c r="AL2410" s="1036"/>
      <c r="AM2410" s="1036"/>
      <c r="AN2410" s="1037"/>
      <c r="AO2410" s="1037"/>
      <c r="AP2410" s="1034"/>
      <c r="AQ2410" s="1035"/>
      <c r="AR2410" s="1034"/>
      <c r="AS2410" s="1035"/>
      <c r="AT2410" s="1035"/>
      <c r="AU2410" s="1035"/>
      <c r="AV2410" s="1038"/>
      <c r="AW2410" s="1050"/>
      <c r="AX2410" s="1051"/>
      <c r="AY2410" s="1036"/>
      <c r="AZ2410" s="1035"/>
      <c r="BA2410" s="1035"/>
      <c r="BB2410" s="1052"/>
      <c r="BC2410" s="1053"/>
      <c r="BD2410" s="1049"/>
      <c r="BE2410" s="1054"/>
      <c r="BF2410" s="1055"/>
      <c r="BG2410" s="1055"/>
      <c r="BH2410" s="1055"/>
      <c r="BI2410" s="1055"/>
      <c r="BJ2410" s="1055"/>
      <c r="BK2410" s="1055"/>
      <c r="BL2410" s="1055"/>
      <c r="BM2410" s="1055"/>
      <c r="BN2410" s="1055"/>
      <c r="BO2410" s="1056"/>
      <c r="BP2410" s="1056"/>
      <c r="BQ2410" s="1056"/>
      <c r="BR2410" s="1056"/>
      <c r="BS2410" s="1056"/>
      <c r="BT2410" s="1056"/>
      <c r="BU2410" s="1056"/>
      <c r="BV2410" s="1057"/>
      <c r="BW2410" s="1057"/>
      <c r="BX2410" s="1148"/>
      <c r="BY2410" s="1057"/>
      <c r="BZ2410" s="1057"/>
      <c r="CA2410" s="1057"/>
      <c r="CB2410" s="1032"/>
    </row>
    <row r="2411" spans="2:80">
      <c r="B2411" s="1033" t="s">
        <v>7895</v>
      </c>
      <c r="C2411" s="839" t="s">
        <v>7454</v>
      </c>
      <c r="D2411" s="1033" t="s">
        <v>7774</v>
      </c>
      <c r="E2411" s="1033" t="s">
        <v>7774</v>
      </c>
      <c r="F2411" s="1034">
        <v>46077</v>
      </c>
      <c r="G2411" s="1033" t="s">
        <v>7775</v>
      </c>
      <c r="H2411" s="1063" t="s">
        <v>3457</v>
      </c>
      <c r="I2411" s="1063"/>
      <c r="J2411" s="1034"/>
      <c r="K2411" s="1034"/>
      <c r="L2411" s="1036" t="s">
        <v>7456</v>
      </c>
      <c r="M2411" s="1037" t="s">
        <v>107</v>
      </c>
      <c r="N2411" s="1034"/>
      <c r="O2411" s="1064"/>
      <c r="P2411" s="1035"/>
      <c r="Q2411" s="1036"/>
      <c r="R2411" s="1038" t="s">
        <v>7942</v>
      </c>
      <c r="S2411" s="1131" t="s">
        <v>7943</v>
      </c>
      <c r="T2411" s="1036" t="s">
        <v>7944</v>
      </c>
      <c r="U2411" s="1066">
        <v>1</v>
      </c>
      <c r="V2411" s="1035" t="s">
        <v>3</v>
      </c>
      <c r="W2411" s="1039">
        <v>783.00287356321837</v>
      </c>
      <c r="X2411" s="1040">
        <f t="shared" si="498"/>
        <v>783.00287356321837</v>
      </c>
      <c r="Y2411" s="1045" t="s">
        <v>7460</v>
      </c>
      <c r="Z2411" s="1041">
        <v>544.97</v>
      </c>
      <c r="AA2411" s="1041"/>
      <c r="AB2411" s="1041">
        <f t="shared" si="503"/>
        <v>544.97</v>
      </c>
      <c r="AC2411" s="1042">
        <f t="shared" si="504"/>
        <v>544.97</v>
      </c>
      <c r="AD2411" s="1043">
        <v>32000</v>
      </c>
      <c r="AE2411" s="1044"/>
      <c r="AF2411" s="1045"/>
      <c r="AG2411" s="1046"/>
      <c r="AH2411" s="1045"/>
      <c r="AI2411" s="1047"/>
      <c r="AJ2411" s="1038"/>
      <c r="AK2411" s="1048"/>
      <c r="AL2411" s="1036"/>
      <c r="AM2411" s="1036"/>
      <c r="AN2411" s="1037"/>
      <c r="AO2411" s="1037"/>
      <c r="AP2411" s="1034"/>
      <c r="AQ2411" s="1035"/>
      <c r="AR2411" s="1034"/>
      <c r="AS2411" s="1035"/>
      <c r="AT2411" s="1035"/>
      <c r="AU2411" s="1035"/>
      <c r="AV2411" s="1038"/>
      <c r="AW2411" s="1050"/>
      <c r="AX2411" s="1051"/>
      <c r="AY2411" s="1036"/>
      <c r="AZ2411" s="1035"/>
      <c r="BA2411" s="1035"/>
      <c r="BB2411" s="1052"/>
      <c r="BC2411" s="1053"/>
      <c r="BD2411" s="1049"/>
      <c r="BE2411" s="1054"/>
      <c r="BF2411" s="1055"/>
      <c r="BG2411" s="1055"/>
      <c r="BH2411" s="1055"/>
      <c r="BI2411" s="1055"/>
      <c r="BJ2411" s="1055"/>
      <c r="BK2411" s="1055"/>
      <c r="BL2411" s="1055"/>
      <c r="BM2411" s="1055"/>
      <c r="BN2411" s="1055"/>
      <c r="BO2411" s="1056"/>
      <c r="BP2411" s="1056"/>
      <c r="BQ2411" s="1056"/>
      <c r="BR2411" s="1056"/>
      <c r="BS2411" s="1056"/>
      <c r="BT2411" s="1056"/>
      <c r="BU2411" s="1056"/>
      <c r="BV2411" s="1057"/>
      <c r="BW2411" s="1057"/>
      <c r="BX2411" s="1148"/>
      <c r="BY2411" s="1057"/>
      <c r="BZ2411" s="1057"/>
      <c r="CA2411" s="1057"/>
      <c r="CB2411" s="1032"/>
    </row>
    <row r="2412" spans="2:80">
      <c r="B2412" s="1033" t="s">
        <v>7895</v>
      </c>
      <c r="C2412" s="839" t="s">
        <v>7454</v>
      </c>
      <c r="D2412" s="1033" t="s">
        <v>7774</v>
      </c>
      <c r="E2412" s="1033" t="s">
        <v>7774</v>
      </c>
      <c r="F2412" s="1034">
        <v>46077</v>
      </c>
      <c r="G2412" s="1033" t="s">
        <v>7775</v>
      </c>
      <c r="H2412" s="1063" t="s">
        <v>3457</v>
      </c>
      <c r="I2412" s="1063"/>
      <c r="J2412" s="1034"/>
      <c r="K2412" s="1034"/>
      <c r="L2412" s="1036" t="s">
        <v>7456</v>
      </c>
      <c r="M2412" s="1037" t="s">
        <v>107</v>
      </c>
      <c r="N2412" s="1034"/>
      <c r="O2412" s="1064"/>
      <c r="P2412" s="1035"/>
      <c r="Q2412" s="1036"/>
      <c r="R2412" s="1038" t="s">
        <v>7945</v>
      </c>
      <c r="S2412" s="1131" t="s">
        <v>7946</v>
      </c>
      <c r="T2412" s="1036" t="s">
        <v>7947</v>
      </c>
      <c r="U2412" s="1066">
        <v>1</v>
      </c>
      <c r="V2412" s="1035" t="s">
        <v>3</v>
      </c>
      <c r="W2412" s="1039">
        <v>1118.0028735632184</v>
      </c>
      <c r="X2412" s="1040">
        <f t="shared" si="498"/>
        <v>1118.0028735632184</v>
      </c>
      <c r="Y2412" s="1045" t="s">
        <v>7460</v>
      </c>
      <c r="Z2412" s="1041">
        <v>778.13</v>
      </c>
      <c r="AA2412" s="1041"/>
      <c r="AB2412" s="1041">
        <f t="shared" si="503"/>
        <v>778.13</v>
      </c>
      <c r="AC2412" s="1042">
        <f t="shared" si="504"/>
        <v>778.13</v>
      </c>
      <c r="AD2412" s="1043">
        <v>32000</v>
      </c>
      <c r="AE2412" s="1044"/>
      <c r="AF2412" s="1045"/>
      <c r="AG2412" s="1046"/>
      <c r="AH2412" s="1045"/>
      <c r="AI2412" s="1047"/>
      <c r="AJ2412" s="1038"/>
      <c r="AK2412" s="1048"/>
      <c r="AL2412" s="1036"/>
      <c r="AM2412" s="1036"/>
      <c r="AN2412" s="1037"/>
      <c r="AO2412" s="1037"/>
      <c r="AP2412" s="1034"/>
      <c r="AQ2412" s="1035"/>
      <c r="AR2412" s="1034"/>
      <c r="AS2412" s="1035"/>
      <c r="AT2412" s="1035"/>
      <c r="AU2412" s="1035"/>
      <c r="AV2412" s="1038"/>
      <c r="AW2412" s="1050"/>
      <c r="AX2412" s="1051"/>
      <c r="AY2412" s="1036"/>
      <c r="AZ2412" s="1035"/>
      <c r="BA2412" s="1035"/>
      <c r="BB2412" s="1052"/>
      <c r="BC2412" s="1053"/>
      <c r="BD2412" s="1049"/>
      <c r="BE2412" s="1054"/>
      <c r="BF2412" s="1055"/>
      <c r="BG2412" s="1055"/>
      <c r="BH2412" s="1055"/>
      <c r="BI2412" s="1055"/>
      <c r="BJ2412" s="1055"/>
      <c r="BK2412" s="1055"/>
      <c r="BL2412" s="1055"/>
      <c r="BM2412" s="1055"/>
      <c r="BN2412" s="1055"/>
      <c r="BO2412" s="1056"/>
      <c r="BP2412" s="1056"/>
      <c r="BQ2412" s="1056"/>
      <c r="BR2412" s="1056"/>
      <c r="BS2412" s="1056"/>
      <c r="BT2412" s="1056"/>
      <c r="BU2412" s="1056"/>
      <c r="BV2412" s="1057"/>
      <c r="BW2412" s="1057"/>
      <c r="BX2412" s="1148"/>
      <c r="BY2412" s="1057"/>
      <c r="BZ2412" s="1057"/>
      <c r="CA2412" s="1057"/>
      <c r="CB2412" s="1032"/>
    </row>
    <row r="2413" spans="2:80">
      <c r="B2413" s="1033" t="s">
        <v>7895</v>
      </c>
      <c r="C2413" s="839" t="s">
        <v>7454</v>
      </c>
      <c r="D2413" s="1033" t="s">
        <v>7774</v>
      </c>
      <c r="E2413" s="1033" t="s">
        <v>7774</v>
      </c>
      <c r="F2413" s="1034">
        <v>46077</v>
      </c>
      <c r="G2413" s="1033" t="s">
        <v>7454</v>
      </c>
      <c r="H2413" s="1063" t="s">
        <v>3457</v>
      </c>
      <c r="I2413" s="1063"/>
      <c r="J2413" s="1034"/>
      <c r="K2413" s="1034"/>
      <c r="L2413" s="1036" t="s">
        <v>7456</v>
      </c>
      <c r="M2413" s="1037" t="s">
        <v>107</v>
      </c>
      <c r="N2413" s="1034"/>
      <c r="O2413" s="1064"/>
      <c r="P2413" s="1035"/>
      <c r="Q2413" s="1036"/>
      <c r="R2413" s="1038" t="s">
        <v>7924</v>
      </c>
      <c r="S2413" s="1131" t="s">
        <v>7925</v>
      </c>
      <c r="T2413" s="1036" t="s">
        <v>7926</v>
      </c>
      <c r="U2413" s="1066">
        <v>2</v>
      </c>
      <c r="V2413" s="1035" t="s">
        <v>3</v>
      </c>
      <c r="W2413" s="1039">
        <v>2806</v>
      </c>
      <c r="X2413" s="1040">
        <f t="shared" si="498"/>
        <v>5612</v>
      </c>
      <c r="Y2413" s="1045">
        <v>0.55000000000000004</v>
      </c>
      <c r="Z2413" s="1041">
        <v>1262.7</v>
      </c>
      <c r="AA2413" s="1041"/>
      <c r="AB2413" s="1041">
        <f t="shared" si="503"/>
        <v>2525.4</v>
      </c>
      <c r="AC2413" s="1042">
        <f t="shared" si="504"/>
        <v>2525.4</v>
      </c>
      <c r="AD2413" s="1043">
        <v>32000</v>
      </c>
      <c r="AE2413" s="1044"/>
      <c r="AF2413" s="1045"/>
      <c r="AG2413" s="1046"/>
      <c r="AH2413" s="1045"/>
      <c r="AI2413" s="1047"/>
      <c r="AJ2413" s="1038"/>
      <c r="AK2413" s="1048"/>
      <c r="AL2413" s="1036"/>
      <c r="AM2413" s="1036"/>
      <c r="AN2413" s="1037"/>
      <c r="AO2413" s="1037"/>
      <c r="AP2413" s="1034"/>
      <c r="AQ2413" s="1035"/>
      <c r="AR2413" s="1034"/>
      <c r="AS2413" s="1035"/>
      <c r="AT2413" s="1035"/>
      <c r="AU2413" s="1035"/>
      <c r="AV2413" s="1038"/>
      <c r="AW2413" s="1050"/>
      <c r="AX2413" s="1051"/>
      <c r="AY2413" s="1036"/>
      <c r="AZ2413" s="1035"/>
      <c r="BA2413" s="1035"/>
      <c r="BB2413" s="1052"/>
      <c r="BC2413" s="1053"/>
      <c r="BD2413" s="1049"/>
      <c r="BE2413" s="1054"/>
      <c r="BF2413" s="1055"/>
      <c r="BG2413" s="1055"/>
      <c r="BH2413" s="1055"/>
      <c r="BI2413" s="1055"/>
      <c r="BJ2413" s="1055"/>
      <c r="BK2413" s="1055"/>
      <c r="BL2413" s="1055"/>
      <c r="BM2413" s="1055"/>
      <c r="BN2413" s="1055"/>
      <c r="BO2413" s="1056"/>
      <c r="BP2413" s="1056"/>
      <c r="BQ2413" s="1056"/>
      <c r="BR2413" s="1056"/>
      <c r="BS2413" s="1056"/>
      <c r="BT2413" s="1056"/>
      <c r="BU2413" s="1056"/>
      <c r="BV2413" s="1057"/>
      <c r="BW2413" s="1057"/>
      <c r="BX2413" s="1148"/>
      <c r="BY2413" s="1057"/>
      <c r="BZ2413" s="1057"/>
      <c r="CA2413" s="1057"/>
      <c r="CB2413" s="1032"/>
    </row>
    <row r="2414" spans="2:80">
      <c r="B2414" s="1033"/>
      <c r="C2414" s="1033"/>
      <c r="D2414" s="1033"/>
      <c r="E2414" s="1033"/>
      <c r="F2414" s="1034"/>
      <c r="G2414" s="1033"/>
      <c r="H2414" s="1063"/>
      <c r="I2414" s="1063"/>
      <c r="J2414" s="1034"/>
      <c r="K2414" s="1034"/>
      <c r="L2414" s="1036"/>
      <c r="M2414" s="1037"/>
      <c r="N2414" s="1034"/>
      <c r="O2414" s="1064"/>
      <c r="P2414" s="1035"/>
      <c r="Q2414" s="1036"/>
      <c r="R2414" s="1038"/>
      <c r="S2414" s="1131"/>
      <c r="T2414" s="1036"/>
      <c r="U2414" s="1066"/>
      <c r="V2414" s="1035"/>
      <c r="W2414" s="1039"/>
      <c r="X2414" s="1040"/>
      <c r="Y2414" s="1045"/>
      <c r="Z2414" s="1041"/>
      <c r="AA2414" s="1041"/>
      <c r="AB2414" s="1041"/>
      <c r="AC2414" s="1042"/>
      <c r="AD2414" s="1043"/>
      <c r="AE2414" s="1044"/>
      <c r="AF2414" s="1045"/>
      <c r="AG2414" s="1046"/>
      <c r="AH2414" s="1045"/>
      <c r="AI2414" s="1047"/>
      <c r="AJ2414" s="1038"/>
      <c r="AK2414" s="1048"/>
      <c r="AL2414" s="1036"/>
      <c r="AM2414" s="1036"/>
      <c r="AN2414" s="1037"/>
      <c r="AO2414" s="1037"/>
      <c r="AP2414" s="1034"/>
      <c r="AQ2414" s="1035"/>
      <c r="AR2414" s="1034"/>
      <c r="AS2414" s="1035"/>
      <c r="AT2414" s="1035"/>
      <c r="AU2414" s="1035"/>
      <c r="AV2414" s="1038"/>
      <c r="AW2414" s="1050"/>
      <c r="AX2414" s="1051"/>
      <c r="AY2414" s="1036"/>
      <c r="AZ2414" s="1035"/>
      <c r="BA2414" s="1035"/>
      <c r="BB2414" s="1052"/>
      <c r="BC2414" s="1053"/>
      <c r="BD2414" s="1049"/>
      <c r="BE2414" s="1054"/>
      <c r="BF2414" s="1055"/>
      <c r="BG2414" s="1055"/>
      <c r="BH2414" s="1055"/>
      <c r="BI2414" s="1055"/>
      <c r="BJ2414" s="1055"/>
      <c r="BK2414" s="1055"/>
      <c r="BL2414" s="1055"/>
      <c r="BM2414" s="1055"/>
      <c r="BN2414" s="1055"/>
      <c r="BO2414" s="1056"/>
      <c r="BP2414" s="1056"/>
      <c r="BQ2414" s="1056"/>
      <c r="BR2414" s="1056"/>
      <c r="BS2414" s="1056"/>
      <c r="BT2414" s="1056"/>
      <c r="BU2414" s="1056"/>
      <c r="BV2414" s="1057"/>
      <c r="BW2414" s="1057"/>
      <c r="BX2414" s="1148"/>
      <c r="BY2414" s="1057"/>
      <c r="BZ2414" s="1057"/>
      <c r="CA2414" s="1057"/>
      <c r="CB2414" s="1032"/>
    </row>
    <row r="2415" spans="2:80">
      <c r="B2415" s="1033" t="s">
        <v>7948</v>
      </c>
      <c r="C2415" s="839" t="s">
        <v>7454</v>
      </c>
      <c r="D2415" s="1033" t="s">
        <v>7949</v>
      </c>
      <c r="E2415" s="1033" t="s">
        <v>7949</v>
      </c>
      <c r="F2415" s="1034">
        <v>46077</v>
      </c>
      <c r="G2415" s="1033" t="s">
        <v>7454</v>
      </c>
      <c r="H2415" s="1063" t="s">
        <v>3457</v>
      </c>
      <c r="I2415" s="1063"/>
      <c r="J2415" s="1034"/>
      <c r="K2415" s="1034"/>
      <c r="L2415" s="1036" t="s">
        <v>7950</v>
      </c>
      <c r="M2415" s="1037" t="s">
        <v>107</v>
      </c>
      <c r="N2415" s="1034"/>
      <c r="O2415" s="1064"/>
      <c r="P2415" s="1035"/>
      <c r="Q2415" s="1036"/>
      <c r="R2415" s="1038"/>
      <c r="S2415" s="1131" t="s">
        <v>7951</v>
      </c>
      <c r="T2415" s="1036" t="s">
        <v>7952</v>
      </c>
      <c r="U2415" s="1066">
        <v>1</v>
      </c>
      <c r="V2415" s="1035" t="s">
        <v>3</v>
      </c>
      <c r="W2415" s="1039">
        <v>27580.322400000005</v>
      </c>
      <c r="X2415" s="1040">
        <f t="shared" ref="X2415" si="505">W2415*U2415</f>
        <v>27580.322400000005</v>
      </c>
      <c r="Y2415" s="1045" t="s">
        <v>7460</v>
      </c>
      <c r="Z2415" s="1041">
        <v>39626.9</v>
      </c>
      <c r="AA2415" s="1041"/>
      <c r="AB2415" s="1041">
        <f t="shared" ref="AB2415" si="506">IF(AA2415="F.O.C", 0, Z2415*U2415)</f>
        <v>39626.9</v>
      </c>
      <c r="AC2415" s="1042">
        <f t="shared" ref="AC2415" si="507">Z2415*U2415</f>
        <v>39626.9</v>
      </c>
      <c r="AD2415" s="1043">
        <v>32000</v>
      </c>
      <c r="AE2415" s="1044"/>
      <c r="AF2415" s="1045"/>
      <c r="AG2415" s="1046"/>
      <c r="AH2415" s="1045"/>
      <c r="AI2415" s="1047"/>
      <c r="AJ2415" s="1038"/>
      <c r="AK2415" s="1048"/>
      <c r="AL2415" s="1036"/>
      <c r="AM2415" s="1036"/>
      <c r="AN2415" s="1037"/>
      <c r="AO2415" s="1037"/>
      <c r="AP2415" s="1034"/>
      <c r="AQ2415" s="1035"/>
      <c r="AR2415" s="1034"/>
      <c r="AS2415" s="1035"/>
      <c r="AT2415" s="1035"/>
      <c r="AU2415" s="1035"/>
      <c r="AV2415" s="1038"/>
      <c r="AW2415" s="1050"/>
      <c r="AX2415" s="1051"/>
      <c r="AY2415" s="1036"/>
      <c r="AZ2415" s="1035"/>
      <c r="BA2415" s="1035"/>
      <c r="BB2415" s="1052"/>
      <c r="BC2415" s="1053"/>
      <c r="BD2415" s="1049"/>
      <c r="BE2415" s="1054"/>
      <c r="BF2415" s="1055"/>
      <c r="BG2415" s="1055"/>
      <c r="BH2415" s="1055"/>
      <c r="BI2415" s="1055"/>
      <c r="BJ2415" s="1055"/>
      <c r="BK2415" s="1055"/>
      <c r="BL2415" s="1055"/>
      <c r="BM2415" s="1055"/>
      <c r="BN2415" s="1055"/>
      <c r="BO2415" s="1056"/>
      <c r="BP2415" s="1056"/>
      <c r="BQ2415" s="1056"/>
      <c r="BR2415" s="1056"/>
      <c r="BS2415" s="1056"/>
      <c r="BT2415" s="1056"/>
      <c r="BU2415" s="1056"/>
      <c r="BV2415" s="1057"/>
      <c r="BW2415" s="1057"/>
      <c r="BX2415" s="1148"/>
      <c r="BY2415" s="1057"/>
      <c r="BZ2415" s="1057"/>
      <c r="CA2415" s="1057"/>
      <c r="CB2415" s="1032"/>
    </row>
    <row r="2416" spans="2:80">
      <c r="B2416" s="1033"/>
      <c r="C2416" s="1033"/>
      <c r="D2416" s="1033"/>
      <c r="E2416" s="1033"/>
      <c r="F2416" s="1034"/>
      <c r="G2416" s="1033"/>
      <c r="H2416" s="1063"/>
      <c r="I2416" s="1063"/>
      <c r="J2416" s="1034"/>
      <c r="K2416" s="1034"/>
      <c r="L2416" s="1036"/>
      <c r="M2416" s="1037"/>
      <c r="N2416" s="1034"/>
      <c r="O2416" s="1064"/>
      <c r="P2416" s="1035"/>
      <c r="Q2416" s="1036"/>
      <c r="R2416" s="1038"/>
      <c r="S2416" s="1131"/>
      <c r="T2416" s="1036"/>
      <c r="U2416" s="1066"/>
      <c r="V2416" s="1035"/>
      <c r="W2416" s="1039"/>
      <c r="X2416" s="1040"/>
      <c r="Y2416" s="1045"/>
      <c r="Z2416" s="1041"/>
      <c r="AA2416" s="1041"/>
      <c r="AB2416" s="1041"/>
      <c r="AC2416" s="1042"/>
      <c r="AD2416" s="1043"/>
      <c r="AE2416" s="1044"/>
      <c r="AF2416" s="1045"/>
      <c r="AG2416" s="1046"/>
      <c r="AH2416" s="1045"/>
      <c r="AI2416" s="1047"/>
      <c r="AJ2416" s="1038"/>
      <c r="AK2416" s="1048"/>
      <c r="AL2416" s="1036"/>
      <c r="AM2416" s="1036"/>
      <c r="AN2416" s="1037"/>
      <c r="AO2416" s="1037"/>
      <c r="AP2416" s="1034"/>
      <c r="AQ2416" s="1035"/>
      <c r="AR2416" s="1034"/>
      <c r="AS2416" s="1035"/>
      <c r="AT2416" s="1035"/>
      <c r="AU2416" s="1035"/>
      <c r="AV2416" s="1038"/>
      <c r="AW2416" s="1050"/>
      <c r="AX2416" s="1051"/>
      <c r="AY2416" s="1036"/>
      <c r="AZ2416" s="1035"/>
      <c r="BA2416" s="1035"/>
      <c r="BB2416" s="1052"/>
      <c r="BC2416" s="1053"/>
      <c r="BD2416" s="1049"/>
      <c r="BE2416" s="1054"/>
      <c r="BF2416" s="1055"/>
      <c r="BG2416" s="1055"/>
      <c r="BH2416" s="1055"/>
      <c r="BI2416" s="1055"/>
      <c r="BJ2416" s="1055"/>
      <c r="BK2416" s="1055"/>
      <c r="BL2416" s="1055"/>
      <c r="BM2416" s="1055"/>
      <c r="BN2416" s="1055"/>
      <c r="BO2416" s="1056"/>
      <c r="BP2416" s="1056"/>
      <c r="BQ2416" s="1056"/>
      <c r="BR2416" s="1056"/>
      <c r="BS2416" s="1056"/>
      <c r="BT2416" s="1056"/>
      <c r="BU2416" s="1056"/>
      <c r="BV2416" s="1057"/>
      <c r="BW2416" s="1057"/>
      <c r="BX2416" s="1148"/>
      <c r="BY2416" s="1057"/>
      <c r="BZ2416" s="1057"/>
      <c r="CA2416" s="1057"/>
      <c r="CB2416" s="1032"/>
    </row>
    <row r="2417" spans="2:80">
      <c r="B2417" s="1033" t="s">
        <v>7953</v>
      </c>
      <c r="C2417" s="839" t="s">
        <v>7454</v>
      </c>
      <c r="D2417" s="1033" t="s">
        <v>7774</v>
      </c>
      <c r="E2417" s="1033" t="s">
        <v>7774</v>
      </c>
      <c r="F2417" s="1034">
        <v>46077</v>
      </c>
      <c r="G2417" s="1033" t="s">
        <v>7454</v>
      </c>
      <c r="H2417" s="1063" t="s">
        <v>3457</v>
      </c>
      <c r="I2417" s="1063"/>
      <c r="J2417" s="1034"/>
      <c r="K2417" s="1034"/>
      <c r="L2417" s="1036" t="s">
        <v>7950</v>
      </c>
      <c r="M2417" s="1037" t="s">
        <v>107</v>
      </c>
      <c r="N2417" s="1034"/>
      <c r="O2417" s="1064"/>
      <c r="P2417" s="1035"/>
      <c r="Q2417" s="1036"/>
      <c r="R2417" s="1038" t="s">
        <v>7668</v>
      </c>
      <c r="S2417" s="1131" t="s">
        <v>7954</v>
      </c>
      <c r="T2417" s="1036" t="s">
        <v>7955</v>
      </c>
      <c r="U2417" s="1066">
        <v>1</v>
      </c>
      <c r="V2417" s="1035" t="s">
        <v>3</v>
      </c>
      <c r="W2417" s="1039">
        <v>29960.962643678162</v>
      </c>
      <c r="X2417" s="1040">
        <f>W2417*U2417</f>
        <v>29960.962643678162</v>
      </c>
      <c r="Y2417" s="1045" t="s">
        <v>7460</v>
      </c>
      <c r="Z2417" s="1041">
        <v>20852.830000000002</v>
      </c>
      <c r="AA2417" s="1041"/>
      <c r="AB2417" s="1041">
        <f>IF(AA2417="F.O.C", 0, Z2417*U2417)</f>
        <v>20852.830000000002</v>
      </c>
      <c r="AC2417" s="1042">
        <f>Z2417*U2417</f>
        <v>20852.830000000002</v>
      </c>
      <c r="AD2417" s="1043">
        <v>32000</v>
      </c>
      <c r="AE2417" s="1044"/>
      <c r="AF2417" s="1045"/>
      <c r="AG2417" s="1046"/>
      <c r="AH2417" s="1045"/>
      <c r="AI2417" s="1047"/>
      <c r="AJ2417" s="1038"/>
      <c r="AK2417" s="1048"/>
      <c r="AL2417" s="1036"/>
      <c r="AM2417" s="1036"/>
      <c r="AN2417" s="1037"/>
      <c r="AO2417" s="1037"/>
      <c r="AP2417" s="1034"/>
      <c r="AQ2417" s="1035"/>
      <c r="AR2417" s="1034"/>
      <c r="AS2417" s="1035"/>
      <c r="AT2417" s="1035"/>
      <c r="AU2417" s="1035"/>
      <c r="AV2417" s="1038"/>
      <c r="AW2417" s="1050"/>
      <c r="AX2417" s="1051"/>
      <c r="AY2417" s="1036"/>
      <c r="AZ2417" s="1035"/>
      <c r="BA2417" s="1035"/>
      <c r="BB2417" s="1052"/>
      <c r="BC2417" s="1053"/>
      <c r="BD2417" s="1049"/>
      <c r="BE2417" s="1054"/>
      <c r="BF2417" s="1055"/>
      <c r="BG2417" s="1055"/>
      <c r="BH2417" s="1055"/>
      <c r="BI2417" s="1055"/>
      <c r="BJ2417" s="1055"/>
      <c r="BK2417" s="1055"/>
      <c r="BL2417" s="1055"/>
      <c r="BM2417" s="1055"/>
      <c r="BN2417" s="1055"/>
      <c r="BO2417" s="1056"/>
      <c r="BP2417" s="1056"/>
      <c r="BQ2417" s="1056"/>
      <c r="BR2417" s="1056"/>
      <c r="BS2417" s="1056"/>
      <c r="BT2417" s="1056"/>
      <c r="BU2417" s="1056"/>
      <c r="BV2417" s="1057"/>
      <c r="BW2417" s="1057"/>
      <c r="BX2417" s="1148"/>
      <c r="BY2417" s="1057"/>
      <c r="BZ2417" s="1057"/>
      <c r="CA2417" s="1057"/>
      <c r="CB2417" s="1032"/>
    </row>
    <row r="2418" spans="2:80">
      <c r="B2418" s="1033" t="s">
        <v>7953</v>
      </c>
      <c r="C2418" s="839" t="s">
        <v>7454</v>
      </c>
      <c r="D2418" s="1033" t="s">
        <v>7956</v>
      </c>
      <c r="E2418" s="1033" t="s">
        <v>7956</v>
      </c>
      <c r="F2418" s="1034">
        <v>46077</v>
      </c>
      <c r="G2418" s="1033" t="s">
        <v>7454</v>
      </c>
      <c r="H2418" s="1063" t="s">
        <v>3457</v>
      </c>
      <c r="I2418" s="1063"/>
      <c r="J2418" s="1034"/>
      <c r="K2418" s="1034"/>
      <c r="L2418" s="1036" t="s">
        <v>7950</v>
      </c>
      <c r="M2418" s="1037" t="s">
        <v>107</v>
      </c>
      <c r="N2418" s="1034"/>
      <c r="O2418" s="1064"/>
      <c r="P2418" s="1035"/>
      <c r="Q2418" s="1036"/>
      <c r="R2418" s="1038"/>
      <c r="S2418" s="1131" t="s">
        <v>7957</v>
      </c>
      <c r="T2418" s="1036" t="s">
        <v>7958</v>
      </c>
      <c r="U2418" s="1066">
        <v>1</v>
      </c>
      <c r="V2418" s="1035" t="s">
        <v>3</v>
      </c>
      <c r="W2418" s="1039">
        <f>Z2418/(0.8*0.87)</f>
        <v>48480.129310344819</v>
      </c>
      <c r="X2418" s="1040">
        <f t="shared" ref="X2418:X2657" si="508">W2418*U2418</f>
        <v>48480.129310344819</v>
      </c>
      <c r="Y2418" s="1045" t="s">
        <v>7460</v>
      </c>
      <c r="Z2418" s="1041">
        <v>33742.17</v>
      </c>
      <c r="AA2418" s="1041"/>
      <c r="AB2418" s="1041">
        <f t="shared" ref="AB2418:AB2420" si="509">IF(AA2418="F.O.C", 0, Z2418*U2418)</f>
        <v>33742.17</v>
      </c>
      <c r="AC2418" s="1042">
        <f t="shared" ref="AC2418:AC2420" si="510">Z2418*U2418</f>
        <v>33742.17</v>
      </c>
      <c r="AD2418" s="1043">
        <v>32000</v>
      </c>
      <c r="AE2418" s="1044"/>
      <c r="AF2418" s="1045"/>
      <c r="AG2418" s="1046"/>
      <c r="AH2418" s="1045"/>
      <c r="AI2418" s="1047"/>
      <c r="AJ2418" s="1038"/>
      <c r="AK2418" s="1048"/>
      <c r="AL2418" s="1036"/>
      <c r="AM2418" s="1036"/>
      <c r="AN2418" s="1037"/>
      <c r="AO2418" s="1037"/>
      <c r="AP2418" s="1034"/>
      <c r="AQ2418" s="1035"/>
      <c r="AR2418" s="1034"/>
      <c r="AS2418" s="1035"/>
      <c r="AT2418" s="1035"/>
      <c r="AU2418" s="1035"/>
      <c r="AV2418" s="1038"/>
      <c r="AW2418" s="1050"/>
      <c r="AX2418" s="1051"/>
      <c r="AY2418" s="1036"/>
      <c r="AZ2418" s="1035"/>
      <c r="BA2418" s="1035"/>
      <c r="BB2418" s="1052"/>
      <c r="BC2418" s="1053"/>
      <c r="BD2418" s="1049"/>
      <c r="BE2418" s="1054"/>
      <c r="BF2418" s="1055"/>
      <c r="BG2418" s="1055"/>
      <c r="BH2418" s="1055"/>
      <c r="BI2418" s="1055"/>
      <c r="BJ2418" s="1055"/>
      <c r="BK2418" s="1055"/>
      <c r="BL2418" s="1055"/>
      <c r="BM2418" s="1055"/>
      <c r="BN2418" s="1055"/>
      <c r="BO2418" s="1056"/>
      <c r="BP2418" s="1056"/>
      <c r="BQ2418" s="1056"/>
      <c r="BR2418" s="1056"/>
      <c r="BS2418" s="1056"/>
      <c r="BT2418" s="1056"/>
      <c r="BU2418" s="1056"/>
      <c r="BV2418" s="1057"/>
      <c r="BW2418" s="1057"/>
      <c r="BX2418" s="1148"/>
      <c r="BY2418" s="1057"/>
      <c r="BZ2418" s="1057"/>
      <c r="CA2418" s="1057"/>
      <c r="CB2418" s="1032"/>
    </row>
    <row r="2419" spans="2:80">
      <c r="B2419" s="1033" t="s">
        <v>7953</v>
      </c>
      <c r="C2419" s="839" t="s">
        <v>7454</v>
      </c>
      <c r="D2419" s="1033" t="s">
        <v>7956</v>
      </c>
      <c r="E2419" s="1033" t="s">
        <v>7956</v>
      </c>
      <c r="F2419" s="1034">
        <v>46077</v>
      </c>
      <c r="G2419" s="1033" t="s">
        <v>7454</v>
      </c>
      <c r="H2419" s="1063" t="s">
        <v>3457</v>
      </c>
      <c r="I2419" s="1063"/>
      <c r="J2419" s="1034"/>
      <c r="K2419" s="1034"/>
      <c r="L2419" s="1036" t="s">
        <v>7950</v>
      </c>
      <c r="M2419" s="1037" t="s">
        <v>107</v>
      </c>
      <c r="N2419" s="1034"/>
      <c r="O2419" s="1064"/>
      <c r="P2419" s="1035"/>
      <c r="Q2419" s="1036"/>
      <c r="R2419" s="1038"/>
      <c r="S2419" s="1131" t="s">
        <v>7959</v>
      </c>
      <c r="T2419" s="1036" t="s">
        <v>7960</v>
      </c>
      <c r="U2419" s="1066">
        <v>1</v>
      </c>
      <c r="V2419" s="1035" t="s">
        <v>3</v>
      </c>
      <c r="W2419" s="1039">
        <f t="shared" ref="W2419:W2420" si="511">Z2419/(0.8*0.87)</f>
        <v>13434.58333333333</v>
      </c>
      <c r="X2419" s="1040">
        <f t="shared" si="508"/>
        <v>13434.58333333333</v>
      </c>
      <c r="Y2419" s="1045" t="s">
        <v>7460</v>
      </c>
      <c r="Z2419" s="1041">
        <v>9350.4699999999993</v>
      </c>
      <c r="AA2419" s="1041"/>
      <c r="AB2419" s="1041">
        <f t="shared" si="509"/>
        <v>9350.4699999999993</v>
      </c>
      <c r="AC2419" s="1042">
        <f t="shared" si="510"/>
        <v>9350.4699999999993</v>
      </c>
      <c r="AD2419" s="1043">
        <v>32000</v>
      </c>
      <c r="AE2419" s="1044"/>
      <c r="AF2419" s="1045"/>
      <c r="AG2419" s="1046"/>
      <c r="AH2419" s="1045"/>
      <c r="AI2419" s="1047"/>
      <c r="AJ2419" s="1038"/>
      <c r="AK2419" s="1048"/>
      <c r="AL2419" s="1036"/>
      <c r="AM2419" s="1036"/>
      <c r="AN2419" s="1037"/>
      <c r="AO2419" s="1037"/>
      <c r="AP2419" s="1034"/>
      <c r="AQ2419" s="1035"/>
      <c r="AR2419" s="1034"/>
      <c r="AS2419" s="1035"/>
      <c r="AT2419" s="1035"/>
      <c r="AU2419" s="1035"/>
      <c r="AV2419" s="1038"/>
      <c r="AW2419" s="1050"/>
      <c r="AX2419" s="1051"/>
      <c r="AY2419" s="1036"/>
      <c r="AZ2419" s="1035"/>
      <c r="BA2419" s="1035"/>
      <c r="BB2419" s="1052"/>
      <c r="BC2419" s="1053"/>
      <c r="BD2419" s="1049"/>
      <c r="BE2419" s="1054"/>
      <c r="BF2419" s="1055"/>
      <c r="BG2419" s="1055"/>
      <c r="BH2419" s="1055"/>
      <c r="BI2419" s="1055"/>
      <c r="BJ2419" s="1055"/>
      <c r="BK2419" s="1055"/>
      <c r="BL2419" s="1055"/>
      <c r="BM2419" s="1055"/>
      <c r="BN2419" s="1055"/>
      <c r="BO2419" s="1056"/>
      <c r="BP2419" s="1056"/>
      <c r="BQ2419" s="1056"/>
      <c r="BR2419" s="1056"/>
      <c r="BS2419" s="1056"/>
      <c r="BT2419" s="1056"/>
      <c r="BU2419" s="1056"/>
      <c r="BV2419" s="1057"/>
      <c r="BW2419" s="1057"/>
      <c r="BX2419" s="1148"/>
      <c r="BY2419" s="1057"/>
      <c r="BZ2419" s="1057"/>
      <c r="CA2419" s="1057"/>
      <c r="CB2419" s="1032"/>
    </row>
    <row r="2420" spans="2:80">
      <c r="B2420" s="1033" t="s">
        <v>7953</v>
      </c>
      <c r="C2420" s="839" t="s">
        <v>7454</v>
      </c>
      <c r="D2420" s="1033" t="s">
        <v>7956</v>
      </c>
      <c r="E2420" s="1033" t="s">
        <v>7956</v>
      </c>
      <c r="F2420" s="1034">
        <v>46077</v>
      </c>
      <c r="G2420" s="1033" t="s">
        <v>7454</v>
      </c>
      <c r="H2420" s="1063" t="s">
        <v>3457</v>
      </c>
      <c r="I2420" s="1063"/>
      <c r="J2420" s="1034"/>
      <c r="K2420" s="1034"/>
      <c r="L2420" s="1036" t="s">
        <v>7950</v>
      </c>
      <c r="M2420" s="1037" t="s">
        <v>107</v>
      </c>
      <c r="N2420" s="1034"/>
      <c r="O2420" s="1064"/>
      <c r="P2420" s="1035"/>
      <c r="Q2420" s="1036"/>
      <c r="R2420" s="1038"/>
      <c r="S2420" s="1131" t="s">
        <v>7961</v>
      </c>
      <c r="T2420" s="1036" t="s">
        <v>7962</v>
      </c>
      <c r="U2420" s="1066">
        <v>1</v>
      </c>
      <c r="V2420" s="1035" t="s">
        <v>3</v>
      </c>
      <c r="W2420" s="1039">
        <f t="shared" si="511"/>
        <v>30300.071839080454</v>
      </c>
      <c r="X2420" s="1040">
        <f t="shared" si="508"/>
        <v>30300.071839080454</v>
      </c>
      <c r="Y2420" s="1045" t="s">
        <v>7460</v>
      </c>
      <c r="Z2420" s="1041">
        <v>21088.85</v>
      </c>
      <c r="AA2420" s="1041"/>
      <c r="AB2420" s="1041">
        <f t="shared" si="509"/>
        <v>21088.85</v>
      </c>
      <c r="AC2420" s="1042">
        <f t="shared" si="510"/>
        <v>21088.85</v>
      </c>
      <c r="AD2420" s="1043">
        <v>32000</v>
      </c>
      <c r="AE2420" s="1044"/>
      <c r="AF2420" s="1045"/>
      <c r="AG2420" s="1046"/>
      <c r="AH2420" s="1045"/>
      <c r="AI2420" s="1047"/>
      <c r="AJ2420" s="1038"/>
      <c r="AK2420" s="1048"/>
      <c r="AL2420" s="1036"/>
      <c r="AM2420" s="1036"/>
      <c r="AN2420" s="1037"/>
      <c r="AO2420" s="1037"/>
      <c r="AP2420" s="1034"/>
      <c r="AQ2420" s="1035"/>
      <c r="AR2420" s="1034"/>
      <c r="AS2420" s="1035"/>
      <c r="AT2420" s="1035"/>
      <c r="AU2420" s="1035"/>
      <c r="AV2420" s="1038"/>
      <c r="AW2420" s="1050"/>
      <c r="AX2420" s="1051"/>
      <c r="AY2420" s="1036"/>
      <c r="AZ2420" s="1035"/>
      <c r="BA2420" s="1035"/>
      <c r="BB2420" s="1052"/>
      <c r="BC2420" s="1053"/>
      <c r="BD2420" s="1049"/>
      <c r="BE2420" s="1054"/>
      <c r="BF2420" s="1055"/>
      <c r="BG2420" s="1055"/>
      <c r="BH2420" s="1055"/>
      <c r="BI2420" s="1055"/>
      <c r="BJ2420" s="1055"/>
      <c r="BK2420" s="1055"/>
      <c r="BL2420" s="1055"/>
      <c r="BM2420" s="1055"/>
      <c r="BN2420" s="1055"/>
      <c r="BO2420" s="1056"/>
      <c r="BP2420" s="1056"/>
      <c r="BQ2420" s="1056"/>
      <c r="BR2420" s="1056"/>
      <c r="BS2420" s="1056"/>
      <c r="BT2420" s="1056"/>
      <c r="BU2420" s="1056"/>
      <c r="BV2420" s="1057"/>
      <c r="BW2420" s="1057"/>
      <c r="BX2420" s="1148"/>
      <c r="BY2420" s="1057"/>
      <c r="BZ2420" s="1057"/>
      <c r="CA2420" s="1057"/>
      <c r="CB2420" s="1032"/>
    </row>
    <row r="2421" spans="2:80">
      <c r="B2421" s="1033"/>
      <c r="C2421" s="1033"/>
      <c r="D2421" s="1033"/>
      <c r="E2421" s="1033"/>
      <c r="F2421" s="1034"/>
      <c r="G2421" s="1033"/>
      <c r="H2421" s="1063"/>
      <c r="I2421" s="1063"/>
      <c r="J2421" s="1034"/>
      <c r="K2421" s="1034"/>
      <c r="L2421" s="1036"/>
      <c r="M2421" s="1037"/>
      <c r="N2421" s="1034"/>
      <c r="O2421" s="1064"/>
      <c r="P2421" s="1035"/>
      <c r="Q2421" s="1036"/>
      <c r="R2421" s="1038"/>
      <c r="S2421" s="1131"/>
      <c r="T2421" s="1036"/>
      <c r="U2421" s="1066"/>
      <c r="V2421" s="1035"/>
      <c r="W2421" s="1039"/>
      <c r="X2421" s="1040"/>
      <c r="Y2421" s="1045"/>
      <c r="Z2421" s="1041"/>
      <c r="AA2421" s="1041"/>
      <c r="AB2421" s="1041"/>
      <c r="AC2421" s="1042"/>
      <c r="AD2421" s="1043"/>
      <c r="AE2421" s="1044"/>
      <c r="AF2421" s="1045"/>
      <c r="AG2421" s="1046"/>
      <c r="AH2421" s="1045"/>
      <c r="AI2421" s="1047"/>
      <c r="AJ2421" s="1038"/>
      <c r="AK2421" s="1048"/>
      <c r="AL2421" s="1036"/>
      <c r="AM2421" s="1036"/>
      <c r="AN2421" s="1037"/>
      <c r="AO2421" s="1037"/>
      <c r="AP2421" s="1034"/>
      <c r="AQ2421" s="1035"/>
      <c r="AR2421" s="1034"/>
      <c r="AS2421" s="1035"/>
      <c r="AT2421" s="1035"/>
      <c r="AU2421" s="1035"/>
      <c r="AV2421" s="1038"/>
      <c r="AW2421" s="1050"/>
      <c r="AX2421" s="1051"/>
      <c r="AY2421" s="1036"/>
      <c r="AZ2421" s="1035"/>
      <c r="BA2421" s="1035"/>
      <c r="BB2421" s="1052"/>
      <c r="BC2421" s="1053"/>
      <c r="BD2421" s="1049"/>
      <c r="BE2421" s="1054"/>
      <c r="BF2421" s="1055"/>
      <c r="BG2421" s="1055"/>
      <c r="BH2421" s="1055"/>
      <c r="BI2421" s="1055"/>
      <c r="BJ2421" s="1055"/>
      <c r="BK2421" s="1055"/>
      <c r="BL2421" s="1055"/>
      <c r="BM2421" s="1055"/>
      <c r="BN2421" s="1055"/>
      <c r="BO2421" s="1056"/>
      <c r="BP2421" s="1056"/>
      <c r="BQ2421" s="1056"/>
      <c r="BR2421" s="1056"/>
      <c r="BS2421" s="1056"/>
      <c r="BT2421" s="1056"/>
      <c r="BU2421" s="1056"/>
      <c r="BV2421" s="1057"/>
      <c r="BW2421" s="1057"/>
      <c r="BX2421" s="1148"/>
      <c r="BY2421" s="1057"/>
      <c r="BZ2421" s="1057"/>
      <c r="CA2421" s="1057"/>
      <c r="CB2421" s="1032"/>
    </row>
    <row r="2422" spans="2:80">
      <c r="B2422" s="1033" t="s">
        <v>7963</v>
      </c>
      <c r="C2422" s="839" t="s">
        <v>7454</v>
      </c>
      <c r="D2422" s="1033" t="s">
        <v>7964</v>
      </c>
      <c r="E2422" s="1033" t="s">
        <v>7964</v>
      </c>
      <c r="F2422" s="1034">
        <v>46168</v>
      </c>
      <c r="G2422" s="1033" t="s">
        <v>7454</v>
      </c>
      <c r="H2422" s="1063" t="s">
        <v>3457</v>
      </c>
      <c r="I2422" s="1063"/>
      <c r="J2422" s="1034"/>
      <c r="K2422" s="1034"/>
      <c r="L2422" s="1036" t="s">
        <v>7950</v>
      </c>
      <c r="M2422" s="1037" t="s">
        <v>107</v>
      </c>
      <c r="N2422" s="1034"/>
      <c r="O2422" s="1064"/>
      <c r="P2422" s="1035"/>
      <c r="Q2422" s="1036"/>
      <c r="R2422" s="1038" t="s">
        <v>7965</v>
      </c>
      <c r="S2422" s="1131" t="s">
        <v>7966</v>
      </c>
      <c r="T2422" s="1036" t="s">
        <v>7967</v>
      </c>
      <c r="U2422" s="1066">
        <v>1</v>
      </c>
      <c r="V2422" s="1035" t="s">
        <v>3</v>
      </c>
      <c r="W2422" s="1039">
        <v>22090</v>
      </c>
      <c r="X2422" s="1040">
        <f t="shared" si="508"/>
        <v>22090</v>
      </c>
      <c r="Y2422" s="1040" t="s">
        <v>7968</v>
      </c>
      <c r="Z2422" s="1041">
        <v>17296.47</v>
      </c>
      <c r="AA2422" s="1041"/>
      <c r="AB2422" s="1041">
        <f t="shared" ref="AB2422:AB2426" si="512">IF(AA2422="F.O.C", 0, Z2422*U2422)</f>
        <v>17296.47</v>
      </c>
      <c r="AC2422" s="1042">
        <f t="shared" ref="AC2422:AC2426" si="513">Z2422*U2422</f>
        <v>17296.47</v>
      </c>
      <c r="AD2422" s="1043">
        <v>32000</v>
      </c>
      <c r="AE2422" s="1044"/>
      <c r="AF2422" s="1045"/>
      <c r="AG2422" s="1046"/>
      <c r="AH2422" s="1045"/>
      <c r="AI2422" s="1047"/>
      <c r="AJ2422" s="1038"/>
      <c r="AK2422" s="1048"/>
      <c r="AL2422" s="1036"/>
      <c r="AM2422" s="1036"/>
      <c r="AN2422" s="1037"/>
      <c r="AO2422" s="1037"/>
      <c r="AP2422" s="1034"/>
      <c r="AQ2422" s="1035"/>
      <c r="AR2422" s="1034"/>
      <c r="AS2422" s="1035"/>
      <c r="AT2422" s="1035"/>
      <c r="AU2422" s="1035"/>
      <c r="AV2422" s="1038"/>
      <c r="AW2422" s="1050"/>
      <c r="AX2422" s="1051"/>
      <c r="AY2422" s="1036"/>
      <c r="AZ2422" s="1035"/>
      <c r="BA2422" s="1035"/>
      <c r="BB2422" s="1052"/>
      <c r="BC2422" s="1053"/>
      <c r="BD2422" s="1049"/>
      <c r="BE2422" s="1054"/>
      <c r="BF2422" s="1055"/>
      <c r="BG2422" s="1055"/>
      <c r="BH2422" s="1055"/>
      <c r="BI2422" s="1055"/>
      <c r="BJ2422" s="1055"/>
      <c r="BK2422" s="1055"/>
      <c r="BL2422" s="1055"/>
      <c r="BM2422" s="1055"/>
      <c r="BN2422" s="1055"/>
      <c r="BO2422" s="1056"/>
      <c r="BP2422" s="1056"/>
      <c r="BQ2422" s="1056"/>
      <c r="BR2422" s="1056"/>
      <c r="BS2422" s="1056"/>
      <c r="BT2422" s="1056"/>
      <c r="BU2422" s="1056"/>
      <c r="BV2422" s="1057"/>
      <c r="BW2422" s="1057"/>
      <c r="BX2422" s="1148"/>
      <c r="BY2422" s="1057"/>
      <c r="BZ2422" s="1057"/>
      <c r="CA2422" s="1057"/>
      <c r="CB2422" s="1032"/>
    </row>
    <row r="2423" spans="2:80">
      <c r="B2423" s="1033" t="s">
        <v>7963</v>
      </c>
      <c r="C2423" s="839" t="s">
        <v>7454</v>
      </c>
      <c r="D2423" s="1033" t="s">
        <v>7964</v>
      </c>
      <c r="E2423" s="1033" t="s">
        <v>7964</v>
      </c>
      <c r="F2423" s="1034">
        <v>46168</v>
      </c>
      <c r="G2423" s="1033" t="s">
        <v>7454</v>
      </c>
      <c r="H2423" s="1063" t="s">
        <v>3457</v>
      </c>
      <c r="I2423" s="1063"/>
      <c r="J2423" s="1034"/>
      <c r="K2423" s="1034"/>
      <c r="L2423" s="1036" t="s">
        <v>7950</v>
      </c>
      <c r="M2423" s="1037" t="s">
        <v>107</v>
      </c>
      <c r="N2423" s="1034"/>
      <c r="O2423" s="1064"/>
      <c r="P2423" s="1035"/>
      <c r="Q2423" s="1036"/>
      <c r="R2423" s="1038" t="s">
        <v>7969</v>
      </c>
      <c r="S2423" s="1131" t="s">
        <v>7970</v>
      </c>
      <c r="T2423" s="1036" t="s">
        <v>7971</v>
      </c>
      <c r="U2423" s="1066">
        <v>2</v>
      </c>
      <c r="V2423" s="1035" t="s">
        <v>3</v>
      </c>
      <c r="W2423" s="1039">
        <v>2281</v>
      </c>
      <c r="X2423" s="1040">
        <f t="shared" si="508"/>
        <v>4562</v>
      </c>
      <c r="Y2423" s="1040" t="s">
        <v>7968</v>
      </c>
      <c r="Z2423" s="1041">
        <v>1786.02</v>
      </c>
      <c r="AA2423" s="1041"/>
      <c r="AB2423" s="1041">
        <f t="shared" si="512"/>
        <v>3572.04</v>
      </c>
      <c r="AC2423" s="1042">
        <f t="shared" si="513"/>
        <v>3572.04</v>
      </c>
      <c r="AD2423" s="1043">
        <v>32000</v>
      </c>
      <c r="AE2423" s="1044"/>
      <c r="AF2423" s="1045"/>
      <c r="AG2423" s="1046"/>
      <c r="AH2423" s="1045"/>
      <c r="AI2423" s="1047"/>
      <c r="AJ2423" s="1038"/>
      <c r="AK2423" s="1048"/>
      <c r="AL2423" s="1036"/>
      <c r="AM2423" s="1036"/>
      <c r="AN2423" s="1037"/>
      <c r="AO2423" s="1037"/>
      <c r="AP2423" s="1034"/>
      <c r="AQ2423" s="1035"/>
      <c r="AR2423" s="1034"/>
      <c r="AS2423" s="1035"/>
      <c r="AT2423" s="1035"/>
      <c r="AU2423" s="1035"/>
      <c r="AV2423" s="1038"/>
      <c r="AW2423" s="1050"/>
      <c r="AX2423" s="1051"/>
      <c r="AY2423" s="1036"/>
      <c r="AZ2423" s="1035"/>
      <c r="BA2423" s="1035"/>
      <c r="BB2423" s="1052"/>
      <c r="BC2423" s="1053"/>
      <c r="BD2423" s="1049"/>
      <c r="BE2423" s="1054"/>
      <c r="BF2423" s="1055"/>
      <c r="BG2423" s="1055"/>
      <c r="BH2423" s="1055"/>
      <c r="BI2423" s="1055"/>
      <c r="BJ2423" s="1055"/>
      <c r="BK2423" s="1055"/>
      <c r="BL2423" s="1055"/>
      <c r="BM2423" s="1055"/>
      <c r="BN2423" s="1055"/>
      <c r="BO2423" s="1056"/>
      <c r="BP2423" s="1056"/>
      <c r="BQ2423" s="1056"/>
      <c r="BR2423" s="1056"/>
      <c r="BS2423" s="1056"/>
      <c r="BT2423" s="1056"/>
      <c r="BU2423" s="1056"/>
      <c r="BV2423" s="1057"/>
      <c r="BW2423" s="1057"/>
      <c r="BX2423" s="1148"/>
      <c r="BY2423" s="1057"/>
      <c r="BZ2423" s="1057"/>
      <c r="CA2423" s="1057"/>
      <c r="CB2423" s="1032"/>
    </row>
    <row r="2424" spans="2:80">
      <c r="B2424" s="1033" t="s">
        <v>7963</v>
      </c>
      <c r="C2424" s="839" t="s">
        <v>7454</v>
      </c>
      <c r="D2424" s="1033" t="s">
        <v>7964</v>
      </c>
      <c r="E2424" s="1033" t="s">
        <v>7964</v>
      </c>
      <c r="F2424" s="1034">
        <v>46168</v>
      </c>
      <c r="G2424" s="1033" t="s">
        <v>7454</v>
      </c>
      <c r="H2424" s="1063" t="s">
        <v>3457</v>
      </c>
      <c r="I2424" s="1063"/>
      <c r="J2424" s="1034"/>
      <c r="K2424" s="1034"/>
      <c r="L2424" s="1036" t="s">
        <v>7950</v>
      </c>
      <c r="M2424" s="1037" t="s">
        <v>107</v>
      </c>
      <c r="N2424" s="1034"/>
      <c r="O2424" s="1064"/>
      <c r="P2424" s="1035"/>
      <c r="Q2424" s="1036"/>
      <c r="R2424" s="1038" t="s">
        <v>7972</v>
      </c>
      <c r="S2424" s="1131" t="s">
        <v>7973</v>
      </c>
      <c r="T2424" s="1036" t="s">
        <v>7974</v>
      </c>
      <c r="U2424" s="1066">
        <v>1</v>
      </c>
      <c r="V2424" s="1035" t="s">
        <v>3</v>
      </c>
      <c r="W2424" s="1039">
        <v>2284</v>
      </c>
      <c r="X2424" s="1040">
        <f t="shared" si="508"/>
        <v>2284</v>
      </c>
      <c r="Y2424" s="1040" t="s">
        <v>7968</v>
      </c>
      <c r="Z2424" s="1041">
        <v>1788.37</v>
      </c>
      <c r="AA2424" s="1041"/>
      <c r="AB2424" s="1041">
        <f t="shared" si="512"/>
        <v>1788.37</v>
      </c>
      <c r="AC2424" s="1042">
        <f t="shared" si="513"/>
        <v>1788.37</v>
      </c>
      <c r="AD2424" s="1043">
        <v>32000</v>
      </c>
      <c r="AE2424" s="1044"/>
      <c r="AF2424" s="1045"/>
      <c r="AG2424" s="1046"/>
      <c r="AH2424" s="1045"/>
      <c r="AI2424" s="1047"/>
      <c r="AJ2424" s="1038"/>
      <c r="AK2424" s="1048"/>
      <c r="AL2424" s="1036"/>
      <c r="AM2424" s="1036"/>
      <c r="AN2424" s="1037"/>
      <c r="AO2424" s="1037"/>
      <c r="AP2424" s="1034"/>
      <c r="AQ2424" s="1035"/>
      <c r="AR2424" s="1034"/>
      <c r="AS2424" s="1035"/>
      <c r="AT2424" s="1035"/>
      <c r="AU2424" s="1035"/>
      <c r="AV2424" s="1038"/>
      <c r="AW2424" s="1050"/>
      <c r="AX2424" s="1051"/>
      <c r="AY2424" s="1036"/>
      <c r="AZ2424" s="1035"/>
      <c r="BA2424" s="1035"/>
      <c r="BB2424" s="1052"/>
      <c r="BC2424" s="1053"/>
      <c r="BD2424" s="1049"/>
      <c r="BE2424" s="1054"/>
      <c r="BF2424" s="1055"/>
      <c r="BG2424" s="1055"/>
      <c r="BH2424" s="1055"/>
      <c r="BI2424" s="1055"/>
      <c r="BJ2424" s="1055"/>
      <c r="BK2424" s="1055"/>
      <c r="BL2424" s="1055"/>
      <c r="BM2424" s="1055"/>
      <c r="BN2424" s="1055"/>
      <c r="BO2424" s="1056"/>
      <c r="BP2424" s="1056"/>
      <c r="BQ2424" s="1056"/>
      <c r="BR2424" s="1056"/>
      <c r="BS2424" s="1056"/>
      <c r="BT2424" s="1056"/>
      <c r="BU2424" s="1056"/>
      <c r="BV2424" s="1057"/>
      <c r="BW2424" s="1057"/>
      <c r="BX2424" s="1148"/>
      <c r="BY2424" s="1057"/>
      <c r="BZ2424" s="1057"/>
      <c r="CA2424" s="1057"/>
      <c r="CB2424" s="1032"/>
    </row>
    <row r="2425" spans="2:80">
      <c r="B2425" s="1033" t="s">
        <v>7963</v>
      </c>
      <c r="C2425" s="839" t="s">
        <v>7454</v>
      </c>
      <c r="D2425" s="1033" t="s">
        <v>7964</v>
      </c>
      <c r="E2425" s="1033" t="s">
        <v>7964</v>
      </c>
      <c r="F2425" s="1034">
        <v>46168</v>
      </c>
      <c r="G2425" s="1033" t="s">
        <v>7454</v>
      </c>
      <c r="H2425" s="1063" t="s">
        <v>3457</v>
      </c>
      <c r="I2425" s="1063"/>
      <c r="J2425" s="1034"/>
      <c r="K2425" s="1034"/>
      <c r="L2425" s="1036" t="s">
        <v>7950</v>
      </c>
      <c r="M2425" s="1037" t="s">
        <v>107</v>
      </c>
      <c r="N2425" s="1034"/>
      <c r="O2425" s="1064"/>
      <c r="P2425" s="1035"/>
      <c r="Q2425" s="1036"/>
      <c r="R2425" s="1038" t="s">
        <v>7664</v>
      </c>
      <c r="S2425" s="1131" t="s">
        <v>7975</v>
      </c>
      <c r="T2425" s="1036" t="s">
        <v>7976</v>
      </c>
      <c r="U2425" s="1066">
        <v>1</v>
      </c>
      <c r="V2425" s="1035" t="s">
        <v>3</v>
      </c>
      <c r="W2425" s="1039">
        <v>796</v>
      </c>
      <c r="X2425" s="1040">
        <f t="shared" si="508"/>
        <v>796</v>
      </c>
      <c r="Y2425" s="1040" t="s">
        <v>7968</v>
      </c>
      <c r="Z2425" s="1041">
        <v>623.27</v>
      </c>
      <c r="AA2425" s="1041"/>
      <c r="AB2425" s="1041">
        <f t="shared" si="512"/>
        <v>623.27</v>
      </c>
      <c r="AC2425" s="1042">
        <f t="shared" si="513"/>
        <v>623.27</v>
      </c>
      <c r="AD2425" s="1043">
        <v>32000</v>
      </c>
      <c r="AE2425" s="1044"/>
      <c r="AF2425" s="1045"/>
      <c r="AG2425" s="1046"/>
      <c r="AH2425" s="1045"/>
      <c r="AI2425" s="1047"/>
      <c r="AJ2425" s="1038"/>
      <c r="AK2425" s="1048"/>
      <c r="AL2425" s="1036"/>
      <c r="AM2425" s="1036"/>
      <c r="AN2425" s="1037"/>
      <c r="AO2425" s="1037"/>
      <c r="AP2425" s="1034"/>
      <c r="AQ2425" s="1035"/>
      <c r="AR2425" s="1034"/>
      <c r="AS2425" s="1035"/>
      <c r="AT2425" s="1035"/>
      <c r="AU2425" s="1035"/>
      <c r="AV2425" s="1038"/>
      <c r="AW2425" s="1050"/>
      <c r="AX2425" s="1051"/>
      <c r="AY2425" s="1036"/>
      <c r="AZ2425" s="1035"/>
      <c r="BA2425" s="1035"/>
      <c r="BB2425" s="1052"/>
      <c r="BC2425" s="1053"/>
      <c r="BD2425" s="1049"/>
      <c r="BE2425" s="1054"/>
      <c r="BF2425" s="1055"/>
      <c r="BG2425" s="1055"/>
      <c r="BH2425" s="1055"/>
      <c r="BI2425" s="1055"/>
      <c r="BJ2425" s="1055"/>
      <c r="BK2425" s="1055"/>
      <c r="BL2425" s="1055"/>
      <c r="BM2425" s="1055"/>
      <c r="BN2425" s="1055"/>
      <c r="BO2425" s="1056"/>
      <c r="BP2425" s="1056"/>
      <c r="BQ2425" s="1056"/>
      <c r="BR2425" s="1056"/>
      <c r="BS2425" s="1056"/>
      <c r="BT2425" s="1056"/>
      <c r="BU2425" s="1056"/>
      <c r="BV2425" s="1057"/>
      <c r="BW2425" s="1057"/>
      <c r="BX2425" s="1148"/>
      <c r="BY2425" s="1057"/>
      <c r="BZ2425" s="1057"/>
      <c r="CA2425" s="1057"/>
      <c r="CB2425" s="1032"/>
    </row>
    <row r="2426" spans="2:80">
      <c r="B2426" s="1033" t="s">
        <v>7963</v>
      </c>
      <c r="C2426" s="839" t="s">
        <v>7454</v>
      </c>
      <c r="D2426" s="1033" t="s">
        <v>7964</v>
      </c>
      <c r="E2426" s="1033" t="s">
        <v>7964</v>
      </c>
      <c r="F2426" s="1034">
        <v>46168</v>
      </c>
      <c r="G2426" s="1033" t="s">
        <v>7775</v>
      </c>
      <c r="H2426" s="1063" t="s">
        <v>3457</v>
      </c>
      <c r="I2426" s="1063"/>
      <c r="J2426" s="1034"/>
      <c r="K2426" s="1034"/>
      <c r="L2426" s="1036" t="s">
        <v>7950</v>
      </c>
      <c r="M2426" s="1037" t="s">
        <v>107</v>
      </c>
      <c r="N2426" s="1034"/>
      <c r="O2426" s="1064"/>
      <c r="P2426" s="1035"/>
      <c r="Q2426" s="1036"/>
      <c r="R2426" s="1038" t="s">
        <v>7977</v>
      </c>
      <c r="S2426" s="1131" t="s">
        <v>7978</v>
      </c>
      <c r="T2426" s="1036" t="s">
        <v>7979</v>
      </c>
      <c r="U2426" s="1066">
        <v>1</v>
      </c>
      <c r="V2426" s="1035" t="s">
        <v>3</v>
      </c>
      <c r="W2426" s="1039">
        <v>11970</v>
      </c>
      <c r="X2426" s="1040">
        <f t="shared" si="508"/>
        <v>11970</v>
      </c>
      <c r="Y2426" s="1040" t="s">
        <v>7980</v>
      </c>
      <c r="Z2426" s="1041">
        <v>8331.1200000000008</v>
      </c>
      <c r="AA2426" s="1041"/>
      <c r="AB2426" s="1041">
        <f t="shared" si="512"/>
        <v>8331.1200000000008</v>
      </c>
      <c r="AC2426" s="1042">
        <f t="shared" si="513"/>
        <v>8331.1200000000008</v>
      </c>
      <c r="AD2426" s="1043">
        <v>32000</v>
      </c>
      <c r="AE2426" s="1044"/>
      <c r="AF2426" s="1045"/>
      <c r="AG2426" s="1046"/>
      <c r="AH2426" s="1045"/>
      <c r="AI2426" s="1047"/>
      <c r="AJ2426" s="1038"/>
      <c r="AK2426" s="1048"/>
      <c r="AL2426" s="1036"/>
      <c r="AM2426" s="1036"/>
      <c r="AN2426" s="1037"/>
      <c r="AO2426" s="1037"/>
      <c r="AP2426" s="1034"/>
      <c r="AQ2426" s="1035"/>
      <c r="AR2426" s="1034"/>
      <c r="AS2426" s="1035"/>
      <c r="AT2426" s="1035"/>
      <c r="AU2426" s="1035"/>
      <c r="AV2426" s="1038"/>
      <c r="AW2426" s="1050"/>
      <c r="AX2426" s="1051"/>
      <c r="AY2426" s="1036"/>
      <c r="AZ2426" s="1035"/>
      <c r="BA2426" s="1035"/>
      <c r="BB2426" s="1052"/>
      <c r="BC2426" s="1053"/>
      <c r="BD2426" s="1049"/>
      <c r="BE2426" s="1054"/>
      <c r="BF2426" s="1055"/>
      <c r="BG2426" s="1055"/>
      <c r="BH2426" s="1055"/>
      <c r="BI2426" s="1055"/>
      <c r="BJ2426" s="1055"/>
      <c r="BK2426" s="1055"/>
      <c r="BL2426" s="1055"/>
      <c r="BM2426" s="1055"/>
      <c r="BN2426" s="1055"/>
      <c r="BO2426" s="1056"/>
      <c r="BP2426" s="1056"/>
      <c r="BQ2426" s="1056"/>
      <c r="BR2426" s="1056"/>
      <c r="BS2426" s="1056"/>
      <c r="BT2426" s="1056"/>
      <c r="BU2426" s="1056"/>
      <c r="BV2426" s="1057"/>
      <c r="BW2426" s="1057"/>
      <c r="BX2426" s="1148"/>
      <c r="BY2426" s="1057"/>
      <c r="BZ2426" s="1057"/>
      <c r="CA2426" s="1057"/>
      <c r="CB2426" s="1032"/>
    </row>
    <row r="2427" spans="2:80">
      <c r="B2427" s="1033"/>
      <c r="C2427" s="1033"/>
      <c r="D2427" s="1033"/>
      <c r="E2427" s="1033"/>
      <c r="F2427" s="1034"/>
      <c r="G2427" s="1033"/>
      <c r="H2427" s="1063"/>
      <c r="I2427" s="1063"/>
      <c r="J2427" s="1034"/>
      <c r="K2427" s="1034"/>
      <c r="L2427" s="1036"/>
      <c r="M2427" s="1037"/>
      <c r="N2427" s="1034"/>
      <c r="O2427" s="1064"/>
      <c r="P2427" s="1035"/>
      <c r="Q2427" s="1036"/>
      <c r="R2427" s="1038"/>
      <c r="S2427" s="1131"/>
      <c r="T2427" s="1036"/>
      <c r="U2427" s="1066"/>
      <c r="V2427" s="1035"/>
      <c r="W2427" s="1039"/>
      <c r="X2427" s="1040"/>
      <c r="Y2427" s="1040"/>
      <c r="Z2427" s="1041"/>
      <c r="AA2427" s="1041"/>
      <c r="AB2427" s="1041"/>
      <c r="AC2427" s="1042"/>
      <c r="AD2427" s="1043"/>
      <c r="AE2427" s="1044"/>
      <c r="AF2427" s="1045"/>
      <c r="AG2427" s="1046"/>
      <c r="AH2427" s="1045"/>
      <c r="AI2427" s="1047"/>
      <c r="AJ2427" s="1038"/>
      <c r="AK2427" s="1048"/>
      <c r="AL2427" s="1036"/>
      <c r="AM2427" s="1036"/>
      <c r="AN2427" s="1037"/>
      <c r="AO2427" s="1037"/>
      <c r="AP2427" s="1034"/>
      <c r="AQ2427" s="1035"/>
      <c r="AR2427" s="1034"/>
      <c r="AS2427" s="1035"/>
      <c r="AT2427" s="1035"/>
      <c r="AU2427" s="1035"/>
      <c r="AV2427" s="1038"/>
      <c r="AW2427" s="1050"/>
      <c r="AX2427" s="1051"/>
      <c r="AY2427" s="1036"/>
      <c r="AZ2427" s="1035"/>
      <c r="BA2427" s="1035"/>
      <c r="BB2427" s="1052"/>
      <c r="BC2427" s="1053"/>
      <c r="BD2427" s="1049"/>
      <c r="BE2427" s="1054"/>
      <c r="BF2427" s="1055"/>
      <c r="BG2427" s="1055"/>
      <c r="BH2427" s="1055"/>
      <c r="BI2427" s="1055"/>
      <c r="BJ2427" s="1055"/>
      <c r="BK2427" s="1055"/>
      <c r="BL2427" s="1055"/>
      <c r="BM2427" s="1055"/>
      <c r="BN2427" s="1055"/>
      <c r="BO2427" s="1056"/>
      <c r="BP2427" s="1056"/>
      <c r="BQ2427" s="1056"/>
      <c r="BR2427" s="1056"/>
      <c r="BS2427" s="1056"/>
      <c r="BT2427" s="1056"/>
      <c r="BU2427" s="1056"/>
      <c r="BV2427" s="1057"/>
      <c r="BW2427" s="1057"/>
      <c r="BX2427" s="1148"/>
      <c r="BY2427" s="1057"/>
      <c r="BZ2427" s="1057"/>
      <c r="CA2427" s="1057"/>
      <c r="CB2427" s="1032"/>
    </row>
    <row r="2428" spans="2:80">
      <c r="B2428" s="1033" t="s">
        <v>7981</v>
      </c>
      <c r="C2428" s="839" t="s">
        <v>7454</v>
      </c>
      <c r="D2428" s="1033"/>
      <c r="E2428" s="1033" t="s">
        <v>7982</v>
      </c>
      <c r="F2428" s="1034">
        <v>46192</v>
      </c>
      <c r="G2428" s="1033" t="s">
        <v>7454</v>
      </c>
      <c r="H2428" s="1063" t="s">
        <v>3457</v>
      </c>
      <c r="I2428" s="1063"/>
      <c r="J2428" s="1034"/>
      <c r="K2428" s="1034"/>
      <c r="L2428" s="1036" t="s">
        <v>106</v>
      </c>
      <c r="M2428" s="1037" t="s">
        <v>107</v>
      </c>
      <c r="N2428" s="1034"/>
      <c r="O2428" s="1064"/>
      <c r="P2428" s="1035"/>
      <c r="Q2428" s="1036"/>
      <c r="R2428" s="1038" t="s">
        <v>7983</v>
      </c>
      <c r="S2428" s="1131" t="s">
        <v>7984</v>
      </c>
      <c r="T2428" s="1036" t="s">
        <v>7985</v>
      </c>
      <c r="U2428" s="1066">
        <v>1</v>
      </c>
      <c r="V2428" s="1035" t="s">
        <v>3</v>
      </c>
      <c r="W2428" s="1039">
        <v>127</v>
      </c>
      <c r="X2428" s="1040">
        <f t="shared" si="508"/>
        <v>127</v>
      </c>
      <c r="Y2428" s="1045" t="s">
        <v>7980</v>
      </c>
      <c r="Z2428" s="1041">
        <v>88.39</v>
      </c>
      <c r="AA2428" s="1041"/>
      <c r="AB2428" s="1041">
        <f>IF(AA2428="F.O.C", 0, Z2428*U2428)</f>
        <v>88.39</v>
      </c>
      <c r="AC2428" s="1042">
        <f>Z2428*U2428</f>
        <v>88.39</v>
      </c>
      <c r="AD2428" s="1043">
        <v>32000</v>
      </c>
      <c r="AE2428" s="1044"/>
      <c r="AF2428" s="1045"/>
      <c r="AG2428" s="1046"/>
      <c r="AH2428" s="1045"/>
      <c r="AI2428" s="1047"/>
      <c r="AJ2428" s="1038"/>
      <c r="AK2428" s="1048"/>
      <c r="AL2428" s="1036"/>
      <c r="AM2428" s="1036"/>
      <c r="AN2428" s="1037"/>
      <c r="AO2428" s="1037"/>
      <c r="AP2428" s="1034"/>
      <c r="AQ2428" s="1035"/>
      <c r="AR2428" s="1034"/>
      <c r="AS2428" s="1035"/>
      <c r="AT2428" s="1035"/>
      <c r="AU2428" s="1035"/>
      <c r="AV2428" s="1038"/>
      <c r="AW2428" s="1050"/>
      <c r="AX2428" s="1051"/>
      <c r="AY2428" s="1036"/>
      <c r="AZ2428" s="1035"/>
      <c r="BA2428" s="1035"/>
      <c r="BB2428" s="1052"/>
      <c r="BC2428" s="1053"/>
      <c r="BD2428" s="1049"/>
      <c r="BE2428" s="1054"/>
      <c r="BF2428" s="1055"/>
      <c r="BG2428" s="1055"/>
      <c r="BH2428" s="1055"/>
      <c r="BI2428" s="1055"/>
      <c r="BJ2428" s="1055"/>
      <c r="BK2428" s="1055"/>
      <c r="BL2428" s="1055"/>
      <c r="BM2428" s="1055"/>
      <c r="BN2428" s="1055"/>
      <c r="BO2428" s="1056"/>
      <c r="BP2428" s="1056"/>
      <c r="BQ2428" s="1056"/>
      <c r="BR2428" s="1056"/>
      <c r="BS2428" s="1056"/>
      <c r="BT2428" s="1056"/>
      <c r="BU2428" s="1056"/>
      <c r="BV2428" s="1057"/>
      <c r="BW2428" s="1057"/>
      <c r="BX2428" s="1148"/>
      <c r="BY2428" s="1057"/>
      <c r="BZ2428" s="1057"/>
      <c r="CA2428" s="1057"/>
      <c r="CB2428" s="1032"/>
    </row>
    <row r="2429" spans="2:80">
      <c r="B2429" s="1033" t="s">
        <v>7981</v>
      </c>
      <c r="C2429" s="839" t="s">
        <v>7454</v>
      </c>
      <c r="D2429" s="1033"/>
      <c r="E2429" s="1033" t="s">
        <v>7982</v>
      </c>
      <c r="F2429" s="1034">
        <v>46192</v>
      </c>
      <c r="G2429" s="1033" t="s">
        <v>7454</v>
      </c>
      <c r="H2429" s="1063" t="s">
        <v>3457</v>
      </c>
      <c r="I2429" s="1063"/>
      <c r="J2429" s="1034"/>
      <c r="K2429" s="1034"/>
      <c r="L2429" s="1036" t="s">
        <v>106</v>
      </c>
      <c r="M2429" s="1037" t="s">
        <v>107</v>
      </c>
      <c r="N2429" s="1034"/>
      <c r="O2429" s="1064"/>
      <c r="P2429" s="1035"/>
      <c r="Q2429" s="1036"/>
      <c r="R2429" s="1038" t="s">
        <v>7986</v>
      </c>
      <c r="S2429" s="1131" t="s">
        <v>7987</v>
      </c>
      <c r="T2429" s="1036" t="s">
        <v>7988</v>
      </c>
      <c r="U2429" s="1066">
        <v>2</v>
      </c>
      <c r="V2429" s="1035" t="s">
        <v>3</v>
      </c>
      <c r="W2429" s="1039">
        <v>160</v>
      </c>
      <c r="X2429" s="1040">
        <f t="shared" si="508"/>
        <v>320</v>
      </c>
      <c r="Y2429" s="1045" t="s">
        <v>7980</v>
      </c>
      <c r="Z2429" s="1041">
        <v>111.36</v>
      </c>
      <c r="AA2429" s="1041"/>
      <c r="AB2429" s="1041">
        <f t="shared" ref="AB2429:AB2479" si="514">IF(AA2429="F.O.C", 0, Z2429*U2429)</f>
        <v>222.72</v>
      </c>
      <c r="AC2429" s="1042">
        <f t="shared" ref="AC2429:AC2479" si="515">Z2429*U2429</f>
        <v>222.72</v>
      </c>
      <c r="AD2429" s="1043">
        <v>32000</v>
      </c>
      <c r="AE2429" s="1044"/>
      <c r="AF2429" s="1045"/>
      <c r="AG2429" s="1046"/>
      <c r="AH2429" s="1045"/>
      <c r="AI2429" s="1047"/>
      <c r="AJ2429" s="1038"/>
      <c r="AK2429" s="1048"/>
      <c r="AL2429" s="1036"/>
      <c r="AM2429" s="1036"/>
      <c r="AN2429" s="1037"/>
      <c r="AO2429" s="1037"/>
      <c r="AP2429" s="1034"/>
      <c r="AQ2429" s="1035"/>
      <c r="AR2429" s="1034"/>
      <c r="AS2429" s="1035"/>
      <c r="AT2429" s="1035"/>
      <c r="AU2429" s="1035"/>
      <c r="AV2429" s="1038"/>
      <c r="AW2429" s="1050"/>
      <c r="AX2429" s="1051"/>
      <c r="AY2429" s="1036"/>
      <c r="AZ2429" s="1035"/>
      <c r="BA2429" s="1035"/>
      <c r="BB2429" s="1052"/>
      <c r="BC2429" s="1053"/>
      <c r="BD2429" s="1049"/>
      <c r="BE2429" s="1054"/>
      <c r="BF2429" s="1055"/>
      <c r="BG2429" s="1055"/>
      <c r="BH2429" s="1055"/>
      <c r="BI2429" s="1055"/>
      <c r="BJ2429" s="1055"/>
      <c r="BK2429" s="1055"/>
      <c r="BL2429" s="1055"/>
      <c r="BM2429" s="1055"/>
      <c r="BN2429" s="1055"/>
      <c r="BO2429" s="1056"/>
      <c r="BP2429" s="1056"/>
      <c r="BQ2429" s="1056"/>
      <c r="BR2429" s="1056"/>
      <c r="BS2429" s="1056"/>
      <c r="BT2429" s="1056"/>
      <c r="BU2429" s="1056"/>
      <c r="BV2429" s="1057"/>
      <c r="BW2429" s="1057"/>
      <c r="BX2429" s="1148"/>
      <c r="BY2429" s="1057"/>
      <c r="BZ2429" s="1057"/>
      <c r="CA2429" s="1057"/>
      <c r="CB2429" s="1032"/>
    </row>
    <row r="2430" spans="2:80">
      <c r="B2430" s="1033" t="s">
        <v>7981</v>
      </c>
      <c r="C2430" s="839" t="s">
        <v>7454</v>
      </c>
      <c r="D2430" s="1033"/>
      <c r="E2430" s="1033" t="s">
        <v>7982</v>
      </c>
      <c r="F2430" s="1034">
        <v>46192</v>
      </c>
      <c r="G2430" s="1033" t="s">
        <v>7454</v>
      </c>
      <c r="H2430" s="1063" t="s">
        <v>3457</v>
      </c>
      <c r="I2430" s="1063"/>
      <c r="J2430" s="1034"/>
      <c r="K2430" s="1034"/>
      <c r="L2430" s="1036" t="s">
        <v>106</v>
      </c>
      <c r="M2430" s="1037" t="s">
        <v>107</v>
      </c>
      <c r="N2430" s="1034"/>
      <c r="O2430" s="1064"/>
      <c r="P2430" s="1035"/>
      <c r="Q2430" s="1036"/>
      <c r="R2430" s="1038" t="s">
        <v>7989</v>
      </c>
      <c r="S2430" s="1131" t="s">
        <v>7990</v>
      </c>
      <c r="T2430" s="1036" t="s">
        <v>7991</v>
      </c>
      <c r="U2430" s="1066">
        <v>1</v>
      </c>
      <c r="V2430" s="1035" t="s">
        <v>3</v>
      </c>
      <c r="W2430" s="1039">
        <v>42</v>
      </c>
      <c r="X2430" s="1040">
        <f t="shared" si="508"/>
        <v>42</v>
      </c>
      <c r="Y2430" s="1045" t="s">
        <v>7980</v>
      </c>
      <c r="Z2430" s="1041">
        <v>29.23</v>
      </c>
      <c r="AA2430" s="1041"/>
      <c r="AB2430" s="1041">
        <f t="shared" si="514"/>
        <v>29.23</v>
      </c>
      <c r="AC2430" s="1042">
        <f t="shared" si="515"/>
        <v>29.23</v>
      </c>
      <c r="AD2430" s="1043">
        <v>32000</v>
      </c>
      <c r="AE2430" s="1044"/>
      <c r="AF2430" s="1045"/>
      <c r="AG2430" s="1046"/>
      <c r="AH2430" s="1045"/>
      <c r="AI2430" s="1047"/>
      <c r="AJ2430" s="1038"/>
      <c r="AK2430" s="1048"/>
      <c r="AL2430" s="1036"/>
      <c r="AM2430" s="1036"/>
      <c r="AN2430" s="1037"/>
      <c r="AO2430" s="1037"/>
      <c r="AP2430" s="1034"/>
      <c r="AQ2430" s="1035"/>
      <c r="AR2430" s="1034"/>
      <c r="AS2430" s="1035"/>
      <c r="AT2430" s="1035"/>
      <c r="AU2430" s="1035"/>
      <c r="AV2430" s="1038"/>
      <c r="AW2430" s="1050"/>
      <c r="AX2430" s="1051"/>
      <c r="AY2430" s="1036"/>
      <c r="AZ2430" s="1035"/>
      <c r="BA2430" s="1035"/>
      <c r="BB2430" s="1052"/>
      <c r="BC2430" s="1053"/>
      <c r="BD2430" s="1049"/>
      <c r="BE2430" s="1054"/>
      <c r="BF2430" s="1055"/>
      <c r="BG2430" s="1055"/>
      <c r="BH2430" s="1055"/>
      <c r="BI2430" s="1055"/>
      <c r="BJ2430" s="1055"/>
      <c r="BK2430" s="1055"/>
      <c r="BL2430" s="1055"/>
      <c r="BM2430" s="1055"/>
      <c r="BN2430" s="1055"/>
      <c r="BO2430" s="1056"/>
      <c r="BP2430" s="1056"/>
      <c r="BQ2430" s="1056"/>
      <c r="BR2430" s="1056"/>
      <c r="BS2430" s="1056"/>
      <c r="BT2430" s="1056"/>
      <c r="BU2430" s="1056"/>
      <c r="BV2430" s="1057"/>
      <c r="BW2430" s="1057"/>
      <c r="BX2430" s="1148"/>
      <c r="BY2430" s="1057"/>
      <c r="BZ2430" s="1057"/>
      <c r="CA2430" s="1057"/>
      <c r="CB2430" s="1032"/>
    </row>
    <row r="2431" spans="2:80">
      <c r="B2431" s="1033" t="s">
        <v>7981</v>
      </c>
      <c r="C2431" s="839" t="s">
        <v>7454</v>
      </c>
      <c r="D2431" s="1033"/>
      <c r="E2431" s="1033" t="s">
        <v>7982</v>
      </c>
      <c r="F2431" s="1034">
        <v>46192</v>
      </c>
      <c r="G2431" s="1033" t="s">
        <v>7454</v>
      </c>
      <c r="H2431" s="1063" t="s">
        <v>3457</v>
      </c>
      <c r="I2431" s="1063"/>
      <c r="J2431" s="1034"/>
      <c r="K2431" s="1034"/>
      <c r="L2431" s="1036" t="s">
        <v>106</v>
      </c>
      <c r="M2431" s="1037" t="s">
        <v>107</v>
      </c>
      <c r="N2431" s="1034"/>
      <c r="O2431" s="1064"/>
      <c r="P2431" s="1035"/>
      <c r="Q2431" s="1036"/>
      <c r="R2431" s="1038" t="s">
        <v>7992</v>
      </c>
      <c r="S2431" s="1131" t="s">
        <v>7993</v>
      </c>
      <c r="T2431" s="1036" t="s">
        <v>7994</v>
      </c>
      <c r="U2431" s="1066">
        <v>1</v>
      </c>
      <c r="V2431" s="1035" t="s">
        <v>3</v>
      </c>
      <c r="W2431" s="1039">
        <v>100</v>
      </c>
      <c r="X2431" s="1040">
        <f t="shared" si="508"/>
        <v>100</v>
      </c>
      <c r="Y2431" s="1045" t="s">
        <v>7980</v>
      </c>
      <c r="Z2431" s="1041">
        <v>69.599999999999994</v>
      </c>
      <c r="AA2431" s="1041"/>
      <c r="AB2431" s="1041">
        <f t="shared" si="514"/>
        <v>69.599999999999994</v>
      </c>
      <c r="AC2431" s="1042">
        <f t="shared" si="515"/>
        <v>69.599999999999994</v>
      </c>
      <c r="AD2431" s="1043">
        <v>32000</v>
      </c>
      <c r="AE2431" s="1044"/>
      <c r="AF2431" s="1045"/>
      <c r="AG2431" s="1046"/>
      <c r="AH2431" s="1045"/>
      <c r="AI2431" s="1047"/>
      <c r="AJ2431" s="1038"/>
      <c r="AK2431" s="1048"/>
      <c r="AL2431" s="1036"/>
      <c r="AM2431" s="1036"/>
      <c r="AN2431" s="1037"/>
      <c r="AO2431" s="1037"/>
      <c r="AP2431" s="1034"/>
      <c r="AQ2431" s="1035"/>
      <c r="AR2431" s="1034"/>
      <c r="AS2431" s="1035"/>
      <c r="AT2431" s="1035"/>
      <c r="AU2431" s="1035"/>
      <c r="AV2431" s="1038"/>
      <c r="AW2431" s="1050"/>
      <c r="AX2431" s="1051"/>
      <c r="AY2431" s="1036"/>
      <c r="AZ2431" s="1035"/>
      <c r="BA2431" s="1035"/>
      <c r="BB2431" s="1052"/>
      <c r="BC2431" s="1053"/>
      <c r="BD2431" s="1049"/>
      <c r="BE2431" s="1054"/>
      <c r="BF2431" s="1055"/>
      <c r="BG2431" s="1055"/>
      <c r="BH2431" s="1055"/>
      <c r="BI2431" s="1055"/>
      <c r="BJ2431" s="1055"/>
      <c r="BK2431" s="1055"/>
      <c r="BL2431" s="1055"/>
      <c r="BM2431" s="1055"/>
      <c r="BN2431" s="1055"/>
      <c r="BO2431" s="1056"/>
      <c r="BP2431" s="1056"/>
      <c r="BQ2431" s="1056"/>
      <c r="BR2431" s="1056"/>
      <c r="BS2431" s="1056"/>
      <c r="BT2431" s="1056"/>
      <c r="BU2431" s="1056"/>
      <c r="BV2431" s="1057"/>
      <c r="BW2431" s="1057"/>
      <c r="BX2431" s="1148"/>
      <c r="BY2431" s="1057"/>
      <c r="BZ2431" s="1057"/>
      <c r="CA2431" s="1057"/>
      <c r="CB2431" s="1032"/>
    </row>
    <row r="2432" spans="2:80">
      <c r="B2432" s="1033" t="s">
        <v>7981</v>
      </c>
      <c r="C2432" s="839" t="s">
        <v>7454</v>
      </c>
      <c r="D2432" s="1033"/>
      <c r="E2432" s="1033" t="s">
        <v>7982</v>
      </c>
      <c r="F2432" s="1034">
        <v>46192</v>
      </c>
      <c r="G2432" s="1033" t="s">
        <v>7454</v>
      </c>
      <c r="H2432" s="1063" t="s">
        <v>3457</v>
      </c>
      <c r="I2432" s="1063"/>
      <c r="J2432" s="1034"/>
      <c r="K2432" s="1034"/>
      <c r="L2432" s="1036" t="s">
        <v>106</v>
      </c>
      <c r="M2432" s="1037" t="s">
        <v>107</v>
      </c>
      <c r="N2432" s="1034"/>
      <c r="O2432" s="1064"/>
      <c r="P2432" s="1035"/>
      <c r="Q2432" s="1036"/>
      <c r="R2432" s="1038" t="s">
        <v>7995</v>
      </c>
      <c r="S2432" s="1131" t="s">
        <v>7996</v>
      </c>
      <c r="T2432" s="1036" t="s">
        <v>7997</v>
      </c>
      <c r="U2432" s="1066">
        <v>1</v>
      </c>
      <c r="V2432" s="1035" t="s">
        <v>3</v>
      </c>
      <c r="W2432" s="1039">
        <v>127</v>
      </c>
      <c r="X2432" s="1040">
        <f t="shared" si="508"/>
        <v>127</v>
      </c>
      <c r="Y2432" s="1045" t="s">
        <v>7980</v>
      </c>
      <c r="Z2432" s="1041">
        <v>88.39</v>
      </c>
      <c r="AA2432" s="1041"/>
      <c r="AB2432" s="1041">
        <f t="shared" si="514"/>
        <v>88.39</v>
      </c>
      <c r="AC2432" s="1042">
        <f t="shared" si="515"/>
        <v>88.39</v>
      </c>
      <c r="AD2432" s="1043">
        <v>32000</v>
      </c>
      <c r="AE2432" s="1044"/>
      <c r="AF2432" s="1045"/>
      <c r="AG2432" s="1046"/>
      <c r="AH2432" s="1045"/>
      <c r="AI2432" s="1047"/>
      <c r="AJ2432" s="1038"/>
      <c r="AK2432" s="1048"/>
      <c r="AL2432" s="1036"/>
      <c r="AM2432" s="1036"/>
      <c r="AN2432" s="1037"/>
      <c r="AO2432" s="1037"/>
      <c r="AP2432" s="1034"/>
      <c r="AQ2432" s="1035"/>
      <c r="AR2432" s="1034"/>
      <c r="AS2432" s="1035"/>
      <c r="AT2432" s="1035"/>
      <c r="AU2432" s="1035"/>
      <c r="AV2432" s="1038"/>
      <c r="AW2432" s="1050"/>
      <c r="AX2432" s="1051"/>
      <c r="AY2432" s="1036"/>
      <c r="AZ2432" s="1035"/>
      <c r="BA2432" s="1035"/>
      <c r="BB2432" s="1052"/>
      <c r="BC2432" s="1053"/>
      <c r="BD2432" s="1049"/>
      <c r="BE2432" s="1054"/>
      <c r="BF2432" s="1055"/>
      <c r="BG2432" s="1055"/>
      <c r="BH2432" s="1055"/>
      <c r="BI2432" s="1055"/>
      <c r="BJ2432" s="1055"/>
      <c r="BK2432" s="1055"/>
      <c r="BL2432" s="1055"/>
      <c r="BM2432" s="1055"/>
      <c r="BN2432" s="1055"/>
      <c r="BO2432" s="1056"/>
      <c r="BP2432" s="1056"/>
      <c r="BQ2432" s="1056"/>
      <c r="BR2432" s="1056"/>
      <c r="BS2432" s="1056"/>
      <c r="BT2432" s="1056"/>
      <c r="BU2432" s="1056"/>
      <c r="BV2432" s="1057"/>
      <c r="BW2432" s="1057"/>
      <c r="BX2432" s="1148"/>
      <c r="BY2432" s="1057"/>
      <c r="BZ2432" s="1057"/>
      <c r="CA2432" s="1057"/>
      <c r="CB2432" s="1032"/>
    </row>
    <row r="2433" spans="2:80">
      <c r="B2433" s="1033" t="s">
        <v>7981</v>
      </c>
      <c r="C2433" s="839" t="s">
        <v>7454</v>
      </c>
      <c r="D2433" s="1033"/>
      <c r="E2433" s="1033" t="s">
        <v>7982</v>
      </c>
      <c r="F2433" s="1034">
        <v>46192</v>
      </c>
      <c r="G2433" s="1033" t="s">
        <v>7454</v>
      </c>
      <c r="H2433" s="1063" t="s">
        <v>3457</v>
      </c>
      <c r="I2433" s="1063"/>
      <c r="J2433" s="1034"/>
      <c r="K2433" s="1034"/>
      <c r="L2433" s="1036" t="s">
        <v>106</v>
      </c>
      <c r="M2433" s="1037" t="s">
        <v>107</v>
      </c>
      <c r="N2433" s="1034"/>
      <c r="O2433" s="1064"/>
      <c r="P2433" s="1035"/>
      <c r="Q2433" s="1036"/>
      <c r="R2433" s="1038" t="s">
        <v>7998</v>
      </c>
      <c r="S2433" s="1131" t="s">
        <v>7999</v>
      </c>
      <c r="T2433" s="1036" t="s">
        <v>8000</v>
      </c>
      <c r="U2433" s="1066">
        <v>3</v>
      </c>
      <c r="V2433" s="1035" t="s">
        <v>3</v>
      </c>
      <c r="W2433" s="1039">
        <v>179</v>
      </c>
      <c r="X2433" s="1040">
        <f t="shared" si="508"/>
        <v>537</v>
      </c>
      <c r="Y2433" s="1045" t="s">
        <v>7980</v>
      </c>
      <c r="Z2433" s="1041">
        <v>124.58</v>
      </c>
      <c r="AA2433" s="1041"/>
      <c r="AB2433" s="1041">
        <f t="shared" si="514"/>
        <v>373.74</v>
      </c>
      <c r="AC2433" s="1042">
        <f t="shared" si="515"/>
        <v>373.74</v>
      </c>
      <c r="AD2433" s="1043">
        <v>32000</v>
      </c>
      <c r="AE2433" s="1044"/>
      <c r="AF2433" s="1045"/>
      <c r="AG2433" s="1046"/>
      <c r="AH2433" s="1045"/>
      <c r="AI2433" s="1047"/>
      <c r="AJ2433" s="1038"/>
      <c r="AK2433" s="1048"/>
      <c r="AL2433" s="1036"/>
      <c r="AM2433" s="1036"/>
      <c r="AN2433" s="1037"/>
      <c r="AO2433" s="1037"/>
      <c r="AP2433" s="1034"/>
      <c r="AQ2433" s="1035"/>
      <c r="AR2433" s="1034"/>
      <c r="AS2433" s="1035"/>
      <c r="AT2433" s="1035"/>
      <c r="AU2433" s="1035"/>
      <c r="AV2433" s="1038"/>
      <c r="AW2433" s="1050"/>
      <c r="AX2433" s="1051"/>
      <c r="AY2433" s="1036"/>
      <c r="AZ2433" s="1035"/>
      <c r="BA2433" s="1035"/>
      <c r="BB2433" s="1052"/>
      <c r="BC2433" s="1053"/>
      <c r="BD2433" s="1049"/>
      <c r="BE2433" s="1054"/>
      <c r="BF2433" s="1055"/>
      <c r="BG2433" s="1055"/>
      <c r="BH2433" s="1055"/>
      <c r="BI2433" s="1055"/>
      <c r="BJ2433" s="1055"/>
      <c r="BK2433" s="1055"/>
      <c r="BL2433" s="1055"/>
      <c r="BM2433" s="1055"/>
      <c r="BN2433" s="1055"/>
      <c r="BO2433" s="1056"/>
      <c r="BP2433" s="1056"/>
      <c r="BQ2433" s="1056"/>
      <c r="BR2433" s="1056"/>
      <c r="BS2433" s="1056"/>
      <c r="BT2433" s="1056"/>
      <c r="BU2433" s="1056"/>
      <c r="BV2433" s="1057"/>
      <c r="BW2433" s="1057"/>
      <c r="BX2433" s="1148"/>
      <c r="BY2433" s="1057"/>
      <c r="BZ2433" s="1057"/>
      <c r="CA2433" s="1057"/>
      <c r="CB2433" s="1032"/>
    </row>
    <row r="2434" spans="2:80">
      <c r="B2434" s="1033" t="s">
        <v>7981</v>
      </c>
      <c r="C2434" s="839" t="s">
        <v>7454</v>
      </c>
      <c r="D2434" s="1033"/>
      <c r="E2434" s="1033" t="s">
        <v>7982</v>
      </c>
      <c r="F2434" s="1034">
        <v>46192</v>
      </c>
      <c r="G2434" s="1033" t="s">
        <v>7454</v>
      </c>
      <c r="H2434" s="1063" t="s">
        <v>3457</v>
      </c>
      <c r="I2434" s="1063"/>
      <c r="J2434" s="1034"/>
      <c r="K2434" s="1034"/>
      <c r="L2434" s="1036" t="s">
        <v>106</v>
      </c>
      <c r="M2434" s="1037" t="s">
        <v>107</v>
      </c>
      <c r="N2434" s="1034"/>
      <c r="O2434" s="1064"/>
      <c r="P2434" s="1035"/>
      <c r="Q2434" s="1036"/>
      <c r="R2434" s="1038" t="s">
        <v>8001</v>
      </c>
      <c r="S2434" s="1131" t="s">
        <v>8002</v>
      </c>
      <c r="T2434" s="1036" t="s">
        <v>8003</v>
      </c>
      <c r="U2434" s="1066">
        <v>1</v>
      </c>
      <c r="V2434" s="1035" t="s">
        <v>3</v>
      </c>
      <c r="W2434" s="1039">
        <v>160</v>
      </c>
      <c r="X2434" s="1040">
        <f t="shared" si="508"/>
        <v>160</v>
      </c>
      <c r="Y2434" s="1045" t="s">
        <v>7980</v>
      </c>
      <c r="Z2434" s="1041">
        <v>111.36</v>
      </c>
      <c r="AA2434" s="1041"/>
      <c r="AB2434" s="1041">
        <f t="shared" si="514"/>
        <v>111.36</v>
      </c>
      <c r="AC2434" s="1042">
        <f t="shared" si="515"/>
        <v>111.36</v>
      </c>
      <c r="AD2434" s="1043">
        <v>32000</v>
      </c>
      <c r="AE2434" s="1044"/>
      <c r="AF2434" s="1045"/>
      <c r="AG2434" s="1046"/>
      <c r="AH2434" s="1045"/>
      <c r="AI2434" s="1047"/>
      <c r="AJ2434" s="1038"/>
      <c r="AK2434" s="1048"/>
      <c r="AL2434" s="1036"/>
      <c r="AM2434" s="1036"/>
      <c r="AN2434" s="1037"/>
      <c r="AO2434" s="1037"/>
      <c r="AP2434" s="1034"/>
      <c r="AQ2434" s="1035"/>
      <c r="AR2434" s="1034"/>
      <c r="AS2434" s="1035"/>
      <c r="AT2434" s="1035"/>
      <c r="AU2434" s="1035"/>
      <c r="AV2434" s="1038"/>
      <c r="AW2434" s="1050"/>
      <c r="AX2434" s="1051"/>
      <c r="AY2434" s="1036"/>
      <c r="AZ2434" s="1035"/>
      <c r="BA2434" s="1035"/>
      <c r="BB2434" s="1052"/>
      <c r="BC2434" s="1053"/>
      <c r="BD2434" s="1049"/>
      <c r="BE2434" s="1054"/>
      <c r="BF2434" s="1055"/>
      <c r="BG2434" s="1055"/>
      <c r="BH2434" s="1055"/>
      <c r="BI2434" s="1055"/>
      <c r="BJ2434" s="1055"/>
      <c r="BK2434" s="1055"/>
      <c r="BL2434" s="1055"/>
      <c r="BM2434" s="1055"/>
      <c r="BN2434" s="1055"/>
      <c r="BO2434" s="1056"/>
      <c r="BP2434" s="1056"/>
      <c r="BQ2434" s="1056"/>
      <c r="BR2434" s="1056"/>
      <c r="BS2434" s="1056"/>
      <c r="BT2434" s="1056"/>
      <c r="BU2434" s="1056"/>
      <c r="BV2434" s="1057"/>
      <c r="BW2434" s="1057"/>
      <c r="BX2434" s="1148"/>
      <c r="BY2434" s="1057"/>
      <c r="BZ2434" s="1057"/>
      <c r="CA2434" s="1057"/>
      <c r="CB2434" s="1032"/>
    </row>
    <row r="2435" spans="2:80">
      <c r="B2435" s="1033" t="s">
        <v>7981</v>
      </c>
      <c r="C2435" s="839" t="s">
        <v>7454</v>
      </c>
      <c r="D2435" s="1033"/>
      <c r="E2435" s="1033" t="s">
        <v>7982</v>
      </c>
      <c r="F2435" s="1034">
        <v>46192</v>
      </c>
      <c r="G2435" s="1033" t="s">
        <v>7454</v>
      </c>
      <c r="H2435" s="1063" t="s">
        <v>3457</v>
      </c>
      <c r="I2435" s="1063"/>
      <c r="J2435" s="1034"/>
      <c r="K2435" s="1034"/>
      <c r="L2435" s="1036" t="s">
        <v>106</v>
      </c>
      <c r="M2435" s="1037" t="s">
        <v>107</v>
      </c>
      <c r="N2435" s="1034"/>
      <c r="O2435" s="1064"/>
      <c r="P2435" s="1035"/>
      <c r="Q2435" s="1036"/>
      <c r="R2435" s="1038" t="s">
        <v>8004</v>
      </c>
      <c r="S2435" s="1131" t="s">
        <v>8005</v>
      </c>
      <c r="T2435" s="1036" t="s">
        <v>8006</v>
      </c>
      <c r="U2435" s="1066">
        <v>1</v>
      </c>
      <c r="V2435" s="1035" t="s">
        <v>3</v>
      </c>
      <c r="W2435" s="1039">
        <v>106</v>
      </c>
      <c r="X2435" s="1040">
        <f t="shared" si="508"/>
        <v>106</v>
      </c>
      <c r="Y2435" s="1045" t="s">
        <v>7980</v>
      </c>
      <c r="Z2435" s="1041">
        <v>73.78</v>
      </c>
      <c r="AA2435" s="1041"/>
      <c r="AB2435" s="1041">
        <f t="shared" si="514"/>
        <v>73.78</v>
      </c>
      <c r="AC2435" s="1042">
        <f t="shared" si="515"/>
        <v>73.78</v>
      </c>
      <c r="AD2435" s="1043">
        <v>32000</v>
      </c>
      <c r="AE2435" s="1044"/>
      <c r="AF2435" s="1045"/>
      <c r="AG2435" s="1046"/>
      <c r="AH2435" s="1045"/>
      <c r="AI2435" s="1047"/>
      <c r="AJ2435" s="1038"/>
      <c r="AK2435" s="1048"/>
      <c r="AL2435" s="1036"/>
      <c r="AM2435" s="1036"/>
      <c r="AN2435" s="1037"/>
      <c r="AO2435" s="1037"/>
      <c r="AP2435" s="1034"/>
      <c r="AQ2435" s="1035"/>
      <c r="AR2435" s="1034"/>
      <c r="AS2435" s="1035"/>
      <c r="AT2435" s="1035"/>
      <c r="AU2435" s="1035"/>
      <c r="AV2435" s="1038"/>
      <c r="AW2435" s="1050"/>
      <c r="AX2435" s="1051"/>
      <c r="AY2435" s="1036"/>
      <c r="AZ2435" s="1035"/>
      <c r="BA2435" s="1035"/>
      <c r="BB2435" s="1052"/>
      <c r="BC2435" s="1053"/>
      <c r="BD2435" s="1049"/>
      <c r="BE2435" s="1054"/>
      <c r="BF2435" s="1055"/>
      <c r="BG2435" s="1055"/>
      <c r="BH2435" s="1055"/>
      <c r="BI2435" s="1055"/>
      <c r="BJ2435" s="1055"/>
      <c r="BK2435" s="1055"/>
      <c r="BL2435" s="1055"/>
      <c r="BM2435" s="1055"/>
      <c r="BN2435" s="1055"/>
      <c r="BO2435" s="1056"/>
      <c r="BP2435" s="1056"/>
      <c r="BQ2435" s="1056"/>
      <c r="BR2435" s="1056"/>
      <c r="BS2435" s="1056"/>
      <c r="BT2435" s="1056"/>
      <c r="BU2435" s="1056"/>
      <c r="BV2435" s="1057"/>
      <c r="BW2435" s="1057"/>
      <c r="BX2435" s="1148"/>
      <c r="BY2435" s="1057"/>
      <c r="BZ2435" s="1057"/>
      <c r="CA2435" s="1057"/>
      <c r="CB2435" s="1032"/>
    </row>
    <row r="2436" spans="2:80">
      <c r="B2436" s="1033" t="s">
        <v>7981</v>
      </c>
      <c r="C2436" s="839" t="s">
        <v>7454</v>
      </c>
      <c r="D2436" s="1033"/>
      <c r="E2436" s="1033" t="s">
        <v>7982</v>
      </c>
      <c r="F2436" s="1034">
        <v>46192</v>
      </c>
      <c r="G2436" s="1033" t="s">
        <v>7454</v>
      </c>
      <c r="H2436" s="1063" t="s">
        <v>3457</v>
      </c>
      <c r="I2436" s="1063"/>
      <c r="J2436" s="1034"/>
      <c r="K2436" s="1034"/>
      <c r="L2436" s="1036" t="s">
        <v>106</v>
      </c>
      <c r="M2436" s="1037" t="s">
        <v>107</v>
      </c>
      <c r="N2436" s="1034"/>
      <c r="O2436" s="1064"/>
      <c r="P2436" s="1035"/>
      <c r="Q2436" s="1036"/>
      <c r="R2436" s="1038" t="s">
        <v>8007</v>
      </c>
      <c r="S2436" s="1131" t="s">
        <v>8008</v>
      </c>
      <c r="T2436" s="1036" t="s">
        <v>8009</v>
      </c>
      <c r="U2436" s="1066">
        <v>2</v>
      </c>
      <c r="V2436" s="1035" t="s">
        <v>3</v>
      </c>
      <c r="W2436" s="1039">
        <v>119</v>
      </c>
      <c r="X2436" s="1040">
        <f t="shared" si="508"/>
        <v>238</v>
      </c>
      <c r="Y2436" s="1045" t="s">
        <v>7980</v>
      </c>
      <c r="Z2436" s="1041">
        <v>82.82</v>
      </c>
      <c r="AA2436" s="1041"/>
      <c r="AB2436" s="1041">
        <f t="shared" si="514"/>
        <v>165.64</v>
      </c>
      <c r="AC2436" s="1042">
        <f t="shared" si="515"/>
        <v>165.64</v>
      </c>
      <c r="AD2436" s="1043">
        <v>32000</v>
      </c>
      <c r="AE2436" s="1044"/>
      <c r="AF2436" s="1045"/>
      <c r="AG2436" s="1046"/>
      <c r="AH2436" s="1045"/>
      <c r="AI2436" s="1047"/>
      <c r="AJ2436" s="1038"/>
      <c r="AK2436" s="1048"/>
      <c r="AL2436" s="1036"/>
      <c r="AM2436" s="1036"/>
      <c r="AN2436" s="1037"/>
      <c r="AO2436" s="1037"/>
      <c r="AP2436" s="1034"/>
      <c r="AQ2436" s="1035"/>
      <c r="AR2436" s="1034"/>
      <c r="AS2436" s="1035"/>
      <c r="AT2436" s="1035"/>
      <c r="AU2436" s="1035"/>
      <c r="AV2436" s="1038"/>
      <c r="AW2436" s="1050"/>
      <c r="AX2436" s="1051"/>
      <c r="AY2436" s="1036"/>
      <c r="AZ2436" s="1035"/>
      <c r="BA2436" s="1035"/>
      <c r="BB2436" s="1052"/>
      <c r="BC2436" s="1053"/>
      <c r="BD2436" s="1049"/>
      <c r="BE2436" s="1054"/>
      <c r="BF2436" s="1055"/>
      <c r="BG2436" s="1055"/>
      <c r="BH2436" s="1055"/>
      <c r="BI2436" s="1055"/>
      <c r="BJ2436" s="1055"/>
      <c r="BK2436" s="1055"/>
      <c r="BL2436" s="1055"/>
      <c r="BM2436" s="1055"/>
      <c r="BN2436" s="1055"/>
      <c r="BO2436" s="1056"/>
      <c r="BP2436" s="1056"/>
      <c r="BQ2436" s="1056"/>
      <c r="BR2436" s="1056"/>
      <c r="BS2436" s="1056"/>
      <c r="BT2436" s="1056"/>
      <c r="BU2436" s="1056"/>
      <c r="BV2436" s="1057"/>
      <c r="BW2436" s="1057"/>
      <c r="BX2436" s="1148"/>
      <c r="BY2436" s="1057"/>
      <c r="BZ2436" s="1057"/>
      <c r="CA2436" s="1057"/>
      <c r="CB2436" s="1032"/>
    </row>
    <row r="2437" spans="2:80">
      <c r="B2437" s="1033" t="s">
        <v>7981</v>
      </c>
      <c r="C2437" s="839" t="s">
        <v>7454</v>
      </c>
      <c r="D2437" s="1033"/>
      <c r="E2437" s="1033" t="s">
        <v>7982</v>
      </c>
      <c r="F2437" s="1034">
        <v>46192</v>
      </c>
      <c r="G2437" s="1033" t="s">
        <v>7454</v>
      </c>
      <c r="H2437" s="1063" t="s">
        <v>3457</v>
      </c>
      <c r="I2437" s="1063"/>
      <c r="J2437" s="1034"/>
      <c r="K2437" s="1034"/>
      <c r="L2437" s="1036" t="s">
        <v>106</v>
      </c>
      <c r="M2437" s="1037" t="s">
        <v>107</v>
      </c>
      <c r="N2437" s="1034"/>
      <c r="O2437" s="1064"/>
      <c r="P2437" s="1035"/>
      <c r="Q2437" s="1036"/>
      <c r="R2437" s="1038" t="s">
        <v>8010</v>
      </c>
      <c r="S2437" s="1131" t="s">
        <v>8011</v>
      </c>
      <c r="T2437" s="1036" t="s">
        <v>8012</v>
      </c>
      <c r="U2437" s="1066">
        <v>1</v>
      </c>
      <c r="V2437" s="1035" t="s">
        <v>3</v>
      </c>
      <c r="W2437" s="1039">
        <v>219</v>
      </c>
      <c r="X2437" s="1040">
        <f t="shared" si="508"/>
        <v>219</v>
      </c>
      <c r="Y2437" s="1045" t="s">
        <v>7980</v>
      </c>
      <c r="Z2437" s="1041">
        <v>152.41999999999999</v>
      </c>
      <c r="AA2437" s="1041"/>
      <c r="AB2437" s="1041">
        <f t="shared" si="514"/>
        <v>152.41999999999999</v>
      </c>
      <c r="AC2437" s="1042">
        <f t="shared" si="515"/>
        <v>152.41999999999999</v>
      </c>
      <c r="AD2437" s="1043">
        <v>32000</v>
      </c>
      <c r="AE2437" s="1044"/>
      <c r="AF2437" s="1045"/>
      <c r="AG2437" s="1046"/>
      <c r="AH2437" s="1045"/>
      <c r="AI2437" s="1047"/>
      <c r="AJ2437" s="1038"/>
      <c r="AK2437" s="1048"/>
      <c r="AL2437" s="1036"/>
      <c r="AM2437" s="1036"/>
      <c r="AN2437" s="1037"/>
      <c r="AO2437" s="1037"/>
      <c r="AP2437" s="1034"/>
      <c r="AQ2437" s="1035"/>
      <c r="AR2437" s="1034"/>
      <c r="AS2437" s="1035"/>
      <c r="AT2437" s="1035"/>
      <c r="AU2437" s="1035"/>
      <c r="AV2437" s="1038"/>
      <c r="AW2437" s="1050"/>
      <c r="AX2437" s="1051"/>
      <c r="AY2437" s="1036"/>
      <c r="AZ2437" s="1035"/>
      <c r="BA2437" s="1035"/>
      <c r="BB2437" s="1052"/>
      <c r="BC2437" s="1053"/>
      <c r="BD2437" s="1049"/>
      <c r="BE2437" s="1054"/>
      <c r="BF2437" s="1055"/>
      <c r="BG2437" s="1055"/>
      <c r="BH2437" s="1055"/>
      <c r="BI2437" s="1055"/>
      <c r="BJ2437" s="1055"/>
      <c r="BK2437" s="1055"/>
      <c r="BL2437" s="1055"/>
      <c r="BM2437" s="1055"/>
      <c r="BN2437" s="1055"/>
      <c r="BO2437" s="1056"/>
      <c r="BP2437" s="1056"/>
      <c r="BQ2437" s="1056"/>
      <c r="BR2437" s="1056"/>
      <c r="BS2437" s="1056"/>
      <c r="BT2437" s="1056"/>
      <c r="BU2437" s="1056"/>
      <c r="BV2437" s="1057"/>
      <c r="BW2437" s="1057"/>
      <c r="BX2437" s="1148"/>
      <c r="BY2437" s="1057"/>
      <c r="BZ2437" s="1057"/>
      <c r="CA2437" s="1057"/>
      <c r="CB2437" s="1032"/>
    </row>
    <row r="2438" spans="2:80">
      <c r="B2438" s="1033" t="s">
        <v>7981</v>
      </c>
      <c r="C2438" s="839" t="s">
        <v>7454</v>
      </c>
      <c r="D2438" s="1033"/>
      <c r="E2438" s="1033" t="s">
        <v>7982</v>
      </c>
      <c r="F2438" s="1034">
        <v>46192</v>
      </c>
      <c r="G2438" s="1033" t="s">
        <v>7454</v>
      </c>
      <c r="H2438" s="1063" t="s">
        <v>3457</v>
      </c>
      <c r="I2438" s="1063"/>
      <c r="J2438" s="1034"/>
      <c r="K2438" s="1034"/>
      <c r="L2438" s="1036" t="s">
        <v>106</v>
      </c>
      <c r="M2438" s="1037" t="s">
        <v>107</v>
      </c>
      <c r="N2438" s="1034"/>
      <c r="O2438" s="1064"/>
      <c r="P2438" s="1035"/>
      <c r="Q2438" s="1036"/>
      <c r="R2438" s="1038" t="s">
        <v>8013</v>
      </c>
      <c r="S2438" s="1131" t="s">
        <v>8014</v>
      </c>
      <c r="T2438" s="1036" t="s">
        <v>8015</v>
      </c>
      <c r="U2438" s="1066">
        <v>1</v>
      </c>
      <c r="V2438" s="1035" t="s">
        <v>3</v>
      </c>
      <c r="W2438" s="1039">
        <v>173</v>
      </c>
      <c r="X2438" s="1040">
        <f t="shared" si="508"/>
        <v>173</v>
      </c>
      <c r="Y2438" s="1045" t="s">
        <v>7980</v>
      </c>
      <c r="Z2438" s="1041">
        <v>120.41</v>
      </c>
      <c r="AA2438" s="1041"/>
      <c r="AB2438" s="1041">
        <f t="shared" si="514"/>
        <v>120.41</v>
      </c>
      <c r="AC2438" s="1042">
        <f t="shared" si="515"/>
        <v>120.41</v>
      </c>
      <c r="AD2438" s="1043">
        <v>32000</v>
      </c>
      <c r="AE2438" s="1044"/>
      <c r="AF2438" s="1045"/>
      <c r="AG2438" s="1046"/>
      <c r="AH2438" s="1045"/>
      <c r="AI2438" s="1047"/>
      <c r="AJ2438" s="1038"/>
      <c r="AK2438" s="1048"/>
      <c r="AL2438" s="1036"/>
      <c r="AM2438" s="1036"/>
      <c r="AN2438" s="1037"/>
      <c r="AO2438" s="1037"/>
      <c r="AP2438" s="1034"/>
      <c r="AQ2438" s="1035"/>
      <c r="AR2438" s="1034"/>
      <c r="AS2438" s="1035"/>
      <c r="AT2438" s="1035"/>
      <c r="AU2438" s="1035"/>
      <c r="AV2438" s="1038"/>
      <c r="AW2438" s="1050"/>
      <c r="AX2438" s="1051"/>
      <c r="AY2438" s="1036"/>
      <c r="AZ2438" s="1035"/>
      <c r="BA2438" s="1035"/>
      <c r="BB2438" s="1052"/>
      <c r="BC2438" s="1053"/>
      <c r="BD2438" s="1049"/>
      <c r="BE2438" s="1054"/>
      <c r="BF2438" s="1055"/>
      <c r="BG2438" s="1055"/>
      <c r="BH2438" s="1055"/>
      <c r="BI2438" s="1055"/>
      <c r="BJ2438" s="1055"/>
      <c r="BK2438" s="1055"/>
      <c r="BL2438" s="1055"/>
      <c r="BM2438" s="1055"/>
      <c r="BN2438" s="1055"/>
      <c r="BO2438" s="1056"/>
      <c r="BP2438" s="1056"/>
      <c r="BQ2438" s="1056"/>
      <c r="BR2438" s="1056"/>
      <c r="BS2438" s="1056"/>
      <c r="BT2438" s="1056"/>
      <c r="BU2438" s="1056"/>
      <c r="BV2438" s="1057"/>
      <c r="BW2438" s="1057"/>
      <c r="BX2438" s="1148"/>
      <c r="BY2438" s="1057"/>
      <c r="BZ2438" s="1057"/>
      <c r="CA2438" s="1057"/>
      <c r="CB2438" s="1032"/>
    </row>
    <row r="2439" spans="2:80">
      <c r="B2439" s="1033" t="s">
        <v>7981</v>
      </c>
      <c r="C2439" s="839" t="s">
        <v>7454</v>
      </c>
      <c r="D2439" s="1033"/>
      <c r="E2439" s="1033" t="s">
        <v>7982</v>
      </c>
      <c r="F2439" s="1034">
        <v>46192</v>
      </c>
      <c r="G2439" s="1033" t="s">
        <v>7454</v>
      </c>
      <c r="H2439" s="1063" t="s">
        <v>3457</v>
      </c>
      <c r="I2439" s="1063"/>
      <c r="J2439" s="1034"/>
      <c r="K2439" s="1034"/>
      <c r="L2439" s="1036" t="s">
        <v>106</v>
      </c>
      <c r="M2439" s="1037" t="s">
        <v>107</v>
      </c>
      <c r="N2439" s="1034"/>
      <c r="O2439" s="1064"/>
      <c r="P2439" s="1035"/>
      <c r="Q2439" s="1036"/>
      <c r="R2439" s="1038" t="s">
        <v>8016</v>
      </c>
      <c r="S2439" s="1131" t="s">
        <v>8017</v>
      </c>
      <c r="T2439" s="1036" t="s">
        <v>8018</v>
      </c>
      <c r="U2439" s="1066">
        <v>3</v>
      </c>
      <c r="V2439" s="1035" t="s">
        <v>3</v>
      </c>
      <c r="W2439" s="1039">
        <v>162</v>
      </c>
      <c r="X2439" s="1040">
        <f t="shared" si="508"/>
        <v>486</v>
      </c>
      <c r="Y2439" s="1045" t="s">
        <v>7980</v>
      </c>
      <c r="Z2439" s="1041">
        <v>112.75</v>
      </c>
      <c r="AA2439" s="1041"/>
      <c r="AB2439" s="1041">
        <f t="shared" si="514"/>
        <v>338.25</v>
      </c>
      <c r="AC2439" s="1042">
        <f t="shared" si="515"/>
        <v>338.25</v>
      </c>
      <c r="AD2439" s="1043">
        <v>32000</v>
      </c>
      <c r="AE2439" s="1044"/>
      <c r="AF2439" s="1045"/>
      <c r="AG2439" s="1046"/>
      <c r="AH2439" s="1045"/>
      <c r="AI2439" s="1047"/>
      <c r="AJ2439" s="1038"/>
      <c r="AK2439" s="1048"/>
      <c r="AL2439" s="1036"/>
      <c r="AM2439" s="1036"/>
      <c r="AN2439" s="1037"/>
      <c r="AO2439" s="1037"/>
      <c r="AP2439" s="1034"/>
      <c r="AQ2439" s="1035"/>
      <c r="AR2439" s="1034"/>
      <c r="AS2439" s="1035"/>
      <c r="AT2439" s="1035"/>
      <c r="AU2439" s="1035"/>
      <c r="AV2439" s="1038"/>
      <c r="AW2439" s="1050"/>
      <c r="AX2439" s="1051"/>
      <c r="AY2439" s="1036"/>
      <c r="AZ2439" s="1035"/>
      <c r="BA2439" s="1035"/>
      <c r="BB2439" s="1052"/>
      <c r="BC2439" s="1053"/>
      <c r="BD2439" s="1049"/>
      <c r="BE2439" s="1054"/>
      <c r="BF2439" s="1055"/>
      <c r="BG2439" s="1055"/>
      <c r="BH2439" s="1055"/>
      <c r="BI2439" s="1055"/>
      <c r="BJ2439" s="1055"/>
      <c r="BK2439" s="1055"/>
      <c r="BL2439" s="1055"/>
      <c r="BM2439" s="1055"/>
      <c r="BN2439" s="1055"/>
      <c r="BO2439" s="1056"/>
      <c r="BP2439" s="1056"/>
      <c r="BQ2439" s="1056"/>
      <c r="BR2439" s="1056"/>
      <c r="BS2439" s="1056"/>
      <c r="BT2439" s="1056"/>
      <c r="BU2439" s="1056"/>
      <c r="BV2439" s="1057"/>
      <c r="BW2439" s="1057"/>
      <c r="BX2439" s="1148"/>
      <c r="BY2439" s="1057"/>
      <c r="BZ2439" s="1057"/>
      <c r="CA2439" s="1057"/>
      <c r="CB2439" s="1032"/>
    </row>
    <row r="2440" spans="2:80">
      <c r="B2440" s="1033" t="s">
        <v>7981</v>
      </c>
      <c r="C2440" s="839" t="s">
        <v>7454</v>
      </c>
      <c r="D2440" s="1033"/>
      <c r="E2440" s="1033" t="s">
        <v>7982</v>
      </c>
      <c r="F2440" s="1034">
        <v>46192</v>
      </c>
      <c r="G2440" s="1033" t="s">
        <v>7454</v>
      </c>
      <c r="H2440" s="1063" t="s">
        <v>3457</v>
      </c>
      <c r="I2440" s="1063"/>
      <c r="J2440" s="1034"/>
      <c r="K2440" s="1034"/>
      <c r="L2440" s="1036" t="s">
        <v>106</v>
      </c>
      <c r="M2440" s="1037" t="s">
        <v>107</v>
      </c>
      <c r="N2440" s="1034"/>
      <c r="O2440" s="1064"/>
      <c r="P2440" s="1035"/>
      <c r="Q2440" s="1036"/>
      <c r="R2440" s="1038" t="s">
        <v>8019</v>
      </c>
      <c r="S2440" s="1131" t="s">
        <v>8020</v>
      </c>
      <c r="T2440" s="1036" t="s">
        <v>8021</v>
      </c>
      <c r="U2440" s="1066">
        <v>1</v>
      </c>
      <c r="V2440" s="1035" t="s">
        <v>3</v>
      </c>
      <c r="W2440" s="1039">
        <v>68</v>
      </c>
      <c r="X2440" s="1040">
        <f t="shared" si="508"/>
        <v>68</v>
      </c>
      <c r="Y2440" s="1045" t="s">
        <v>7980</v>
      </c>
      <c r="Z2440" s="1041">
        <v>47.33</v>
      </c>
      <c r="AA2440" s="1041"/>
      <c r="AB2440" s="1041">
        <f t="shared" si="514"/>
        <v>47.33</v>
      </c>
      <c r="AC2440" s="1042">
        <f t="shared" si="515"/>
        <v>47.33</v>
      </c>
      <c r="AD2440" s="1043">
        <v>32000</v>
      </c>
      <c r="AE2440" s="1044"/>
      <c r="AF2440" s="1045"/>
      <c r="AG2440" s="1046"/>
      <c r="AH2440" s="1045"/>
      <c r="AI2440" s="1047"/>
      <c r="AJ2440" s="1038"/>
      <c r="AK2440" s="1048"/>
      <c r="AL2440" s="1036"/>
      <c r="AM2440" s="1036"/>
      <c r="AN2440" s="1037"/>
      <c r="AO2440" s="1037"/>
      <c r="AP2440" s="1034"/>
      <c r="AQ2440" s="1035"/>
      <c r="AR2440" s="1034"/>
      <c r="AS2440" s="1035"/>
      <c r="AT2440" s="1035"/>
      <c r="AU2440" s="1035"/>
      <c r="AV2440" s="1038"/>
      <c r="AW2440" s="1050"/>
      <c r="AX2440" s="1051"/>
      <c r="AY2440" s="1036"/>
      <c r="AZ2440" s="1035"/>
      <c r="BA2440" s="1035"/>
      <c r="BB2440" s="1052"/>
      <c r="BC2440" s="1053"/>
      <c r="BD2440" s="1049"/>
      <c r="BE2440" s="1054"/>
      <c r="BF2440" s="1055"/>
      <c r="BG2440" s="1055"/>
      <c r="BH2440" s="1055"/>
      <c r="BI2440" s="1055"/>
      <c r="BJ2440" s="1055"/>
      <c r="BK2440" s="1055"/>
      <c r="BL2440" s="1055"/>
      <c r="BM2440" s="1055"/>
      <c r="BN2440" s="1055"/>
      <c r="BO2440" s="1056"/>
      <c r="BP2440" s="1056"/>
      <c r="BQ2440" s="1056"/>
      <c r="BR2440" s="1056"/>
      <c r="BS2440" s="1056"/>
      <c r="BT2440" s="1056"/>
      <c r="BU2440" s="1056"/>
      <c r="BV2440" s="1057"/>
      <c r="BW2440" s="1057"/>
      <c r="BX2440" s="1148"/>
      <c r="BY2440" s="1057"/>
      <c r="BZ2440" s="1057"/>
      <c r="CA2440" s="1057"/>
      <c r="CB2440" s="1032"/>
    </row>
    <row r="2441" spans="2:80">
      <c r="B2441" s="1033" t="s">
        <v>7981</v>
      </c>
      <c r="C2441" s="839" t="s">
        <v>7454</v>
      </c>
      <c r="D2441" s="1033"/>
      <c r="E2441" s="1033" t="s">
        <v>7982</v>
      </c>
      <c r="F2441" s="1034">
        <v>46192</v>
      </c>
      <c r="G2441" s="1033" t="s">
        <v>7454</v>
      </c>
      <c r="H2441" s="1063" t="s">
        <v>3457</v>
      </c>
      <c r="I2441" s="1063"/>
      <c r="J2441" s="1034"/>
      <c r="K2441" s="1034"/>
      <c r="L2441" s="1036" t="s">
        <v>106</v>
      </c>
      <c r="M2441" s="1037" t="s">
        <v>107</v>
      </c>
      <c r="N2441" s="1034"/>
      <c r="O2441" s="1064"/>
      <c r="P2441" s="1035"/>
      <c r="Q2441" s="1036"/>
      <c r="R2441" s="1038" t="s">
        <v>8022</v>
      </c>
      <c r="S2441" s="1131" t="s">
        <v>8023</v>
      </c>
      <c r="T2441" s="1036" t="s">
        <v>8024</v>
      </c>
      <c r="U2441" s="1066">
        <v>1</v>
      </c>
      <c r="V2441" s="1035" t="s">
        <v>3</v>
      </c>
      <c r="W2441" s="1039">
        <v>60</v>
      </c>
      <c r="X2441" s="1040">
        <f t="shared" si="508"/>
        <v>60</v>
      </c>
      <c r="Y2441" s="1045" t="s">
        <v>7980</v>
      </c>
      <c r="Z2441" s="1041">
        <v>41.76</v>
      </c>
      <c r="AA2441" s="1041"/>
      <c r="AB2441" s="1041">
        <f t="shared" si="514"/>
        <v>41.76</v>
      </c>
      <c r="AC2441" s="1042">
        <f t="shared" si="515"/>
        <v>41.76</v>
      </c>
      <c r="AD2441" s="1043">
        <v>32000</v>
      </c>
      <c r="AE2441" s="1044"/>
      <c r="AF2441" s="1045"/>
      <c r="AG2441" s="1046"/>
      <c r="AH2441" s="1045"/>
      <c r="AI2441" s="1047"/>
      <c r="AJ2441" s="1038"/>
      <c r="AK2441" s="1048"/>
      <c r="AL2441" s="1036"/>
      <c r="AM2441" s="1036"/>
      <c r="AN2441" s="1037"/>
      <c r="AO2441" s="1037"/>
      <c r="AP2441" s="1034"/>
      <c r="AQ2441" s="1035"/>
      <c r="AR2441" s="1034"/>
      <c r="AS2441" s="1035"/>
      <c r="AT2441" s="1035"/>
      <c r="AU2441" s="1035"/>
      <c r="AV2441" s="1038"/>
      <c r="AW2441" s="1050"/>
      <c r="AX2441" s="1051"/>
      <c r="AY2441" s="1036"/>
      <c r="AZ2441" s="1035"/>
      <c r="BA2441" s="1035"/>
      <c r="BB2441" s="1052"/>
      <c r="BC2441" s="1053"/>
      <c r="BD2441" s="1049"/>
      <c r="BE2441" s="1054"/>
      <c r="BF2441" s="1055"/>
      <c r="BG2441" s="1055"/>
      <c r="BH2441" s="1055"/>
      <c r="BI2441" s="1055"/>
      <c r="BJ2441" s="1055"/>
      <c r="BK2441" s="1055"/>
      <c r="BL2441" s="1055"/>
      <c r="BM2441" s="1055"/>
      <c r="BN2441" s="1055"/>
      <c r="BO2441" s="1056"/>
      <c r="BP2441" s="1056"/>
      <c r="BQ2441" s="1056"/>
      <c r="BR2441" s="1056"/>
      <c r="BS2441" s="1056"/>
      <c r="BT2441" s="1056"/>
      <c r="BU2441" s="1056"/>
      <c r="BV2441" s="1057"/>
      <c r="BW2441" s="1057"/>
      <c r="BX2441" s="1148"/>
      <c r="BY2441" s="1057"/>
      <c r="BZ2441" s="1057"/>
      <c r="CA2441" s="1057"/>
      <c r="CB2441" s="1032"/>
    </row>
    <row r="2442" spans="2:80">
      <c r="B2442" s="1033" t="s">
        <v>7981</v>
      </c>
      <c r="C2442" s="839" t="s">
        <v>7454</v>
      </c>
      <c r="D2442" s="1033"/>
      <c r="E2442" s="1033" t="s">
        <v>7982</v>
      </c>
      <c r="F2442" s="1034">
        <v>46192</v>
      </c>
      <c r="G2442" s="1033" t="s">
        <v>7454</v>
      </c>
      <c r="H2442" s="1063" t="s">
        <v>3457</v>
      </c>
      <c r="I2442" s="1063"/>
      <c r="J2442" s="1034"/>
      <c r="K2442" s="1034"/>
      <c r="L2442" s="1036" t="s">
        <v>106</v>
      </c>
      <c r="M2442" s="1037" t="s">
        <v>107</v>
      </c>
      <c r="N2442" s="1034"/>
      <c r="O2442" s="1064"/>
      <c r="P2442" s="1035"/>
      <c r="Q2442" s="1036"/>
      <c r="R2442" s="1038" t="s">
        <v>8025</v>
      </c>
      <c r="S2442" s="1131" t="s">
        <v>8026</v>
      </c>
      <c r="T2442" s="1036" t="s">
        <v>8027</v>
      </c>
      <c r="U2442" s="1066">
        <v>1</v>
      </c>
      <c r="V2442" s="1035" t="s">
        <v>3</v>
      </c>
      <c r="W2442" s="1039">
        <v>91</v>
      </c>
      <c r="X2442" s="1040">
        <f t="shared" si="508"/>
        <v>91</v>
      </c>
      <c r="Y2442" s="1045" t="s">
        <v>7980</v>
      </c>
      <c r="Z2442" s="1041">
        <v>63.34</v>
      </c>
      <c r="AA2442" s="1041"/>
      <c r="AB2442" s="1041">
        <f t="shared" si="514"/>
        <v>63.34</v>
      </c>
      <c r="AC2442" s="1042">
        <f t="shared" si="515"/>
        <v>63.34</v>
      </c>
      <c r="AD2442" s="1043">
        <v>32000</v>
      </c>
      <c r="AE2442" s="1044"/>
      <c r="AF2442" s="1045"/>
      <c r="AG2442" s="1046"/>
      <c r="AH2442" s="1045"/>
      <c r="AI2442" s="1047"/>
      <c r="AJ2442" s="1038"/>
      <c r="AK2442" s="1048"/>
      <c r="AL2442" s="1036"/>
      <c r="AM2442" s="1036"/>
      <c r="AN2442" s="1037"/>
      <c r="AO2442" s="1037"/>
      <c r="AP2442" s="1034"/>
      <c r="AQ2442" s="1035"/>
      <c r="AR2442" s="1034"/>
      <c r="AS2442" s="1035"/>
      <c r="AT2442" s="1035"/>
      <c r="AU2442" s="1035"/>
      <c r="AV2442" s="1038"/>
      <c r="AW2442" s="1050"/>
      <c r="AX2442" s="1051"/>
      <c r="AY2442" s="1036"/>
      <c r="AZ2442" s="1035"/>
      <c r="BA2442" s="1035"/>
      <c r="BB2442" s="1052"/>
      <c r="BC2442" s="1053"/>
      <c r="BD2442" s="1049"/>
      <c r="BE2442" s="1054"/>
      <c r="BF2442" s="1055"/>
      <c r="BG2442" s="1055"/>
      <c r="BH2442" s="1055"/>
      <c r="BI2442" s="1055"/>
      <c r="BJ2442" s="1055"/>
      <c r="BK2442" s="1055"/>
      <c r="BL2442" s="1055"/>
      <c r="BM2442" s="1055"/>
      <c r="BN2442" s="1055"/>
      <c r="BO2442" s="1056"/>
      <c r="BP2442" s="1056"/>
      <c r="BQ2442" s="1056"/>
      <c r="BR2442" s="1056"/>
      <c r="BS2442" s="1056"/>
      <c r="BT2442" s="1056"/>
      <c r="BU2442" s="1056"/>
      <c r="BV2442" s="1057"/>
      <c r="BW2442" s="1057"/>
      <c r="BX2442" s="1148"/>
      <c r="BY2442" s="1057"/>
      <c r="BZ2442" s="1057"/>
      <c r="CA2442" s="1057"/>
      <c r="CB2442" s="1032"/>
    </row>
    <row r="2443" spans="2:80">
      <c r="B2443" s="1033" t="s">
        <v>7981</v>
      </c>
      <c r="C2443" s="839" t="s">
        <v>7454</v>
      </c>
      <c r="D2443" s="1033"/>
      <c r="E2443" s="1033" t="s">
        <v>7982</v>
      </c>
      <c r="F2443" s="1034">
        <v>46192</v>
      </c>
      <c r="G2443" s="1033" t="s">
        <v>7454</v>
      </c>
      <c r="H2443" s="1063" t="s">
        <v>3457</v>
      </c>
      <c r="I2443" s="1063"/>
      <c r="J2443" s="1034"/>
      <c r="K2443" s="1034"/>
      <c r="L2443" s="1036" t="s">
        <v>106</v>
      </c>
      <c r="M2443" s="1037" t="s">
        <v>107</v>
      </c>
      <c r="N2443" s="1034"/>
      <c r="O2443" s="1064"/>
      <c r="P2443" s="1035"/>
      <c r="Q2443" s="1036"/>
      <c r="R2443" s="1038" t="s">
        <v>8028</v>
      </c>
      <c r="S2443" s="1131" t="s">
        <v>8029</v>
      </c>
      <c r="T2443" s="1036" t="s">
        <v>8030</v>
      </c>
      <c r="U2443" s="1066">
        <v>2</v>
      </c>
      <c r="V2443" s="1035" t="s">
        <v>3</v>
      </c>
      <c r="W2443" s="1039">
        <v>301</v>
      </c>
      <c r="X2443" s="1040">
        <f t="shared" si="508"/>
        <v>602</v>
      </c>
      <c r="Y2443" s="1045" t="s">
        <v>7980</v>
      </c>
      <c r="Z2443" s="1041">
        <v>209.5</v>
      </c>
      <c r="AA2443" s="1041"/>
      <c r="AB2443" s="1041">
        <f t="shared" si="514"/>
        <v>419</v>
      </c>
      <c r="AC2443" s="1042">
        <f t="shared" si="515"/>
        <v>419</v>
      </c>
      <c r="AD2443" s="1043">
        <v>32000</v>
      </c>
      <c r="AE2443" s="1044"/>
      <c r="AF2443" s="1045"/>
      <c r="AG2443" s="1046"/>
      <c r="AH2443" s="1045"/>
      <c r="AI2443" s="1047"/>
      <c r="AJ2443" s="1038"/>
      <c r="AK2443" s="1048"/>
      <c r="AL2443" s="1036"/>
      <c r="AM2443" s="1036"/>
      <c r="AN2443" s="1037"/>
      <c r="AO2443" s="1037"/>
      <c r="AP2443" s="1034"/>
      <c r="AQ2443" s="1035"/>
      <c r="AR2443" s="1034"/>
      <c r="AS2443" s="1035"/>
      <c r="AT2443" s="1035"/>
      <c r="AU2443" s="1035"/>
      <c r="AV2443" s="1038"/>
      <c r="AW2443" s="1050"/>
      <c r="AX2443" s="1051"/>
      <c r="AY2443" s="1036"/>
      <c r="AZ2443" s="1035"/>
      <c r="BA2443" s="1035"/>
      <c r="BB2443" s="1052"/>
      <c r="BC2443" s="1053"/>
      <c r="BD2443" s="1049"/>
      <c r="BE2443" s="1054"/>
      <c r="BF2443" s="1055"/>
      <c r="BG2443" s="1055"/>
      <c r="BH2443" s="1055"/>
      <c r="BI2443" s="1055"/>
      <c r="BJ2443" s="1055"/>
      <c r="BK2443" s="1055"/>
      <c r="BL2443" s="1055"/>
      <c r="BM2443" s="1055"/>
      <c r="BN2443" s="1055"/>
      <c r="BO2443" s="1056"/>
      <c r="BP2443" s="1056"/>
      <c r="BQ2443" s="1056"/>
      <c r="BR2443" s="1056"/>
      <c r="BS2443" s="1056"/>
      <c r="BT2443" s="1056"/>
      <c r="BU2443" s="1056"/>
      <c r="BV2443" s="1057"/>
      <c r="BW2443" s="1057"/>
      <c r="BX2443" s="1148"/>
      <c r="BY2443" s="1057"/>
      <c r="BZ2443" s="1057"/>
      <c r="CA2443" s="1057"/>
      <c r="CB2443" s="1032"/>
    </row>
    <row r="2444" spans="2:80">
      <c r="B2444" s="1033" t="s">
        <v>7981</v>
      </c>
      <c r="C2444" s="839" t="s">
        <v>7454</v>
      </c>
      <c r="D2444" s="1033"/>
      <c r="E2444" s="1033" t="s">
        <v>7982</v>
      </c>
      <c r="F2444" s="1034">
        <v>46192</v>
      </c>
      <c r="G2444" s="1033" t="s">
        <v>7454</v>
      </c>
      <c r="H2444" s="1063" t="s">
        <v>3457</v>
      </c>
      <c r="I2444" s="1063"/>
      <c r="J2444" s="1034"/>
      <c r="K2444" s="1034"/>
      <c r="L2444" s="1036" t="s">
        <v>106</v>
      </c>
      <c r="M2444" s="1037" t="s">
        <v>107</v>
      </c>
      <c r="N2444" s="1034"/>
      <c r="O2444" s="1064"/>
      <c r="P2444" s="1035"/>
      <c r="Q2444" s="1036"/>
      <c r="R2444" s="1038" t="s">
        <v>8031</v>
      </c>
      <c r="S2444" s="1131" t="s">
        <v>8032</v>
      </c>
      <c r="T2444" s="1036" t="s">
        <v>8033</v>
      </c>
      <c r="U2444" s="1066">
        <v>2</v>
      </c>
      <c r="V2444" s="1035" t="s">
        <v>3</v>
      </c>
      <c r="W2444" s="1039">
        <v>173</v>
      </c>
      <c r="X2444" s="1040">
        <f t="shared" si="508"/>
        <v>346</v>
      </c>
      <c r="Y2444" s="1045" t="s">
        <v>7980</v>
      </c>
      <c r="Z2444" s="1041">
        <v>120.41</v>
      </c>
      <c r="AA2444" s="1041"/>
      <c r="AB2444" s="1041">
        <f t="shared" si="514"/>
        <v>240.82</v>
      </c>
      <c r="AC2444" s="1042">
        <f t="shared" si="515"/>
        <v>240.82</v>
      </c>
      <c r="AD2444" s="1043">
        <v>32000</v>
      </c>
      <c r="AE2444" s="1044"/>
      <c r="AF2444" s="1045"/>
      <c r="AG2444" s="1046"/>
      <c r="AH2444" s="1045"/>
      <c r="AI2444" s="1047"/>
      <c r="AJ2444" s="1038"/>
      <c r="AK2444" s="1048"/>
      <c r="AL2444" s="1036"/>
      <c r="AM2444" s="1036"/>
      <c r="AN2444" s="1037"/>
      <c r="AO2444" s="1037"/>
      <c r="AP2444" s="1034"/>
      <c r="AQ2444" s="1035"/>
      <c r="AR2444" s="1034"/>
      <c r="AS2444" s="1035"/>
      <c r="AT2444" s="1035"/>
      <c r="AU2444" s="1035"/>
      <c r="AV2444" s="1038"/>
      <c r="AW2444" s="1050"/>
      <c r="AX2444" s="1051"/>
      <c r="AY2444" s="1036"/>
      <c r="AZ2444" s="1035"/>
      <c r="BA2444" s="1035"/>
      <c r="BB2444" s="1052"/>
      <c r="BC2444" s="1053"/>
      <c r="BD2444" s="1049"/>
      <c r="BE2444" s="1054"/>
      <c r="BF2444" s="1055"/>
      <c r="BG2444" s="1055"/>
      <c r="BH2444" s="1055"/>
      <c r="BI2444" s="1055"/>
      <c r="BJ2444" s="1055"/>
      <c r="BK2444" s="1055"/>
      <c r="BL2444" s="1055"/>
      <c r="BM2444" s="1055"/>
      <c r="BN2444" s="1055"/>
      <c r="BO2444" s="1056"/>
      <c r="BP2444" s="1056"/>
      <c r="BQ2444" s="1056"/>
      <c r="BR2444" s="1056"/>
      <c r="BS2444" s="1056"/>
      <c r="BT2444" s="1056"/>
      <c r="BU2444" s="1056"/>
      <c r="BV2444" s="1057"/>
      <c r="BW2444" s="1057"/>
      <c r="BX2444" s="1148"/>
      <c r="BY2444" s="1057"/>
      <c r="BZ2444" s="1057"/>
      <c r="CA2444" s="1057"/>
      <c r="CB2444" s="1032"/>
    </row>
    <row r="2445" spans="2:80">
      <c r="B2445" s="1033" t="s">
        <v>7981</v>
      </c>
      <c r="C2445" s="839" t="s">
        <v>7454</v>
      </c>
      <c r="D2445" s="1033"/>
      <c r="E2445" s="1033" t="s">
        <v>7982</v>
      </c>
      <c r="F2445" s="1034">
        <v>46192</v>
      </c>
      <c r="G2445" s="1033" t="s">
        <v>7454</v>
      </c>
      <c r="H2445" s="1063" t="s">
        <v>3457</v>
      </c>
      <c r="I2445" s="1063"/>
      <c r="J2445" s="1034"/>
      <c r="K2445" s="1034"/>
      <c r="L2445" s="1036" t="s">
        <v>106</v>
      </c>
      <c r="M2445" s="1037" t="s">
        <v>107</v>
      </c>
      <c r="N2445" s="1034"/>
      <c r="O2445" s="1064"/>
      <c r="P2445" s="1035"/>
      <c r="Q2445" s="1036"/>
      <c r="R2445" s="1038" t="s">
        <v>8034</v>
      </c>
      <c r="S2445" s="1131" t="s">
        <v>8035</v>
      </c>
      <c r="T2445" s="1036" t="s">
        <v>8036</v>
      </c>
      <c r="U2445" s="1066">
        <v>1</v>
      </c>
      <c r="V2445" s="1035" t="s">
        <v>3</v>
      </c>
      <c r="W2445" s="1039">
        <v>127</v>
      </c>
      <c r="X2445" s="1040">
        <f t="shared" si="508"/>
        <v>127</v>
      </c>
      <c r="Y2445" s="1045" t="s">
        <v>7980</v>
      </c>
      <c r="Z2445" s="1041">
        <v>88.39</v>
      </c>
      <c r="AA2445" s="1041"/>
      <c r="AB2445" s="1041">
        <f t="shared" si="514"/>
        <v>88.39</v>
      </c>
      <c r="AC2445" s="1042">
        <f t="shared" si="515"/>
        <v>88.39</v>
      </c>
      <c r="AD2445" s="1043">
        <v>32000</v>
      </c>
      <c r="AE2445" s="1044"/>
      <c r="AF2445" s="1045"/>
      <c r="AG2445" s="1046"/>
      <c r="AH2445" s="1045"/>
      <c r="AI2445" s="1047"/>
      <c r="AJ2445" s="1038"/>
      <c r="AK2445" s="1048"/>
      <c r="AL2445" s="1036"/>
      <c r="AM2445" s="1036"/>
      <c r="AN2445" s="1037"/>
      <c r="AO2445" s="1037"/>
      <c r="AP2445" s="1034"/>
      <c r="AQ2445" s="1035"/>
      <c r="AR2445" s="1034"/>
      <c r="AS2445" s="1035"/>
      <c r="AT2445" s="1035"/>
      <c r="AU2445" s="1035"/>
      <c r="AV2445" s="1038"/>
      <c r="AW2445" s="1050"/>
      <c r="AX2445" s="1051"/>
      <c r="AY2445" s="1036"/>
      <c r="AZ2445" s="1035"/>
      <c r="BA2445" s="1035"/>
      <c r="BB2445" s="1052"/>
      <c r="BC2445" s="1053"/>
      <c r="BD2445" s="1049"/>
      <c r="BE2445" s="1054"/>
      <c r="BF2445" s="1055"/>
      <c r="BG2445" s="1055"/>
      <c r="BH2445" s="1055"/>
      <c r="BI2445" s="1055"/>
      <c r="BJ2445" s="1055"/>
      <c r="BK2445" s="1055"/>
      <c r="BL2445" s="1055"/>
      <c r="BM2445" s="1055"/>
      <c r="BN2445" s="1055"/>
      <c r="BO2445" s="1056"/>
      <c r="BP2445" s="1056"/>
      <c r="BQ2445" s="1056"/>
      <c r="BR2445" s="1056"/>
      <c r="BS2445" s="1056"/>
      <c r="BT2445" s="1056"/>
      <c r="BU2445" s="1056"/>
      <c r="BV2445" s="1057"/>
      <c r="BW2445" s="1057"/>
      <c r="BX2445" s="1148"/>
      <c r="BY2445" s="1057"/>
      <c r="BZ2445" s="1057"/>
      <c r="CA2445" s="1057"/>
      <c r="CB2445" s="1032"/>
    </row>
    <row r="2446" spans="2:80">
      <c r="B2446" s="1033" t="s">
        <v>7981</v>
      </c>
      <c r="C2446" s="839" t="s">
        <v>7454</v>
      </c>
      <c r="D2446" s="1033"/>
      <c r="E2446" s="1033" t="s">
        <v>7982</v>
      </c>
      <c r="F2446" s="1034">
        <v>46192</v>
      </c>
      <c r="G2446" s="1033" t="s">
        <v>7454</v>
      </c>
      <c r="H2446" s="1063" t="s">
        <v>3457</v>
      </c>
      <c r="I2446" s="1063"/>
      <c r="J2446" s="1034"/>
      <c r="K2446" s="1034"/>
      <c r="L2446" s="1036" t="s">
        <v>106</v>
      </c>
      <c r="M2446" s="1037" t="s">
        <v>107</v>
      </c>
      <c r="N2446" s="1034"/>
      <c r="O2446" s="1064"/>
      <c r="P2446" s="1035"/>
      <c r="Q2446" s="1036"/>
      <c r="R2446" s="1038" t="s">
        <v>8037</v>
      </c>
      <c r="S2446" s="1131" t="s">
        <v>8038</v>
      </c>
      <c r="T2446" s="1036" t="s">
        <v>8039</v>
      </c>
      <c r="U2446" s="1066">
        <v>1</v>
      </c>
      <c r="V2446" s="1035" t="s">
        <v>3</v>
      </c>
      <c r="W2446" s="1039">
        <v>179</v>
      </c>
      <c r="X2446" s="1040">
        <f t="shared" si="508"/>
        <v>179</v>
      </c>
      <c r="Y2446" s="1045" t="s">
        <v>7980</v>
      </c>
      <c r="Z2446" s="1041">
        <v>124.58</v>
      </c>
      <c r="AA2446" s="1041"/>
      <c r="AB2446" s="1041">
        <f t="shared" si="514"/>
        <v>124.58</v>
      </c>
      <c r="AC2446" s="1042">
        <f t="shared" si="515"/>
        <v>124.58</v>
      </c>
      <c r="AD2446" s="1043">
        <v>32000</v>
      </c>
      <c r="AE2446" s="1044"/>
      <c r="AF2446" s="1045"/>
      <c r="AG2446" s="1046"/>
      <c r="AH2446" s="1045"/>
      <c r="AI2446" s="1047"/>
      <c r="AJ2446" s="1038"/>
      <c r="AK2446" s="1048"/>
      <c r="AL2446" s="1036"/>
      <c r="AM2446" s="1036"/>
      <c r="AN2446" s="1037"/>
      <c r="AO2446" s="1037"/>
      <c r="AP2446" s="1034"/>
      <c r="AQ2446" s="1035"/>
      <c r="AR2446" s="1034"/>
      <c r="AS2446" s="1035"/>
      <c r="AT2446" s="1035"/>
      <c r="AU2446" s="1035"/>
      <c r="AV2446" s="1038"/>
      <c r="AW2446" s="1050"/>
      <c r="AX2446" s="1051"/>
      <c r="AY2446" s="1036"/>
      <c r="AZ2446" s="1035"/>
      <c r="BA2446" s="1035"/>
      <c r="BB2446" s="1052"/>
      <c r="BC2446" s="1053"/>
      <c r="BD2446" s="1049"/>
      <c r="BE2446" s="1054"/>
      <c r="BF2446" s="1055"/>
      <c r="BG2446" s="1055"/>
      <c r="BH2446" s="1055"/>
      <c r="BI2446" s="1055"/>
      <c r="BJ2446" s="1055"/>
      <c r="BK2446" s="1055"/>
      <c r="BL2446" s="1055"/>
      <c r="BM2446" s="1055"/>
      <c r="BN2446" s="1055"/>
      <c r="BO2446" s="1056"/>
      <c r="BP2446" s="1056"/>
      <c r="BQ2446" s="1056"/>
      <c r="BR2446" s="1056"/>
      <c r="BS2446" s="1056"/>
      <c r="BT2446" s="1056"/>
      <c r="BU2446" s="1056"/>
      <c r="BV2446" s="1057"/>
      <c r="BW2446" s="1057"/>
      <c r="BX2446" s="1148"/>
      <c r="BY2446" s="1057"/>
      <c r="BZ2446" s="1057"/>
      <c r="CA2446" s="1057"/>
      <c r="CB2446" s="1032"/>
    </row>
    <row r="2447" spans="2:80">
      <c r="B2447" s="1033" t="s">
        <v>7981</v>
      </c>
      <c r="C2447" s="839" t="s">
        <v>7454</v>
      </c>
      <c r="D2447" s="1033"/>
      <c r="E2447" s="1033" t="s">
        <v>7982</v>
      </c>
      <c r="F2447" s="1034">
        <v>46192</v>
      </c>
      <c r="G2447" s="1033" t="s">
        <v>7454</v>
      </c>
      <c r="H2447" s="1063" t="s">
        <v>3457</v>
      </c>
      <c r="I2447" s="1063"/>
      <c r="J2447" s="1034"/>
      <c r="K2447" s="1034"/>
      <c r="L2447" s="1036" t="s">
        <v>106</v>
      </c>
      <c r="M2447" s="1037" t="s">
        <v>107</v>
      </c>
      <c r="N2447" s="1034"/>
      <c r="O2447" s="1064"/>
      <c r="P2447" s="1035"/>
      <c r="Q2447" s="1036"/>
      <c r="R2447" s="1038" t="s">
        <v>8040</v>
      </c>
      <c r="S2447" s="1131" t="s">
        <v>8041</v>
      </c>
      <c r="T2447" s="1036" t="s">
        <v>8042</v>
      </c>
      <c r="U2447" s="1066">
        <v>1</v>
      </c>
      <c r="V2447" s="1035" t="s">
        <v>3</v>
      </c>
      <c r="W2447" s="1039">
        <v>100</v>
      </c>
      <c r="X2447" s="1040">
        <f t="shared" si="508"/>
        <v>100</v>
      </c>
      <c r="Y2447" s="1045" t="s">
        <v>7980</v>
      </c>
      <c r="Z2447" s="1041">
        <v>69.599999999999994</v>
      </c>
      <c r="AA2447" s="1041"/>
      <c r="AB2447" s="1041">
        <f t="shared" si="514"/>
        <v>69.599999999999994</v>
      </c>
      <c r="AC2447" s="1042">
        <f t="shared" si="515"/>
        <v>69.599999999999994</v>
      </c>
      <c r="AD2447" s="1043">
        <v>32000</v>
      </c>
      <c r="AE2447" s="1044"/>
      <c r="AF2447" s="1045"/>
      <c r="AG2447" s="1046"/>
      <c r="AH2447" s="1045"/>
      <c r="AI2447" s="1047"/>
      <c r="AJ2447" s="1038"/>
      <c r="AK2447" s="1048"/>
      <c r="AL2447" s="1036"/>
      <c r="AM2447" s="1036"/>
      <c r="AN2447" s="1037"/>
      <c r="AO2447" s="1037"/>
      <c r="AP2447" s="1034"/>
      <c r="AQ2447" s="1035"/>
      <c r="AR2447" s="1034"/>
      <c r="AS2447" s="1035"/>
      <c r="AT2447" s="1035"/>
      <c r="AU2447" s="1035"/>
      <c r="AV2447" s="1038"/>
      <c r="AW2447" s="1050"/>
      <c r="AX2447" s="1051"/>
      <c r="AY2447" s="1036"/>
      <c r="AZ2447" s="1035"/>
      <c r="BA2447" s="1035"/>
      <c r="BB2447" s="1052"/>
      <c r="BC2447" s="1053"/>
      <c r="BD2447" s="1049"/>
      <c r="BE2447" s="1054"/>
      <c r="BF2447" s="1055"/>
      <c r="BG2447" s="1055"/>
      <c r="BH2447" s="1055"/>
      <c r="BI2447" s="1055"/>
      <c r="BJ2447" s="1055"/>
      <c r="BK2447" s="1055"/>
      <c r="BL2447" s="1055"/>
      <c r="BM2447" s="1055"/>
      <c r="BN2447" s="1055"/>
      <c r="BO2447" s="1056"/>
      <c r="BP2447" s="1056"/>
      <c r="BQ2447" s="1056"/>
      <c r="BR2447" s="1056"/>
      <c r="BS2447" s="1056"/>
      <c r="BT2447" s="1056"/>
      <c r="BU2447" s="1056"/>
      <c r="BV2447" s="1057"/>
      <c r="BW2447" s="1057"/>
      <c r="BX2447" s="1148"/>
      <c r="BY2447" s="1057"/>
      <c r="BZ2447" s="1057"/>
      <c r="CA2447" s="1057"/>
      <c r="CB2447" s="1032"/>
    </row>
    <row r="2448" spans="2:80">
      <c r="B2448" s="1033" t="s">
        <v>7981</v>
      </c>
      <c r="C2448" s="839" t="s">
        <v>7454</v>
      </c>
      <c r="D2448" s="1033"/>
      <c r="E2448" s="1033" t="s">
        <v>7982</v>
      </c>
      <c r="F2448" s="1034">
        <v>46192</v>
      </c>
      <c r="G2448" s="1033" t="s">
        <v>7454</v>
      </c>
      <c r="H2448" s="1063" t="s">
        <v>3457</v>
      </c>
      <c r="I2448" s="1063"/>
      <c r="J2448" s="1034"/>
      <c r="K2448" s="1034"/>
      <c r="L2448" s="1036" t="s">
        <v>106</v>
      </c>
      <c r="M2448" s="1037" t="s">
        <v>107</v>
      </c>
      <c r="N2448" s="1034"/>
      <c r="O2448" s="1064"/>
      <c r="P2448" s="1035"/>
      <c r="Q2448" s="1036"/>
      <c r="R2448" s="1038" t="s">
        <v>8043</v>
      </c>
      <c r="S2448" s="1131" t="s">
        <v>8044</v>
      </c>
      <c r="T2448" s="1036" t="s">
        <v>8045</v>
      </c>
      <c r="U2448" s="1066">
        <v>1</v>
      </c>
      <c r="V2448" s="1035" t="s">
        <v>3</v>
      </c>
      <c r="W2448" s="1039">
        <v>460</v>
      </c>
      <c r="X2448" s="1040">
        <f t="shared" si="508"/>
        <v>460</v>
      </c>
      <c r="Y2448" s="1045" t="s">
        <v>7980</v>
      </c>
      <c r="Z2448" s="1041">
        <v>320.16000000000003</v>
      </c>
      <c r="AA2448" s="1041"/>
      <c r="AB2448" s="1041">
        <f t="shared" si="514"/>
        <v>320.16000000000003</v>
      </c>
      <c r="AC2448" s="1042">
        <f t="shared" si="515"/>
        <v>320.16000000000003</v>
      </c>
      <c r="AD2448" s="1043">
        <v>32000</v>
      </c>
      <c r="AE2448" s="1044"/>
      <c r="AF2448" s="1045"/>
      <c r="AG2448" s="1046"/>
      <c r="AH2448" s="1045"/>
      <c r="AI2448" s="1047"/>
      <c r="AJ2448" s="1038"/>
      <c r="AK2448" s="1048"/>
      <c r="AL2448" s="1036"/>
      <c r="AM2448" s="1036"/>
      <c r="AN2448" s="1037"/>
      <c r="AO2448" s="1037"/>
      <c r="AP2448" s="1034"/>
      <c r="AQ2448" s="1035"/>
      <c r="AR2448" s="1034"/>
      <c r="AS2448" s="1035"/>
      <c r="AT2448" s="1035"/>
      <c r="AU2448" s="1035"/>
      <c r="AV2448" s="1038"/>
      <c r="AW2448" s="1050"/>
      <c r="AX2448" s="1051"/>
      <c r="AY2448" s="1036"/>
      <c r="AZ2448" s="1035"/>
      <c r="BA2448" s="1035"/>
      <c r="BB2448" s="1052"/>
      <c r="BC2448" s="1053"/>
      <c r="BD2448" s="1049"/>
      <c r="BE2448" s="1054"/>
      <c r="BF2448" s="1055"/>
      <c r="BG2448" s="1055"/>
      <c r="BH2448" s="1055"/>
      <c r="BI2448" s="1055"/>
      <c r="BJ2448" s="1055"/>
      <c r="BK2448" s="1055"/>
      <c r="BL2448" s="1055"/>
      <c r="BM2448" s="1055"/>
      <c r="BN2448" s="1055"/>
      <c r="BO2448" s="1056"/>
      <c r="BP2448" s="1056"/>
      <c r="BQ2448" s="1056"/>
      <c r="BR2448" s="1056"/>
      <c r="BS2448" s="1056"/>
      <c r="BT2448" s="1056"/>
      <c r="BU2448" s="1056"/>
      <c r="BV2448" s="1057"/>
      <c r="BW2448" s="1057"/>
      <c r="BX2448" s="1148"/>
      <c r="BY2448" s="1057"/>
      <c r="BZ2448" s="1057"/>
      <c r="CA2448" s="1057"/>
      <c r="CB2448" s="1032"/>
    </row>
    <row r="2449" spans="2:80">
      <c r="B2449" s="1033" t="s">
        <v>7981</v>
      </c>
      <c r="C2449" s="839" t="s">
        <v>7454</v>
      </c>
      <c r="D2449" s="1033"/>
      <c r="E2449" s="1033" t="s">
        <v>7982</v>
      </c>
      <c r="F2449" s="1034">
        <v>46192</v>
      </c>
      <c r="G2449" s="1033" t="s">
        <v>7454</v>
      </c>
      <c r="H2449" s="1063" t="s">
        <v>3457</v>
      </c>
      <c r="I2449" s="1063"/>
      <c r="J2449" s="1034"/>
      <c r="K2449" s="1034"/>
      <c r="L2449" s="1036" t="s">
        <v>106</v>
      </c>
      <c r="M2449" s="1037" t="s">
        <v>107</v>
      </c>
      <c r="N2449" s="1034"/>
      <c r="O2449" s="1064"/>
      <c r="P2449" s="1035"/>
      <c r="Q2449" s="1036"/>
      <c r="R2449" s="1038" t="s">
        <v>8046</v>
      </c>
      <c r="S2449" s="1131" t="s">
        <v>8047</v>
      </c>
      <c r="T2449" s="1036" t="s">
        <v>8048</v>
      </c>
      <c r="U2449" s="1066">
        <v>1</v>
      </c>
      <c r="V2449" s="1035" t="s">
        <v>3</v>
      </c>
      <c r="W2449" s="1039">
        <v>60</v>
      </c>
      <c r="X2449" s="1040">
        <f t="shared" si="508"/>
        <v>60</v>
      </c>
      <c r="Y2449" s="1045" t="s">
        <v>7980</v>
      </c>
      <c r="Z2449" s="1041">
        <v>41.76</v>
      </c>
      <c r="AA2449" s="1041"/>
      <c r="AB2449" s="1041">
        <f t="shared" si="514"/>
        <v>41.76</v>
      </c>
      <c r="AC2449" s="1042">
        <f t="shared" si="515"/>
        <v>41.76</v>
      </c>
      <c r="AD2449" s="1043">
        <v>32000</v>
      </c>
      <c r="AE2449" s="1044"/>
      <c r="AF2449" s="1045"/>
      <c r="AG2449" s="1046"/>
      <c r="AH2449" s="1045"/>
      <c r="AI2449" s="1047"/>
      <c r="AJ2449" s="1038"/>
      <c r="AK2449" s="1048"/>
      <c r="AL2449" s="1036"/>
      <c r="AM2449" s="1036"/>
      <c r="AN2449" s="1037"/>
      <c r="AO2449" s="1037"/>
      <c r="AP2449" s="1034"/>
      <c r="AQ2449" s="1035"/>
      <c r="AR2449" s="1034"/>
      <c r="AS2449" s="1035"/>
      <c r="AT2449" s="1035"/>
      <c r="AU2449" s="1035"/>
      <c r="AV2449" s="1038"/>
      <c r="AW2449" s="1050"/>
      <c r="AX2449" s="1051"/>
      <c r="AY2449" s="1036"/>
      <c r="AZ2449" s="1035"/>
      <c r="BA2449" s="1035"/>
      <c r="BB2449" s="1052"/>
      <c r="BC2449" s="1053"/>
      <c r="BD2449" s="1049"/>
      <c r="BE2449" s="1054"/>
      <c r="BF2449" s="1055"/>
      <c r="BG2449" s="1055"/>
      <c r="BH2449" s="1055"/>
      <c r="BI2449" s="1055"/>
      <c r="BJ2449" s="1055"/>
      <c r="BK2449" s="1055"/>
      <c r="BL2449" s="1055"/>
      <c r="BM2449" s="1055"/>
      <c r="BN2449" s="1055"/>
      <c r="BO2449" s="1056"/>
      <c r="BP2449" s="1056"/>
      <c r="BQ2449" s="1056"/>
      <c r="BR2449" s="1056"/>
      <c r="BS2449" s="1056"/>
      <c r="BT2449" s="1056"/>
      <c r="BU2449" s="1056"/>
      <c r="BV2449" s="1057"/>
      <c r="BW2449" s="1057"/>
      <c r="BX2449" s="1148"/>
      <c r="BY2449" s="1057"/>
      <c r="BZ2449" s="1057"/>
      <c r="CA2449" s="1057"/>
      <c r="CB2449" s="1032"/>
    </row>
    <row r="2450" spans="2:80">
      <c r="B2450" s="1033" t="s">
        <v>7981</v>
      </c>
      <c r="C2450" s="839" t="s">
        <v>7454</v>
      </c>
      <c r="D2450" s="1033"/>
      <c r="E2450" s="1033" t="s">
        <v>7982</v>
      </c>
      <c r="F2450" s="1034">
        <v>46192</v>
      </c>
      <c r="G2450" s="1033" t="s">
        <v>7454</v>
      </c>
      <c r="H2450" s="1063" t="s">
        <v>3457</v>
      </c>
      <c r="I2450" s="1063"/>
      <c r="J2450" s="1034"/>
      <c r="K2450" s="1034"/>
      <c r="L2450" s="1036" t="s">
        <v>106</v>
      </c>
      <c r="M2450" s="1037" t="s">
        <v>107</v>
      </c>
      <c r="N2450" s="1034"/>
      <c r="O2450" s="1064"/>
      <c r="P2450" s="1035"/>
      <c r="Q2450" s="1036"/>
      <c r="R2450" s="1038" t="s">
        <v>8049</v>
      </c>
      <c r="S2450" s="1131" t="s">
        <v>8050</v>
      </c>
      <c r="T2450" s="1036" t="s">
        <v>8051</v>
      </c>
      <c r="U2450" s="1066">
        <v>2</v>
      </c>
      <c r="V2450" s="1035" t="s">
        <v>3</v>
      </c>
      <c r="W2450" s="1039">
        <v>153</v>
      </c>
      <c r="X2450" s="1040">
        <f t="shared" si="508"/>
        <v>306</v>
      </c>
      <c r="Y2450" s="1045" t="s">
        <v>7980</v>
      </c>
      <c r="Z2450" s="1041">
        <v>106.49</v>
      </c>
      <c r="AA2450" s="1041"/>
      <c r="AB2450" s="1041">
        <f t="shared" si="514"/>
        <v>212.98</v>
      </c>
      <c r="AC2450" s="1042">
        <f t="shared" si="515"/>
        <v>212.98</v>
      </c>
      <c r="AD2450" s="1043">
        <v>32000</v>
      </c>
      <c r="AE2450" s="1044"/>
      <c r="AF2450" s="1045"/>
      <c r="AG2450" s="1046"/>
      <c r="AH2450" s="1045"/>
      <c r="AI2450" s="1047"/>
      <c r="AJ2450" s="1038"/>
      <c r="AK2450" s="1048"/>
      <c r="AL2450" s="1036"/>
      <c r="AM2450" s="1036"/>
      <c r="AN2450" s="1037"/>
      <c r="AO2450" s="1037"/>
      <c r="AP2450" s="1034"/>
      <c r="AQ2450" s="1035"/>
      <c r="AR2450" s="1034"/>
      <c r="AS2450" s="1035"/>
      <c r="AT2450" s="1035"/>
      <c r="AU2450" s="1035"/>
      <c r="AV2450" s="1038"/>
      <c r="AW2450" s="1050"/>
      <c r="AX2450" s="1051"/>
      <c r="AY2450" s="1036"/>
      <c r="AZ2450" s="1035"/>
      <c r="BA2450" s="1035"/>
      <c r="BB2450" s="1052"/>
      <c r="BC2450" s="1053"/>
      <c r="BD2450" s="1049"/>
      <c r="BE2450" s="1054"/>
      <c r="BF2450" s="1055"/>
      <c r="BG2450" s="1055"/>
      <c r="BH2450" s="1055"/>
      <c r="BI2450" s="1055"/>
      <c r="BJ2450" s="1055"/>
      <c r="BK2450" s="1055"/>
      <c r="BL2450" s="1055"/>
      <c r="BM2450" s="1055"/>
      <c r="BN2450" s="1055"/>
      <c r="BO2450" s="1056"/>
      <c r="BP2450" s="1056"/>
      <c r="BQ2450" s="1056"/>
      <c r="BR2450" s="1056"/>
      <c r="BS2450" s="1056"/>
      <c r="BT2450" s="1056"/>
      <c r="BU2450" s="1056"/>
      <c r="BV2450" s="1057"/>
      <c r="BW2450" s="1057"/>
      <c r="BX2450" s="1148"/>
      <c r="BY2450" s="1057"/>
      <c r="BZ2450" s="1057"/>
      <c r="CA2450" s="1057"/>
      <c r="CB2450" s="1032"/>
    </row>
    <row r="2451" spans="2:80">
      <c r="B2451" s="1033" t="s">
        <v>7981</v>
      </c>
      <c r="C2451" s="839" t="s">
        <v>7454</v>
      </c>
      <c r="D2451" s="1033"/>
      <c r="E2451" s="1033" t="s">
        <v>7982</v>
      </c>
      <c r="F2451" s="1034">
        <v>46192</v>
      </c>
      <c r="G2451" s="1033" t="s">
        <v>7454</v>
      </c>
      <c r="H2451" s="1063" t="s">
        <v>3457</v>
      </c>
      <c r="I2451" s="1063"/>
      <c r="J2451" s="1034"/>
      <c r="K2451" s="1034"/>
      <c r="L2451" s="1036" t="s">
        <v>106</v>
      </c>
      <c r="M2451" s="1037" t="s">
        <v>107</v>
      </c>
      <c r="N2451" s="1034"/>
      <c r="O2451" s="1064"/>
      <c r="P2451" s="1035"/>
      <c r="Q2451" s="1036"/>
      <c r="R2451" s="1038" t="s">
        <v>8052</v>
      </c>
      <c r="S2451" s="1131" t="s">
        <v>8053</v>
      </c>
      <c r="T2451" s="1036" t="s">
        <v>8054</v>
      </c>
      <c r="U2451" s="1066">
        <v>1</v>
      </c>
      <c r="V2451" s="1035" t="s">
        <v>3</v>
      </c>
      <c r="W2451" s="1039">
        <v>461</v>
      </c>
      <c r="X2451" s="1040">
        <f t="shared" si="508"/>
        <v>461</v>
      </c>
      <c r="Y2451" s="1045" t="s">
        <v>7980</v>
      </c>
      <c r="Z2451" s="1041">
        <v>320.86</v>
      </c>
      <c r="AA2451" s="1041"/>
      <c r="AB2451" s="1041">
        <f t="shared" si="514"/>
        <v>320.86</v>
      </c>
      <c r="AC2451" s="1042">
        <f t="shared" si="515"/>
        <v>320.86</v>
      </c>
      <c r="AD2451" s="1043">
        <v>32000</v>
      </c>
      <c r="AE2451" s="1044"/>
      <c r="AF2451" s="1045"/>
      <c r="AG2451" s="1046"/>
      <c r="AH2451" s="1045"/>
      <c r="AI2451" s="1047"/>
      <c r="AJ2451" s="1038"/>
      <c r="AK2451" s="1048"/>
      <c r="AL2451" s="1036"/>
      <c r="AM2451" s="1036"/>
      <c r="AN2451" s="1037"/>
      <c r="AO2451" s="1037"/>
      <c r="AP2451" s="1034"/>
      <c r="AQ2451" s="1035"/>
      <c r="AR2451" s="1034"/>
      <c r="AS2451" s="1035"/>
      <c r="AT2451" s="1035"/>
      <c r="AU2451" s="1035"/>
      <c r="AV2451" s="1038"/>
      <c r="AW2451" s="1050"/>
      <c r="AX2451" s="1051"/>
      <c r="AY2451" s="1036"/>
      <c r="AZ2451" s="1035"/>
      <c r="BA2451" s="1035"/>
      <c r="BB2451" s="1052"/>
      <c r="BC2451" s="1053"/>
      <c r="BD2451" s="1049"/>
      <c r="BE2451" s="1054"/>
      <c r="BF2451" s="1055"/>
      <c r="BG2451" s="1055"/>
      <c r="BH2451" s="1055"/>
      <c r="BI2451" s="1055"/>
      <c r="BJ2451" s="1055"/>
      <c r="BK2451" s="1055"/>
      <c r="BL2451" s="1055"/>
      <c r="BM2451" s="1055"/>
      <c r="BN2451" s="1055"/>
      <c r="BO2451" s="1056"/>
      <c r="BP2451" s="1056"/>
      <c r="BQ2451" s="1056"/>
      <c r="BR2451" s="1056"/>
      <c r="BS2451" s="1056"/>
      <c r="BT2451" s="1056"/>
      <c r="BU2451" s="1056"/>
      <c r="BV2451" s="1057"/>
      <c r="BW2451" s="1057"/>
      <c r="BX2451" s="1148"/>
      <c r="BY2451" s="1057"/>
      <c r="BZ2451" s="1057"/>
      <c r="CA2451" s="1057"/>
      <c r="CB2451" s="1032"/>
    </row>
    <row r="2452" spans="2:80">
      <c r="B2452" s="1033" t="s">
        <v>7981</v>
      </c>
      <c r="C2452" s="839" t="s">
        <v>7454</v>
      </c>
      <c r="D2452" s="1033"/>
      <c r="E2452" s="1033" t="s">
        <v>7982</v>
      </c>
      <c r="F2452" s="1034">
        <v>46192</v>
      </c>
      <c r="G2452" s="1033" t="s">
        <v>7454</v>
      </c>
      <c r="H2452" s="1063" t="s">
        <v>3457</v>
      </c>
      <c r="I2452" s="1063"/>
      <c r="J2452" s="1034"/>
      <c r="K2452" s="1034"/>
      <c r="L2452" s="1036" t="s">
        <v>106</v>
      </c>
      <c r="M2452" s="1037" t="s">
        <v>107</v>
      </c>
      <c r="N2452" s="1034"/>
      <c r="O2452" s="1064"/>
      <c r="P2452" s="1035"/>
      <c r="Q2452" s="1036"/>
      <c r="R2452" s="1038" t="s">
        <v>8055</v>
      </c>
      <c r="S2452" s="1131" t="s">
        <v>8056</v>
      </c>
      <c r="T2452" s="1036" t="s">
        <v>8057</v>
      </c>
      <c r="U2452" s="1066">
        <v>1</v>
      </c>
      <c r="V2452" s="1035" t="s">
        <v>3</v>
      </c>
      <c r="W2452" s="1039">
        <v>264</v>
      </c>
      <c r="X2452" s="1040">
        <f t="shared" si="508"/>
        <v>264</v>
      </c>
      <c r="Y2452" s="1045" t="s">
        <v>7980</v>
      </c>
      <c r="Z2452" s="1041">
        <v>183.74</v>
      </c>
      <c r="AA2452" s="1041"/>
      <c r="AB2452" s="1041">
        <f t="shared" si="514"/>
        <v>183.74</v>
      </c>
      <c r="AC2452" s="1042">
        <f t="shared" si="515"/>
        <v>183.74</v>
      </c>
      <c r="AD2452" s="1043">
        <v>32000</v>
      </c>
      <c r="AE2452" s="1044"/>
      <c r="AF2452" s="1045"/>
      <c r="AG2452" s="1046"/>
      <c r="AH2452" s="1045"/>
      <c r="AI2452" s="1047"/>
      <c r="AJ2452" s="1038"/>
      <c r="AK2452" s="1048"/>
      <c r="AL2452" s="1036"/>
      <c r="AM2452" s="1036"/>
      <c r="AN2452" s="1037"/>
      <c r="AO2452" s="1037"/>
      <c r="AP2452" s="1034"/>
      <c r="AQ2452" s="1035"/>
      <c r="AR2452" s="1034"/>
      <c r="AS2452" s="1035"/>
      <c r="AT2452" s="1035"/>
      <c r="AU2452" s="1035"/>
      <c r="AV2452" s="1038"/>
      <c r="AW2452" s="1050"/>
      <c r="AX2452" s="1051"/>
      <c r="AY2452" s="1036"/>
      <c r="AZ2452" s="1035"/>
      <c r="BA2452" s="1035"/>
      <c r="BB2452" s="1052"/>
      <c r="BC2452" s="1053"/>
      <c r="BD2452" s="1049"/>
      <c r="BE2452" s="1054"/>
      <c r="BF2452" s="1055"/>
      <c r="BG2452" s="1055"/>
      <c r="BH2452" s="1055"/>
      <c r="BI2452" s="1055"/>
      <c r="BJ2452" s="1055"/>
      <c r="BK2452" s="1055"/>
      <c r="BL2452" s="1055"/>
      <c r="BM2452" s="1055"/>
      <c r="BN2452" s="1055"/>
      <c r="BO2452" s="1056"/>
      <c r="BP2452" s="1056"/>
      <c r="BQ2452" s="1056"/>
      <c r="BR2452" s="1056"/>
      <c r="BS2452" s="1056"/>
      <c r="BT2452" s="1056"/>
      <c r="BU2452" s="1056"/>
      <c r="BV2452" s="1057"/>
      <c r="BW2452" s="1057"/>
      <c r="BX2452" s="1148"/>
      <c r="BY2452" s="1057"/>
      <c r="BZ2452" s="1057"/>
      <c r="CA2452" s="1057"/>
      <c r="CB2452" s="1032"/>
    </row>
    <row r="2453" spans="2:80">
      <c r="B2453" s="1033" t="s">
        <v>7981</v>
      </c>
      <c r="C2453" s="839" t="s">
        <v>7454</v>
      </c>
      <c r="D2453" s="1033"/>
      <c r="E2453" s="1033" t="s">
        <v>7982</v>
      </c>
      <c r="F2453" s="1034">
        <v>46192</v>
      </c>
      <c r="G2453" s="1033" t="s">
        <v>7454</v>
      </c>
      <c r="H2453" s="1063" t="s">
        <v>3457</v>
      </c>
      <c r="I2453" s="1063"/>
      <c r="J2453" s="1034"/>
      <c r="K2453" s="1034"/>
      <c r="L2453" s="1036" t="s">
        <v>106</v>
      </c>
      <c r="M2453" s="1037" t="s">
        <v>107</v>
      </c>
      <c r="N2453" s="1034"/>
      <c r="O2453" s="1064"/>
      <c r="P2453" s="1035"/>
      <c r="Q2453" s="1036"/>
      <c r="R2453" s="1038" t="s">
        <v>8058</v>
      </c>
      <c r="S2453" s="1131" t="s">
        <v>8059</v>
      </c>
      <c r="T2453" s="1036" t="s">
        <v>8060</v>
      </c>
      <c r="U2453" s="1066">
        <v>1</v>
      </c>
      <c r="V2453" s="1035" t="s">
        <v>3</v>
      </c>
      <c r="W2453" s="1039">
        <v>294</v>
      </c>
      <c r="X2453" s="1040">
        <f t="shared" si="508"/>
        <v>294</v>
      </c>
      <c r="Y2453" s="1045" t="s">
        <v>7980</v>
      </c>
      <c r="Z2453" s="1041">
        <v>204.62</v>
      </c>
      <c r="AA2453" s="1041"/>
      <c r="AB2453" s="1041">
        <f t="shared" si="514"/>
        <v>204.62</v>
      </c>
      <c r="AC2453" s="1042">
        <f t="shared" si="515"/>
        <v>204.62</v>
      </c>
      <c r="AD2453" s="1043">
        <v>32000</v>
      </c>
      <c r="AE2453" s="1044"/>
      <c r="AF2453" s="1045"/>
      <c r="AG2453" s="1046"/>
      <c r="AH2453" s="1045"/>
      <c r="AI2453" s="1047"/>
      <c r="AJ2453" s="1038"/>
      <c r="AK2453" s="1048"/>
      <c r="AL2453" s="1036"/>
      <c r="AM2453" s="1036"/>
      <c r="AN2453" s="1037"/>
      <c r="AO2453" s="1037"/>
      <c r="AP2453" s="1034"/>
      <c r="AQ2453" s="1035"/>
      <c r="AR2453" s="1034"/>
      <c r="AS2453" s="1035"/>
      <c r="AT2453" s="1035"/>
      <c r="AU2453" s="1035"/>
      <c r="AV2453" s="1038"/>
      <c r="AW2453" s="1050"/>
      <c r="AX2453" s="1051"/>
      <c r="AY2453" s="1036"/>
      <c r="AZ2453" s="1035"/>
      <c r="BA2453" s="1035"/>
      <c r="BB2453" s="1052"/>
      <c r="BC2453" s="1053"/>
      <c r="BD2453" s="1049"/>
      <c r="BE2453" s="1054"/>
      <c r="BF2453" s="1055"/>
      <c r="BG2453" s="1055"/>
      <c r="BH2453" s="1055"/>
      <c r="BI2453" s="1055"/>
      <c r="BJ2453" s="1055"/>
      <c r="BK2453" s="1055"/>
      <c r="BL2453" s="1055"/>
      <c r="BM2453" s="1055"/>
      <c r="BN2453" s="1055"/>
      <c r="BO2453" s="1056"/>
      <c r="BP2453" s="1056"/>
      <c r="BQ2453" s="1056"/>
      <c r="BR2453" s="1056"/>
      <c r="BS2453" s="1056"/>
      <c r="BT2453" s="1056"/>
      <c r="BU2453" s="1056"/>
      <c r="BV2453" s="1057"/>
      <c r="BW2453" s="1057"/>
      <c r="BX2453" s="1148"/>
      <c r="BY2453" s="1057"/>
      <c r="BZ2453" s="1057"/>
      <c r="CA2453" s="1057"/>
      <c r="CB2453" s="1032"/>
    </row>
    <row r="2454" spans="2:80">
      <c r="B2454" s="1033" t="s">
        <v>7981</v>
      </c>
      <c r="C2454" s="839" t="s">
        <v>7454</v>
      </c>
      <c r="D2454" s="1033"/>
      <c r="E2454" s="1033" t="s">
        <v>7982</v>
      </c>
      <c r="F2454" s="1034">
        <v>46192</v>
      </c>
      <c r="G2454" s="1033" t="s">
        <v>7454</v>
      </c>
      <c r="H2454" s="1063" t="s">
        <v>3457</v>
      </c>
      <c r="I2454" s="1063"/>
      <c r="J2454" s="1034"/>
      <c r="K2454" s="1034"/>
      <c r="L2454" s="1036" t="s">
        <v>106</v>
      </c>
      <c r="M2454" s="1037" t="s">
        <v>107</v>
      </c>
      <c r="N2454" s="1034"/>
      <c r="O2454" s="1064"/>
      <c r="P2454" s="1035"/>
      <c r="Q2454" s="1036"/>
      <c r="R2454" s="1038" t="s">
        <v>8061</v>
      </c>
      <c r="S2454" s="1131" t="s">
        <v>8062</v>
      </c>
      <c r="T2454" s="1036" t="s">
        <v>8051</v>
      </c>
      <c r="U2454" s="1066">
        <v>3</v>
      </c>
      <c r="V2454" s="1035" t="s">
        <v>3</v>
      </c>
      <c r="W2454" s="1039">
        <v>153</v>
      </c>
      <c r="X2454" s="1040">
        <f t="shared" si="508"/>
        <v>459</v>
      </c>
      <c r="Y2454" s="1045" t="s">
        <v>7980</v>
      </c>
      <c r="Z2454" s="1041">
        <v>106.49</v>
      </c>
      <c r="AA2454" s="1041"/>
      <c r="AB2454" s="1041">
        <f t="shared" si="514"/>
        <v>319.46999999999997</v>
      </c>
      <c r="AC2454" s="1042">
        <f t="shared" si="515"/>
        <v>319.46999999999997</v>
      </c>
      <c r="AD2454" s="1043">
        <v>32000</v>
      </c>
      <c r="AE2454" s="1044"/>
      <c r="AF2454" s="1045"/>
      <c r="AG2454" s="1046"/>
      <c r="AH2454" s="1045"/>
      <c r="AI2454" s="1047"/>
      <c r="AJ2454" s="1038"/>
      <c r="AK2454" s="1048"/>
      <c r="AL2454" s="1036"/>
      <c r="AM2454" s="1036"/>
      <c r="AN2454" s="1037"/>
      <c r="AO2454" s="1037"/>
      <c r="AP2454" s="1034"/>
      <c r="AQ2454" s="1035"/>
      <c r="AR2454" s="1034"/>
      <c r="AS2454" s="1035"/>
      <c r="AT2454" s="1035"/>
      <c r="AU2454" s="1035"/>
      <c r="AV2454" s="1038"/>
      <c r="AW2454" s="1050"/>
      <c r="AX2454" s="1051"/>
      <c r="AY2454" s="1036"/>
      <c r="AZ2454" s="1035"/>
      <c r="BA2454" s="1035"/>
      <c r="BB2454" s="1052"/>
      <c r="BC2454" s="1053"/>
      <c r="BD2454" s="1049"/>
      <c r="BE2454" s="1054"/>
      <c r="BF2454" s="1055"/>
      <c r="BG2454" s="1055"/>
      <c r="BH2454" s="1055"/>
      <c r="BI2454" s="1055"/>
      <c r="BJ2454" s="1055"/>
      <c r="BK2454" s="1055"/>
      <c r="BL2454" s="1055"/>
      <c r="BM2454" s="1055"/>
      <c r="BN2454" s="1055"/>
      <c r="BO2454" s="1056"/>
      <c r="BP2454" s="1056"/>
      <c r="BQ2454" s="1056"/>
      <c r="BR2454" s="1056"/>
      <c r="BS2454" s="1056"/>
      <c r="BT2454" s="1056"/>
      <c r="BU2454" s="1056"/>
      <c r="BV2454" s="1057"/>
      <c r="BW2454" s="1057"/>
      <c r="BX2454" s="1148"/>
      <c r="BY2454" s="1057"/>
      <c r="BZ2454" s="1057"/>
      <c r="CA2454" s="1057"/>
      <c r="CB2454" s="1032"/>
    </row>
    <row r="2455" spans="2:80">
      <c r="B2455" s="1033" t="s">
        <v>7981</v>
      </c>
      <c r="C2455" s="839" t="s">
        <v>7454</v>
      </c>
      <c r="D2455" s="1033"/>
      <c r="E2455" s="1033" t="s">
        <v>7982</v>
      </c>
      <c r="F2455" s="1034">
        <v>46192</v>
      </c>
      <c r="G2455" s="1033" t="s">
        <v>7454</v>
      </c>
      <c r="H2455" s="1063" t="s">
        <v>3457</v>
      </c>
      <c r="I2455" s="1063"/>
      <c r="J2455" s="1034"/>
      <c r="K2455" s="1034"/>
      <c r="L2455" s="1036" t="s">
        <v>106</v>
      </c>
      <c r="M2455" s="1037" t="s">
        <v>107</v>
      </c>
      <c r="N2455" s="1034"/>
      <c r="O2455" s="1064"/>
      <c r="P2455" s="1035"/>
      <c r="Q2455" s="1036"/>
      <c r="R2455" s="1038" t="s">
        <v>8022</v>
      </c>
      <c r="S2455" s="1131" t="s">
        <v>8063</v>
      </c>
      <c r="T2455" s="1036" t="s">
        <v>8064</v>
      </c>
      <c r="U2455" s="1066">
        <v>4</v>
      </c>
      <c r="V2455" s="1035" t="s">
        <v>3</v>
      </c>
      <c r="W2455" s="1039">
        <v>60</v>
      </c>
      <c r="X2455" s="1040">
        <f t="shared" si="508"/>
        <v>240</v>
      </c>
      <c r="Y2455" s="1045" t="s">
        <v>7980</v>
      </c>
      <c r="Z2455" s="1041">
        <v>41.76</v>
      </c>
      <c r="AA2455" s="1041"/>
      <c r="AB2455" s="1041">
        <f t="shared" si="514"/>
        <v>167.04</v>
      </c>
      <c r="AC2455" s="1042">
        <f t="shared" si="515"/>
        <v>167.04</v>
      </c>
      <c r="AD2455" s="1043">
        <v>32000</v>
      </c>
      <c r="AE2455" s="1044"/>
      <c r="AF2455" s="1045"/>
      <c r="AG2455" s="1046"/>
      <c r="AH2455" s="1045"/>
      <c r="AI2455" s="1047"/>
      <c r="AJ2455" s="1038"/>
      <c r="AK2455" s="1048"/>
      <c r="AL2455" s="1036"/>
      <c r="AM2455" s="1036"/>
      <c r="AN2455" s="1037"/>
      <c r="AO2455" s="1037"/>
      <c r="AP2455" s="1034"/>
      <c r="AQ2455" s="1035"/>
      <c r="AR2455" s="1034"/>
      <c r="AS2455" s="1035"/>
      <c r="AT2455" s="1035"/>
      <c r="AU2455" s="1035"/>
      <c r="AV2455" s="1038"/>
      <c r="AW2455" s="1050"/>
      <c r="AX2455" s="1051"/>
      <c r="AY2455" s="1036"/>
      <c r="AZ2455" s="1035"/>
      <c r="BA2455" s="1035"/>
      <c r="BB2455" s="1052"/>
      <c r="BC2455" s="1053"/>
      <c r="BD2455" s="1049"/>
      <c r="BE2455" s="1054"/>
      <c r="BF2455" s="1055"/>
      <c r="BG2455" s="1055"/>
      <c r="BH2455" s="1055"/>
      <c r="BI2455" s="1055"/>
      <c r="BJ2455" s="1055"/>
      <c r="BK2455" s="1055"/>
      <c r="BL2455" s="1055"/>
      <c r="BM2455" s="1055"/>
      <c r="BN2455" s="1055"/>
      <c r="BO2455" s="1056"/>
      <c r="BP2455" s="1056"/>
      <c r="BQ2455" s="1056"/>
      <c r="BR2455" s="1056"/>
      <c r="BS2455" s="1056"/>
      <c r="BT2455" s="1056"/>
      <c r="BU2455" s="1056"/>
      <c r="BV2455" s="1057"/>
      <c r="BW2455" s="1057"/>
      <c r="BX2455" s="1148"/>
      <c r="BY2455" s="1057"/>
      <c r="BZ2455" s="1057"/>
      <c r="CA2455" s="1057"/>
      <c r="CB2455" s="1032"/>
    </row>
    <row r="2456" spans="2:80">
      <c r="B2456" s="1033" t="s">
        <v>7981</v>
      </c>
      <c r="C2456" s="839" t="s">
        <v>7454</v>
      </c>
      <c r="D2456" s="1033"/>
      <c r="E2456" s="1033" t="s">
        <v>7982</v>
      </c>
      <c r="F2456" s="1034">
        <v>46192</v>
      </c>
      <c r="G2456" s="1033" t="s">
        <v>7454</v>
      </c>
      <c r="H2456" s="1063" t="s">
        <v>3457</v>
      </c>
      <c r="I2456" s="1063"/>
      <c r="J2456" s="1034"/>
      <c r="K2456" s="1034"/>
      <c r="L2456" s="1036" t="s">
        <v>106</v>
      </c>
      <c r="M2456" s="1037" t="s">
        <v>107</v>
      </c>
      <c r="N2456" s="1034"/>
      <c r="O2456" s="1064"/>
      <c r="P2456" s="1035"/>
      <c r="Q2456" s="1036"/>
      <c r="R2456" s="1038" t="s">
        <v>8065</v>
      </c>
      <c r="S2456" s="1131" t="s">
        <v>8066</v>
      </c>
      <c r="T2456" s="1036" t="s">
        <v>8067</v>
      </c>
      <c r="U2456" s="1066">
        <v>3</v>
      </c>
      <c r="V2456" s="1035" t="s">
        <v>3</v>
      </c>
      <c r="W2456" s="1039">
        <v>100</v>
      </c>
      <c r="X2456" s="1040">
        <f t="shared" si="508"/>
        <v>300</v>
      </c>
      <c r="Y2456" s="1045" t="s">
        <v>7980</v>
      </c>
      <c r="Z2456" s="1041">
        <v>69.599999999999994</v>
      </c>
      <c r="AA2456" s="1041"/>
      <c r="AB2456" s="1041">
        <f t="shared" si="514"/>
        <v>208.79999999999998</v>
      </c>
      <c r="AC2456" s="1042">
        <f t="shared" si="515"/>
        <v>208.79999999999998</v>
      </c>
      <c r="AD2456" s="1043">
        <v>32000</v>
      </c>
      <c r="AE2456" s="1044"/>
      <c r="AF2456" s="1045"/>
      <c r="AG2456" s="1046"/>
      <c r="AH2456" s="1045"/>
      <c r="AI2456" s="1047"/>
      <c r="AJ2456" s="1038"/>
      <c r="AK2456" s="1048"/>
      <c r="AL2456" s="1036"/>
      <c r="AM2456" s="1036"/>
      <c r="AN2456" s="1037"/>
      <c r="AO2456" s="1037"/>
      <c r="AP2456" s="1034"/>
      <c r="AQ2456" s="1035"/>
      <c r="AR2456" s="1034"/>
      <c r="AS2456" s="1035"/>
      <c r="AT2456" s="1035"/>
      <c r="AU2456" s="1035"/>
      <c r="AV2456" s="1038"/>
      <c r="AW2456" s="1050"/>
      <c r="AX2456" s="1051"/>
      <c r="AY2456" s="1036"/>
      <c r="AZ2456" s="1035"/>
      <c r="BA2456" s="1035"/>
      <c r="BB2456" s="1052"/>
      <c r="BC2456" s="1053"/>
      <c r="BD2456" s="1049"/>
      <c r="BE2456" s="1054"/>
      <c r="BF2456" s="1055"/>
      <c r="BG2456" s="1055"/>
      <c r="BH2456" s="1055"/>
      <c r="BI2456" s="1055"/>
      <c r="BJ2456" s="1055"/>
      <c r="BK2456" s="1055"/>
      <c r="BL2456" s="1055"/>
      <c r="BM2456" s="1055"/>
      <c r="BN2456" s="1055"/>
      <c r="BO2456" s="1056"/>
      <c r="BP2456" s="1056"/>
      <c r="BQ2456" s="1056"/>
      <c r="BR2456" s="1056"/>
      <c r="BS2456" s="1056"/>
      <c r="BT2456" s="1056"/>
      <c r="BU2456" s="1056"/>
      <c r="BV2456" s="1057"/>
      <c r="BW2456" s="1057"/>
      <c r="BX2456" s="1148"/>
      <c r="BY2456" s="1057"/>
      <c r="BZ2456" s="1057"/>
      <c r="CA2456" s="1057"/>
      <c r="CB2456" s="1032"/>
    </row>
    <row r="2457" spans="2:80">
      <c r="B2457" s="1033" t="s">
        <v>7981</v>
      </c>
      <c r="C2457" s="839" t="s">
        <v>7454</v>
      </c>
      <c r="D2457" s="1033"/>
      <c r="E2457" s="1033" t="s">
        <v>7982</v>
      </c>
      <c r="F2457" s="1034">
        <v>46192</v>
      </c>
      <c r="G2457" s="1033" t="s">
        <v>7454</v>
      </c>
      <c r="H2457" s="1063" t="s">
        <v>3457</v>
      </c>
      <c r="I2457" s="1063"/>
      <c r="J2457" s="1034"/>
      <c r="K2457" s="1034"/>
      <c r="L2457" s="1036" t="s">
        <v>106</v>
      </c>
      <c r="M2457" s="1037" t="s">
        <v>107</v>
      </c>
      <c r="N2457" s="1034"/>
      <c r="O2457" s="1064"/>
      <c r="P2457" s="1035"/>
      <c r="Q2457" s="1036"/>
      <c r="R2457" s="1038" t="s">
        <v>8068</v>
      </c>
      <c r="S2457" s="1131" t="s">
        <v>8069</v>
      </c>
      <c r="T2457" s="1036" t="s">
        <v>8070</v>
      </c>
      <c r="U2457" s="1066">
        <v>1</v>
      </c>
      <c r="V2457" s="1035" t="s">
        <v>3</v>
      </c>
      <c r="W2457" s="1039">
        <v>200</v>
      </c>
      <c r="X2457" s="1040">
        <f t="shared" si="508"/>
        <v>200</v>
      </c>
      <c r="Y2457" s="1045" t="s">
        <v>7980</v>
      </c>
      <c r="Z2457" s="1041">
        <v>139.19999999999999</v>
      </c>
      <c r="AA2457" s="1041"/>
      <c r="AB2457" s="1041">
        <f t="shared" si="514"/>
        <v>139.19999999999999</v>
      </c>
      <c r="AC2457" s="1042">
        <f t="shared" si="515"/>
        <v>139.19999999999999</v>
      </c>
      <c r="AD2457" s="1043">
        <v>32000</v>
      </c>
      <c r="AE2457" s="1044"/>
      <c r="AF2457" s="1045"/>
      <c r="AG2457" s="1046"/>
      <c r="AH2457" s="1045"/>
      <c r="AI2457" s="1047"/>
      <c r="AJ2457" s="1038"/>
      <c r="AK2457" s="1048"/>
      <c r="AL2457" s="1036"/>
      <c r="AM2457" s="1036"/>
      <c r="AN2457" s="1037"/>
      <c r="AO2457" s="1037"/>
      <c r="AP2457" s="1034"/>
      <c r="AQ2457" s="1035"/>
      <c r="AR2457" s="1034"/>
      <c r="AS2457" s="1035"/>
      <c r="AT2457" s="1035"/>
      <c r="AU2457" s="1035"/>
      <c r="AV2457" s="1038"/>
      <c r="AW2457" s="1050"/>
      <c r="AX2457" s="1051"/>
      <c r="AY2457" s="1036"/>
      <c r="AZ2457" s="1035"/>
      <c r="BA2457" s="1035"/>
      <c r="BB2457" s="1052"/>
      <c r="BC2457" s="1053"/>
      <c r="BD2457" s="1049"/>
      <c r="BE2457" s="1054"/>
      <c r="BF2457" s="1055"/>
      <c r="BG2457" s="1055"/>
      <c r="BH2457" s="1055"/>
      <c r="BI2457" s="1055"/>
      <c r="BJ2457" s="1055"/>
      <c r="BK2457" s="1055"/>
      <c r="BL2457" s="1055"/>
      <c r="BM2457" s="1055"/>
      <c r="BN2457" s="1055"/>
      <c r="BO2457" s="1056"/>
      <c r="BP2457" s="1056"/>
      <c r="BQ2457" s="1056"/>
      <c r="BR2457" s="1056"/>
      <c r="BS2457" s="1056"/>
      <c r="BT2457" s="1056"/>
      <c r="BU2457" s="1056"/>
      <c r="BV2457" s="1057"/>
      <c r="BW2457" s="1057"/>
      <c r="BX2457" s="1148"/>
      <c r="BY2457" s="1057"/>
      <c r="BZ2457" s="1057"/>
      <c r="CA2457" s="1057"/>
      <c r="CB2457" s="1032"/>
    </row>
    <row r="2458" spans="2:80">
      <c r="B2458" s="1033" t="s">
        <v>7981</v>
      </c>
      <c r="C2458" s="839" t="s">
        <v>7454</v>
      </c>
      <c r="D2458" s="1033"/>
      <c r="E2458" s="1033" t="s">
        <v>7982</v>
      </c>
      <c r="F2458" s="1034">
        <v>46192</v>
      </c>
      <c r="G2458" s="1033" t="s">
        <v>7454</v>
      </c>
      <c r="H2458" s="1063" t="s">
        <v>3457</v>
      </c>
      <c r="I2458" s="1063"/>
      <c r="J2458" s="1034"/>
      <c r="K2458" s="1034"/>
      <c r="L2458" s="1036" t="s">
        <v>106</v>
      </c>
      <c r="M2458" s="1037" t="s">
        <v>107</v>
      </c>
      <c r="N2458" s="1034"/>
      <c r="O2458" s="1064"/>
      <c r="P2458" s="1035"/>
      <c r="Q2458" s="1036"/>
      <c r="R2458" s="1038" t="s">
        <v>8025</v>
      </c>
      <c r="S2458" s="1131" t="s">
        <v>8071</v>
      </c>
      <c r="T2458" s="1036" t="s">
        <v>8072</v>
      </c>
      <c r="U2458" s="1066">
        <v>1</v>
      </c>
      <c r="V2458" s="1035" t="s">
        <v>3</v>
      </c>
      <c r="W2458" s="1039">
        <v>91</v>
      </c>
      <c r="X2458" s="1040">
        <f t="shared" si="508"/>
        <v>91</v>
      </c>
      <c r="Y2458" s="1045" t="s">
        <v>7980</v>
      </c>
      <c r="Z2458" s="1041">
        <v>63.34</v>
      </c>
      <c r="AA2458" s="1041"/>
      <c r="AB2458" s="1041">
        <f t="shared" si="514"/>
        <v>63.34</v>
      </c>
      <c r="AC2458" s="1042">
        <f t="shared" si="515"/>
        <v>63.34</v>
      </c>
      <c r="AD2458" s="1043">
        <v>32000</v>
      </c>
      <c r="AE2458" s="1044"/>
      <c r="AF2458" s="1045"/>
      <c r="AG2458" s="1046"/>
      <c r="AH2458" s="1045"/>
      <c r="AI2458" s="1047"/>
      <c r="AJ2458" s="1038"/>
      <c r="AK2458" s="1048"/>
      <c r="AL2458" s="1036"/>
      <c r="AM2458" s="1036"/>
      <c r="AN2458" s="1037"/>
      <c r="AO2458" s="1037"/>
      <c r="AP2458" s="1034"/>
      <c r="AQ2458" s="1035"/>
      <c r="AR2458" s="1034"/>
      <c r="AS2458" s="1035"/>
      <c r="AT2458" s="1035"/>
      <c r="AU2458" s="1035"/>
      <c r="AV2458" s="1038"/>
      <c r="AW2458" s="1050"/>
      <c r="AX2458" s="1051"/>
      <c r="AY2458" s="1036"/>
      <c r="AZ2458" s="1035"/>
      <c r="BA2458" s="1035"/>
      <c r="BB2458" s="1052"/>
      <c r="BC2458" s="1053"/>
      <c r="BD2458" s="1049"/>
      <c r="BE2458" s="1054"/>
      <c r="BF2458" s="1055"/>
      <c r="BG2458" s="1055"/>
      <c r="BH2458" s="1055"/>
      <c r="BI2458" s="1055"/>
      <c r="BJ2458" s="1055"/>
      <c r="BK2458" s="1055"/>
      <c r="BL2458" s="1055"/>
      <c r="BM2458" s="1055"/>
      <c r="BN2458" s="1055"/>
      <c r="BO2458" s="1056"/>
      <c r="BP2458" s="1056"/>
      <c r="BQ2458" s="1056"/>
      <c r="BR2458" s="1056"/>
      <c r="BS2458" s="1056"/>
      <c r="BT2458" s="1056"/>
      <c r="BU2458" s="1056"/>
      <c r="BV2458" s="1057"/>
      <c r="BW2458" s="1057"/>
      <c r="BX2458" s="1148"/>
      <c r="BY2458" s="1057"/>
      <c r="BZ2458" s="1057"/>
      <c r="CA2458" s="1057"/>
      <c r="CB2458" s="1032"/>
    </row>
    <row r="2459" spans="2:80">
      <c r="B2459" s="1033" t="s">
        <v>7981</v>
      </c>
      <c r="C2459" s="839" t="s">
        <v>7454</v>
      </c>
      <c r="D2459" s="1033"/>
      <c r="E2459" s="1033" t="s">
        <v>7982</v>
      </c>
      <c r="F2459" s="1034">
        <v>46192</v>
      </c>
      <c r="G2459" s="1033" t="s">
        <v>7454</v>
      </c>
      <c r="H2459" s="1063" t="s">
        <v>3457</v>
      </c>
      <c r="I2459" s="1063"/>
      <c r="J2459" s="1034"/>
      <c r="K2459" s="1034"/>
      <c r="L2459" s="1036" t="s">
        <v>106</v>
      </c>
      <c r="M2459" s="1037" t="s">
        <v>107</v>
      </c>
      <c r="N2459" s="1034"/>
      <c r="O2459" s="1064"/>
      <c r="P2459" s="1035"/>
      <c r="Q2459" s="1036"/>
      <c r="R2459" s="1038" t="s">
        <v>7998</v>
      </c>
      <c r="S2459" s="1131" t="s">
        <v>8073</v>
      </c>
      <c r="T2459" s="1036" t="s">
        <v>8074</v>
      </c>
      <c r="U2459" s="1066">
        <v>2</v>
      </c>
      <c r="V2459" s="1035" t="s">
        <v>3</v>
      </c>
      <c r="W2459" s="1039">
        <v>179</v>
      </c>
      <c r="X2459" s="1040">
        <f t="shared" si="508"/>
        <v>358</v>
      </c>
      <c r="Y2459" s="1045" t="s">
        <v>7980</v>
      </c>
      <c r="Z2459" s="1041">
        <v>124.58</v>
      </c>
      <c r="AA2459" s="1041"/>
      <c r="AB2459" s="1041">
        <f t="shared" si="514"/>
        <v>249.16</v>
      </c>
      <c r="AC2459" s="1042">
        <f t="shared" si="515"/>
        <v>249.16</v>
      </c>
      <c r="AD2459" s="1043">
        <v>32000</v>
      </c>
      <c r="AE2459" s="1044"/>
      <c r="AF2459" s="1045"/>
      <c r="AG2459" s="1046"/>
      <c r="AH2459" s="1045"/>
      <c r="AI2459" s="1047"/>
      <c r="AJ2459" s="1038"/>
      <c r="AK2459" s="1048"/>
      <c r="AL2459" s="1036"/>
      <c r="AM2459" s="1036"/>
      <c r="AN2459" s="1037"/>
      <c r="AO2459" s="1037"/>
      <c r="AP2459" s="1034"/>
      <c r="AQ2459" s="1035"/>
      <c r="AR2459" s="1034"/>
      <c r="AS2459" s="1035"/>
      <c r="AT2459" s="1035"/>
      <c r="AU2459" s="1035"/>
      <c r="AV2459" s="1038"/>
      <c r="AW2459" s="1050"/>
      <c r="AX2459" s="1051"/>
      <c r="AY2459" s="1036"/>
      <c r="AZ2459" s="1035"/>
      <c r="BA2459" s="1035"/>
      <c r="BB2459" s="1052"/>
      <c r="BC2459" s="1053"/>
      <c r="BD2459" s="1049"/>
      <c r="BE2459" s="1054"/>
      <c r="BF2459" s="1055"/>
      <c r="BG2459" s="1055"/>
      <c r="BH2459" s="1055"/>
      <c r="BI2459" s="1055"/>
      <c r="BJ2459" s="1055"/>
      <c r="BK2459" s="1055"/>
      <c r="BL2459" s="1055"/>
      <c r="BM2459" s="1055"/>
      <c r="BN2459" s="1055"/>
      <c r="BO2459" s="1056"/>
      <c r="BP2459" s="1056"/>
      <c r="BQ2459" s="1056"/>
      <c r="BR2459" s="1056"/>
      <c r="BS2459" s="1056"/>
      <c r="BT2459" s="1056"/>
      <c r="BU2459" s="1056"/>
      <c r="BV2459" s="1057"/>
      <c r="BW2459" s="1057"/>
      <c r="BX2459" s="1148"/>
      <c r="BY2459" s="1057"/>
      <c r="BZ2459" s="1057"/>
      <c r="CA2459" s="1057"/>
      <c r="CB2459" s="1032"/>
    </row>
    <row r="2460" spans="2:80">
      <c r="B2460" s="1033" t="s">
        <v>7981</v>
      </c>
      <c r="C2460" s="839" t="s">
        <v>7454</v>
      </c>
      <c r="D2460" s="1033"/>
      <c r="E2460" s="1033" t="s">
        <v>7982</v>
      </c>
      <c r="F2460" s="1034">
        <v>46192</v>
      </c>
      <c r="G2460" s="1033" t="s">
        <v>7454</v>
      </c>
      <c r="H2460" s="1063" t="s">
        <v>3457</v>
      </c>
      <c r="I2460" s="1063"/>
      <c r="J2460" s="1034"/>
      <c r="K2460" s="1034"/>
      <c r="L2460" s="1036" t="s">
        <v>106</v>
      </c>
      <c r="M2460" s="1037" t="s">
        <v>107</v>
      </c>
      <c r="N2460" s="1034"/>
      <c r="O2460" s="1064"/>
      <c r="P2460" s="1035"/>
      <c r="Q2460" s="1036"/>
      <c r="R2460" s="1038" t="s">
        <v>8075</v>
      </c>
      <c r="S2460" s="1131" t="s">
        <v>8076</v>
      </c>
      <c r="T2460" s="1036" t="s">
        <v>8077</v>
      </c>
      <c r="U2460" s="1066">
        <v>1</v>
      </c>
      <c r="V2460" s="1035" t="s">
        <v>3</v>
      </c>
      <c r="W2460" s="1039">
        <v>319</v>
      </c>
      <c r="X2460" s="1040">
        <f t="shared" si="508"/>
        <v>319</v>
      </c>
      <c r="Y2460" s="1045" t="s">
        <v>7980</v>
      </c>
      <c r="Z2460" s="1041">
        <v>222.02</v>
      </c>
      <c r="AA2460" s="1041"/>
      <c r="AB2460" s="1041">
        <f t="shared" si="514"/>
        <v>222.02</v>
      </c>
      <c r="AC2460" s="1042">
        <f t="shared" si="515"/>
        <v>222.02</v>
      </c>
      <c r="AD2460" s="1043">
        <v>32000</v>
      </c>
      <c r="AE2460" s="1044"/>
      <c r="AF2460" s="1045"/>
      <c r="AG2460" s="1046"/>
      <c r="AH2460" s="1045"/>
      <c r="AI2460" s="1047"/>
      <c r="AJ2460" s="1038"/>
      <c r="AK2460" s="1048"/>
      <c r="AL2460" s="1036"/>
      <c r="AM2460" s="1036"/>
      <c r="AN2460" s="1037"/>
      <c r="AO2460" s="1037"/>
      <c r="AP2460" s="1034"/>
      <c r="AQ2460" s="1035"/>
      <c r="AR2460" s="1034"/>
      <c r="AS2460" s="1035"/>
      <c r="AT2460" s="1035"/>
      <c r="AU2460" s="1035"/>
      <c r="AV2460" s="1038"/>
      <c r="AW2460" s="1050"/>
      <c r="AX2460" s="1051"/>
      <c r="AY2460" s="1036"/>
      <c r="AZ2460" s="1035"/>
      <c r="BA2460" s="1035"/>
      <c r="BB2460" s="1052"/>
      <c r="BC2460" s="1053"/>
      <c r="BD2460" s="1049"/>
      <c r="BE2460" s="1054"/>
      <c r="BF2460" s="1055"/>
      <c r="BG2460" s="1055"/>
      <c r="BH2460" s="1055"/>
      <c r="BI2460" s="1055"/>
      <c r="BJ2460" s="1055"/>
      <c r="BK2460" s="1055"/>
      <c r="BL2460" s="1055"/>
      <c r="BM2460" s="1055"/>
      <c r="BN2460" s="1055"/>
      <c r="BO2460" s="1056"/>
      <c r="BP2460" s="1056"/>
      <c r="BQ2460" s="1056"/>
      <c r="BR2460" s="1056"/>
      <c r="BS2460" s="1056"/>
      <c r="BT2460" s="1056"/>
      <c r="BU2460" s="1056"/>
      <c r="BV2460" s="1057"/>
      <c r="BW2460" s="1057"/>
      <c r="BX2460" s="1148"/>
      <c r="BY2460" s="1057"/>
      <c r="BZ2460" s="1057"/>
      <c r="CA2460" s="1057"/>
      <c r="CB2460" s="1032"/>
    </row>
    <row r="2461" spans="2:80">
      <c r="B2461" s="1033" t="s">
        <v>7981</v>
      </c>
      <c r="C2461" s="839" t="s">
        <v>7454</v>
      </c>
      <c r="D2461" s="1033"/>
      <c r="E2461" s="1033" t="s">
        <v>7982</v>
      </c>
      <c r="F2461" s="1034">
        <v>46192</v>
      </c>
      <c r="G2461" s="1033" t="s">
        <v>7454</v>
      </c>
      <c r="H2461" s="1063" t="s">
        <v>3457</v>
      </c>
      <c r="I2461" s="1063"/>
      <c r="J2461" s="1034"/>
      <c r="K2461" s="1034"/>
      <c r="L2461" s="1036" t="s">
        <v>106</v>
      </c>
      <c r="M2461" s="1037" t="s">
        <v>107</v>
      </c>
      <c r="N2461" s="1034"/>
      <c r="O2461" s="1064"/>
      <c r="P2461" s="1035"/>
      <c r="Q2461" s="1036"/>
      <c r="R2461" s="1038" t="s">
        <v>8078</v>
      </c>
      <c r="S2461" s="1131" t="s">
        <v>8079</v>
      </c>
      <c r="T2461" s="1036" t="s">
        <v>8080</v>
      </c>
      <c r="U2461" s="1066">
        <v>1</v>
      </c>
      <c r="V2461" s="1035" t="s">
        <v>3</v>
      </c>
      <c r="W2461" s="1039">
        <v>162</v>
      </c>
      <c r="X2461" s="1040">
        <f t="shared" si="508"/>
        <v>162</v>
      </c>
      <c r="Y2461" s="1045" t="s">
        <v>7980</v>
      </c>
      <c r="Z2461" s="1041">
        <v>112.75</v>
      </c>
      <c r="AA2461" s="1041"/>
      <c r="AB2461" s="1041">
        <f t="shared" si="514"/>
        <v>112.75</v>
      </c>
      <c r="AC2461" s="1042">
        <f t="shared" si="515"/>
        <v>112.75</v>
      </c>
      <c r="AD2461" s="1043">
        <v>32000</v>
      </c>
      <c r="AE2461" s="1044"/>
      <c r="AF2461" s="1045"/>
      <c r="AG2461" s="1046"/>
      <c r="AH2461" s="1045"/>
      <c r="AI2461" s="1047"/>
      <c r="AJ2461" s="1038"/>
      <c r="AK2461" s="1048"/>
      <c r="AL2461" s="1036"/>
      <c r="AM2461" s="1036"/>
      <c r="AN2461" s="1037"/>
      <c r="AO2461" s="1037"/>
      <c r="AP2461" s="1034"/>
      <c r="AQ2461" s="1035"/>
      <c r="AR2461" s="1034"/>
      <c r="AS2461" s="1035"/>
      <c r="AT2461" s="1035"/>
      <c r="AU2461" s="1035"/>
      <c r="AV2461" s="1038"/>
      <c r="AW2461" s="1050"/>
      <c r="AX2461" s="1051"/>
      <c r="AY2461" s="1036"/>
      <c r="AZ2461" s="1035"/>
      <c r="BA2461" s="1035"/>
      <c r="BB2461" s="1052"/>
      <c r="BC2461" s="1053"/>
      <c r="BD2461" s="1049"/>
      <c r="BE2461" s="1054"/>
      <c r="BF2461" s="1055"/>
      <c r="BG2461" s="1055"/>
      <c r="BH2461" s="1055"/>
      <c r="BI2461" s="1055"/>
      <c r="BJ2461" s="1055"/>
      <c r="BK2461" s="1055"/>
      <c r="BL2461" s="1055"/>
      <c r="BM2461" s="1055"/>
      <c r="BN2461" s="1055"/>
      <c r="BO2461" s="1056"/>
      <c r="BP2461" s="1056"/>
      <c r="BQ2461" s="1056"/>
      <c r="BR2461" s="1056"/>
      <c r="BS2461" s="1056"/>
      <c r="BT2461" s="1056"/>
      <c r="BU2461" s="1056"/>
      <c r="BV2461" s="1057"/>
      <c r="BW2461" s="1057"/>
      <c r="BX2461" s="1148"/>
      <c r="BY2461" s="1057"/>
      <c r="BZ2461" s="1057"/>
      <c r="CA2461" s="1057"/>
      <c r="CB2461" s="1032"/>
    </row>
    <row r="2462" spans="2:80">
      <c r="B2462" s="1033" t="s">
        <v>7981</v>
      </c>
      <c r="C2462" s="839" t="s">
        <v>7454</v>
      </c>
      <c r="D2462" s="1033"/>
      <c r="E2462" s="1033" t="s">
        <v>7982</v>
      </c>
      <c r="F2462" s="1034">
        <v>46192</v>
      </c>
      <c r="G2462" s="1033" t="s">
        <v>7454</v>
      </c>
      <c r="H2462" s="1063" t="s">
        <v>3457</v>
      </c>
      <c r="I2462" s="1063"/>
      <c r="J2462" s="1034"/>
      <c r="K2462" s="1034"/>
      <c r="L2462" s="1036" t="s">
        <v>106</v>
      </c>
      <c r="M2462" s="1037" t="s">
        <v>107</v>
      </c>
      <c r="N2462" s="1034"/>
      <c r="O2462" s="1064"/>
      <c r="P2462" s="1035"/>
      <c r="Q2462" s="1036"/>
      <c r="R2462" s="1038" t="s">
        <v>8028</v>
      </c>
      <c r="S2462" s="1131" t="s">
        <v>8081</v>
      </c>
      <c r="T2462" s="1036" t="s">
        <v>8082</v>
      </c>
      <c r="U2462" s="1066">
        <v>1</v>
      </c>
      <c r="V2462" s="1035" t="s">
        <v>3</v>
      </c>
      <c r="W2462" s="1039">
        <v>301</v>
      </c>
      <c r="X2462" s="1040">
        <f t="shared" si="508"/>
        <v>301</v>
      </c>
      <c r="Y2462" s="1045" t="s">
        <v>7980</v>
      </c>
      <c r="Z2462" s="1041">
        <v>209.5</v>
      </c>
      <c r="AA2462" s="1041"/>
      <c r="AB2462" s="1041">
        <f t="shared" si="514"/>
        <v>209.5</v>
      </c>
      <c r="AC2462" s="1042">
        <f t="shared" si="515"/>
        <v>209.5</v>
      </c>
      <c r="AD2462" s="1043">
        <v>32000</v>
      </c>
      <c r="AE2462" s="1044"/>
      <c r="AF2462" s="1045"/>
      <c r="AG2462" s="1046"/>
      <c r="AH2462" s="1045"/>
      <c r="AI2462" s="1047"/>
      <c r="AJ2462" s="1038"/>
      <c r="AK2462" s="1048"/>
      <c r="AL2462" s="1036"/>
      <c r="AM2462" s="1036"/>
      <c r="AN2462" s="1037"/>
      <c r="AO2462" s="1037"/>
      <c r="AP2462" s="1034"/>
      <c r="AQ2462" s="1035"/>
      <c r="AR2462" s="1034"/>
      <c r="AS2462" s="1035"/>
      <c r="AT2462" s="1035"/>
      <c r="AU2462" s="1035"/>
      <c r="AV2462" s="1038"/>
      <c r="AW2462" s="1050"/>
      <c r="AX2462" s="1051"/>
      <c r="AY2462" s="1036"/>
      <c r="AZ2462" s="1035"/>
      <c r="BA2462" s="1035"/>
      <c r="BB2462" s="1052"/>
      <c r="BC2462" s="1053"/>
      <c r="BD2462" s="1049"/>
      <c r="BE2462" s="1054"/>
      <c r="BF2462" s="1055"/>
      <c r="BG2462" s="1055"/>
      <c r="BH2462" s="1055"/>
      <c r="BI2462" s="1055"/>
      <c r="BJ2462" s="1055"/>
      <c r="BK2462" s="1055"/>
      <c r="BL2462" s="1055"/>
      <c r="BM2462" s="1055"/>
      <c r="BN2462" s="1055"/>
      <c r="BO2462" s="1056"/>
      <c r="BP2462" s="1056"/>
      <c r="BQ2462" s="1056"/>
      <c r="BR2462" s="1056"/>
      <c r="BS2462" s="1056"/>
      <c r="BT2462" s="1056"/>
      <c r="BU2462" s="1056"/>
      <c r="BV2462" s="1057"/>
      <c r="BW2462" s="1057"/>
      <c r="BX2462" s="1148"/>
      <c r="BY2462" s="1057"/>
      <c r="BZ2462" s="1057"/>
      <c r="CA2462" s="1057"/>
      <c r="CB2462" s="1032"/>
    </row>
    <row r="2463" spans="2:80">
      <c r="B2463" s="1033" t="s">
        <v>7981</v>
      </c>
      <c r="C2463" s="839" t="s">
        <v>7454</v>
      </c>
      <c r="D2463" s="1033"/>
      <c r="E2463" s="1033" t="s">
        <v>7982</v>
      </c>
      <c r="F2463" s="1034">
        <v>46192</v>
      </c>
      <c r="G2463" s="1033" t="s">
        <v>7454</v>
      </c>
      <c r="H2463" s="1063" t="s">
        <v>3457</v>
      </c>
      <c r="I2463" s="1063"/>
      <c r="J2463" s="1034"/>
      <c r="K2463" s="1034"/>
      <c r="L2463" s="1036" t="s">
        <v>106</v>
      </c>
      <c r="M2463" s="1037" t="s">
        <v>107</v>
      </c>
      <c r="N2463" s="1034"/>
      <c r="O2463" s="1064"/>
      <c r="P2463" s="1035"/>
      <c r="Q2463" s="1036"/>
      <c r="R2463" s="1038" t="s">
        <v>8068</v>
      </c>
      <c r="S2463" s="1131" t="s">
        <v>8083</v>
      </c>
      <c r="T2463" s="1036" t="s">
        <v>8070</v>
      </c>
      <c r="U2463" s="1066">
        <v>1</v>
      </c>
      <c r="V2463" s="1035" t="s">
        <v>3</v>
      </c>
      <c r="W2463" s="1039">
        <v>200</v>
      </c>
      <c r="X2463" s="1040">
        <f t="shared" si="508"/>
        <v>200</v>
      </c>
      <c r="Y2463" s="1045" t="s">
        <v>7980</v>
      </c>
      <c r="Z2463" s="1041">
        <v>139.19999999999999</v>
      </c>
      <c r="AA2463" s="1041"/>
      <c r="AB2463" s="1041">
        <f t="shared" si="514"/>
        <v>139.19999999999999</v>
      </c>
      <c r="AC2463" s="1042">
        <f t="shared" si="515"/>
        <v>139.19999999999999</v>
      </c>
      <c r="AD2463" s="1043">
        <v>32000</v>
      </c>
      <c r="AE2463" s="1044"/>
      <c r="AF2463" s="1045"/>
      <c r="AG2463" s="1046"/>
      <c r="AH2463" s="1045"/>
      <c r="AI2463" s="1047"/>
      <c r="AJ2463" s="1038"/>
      <c r="AK2463" s="1048"/>
      <c r="AL2463" s="1036"/>
      <c r="AM2463" s="1036"/>
      <c r="AN2463" s="1037"/>
      <c r="AO2463" s="1037"/>
      <c r="AP2463" s="1034"/>
      <c r="AQ2463" s="1035"/>
      <c r="AR2463" s="1034"/>
      <c r="AS2463" s="1035"/>
      <c r="AT2463" s="1035"/>
      <c r="AU2463" s="1035"/>
      <c r="AV2463" s="1038"/>
      <c r="AW2463" s="1050"/>
      <c r="AX2463" s="1051"/>
      <c r="AY2463" s="1036"/>
      <c r="AZ2463" s="1035"/>
      <c r="BA2463" s="1035"/>
      <c r="BB2463" s="1052"/>
      <c r="BC2463" s="1053"/>
      <c r="BD2463" s="1049"/>
      <c r="BE2463" s="1054"/>
      <c r="BF2463" s="1055"/>
      <c r="BG2463" s="1055"/>
      <c r="BH2463" s="1055"/>
      <c r="BI2463" s="1055"/>
      <c r="BJ2463" s="1055"/>
      <c r="BK2463" s="1055"/>
      <c r="BL2463" s="1055"/>
      <c r="BM2463" s="1055"/>
      <c r="BN2463" s="1055"/>
      <c r="BO2463" s="1056"/>
      <c r="BP2463" s="1056"/>
      <c r="BQ2463" s="1056"/>
      <c r="BR2463" s="1056"/>
      <c r="BS2463" s="1056"/>
      <c r="BT2463" s="1056"/>
      <c r="BU2463" s="1056"/>
      <c r="BV2463" s="1057"/>
      <c r="BW2463" s="1057"/>
      <c r="BX2463" s="1148"/>
      <c r="BY2463" s="1057"/>
      <c r="BZ2463" s="1057"/>
      <c r="CA2463" s="1057"/>
      <c r="CB2463" s="1032"/>
    </row>
    <row r="2464" spans="2:80">
      <c r="B2464" s="1033" t="s">
        <v>7981</v>
      </c>
      <c r="C2464" s="839" t="s">
        <v>7454</v>
      </c>
      <c r="D2464" s="1033"/>
      <c r="E2464" s="1033" t="s">
        <v>7982</v>
      </c>
      <c r="F2464" s="1034">
        <v>46192</v>
      </c>
      <c r="G2464" s="1033" t="s">
        <v>7454</v>
      </c>
      <c r="H2464" s="1063" t="s">
        <v>3457</v>
      </c>
      <c r="I2464" s="1063"/>
      <c r="J2464" s="1034"/>
      <c r="K2464" s="1034"/>
      <c r="L2464" s="1036" t="s">
        <v>106</v>
      </c>
      <c r="M2464" s="1037" t="s">
        <v>107</v>
      </c>
      <c r="N2464" s="1034"/>
      <c r="O2464" s="1064"/>
      <c r="P2464" s="1035"/>
      <c r="Q2464" s="1036"/>
      <c r="R2464" s="1038" t="s">
        <v>8004</v>
      </c>
      <c r="S2464" s="1131" t="s">
        <v>8084</v>
      </c>
      <c r="T2464" s="1036" t="s">
        <v>8085</v>
      </c>
      <c r="U2464" s="1066">
        <v>1</v>
      </c>
      <c r="V2464" s="1035" t="s">
        <v>3</v>
      </c>
      <c r="W2464" s="1039">
        <v>106</v>
      </c>
      <c r="X2464" s="1040">
        <f t="shared" si="508"/>
        <v>106</v>
      </c>
      <c r="Y2464" s="1045" t="s">
        <v>7980</v>
      </c>
      <c r="Z2464" s="1041">
        <v>73.78</v>
      </c>
      <c r="AA2464" s="1041"/>
      <c r="AB2464" s="1041">
        <f t="shared" si="514"/>
        <v>73.78</v>
      </c>
      <c r="AC2464" s="1042">
        <f t="shared" si="515"/>
        <v>73.78</v>
      </c>
      <c r="AD2464" s="1043">
        <v>32000</v>
      </c>
      <c r="AE2464" s="1044"/>
      <c r="AF2464" s="1045"/>
      <c r="AG2464" s="1046"/>
      <c r="AH2464" s="1045"/>
      <c r="AI2464" s="1047"/>
      <c r="AJ2464" s="1038"/>
      <c r="AK2464" s="1048"/>
      <c r="AL2464" s="1036"/>
      <c r="AM2464" s="1036"/>
      <c r="AN2464" s="1037"/>
      <c r="AO2464" s="1037"/>
      <c r="AP2464" s="1034"/>
      <c r="AQ2464" s="1035"/>
      <c r="AR2464" s="1034"/>
      <c r="AS2464" s="1035"/>
      <c r="AT2464" s="1035"/>
      <c r="AU2464" s="1035"/>
      <c r="AV2464" s="1038"/>
      <c r="AW2464" s="1050"/>
      <c r="AX2464" s="1051"/>
      <c r="AY2464" s="1036"/>
      <c r="AZ2464" s="1035"/>
      <c r="BA2464" s="1035"/>
      <c r="BB2464" s="1052"/>
      <c r="BC2464" s="1053"/>
      <c r="BD2464" s="1049"/>
      <c r="BE2464" s="1054"/>
      <c r="BF2464" s="1055"/>
      <c r="BG2464" s="1055"/>
      <c r="BH2464" s="1055"/>
      <c r="BI2464" s="1055"/>
      <c r="BJ2464" s="1055"/>
      <c r="BK2464" s="1055"/>
      <c r="BL2464" s="1055"/>
      <c r="BM2464" s="1055"/>
      <c r="BN2464" s="1055"/>
      <c r="BO2464" s="1056"/>
      <c r="BP2464" s="1056"/>
      <c r="BQ2464" s="1056"/>
      <c r="BR2464" s="1056"/>
      <c r="BS2464" s="1056"/>
      <c r="BT2464" s="1056"/>
      <c r="BU2464" s="1056"/>
      <c r="BV2464" s="1057"/>
      <c r="BW2464" s="1057"/>
      <c r="BX2464" s="1148"/>
      <c r="BY2464" s="1057"/>
      <c r="BZ2464" s="1057"/>
      <c r="CA2464" s="1057"/>
      <c r="CB2464" s="1032"/>
    </row>
    <row r="2465" spans="2:80">
      <c r="B2465" s="1033" t="s">
        <v>7981</v>
      </c>
      <c r="C2465" s="839" t="s">
        <v>7454</v>
      </c>
      <c r="D2465" s="1033"/>
      <c r="E2465" s="1033" t="s">
        <v>7982</v>
      </c>
      <c r="F2465" s="1034">
        <v>46192</v>
      </c>
      <c r="G2465" s="1033" t="s">
        <v>7454</v>
      </c>
      <c r="H2465" s="1063" t="s">
        <v>3457</v>
      </c>
      <c r="I2465" s="1063"/>
      <c r="J2465" s="1034"/>
      <c r="K2465" s="1034"/>
      <c r="L2465" s="1036" t="s">
        <v>106</v>
      </c>
      <c r="M2465" s="1037" t="s">
        <v>107</v>
      </c>
      <c r="N2465" s="1034"/>
      <c r="O2465" s="1064"/>
      <c r="P2465" s="1035"/>
      <c r="Q2465" s="1036"/>
      <c r="R2465" s="1038" t="s">
        <v>8086</v>
      </c>
      <c r="S2465" s="1131" t="s">
        <v>8087</v>
      </c>
      <c r="T2465" s="1036" t="s">
        <v>8003</v>
      </c>
      <c r="U2465" s="1066">
        <v>1</v>
      </c>
      <c r="V2465" s="1035" t="s">
        <v>3</v>
      </c>
      <c r="W2465" s="1039">
        <v>160</v>
      </c>
      <c r="X2465" s="1040">
        <f t="shared" si="508"/>
        <v>160</v>
      </c>
      <c r="Y2465" s="1045" t="s">
        <v>7980</v>
      </c>
      <c r="Z2465" s="1041">
        <v>111.36</v>
      </c>
      <c r="AA2465" s="1041"/>
      <c r="AB2465" s="1041">
        <f t="shared" si="514"/>
        <v>111.36</v>
      </c>
      <c r="AC2465" s="1042">
        <f t="shared" si="515"/>
        <v>111.36</v>
      </c>
      <c r="AD2465" s="1043">
        <v>32000</v>
      </c>
      <c r="AE2465" s="1044"/>
      <c r="AF2465" s="1045"/>
      <c r="AG2465" s="1046"/>
      <c r="AH2465" s="1045"/>
      <c r="AI2465" s="1047"/>
      <c r="AJ2465" s="1038"/>
      <c r="AK2465" s="1048"/>
      <c r="AL2465" s="1036"/>
      <c r="AM2465" s="1036"/>
      <c r="AN2465" s="1037"/>
      <c r="AO2465" s="1037"/>
      <c r="AP2465" s="1034"/>
      <c r="AQ2465" s="1035"/>
      <c r="AR2465" s="1034"/>
      <c r="AS2465" s="1035"/>
      <c r="AT2465" s="1035"/>
      <c r="AU2465" s="1035"/>
      <c r="AV2465" s="1038"/>
      <c r="AW2465" s="1050"/>
      <c r="AX2465" s="1051"/>
      <c r="AY2465" s="1036"/>
      <c r="AZ2465" s="1035"/>
      <c r="BA2465" s="1035"/>
      <c r="BB2465" s="1052"/>
      <c r="BC2465" s="1053"/>
      <c r="BD2465" s="1049"/>
      <c r="BE2465" s="1054"/>
      <c r="BF2465" s="1055"/>
      <c r="BG2465" s="1055"/>
      <c r="BH2465" s="1055"/>
      <c r="BI2465" s="1055"/>
      <c r="BJ2465" s="1055"/>
      <c r="BK2465" s="1055"/>
      <c r="BL2465" s="1055"/>
      <c r="BM2465" s="1055"/>
      <c r="BN2465" s="1055"/>
      <c r="BO2465" s="1056"/>
      <c r="BP2465" s="1056"/>
      <c r="BQ2465" s="1056"/>
      <c r="BR2465" s="1056"/>
      <c r="BS2465" s="1056"/>
      <c r="BT2465" s="1056"/>
      <c r="BU2465" s="1056"/>
      <c r="BV2465" s="1057"/>
      <c r="BW2465" s="1057"/>
      <c r="BX2465" s="1148"/>
      <c r="BY2465" s="1057"/>
      <c r="BZ2465" s="1057"/>
      <c r="CA2465" s="1057"/>
      <c r="CB2465" s="1032"/>
    </row>
    <row r="2466" spans="2:80">
      <c r="B2466" s="1033" t="s">
        <v>7981</v>
      </c>
      <c r="C2466" s="839" t="s">
        <v>7454</v>
      </c>
      <c r="D2466" s="1033"/>
      <c r="E2466" s="1033" t="s">
        <v>7982</v>
      </c>
      <c r="F2466" s="1034">
        <v>46192</v>
      </c>
      <c r="G2466" s="1033" t="s">
        <v>7454</v>
      </c>
      <c r="H2466" s="1063" t="s">
        <v>3457</v>
      </c>
      <c r="I2466" s="1063"/>
      <c r="J2466" s="1034"/>
      <c r="K2466" s="1034"/>
      <c r="L2466" s="1036" t="s">
        <v>106</v>
      </c>
      <c r="M2466" s="1037" t="s">
        <v>107</v>
      </c>
      <c r="N2466" s="1034"/>
      <c r="O2466" s="1064"/>
      <c r="P2466" s="1035"/>
      <c r="Q2466" s="1036"/>
      <c r="R2466" s="1038" t="s">
        <v>8088</v>
      </c>
      <c r="S2466" s="1131" t="s">
        <v>8089</v>
      </c>
      <c r="T2466" s="1036" t="s">
        <v>8090</v>
      </c>
      <c r="U2466" s="1066">
        <v>10</v>
      </c>
      <c r="V2466" s="1035" t="s">
        <v>3</v>
      </c>
      <c r="W2466" s="1039">
        <v>4</v>
      </c>
      <c r="X2466" s="1040">
        <f t="shared" si="508"/>
        <v>40</v>
      </c>
      <c r="Y2466" s="1045" t="s">
        <v>7980</v>
      </c>
      <c r="Z2466" s="1041">
        <v>2.78</v>
      </c>
      <c r="AA2466" s="1041"/>
      <c r="AB2466" s="1041">
        <f t="shared" si="514"/>
        <v>27.799999999999997</v>
      </c>
      <c r="AC2466" s="1042">
        <f t="shared" si="515"/>
        <v>27.799999999999997</v>
      </c>
      <c r="AD2466" s="1043">
        <v>32000</v>
      </c>
      <c r="AE2466" s="1044"/>
      <c r="AF2466" s="1045"/>
      <c r="AG2466" s="1046"/>
      <c r="AH2466" s="1045"/>
      <c r="AI2466" s="1047"/>
      <c r="AJ2466" s="1038"/>
      <c r="AK2466" s="1048"/>
      <c r="AL2466" s="1036"/>
      <c r="AM2466" s="1036"/>
      <c r="AN2466" s="1037"/>
      <c r="AO2466" s="1037"/>
      <c r="AP2466" s="1034"/>
      <c r="AQ2466" s="1035"/>
      <c r="AR2466" s="1034"/>
      <c r="AS2466" s="1035"/>
      <c r="AT2466" s="1035"/>
      <c r="AU2466" s="1035"/>
      <c r="AV2466" s="1038"/>
      <c r="AW2466" s="1050"/>
      <c r="AX2466" s="1051"/>
      <c r="AY2466" s="1036"/>
      <c r="AZ2466" s="1035"/>
      <c r="BA2466" s="1035"/>
      <c r="BB2466" s="1052"/>
      <c r="BC2466" s="1053"/>
      <c r="BD2466" s="1049"/>
      <c r="BE2466" s="1054"/>
      <c r="BF2466" s="1055"/>
      <c r="BG2466" s="1055"/>
      <c r="BH2466" s="1055"/>
      <c r="BI2466" s="1055"/>
      <c r="BJ2466" s="1055"/>
      <c r="BK2466" s="1055"/>
      <c r="BL2466" s="1055"/>
      <c r="BM2466" s="1055"/>
      <c r="BN2466" s="1055"/>
      <c r="BO2466" s="1056"/>
      <c r="BP2466" s="1056"/>
      <c r="BQ2466" s="1056"/>
      <c r="BR2466" s="1056"/>
      <c r="BS2466" s="1056"/>
      <c r="BT2466" s="1056"/>
      <c r="BU2466" s="1056"/>
      <c r="BV2466" s="1057"/>
      <c r="BW2466" s="1057"/>
      <c r="BX2466" s="1148"/>
      <c r="BY2466" s="1057"/>
      <c r="BZ2466" s="1057"/>
      <c r="CA2466" s="1057"/>
      <c r="CB2466" s="1032"/>
    </row>
    <row r="2467" spans="2:80">
      <c r="B2467" s="1033" t="s">
        <v>7981</v>
      </c>
      <c r="C2467" s="839" t="s">
        <v>7454</v>
      </c>
      <c r="D2467" s="1033"/>
      <c r="E2467" s="1033" t="s">
        <v>7982</v>
      </c>
      <c r="F2467" s="1034">
        <v>46192</v>
      </c>
      <c r="G2467" s="1033" t="s">
        <v>7454</v>
      </c>
      <c r="H2467" s="1063" t="s">
        <v>3457</v>
      </c>
      <c r="I2467" s="1063"/>
      <c r="J2467" s="1034"/>
      <c r="K2467" s="1034"/>
      <c r="L2467" s="1036" t="s">
        <v>106</v>
      </c>
      <c r="M2467" s="1037" t="s">
        <v>107</v>
      </c>
      <c r="N2467" s="1034"/>
      <c r="O2467" s="1064"/>
      <c r="P2467" s="1035"/>
      <c r="Q2467" s="1036"/>
      <c r="R2467" s="1038" t="s">
        <v>8091</v>
      </c>
      <c r="S2467" s="1131" t="s">
        <v>8092</v>
      </c>
      <c r="T2467" s="1036" t="s">
        <v>8093</v>
      </c>
      <c r="U2467" s="1066">
        <v>2</v>
      </c>
      <c r="V2467" s="1035" t="s">
        <v>3</v>
      </c>
      <c r="W2467" s="1039">
        <v>88</v>
      </c>
      <c r="X2467" s="1040">
        <f t="shared" si="508"/>
        <v>176</v>
      </c>
      <c r="Y2467" s="1045" t="s">
        <v>7980</v>
      </c>
      <c r="Z2467" s="1041">
        <v>61.25</v>
      </c>
      <c r="AA2467" s="1041"/>
      <c r="AB2467" s="1041">
        <f t="shared" si="514"/>
        <v>122.5</v>
      </c>
      <c r="AC2467" s="1042">
        <f t="shared" si="515"/>
        <v>122.5</v>
      </c>
      <c r="AD2467" s="1043">
        <v>32000</v>
      </c>
      <c r="AE2467" s="1044"/>
      <c r="AF2467" s="1045"/>
      <c r="AG2467" s="1046"/>
      <c r="AH2467" s="1045"/>
      <c r="AI2467" s="1047"/>
      <c r="AJ2467" s="1038"/>
      <c r="AK2467" s="1048"/>
      <c r="AL2467" s="1036"/>
      <c r="AM2467" s="1036"/>
      <c r="AN2467" s="1037"/>
      <c r="AO2467" s="1037"/>
      <c r="AP2467" s="1034"/>
      <c r="AQ2467" s="1035"/>
      <c r="AR2467" s="1034"/>
      <c r="AS2467" s="1035"/>
      <c r="AT2467" s="1035"/>
      <c r="AU2467" s="1035"/>
      <c r="AV2467" s="1038"/>
      <c r="AW2467" s="1050"/>
      <c r="AX2467" s="1051"/>
      <c r="AY2467" s="1036"/>
      <c r="AZ2467" s="1035"/>
      <c r="BA2467" s="1035"/>
      <c r="BB2467" s="1052"/>
      <c r="BC2467" s="1053"/>
      <c r="BD2467" s="1049"/>
      <c r="BE2467" s="1054"/>
      <c r="BF2467" s="1055"/>
      <c r="BG2467" s="1055"/>
      <c r="BH2467" s="1055"/>
      <c r="BI2467" s="1055"/>
      <c r="BJ2467" s="1055"/>
      <c r="BK2467" s="1055"/>
      <c r="BL2467" s="1055"/>
      <c r="BM2467" s="1055"/>
      <c r="BN2467" s="1055"/>
      <c r="BO2467" s="1056"/>
      <c r="BP2467" s="1056"/>
      <c r="BQ2467" s="1056"/>
      <c r="BR2467" s="1056"/>
      <c r="BS2467" s="1056"/>
      <c r="BT2467" s="1056"/>
      <c r="BU2467" s="1056"/>
      <c r="BV2467" s="1057"/>
      <c r="BW2467" s="1057"/>
      <c r="BX2467" s="1148"/>
      <c r="BY2467" s="1057"/>
      <c r="BZ2467" s="1057"/>
      <c r="CA2467" s="1057"/>
      <c r="CB2467" s="1032"/>
    </row>
    <row r="2468" spans="2:80">
      <c r="B2468" s="1033" t="s">
        <v>7981</v>
      </c>
      <c r="C2468" s="839" t="s">
        <v>7454</v>
      </c>
      <c r="D2468" s="1033"/>
      <c r="E2468" s="1033" t="s">
        <v>7982</v>
      </c>
      <c r="F2468" s="1034">
        <v>46192</v>
      </c>
      <c r="G2468" s="1033" t="s">
        <v>7454</v>
      </c>
      <c r="H2468" s="1063" t="s">
        <v>3457</v>
      </c>
      <c r="I2468" s="1063"/>
      <c r="J2468" s="1034"/>
      <c r="K2468" s="1034"/>
      <c r="L2468" s="1036" t="s">
        <v>106</v>
      </c>
      <c r="M2468" s="1037" t="s">
        <v>107</v>
      </c>
      <c r="N2468" s="1034"/>
      <c r="O2468" s="1064"/>
      <c r="P2468" s="1035"/>
      <c r="Q2468" s="1036"/>
      <c r="R2468" s="1038" t="s">
        <v>8094</v>
      </c>
      <c r="S2468" s="1131" t="s">
        <v>8095</v>
      </c>
      <c r="T2468" s="1036" t="s">
        <v>8096</v>
      </c>
      <c r="U2468" s="1066">
        <v>4</v>
      </c>
      <c r="V2468" s="1035" t="s">
        <v>3</v>
      </c>
      <c r="W2468" s="1039">
        <v>29</v>
      </c>
      <c r="X2468" s="1040">
        <f t="shared" si="508"/>
        <v>116</v>
      </c>
      <c r="Y2468" s="1045" t="s">
        <v>7980</v>
      </c>
      <c r="Z2468" s="1041">
        <v>20.18</v>
      </c>
      <c r="AA2468" s="1041"/>
      <c r="AB2468" s="1041">
        <f t="shared" si="514"/>
        <v>80.72</v>
      </c>
      <c r="AC2468" s="1042">
        <f t="shared" si="515"/>
        <v>80.72</v>
      </c>
      <c r="AD2468" s="1043">
        <v>32000</v>
      </c>
      <c r="AE2468" s="1044"/>
      <c r="AF2468" s="1045"/>
      <c r="AG2468" s="1046"/>
      <c r="AH2468" s="1045"/>
      <c r="AI2468" s="1047"/>
      <c r="AJ2468" s="1038"/>
      <c r="AK2468" s="1048"/>
      <c r="AL2468" s="1036"/>
      <c r="AM2468" s="1036"/>
      <c r="AN2468" s="1037"/>
      <c r="AO2468" s="1037"/>
      <c r="AP2468" s="1034"/>
      <c r="AQ2468" s="1035"/>
      <c r="AR2468" s="1034"/>
      <c r="AS2468" s="1035"/>
      <c r="AT2468" s="1035"/>
      <c r="AU2468" s="1035"/>
      <c r="AV2468" s="1038"/>
      <c r="AW2468" s="1050"/>
      <c r="AX2468" s="1051"/>
      <c r="AY2468" s="1036"/>
      <c r="AZ2468" s="1035"/>
      <c r="BA2468" s="1035"/>
      <c r="BB2468" s="1052"/>
      <c r="BC2468" s="1053"/>
      <c r="BD2468" s="1049"/>
      <c r="BE2468" s="1054"/>
      <c r="BF2468" s="1055"/>
      <c r="BG2468" s="1055"/>
      <c r="BH2468" s="1055"/>
      <c r="BI2468" s="1055"/>
      <c r="BJ2468" s="1055"/>
      <c r="BK2468" s="1055"/>
      <c r="BL2468" s="1055"/>
      <c r="BM2468" s="1055"/>
      <c r="BN2468" s="1055"/>
      <c r="BO2468" s="1056"/>
      <c r="BP2468" s="1056"/>
      <c r="BQ2468" s="1056"/>
      <c r="BR2468" s="1056"/>
      <c r="BS2468" s="1056"/>
      <c r="BT2468" s="1056"/>
      <c r="BU2468" s="1056"/>
      <c r="BV2468" s="1057"/>
      <c r="BW2468" s="1057"/>
      <c r="BX2468" s="1148"/>
      <c r="BY2468" s="1057"/>
      <c r="BZ2468" s="1057"/>
      <c r="CA2468" s="1057"/>
      <c r="CB2468" s="1032"/>
    </row>
    <row r="2469" spans="2:80">
      <c r="B2469" s="1033" t="s">
        <v>7981</v>
      </c>
      <c r="C2469" s="839" t="s">
        <v>7454</v>
      </c>
      <c r="D2469" s="1033"/>
      <c r="E2469" s="1033" t="s">
        <v>7982</v>
      </c>
      <c r="F2469" s="1034">
        <v>46192</v>
      </c>
      <c r="G2469" s="1033" t="s">
        <v>7454</v>
      </c>
      <c r="H2469" s="1063" t="s">
        <v>3457</v>
      </c>
      <c r="I2469" s="1063"/>
      <c r="J2469" s="1034"/>
      <c r="K2469" s="1034"/>
      <c r="L2469" s="1036" t="s">
        <v>106</v>
      </c>
      <c r="M2469" s="1037" t="s">
        <v>107</v>
      </c>
      <c r="N2469" s="1034"/>
      <c r="O2469" s="1064"/>
      <c r="P2469" s="1035"/>
      <c r="Q2469" s="1036"/>
      <c r="R2469" s="1038" t="s">
        <v>8097</v>
      </c>
      <c r="S2469" s="1131" t="s">
        <v>8098</v>
      </c>
      <c r="T2469" s="1036" t="s">
        <v>8099</v>
      </c>
      <c r="U2469" s="1066">
        <v>4</v>
      </c>
      <c r="V2469" s="1035" t="s">
        <v>3</v>
      </c>
      <c r="W2469" s="1039">
        <v>24</v>
      </c>
      <c r="X2469" s="1040">
        <f t="shared" si="508"/>
        <v>96</v>
      </c>
      <c r="Y2469" s="1045" t="s">
        <v>7980</v>
      </c>
      <c r="Z2469" s="1041">
        <v>16.7</v>
      </c>
      <c r="AA2469" s="1041"/>
      <c r="AB2469" s="1041">
        <f t="shared" si="514"/>
        <v>66.8</v>
      </c>
      <c r="AC2469" s="1042">
        <f t="shared" si="515"/>
        <v>66.8</v>
      </c>
      <c r="AD2469" s="1043">
        <v>32000</v>
      </c>
      <c r="AE2469" s="1044"/>
      <c r="AF2469" s="1045"/>
      <c r="AG2469" s="1046"/>
      <c r="AH2469" s="1045"/>
      <c r="AI2469" s="1047"/>
      <c r="AJ2469" s="1038"/>
      <c r="AK2469" s="1048"/>
      <c r="AL2469" s="1036"/>
      <c r="AM2469" s="1036"/>
      <c r="AN2469" s="1037"/>
      <c r="AO2469" s="1037"/>
      <c r="AP2469" s="1034"/>
      <c r="AQ2469" s="1035"/>
      <c r="AR2469" s="1034"/>
      <c r="AS2469" s="1035"/>
      <c r="AT2469" s="1035"/>
      <c r="AU2469" s="1035"/>
      <c r="AV2469" s="1038"/>
      <c r="AW2469" s="1050"/>
      <c r="AX2469" s="1051"/>
      <c r="AY2469" s="1036"/>
      <c r="AZ2469" s="1035"/>
      <c r="BA2469" s="1035"/>
      <c r="BB2469" s="1052"/>
      <c r="BC2469" s="1053"/>
      <c r="BD2469" s="1049"/>
      <c r="BE2469" s="1054"/>
      <c r="BF2469" s="1055"/>
      <c r="BG2469" s="1055"/>
      <c r="BH2469" s="1055"/>
      <c r="BI2469" s="1055"/>
      <c r="BJ2469" s="1055"/>
      <c r="BK2469" s="1055"/>
      <c r="BL2469" s="1055"/>
      <c r="BM2469" s="1055"/>
      <c r="BN2469" s="1055"/>
      <c r="BO2469" s="1056"/>
      <c r="BP2469" s="1056"/>
      <c r="BQ2469" s="1056"/>
      <c r="BR2469" s="1056"/>
      <c r="BS2469" s="1056"/>
      <c r="BT2469" s="1056"/>
      <c r="BU2469" s="1056"/>
      <c r="BV2469" s="1057"/>
      <c r="BW2469" s="1057"/>
      <c r="BX2469" s="1148"/>
      <c r="BY2469" s="1057"/>
      <c r="BZ2469" s="1057"/>
      <c r="CA2469" s="1057"/>
      <c r="CB2469" s="1032"/>
    </row>
    <row r="2470" spans="2:80">
      <c r="B2470" s="1033" t="s">
        <v>7981</v>
      </c>
      <c r="C2470" s="839" t="s">
        <v>7454</v>
      </c>
      <c r="D2470" s="1033"/>
      <c r="E2470" s="1033" t="s">
        <v>7982</v>
      </c>
      <c r="F2470" s="1034">
        <v>46192</v>
      </c>
      <c r="G2470" s="1033" t="s">
        <v>7454</v>
      </c>
      <c r="H2470" s="1063" t="s">
        <v>3457</v>
      </c>
      <c r="I2470" s="1063"/>
      <c r="J2470" s="1034"/>
      <c r="K2470" s="1034"/>
      <c r="L2470" s="1036" t="s">
        <v>106</v>
      </c>
      <c r="M2470" s="1037" t="s">
        <v>107</v>
      </c>
      <c r="N2470" s="1034"/>
      <c r="O2470" s="1064"/>
      <c r="P2470" s="1035"/>
      <c r="Q2470" s="1036"/>
      <c r="R2470" s="1038" t="s">
        <v>8100</v>
      </c>
      <c r="S2470" s="1131" t="s">
        <v>8101</v>
      </c>
      <c r="T2470" s="1036" t="s">
        <v>8102</v>
      </c>
      <c r="U2470" s="1066">
        <v>10</v>
      </c>
      <c r="V2470" s="1035" t="s">
        <v>3</v>
      </c>
      <c r="W2470" s="1039">
        <v>69</v>
      </c>
      <c r="X2470" s="1040">
        <f t="shared" si="508"/>
        <v>690</v>
      </c>
      <c r="Y2470" s="1045" t="s">
        <v>7980</v>
      </c>
      <c r="Z2470" s="1041">
        <v>48.02</v>
      </c>
      <c r="AA2470" s="1041"/>
      <c r="AB2470" s="1041">
        <f t="shared" si="514"/>
        <v>480.20000000000005</v>
      </c>
      <c r="AC2470" s="1042">
        <f t="shared" si="515"/>
        <v>480.20000000000005</v>
      </c>
      <c r="AD2470" s="1043">
        <v>32000</v>
      </c>
      <c r="AE2470" s="1044"/>
      <c r="AF2470" s="1045"/>
      <c r="AG2470" s="1046"/>
      <c r="AH2470" s="1045"/>
      <c r="AI2470" s="1047"/>
      <c r="AJ2470" s="1038"/>
      <c r="AK2470" s="1048"/>
      <c r="AL2470" s="1036"/>
      <c r="AM2470" s="1036"/>
      <c r="AN2470" s="1037"/>
      <c r="AO2470" s="1037"/>
      <c r="AP2470" s="1034"/>
      <c r="AQ2470" s="1035"/>
      <c r="AR2470" s="1034"/>
      <c r="AS2470" s="1035"/>
      <c r="AT2470" s="1035"/>
      <c r="AU2470" s="1035"/>
      <c r="AV2470" s="1038"/>
      <c r="AW2470" s="1050"/>
      <c r="AX2470" s="1051"/>
      <c r="AY2470" s="1036"/>
      <c r="AZ2470" s="1035"/>
      <c r="BA2470" s="1035"/>
      <c r="BB2470" s="1052"/>
      <c r="BC2470" s="1053"/>
      <c r="BD2470" s="1049"/>
      <c r="BE2470" s="1054"/>
      <c r="BF2470" s="1055"/>
      <c r="BG2470" s="1055"/>
      <c r="BH2470" s="1055"/>
      <c r="BI2470" s="1055"/>
      <c r="BJ2470" s="1055"/>
      <c r="BK2470" s="1055"/>
      <c r="BL2470" s="1055"/>
      <c r="BM2470" s="1055"/>
      <c r="BN2470" s="1055"/>
      <c r="BO2470" s="1056"/>
      <c r="BP2470" s="1056"/>
      <c r="BQ2470" s="1056"/>
      <c r="BR2470" s="1056"/>
      <c r="BS2470" s="1056"/>
      <c r="BT2470" s="1056"/>
      <c r="BU2470" s="1056"/>
      <c r="BV2470" s="1057"/>
      <c r="BW2470" s="1057"/>
      <c r="BX2470" s="1148"/>
      <c r="BY2470" s="1057"/>
      <c r="BZ2470" s="1057"/>
      <c r="CA2470" s="1057"/>
      <c r="CB2470" s="1032"/>
    </row>
    <row r="2471" spans="2:80">
      <c r="B2471" s="1033" t="s">
        <v>7981</v>
      </c>
      <c r="C2471" s="839" t="s">
        <v>7454</v>
      </c>
      <c r="D2471" s="1033"/>
      <c r="E2471" s="1033" t="s">
        <v>7982</v>
      </c>
      <c r="F2471" s="1034">
        <v>46192</v>
      </c>
      <c r="G2471" s="1033" t="s">
        <v>7454</v>
      </c>
      <c r="H2471" s="1063" t="s">
        <v>3457</v>
      </c>
      <c r="I2471" s="1063"/>
      <c r="J2471" s="1034"/>
      <c r="K2471" s="1034"/>
      <c r="L2471" s="1036" t="s">
        <v>106</v>
      </c>
      <c r="M2471" s="1037" t="s">
        <v>107</v>
      </c>
      <c r="N2471" s="1034"/>
      <c r="O2471" s="1064"/>
      <c r="P2471" s="1035"/>
      <c r="Q2471" s="1036"/>
      <c r="R2471" s="1038" t="s">
        <v>8103</v>
      </c>
      <c r="S2471" s="1131" t="s">
        <v>8104</v>
      </c>
      <c r="T2471" s="1036" t="s">
        <v>8105</v>
      </c>
      <c r="U2471" s="1066">
        <v>1</v>
      </c>
      <c r="V2471" s="1035" t="s">
        <v>3</v>
      </c>
      <c r="W2471" s="1039">
        <v>85</v>
      </c>
      <c r="X2471" s="1040">
        <f t="shared" si="508"/>
        <v>85</v>
      </c>
      <c r="Y2471" s="1045" t="s">
        <v>7980</v>
      </c>
      <c r="Z2471" s="1041">
        <v>59.16</v>
      </c>
      <c r="AA2471" s="1041"/>
      <c r="AB2471" s="1041">
        <f t="shared" si="514"/>
        <v>59.16</v>
      </c>
      <c r="AC2471" s="1042">
        <f t="shared" si="515"/>
        <v>59.16</v>
      </c>
      <c r="AD2471" s="1043">
        <v>32000</v>
      </c>
      <c r="AE2471" s="1044"/>
      <c r="AF2471" s="1045"/>
      <c r="AG2471" s="1046"/>
      <c r="AH2471" s="1045"/>
      <c r="AI2471" s="1047"/>
      <c r="AJ2471" s="1038"/>
      <c r="AK2471" s="1048"/>
      <c r="AL2471" s="1036"/>
      <c r="AM2471" s="1036"/>
      <c r="AN2471" s="1037"/>
      <c r="AO2471" s="1037"/>
      <c r="AP2471" s="1034"/>
      <c r="AQ2471" s="1035"/>
      <c r="AR2471" s="1034"/>
      <c r="AS2471" s="1035"/>
      <c r="AT2471" s="1035"/>
      <c r="AU2471" s="1035"/>
      <c r="AV2471" s="1038"/>
      <c r="AW2471" s="1050"/>
      <c r="AX2471" s="1051"/>
      <c r="AY2471" s="1036"/>
      <c r="AZ2471" s="1035"/>
      <c r="BA2471" s="1035"/>
      <c r="BB2471" s="1052"/>
      <c r="BC2471" s="1053"/>
      <c r="BD2471" s="1049"/>
      <c r="BE2471" s="1054"/>
      <c r="BF2471" s="1055"/>
      <c r="BG2471" s="1055"/>
      <c r="BH2471" s="1055"/>
      <c r="BI2471" s="1055"/>
      <c r="BJ2471" s="1055"/>
      <c r="BK2471" s="1055"/>
      <c r="BL2471" s="1055"/>
      <c r="BM2471" s="1055"/>
      <c r="BN2471" s="1055"/>
      <c r="BO2471" s="1056"/>
      <c r="BP2471" s="1056"/>
      <c r="BQ2471" s="1056"/>
      <c r="BR2471" s="1056"/>
      <c r="BS2471" s="1056"/>
      <c r="BT2471" s="1056"/>
      <c r="BU2471" s="1056"/>
      <c r="BV2471" s="1057"/>
      <c r="BW2471" s="1057"/>
      <c r="BX2471" s="1148"/>
      <c r="BY2471" s="1057"/>
      <c r="BZ2471" s="1057"/>
      <c r="CA2471" s="1057"/>
      <c r="CB2471" s="1032"/>
    </row>
    <row r="2472" spans="2:80">
      <c r="B2472" s="1033" t="s">
        <v>7981</v>
      </c>
      <c r="C2472" s="839" t="s">
        <v>7454</v>
      </c>
      <c r="D2472" s="1033"/>
      <c r="E2472" s="1033" t="s">
        <v>7982</v>
      </c>
      <c r="F2472" s="1034">
        <v>46192</v>
      </c>
      <c r="G2472" s="1033" t="s">
        <v>7454</v>
      </c>
      <c r="H2472" s="1063" t="s">
        <v>3457</v>
      </c>
      <c r="I2472" s="1063"/>
      <c r="J2472" s="1034"/>
      <c r="K2472" s="1034"/>
      <c r="L2472" s="1036" t="s">
        <v>106</v>
      </c>
      <c r="M2472" s="1037" t="s">
        <v>107</v>
      </c>
      <c r="N2472" s="1034"/>
      <c r="O2472" s="1064"/>
      <c r="P2472" s="1035"/>
      <c r="Q2472" s="1036"/>
      <c r="R2472" s="1038" t="s">
        <v>8106</v>
      </c>
      <c r="S2472" s="1131" t="s">
        <v>8107</v>
      </c>
      <c r="T2472" s="1036" t="s">
        <v>8108</v>
      </c>
      <c r="U2472" s="1066">
        <v>1</v>
      </c>
      <c r="V2472" s="1035" t="s">
        <v>3</v>
      </c>
      <c r="W2472" s="1039">
        <v>117</v>
      </c>
      <c r="X2472" s="1040">
        <f t="shared" si="508"/>
        <v>117</v>
      </c>
      <c r="Y2472" s="1045" t="s">
        <v>7980</v>
      </c>
      <c r="Z2472" s="1041">
        <v>81.430000000000007</v>
      </c>
      <c r="AA2472" s="1041"/>
      <c r="AB2472" s="1041">
        <f t="shared" si="514"/>
        <v>81.430000000000007</v>
      </c>
      <c r="AC2472" s="1042">
        <f t="shared" si="515"/>
        <v>81.430000000000007</v>
      </c>
      <c r="AD2472" s="1043">
        <v>32000</v>
      </c>
      <c r="AE2472" s="1044"/>
      <c r="AF2472" s="1045"/>
      <c r="AG2472" s="1046"/>
      <c r="AH2472" s="1045"/>
      <c r="AI2472" s="1047"/>
      <c r="AJ2472" s="1038"/>
      <c r="AK2472" s="1048"/>
      <c r="AL2472" s="1036"/>
      <c r="AM2472" s="1036"/>
      <c r="AN2472" s="1037"/>
      <c r="AO2472" s="1037"/>
      <c r="AP2472" s="1034"/>
      <c r="AQ2472" s="1035"/>
      <c r="AR2472" s="1034"/>
      <c r="AS2472" s="1035"/>
      <c r="AT2472" s="1035"/>
      <c r="AU2472" s="1035"/>
      <c r="AV2472" s="1038"/>
      <c r="AW2472" s="1050"/>
      <c r="AX2472" s="1051"/>
      <c r="AY2472" s="1036"/>
      <c r="AZ2472" s="1035"/>
      <c r="BA2472" s="1035"/>
      <c r="BB2472" s="1052"/>
      <c r="BC2472" s="1053"/>
      <c r="BD2472" s="1049"/>
      <c r="BE2472" s="1054"/>
      <c r="BF2472" s="1055"/>
      <c r="BG2472" s="1055"/>
      <c r="BH2472" s="1055"/>
      <c r="BI2472" s="1055"/>
      <c r="BJ2472" s="1055"/>
      <c r="BK2472" s="1055"/>
      <c r="BL2472" s="1055"/>
      <c r="BM2472" s="1055"/>
      <c r="BN2472" s="1055"/>
      <c r="BO2472" s="1056"/>
      <c r="BP2472" s="1056"/>
      <c r="BQ2472" s="1056"/>
      <c r="BR2472" s="1056"/>
      <c r="BS2472" s="1056"/>
      <c r="BT2472" s="1056"/>
      <c r="BU2472" s="1056"/>
      <c r="BV2472" s="1057"/>
      <c r="BW2472" s="1057"/>
      <c r="BX2472" s="1148"/>
      <c r="BY2472" s="1057"/>
      <c r="BZ2472" s="1057"/>
      <c r="CA2472" s="1057"/>
      <c r="CB2472" s="1032"/>
    </row>
    <row r="2473" spans="2:80">
      <c r="B2473" s="1033" t="s">
        <v>7981</v>
      </c>
      <c r="C2473" s="839" t="s">
        <v>7454</v>
      </c>
      <c r="D2473" s="1033"/>
      <c r="E2473" s="1033" t="s">
        <v>7982</v>
      </c>
      <c r="F2473" s="1034">
        <v>46192</v>
      </c>
      <c r="G2473" s="1033" t="s">
        <v>7454</v>
      </c>
      <c r="H2473" s="1063" t="s">
        <v>3457</v>
      </c>
      <c r="I2473" s="1063"/>
      <c r="J2473" s="1034"/>
      <c r="K2473" s="1034"/>
      <c r="L2473" s="1036" t="s">
        <v>106</v>
      </c>
      <c r="M2473" s="1037" t="s">
        <v>107</v>
      </c>
      <c r="N2473" s="1034"/>
      <c r="O2473" s="1064"/>
      <c r="P2473" s="1035"/>
      <c r="Q2473" s="1036"/>
      <c r="R2473" s="1038" t="s">
        <v>8109</v>
      </c>
      <c r="S2473" s="1131" t="s">
        <v>8110</v>
      </c>
      <c r="T2473" s="1036" t="s">
        <v>8111</v>
      </c>
      <c r="U2473" s="1066">
        <v>1</v>
      </c>
      <c r="V2473" s="1035" t="s">
        <v>3</v>
      </c>
      <c r="W2473" s="1039">
        <v>125</v>
      </c>
      <c r="X2473" s="1040">
        <f t="shared" si="508"/>
        <v>125</v>
      </c>
      <c r="Y2473" s="1045" t="s">
        <v>7980</v>
      </c>
      <c r="Z2473" s="1041">
        <v>87</v>
      </c>
      <c r="AA2473" s="1041"/>
      <c r="AB2473" s="1041">
        <f t="shared" si="514"/>
        <v>87</v>
      </c>
      <c r="AC2473" s="1042">
        <f t="shared" si="515"/>
        <v>87</v>
      </c>
      <c r="AD2473" s="1043">
        <v>32000</v>
      </c>
      <c r="AE2473" s="1044"/>
      <c r="AF2473" s="1045"/>
      <c r="AG2473" s="1046"/>
      <c r="AH2473" s="1045"/>
      <c r="AI2473" s="1047"/>
      <c r="AJ2473" s="1038"/>
      <c r="AK2473" s="1048"/>
      <c r="AL2473" s="1036"/>
      <c r="AM2473" s="1036"/>
      <c r="AN2473" s="1037"/>
      <c r="AO2473" s="1037"/>
      <c r="AP2473" s="1034"/>
      <c r="AQ2473" s="1035"/>
      <c r="AR2473" s="1034"/>
      <c r="AS2473" s="1035"/>
      <c r="AT2473" s="1035"/>
      <c r="AU2473" s="1035"/>
      <c r="AV2473" s="1038"/>
      <c r="AW2473" s="1050"/>
      <c r="AX2473" s="1051"/>
      <c r="AY2473" s="1036"/>
      <c r="AZ2473" s="1035"/>
      <c r="BA2473" s="1035"/>
      <c r="BB2473" s="1052"/>
      <c r="BC2473" s="1053"/>
      <c r="BD2473" s="1049"/>
      <c r="BE2473" s="1054"/>
      <c r="BF2473" s="1055"/>
      <c r="BG2473" s="1055"/>
      <c r="BH2473" s="1055"/>
      <c r="BI2473" s="1055"/>
      <c r="BJ2473" s="1055"/>
      <c r="BK2473" s="1055"/>
      <c r="BL2473" s="1055"/>
      <c r="BM2473" s="1055"/>
      <c r="BN2473" s="1055"/>
      <c r="BO2473" s="1056"/>
      <c r="BP2473" s="1056"/>
      <c r="BQ2473" s="1056"/>
      <c r="BR2473" s="1056"/>
      <c r="BS2473" s="1056"/>
      <c r="BT2473" s="1056"/>
      <c r="BU2473" s="1056"/>
      <c r="BV2473" s="1057"/>
      <c r="BW2473" s="1057"/>
      <c r="BX2473" s="1148"/>
      <c r="BY2473" s="1057"/>
      <c r="BZ2473" s="1057"/>
      <c r="CA2473" s="1057"/>
      <c r="CB2473" s="1032"/>
    </row>
    <row r="2474" spans="2:80">
      <c r="B2474" s="1033" t="s">
        <v>7981</v>
      </c>
      <c r="C2474" s="839" t="s">
        <v>7454</v>
      </c>
      <c r="D2474" s="1033"/>
      <c r="E2474" s="1033" t="s">
        <v>7982</v>
      </c>
      <c r="F2474" s="1034">
        <v>46192</v>
      </c>
      <c r="G2474" s="1033" t="s">
        <v>7454</v>
      </c>
      <c r="H2474" s="1063" t="s">
        <v>3457</v>
      </c>
      <c r="I2474" s="1063"/>
      <c r="J2474" s="1034"/>
      <c r="K2474" s="1034"/>
      <c r="L2474" s="1036" t="s">
        <v>106</v>
      </c>
      <c r="M2474" s="1037" t="s">
        <v>107</v>
      </c>
      <c r="N2474" s="1034"/>
      <c r="O2474" s="1064"/>
      <c r="P2474" s="1035"/>
      <c r="Q2474" s="1036"/>
      <c r="R2474" s="1038" t="s">
        <v>8112</v>
      </c>
      <c r="S2474" s="1131" t="s">
        <v>8113</v>
      </c>
      <c r="T2474" s="1036" t="s">
        <v>8114</v>
      </c>
      <c r="U2474" s="1066">
        <v>1</v>
      </c>
      <c r="V2474" s="1035" t="s">
        <v>3</v>
      </c>
      <c r="W2474" s="1039">
        <v>344</v>
      </c>
      <c r="X2474" s="1040">
        <f t="shared" si="508"/>
        <v>344</v>
      </c>
      <c r="Y2474" s="1045" t="s">
        <v>7980</v>
      </c>
      <c r="Z2474" s="1041">
        <v>239.42</v>
      </c>
      <c r="AA2474" s="1041"/>
      <c r="AB2474" s="1041">
        <f t="shared" si="514"/>
        <v>239.42</v>
      </c>
      <c r="AC2474" s="1042">
        <f t="shared" si="515"/>
        <v>239.42</v>
      </c>
      <c r="AD2474" s="1043">
        <v>32000</v>
      </c>
      <c r="AE2474" s="1044"/>
      <c r="AF2474" s="1045"/>
      <c r="AG2474" s="1046"/>
      <c r="AH2474" s="1045"/>
      <c r="AI2474" s="1047"/>
      <c r="AJ2474" s="1038"/>
      <c r="AK2474" s="1048"/>
      <c r="AL2474" s="1036"/>
      <c r="AM2474" s="1036"/>
      <c r="AN2474" s="1037"/>
      <c r="AO2474" s="1037"/>
      <c r="AP2474" s="1034"/>
      <c r="AQ2474" s="1035"/>
      <c r="AR2474" s="1034"/>
      <c r="AS2474" s="1035"/>
      <c r="AT2474" s="1035"/>
      <c r="AU2474" s="1035"/>
      <c r="AV2474" s="1038"/>
      <c r="AW2474" s="1050"/>
      <c r="AX2474" s="1051"/>
      <c r="AY2474" s="1036"/>
      <c r="AZ2474" s="1035"/>
      <c r="BA2474" s="1035"/>
      <c r="BB2474" s="1052"/>
      <c r="BC2474" s="1053"/>
      <c r="BD2474" s="1049"/>
      <c r="BE2474" s="1054"/>
      <c r="BF2474" s="1055"/>
      <c r="BG2474" s="1055"/>
      <c r="BH2474" s="1055"/>
      <c r="BI2474" s="1055"/>
      <c r="BJ2474" s="1055"/>
      <c r="BK2474" s="1055"/>
      <c r="BL2474" s="1055"/>
      <c r="BM2474" s="1055"/>
      <c r="BN2474" s="1055"/>
      <c r="BO2474" s="1056"/>
      <c r="BP2474" s="1056"/>
      <c r="BQ2474" s="1056"/>
      <c r="BR2474" s="1056"/>
      <c r="BS2474" s="1056"/>
      <c r="BT2474" s="1056"/>
      <c r="BU2474" s="1056"/>
      <c r="BV2474" s="1057"/>
      <c r="BW2474" s="1057"/>
      <c r="BX2474" s="1148"/>
      <c r="BY2474" s="1057"/>
      <c r="BZ2474" s="1057"/>
      <c r="CA2474" s="1057"/>
      <c r="CB2474" s="1032"/>
    </row>
    <row r="2475" spans="2:80">
      <c r="B2475" s="1033" t="s">
        <v>7981</v>
      </c>
      <c r="C2475" s="839" t="s">
        <v>7454</v>
      </c>
      <c r="D2475" s="1033"/>
      <c r="E2475" s="1033" t="s">
        <v>7982</v>
      </c>
      <c r="F2475" s="1034">
        <v>46192</v>
      </c>
      <c r="G2475" s="1033" t="s">
        <v>7454</v>
      </c>
      <c r="H2475" s="1063" t="s">
        <v>3457</v>
      </c>
      <c r="I2475" s="1063"/>
      <c r="J2475" s="1034"/>
      <c r="K2475" s="1034"/>
      <c r="L2475" s="1036" t="s">
        <v>106</v>
      </c>
      <c r="M2475" s="1037" t="s">
        <v>107</v>
      </c>
      <c r="N2475" s="1034"/>
      <c r="O2475" s="1064"/>
      <c r="P2475" s="1035"/>
      <c r="Q2475" s="1036"/>
      <c r="R2475" s="1038" t="s">
        <v>8115</v>
      </c>
      <c r="S2475" s="1131" t="s">
        <v>8116</v>
      </c>
      <c r="T2475" s="1036" t="s">
        <v>8117</v>
      </c>
      <c r="U2475" s="1066">
        <v>20</v>
      </c>
      <c r="V2475" s="1035" t="s">
        <v>3</v>
      </c>
      <c r="W2475" s="1039">
        <v>15</v>
      </c>
      <c r="X2475" s="1040">
        <f t="shared" si="508"/>
        <v>300</v>
      </c>
      <c r="Y2475" s="1045" t="s">
        <v>7980</v>
      </c>
      <c r="Z2475" s="1041">
        <v>10.44</v>
      </c>
      <c r="AA2475" s="1041"/>
      <c r="AB2475" s="1041">
        <f t="shared" si="514"/>
        <v>208.79999999999998</v>
      </c>
      <c r="AC2475" s="1042">
        <f t="shared" si="515"/>
        <v>208.79999999999998</v>
      </c>
      <c r="AD2475" s="1043">
        <v>32000</v>
      </c>
      <c r="AE2475" s="1044"/>
      <c r="AF2475" s="1045"/>
      <c r="AG2475" s="1046"/>
      <c r="AH2475" s="1045"/>
      <c r="AI2475" s="1047"/>
      <c r="AJ2475" s="1038"/>
      <c r="AK2475" s="1048"/>
      <c r="AL2475" s="1036"/>
      <c r="AM2475" s="1036"/>
      <c r="AN2475" s="1037"/>
      <c r="AO2475" s="1037"/>
      <c r="AP2475" s="1034"/>
      <c r="AQ2475" s="1035"/>
      <c r="AR2475" s="1034"/>
      <c r="AS2475" s="1035"/>
      <c r="AT2475" s="1035"/>
      <c r="AU2475" s="1035"/>
      <c r="AV2475" s="1038"/>
      <c r="AW2475" s="1050"/>
      <c r="AX2475" s="1051"/>
      <c r="AY2475" s="1036"/>
      <c r="AZ2475" s="1035"/>
      <c r="BA2475" s="1035"/>
      <c r="BB2475" s="1052"/>
      <c r="BC2475" s="1053"/>
      <c r="BD2475" s="1049"/>
      <c r="BE2475" s="1054"/>
      <c r="BF2475" s="1055"/>
      <c r="BG2475" s="1055"/>
      <c r="BH2475" s="1055"/>
      <c r="BI2475" s="1055"/>
      <c r="BJ2475" s="1055"/>
      <c r="BK2475" s="1055"/>
      <c r="BL2475" s="1055"/>
      <c r="BM2475" s="1055"/>
      <c r="BN2475" s="1055"/>
      <c r="BO2475" s="1056"/>
      <c r="BP2475" s="1056"/>
      <c r="BQ2475" s="1056"/>
      <c r="BR2475" s="1056"/>
      <c r="BS2475" s="1056"/>
      <c r="BT2475" s="1056"/>
      <c r="BU2475" s="1056"/>
      <c r="BV2475" s="1057"/>
      <c r="BW2475" s="1057"/>
      <c r="BX2475" s="1148"/>
      <c r="BY2475" s="1057"/>
      <c r="BZ2475" s="1057"/>
      <c r="CA2475" s="1057"/>
      <c r="CB2475" s="1032"/>
    </row>
    <row r="2476" spans="2:80">
      <c r="B2476" s="1033" t="s">
        <v>7981</v>
      </c>
      <c r="C2476" s="839" t="s">
        <v>7454</v>
      </c>
      <c r="D2476" s="1033"/>
      <c r="E2476" s="1033" t="s">
        <v>7982</v>
      </c>
      <c r="F2476" s="1034">
        <v>46192</v>
      </c>
      <c r="G2476" s="1033" t="s">
        <v>7454</v>
      </c>
      <c r="H2476" s="1063" t="s">
        <v>3457</v>
      </c>
      <c r="I2476" s="1063"/>
      <c r="J2476" s="1034"/>
      <c r="K2476" s="1034"/>
      <c r="L2476" s="1036" t="s">
        <v>106</v>
      </c>
      <c r="M2476" s="1037" t="s">
        <v>107</v>
      </c>
      <c r="N2476" s="1034"/>
      <c r="O2476" s="1064"/>
      <c r="P2476" s="1035"/>
      <c r="Q2476" s="1036"/>
      <c r="R2476" s="1038" t="s">
        <v>8118</v>
      </c>
      <c r="S2476" s="1131" t="s">
        <v>8119</v>
      </c>
      <c r="T2476" s="1036" t="s">
        <v>8120</v>
      </c>
      <c r="U2476" s="1066">
        <v>2</v>
      </c>
      <c r="V2476" s="1035" t="s">
        <v>3</v>
      </c>
      <c r="W2476" s="1039">
        <v>59</v>
      </c>
      <c r="X2476" s="1040">
        <f t="shared" si="508"/>
        <v>118</v>
      </c>
      <c r="Y2476" s="1045" t="s">
        <v>7980</v>
      </c>
      <c r="Z2476" s="1041">
        <v>41.06</v>
      </c>
      <c r="AA2476" s="1041"/>
      <c r="AB2476" s="1041">
        <f t="shared" si="514"/>
        <v>82.12</v>
      </c>
      <c r="AC2476" s="1042">
        <f t="shared" si="515"/>
        <v>82.12</v>
      </c>
      <c r="AD2476" s="1043">
        <v>32000</v>
      </c>
      <c r="AE2476" s="1044"/>
      <c r="AF2476" s="1045"/>
      <c r="AG2476" s="1046"/>
      <c r="AH2476" s="1045"/>
      <c r="AI2476" s="1047"/>
      <c r="AJ2476" s="1038"/>
      <c r="AK2476" s="1048"/>
      <c r="AL2476" s="1036"/>
      <c r="AM2476" s="1036"/>
      <c r="AN2476" s="1037"/>
      <c r="AO2476" s="1037"/>
      <c r="AP2476" s="1034"/>
      <c r="AQ2476" s="1035"/>
      <c r="AR2476" s="1034"/>
      <c r="AS2476" s="1035"/>
      <c r="AT2476" s="1035"/>
      <c r="AU2476" s="1035"/>
      <c r="AV2476" s="1038"/>
      <c r="AW2476" s="1050"/>
      <c r="AX2476" s="1051"/>
      <c r="AY2476" s="1036"/>
      <c r="AZ2476" s="1035"/>
      <c r="BA2476" s="1035"/>
      <c r="BB2476" s="1052"/>
      <c r="BC2476" s="1053"/>
      <c r="BD2476" s="1049"/>
      <c r="BE2476" s="1054"/>
      <c r="BF2476" s="1055"/>
      <c r="BG2476" s="1055"/>
      <c r="BH2476" s="1055"/>
      <c r="BI2476" s="1055"/>
      <c r="BJ2476" s="1055"/>
      <c r="BK2476" s="1055"/>
      <c r="BL2476" s="1055"/>
      <c r="BM2476" s="1055"/>
      <c r="BN2476" s="1055"/>
      <c r="BO2476" s="1056"/>
      <c r="BP2476" s="1056"/>
      <c r="BQ2476" s="1056"/>
      <c r="BR2476" s="1056"/>
      <c r="BS2476" s="1056"/>
      <c r="BT2476" s="1056"/>
      <c r="BU2476" s="1056"/>
      <c r="BV2476" s="1057"/>
      <c r="BW2476" s="1057"/>
      <c r="BX2476" s="1148"/>
      <c r="BY2476" s="1057"/>
      <c r="BZ2476" s="1057"/>
      <c r="CA2476" s="1057"/>
      <c r="CB2476" s="1032"/>
    </row>
    <row r="2477" spans="2:80">
      <c r="B2477" s="1033" t="s">
        <v>7981</v>
      </c>
      <c r="C2477" s="839" t="s">
        <v>7454</v>
      </c>
      <c r="D2477" s="1033"/>
      <c r="E2477" s="1033" t="s">
        <v>7982</v>
      </c>
      <c r="F2477" s="1034">
        <v>46192</v>
      </c>
      <c r="G2477" s="1033" t="s">
        <v>7454</v>
      </c>
      <c r="H2477" s="1063" t="s">
        <v>3457</v>
      </c>
      <c r="I2477" s="1063"/>
      <c r="J2477" s="1034"/>
      <c r="K2477" s="1034"/>
      <c r="L2477" s="1036" t="s">
        <v>106</v>
      </c>
      <c r="M2477" s="1037" t="s">
        <v>107</v>
      </c>
      <c r="N2477" s="1034"/>
      <c r="O2477" s="1064"/>
      <c r="P2477" s="1035"/>
      <c r="Q2477" s="1036"/>
      <c r="R2477" s="1038" t="s">
        <v>8121</v>
      </c>
      <c r="S2477" s="1131" t="s">
        <v>8122</v>
      </c>
      <c r="T2477" s="1036" t="s">
        <v>8123</v>
      </c>
      <c r="U2477" s="1066">
        <v>2</v>
      </c>
      <c r="V2477" s="1035" t="s">
        <v>3</v>
      </c>
      <c r="W2477" s="1039">
        <v>99</v>
      </c>
      <c r="X2477" s="1040">
        <f t="shared" si="508"/>
        <v>198</v>
      </c>
      <c r="Y2477" s="1045" t="s">
        <v>7980</v>
      </c>
      <c r="Z2477" s="1041">
        <v>68.900000000000006</v>
      </c>
      <c r="AA2477" s="1041"/>
      <c r="AB2477" s="1041">
        <f t="shared" si="514"/>
        <v>137.80000000000001</v>
      </c>
      <c r="AC2477" s="1042">
        <f t="shared" si="515"/>
        <v>137.80000000000001</v>
      </c>
      <c r="AD2477" s="1043">
        <v>32000</v>
      </c>
      <c r="AE2477" s="1044"/>
      <c r="AF2477" s="1045"/>
      <c r="AG2477" s="1046"/>
      <c r="AH2477" s="1045"/>
      <c r="AI2477" s="1047"/>
      <c r="AJ2477" s="1038"/>
      <c r="AK2477" s="1048"/>
      <c r="AL2477" s="1036"/>
      <c r="AM2477" s="1036"/>
      <c r="AN2477" s="1037"/>
      <c r="AO2477" s="1037"/>
      <c r="AP2477" s="1034"/>
      <c r="AQ2477" s="1035"/>
      <c r="AR2477" s="1034"/>
      <c r="AS2477" s="1035"/>
      <c r="AT2477" s="1035"/>
      <c r="AU2477" s="1035"/>
      <c r="AV2477" s="1038"/>
      <c r="AW2477" s="1050"/>
      <c r="AX2477" s="1051"/>
      <c r="AY2477" s="1036"/>
      <c r="AZ2477" s="1035"/>
      <c r="BA2477" s="1035"/>
      <c r="BB2477" s="1052"/>
      <c r="BC2477" s="1053"/>
      <c r="BD2477" s="1049"/>
      <c r="BE2477" s="1054"/>
      <c r="BF2477" s="1055"/>
      <c r="BG2477" s="1055"/>
      <c r="BH2477" s="1055"/>
      <c r="BI2477" s="1055"/>
      <c r="BJ2477" s="1055"/>
      <c r="BK2477" s="1055"/>
      <c r="BL2477" s="1055"/>
      <c r="BM2477" s="1055"/>
      <c r="BN2477" s="1055"/>
      <c r="BO2477" s="1056"/>
      <c r="BP2477" s="1056"/>
      <c r="BQ2477" s="1056"/>
      <c r="BR2477" s="1056"/>
      <c r="BS2477" s="1056"/>
      <c r="BT2477" s="1056"/>
      <c r="BU2477" s="1056"/>
      <c r="BV2477" s="1057"/>
      <c r="BW2477" s="1057"/>
      <c r="BX2477" s="1148"/>
      <c r="BY2477" s="1057"/>
      <c r="BZ2477" s="1057"/>
      <c r="CA2477" s="1057"/>
      <c r="CB2477" s="1032"/>
    </row>
    <row r="2478" spans="2:80">
      <c r="B2478" s="1033" t="s">
        <v>7981</v>
      </c>
      <c r="C2478" s="839" t="s">
        <v>7454</v>
      </c>
      <c r="D2478" s="1033"/>
      <c r="E2478" s="1033" t="s">
        <v>7982</v>
      </c>
      <c r="F2478" s="1034">
        <v>46192</v>
      </c>
      <c r="G2478" s="1033" t="s">
        <v>7454</v>
      </c>
      <c r="H2478" s="1063" t="s">
        <v>3457</v>
      </c>
      <c r="I2478" s="1063"/>
      <c r="J2478" s="1034"/>
      <c r="K2478" s="1034"/>
      <c r="L2478" s="1036" t="s">
        <v>106</v>
      </c>
      <c r="M2478" s="1037" t="s">
        <v>107</v>
      </c>
      <c r="N2478" s="1034"/>
      <c r="O2478" s="1064"/>
      <c r="P2478" s="1035"/>
      <c r="Q2478" s="1036"/>
      <c r="R2478" s="1038" t="s">
        <v>8124</v>
      </c>
      <c r="S2478" s="1131" t="s">
        <v>8125</v>
      </c>
      <c r="T2478" s="1036" t="s">
        <v>8126</v>
      </c>
      <c r="U2478" s="1066">
        <v>1</v>
      </c>
      <c r="V2478" s="1035" t="s">
        <v>3</v>
      </c>
      <c r="W2478" s="1039">
        <v>192</v>
      </c>
      <c r="X2478" s="1040">
        <f t="shared" si="508"/>
        <v>192</v>
      </c>
      <c r="Y2478" s="1045" t="s">
        <v>7980</v>
      </c>
      <c r="Z2478" s="1041">
        <v>133.63</v>
      </c>
      <c r="AA2478" s="1041"/>
      <c r="AB2478" s="1041">
        <f t="shared" si="514"/>
        <v>133.63</v>
      </c>
      <c r="AC2478" s="1042">
        <f t="shared" si="515"/>
        <v>133.63</v>
      </c>
      <c r="AD2478" s="1043">
        <v>32000</v>
      </c>
      <c r="AE2478" s="1044"/>
      <c r="AF2478" s="1045"/>
      <c r="AG2478" s="1046"/>
      <c r="AH2478" s="1045"/>
      <c r="AI2478" s="1047"/>
      <c r="AJ2478" s="1038"/>
      <c r="AK2478" s="1048"/>
      <c r="AL2478" s="1036"/>
      <c r="AM2478" s="1036"/>
      <c r="AN2478" s="1037"/>
      <c r="AO2478" s="1037"/>
      <c r="AP2478" s="1034"/>
      <c r="AQ2478" s="1035"/>
      <c r="AR2478" s="1034"/>
      <c r="AS2478" s="1035"/>
      <c r="AT2478" s="1035"/>
      <c r="AU2478" s="1035"/>
      <c r="AV2478" s="1038"/>
      <c r="AW2478" s="1050"/>
      <c r="AX2478" s="1051"/>
      <c r="AY2478" s="1036"/>
      <c r="AZ2478" s="1035"/>
      <c r="BA2478" s="1035"/>
      <c r="BB2478" s="1052"/>
      <c r="BC2478" s="1053"/>
      <c r="BD2478" s="1049"/>
      <c r="BE2478" s="1054"/>
      <c r="BF2478" s="1055"/>
      <c r="BG2478" s="1055"/>
      <c r="BH2478" s="1055"/>
      <c r="BI2478" s="1055"/>
      <c r="BJ2478" s="1055"/>
      <c r="BK2478" s="1055"/>
      <c r="BL2478" s="1055"/>
      <c r="BM2478" s="1055"/>
      <c r="BN2478" s="1055"/>
      <c r="BO2478" s="1056"/>
      <c r="BP2478" s="1056"/>
      <c r="BQ2478" s="1056"/>
      <c r="BR2478" s="1056"/>
      <c r="BS2478" s="1056"/>
      <c r="BT2478" s="1056"/>
      <c r="BU2478" s="1056"/>
      <c r="BV2478" s="1057"/>
      <c r="BW2478" s="1057"/>
      <c r="BX2478" s="1148"/>
      <c r="BY2478" s="1057"/>
      <c r="BZ2478" s="1057"/>
      <c r="CA2478" s="1057"/>
      <c r="CB2478" s="1032"/>
    </row>
    <row r="2479" spans="2:80">
      <c r="B2479" s="1033" t="s">
        <v>7981</v>
      </c>
      <c r="C2479" s="839" t="s">
        <v>7454</v>
      </c>
      <c r="D2479" s="1033"/>
      <c r="E2479" s="1033" t="s">
        <v>7982</v>
      </c>
      <c r="F2479" s="1034">
        <v>46192</v>
      </c>
      <c r="G2479" s="1033" t="s">
        <v>7454</v>
      </c>
      <c r="H2479" s="1063" t="s">
        <v>3457</v>
      </c>
      <c r="I2479" s="1063"/>
      <c r="J2479" s="1034"/>
      <c r="K2479" s="1034"/>
      <c r="L2479" s="1036" t="s">
        <v>106</v>
      </c>
      <c r="M2479" s="1037" t="s">
        <v>107</v>
      </c>
      <c r="N2479" s="1034"/>
      <c r="O2479" s="1064"/>
      <c r="P2479" s="1035"/>
      <c r="Q2479" s="1036"/>
      <c r="R2479" s="1038" t="s">
        <v>8127</v>
      </c>
      <c r="S2479" s="1131" t="s">
        <v>8128</v>
      </c>
      <c r="T2479" s="1036" t="s">
        <v>8129</v>
      </c>
      <c r="U2479" s="1066">
        <v>1</v>
      </c>
      <c r="V2479" s="1035" t="s">
        <v>3</v>
      </c>
      <c r="W2479" s="1039">
        <v>279</v>
      </c>
      <c r="X2479" s="1040">
        <f t="shared" si="508"/>
        <v>279</v>
      </c>
      <c r="Y2479" s="1045" t="s">
        <v>7980</v>
      </c>
      <c r="Z2479" s="1041">
        <v>194.18</v>
      </c>
      <c r="AA2479" s="1041"/>
      <c r="AB2479" s="1041">
        <f t="shared" si="514"/>
        <v>194.18</v>
      </c>
      <c r="AC2479" s="1042">
        <f t="shared" si="515"/>
        <v>194.18</v>
      </c>
      <c r="AD2479" s="1043">
        <v>32000</v>
      </c>
      <c r="AE2479" s="1044"/>
      <c r="AF2479" s="1045"/>
      <c r="AG2479" s="1046"/>
      <c r="AH2479" s="1045"/>
      <c r="AI2479" s="1047"/>
      <c r="AJ2479" s="1038"/>
      <c r="AK2479" s="1048"/>
      <c r="AL2479" s="1036"/>
      <c r="AM2479" s="1036"/>
      <c r="AN2479" s="1037"/>
      <c r="AO2479" s="1037"/>
      <c r="AP2479" s="1034"/>
      <c r="AQ2479" s="1035"/>
      <c r="AR2479" s="1034"/>
      <c r="AS2479" s="1035"/>
      <c r="AT2479" s="1035"/>
      <c r="AU2479" s="1035"/>
      <c r="AV2479" s="1038"/>
      <c r="AW2479" s="1050"/>
      <c r="AX2479" s="1051"/>
      <c r="AY2479" s="1036"/>
      <c r="AZ2479" s="1035"/>
      <c r="BA2479" s="1035"/>
      <c r="BB2479" s="1052"/>
      <c r="BC2479" s="1053"/>
      <c r="BD2479" s="1049"/>
      <c r="BE2479" s="1054"/>
      <c r="BF2479" s="1055"/>
      <c r="BG2479" s="1055"/>
      <c r="BH2479" s="1055"/>
      <c r="BI2479" s="1055"/>
      <c r="BJ2479" s="1055"/>
      <c r="BK2479" s="1055"/>
      <c r="BL2479" s="1055"/>
      <c r="BM2479" s="1055"/>
      <c r="BN2479" s="1055"/>
      <c r="BO2479" s="1056"/>
      <c r="BP2479" s="1056"/>
      <c r="BQ2479" s="1056"/>
      <c r="BR2479" s="1056"/>
      <c r="BS2479" s="1056"/>
      <c r="BT2479" s="1056"/>
      <c r="BU2479" s="1056"/>
      <c r="BV2479" s="1057"/>
      <c r="BW2479" s="1057"/>
      <c r="BX2479" s="1148"/>
      <c r="BY2479" s="1057"/>
      <c r="BZ2479" s="1057"/>
      <c r="CA2479" s="1057"/>
      <c r="CB2479" s="1032"/>
    </row>
    <row r="2480" spans="2:80">
      <c r="B2480" s="1033"/>
      <c r="C2480" s="1033"/>
      <c r="D2480" s="1033"/>
      <c r="E2480" s="1033"/>
      <c r="F2480" s="1034"/>
      <c r="G2480" s="1033"/>
      <c r="H2480" s="1063"/>
      <c r="I2480" s="1063"/>
      <c r="J2480" s="1034"/>
      <c r="K2480" s="1034"/>
      <c r="L2480" s="1036"/>
      <c r="M2480" s="1037"/>
      <c r="N2480" s="1034"/>
      <c r="O2480" s="1064"/>
      <c r="P2480" s="1035"/>
      <c r="Q2480" s="1036"/>
      <c r="R2480" s="1038"/>
      <c r="S2480" s="1131"/>
      <c r="T2480" s="1036"/>
      <c r="U2480" s="1066"/>
      <c r="V2480" s="1035"/>
      <c r="W2480" s="1039"/>
      <c r="X2480" s="1040"/>
      <c r="Y2480" s="1045"/>
      <c r="Z2480" s="1041"/>
      <c r="AA2480" s="1041"/>
      <c r="AB2480" s="1041"/>
      <c r="AC2480" s="1042"/>
      <c r="AD2480" s="1043"/>
      <c r="AE2480" s="1044"/>
      <c r="AF2480" s="1045"/>
      <c r="AG2480" s="1046"/>
      <c r="AH2480" s="1045"/>
      <c r="AI2480" s="1047"/>
      <c r="AJ2480" s="1038"/>
      <c r="AK2480" s="1048"/>
      <c r="AL2480" s="1036"/>
      <c r="AM2480" s="1036"/>
      <c r="AN2480" s="1037"/>
      <c r="AO2480" s="1037"/>
      <c r="AP2480" s="1034"/>
      <c r="AQ2480" s="1035"/>
      <c r="AR2480" s="1034"/>
      <c r="AS2480" s="1035"/>
      <c r="AT2480" s="1035"/>
      <c r="AU2480" s="1035"/>
      <c r="AV2480" s="1038"/>
      <c r="AW2480" s="1050"/>
      <c r="AX2480" s="1051"/>
      <c r="AY2480" s="1036"/>
      <c r="AZ2480" s="1035"/>
      <c r="BA2480" s="1035"/>
      <c r="BB2480" s="1052"/>
      <c r="BC2480" s="1053"/>
      <c r="BD2480" s="1049"/>
      <c r="BE2480" s="1054"/>
      <c r="BF2480" s="1055"/>
      <c r="BG2480" s="1055"/>
      <c r="BH2480" s="1055"/>
      <c r="BI2480" s="1055"/>
      <c r="BJ2480" s="1055"/>
      <c r="BK2480" s="1055"/>
      <c r="BL2480" s="1055"/>
      <c r="BM2480" s="1055"/>
      <c r="BN2480" s="1055"/>
      <c r="BO2480" s="1056"/>
      <c r="BP2480" s="1056"/>
      <c r="BQ2480" s="1056"/>
      <c r="BR2480" s="1056"/>
      <c r="BS2480" s="1056"/>
      <c r="BT2480" s="1056"/>
      <c r="BU2480" s="1056"/>
      <c r="BV2480" s="1057"/>
      <c r="BW2480" s="1057"/>
      <c r="BX2480" s="1148"/>
      <c r="BY2480" s="1057"/>
      <c r="BZ2480" s="1057"/>
      <c r="CA2480" s="1057"/>
      <c r="CB2480" s="1032"/>
    </row>
    <row r="2481" spans="2:81">
      <c r="B2481" s="1033" t="s">
        <v>7731</v>
      </c>
      <c r="C2481" s="1033" t="s">
        <v>2689</v>
      </c>
      <c r="D2481" s="1033" t="s">
        <v>8130</v>
      </c>
      <c r="E2481" s="1033" t="s">
        <v>8130</v>
      </c>
      <c r="F2481" s="1034">
        <v>46104</v>
      </c>
      <c r="G2481" s="1033" t="s">
        <v>2689</v>
      </c>
      <c r="H2481" s="1063" t="s">
        <v>102</v>
      </c>
      <c r="I2481" s="1063" t="s">
        <v>8131</v>
      </c>
      <c r="J2481" s="1034">
        <v>46104</v>
      </c>
      <c r="K2481" s="1034"/>
      <c r="L2481" s="1036" t="s">
        <v>106</v>
      </c>
      <c r="M2481" s="1037" t="s">
        <v>107</v>
      </c>
      <c r="N2481" s="1034" t="s">
        <v>8132</v>
      </c>
      <c r="O2481" s="1064" t="s">
        <v>150</v>
      </c>
      <c r="P2481" s="1035" t="s">
        <v>151</v>
      </c>
      <c r="Q2481" s="1036"/>
      <c r="R2481" s="1038" t="s">
        <v>3106</v>
      </c>
      <c r="S2481" s="1131" t="s">
        <v>3125</v>
      </c>
      <c r="T2481" s="1065" t="s">
        <v>8133</v>
      </c>
      <c r="U2481" s="1066">
        <v>1</v>
      </c>
      <c r="V2481" s="1035" t="s">
        <v>3</v>
      </c>
      <c r="W2481" s="1039">
        <v>295</v>
      </c>
      <c r="X2481" s="1040">
        <f t="shared" si="508"/>
        <v>295</v>
      </c>
      <c r="Y2481" s="1045">
        <v>0.49</v>
      </c>
      <c r="Z2481" s="1041">
        <v>153.38999999999999</v>
      </c>
      <c r="AA2481" s="1041"/>
      <c r="AB2481" s="1041">
        <f t="shared" ref="AB2481" si="516">IF(AA2481="F.O.C", 0, Z2481*U2481)</f>
        <v>153.38999999999999</v>
      </c>
      <c r="AC2481" s="1042">
        <f t="shared" ref="AC2481" si="517">Z2481*U2481</f>
        <v>153.38999999999999</v>
      </c>
      <c r="AD2481" s="1043">
        <v>32000</v>
      </c>
      <c r="AE2481" s="1044"/>
      <c r="AF2481" s="1045"/>
      <c r="AG2481" s="1046"/>
      <c r="AH2481" s="1045"/>
      <c r="AI2481" s="1047"/>
      <c r="AJ2481" s="1038" t="s">
        <v>8134</v>
      </c>
      <c r="AK2481" s="1048">
        <v>46170</v>
      </c>
      <c r="AL2481" s="1036" t="s">
        <v>8135</v>
      </c>
      <c r="AM2481" s="1036" t="s">
        <v>8136</v>
      </c>
      <c r="AN2481" s="1036" t="s">
        <v>3951</v>
      </c>
      <c r="AO2481" s="1037" t="s">
        <v>7236</v>
      </c>
      <c r="AP2481" s="1034"/>
      <c r="AQ2481" s="1035"/>
      <c r="AR2481" s="1034"/>
      <c r="AS2481" s="1035" t="s">
        <v>8137</v>
      </c>
      <c r="AT2481" s="1035" t="s">
        <v>1875</v>
      </c>
      <c r="AU2481" s="1035" t="s">
        <v>1602</v>
      </c>
      <c r="AV2481" s="1038"/>
      <c r="AW2481" s="1050"/>
      <c r="AX2481" s="1051"/>
      <c r="AY2481" s="1036"/>
      <c r="AZ2481" s="1035"/>
      <c r="BA2481" s="1035"/>
      <c r="BB2481" s="1052"/>
      <c r="BC2481" s="1053"/>
      <c r="BD2481" s="1049"/>
      <c r="BE2481" s="1054"/>
      <c r="BF2481" s="1055"/>
      <c r="BG2481" s="1055"/>
      <c r="BH2481" s="1055"/>
      <c r="BI2481" s="1055"/>
      <c r="BJ2481" s="1055"/>
      <c r="BK2481" s="1055"/>
      <c r="BL2481" s="1055"/>
      <c r="BM2481" s="1055"/>
      <c r="BN2481" s="1055"/>
      <c r="BO2481" s="1056"/>
      <c r="BP2481" s="1056"/>
      <c r="BQ2481" s="1056"/>
      <c r="BR2481" s="1056"/>
      <c r="BS2481" s="1056"/>
      <c r="BT2481" s="1056"/>
      <c r="BU2481" s="1056"/>
      <c r="BV2481" s="1057"/>
      <c r="BW2481" s="1057"/>
      <c r="BX2481" s="1148"/>
      <c r="BY2481" s="1057"/>
      <c r="BZ2481" s="1057"/>
      <c r="CA2481" s="1057"/>
      <c r="CB2481" s="1032"/>
    </row>
    <row r="2482" spans="2:81">
      <c r="B2482" s="1033" t="s">
        <v>7731</v>
      </c>
      <c r="C2482" s="1033" t="s">
        <v>2689</v>
      </c>
      <c r="D2482" s="1033" t="s">
        <v>8138</v>
      </c>
      <c r="E2482" s="1067" t="s">
        <v>8138</v>
      </c>
      <c r="F2482" s="1034">
        <v>46108</v>
      </c>
      <c r="G2482" s="1033" t="s">
        <v>2689</v>
      </c>
      <c r="H2482" s="1063" t="s">
        <v>102</v>
      </c>
      <c r="I2482" s="1063" t="s">
        <v>8139</v>
      </c>
      <c r="J2482" s="1034">
        <v>46108</v>
      </c>
      <c r="K2482" s="1034" t="s">
        <v>8140</v>
      </c>
      <c r="L2482" s="1036" t="s">
        <v>106</v>
      </c>
      <c r="M2482" s="1037" t="s">
        <v>107</v>
      </c>
      <c r="N2482" s="1034" t="s">
        <v>8141</v>
      </c>
      <c r="O2482" s="1064" t="s">
        <v>150</v>
      </c>
      <c r="P2482" s="1035" t="s">
        <v>151</v>
      </c>
      <c r="Q2482" s="1036"/>
      <c r="R2482" s="1038" t="s">
        <v>8142</v>
      </c>
      <c r="S2482" s="1131" t="s">
        <v>8143</v>
      </c>
      <c r="T2482" s="1065" t="s">
        <v>8144</v>
      </c>
      <c r="U2482" s="1066">
        <v>1</v>
      </c>
      <c r="V2482" s="1035" t="s">
        <v>3</v>
      </c>
      <c r="W2482" s="1039">
        <v>3509</v>
      </c>
      <c r="X2482" s="1040">
        <f t="shared" si="508"/>
        <v>3509</v>
      </c>
      <c r="Y2482" s="1045">
        <v>0.49</v>
      </c>
      <c r="Z2482" s="1041">
        <v>1789.59</v>
      </c>
      <c r="AA2482" s="1041"/>
      <c r="AB2482" s="1041">
        <f t="shared" ref="AB2482:AB2492" si="518">IF(AA2482="F.O.C", 0, Z2482*U2482)</f>
        <v>1789.59</v>
      </c>
      <c r="AC2482" s="1042">
        <f t="shared" ref="AC2482:AC2492" si="519">Z2482*U2482</f>
        <v>1789.59</v>
      </c>
      <c r="AD2482" s="1043">
        <v>32000</v>
      </c>
      <c r="AE2482" s="1044"/>
      <c r="AF2482" s="1045"/>
      <c r="AG2482" s="1046"/>
      <c r="AH2482" s="1045"/>
      <c r="AI2482" s="1047"/>
      <c r="AJ2482" s="1038" t="s">
        <v>8134</v>
      </c>
      <c r="AK2482" s="1048">
        <v>46170</v>
      </c>
      <c r="AL2482" s="1036" t="s">
        <v>8135</v>
      </c>
      <c r="AM2482" s="1036" t="s">
        <v>8136</v>
      </c>
      <c r="AN2482" s="1036" t="s">
        <v>3951</v>
      </c>
      <c r="AO2482" s="1037" t="s">
        <v>7236</v>
      </c>
      <c r="AP2482" s="1034"/>
      <c r="AQ2482" s="1035"/>
      <c r="AR2482" s="1034"/>
      <c r="AS2482" s="1035" t="s">
        <v>8137</v>
      </c>
      <c r="AT2482" s="1035" t="s">
        <v>1875</v>
      </c>
      <c r="AU2482" s="1035" t="s">
        <v>1602</v>
      </c>
      <c r="AV2482" s="1038"/>
      <c r="AW2482" s="1050"/>
      <c r="AX2482" s="1051"/>
      <c r="AY2482" s="1036"/>
      <c r="AZ2482" s="1035"/>
      <c r="BA2482" s="1035"/>
      <c r="BB2482" s="1052"/>
      <c r="BC2482" s="1053"/>
      <c r="BD2482" s="1049"/>
      <c r="BE2482" s="1054"/>
      <c r="BF2482" s="1055"/>
      <c r="BG2482" s="1055"/>
      <c r="BH2482" s="1055"/>
      <c r="BI2482" s="1055"/>
      <c r="BJ2482" s="1055"/>
      <c r="BK2482" s="1055"/>
      <c r="BL2482" s="1055"/>
      <c r="BM2482" s="1055"/>
      <c r="BN2482" s="1055"/>
      <c r="BO2482" s="1056"/>
      <c r="BP2482" s="1056"/>
      <c r="BQ2482" s="1056"/>
      <c r="BR2482" s="1056"/>
      <c r="BS2482" s="1056"/>
      <c r="BT2482" s="1056"/>
      <c r="BU2482" s="1056"/>
      <c r="BV2482" s="1057"/>
      <c r="BW2482" s="1057"/>
      <c r="BX2482" s="1148"/>
      <c r="BY2482" s="1057"/>
      <c r="BZ2482" s="1057"/>
      <c r="CA2482" s="1057"/>
      <c r="CB2482" s="1032"/>
    </row>
    <row r="2483" spans="2:81">
      <c r="B2483" s="1033" t="s">
        <v>7731</v>
      </c>
      <c r="C2483" s="1033" t="s">
        <v>2689</v>
      </c>
      <c r="D2483" s="1033" t="s">
        <v>8138</v>
      </c>
      <c r="E2483" s="1033" t="s">
        <v>5685</v>
      </c>
      <c r="F2483" s="1034">
        <v>46108</v>
      </c>
      <c r="G2483" s="1033" t="s">
        <v>2689</v>
      </c>
      <c r="H2483" s="1063" t="s">
        <v>5685</v>
      </c>
      <c r="I2483" s="1063"/>
      <c r="J2483" s="1034"/>
      <c r="K2483" s="1034"/>
      <c r="L2483" s="1036" t="s">
        <v>106</v>
      </c>
      <c r="M2483" s="1037" t="s">
        <v>107</v>
      </c>
      <c r="N2483" s="1034"/>
      <c r="O2483" s="1064"/>
      <c r="P2483" s="1035"/>
      <c r="Q2483" s="1036"/>
      <c r="R2483" s="1038">
        <v>20212101</v>
      </c>
      <c r="S2483" s="1131" t="s">
        <v>4401</v>
      </c>
      <c r="T2483" s="1036" t="s">
        <v>8145</v>
      </c>
      <c r="U2483" s="1066">
        <v>1</v>
      </c>
      <c r="V2483" s="1035" t="s">
        <v>3</v>
      </c>
      <c r="W2483" s="1039"/>
      <c r="X2483" s="1040">
        <f t="shared" si="508"/>
        <v>0</v>
      </c>
      <c r="Y2483" s="1045"/>
      <c r="Z2483" s="1041">
        <v>65.5</v>
      </c>
      <c r="AA2483" s="1041" t="s">
        <v>40</v>
      </c>
      <c r="AB2483" s="1041">
        <f t="shared" si="518"/>
        <v>0</v>
      </c>
      <c r="AC2483" s="1042">
        <f t="shared" si="519"/>
        <v>65.5</v>
      </c>
      <c r="AD2483" s="1043">
        <v>32000</v>
      </c>
      <c r="AE2483" s="1044"/>
      <c r="AF2483" s="1045"/>
      <c r="AG2483" s="1046"/>
      <c r="AH2483" s="1045"/>
      <c r="AI2483" s="1047"/>
      <c r="AJ2483" s="1038" t="s">
        <v>8134</v>
      </c>
      <c r="AK2483" s="1048">
        <v>46170</v>
      </c>
      <c r="AL2483" s="1036" t="s">
        <v>8135</v>
      </c>
      <c r="AM2483" s="1036" t="s">
        <v>8136</v>
      </c>
      <c r="AN2483" s="1036" t="s">
        <v>3951</v>
      </c>
      <c r="AO2483" s="1037" t="s">
        <v>7236</v>
      </c>
      <c r="AP2483" s="1034"/>
      <c r="AQ2483" s="1035"/>
      <c r="AR2483" s="1034"/>
      <c r="AS2483" s="1035" t="s">
        <v>8137</v>
      </c>
      <c r="AT2483" s="1035" t="s">
        <v>1875</v>
      </c>
      <c r="AU2483" s="1035" t="s">
        <v>1602</v>
      </c>
      <c r="AV2483" s="1038"/>
      <c r="AW2483" s="1050"/>
      <c r="AX2483" s="1051"/>
      <c r="AY2483" s="1036"/>
      <c r="AZ2483" s="1035"/>
      <c r="BA2483" s="1035"/>
      <c r="BB2483" s="1052"/>
      <c r="BC2483" s="1053"/>
      <c r="BD2483" s="1049"/>
      <c r="BE2483" s="1054"/>
      <c r="BF2483" s="1055"/>
      <c r="BG2483" s="1055"/>
      <c r="BH2483" s="1055"/>
      <c r="BI2483" s="1055"/>
      <c r="BJ2483" s="1055"/>
      <c r="BK2483" s="1055"/>
      <c r="BL2483" s="1055"/>
      <c r="BM2483" s="1055"/>
      <c r="BN2483" s="1055"/>
      <c r="BO2483" s="1056"/>
      <c r="BP2483" s="1056"/>
      <c r="BQ2483" s="1056"/>
      <c r="BR2483" s="1056"/>
      <c r="BS2483" s="1056"/>
      <c r="BT2483" s="1056"/>
      <c r="BU2483" s="1056"/>
      <c r="BV2483" s="1057"/>
      <c r="BW2483" s="1057"/>
      <c r="BX2483" s="1148"/>
      <c r="BY2483" s="1057"/>
      <c r="BZ2483" s="1057"/>
      <c r="CA2483" s="1057"/>
      <c r="CB2483" s="1032"/>
    </row>
    <row r="2484" spans="2:81">
      <c r="B2484" s="1033" t="s">
        <v>7731</v>
      </c>
      <c r="C2484" s="1033" t="s">
        <v>2689</v>
      </c>
      <c r="D2484" s="1033" t="s">
        <v>8138</v>
      </c>
      <c r="E2484" s="1033" t="s">
        <v>5685</v>
      </c>
      <c r="F2484" s="1034">
        <v>46108</v>
      </c>
      <c r="G2484" s="1033" t="s">
        <v>2689</v>
      </c>
      <c r="H2484" s="1063" t="s">
        <v>5685</v>
      </c>
      <c r="I2484" s="1063"/>
      <c r="J2484" s="1034"/>
      <c r="K2484" s="1034"/>
      <c r="L2484" s="1036" t="s">
        <v>106</v>
      </c>
      <c r="M2484" s="1037" t="s">
        <v>107</v>
      </c>
      <c r="N2484" s="1034"/>
      <c r="O2484" s="1064"/>
      <c r="P2484" s="1035"/>
      <c r="Q2484" s="1036"/>
      <c r="R2484" s="1038">
        <v>20238101</v>
      </c>
      <c r="S2484" s="1131" t="s">
        <v>4413</v>
      </c>
      <c r="T2484" s="1036" t="s">
        <v>8146</v>
      </c>
      <c r="U2484" s="1066">
        <v>1</v>
      </c>
      <c r="V2484" s="1035" t="s">
        <v>3</v>
      </c>
      <c r="W2484" s="1039"/>
      <c r="X2484" s="1040">
        <f t="shared" si="508"/>
        <v>0</v>
      </c>
      <c r="Y2484" s="1045"/>
      <c r="Z2484" s="1041">
        <v>125.4</v>
      </c>
      <c r="AA2484" s="1041" t="s">
        <v>40</v>
      </c>
      <c r="AB2484" s="1041">
        <f t="shared" si="518"/>
        <v>0</v>
      </c>
      <c r="AC2484" s="1042">
        <f t="shared" si="519"/>
        <v>125.4</v>
      </c>
      <c r="AD2484" s="1043">
        <v>32000</v>
      </c>
      <c r="AE2484" s="1044"/>
      <c r="AF2484" s="1045"/>
      <c r="AG2484" s="1046"/>
      <c r="AH2484" s="1045"/>
      <c r="AI2484" s="1047"/>
      <c r="AJ2484" s="1038" t="s">
        <v>8134</v>
      </c>
      <c r="AK2484" s="1048">
        <v>46170</v>
      </c>
      <c r="AL2484" s="1036" t="s">
        <v>8135</v>
      </c>
      <c r="AM2484" s="1036" t="s">
        <v>8136</v>
      </c>
      <c r="AN2484" s="1036" t="s">
        <v>3951</v>
      </c>
      <c r="AO2484" s="1037" t="s">
        <v>7236</v>
      </c>
      <c r="AP2484" s="1034"/>
      <c r="AQ2484" s="1035"/>
      <c r="AR2484" s="1034"/>
      <c r="AS2484" s="1035" t="s">
        <v>8137</v>
      </c>
      <c r="AT2484" s="1035" t="s">
        <v>1875</v>
      </c>
      <c r="AU2484" s="1035" t="s">
        <v>1602</v>
      </c>
      <c r="AV2484" s="1038"/>
      <c r="AW2484" s="1050"/>
      <c r="AX2484" s="1051"/>
      <c r="AY2484" s="1036"/>
      <c r="AZ2484" s="1035"/>
      <c r="BA2484" s="1035"/>
      <c r="BB2484" s="1052"/>
      <c r="BC2484" s="1053"/>
      <c r="BD2484" s="1049"/>
      <c r="BE2484" s="1054"/>
      <c r="BF2484" s="1055"/>
      <c r="BG2484" s="1055"/>
      <c r="BH2484" s="1055"/>
      <c r="BI2484" s="1055"/>
      <c r="BJ2484" s="1055"/>
      <c r="BK2484" s="1055"/>
      <c r="BL2484" s="1055"/>
      <c r="BM2484" s="1055"/>
      <c r="BN2484" s="1055"/>
      <c r="BO2484" s="1056"/>
      <c r="BP2484" s="1056"/>
      <c r="BQ2484" s="1056"/>
      <c r="BR2484" s="1056"/>
      <c r="BS2484" s="1056"/>
      <c r="BT2484" s="1056"/>
      <c r="BU2484" s="1056"/>
      <c r="BV2484" s="1057"/>
      <c r="BW2484" s="1057"/>
      <c r="BX2484" s="1148"/>
      <c r="BY2484" s="1057"/>
      <c r="BZ2484" s="1057"/>
      <c r="CA2484" s="1057"/>
      <c r="CB2484" s="1032"/>
    </row>
    <row r="2485" spans="2:81">
      <c r="B2485" s="1033" t="s">
        <v>7731</v>
      </c>
      <c r="C2485" s="1033" t="s">
        <v>2689</v>
      </c>
      <c r="D2485" s="1033" t="s">
        <v>8138</v>
      </c>
      <c r="E2485" s="1033" t="s">
        <v>5685</v>
      </c>
      <c r="F2485" s="1034">
        <v>46108</v>
      </c>
      <c r="G2485" s="1033" t="s">
        <v>2689</v>
      </c>
      <c r="H2485" s="1063" t="s">
        <v>5685</v>
      </c>
      <c r="I2485" s="1063"/>
      <c r="J2485" s="1034"/>
      <c r="K2485" s="1034"/>
      <c r="L2485" s="1036" t="s">
        <v>106</v>
      </c>
      <c r="M2485" s="1037" t="s">
        <v>107</v>
      </c>
      <c r="N2485" s="1034"/>
      <c r="O2485" s="1064"/>
      <c r="P2485" s="1035"/>
      <c r="Q2485" s="1036"/>
      <c r="R2485" s="1038">
        <v>20251901</v>
      </c>
      <c r="S2485" s="1131" t="s">
        <v>4395</v>
      </c>
      <c r="T2485" s="1036" t="s">
        <v>8147</v>
      </c>
      <c r="U2485" s="1066">
        <v>1</v>
      </c>
      <c r="V2485" s="1035" t="s">
        <v>3</v>
      </c>
      <c r="W2485" s="1039"/>
      <c r="X2485" s="1040">
        <f t="shared" si="508"/>
        <v>0</v>
      </c>
      <c r="Y2485" s="1045"/>
      <c r="Z2485" s="1041">
        <v>47.7</v>
      </c>
      <c r="AA2485" s="1041" t="s">
        <v>40</v>
      </c>
      <c r="AB2485" s="1041">
        <f t="shared" si="518"/>
        <v>0</v>
      </c>
      <c r="AC2485" s="1042">
        <f t="shared" si="519"/>
        <v>47.7</v>
      </c>
      <c r="AD2485" s="1043">
        <v>32000</v>
      </c>
      <c r="AE2485" s="1044"/>
      <c r="AF2485" s="1045"/>
      <c r="AG2485" s="1046"/>
      <c r="AH2485" s="1045"/>
      <c r="AI2485" s="1047"/>
      <c r="AJ2485" s="1038" t="s">
        <v>8134</v>
      </c>
      <c r="AK2485" s="1048">
        <v>46170</v>
      </c>
      <c r="AL2485" s="1036" t="s">
        <v>8135</v>
      </c>
      <c r="AM2485" s="1036" t="s">
        <v>8136</v>
      </c>
      <c r="AN2485" s="1036" t="s">
        <v>3951</v>
      </c>
      <c r="AO2485" s="1037" t="s">
        <v>7236</v>
      </c>
      <c r="AP2485" s="1034"/>
      <c r="AQ2485" s="1035"/>
      <c r="AR2485" s="1034"/>
      <c r="AS2485" s="1035" t="s">
        <v>8137</v>
      </c>
      <c r="AT2485" s="1035" t="s">
        <v>1875</v>
      </c>
      <c r="AU2485" s="1035" t="s">
        <v>1602</v>
      </c>
      <c r="AV2485" s="1038"/>
      <c r="AW2485" s="1050"/>
      <c r="AX2485" s="1051"/>
      <c r="AY2485" s="1036"/>
      <c r="AZ2485" s="1035"/>
      <c r="BA2485" s="1035"/>
      <c r="BB2485" s="1052"/>
      <c r="BC2485" s="1053"/>
      <c r="BD2485" s="1049"/>
      <c r="BE2485" s="1054"/>
      <c r="BF2485" s="1055"/>
      <c r="BG2485" s="1055"/>
      <c r="BH2485" s="1055"/>
      <c r="BI2485" s="1055"/>
      <c r="BJ2485" s="1055"/>
      <c r="BK2485" s="1055"/>
      <c r="BL2485" s="1055"/>
      <c r="BM2485" s="1055"/>
      <c r="BN2485" s="1055"/>
      <c r="BO2485" s="1056"/>
      <c r="BP2485" s="1056"/>
      <c r="BQ2485" s="1056"/>
      <c r="BR2485" s="1056"/>
      <c r="BS2485" s="1056"/>
      <c r="BT2485" s="1056"/>
      <c r="BU2485" s="1056"/>
      <c r="BV2485" s="1057"/>
      <c r="BW2485" s="1057"/>
      <c r="BX2485" s="1148"/>
      <c r="BY2485" s="1057"/>
      <c r="BZ2485" s="1057"/>
      <c r="CA2485" s="1057"/>
      <c r="CB2485" s="1032"/>
    </row>
    <row r="2486" spans="2:81">
      <c r="B2486" s="1033" t="s">
        <v>7731</v>
      </c>
      <c r="C2486" s="1033" t="s">
        <v>2689</v>
      </c>
      <c r="D2486" s="1033" t="s">
        <v>8138</v>
      </c>
      <c r="E2486" s="1033" t="s">
        <v>5685</v>
      </c>
      <c r="F2486" s="1034">
        <v>46108</v>
      </c>
      <c r="G2486" s="1033" t="s">
        <v>2689</v>
      </c>
      <c r="H2486" s="1063" t="s">
        <v>5685</v>
      </c>
      <c r="I2486" s="1063"/>
      <c r="J2486" s="1034"/>
      <c r="K2486" s="1034"/>
      <c r="L2486" s="1036" t="s">
        <v>106</v>
      </c>
      <c r="M2486" s="1037" t="s">
        <v>107</v>
      </c>
      <c r="N2486" s="1034"/>
      <c r="O2486" s="1064"/>
      <c r="P2486" s="1035"/>
      <c r="Q2486" s="1036"/>
      <c r="R2486" s="1038">
        <v>41721000</v>
      </c>
      <c r="S2486" s="1131" t="s">
        <v>4285</v>
      </c>
      <c r="T2486" s="1036" t="s">
        <v>8148</v>
      </c>
      <c r="U2486" s="1066">
        <v>1</v>
      </c>
      <c r="V2486" s="1035" t="s">
        <v>3</v>
      </c>
      <c r="W2486" s="1039"/>
      <c r="X2486" s="1040">
        <f t="shared" si="508"/>
        <v>0</v>
      </c>
      <c r="Y2486" s="1045"/>
      <c r="Z2486" s="1041">
        <v>278.89999999999998</v>
      </c>
      <c r="AA2486" s="1041" t="s">
        <v>40</v>
      </c>
      <c r="AB2486" s="1041">
        <f t="shared" si="518"/>
        <v>0</v>
      </c>
      <c r="AC2486" s="1042">
        <f t="shared" si="519"/>
        <v>278.89999999999998</v>
      </c>
      <c r="AD2486" s="1043">
        <v>32000</v>
      </c>
      <c r="AE2486" s="1044"/>
      <c r="AF2486" s="1045"/>
      <c r="AG2486" s="1046"/>
      <c r="AH2486" s="1045"/>
      <c r="AI2486" s="1047"/>
      <c r="AJ2486" s="1038" t="s">
        <v>8134</v>
      </c>
      <c r="AK2486" s="1048">
        <v>46170</v>
      </c>
      <c r="AL2486" s="1036" t="s">
        <v>8135</v>
      </c>
      <c r="AM2486" s="1036" t="s">
        <v>8136</v>
      </c>
      <c r="AN2486" s="1036" t="s">
        <v>3951</v>
      </c>
      <c r="AO2486" s="1037" t="s">
        <v>7236</v>
      </c>
      <c r="AP2486" s="1034"/>
      <c r="AQ2486" s="1035"/>
      <c r="AR2486" s="1034"/>
      <c r="AS2486" s="1035" t="s">
        <v>8137</v>
      </c>
      <c r="AT2486" s="1035" t="s">
        <v>1875</v>
      </c>
      <c r="AU2486" s="1035" t="s">
        <v>1602</v>
      </c>
      <c r="AV2486" s="1038"/>
      <c r="AW2486" s="1050"/>
      <c r="AX2486" s="1051"/>
      <c r="AY2486" s="1036"/>
      <c r="AZ2486" s="1035"/>
      <c r="BA2486" s="1035"/>
      <c r="BB2486" s="1052"/>
      <c r="BC2486" s="1053"/>
      <c r="BD2486" s="1049"/>
      <c r="BE2486" s="1054"/>
      <c r="BF2486" s="1055"/>
      <c r="BG2486" s="1055"/>
      <c r="BH2486" s="1055"/>
      <c r="BI2486" s="1055"/>
      <c r="BJ2486" s="1055"/>
      <c r="BK2486" s="1055"/>
      <c r="BL2486" s="1055"/>
      <c r="BM2486" s="1055"/>
      <c r="BN2486" s="1055"/>
      <c r="BO2486" s="1056"/>
      <c r="BP2486" s="1056"/>
      <c r="BQ2486" s="1056"/>
      <c r="BR2486" s="1056"/>
      <c r="BS2486" s="1056"/>
      <c r="BT2486" s="1056"/>
      <c r="BU2486" s="1056"/>
      <c r="BV2486" s="1057"/>
      <c r="BW2486" s="1057"/>
      <c r="BX2486" s="1148"/>
      <c r="BY2486" s="1057"/>
      <c r="BZ2486" s="1057"/>
      <c r="CA2486" s="1057"/>
      <c r="CB2486" s="1032"/>
    </row>
    <row r="2487" spans="2:81">
      <c r="B2487" s="1033" t="s">
        <v>7731</v>
      </c>
      <c r="C2487" s="1033" t="s">
        <v>2689</v>
      </c>
      <c r="D2487" s="1033" t="s">
        <v>8138</v>
      </c>
      <c r="E2487" s="1033" t="s">
        <v>5685</v>
      </c>
      <c r="F2487" s="1034">
        <v>46108</v>
      </c>
      <c r="G2487" s="1033" t="s">
        <v>2689</v>
      </c>
      <c r="H2487" s="1063" t="s">
        <v>5685</v>
      </c>
      <c r="I2487" s="1063"/>
      <c r="J2487" s="1034"/>
      <c r="K2487" s="1034"/>
      <c r="L2487" s="1036" t="s">
        <v>106</v>
      </c>
      <c r="M2487" s="1037" t="s">
        <v>107</v>
      </c>
      <c r="N2487" s="1034"/>
      <c r="O2487" s="1064"/>
      <c r="P2487" s="1035"/>
      <c r="Q2487" s="1036"/>
      <c r="R2487" s="1038">
        <v>44003500</v>
      </c>
      <c r="S2487" s="1131" t="s">
        <v>3110</v>
      </c>
      <c r="T2487" s="1036" t="s">
        <v>8149</v>
      </c>
      <c r="U2487" s="1066">
        <v>1</v>
      </c>
      <c r="V2487" s="1035" t="s">
        <v>3</v>
      </c>
      <c r="W2487" s="1039"/>
      <c r="X2487" s="1040">
        <f t="shared" si="508"/>
        <v>0</v>
      </c>
      <c r="Y2487" s="1045"/>
      <c r="Z2487" s="1041">
        <v>74.3</v>
      </c>
      <c r="AA2487" s="1041" t="s">
        <v>40</v>
      </c>
      <c r="AB2487" s="1041">
        <f t="shared" si="518"/>
        <v>0</v>
      </c>
      <c r="AC2487" s="1042">
        <f t="shared" si="519"/>
        <v>74.3</v>
      </c>
      <c r="AD2487" s="1043">
        <v>32000</v>
      </c>
      <c r="AE2487" s="1044"/>
      <c r="AF2487" s="1045"/>
      <c r="AG2487" s="1046"/>
      <c r="AH2487" s="1045"/>
      <c r="AI2487" s="1047"/>
      <c r="AJ2487" s="1038" t="s">
        <v>8134</v>
      </c>
      <c r="AK2487" s="1048">
        <v>46170</v>
      </c>
      <c r="AL2487" s="1036" t="s">
        <v>8135</v>
      </c>
      <c r="AM2487" s="1036" t="s">
        <v>8136</v>
      </c>
      <c r="AN2487" s="1036" t="s">
        <v>3951</v>
      </c>
      <c r="AO2487" s="1037" t="s">
        <v>7236</v>
      </c>
      <c r="AP2487" s="1034"/>
      <c r="AQ2487" s="1035"/>
      <c r="AR2487" s="1034"/>
      <c r="AS2487" s="1035" t="s">
        <v>8137</v>
      </c>
      <c r="AT2487" s="1035" t="s">
        <v>1875</v>
      </c>
      <c r="AU2487" s="1035" t="s">
        <v>1602</v>
      </c>
      <c r="AV2487" s="1038"/>
      <c r="AW2487" s="1050"/>
      <c r="AX2487" s="1051"/>
      <c r="AY2487" s="1036"/>
      <c r="AZ2487" s="1035"/>
      <c r="BA2487" s="1035"/>
      <c r="BB2487" s="1052"/>
      <c r="BC2487" s="1053"/>
      <c r="BD2487" s="1049"/>
      <c r="BE2487" s="1054"/>
      <c r="BF2487" s="1055"/>
      <c r="BG2487" s="1055"/>
      <c r="BH2487" s="1055"/>
      <c r="BI2487" s="1055"/>
      <c r="BJ2487" s="1055"/>
      <c r="BK2487" s="1055"/>
      <c r="BL2487" s="1055"/>
      <c r="BM2487" s="1055"/>
      <c r="BN2487" s="1055"/>
      <c r="BO2487" s="1056"/>
      <c r="BP2487" s="1056"/>
      <c r="BQ2487" s="1056"/>
      <c r="BR2487" s="1056"/>
      <c r="BS2487" s="1056"/>
      <c r="BT2487" s="1056"/>
      <c r="BU2487" s="1056"/>
      <c r="BV2487" s="1057"/>
      <c r="BW2487" s="1057"/>
      <c r="BX2487" s="1148"/>
      <c r="BY2487" s="1057"/>
      <c r="BZ2487" s="1057"/>
      <c r="CA2487" s="1057"/>
      <c r="CB2487" s="1032"/>
    </row>
    <row r="2488" spans="2:81">
      <c r="B2488" s="1033" t="s">
        <v>7731</v>
      </c>
      <c r="C2488" s="1033" t="s">
        <v>2689</v>
      </c>
      <c r="D2488" s="1033" t="s">
        <v>8138</v>
      </c>
      <c r="E2488" s="1033" t="s">
        <v>5685</v>
      </c>
      <c r="F2488" s="1034">
        <v>46108</v>
      </c>
      <c r="G2488" s="1033" t="s">
        <v>2689</v>
      </c>
      <c r="H2488" s="1063" t="s">
        <v>5685</v>
      </c>
      <c r="I2488" s="1063"/>
      <c r="J2488" s="1034"/>
      <c r="K2488" s="1034"/>
      <c r="L2488" s="1036" t="s">
        <v>106</v>
      </c>
      <c r="M2488" s="1037" t="s">
        <v>107</v>
      </c>
      <c r="N2488" s="1034"/>
      <c r="O2488" s="1064"/>
      <c r="P2488" s="1035"/>
      <c r="Q2488" s="1036"/>
      <c r="R2488" s="1038">
        <v>44003500</v>
      </c>
      <c r="S2488" s="1131" t="s">
        <v>3116</v>
      </c>
      <c r="T2488" s="1036" t="s">
        <v>8150</v>
      </c>
      <c r="U2488" s="1066">
        <v>1</v>
      </c>
      <c r="V2488" s="1035" t="s">
        <v>3</v>
      </c>
      <c r="W2488" s="1039"/>
      <c r="X2488" s="1040">
        <f t="shared" si="508"/>
        <v>0</v>
      </c>
      <c r="Y2488" s="1045"/>
      <c r="Z2488" s="1041">
        <v>74.3</v>
      </c>
      <c r="AA2488" s="1041" t="s">
        <v>40</v>
      </c>
      <c r="AB2488" s="1041">
        <f t="shared" si="518"/>
        <v>0</v>
      </c>
      <c r="AC2488" s="1042">
        <f t="shared" si="519"/>
        <v>74.3</v>
      </c>
      <c r="AD2488" s="1043">
        <v>32000</v>
      </c>
      <c r="AE2488" s="1044"/>
      <c r="AF2488" s="1045"/>
      <c r="AG2488" s="1046"/>
      <c r="AH2488" s="1045"/>
      <c r="AI2488" s="1047"/>
      <c r="AJ2488" s="1038" t="s">
        <v>8134</v>
      </c>
      <c r="AK2488" s="1048">
        <v>46170</v>
      </c>
      <c r="AL2488" s="1036" t="s">
        <v>8135</v>
      </c>
      <c r="AM2488" s="1036" t="s">
        <v>8136</v>
      </c>
      <c r="AN2488" s="1036" t="s">
        <v>3951</v>
      </c>
      <c r="AO2488" s="1037" t="s">
        <v>7236</v>
      </c>
      <c r="AP2488" s="1034"/>
      <c r="AQ2488" s="1035"/>
      <c r="AR2488" s="1034"/>
      <c r="AS2488" s="1035" t="s">
        <v>8137</v>
      </c>
      <c r="AT2488" s="1035" t="s">
        <v>1875</v>
      </c>
      <c r="AU2488" s="1035" t="s">
        <v>1602</v>
      </c>
      <c r="AV2488" s="1038"/>
      <c r="AW2488" s="1050"/>
      <c r="AX2488" s="1051"/>
      <c r="AY2488" s="1036"/>
      <c r="AZ2488" s="1035"/>
      <c r="BA2488" s="1035"/>
      <c r="BB2488" s="1052"/>
      <c r="BC2488" s="1053"/>
      <c r="BD2488" s="1049"/>
      <c r="BE2488" s="1054"/>
      <c r="BF2488" s="1055"/>
      <c r="BG2488" s="1055"/>
      <c r="BH2488" s="1055"/>
      <c r="BI2488" s="1055"/>
      <c r="BJ2488" s="1055"/>
      <c r="BK2488" s="1055"/>
      <c r="BL2488" s="1055"/>
      <c r="BM2488" s="1055"/>
      <c r="BN2488" s="1055"/>
      <c r="BO2488" s="1056"/>
      <c r="BP2488" s="1056"/>
      <c r="BQ2488" s="1056"/>
      <c r="BR2488" s="1056"/>
      <c r="BS2488" s="1056"/>
      <c r="BT2488" s="1056"/>
      <c r="BU2488" s="1056"/>
      <c r="BV2488" s="1057"/>
      <c r="BW2488" s="1057"/>
      <c r="BX2488" s="1148"/>
      <c r="BY2488" s="1057"/>
      <c r="BZ2488" s="1057"/>
      <c r="CA2488" s="1057"/>
      <c r="CB2488" s="1032"/>
    </row>
    <row r="2489" spans="2:81">
      <c r="B2489" s="1033" t="s">
        <v>7731</v>
      </c>
      <c r="C2489" s="1033" t="s">
        <v>2689</v>
      </c>
      <c r="D2489" s="1033" t="s">
        <v>8138</v>
      </c>
      <c r="E2489" s="1033" t="s">
        <v>5685</v>
      </c>
      <c r="F2489" s="1034">
        <v>46108</v>
      </c>
      <c r="G2489" s="1033" t="s">
        <v>2689</v>
      </c>
      <c r="H2489" s="1063" t="s">
        <v>5685</v>
      </c>
      <c r="I2489" s="1063"/>
      <c r="J2489" s="1034"/>
      <c r="K2489" s="1034"/>
      <c r="L2489" s="1036" t="s">
        <v>106</v>
      </c>
      <c r="M2489" s="1037" t="s">
        <v>107</v>
      </c>
      <c r="N2489" s="1034"/>
      <c r="O2489" s="1064"/>
      <c r="P2489" s="1035"/>
      <c r="Q2489" s="1036"/>
      <c r="R2489" s="1038">
        <v>90119902</v>
      </c>
      <c r="S2489" s="1131" t="s">
        <v>8151</v>
      </c>
      <c r="T2489" s="1036" t="s">
        <v>8152</v>
      </c>
      <c r="U2489" s="1066">
        <v>1</v>
      </c>
      <c r="V2489" s="1035" t="s">
        <v>3</v>
      </c>
      <c r="W2489" s="1039"/>
      <c r="X2489" s="1040">
        <f t="shared" si="508"/>
        <v>0</v>
      </c>
      <c r="Y2489" s="1045"/>
      <c r="Z2489" s="1041">
        <v>36</v>
      </c>
      <c r="AA2489" s="1041" t="s">
        <v>40</v>
      </c>
      <c r="AB2489" s="1041">
        <f t="shared" si="518"/>
        <v>0</v>
      </c>
      <c r="AC2489" s="1042">
        <f t="shared" si="519"/>
        <v>36</v>
      </c>
      <c r="AD2489" s="1043">
        <v>32000</v>
      </c>
      <c r="AE2489" s="1044"/>
      <c r="AF2489" s="1045"/>
      <c r="AG2489" s="1046"/>
      <c r="AH2489" s="1045"/>
      <c r="AI2489" s="1047"/>
      <c r="AJ2489" s="1038" t="s">
        <v>8134</v>
      </c>
      <c r="AK2489" s="1048">
        <v>46170</v>
      </c>
      <c r="AL2489" s="1036" t="s">
        <v>8135</v>
      </c>
      <c r="AM2489" s="1036" t="s">
        <v>8136</v>
      </c>
      <c r="AN2489" s="1036" t="s">
        <v>3951</v>
      </c>
      <c r="AO2489" s="1037" t="s">
        <v>7236</v>
      </c>
      <c r="AP2489" s="1034"/>
      <c r="AQ2489" s="1035"/>
      <c r="AR2489" s="1034"/>
      <c r="AS2489" s="1035" t="s">
        <v>8137</v>
      </c>
      <c r="AT2489" s="1035" t="s">
        <v>1875</v>
      </c>
      <c r="AU2489" s="1035" t="s">
        <v>1602</v>
      </c>
      <c r="AV2489" s="1038"/>
      <c r="AW2489" s="1050"/>
      <c r="AX2489" s="1051"/>
      <c r="AY2489" s="1036"/>
      <c r="AZ2489" s="1035"/>
      <c r="BA2489" s="1035"/>
      <c r="BB2489" s="1052"/>
      <c r="BC2489" s="1053"/>
      <c r="BD2489" s="1049"/>
      <c r="BE2489" s="1054"/>
      <c r="BF2489" s="1055"/>
      <c r="BG2489" s="1055"/>
      <c r="BH2489" s="1055"/>
      <c r="BI2489" s="1055"/>
      <c r="BJ2489" s="1055"/>
      <c r="BK2489" s="1055"/>
      <c r="BL2489" s="1055"/>
      <c r="BM2489" s="1055"/>
      <c r="BN2489" s="1055"/>
      <c r="BO2489" s="1056"/>
      <c r="BP2489" s="1056"/>
      <c r="BQ2489" s="1056"/>
      <c r="BR2489" s="1056"/>
      <c r="BS2489" s="1056"/>
      <c r="BT2489" s="1056"/>
      <c r="BU2489" s="1056"/>
      <c r="BV2489" s="1057"/>
      <c r="BW2489" s="1057"/>
      <c r="BX2489" s="1148"/>
      <c r="BY2489" s="1057"/>
      <c r="BZ2489" s="1057"/>
      <c r="CA2489" s="1057"/>
      <c r="CB2489" s="1032"/>
    </row>
    <row r="2490" spans="2:81">
      <c r="B2490" s="1033" t="s">
        <v>7731</v>
      </c>
      <c r="C2490" s="1033" t="s">
        <v>2689</v>
      </c>
      <c r="D2490" s="1033" t="s">
        <v>8138</v>
      </c>
      <c r="E2490" s="1033" t="s">
        <v>5685</v>
      </c>
      <c r="F2490" s="1034">
        <v>46108</v>
      </c>
      <c r="G2490" s="1033" t="s">
        <v>2689</v>
      </c>
      <c r="H2490" s="1063" t="s">
        <v>5685</v>
      </c>
      <c r="I2490" s="1063"/>
      <c r="J2490" s="1034"/>
      <c r="K2490" s="1034"/>
      <c r="L2490" s="1036" t="s">
        <v>106</v>
      </c>
      <c r="M2490" s="1037" t="s">
        <v>107</v>
      </c>
      <c r="N2490" s="1034"/>
      <c r="O2490" s="1064"/>
      <c r="P2490" s="1035"/>
      <c r="Q2490" s="1036"/>
      <c r="R2490" s="1038">
        <v>90123902</v>
      </c>
      <c r="S2490" s="1131" t="s">
        <v>8153</v>
      </c>
      <c r="T2490" s="1036" t="s">
        <v>8154</v>
      </c>
      <c r="U2490" s="1066">
        <v>1</v>
      </c>
      <c r="V2490" s="1035" t="s">
        <v>3</v>
      </c>
      <c r="W2490" s="1039"/>
      <c r="X2490" s="1040">
        <f t="shared" si="508"/>
        <v>0</v>
      </c>
      <c r="Y2490" s="1045"/>
      <c r="Z2490" s="1041">
        <v>45.3</v>
      </c>
      <c r="AA2490" s="1041" t="s">
        <v>40</v>
      </c>
      <c r="AB2490" s="1041">
        <f t="shared" si="518"/>
        <v>0</v>
      </c>
      <c r="AC2490" s="1042">
        <f t="shared" si="519"/>
        <v>45.3</v>
      </c>
      <c r="AD2490" s="1043">
        <v>32000</v>
      </c>
      <c r="AE2490" s="1044"/>
      <c r="AF2490" s="1045"/>
      <c r="AG2490" s="1046"/>
      <c r="AH2490" s="1045"/>
      <c r="AI2490" s="1047"/>
      <c r="AJ2490" s="1038" t="s">
        <v>8134</v>
      </c>
      <c r="AK2490" s="1048">
        <v>46170</v>
      </c>
      <c r="AL2490" s="1036" t="s">
        <v>8135</v>
      </c>
      <c r="AM2490" s="1036" t="s">
        <v>8136</v>
      </c>
      <c r="AN2490" s="1036" t="s">
        <v>3951</v>
      </c>
      <c r="AO2490" s="1037" t="s">
        <v>7236</v>
      </c>
      <c r="AP2490" s="1034"/>
      <c r="AQ2490" s="1035"/>
      <c r="AR2490" s="1034"/>
      <c r="AS2490" s="1035" t="s">
        <v>8137</v>
      </c>
      <c r="AT2490" s="1035" t="s">
        <v>1875</v>
      </c>
      <c r="AU2490" s="1035" t="s">
        <v>1602</v>
      </c>
      <c r="AV2490" s="1038"/>
      <c r="AW2490" s="1050"/>
      <c r="AX2490" s="1051"/>
      <c r="AY2490" s="1036"/>
      <c r="AZ2490" s="1035"/>
      <c r="BA2490" s="1035"/>
      <c r="BB2490" s="1052"/>
      <c r="BC2490" s="1053"/>
      <c r="BD2490" s="1049"/>
      <c r="BE2490" s="1054"/>
      <c r="BF2490" s="1055"/>
      <c r="BG2490" s="1055"/>
      <c r="BH2490" s="1055"/>
      <c r="BI2490" s="1055"/>
      <c r="BJ2490" s="1055"/>
      <c r="BK2490" s="1055"/>
      <c r="BL2490" s="1055"/>
      <c r="BM2490" s="1055"/>
      <c r="BN2490" s="1055"/>
      <c r="BO2490" s="1056"/>
      <c r="BP2490" s="1056"/>
      <c r="BQ2490" s="1056"/>
      <c r="BR2490" s="1056"/>
      <c r="BS2490" s="1056"/>
      <c r="BT2490" s="1056"/>
      <c r="BU2490" s="1056"/>
      <c r="BV2490" s="1057"/>
      <c r="BW2490" s="1057"/>
      <c r="BX2490" s="1148"/>
      <c r="BY2490" s="1057"/>
      <c r="BZ2490" s="1057"/>
      <c r="CA2490" s="1057"/>
      <c r="CB2490" s="1032"/>
    </row>
    <row r="2491" spans="2:81">
      <c r="B2491" s="1033" t="s">
        <v>7731</v>
      </c>
      <c r="C2491" s="1033" t="s">
        <v>2689</v>
      </c>
      <c r="D2491" s="1033" t="s">
        <v>8138</v>
      </c>
      <c r="E2491" s="1033" t="s">
        <v>5685</v>
      </c>
      <c r="F2491" s="1034">
        <v>46108</v>
      </c>
      <c r="G2491" s="1033" t="s">
        <v>2689</v>
      </c>
      <c r="H2491" s="1063" t="s">
        <v>5685</v>
      </c>
      <c r="I2491" s="1063"/>
      <c r="J2491" s="1034"/>
      <c r="K2491" s="1034"/>
      <c r="L2491" s="1036" t="s">
        <v>106</v>
      </c>
      <c r="M2491" s="1037" t="s">
        <v>107</v>
      </c>
      <c r="N2491" s="1034"/>
      <c r="O2491" s="1064"/>
      <c r="P2491" s="1035"/>
      <c r="Q2491" s="1036"/>
      <c r="R2491" s="1038">
        <v>35107730</v>
      </c>
      <c r="S2491" s="1131" t="s">
        <v>8155</v>
      </c>
      <c r="T2491" s="1036" t="s">
        <v>8156</v>
      </c>
      <c r="U2491" s="1066">
        <v>1</v>
      </c>
      <c r="V2491" s="1035" t="s">
        <v>3</v>
      </c>
      <c r="W2491" s="1039"/>
      <c r="X2491" s="1040">
        <f t="shared" si="508"/>
        <v>0</v>
      </c>
      <c r="Y2491" s="1045"/>
      <c r="Z2491" s="1041">
        <v>8.6</v>
      </c>
      <c r="AA2491" s="1041" t="s">
        <v>40</v>
      </c>
      <c r="AB2491" s="1041">
        <f t="shared" si="518"/>
        <v>0</v>
      </c>
      <c r="AC2491" s="1042">
        <f t="shared" si="519"/>
        <v>8.6</v>
      </c>
      <c r="AD2491" s="1043">
        <v>32000</v>
      </c>
      <c r="AE2491" s="1044"/>
      <c r="AF2491" s="1045"/>
      <c r="AG2491" s="1046"/>
      <c r="AH2491" s="1045"/>
      <c r="AI2491" s="1047"/>
      <c r="AJ2491" s="1038" t="s">
        <v>8134</v>
      </c>
      <c r="AK2491" s="1048">
        <v>46170</v>
      </c>
      <c r="AL2491" s="1036" t="s">
        <v>8135</v>
      </c>
      <c r="AM2491" s="1036" t="s">
        <v>8136</v>
      </c>
      <c r="AN2491" s="1036" t="s">
        <v>3951</v>
      </c>
      <c r="AO2491" s="1037" t="s">
        <v>7236</v>
      </c>
      <c r="AP2491" s="1034"/>
      <c r="AQ2491" s="1035"/>
      <c r="AR2491" s="1034"/>
      <c r="AS2491" s="1035" t="s">
        <v>8137</v>
      </c>
      <c r="AT2491" s="1035" t="s">
        <v>1875</v>
      </c>
      <c r="AU2491" s="1035" t="s">
        <v>1602</v>
      </c>
      <c r="AV2491" s="1038"/>
      <c r="AW2491" s="1050"/>
      <c r="AX2491" s="1051"/>
      <c r="AY2491" s="1036"/>
      <c r="AZ2491" s="1035"/>
      <c r="BA2491" s="1035"/>
      <c r="BB2491" s="1052"/>
      <c r="BC2491" s="1053"/>
      <c r="BD2491" s="1049"/>
      <c r="BE2491" s="1054"/>
      <c r="BF2491" s="1055"/>
      <c r="BG2491" s="1055"/>
      <c r="BH2491" s="1055"/>
      <c r="BI2491" s="1055"/>
      <c r="BJ2491" s="1055"/>
      <c r="BK2491" s="1055"/>
      <c r="BL2491" s="1055"/>
      <c r="BM2491" s="1055"/>
      <c r="BN2491" s="1055"/>
      <c r="BO2491" s="1056"/>
      <c r="BP2491" s="1056"/>
      <c r="BQ2491" s="1056"/>
      <c r="BR2491" s="1056"/>
      <c r="BS2491" s="1056"/>
      <c r="BT2491" s="1056"/>
      <c r="BU2491" s="1056"/>
      <c r="BV2491" s="1057"/>
      <c r="BW2491" s="1057"/>
      <c r="BX2491" s="1148"/>
      <c r="BY2491" s="1057"/>
      <c r="BZ2491" s="1057"/>
      <c r="CA2491" s="1057"/>
      <c r="CB2491" s="1032"/>
    </row>
    <row r="2492" spans="2:81">
      <c r="B2492" s="1033" t="s">
        <v>7731</v>
      </c>
      <c r="C2492" s="1033" t="s">
        <v>2689</v>
      </c>
      <c r="D2492" s="1033" t="s">
        <v>8138</v>
      </c>
      <c r="E2492" s="1033" t="s">
        <v>5685</v>
      </c>
      <c r="F2492" s="1034">
        <v>46108</v>
      </c>
      <c r="G2492" s="1033" t="s">
        <v>2689</v>
      </c>
      <c r="H2492" s="1063" t="s">
        <v>5685</v>
      </c>
      <c r="I2492" s="1063"/>
      <c r="J2492" s="1034"/>
      <c r="K2492" s="1034"/>
      <c r="L2492" s="1036" t="s">
        <v>106</v>
      </c>
      <c r="M2492" s="1037" t="s">
        <v>107</v>
      </c>
      <c r="N2492" s="1034"/>
      <c r="O2492" s="1064"/>
      <c r="P2492" s="1035"/>
      <c r="Q2492" s="1036"/>
      <c r="R2492" s="1038">
        <v>35107853</v>
      </c>
      <c r="S2492" s="1131" t="s">
        <v>8157</v>
      </c>
      <c r="T2492" s="1036" t="s">
        <v>8158</v>
      </c>
      <c r="U2492" s="1066">
        <v>1</v>
      </c>
      <c r="V2492" s="1035" t="s">
        <v>3</v>
      </c>
      <c r="W2492" s="1039"/>
      <c r="X2492" s="1040">
        <f t="shared" si="508"/>
        <v>0</v>
      </c>
      <c r="Y2492" s="1045"/>
      <c r="Z2492" s="1041">
        <v>9.4</v>
      </c>
      <c r="AA2492" s="1041" t="s">
        <v>40</v>
      </c>
      <c r="AB2492" s="1041">
        <f t="shared" si="518"/>
        <v>0</v>
      </c>
      <c r="AC2492" s="1042">
        <f t="shared" si="519"/>
        <v>9.4</v>
      </c>
      <c r="AD2492" s="1043">
        <v>32000</v>
      </c>
      <c r="AE2492" s="1044"/>
      <c r="AF2492" s="1045"/>
      <c r="AG2492" s="1046"/>
      <c r="AH2492" s="1045"/>
      <c r="AI2492" s="1047"/>
      <c r="AJ2492" s="1038" t="s">
        <v>8134</v>
      </c>
      <c r="AK2492" s="1048">
        <v>46170</v>
      </c>
      <c r="AL2492" s="1036" t="s">
        <v>8135</v>
      </c>
      <c r="AM2492" s="1036" t="s">
        <v>8136</v>
      </c>
      <c r="AN2492" s="1036" t="s">
        <v>3951</v>
      </c>
      <c r="AO2492" s="1037" t="s">
        <v>7236</v>
      </c>
      <c r="AP2492" s="1034"/>
      <c r="AQ2492" s="1035"/>
      <c r="AR2492" s="1034"/>
      <c r="AS2492" s="1035" t="s">
        <v>8137</v>
      </c>
      <c r="AT2492" s="1035" t="s">
        <v>1875</v>
      </c>
      <c r="AU2492" s="1035" t="s">
        <v>1602</v>
      </c>
      <c r="AV2492" s="1038"/>
      <c r="AW2492" s="1050"/>
      <c r="AX2492" s="1051"/>
      <c r="AY2492" s="1036"/>
      <c r="AZ2492" s="1035"/>
      <c r="BA2492" s="1035"/>
      <c r="BB2492" s="1052"/>
      <c r="BC2492" s="1053"/>
      <c r="BD2492" s="1049"/>
      <c r="BE2492" s="1054"/>
      <c r="BF2492" s="1055"/>
      <c r="BG2492" s="1055"/>
      <c r="BH2492" s="1055"/>
      <c r="BI2492" s="1055"/>
      <c r="BJ2492" s="1055"/>
      <c r="BK2492" s="1055"/>
      <c r="BL2492" s="1055"/>
      <c r="BM2492" s="1055"/>
      <c r="BN2492" s="1055"/>
      <c r="BO2492" s="1056"/>
      <c r="BP2492" s="1056"/>
      <c r="BQ2492" s="1056"/>
      <c r="BR2492" s="1056"/>
      <c r="BS2492" s="1056"/>
      <c r="BT2492" s="1056"/>
      <c r="BU2492" s="1056"/>
      <c r="BV2492" s="1057"/>
      <c r="BW2492" s="1057"/>
      <c r="BX2492" s="1148"/>
      <c r="BY2492" s="1057"/>
      <c r="BZ2492" s="1057"/>
      <c r="CA2492" s="1057"/>
      <c r="CB2492" s="1032"/>
    </row>
    <row r="2493" spans="2:81">
      <c r="B2493" s="1033"/>
      <c r="C2493" s="1033"/>
      <c r="D2493" s="1033"/>
      <c r="E2493" s="1033"/>
      <c r="F2493" s="1034"/>
      <c r="G2493" s="1033"/>
      <c r="H2493" s="1063"/>
      <c r="I2493" s="1063"/>
      <c r="J2493" s="1034"/>
      <c r="K2493" s="1034"/>
      <c r="L2493" s="1036"/>
      <c r="M2493" s="1037"/>
      <c r="N2493" s="1034"/>
      <c r="O2493" s="1064"/>
      <c r="P2493" s="1035"/>
      <c r="Q2493" s="1036"/>
      <c r="R2493" s="1038"/>
      <c r="S2493" s="1131"/>
      <c r="T2493" s="1036"/>
      <c r="U2493" s="1066"/>
      <c r="V2493" s="1035"/>
      <c r="W2493" s="1039"/>
      <c r="X2493" s="1040"/>
      <c r="Y2493" s="1045"/>
      <c r="Z2493" s="1041"/>
      <c r="AA2493" s="1041"/>
      <c r="AB2493" s="1041"/>
      <c r="AC2493" s="1042"/>
      <c r="AD2493" s="1043"/>
      <c r="AE2493" s="1044"/>
      <c r="AF2493" s="1045"/>
      <c r="AG2493" s="1046"/>
      <c r="AH2493" s="1045"/>
      <c r="AI2493" s="1047"/>
      <c r="AJ2493" s="1038"/>
      <c r="AK2493" s="1048"/>
      <c r="AL2493" s="1036"/>
      <c r="AM2493" s="1036"/>
      <c r="AN2493" s="1037"/>
      <c r="AO2493" s="1037"/>
      <c r="AP2493" s="1034"/>
      <c r="AQ2493" s="1035"/>
      <c r="AR2493" s="1034"/>
      <c r="AS2493" s="1035"/>
      <c r="AT2493" s="1035"/>
      <c r="AU2493" s="1035"/>
      <c r="AV2493" s="1038"/>
      <c r="AW2493" s="1050"/>
      <c r="AX2493" s="1051"/>
      <c r="AY2493" s="1036"/>
      <c r="AZ2493" s="1035"/>
      <c r="BA2493" s="1035"/>
      <c r="BB2493" s="1052"/>
      <c r="BC2493" s="1053"/>
      <c r="BD2493" s="1049"/>
      <c r="BE2493" s="1054"/>
      <c r="BF2493" s="1055"/>
      <c r="BG2493" s="1055"/>
      <c r="BH2493" s="1055"/>
      <c r="BI2493" s="1055"/>
      <c r="BJ2493" s="1055"/>
      <c r="BK2493" s="1055"/>
      <c r="BL2493" s="1055"/>
      <c r="BM2493" s="1055"/>
      <c r="BN2493" s="1055"/>
      <c r="BO2493" s="1056"/>
      <c r="BP2493" s="1056"/>
      <c r="BQ2493" s="1056"/>
      <c r="BR2493" s="1056"/>
      <c r="BS2493" s="1056"/>
      <c r="BT2493" s="1056"/>
      <c r="BU2493" s="1056"/>
      <c r="BV2493" s="1057"/>
      <c r="BW2493" s="1057"/>
      <c r="BX2493" s="1148"/>
      <c r="BY2493" s="1057"/>
      <c r="BZ2493" s="1057"/>
      <c r="CA2493" s="1057"/>
      <c r="CB2493" s="1032"/>
    </row>
    <row r="2494" spans="2:81">
      <c r="B2494" s="1033" t="s">
        <v>7731</v>
      </c>
      <c r="C2494" s="1033" t="s">
        <v>5697</v>
      </c>
      <c r="D2494" s="1033" t="s">
        <v>8159</v>
      </c>
      <c r="E2494" s="1033" t="s">
        <v>8159</v>
      </c>
      <c r="F2494" s="1034">
        <v>46063</v>
      </c>
      <c r="G2494" s="1058" t="s">
        <v>5697</v>
      </c>
      <c r="H2494" s="1063" t="s">
        <v>102</v>
      </c>
      <c r="I2494" s="1063" t="s">
        <v>8160</v>
      </c>
      <c r="J2494" s="1034">
        <v>46063</v>
      </c>
      <c r="K2494" s="1034">
        <v>46244</v>
      </c>
      <c r="L2494" s="1036" t="s">
        <v>7950</v>
      </c>
      <c r="M2494" s="1037" t="s">
        <v>107</v>
      </c>
      <c r="N2494" s="1034"/>
      <c r="O2494" s="1064"/>
      <c r="P2494" s="1035"/>
      <c r="Q2494" s="1036"/>
      <c r="R2494" s="1038">
        <v>63701000</v>
      </c>
      <c r="S2494" s="1131" t="s">
        <v>8161</v>
      </c>
      <c r="T2494" s="1065" t="s">
        <v>8162</v>
      </c>
      <c r="U2494" s="1066">
        <v>2</v>
      </c>
      <c r="V2494" s="1035" t="s">
        <v>3</v>
      </c>
      <c r="W2494" s="1039">
        <v>3700</v>
      </c>
      <c r="X2494" s="1040">
        <f t="shared" si="508"/>
        <v>7400</v>
      </c>
      <c r="Y2494" s="1045" t="s">
        <v>8163</v>
      </c>
      <c r="Z2494" s="1041">
        <v>1892.77</v>
      </c>
      <c r="AA2494" s="1041"/>
      <c r="AB2494" s="1041">
        <f t="shared" ref="AB2494:AB2495" si="520">IF(AA2494="F.O.C", 0, Z2494*U2494)</f>
        <v>3785.54</v>
      </c>
      <c r="AC2494" s="1042">
        <f t="shared" ref="AC2494:AC2495" si="521">Z2494*U2494</f>
        <v>3785.54</v>
      </c>
      <c r="AD2494" s="1043">
        <v>32000</v>
      </c>
      <c r="AE2494" s="1044"/>
      <c r="AF2494" s="1045"/>
      <c r="AG2494" s="1046"/>
      <c r="AH2494" s="1045"/>
      <c r="AI2494" s="1047"/>
      <c r="AJ2494" s="1038" t="s">
        <v>8164</v>
      </c>
      <c r="AK2494" s="1048">
        <v>46203</v>
      </c>
      <c r="AL2494" s="1036" t="s">
        <v>8165</v>
      </c>
      <c r="AM2494" s="1036"/>
      <c r="AN2494" s="1036" t="s">
        <v>3951</v>
      </c>
      <c r="AO2494" s="1037" t="s">
        <v>7236</v>
      </c>
      <c r="AP2494" s="1034"/>
      <c r="AQ2494" s="1035"/>
      <c r="AR2494" s="1034"/>
      <c r="AS2494" s="1035" t="s">
        <v>8166</v>
      </c>
      <c r="AT2494" s="1035" t="s">
        <v>1875</v>
      </c>
      <c r="AU2494" s="1035" t="s">
        <v>1565</v>
      </c>
      <c r="AV2494" s="1038"/>
      <c r="AW2494" s="1050"/>
      <c r="AX2494" s="1051"/>
      <c r="AY2494" s="1036"/>
      <c r="AZ2494" s="1035"/>
      <c r="BA2494" s="1035"/>
      <c r="BB2494" s="1052"/>
      <c r="BC2494" s="1053"/>
      <c r="BD2494" s="1049"/>
      <c r="BE2494" s="1054"/>
      <c r="BF2494" s="1055"/>
      <c r="BG2494" s="1055"/>
      <c r="BH2494" s="1055"/>
      <c r="BI2494" s="1055"/>
      <c r="BJ2494" s="1055"/>
      <c r="BK2494" s="1055"/>
      <c r="BL2494" s="1055"/>
      <c r="BM2494" s="1055"/>
      <c r="BN2494" s="1055"/>
      <c r="BO2494" s="1056"/>
      <c r="BP2494" s="1056"/>
      <c r="BQ2494" s="1056"/>
      <c r="BR2494" s="1056"/>
      <c r="BS2494" s="1056"/>
      <c r="BT2494" s="1056"/>
      <c r="BU2494" s="1056"/>
      <c r="BV2494" s="1057"/>
      <c r="BW2494" s="1057"/>
      <c r="BX2494" s="1148"/>
      <c r="BY2494" s="1057"/>
      <c r="BZ2494" s="1057"/>
      <c r="CA2494" s="1057"/>
      <c r="CB2494" s="1032"/>
      <c r="CC2494" s="1069"/>
    </row>
    <row r="2495" spans="2:81">
      <c r="B2495" s="1033" t="s">
        <v>7731</v>
      </c>
      <c r="C2495" s="1033" t="s">
        <v>5697</v>
      </c>
      <c r="D2495" s="1033" t="s">
        <v>8159</v>
      </c>
      <c r="E2495" s="1033" t="s">
        <v>8159</v>
      </c>
      <c r="F2495" s="1034">
        <v>46063</v>
      </c>
      <c r="G2495" s="1058" t="s">
        <v>5697</v>
      </c>
      <c r="H2495" s="1063" t="s">
        <v>102</v>
      </c>
      <c r="I2495" s="1063" t="s">
        <v>8160</v>
      </c>
      <c r="J2495" s="1034">
        <v>46063</v>
      </c>
      <c r="K2495" s="1034">
        <v>46244</v>
      </c>
      <c r="L2495" s="1036" t="s">
        <v>7950</v>
      </c>
      <c r="M2495" s="1037" t="s">
        <v>107</v>
      </c>
      <c r="N2495" s="1034"/>
      <c r="O2495" s="1064"/>
      <c r="P2495" s="1035"/>
      <c r="Q2495" s="1036"/>
      <c r="R2495" s="1038" t="s">
        <v>5852</v>
      </c>
      <c r="S2495" s="1131" t="s">
        <v>5853</v>
      </c>
      <c r="T2495" s="1065" t="s">
        <v>8167</v>
      </c>
      <c r="U2495" s="1066">
        <v>2</v>
      </c>
      <c r="V2495" s="1035" t="s">
        <v>3</v>
      </c>
      <c r="W2495" s="1039">
        <v>2025</v>
      </c>
      <c r="X2495" s="1040">
        <f t="shared" si="508"/>
        <v>4050</v>
      </c>
      <c r="Y2495" s="1045" t="s">
        <v>8163</v>
      </c>
      <c r="Z2495" s="1041">
        <v>1035.9100000000001</v>
      </c>
      <c r="AA2495" s="1041"/>
      <c r="AB2495" s="1041">
        <f t="shared" si="520"/>
        <v>2071.8200000000002</v>
      </c>
      <c r="AC2495" s="1042">
        <f t="shared" si="521"/>
        <v>2071.8200000000002</v>
      </c>
      <c r="AD2495" s="1043">
        <v>32000</v>
      </c>
      <c r="AE2495" s="1044"/>
      <c r="AF2495" s="1045"/>
      <c r="AG2495" s="1046"/>
      <c r="AH2495" s="1045"/>
      <c r="AI2495" s="1047"/>
      <c r="AJ2495" s="1038" t="s">
        <v>8164</v>
      </c>
      <c r="AK2495" s="1048">
        <v>46203</v>
      </c>
      <c r="AL2495" s="1036" t="s">
        <v>8165</v>
      </c>
      <c r="AM2495" s="1036"/>
      <c r="AN2495" s="1036" t="s">
        <v>3951</v>
      </c>
      <c r="AO2495" s="1037" t="s">
        <v>7236</v>
      </c>
      <c r="AP2495" s="1034"/>
      <c r="AQ2495" s="1035"/>
      <c r="AR2495" s="1034"/>
      <c r="AS2495" s="1035" t="s">
        <v>8166</v>
      </c>
      <c r="AT2495" s="1035" t="s">
        <v>1875</v>
      </c>
      <c r="AU2495" s="1035" t="s">
        <v>1565</v>
      </c>
      <c r="AV2495" s="1038"/>
      <c r="AW2495" s="1050"/>
      <c r="AX2495" s="1051"/>
      <c r="AY2495" s="1036"/>
      <c r="AZ2495" s="1035"/>
      <c r="BA2495" s="1035"/>
      <c r="BB2495" s="1052"/>
      <c r="BC2495" s="1053"/>
      <c r="BD2495" s="1049"/>
      <c r="BE2495" s="1054"/>
      <c r="BF2495" s="1055"/>
      <c r="BG2495" s="1055"/>
      <c r="BH2495" s="1055"/>
      <c r="BI2495" s="1055"/>
      <c r="BJ2495" s="1055"/>
      <c r="BK2495" s="1055"/>
      <c r="BL2495" s="1055"/>
      <c r="BM2495" s="1055"/>
      <c r="BN2495" s="1055"/>
      <c r="BO2495" s="1056"/>
      <c r="BP2495" s="1056"/>
      <c r="BQ2495" s="1056"/>
      <c r="BR2495" s="1056"/>
      <c r="BS2495" s="1056"/>
      <c r="BT2495" s="1056"/>
      <c r="BU2495" s="1056"/>
      <c r="BV2495" s="1057"/>
      <c r="BW2495" s="1057"/>
      <c r="BX2495" s="1148"/>
      <c r="BY2495" s="1057"/>
      <c r="BZ2495" s="1057"/>
      <c r="CA2495" s="1057"/>
      <c r="CB2495" s="1032"/>
      <c r="CC2495" s="1069"/>
    </row>
    <row r="2496" spans="2:81">
      <c r="B2496" s="1033" t="s">
        <v>7731</v>
      </c>
      <c r="C2496" s="1033" t="s">
        <v>5697</v>
      </c>
      <c r="D2496" s="1033" t="s">
        <v>8159</v>
      </c>
      <c r="E2496" s="1033" t="s">
        <v>8159</v>
      </c>
      <c r="F2496" s="1034">
        <v>46063</v>
      </c>
      <c r="G2496" s="1058" t="s">
        <v>5697</v>
      </c>
      <c r="H2496" s="1063" t="s">
        <v>102</v>
      </c>
      <c r="I2496" s="1063" t="s">
        <v>8160</v>
      </c>
      <c r="J2496" s="1034"/>
      <c r="K2496" s="1034"/>
      <c r="L2496" s="1036" t="s">
        <v>7950</v>
      </c>
      <c r="M2496" s="1037" t="s">
        <v>107</v>
      </c>
      <c r="N2496" s="1034"/>
      <c r="O2496" s="1064"/>
      <c r="P2496" s="1035"/>
      <c r="Q2496" s="1036"/>
      <c r="R2496" s="1038" t="s">
        <v>5865</v>
      </c>
      <c r="S2496" s="1131" t="s">
        <v>5866</v>
      </c>
      <c r="T2496" s="1036" t="s">
        <v>8168</v>
      </c>
      <c r="U2496" s="1066">
        <v>1</v>
      </c>
      <c r="V2496" s="1035" t="s">
        <v>3</v>
      </c>
      <c r="W2496" s="1039">
        <v>4985</v>
      </c>
      <c r="X2496" s="1040">
        <f t="shared" si="508"/>
        <v>4985</v>
      </c>
      <c r="Y2496" s="1045" t="s">
        <v>8163</v>
      </c>
      <c r="Z2496" s="1041">
        <v>2550.13</v>
      </c>
      <c r="AA2496" s="1041"/>
      <c r="AB2496" s="1041">
        <f t="shared" ref="AB2496:AB2504" si="522">IF(AA2496="F.O.C", 0, Z2496*U2496)</f>
        <v>2550.13</v>
      </c>
      <c r="AC2496" s="1042">
        <f t="shared" ref="AC2496:AC2504" si="523">Z2496*U2496</f>
        <v>2550.13</v>
      </c>
      <c r="AD2496" s="1043">
        <v>32000</v>
      </c>
      <c r="AE2496" s="1044"/>
      <c r="AF2496" s="1045"/>
      <c r="AG2496" s="1046"/>
      <c r="AH2496" s="1045"/>
      <c r="AI2496" s="1047"/>
      <c r="AJ2496" s="1038" t="s">
        <v>8164</v>
      </c>
      <c r="AK2496" s="1048">
        <v>46203</v>
      </c>
      <c r="AL2496" s="1036" t="s">
        <v>8165</v>
      </c>
      <c r="AM2496" s="1036"/>
      <c r="AN2496" s="1036" t="s">
        <v>3951</v>
      </c>
      <c r="AO2496" s="1037" t="s">
        <v>7236</v>
      </c>
      <c r="AP2496" s="1034"/>
      <c r="AQ2496" s="1035"/>
      <c r="AR2496" s="1034"/>
      <c r="AS2496" s="1035" t="s">
        <v>8166</v>
      </c>
      <c r="AT2496" s="1035" t="s">
        <v>1875</v>
      </c>
      <c r="AU2496" s="1035" t="s">
        <v>1565</v>
      </c>
      <c r="AV2496" s="1038"/>
      <c r="AW2496" s="1050"/>
      <c r="AX2496" s="1051"/>
      <c r="AY2496" s="1036"/>
      <c r="AZ2496" s="1035"/>
      <c r="BA2496" s="1035"/>
      <c r="BB2496" s="1052"/>
      <c r="BC2496" s="1053"/>
      <c r="BD2496" s="1049"/>
      <c r="BE2496" s="1054"/>
      <c r="BF2496" s="1055"/>
      <c r="BG2496" s="1055"/>
      <c r="BH2496" s="1055"/>
      <c r="BI2496" s="1055"/>
      <c r="BJ2496" s="1055"/>
      <c r="BK2496" s="1055"/>
      <c r="BL2496" s="1055"/>
      <c r="BM2496" s="1055"/>
      <c r="BN2496" s="1055"/>
      <c r="BO2496" s="1056"/>
      <c r="BP2496" s="1056"/>
      <c r="BQ2496" s="1056"/>
      <c r="BR2496" s="1056"/>
      <c r="BS2496" s="1056"/>
      <c r="BT2496" s="1056"/>
      <c r="BU2496" s="1056"/>
      <c r="BV2496" s="1057"/>
      <c r="BW2496" s="1057"/>
      <c r="BX2496" s="1148"/>
      <c r="BY2496" s="1057"/>
      <c r="BZ2496" s="1057"/>
      <c r="CA2496" s="1057"/>
      <c r="CB2496" s="1032"/>
      <c r="CC2496" s="1069"/>
    </row>
    <row r="2497" spans="2:81">
      <c r="B2497" s="1033" t="s">
        <v>7731</v>
      </c>
      <c r="C2497" s="1033" t="s">
        <v>5697</v>
      </c>
      <c r="D2497" s="1033" t="s">
        <v>8169</v>
      </c>
      <c r="E2497" s="1033" t="s">
        <v>8169</v>
      </c>
      <c r="F2497" s="1034">
        <v>46063</v>
      </c>
      <c r="G2497" s="1058" t="s">
        <v>5697</v>
      </c>
      <c r="H2497" s="1063" t="s">
        <v>102</v>
      </c>
      <c r="I2497" s="1063" t="s">
        <v>7352</v>
      </c>
      <c r="J2497" s="1034"/>
      <c r="K2497" s="1034"/>
      <c r="L2497" s="1036" t="s">
        <v>7950</v>
      </c>
      <c r="M2497" s="1037" t="s">
        <v>107</v>
      </c>
      <c r="N2497" s="1034"/>
      <c r="O2497" s="1064"/>
      <c r="P2497" s="1035"/>
      <c r="Q2497" s="1036"/>
      <c r="R2497" s="1038" t="s">
        <v>8170</v>
      </c>
      <c r="S2497" s="1131" t="s">
        <v>7352</v>
      </c>
      <c r="T2497" s="1036" t="s">
        <v>8171</v>
      </c>
      <c r="U2497" s="1066">
        <v>2</v>
      </c>
      <c r="V2497" s="1035" t="s">
        <v>3</v>
      </c>
      <c r="W2497" s="1039">
        <v>2050</v>
      </c>
      <c r="X2497" s="1040">
        <f t="shared" si="508"/>
        <v>4100</v>
      </c>
      <c r="Y2497" s="1040" t="s">
        <v>8172</v>
      </c>
      <c r="Z2497" s="1041">
        <v>1046.32</v>
      </c>
      <c r="AA2497" s="1041"/>
      <c r="AB2497" s="1041">
        <f t="shared" si="522"/>
        <v>2092.64</v>
      </c>
      <c r="AC2497" s="1042">
        <f t="shared" si="523"/>
        <v>2092.64</v>
      </c>
      <c r="AD2497" s="1043">
        <v>32000</v>
      </c>
      <c r="AE2497" s="1044"/>
      <c r="AF2497" s="1045"/>
      <c r="AG2497" s="1046"/>
      <c r="AH2497" s="1045"/>
      <c r="AI2497" s="1047"/>
      <c r="AJ2497" s="1038" t="s">
        <v>8164</v>
      </c>
      <c r="AK2497" s="1048">
        <v>46203</v>
      </c>
      <c r="AL2497" s="1036" t="s">
        <v>8165</v>
      </c>
      <c r="AM2497" s="1036"/>
      <c r="AN2497" s="1036" t="s">
        <v>3951</v>
      </c>
      <c r="AO2497" s="1037" t="s">
        <v>7236</v>
      </c>
      <c r="AP2497" s="1034"/>
      <c r="AQ2497" s="1035"/>
      <c r="AR2497" s="1034"/>
      <c r="AS2497" s="1035" t="s">
        <v>8166</v>
      </c>
      <c r="AT2497" s="1035" t="s">
        <v>1875</v>
      </c>
      <c r="AU2497" s="1035" t="s">
        <v>1565</v>
      </c>
      <c r="AV2497" s="1038"/>
      <c r="AW2497" s="1050"/>
      <c r="AX2497" s="1051"/>
      <c r="AY2497" s="1036"/>
      <c r="AZ2497" s="1035"/>
      <c r="BA2497" s="1035"/>
      <c r="BB2497" s="1052"/>
      <c r="BC2497" s="1053"/>
      <c r="BD2497" s="1049"/>
      <c r="BE2497" s="1054"/>
      <c r="BF2497" s="1055"/>
      <c r="BG2497" s="1055"/>
      <c r="BH2497" s="1055"/>
      <c r="BI2497" s="1055"/>
      <c r="BJ2497" s="1055"/>
      <c r="BK2497" s="1055"/>
      <c r="BL2497" s="1055"/>
      <c r="BM2497" s="1055"/>
      <c r="BN2497" s="1055"/>
      <c r="BO2497" s="1056"/>
      <c r="BP2497" s="1056"/>
      <c r="BQ2497" s="1056"/>
      <c r="BR2497" s="1056"/>
      <c r="BS2497" s="1056"/>
      <c r="BT2497" s="1056"/>
      <c r="BU2497" s="1056"/>
      <c r="BV2497" s="1057"/>
      <c r="BW2497" s="1057"/>
      <c r="BX2497" s="1148"/>
      <c r="BY2497" s="1057"/>
      <c r="BZ2497" s="1057"/>
      <c r="CA2497" s="1057"/>
      <c r="CB2497" s="1032"/>
      <c r="CC2497" s="1069"/>
    </row>
    <row r="2498" spans="2:81">
      <c r="B2498" s="1033" t="s">
        <v>7731</v>
      </c>
      <c r="C2498" s="1033" t="s">
        <v>5697</v>
      </c>
      <c r="D2498" s="1033" t="s">
        <v>8169</v>
      </c>
      <c r="E2498" s="1033" t="s">
        <v>8169</v>
      </c>
      <c r="F2498" s="1034">
        <v>46063</v>
      </c>
      <c r="G2498" s="1058" t="s">
        <v>5697</v>
      </c>
      <c r="H2498" s="1063" t="s">
        <v>134</v>
      </c>
      <c r="I2498" s="1063"/>
      <c r="J2498" s="1034"/>
      <c r="K2498" s="1034"/>
      <c r="L2498" s="1036" t="s">
        <v>7950</v>
      </c>
      <c r="M2498" s="1037" t="s">
        <v>107</v>
      </c>
      <c r="N2498" s="1034"/>
      <c r="O2498" s="1064"/>
      <c r="P2498" s="1035"/>
      <c r="Q2498" s="1036"/>
      <c r="R2498" s="1038" t="s">
        <v>8173</v>
      </c>
      <c r="S2498" s="1131" t="s">
        <v>7346</v>
      </c>
      <c r="T2498" s="1036" t="s">
        <v>8174</v>
      </c>
      <c r="U2498" s="1066">
        <v>1</v>
      </c>
      <c r="V2498" s="1035" t="s">
        <v>3</v>
      </c>
      <c r="W2498" s="1039">
        <v>2050</v>
      </c>
      <c r="X2498" s="1040">
        <f t="shared" si="508"/>
        <v>2050</v>
      </c>
      <c r="Y2498" s="1040" t="s">
        <v>8172</v>
      </c>
      <c r="Z2498" s="1041">
        <v>1046.32</v>
      </c>
      <c r="AA2498" s="1041"/>
      <c r="AB2498" s="1041">
        <f t="shared" si="522"/>
        <v>1046.32</v>
      </c>
      <c r="AC2498" s="1042">
        <f t="shared" si="523"/>
        <v>1046.32</v>
      </c>
      <c r="AD2498" s="1043">
        <v>32000</v>
      </c>
      <c r="AE2498" s="1044"/>
      <c r="AF2498" s="1045"/>
      <c r="AG2498" s="1046"/>
      <c r="AH2498" s="1045"/>
      <c r="AI2498" s="1047"/>
      <c r="AJ2498" s="1038" t="s">
        <v>8164</v>
      </c>
      <c r="AK2498" s="1048">
        <v>46203</v>
      </c>
      <c r="AL2498" s="1036" t="s">
        <v>8165</v>
      </c>
      <c r="AM2498" s="1036"/>
      <c r="AN2498" s="1036" t="s">
        <v>3951</v>
      </c>
      <c r="AO2498" s="1037" t="s">
        <v>7236</v>
      </c>
      <c r="AP2498" s="1034"/>
      <c r="AQ2498" s="1035"/>
      <c r="AR2498" s="1034"/>
      <c r="AS2498" s="1035" t="s">
        <v>8166</v>
      </c>
      <c r="AT2498" s="1035" t="s">
        <v>1875</v>
      </c>
      <c r="AU2498" s="1035" t="s">
        <v>1565</v>
      </c>
      <c r="AV2498" s="1038"/>
      <c r="AW2498" s="1050"/>
      <c r="AX2498" s="1051"/>
      <c r="AY2498" s="1036"/>
      <c r="AZ2498" s="1035"/>
      <c r="BA2498" s="1035"/>
      <c r="BB2498" s="1052"/>
      <c r="BC2498" s="1053"/>
      <c r="BD2498" s="1049"/>
      <c r="BE2498" s="1054"/>
      <c r="BF2498" s="1055"/>
      <c r="BG2498" s="1055"/>
      <c r="BH2498" s="1055"/>
      <c r="BI2498" s="1055"/>
      <c r="BJ2498" s="1055"/>
      <c r="BK2498" s="1055"/>
      <c r="BL2498" s="1055"/>
      <c r="BM2498" s="1055"/>
      <c r="BN2498" s="1055"/>
      <c r="BO2498" s="1056"/>
      <c r="BP2498" s="1056"/>
      <c r="BQ2498" s="1056"/>
      <c r="BR2498" s="1056"/>
      <c r="BS2498" s="1056"/>
      <c r="BT2498" s="1056"/>
      <c r="BU2498" s="1056"/>
      <c r="BV2498" s="1057"/>
      <c r="BW2498" s="1057"/>
      <c r="BX2498" s="1148"/>
      <c r="BY2498" s="1057"/>
      <c r="BZ2498" s="1057"/>
      <c r="CA2498" s="1057"/>
      <c r="CB2498" s="1032"/>
      <c r="CC2498" s="1069"/>
    </row>
    <row r="2499" spans="2:81">
      <c r="B2499" s="1033" t="s">
        <v>7731</v>
      </c>
      <c r="C2499" s="1033" t="s">
        <v>5697</v>
      </c>
      <c r="D2499" s="1033" t="s">
        <v>8169</v>
      </c>
      <c r="E2499" s="1033" t="s">
        <v>5685</v>
      </c>
      <c r="F2499" s="1034">
        <v>46063</v>
      </c>
      <c r="G2499" s="1058" t="s">
        <v>5697</v>
      </c>
      <c r="H2499" s="1063" t="s">
        <v>5686</v>
      </c>
      <c r="I2499" s="1063"/>
      <c r="J2499" s="1034"/>
      <c r="K2499" s="1034"/>
      <c r="L2499" s="1036" t="s">
        <v>7950</v>
      </c>
      <c r="M2499" s="1037" t="s">
        <v>107</v>
      </c>
      <c r="N2499" s="1034"/>
      <c r="O2499" s="1064"/>
      <c r="P2499" s="1035"/>
      <c r="Q2499" s="1036"/>
      <c r="R2499" s="1038" t="s">
        <v>5977</v>
      </c>
      <c r="S2499" s="1131"/>
      <c r="T2499" s="1036" t="s">
        <v>8175</v>
      </c>
      <c r="U2499" s="1066">
        <v>1</v>
      </c>
      <c r="V2499" s="1035" t="s">
        <v>3</v>
      </c>
      <c r="W2499" s="1039"/>
      <c r="X2499" s="1040">
        <f t="shared" si="508"/>
        <v>0</v>
      </c>
      <c r="Y2499" s="1045"/>
      <c r="Z2499" s="1041">
        <v>1028.3399999999999</v>
      </c>
      <c r="AA2499" s="1041" t="s">
        <v>40</v>
      </c>
      <c r="AB2499" s="1041">
        <f t="shared" si="522"/>
        <v>0</v>
      </c>
      <c r="AC2499" s="1042">
        <f t="shared" si="523"/>
        <v>1028.3399999999999</v>
      </c>
      <c r="AD2499" s="1043">
        <v>32000</v>
      </c>
      <c r="AE2499" s="1044"/>
      <c r="AF2499" s="1045"/>
      <c r="AG2499" s="1046"/>
      <c r="AH2499" s="1045"/>
      <c r="AI2499" s="1047"/>
      <c r="AJ2499" s="1038" t="s">
        <v>8164</v>
      </c>
      <c r="AK2499" s="1048">
        <v>46203</v>
      </c>
      <c r="AL2499" s="1036" t="s">
        <v>8165</v>
      </c>
      <c r="AM2499" s="1036"/>
      <c r="AN2499" s="1036" t="s">
        <v>3951</v>
      </c>
      <c r="AO2499" s="1037" t="s">
        <v>7236</v>
      </c>
      <c r="AP2499" s="1034"/>
      <c r="AQ2499" s="1035"/>
      <c r="AR2499" s="1034"/>
      <c r="AS2499" s="1035" t="s">
        <v>8166</v>
      </c>
      <c r="AT2499" s="1035" t="s">
        <v>1875</v>
      </c>
      <c r="AU2499" s="1035" t="s">
        <v>1565</v>
      </c>
      <c r="AV2499" s="1038"/>
      <c r="AW2499" s="1050"/>
      <c r="AX2499" s="1051"/>
      <c r="AY2499" s="1036"/>
      <c r="AZ2499" s="1035"/>
      <c r="BA2499" s="1035"/>
      <c r="BB2499" s="1052"/>
      <c r="BC2499" s="1053"/>
      <c r="BD2499" s="1049"/>
      <c r="BE2499" s="1054"/>
      <c r="BF2499" s="1055"/>
      <c r="BG2499" s="1055"/>
      <c r="BH2499" s="1055"/>
      <c r="BI2499" s="1055"/>
      <c r="BJ2499" s="1055"/>
      <c r="BK2499" s="1055"/>
      <c r="BL2499" s="1055"/>
      <c r="BM2499" s="1055"/>
      <c r="BN2499" s="1055"/>
      <c r="BO2499" s="1056"/>
      <c r="BP2499" s="1056"/>
      <c r="BQ2499" s="1056"/>
      <c r="BR2499" s="1056"/>
      <c r="BS2499" s="1056"/>
      <c r="BT2499" s="1056"/>
      <c r="BU2499" s="1056"/>
      <c r="BV2499" s="1057"/>
      <c r="BW2499" s="1057"/>
      <c r="BX2499" s="1148"/>
      <c r="BY2499" s="1057"/>
      <c r="BZ2499" s="1057"/>
      <c r="CA2499" s="1057"/>
      <c r="CB2499" s="1032"/>
      <c r="CC2499" s="1069"/>
    </row>
    <row r="2500" spans="2:81">
      <c r="B2500" s="1033" t="s">
        <v>7731</v>
      </c>
      <c r="C2500" s="1033" t="s">
        <v>5697</v>
      </c>
      <c r="D2500" s="1033" t="s">
        <v>8169</v>
      </c>
      <c r="E2500" s="1033" t="s">
        <v>5685</v>
      </c>
      <c r="F2500" s="1034">
        <v>46063</v>
      </c>
      <c r="G2500" s="1058" t="s">
        <v>5697</v>
      </c>
      <c r="H2500" s="1063" t="s">
        <v>5686</v>
      </c>
      <c r="I2500" s="1063"/>
      <c r="J2500" s="1034"/>
      <c r="K2500" s="1034"/>
      <c r="L2500" s="1036" t="s">
        <v>7950</v>
      </c>
      <c r="M2500" s="1037" t="s">
        <v>107</v>
      </c>
      <c r="N2500" s="1034"/>
      <c r="O2500" s="1064"/>
      <c r="P2500" s="1035"/>
      <c r="Q2500" s="1036"/>
      <c r="R2500" s="1038" t="s">
        <v>6741</v>
      </c>
      <c r="S2500" s="1131"/>
      <c r="T2500" s="1036" t="s">
        <v>8176</v>
      </c>
      <c r="U2500" s="1066">
        <v>1</v>
      </c>
      <c r="V2500" s="1035" t="s">
        <v>3</v>
      </c>
      <c r="W2500" s="1039"/>
      <c r="X2500" s="1040">
        <f t="shared" si="508"/>
        <v>0</v>
      </c>
      <c r="Y2500" s="1045"/>
      <c r="Z2500" s="1041">
        <v>1200.5999999999999</v>
      </c>
      <c r="AA2500" s="1041" t="s">
        <v>40</v>
      </c>
      <c r="AB2500" s="1041">
        <f t="shared" si="522"/>
        <v>0</v>
      </c>
      <c r="AC2500" s="1042">
        <f t="shared" si="523"/>
        <v>1200.5999999999999</v>
      </c>
      <c r="AD2500" s="1043">
        <v>32000</v>
      </c>
      <c r="AE2500" s="1044"/>
      <c r="AF2500" s="1045"/>
      <c r="AG2500" s="1046"/>
      <c r="AH2500" s="1045"/>
      <c r="AI2500" s="1047"/>
      <c r="AJ2500" s="1038" t="s">
        <v>8164</v>
      </c>
      <c r="AK2500" s="1048">
        <v>46203</v>
      </c>
      <c r="AL2500" s="1036" t="s">
        <v>8165</v>
      </c>
      <c r="AM2500" s="1036"/>
      <c r="AN2500" s="1036" t="s">
        <v>3951</v>
      </c>
      <c r="AO2500" s="1037" t="s">
        <v>7236</v>
      </c>
      <c r="AP2500" s="1034"/>
      <c r="AQ2500" s="1035"/>
      <c r="AR2500" s="1034"/>
      <c r="AS2500" s="1035" t="s">
        <v>8166</v>
      </c>
      <c r="AT2500" s="1035" t="s">
        <v>1875</v>
      </c>
      <c r="AU2500" s="1035" t="s">
        <v>1565</v>
      </c>
      <c r="AV2500" s="1038"/>
      <c r="AW2500" s="1050"/>
      <c r="AX2500" s="1051"/>
      <c r="AY2500" s="1036"/>
      <c r="AZ2500" s="1035"/>
      <c r="BA2500" s="1035"/>
      <c r="BB2500" s="1052"/>
      <c r="BC2500" s="1053"/>
      <c r="BD2500" s="1049"/>
      <c r="BE2500" s="1054"/>
      <c r="BF2500" s="1055"/>
      <c r="BG2500" s="1055"/>
      <c r="BH2500" s="1055"/>
      <c r="BI2500" s="1055"/>
      <c r="BJ2500" s="1055"/>
      <c r="BK2500" s="1055"/>
      <c r="BL2500" s="1055"/>
      <c r="BM2500" s="1055"/>
      <c r="BN2500" s="1055"/>
      <c r="BO2500" s="1056"/>
      <c r="BP2500" s="1056"/>
      <c r="BQ2500" s="1056"/>
      <c r="BR2500" s="1056"/>
      <c r="BS2500" s="1056"/>
      <c r="BT2500" s="1056"/>
      <c r="BU2500" s="1056"/>
      <c r="BV2500" s="1057"/>
      <c r="BW2500" s="1057"/>
      <c r="BX2500" s="1148"/>
      <c r="BY2500" s="1057"/>
      <c r="BZ2500" s="1057"/>
      <c r="CA2500" s="1057"/>
      <c r="CB2500" s="1032"/>
      <c r="CC2500" s="1069"/>
    </row>
    <row r="2501" spans="2:81">
      <c r="B2501" s="1033" t="s">
        <v>7731</v>
      </c>
      <c r="C2501" s="1033" t="s">
        <v>5697</v>
      </c>
      <c r="D2501" s="1033" t="s">
        <v>8169</v>
      </c>
      <c r="E2501" s="1033" t="s">
        <v>5685</v>
      </c>
      <c r="F2501" s="1034">
        <v>46063</v>
      </c>
      <c r="G2501" s="1058" t="s">
        <v>5697</v>
      </c>
      <c r="H2501" s="1063" t="s">
        <v>5686</v>
      </c>
      <c r="I2501" s="1063"/>
      <c r="J2501" s="1034"/>
      <c r="K2501" s="1034"/>
      <c r="L2501" s="1036" t="s">
        <v>7950</v>
      </c>
      <c r="M2501" s="1037" t="s">
        <v>107</v>
      </c>
      <c r="N2501" s="1034"/>
      <c r="O2501" s="1064"/>
      <c r="P2501" s="1035"/>
      <c r="Q2501" s="1036"/>
      <c r="R2501" s="1038" t="s">
        <v>8177</v>
      </c>
      <c r="S2501" s="1131"/>
      <c r="T2501" s="1036" t="s">
        <v>8178</v>
      </c>
      <c r="U2501" s="1066">
        <v>2</v>
      </c>
      <c r="V2501" s="1035" t="s">
        <v>3</v>
      </c>
      <c r="W2501" s="1039"/>
      <c r="X2501" s="1040">
        <f t="shared" si="508"/>
        <v>0</v>
      </c>
      <c r="Y2501" s="1045"/>
      <c r="Z2501" s="1041">
        <v>50</v>
      </c>
      <c r="AA2501" s="1041" t="s">
        <v>40</v>
      </c>
      <c r="AB2501" s="1041">
        <f t="shared" si="522"/>
        <v>0</v>
      </c>
      <c r="AC2501" s="1042">
        <f t="shared" si="523"/>
        <v>100</v>
      </c>
      <c r="AD2501" s="1043">
        <v>32000</v>
      </c>
      <c r="AE2501" s="1044"/>
      <c r="AF2501" s="1045"/>
      <c r="AG2501" s="1046"/>
      <c r="AH2501" s="1045"/>
      <c r="AI2501" s="1047"/>
      <c r="AJ2501" s="1038" t="s">
        <v>8164</v>
      </c>
      <c r="AK2501" s="1048">
        <v>46203</v>
      </c>
      <c r="AL2501" s="1036" t="s">
        <v>8165</v>
      </c>
      <c r="AM2501" s="1036"/>
      <c r="AN2501" s="1036" t="s">
        <v>3951</v>
      </c>
      <c r="AO2501" s="1037" t="s">
        <v>7236</v>
      </c>
      <c r="AP2501" s="1034"/>
      <c r="AQ2501" s="1035"/>
      <c r="AR2501" s="1034"/>
      <c r="AS2501" s="1035" t="s">
        <v>8166</v>
      </c>
      <c r="AT2501" s="1035" t="s">
        <v>1875</v>
      </c>
      <c r="AU2501" s="1035" t="s">
        <v>1565</v>
      </c>
      <c r="AV2501" s="1038"/>
      <c r="AW2501" s="1050"/>
      <c r="AX2501" s="1051"/>
      <c r="AY2501" s="1036"/>
      <c r="AZ2501" s="1035"/>
      <c r="BA2501" s="1035"/>
      <c r="BB2501" s="1052"/>
      <c r="BC2501" s="1053"/>
      <c r="BD2501" s="1049"/>
      <c r="BE2501" s="1054"/>
      <c r="BF2501" s="1055"/>
      <c r="BG2501" s="1055"/>
      <c r="BH2501" s="1055"/>
      <c r="BI2501" s="1055"/>
      <c r="BJ2501" s="1055"/>
      <c r="BK2501" s="1055"/>
      <c r="BL2501" s="1055"/>
      <c r="BM2501" s="1055"/>
      <c r="BN2501" s="1055"/>
      <c r="BO2501" s="1056"/>
      <c r="BP2501" s="1056"/>
      <c r="BQ2501" s="1056"/>
      <c r="BR2501" s="1056"/>
      <c r="BS2501" s="1056"/>
      <c r="BT2501" s="1056"/>
      <c r="BU2501" s="1056"/>
      <c r="BV2501" s="1057"/>
      <c r="BW2501" s="1057"/>
      <c r="BX2501" s="1148"/>
      <c r="BY2501" s="1057"/>
      <c r="BZ2501" s="1057"/>
      <c r="CA2501" s="1057"/>
      <c r="CB2501" s="1032"/>
      <c r="CC2501" s="1069"/>
    </row>
    <row r="2502" spans="2:81">
      <c r="B2502" s="1033" t="s">
        <v>7731</v>
      </c>
      <c r="C2502" s="1033" t="s">
        <v>5697</v>
      </c>
      <c r="D2502" s="1033" t="s">
        <v>8169</v>
      </c>
      <c r="E2502" s="1033" t="s">
        <v>5685</v>
      </c>
      <c r="F2502" s="1034">
        <v>46063</v>
      </c>
      <c r="G2502" s="1058" t="s">
        <v>5697</v>
      </c>
      <c r="H2502" s="1063" t="s">
        <v>5686</v>
      </c>
      <c r="I2502" s="1063"/>
      <c r="J2502" s="1034"/>
      <c r="K2502" s="1034"/>
      <c r="L2502" s="1036" t="s">
        <v>7950</v>
      </c>
      <c r="M2502" s="1037" t="s">
        <v>107</v>
      </c>
      <c r="N2502" s="1034"/>
      <c r="O2502" s="1064"/>
      <c r="P2502" s="1035"/>
      <c r="Q2502" s="1036"/>
      <c r="R2502" s="1038" t="s">
        <v>8179</v>
      </c>
      <c r="S2502" s="1131"/>
      <c r="T2502" s="1036" t="s">
        <v>8180</v>
      </c>
      <c r="U2502" s="1066">
        <v>1</v>
      </c>
      <c r="V2502" s="1035" t="s">
        <v>3</v>
      </c>
      <c r="W2502" s="1039"/>
      <c r="X2502" s="1040">
        <f t="shared" si="508"/>
        <v>0</v>
      </c>
      <c r="Y2502" s="1045"/>
      <c r="Z2502" s="1041">
        <v>90</v>
      </c>
      <c r="AA2502" s="1041" t="s">
        <v>40</v>
      </c>
      <c r="AB2502" s="1041">
        <f t="shared" si="522"/>
        <v>0</v>
      </c>
      <c r="AC2502" s="1042">
        <f t="shared" si="523"/>
        <v>90</v>
      </c>
      <c r="AD2502" s="1043">
        <v>32000</v>
      </c>
      <c r="AE2502" s="1044"/>
      <c r="AF2502" s="1045"/>
      <c r="AG2502" s="1046"/>
      <c r="AH2502" s="1045"/>
      <c r="AI2502" s="1047"/>
      <c r="AJ2502" s="1038" t="s">
        <v>8164</v>
      </c>
      <c r="AK2502" s="1048">
        <v>46203</v>
      </c>
      <c r="AL2502" s="1036" t="s">
        <v>8165</v>
      </c>
      <c r="AM2502" s="1036"/>
      <c r="AN2502" s="1036" t="s">
        <v>3951</v>
      </c>
      <c r="AO2502" s="1037" t="s">
        <v>7236</v>
      </c>
      <c r="AP2502" s="1034"/>
      <c r="AQ2502" s="1035"/>
      <c r="AR2502" s="1034"/>
      <c r="AS2502" s="1035" t="s">
        <v>8166</v>
      </c>
      <c r="AT2502" s="1035" t="s">
        <v>1875</v>
      </c>
      <c r="AU2502" s="1035" t="s">
        <v>1565</v>
      </c>
      <c r="AV2502" s="1038"/>
      <c r="AW2502" s="1050"/>
      <c r="AX2502" s="1051"/>
      <c r="AY2502" s="1036"/>
      <c r="AZ2502" s="1035"/>
      <c r="BA2502" s="1035"/>
      <c r="BB2502" s="1052"/>
      <c r="BC2502" s="1053"/>
      <c r="BD2502" s="1049"/>
      <c r="BE2502" s="1054"/>
      <c r="BF2502" s="1055"/>
      <c r="BG2502" s="1055"/>
      <c r="BH2502" s="1055"/>
      <c r="BI2502" s="1055"/>
      <c r="BJ2502" s="1055"/>
      <c r="BK2502" s="1055"/>
      <c r="BL2502" s="1055"/>
      <c r="BM2502" s="1055"/>
      <c r="BN2502" s="1055"/>
      <c r="BO2502" s="1056"/>
      <c r="BP2502" s="1056"/>
      <c r="BQ2502" s="1056"/>
      <c r="BR2502" s="1056"/>
      <c r="BS2502" s="1056"/>
      <c r="BT2502" s="1056"/>
      <c r="BU2502" s="1056"/>
      <c r="BV2502" s="1057"/>
      <c r="BW2502" s="1057"/>
      <c r="BX2502" s="1148"/>
      <c r="BY2502" s="1057"/>
      <c r="BZ2502" s="1057"/>
      <c r="CA2502" s="1057"/>
      <c r="CB2502" s="1032"/>
      <c r="CC2502" s="1069"/>
    </row>
    <row r="2503" spans="2:81">
      <c r="B2503" s="1033" t="s">
        <v>7731</v>
      </c>
      <c r="C2503" s="1033" t="s">
        <v>5697</v>
      </c>
      <c r="D2503" s="1033" t="s">
        <v>8169</v>
      </c>
      <c r="E2503" s="1033" t="s">
        <v>5685</v>
      </c>
      <c r="F2503" s="1034">
        <v>46063</v>
      </c>
      <c r="G2503" s="1058" t="s">
        <v>5697</v>
      </c>
      <c r="H2503" s="1063" t="s">
        <v>5686</v>
      </c>
      <c r="I2503" s="1063"/>
      <c r="J2503" s="1034"/>
      <c r="K2503" s="1034"/>
      <c r="L2503" s="1036" t="s">
        <v>7950</v>
      </c>
      <c r="M2503" s="1037" t="s">
        <v>107</v>
      </c>
      <c r="N2503" s="1034"/>
      <c r="O2503" s="1064"/>
      <c r="P2503" s="1035"/>
      <c r="Q2503" s="1036"/>
      <c r="R2503" s="1038" t="s">
        <v>8181</v>
      </c>
      <c r="S2503" s="1131"/>
      <c r="T2503" s="1036" t="s">
        <v>8182</v>
      </c>
      <c r="U2503" s="1066">
        <v>1</v>
      </c>
      <c r="V2503" s="1035" t="s">
        <v>3</v>
      </c>
      <c r="W2503" s="1039"/>
      <c r="X2503" s="1040">
        <f t="shared" si="508"/>
        <v>0</v>
      </c>
      <c r="Y2503" s="1045"/>
      <c r="Z2503" s="1041">
        <v>85</v>
      </c>
      <c r="AA2503" s="1041" t="s">
        <v>40</v>
      </c>
      <c r="AB2503" s="1041">
        <f t="shared" si="522"/>
        <v>0</v>
      </c>
      <c r="AC2503" s="1042">
        <f t="shared" si="523"/>
        <v>85</v>
      </c>
      <c r="AD2503" s="1043">
        <v>32000</v>
      </c>
      <c r="AE2503" s="1044"/>
      <c r="AF2503" s="1045"/>
      <c r="AG2503" s="1046"/>
      <c r="AH2503" s="1045"/>
      <c r="AI2503" s="1047"/>
      <c r="AJ2503" s="1038" t="s">
        <v>8164</v>
      </c>
      <c r="AK2503" s="1048">
        <v>46203</v>
      </c>
      <c r="AL2503" s="1036" t="s">
        <v>8165</v>
      </c>
      <c r="AM2503" s="1036"/>
      <c r="AN2503" s="1036" t="s">
        <v>3951</v>
      </c>
      <c r="AO2503" s="1037" t="s">
        <v>7236</v>
      </c>
      <c r="AP2503" s="1034"/>
      <c r="AQ2503" s="1035"/>
      <c r="AR2503" s="1034"/>
      <c r="AS2503" s="1035" t="s">
        <v>8166</v>
      </c>
      <c r="AT2503" s="1035" t="s">
        <v>1875</v>
      </c>
      <c r="AU2503" s="1035" t="s">
        <v>1565</v>
      </c>
      <c r="AV2503" s="1038"/>
      <c r="AW2503" s="1050"/>
      <c r="AX2503" s="1051"/>
      <c r="AY2503" s="1036"/>
      <c r="AZ2503" s="1035"/>
      <c r="BA2503" s="1035"/>
      <c r="BB2503" s="1052"/>
      <c r="BC2503" s="1053"/>
      <c r="BD2503" s="1049"/>
      <c r="BE2503" s="1054"/>
      <c r="BF2503" s="1055"/>
      <c r="BG2503" s="1055"/>
      <c r="BH2503" s="1055"/>
      <c r="BI2503" s="1055"/>
      <c r="BJ2503" s="1055"/>
      <c r="BK2503" s="1055"/>
      <c r="BL2503" s="1055"/>
      <c r="BM2503" s="1055"/>
      <c r="BN2503" s="1055"/>
      <c r="BO2503" s="1056"/>
      <c r="BP2503" s="1056"/>
      <c r="BQ2503" s="1056"/>
      <c r="BR2503" s="1056"/>
      <c r="BS2503" s="1056"/>
      <c r="BT2503" s="1056"/>
      <c r="BU2503" s="1056"/>
      <c r="BV2503" s="1057"/>
      <c r="BW2503" s="1057"/>
      <c r="BX2503" s="1148"/>
      <c r="BY2503" s="1057"/>
      <c r="BZ2503" s="1057"/>
      <c r="CA2503" s="1057"/>
      <c r="CB2503" s="1032"/>
      <c r="CC2503" s="1069"/>
    </row>
    <row r="2504" spans="2:81">
      <c r="B2504" s="1033" t="s">
        <v>7731</v>
      </c>
      <c r="C2504" s="1033" t="s">
        <v>5697</v>
      </c>
      <c r="D2504" s="1033" t="s">
        <v>8169</v>
      </c>
      <c r="E2504" s="1033" t="s">
        <v>5685</v>
      </c>
      <c r="F2504" s="1034">
        <v>46063</v>
      </c>
      <c r="G2504" s="1058" t="s">
        <v>5697</v>
      </c>
      <c r="H2504" s="1063" t="s">
        <v>5686</v>
      </c>
      <c r="I2504" s="1063"/>
      <c r="J2504" s="1034"/>
      <c r="K2504" s="1034"/>
      <c r="L2504" s="1036" t="s">
        <v>7950</v>
      </c>
      <c r="M2504" s="1037" t="s">
        <v>107</v>
      </c>
      <c r="N2504" s="1034"/>
      <c r="O2504" s="1064"/>
      <c r="P2504" s="1035"/>
      <c r="Q2504" s="1036"/>
      <c r="R2504" s="1038" t="s">
        <v>8181</v>
      </c>
      <c r="S2504" s="1131"/>
      <c r="T2504" s="1036" t="s">
        <v>8183</v>
      </c>
      <c r="U2504" s="1066">
        <v>1</v>
      </c>
      <c r="V2504" s="1035" t="s">
        <v>3</v>
      </c>
      <c r="W2504" s="1039"/>
      <c r="X2504" s="1040">
        <f t="shared" si="508"/>
        <v>0</v>
      </c>
      <c r="Y2504" s="1045"/>
      <c r="Z2504" s="1041">
        <v>85</v>
      </c>
      <c r="AA2504" s="1041" t="s">
        <v>40</v>
      </c>
      <c r="AB2504" s="1041">
        <f t="shared" si="522"/>
        <v>0</v>
      </c>
      <c r="AC2504" s="1042">
        <f t="shared" si="523"/>
        <v>85</v>
      </c>
      <c r="AD2504" s="1043">
        <v>32000</v>
      </c>
      <c r="AE2504" s="1044"/>
      <c r="AF2504" s="1045"/>
      <c r="AG2504" s="1046"/>
      <c r="AH2504" s="1045"/>
      <c r="AI2504" s="1047"/>
      <c r="AJ2504" s="1038" t="s">
        <v>8164</v>
      </c>
      <c r="AK2504" s="1048">
        <v>46203</v>
      </c>
      <c r="AL2504" s="1036" t="s">
        <v>8165</v>
      </c>
      <c r="AM2504" s="1036"/>
      <c r="AN2504" s="1036" t="s">
        <v>3951</v>
      </c>
      <c r="AO2504" s="1037" t="s">
        <v>7236</v>
      </c>
      <c r="AP2504" s="1034"/>
      <c r="AQ2504" s="1035"/>
      <c r="AR2504" s="1034"/>
      <c r="AS2504" s="1035" t="s">
        <v>8166</v>
      </c>
      <c r="AT2504" s="1035" t="s">
        <v>1875</v>
      </c>
      <c r="AU2504" s="1035" t="s">
        <v>1565</v>
      </c>
      <c r="AV2504" s="1038"/>
      <c r="AW2504" s="1050"/>
      <c r="AX2504" s="1051"/>
      <c r="AY2504" s="1036"/>
      <c r="AZ2504" s="1035"/>
      <c r="BA2504" s="1035"/>
      <c r="BB2504" s="1052"/>
      <c r="BC2504" s="1053"/>
      <c r="BD2504" s="1049"/>
      <c r="BE2504" s="1054"/>
      <c r="BF2504" s="1055"/>
      <c r="BG2504" s="1055"/>
      <c r="BH2504" s="1055"/>
      <c r="BI2504" s="1055"/>
      <c r="BJ2504" s="1055"/>
      <c r="BK2504" s="1055"/>
      <c r="BL2504" s="1055"/>
      <c r="BM2504" s="1055"/>
      <c r="BN2504" s="1055"/>
      <c r="BO2504" s="1056"/>
      <c r="BP2504" s="1056"/>
      <c r="BQ2504" s="1056"/>
      <c r="BR2504" s="1056"/>
      <c r="BS2504" s="1056"/>
      <c r="BT2504" s="1056"/>
      <c r="BU2504" s="1056"/>
      <c r="BV2504" s="1057"/>
      <c r="BW2504" s="1057"/>
      <c r="BX2504" s="1148"/>
      <c r="BY2504" s="1057"/>
      <c r="BZ2504" s="1057"/>
      <c r="CA2504" s="1057"/>
      <c r="CB2504" s="1032"/>
    </row>
    <row r="2505" spans="2:81">
      <c r="B2505" s="1033"/>
      <c r="C2505" s="1033"/>
      <c r="D2505" s="1033"/>
      <c r="E2505" s="1033"/>
      <c r="F2505" s="1034"/>
      <c r="G2505" s="1033"/>
      <c r="H2505" s="1063"/>
      <c r="I2505" s="1063"/>
      <c r="J2505" s="1034"/>
      <c r="K2505" s="1034"/>
      <c r="L2505" s="1036"/>
      <c r="M2505" s="1037"/>
      <c r="N2505" s="1034"/>
      <c r="O2505" s="1064"/>
      <c r="P2505" s="1035"/>
      <c r="Q2505" s="1036"/>
      <c r="R2505" s="1038"/>
      <c r="S2505" s="1131"/>
      <c r="T2505" s="1036"/>
      <c r="U2505" s="1066"/>
      <c r="V2505" s="1035"/>
      <c r="W2505" s="1039"/>
      <c r="X2505" s="1040"/>
      <c r="Y2505" s="1045"/>
      <c r="Z2505" s="1041"/>
      <c r="AA2505" s="1041"/>
      <c r="AB2505" s="1041"/>
      <c r="AC2505" s="1042"/>
      <c r="AD2505" s="1043"/>
      <c r="AE2505" s="1044"/>
      <c r="AF2505" s="1045"/>
      <c r="AG2505" s="1046"/>
      <c r="AH2505" s="1045"/>
      <c r="AI2505" s="1047"/>
      <c r="AJ2505" s="1038"/>
      <c r="AK2505" s="1048"/>
      <c r="AL2505" s="1036"/>
      <c r="AM2505" s="1036"/>
      <c r="AN2505" s="1037"/>
      <c r="AO2505" s="1037"/>
      <c r="AP2505" s="1034"/>
      <c r="AQ2505" s="1035"/>
      <c r="AR2505" s="1034"/>
      <c r="AS2505" s="1035"/>
      <c r="AT2505" s="1035"/>
      <c r="AU2505" s="1035"/>
      <c r="AV2505" s="1038"/>
      <c r="AW2505" s="1050"/>
      <c r="AX2505" s="1051"/>
      <c r="AY2505" s="1036"/>
      <c r="AZ2505" s="1035"/>
      <c r="BA2505" s="1035"/>
      <c r="BB2505" s="1052"/>
      <c r="BC2505" s="1053"/>
      <c r="BD2505" s="1049"/>
      <c r="BE2505" s="1054"/>
      <c r="BF2505" s="1055"/>
      <c r="BG2505" s="1055"/>
      <c r="BH2505" s="1055"/>
      <c r="BI2505" s="1055"/>
      <c r="BJ2505" s="1055"/>
      <c r="BK2505" s="1055"/>
      <c r="BL2505" s="1055"/>
      <c r="BM2505" s="1055"/>
      <c r="BN2505" s="1055"/>
      <c r="BO2505" s="1056"/>
      <c r="BP2505" s="1056"/>
      <c r="BQ2505" s="1056"/>
      <c r="BR2505" s="1056"/>
      <c r="BS2505" s="1056"/>
      <c r="BT2505" s="1056"/>
      <c r="BU2505" s="1056"/>
      <c r="BV2505" s="1057"/>
      <c r="BW2505" s="1057"/>
      <c r="BX2505" s="1148"/>
      <c r="BY2505" s="1057"/>
      <c r="BZ2505" s="1057"/>
      <c r="CA2505" s="1057"/>
      <c r="CB2505" s="1032"/>
    </row>
    <row r="2506" spans="2:81">
      <c r="B2506" s="1033" t="s">
        <v>8184</v>
      </c>
      <c r="C2506" s="1033" t="s">
        <v>5697</v>
      </c>
      <c r="D2506" s="1033" t="s">
        <v>8185</v>
      </c>
      <c r="E2506" s="1033" t="s">
        <v>8185</v>
      </c>
      <c r="F2506" s="1034">
        <v>46168</v>
      </c>
      <c r="G2506" s="1058" t="s">
        <v>5697</v>
      </c>
      <c r="H2506" s="1063" t="s">
        <v>3457</v>
      </c>
      <c r="I2506" s="1063"/>
      <c r="J2506" s="1034"/>
      <c r="K2506" s="1034"/>
      <c r="L2506" s="1036" t="s">
        <v>7950</v>
      </c>
      <c r="M2506" s="1037" t="s">
        <v>107</v>
      </c>
      <c r="N2506" s="1034"/>
      <c r="O2506" s="1064"/>
      <c r="P2506" s="1035"/>
      <c r="Q2506" s="1036"/>
      <c r="R2506" s="1038" t="s">
        <v>8186</v>
      </c>
      <c r="S2506" s="1131" t="s">
        <v>8187</v>
      </c>
      <c r="T2506" s="1036" t="s">
        <v>8188</v>
      </c>
      <c r="U2506" s="1066">
        <v>1</v>
      </c>
      <c r="V2506" s="1035" t="s">
        <v>3</v>
      </c>
      <c r="W2506" s="1039">
        <v>28615</v>
      </c>
      <c r="X2506" s="1040">
        <f t="shared" si="508"/>
        <v>28615</v>
      </c>
      <c r="Y2506" s="1045" t="s">
        <v>5703</v>
      </c>
      <c r="Z2506" s="1041">
        <v>14937.03</v>
      </c>
      <c r="AA2506" s="1041"/>
      <c r="AB2506" s="1041">
        <f t="shared" ref="AB2506:AB2508" si="524">IF(AA2506="F.O.C", 0, Z2506*U2506)</f>
        <v>14937.03</v>
      </c>
      <c r="AC2506" s="1042">
        <f t="shared" ref="AC2506:AC2508" si="525">Z2506*U2506</f>
        <v>14937.03</v>
      </c>
      <c r="AD2506" s="1043">
        <v>32000</v>
      </c>
      <c r="AE2506" s="1044"/>
      <c r="AF2506" s="1045"/>
      <c r="AG2506" s="1046"/>
      <c r="AH2506" s="1045"/>
      <c r="AI2506" s="1047"/>
      <c r="AJ2506" s="1038"/>
      <c r="AK2506" s="1048"/>
      <c r="AL2506" s="1036"/>
      <c r="AM2506" s="1036"/>
      <c r="AN2506" s="1037"/>
      <c r="AO2506" s="1037"/>
      <c r="AP2506" s="1034"/>
      <c r="AQ2506" s="1035"/>
      <c r="AR2506" s="1034"/>
      <c r="AS2506" s="1035"/>
      <c r="AT2506" s="1035"/>
      <c r="AU2506" s="1035"/>
      <c r="AV2506" s="1038"/>
      <c r="AW2506" s="1050"/>
      <c r="AX2506" s="1051"/>
      <c r="AY2506" s="1036"/>
      <c r="AZ2506" s="1035"/>
      <c r="BA2506" s="1035"/>
      <c r="BB2506" s="1052"/>
      <c r="BC2506" s="1053"/>
      <c r="BD2506" s="1049"/>
      <c r="BE2506" s="1054"/>
      <c r="BF2506" s="1055"/>
      <c r="BG2506" s="1055"/>
      <c r="BH2506" s="1055"/>
      <c r="BI2506" s="1055"/>
      <c r="BJ2506" s="1055"/>
      <c r="BK2506" s="1055"/>
      <c r="BL2506" s="1055"/>
      <c r="BM2506" s="1055"/>
      <c r="BN2506" s="1055"/>
      <c r="BO2506" s="1056"/>
      <c r="BP2506" s="1056"/>
      <c r="BQ2506" s="1056"/>
      <c r="BR2506" s="1056"/>
      <c r="BS2506" s="1056"/>
      <c r="BT2506" s="1056"/>
      <c r="BU2506" s="1056"/>
      <c r="BV2506" s="1057"/>
      <c r="BW2506" s="1057"/>
      <c r="BX2506" s="1148"/>
      <c r="BY2506" s="1057"/>
      <c r="BZ2506" s="1057"/>
      <c r="CA2506" s="1057"/>
      <c r="CB2506" s="1032"/>
    </row>
    <row r="2507" spans="2:81">
      <c r="B2507" s="1033" t="s">
        <v>8184</v>
      </c>
      <c r="C2507" s="1033" t="s">
        <v>5697</v>
      </c>
      <c r="D2507" s="1033" t="s">
        <v>8185</v>
      </c>
      <c r="E2507" s="1033" t="s">
        <v>8185</v>
      </c>
      <c r="F2507" s="1034">
        <v>46168</v>
      </c>
      <c r="G2507" s="1058" t="s">
        <v>5697</v>
      </c>
      <c r="H2507" s="1063" t="s">
        <v>3457</v>
      </c>
      <c r="I2507" s="1063"/>
      <c r="J2507" s="1034"/>
      <c r="K2507" s="1034"/>
      <c r="L2507" s="1036" t="s">
        <v>7950</v>
      </c>
      <c r="M2507" s="1037" t="s">
        <v>107</v>
      </c>
      <c r="N2507" s="1034"/>
      <c r="O2507" s="1064"/>
      <c r="P2507" s="1035"/>
      <c r="Q2507" s="1036"/>
      <c r="R2507" s="1038" t="s">
        <v>8189</v>
      </c>
      <c r="S2507" s="1131" t="s">
        <v>8190</v>
      </c>
      <c r="T2507" s="1036" t="s">
        <v>8191</v>
      </c>
      <c r="U2507" s="1066">
        <v>2</v>
      </c>
      <c r="V2507" s="1035" t="s">
        <v>3</v>
      </c>
      <c r="W2507" s="1039">
        <v>4000</v>
      </c>
      <c r="X2507" s="1040">
        <f t="shared" si="508"/>
        <v>8000</v>
      </c>
      <c r="Y2507" s="1045" t="s">
        <v>5703</v>
      </c>
      <c r="Z2507" s="1041">
        <v>2088.0000000000005</v>
      </c>
      <c r="AA2507" s="1041"/>
      <c r="AB2507" s="1041">
        <f t="shared" si="524"/>
        <v>4176.0000000000009</v>
      </c>
      <c r="AC2507" s="1042">
        <f t="shared" si="525"/>
        <v>4176.0000000000009</v>
      </c>
      <c r="AD2507" s="1043">
        <v>32000</v>
      </c>
      <c r="AE2507" s="1044"/>
      <c r="AF2507" s="1045"/>
      <c r="AG2507" s="1046"/>
      <c r="AH2507" s="1045"/>
      <c r="AI2507" s="1047"/>
      <c r="AJ2507" s="1038"/>
      <c r="AK2507" s="1048"/>
      <c r="AL2507" s="1036"/>
      <c r="AM2507" s="1036"/>
      <c r="AN2507" s="1037"/>
      <c r="AO2507" s="1037"/>
      <c r="AP2507" s="1034"/>
      <c r="AQ2507" s="1035"/>
      <c r="AR2507" s="1034"/>
      <c r="AS2507" s="1035"/>
      <c r="AT2507" s="1035"/>
      <c r="AU2507" s="1035"/>
      <c r="AV2507" s="1038"/>
      <c r="AW2507" s="1050"/>
      <c r="AX2507" s="1051"/>
      <c r="AY2507" s="1036"/>
      <c r="AZ2507" s="1035"/>
      <c r="BA2507" s="1035"/>
      <c r="BB2507" s="1052"/>
      <c r="BC2507" s="1053"/>
      <c r="BD2507" s="1049"/>
      <c r="BE2507" s="1054"/>
      <c r="BF2507" s="1055"/>
      <c r="BG2507" s="1055"/>
      <c r="BH2507" s="1055"/>
      <c r="BI2507" s="1055"/>
      <c r="BJ2507" s="1055"/>
      <c r="BK2507" s="1055"/>
      <c r="BL2507" s="1055"/>
      <c r="BM2507" s="1055"/>
      <c r="BN2507" s="1055"/>
      <c r="BO2507" s="1056"/>
      <c r="BP2507" s="1056"/>
      <c r="BQ2507" s="1056"/>
      <c r="BR2507" s="1056"/>
      <c r="BS2507" s="1056"/>
      <c r="BT2507" s="1056"/>
      <c r="BU2507" s="1056"/>
      <c r="BV2507" s="1057"/>
      <c r="BW2507" s="1057"/>
      <c r="BX2507" s="1148"/>
      <c r="BY2507" s="1057"/>
      <c r="BZ2507" s="1057"/>
      <c r="CA2507" s="1057"/>
      <c r="CB2507" s="1032"/>
    </row>
    <row r="2508" spans="2:81">
      <c r="B2508" s="1033" t="s">
        <v>8184</v>
      </c>
      <c r="C2508" s="1033" t="s">
        <v>5697</v>
      </c>
      <c r="D2508" s="1033" t="s">
        <v>8185</v>
      </c>
      <c r="E2508" s="1033" t="s">
        <v>8185</v>
      </c>
      <c r="F2508" s="1034">
        <v>46168</v>
      </c>
      <c r="G2508" s="1058" t="s">
        <v>5697</v>
      </c>
      <c r="H2508" s="1063" t="s">
        <v>3457</v>
      </c>
      <c r="I2508" s="1063"/>
      <c r="J2508" s="1034"/>
      <c r="K2508" s="1034"/>
      <c r="L2508" s="1036" t="s">
        <v>7950</v>
      </c>
      <c r="M2508" s="1037" t="s">
        <v>107</v>
      </c>
      <c r="N2508" s="1034"/>
      <c r="O2508" s="1064"/>
      <c r="P2508" s="1035"/>
      <c r="Q2508" s="1036"/>
      <c r="R2508" s="1038" t="s">
        <v>8192</v>
      </c>
      <c r="S2508" s="1131" t="s">
        <v>8193</v>
      </c>
      <c r="T2508" s="1036" t="s">
        <v>8194</v>
      </c>
      <c r="U2508" s="1066">
        <v>3</v>
      </c>
      <c r="V2508" s="1035" t="s">
        <v>3</v>
      </c>
      <c r="W2508" s="1039">
        <v>3200</v>
      </c>
      <c r="X2508" s="1040">
        <f t="shared" si="508"/>
        <v>9600</v>
      </c>
      <c r="Y2508" s="1045" t="s">
        <v>5703</v>
      </c>
      <c r="Z2508" s="1041">
        <v>1670.4000000000003</v>
      </c>
      <c r="AA2508" s="1041"/>
      <c r="AB2508" s="1041">
        <f t="shared" si="524"/>
        <v>5011.2000000000007</v>
      </c>
      <c r="AC2508" s="1042">
        <f t="shared" si="525"/>
        <v>5011.2000000000007</v>
      </c>
      <c r="AD2508" s="1043">
        <v>32000</v>
      </c>
      <c r="AE2508" s="1044"/>
      <c r="AF2508" s="1045"/>
      <c r="AG2508" s="1046"/>
      <c r="AH2508" s="1045"/>
      <c r="AI2508" s="1047"/>
      <c r="AJ2508" s="1038"/>
      <c r="AK2508" s="1048"/>
      <c r="AL2508" s="1036"/>
      <c r="AM2508" s="1036"/>
      <c r="AN2508" s="1037"/>
      <c r="AO2508" s="1037"/>
      <c r="AP2508" s="1034"/>
      <c r="AQ2508" s="1035"/>
      <c r="AR2508" s="1034"/>
      <c r="AS2508" s="1035"/>
      <c r="AT2508" s="1035"/>
      <c r="AU2508" s="1035"/>
      <c r="AV2508" s="1038"/>
      <c r="AW2508" s="1050"/>
      <c r="AX2508" s="1051"/>
      <c r="AY2508" s="1036"/>
      <c r="AZ2508" s="1035"/>
      <c r="BA2508" s="1035"/>
      <c r="BB2508" s="1052"/>
      <c r="BC2508" s="1053"/>
      <c r="BD2508" s="1049"/>
      <c r="BE2508" s="1054"/>
      <c r="BF2508" s="1055"/>
      <c r="BG2508" s="1055"/>
      <c r="BH2508" s="1055"/>
      <c r="BI2508" s="1055"/>
      <c r="BJ2508" s="1055"/>
      <c r="BK2508" s="1055"/>
      <c r="BL2508" s="1055"/>
      <c r="BM2508" s="1055"/>
      <c r="BN2508" s="1055"/>
      <c r="BO2508" s="1056"/>
      <c r="BP2508" s="1056"/>
      <c r="BQ2508" s="1056"/>
      <c r="BR2508" s="1056"/>
      <c r="BS2508" s="1056"/>
      <c r="BT2508" s="1056"/>
      <c r="BU2508" s="1056"/>
      <c r="BV2508" s="1057"/>
      <c r="BW2508" s="1057"/>
      <c r="BX2508" s="1148"/>
      <c r="BY2508" s="1057"/>
      <c r="BZ2508" s="1057"/>
      <c r="CA2508" s="1057"/>
      <c r="CB2508" s="1032"/>
    </row>
    <row r="2509" spans="2:81">
      <c r="B2509" s="1033" t="s">
        <v>8184</v>
      </c>
      <c r="C2509" s="1033" t="s">
        <v>5697</v>
      </c>
      <c r="D2509" s="1033" t="s">
        <v>8195</v>
      </c>
      <c r="E2509" s="1033" t="s">
        <v>8195</v>
      </c>
      <c r="F2509" s="1034">
        <v>46185</v>
      </c>
      <c r="G2509" s="1058" t="str">
        <f>$G$2507</f>
        <v>CASSINA</v>
      </c>
      <c r="H2509" s="1063" t="s">
        <v>134</v>
      </c>
      <c r="I2509" s="1063"/>
      <c r="J2509" s="1034"/>
      <c r="K2509" s="1034"/>
      <c r="L2509" s="1036" t="s">
        <v>7950</v>
      </c>
      <c r="M2509" s="1037" t="s">
        <v>107</v>
      </c>
      <c r="N2509" s="1034"/>
      <c r="O2509" s="1064"/>
      <c r="P2509" s="1035"/>
      <c r="Q2509" s="1036"/>
      <c r="R2509" s="1038" t="s">
        <v>5816</v>
      </c>
      <c r="S2509" s="1131" t="s">
        <v>5817</v>
      </c>
      <c r="T2509" s="1036" t="s">
        <v>8196</v>
      </c>
      <c r="U2509" s="1066">
        <v>1</v>
      </c>
      <c r="V2509" s="1035" t="s">
        <v>3</v>
      </c>
      <c r="W2509" s="1039">
        <v>1850</v>
      </c>
      <c r="X2509" s="1040">
        <f t="shared" si="508"/>
        <v>1850</v>
      </c>
      <c r="Y2509" s="1045" t="s">
        <v>6060</v>
      </c>
      <c r="Z2509" s="1041">
        <v>912.05</v>
      </c>
      <c r="AA2509" s="1041"/>
      <c r="AB2509" s="1041">
        <f t="shared" ref="AB2509:AB2571" si="526">IF(AA2509="F.O.C", 0, Z2509*U2509)</f>
        <v>912.05</v>
      </c>
      <c r="AC2509" s="1042">
        <f t="shared" ref="AC2509:AC2571" si="527">Z2509*U2509</f>
        <v>912.05</v>
      </c>
      <c r="AD2509" s="1043">
        <v>32000</v>
      </c>
      <c r="AE2509" s="1044"/>
      <c r="AF2509" s="1045"/>
      <c r="AG2509" s="1046"/>
      <c r="AH2509" s="1045"/>
      <c r="AI2509" s="1047"/>
      <c r="AJ2509" s="1038"/>
      <c r="AK2509" s="1048"/>
      <c r="AL2509" s="1036"/>
      <c r="AM2509" s="1036"/>
      <c r="AN2509" s="1037"/>
      <c r="AO2509" s="1037"/>
      <c r="AP2509" s="1034"/>
      <c r="AQ2509" s="1035"/>
      <c r="AR2509" s="1034"/>
      <c r="AS2509" s="1035"/>
      <c r="AT2509" s="1035"/>
      <c r="AU2509" s="1035"/>
      <c r="AV2509" s="1038"/>
      <c r="AW2509" s="1050"/>
      <c r="AX2509" s="1051"/>
      <c r="AY2509" s="1036"/>
      <c r="AZ2509" s="1035"/>
      <c r="BA2509" s="1035"/>
      <c r="BB2509" s="1052"/>
      <c r="BC2509" s="1053"/>
      <c r="BD2509" s="1049"/>
      <c r="BE2509" s="1054"/>
      <c r="BF2509" s="1055"/>
      <c r="BG2509" s="1055"/>
      <c r="BH2509" s="1055"/>
      <c r="BI2509" s="1055"/>
      <c r="BJ2509" s="1055"/>
      <c r="BK2509" s="1055"/>
      <c r="BL2509" s="1055"/>
      <c r="BM2509" s="1055"/>
      <c r="BN2509" s="1055"/>
      <c r="BO2509" s="1056"/>
      <c r="BP2509" s="1056"/>
      <c r="BQ2509" s="1056"/>
      <c r="BR2509" s="1056"/>
      <c r="BS2509" s="1056"/>
      <c r="BT2509" s="1056"/>
      <c r="BU2509" s="1056"/>
      <c r="BV2509" s="1057"/>
      <c r="BW2509" s="1057"/>
      <c r="BX2509" s="1148"/>
      <c r="BY2509" s="1057"/>
      <c r="BZ2509" s="1057"/>
      <c r="CA2509" s="1057"/>
      <c r="CB2509" s="1032"/>
    </row>
    <row r="2510" spans="2:81">
      <c r="B2510" s="1033" t="s">
        <v>8184</v>
      </c>
      <c r="C2510" s="1033" t="s">
        <v>5697</v>
      </c>
      <c r="D2510" s="1033" t="s">
        <v>8195</v>
      </c>
      <c r="E2510" s="1033" t="s">
        <v>8195</v>
      </c>
      <c r="F2510" s="1034">
        <v>46185</v>
      </c>
      <c r="G2510" s="1058" t="str">
        <f t="shared" ref="G2510:G2573" si="528">$G$2507</f>
        <v>CASSINA</v>
      </c>
      <c r="H2510" s="1063" t="s">
        <v>134</v>
      </c>
      <c r="I2510" s="1063"/>
      <c r="J2510" s="1034"/>
      <c r="K2510" s="1034"/>
      <c r="L2510" s="1036" t="s">
        <v>7950</v>
      </c>
      <c r="M2510" s="1037" t="s">
        <v>107</v>
      </c>
      <c r="N2510" s="1034"/>
      <c r="O2510" s="1064"/>
      <c r="P2510" s="1035"/>
      <c r="Q2510" s="1036"/>
      <c r="R2510" s="1038" t="s">
        <v>5865</v>
      </c>
      <c r="S2510" s="1131" t="s">
        <v>5866</v>
      </c>
      <c r="T2510" s="1036" t="s">
        <v>8197</v>
      </c>
      <c r="U2510" s="1066">
        <v>2</v>
      </c>
      <c r="V2510" s="1035" t="s">
        <v>3</v>
      </c>
      <c r="W2510" s="1039">
        <v>4985</v>
      </c>
      <c r="X2510" s="1040">
        <f t="shared" si="508"/>
        <v>9970</v>
      </c>
      <c r="Y2510" s="1045" t="s">
        <v>6060</v>
      </c>
      <c r="Z2510" s="1041">
        <v>2457.61</v>
      </c>
      <c r="AA2510" s="1041"/>
      <c r="AB2510" s="1041">
        <f t="shared" si="526"/>
        <v>4915.22</v>
      </c>
      <c r="AC2510" s="1042">
        <f t="shared" si="527"/>
        <v>4915.22</v>
      </c>
      <c r="AD2510" s="1043">
        <v>32000</v>
      </c>
      <c r="AE2510" s="1044"/>
      <c r="AF2510" s="1045"/>
      <c r="AG2510" s="1046"/>
      <c r="AH2510" s="1045"/>
      <c r="AI2510" s="1047"/>
      <c r="AJ2510" s="1038"/>
      <c r="AK2510" s="1048"/>
      <c r="AL2510" s="1036"/>
      <c r="AM2510" s="1036"/>
      <c r="AN2510" s="1037"/>
      <c r="AO2510" s="1037"/>
      <c r="AP2510" s="1034"/>
      <c r="AQ2510" s="1035"/>
      <c r="AR2510" s="1034"/>
      <c r="AS2510" s="1035"/>
      <c r="AT2510" s="1035"/>
      <c r="AU2510" s="1035"/>
      <c r="AV2510" s="1038"/>
      <c r="AW2510" s="1050"/>
      <c r="AX2510" s="1051"/>
      <c r="AY2510" s="1036"/>
      <c r="AZ2510" s="1035"/>
      <c r="BA2510" s="1035"/>
      <c r="BB2510" s="1052"/>
      <c r="BC2510" s="1053"/>
      <c r="BD2510" s="1049"/>
      <c r="BE2510" s="1054"/>
      <c r="BF2510" s="1055"/>
      <c r="BG2510" s="1055"/>
      <c r="BH2510" s="1055"/>
      <c r="BI2510" s="1055"/>
      <c r="BJ2510" s="1055"/>
      <c r="BK2510" s="1055"/>
      <c r="BL2510" s="1055"/>
      <c r="BM2510" s="1055"/>
      <c r="BN2510" s="1055"/>
      <c r="BO2510" s="1056"/>
      <c r="BP2510" s="1056"/>
      <c r="BQ2510" s="1056"/>
      <c r="BR2510" s="1056"/>
      <c r="BS2510" s="1056"/>
      <c r="BT2510" s="1056"/>
      <c r="BU2510" s="1056"/>
      <c r="BV2510" s="1057"/>
      <c r="BW2510" s="1057"/>
      <c r="BX2510" s="1148"/>
      <c r="BY2510" s="1057"/>
      <c r="BZ2510" s="1057"/>
      <c r="CA2510" s="1057"/>
      <c r="CB2510" s="1032"/>
    </row>
    <row r="2511" spans="2:81">
      <c r="B2511" s="1033" t="s">
        <v>8184</v>
      </c>
      <c r="C2511" s="1033" t="s">
        <v>5697</v>
      </c>
      <c r="D2511" s="1033" t="s">
        <v>8195</v>
      </c>
      <c r="E2511" s="1033" t="s">
        <v>8195</v>
      </c>
      <c r="F2511" s="1034">
        <v>46185</v>
      </c>
      <c r="G2511" s="1058" t="str">
        <f t="shared" si="528"/>
        <v>CASSINA</v>
      </c>
      <c r="H2511" s="1063" t="s">
        <v>134</v>
      </c>
      <c r="I2511" s="1063"/>
      <c r="J2511" s="1034"/>
      <c r="K2511" s="1034"/>
      <c r="L2511" s="1036" t="s">
        <v>7950</v>
      </c>
      <c r="M2511" s="1037" t="s">
        <v>107</v>
      </c>
      <c r="N2511" s="1034"/>
      <c r="O2511" s="1064"/>
      <c r="P2511" s="1035"/>
      <c r="Q2511" s="1036"/>
      <c r="R2511" s="1038" t="s">
        <v>8198</v>
      </c>
      <c r="S2511" s="1131" t="s">
        <v>8199</v>
      </c>
      <c r="T2511" s="1036" t="s">
        <v>8200</v>
      </c>
      <c r="U2511" s="1066">
        <v>2</v>
      </c>
      <c r="V2511" s="1035" t="s">
        <v>3</v>
      </c>
      <c r="W2511" s="1039">
        <v>4985</v>
      </c>
      <c r="X2511" s="1040">
        <f t="shared" si="508"/>
        <v>9970</v>
      </c>
      <c r="Y2511" s="1045" t="s">
        <v>6060</v>
      </c>
      <c r="Z2511" s="1041">
        <v>2457.61</v>
      </c>
      <c r="AA2511" s="1041"/>
      <c r="AB2511" s="1041">
        <f t="shared" si="526"/>
        <v>4915.22</v>
      </c>
      <c r="AC2511" s="1042">
        <f t="shared" si="527"/>
        <v>4915.22</v>
      </c>
      <c r="AD2511" s="1043">
        <v>32000</v>
      </c>
      <c r="AE2511" s="1044"/>
      <c r="AF2511" s="1045"/>
      <c r="AG2511" s="1046"/>
      <c r="AH2511" s="1045"/>
      <c r="AI2511" s="1047"/>
      <c r="AJ2511" s="1038"/>
      <c r="AK2511" s="1048"/>
      <c r="AL2511" s="1036"/>
      <c r="AM2511" s="1036"/>
      <c r="AN2511" s="1037"/>
      <c r="AO2511" s="1037"/>
      <c r="AP2511" s="1034"/>
      <c r="AQ2511" s="1035"/>
      <c r="AR2511" s="1034"/>
      <c r="AS2511" s="1035"/>
      <c r="AT2511" s="1035"/>
      <c r="AU2511" s="1035"/>
      <c r="AV2511" s="1038"/>
      <c r="AW2511" s="1050"/>
      <c r="AX2511" s="1051"/>
      <c r="AY2511" s="1036"/>
      <c r="AZ2511" s="1035"/>
      <c r="BA2511" s="1035"/>
      <c r="BB2511" s="1052"/>
      <c r="BC2511" s="1053"/>
      <c r="BD2511" s="1049"/>
      <c r="BE2511" s="1054"/>
      <c r="BF2511" s="1055"/>
      <c r="BG2511" s="1055"/>
      <c r="BH2511" s="1055"/>
      <c r="BI2511" s="1055"/>
      <c r="BJ2511" s="1055"/>
      <c r="BK2511" s="1055"/>
      <c r="BL2511" s="1055"/>
      <c r="BM2511" s="1055"/>
      <c r="BN2511" s="1055"/>
      <c r="BO2511" s="1056"/>
      <c r="BP2511" s="1056"/>
      <c r="BQ2511" s="1056"/>
      <c r="BR2511" s="1056"/>
      <c r="BS2511" s="1056"/>
      <c r="BT2511" s="1056"/>
      <c r="BU2511" s="1056"/>
      <c r="BV2511" s="1057"/>
      <c r="BW2511" s="1057"/>
      <c r="BX2511" s="1148"/>
      <c r="BY2511" s="1057"/>
      <c r="BZ2511" s="1057"/>
      <c r="CA2511" s="1057"/>
      <c r="CB2511" s="1032"/>
    </row>
    <row r="2512" spans="2:81">
      <c r="B2512" s="1033" t="s">
        <v>8184</v>
      </c>
      <c r="C2512" s="1033" t="s">
        <v>5697</v>
      </c>
      <c r="D2512" s="1033" t="s">
        <v>8195</v>
      </c>
      <c r="E2512" s="1033" t="s">
        <v>8195</v>
      </c>
      <c r="F2512" s="1034">
        <v>46185</v>
      </c>
      <c r="G2512" s="1058" t="str">
        <f t="shared" si="528"/>
        <v>CASSINA</v>
      </c>
      <c r="H2512" s="1063" t="s">
        <v>134</v>
      </c>
      <c r="I2512" s="1063"/>
      <c r="J2512" s="1034"/>
      <c r="K2512" s="1034"/>
      <c r="L2512" s="1036" t="s">
        <v>7950</v>
      </c>
      <c r="M2512" s="1037" t="s">
        <v>107</v>
      </c>
      <c r="N2512" s="1034"/>
      <c r="O2512" s="1064"/>
      <c r="P2512" s="1035"/>
      <c r="Q2512" s="1036"/>
      <c r="R2512" s="1038" t="s">
        <v>5852</v>
      </c>
      <c r="S2512" s="1131" t="s">
        <v>5853</v>
      </c>
      <c r="T2512" s="1036" t="s">
        <v>8201</v>
      </c>
      <c r="U2512" s="1066">
        <v>2</v>
      </c>
      <c r="V2512" s="1035" t="s">
        <v>3</v>
      </c>
      <c r="W2512" s="1039">
        <v>2025</v>
      </c>
      <c r="X2512" s="1040">
        <f t="shared" si="508"/>
        <v>4050</v>
      </c>
      <c r="Y2512" s="1045" t="s">
        <v>6060</v>
      </c>
      <c r="Z2512" s="1041">
        <v>998.33</v>
      </c>
      <c r="AA2512" s="1041"/>
      <c r="AB2512" s="1041">
        <f t="shared" si="526"/>
        <v>1996.66</v>
      </c>
      <c r="AC2512" s="1042">
        <f t="shared" si="527"/>
        <v>1996.66</v>
      </c>
      <c r="AD2512" s="1043">
        <v>32000</v>
      </c>
      <c r="AE2512" s="1044"/>
      <c r="AF2512" s="1045"/>
      <c r="AG2512" s="1046"/>
      <c r="AH2512" s="1045"/>
      <c r="AI2512" s="1047"/>
      <c r="AJ2512" s="1038"/>
      <c r="AK2512" s="1048"/>
      <c r="AL2512" s="1036"/>
      <c r="AM2512" s="1036"/>
      <c r="AN2512" s="1037"/>
      <c r="AO2512" s="1037"/>
      <c r="AP2512" s="1034"/>
      <c r="AQ2512" s="1035"/>
      <c r="AR2512" s="1034"/>
      <c r="AS2512" s="1035"/>
      <c r="AT2512" s="1035"/>
      <c r="AU2512" s="1035"/>
      <c r="AV2512" s="1038"/>
      <c r="AW2512" s="1050"/>
      <c r="AX2512" s="1051"/>
      <c r="AY2512" s="1036"/>
      <c r="AZ2512" s="1035"/>
      <c r="BA2512" s="1035"/>
      <c r="BB2512" s="1052"/>
      <c r="BC2512" s="1053"/>
      <c r="BD2512" s="1049"/>
      <c r="BE2512" s="1054"/>
      <c r="BF2512" s="1055"/>
      <c r="BG2512" s="1055"/>
      <c r="BH2512" s="1055"/>
      <c r="BI2512" s="1055"/>
      <c r="BJ2512" s="1055"/>
      <c r="BK2512" s="1055"/>
      <c r="BL2512" s="1055"/>
      <c r="BM2512" s="1055"/>
      <c r="BN2512" s="1055"/>
      <c r="BO2512" s="1056"/>
      <c r="BP2512" s="1056"/>
      <c r="BQ2512" s="1056"/>
      <c r="BR2512" s="1056"/>
      <c r="BS2512" s="1056"/>
      <c r="BT2512" s="1056"/>
      <c r="BU2512" s="1056"/>
      <c r="BV2512" s="1057"/>
      <c r="BW2512" s="1057"/>
      <c r="BX2512" s="1148"/>
      <c r="BY2512" s="1057"/>
      <c r="BZ2512" s="1057"/>
      <c r="CA2512" s="1057"/>
      <c r="CB2512" s="1032"/>
    </row>
    <row r="2513" spans="2:80">
      <c r="B2513" s="1033" t="s">
        <v>8184</v>
      </c>
      <c r="C2513" s="1033" t="s">
        <v>5697</v>
      </c>
      <c r="D2513" s="1033" t="s">
        <v>8195</v>
      </c>
      <c r="E2513" s="1033" t="s">
        <v>8195</v>
      </c>
      <c r="F2513" s="1034">
        <v>46185</v>
      </c>
      <c r="G2513" s="1058" t="str">
        <f t="shared" si="528"/>
        <v>CASSINA</v>
      </c>
      <c r="H2513" s="1063" t="s">
        <v>134</v>
      </c>
      <c r="I2513" s="1063"/>
      <c r="J2513" s="1034"/>
      <c r="K2513" s="1034"/>
      <c r="L2513" s="1036" t="s">
        <v>7950</v>
      </c>
      <c r="M2513" s="1037" t="s">
        <v>107</v>
      </c>
      <c r="N2513" s="1034"/>
      <c r="O2513" s="1064"/>
      <c r="P2513" s="1035"/>
      <c r="Q2513" s="1036"/>
      <c r="R2513" s="1038" t="s">
        <v>5828</v>
      </c>
      <c r="S2513" s="1131" t="s">
        <v>5829</v>
      </c>
      <c r="T2513" s="1036" t="s">
        <v>8202</v>
      </c>
      <c r="U2513" s="1066">
        <v>2</v>
      </c>
      <c r="V2513" s="1035" t="s">
        <v>3</v>
      </c>
      <c r="W2513" s="1039">
        <v>1315</v>
      </c>
      <c r="X2513" s="1040">
        <f t="shared" si="508"/>
        <v>2630</v>
      </c>
      <c r="Y2513" s="1045" t="s">
        <v>6060</v>
      </c>
      <c r="Z2513" s="1041">
        <v>648.29999999999995</v>
      </c>
      <c r="AA2513" s="1041"/>
      <c r="AB2513" s="1041">
        <f t="shared" si="526"/>
        <v>1296.5999999999999</v>
      </c>
      <c r="AC2513" s="1042">
        <f t="shared" si="527"/>
        <v>1296.5999999999999</v>
      </c>
      <c r="AD2513" s="1043">
        <v>32000</v>
      </c>
      <c r="AE2513" s="1044"/>
      <c r="AF2513" s="1045"/>
      <c r="AG2513" s="1046"/>
      <c r="AH2513" s="1045"/>
      <c r="AI2513" s="1047"/>
      <c r="AJ2513" s="1038"/>
      <c r="AK2513" s="1048"/>
      <c r="AL2513" s="1036"/>
      <c r="AM2513" s="1036"/>
      <c r="AN2513" s="1037"/>
      <c r="AO2513" s="1037"/>
      <c r="AP2513" s="1034"/>
      <c r="AQ2513" s="1035"/>
      <c r="AR2513" s="1034"/>
      <c r="AS2513" s="1035"/>
      <c r="AT2513" s="1035"/>
      <c r="AU2513" s="1035"/>
      <c r="AV2513" s="1038"/>
      <c r="AW2513" s="1050"/>
      <c r="AX2513" s="1051"/>
      <c r="AY2513" s="1036"/>
      <c r="AZ2513" s="1035"/>
      <c r="BA2513" s="1035"/>
      <c r="BB2513" s="1052"/>
      <c r="BC2513" s="1053"/>
      <c r="BD2513" s="1049"/>
      <c r="BE2513" s="1054"/>
      <c r="BF2513" s="1055"/>
      <c r="BG2513" s="1055"/>
      <c r="BH2513" s="1055"/>
      <c r="BI2513" s="1055"/>
      <c r="BJ2513" s="1055"/>
      <c r="BK2513" s="1055"/>
      <c r="BL2513" s="1055"/>
      <c r="BM2513" s="1055"/>
      <c r="BN2513" s="1055"/>
      <c r="BO2513" s="1056"/>
      <c r="BP2513" s="1056"/>
      <c r="BQ2513" s="1056"/>
      <c r="BR2513" s="1056"/>
      <c r="BS2513" s="1056"/>
      <c r="BT2513" s="1056"/>
      <c r="BU2513" s="1056"/>
      <c r="BV2513" s="1057"/>
      <c r="BW2513" s="1057"/>
      <c r="BX2513" s="1148"/>
      <c r="BY2513" s="1057"/>
      <c r="BZ2513" s="1057"/>
      <c r="CA2513" s="1057"/>
      <c r="CB2513" s="1032"/>
    </row>
    <row r="2514" spans="2:80">
      <c r="B2514" s="1033" t="s">
        <v>8184</v>
      </c>
      <c r="C2514" s="1033" t="s">
        <v>5697</v>
      </c>
      <c r="D2514" s="1033" t="s">
        <v>8195</v>
      </c>
      <c r="E2514" s="1033" t="s">
        <v>8195</v>
      </c>
      <c r="F2514" s="1034">
        <v>46185</v>
      </c>
      <c r="G2514" s="1058" t="str">
        <f t="shared" si="528"/>
        <v>CASSINA</v>
      </c>
      <c r="H2514" s="1063" t="s">
        <v>134</v>
      </c>
      <c r="I2514" s="1063"/>
      <c r="J2514" s="1034"/>
      <c r="K2514" s="1034"/>
      <c r="L2514" s="1036" t="s">
        <v>7950</v>
      </c>
      <c r="M2514" s="1037" t="s">
        <v>107</v>
      </c>
      <c r="N2514" s="1034"/>
      <c r="O2514" s="1064"/>
      <c r="P2514" s="1035"/>
      <c r="Q2514" s="1036"/>
      <c r="R2514" s="1038" t="s">
        <v>5832</v>
      </c>
      <c r="S2514" s="1131" t="s">
        <v>5833</v>
      </c>
      <c r="T2514" s="1036" t="s">
        <v>8203</v>
      </c>
      <c r="U2514" s="1066">
        <v>2</v>
      </c>
      <c r="V2514" s="1035" t="s">
        <v>3</v>
      </c>
      <c r="W2514" s="1039">
        <v>1500</v>
      </c>
      <c r="X2514" s="1040">
        <f t="shared" si="508"/>
        <v>3000</v>
      </c>
      <c r="Y2514" s="1045" t="s">
        <v>5752</v>
      </c>
      <c r="Z2514" s="1041">
        <v>696</v>
      </c>
      <c r="AA2514" s="1041"/>
      <c r="AB2514" s="1041">
        <f t="shared" si="526"/>
        <v>1392</v>
      </c>
      <c r="AC2514" s="1042">
        <f t="shared" si="527"/>
        <v>1392</v>
      </c>
      <c r="AD2514" s="1043">
        <v>32000</v>
      </c>
      <c r="AE2514" s="1044"/>
      <c r="AF2514" s="1045"/>
      <c r="AG2514" s="1046"/>
      <c r="AH2514" s="1045"/>
      <c r="AI2514" s="1047"/>
      <c r="AJ2514" s="1038"/>
      <c r="AK2514" s="1048"/>
      <c r="AL2514" s="1036"/>
      <c r="AM2514" s="1036"/>
      <c r="AN2514" s="1037"/>
      <c r="AO2514" s="1037"/>
      <c r="AP2514" s="1034"/>
      <c r="AQ2514" s="1035"/>
      <c r="AR2514" s="1034"/>
      <c r="AS2514" s="1035"/>
      <c r="AT2514" s="1035"/>
      <c r="AU2514" s="1035"/>
      <c r="AV2514" s="1038"/>
      <c r="AW2514" s="1050"/>
      <c r="AX2514" s="1051"/>
      <c r="AY2514" s="1036"/>
      <c r="AZ2514" s="1035"/>
      <c r="BA2514" s="1035"/>
      <c r="BB2514" s="1052"/>
      <c r="BC2514" s="1053"/>
      <c r="BD2514" s="1049"/>
      <c r="BE2514" s="1054"/>
      <c r="BF2514" s="1055"/>
      <c r="BG2514" s="1055"/>
      <c r="BH2514" s="1055"/>
      <c r="BI2514" s="1055"/>
      <c r="BJ2514" s="1055"/>
      <c r="BK2514" s="1055"/>
      <c r="BL2514" s="1055"/>
      <c r="BM2514" s="1055"/>
      <c r="BN2514" s="1055"/>
      <c r="BO2514" s="1056"/>
      <c r="BP2514" s="1056"/>
      <c r="BQ2514" s="1056"/>
      <c r="BR2514" s="1056"/>
      <c r="BS2514" s="1056"/>
      <c r="BT2514" s="1056"/>
      <c r="BU2514" s="1056"/>
      <c r="BV2514" s="1057"/>
      <c r="BW2514" s="1057"/>
      <c r="BX2514" s="1148"/>
      <c r="BY2514" s="1057"/>
      <c r="BZ2514" s="1057"/>
      <c r="CA2514" s="1057"/>
      <c r="CB2514" s="1032"/>
    </row>
    <row r="2515" spans="2:80">
      <c r="B2515" s="1033" t="s">
        <v>8184</v>
      </c>
      <c r="C2515" s="1033" t="s">
        <v>5697</v>
      </c>
      <c r="D2515" s="1033" t="s">
        <v>8195</v>
      </c>
      <c r="E2515" s="1033" t="s">
        <v>8195</v>
      </c>
      <c r="F2515" s="1034">
        <v>46185</v>
      </c>
      <c r="G2515" s="1058" t="str">
        <f t="shared" si="528"/>
        <v>CASSINA</v>
      </c>
      <c r="H2515" s="1063" t="s">
        <v>134</v>
      </c>
      <c r="I2515" s="1063"/>
      <c r="J2515" s="1034"/>
      <c r="K2515" s="1034"/>
      <c r="L2515" s="1036" t="s">
        <v>7950</v>
      </c>
      <c r="M2515" s="1037" t="s">
        <v>107</v>
      </c>
      <c r="N2515" s="1034"/>
      <c r="O2515" s="1064"/>
      <c r="P2515" s="1035"/>
      <c r="Q2515" s="1036"/>
      <c r="R2515" s="1038" t="s">
        <v>5836</v>
      </c>
      <c r="S2515" s="1131" t="s">
        <v>5837</v>
      </c>
      <c r="T2515" s="1036" t="s">
        <v>8204</v>
      </c>
      <c r="U2515" s="1066">
        <v>2</v>
      </c>
      <c r="V2515" s="1035" t="s">
        <v>3</v>
      </c>
      <c r="W2515" s="1039">
        <v>2110</v>
      </c>
      <c r="X2515" s="1040">
        <f t="shared" si="508"/>
        <v>4220</v>
      </c>
      <c r="Y2515" s="1045" t="s">
        <v>6060</v>
      </c>
      <c r="Z2515" s="1041">
        <v>1040.23</v>
      </c>
      <c r="AA2515" s="1041"/>
      <c r="AB2515" s="1041">
        <f t="shared" si="526"/>
        <v>2080.46</v>
      </c>
      <c r="AC2515" s="1042">
        <f t="shared" si="527"/>
        <v>2080.46</v>
      </c>
      <c r="AD2515" s="1043">
        <v>32000</v>
      </c>
      <c r="AE2515" s="1044"/>
      <c r="AF2515" s="1045"/>
      <c r="AG2515" s="1046"/>
      <c r="AH2515" s="1045"/>
      <c r="AI2515" s="1047"/>
      <c r="AJ2515" s="1038"/>
      <c r="AK2515" s="1048"/>
      <c r="AL2515" s="1036"/>
      <c r="AM2515" s="1036"/>
      <c r="AN2515" s="1037"/>
      <c r="AO2515" s="1037"/>
      <c r="AP2515" s="1034"/>
      <c r="AQ2515" s="1035"/>
      <c r="AR2515" s="1034"/>
      <c r="AS2515" s="1035"/>
      <c r="AT2515" s="1035"/>
      <c r="AU2515" s="1035"/>
      <c r="AV2515" s="1038"/>
      <c r="AW2515" s="1050"/>
      <c r="AX2515" s="1051"/>
      <c r="AY2515" s="1036"/>
      <c r="AZ2515" s="1035"/>
      <c r="BA2515" s="1035"/>
      <c r="BB2515" s="1052"/>
      <c r="BC2515" s="1053"/>
      <c r="BD2515" s="1049"/>
      <c r="BE2515" s="1054"/>
      <c r="BF2515" s="1055"/>
      <c r="BG2515" s="1055"/>
      <c r="BH2515" s="1055"/>
      <c r="BI2515" s="1055"/>
      <c r="BJ2515" s="1055"/>
      <c r="BK2515" s="1055"/>
      <c r="BL2515" s="1055"/>
      <c r="BM2515" s="1055"/>
      <c r="BN2515" s="1055"/>
      <c r="BO2515" s="1056"/>
      <c r="BP2515" s="1056"/>
      <c r="BQ2515" s="1056"/>
      <c r="BR2515" s="1056"/>
      <c r="BS2515" s="1056"/>
      <c r="BT2515" s="1056"/>
      <c r="BU2515" s="1056"/>
      <c r="BV2515" s="1057"/>
      <c r="BW2515" s="1057"/>
      <c r="BX2515" s="1148"/>
      <c r="BY2515" s="1057"/>
      <c r="BZ2515" s="1057"/>
      <c r="CA2515" s="1057"/>
      <c r="CB2515" s="1032"/>
    </row>
    <row r="2516" spans="2:80">
      <c r="B2516" s="1033" t="s">
        <v>8184</v>
      </c>
      <c r="C2516" s="1033" t="s">
        <v>5697</v>
      </c>
      <c r="D2516" s="1033" t="s">
        <v>8195</v>
      </c>
      <c r="E2516" s="1033" t="s">
        <v>8195</v>
      </c>
      <c r="F2516" s="1034">
        <v>46185</v>
      </c>
      <c r="G2516" s="1058" t="str">
        <f t="shared" si="528"/>
        <v>CASSINA</v>
      </c>
      <c r="H2516" s="1063" t="s">
        <v>134</v>
      </c>
      <c r="I2516" s="1063"/>
      <c r="J2516" s="1034"/>
      <c r="K2516" s="1034"/>
      <c r="L2516" s="1036" t="s">
        <v>7950</v>
      </c>
      <c r="M2516" s="1037" t="s">
        <v>107</v>
      </c>
      <c r="N2516" s="1034"/>
      <c r="O2516" s="1064"/>
      <c r="P2516" s="1035"/>
      <c r="Q2516" s="1036"/>
      <c r="R2516" s="1038" t="s">
        <v>5840</v>
      </c>
      <c r="S2516" s="1131" t="s">
        <v>5841</v>
      </c>
      <c r="T2516" s="1036" t="s">
        <v>8205</v>
      </c>
      <c r="U2516" s="1066">
        <v>2</v>
      </c>
      <c r="V2516" s="1035" t="s">
        <v>3</v>
      </c>
      <c r="W2516" s="1039">
        <v>2465</v>
      </c>
      <c r="X2516" s="1040">
        <f t="shared" si="508"/>
        <v>4930</v>
      </c>
      <c r="Y2516" s="1045" t="s">
        <v>6060</v>
      </c>
      <c r="Z2516" s="1041">
        <v>1215.25</v>
      </c>
      <c r="AA2516" s="1041"/>
      <c r="AB2516" s="1041">
        <f t="shared" si="526"/>
        <v>2430.5</v>
      </c>
      <c r="AC2516" s="1042">
        <f t="shared" si="527"/>
        <v>2430.5</v>
      </c>
      <c r="AD2516" s="1043">
        <v>32000</v>
      </c>
      <c r="AE2516" s="1044"/>
      <c r="AF2516" s="1045"/>
      <c r="AG2516" s="1046"/>
      <c r="AH2516" s="1045"/>
      <c r="AI2516" s="1047"/>
      <c r="AJ2516" s="1038"/>
      <c r="AK2516" s="1048"/>
      <c r="AL2516" s="1036"/>
      <c r="AM2516" s="1036"/>
      <c r="AN2516" s="1037"/>
      <c r="AO2516" s="1037"/>
      <c r="AP2516" s="1034"/>
      <c r="AQ2516" s="1035"/>
      <c r="AR2516" s="1034"/>
      <c r="AS2516" s="1035"/>
      <c r="AT2516" s="1035"/>
      <c r="AU2516" s="1035"/>
      <c r="AV2516" s="1038"/>
      <c r="AW2516" s="1050"/>
      <c r="AX2516" s="1051"/>
      <c r="AY2516" s="1036"/>
      <c r="AZ2516" s="1035"/>
      <c r="BA2516" s="1035"/>
      <c r="BB2516" s="1052"/>
      <c r="BC2516" s="1053"/>
      <c r="BD2516" s="1049"/>
      <c r="BE2516" s="1054"/>
      <c r="BF2516" s="1055"/>
      <c r="BG2516" s="1055"/>
      <c r="BH2516" s="1055"/>
      <c r="BI2516" s="1055"/>
      <c r="BJ2516" s="1055"/>
      <c r="BK2516" s="1055"/>
      <c r="BL2516" s="1055"/>
      <c r="BM2516" s="1055"/>
      <c r="BN2516" s="1055"/>
      <c r="BO2516" s="1056"/>
      <c r="BP2516" s="1056"/>
      <c r="BQ2516" s="1056"/>
      <c r="BR2516" s="1056"/>
      <c r="BS2516" s="1056"/>
      <c r="BT2516" s="1056"/>
      <c r="BU2516" s="1056"/>
      <c r="BV2516" s="1057"/>
      <c r="BW2516" s="1057"/>
      <c r="BX2516" s="1148"/>
      <c r="BY2516" s="1057"/>
      <c r="BZ2516" s="1057"/>
      <c r="CA2516" s="1057"/>
      <c r="CB2516" s="1032"/>
    </row>
    <row r="2517" spans="2:80">
      <c r="B2517" s="1033" t="s">
        <v>8184</v>
      </c>
      <c r="C2517" s="1033" t="s">
        <v>5697</v>
      </c>
      <c r="D2517" s="1033" t="s">
        <v>8195</v>
      </c>
      <c r="E2517" s="1033" t="s">
        <v>8195</v>
      </c>
      <c r="F2517" s="1034">
        <v>46185</v>
      </c>
      <c r="G2517" s="1058" t="str">
        <f t="shared" si="528"/>
        <v>CASSINA</v>
      </c>
      <c r="H2517" s="1063" t="s">
        <v>134</v>
      </c>
      <c r="I2517" s="1063"/>
      <c r="J2517" s="1034"/>
      <c r="K2517" s="1034"/>
      <c r="L2517" s="1036" t="s">
        <v>7950</v>
      </c>
      <c r="M2517" s="1037" t="s">
        <v>107</v>
      </c>
      <c r="N2517" s="1034"/>
      <c r="O2517" s="1064"/>
      <c r="P2517" s="1035"/>
      <c r="Q2517" s="1036"/>
      <c r="R2517" s="1038" t="s">
        <v>6773</v>
      </c>
      <c r="S2517" s="1131" t="s">
        <v>6774</v>
      </c>
      <c r="T2517" s="1036" t="s">
        <v>8206</v>
      </c>
      <c r="U2517" s="1066">
        <v>1</v>
      </c>
      <c r="V2517" s="1035" t="s">
        <v>3</v>
      </c>
      <c r="W2517" s="1039">
        <v>10060</v>
      </c>
      <c r="X2517" s="1040">
        <f t="shared" si="508"/>
        <v>10060</v>
      </c>
      <c r="Y2517" s="1045" t="s">
        <v>6060</v>
      </c>
      <c r="Z2517" s="1041">
        <v>4959.58</v>
      </c>
      <c r="AA2517" s="1041"/>
      <c r="AB2517" s="1041">
        <f t="shared" si="526"/>
        <v>4959.58</v>
      </c>
      <c r="AC2517" s="1042">
        <f t="shared" si="527"/>
        <v>4959.58</v>
      </c>
      <c r="AD2517" s="1043">
        <v>32000</v>
      </c>
      <c r="AE2517" s="1044"/>
      <c r="AF2517" s="1045"/>
      <c r="AG2517" s="1046"/>
      <c r="AH2517" s="1045"/>
      <c r="AI2517" s="1047"/>
      <c r="AJ2517" s="1038"/>
      <c r="AK2517" s="1048"/>
      <c r="AL2517" s="1036"/>
      <c r="AM2517" s="1036"/>
      <c r="AN2517" s="1037"/>
      <c r="AO2517" s="1037"/>
      <c r="AP2517" s="1034"/>
      <c r="AQ2517" s="1035"/>
      <c r="AR2517" s="1034"/>
      <c r="AS2517" s="1035"/>
      <c r="AT2517" s="1035"/>
      <c r="AU2517" s="1035"/>
      <c r="AV2517" s="1038"/>
      <c r="AW2517" s="1050"/>
      <c r="AX2517" s="1051"/>
      <c r="AY2517" s="1036"/>
      <c r="AZ2517" s="1035"/>
      <c r="BA2517" s="1035"/>
      <c r="BB2517" s="1052"/>
      <c r="BC2517" s="1053"/>
      <c r="BD2517" s="1049"/>
      <c r="BE2517" s="1054"/>
      <c r="BF2517" s="1055"/>
      <c r="BG2517" s="1055"/>
      <c r="BH2517" s="1055"/>
      <c r="BI2517" s="1055"/>
      <c r="BJ2517" s="1055"/>
      <c r="BK2517" s="1055"/>
      <c r="BL2517" s="1055"/>
      <c r="BM2517" s="1055"/>
      <c r="BN2517" s="1055"/>
      <c r="BO2517" s="1056"/>
      <c r="BP2517" s="1056"/>
      <c r="BQ2517" s="1056"/>
      <c r="BR2517" s="1056"/>
      <c r="BS2517" s="1056"/>
      <c r="BT2517" s="1056"/>
      <c r="BU2517" s="1056"/>
      <c r="BV2517" s="1057"/>
      <c r="BW2517" s="1057"/>
      <c r="BX2517" s="1148"/>
      <c r="BY2517" s="1057"/>
      <c r="BZ2517" s="1057"/>
      <c r="CA2517" s="1057"/>
      <c r="CB2517" s="1032"/>
    </row>
    <row r="2518" spans="2:80">
      <c r="B2518" s="1033" t="s">
        <v>8184</v>
      </c>
      <c r="C2518" s="1033" t="s">
        <v>5697</v>
      </c>
      <c r="D2518" s="1033" t="s">
        <v>8195</v>
      </c>
      <c r="E2518" s="1033" t="s">
        <v>8195</v>
      </c>
      <c r="F2518" s="1034">
        <v>46185</v>
      </c>
      <c r="G2518" s="1058" t="str">
        <f t="shared" si="528"/>
        <v>CASSINA</v>
      </c>
      <c r="H2518" s="1063" t="s">
        <v>134</v>
      </c>
      <c r="I2518" s="1063"/>
      <c r="J2518" s="1034"/>
      <c r="K2518" s="1034"/>
      <c r="L2518" s="1036" t="s">
        <v>7950</v>
      </c>
      <c r="M2518" s="1037" t="s">
        <v>107</v>
      </c>
      <c r="N2518" s="1034"/>
      <c r="O2518" s="1064"/>
      <c r="P2518" s="1035"/>
      <c r="Q2518" s="1036"/>
      <c r="R2518" s="1038" t="s">
        <v>8207</v>
      </c>
      <c r="S2518" s="1131" t="s">
        <v>8208</v>
      </c>
      <c r="T2518" s="1036" t="s">
        <v>8209</v>
      </c>
      <c r="U2518" s="1066">
        <v>2</v>
      </c>
      <c r="V2518" s="1035" t="s">
        <v>3</v>
      </c>
      <c r="W2518" s="1039">
        <v>3430</v>
      </c>
      <c r="X2518" s="1040">
        <f t="shared" si="508"/>
        <v>6860</v>
      </c>
      <c r="Y2518" s="1045" t="s">
        <v>6060</v>
      </c>
      <c r="Z2518" s="1041">
        <v>1690.99</v>
      </c>
      <c r="AA2518" s="1041"/>
      <c r="AB2518" s="1041">
        <f t="shared" si="526"/>
        <v>3381.98</v>
      </c>
      <c r="AC2518" s="1042">
        <f t="shared" si="527"/>
        <v>3381.98</v>
      </c>
      <c r="AD2518" s="1043">
        <v>32000</v>
      </c>
      <c r="AE2518" s="1044"/>
      <c r="AF2518" s="1045"/>
      <c r="AG2518" s="1046"/>
      <c r="AH2518" s="1045"/>
      <c r="AI2518" s="1047"/>
      <c r="AJ2518" s="1038"/>
      <c r="AK2518" s="1048"/>
      <c r="AL2518" s="1036"/>
      <c r="AM2518" s="1036"/>
      <c r="AN2518" s="1037"/>
      <c r="AO2518" s="1037"/>
      <c r="AP2518" s="1034"/>
      <c r="AQ2518" s="1035"/>
      <c r="AR2518" s="1034"/>
      <c r="AS2518" s="1035"/>
      <c r="AT2518" s="1035"/>
      <c r="AU2518" s="1035"/>
      <c r="AV2518" s="1038"/>
      <c r="AW2518" s="1050"/>
      <c r="AX2518" s="1051"/>
      <c r="AY2518" s="1036"/>
      <c r="AZ2518" s="1035"/>
      <c r="BA2518" s="1035"/>
      <c r="BB2518" s="1052"/>
      <c r="BC2518" s="1053"/>
      <c r="BD2518" s="1049"/>
      <c r="BE2518" s="1054"/>
      <c r="BF2518" s="1055"/>
      <c r="BG2518" s="1055"/>
      <c r="BH2518" s="1055"/>
      <c r="BI2518" s="1055"/>
      <c r="BJ2518" s="1055"/>
      <c r="BK2518" s="1055"/>
      <c r="BL2518" s="1055"/>
      <c r="BM2518" s="1055"/>
      <c r="BN2518" s="1055"/>
      <c r="BO2518" s="1056"/>
      <c r="BP2518" s="1056"/>
      <c r="BQ2518" s="1056"/>
      <c r="BR2518" s="1056"/>
      <c r="BS2518" s="1056"/>
      <c r="BT2518" s="1056"/>
      <c r="BU2518" s="1056"/>
      <c r="BV2518" s="1057"/>
      <c r="BW2518" s="1057"/>
      <c r="BX2518" s="1148"/>
      <c r="BY2518" s="1057"/>
      <c r="BZ2518" s="1057"/>
      <c r="CA2518" s="1057"/>
      <c r="CB2518" s="1032"/>
    </row>
    <row r="2519" spans="2:80">
      <c r="B2519" s="1033" t="s">
        <v>8184</v>
      </c>
      <c r="C2519" s="1033" t="s">
        <v>5697</v>
      </c>
      <c r="D2519" s="1033" t="s">
        <v>8195</v>
      </c>
      <c r="E2519" s="1033" t="s">
        <v>8195</v>
      </c>
      <c r="F2519" s="1034">
        <v>46185</v>
      </c>
      <c r="G2519" s="1058" t="str">
        <f t="shared" si="528"/>
        <v>CASSINA</v>
      </c>
      <c r="H2519" s="1063" t="s">
        <v>134</v>
      </c>
      <c r="I2519" s="1063"/>
      <c r="J2519" s="1034"/>
      <c r="K2519" s="1034"/>
      <c r="L2519" s="1036" t="s">
        <v>7950</v>
      </c>
      <c r="M2519" s="1037" t="s">
        <v>107</v>
      </c>
      <c r="N2519" s="1034"/>
      <c r="O2519" s="1064"/>
      <c r="P2519" s="1035"/>
      <c r="Q2519" s="1036"/>
      <c r="R2519" s="1038" t="s">
        <v>8210</v>
      </c>
      <c r="S2519" s="1131" t="s">
        <v>8211</v>
      </c>
      <c r="T2519" s="1036" t="s">
        <v>8212</v>
      </c>
      <c r="U2519" s="1066">
        <v>2</v>
      </c>
      <c r="V2519" s="1035" t="s">
        <v>3</v>
      </c>
      <c r="W2519" s="1039">
        <v>3210</v>
      </c>
      <c r="X2519" s="1040">
        <f t="shared" si="508"/>
        <v>6420</v>
      </c>
      <c r="Y2519" s="1045" t="s">
        <v>6060</v>
      </c>
      <c r="Z2519" s="1041">
        <v>1582.53</v>
      </c>
      <c r="AA2519" s="1041"/>
      <c r="AB2519" s="1041">
        <f t="shared" si="526"/>
        <v>3165.06</v>
      </c>
      <c r="AC2519" s="1042">
        <f t="shared" si="527"/>
        <v>3165.06</v>
      </c>
      <c r="AD2519" s="1043">
        <v>32000</v>
      </c>
      <c r="AE2519" s="1044"/>
      <c r="AF2519" s="1045"/>
      <c r="AG2519" s="1046"/>
      <c r="AH2519" s="1045"/>
      <c r="AI2519" s="1047"/>
      <c r="AJ2519" s="1038"/>
      <c r="AK2519" s="1048"/>
      <c r="AL2519" s="1036"/>
      <c r="AM2519" s="1036"/>
      <c r="AN2519" s="1037"/>
      <c r="AO2519" s="1037"/>
      <c r="AP2519" s="1034"/>
      <c r="AQ2519" s="1035"/>
      <c r="AR2519" s="1034"/>
      <c r="AS2519" s="1035"/>
      <c r="AT2519" s="1035"/>
      <c r="AU2519" s="1035"/>
      <c r="AV2519" s="1038"/>
      <c r="AW2519" s="1050"/>
      <c r="AX2519" s="1051"/>
      <c r="AY2519" s="1036"/>
      <c r="AZ2519" s="1035"/>
      <c r="BA2519" s="1035"/>
      <c r="BB2519" s="1052"/>
      <c r="BC2519" s="1053"/>
      <c r="BD2519" s="1049"/>
      <c r="BE2519" s="1054"/>
      <c r="BF2519" s="1055"/>
      <c r="BG2519" s="1055"/>
      <c r="BH2519" s="1055"/>
      <c r="BI2519" s="1055"/>
      <c r="BJ2519" s="1055"/>
      <c r="BK2519" s="1055"/>
      <c r="BL2519" s="1055"/>
      <c r="BM2519" s="1055"/>
      <c r="BN2519" s="1055"/>
      <c r="BO2519" s="1056"/>
      <c r="BP2519" s="1056"/>
      <c r="BQ2519" s="1056"/>
      <c r="BR2519" s="1056"/>
      <c r="BS2519" s="1056"/>
      <c r="BT2519" s="1056"/>
      <c r="BU2519" s="1056"/>
      <c r="BV2519" s="1057"/>
      <c r="BW2519" s="1057"/>
      <c r="BX2519" s="1148"/>
      <c r="BY2519" s="1057"/>
      <c r="BZ2519" s="1057"/>
      <c r="CA2519" s="1057"/>
      <c r="CB2519" s="1032"/>
    </row>
    <row r="2520" spans="2:80">
      <c r="B2520" s="1033" t="s">
        <v>8184</v>
      </c>
      <c r="C2520" s="1033" t="s">
        <v>5697</v>
      </c>
      <c r="D2520" s="1033" t="s">
        <v>8195</v>
      </c>
      <c r="E2520" s="1033" t="s">
        <v>8195</v>
      </c>
      <c r="F2520" s="1034">
        <v>46185</v>
      </c>
      <c r="G2520" s="1058" t="str">
        <f t="shared" si="528"/>
        <v>CASSINA</v>
      </c>
      <c r="H2520" s="1063" t="s">
        <v>134</v>
      </c>
      <c r="I2520" s="1063"/>
      <c r="J2520" s="1034"/>
      <c r="K2520" s="1034"/>
      <c r="L2520" s="1036" t="s">
        <v>7950</v>
      </c>
      <c r="M2520" s="1037" t="s">
        <v>107</v>
      </c>
      <c r="N2520" s="1034"/>
      <c r="O2520" s="1064"/>
      <c r="P2520" s="1035"/>
      <c r="Q2520" s="1036"/>
      <c r="R2520" s="1038" t="s">
        <v>5749</v>
      </c>
      <c r="S2520" s="1131" t="s">
        <v>5750</v>
      </c>
      <c r="T2520" s="1036" t="s">
        <v>8213</v>
      </c>
      <c r="U2520" s="1066">
        <v>1</v>
      </c>
      <c r="V2520" s="1035" t="s">
        <v>3</v>
      </c>
      <c r="W2520" s="1039">
        <v>3735</v>
      </c>
      <c r="X2520" s="1040">
        <f t="shared" si="508"/>
        <v>3735</v>
      </c>
      <c r="Y2520" s="1045" t="s">
        <v>6060</v>
      </c>
      <c r="Z2520" s="1041">
        <v>1841.36</v>
      </c>
      <c r="AA2520" s="1041"/>
      <c r="AB2520" s="1041">
        <f t="shared" si="526"/>
        <v>1841.36</v>
      </c>
      <c r="AC2520" s="1042">
        <f t="shared" si="527"/>
        <v>1841.36</v>
      </c>
      <c r="AD2520" s="1043">
        <v>32000</v>
      </c>
      <c r="AE2520" s="1044"/>
      <c r="AF2520" s="1045"/>
      <c r="AG2520" s="1046"/>
      <c r="AH2520" s="1045"/>
      <c r="AI2520" s="1047"/>
      <c r="AJ2520" s="1038"/>
      <c r="AK2520" s="1048"/>
      <c r="AL2520" s="1036"/>
      <c r="AM2520" s="1036"/>
      <c r="AN2520" s="1037"/>
      <c r="AO2520" s="1037"/>
      <c r="AP2520" s="1034"/>
      <c r="AQ2520" s="1035"/>
      <c r="AR2520" s="1034"/>
      <c r="AS2520" s="1035"/>
      <c r="AT2520" s="1035"/>
      <c r="AU2520" s="1035"/>
      <c r="AV2520" s="1038"/>
      <c r="AW2520" s="1050"/>
      <c r="AX2520" s="1051"/>
      <c r="AY2520" s="1036"/>
      <c r="AZ2520" s="1035"/>
      <c r="BA2520" s="1035"/>
      <c r="BB2520" s="1052"/>
      <c r="BC2520" s="1053"/>
      <c r="BD2520" s="1049"/>
      <c r="BE2520" s="1054"/>
      <c r="BF2520" s="1055"/>
      <c r="BG2520" s="1055"/>
      <c r="BH2520" s="1055"/>
      <c r="BI2520" s="1055"/>
      <c r="BJ2520" s="1055"/>
      <c r="BK2520" s="1055"/>
      <c r="BL2520" s="1055"/>
      <c r="BM2520" s="1055"/>
      <c r="BN2520" s="1055"/>
      <c r="BO2520" s="1056"/>
      <c r="BP2520" s="1056"/>
      <c r="BQ2520" s="1056"/>
      <c r="BR2520" s="1056"/>
      <c r="BS2520" s="1056"/>
      <c r="BT2520" s="1056"/>
      <c r="BU2520" s="1056"/>
      <c r="BV2520" s="1057"/>
      <c r="BW2520" s="1057"/>
      <c r="BX2520" s="1148"/>
      <c r="BY2520" s="1057"/>
      <c r="BZ2520" s="1057"/>
      <c r="CA2520" s="1057"/>
      <c r="CB2520" s="1032"/>
    </row>
    <row r="2521" spans="2:80">
      <c r="B2521" s="1033" t="s">
        <v>8184</v>
      </c>
      <c r="C2521" s="1033" t="s">
        <v>5697</v>
      </c>
      <c r="D2521" s="1033" t="s">
        <v>8195</v>
      </c>
      <c r="E2521" s="1033" t="s">
        <v>8195</v>
      </c>
      <c r="F2521" s="1034">
        <v>46185</v>
      </c>
      <c r="G2521" s="1058" t="str">
        <f t="shared" si="528"/>
        <v>CASSINA</v>
      </c>
      <c r="H2521" s="1063" t="s">
        <v>134</v>
      </c>
      <c r="I2521" s="1063"/>
      <c r="J2521" s="1034"/>
      <c r="K2521" s="1034"/>
      <c r="L2521" s="1036" t="s">
        <v>7950</v>
      </c>
      <c r="M2521" s="1037" t="s">
        <v>107</v>
      </c>
      <c r="N2521" s="1034"/>
      <c r="O2521" s="1064"/>
      <c r="P2521" s="1035"/>
      <c r="Q2521" s="1036"/>
      <c r="R2521" s="1038" t="s">
        <v>5739</v>
      </c>
      <c r="S2521" s="1131" t="s">
        <v>8214</v>
      </c>
      <c r="T2521" s="1036" t="s">
        <v>8215</v>
      </c>
      <c r="U2521" s="1066">
        <v>1</v>
      </c>
      <c r="V2521" s="1035" t="s">
        <v>3</v>
      </c>
      <c r="W2521" s="1039">
        <v>2625</v>
      </c>
      <c r="X2521" s="1040">
        <f t="shared" si="508"/>
        <v>2625</v>
      </c>
      <c r="Y2521" s="1045" t="s">
        <v>6060</v>
      </c>
      <c r="Z2521" s="1041">
        <v>1294.1300000000001</v>
      </c>
      <c r="AA2521" s="1041"/>
      <c r="AB2521" s="1041">
        <f t="shared" si="526"/>
        <v>1294.1300000000001</v>
      </c>
      <c r="AC2521" s="1042">
        <f t="shared" si="527"/>
        <v>1294.1300000000001</v>
      </c>
      <c r="AD2521" s="1043">
        <v>32000</v>
      </c>
      <c r="AE2521" s="1044"/>
      <c r="AF2521" s="1045"/>
      <c r="AG2521" s="1046"/>
      <c r="AH2521" s="1045"/>
      <c r="AI2521" s="1047"/>
      <c r="AJ2521" s="1038"/>
      <c r="AK2521" s="1048"/>
      <c r="AL2521" s="1036"/>
      <c r="AM2521" s="1036"/>
      <c r="AN2521" s="1037"/>
      <c r="AO2521" s="1037"/>
      <c r="AP2521" s="1034"/>
      <c r="AQ2521" s="1035"/>
      <c r="AR2521" s="1034"/>
      <c r="AS2521" s="1035"/>
      <c r="AT2521" s="1035"/>
      <c r="AU2521" s="1035"/>
      <c r="AV2521" s="1038"/>
      <c r="AW2521" s="1050"/>
      <c r="AX2521" s="1051"/>
      <c r="AY2521" s="1036"/>
      <c r="AZ2521" s="1035"/>
      <c r="BA2521" s="1035"/>
      <c r="BB2521" s="1052"/>
      <c r="BC2521" s="1053"/>
      <c r="BD2521" s="1049"/>
      <c r="BE2521" s="1054"/>
      <c r="BF2521" s="1055"/>
      <c r="BG2521" s="1055"/>
      <c r="BH2521" s="1055"/>
      <c r="BI2521" s="1055"/>
      <c r="BJ2521" s="1055"/>
      <c r="BK2521" s="1055"/>
      <c r="BL2521" s="1055"/>
      <c r="BM2521" s="1055"/>
      <c r="BN2521" s="1055"/>
      <c r="BO2521" s="1056"/>
      <c r="BP2521" s="1056"/>
      <c r="BQ2521" s="1056"/>
      <c r="BR2521" s="1056"/>
      <c r="BS2521" s="1056"/>
      <c r="BT2521" s="1056"/>
      <c r="BU2521" s="1056"/>
      <c r="BV2521" s="1057"/>
      <c r="BW2521" s="1057"/>
      <c r="BX2521" s="1148"/>
      <c r="BY2521" s="1057"/>
      <c r="BZ2521" s="1057"/>
      <c r="CA2521" s="1057"/>
      <c r="CB2521" s="1032"/>
    </row>
    <row r="2522" spans="2:80">
      <c r="B2522" s="1033" t="s">
        <v>8184</v>
      </c>
      <c r="C2522" s="1033" t="s">
        <v>5697</v>
      </c>
      <c r="D2522" s="1033" t="s">
        <v>8195</v>
      </c>
      <c r="E2522" s="1033" t="s">
        <v>8195</v>
      </c>
      <c r="F2522" s="1034">
        <v>46185</v>
      </c>
      <c r="G2522" s="1058" t="str">
        <f t="shared" si="528"/>
        <v>CASSINA</v>
      </c>
      <c r="H2522" s="1063" t="s">
        <v>134</v>
      </c>
      <c r="I2522" s="1063"/>
      <c r="J2522" s="1034"/>
      <c r="K2522" s="1034"/>
      <c r="L2522" s="1036" t="s">
        <v>7950</v>
      </c>
      <c r="M2522" s="1037" t="s">
        <v>107</v>
      </c>
      <c r="N2522" s="1034"/>
      <c r="O2522" s="1064"/>
      <c r="P2522" s="1035"/>
      <c r="Q2522" s="1036"/>
      <c r="R2522" s="1038" t="s">
        <v>5739</v>
      </c>
      <c r="S2522" s="1131" t="s">
        <v>8216</v>
      </c>
      <c r="T2522" s="1036" t="s">
        <v>8217</v>
      </c>
      <c r="U2522" s="1066">
        <v>1</v>
      </c>
      <c r="V2522" s="1035" t="s">
        <v>3</v>
      </c>
      <c r="W2522" s="1039">
        <v>2625</v>
      </c>
      <c r="X2522" s="1040">
        <f t="shared" si="508"/>
        <v>2625</v>
      </c>
      <c r="Y2522" s="1045" t="s">
        <v>6060</v>
      </c>
      <c r="Z2522" s="1041">
        <v>1294.1300000000001</v>
      </c>
      <c r="AA2522" s="1041"/>
      <c r="AB2522" s="1041">
        <f t="shared" si="526"/>
        <v>1294.1300000000001</v>
      </c>
      <c r="AC2522" s="1042">
        <f t="shared" si="527"/>
        <v>1294.1300000000001</v>
      </c>
      <c r="AD2522" s="1043">
        <v>32000</v>
      </c>
      <c r="AE2522" s="1044"/>
      <c r="AF2522" s="1045"/>
      <c r="AG2522" s="1046"/>
      <c r="AH2522" s="1045"/>
      <c r="AI2522" s="1047"/>
      <c r="AJ2522" s="1038"/>
      <c r="AK2522" s="1048"/>
      <c r="AL2522" s="1036"/>
      <c r="AM2522" s="1036"/>
      <c r="AN2522" s="1037"/>
      <c r="AO2522" s="1037"/>
      <c r="AP2522" s="1034"/>
      <c r="AQ2522" s="1035"/>
      <c r="AR2522" s="1034"/>
      <c r="AS2522" s="1035"/>
      <c r="AT2522" s="1035"/>
      <c r="AU2522" s="1035"/>
      <c r="AV2522" s="1038"/>
      <c r="AW2522" s="1050"/>
      <c r="AX2522" s="1051"/>
      <c r="AY2522" s="1036"/>
      <c r="AZ2522" s="1035"/>
      <c r="BA2522" s="1035"/>
      <c r="BB2522" s="1052"/>
      <c r="BC2522" s="1053"/>
      <c r="BD2522" s="1049"/>
      <c r="BE2522" s="1054"/>
      <c r="BF2522" s="1055"/>
      <c r="BG2522" s="1055"/>
      <c r="BH2522" s="1055"/>
      <c r="BI2522" s="1055"/>
      <c r="BJ2522" s="1055"/>
      <c r="BK2522" s="1055"/>
      <c r="BL2522" s="1055"/>
      <c r="BM2522" s="1055"/>
      <c r="BN2522" s="1055"/>
      <c r="BO2522" s="1056"/>
      <c r="BP2522" s="1056"/>
      <c r="BQ2522" s="1056"/>
      <c r="BR2522" s="1056"/>
      <c r="BS2522" s="1056"/>
      <c r="BT2522" s="1056"/>
      <c r="BU2522" s="1056"/>
      <c r="BV2522" s="1057"/>
      <c r="BW2522" s="1057"/>
      <c r="BX2522" s="1148"/>
      <c r="BY2522" s="1057"/>
      <c r="BZ2522" s="1057"/>
      <c r="CA2522" s="1057"/>
      <c r="CB2522" s="1032"/>
    </row>
    <row r="2523" spans="2:80">
      <c r="B2523" s="1033" t="s">
        <v>8184</v>
      </c>
      <c r="C2523" s="1033" t="s">
        <v>5697</v>
      </c>
      <c r="D2523" s="1033" t="s">
        <v>8195</v>
      </c>
      <c r="E2523" s="1033" t="s">
        <v>8195</v>
      </c>
      <c r="F2523" s="1034">
        <v>46185</v>
      </c>
      <c r="G2523" s="1058" t="str">
        <f t="shared" si="528"/>
        <v>CASSINA</v>
      </c>
      <c r="H2523" s="1063" t="s">
        <v>134</v>
      </c>
      <c r="I2523" s="1063"/>
      <c r="J2523" s="1034"/>
      <c r="K2523" s="1034"/>
      <c r="L2523" s="1036" t="s">
        <v>7950</v>
      </c>
      <c r="M2523" s="1037" t="s">
        <v>107</v>
      </c>
      <c r="N2523" s="1034"/>
      <c r="O2523" s="1064"/>
      <c r="P2523" s="1035"/>
      <c r="Q2523" s="1036"/>
      <c r="R2523" s="1038" t="s">
        <v>5861</v>
      </c>
      <c r="S2523" s="1131" t="s">
        <v>5862</v>
      </c>
      <c r="T2523" s="1036" t="s">
        <v>8218</v>
      </c>
      <c r="U2523" s="1066">
        <v>2</v>
      </c>
      <c r="V2523" s="1035" t="s">
        <v>3</v>
      </c>
      <c r="W2523" s="1039">
        <v>3700</v>
      </c>
      <c r="X2523" s="1040">
        <f t="shared" si="508"/>
        <v>7400</v>
      </c>
      <c r="Y2523" s="1045" t="s">
        <v>6060</v>
      </c>
      <c r="Z2523" s="1041">
        <v>1824.1</v>
      </c>
      <c r="AA2523" s="1041"/>
      <c r="AB2523" s="1041">
        <f t="shared" si="526"/>
        <v>3648.2</v>
      </c>
      <c r="AC2523" s="1042">
        <f t="shared" si="527"/>
        <v>3648.2</v>
      </c>
      <c r="AD2523" s="1043">
        <v>32000</v>
      </c>
      <c r="AE2523" s="1044"/>
      <c r="AF2523" s="1045"/>
      <c r="AG2523" s="1046"/>
      <c r="AH2523" s="1045"/>
      <c r="AI2523" s="1047"/>
      <c r="AJ2523" s="1038"/>
      <c r="AK2523" s="1048"/>
      <c r="AL2523" s="1036"/>
      <c r="AM2523" s="1036"/>
      <c r="AN2523" s="1037"/>
      <c r="AO2523" s="1037"/>
      <c r="AP2523" s="1034"/>
      <c r="AQ2523" s="1035"/>
      <c r="AR2523" s="1034"/>
      <c r="AS2523" s="1035"/>
      <c r="AT2523" s="1035"/>
      <c r="AU2523" s="1035"/>
      <c r="AV2523" s="1038"/>
      <c r="AW2523" s="1050"/>
      <c r="AX2523" s="1051"/>
      <c r="AY2523" s="1036"/>
      <c r="AZ2523" s="1035"/>
      <c r="BA2523" s="1035"/>
      <c r="BB2523" s="1052"/>
      <c r="BC2523" s="1053"/>
      <c r="BD2523" s="1049"/>
      <c r="BE2523" s="1054"/>
      <c r="BF2523" s="1055"/>
      <c r="BG2523" s="1055"/>
      <c r="BH2523" s="1055"/>
      <c r="BI2523" s="1055"/>
      <c r="BJ2523" s="1055"/>
      <c r="BK2523" s="1055"/>
      <c r="BL2523" s="1055"/>
      <c r="BM2523" s="1055"/>
      <c r="BN2523" s="1055"/>
      <c r="BO2523" s="1056"/>
      <c r="BP2523" s="1056"/>
      <c r="BQ2523" s="1056"/>
      <c r="BR2523" s="1056"/>
      <c r="BS2523" s="1056"/>
      <c r="BT2523" s="1056"/>
      <c r="BU2523" s="1056"/>
      <c r="BV2523" s="1057"/>
      <c r="BW2523" s="1057"/>
      <c r="BX2523" s="1148"/>
      <c r="BY2523" s="1057"/>
      <c r="BZ2523" s="1057"/>
      <c r="CA2523" s="1057"/>
      <c r="CB2523" s="1032"/>
    </row>
    <row r="2524" spans="2:80">
      <c r="B2524" s="1033" t="s">
        <v>8184</v>
      </c>
      <c r="C2524" s="1033" t="s">
        <v>5697</v>
      </c>
      <c r="D2524" s="1033" t="s">
        <v>8195</v>
      </c>
      <c r="E2524" s="1033" t="s">
        <v>8195</v>
      </c>
      <c r="F2524" s="1034">
        <v>46185</v>
      </c>
      <c r="G2524" s="1058" t="str">
        <f t="shared" si="528"/>
        <v>CASSINA</v>
      </c>
      <c r="H2524" s="1063" t="s">
        <v>134</v>
      </c>
      <c r="I2524" s="1063"/>
      <c r="J2524" s="1034"/>
      <c r="K2524" s="1034"/>
      <c r="L2524" s="1036" t="s">
        <v>7950</v>
      </c>
      <c r="M2524" s="1037" t="s">
        <v>107</v>
      </c>
      <c r="N2524" s="1034"/>
      <c r="O2524" s="1064"/>
      <c r="P2524" s="1035"/>
      <c r="Q2524" s="1036"/>
      <c r="R2524" s="1038" t="s">
        <v>5861</v>
      </c>
      <c r="S2524" s="1131" t="s">
        <v>8219</v>
      </c>
      <c r="T2524" s="1036" t="s">
        <v>8220</v>
      </c>
      <c r="U2524" s="1066">
        <v>2</v>
      </c>
      <c r="V2524" s="1035" t="s">
        <v>3</v>
      </c>
      <c r="W2524" s="1039">
        <v>3700</v>
      </c>
      <c r="X2524" s="1040">
        <f t="shared" si="508"/>
        <v>7400</v>
      </c>
      <c r="Y2524" s="1045" t="s">
        <v>6060</v>
      </c>
      <c r="Z2524" s="1041">
        <v>1824.1</v>
      </c>
      <c r="AA2524" s="1041"/>
      <c r="AB2524" s="1041">
        <f t="shared" si="526"/>
        <v>3648.2</v>
      </c>
      <c r="AC2524" s="1042">
        <f t="shared" si="527"/>
        <v>3648.2</v>
      </c>
      <c r="AD2524" s="1043">
        <v>32000</v>
      </c>
      <c r="AE2524" s="1044"/>
      <c r="AF2524" s="1045"/>
      <c r="AG2524" s="1046"/>
      <c r="AH2524" s="1045"/>
      <c r="AI2524" s="1047"/>
      <c r="AJ2524" s="1038"/>
      <c r="AK2524" s="1048"/>
      <c r="AL2524" s="1036"/>
      <c r="AM2524" s="1036"/>
      <c r="AN2524" s="1037"/>
      <c r="AO2524" s="1037"/>
      <c r="AP2524" s="1034"/>
      <c r="AQ2524" s="1035"/>
      <c r="AR2524" s="1034"/>
      <c r="AS2524" s="1035"/>
      <c r="AT2524" s="1035"/>
      <c r="AU2524" s="1035"/>
      <c r="AV2524" s="1038"/>
      <c r="AW2524" s="1050"/>
      <c r="AX2524" s="1051"/>
      <c r="AY2524" s="1036"/>
      <c r="AZ2524" s="1035"/>
      <c r="BA2524" s="1035"/>
      <c r="BB2524" s="1052"/>
      <c r="BC2524" s="1053"/>
      <c r="BD2524" s="1049"/>
      <c r="BE2524" s="1054"/>
      <c r="BF2524" s="1055"/>
      <c r="BG2524" s="1055"/>
      <c r="BH2524" s="1055"/>
      <c r="BI2524" s="1055"/>
      <c r="BJ2524" s="1055"/>
      <c r="BK2524" s="1055"/>
      <c r="BL2524" s="1055"/>
      <c r="BM2524" s="1055"/>
      <c r="BN2524" s="1055"/>
      <c r="BO2524" s="1056"/>
      <c r="BP2524" s="1056"/>
      <c r="BQ2524" s="1056"/>
      <c r="BR2524" s="1056"/>
      <c r="BS2524" s="1056"/>
      <c r="BT2524" s="1056"/>
      <c r="BU2524" s="1056"/>
      <c r="BV2524" s="1057"/>
      <c r="BW2524" s="1057"/>
      <c r="BX2524" s="1148"/>
      <c r="BY2524" s="1057"/>
      <c r="BZ2524" s="1057"/>
      <c r="CA2524" s="1057"/>
      <c r="CB2524" s="1032"/>
    </row>
    <row r="2525" spans="2:80">
      <c r="B2525" s="1033" t="s">
        <v>8184</v>
      </c>
      <c r="C2525" s="1033" t="s">
        <v>5697</v>
      </c>
      <c r="D2525" s="1033" t="s">
        <v>8195</v>
      </c>
      <c r="E2525" s="1033" t="s">
        <v>8195</v>
      </c>
      <c r="F2525" s="1034">
        <v>46185</v>
      </c>
      <c r="G2525" s="1058" t="str">
        <f t="shared" si="528"/>
        <v>CASSINA</v>
      </c>
      <c r="H2525" s="1063" t="s">
        <v>134</v>
      </c>
      <c r="I2525" s="1063"/>
      <c r="J2525" s="1034"/>
      <c r="K2525" s="1034"/>
      <c r="L2525" s="1036" t="s">
        <v>7950</v>
      </c>
      <c r="M2525" s="1037" t="s">
        <v>107</v>
      </c>
      <c r="N2525" s="1034"/>
      <c r="O2525" s="1064"/>
      <c r="P2525" s="1035"/>
      <c r="Q2525" s="1036"/>
      <c r="R2525" s="1038" t="s">
        <v>8221</v>
      </c>
      <c r="S2525" s="1131" t="s">
        <v>8222</v>
      </c>
      <c r="T2525" s="1036" t="s">
        <v>8223</v>
      </c>
      <c r="U2525" s="1066">
        <v>1</v>
      </c>
      <c r="V2525" s="1035" t="s">
        <v>3</v>
      </c>
      <c r="W2525" s="1039">
        <v>9855</v>
      </c>
      <c r="X2525" s="1040">
        <f t="shared" si="508"/>
        <v>9855</v>
      </c>
      <c r="Y2525" s="1045" t="s">
        <v>6060</v>
      </c>
      <c r="Z2525" s="1041">
        <v>4858.5200000000004</v>
      </c>
      <c r="AA2525" s="1041"/>
      <c r="AB2525" s="1041">
        <f t="shared" si="526"/>
        <v>4858.5200000000004</v>
      </c>
      <c r="AC2525" s="1042">
        <f t="shared" si="527"/>
        <v>4858.5200000000004</v>
      </c>
      <c r="AD2525" s="1043">
        <v>32000</v>
      </c>
      <c r="AE2525" s="1044"/>
      <c r="AF2525" s="1045"/>
      <c r="AG2525" s="1046"/>
      <c r="AH2525" s="1045"/>
      <c r="AI2525" s="1047"/>
      <c r="AJ2525" s="1038"/>
      <c r="AK2525" s="1048"/>
      <c r="AL2525" s="1036"/>
      <c r="AM2525" s="1036"/>
      <c r="AN2525" s="1037"/>
      <c r="AO2525" s="1037"/>
      <c r="AP2525" s="1034"/>
      <c r="AQ2525" s="1035"/>
      <c r="AR2525" s="1034"/>
      <c r="AS2525" s="1035"/>
      <c r="AT2525" s="1035"/>
      <c r="AU2525" s="1035"/>
      <c r="AV2525" s="1038"/>
      <c r="AW2525" s="1050"/>
      <c r="AX2525" s="1051"/>
      <c r="AY2525" s="1036"/>
      <c r="AZ2525" s="1035"/>
      <c r="BA2525" s="1035"/>
      <c r="BB2525" s="1052"/>
      <c r="BC2525" s="1053"/>
      <c r="BD2525" s="1049"/>
      <c r="BE2525" s="1054"/>
      <c r="BF2525" s="1055"/>
      <c r="BG2525" s="1055"/>
      <c r="BH2525" s="1055"/>
      <c r="BI2525" s="1055"/>
      <c r="BJ2525" s="1055"/>
      <c r="BK2525" s="1055"/>
      <c r="BL2525" s="1055"/>
      <c r="BM2525" s="1055"/>
      <c r="BN2525" s="1055"/>
      <c r="BO2525" s="1056"/>
      <c r="BP2525" s="1056"/>
      <c r="BQ2525" s="1056"/>
      <c r="BR2525" s="1056"/>
      <c r="BS2525" s="1056"/>
      <c r="BT2525" s="1056"/>
      <c r="BU2525" s="1056"/>
      <c r="BV2525" s="1057"/>
      <c r="BW2525" s="1057"/>
      <c r="BX2525" s="1148"/>
      <c r="BY2525" s="1057"/>
      <c r="BZ2525" s="1057"/>
      <c r="CA2525" s="1057"/>
      <c r="CB2525" s="1032"/>
    </row>
    <row r="2526" spans="2:80">
      <c r="B2526" s="1033" t="s">
        <v>8184</v>
      </c>
      <c r="C2526" s="1033" t="s">
        <v>5697</v>
      </c>
      <c r="D2526" s="1033" t="s">
        <v>8195</v>
      </c>
      <c r="E2526" s="1033" t="s">
        <v>8195</v>
      </c>
      <c r="F2526" s="1034">
        <v>46185</v>
      </c>
      <c r="G2526" s="1058" t="str">
        <f t="shared" si="528"/>
        <v>CASSINA</v>
      </c>
      <c r="H2526" s="1063" t="s">
        <v>134</v>
      </c>
      <c r="I2526" s="1063"/>
      <c r="J2526" s="1034"/>
      <c r="K2526" s="1034"/>
      <c r="L2526" s="1036" t="s">
        <v>7950</v>
      </c>
      <c r="M2526" s="1037" t="s">
        <v>107</v>
      </c>
      <c r="N2526" s="1034"/>
      <c r="O2526" s="1064"/>
      <c r="P2526" s="1035"/>
      <c r="Q2526" s="1036"/>
      <c r="R2526" s="1038" t="s">
        <v>8224</v>
      </c>
      <c r="S2526" s="1131" t="s">
        <v>8225</v>
      </c>
      <c r="T2526" s="1036" t="s">
        <v>8226</v>
      </c>
      <c r="U2526" s="1066">
        <v>8</v>
      </c>
      <c r="V2526" s="1035" t="s">
        <v>3</v>
      </c>
      <c r="W2526" s="1039">
        <v>1525</v>
      </c>
      <c r="X2526" s="1040">
        <f t="shared" si="508"/>
        <v>12200</v>
      </c>
      <c r="Y2526" s="1045" t="s">
        <v>6060</v>
      </c>
      <c r="Z2526" s="1041">
        <v>751.83</v>
      </c>
      <c r="AA2526" s="1041"/>
      <c r="AB2526" s="1041">
        <f t="shared" si="526"/>
        <v>6014.64</v>
      </c>
      <c r="AC2526" s="1042">
        <f t="shared" si="527"/>
        <v>6014.64</v>
      </c>
      <c r="AD2526" s="1043">
        <v>32000</v>
      </c>
      <c r="AE2526" s="1044"/>
      <c r="AF2526" s="1045"/>
      <c r="AG2526" s="1046"/>
      <c r="AH2526" s="1045"/>
      <c r="AI2526" s="1047"/>
      <c r="AJ2526" s="1038"/>
      <c r="AK2526" s="1048"/>
      <c r="AL2526" s="1036"/>
      <c r="AM2526" s="1036"/>
      <c r="AN2526" s="1037"/>
      <c r="AO2526" s="1037"/>
      <c r="AP2526" s="1034"/>
      <c r="AQ2526" s="1035"/>
      <c r="AR2526" s="1034"/>
      <c r="AS2526" s="1035"/>
      <c r="AT2526" s="1035"/>
      <c r="AU2526" s="1035"/>
      <c r="AV2526" s="1038"/>
      <c r="AW2526" s="1050"/>
      <c r="AX2526" s="1051"/>
      <c r="AY2526" s="1036"/>
      <c r="AZ2526" s="1035"/>
      <c r="BA2526" s="1035"/>
      <c r="BB2526" s="1052"/>
      <c r="BC2526" s="1053"/>
      <c r="BD2526" s="1049"/>
      <c r="BE2526" s="1054"/>
      <c r="BF2526" s="1055"/>
      <c r="BG2526" s="1055"/>
      <c r="BH2526" s="1055"/>
      <c r="BI2526" s="1055"/>
      <c r="BJ2526" s="1055"/>
      <c r="BK2526" s="1055"/>
      <c r="BL2526" s="1055"/>
      <c r="BM2526" s="1055"/>
      <c r="BN2526" s="1055"/>
      <c r="BO2526" s="1056"/>
      <c r="BP2526" s="1056"/>
      <c r="BQ2526" s="1056"/>
      <c r="BR2526" s="1056"/>
      <c r="BS2526" s="1056"/>
      <c r="BT2526" s="1056"/>
      <c r="BU2526" s="1056"/>
      <c r="BV2526" s="1057"/>
      <c r="BW2526" s="1057"/>
      <c r="BX2526" s="1148"/>
      <c r="BY2526" s="1057"/>
      <c r="BZ2526" s="1057"/>
      <c r="CA2526" s="1057"/>
      <c r="CB2526" s="1032"/>
    </row>
    <row r="2527" spans="2:80">
      <c r="B2527" s="1033" t="s">
        <v>8184</v>
      </c>
      <c r="C2527" s="1033" t="s">
        <v>5697</v>
      </c>
      <c r="D2527" s="1033" t="s">
        <v>8195</v>
      </c>
      <c r="E2527" s="1033" t="s">
        <v>8195</v>
      </c>
      <c r="F2527" s="1034">
        <v>46185</v>
      </c>
      <c r="G2527" s="1058" t="str">
        <f t="shared" si="528"/>
        <v>CASSINA</v>
      </c>
      <c r="H2527" s="1063" t="s">
        <v>134</v>
      </c>
      <c r="I2527" s="1063"/>
      <c r="J2527" s="1034"/>
      <c r="K2527" s="1034"/>
      <c r="L2527" s="1036" t="s">
        <v>7950</v>
      </c>
      <c r="M2527" s="1037" t="s">
        <v>107</v>
      </c>
      <c r="N2527" s="1034"/>
      <c r="O2527" s="1064"/>
      <c r="P2527" s="1035"/>
      <c r="Q2527" s="1036"/>
      <c r="R2527" s="1038" t="s">
        <v>8227</v>
      </c>
      <c r="S2527" s="1131" t="s">
        <v>8228</v>
      </c>
      <c r="T2527" s="1036" t="s">
        <v>8229</v>
      </c>
      <c r="U2527" s="1066">
        <v>3</v>
      </c>
      <c r="V2527" s="1035" t="s">
        <v>3</v>
      </c>
      <c r="W2527" s="1039">
        <v>2700</v>
      </c>
      <c r="X2527" s="1040">
        <f t="shared" si="508"/>
        <v>8100</v>
      </c>
      <c r="Y2527" s="1045" t="s">
        <v>6060</v>
      </c>
      <c r="Z2527" s="1041">
        <v>1331.1</v>
      </c>
      <c r="AA2527" s="1041"/>
      <c r="AB2527" s="1041">
        <f t="shared" si="526"/>
        <v>3993.2999999999997</v>
      </c>
      <c r="AC2527" s="1042">
        <f t="shared" si="527"/>
        <v>3993.2999999999997</v>
      </c>
      <c r="AD2527" s="1043">
        <v>32000</v>
      </c>
      <c r="AE2527" s="1044"/>
      <c r="AF2527" s="1045"/>
      <c r="AG2527" s="1046"/>
      <c r="AH2527" s="1045"/>
      <c r="AI2527" s="1047"/>
      <c r="AJ2527" s="1038"/>
      <c r="AK2527" s="1048"/>
      <c r="AL2527" s="1036"/>
      <c r="AM2527" s="1036"/>
      <c r="AN2527" s="1037"/>
      <c r="AO2527" s="1037"/>
      <c r="AP2527" s="1034"/>
      <c r="AQ2527" s="1035"/>
      <c r="AR2527" s="1034"/>
      <c r="AS2527" s="1035"/>
      <c r="AT2527" s="1035"/>
      <c r="AU2527" s="1035"/>
      <c r="AV2527" s="1038"/>
      <c r="AW2527" s="1050"/>
      <c r="AX2527" s="1051"/>
      <c r="AY2527" s="1036"/>
      <c r="AZ2527" s="1035"/>
      <c r="BA2527" s="1035"/>
      <c r="BB2527" s="1052"/>
      <c r="BC2527" s="1053"/>
      <c r="BD2527" s="1049"/>
      <c r="BE2527" s="1054"/>
      <c r="BF2527" s="1055"/>
      <c r="BG2527" s="1055"/>
      <c r="BH2527" s="1055"/>
      <c r="BI2527" s="1055"/>
      <c r="BJ2527" s="1055"/>
      <c r="BK2527" s="1055"/>
      <c r="BL2527" s="1055"/>
      <c r="BM2527" s="1055"/>
      <c r="BN2527" s="1055"/>
      <c r="BO2527" s="1056"/>
      <c r="BP2527" s="1056"/>
      <c r="BQ2527" s="1056"/>
      <c r="BR2527" s="1056"/>
      <c r="BS2527" s="1056"/>
      <c r="BT2527" s="1056"/>
      <c r="BU2527" s="1056"/>
      <c r="BV2527" s="1057"/>
      <c r="BW2527" s="1057"/>
      <c r="BX2527" s="1148"/>
      <c r="BY2527" s="1057"/>
      <c r="BZ2527" s="1057"/>
      <c r="CA2527" s="1057"/>
      <c r="CB2527" s="1032"/>
    </row>
    <row r="2528" spans="2:80">
      <c r="B2528" s="1033" t="s">
        <v>8184</v>
      </c>
      <c r="C2528" s="1033" t="s">
        <v>5697</v>
      </c>
      <c r="D2528" s="1033" t="s">
        <v>8195</v>
      </c>
      <c r="E2528" s="1033" t="s">
        <v>8195</v>
      </c>
      <c r="F2528" s="1034">
        <v>46185</v>
      </c>
      <c r="G2528" s="1058" t="str">
        <f t="shared" si="528"/>
        <v>CASSINA</v>
      </c>
      <c r="H2528" s="1063" t="s">
        <v>134</v>
      </c>
      <c r="I2528" s="1063"/>
      <c r="J2528" s="1034"/>
      <c r="K2528" s="1034"/>
      <c r="L2528" s="1036" t="s">
        <v>7950</v>
      </c>
      <c r="M2528" s="1037" t="s">
        <v>107</v>
      </c>
      <c r="N2528" s="1034"/>
      <c r="O2528" s="1064"/>
      <c r="P2528" s="1035"/>
      <c r="Q2528" s="1036"/>
      <c r="R2528" s="1038" t="s">
        <v>8230</v>
      </c>
      <c r="S2528" s="1131" t="s">
        <v>8231</v>
      </c>
      <c r="T2528" s="1036" t="s">
        <v>8232</v>
      </c>
      <c r="U2528" s="1066">
        <v>2</v>
      </c>
      <c r="V2528" s="1035" t="s">
        <v>3</v>
      </c>
      <c r="W2528" s="1039">
        <v>2700</v>
      </c>
      <c r="X2528" s="1040">
        <f t="shared" si="508"/>
        <v>5400</v>
      </c>
      <c r="Y2528" s="1045" t="s">
        <v>6060</v>
      </c>
      <c r="Z2528" s="1041">
        <v>1331.1</v>
      </c>
      <c r="AA2528" s="1041"/>
      <c r="AB2528" s="1041">
        <f t="shared" si="526"/>
        <v>2662.2</v>
      </c>
      <c r="AC2528" s="1042">
        <f t="shared" si="527"/>
        <v>2662.2</v>
      </c>
      <c r="AD2528" s="1043">
        <v>32000</v>
      </c>
      <c r="AE2528" s="1044"/>
      <c r="AF2528" s="1045"/>
      <c r="AG2528" s="1046"/>
      <c r="AH2528" s="1045"/>
      <c r="AI2528" s="1047"/>
      <c r="AJ2528" s="1038"/>
      <c r="AK2528" s="1048"/>
      <c r="AL2528" s="1036"/>
      <c r="AM2528" s="1036"/>
      <c r="AN2528" s="1037"/>
      <c r="AO2528" s="1037"/>
      <c r="AP2528" s="1034"/>
      <c r="AQ2528" s="1035"/>
      <c r="AR2528" s="1034"/>
      <c r="AS2528" s="1035"/>
      <c r="AT2528" s="1035"/>
      <c r="AU2528" s="1035"/>
      <c r="AV2528" s="1038"/>
      <c r="AW2528" s="1050"/>
      <c r="AX2528" s="1051"/>
      <c r="AY2528" s="1036"/>
      <c r="AZ2528" s="1035"/>
      <c r="BA2528" s="1035"/>
      <c r="BB2528" s="1052"/>
      <c r="BC2528" s="1053"/>
      <c r="BD2528" s="1049"/>
      <c r="BE2528" s="1054"/>
      <c r="BF2528" s="1055"/>
      <c r="BG2528" s="1055"/>
      <c r="BH2528" s="1055"/>
      <c r="BI2528" s="1055"/>
      <c r="BJ2528" s="1055"/>
      <c r="BK2528" s="1055"/>
      <c r="BL2528" s="1055"/>
      <c r="BM2528" s="1055"/>
      <c r="BN2528" s="1055"/>
      <c r="BO2528" s="1056"/>
      <c r="BP2528" s="1056"/>
      <c r="BQ2528" s="1056"/>
      <c r="BR2528" s="1056"/>
      <c r="BS2528" s="1056"/>
      <c r="BT2528" s="1056"/>
      <c r="BU2528" s="1056"/>
      <c r="BV2528" s="1057"/>
      <c r="BW2528" s="1057"/>
      <c r="BX2528" s="1148"/>
      <c r="BY2528" s="1057"/>
      <c r="BZ2528" s="1057"/>
      <c r="CA2528" s="1057"/>
      <c r="CB2528" s="1032"/>
    </row>
    <row r="2529" spans="2:80">
      <c r="B2529" s="1033" t="s">
        <v>8184</v>
      </c>
      <c r="C2529" s="1033" t="s">
        <v>5697</v>
      </c>
      <c r="D2529" s="1033" t="s">
        <v>8195</v>
      </c>
      <c r="E2529" s="1033" t="s">
        <v>8195</v>
      </c>
      <c r="F2529" s="1034">
        <v>46185</v>
      </c>
      <c r="G2529" s="1058" t="str">
        <f t="shared" si="528"/>
        <v>CASSINA</v>
      </c>
      <c r="H2529" s="1063" t="s">
        <v>134</v>
      </c>
      <c r="I2529" s="1063"/>
      <c r="J2529" s="1034"/>
      <c r="K2529" s="1034"/>
      <c r="L2529" s="1036" t="s">
        <v>7950</v>
      </c>
      <c r="M2529" s="1037" t="s">
        <v>107</v>
      </c>
      <c r="N2529" s="1034"/>
      <c r="O2529" s="1064"/>
      <c r="P2529" s="1035"/>
      <c r="Q2529" s="1036"/>
      <c r="R2529" s="1038" t="s">
        <v>6799</v>
      </c>
      <c r="S2529" s="1131" t="s">
        <v>6800</v>
      </c>
      <c r="T2529" s="1036" t="s">
        <v>8233</v>
      </c>
      <c r="U2529" s="1066">
        <v>1</v>
      </c>
      <c r="V2529" s="1035" t="s">
        <v>3</v>
      </c>
      <c r="W2529" s="1039">
        <v>11755</v>
      </c>
      <c r="X2529" s="1040">
        <f t="shared" si="508"/>
        <v>11755</v>
      </c>
      <c r="Y2529" s="1045" t="s">
        <v>6060</v>
      </c>
      <c r="Z2529" s="1041">
        <v>5795.22</v>
      </c>
      <c r="AA2529" s="1041"/>
      <c r="AB2529" s="1041">
        <f t="shared" si="526"/>
        <v>5795.22</v>
      </c>
      <c r="AC2529" s="1042">
        <f t="shared" si="527"/>
        <v>5795.22</v>
      </c>
      <c r="AD2529" s="1043">
        <v>32000</v>
      </c>
      <c r="AE2529" s="1044"/>
      <c r="AF2529" s="1045"/>
      <c r="AG2529" s="1046"/>
      <c r="AH2529" s="1045"/>
      <c r="AI2529" s="1047"/>
      <c r="AJ2529" s="1038"/>
      <c r="AK2529" s="1048"/>
      <c r="AL2529" s="1036"/>
      <c r="AM2529" s="1036"/>
      <c r="AN2529" s="1037"/>
      <c r="AO2529" s="1037"/>
      <c r="AP2529" s="1034"/>
      <c r="AQ2529" s="1035"/>
      <c r="AR2529" s="1034"/>
      <c r="AS2529" s="1035"/>
      <c r="AT2529" s="1035"/>
      <c r="AU2529" s="1035"/>
      <c r="AV2529" s="1038"/>
      <c r="AW2529" s="1050"/>
      <c r="AX2529" s="1051"/>
      <c r="AY2529" s="1036"/>
      <c r="AZ2529" s="1035"/>
      <c r="BA2529" s="1035"/>
      <c r="BB2529" s="1052"/>
      <c r="BC2529" s="1053"/>
      <c r="BD2529" s="1049"/>
      <c r="BE2529" s="1054"/>
      <c r="BF2529" s="1055"/>
      <c r="BG2529" s="1055"/>
      <c r="BH2529" s="1055"/>
      <c r="BI2529" s="1055"/>
      <c r="BJ2529" s="1055"/>
      <c r="BK2529" s="1055"/>
      <c r="BL2529" s="1055"/>
      <c r="BM2529" s="1055"/>
      <c r="BN2529" s="1055"/>
      <c r="BO2529" s="1056"/>
      <c r="BP2529" s="1056"/>
      <c r="BQ2529" s="1056"/>
      <c r="BR2529" s="1056"/>
      <c r="BS2529" s="1056"/>
      <c r="BT2529" s="1056"/>
      <c r="BU2529" s="1056"/>
      <c r="BV2529" s="1057"/>
      <c r="BW2529" s="1057"/>
      <c r="BX2529" s="1148"/>
      <c r="BY2529" s="1057"/>
      <c r="BZ2529" s="1057"/>
      <c r="CA2529" s="1057"/>
      <c r="CB2529" s="1032"/>
    </row>
    <row r="2530" spans="2:80">
      <c r="B2530" s="1033" t="s">
        <v>8184</v>
      </c>
      <c r="C2530" s="1033" t="s">
        <v>5697</v>
      </c>
      <c r="D2530" s="1033" t="s">
        <v>8195</v>
      </c>
      <c r="E2530" s="1033" t="s">
        <v>8195</v>
      </c>
      <c r="F2530" s="1034">
        <v>46185</v>
      </c>
      <c r="G2530" s="1058" t="str">
        <f t="shared" si="528"/>
        <v>CASSINA</v>
      </c>
      <c r="H2530" s="1063" t="s">
        <v>134</v>
      </c>
      <c r="I2530" s="1063"/>
      <c r="J2530" s="1034"/>
      <c r="K2530" s="1034"/>
      <c r="L2530" s="1036" t="s">
        <v>7950</v>
      </c>
      <c r="M2530" s="1037" t="s">
        <v>107</v>
      </c>
      <c r="N2530" s="1034"/>
      <c r="O2530" s="1064"/>
      <c r="P2530" s="1035"/>
      <c r="Q2530" s="1036"/>
      <c r="R2530" s="1038" t="s">
        <v>8234</v>
      </c>
      <c r="S2530" s="1131" t="s">
        <v>8235</v>
      </c>
      <c r="T2530" s="1036" t="s">
        <v>8236</v>
      </c>
      <c r="U2530" s="1066">
        <v>1</v>
      </c>
      <c r="V2530" s="1035" t="s">
        <v>3</v>
      </c>
      <c r="W2530" s="1039">
        <v>9710</v>
      </c>
      <c r="X2530" s="1040">
        <f t="shared" si="508"/>
        <v>9710</v>
      </c>
      <c r="Y2530" s="1045" t="s">
        <v>6060</v>
      </c>
      <c r="Z2530" s="1041">
        <v>4787.03</v>
      </c>
      <c r="AA2530" s="1041"/>
      <c r="AB2530" s="1041">
        <f t="shared" si="526"/>
        <v>4787.03</v>
      </c>
      <c r="AC2530" s="1042">
        <f t="shared" si="527"/>
        <v>4787.03</v>
      </c>
      <c r="AD2530" s="1043">
        <v>32000</v>
      </c>
      <c r="AE2530" s="1044"/>
      <c r="AF2530" s="1045"/>
      <c r="AG2530" s="1046"/>
      <c r="AH2530" s="1045"/>
      <c r="AI2530" s="1047"/>
      <c r="AJ2530" s="1038"/>
      <c r="AK2530" s="1048"/>
      <c r="AL2530" s="1036"/>
      <c r="AM2530" s="1036"/>
      <c r="AN2530" s="1037"/>
      <c r="AO2530" s="1037"/>
      <c r="AP2530" s="1034"/>
      <c r="AQ2530" s="1035"/>
      <c r="AR2530" s="1034"/>
      <c r="AS2530" s="1035"/>
      <c r="AT2530" s="1035"/>
      <c r="AU2530" s="1035"/>
      <c r="AV2530" s="1038"/>
      <c r="AW2530" s="1050"/>
      <c r="AX2530" s="1051"/>
      <c r="AY2530" s="1036"/>
      <c r="AZ2530" s="1035"/>
      <c r="BA2530" s="1035"/>
      <c r="BB2530" s="1052"/>
      <c r="BC2530" s="1053"/>
      <c r="BD2530" s="1049"/>
      <c r="BE2530" s="1054"/>
      <c r="BF2530" s="1055"/>
      <c r="BG2530" s="1055"/>
      <c r="BH2530" s="1055"/>
      <c r="BI2530" s="1055"/>
      <c r="BJ2530" s="1055"/>
      <c r="BK2530" s="1055"/>
      <c r="BL2530" s="1055"/>
      <c r="BM2530" s="1055"/>
      <c r="BN2530" s="1055"/>
      <c r="BO2530" s="1056"/>
      <c r="BP2530" s="1056"/>
      <c r="BQ2530" s="1056"/>
      <c r="BR2530" s="1056"/>
      <c r="BS2530" s="1056"/>
      <c r="BT2530" s="1056"/>
      <c r="BU2530" s="1056"/>
      <c r="BV2530" s="1057"/>
      <c r="BW2530" s="1057"/>
      <c r="BX2530" s="1148"/>
      <c r="BY2530" s="1057"/>
      <c r="BZ2530" s="1057"/>
      <c r="CA2530" s="1057"/>
      <c r="CB2530" s="1032"/>
    </row>
    <row r="2531" spans="2:80">
      <c r="B2531" s="1033" t="s">
        <v>8184</v>
      </c>
      <c r="C2531" s="1033" t="s">
        <v>5697</v>
      </c>
      <c r="D2531" s="1033" t="s">
        <v>8195</v>
      </c>
      <c r="E2531" s="1033" t="s">
        <v>8195</v>
      </c>
      <c r="F2531" s="1034">
        <v>46185</v>
      </c>
      <c r="G2531" s="1058" t="str">
        <f t="shared" si="528"/>
        <v>CASSINA</v>
      </c>
      <c r="H2531" s="1063" t="s">
        <v>134</v>
      </c>
      <c r="I2531" s="1063"/>
      <c r="J2531" s="1034"/>
      <c r="K2531" s="1034"/>
      <c r="L2531" s="1036" t="s">
        <v>7950</v>
      </c>
      <c r="M2531" s="1037" t="s">
        <v>107</v>
      </c>
      <c r="N2531" s="1034"/>
      <c r="O2531" s="1064"/>
      <c r="P2531" s="1035"/>
      <c r="Q2531" s="1036"/>
      <c r="R2531" s="1038" t="s">
        <v>8237</v>
      </c>
      <c r="S2531" s="1131" t="s">
        <v>8238</v>
      </c>
      <c r="T2531" s="1036" t="s">
        <v>8239</v>
      </c>
      <c r="U2531" s="1066">
        <v>1</v>
      </c>
      <c r="V2531" s="1035" t="s">
        <v>3</v>
      </c>
      <c r="W2531" s="1039">
        <v>1840</v>
      </c>
      <c r="X2531" s="1040">
        <f t="shared" si="508"/>
        <v>1840</v>
      </c>
      <c r="Y2531" s="1045" t="s">
        <v>6060</v>
      </c>
      <c r="Z2531" s="1041">
        <v>907.12</v>
      </c>
      <c r="AA2531" s="1041"/>
      <c r="AB2531" s="1041">
        <f t="shared" si="526"/>
        <v>907.12</v>
      </c>
      <c r="AC2531" s="1042">
        <f t="shared" si="527"/>
        <v>907.12</v>
      </c>
      <c r="AD2531" s="1043">
        <v>32000</v>
      </c>
      <c r="AE2531" s="1044"/>
      <c r="AF2531" s="1045"/>
      <c r="AG2531" s="1046"/>
      <c r="AH2531" s="1045"/>
      <c r="AI2531" s="1047"/>
      <c r="AJ2531" s="1038"/>
      <c r="AK2531" s="1048"/>
      <c r="AL2531" s="1036"/>
      <c r="AM2531" s="1036"/>
      <c r="AN2531" s="1037"/>
      <c r="AO2531" s="1037"/>
      <c r="AP2531" s="1034"/>
      <c r="AQ2531" s="1035"/>
      <c r="AR2531" s="1034"/>
      <c r="AS2531" s="1035"/>
      <c r="AT2531" s="1035"/>
      <c r="AU2531" s="1035"/>
      <c r="AV2531" s="1038"/>
      <c r="AW2531" s="1050"/>
      <c r="AX2531" s="1051"/>
      <c r="AY2531" s="1036"/>
      <c r="AZ2531" s="1035"/>
      <c r="BA2531" s="1035"/>
      <c r="BB2531" s="1052"/>
      <c r="BC2531" s="1053"/>
      <c r="BD2531" s="1049"/>
      <c r="BE2531" s="1054"/>
      <c r="BF2531" s="1055"/>
      <c r="BG2531" s="1055"/>
      <c r="BH2531" s="1055"/>
      <c r="BI2531" s="1055"/>
      <c r="BJ2531" s="1055"/>
      <c r="BK2531" s="1055"/>
      <c r="BL2531" s="1055"/>
      <c r="BM2531" s="1055"/>
      <c r="BN2531" s="1055"/>
      <c r="BO2531" s="1056"/>
      <c r="BP2531" s="1056"/>
      <c r="BQ2531" s="1056"/>
      <c r="BR2531" s="1056"/>
      <c r="BS2531" s="1056"/>
      <c r="BT2531" s="1056"/>
      <c r="BU2531" s="1056"/>
      <c r="BV2531" s="1057"/>
      <c r="BW2531" s="1057"/>
      <c r="BX2531" s="1148"/>
      <c r="BY2531" s="1057"/>
      <c r="BZ2531" s="1057"/>
      <c r="CA2531" s="1057"/>
      <c r="CB2531" s="1032"/>
    </row>
    <row r="2532" spans="2:80">
      <c r="B2532" s="1033" t="s">
        <v>8184</v>
      </c>
      <c r="C2532" s="1033" t="s">
        <v>5697</v>
      </c>
      <c r="D2532" s="1033" t="s">
        <v>8195</v>
      </c>
      <c r="E2532" s="1033" t="s">
        <v>8195</v>
      </c>
      <c r="F2532" s="1034">
        <v>46185</v>
      </c>
      <c r="G2532" s="1058" t="str">
        <f t="shared" si="528"/>
        <v>CASSINA</v>
      </c>
      <c r="H2532" s="1063" t="s">
        <v>134</v>
      </c>
      <c r="I2532" s="1063"/>
      <c r="J2532" s="1034"/>
      <c r="K2532" s="1034"/>
      <c r="L2532" s="1036" t="s">
        <v>7950</v>
      </c>
      <c r="M2532" s="1037" t="s">
        <v>107</v>
      </c>
      <c r="N2532" s="1034"/>
      <c r="O2532" s="1064"/>
      <c r="P2532" s="1035"/>
      <c r="Q2532" s="1036"/>
      <c r="R2532" s="1038" t="s">
        <v>8240</v>
      </c>
      <c r="S2532" s="1131" t="s">
        <v>8241</v>
      </c>
      <c r="T2532" s="1036" t="s">
        <v>8242</v>
      </c>
      <c r="U2532" s="1066">
        <v>1</v>
      </c>
      <c r="V2532" s="1035" t="s">
        <v>3</v>
      </c>
      <c r="W2532" s="1039">
        <v>26465</v>
      </c>
      <c r="X2532" s="1040">
        <f t="shared" si="508"/>
        <v>26465</v>
      </c>
      <c r="Y2532" s="1045" t="s">
        <v>6060</v>
      </c>
      <c r="Z2532" s="1041">
        <v>13047.25</v>
      </c>
      <c r="AA2532" s="1041"/>
      <c r="AB2532" s="1041">
        <f t="shared" si="526"/>
        <v>13047.25</v>
      </c>
      <c r="AC2532" s="1042">
        <f t="shared" si="527"/>
        <v>13047.25</v>
      </c>
      <c r="AD2532" s="1043">
        <v>32000</v>
      </c>
      <c r="AE2532" s="1044"/>
      <c r="AF2532" s="1045"/>
      <c r="AG2532" s="1046"/>
      <c r="AH2532" s="1045"/>
      <c r="AI2532" s="1047"/>
      <c r="AJ2532" s="1038"/>
      <c r="AK2532" s="1048"/>
      <c r="AL2532" s="1036"/>
      <c r="AM2532" s="1036"/>
      <c r="AN2532" s="1037"/>
      <c r="AO2532" s="1037"/>
      <c r="AP2532" s="1034"/>
      <c r="AQ2532" s="1035"/>
      <c r="AR2532" s="1034"/>
      <c r="AS2532" s="1035"/>
      <c r="AT2532" s="1035"/>
      <c r="AU2532" s="1035"/>
      <c r="AV2532" s="1038"/>
      <c r="AW2532" s="1050"/>
      <c r="AX2532" s="1051"/>
      <c r="AY2532" s="1036"/>
      <c r="AZ2532" s="1035"/>
      <c r="BA2532" s="1035"/>
      <c r="BB2532" s="1052"/>
      <c r="BC2532" s="1053"/>
      <c r="BD2532" s="1049"/>
      <c r="BE2532" s="1054"/>
      <c r="BF2532" s="1055"/>
      <c r="BG2532" s="1055"/>
      <c r="BH2532" s="1055"/>
      <c r="BI2532" s="1055"/>
      <c r="BJ2532" s="1055"/>
      <c r="BK2532" s="1055"/>
      <c r="BL2532" s="1055"/>
      <c r="BM2532" s="1055"/>
      <c r="BN2532" s="1055"/>
      <c r="BO2532" s="1056"/>
      <c r="BP2532" s="1056"/>
      <c r="BQ2532" s="1056"/>
      <c r="BR2532" s="1056"/>
      <c r="BS2532" s="1056"/>
      <c r="BT2532" s="1056"/>
      <c r="BU2532" s="1056"/>
      <c r="BV2532" s="1057"/>
      <c r="BW2532" s="1057"/>
      <c r="BX2532" s="1148"/>
      <c r="BY2532" s="1057"/>
      <c r="BZ2532" s="1057"/>
      <c r="CA2532" s="1057"/>
      <c r="CB2532" s="1032"/>
    </row>
    <row r="2533" spans="2:80">
      <c r="B2533" s="1033" t="s">
        <v>8184</v>
      </c>
      <c r="C2533" s="1033" t="s">
        <v>5697</v>
      </c>
      <c r="D2533" s="1033" t="s">
        <v>8195</v>
      </c>
      <c r="E2533" s="1033" t="s">
        <v>8195</v>
      </c>
      <c r="F2533" s="1034">
        <v>46185</v>
      </c>
      <c r="G2533" s="1058" t="str">
        <f t="shared" si="528"/>
        <v>CASSINA</v>
      </c>
      <c r="H2533" s="1063" t="s">
        <v>134</v>
      </c>
      <c r="I2533" s="1063"/>
      <c r="J2533" s="1034"/>
      <c r="K2533" s="1034"/>
      <c r="L2533" s="1036" t="s">
        <v>7950</v>
      </c>
      <c r="M2533" s="1037" t="s">
        <v>107</v>
      </c>
      <c r="N2533" s="1034"/>
      <c r="O2533" s="1064"/>
      <c r="P2533" s="1035"/>
      <c r="Q2533" s="1036"/>
      <c r="R2533" s="1038" t="s">
        <v>8243</v>
      </c>
      <c r="S2533" s="1131" t="s">
        <v>5996</v>
      </c>
      <c r="T2533" s="1036" t="s">
        <v>8244</v>
      </c>
      <c r="U2533" s="1066">
        <v>6</v>
      </c>
      <c r="V2533" s="1035" t="s">
        <v>3</v>
      </c>
      <c r="W2533" s="1039">
        <v>180</v>
      </c>
      <c r="X2533" s="1040">
        <f t="shared" si="508"/>
        <v>1080</v>
      </c>
      <c r="Y2533" s="1045" t="s">
        <v>6060</v>
      </c>
      <c r="Z2533" s="1041">
        <v>88.74</v>
      </c>
      <c r="AA2533" s="1041"/>
      <c r="AB2533" s="1041">
        <f t="shared" si="526"/>
        <v>532.43999999999994</v>
      </c>
      <c r="AC2533" s="1042">
        <f t="shared" si="527"/>
        <v>532.43999999999994</v>
      </c>
      <c r="AD2533" s="1043">
        <v>32000</v>
      </c>
      <c r="AE2533" s="1044"/>
      <c r="AF2533" s="1045"/>
      <c r="AG2533" s="1046"/>
      <c r="AH2533" s="1045"/>
      <c r="AI2533" s="1047"/>
      <c r="AJ2533" s="1038"/>
      <c r="AK2533" s="1048"/>
      <c r="AL2533" s="1036"/>
      <c r="AM2533" s="1036"/>
      <c r="AN2533" s="1037"/>
      <c r="AO2533" s="1037"/>
      <c r="AP2533" s="1034"/>
      <c r="AQ2533" s="1035"/>
      <c r="AR2533" s="1034"/>
      <c r="AS2533" s="1035"/>
      <c r="AT2533" s="1035"/>
      <c r="AU2533" s="1035"/>
      <c r="AV2533" s="1038"/>
      <c r="AW2533" s="1050"/>
      <c r="AX2533" s="1051"/>
      <c r="AY2533" s="1036"/>
      <c r="AZ2533" s="1035"/>
      <c r="BA2533" s="1035"/>
      <c r="BB2533" s="1052"/>
      <c r="BC2533" s="1053"/>
      <c r="BD2533" s="1049"/>
      <c r="BE2533" s="1054"/>
      <c r="BF2533" s="1055"/>
      <c r="BG2533" s="1055"/>
      <c r="BH2533" s="1055"/>
      <c r="BI2533" s="1055"/>
      <c r="BJ2533" s="1055"/>
      <c r="BK2533" s="1055"/>
      <c r="BL2533" s="1055"/>
      <c r="BM2533" s="1055"/>
      <c r="BN2533" s="1055"/>
      <c r="BO2533" s="1056"/>
      <c r="BP2533" s="1056"/>
      <c r="BQ2533" s="1056"/>
      <c r="BR2533" s="1056"/>
      <c r="BS2533" s="1056"/>
      <c r="BT2533" s="1056"/>
      <c r="BU2533" s="1056"/>
      <c r="BV2533" s="1057"/>
      <c r="BW2533" s="1057"/>
      <c r="BX2533" s="1148"/>
      <c r="BY2533" s="1057"/>
      <c r="BZ2533" s="1057"/>
      <c r="CA2533" s="1057"/>
      <c r="CB2533" s="1032"/>
    </row>
    <row r="2534" spans="2:80">
      <c r="B2534" s="1033" t="s">
        <v>8184</v>
      </c>
      <c r="C2534" s="1033" t="s">
        <v>5697</v>
      </c>
      <c r="D2534" s="1033" t="s">
        <v>8195</v>
      </c>
      <c r="E2534" s="1033" t="s">
        <v>8195</v>
      </c>
      <c r="F2534" s="1034">
        <v>46185</v>
      </c>
      <c r="G2534" s="1058" t="str">
        <f t="shared" si="528"/>
        <v>CASSINA</v>
      </c>
      <c r="H2534" s="1063" t="s">
        <v>134</v>
      </c>
      <c r="I2534" s="1063"/>
      <c r="J2534" s="1034"/>
      <c r="K2534" s="1034"/>
      <c r="L2534" s="1036" t="s">
        <v>7950</v>
      </c>
      <c r="M2534" s="1037" t="s">
        <v>107</v>
      </c>
      <c r="N2534" s="1034"/>
      <c r="O2534" s="1064"/>
      <c r="P2534" s="1035"/>
      <c r="Q2534" s="1036"/>
      <c r="R2534" s="1038" t="s">
        <v>8245</v>
      </c>
      <c r="S2534" s="1131" t="s">
        <v>6001</v>
      </c>
      <c r="T2534" s="1036" t="s">
        <v>8246</v>
      </c>
      <c r="U2534" s="1066">
        <v>6</v>
      </c>
      <c r="V2534" s="1035" t="s">
        <v>3</v>
      </c>
      <c r="W2534" s="1039">
        <v>180</v>
      </c>
      <c r="X2534" s="1040">
        <f t="shared" si="508"/>
        <v>1080</v>
      </c>
      <c r="Y2534" s="1045" t="s">
        <v>6060</v>
      </c>
      <c r="Z2534" s="1041">
        <v>88.74</v>
      </c>
      <c r="AA2534" s="1041"/>
      <c r="AB2534" s="1041">
        <f t="shared" si="526"/>
        <v>532.43999999999994</v>
      </c>
      <c r="AC2534" s="1042">
        <f t="shared" si="527"/>
        <v>532.43999999999994</v>
      </c>
      <c r="AD2534" s="1043">
        <v>32000</v>
      </c>
      <c r="AE2534" s="1044"/>
      <c r="AF2534" s="1045"/>
      <c r="AG2534" s="1046"/>
      <c r="AH2534" s="1045"/>
      <c r="AI2534" s="1047"/>
      <c r="AJ2534" s="1038"/>
      <c r="AK2534" s="1048"/>
      <c r="AL2534" s="1036"/>
      <c r="AM2534" s="1036"/>
      <c r="AN2534" s="1037"/>
      <c r="AO2534" s="1037"/>
      <c r="AP2534" s="1034"/>
      <c r="AQ2534" s="1035"/>
      <c r="AR2534" s="1034"/>
      <c r="AS2534" s="1035"/>
      <c r="AT2534" s="1035"/>
      <c r="AU2534" s="1035"/>
      <c r="AV2534" s="1038"/>
      <c r="AW2534" s="1050"/>
      <c r="AX2534" s="1051"/>
      <c r="AY2534" s="1036"/>
      <c r="AZ2534" s="1035"/>
      <c r="BA2534" s="1035"/>
      <c r="BB2534" s="1052"/>
      <c r="BC2534" s="1053"/>
      <c r="BD2534" s="1049"/>
      <c r="BE2534" s="1054"/>
      <c r="BF2534" s="1055"/>
      <c r="BG2534" s="1055"/>
      <c r="BH2534" s="1055"/>
      <c r="BI2534" s="1055"/>
      <c r="BJ2534" s="1055"/>
      <c r="BK2534" s="1055"/>
      <c r="BL2534" s="1055"/>
      <c r="BM2534" s="1055"/>
      <c r="BN2534" s="1055"/>
      <c r="BO2534" s="1056"/>
      <c r="BP2534" s="1056"/>
      <c r="BQ2534" s="1056"/>
      <c r="BR2534" s="1056"/>
      <c r="BS2534" s="1056"/>
      <c r="BT2534" s="1056"/>
      <c r="BU2534" s="1056"/>
      <c r="BV2534" s="1057"/>
      <c r="BW2534" s="1057"/>
      <c r="BX2534" s="1148"/>
      <c r="BY2534" s="1057"/>
      <c r="BZ2534" s="1057"/>
      <c r="CA2534" s="1057"/>
      <c r="CB2534" s="1032"/>
    </row>
    <row r="2535" spans="2:80">
      <c r="B2535" s="1033" t="s">
        <v>8184</v>
      </c>
      <c r="C2535" s="1033" t="s">
        <v>5697</v>
      </c>
      <c r="D2535" s="1033" t="s">
        <v>8195</v>
      </c>
      <c r="E2535" s="1033" t="s">
        <v>8195</v>
      </c>
      <c r="F2535" s="1034">
        <v>46185</v>
      </c>
      <c r="G2535" s="1058" t="str">
        <f t="shared" si="528"/>
        <v>CASSINA</v>
      </c>
      <c r="H2535" s="1063" t="s">
        <v>134</v>
      </c>
      <c r="I2535" s="1063"/>
      <c r="J2535" s="1034"/>
      <c r="K2535" s="1034"/>
      <c r="L2535" s="1036" t="s">
        <v>7950</v>
      </c>
      <c r="M2535" s="1037" t="s">
        <v>107</v>
      </c>
      <c r="N2535" s="1034"/>
      <c r="O2535" s="1064"/>
      <c r="P2535" s="1035"/>
      <c r="Q2535" s="1036"/>
      <c r="R2535" s="1038" t="s">
        <v>8247</v>
      </c>
      <c r="S2535" s="1131" t="s">
        <v>6005</v>
      </c>
      <c r="T2535" s="1036" t="s">
        <v>8248</v>
      </c>
      <c r="U2535" s="1066">
        <v>6</v>
      </c>
      <c r="V2535" s="1035" t="s">
        <v>3</v>
      </c>
      <c r="W2535" s="1039">
        <v>180</v>
      </c>
      <c r="X2535" s="1040">
        <f t="shared" si="508"/>
        <v>1080</v>
      </c>
      <c r="Y2535" s="1045" t="s">
        <v>6060</v>
      </c>
      <c r="Z2535" s="1041">
        <v>88.74</v>
      </c>
      <c r="AA2535" s="1041"/>
      <c r="AB2535" s="1041">
        <f t="shared" si="526"/>
        <v>532.43999999999994</v>
      </c>
      <c r="AC2535" s="1042">
        <f t="shared" si="527"/>
        <v>532.43999999999994</v>
      </c>
      <c r="AD2535" s="1043">
        <v>32000</v>
      </c>
      <c r="AE2535" s="1044"/>
      <c r="AF2535" s="1045"/>
      <c r="AG2535" s="1046"/>
      <c r="AH2535" s="1045"/>
      <c r="AI2535" s="1047"/>
      <c r="AJ2535" s="1038"/>
      <c r="AK2535" s="1048"/>
      <c r="AL2535" s="1036"/>
      <c r="AM2535" s="1036"/>
      <c r="AN2535" s="1037"/>
      <c r="AO2535" s="1037"/>
      <c r="AP2535" s="1034"/>
      <c r="AQ2535" s="1035"/>
      <c r="AR2535" s="1034"/>
      <c r="AS2535" s="1035"/>
      <c r="AT2535" s="1035"/>
      <c r="AU2535" s="1035"/>
      <c r="AV2535" s="1038"/>
      <c r="AW2535" s="1050"/>
      <c r="AX2535" s="1051"/>
      <c r="AY2535" s="1036"/>
      <c r="AZ2535" s="1035"/>
      <c r="BA2535" s="1035"/>
      <c r="BB2535" s="1052"/>
      <c r="BC2535" s="1053"/>
      <c r="BD2535" s="1049"/>
      <c r="BE2535" s="1054"/>
      <c r="BF2535" s="1055"/>
      <c r="BG2535" s="1055"/>
      <c r="BH2535" s="1055"/>
      <c r="BI2535" s="1055"/>
      <c r="BJ2535" s="1055"/>
      <c r="BK2535" s="1055"/>
      <c r="BL2535" s="1055"/>
      <c r="BM2535" s="1055"/>
      <c r="BN2535" s="1055"/>
      <c r="BO2535" s="1056"/>
      <c r="BP2535" s="1056"/>
      <c r="BQ2535" s="1056"/>
      <c r="BR2535" s="1056"/>
      <c r="BS2535" s="1056"/>
      <c r="BT2535" s="1056"/>
      <c r="BU2535" s="1056"/>
      <c r="BV2535" s="1057"/>
      <c r="BW2535" s="1057"/>
      <c r="BX2535" s="1148"/>
      <c r="BY2535" s="1057"/>
      <c r="BZ2535" s="1057"/>
      <c r="CA2535" s="1057"/>
      <c r="CB2535" s="1032"/>
    </row>
    <row r="2536" spans="2:80">
      <c r="B2536" s="1033" t="s">
        <v>8184</v>
      </c>
      <c r="C2536" s="1033" t="s">
        <v>5697</v>
      </c>
      <c r="D2536" s="1033" t="s">
        <v>8195</v>
      </c>
      <c r="E2536" s="1033" t="s">
        <v>8195</v>
      </c>
      <c r="F2536" s="1034">
        <v>46185</v>
      </c>
      <c r="G2536" s="1058" t="str">
        <f t="shared" si="528"/>
        <v>CASSINA</v>
      </c>
      <c r="H2536" s="1063" t="s">
        <v>134</v>
      </c>
      <c r="I2536" s="1063"/>
      <c r="J2536" s="1034"/>
      <c r="K2536" s="1034"/>
      <c r="L2536" s="1036" t="s">
        <v>7950</v>
      </c>
      <c r="M2536" s="1037" t="s">
        <v>107</v>
      </c>
      <c r="N2536" s="1034"/>
      <c r="O2536" s="1064"/>
      <c r="P2536" s="1035"/>
      <c r="Q2536" s="1036"/>
      <c r="R2536" s="1038" t="s">
        <v>8249</v>
      </c>
      <c r="S2536" s="1131" t="s">
        <v>8250</v>
      </c>
      <c r="T2536" s="1036" t="s">
        <v>8251</v>
      </c>
      <c r="U2536" s="1066">
        <v>1</v>
      </c>
      <c r="V2536" s="1035" t="s">
        <v>3</v>
      </c>
      <c r="W2536" s="1039">
        <v>320</v>
      </c>
      <c r="X2536" s="1040">
        <f t="shared" si="508"/>
        <v>320</v>
      </c>
      <c r="Y2536" s="1045" t="s">
        <v>6060</v>
      </c>
      <c r="Z2536" s="1041">
        <v>157.76</v>
      </c>
      <c r="AA2536" s="1041"/>
      <c r="AB2536" s="1041">
        <f t="shared" si="526"/>
        <v>157.76</v>
      </c>
      <c r="AC2536" s="1042">
        <f t="shared" si="527"/>
        <v>157.76</v>
      </c>
      <c r="AD2536" s="1043">
        <v>32000</v>
      </c>
      <c r="AE2536" s="1044"/>
      <c r="AF2536" s="1045"/>
      <c r="AG2536" s="1046"/>
      <c r="AH2536" s="1045"/>
      <c r="AI2536" s="1047"/>
      <c r="AJ2536" s="1038"/>
      <c r="AK2536" s="1048"/>
      <c r="AL2536" s="1036"/>
      <c r="AM2536" s="1036"/>
      <c r="AN2536" s="1037"/>
      <c r="AO2536" s="1037"/>
      <c r="AP2536" s="1034"/>
      <c r="AQ2536" s="1035"/>
      <c r="AR2536" s="1034"/>
      <c r="AS2536" s="1035"/>
      <c r="AT2536" s="1035"/>
      <c r="AU2536" s="1035"/>
      <c r="AV2536" s="1038"/>
      <c r="AW2536" s="1050"/>
      <c r="AX2536" s="1051"/>
      <c r="AY2536" s="1036"/>
      <c r="AZ2536" s="1035"/>
      <c r="BA2536" s="1035"/>
      <c r="BB2536" s="1052"/>
      <c r="BC2536" s="1053"/>
      <c r="BD2536" s="1049"/>
      <c r="BE2536" s="1054"/>
      <c r="BF2536" s="1055"/>
      <c r="BG2536" s="1055"/>
      <c r="BH2536" s="1055"/>
      <c r="BI2536" s="1055"/>
      <c r="BJ2536" s="1055"/>
      <c r="BK2536" s="1055"/>
      <c r="BL2536" s="1055"/>
      <c r="BM2536" s="1055"/>
      <c r="BN2536" s="1055"/>
      <c r="BO2536" s="1056"/>
      <c r="BP2536" s="1056"/>
      <c r="BQ2536" s="1056"/>
      <c r="BR2536" s="1056"/>
      <c r="BS2536" s="1056"/>
      <c r="BT2536" s="1056"/>
      <c r="BU2536" s="1056"/>
      <c r="BV2536" s="1057"/>
      <c r="BW2536" s="1057"/>
      <c r="BX2536" s="1148"/>
      <c r="BY2536" s="1057"/>
      <c r="BZ2536" s="1057"/>
      <c r="CA2536" s="1057"/>
      <c r="CB2536" s="1032"/>
    </row>
    <row r="2537" spans="2:80">
      <c r="B2537" s="1033" t="s">
        <v>8184</v>
      </c>
      <c r="C2537" s="1033" t="s">
        <v>5697</v>
      </c>
      <c r="D2537" s="1033" t="s">
        <v>8195</v>
      </c>
      <c r="E2537" s="1033" t="s">
        <v>8195</v>
      </c>
      <c r="F2537" s="1034">
        <v>46185</v>
      </c>
      <c r="G2537" s="1058" t="str">
        <f t="shared" si="528"/>
        <v>CASSINA</v>
      </c>
      <c r="H2537" s="1063" t="s">
        <v>134</v>
      </c>
      <c r="I2537" s="1063"/>
      <c r="J2537" s="1034"/>
      <c r="K2537" s="1034"/>
      <c r="L2537" s="1036" t="s">
        <v>7950</v>
      </c>
      <c r="M2537" s="1037" t="s">
        <v>107</v>
      </c>
      <c r="N2537" s="1034"/>
      <c r="O2537" s="1064"/>
      <c r="P2537" s="1035"/>
      <c r="Q2537" s="1036"/>
      <c r="R2537" s="1038" t="s">
        <v>8252</v>
      </c>
      <c r="S2537" s="1131" t="s">
        <v>8253</v>
      </c>
      <c r="T2537" s="1036" t="s">
        <v>8254</v>
      </c>
      <c r="U2537" s="1066">
        <v>1</v>
      </c>
      <c r="V2537" s="1035" t="s">
        <v>3</v>
      </c>
      <c r="W2537" s="1039">
        <v>360</v>
      </c>
      <c r="X2537" s="1040">
        <f t="shared" si="508"/>
        <v>360</v>
      </c>
      <c r="Y2537" s="1045" t="s">
        <v>6060</v>
      </c>
      <c r="Z2537" s="1041">
        <v>177.48</v>
      </c>
      <c r="AA2537" s="1041"/>
      <c r="AB2537" s="1041">
        <f t="shared" si="526"/>
        <v>177.48</v>
      </c>
      <c r="AC2537" s="1042">
        <f t="shared" si="527"/>
        <v>177.48</v>
      </c>
      <c r="AD2537" s="1043">
        <v>32000</v>
      </c>
      <c r="AE2537" s="1044"/>
      <c r="AF2537" s="1045"/>
      <c r="AG2537" s="1046"/>
      <c r="AH2537" s="1045"/>
      <c r="AI2537" s="1047"/>
      <c r="AJ2537" s="1038"/>
      <c r="AK2537" s="1048"/>
      <c r="AL2537" s="1036"/>
      <c r="AM2537" s="1036"/>
      <c r="AN2537" s="1037"/>
      <c r="AO2537" s="1037"/>
      <c r="AP2537" s="1034"/>
      <c r="AQ2537" s="1035"/>
      <c r="AR2537" s="1034"/>
      <c r="AS2537" s="1035"/>
      <c r="AT2537" s="1035"/>
      <c r="AU2537" s="1035"/>
      <c r="AV2537" s="1038"/>
      <c r="AW2537" s="1050"/>
      <c r="AX2537" s="1051"/>
      <c r="AY2537" s="1036"/>
      <c r="AZ2537" s="1035"/>
      <c r="BA2537" s="1035"/>
      <c r="BB2537" s="1052"/>
      <c r="BC2537" s="1053"/>
      <c r="BD2537" s="1049"/>
      <c r="BE2537" s="1054"/>
      <c r="BF2537" s="1055"/>
      <c r="BG2537" s="1055"/>
      <c r="BH2537" s="1055"/>
      <c r="BI2537" s="1055"/>
      <c r="BJ2537" s="1055"/>
      <c r="BK2537" s="1055"/>
      <c r="BL2537" s="1055"/>
      <c r="BM2537" s="1055"/>
      <c r="BN2537" s="1055"/>
      <c r="BO2537" s="1056"/>
      <c r="BP2537" s="1056"/>
      <c r="BQ2537" s="1056"/>
      <c r="BR2537" s="1056"/>
      <c r="BS2537" s="1056"/>
      <c r="BT2537" s="1056"/>
      <c r="BU2537" s="1056"/>
      <c r="BV2537" s="1057"/>
      <c r="BW2537" s="1057"/>
      <c r="BX2537" s="1148"/>
      <c r="BY2537" s="1057"/>
      <c r="BZ2537" s="1057"/>
      <c r="CA2537" s="1057"/>
      <c r="CB2537" s="1032"/>
    </row>
    <row r="2538" spans="2:80">
      <c r="B2538" s="1033" t="s">
        <v>8184</v>
      </c>
      <c r="C2538" s="1033" t="s">
        <v>5697</v>
      </c>
      <c r="D2538" s="1033" t="s">
        <v>8195</v>
      </c>
      <c r="E2538" s="1033" t="s">
        <v>8195</v>
      </c>
      <c r="F2538" s="1034">
        <v>46185</v>
      </c>
      <c r="G2538" s="1058" t="str">
        <f t="shared" si="528"/>
        <v>CASSINA</v>
      </c>
      <c r="H2538" s="1063" t="s">
        <v>134</v>
      </c>
      <c r="I2538" s="1063"/>
      <c r="J2538" s="1034"/>
      <c r="K2538" s="1034"/>
      <c r="L2538" s="1036" t="s">
        <v>7950</v>
      </c>
      <c r="M2538" s="1037" t="s">
        <v>107</v>
      </c>
      <c r="N2538" s="1034"/>
      <c r="O2538" s="1064"/>
      <c r="P2538" s="1035"/>
      <c r="Q2538" s="1036"/>
      <c r="R2538" s="1038" t="s">
        <v>8255</v>
      </c>
      <c r="S2538" s="1131" t="s">
        <v>8256</v>
      </c>
      <c r="T2538" s="1036" t="s">
        <v>8257</v>
      </c>
      <c r="U2538" s="1066">
        <v>1</v>
      </c>
      <c r="V2538" s="1035" t="s">
        <v>3</v>
      </c>
      <c r="W2538" s="1039">
        <v>360</v>
      </c>
      <c r="X2538" s="1040">
        <f t="shared" si="508"/>
        <v>360</v>
      </c>
      <c r="Y2538" s="1045" t="s">
        <v>6060</v>
      </c>
      <c r="Z2538" s="1041">
        <v>177.48</v>
      </c>
      <c r="AA2538" s="1041"/>
      <c r="AB2538" s="1041">
        <f t="shared" si="526"/>
        <v>177.48</v>
      </c>
      <c r="AC2538" s="1042">
        <f t="shared" si="527"/>
        <v>177.48</v>
      </c>
      <c r="AD2538" s="1043">
        <v>32000</v>
      </c>
      <c r="AE2538" s="1044"/>
      <c r="AF2538" s="1045"/>
      <c r="AG2538" s="1046"/>
      <c r="AH2538" s="1045"/>
      <c r="AI2538" s="1047"/>
      <c r="AJ2538" s="1038"/>
      <c r="AK2538" s="1048"/>
      <c r="AL2538" s="1036"/>
      <c r="AM2538" s="1036"/>
      <c r="AN2538" s="1037"/>
      <c r="AO2538" s="1037"/>
      <c r="AP2538" s="1034"/>
      <c r="AQ2538" s="1035"/>
      <c r="AR2538" s="1034"/>
      <c r="AS2538" s="1035"/>
      <c r="AT2538" s="1035"/>
      <c r="AU2538" s="1035"/>
      <c r="AV2538" s="1038"/>
      <c r="AW2538" s="1050"/>
      <c r="AX2538" s="1051"/>
      <c r="AY2538" s="1036"/>
      <c r="AZ2538" s="1035"/>
      <c r="BA2538" s="1035"/>
      <c r="BB2538" s="1052"/>
      <c r="BC2538" s="1053"/>
      <c r="BD2538" s="1049"/>
      <c r="BE2538" s="1054"/>
      <c r="BF2538" s="1055"/>
      <c r="BG2538" s="1055"/>
      <c r="BH2538" s="1055"/>
      <c r="BI2538" s="1055"/>
      <c r="BJ2538" s="1055"/>
      <c r="BK2538" s="1055"/>
      <c r="BL2538" s="1055"/>
      <c r="BM2538" s="1055"/>
      <c r="BN2538" s="1055"/>
      <c r="BO2538" s="1056"/>
      <c r="BP2538" s="1056"/>
      <c r="BQ2538" s="1056"/>
      <c r="BR2538" s="1056"/>
      <c r="BS2538" s="1056"/>
      <c r="BT2538" s="1056"/>
      <c r="BU2538" s="1056"/>
      <c r="BV2538" s="1057"/>
      <c r="BW2538" s="1057"/>
      <c r="BX2538" s="1148"/>
      <c r="BY2538" s="1057"/>
      <c r="BZ2538" s="1057"/>
      <c r="CA2538" s="1057"/>
      <c r="CB2538" s="1032"/>
    </row>
    <row r="2539" spans="2:80">
      <c r="B2539" s="1033" t="s">
        <v>8184</v>
      </c>
      <c r="C2539" s="1033" t="s">
        <v>5697</v>
      </c>
      <c r="D2539" s="1033" t="s">
        <v>8195</v>
      </c>
      <c r="E2539" s="1033" t="s">
        <v>8195</v>
      </c>
      <c r="F2539" s="1034">
        <v>46185</v>
      </c>
      <c r="G2539" s="1058" t="str">
        <f t="shared" si="528"/>
        <v>CASSINA</v>
      </c>
      <c r="H2539" s="1063" t="s">
        <v>134</v>
      </c>
      <c r="I2539" s="1063"/>
      <c r="J2539" s="1034"/>
      <c r="K2539" s="1034"/>
      <c r="L2539" s="1036" t="s">
        <v>7950</v>
      </c>
      <c r="M2539" s="1037" t="s">
        <v>107</v>
      </c>
      <c r="N2539" s="1034"/>
      <c r="O2539" s="1064"/>
      <c r="P2539" s="1035"/>
      <c r="Q2539" s="1036"/>
      <c r="R2539" s="1038" t="s">
        <v>6008</v>
      </c>
      <c r="S2539" s="1131" t="s">
        <v>6009</v>
      </c>
      <c r="T2539" s="1036" t="s">
        <v>8258</v>
      </c>
      <c r="U2539" s="1066">
        <v>2</v>
      </c>
      <c r="V2539" s="1035" t="s">
        <v>3</v>
      </c>
      <c r="W2539" s="1039">
        <v>155</v>
      </c>
      <c r="X2539" s="1040">
        <f t="shared" si="508"/>
        <v>310</v>
      </c>
      <c r="Y2539" s="1045" t="s">
        <v>6060</v>
      </c>
      <c r="Z2539" s="1041">
        <v>76.42</v>
      </c>
      <c r="AA2539" s="1041"/>
      <c r="AB2539" s="1041">
        <f t="shared" si="526"/>
        <v>152.84</v>
      </c>
      <c r="AC2539" s="1042">
        <f t="shared" si="527"/>
        <v>152.84</v>
      </c>
      <c r="AD2539" s="1043">
        <v>32000</v>
      </c>
      <c r="AE2539" s="1044"/>
      <c r="AF2539" s="1045"/>
      <c r="AG2539" s="1046"/>
      <c r="AH2539" s="1045"/>
      <c r="AI2539" s="1047"/>
      <c r="AJ2539" s="1038"/>
      <c r="AK2539" s="1048"/>
      <c r="AL2539" s="1036"/>
      <c r="AM2539" s="1036"/>
      <c r="AN2539" s="1037"/>
      <c r="AO2539" s="1037"/>
      <c r="AP2539" s="1034"/>
      <c r="AQ2539" s="1035"/>
      <c r="AR2539" s="1034"/>
      <c r="AS2539" s="1035"/>
      <c r="AT2539" s="1035"/>
      <c r="AU2539" s="1035"/>
      <c r="AV2539" s="1038"/>
      <c r="AW2539" s="1050"/>
      <c r="AX2539" s="1051"/>
      <c r="AY2539" s="1036"/>
      <c r="AZ2539" s="1035"/>
      <c r="BA2539" s="1035"/>
      <c r="BB2539" s="1052"/>
      <c r="BC2539" s="1053"/>
      <c r="BD2539" s="1049"/>
      <c r="BE2539" s="1054"/>
      <c r="BF2539" s="1055"/>
      <c r="BG2539" s="1055"/>
      <c r="BH2539" s="1055"/>
      <c r="BI2539" s="1055"/>
      <c r="BJ2539" s="1055"/>
      <c r="BK2539" s="1055"/>
      <c r="BL2539" s="1055"/>
      <c r="BM2539" s="1055"/>
      <c r="BN2539" s="1055"/>
      <c r="BO2539" s="1056"/>
      <c r="BP2539" s="1056"/>
      <c r="BQ2539" s="1056"/>
      <c r="BR2539" s="1056"/>
      <c r="BS2539" s="1056"/>
      <c r="BT2539" s="1056"/>
      <c r="BU2539" s="1056"/>
      <c r="BV2539" s="1057"/>
      <c r="BW2539" s="1057"/>
      <c r="BX2539" s="1148"/>
      <c r="BY2539" s="1057"/>
      <c r="BZ2539" s="1057"/>
      <c r="CA2539" s="1057"/>
      <c r="CB2539" s="1032"/>
    </row>
    <row r="2540" spans="2:80">
      <c r="B2540" s="1033" t="s">
        <v>8184</v>
      </c>
      <c r="C2540" s="1033" t="s">
        <v>5697</v>
      </c>
      <c r="D2540" s="1033" t="s">
        <v>8195</v>
      </c>
      <c r="E2540" s="1033" t="s">
        <v>8195</v>
      </c>
      <c r="F2540" s="1034">
        <v>46185</v>
      </c>
      <c r="G2540" s="1058" t="str">
        <f t="shared" si="528"/>
        <v>CASSINA</v>
      </c>
      <c r="H2540" s="1063" t="s">
        <v>134</v>
      </c>
      <c r="I2540" s="1063"/>
      <c r="J2540" s="1034"/>
      <c r="K2540" s="1034"/>
      <c r="L2540" s="1036" t="s">
        <v>7950</v>
      </c>
      <c r="M2540" s="1037" t="s">
        <v>107</v>
      </c>
      <c r="N2540" s="1034"/>
      <c r="O2540" s="1064"/>
      <c r="P2540" s="1035"/>
      <c r="Q2540" s="1036"/>
      <c r="R2540" s="1038" t="s">
        <v>6017</v>
      </c>
      <c r="S2540" s="1131" t="s">
        <v>6018</v>
      </c>
      <c r="T2540" s="1036" t="s">
        <v>8259</v>
      </c>
      <c r="U2540" s="1066">
        <v>6</v>
      </c>
      <c r="V2540" s="1035" t="s">
        <v>3</v>
      </c>
      <c r="W2540" s="1039">
        <v>110</v>
      </c>
      <c r="X2540" s="1040">
        <f t="shared" si="508"/>
        <v>660</v>
      </c>
      <c r="Y2540" s="1045" t="s">
        <v>6060</v>
      </c>
      <c r="Z2540" s="1041">
        <v>54.23</v>
      </c>
      <c r="AA2540" s="1041"/>
      <c r="AB2540" s="1041">
        <f t="shared" si="526"/>
        <v>325.38</v>
      </c>
      <c r="AC2540" s="1042">
        <f t="shared" si="527"/>
        <v>325.38</v>
      </c>
      <c r="AD2540" s="1043">
        <v>32000</v>
      </c>
      <c r="AE2540" s="1044"/>
      <c r="AF2540" s="1045"/>
      <c r="AG2540" s="1046"/>
      <c r="AH2540" s="1045"/>
      <c r="AI2540" s="1047"/>
      <c r="AJ2540" s="1038"/>
      <c r="AK2540" s="1048"/>
      <c r="AL2540" s="1036"/>
      <c r="AM2540" s="1036"/>
      <c r="AN2540" s="1037"/>
      <c r="AO2540" s="1037"/>
      <c r="AP2540" s="1034"/>
      <c r="AQ2540" s="1035"/>
      <c r="AR2540" s="1034"/>
      <c r="AS2540" s="1035"/>
      <c r="AT2540" s="1035"/>
      <c r="AU2540" s="1035"/>
      <c r="AV2540" s="1038"/>
      <c r="AW2540" s="1050"/>
      <c r="AX2540" s="1051"/>
      <c r="AY2540" s="1036"/>
      <c r="AZ2540" s="1035"/>
      <c r="BA2540" s="1035"/>
      <c r="BB2540" s="1052"/>
      <c r="BC2540" s="1053"/>
      <c r="BD2540" s="1049"/>
      <c r="BE2540" s="1054"/>
      <c r="BF2540" s="1055"/>
      <c r="BG2540" s="1055"/>
      <c r="BH2540" s="1055"/>
      <c r="BI2540" s="1055"/>
      <c r="BJ2540" s="1055"/>
      <c r="BK2540" s="1055"/>
      <c r="BL2540" s="1055"/>
      <c r="BM2540" s="1055"/>
      <c r="BN2540" s="1055"/>
      <c r="BO2540" s="1056"/>
      <c r="BP2540" s="1056"/>
      <c r="BQ2540" s="1056"/>
      <c r="BR2540" s="1056"/>
      <c r="BS2540" s="1056"/>
      <c r="BT2540" s="1056"/>
      <c r="BU2540" s="1056"/>
      <c r="BV2540" s="1057"/>
      <c r="BW2540" s="1057"/>
      <c r="BX2540" s="1148"/>
      <c r="BY2540" s="1057"/>
      <c r="BZ2540" s="1057"/>
      <c r="CA2540" s="1057"/>
      <c r="CB2540" s="1032"/>
    </row>
    <row r="2541" spans="2:80">
      <c r="B2541" s="1033" t="s">
        <v>8184</v>
      </c>
      <c r="C2541" s="1033" t="s">
        <v>5697</v>
      </c>
      <c r="D2541" s="1033" t="s">
        <v>8195</v>
      </c>
      <c r="E2541" s="1033" t="s">
        <v>8195</v>
      </c>
      <c r="F2541" s="1034">
        <v>46185</v>
      </c>
      <c r="G2541" s="1058" t="str">
        <f t="shared" si="528"/>
        <v>CASSINA</v>
      </c>
      <c r="H2541" s="1063" t="s">
        <v>134</v>
      </c>
      <c r="I2541" s="1063"/>
      <c r="J2541" s="1034"/>
      <c r="K2541" s="1034"/>
      <c r="L2541" s="1036" t="s">
        <v>7950</v>
      </c>
      <c r="M2541" s="1037" t="s">
        <v>107</v>
      </c>
      <c r="N2541" s="1034"/>
      <c r="O2541" s="1064"/>
      <c r="P2541" s="1035"/>
      <c r="Q2541" s="1036"/>
      <c r="R2541" s="1038" t="s">
        <v>6021</v>
      </c>
      <c r="S2541" s="1131" t="s">
        <v>6022</v>
      </c>
      <c r="T2541" s="1036" t="s">
        <v>8260</v>
      </c>
      <c r="U2541" s="1066">
        <v>3</v>
      </c>
      <c r="V2541" s="1035" t="s">
        <v>3</v>
      </c>
      <c r="W2541" s="1039">
        <v>110</v>
      </c>
      <c r="X2541" s="1040">
        <f t="shared" si="508"/>
        <v>330</v>
      </c>
      <c r="Y2541" s="1045" t="s">
        <v>6060</v>
      </c>
      <c r="Z2541" s="1041">
        <v>54.23</v>
      </c>
      <c r="AA2541" s="1041"/>
      <c r="AB2541" s="1041">
        <f t="shared" si="526"/>
        <v>162.69</v>
      </c>
      <c r="AC2541" s="1042">
        <f t="shared" si="527"/>
        <v>162.69</v>
      </c>
      <c r="AD2541" s="1043">
        <v>32000</v>
      </c>
      <c r="AE2541" s="1044"/>
      <c r="AF2541" s="1045"/>
      <c r="AG2541" s="1046"/>
      <c r="AH2541" s="1045"/>
      <c r="AI2541" s="1047"/>
      <c r="AJ2541" s="1038"/>
      <c r="AK2541" s="1048"/>
      <c r="AL2541" s="1036"/>
      <c r="AM2541" s="1036"/>
      <c r="AN2541" s="1037"/>
      <c r="AO2541" s="1037"/>
      <c r="AP2541" s="1034"/>
      <c r="AQ2541" s="1035"/>
      <c r="AR2541" s="1034"/>
      <c r="AS2541" s="1035"/>
      <c r="AT2541" s="1035"/>
      <c r="AU2541" s="1035"/>
      <c r="AV2541" s="1038"/>
      <c r="AW2541" s="1050"/>
      <c r="AX2541" s="1051"/>
      <c r="AY2541" s="1036"/>
      <c r="AZ2541" s="1035"/>
      <c r="BA2541" s="1035"/>
      <c r="BB2541" s="1052"/>
      <c r="BC2541" s="1053"/>
      <c r="BD2541" s="1049"/>
      <c r="BE2541" s="1054"/>
      <c r="BF2541" s="1055"/>
      <c r="BG2541" s="1055"/>
      <c r="BH2541" s="1055"/>
      <c r="BI2541" s="1055"/>
      <c r="BJ2541" s="1055"/>
      <c r="BK2541" s="1055"/>
      <c r="BL2541" s="1055"/>
      <c r="BM2541" s="1055"/>
      <c r="BN2541" s="1055"/>
      <c r="BO2541" s="1056"/>
      <c r="BP2541" s="1056"/>
      <c r="BQ2541" s="1056"/>
      <c r="BR2541" s="1056"/>
      <c r="BS2541" s="1056"/>
      <c r="BT2541" s="1056"/>
      <c r="BU2541" s="1056"/>
      <c r="BV2541" s="1057"/>
      <c r="BW2541" s="1057"/>
      <c r="BX2541" s="1148"/>
      <c r="BY2541" s="1057"/>
      <c r="BZ2541" s="1057"/>
      <c r="CA2541" s="1057"/>
      <c r="CB2541" s="1032"/>
    </row>
    <row r="2542" spans="2:80">
      <c r="B2542" s="1033" t="s">
        <v>8184</v>
      </c>
      <c r="C2542" s="1033" t="s">
        <v>5697</v>
      </c>
      <c r="D2542" s="1033" t="s">
        <v>8195</v>
      </c>
      <c r="E2542" s="1033" t="s">
        <v>8195</v>
      </c>
      <c r="F2542" s="1034">
        <v>46185</v>
      </c>
      <c r="G2542" s="1058" t="str">
        <f t="shared" si="528"/>
        <v>CASSINA</v>
      </c>
      <c r="H2542" s="1063" t="s">
        <v>134</v>
      </c>
      <c r="I2542" s="1063"/>
      <c r="J2542" s="1034"/>
      <c r="K2542" s="1034"/>
      <c r="L2542" s="1036" t="s">
        <v>7950</v>
      </c>
      <c r="M2542" s="1037" t="s">
        <v>107</v>
      </c>
      <c r="N2542" s="1034"/>
      <c r="O2542" s="1064"/>
      <c r="P2542" s="1035"/>
      <c r="Q2542" s="1036"/>
      <c r="R2542" s="1038" t="s">
        <v>6025</v>
      </c>
      <c r="S2542" s="1131" t="s">
        <v>6026</v>
      </c>
      <c r="T2542" s="1036" t="s">
        <v>8261</v>
      </c>
      <c r="U2542" s="1066">
        <v>6</v>
      </c>
      <c r="V2542" s="1035" t="s">
        <v>3</v>
      </c>
      <c r="W2542" s="1039">
        <v>135</v>
      </c>
      <c r="X2542" s="1040">
        <f t="shared" si="508"/>
        <v>810</v>
      </c>
      <c r="Y2542" s="1045" t="s">
        <v>6060</v>
      </c>
      <c r="Z2542" s="1041">
        <v>66.56</v>
      </c>
      <c r="AA2542" s="1041"/>
      <c r="AB2542" s="1041">
        <f t="shared" si="526"/>
        <v>399.36</v>
      </c>
      <c r="AC2542" s="1042">
        <f t="shared" si="527"/>
        <v>399.36</v>
      </c>
      <c r="AD2542" s="1043">
        <v>32000</v>
      </c>
      <c r="AE2542" s="1044"/>
      <c r="AF2542" s="1045"/>
      <c r="AG2542" s="1046"/>
      <c r="AH2542" s="1045"/>
      <c r="AI2542" s="1047"/>
      <c r="AJ2542" s="1038"/>
      <c r="AK2542" s="1048"/>
      <c r="AL2542" s="1036"/>
      <c r="AM2542" s="1036"/>
      <c r="AN2542" s="1037"/>
      <c r="AO2542" s="1037"/>
      <c r="AP2542" s="1034"/>
      <c r="AQ2542" s="1035"/>
      <c r="AR2542" s="1034"/>
      <c r="AS2542" s="1035"/>
      <c r="AT2542" s="1035"/>
      <c r="AU2542" s="1035"/>
      <c r="AV2542" s="1038"/>
      <c r="AW2542" s="1050"/>
      <c r="AX2542" s="1051"/>
      <c r="AY2542" s="1036"/>
      <c r="AZ2542" s="1035"/>
      <c r="BA2542" s="1035"/>
      <c r="BB2542" s="1052"/>
      <c r="BC2542" s="1053"/>
      <c r="BD2542" s="1049"/>
      <c r="BE2542" s="1054"/>
      <c r="BF2542" s="1055"/>
      <c r="BG2542" s="1055"/>
      <c r="BH2542" s="1055"/>
      <c r="BI2542" s="1055"/>
      <c r="BJ2542" s="1055"/>
      <c r="BK2542" s="1055"/>
      <c r="BL2542" s="1055"/>
      <c r="BM2542" s="1055"/>
      <c r="BN2542" s="1055"/>
      <c r="BO2542" s="1056"/>
      <c r="BP2542" s="1056"/>
      <c r="BQ2542" s="1056"/>
      <c r="BR2542" s="1056"/>
      <c r="BS2542" s="1056"/>
      <c r="BT2542" s="1056"/>
      <c r="BU2542" s="1056"/>
      <c r="BV2542" s="1057"/>
      <c r="BW2542" s="1057"/>
      <c r="BX2542" s="1148"/>
      <c r="BY2542" s="1057"/>
      <c r="BZ2542" s="1057"/>
      <c r="CA2542" s="1057"/>
      <c r="CB2542" s="1032"/>
    </row>
    <row r="2543" spans="2:80">
      <c r="B2543" s="1033" t="s">
        <v>8184</v>
      </c>
      <c r="C2543" s="1033" t="s">
        <v>5697</v>
      </c>
      <c r="D2543" s="1033" t="s">
        <v>8195</v>
      </c>
      <c r="E2543" s="1033" t="s">
        <v>8195</v>
      </c>
      <c r="F2543" s="1034">
        <v>46185</v>
      </c>
      <c r="G2543" s="1058" t="str">
        <f t="shared" si="528"/>
        <v>CASSINA</v>
      </c>
      <c r="H2543" s="1063" t="s">
        <v>134</v>
      </c>
      <c r="I2543" s="1063"/>
      <c r="J2543" s="1034"/>
      <c r="K2543" s="1034"/>
      <c r="L2543" s="1036" t="s">
        <v>7950</v>
      </c>
      <c r="M2543" s="1037" t="s">
        <v>107</v>
      </c>
      <c r="N2543" s="1034"/>
      <c r="O2543" s="1064"/>
      <c r="P2543" s="1035"/>
      <c r="Q2543" s="1036"/>
      <c r="R2543" s="1038" t="s">
        <v>6029</v>
      </c>
      <c r="S2543" s="1131" t="s">
        <v>6030</v>
      </c>
      <c r="T2543" s="1036" t="s">
        <v>8262</v>
      </c>
      <c r="U2543" s="1066">
        <v>8</v>
      </c>
      <c r="V2543" s="1035" t="s">
        <v>3</v>
      </c>
      <c r="W2543" s="1039">
        <v>535</v>
      </c>
      <c r="X2543" s="1040">
        <f t="shared" si="508"/>
        <v>4280</v>
      </c>
      <c r="Y2543" s="1045" t="s">
        <v>6060</v>
      </c>
      <c r="Z2543" s="1041">
        <v>263.76</v>
      </c>
      <c r="AA2543" s="1041"/>
      <c r="AB2543" s="1041">
        <f t="shared" si="526"/>
        <v>2110.08</v>
      </c>
      <c r="AC2543" s="1042">
        <f t="shared" si="527"/>
        <v>2110.08</v>
      </c>
      <c r="AD2543" s="1043">
        <v>32000</v>
      </c>
      <c r="AE2543" s="1044"/>
      <c r="AF2543" s="1045"/>
      <c r="AG2543" s="1046"/>
      <c r="AH2543" s="1045"/>
      <c r="AI2543" s="1047"/>
      <c r="AJ2543" s="1038"/>
      <c r="AK2543" s="1048"/>
      <c r="AL2543" s="1036"/>
      <c r="AM2543" s="1036"/>
      <c r="AN2543" s="1037"/>
      <c r="AO2543" s="1037"/>
      <c r="AP2543" s="1034"/>
      <c r="AQ2543" s="1035"/>
      <c r="AR2543" s="1034"/>
      <c r="AS2543" s="1035"/>
      <c r="AT2543" s="1035"/>
      <c r="AU2543" s="1035"/>
      <c r="AV2543" s="1038"/>
      <c r="AW2543" s="1050"/>
      <c r="AX2543" s="1051"/>
      <c r="AY2543" s="1036"/>
      <c r="AZ2543" s="1035"/>
      <c r="BA2543" s="1035"/>
      <c r="BB2543" s="1052"/>
      <c r="BC2543" s="1053"/>
      <c r="BD2543" s="1049"/>
      <c r="BE2543" s="1054"/>
      <c r="BF2543" s="1055"/>
      <c r="BG2543" s="1055"/>
      <c r="BH2543" s="1055"/>
      <c r="BI2543" s="1055"/>
      <c r="BJ2543" s="1055"/>
      <c r="BK2543" s="1055"/>
      <c r="BL2543" s="1055"/>
      <c r="BM2543" s="1055"/>
      <c r="BN2543" s="1055"/>
      <c r="BO2543" s="1056"/>
      <c r="BP2543" s="1056"/>
      <c r="BQ2543" s="1056"/>
      <c r="BR2543" s="1056"/>
      <c r="BS2543" s="1056"/>
      <c r="BT2543" s="1056"/>
      <c r="BU2543" s="1056"/>
      <c r="BV2543" s="1057"/>
      <c r="BW2543" s="1057"/>
      <c r="BX2543" s="1148"/>
      <c r="BY2543" s="1057"/>
      <c r="BZ2543" s="1057"/>
      <c r="CA2543" s="1057"/>
      <c r="CB2543" s="1032"/>
    </row>
    <row r="2544" spans="2:80">
      <c r="B2544" s="1033" t="s">
        <v>8184</v>
      </c>
      <c r="C2544" s="1033" t="s">
        <v>5697</v>
      </c>
      <c r="D2544" s="1033" t="s">
        <v>8195</v>
      </c>
      <c r="E2544" s="1033" t="s">
        <v>8195</v>
      </c>
      <c r="F2544" s="1034">
        <v>46185</v>
      </c>
      <c r="G2544" s="1058" t="str">
        <f t="shared" si="528"/>
        <v>CASSINA</v>
      </c>
      <c r="H2544" s="1063" t="s">
        <v>134</v>
      </c>
      <c r="I2544" s="1063"/>
      <c r="J2544" s="1034"/>
      <c r="K2544" s="1034"/>
      <c r="L2544" s="1036" t="s">
        <v>7950</v>
      </c>
      <c r="M2544" s="1037" t="s">
        <v>107</v>
      </c>
      <c r="N2544" s="1034"/>
      <c r="O2544" s="1064"/>
      <c r="P2544" s="1035"/>
      <c r="Q2544" s="1036"/>
      <c r="R2544" s="1038" t="s">
        <v>8263</v>
      </c>
      <c r="S2544" s="1131" t="s">
        <v>8264</v>
      </c>
      <c r="T2544" s="1036" t="s">
        <v>8265</v>
      </c>
      <c r="U2544" s="1066">
        <v>1</v>
      </c>
      <c r="V2544" s="1035" t="s">
        <v>3</v>
      </c>
      <c r="W2544" s="1039">
        <v>480</v>
      </c>
      <c r="X2544" s="1040">
        <f t="shared" si="508"/>
        <v>480</v>
      </c>
      <c r="Y2544" s="1045" t="s">
        <v>6060</v>
      </c>
      <c r="Z2544" s="1041">
        <v>236.64</v>
      </c>
      <c r="AA2544" s="1041"/>
      <c r="AB2544" s="1041">
        <f t="shared" si="526"/>
        <v>236.64</v>
      </c>
      <c r="AC2544" s="1042">
        <f t="shared" si="527"/>
        <v>236.64</v>
      </c>
      <c r="AD2544" s="1043">
        <v>32000</v>
      </c>
      <c r="AE2544" s="1044"/>
      <c r="AF2544" s="1045"/>
      <c r="AG2544" s="1046"/>
      <c r="AH2544" s="1045"/>
      <c r="AI2544" s="1047"/>
      <c r="AJ2544" s="1038"/>
      <c r="AK2544" s="1048"/>
      <c r="AL2544" s="1036"/>
      <c r="AM2544" s="1036"/>
      <c r="AN2544" s="1037"/>
      <c r="AO2544" s="1037"/>
      <c r="AP2544" s="1034"/>
      <c r="AQ2544" s="1035"/>
      <c r="AR2544" s="1034"/>
      <c r="AS2544" s="1035"/>
      <c r="AT2544" s="1035"/>
      <c r="AU2544" s="1035"/>
      <c r="AV2544" s="1038"/>
      <c r="AW2544" s="1050"/>
      <c r="AX2544" s="1051"/>
      <c r="AY2544" s="1036"/>
      <c r="AZ2544" s="1035"/>
      <c r="BA2544" s="1035"/>
      <c r="BB2544" s="1052"/>
      <c r="BC2544" s="1053"/>
      <c r="BD2544" s="1049"/>
      <c r="BE2544" s="1054"/>
      <c r="BF2544" s="1055"/>
      <c r="BG2544" s="1055"/>
      <c r="BH2544" s="1055"/>
      <c r="BI2544" s="1055"/>
      <c r="BJ2544" s="1055"/>
      <c r="BK2544" s="1055"/>
      <c r="BL2544" s="1055"/>
      <c r="BM2544" s="1055"/>
      <c r="BN2544" s="1055"/>
      <c r="BO2544" s="1056"/>
      <c r="BP2544" s="1056"/>
      <c r="BQ2544" s="1056"/>
      <c r="BR2544" s="1056"/>
      <c r="BS2544" s="1056"/>
      <c r="BT2544" s="1056"/>
      <c r="BU2544" s="1056"/>
      <c r="BV2544" s="1057"/>
      <c r="BW2544" s="1057"/>
      <c r="BX2544" s="1148"/>
      <c r="BY2544" s="1057"/>
      <c r="BZ2544" s="1057"/>
      <c r="CA2544" s="1057"/>
      <c r="CB2544" s="1032"/>
    </row>
    <row r="2545" spans="2:80">
      <c r="B2545" s="1033" t="s">
        <v>8184</v>
      </c>
      <c r="C2545" s="1033" t="s">
        <v>5697</v>
      </c>
      <c r="D2545" s="1033" t="s">
        <v>8195</v>
      </c>
      <c r="E2545" s="1033" t="s">
        <v>8195</v>
      </c>
      <c r="F2545" s="1034">
        <v>46185</v>
      </c>
      <c r="G2545" s="1058" t="str">
        <f t="shared" si="528"/>
        <v>CASSINA</v>
      </c>
      <c r="H2545" s="1063" t="s">
        <v>134</v>
      </c>
      <c r="I2545" s="1063"/>
      <c r="J2545" s="1034"/>
      <c r="K2545" s="1034"/>
      <c r="L2545" s="1036" t="s">
        <v>7950</v>
      </c>
      <c r="M2545" s="1037" t="s">
        <v>107</v>
      </c>
      <c r="N2545" s="1034"/>
      <c r="O2545" s="1064"/>
      <c r="P2545" s="1035"/>
      <c r="Q2545" s="1036"/>
      <c r="R2545" s="1038" t="s">
        <v>8266</v>
      </c>
      <c r="S2545" s="1131" t="s">
        <v>8267</v>
      </c>
      <c r="T2545" s="1036" t="s">
        <v>8268</v>
      </c>
      <c r="U2545" s="1066">
        <v>1</v>
      </c>
      <c r="V2545" s="1035" t="s">
        <v>3</v>
      </c>
      <c r="W2545" s="1039">
        <v>570</v>
      </c>
      <c r="X2545" s="1040">
        <f t="shared" si="508"/>
        <v>570</v>
      </c>
      <c r="Y2545" s="1045" t="s">
        <v>6060</v>
      </c>
      <c r="Z2545" s="1041">
        <v>281.01</v>
      </c>
      <c r="AA2545" s="1041"/>
      <c r="AB2545" s="1041">
        <f t="shared" si="526"/>
        <v>281.01</v>
      </c>
      <c r="AC2545" s="1042">
        <f t="shared" si="527"/>
        <v>281.01</v>
      </c>
      <c r="AD2545" s="1043">
        <v>32000</v>
      </c>
      <c r="AE2545" s="1044"/>
      <c r="AF2545" s="1045"/>
      <c r="AG2545" s="1046"/>
      <c r="AH2545" s="1045"/>
      <c r="AI2545" s="1047"/>
      <c r="AJ2545" s="1038"/>
      <c r="AK2545" s="1048"/>
      <c r="AL2545" s="1036"/>
      <c r="AM2545" s="1036"/>
      <c r="AN2545" s="1037"/>
      <c r="AO2545" s="1037"/>
      <c r="AP2545" s="1034"/>
      <c r="AQ2545" s="1035"/>
      <c r="AR2545" s="1034"/>
      <c r="AS2545" s="1035"/>
      <c r="AT2545" s="1035"/>
      <c r="AU2545" s="1035"/>
      <c r="AV2545" s="1038"/>
      <c r="AW2545" s="1050"/>
      <c r="AX2545" s="1051"/>
      <c r="AY2545" s="1036"/>
      <c r="AZ2545" s="1035"/>
      <c r="BA2545" s="1035"/>
      <c r="BB2545" s="1052"/>
      <c r="BC2545" s="1053"/>
      <c r="BD2545" s="1049"/>
      <c r="BE2545" s="1054"/>
      <c r="BF2545" s="1055"/>
      <c r="BG2545" s="1055"/>
      <c r="BH2545" s="1055"/>
      <c r="BI2545" s="1055"/>
      <c r="BJ2545" s="1055"/>
      <c r="BK2545" s="1055"/>
      <c r="BL2545" s="1055"/>
      <c r="BM2545" s="1055"/>
      <c r="BN2545" s="1055"/>
      <c r="BO2545" s="1056"/>
      <c r="BP2545" s="1056"/>
      <c r="BQ2545" s="1056"/>
      <c r="BR2545" s="1056"/>
      <c r="BS2545" s="1056"/>
      <c r="BT2545" s="1056"/>
      <c r="BU2545" s="1056"/>
      <c r="BV2545" s="1057"/>
      <c r="BW2545" s="1057"/>
      <c r="BX2545" s="1148"/>
      <c r="BY2545" s="1057"/>
      <c r="BZ2545" s="1057"/>
      <c r="CA2545" s="1057"/>
      <c r="CB2545" s="1032"/>
    </row>
    <row r="2546" spans="2:80">
      <c r="B2546" s="1033" t="s">
        <v>8184</v>
      </c>
      <c r="C2546" s="1033" t="s">
        <v>5697</v>
      </c>
      <c r="D2546" s="1033" t="s">
        <v>8195</v>
      </c>
      <c r="E2546" s="1033" t="s">
        <v>8195</v>
      </c>
      <c r="F2546" s="1034">
        <v>46185</v>
      </c>
      <c r="G2546" s="1058" t="str">
        <f t="shared" si="528"/>
        <v>CASSINA</v>
      </c>
      <c r="H2546" s="1063" t="s">
        <v>134</v>
      </c>
      <c r="I2546" s="1063"/>
      <c r="J2546" s="1034"/>
      <c r="K2546" s="1034"/>
      <c r="L2546" s="1036" t="s">
        <v>7950</v>
      </c>
      <c r="M2546" s="1037" t="s">
        <v>107</v>
      </c>
      <c r="N2546" s="1034"/>
      <c r="O2546" s="1064"/>
      <c r="P2546" s="1035"/>
      <c r="Q2546" s="1036"/>
      <c r="R2546" s="1038" t="s">
        <v>8269</v>
      </c>
      <c r="S2546" s="1131" t="s">
        <v>8270</v>
      </c>
      <c r="T2546" s="1036" t="s">
        <v>8271</v>
      </c>
      <c r="U2546" s="1066">
        <v>1</v>
      </c>
      <c r="V2546" s="1035" t="s">
        <v>3</v>
      </c>
      <c r="W2546" s="1039">
        <v>540</v>
      </c>
      <c r="X2546" s="1040">
        <f t="shared" si="508"/>
        <v>540</v>
      </c>
      <c r="Y2546" s="1045" t="s">
        <v>6060</v>
      </c>
      <c r="Z2546" s="1041">
        <v>266.22000000000003</v>
      </c>
      <c r="AA2546" s="1041"/>
      <c r="AB2546" s="1041">
        <f t="shared" si="526"/>
        <v>266.22000000000003</v>
      </c>
      <c r="AC2546" s="1042">
        <f t="shared" si="527"/>
        <v>266.22000000000003</v>
      </c>
      <c r="AD2546" s="1043">
        <v>32000</v>
      </c>
      <c r="AE2546" s="1044"/>
      <c r="AF2546" s="1045"/>
      <c r="AG2546" s="1046"/>
      <c r="AH2546" s="1045"/>
      <c r="AI2546" s="1047"/>
      <c r="AJ2546" s="1038"/>
      <c r="AK2546" s="1048"/>
      <c r="AL2546" s="1036"/>
      <c r="AM2546" s="1036"/>
      <c r="AN2546" s="1037"/>
      <c r="AO2546" s="1037"/>
      <c r="AP2546" s="1034"/>
      <c r="AQ2546" s="1035"/>
      <c r="AR2546" s="1034"/>
      <c r="AS2546" s="1035"/>
      <c r="AT2546" s="1035"/>
      <c r="AU2546" s="1035"/>
      <c r="AV2546" s="1038"/>
      <c r="AW2546" s="1050"/>
      <c r="AX2546" s="1051"/>
      <c r="AY2546" s="1036"/>
      <c r="AZ2546" s="1035"/>
      <c r="BA2546" s="1035"/>
      <c r="BB2546" s="1052"/>
      <c r="BC2546" s="1053"/>
      <c r="BD2546" s="1049"/>
      <c r="BE2546" s="1054"/>
      <c r="BF2546" s="1055"/>
      <c r="BG2546" s="1055"/>
      <c r="BH2546" s="1055"/>
      <c r="BI2546" s="1055"/>
      <c r="BJ2546" s="1055"/>
      <c r="BK2546" s="1055"/>
      <c r="BL2546" s="1055"/>
      <c r="BM2546" s="1055"/>
      <c r="BN2546" s="1055"/>
      <c r="BO2546" s="1056"/>
      <c r="BP2546" s="1056"/>
      <c r="BQ2546" s="1056"/>
      <c r="BR2546" s="1056"/>
      <c r="BS2546" s="1056"/>
      <c r="BT2546" s="1056"/>
      <c r="BU2546" s="1056"/>
      <c r="BV2546" s="1057"/>
      <c r="BW2546" s="1057"/>
      <c r="BX2546" s="1148"/>
      <c r="BY2546" s="1057"/>
      <c r="BZ2546" s="1057"/>
      <c r="CA2546" s="1057"/>
      <c r="CB2546" s="1032"/>
    </row>
    <row r="2547" spans="2:80">
      <c r="B2547" s="1033" t="s">
        <v>8184</v>
      </c>
      <c r="C2547" s="1033" t="s">
        <v>5697</v>
      </c>
      <c r="D2547" s="1033" t="s">
        <v>8195</v>
      </c>
      <c r="E2547" s="1033" t="s">
        <v>8195</v>
      </c>
      <c r="F2547" s="1034">
        <v>46185</v>
      </c>
      <c r="G2547" s="1058" t="str">
        <f t="shared" si="528"/>
        <v>CASSINA</v>
      </c>
      <c r="H2547" s="1063" t="s">
        <v>134</v>
      </c>
      <c r="I2547" s="1063"/>
      <c r="J2547" s="1034"/>
      <c r="K2547" s="1034"/>
      <c r="L2547" s="1036" t="s">
        <v>7950</v>
      </c>
      <c r="M2547" s="1037" t="s">
        <v>107</v>
      </c>
      <c r="N2547" s="1034"/>
      <c r="O2547" s="1064"/>
      <c r="P2547" s="1035"/>
      <c r="Q2547" s="1036"/>
      <c r="R2547" s="1038" t="s">
        <v>8272</v>
      </c>
      <c r="S2547" s="1131" t="s">
        <v>8273</v>
      </c>
      <c r="T2547" s="1036" t="s">
        <v>8274</v>
      </c>
      <c r="U2547" s="1066">
        <v>1</v>
      </c>
      <c r="V2547" s="1035" t="s">
        <v>3</v>
      </c>
      <c r="W2547" s="1039">
        <v>480</v>
      </c>
      <c r="X2547" s="1040">
        <f t="shared" si="508"/>
        <v>480</v>
      </c>
      <c r="Y2547" s="1045" t="s">
        <v>6060</v>
      </c>
      <c r="Z2547" s="1041">
        <v>236.64</v>
      </c>
      <c r="AA2547" s="1041"/>
      <c r="AB2547" s="1041">
        <f t="shared" si="526"/>
        <v>236.64</v>
      </c>
      <c r="AC2547" s="1042">
        <f t="shared" si="527"/>
        <v>236.64</v>
      </c>
      <c r="AD2547" s="1043">
        <v>32000</v>
      </c>
      <c r="AE2547" s="1044"/>
      <c r="AF2547" s="1045"/>
      <c r="AG2547" s="1046"/>
      <c r="AH2547" s="1045"/>
      <c r="AI2547" s="1047"/>
      <c r="AJ2547" s="1038"/>
      <c r="AK2547" s="1048"/>
      <c r="AL2547" s="1036"/>
      <c r="AM2547" s="1036"/>
      <c r="AN2547" s="1037"/>
      <c r="AO2547" s="1037"/>
      <c r="AP2547" s="1034"/>
      <c r="AQ2547" s="1035"/>
      <c r="AR2547" s="1034"/>
      <c r="AS2547" s="1035"/>
      <c r="AT2547" s="1035"/>
      <c r="AU2547" s="1035"/>
      <c r="AV2547" s="1038"/>
      <c r="AW2547" s="1050"/>
      <c r="AX2547" s="1051"/>
      <c r="AY2547" s="1036"/>
      <c r="AZ2547" s="1035"/>
      <c r="BA2547" s="1035"/>
      <c r="BB2547" s="1052"/>
      <c r="BC2547" s="1053"/>
      <c r="BD2547" s="1049"/>
      <c r="BE2547" s="1054"/>
      <c r="BF2547" s="1055"/>
      <c r="BG2547" s="1055"/>
      <c r="BH2547" s="1055"/>
      <c r="BI2547" s="1055"/>
      <c r="BJ2547" s="1055"/>
      <c r="BK2547" s="1055"/>
      <c r="BL2547" s="1055"/>
      <c r="BM2547" s="1055"/>
      <c r="BN2547" s="1055"/>
      <c r="BO2547" s="1056"/>
      <c r="BP2547" s="1056"/>
      <c r="BQ2547" s="1056"/>
      <c r="BR2547" s="1056"/>
      <c r="BS2547" s="1056"/>
      <c r="BT2547" s="1056"/>
      <c r="BU2547" s="1056"/>
      <c r="BV2547" s="1057"/>
      <c r="BW2547" s="1057"/>
      <c r="BX2547" s="1148"/>
      <c r="BY2547" s="1057"/>
      <c r="BZ2547" s="1057"/>
      <c r="CA2547" s="1057"/>
      <c r="CB2547" s="1032"/>
    </row>
    <row r="2548" spans="2:80">
      <c r="B2548" s="1033" t="s">
        <v>8184</v>
      </c>
      <c r="C2548" s="1033" t="s">
        <v>5697</v>
      </c>
      <c r="D2548" s="1033" t="s">
        <v>8195</v>
      </c>
      <c r="E2548" s="1033" t="s">
        <v>8195</v>
      </c>
      <c r="F2548" s="1034">
        <v>46185</v>
      </c>
      <c r="G2548" s="1058" t="str">
        <f t="shared" si="528"/>
        <v>CASSINA</v>
      </c>
      <c r="H2548" s="1063" t="s">
        <v>134</v>
      </c>
      <c r="I2548" s="1063"/>
      <c r="J2548" s="1034"/>
      <c r="K2548" s="1034"/>
      <c r="L2548" s="1036" t="s">
        <v>7950</v>
      </c>
      <c r="M2548" s="1037" t="s">
        <v>107</v>
      </c>
      <c r="N2548" s="1034"/>
      <c r="O2548" s="1064"/>
      <c r="P2548" s="1035"/>
      <c r="Q2548" s="1036"/>
      <c r="R2548" s="1038" t="s">
        <v>8275</v>
      </c>
      <c r="S2548" s="1131" t="s">
        <v>8276</v>
      </c>
      <c r="T2548" s="1036" t="s">
        <v>8277</v>
      </c>
      <c r="U2548" s="1066">
        <v>1</v>
      </c>
      <c r="V2548" s="1035" t="s">
        <v>3</v>
      </c>
      <c r="W2548" s="1039">
        <v>570</v>
      </c>
      <c r="X2548" s="1040">
        <f t="shared" si="508"/>
        <v>570</v>
      </c>
      <c r="Y2548" s="1045" t="s">
        <v>6060</v>
      </c>
      <c r="Z2548" s="1041">
        <v>281.01</v>
      </c>
      <c r="AA2548" s="1041"/>
      <c r="AB2548" s="1041">
        <f t="shared" si="526"/>
        <v>281.01</v>
      </c>
      <c r="AC2548" s="1042">
        <f t="shared" si="527"/>
        <v>281.01</v>
      </c>
      <c r="AD2548" s="1043">
        <v>32000</v>
      </c>
      <c r="AE2548" s="1044"/>
      <c r="AF2548" s="1045"/>
      <c r="AG2548" s="1046"/>
      <c r="AH2548" s="1045"/>
      <c r="AI2548" s="1047"/>
      <c r="AJ2548" s="1038"/>
      <c r="AK2548" s="1048"/>
      <c r="AL2548" s="1036"/>
      <c r="AM2548" s="1036"/>
      <c r="AN2548" s="1037"/>
      <c r="AO2548" s="1037"/>
      <c r="AP2548" s="1034"/>
      <c r="AQ2548" s="1035"/>
      <c r="AR2548" s="1034"/>
      <c r="AS2548" s="1035"/>
      <c r="AT2548" s="1035"/>
      <c r="AU2548" s="1035"/>
      <c r="AV2548" s="1038"/>
      <c r="AW2548" s="1050"/>
      <c r="AX2548" s="1051"/>
      <c r="AY2548" s="1036"/>
      <c r="AZ2548" s="1035"/>
      <c r="BA2548" s="1035"/>
      <c r="BB2548" s="1052"/>
      <c r="BC2548" s="1053"/>
      <c r="BD2548" s="1049"/>
      <c r="BE2548" s="1054"/>
      <c r="BF2548" s="1055"/>
      <c r="BG2548" s="1055"/>
      <c r="BH2548" s="1055"/>
      <c r="BI2548" s="1055"/>
      <c r="BJ2548" s="1055"/>
      <c r="BK2548" s="1055"/>
      <c r="BL2548" s="1055"/>
      <c r="BM2548" s="1055"/>
      <c r="BN2548" s="1055"/>
      <c r="BO2548" s="1056"/>
      <c r="BP2548" s="1056"/>
      <c r="BQ2548" s="1056"/>
      <c r="BR2548" s="1056"/>
      <c r="BS2548" s="1056"/>
      <c r="BT2548" s="1056"/>
      <c r="BU2548" s="1056"/>
      <c r="BV2548" s="1057"/>
      <c r="BW2548" s="1057"/>
      <c r="BX2548" s="1148"/>
      <c r="BY2548" s="1057"/>
      <c r="BZ2548" s="1057"/>
      <c r="CA2548" s="1057"/>
      <c r="CB2548" s="1032"/>
    </row>
    <row r="2549" spans="2:80">
      <c r="B2549" s="1033" t="s">
        <v>8184</v>
      </c>
      <c r="C2549" s="1033" t="s">
        <v>5697</v>
      </c>
      <c r="D2549" s="1033" t="s">
        <v>8195</v>
      </c>
      <c r="E2549" s="1033" t="s">
        <v>8195</v>
      </c>
      <c r="F2549" s="1034">
        <v>46185</v>
      </c>
      <c r="G2549" s="1058" t="str">
        <f t="shared" si="528"/>
        <v>CASSINA</v>
      </c>
      <c r="H2549" s="1063" t="s">
        <v>134</v>
      </c>
      <c r="I2549" s="1063"/>
      <c r="J2549" s="1034"/>
      <c r="K2549" s="1034"/>
      <c r="L2549" s="1036" t="s">
        <v>7950</v>
      </c>
      <c r="M2549" s="1037" t="s">
        <v>107</v>
      </c>
      <c r="N2549" s="1034"/>
      <c r="O2549" s="1064"/>
      <c r="P2549" s="1035"/>
      <c r="Q2549" s="1036"/>
      <c r="R2549" s="1038" t="s">
        <v>8278</v>
      </c>
      <c r="S2549" s="1131" t="s">
        <v>8279</v>
      </c>
      <c r="T2549" s="1036" t="s">
        <v>8280</v>
      </c>
      <c r="U2549" s="1066">
        <v>1</v>
      </c>
      <c r="V2549" s="1035" t="s">
        <v>3</v>
      </c>
      <c r="W2549" s="1039">
        <v>540</v>
      </c>
      <c r="X2549" s="1040">
        <f t="shared" si="508"/>
        <v>540</v>
      </c>
      <c r="Y2549" s="1045" t="s">
        <v>6060</v>
      </c>
      <c r="Z2549" s="1041">
        <v>266.22000000000003</v>
      </c>
      <c r="AA2549" s="1041"/>
      <c r="AB2549" s="1041">
        <f t="shared" si="526"/>
        <v>266.22000000000003</v>
      </c>
      <c r="AC2549" s="1042">
        <f t="shared" si="527"/>
        <v>266.22000000000003</v>
      </c>
      <c r="AD2549" s="1043">
        <v>32000</v>
      </c>
      <c r="AE2549" s="1044"/>
      <c r="AF2549" s="1045"/>
      <c r="AG2549" s="1046"/>
      <c r="AH2549" s="1045"/>
      <c r="AI2549" s="1047"/>
      <c r="AJ2549" s="1038"/>
      <c r="AK2549" s="1048"/>
      <c r="AL2549" s="1036"/>
      <c r="AM2549" s="1036"/>
      <c r="AN2549" s="1037"/>
      <c r="AO2549" s="1037"/>
      <c r="AP2549" s="1034"/>
      <c r="AQ2549" s="1035"/>
      <c r="AR2549" s="1034"/>
      <c r="AS2549" s="1035"/>
      <c r="AT2549" s="1035"/>
      <c r="AU2549" s="1035"/>
      <c r="AV2549" s="1038"/>
      <c r="AW2549" s="1050"/>
      <c r="AX2549" s="1051"/>
      <c r="AY2549" s="1036"/>
      <c r="AZ2549" s="1035"/>
      <c r="BA2549" s="1035"/>
      <c r="BB2549" s="1052"/>
      <c r="BC2549" s="1053"/>
      <c r="BD2549" s="1049"/>
      <c r="BE2549" s="1054"/>
      <c r="BF2549" s="1055"/>
      <c r="BG2549" s="1055"/>
      <c r="BH2549" s="1055"/>
      <c r="BI2549" s="1055"/>
      <c r="BJ2549" s="1055"/>
      <c r="BK2549" s="1055"/>
      <c r="BL2549" s="1055"/>
      <c r="BM2549" s="1055"/>
      <c r="BN2549" s="1055"/>
      <c r="BO2549" s="1056"/>
      <c r="BP2549" s="1056"/>
      <c r="BQ2549" s="1056"/>
      <c r="BR2549" s="1056"/>
      <c r="BS2549" s="1056"/>
      <c r="BT2549" s="1056"/>
      <c r="BU2549" s="1056"/>
      <c r="BV2549" s="1057"/>
      <c r="BW2549" s="1057"/>
      <c r="BX2549" s="1148"/>
      <c r="BY2549" s="1057"/>
      <c r="BZ2549" s="1057"/>
      <c r="CA2549" s="1057"/>
      <c r="CB2549" s="1032"/>
    </row>
    <row r="2550" spans="2:80">
      <c r="B2550" s="1033" t="s">
        <v>8184</v>
      </c>
      <c r="C2550" s="1033" t="s">
        <v>5697</v>
      </c>
      <c r="D2550" s="1033" t="s">
        <v>8195</v>
      </c>
      <c r="E2550" s="1033" t="s">
        <v>8195</v>
      </c>
      <c r="F2550" s="1034">
        <v>46185</v>
      </c>
      <c r="G2550" s="1058" t="str">
        <f t="shared" si="528"/>
        <v>CASSINA</v>
      </c>
      <c r="H2550" s="1063" t="s">
        <v>134</v>
      </c>
      <c r="I2550" s="1063"/>
      <c r="J2550" s="1034"/>
      <c r="K2550" s="1034"/>
      <c r="L2550" s="1036" t="s">
        <v>7950</v>
      </c>
      <c r="M2550" s="1037" t="s">
        <v>107</v>
      </c>
      <c r="N2550" s="1034"/>
      <c r="O2550" s="1064"/>
      <c r="P2550" s="1035"/>
      <c r="Q2550" s="1036"/>
      <c r="R2550" s="1038" t="s">
        <v>6103</v>
      </c>
      <c r="S2550" s="1131" t="s">
        <v>6104</v>
      </c>
      <c r="T2550" s="1036" t="s">
        <v>8281</v>
      </c>
      <c r="U2550" s="1066">
        <v>2</v>
      </c>
      <c r="V2550" s="1035" t="s">
        <v>3</v>
      </c>
      <c r="W2550" s="1039">
        <v>325</v>
      </c>
      <c r="X2550" s="1040">
        <f t="shared" si="508"/>
        <v>650</v>
      </c>
      <c r="Y2550" s="1045" t="s">
        <v>6060</v>
      </c>
      <c r="Z2550" s="1041">
        <v>160.22999999999999</v>
      </c>
      <c r="AA2550" s="1041"/>
      <c r="AB2550" s="1041">
        <f t="shared" si="526"/>
        <v>320.45999999999998</v>
      </c>
      <c r="AC2550" s="1042">
        <f t="shared" si="527"/>
        <v>320.45999999999998</v>
      </c>
      <c r="AD2550" s="1043">
        <v>32000</v>
      </c>
      <c r="AE2550" s="1044"/>
      <c r="AF2550" s="1045"/>
      <c r="AG2550" s="1046"/>
      <c r="AH2550" s="1045"/>
      <c r="AI2550" s="1047"/>
      <c r="AJ2550" s="1038"/>
      <c r="AK2550" s="1048"/>
      <c r="AL2550" s="1036"/>
      <c r="AM2550" s="1036"/>
      <c r="AN2550" s="1037"/>
      <c r="AO2550" s="1037"/>
      <c r="AP2550" s="1034"/>
      <c r="AQ2550" s="1035"/>
      <c r="AR2550" s="1034"/>
      <c r="AS2550" s="1035"/>
      <c r="AT2550" s="1035"/>
      <c r="AU2550" s="1035"/>
      <c r="AV2550" s="1038"/>
      <c r="AW2550" s="1050"/>
      <c r="AX2550" s="1051"/>
      <c r="AY2550" s="1036"/>
      <c r="AZ2550" s="1035"/>
      <c r="BA2550" s="1035"/>
      <c r="BB2550" s="1052"/>
      <c r="BC2550" s="1053"/>
      <c r="BD2550" s="1049"/>
      <c r="BE2550" s="1054"/>
      <c r="BF2550" s="1055"/>
      <c r="BG2550" s="1055"/>
      <c r="BH2550" s="1055"/>
      <c r="BI2550" s="1055"/>
      <c r="BJ2550" s="1055"/>
      <c r="BK2550" s="1055"/>
      <c r="BL2550" s="1055"/>
      <c r="BM2550" s="1055"/>
      <c r="BN2550" s="1055"/>
      <c r="BO2550" s="1056"/>
      <c r="BP2550" s="1056"/>
      <c r="BQ2550" s="1056"/>
      <c r="BR2550" s="1056"/>
      <c r="BS2550" s="1056"/>
      <c r="BT2550" s="1056"/>
      <c r="BU2550" s="1056"/>
      <c r="BV2550" s="1057"/>
      <c r="BW2550" s="1057"/>
      <c r="BX2550" s="1148"/>
      <c r="BY2550" s="1057"/>
      <c r="BZ2550" s="1057"/>
      <c r="CA2550" s="1057"/>
      <c r="CB2550" s="1032"/>
    </row>
    <row r="2551" spans="2:80">
      <c r="B2551" s="1033" t="s">
        <v>8184</v>
      </c>
      <c r="C2551" s="1033" t="s">
        <v>5697</v>
      </c>
      <c r="D2551" s="1033" t="s">
        <v>8195</v>
      </c>
      <c r="E2551" s="1033" t="s">
        <v>8195</v>
      </c>
      <c r="F2551" s="1034">
        <v>46185</v>
      </c>
      <c r="G2551" s="1058" t="str">
        <f t="shared" si="528"/>
        <v>CASSINA</v>
      </c>
      <c r="H2551" s="1063" t="s">
        <v>134</v>
      </c>
      <c r="I2551" s="1063"/>
      <c r="J2551" s="1034"/>
      <c r="K2551" s="1034"/>
      <c r="L2551" s="1036" t="s">
        <v>7950</v>
      </c>
      <c r="M2551" s="1037" t="s">
        <v>107</v>
      </c>
      <c r="N2551" s="1034"/>
      <c r="O2551" s="1064"/>
      <c r="P2551" s="1035"/>
      <c r="Q2551" s="1036"/>
      <c r="R2551" s="1038" t="s">
        <v>6127</v>
      </c>
      <c r="S2551" s="1131" t="s">
        <v>6128</v>
      </c>
      <c r="T2551" s="1036" t="s">
        <v>8282</v>
      </c>
      <c r="U2551" s="1066">
        <v>1</v>
      </c>
      <c r="V2551" s="1035" t="s">
        <v>3</v>
      </c>
      <c r="W2551" s="1039">
        <v>1390</v>
      </c>
      <c r="X2551" s="1040">
        <f t="shared" si="508"/>
        <v>1390</v>
      </c>
      <c r="Y2551" s="1045" t="s">
        <v>6060</v>
      </c>
      <c r="Z2551" s="1041">
        <v>685.27</v>
      </c>
      <c r="AA2551" s="1041"/>
      <c r="AB2551" s="1041">
        <f t="shared" si="526"/>
        <v>685.27</v>
      </c>
      <c r="AC2551" s="1042">
        <f t="shared" si="527"/>
        <v>685.27</v>
      </c>
      <c r="AD2551" s="1043">
        <v>32000</v>
      </c>
      <c r="AE2551" s="1044"/>
      <c r="AF2551" s="1045"/>
      <c r="AG2551" s="1046"/>
      <c r="AH2551" s="1045"/>
      <c r="AI2551" s="1047"/>
      <c r="AJ2551" s="1038"/>
      <c r="AK2551" s="1048"/>
      <c r="AL2551" s="1036"/>
      <c r="AM2551" s="1036"/>
      <c r="AN2551" s="1037"/>
      <c r="AO2551" s="1037"/>
      <c r="AP2551" s="1034"/>
      <c r="AQ2551" s="1035"/>
      <c r="AR2551" s="1034"/>
      <c r="AS2551" s="1035"/>
      <c r="AT2551" s="1035"/>
      <c r="AU2551" s="1035"/>
      <c r="AV2551" s="1038"/>
      <c r="AW2551" s="1050"/>
      <c r="AX2551" s="1051"/>
      <c r="AY2551" s="1036"/>
      <c r="AZ2551" s="1035"/>
      <c r="BA2551" s="1035"/>
      <c r="BB2551" s="1052"/>
      <c r="BC2551" s="1053"/>
      <c r="BD2551" s="1049"/>
      <c r="BE2551" s="1054"/>
      <c r="BF2551" s="1055"/>
      <c r="BG2551" s="1055"/>
      <c r="BH2551" s="1055"/>
      <c r="BI2551" s="1055"/>
      <c r="BJ2551" s="1055"/>
      <c r="BK2551" s="1055"/>
      <c r="BL2551" s="1055"/>
      <c r="BM2551" s="1055"/>
      <c r="BN2551" s="1055"/>
      <c r="BO2551" s="1056"/>
      <c r="BP2551" s="1056"/>
      <c r="BQ2551" s="1056"/>
      <c r="BR2551" s="1056"/>
      <c r="BS2551" s="1056"/>
      <c r="BT2551" s="1056"/>
      <c r="BU2551" s="1056"/>
      <c r="BV2551" s="1057"/>
      <c r="BW2551" s="1057"/>
      <c r="BX2551" s="1148"/>
      <c r="BY2551" s="1057"/>
      <c r="BZ2551" s="1057"/>
      <c r="CA2551" s="1057"/>
      <c r="CB2551" s="1032"/>
    </row>
    <row r="2552" spans="2:80">
      <c r="B2552" s="1033" t="s">
        <v>8184</v>
      </c>
      <c r="C2552" s="1033" t="s">
        <v>5697</v>
      </c>
      <c r="D2552" s="1033" t="s">
        <v>8195</v>
      </c>
      <c r="E2552" s="1033" t="s">
        <v>8195</v>
      </c>
      <c r="F2552" s="1034">
        <v>46185</v>
      </c>
      <c r="G2552" s="1058" t="str">
        <f t="shared" si="528"/>
        <v>CASSINA</v>
      </c>
      <c r="H2552" s="1063" t="s">
        <v>134</v>
      </c>
      <c r="I2552" s="1063"/>
      <c r="J2552" s="1034"/>
      <c r="K2552" s="1034"/>
      <c r="L2552" s="1036" t="s">
        <v>7950</v>
      </c>
      <c r="M2552" s="1037" t="s">
        <v>107</v>
      </c>
      <c r="N2552" s="1034"/>
      <c r="O2552" s="1064"/>
      <c r="P2552" s="1035"/>
      <c r="Q2552" s="1036"/>
      <c r="R2552" s="1038" t="s">
        <v>6131</v>
      </c>
      <c r="S2552" s="1131" t="s">
        <v>6132</v>
      </c>
      <c r="T2552" s="1036" t="s">
        <v>8283</v>
      </c>
      <c r="U2552" s="1066">
        <v>1</v>
      </c>
      <c r="V2552" s="1035" t="s">
        <v>3</v>
      </c>
      <c r="W2552" s="1039">
        <v>1580</v>
      </c>
      <c r="X2552" s="1040">
        <f t="shared" si="508"/>
        <v>1580</v>
      </c>
      <c r="Y2552" s="1045" t="s">
        <v>6060</v>
      </c>
      <c r="Z2552" s="1041">
        <v>778.94</v>
      </c>
      <c r="AA2552" s="1041"/>
      <c r="AB2552" s="1041">
        <f t="shared" si="526"/>
        <v>778.94</v>
      </c>
      <c r="AC2552" s="1042">
        <f t="shared" si="527"/>
        <v>778.94</v>
      </c>
      <c r="AD2552" s="1043">
        <v>32000</v>
      </c>
      <c r="AE2552" s="1044"/>
      <c r="AF2552" s="1045"/>
      <c r="AG2552" s="1046"/>
      <c r="AH2552" s="1045"/>
      <c r="AI2552" s="1047"/>
      <c r="AJ2552" s="1038"/>
      <c r="AK2552" s="1048"/>
      <c r="AL2552" s="1036"/>
      <c r="AM2552" s="1036"/>
      <c r="AN2552" s="1037"/>
      <c r="AO2552" s="1037"/>
      <c r="AP2552" s="1034"/>
      <c r="AQ2552" s="1035"/>
      <c r="AR2552" s="1034"/>
      <c r="AS2552" s="1035"/>
      <c r="AT2552" s="1035"/>
      <c r="AU2552" s="1035"/>
      <c r="AV2552" s="1038"/>
      <c r="AW2552" s="1050"/>
      <c r="AX2552" s="1051"/>
      <c r="AY2552" s="1036"/>
      <c r="AZ2552" s="1035"/>
      <c r="BA2552" s="1035"/>
      <c r="BB2552" s="1052"/>
      <c r="BC2552" s="1053"/>
      <c r="BD2552" s="1049"/>
      <c r="BE2552" s="1054"/>
      <c r="BF2552" s="1055"/>
      <c r="BG2552" s="1055"/>
      <c r="BH2552" s="1055"/>
      <c r="BI2552" s="1055"/>
      <c r="BJ2552" s="1055"/>
      <c r="BK2552" s="1055"/>
      <c r="BL2552" s="1055"/>
      <c r="BM2552" s="1055"/>
      <c r="BN2552" s="1055"/>
      <c r="BO2552" s="1056"/>
      <c r="BP2552" s="1056"/>
      <c r="BQ2552" s="1056"/>
      <c r="BR2552" s="1056"/>
      <c r="BS2552" s="1056"/>
      <c r="BT2552" s="1056"/>
      <c r="BU2552" s="1056"/>
      <c r="BV2552" s="1057"/>
      <c r="BW2552" s="1057"/>
      <c r="BX2552" s="1148"/>
      <c r="BY2552" s="1057"/>
      <c r="BZ2552" s="1057"/>
      <c r="CA2552" s="1057"/>
      <c r="CB2552" s="1032"/>
    </row>
    <row r="2553" spans="2:80">
      <c r="B2553" s="1033" t="s">
        <v>8184</v>
      </c>
      <c r="C2553" s="1033" t="s">
        <v>5697</v>
      </c>
      <c r="D2553" s="1033" t="s">
        <v>8195</v>
      </c>
      <c r="E2553" s="1033" t="s">
        <v>8195</v>
      </c>
      <c r="F2553" s="1034">
        <v>46185</v>
      </c>
      <c r="G2553" s="1058" t="str">
        <f t="shared" si="528"/>
        <v>CASSINA</v>
      </c>
      <c r="H2553" s="1063" t="s">
        <v>134</v>
      </c>
      <c r="I2553" s="1063"/>
      <c r="J2553" s="1034"/>
      <c r="K2553" s="1034"/>
      <c r="L2553" s="1036" t="s">
        <v>7950</v>
      </c>
      <c r="M2553" s="1037" t="s">
        <v>107</v>
      </c>
      <c r="N2553" s="1034"/>
      <c r="O2553" s="1064"/>
      <c r="P2553" s="1035"/>
      <c r="Q2553" s="1036"/>
      <c r="R2553" s="1038" t="s">
        <v>8284</v>
      </c>
      <c r="S2553" s="1131" t="s">
        <v>8285</v>
      </c>
      <c r="T2553" s="1036" t="s">
        <v>8286</v>
      </c>
      <c r="U2553" s="1066">
        <v>1</v>
      </c>
      <c r="V2553" s="1035" t="s">
        <v>3</v>
      </c>
      <c r="W2553" s="1039">
        <v>345</v>
      </c>
      <c r="X2553" s="1040">
        <f t="shared" si="508"/>
        <v>345</v>
      </c>
      <c r="Y2553" s="1045" t="s">
        <v>6060</v>
      </c>
      <c r="Z2553" s="1041">
        <v>170.09</v>
      </c>
      <c r="AA2553" s="1041"/>
      <c r="AB2553" s="1041">
        <f t="shared" si="526"/>
        <v>170.09</v>
      </c>
      <c r="AC2553" s="1042">
        <f t="shared" si="527"/>
        <v>170.09</v>
      </c>
      <c r="AD2553" s="1043">
        <v>32000</v>
      </c>
      <c r="AE2553" s="1044"/>
      <c r="AF2553" s="1045"/>
      <c r="AG2553" s="1046"/>
      <c r="AH2553" s="1045"/>
      <c r="AI2553" s="1047"/>
      <c r="AJ2553" s="1038"/>
      <c r="AK2553" s="1048"/>
      <c r="AL2553" s="1036"/>
      <c r="AM2553" s="1036"/>
      <c r="AN2553" s="1037"/>
      <c r="AO2553" s="1037"/>
      <c r="AP2553" s="1034"/>
      <c r="AQ2553" s="1035"/>
      <c r="AR2553" s="1034"/>
      <c r="AS2553" s="1035"/>
      <c r="AT2553" s="1035"/>
      <c r="AU2553" s="1035"/>
      <c r="AV2553" s="1038"/>
      <c r="AW2553" s="1050"/>
      <c r="AX2553" s="1051"/>
      <c r="AY2553" s="1036"/>
      <c r="AZ2553" s="1035"/>
      <c r="BA2553" s="1035"/>
      <c r="BB2553" s="1052"/>
      <c r="BC2553" s="1053"/>
      <c r="BD2553" s="1049"/>
      <c r="BE2553" s="1054"/>
      <c r="BF2553" s="1055"/>
      <c r="BG2553" s="1055"/>
      <c r="BH2553" s="1055"/>
      <c r="BI2553" s="1055"/>
      <c r="BJ2553" s="1055"/>
      <c r="BK2553" s="1055"/>
      <c r="BL2553" s="1055"/>
      <c r="BM2553" s="1055"/>
      <c r="BN2553" s="1055"/>
      <c r="BO2553" s="1056"/>
      <c r="BP2553" s="1056"/>
      <c r="BQ2553" s="1056"/>
      <c r="BR2553" s="1056"/>
      <c r="BS2553" s="1056"/>
      <c r="BT2553" s="1056"/>
      <c r="BU2553" s="1056"/>
      <c r="BV2553" s="1057"/>
      <c r="BW2553" s="1057"/>
      <c r="BX2553" s="1148"/>
      <c r="BY2553" s="1057"/>
      <c r="BZ2553" s="1057"/>
      <c r="CA2553" s="1057"/>
      <c r="CB2553" s="1032"/>
    </row>
    <row r="2554" spans="2:80">
      <c r="B2554" s="1033" t="s">
        <v>8184</v>
      </c>
      <c r="C2554" s="1033" t="s">
        <v>5697</v>
      </c>
      <c r="D2554" s="1033" t="s">
        <v>8195</v>
      </c>
      <c r="E2554" s="1033" t="s">
        <v>8195</v>
      </c>
      <c r="F2554" s="1034">
        <v>46185</v>
      </c>
      <c r="G2554" s="1058" t="str">
        <f t="shared" si="528"/>
        <v>CASSINA</v>
      </c>
      <c r="H2554" s="1063" t="s">
        <v>134</v>
      </c>
      <c r="I2554" s="1063"/>
      <c r="J2554" s="1034"/>
      <c r="K2554" s="1034"/>
      <c r="L2554" s="1036" t="s">
        <v>7950</v>
      </c>
      <c r="M2554" s="1037" t="s">
        <v>107</v>
      </c>
      <c r="N2554" s="1034"/>
      <c r="O2554" s="1064"/>
      <c r="P2554" s="1035"/>
      <c r="Q2554" s="1036"/>
      <c r="R2554" s="1038" t="s">
        <v>8287</v>
      </c>
      <c r="S2554" s="1131" t="s">
        <v>8288</v>
      </c>
      <c r="T2554" s="1036" t="s">
        <v>8289</v>
      </c>
      <c r="U2554" s="1066">
        <v>1</v>
      </c>
      <c r="V2554" s="1035" t="s">
        <v>3</v>
      </c>
      <c r="W2554" s="1039">
        <v>345</v>
      </c>
      <c r="X2554" s="1040">
        <f t="shared" si="508"/>
        <v>345</v>
      </c>
      <c r="Y2554" s="1045" t="s">
        <v>6060</v>
      </c>
      <c r="Z2554" s="1041">
        <v>170.09</v>
      </c>
      <c r="AA2554" s="1041"/>
      <c r="AB2554" s="1041">
        <f t="shared" si="526"/>
        <v>170.09</v>
      </c>
      <c r="AC2554" s="1042">
        <f t="shared" si="527"/>
        <v>170.09</v>
      </c>
      <c r="AD2554" s="1043">
        <v>32000</v>
      </c>
      <c r="AE2554" s="1044"/>
      <c r="AF2554" s="1045"/>
      <c r="AG2554" s="1046"/>
      <c r="AH2554" s="1045"/>
      <c r="AI2554" s="1047"/>
      <c r="AJ2554" s="1038"/>
      <c r="AK2554" s="1048"/>
      <c r="AL2554" s="1036"/>
      <c r="AM2554" s="1036"/>
      <c r="AN2554" s="1037"/>
      <c r="AO2554" s="1037"/>
      <c r="AP2554" s="1034"/>
      <c r="AQ2554" s="1035"/>
      <c r="AR2554" s="1034"/>
      <c r="AS2554" s="1035"/>
      <c r="AT2554" s="1035"/>
      <c r="AU2554" s="1035"/>
      <c r="AV2554" s="1038"/>
      <c r="AW2554" s="1050"/>
      <c r="AX2554" s="1051"/>
      <c r="AY2554" s="1036"/>
      <c r="AZ2554" s="1035"/>
      <c r="BA2554" s="1035"/>
      <c r="BB2554" s="1052"/>
      <c r="BC2554" s="1053"/>
      <c r="BD2554" s="1049"/>
      <c r="BE2554" s="1054"/>
      <c r="BF2554" s="1055"/>
      <c r="BG2554" s="1055"/>
      <c r="BH2554" s="1055"/>
      <c r="BI2554" s="1055"/>
      <c r="BJ2554" s="1055"/>
      <c r="BK2554" s="1055"/>
      <c r="BL2554" s="1055"/>
      <c r="BM2554" s="1055"/>
      <c r="BN2554" s="1055"/>
      <c r="BO2554" s="1056"/>
      <c r="BP2554" s="1056"/>
      <c r="BQ2554" s="1056"/>
      <c r="BR2554" s="1056"/>
      <c r="BS2554" s="1056"/>
      <c r="BT2554" s="1056"/>
      <c r="BU2554" s="1056"/>
      <c r="BV2554" s="1057"/>
      <c r="BW2554" s="1057"/>
      <c r="BX2554" s="1148"/>
      <c r="BY2554" s="1057"/>
      <c r="BZ2554" s="1057"/>
      <c r="CA2554" s="1057"/>
      <c r="CB2554" s="1032"/>
    </row>
    <row r="2555" spans="2:80">
      <c r="B2555" s="1033" t="s">
        <v>8184</v>
      </c>
      <c r="C2555" s="1033" t="s">
        <v>5697</v>
      </c>
      <c r="D2555" s="1033" t="s">
        <v>8195</v>
      </c>
      <c r="E2555" s="1033" t="s">
        <v>8195</v>
      </c>
      <c r="F2555" s="1034">
        <v>46185</v>
      </c>
      <c r="G2555" s="1058" t="str">
        <f t="shared" si="528"/>
        <v>CASSINA</v>
      </c>
      <c r="H2555" s="1063" t="s">
        <v>134</v>
      </c>
      <c r="I2555" s="1063"/>
      <c r="J2555" s="1034"/>
      <c r="K2555" s="1034"/>
      <c r="L2555" s="1036" t="s">
        <v>7950</v>
      </c>
      <c r="M2555" s="1037" t="s">
        <v>107</v>
      </c>
      <c r="N2555" s="1034"/>
      <c r="O2555" s="1064"/>
      <c r="P2555" s="1035"/>
      <c r="Q2555" s="1036"/>
      <c r="R2555" s="1038" t="s">
        <v>8290</v>
      </c>
      <c r="S2555" s="1131" t="s">
        <v>8291</v>
      </c>
      <c r="T2555" s="1036" t="s">
        <v>8292</v>
      </c>
      <c r="U2555" s="1066">
        <v>1</v>
      </c>
      <c r="V2555" s="1035" t="s">
        <v>3</v>
      </c>
      <c r="W2555" s="1039">
        <v>505</v>
      </c>
      <c r="X2555" s="1040">
        <f t="shared" si="508"/>
        <v>505</v>
      </c>
      <c r="Y2555" s="1045" t="s">
        <v>6060</v>
      </c>
      <c r="Z2555" s="1041">
        <v>248.97</v>
      </c>
      <c r="AA2555" s="1041"/>
      <c r="AB2555" s="1041">
        <f t="shared" si="526"/>
        <v>248.97</v>
      </c>
      <c r="AC2555" s="1042">
        <f t="shared" si="527"/>
        <v>248.97</v>
      </c>
      <c r="AD2555" s="1043">
        <v>32000</v>
      </c>
      <c r="AE2555" s="1044"/>
      <c r="AF2555" s="1045"/>
      <c r="AG2555" s="1046"/>
      <c r="AH2555" s="1045"/>
      <c r="AI2555" s="1047"/>
      <c r="AJ2555" s="1038"/>
      <c r="AK2555" s="1048"/>
      <c r="AL2555" s="1036"/>
      <c r="AM2555" s="1036"/>
      <c r="AN2555" s="1037"/>
      <c r="AO2555" s="1037"/>
      <c r="AP2555" s="1034"/>
      <c r="AQ2555" s="1035"/>
      <c r="AR2555" s="1034"/>
      <c r="AS2555" s="1035"/>
      <c r="AT2555" s="1035"/>
      <c r="AU2555" s="1035"/>
      <c r="AV2555" s="1038"/>
      <c r="AW2555" s="1050"/>
      <c r="AX2555" s="1051"/>
      <c r="AY2555" s="1036"/>
      <c r="AZ2555" s="1035"/>
      <c r="BA2555" s="1035"/>
      <c r="BB2555" s="1052"/>
      <c r="BC2555" s="1053"/>
      <c r="BD2555" s="1049"/>
      <c r="BE2555" s="1054"/>
      <c r="BF2555" s="1055"/>
      <c r="BG2555" s="1055"/>
      <c r="BH2555" s="1055"/>
      <c r="BI2555" s="1055"/>
      <c r="BJ2555" s="1055"/>
      <c r="BK2555" s="1055"/>
      <c r="BL2555" s="1055"/>
      <c r="BM2555" s="1055"/>
      <c r="BN2555" s="1055"/>
      <c r="BO2555" s="1056"/>
      <c r="BP2555" s="1056"/>
      <c r="BQ2555" s="1056"/>
      <c r="BR2555" s="1056"/>
      <c r="BS2555" s="1056"/>
      <c r="BT2555" s="1056"/>
      <c r="BU2555" s="1056"/>
      <c r="BV2555" s="1057"/>
      <c r="BW2555" s="1057"/>
      <c r="BX2555" s="1148"/>
      <c r="BY2555" s="1057"/>
      <c r="BZ2555" s="1057"/>
      <c r="CA2555" s="1057"/>
      <c r="CB2555" s="1032"/>
    </row>
    <row r="2556" spans="2:80">
      <c r="B2556" s="1033" t="s">
        <v>8184</v>
      </c>
      <c r="C2556" s="1033" t="s">
        <v>5697</v>
      </c>
      <c r="D2556" s="1033" t="s">
        <v>8195</v>
      </c>
      <c r="E2556" s="1033" t="s">
        <v>8195</v>
      </c>
      <c r="F2556" s="1034">
        <v>46185</v>
      </c>
      <c r="G2556" s="1058" t="str">
        <f t="shared" si="528"/>
        <v>CASSINA</v>
      </c>
      <c r="H2556" s="1063" t="s">
        <v>134</v>
      </c>
      <c r="I2556" s="1063"/>
      <c r="J2556" s="1034"/>
      <c r="K2556" s="1034"/>
      <c r="L2556" s="1036" t="s">
        <v>7950</v>
      </c>
      <c r="M2556" s="1037" t="s">
        <v>107</v>
      </c>
      <c r="N2556" s="1034"/>
      <c r="O2556" s="1064"/>
      <c r="P2556" s="1035"/>
      <c r="Q2556" s="1036"/>
      <c r="R2556" s="1038" t="s">
        <v>8293</v>
      </c>
      <c r="S2556" s="1131" t="s">
        <v>8294</v>
      </c>
      <c r="T2556" s="1036" t="s">
        <v>8295</v>
      </c>
      <c r="U2556" s="1066">
        <v>1</v>
      </c>
      <c r="V2556" s="1035" t="s">
        <v>3</v>
      </c>
      <c r="W2556" s="1039">
        <v>410</v>
      </c>
      <c r="X2556" s="1040">
        <f t="shared" si="508"/>
        <v>410</v>
      </c>
      <c r="Y2556" s="1045" t="s">
        <v>6060</v>
      </c>
      <c r="Z2556" s="1041">
        <v>202.13</v>
      </c>
      <c r="AA2556" s="1041"/>
      <c r="AB2556" s="1041">
        <f t="shared" si="526"/>
        <v>202.13</v>
      </c>
      <c r="AC2556" s="1042">
        <f t="shared" si="527"/>
        <v>202.13</v>
      </c>
      <c r="AD2556" s="1043">
        <v>32000</v>
      </c>
      <c r="AE2556" s="1044"/>
      <c r="AF2556" s="1045"/>
      <c r="AG2556" s="1046"/>
      <c r="AH2556" s="1045"/>
      <c r="AI2556" s="1047"/>
      <c r="AJ2556" s="1038"/>
      <c r="AK2556" s="1048"/>
      <c r="AL2556" s="1036"/>
      <c r="AM2556" s="1036"/>
      <c r="AN2556" s="1037"/>
      <c r="AO2556" s="1037"/>
      <c r="AP2556" s="1034"/>
      <c r="AQ2556" s="1035"/>
      <c r="AR2556" s="1034"/>
      <c r="AS2556" s="1035"/>
      <c r="AT2556" s="1035"/>
      <c r="AU2556" s="1035"/>
      <c r="AV2556" s="1038"/>
      <c r="AW2556" s="1050"/>
      <c r="AX2556" s="1051"/>
      <c r="AY2556" s="1036"/>
      <c r="AZ2556" s="1035"/>
      <c r="BA2556" s="1035"/>
      <c r="BB2556" s="1052"/>
      <c r="BC2556" s="1053"/>
      <c r="BD2556" s="1049"/>
      <c r="BE2556" s="1054"/>
      <c r="BF2556" s="1055"/>
      <c r="BG2556" s="1055"/>
      <c r="BH2556" s="1055"/>
      <c r="BI2556" s="1055"/>
      <c r="BJ2556" s="1055"/>
      <c r="BK2556" s="1055"/>
      <c r="BL2556" s="1055"/>
      <c r="BM2556" s="1055"/>
      <c r="BN2556" s="1055"/>
      <c r="BO2556" s="1056"/>
      <c r="BP2556" s="1056"/>
      <c r="BQ2556" s="1056"/>
      <c r="BR2556" s="1056"/>
      <c r="BS2556" s="1056"/>
      <c r="BT2556" s="1056"/>
      <c r="BU2556" s="1056"/>
      <c r="BV2556" s="1057"/>
      <c r="BW2556" s="1057"/>
      <c r="BX2556" s="1148"/>
      <c r="BY2556" s="1057"/>
      <c r="BZ2556" s="1057"/>
      <c r="CA2556" s="1057"/>
      <c r="CB2556" s="1032"/>
    </row>
    <row r="2557" spans="2:80">
      <c r="B2557" s="1033" t="s">
        <v>8184</v>
      </c>
      <c r="C2557" s="1033" t="s">
        <v>5697</v>
      </c>
      <c r="D2557" s="1033" t="s">
        <v>8195</v>
      </c>
      <c r="E2557" s="1033" t="s">
        <v>8195</v>
      </c>
      <c r="F2557" s="1034">
        <v>46185</v>
      </c>
      <c r="G2557" s="1058" t="str">
        <f t="shared" si="528"/>
        <v>CASSINA</v>
      </c>
      <c r="H2557" s="1063" t="s">
        <v>134</v>
      </c>
      <c r="I2557" s="1063"/>
      <c r="J2557" s="1034"/>
      <c r="K2557" s="1034"/>
      <c r="L2557" s="1036" t="s">
        <v>7950</v>
      </c>
      <c r="M2557" s="1037" t="s">
        <v>107</v>
      </c>
      <c r="N2557" s="1034"/>
      <c r="O2557" s="1064"/>
      <c r="P2557" s="1035"/>
      <c r="Q2557" s="1036"/>
      <c r="R2557" s="1038" t="s">
        <v>8296</v>
      </c>
      <c r="S2557" s="1131" t="s">
        <v>8297</v>
      </c>
      <c r="T2557" s="1036" t="s">
        <v>8298</v>
      </c>
      <c r="U2557" s="1066">
        <v>1</v>
      </c>
      <c r="V2557" s="1035" t="s">
        <v>3</v>
      </c>
      <c r="W2557" s="1039">
        <v>240</v>
      </c>
      <c r="X2557" s="1040">
        <f t="shared" si="508"/>
        <v>240</v>
      </c>
      <c r="Y2557" s="1045" t="s">
        <v>6060</v>
      </c>
      <c r="Z2557" s="1041">
        <v>118.32</v>
      </c>
      <c r="AA2557" s="1041"/>
      <c r="AB2557" s="1041">
        <f t="shared" si="526"/>
        <v>118.32</v>
      </c>
      <c r="AC2557" s="1042">
        <f t="shared" si="527"/>
        <v>118.32</v>
      </c>
      <c r="AD2557" s="1043">
        <v>32000</v>
      </c>
      <c r="AE2557" s="1044"/>
      <c r="AF2557" s="1045"/>
      <c r="AG2557" s="1046"/>
      <c r="AH2557" s="1045"/>
      <c r="AI2557" s="1047"/>
      <c r="AJ2557" s="1038"/>
      <c r="AK2557" s="1048"/>
      <c r="AL2557" s="1036"/>
      <c r="AM2557" s="1036"/>
      <c r="AN2557" s="1037"/>
      <c r="AO2557" s="1037"/>
      <c r="AP2557" s="1034"/>
      <c r="AQ2557" s="1035"/>
      <c r="AR2557" s="1034"/>
      <c r="AS2557" s="1035"/>
      <c r="AT2557" s="1035"/>
      <c r="AU2557" s="1035"/>
      <c r="AV2557" s="1038"/>
      <c r="AW2557" s="1050"/>
      <c r="AX2557" s="1051"/>
      <c r="AY2557" s="1036"/>
      <c r="AZ2557" s="1035"/>
      <c r="BA2557" s="1035"/>
      <c r="BB2557" s="1052"/>
      <c r="BC2557" s="1053"/>
      <c r="BD2557" s="1049"/>
      <c r="BE2557" s="1054"/>
      <c r="BF2557" s="1055"/>
      <c r="BG2557" s="1055"/>
      <c r="BH2557" s="1055"/>
      <c r="BI2557" s="1055"/>
      <c r="BJ2557" s="1055"/>
      <c r="BK2557" s="1055"/>
      <c r="BL2557" s="1055"/>
      <c r="BM2557" s="1055"/>
      <c r="BN2557" s="1055"/>
      <c r="BO2557" s="1056"/>
      <c r="BP2557" s="1056"/>
      <c r="BQ2557" s="1056"/>
      <c r="BR2557" s="1056"/>
      <c r="BS2557" s="1056"/>
      <c r="BT2557" s="1056"/>
      <c r="BU2557" s="1056"/>
      <c r="BV2557" s="1057"/>
      <c r="BW2557" s="1057"/>
      <c r="BX2557" s="1148"/>
      <c r="BY2557" s="1057"/>
      <c r="BZ2557" s="1057"/>
      <c r="CA2557" s="1057"/>
      <c r="CB2557" s="1032"/>
    </row>
    <row r="2558" spans="2:80">
      <c r="B2558" s="1033" t="s">
        <v>8184</v>
      </c>
      <c r="C2558" s="1033" t="s">
        <v>5697</v>
      </c>
      <c r="D2558" s="1033" t="s">
        <v>8195</v>
      </c>
      <c r="E2558" s="1033" t="s">
        <v>8195</v>
      </c>
      <c r="F2558" s="1034">
        <v>46185</v>
      </c>
      <c r="G2558" s="1058" t="str">
        <f t="shared" si="528"/>
        <v>CASSINA</v>
      </c>
      <c r="H2558" s="1063" t="s">
        <v>134</v>
      </c>
      <c r="I2558" s="1063"/>
      <c r="J2558" s="1034"/>
      <c r="K2558" s="1034"/>
      <c r="L2558" s="1036" t="s">
        <v>7950</v>
      </c>
      <c r="M2558" s="1037" t="s">
        <v>107</v>
      </c>
      <c r="N2558" s="1034"/>
      <c r="O2558" s="1064"/>
      <c r="P2558" s="1035"/>
      <c r="Q2558" s="1036"/>
      <c r="R2558" s="1038" t="s">
        <v>8299</v>
      </c>
      <c r="S2558" s="1131" t="s">
        <v>8300</v>
      </c>
      <c r="T2558" s="1036" t="s">
        <v>8301</v>
      </c>
      <c r="U2558" s="1066">
        <v>1</v>
      </c>
      <c r="V2558" s="1035" t="s">
        <v>3</v>
      </c>
      <c r="W2558" s="1039">
        <v>240</v>
      </c>
      <c r="X2558" s="1040">
        <f t="shared" si="508"/>
        <v>240</v>
      </c>
      <c r="Y2558" s="1045" t="s">
        <v>6060</v>
      </c>
      <c r="Z2558" s="1041">
        <v>118.32</v>
      </c>
      <c r="AA2558" s="1041"/>
      <c r="AB2558" s="1041">
        <f t="shared" si="526"/>
        <v>118.32</v>
      </c>
      <c r="AC2558" s="1042">
        <f t="shared" si="527"/>
        <v>118.32</v>
      </c>
      <c r="AD2558" s="1043">
        <v>32000</v>
      </c>
      <c r="AE2558" s="1044"/>
      <c r="AF2558" s="1045"/>
      <c r="AG2558" s="1046"/>
      <c r="AH2558" s="1045"/>
      <c r="AI2558" s="1047"/>
      <c r="AJ2558" s="1038"/>
      <c r="AK2558" s="1048"/>
      <c r="AL2558" s="1036"/>
      <c r="AM2558" s="1036"/>
      <c r="AN2558" s="1037"/>
      <c r="AO2558" s="1037"/>
      <c r="AP2558" s="1034"/>
      <c r="AQ2558" s="1035"/>
      <c r="AR2558" s="1034"/>
      <c r="AS2558" s="1035"/>
      <c r="AT2558" s="1035"/>
      <c r="AU2558" s="1035"/>
      <c r="AV2558" s="1038"/>
      <c r="AW2558" s="1050"/>
      <c r="AX2558" s="1051"/>
      <c r="AY2558" s="1036"/>
      <c r="AZ2558" s="1035"/>
      <c r="BA2558" s="1035"/>
      <c r="BB2558" s="1052"/>
      <c r="BC2558" s="1053"/>
      <c r="BD2558" s="1049"/>
      <c r="BE2558" s="1054"/>
      <c r="BF2558" s="1055"/>
      <c r="BG2558" s="1055"/>
      <c r="BH2558" s="1055"/>
      <c r="BI2558" s="1055"/>
      <c r="BJ2558" s="1055"/>
      <c r="BK2558" s="1055"/>
      <c r="BL2558" s="1055"/>
      <c r="BM2558" s="1055"/>
      <c r="BN2558" s="1055"/>
      <c r="BO2558" s="1056"/>
      <c r="BP2558" s="1056"/>
      <c r="BQ2558" s="1056"/>
      <c r="BR2558" s="1056"/>
      <c r="BS2558" s="1056"/>
      <c r="BT2558" s="1056"/>
      <c r="BU2558" s="1056"/>
      <c r="BV2558" s="1057"/>
      <c r="BW2558" s="1057"/>
      <c r="BX2558" s="1148"/>
      <c r="BY2558" s="1057"/>
      <c r="BZ2558" s="1057"/>
      <c r="CA2558" s="1057"/>
      <c r="CB2558" s="1032"/>
    </row>
    <row r="2559" spans="2:80">
      <c r="B2559" s="1033" t="s">
        <v>8184</v>
      </c>
      <c r="C2559" s="1033" t="s">
        <v>5697</v>
      </c>
      <c r="D2559" s="1033" t="s">
        <v>8195</v>
      </c>
      <c r="E2559" s="1033" t="s">
        <v>8195</v>
      </c>
      <c r="F2559" s="1034">
        <v>46185</v>
      </c>
      <c r="G2559" s="1058" t="str">
        <f t="shared" si="528"/>
        <v>CASSINA</v>
      </c>
      <c r="H2559" s="1063" t="s">
        <v>134</v>
      </c>
      <c r="I2559" s="1063"/>
      <c r="J2559" s="1034"/>
      <c r="K2559" s="1034"/>
      <c r="L2559" s="1036" t="s">
        <v>7950</v>
      </c>
      <c r="M2559" s="1037" t="s">
        <v>107</v>
      </c>
      <c r="N2559" s="1034"/>
      <c r="O2559" s="1064"/>
      <c r="P2559" s="1035"/>
      <c r="Q2559" s="1036"/>
      <c r="R2559" s="1038" t="s">
        <v>8302</v>
      </c>
      <c r="S2559" s="1131" t="s">
        <v>8303</v>
      </c>
      <c r="T2559" s="1036" t="s">
        <v>8304</v>
      </c>
      <c r="U2559" s="1066">
        <v>1</v>
      </c>
      <c r="V2559" s="1035" t="s">
        <v>3</v>
      </c>
      <c r="W2559" s="1039">
        <v>240</v>
      </c>
      <c r="X2559" s="1040">
        <f t="shared" si="508"/>
        <v>240</v>
      </c>
      <c r="Y2559" s="1045" t="s">
        <v>6060</v>
      </c>
      <c r="Z2559" s="1041">
        <v>118.32</v>
      </c>
      <c r="AA2559" s="1041"/>
      <c r="AB2559" s="1041">
        <f t="shared" si="526"/>
        <v>118.32</v>
      </c>
      <c r="AC2559" s="1042">
        <f t="shared" si="527"/>
        <v>118.32</v>
      </c>
      <c r="AD2559" s="1043">
        <v>32000</v>
      </c>
      <c r="AE2559" s="1044"/>
      <c r="AF2559" s="1045"/>
      <c r="AG2559" s="1046"/>
      <c r="AH2559" s="1045"/>
      <c r="AI2559" s="1047"/>
      <c r="AJ2559" s="1038"/>
      <c r="AK2559" s="1048"/>
      <c r="AL2559" s="1036"/>
      <c r="AM2559" s="1036"/>
      <c r="AN2559" s="1037"/>
      <c r="AO2559" s="1037"/>
      <c r="AP2559" s="1034"/>
      <c r="AQ2559" s="1035"/>
      <c r="AR2559" s="1034"/>
      <c r="AS2559" s="1035"/>
      <c r="AT2559" s="1035"/>
      <c r="AU2559" s="1035"/>
      <c r="AV2559" s="1038"/>
      <c r="AW2559" s="1050"/>
      <c r="AX2559" s="1051"/>
      <c r="AY2559" s="1036"/>
      <c r="AZ2559" s="1035"/>
      <c r="BA2559" s="1035"/>
      <c r="BB2559" s="1052"/>
      <c r="BC2559" s="1053"/>
      <c r="BD2559" s="1049"/>
      <c r="BE2559" s="1054"/>
      <c r="BF2559" s="1055"/>
      <c r="BG2559" s="1055"/>
      <c r="BH2559" s="1055"/>
      <c r="BI2559" s="1055"/>
      <c r="BJ2559" s="1055"/>
      <c r="BK2559" s="1055"/>
      <c r="BL2559" s="1055"/>
      <c r="BM2559" s="1055"/>
      <c r="BN2559" s="1055"/>
      <c r="BO2559" s="1056"/>
      <c r="BP2559" s="1056"/>
      <c r="BQ2559" s="1056"/>
      <c r="BR2559" s="1056"/>
      <c r="BS2559" s="1056"/>
      <c r="BT2559" s="1056"/>
      <c r="BU2559" s="1056"/>
      <c r="BV2559" s="1057"/>
      <c r="BW2559" s="1057"/>
      <c r="BX2559" s="1148"/>
      <c r="BY2559" s="1057"/>
      <c r="BZ2559" s="1057"/>
      <c r="CA2559" s="1057"/>
      <c r="CB2559" s="1032"/>
    </row>
    <row r="2560" spans="2:80">
      <c r="B2560" s="1033" t="s">
        <v>8184</v>
      </c>
      <c r="C2560" s="1033" t="s">
        <v>5697</v>
      </c>
      <c r="D2560" s="1033" t="s">
        <v>8195</v>
      </c>
      <c r="E2560" s="1033" t="s">
        <v>8195</v>
      </c>
      <c r="F2560" s="1034">
        <v>46185</v>
      </c>
      <c r="G2560" s="1058" t="str">
        <f t="shared" si="528"/>
        <v>CASSINA</v>
      </c>
      <c r="H2560" s="1063" t="s">
        <v>134</v>
      </c>
      <c r="I2560" s="1063"/>
      <c r="J2560" s="1034"/>
      <c r="K2560" s="1034"/>
      <c r="L2560" s="1036" t="s">
        <v>7950</v>
      </c>
      <c r="M2560" s="1037" t="s">
        <v>107</v>
      </c>
      <c r="N2560" s="1034"/>
      <c r="O2560" s="1064"/>
      <c r="P2560" s="1035"/>
      <c r="Q2560" s="1036"/>
      <c r="R2560" s="1038" t="s">
        <v>8305</v>
      </c>
      <c r="S2560" s="1131" t="s">
        <v>8306</v>
      </c>
      <c r="T2560" s="1036" t="s">
        <v>8307</v>
      </c>
      <c r="U2560" s="1066">
        <v>1</v>
      </c>
      <c r="V2560" s="1035" t="s">
        <v>3</v>
      </c>
      <c r="W2560" s="1039">
        <v>485</v>
      </c>
      <c r="X2560" s="1040">
        <f t="shared" si="508"/>
        <v>485</v>
      </c>
      <c r="Y2560" s="1045" t="s">
        <v>6060</v>
      </c>
      <c r="Z2560" s="1041">
        <v>239.11</v>
      </c>
      <c r="AA2560" s="1041"/>
      <c r="AB2560" s="1041">
        <f t="shared" si="526"/>
        <v>239.11</v>
      </c>
      <c r="AC2560" s="1042">
        <f t="shared" si="527"/>
        <v>239.11</v>
      </c>
      <c r="AD2560" s="1043">
        <v>32000</v>
      </c>
      <c r="AE2560" s="1044"/>
      <c r="AF2560" s="1045"/>
      <c r="AG2560" s="1046"/>
      <c r="AH2560" s="1045"/>
      <c r="AI2560" s="1047"/>
      <c r="AJ2560" s="1038"/>
      <c r="AK2560" s="1048"/>
      <c r="AL2560" s="1036"/>
      <c r="AM2560" s="1036"/>
      <c r="AN2560" s="1037"/>
      <c r="AO2560" s="1037"/>
      <c r="AP2560" s="1034"/>
      <c r="AQ2560" s="1035"/>
      <c r="AR2560" s="1034"/>
      <c r="AS2560" s="1035"/>
      <c r="AT2560" s="1035"/>
      <c r="AU2560" s="1035"/>
      <c r="AV2560" s="1038"/>
      <c r="AW2560" s="1050"/>
      <c r="AX2560" s="1051"/>
      <c r="AY2560" s="1036"/>
      <c r="AZ2560" s="1035"/>
      <c r="BA2560" s="1035"/>
      <c r="BB2560" s="1052"/>
      <c r="BC2560" s="1053"/>
      <c r="BD2560" s="1049"/>
      <c r="BE2560" s="1054"/>
      <c r="BF2560" s="1055"/>
      <c r="BG2560" s="1055"/>
      <c r="BH2560" s="1055"/>
      <c r="BI2560" s="1055"/>
      <c r="BJ2560" s="1055"/>
      <c r="BK2560" s="1055"/>
      <c r="BL2560" s="1055"/>
      <c r="BM2560" s="1055"/>
      <c r="BN2560" s="1055"/>
      <c r="BO2560" s="1056"/>
      <c r="BP2560" s="1056"/>
      <c r="BQ2560" s="1056"/>
      <c r="BR2560" s="1056"/>
      <c r="BS2560" s="1056"/>
      <c r="BT2560" s="1056"/>
      <c r="BU2560" s="1056"/>
      <c r="BV2560" s="1057"/>
      <c r="BW2560" s="1057"/>
      <c r="BX2560" s="1148"/>
      <c r="BY2560" s="1057"/>
      <c r="BZ2560" s="1057"/>
      <c r="CA2560" s="1057"/>
      <c r="CB2560" s="1032"/>
    </row>
    <row r="2561" spans="2:80">
      <c r="B2561" s="1033" t="s">
        <v>8184</v>
      </c>
      <c r="C2561" s="1033" t="s">
        <v>5697</v>
      </c>
      <c r="D2561" s="1033" t="s">
        <v>8195</v>
      </c>
      <c r="E2561" s="1033" t="s">
        <v>8195</v>
      </c>
      <c r="F2561" s="1034">
        <v>46185</v>
      </c>
      <c r="G2561" s="1058" t="str">
        <f t="shared" si="528"/>
        <v>CASSINA</v>
      </c>
      <c r="H2561" s="1063" t="s">
        <v>134</v>
      </c>
      <c r="I2561" s="1063"/>
      <c r="J2561" s="1034"/>
      <c r="K2561" s="1034"/>
      <c r="L2561" s="1036" t="s">
        <v>7950</v>
      </c>
      <c r="M2561" s="1037" t="s">
        <v>107</v>
      </c>
      <c r="N2561" s="1034"/>
      <c r="O2561" s="1064"/>
      <c r="P2561" s="1035"/>
      <c r="Q2561" s="1036"/>
      <c r="R2561" s="1038" t="s">
        <v>8308</v>
      </c>
      <c r="S2561" s="1131" t="s">
        <v>8309</v>
      </c>
      <c r="T2561" s="1036" t="s">
        <v>8310</v>
      </c>
      <c r="U2561" s="1066">
        <v>1</v>
      </c>
      <c r="V2561" s="1035" t="s">
        <v>3</v>
      </c>
      <c r="W2561" s="1039">
        <v>485</v>
      </c>
      <c r="X2561" s="1040">
        <f t="shared" si="508"/>
        <v>485</v>
      </c>
      <c r="Y2561" s="1045" t="s">
        <v>6060</v>
      </c>
      <c r="Z2561" s="1041">
        <v>239.11</v>
      </c>
      <c r="AA2561" s="1041"/>
      <c r="AB2561" s="1041">
        <f t="shared" si="526"/>
        <v>239.11</v>
      </c>
      <c r="AC2561" s="1042">
        <f t="shared" si="527"/>
        <v>239.11</v>
      </c>
      <c r="AD2561" s="1043">
        <v>32000</v>
      </c>
      <c r="AE2561" s="1044"/>
      <c r="AF2561" s="1045"/>
      <c r="AG2561" s="1046"/>
      <c r="AH2561" s="1045"/>
      <c r="AI2561" s="1047"/>
      <c r="AJ2561" s="1038"/>
      <c r="AK2561" s="1048"/>
      <c r="AL2561" s="1036"/>
      <c r="AM2561" s="1036"/>
      <c r="AN2561" s="1037"/>
      <c r="AO2561" s="1037"/>
      <c r="AP2561" s="1034"/>
      <c r="AQ2561" s="1035"/>
      <c r="AR2561" s="1034"/>
      <c r="AS2561" s="1035"/>
      <c r="AT2561" s="1035"/>
      <c r="AU2561" s="1035"/>
      <c r="AV2561" s="1038"/>
      <c r="AW2561" s="1050"/>
      <c r="AX2561" s="1051"/>
      <c r="AY2561" s="1036"/>
      <c r="AZ2561" s="1035"/>
      <c r="BA2561" s="1035"/>
      <c r="BB2561" s="1052"/>
      <c r="BC2561" s="1053"/>
      <c r="BD2561" s="1049"/>
      <c r="BE2561" s="1054"/>
      <c r="BF2561" s="1055"/>
      <c r="BG2561" s="1055"/>
      <c r="BH2561" s="1055"/>
      <c r="BI2561" s="1055"/>
      <c r="BJ2561" s="1055"/>
      <c r="BK2561" s="1055"/>
      <c r="BL2561" s="1055"/>
      <c r="BM2561" s="1055"/>
      <c r="BN2561" s="1055"/>
      <c r="BO2561" s="1056"/>
      <c r="BP2561" s="1056"/>
      <c r="BQ2561" s="1056"/>
      <c r="BR2561" s="1056"/>
      <c r="BS2561" s="1056"/>
      <c r="BT2561" s="1056"/>
      <c r="BU2561" s="1056"/>
      <c r="BV2561" s="1057"/>
      <c r="BW2561" s="1057"/>
      <c r="BX2561" s="1148"/>
      <c r="BY2561" s="1057"/>
      <c r="BZ2561" s="1057"/>
      <c r="CA2561" s="1057"/>
      <c r="CB2561" s="1032"/>
    </row>
    <row r="2562" spans="2:80">
      <c r="B2562" s="1033" t="s">
        <v>8184</v>
      </c>
      <c r="C2562" s="1033" t="s">
        <v>5697</v>
      </c>
      <c r="D2562" s="1033" t="s">
        <v>8195</v>
      </c>
      <c r="E2562" s="1033" t="s">
        <v>8195</v>
      </c>
      <c r="F2562" s="1034">
        <v>46185</v>
      </c>
      <c r="G2562" s="1058" t="str">
        <f t="shared" si="528"/>
        <v>CASSINA</v>
      </c>
      <c r="H2562" s="1063" t="s">
        <v>134</v>
      </c>
      <c r="I2562" s="1063"/>
      <c r="J2562" s="1034"/>
      <c r="K2562" s="1034"/>
      <c r="L2562" s="1036" t="s">
        <v>7950</v>
      </c>
      <c r="M2562" s="1037" t="s">
        <v>107</v>
      </c>
      <c r="N2562" s="1034"/>
      <c r="O2562" s="1064"/>
      <c r="P2562" s="1035"/>
      <c r="Q2562" s="1036"/>
      <c r="R2562" s="1038" t="s">
        <v>8311</v>
      </c>
      <c r="S2562" s="1131" t="s">
        <v>8312</v>
      </c>
      <c r="T2562" s="1036" t="s">
        <v>8313</v>
      </c>
      <c r="U2562" s="1066">
        <v>1</v>
      </c>
      <c r="V2562" s="1035" t="s">
        <v>3</v>
      </c>
      <c r="W2562" s="1039">
        <v>730</v>
      </c>
      <c r="X2562" s="1040">
        <f t="shared" si="508"/>
        <v>730</v>
      </c>
      <c r="Y2562" s="1045" t="s">
        <v>6060</v>
      </c>
      <c r="Z2562" s="1041">
        <v>359.89</v>
      </c>
      <c r="AA2562" s="1041"/>
      <c r="AB2562" s="1041">
        <f t="shared" si="526"/>
        <v>359.89</v>
      </c>
      <c r="AC2562" s="1042">
        <f t="shared" si="527"/>
        <v>359.89</v>
      </c>
      <c r="AD2562" s="1043">
        <v>32000</v>
      </c>
      <c r="AE2562" s="1044"/>
      <c r="AF2562" s="1045"/>
      <c r="AG2562" s="1046"/>
      <c r="AH2562" s="1045"/>
      <c r="AI2562" s="1047"/>
      <c r="AJ2562" s="1038"/>
      <c r="AK2562" s="1048"/>
      <c r="AL2562" s="1036"/>
      <c r="AM2562" s="1036"/>
      <c r="AN2562" s="1037"/>
      <c r="AO2562" s="1037"/>
      <c r="AP2562" s="1034"/>
      <c r="AQ2562" s="1035"/>
      <c r="AR2562" s="1034"/>
      <c r="AS2562" s="1035"/>
      <c r="AT2562" s="1035"/>
      <c r="AU2562" s="1035"/>
      <c r="AV2562" s="1038"/>
      <c r="AW2562" s="1050"/>
      <c r="AX2562" s="1051"/>
      <c r="AY2562" s="1036"/>
      <c r="AZ2562" s="1035"/>
      <c r="BA2562" s="1035"/>
      <c r="BB2562" s="1052"/>
      <c r="BC2562" s="1053"/>
      <c r="BD2562" s="1049"/>
      <c r="BE2562" s="1054"/>
      <c r="BF2562" s="1055"/>
      <c r="BG2562" s="1055"/>
      <c r="BH2562" s="1055"/>
      <c r="BI2562" s="1055"/>
      <c r="BJ2562" s="1055"/>
      <c r="BK2562" s="1055"/>
      <c r="BL2562" s="1055"/>
      <c r="BM2562" s="1055"/>
      <c r="BN2562" s="1055"/>
      <c r="BO2562" s="1056"/>
      <c r="BP2562" s="1056"/>
      <c r="BQ2562" s="1056"/>
      <c r="BR2562" s="1056"/>
      <c r="BS2562" s="1056"/>
      <c r="BT2562" s="1056"/>
      <c r="BU2562" s="1056"/>
      <c r="BV2562" s="1057"/>
      <c r="BW2562" s="1057"/>
      <c r="BX2562" s="1148"/>
      <c r="BY2562" s="1057"/>
      <c r="BZ2562" s="1057"/>
      <c r="CA2562" s="1057"/>
      <c r="CB2562" s="1032"/>
    </row>
    <row r="2563" spans="2:80">
      <c r="B2563" s="1033" t="s">
        <v>8184</v>
      </c>
      <c r="C2563" s="1033" t="s">
        <v>5697</v>
      </c>
      <c r="D2563" s="1033" t="s">
        <v>8195</v>
      </c>
      <c r="E2563" s="1033" t="s">
        <v>8195</v>
      </c>
      <c r="F2563" s="1034">
        <v>46185</v>
      </c>
      <c r="G2563" s="1058" t="str">
        <f t="shared" si="528"/>
        <v>CASSINA</v>
      </c>
      <c r="H2563" s="1063" t="s">
        <v>134</v>
      </c>
      <c r="I2563" s="1063"/>
      <c r="J2563" s="1034"/>
      <c r="K2563" s="1034"/>
      <c r="L2563" s="1036" t="s">
        <v>7950</v>
      </c>
      <c r="M2563" s="1037" t="s">
        <v>107</v>
      </c>
      <c r="N2563" s="1034"/>
      <c r="O2563" s="1064"/>
      <c r="P2563" s="1035"/>
      <c r="Q2563" s="1036"/>
      <c r="R2563" s="1038" t="s">
        <v>8314</v>
      </c>
      <c r="S2563" s="1131" t="s">
        <v>8315</v>
      </c>
      <c r="T2563" s="1036" t="s">
        <v>8316</v>
      </c>
      <c r="U2563" s="1066">
        <v>1</v>
      </c>
      <c r="V2563" s="1035" t="s">
        <v>3</v>
      </c>
      <c r="W2563" s="1039">
        <v>730</v>
      </c>
      <c r="X2563" s="1040">
        <f t="shared" si="508"/>
        <v>730</v>
      </c>
      <c r="Y2563" s="1045" t="s">
        <v>6060</v>
      </c>
      <c r="Z2563" s="1041">
        <v>359.89</v>
      </c>
      <c r="AA2563" s="1041"/>
      <c r="AB2563" s="1041">
        <f t="shared" si="526"/>
        <v>359.89</v>
      </c>
      <c r="AC2563" s="1042">
        <f t="shared" si="527"/>
        <v>359.89</v>
      </c>
      <c r="AD2563" s="1043">
        <v>32000</v>
      </c>
      <c r="AE2563" s="1044"/>
      <c r="AF2563" s="1045"/>
      <c r="AG2563" s="1046"/>
      <c r="AH2563" s="1045"/>
      <c r="AI2563" s="1047"/>
      <c r="AJ2563" s="1038"/>
      <c r="AK2563" s="1048"/>
      <c r="AL2563" s="1036"/>
      <c r="AM2563" s="1036"/>
      <c r="AN2563" s="1037"/>
      <c r="AO2563" s="1037"/>
      <c r="AP2563" s="1034"/>
      <c r="AQ2563" s="1035"/>
      <c r="AR2563" s="1034"/>
      <c r="AS2563" s="1035"/>
      <c r="AT2563" s="1035"/>
      <c r="AU2563" s="1035"/>
      <c r="AV2563" s="1038"/>
      <c r="AW2563" s="1050"/>
      <c r="AX2563" s="1051"/>
      <c r="AY2563" s="1036"/>
      <c r="AZ2563" s="1035"/>
      <c r="BA2563" s="1035"/>
      <c r="BB2563" s="1052"/>
      <c r="BC2563" s="1053"/>
      <c r="BD2563" s="1049"/>
      <c r="BE2563" s="1054"/>
      <c r="BF2563" s="1055"/>
      <c r="BG2563" s="1055"/>
      <c r="BH2563" s="1055"/>
      <c r="BI2563" s="1055"/>
      <c r="BJ2563" s="1055"/>
      <c r="BK2563" s="1055"/>
      <c r="BL2563" s="1055"/>
      <c r="BM2563" s="1055"/>
      <c r="BN2563" s="1055"/>
      <c r="BO2563" s="1056"/>
      <c r="BP2563" s="1056"/>
      <c r="BQ2563" s="1056"/>
      <c r="BR2563" s="1056"/>
      <c r="BS2563" s="1056"/>
      <c r="BT2563" s="1056"/>
      <c r="BU2563" s="1056"/>
      <c r="BV2563" s="1057"/>
      <c r="BW2563" s="1057"/>
      <c r="BX2563" s="1148"/>
      <c r="BY2563" s="1057"/>
      <c r="BZ2563" s="1057"/>
      <c r="CA2563" s="1057"/>
      <c r="CB2563" s="1032"/>
    </row>
    <row r="2564" spans="2:80">
      <c r="B2564" s="1033" t="s">
        <v>8184</v>
      </c>
      <c r="C2564" s="1033" t="s">
        <v>5697</v>
      </c>
      <c r="D2564" s="1033" t="s">
        <v>8195</v>
      </c>
      <c r="E2564" s="1033" t="s">
        <v>8195</v>
      </c>
      <c r="F2564" s="1034">
        <v>46185</v>
      </c>
      <c r="G2564" s="1058" t="str">
        <f t="shared" si="528"/>
        <v>CASSINA</v>
      </c>
      <c r="H2564" s="1063" t="s">
        <v>134</v>
      </c>
      <c r="I2564" s="1063"/>
      <c r="J2564" s="1034"/>
      <c r="K2564" s="1034"/>
      <c r="L2564" s="1036" t="s">
        <v>7950</v>
      </c>
      <c r="M2564" s="1037" t="s">
        <v>107</v>
      </c>
      <c r="N2564" s="1034"/>
      <c r="O2564" s="1064"/>
      <c r="P2564" s="1035"/>
      <c r="Q2564" s="1036"/>
      <c r="R2564" s="1038" t="s">
        <v>8317</v>
      </c>
      <c r="S2564" s="1131" t="s">
        <v>8318</v>
      </c>
      <c r="T2564" s="1036" t="s">
        <v>8319</v>
      </c>
      <c r="U2564" s="1066">
        <v>1</v>
      </c>
      <c r="V2564" s="1035" t="s">
        <v>3</v>
      </c>
      <c r="W2564" s="1039">
        <v>800</v>
      </c>
      <c r="X2564" s="1040">
        <f t="shared" si="508"/>
        <v>800</v>
      </c>
      <c r="Y2564" s="1045" t="s">
        <v>6060</v>
      </c>
      <c r="Z2564" s="1041">
        <v>394.4</v>
      </c>
      <c r="AA2564" s="1041"/>
      <c r="AB2564" s="1041">
        <f t="shared" si="526"/>
        <v>394.4</v>
      </c>
      <c r="AC2564" s="1042">
        <f t="shared" si="527"/>
        <v>394.4</v>
      </c>
      <c r="AD2564" s="1043">
        <v>32000</v>
      </c>
      <c r="AE2564" s="1044"/>
      <c r="AF2564" s="1045"/>
      <c r="AG2564" s="1046"/>
      <c r="AH2564" s="1045"/>
      <c r="AI2564" s="1047"/>
      <c r="AJ2564" s="1038"/>
      <c r="AK2564" s="1048"/>
      <c r="AL2564" s="1036"/>
      <c r="AM2564" s="1036"/>
      <c r="AN2564" s="1037"/>
      <c r="AO2564" s="1037"/>
      <c r="AP2564" s="1034"/>
      <c r="AQ2564" s="1035"/>
      <c r="AR2564" s="1034"/>
      <c r="AS2564" s="1035"/>
      <c r="AT2564" s="1035"/>
      <c r="AU2564" s="1035"/>
      <c r="AV2564" s="1038"/>
      <c r="AW2564" s="1050"/>
      <c r="AX2564" s="1051"/>
      <c r="AY2564" s="1036"/>
      <c r="AZ2564" s="1035"/>
      <c r="BA2564" s="1035"/>
      <c r="BB2564" s="1052"/>
      <c r="BC2564" s="1053"/>
      <c r="BD2564" s="1049"/>
      <c r="BE2564" s="1054"/>
      <c r="BF2564" s="1055"/>
      <c r="BG2564" s="1055"/>
      <c r="BH2564" s="1055"/>
      <c r="BI2564" s="1055"/>
      <c r="BJ2564" s="1055"/>
      <c r="BK2564" s="1055"/>
      <c r="BL2564" s="1055"/>
      <c r="BM2564" s="1055"/>
      <c r="BN2564" s="1055"/>
      <c r="BO2564" s="1056"/>
      <c r="BP2564" s="1056"/>
      <c r="BQ2564" s="1056"/>
      <c r="BR2564" s="1056"/>
      <c r="BS2564" s="1056"/>
      <c r="BT2564" s="1056"/>
      <c r="BU2564" s="1056"/>
      <c r="BV2564" s="1057"/>
      <c r="BW2564" s="1057"/>
      <c r="BX2564" s="1148"/>
      <c r="BY2564" s="1057"/>
      <c r="BZ2564" s="1057"/>
      <c r="CA2564" s="1057"/>
      <c r="CB2564" s="1032"/>
    </row>
    <row r="2565" spans="2:80">
      <c r="B2565" s="1033" t="s">
        <v>8184</v>
      </c>
      <c r="C2565" s="1033" t="s">
        <v>5697</v>
      </c>
      <c r="D2565" s="1033" t="s">
        <v>8195</v>
      </c>
      <c r="E2565" s="1033" t="s">
        <v>8195</v>
      </c>
      <c r="F2565" s="1034">
        <v>46185</v>
      </c>
      <c r="G2565" s="1058" t="str">
        <f t="shared" si="528"/>
        <v>CASSINA</v>
      </c>
      <c r="H2565" s="1063" t="s">
        <v>134</v>
      </c>
      <c r="I2565" s="1063"/>
      <c r="J2565" s="1034"/>
      <c r="K2565" s="1034"/>
      <c r="L2565" s="1036" t="s">
        <v>7950</v>
      </c>
      <c r="M2565" s="1037" t="s">
        <v>107</v>
      </c>
      <c r="N2565" s="1034"/>
      <c r="O2565" s="1064"/>
      <c r="P2565" s="1035"/>
      <c r="Q2565" s="1036"/>
      <c r="R2565" s="1038" t="s">
        <v>8320</v>
      </c>
      <c r="S2565" s="1131" t="s">
        <v>8321</v>
      </c>
      <c r="T2565" s="1036" t="s">
        <v>8322</v>
      </c>
      <c r="U2565" s="1066">
        <v>1</v>
      </c>
      <c r="V2565" s="1035" t="s">
        <v>3</v>
      </c>
      <c r="W2565" s="1039">
        <v>800</v>
      </c>
      <c r="X2565" s="1040">
        <f t="shared" si="508"/>
        <v>800</v>
      </c>
      <c r="Y2565" s="1045" t="s">
        <v>6060</v>
      </c>
      <c r="Z2565" s="1041">
        <v>394.4</v>
      </c>
      <c r="AA2565" s="1041"/>
      <c r="AB2565" s="1041">
        <f t="shared" si="526"/>
        <v>394.4</v>
      </c>
      <c r="AC2565" s="1042">
        <f t="shared" si="527"/>
        <v>394.4</v>
      </c>
      <c r="AD2565" s="1043">
        <v>32000</v>
      </c>
      <c r="AE2565" s="1044"/>
      <c r="AF2565" s="1045"/>
      <c r="AG2565" s="1046"/>
      <c r="AH2565" s="1045"/>
      <c r="AI2565" s="1047"/>
      <c r="AJ2565" s="1038"/>
      <c r="AK2565" s="1048"/>
      <c r="AL2565" s="1036"/>
      <c r="AM2565" s="1036"/>
      <c r="AN2565" s="1037"/>
      <c r="AO2565" s="1037"/>
      <c r="AP2565" s="1034"/>
      <c r="AQ2565" s="1035"/>
      <c r="AR2565" s="1034"/>
      <c r="AS2565" s="1035"/>
      <c r="AT2565" s="1035"/>
      <c r="AU2565" s="1035"/>
      <c r="AV2565" s="1038"/>
      <c r="AW2565" s="1050"/>
      <c r="AX2565" s="1051"/>
      <c r="AY2565" s="1036"/>
      <c r="AZ2565" s="1035"/>
      <c r="BA2565" s="1035"/>
      <c r="BB2565" s="1052"/>
      <c r="BC2565" s="1053"/>
      <c r="BD2565" s="1049"/>
      <c r="BE2565" s="1054"/>
      <c r="BF2565" s="1055"/>
      <c r="BG2565" s="1055"/>
      <c r="BH2565" s="1055"/>
      <c r="BI2565" s="1055"/>
      <c r="BJ2565" s="1055"/>
      <c r="BK2565" s="1055"/>
      <c r="BL2565" s="1055"/>
      <c r="BM2565" s="1055"/>
      <c r="BN2565" s="1055"/>
      <c r="BO2565" s="1056"/>
      <c r="BP2565" s="1056"/>
      <c r="BQ2565" s="1056"/>
      <c r="BR2565" s="1056"/>
      <c r="BS2565" s="1056"/>
      <c r="BT2565" s="1056"/>
      <c r="BU2565" s="1056"/>
      <c r="BV2565" s="1057"/>
      <c r="BW2565" s="1057"/>
      <c r="BX2565" s="1148"/>
      <c r="BY2565" s="1057"/>
      <c r="BZ2565" s="1057"/>
      <c r="CA2565" s="1057"/>
      <c r="CB2565" s="1032"/>
    </row>
    <row r="2566" spans="2:80">
      <c r="B2566" s="1033" t="s">
        <v>8184</v>
      </c>
      <c r="C2566" s="1033" t="s">
        <v>5697</v>
      </c>
      <c r="D2566" s="1033" t="s">
        <v>8195</v>
      </c>
      <c r="E2566" s="1033" t="s">
        <v>8195</v>
      </c>
      <c r="F2566" s="1034">
        <v>46185</v>
      </c>
      <c r="G2566" s="1058" t="str">
        <f t="shared" si="528"/>
        <v>CASSINA</v>
      </c>
      <c r="H2566" s="1063" t="s">
        <v>134</v>
      </c>
      <c r="I2566" s="1063"/>
      <c r="J2566" s="1034"/>
      <c r="K2566" s="1034"/>
      <c r="L2566" s="1036" t="s">
        <v>7950</v>
      </c>
      <c r="M2566" s="1037" t="s">
        <v>107</v>
      </c>
      <c r="N2566" s="1034"/>
      <c r="O2566" s="1064"/>
      <c r="P2566" s="1035"/>
      <c r="Q2566" s="1036"/>
      <c r="R2566" s="1038" t="s">
        <v>8323</v>
      </c>
      <c r="S2566" s="1131" t="s">
        <v>8324</v>
      </c>
      <c r="T2566" s="1036" t="s">
        <v>8325</v>
      </c>
      <c r="U2566" s="1066">
        <v>1</v>
      </c>
      <c r="V2566" s="1035" t="s">
        <v>3</v>
      </c>
      <c r="W2566" s="1039">
        <v>800</v>
      </c>
      <c r="X2566" s="1040">
        <f t="shared" si="508"/>
        <v>800</v>
      </c>
      <c r="Y2566" s="1045" t="s">
        <v>6060</v>
      </c>
      <c r="Z2566" s="1041">
        <v>394.4</v>
      </c>
      <c r="AA2566" s="1041"/>
      <c r="AB2566" s="1041">
        <f t="shared" si="526"/>
        <v>394.4</v>
      </c>
      <c r="AC2566" s="1042">
        <f t="shared" si="527"/>
        <v>394.4</v>
      </c>
      <c r="AD2566" s="1043">
        <v>32000</v>
      </c>
      <c r="AE2566" s="1044"/>
      <c r="AF2566" s="1045"/>
      <c r="AG2566" s="1046"/>
      <c r="AH2566" s="1045"/>
      <c r="AI2566" s="1047"/>
      <c r="AJ2566" s="1038"/>
      <c r="AK2566" s="1048"/>
      <c r="AL2566" s="1036"/>
      <c r="AM2566" s="1036"/>
      <c r="AN2566" s="1037"/>
      <c r="AO2566" s="1037"/>
      <c r="AP2566" s="1034"/>
      <c r="AQ2566" s="1035"/>
      <c r="AR2566" s="1034"/>
      <c r="AS2566" s="1035"/>
      <c r="AT2566" s="1035"/>
      <c r="AU2566" s="1035"/>
      <c r="AV2566" s="1038"/>
      <c r="AW2566" s="1050"/>
      <c r="AX2566" s="1051"/>
      <c r="AY2566" s="1036"/>
      <c r="AZ2566" s="1035"/>
      <c r="BA2566" s="1035"/>
      <c r="BB2566" s="1052"/>
      <c r="BC2566" s="1053"/>
      <c r="BD2566" s="1049"/>
      <c r="BE2566" s="1054"/>
      <c r="BF2566" s="1055"/>
      <c r="BG2566" s="1055"/>
      <c r="BH2566" s="1055"/>
      <c r="BI2566" s="1055"/>
      <c r="BJ2566" s="1055"/>
      <c r="BK2566" s="1055"/>
      <c r="BL2566" s="1055"/>
      <c r="BM2566" s="1055"/>
      <c r="BN2566" s="1055"/>
      <c r="BO2566" s="1056"/>
      <c r="BP2566" s="1056"/>
      <c r="BQ2566" s="1056"/>
      <c r="BR2566" s="1056"/>
      <c r="BS2566" s="1056"/>
      <c r="BT2566" s="1056"/>
      <c r="BU2566" s="1056"/>
      <c r="BV2566" s="1057"/>
      <c r="BW2566" s="1057"/>
      <c r="BX2566" s="1148"/>
      <c r="BY2566" s="1057"/>
      <c r="BZ2566" s="1057"/>
      <c r="CA2566" s="1057"/>
      <c r="CB2566" s="1032"/>
    </row>
    <row r="2567" spans="2:80">
      <c r="B2567" s="1033" t="s">
        <v>8184</v>
      </c>
      <c r="C2567" s="1033" t="s">
        <v>5697</v>
      </c>
      <c r="D2567" s="1033" t="s">
        <v>8195</v>
      </c>
      <c r="E2567" s="1033" t="s">
        <v>8195</v>
      </c>
      <c r="F2567" s="1034">
        <v>46185</v>
      </c>
      <c r="G2567" s="1058" t="str">
        <f t="shared" si="528"/>
        <v>CASSINA</v>
      </c>
      <c r="H2567" s="1063" t="s">
        <v>134</v>
      </c>
      <c r="I2567" s="1063"/>
      <c r="J2567" s="1034"/>
      <c r="K2567" s="1034"/>
      <c r="L2567" s="1036" t="s">
        <v>7950</v>
      </c>
      <c r="M2567" s="1037" t="s">
        <v>107</v>
      </c>
      <c r="N2567" s="1034"/>
      <c r="O2567" s="1064"/>
      <c r="P2567" s="1035"/>
      <c r="Q2567" s="1036"/>
      <c r="R2567" s="1038" t="s">
        <v>8173</v>
      </c>
      <c r="S2567" s="1131" t="s">
        <v>7346</v>
      </c>
      <c r="T2567" s="1036" t="s">
        <v>8326</v>
      </c>
      <c r="U2567" s="1066">
        <v>2</v>
      </c>
      <c r="V2567" s="1035" t="s">
        <v>3</v>
      </c>
      <c r="W2567" s="1039">
        <v>2050</v>
      </c>
      <c r="X2567" s="1040">
        <f t="shared" si="508"/>
        <v>4100</v>
      </c>
      <c r="Y2567" s="1045" t="s">
        <v>6060</v>
      </c>
      <c r="Z2567" s="1041">
        <v>1010.65</v>
      </c>
      <c r="AA2567" s="1041"/>
      <c r="AB2567" s="1041">
        <f t="shared" si="526"/>
        <v>2021.3</v>
      </c>
      <c r="AC2567" s="1042">
        <f t="shared" si="527"/>
        <v>2021.3</v>
      </c>
      <c r="AD2567" s="1043">
        <v>32000</v>
      </c>
      <c r="AE2567" s="1044"/>
      <c r="AF2567" s="1045"/>
      <c r="AG2567" s="1046"/>
      <c r="AH2567" s="1045"/>
      <c r="AI2567" s="1047"/>
      <c r="AJ2567" s="1038"/>
      <c r="AK2567" s="1048"/>
      <c r="AL2567" s="1036"/>
      <c r="AM2567" s="1036"/>
      <c r="AN2567" s="1037"/>
      <c r="AO2567" s="1037"/>
      <c r="AP2567" s="1034"/>
      <c r="AQ2567" s="1035"/>
      <c r="AR2567" s="1034"/>
      <c r="AS2567" s="1035"/>
      <c r="AT2567" s="1035"/>
      <c r="AU2567" s="1035"/>
      <c r="AV2567" s="1038"/>
      <c r="AW2567" s="1050"/>
      <c r="AX2567" s="1051"/>
      <c r="AY2567" s="1036"/>
      <c r="AZ2567" s="1035"/>
      <c r="BA2567" s="1035"/>
      <c r="BB2567" s="1052"/>
      <c r="BC2567" s="1053"/>
      <c r="BD2567" s="1049"/>
      <c r="BE2567" s="1054"/>
      <c r="BF2567" s="1055"/>
      <c r="BG2567" s="1055"/>
      <c r="BH2567" s="1055"/>
      <c r="BI2567" s="1055"/>
      <c r="BJ2567" s="1055"/>
      <c r="BK2567" s="1055"/>
      <c r="BL2567" s="1055"/>
      <c r="BM2567" s="1055"/>
      <c r="BN2567" s="1055"/>
      <c r="BO2567" s="1056"/>
      <c r="BP2567" s="1056"/>
      <c r="BQ2567" s="1056"/>
      <c r="BR2567" s="1056"/>
      <c r="BS2567" s="1056"/>
      <c r="BT2567" s="1056"/>
      <c r="BU2567" s="1056"/>
      <c r="BV2567" s="1057"/>
      <c r="BW2567" s="1057"/>
      <c r="BX2567" s="1148"/>
      <c r="BY2567" s="1057"/>
      <c r="BZ2567" s="1057"/>
      <c r="CA2567" s="1057"/>
      <c r="CB2567" s="1032"/>
    </row>
    <row r="2568" spans="2:80">
      <c r="B2568" s="1033" t="s">
        <v>8184</v>
      </c>
      <c r="C2568" s="1033" t="s">
        <v>5697</v>
      </c>
      <c r="D2568" s="1033" t="s">
        <v>8195</v>
      </c>
      <c r="E2568" s="1033" t="s">
        <v>8195</v>
      </c>
      <c r="F2568" s="1034">
        <v>46185</v>
      </c>
      <c r="G2568" s="1058" t="str">
        <f t="shared" si="528"/>
        <v>CASSINA</v>
      </c>
      <c r="H2568" s="1063" t="s">
        <v>134</v>
      </c>
      <c r="I2568" s="1063"/>
      <c r="J2568" s="1034"/>
      <c r="K2568" s="1034"/>
      <c r="L2568" s="1036" t="s">
        <v>7950</v>
      </c>
      <c r="M2568" s="1037" t="s">
        <v>107</v>
      </c>
      <c r="N2568" s="1034"/>
      <c r="O2568" s="1064"/>
      <c r="P2568" s="1035"/>
      <c r="Q2568" s="1036"/>
      <c r="R2568" s="1038" t="s">
        <v>8170</v>
      </c>
      <c r="S2568" s="1131" t="s">
        <v>7352</v>
      </c>
      <c r="T2568" s="1036" t="s">
        <v>8327</v>
      </c>
      <c r="U2568" s="1066">
        <v>2</v>
      </c>
      <c r="V2568" s="1035" t="s">
        <v>3</v>
      </c>
      <c r="W2568" s="1039">
        <v>2050</v>
      </c>
      <c r="X2568" s="1040">
        <f t="shared" si="508"/>
        <v>4100</v>
      </c>
      <c r="Y2568" s="1045" t="s">
        <v>6060</v>
      </c>
      <c r="Z2568" s="1041">
        <v>1010.65</v>
      </c>
      <c r="AA2568" s="1041"/>
      <c r="AB2568" s="1041">
        <f t="shared" si="526"/>
        <v>2021.3</v>
      </c>
      <c r="AC2568" s="1042">
        <f t="shared" si="527"/>
        <v>2021.3</v>
      </c>
      <c r="AD2568" s="1043">
        <v>32000</v>
      </c>
      <c r="AE2568" s="1044"/>
      <c r="AF2568" s="1045"/>
      <c r="AG2568" s="1046"/>
      <c r="AH2568" s="1045"/>
      <c r="AI2568" s="1047"/>
      <c r="AJ2568" s="1038"/>
      <c r="AK2568" s="1048"/>
      <c r="AL2568" s="1036"/>
      <c r="AM2568" s="1036"/>
      <c r="AN2568" s="1037"/>
      <c r="AO2568" s="1037"/>
      <c r="AP2568" s="1034"/>
      <c r="AQ2568" s="1035"/>
      <c r="AR2568" s="1034"/>
      <c r="AS2568" s="1035"/>
      <c r="AT2568" s="1035"/>
      <c r="AU2568" s="1035"/>
      <c r="AV2568" s="1038"/>
      <c r="AW2568" s="1050"/>
      <c r="AX2568" s="1051"/>
      <c r="AY2568" s="1036"/>
      <c r="AZ2568" s="1035"/>
      <c r="BA2568" s="1035"/>
      <c r="BB2568" s="1052"/>
      <c r="BC2568" s="1053"/>
      <c r="BD2568" s="1049"/>
      <c r="BE2568" s="1054"/>
      <c r="BF2568" s="1055"/>
      <c r="BG2568" s="1055"/>
      <c r="BH2568" s="1055"/>
      <c r="BI2568" s="1055"/>
      <c r="BJ2568" s="1055"/>
      <c r="BK2568" s="1055"/>
      <c r="BL2568" s="1055"/>
      <c r="BM2568" s="1055"/>
      <c r="BN2568" s="1055"/>
      <c r="BO2568" s="1056"/>
      <c r="BP2568" s="1056"/>
      <c r="BQ2568" s="1056"/>
      <c r="BR2568" s="1056"/>
      <c r="BS2568" s="1056"/>
      <c r="BT2568" s="1056"/>
      <c r="BU2568" s="1056"/>
      <c r="BV2568" s="1057"/>
      <c r="BW2568" s="1057"/>
      <c r="BX2568" s="1148"/>
      <c r="BY2568" s="1057"/>
      <c r="BZ2568" s="1057"/>
      <c r="CA2568" s="1057"/>
      <c r="CB2568" s="1032"/>
    </row>
    <row r="2569" spans="2:80">
      <c r="B2569" s="1033" t="s">
        <v>8184</v>
      </c>
      <c r="C2569" s="1033" t="s">
        <v>5697</v>
      </c>
      <c r="D2569" s="1033" t="s">
        <v>8195</v>
      </c>
      <c r="E2569" s="1033" t="s">
        <v>8195</v>
      </c>
      <c r="F2569" s="1034">
        <v>46185</v>
      </c>
      <c r="G2569" s="1058" t="str">
        <f t="shared" si="528"/>
        <v>CASSINA</v>
      </c>
      <c r="H2569" s="1063" t="s">
        <v>134</v>
      </c>
      <c r="I2569" s="1063"/>
      <c r="J2569" s="1034"/>
      <c r="K2569" s="1034"/>
      <c r="L2569" s="1036" t="s">
        <v>7950</v>
      </c>
      <c r="M2569" s="1037" t="s">
        <v>107</v>
      </c>
      <c r="N2569" s="1034"/>
      <c r="O2569" s="1064"/>
      <c r="P2569" s="1035"/>
      <c r="Q2569" s="1036"/>
      <c r="R2569" s="1038" t="s">
        <v>8328</v>
      </c>
      <c r="S2569" s="1131" t="s">
        <v>8329</v>
      </c>
      <c r="T2569" s="1036" t="s">
        <v>8330</v>
      </c>
      <c r="U2569" s="1066">
        <v>1</v>
      </c>
      <c r="V2569" s="1035" t="s">
        <v>3</v>
      </c>
      <c r="W2569" s="1039">
        <v>1605</v>
      </c>
      <c r="X2569" s="1040">
        <f t="shared" si="508"/>
        <v>1605</v>
      </c>
      <c r="Y2569" s="1045" t="s">
        <v>6060</v>
      </c>
      <c r="Z2569" s="1041">
        <v>791.27</v>
      </c>
      <c r="AA2569" s="1041"/>
      <c r="AB2569" s="1041">
        <f t="shared" si="526"/>
        <v>791.27</v>
      </c>
      <c r="AC2569" s="1042">
        <f t="shared" si="527"/>
        <v>791.27</v>
      </c>
      <c r="AD2569" s="1043">
        <v>32000</v>
      </c>
      <c r="AE2569" s="1044"/>
      <c r="AF2569" s="1045"/>
      <c r="AG2569" s="1046"/>
      <c r="AH2569" s="1045"/>
      <c r="AI2569" s="1047"/>
      <c r="AJ2569" s="1038"/>
      <c r="AK2569" s="1048"/>
      <c r="AL2569" s="1036"/>
      <c r="AM2569" s="1036"/>
      <c r="AN2569" s="1037"/>
      <c r="AO2569" s="1037"/>
      <c r="AP2569" s="1034"/>
      <c r="AQ2569" s="1035"/>
      <c r="AR2569" s="1034"/>
      <c r="AS2569" s="1035"/>
      <c r="AT2569" s="1035"/>
      <c r="AU2569" s="1035"/>
      <c r="AV2569" s="1038"/>
      <c r="AW2569" s="1050"/>
      <c r="AX2569" s="1051"/>
      <c r="AY2569" s="1036"/>
      <c r="AZ2569" s="1035"/>
      <c r="BA2569" s="1035"/>
      <c r="BB2569" s="1052"/>
      <c r="BC2569" s="1053"/>
      <c r="BD2569" s="1049"/>
      <c r="BE2569" s="1054"/>
      <c r="BF2569" s="1055"/>
      <c r="BG2569" s="1055"/>
      <c r="BH2569" s="1055"/>
      <c r="BI2569" s="1055"/>
      <c r="BJ2569" s="1055"/>
      <c r="BK2569" s="1055"/>
      <c r="BL2569" s="1055"/>
      <c r="BM2569" s="1055"/>
      <c r="BN2569" s="1055"/>
      <c r="BO2569" s="1056"/>
      <c r="BP2569" s="1056"/>
      <c r="BQ2569" s="1056"/>
      <c r="BR2569" s="1056"/>
      <c r="BS2569" s="1056"/>
      <c r="BT2569" s="1056"/>
      <c r="BU2569" s="1056"/>
      <c r="BV2569" s="1057"/>
      <c r="BW2569" s="1057"/>
      <c r="BX2569" s="1148"/>
      <c r="BY2569" s="1057"/>
      <c r="BZ2569" s="1057"/>
      <c r="CA2569" s="1057"/>
      <c r="CB2569" s="1032"/>
    </row>
    <row r="2570" spans="2:80">
      <c r="B2570" s="1033" t="s">
        <v>8184</v>
      </c>
      <c r="C2570" s="1033" t="s">
        <v>5697</v>
      </c>
      <c r="D2570" s="1033" t="s">
        <v>8195</v>
      </c>
      <c r="E2570" s="1033" t="s">
        <v>8195</v>
      </c>
      <c r="F2570" s="1034">
        <v>46185</v>
      </c>
      <c r="G2570" s="1058" t="str">
        <f t="shared" si="528"/>
        <v>CASSINA</v>
      </c>
      <c r="H2570" s="1063" t="s">
        <v>134</v>
      </c>
      <c r="I2570" s="1063"/>
      <c r="J2570" s="1034"/>
      <c r="K2570" s="1034"/>
      <c r="L2570" s="1036" t="s">
        <v>7950</v>
      </c>
      <c r="M2570" s="1037" t="s">
        <v>107</v>
      </c>
      <c r="N2570" s="1034"/>
      <c r="O2570" s="1064"/>
      <c r="P2570" s="1035"/>
      <c r="Q2570" s="1036"/>
      <c r="R2570" s="1038" t="s">
        <v>8331</v>
      </c>
      <c r="S2570" s="1131" t="s">
        <v>8332</v>
      </c>
      <c r="T2570" s="1036" t="s">
        <v>8333</v>
      </c>
      <c r="U2570" s="1066">
        <v>1</v>
      </c>
      <c r="V2570" s="1035" t="s">
        <v>3</v>
      </c>
      <c r="W2570" s="1039">
        <v>1890</v>
      </c>
      <c r="X2570" s="1040">
        <f t="shared" si="508"/>
        <v>1890</v>
      </c>
      <c r="Y2570" s="1045" t="s">
        <v>6060</v>
      </c>
      <c r="Z2570" s="1041">
        <v>931.77</v>
      </c>
      <c r="AA2570" s="1041"/>
      <c r="AB2570" s="1041">
        <f t="shared" si="526"/>
        <v>931.77</v>
      </c>
      <c r="AC2570" s="1042">
        <f t="shared" si="527"/>
        <v>931.77</v>
      </c>
      <c r="AD2570" s="1043">
        <v>32000</v>
      </c>
      <c r="AE2570" s="1044"/>
      <c r="AF2570" s="1045"/>
      <c r="AG2570" s="1046"/>
      <c r="AH2570" s="1045"/>
      <c r="AI2570" s="1047"/>
      <c r="AJ2570" s="1038"/>
      <c r="AK2570" s="1048"/>
      <c r="AL2570" s="1036"/>
      <c r="AM2570" s="1036"/>
      <c r="AN2570" s="1037"/>
      <c r="AO2570" s="1037"/>
      <c r="AP2570" s="1034"/>
      <c r="AQ2570" s="1035"/>
      <c r="AR2570" s="1034"/>
      <c r="AS2570" s="1035"/>
      <c r="AT2570" s="1035"/>
      <c r="AU2570" s="1035"/>
      <c r="AV2570" s="1038"/>
      <c r="AW2570" s="1050"/>
      <c r="AX2570" s="1051"/>
      <c r="AY2570" s="1036"/>
      <c r="AZ2570" s="1035"/>
      <c r="BA2570" s="1035"/>
      <c r="BB2570" s="1052"/>
      <c r="BC2570" s="1053"/>
      <c r="BD2570" s="1049"/>
      <c r="BE2570" s="1054"/>
      <c r="BF2570" s="1055"/>
      <c r="BG2570" s="1055"/>
      <c r="BH2570" s="1055"/>
      <c r="BI2570" s="1055"/>
      <c r="BJ2570" s="1055"/>
      <c r="BK2570" s="1055"/>
      <c r="BL2570" s="1055"/>
      <c r="BM2570" s="1055"/>
      <c r="BN2570" s="1055"/>
      <c r="BO2570" s="1056"/>
      <c r="BP2570" s="1056"/>
      <c r="BQ2570" s="1056"/>
      <c r="BR2570" s="1056"/>
      <c r="BS2570" s="1056"/>
      <c r="BT2570" s="1056"/>
      <c r="BU2570" s="1056"/>
      <c r="BV2570" s="1057"/>
      <c r="BW2570" s="1057"/>
      <c r="BX2570" s="1148"/>
      <c r="BY2570" s="1057"/>
      <c r="BZ2570" s="1057"/>
      <c r="CA2570" s="1057"/>
      <c r="CB2570" s="1032"/>
    </row>
    <row r="2571" spans="2:80">
      <c r="B2571" s="1033" t="s">
        <v>8184</v>
      </c>
      <c r="C2571" s="1033" t="s">
        <v>5697</v>
      </c>
      <c r="D2571" s="1033" t="s">
        <v>8195</v>
      </c>
      <c r="E2571" s="1033" t="s">
        <v>8195</v>
      </c>
      <c r="F2571" s="1034">
        <v>46185</v>
      </c>
      <c r="G2571" s="1058" t="str">
        <f t="shared" si="528"/>
        <v>CASSINA</v>
      </c>
      <c r="H2571" s="1063" t="s">
        <v>134</v>
      </c>
      <c r="I2571" s="1063"/>
      <c r="J2571" s="1034"/>
      <c r="K2571" s="1034"/>
      <c r="L2571" s="1036" t="s">
        <v>7950</v>
      </c>
      <c r="M2571" s="1037" t="s">
        <v>107</v>
      </c>
      <c r="N2571" s="1034"/>
      <c r="O2571" s="1064"/>
      <c r="P2571" s="1035"/>
      <c r="Q2571" s="1036"/>
      <c r="R2571" s="1038" t="s">
        <v>8334</v>
      </c>
      <c r="S2571" s="1131" t="s">
        <v>8335</v>
      </c>
      <c r="T2571" s="1036" t="s">
        <v>8336</v>
      </c>
      <c r="U2571" s="1066">
        <v>1</v>
      </c>
      <c r="V2571" s="1035" t="s">
        <v>3</v>
      </c>
      <c r="W2571" s="1039">
        <v>3510</v>
      </c>
      <c r="X2571" s="1040">
        <f t="shared" si="508"/>
        <v>3510</v>
      </c>
      <c r="Y2571" s="1045" t="s">
        <v>6060</v>
      </c>
      <c r="Z2571" s="1041">
        <v>1730.43</v>
      </c>
      <c r="AA2571" s="1041"/>
      <c r="AB2571" s="1041">
        <f t="shared" si="526"/>
        <v>1730.43</v>
      </c>
      <c r="AC2571" s="1042">
        <f t="shared" si="527"/>
        <v>1730.43</v>
      </c>
      <c r="AD2571" s="1043">
        <v>32000</v>
      </c>
      <c r="AE2571" s="1044"/>
      <c r="AF2571" s="1045"/>
      <c r="AG2571" s="1046"/>
      <c r="AH2571" s="1045"/>
      <c r="AI2571" s="1047"/>
      <c r="AJ2571" s="1038"/>
      <c r="AK2571" s="1048"/>
      <c r="AL2571" s="1036"/>
      <c r="AM2571" s="1036"/>
      <c r="AN2571" s="1037"/>
      <c r="AO2571" s="1037"/>
      <c r="AP2571" s="1034"/>
      <c r="AQ2571" s="1035"/>
      <c r="AR2571" s="1034"/>
      <c r="AS2571" s="1035"/>
      <c r="AT2571" s="1035"/>
      <c r="AU2571" s="1035"/>
      <c r="AV2571" s="1038"/>
      <c r="AW2571" s="1050"/>
      <c r="AX2571" s="1051"/>
      <c r="AY2571" s="1036"/>
      <c r="AZ2571" s="1035"/>
      <c r="BA2571" s="1035"/>
      <c r="BB2571" s="1052"/>
      <c r="BC2571" s="1053"/>
      <c r="BD2571" s="1049"/>
      <c r="BE2571" s="1054"/>
      <c r="BF2571" s="1055"/>
      <c r="BG2571" s="1055"/>
      <c r="BH2571" s="1055"/>
      <c r="BI2571" s="1055"/>
      <c r="BJ2571" s="1055"/>
      <c r="BK2571" s="1055"/>
      <c r="BL2571" s="1055"/>
      <c r="BM2571" s="1055"/>
      <c r="BN2571" s="1055"/>
      <c r="BO2571" s="1056"/>
      <c r="BP2571" s="1056"/>
      <c r="BQ2571" s="1056"/>
      <c r="BR2571" s="1056"/>
      <c r="BS2571" s="1056"/>
      <c r="BT2571" s="1056"/>
      <c r="BU2571" s="1056"/>
      <c r="BV2571" s="1057"/>
      <c r="BW2571" s="1057"/>
      <c r="BX2571" s="1148"/>
      <c r="BY2571" s="1057"/>
      <c r="BZ2571" s="1057"/>
      <c r="CA2571" s="1057"/>
      <c r="CB2571" s="1032"/>
    </row>
    <row r="2572" spans="2:80">
      <c r="B2572" s="1033" t="s">
        <v>8184</v>
      </c>
      <c r="C2572" s="1033" t="s">
        <v>5697</v>
      </c>
      <c r="D2572" s="1033" t="s">
        <v>8195</v>
      </c>
      <c r="E2572" s="1033" t="s">
        <v>8195</v>
      </c>
      <c r="F2572" s="1034">
        <v>46185</v>
      </c>
      <c r="G2572" s="1058" t="str">
        <f t="shared" si="528"/>
        <v>CASSINA</v>
      </c>
      <c r="H2572" s="1063" t="s">
        <v>134</v>
      </c>
      <c r="I2572" s="1063"/>
      <c r="J2572" s="1034"/>
      <c r="K2572" s="1034"/>
      <c r="L2572" s="1036" t="s">
        <v>7950</v>
      </c>
      <c r="M2572" s="1037" t="s">
        <v>107</v>
      </c>
      <c r="N2572" s="1034"/>
      <c r="O2572" s="1064"/>
      <c r="P2572" s="1035"/>
      <c r="Q2572" s="1036"/>
      <c r="R2572" s="1038" t="s">
        <v>8337</v>
      </c>
      <c r="S2572" s="1131" t="s">
        <v>8338</v>
      </c>
      <c r="T2572" s="1036" t="s">
        <v>8339</v>
      </c>
      <c r="U2572" s="1066">
        <v>1</v>
      </c>
      <c r="V2572" s="1035" t="s">
        <v>3</v>
      </c>
      <c r="W2572" s="1039">
        <v>4500</v>
      </c>
      <c r="X2572" s="1040">
        <f t="shared" si="508"/>
        <v>4500</v>
      </c>
      <c r="Y2572" s="1045" t="s">
        <v>6060</v>
      </c>
      <c r="Z2572" s="1041">
        <v>2218.5</v>
      </c>
      <c r="AA2572" s="1041"/>
      <c r="AB2572" s="1041">
        <f t="shared" ref="AB2572:AB2587" si="529">IF(AA2572="F.O.C", 0, Z2572*U2572)</f>
        <v>2218.5</v>
      </c>
      <c r="AC2572" s="1042">
        <f t="shared" ref="AC2572:AC2587" si="530">Z2572*U2572</f>
        <v>2218.5</v>
      </c>
      <c r="AD2572" s="1043">
        <v>32000</v>
      </c>
      <c r="AE2572" s="1044"/>
      <c r="AF2572" s="1045"/>
      <c r="AG2572" s="1046"/>
      <c r="AH2572" s="1045"/>
      <c r="AI2572" s="1047"/>
      <c r="AJ2572" s="1038"/>
      <c r="AK2572" s="1048"/>
      <c r="AL2572" s="1036"/>
      <c r="AM2572" s="1036"/>
      <c r="AN2572" s="1037"/>
      <c r="AO2572" s="1037"/>
      <c r="AP2572" s="1034"/>
      <c r="AQ2572" s="1035"/>
      <c r="AR2572" s="1034"/>
      <c r="AS2572" s="1035"/>
      <c r="AT2572" s="1035"/>
      <c r="AU2572" s="1035"/>
      <c r="AV2572" s="1038"/>
      <c r="AW2572" s="1050"/>
      <c r="AX2572" s="1051"/>
      <c r="AY2572" s="1036"/>
      <c r="AZ2572" s="1035"/>
      <c r="BA2572" s="1035"/>
      <c r="BB2572" s="1052"/>
      <c r="BC2572" s="1053"/>
      <c r="BD2572" s="1049"/>
      <c r="BE2572" s="1054"/>
      <c r="BF2572" s="1055"/>
      <c r="BG2572" s="1055"/>
      <c r="BH2572" s="1055"/>
      <c r="BI2572" s="1055"/>
      <c r="BJ2572" s="1055"/>
      <c r="BK2572" s="1055"/>
      <c r="BL2572" s="1055"/>
      <c r="BM2572" s="1055"/>
      <c r="BN2572" s="1055"/>
      <c r="BO2572" s="1056"/>
      <c r="BP2572" s="1056"/>
      <c r="BQ2572" s="1056"/>
      <c r="BR2572" s="1056"/>
      <c r="BS2572" s="1056"/>
      <c r="BT2572" s="1056"/>
      <c r="BU2572" s="1056"/>
      <c r="BV2572" s="1057"/>
      <c r="BW2572" s="1057"/>
      <c r="BX2572" s="1148"/>
      <c r="BY2572" s="1057"/>
      <c r="BZ2572" s="1057"/>
      <c r="CA2572" s="1057"/>
      <c r="CB2572" s="1032"/>
    </row>
    <row r="2573" spans="2:80">
      <c r="B2573" s="1033" t="s">
        <v>8184</v>
      </c>
      <c r="C2573" s="1033" t="s">
        <v>5697</v>
      </c>
      <c r="D2573" s="1033" t="s">
        <v>8195</v>
      </c>
      <c r="E2573" s="1033" t="s">
        <v>8195</v>
      </c>
      <c r="F2573" s="1034">
        <v>46185</v>
      </c>
      <c r="G2573" s="1058" t="str">
        <f t="shared" si="528"/>
        <v>CASSINA</v>
      </c>
      <c r="H2573" s="1063" t="s">
        <v>134</v>
      </c>
      <c r="I2573" s="1063"/>
      <c r="J2573" s="1034"/>
      <c r="K2573" s="1034"/>
      <c r="L2573" s="1036" t="s">
        <v>7950</v>
      </c>
      <c r="M2573" s="1037" t="s">
        <v>107</v>
      </c>
      <c r="N2573" s="1034"/>
      <c r="O2573" s="1064"/>
      <c r="P2573" s="1035"/>
      <c r="Q2573" s="1036"/>
      <c r="R2573" s="1038" t="s">
        <v>8340</v>
      </c>
      <c r="S2573" s="1131" t="s">
        <v>8341</v>
      </c>
      <c r="T2573" s="1036" t="s">
        <v>8342</v>
      </c>
      <c r="U2573" s="1066">
        <v>1</v>
      </c>
      <c r="V2573" s="1035" t="s">
        <v>3</v>
      </c>
      <c r="W2573" s="1039">
        <v>2345</v>
      </c>
      <c r="X2573" s="1040">
        <f t="shared" si="508"/>
        <v>2345</v>
      </c>
      <c r="Y2573" s="1045" t="s">
        <v>6060</v>
      </c>
      <c r="Z2573" s="1041">
        <v>1156.0899999999999</v>
      </c>
      <c r="AA2573" s="1041"/>
      <c r="AB2573" s="1041">
        <f t="shared" si="529"/>
        <v>1156.0899999999999</v>
      </c>
      <c r="AC2573" s="1042">
        <f t="shared" si="530"/>
        <v>1156.0899999999999</v>
      </c>
      <c r="AD2573" s="1043">
        <v>32000</v>
      </c>
      <c r="AE2573" s="1044"/>
      <c r="AF2573" s="1045"/>
      <c r="AG2573" s="1046"/>
      <c r="AH2573" s="1045"/>
      <c r="AI2573" s="1047"/>
      <c r="AJ2573" s="1038"/>
      <c r="AK2573" s="1048"/>
      <c r="AL2573" s="1036"/>
      <c r="AM2573" s="1036"/>
      <c r="AN2573" s="1037"/>
      <c r="AO2573" s="1037"/>
      <c r="AP2573" s="1034"/>
      <c r="AQ2573" s="1035"/>
      <c r="AR2573" s="1034"/>
      <c r="AS2573" s="1035"/>
      <c r="AT2573" s="1035"/>
      <c r="AU2573" s="1035"/>
      <c r="AV2573" s="1038"/>
      <c r="AW2573" s="1050"/>
      <c r="AX2573" s="1051"/>
      <c r="AY2573" s="1036"/>
      <c r="AZ2573" s="1035"/>
      <c r="BA2573" s="1035"/>
      <c r="BB2573" s="1052"/>
      <c r="BC2573" s="1053"/>
      <c r="BD2573" s="1049"/>
      <c r="BE2573" s="1054"/>
      <c r="BF2573" s="1055"/>
      <c r="BG2573" s="1055"/>
      <c r="BH2573" s="1055"/>
      <c r="BI2573" s="1055"/>
      <c r="BJ2573" s="1055"/>
      <c r="BK2573" s="1055"/>
      <c r="BL2573" s="1055"/>
      <c r="BM2573" s="1055"/>
      <c r="BN2573" s="1055"/>
      <c r="BO2573" s="1056"/>
      <c r="BP2573" s="1056"/>
      <c r="BQ2573" s="1056"/>
      <c r="BR2573" s="1056"/>
      <c r="BS2573" s="1056"/>
      <c r="BT2573" s="1056"/>
      <c r="BU2573" s="1056"/>
      <c r="BV2573" s="1057"/>
      <c r="BW2573" s="1057"/>
      <c r="BX2573" s="1148"/>
      <c r="BY2573" s="1057"/>
      <c r="BZ2573" s="1057"/>
      <c r="CA2573" s="1057"/>
      <c r="CB2573" s="1032"/>
    </row>
    <row r="2574" spans="2:80">
      <c r="B2574" s="1033" t="s">
        <v>8184</v>
      </c>
      <c r="C2574" s="1033" t="s">
        <v>5697</v>
      </c>
      <c r="D2574" s="1033" t="s">
        <v>8195</v>
      </c>
      <c r="E2574" s="1033" t="s">
        <v>8195</v>
      </c>
      <c r="F2574" s="1034">
        <v>46185</v>
      </c>
      <c r="G2574" s="1058" t="str">
        <f t="shared" ref="G2574:G2577" si="531">$G$2507</f>
        <v>CASSINA</v>
      </c>
      <c r="H2574" s="1063" t="s">
        <v>134</v>
      </c>
      <c r="I2574" s="1063"/>
      <c r="J2574" s="1034"/>
      <c r="K2574" s="1034"/>
      <c r="L2574" s="1036" t="s">
        <v>7950</v>
      </c>
      <c r="M2574" s="1037" t="s">
        <v>107</v>
      </c>
      <c r="N2574" s="1034"/>
      <c r="O2574" s="1064"/>
      <c r="P2574" s="1035"/>
      <c r="Q2574" s="1036"/>
      <c r="R2574" s="1038" t="s">
        <v>8343</v>
      </c>
      <c r="S2574" s="1131" t="s">
        <v>8344</v>
      </c>
      <c r="T2574" s="1036" t="s">
        <v>8345</v>
      </c>
      <c r="U2574" s="1066">
        <v>1</v>
      </c>
      <c r="V2574" s="1035" t="s">
        <v>3</v>
      </c>
      <c r="W2574" s="1039">
        <v>2790</v>
      </c>
      <c r="X2574" s="1040">
        <f t="shared" si="508"/>
        <v>2790</v>
      </c>
      <c r="Y2574" s="1045" t="s">
        <v>6060</v>
      </c>
      <c r="Z2574" s="1041">
        <v>1375.21</v>
      </c>
      <c r="AA2574" s="1041"/>
      <c r="AB2574" s="1041">
        <f t="shared" si="529"/>
        <v>1375.21</v>
      </c>
      <c r="AC2574" s="1042">
        <f t="shared" si="530"/>
        <v>1375.21</v>
      </c>
      <c r="AD2574" s="1043">
        <v>32000</v>
      </c>
      <c r="AE2574" s="1044"/>
      <c r="AF2574" s="1045"/>
      <c r="AG2574" s="1046"/>
      <c r="AH2574" s="1045"/>
      <c r="AI2574" s="1047"/>
      <c r="AJ2574" s="1038"/>
      <c r="AK2574" s="1048"/>
      <c r="AL2574" s="1036"/>
      <c r="AM2574" s="1036"/>
      <c r="AN2574" s="1037"/>
      <c r="AO2574" s="1037"/>
      <c r="AP2574" s="1034"/>
      <c r="AQ2574" s="1035"/>
      <c r="AR2574" s="1034"/>
      <c r="AS2574" s="1035"/>
      <c r="AT2574" s="1035"/>
      <c r="AU2574" s="1035"/>
      <c r="AV2574" s="1038"/>
      <c r="AW2574" s="1050"/>
      <c r="AX2574" s="1051"/>
      <c r="AY2574" s="1036"/>
      <c r="AZ2574" s="1035"/>
      <c r="BA2574" s="1035"/>
      <c r="BB2574" s="1052"/>
      <c r="BC2574" s="1053"/>
      <c r="BD2574" s="1049"/>
      <c r="BE2574" s="1054"/>
      <c r="BF2574" s="1055"/>
      <c r="BG2574" s="1055"/>
      <c r="BH2574" s="1055"/>
      <c r="BI2574" s="1055"/>
      <c r="BJ2574" s="1055"/>
      <c r="BK2574" s="1055"/>
      <c r="BL2574" s="1055"/>
      <c r="BM2574" s="1055"/>
      <c r="BN2574" s="1055"/>
      <c r="BO2574" s="1056"/>
      <c r="BP2574" s="1056"/>
      <c r="BQ2574" s="1056"/>
      <c r="BR2574" s="1056"/>
      <c r="BS2574" s="1056"/>
      <c r="BT2574" s="1056"/>
      <c r="BU2574" s="1056"/>
      <c r="BV2574" s="1057"/>
      <c r="BW2574" s="1057"/>
      <c r="BX2574" s="1148"/>
      <c r="BY2574" s="1057"/>
      <c r="BZ2574" s="1057"/>
      <c r="CA2574" s="1057"/>
      <c r="CB2574" s="1032"/>
    </row>
    <row r="2575" spans="2:80">
      <c r="B2575" s="1033" t="s">
        <v>8184</v>
      </c>
      <c r="C2575" s="1033" t="s">
        <v>5697</v>
      </c>
      <c r="D2575" s="1033" t="s">
        <v>8195</v>
      </c>
      <c r="E2575" s="1033" t="s">
        <v>8195</v>
      </c>
      <c r="F2575" s="1034">
        <v>46185</v>
      </c>
      <c r="G2575" s="1058" t="str">
        <f t="shared" si="531"/>
        <v>CASSINA</v>
      </c>
      <c r="H2575" s="1063" t="s">
        <v>134</v>
      </c>
      <c r="I2575" s="1063"/>
      <c r="J2575" s="1034"/>
      <c r="K2575" s="1034"/>
      <c r="L2575" s="1036" t="s">
        <v>7950</v>
      </c>
      <c r="M2575" s="1037" t="s">
        <v>107</v>
      </c>
      <c r="N2575" s="1034"/>
      <c r="O2575" s="1064"/>
      <c r="P2575" s="1035"/>
      <c r="Q2575" s="1036"/>
      <c r="R2575" s="1038" t="s">
        <v>8346</v>
      </c>
      <c r="S2575" s="1131" t="s">
        <v>8347</v>
      </c>
      <c r="T2575" s="1036" t="s">
        <v>8348</v>
      </c>
      <c r="U2575" s="1066">
        <v>1</v>
      </c>
      <c r="V2575" s="1035" t="s">
        <v>3</v>
      </c>
      <c r="W2575" s="1039">
        <v>1555</v>
      </c>
      <c r="X2575" s="1040">
        <f t="shared" si="508"/>
        <v>1555</v>
      </c>
      <c r="Y2575" s="1045" t="s">
        <v>6060</v>
      </c>
      <c r="Z2575" s="1041">
        <v>766.62</v>
      </c>
      <c r="AA2575" s="1041"/>
      <c r="AB2575" s="1041">
        <f t="shared" si="529"/>
        <v>766.62</v>
      </c>
      <c r="AC2575" s="1042">
        <f t="shared" si="530"/>
        <v>766.62</v>
      </c>
      <c r="AD2575" s="1043">
        <v>32000</v>
      </c>
      <c r="AE2575" s="1044"/>
      <c r="AF2575" s="1045"/>
      <c r="AG2575" s="1046"/>
      <c r="AH2575" s="1045"/>
      <c r="AI2575" s="1047"/>
      <c r="AJ2575" s="1038"/>
      <c r="AK2575" s="1048"/>
      <c r="AL2575" s="1036"/>
      <c r="AM2575" s="1036"/>
      <c r="AN2575" s="1037"/>
      <c r="AO2575" s="1037"/>
      <c r="AP2575" s="1034"/>
      <c r="AQ2575" s="1035"/>
      <c r="AR2575" s="1034"/>
      <c r="AS2575" s="1035"/>
      <c r="AT2575" s="1035"/>
      <c r="AU2575" s="1035"/>
      <c r="AV2575" s="1038"/>
      <c r="AW2575" s="1050"/>
      <c r="AX2575" s="1051"/>
      <c r="AY2575" s="1036"/>
      <c r="AZ2575" s="1035"/>
      <c r="BA2575" s="1035"/>
      <c r="BB2575" s="1052"/>
      <c r="BC2575" s="1053"/>
      <c r="BD2575" s="1049"/>
      <c r="BE2575" s="1054"/>
      <c r="BF2575" s="1055"/>
      <c r="BG2575" s="1055"/>
      <c r="BH2575" s="1055"/>
      <c r="BI2575" s="1055"/>
      <c r="BJ2575" s="1055"/>
      <c r="BK2575" s="1055"/>
      <c r="BL2575" s="1055"/>
      <c r="BM2575" s="1055"/>
      <c r="BN2575" s="1055"/>
      <c r="BO2575" s="1056"/>
      <c r="BP2575" s="1056"/>
      <c r="BQ2575" s="1056"/>
      <c r="BR2575" s="1056"/>
      <c r="BS2575" s="1056"/>
      <c r="BT2575" s="1056"/>
      <c r="BU2575" s="1056"/>
      <c r="BV2575" s="1057"/>
      <c r="BW2575" s="1057"/>
      <c r="BX2575" s="1148"/>
      <c r="BY2575" s="1057"/>
      <c r="BZ2575" s="1057"/>
      <c r="CA2575" s="1057"/>
      <c r="CB2575" s="1032"/>
    </row>
    <row r="2576" spans="2:80">
      <c r="B2576" s="1033" t="s">
        <v>8184</v>
      </c>
      <c r="C2576" s="1033" t="s">
        <v>5697</v>
      </c>
      <c r="D2576" s="1033" t="s">
        <v>8195</v>
      </c>
      <c r="E2576" s="1033" t="s">
        <v>8195</v>
      </c>
      <c r="F2576" s="1034">
        <v>46185</v>
      </c>
      <c r="G2576" s="1058" t="str">
        <f t="shared" si="531"/>
        <v>CASSINA</v>
      </c>
      <c r="H2576" s="1063" t="s">
        <v>134</v>
      </c>
      <c r="I2576" s="1063"/>
      <c r="J2576" s="1034"/>
      <c r="K2576" s="1034"/>
      <c r="L2576" s="1036" t="s">
        <v>7950</v>
      </c>
      <c r="M2576" s="1037" t="s">
        <v>107</v>
      </c>
      <c r="N2576" s="1034"/>
      <c r="O2576" s="1064"/>
      <c r="P2576" s="1035"/>
      <c r="Q2576" s="1036"/>
      <c r="R2576" s="1038" t="s">
        <v>8349</v>
      </c>
      <c r="S2576" s="1131" t="s">
        <v>8350</v>
      </c>
      <c r="T2576" s="1036" t="s">
        <v>8351</v>
      </c>
      <c r="U2576" s="1066">
        <v>1</v>
      </c>
      <c r="V2576" s="1035" t="s">
        <v>3</v>
      </c>
      <c r="W2576" s="1039">
        <v>1555</v>
      </c>
      <c r="X2576" s="1040">
        <f t="shared" si="508"/>
        <v>1555</v>
      </c>
      <c r="Y2576" s="1045" t="s">
        <v>6060</v>
      </c>
      <c r="Z2576" s="1041">
        <v>766.62</v>
      </c>
      <c r="AA2576" s="1041"/>
      <c r="AB2576" s="1041">
        <f t="shared" si="529"/>
        <v>766.62</v>
      </c>
      <c r="AC2576" s="1042">
        <f t="shared" si="530"/>
        <v>766.62</v>
      </c>
      <c r="AD2576" s="1043">
        <v>32000</v>
      </c>
      <c r="AE2576" s="1044"/>
      <c r="AF2576" s="1045"/>
      <c r="AG2576" s="1046"/>
      <c r="AH2576" s="1045"/>
      <c r="AI2576" s="1047"/>
      <c r="AJ2576" s="1038"/>
      <c r="AK2576" s="1048"/>
      <c r="AL2576" s="1036"/>
      <c r="AM2576" s="1036"/>
      <c r="AN2576" s="1037"/>
      <c r="AO2576" s="1037"/>
      <c r="AP2576" s="1034"/>
      <c r="AQ2576" s="1035"/>
      <c r="AR2576" s="1034"/>
      <c r="AS2576" s="1035"/>
      <c r="AT2576" s="1035"/>
      <c r="AU2576" s="1035"/>
      <c r="AV2576" s="1038"/>
      <c r="AW2576" s="1050"/>
      <c r="AX2576" s="1051"/>
      <c r="AY2576" s="1036"/>
      <c r="AZ2576" s="1035"/>
      <c r="BA2576" s="1035"/>
      <c r="BB2576" s="1052"/>
      <c r="BC2576" s="1053"/>
      <c r="BD2576" s="1049"/>
      <c r="BE2576" s="1054"/>
      <c r="BF2576" s="1055"/>
      <c r="BG2576" s="1055"/>
      <c r="BH2576" s="1055"/>
      <c r="BI2576" s="1055"/>
      <c r="BJ2576" s="1055"/>
      <c r="BK2576" s="1055"/>
      <c r="BL2576" s="1055"/>
      <c r="BM2576" s="1055"/>
      <c r="BN2576" s="1055"/>
      <c r="BO2576" s="1056"/>
      <c r="BP2576" s="1056"/>
      <c r="BQ2576" s="1056"/>
      <c r="BR2576" s="1056"/>
      <c r="BS2576" s="1056"/>
      <c r="BT2576" s="1056"/>
      <c r="BU2576" s="1056"/>
      <c r="BV2576" s="1057"/>
      <c r="BW2576" s="1057"/>
      <c r="BX2576" s="1148"/>
      <c r="BY2576" s="1057"/>
      <c r="BZ2576" s="1057"/>
      <c r="CA2576" s="1057"/>
      <c r="CB2576" s="1032"/>
    </row>
    <row r="2577" spans="2:80">
      <c r="B2577" s="1033" t="s">
        <v>8184</v>
      </c>
      <c r="C2577" s="1033" t="s">
        <v>5697</v>
      </c>
      <c r="D2577" s="1033" t="s">
        <v>8195</v>
      </c>
      <c r="E2577" s="1033" t="s">
        <v>8195</v>
      </c>
      <c r="F2577" s="1034">
        <v>46185</v>
      </c>
      <c r="G2577" s="1058" t="str">
        <f t="shared" si="531"/>
        <v>CASSINA</v>
      </c>
      <c r="H2577" s="1063" t="s">
        <v>134</v>
      </c>
      <c r="I2577" s="1063"/>
      <c r="J2577" s="1034"/>
      <c r="K2577" s="1034"/>
      <c r="L2577" s="1036" t="s">
        <v>7950</v>
      </c>
      <c r="M2577" s="1037" t="s">
        <v>107</v>
      </c>
      <c r="N2577" s="1034"/>
      <c r="O2577" s="1064"/>
      <c r="P2577" s="1035"/>
      <c r="Q2577" s="1036"/>
      <c r="R2577" s="1038" t="s">
        <v>5799</v>
      </c>
      <c r="S2577" s="1131" t="s">
        <v>5800</v>
      </c>
      <c r="T2577" s="1036" t="s">
        <v>8352</v>
      </c>
      <c r="U2577" s="1066">
        <v>1</v>
      </c>
      <c r="V2577" s="1035" t="s">
        <v>3</v>
      </c>
      <c r="W2577" s="1039">
        <v>4675</v>
      </c>
      <c r="X2577" s="1040">
        <f t="shared" si="508"/>
        <v>4675</v>
      </c>
      <c r="Y2577" s="1045" t="s">
        <v>6060</v>
      </c>
      <c r="Z2577" s="1041">
        <v>2304.7800000000002</v>
      </c>
      <c r="AA2577" s="1041"/>
      <c r="AB2577" s="1041">
        <f t="shared" si="529"/>
        <v>2304.7800000000002</v>
      </c>
      <c r="AC2577" s="1042">
        <f t="shared" si="530"/>
        <v>2304.7800000000002</v>
      </c>
      <c r="AD2577" s="1043">
        <v>32000</v>
      </c>
      <c r="AE2577" s="1044"/>
      <c r="AF2577" s="1045"/>
      <c r="AG2577" s="1046"/>
      <c r="AH2577" s="1045"/>
      <c r="AI2577" s="1047"/>
      <c r="AJ2577" s="1038"/>
      <c r="AK2577" s="1048"/>
      <c r="AL2577" s="1036"/>
      <c r="AM2577" s="1036"/>
      <c r="AN2577" s="1037"/>
      <c r="AO2577" s="1037"/>
      <c r="AP2577" s="1034"/>
      <c r="AQ2577" s="1035"/>
      <c r="AR2577" s="1034"/>
      <c r="AS2577" s="1035"/>
      <c r="AT2577" s="1035"/>
      <c r="AU2577" s="1035"/>
      <c r="AV2577" s="1038"/>
      <c r="AW2577" s="1050"/>
      <c r="AX2577" s="1051"/>
      <c r="AY2577" s="1036"/>
      <c r="AZ2577" s="1035"/>
      <c r="BA2577" s="1035"/>
      <c r="BB2577" s="1052"/>
      <c r="BC2577" s="1053"/>
      <c r="BD2577" s="1049"/>
      <c r="BE2577" s="1054"/>
      <c r="BF2577" s="1055"/>
      <c r="BG2577" s="1055"/>
      <c r="BH2577" s="1055"/>
      <c r="BI2577" s="1055"/>
      <c r="BJ2577" s="1055"/>
      <c r="BK2577" s="1055"/>
      <c r="BL2577" s="1055"/>
      <c r="BM2577" s="1055"/>
      <c r="BN2577" s="1055"/>
      <c r="BO2577" s="1056"/>
      <c r="BP2577" s="1056"/>
      <c r="BQ2577" s="1056"/>
      <c r="BR2577" s="1056"/>
      <c r="BS2577" s="1056"/>
      <c r="BT2577" s="1056"/>
      <c r="BU2577" s="1056"/>
      <c r="BV2577" s="1057"/>
      <c r="BW2577" s="1057"/>
      <c r="BX2577" s="1148"/>
      <c r="BY2577" s="1057"/>
      <c r="BZ2577" s="1057"/>
      <c r="CA2577" s="1057"/>
      <c r="CB2577" s="1032"/>
    </row>
    <row r="2578" spans="2:80">
      <c r="B2578" s="1033"/>
      <c r="C2578" s="1033"/>
      <c r="D2578" s="1033"/>
      <c r="E2578" s="1033"/>
      <c r="F2578" s="1034"/>
      <c r="G2578" s="1033"/>
      <c r="H2578" s="1063"/>
      <c r="I2578" s="1063"/>
      <c r="J2578" s="1034"/>
      <c r="K2578" s="1034"/>
      <c r="L2578" s="1036"/>
      <c r="M2578" s="1037"/>
      <c r="N2578" s="1034"/>
      <c r="O2578" s="1064"/>
      <c r="P2578" s="1035"/>
      <c r="Q2578" s="1036"/>
      <c r="R2578" s="1038"/>
      <c r="S2578" s="1131"/>
      <c r="T2578" s="1036"/>
      <c r="U2578" s="1066"/>
      <c r="V2578" s="1035"/>
      <c r="W2578" s="1039"/>
      <c r="X2578" s="1040"/>
      <c r="Y2578" s="1045"/>
      <c r="Z2578" s="1041"/>
      <c r="AA2578" s="1041"/>
      <c r="AB2578" s="1041"/>
      <c r="AC2578" s="1042"/>
      <c r="AD2578" s="1043"/>
      <c r="AE2578" s="1044"/>
      <c r="AF2578" s="1045"/>
      <c r="AG2578" s="1046"/>
      <c r="AH2578" s="1045"/>
      <c r="AI2578" s="1047"/>
      <c r="AJ2578" s="1038"/>
      <c r="AK2578" s="1048"/>
      <c r="AL2578" s="1036"/>
      <c r="AM2578" s="1036"/>
      <c r="AN2578" s="1037"/>
      <c r="AO2578" s="1037"/>
      <c r="AP2578" s="1034"/>
      <c r="AQ2578" s="1035"/>
      <c r="AR2578" s="1034"/>
      <c r="AS2578" s="1035"/>
      <c r="AT2578" s="1035"/>
      <c r="AU2578" s="1035"/>
      <c r="AV2578" s="1038"/>
      <c r="AW2578" s="1050"/>
      <c r="AX2578" s="1051"/>
      <c r="AY2578" s="1036"/>
      <c r="AZ2578" s="1035"/>
      <c r="BA2578" s="1035"/>
      <c r="BB2578" s="1052"/>
      <c r="BC2578" s="1053"/>
      <c r="BD2578" s="1049"/>
      <c r="BE2578" s="1054"/>
      <c r="BF2578" s="1055"/>
      <c r="BG2578" s="1055"/>
      <c r="BH2578" s="1055"/>
      <c r="BI2578" s="1055"/>
      <c r="BJ2578" s="1055"/>
      <c r="BK2578" s="1055"/>
      <c r="BL2578" s="1055"/>
      <c r="BM2578" s="1055"/>
      <c r="BN2578" s="1055"/>
      <c r="BO2578" s="1056"/>
      <c r="BP2578" s="1056"/>
      <c r="BQ2578" s="1056"/>
      <c r="BR2578" s="1056"/>
      <c r="BS2578" s="1056"/>
      <c r="BT2578" s="1056"/>
      <c r="BU2578" s="1056"/>
      <c r="BV2578" s="1057"/>
      <c r="BW2578" s="1057"/>
      <c r="BX2578" s="1148"/>
      <c r="BY2578" s="1057"/>
      <c r="BZ2578" s="1057"/>
      <c r="CA2578" s="1057"/>
      <c r="CB2578" s="1032"/>
    </row>
    <row r="2579" spans="2:80">
      <c r="B2579" s="1033" t="s">
        <v>8184</v>
      </c>
      <c r="C2579" s="1033" t="s">
        <v>381</v>
      </c>
      <c r="D2579" s="1033" t="s">
        <v>8353</v>
      </c>
      <c r="E2579" s="1033" t="s">
        <v>8353</v>
      </c>
      <c r="F2579" s="1034">
        <v>46181</v>
      </c>
      <c r="G2579" s="1033" t="s">
        <v>381</v>
      </c>
      <c r="H2579" s="1063" t="s">
        <v>134</v>
      </c>
      <c r="I2579" s="1063"/>
      <c r="J2579" s="1034"/>
      <c r="K2579" s="1034"/>
      <c r="L2579" s="1036" t="s">
        <v>106</v>
      </c>
      <c r="M2579" s="1037" t="s">
        <v>107</v>
      </c>
      <c r="N2579" s="1034"/>
      <c r="O2579" s="1064"/>
      <c r="P2579" s="1035"/>
      <c r="Q2579" s="1036"/>
      <c r="R2579" s="1038" t="s">
        <v>6583</v>
      </c>
      <c r="S2579" s="1131" t="s">
        <v>8354</v>
      </c>
      <c r="T2579" s="1036" t="s">
        <v>8355</v>
      </c>
      <c r="U2579" s="1066">
        <v>1</v>
      </c>
      <c r="V2579" s="1035" t="s">
        <v>3</v>
      </c>
      <c r="W2579" s="1039">
        <v>3360</v>
      </c>
      <c r="X2579" s="1040">
        <f t="shared" si="508"/>
        <v>3360</v>
      </c>
      <c r="Y2579" s="1045">
        <v>0.5</v>
      </c>
      <c r="Z2579" s="1041">
        <v>1680</v>
      </c>
      <c r="AA2579" s="1041"/>
      <c r="AB2579" s="1041">
        <f t="shared" si="529"/>
        <v>1680</v>
      </c>
      <c r="AC2579" s="1042">
        <f t="shared" si="530"/>
        <v>1680</v>
      </c>
      <c r="AD2579" s="1043">
        <v>32000</v>
      </c>
      <c r="AE2579" s="1044"/>
      <c r="AF2579" s="1045"/>
      <c r="AG2579" s="1046"/>
      <c r="AH2579" s="1045"/>
      <c r="AI2579" s="1047"/>
      <c r="AJ2579" s="1038"/>
      <c r="AK2579" s="1048"/>
      <c r="AL2579" s="1036"/>
      <c r="AM2579" s="1036"/>
      <c r="AN2579" s="1037"/>
      <c r="AO2579" s="1037"/>
      <c r="AP2579" s="1034"/>
      <c r="AQ2579" s="1035"/>
      <c r="AR2579" s="1034"/>
      <c r="AS2579" s="1035"/>
      <c r="AT2579" s="1035"/>
      <c r="AU2579" s="1035"/>
      <c r="AV2579" s="1038"/>
      <c r="AW2579" s="1050"/>
      <c r="AX2579" s="1051"/>
      <c r="AY2579" s="1036"/>
      <c r="AZ2579" s="1035"/>
      <c r="BA2579" s="1035"/>
      <c r="BB2579" s="1052"/>
      <c r="BC2579" s="1053"/>
      <c r="BD2579" s="1049"/>
      <c r="BE2579" s="1054"/>
      <c r="BF2579" s="1055"/>
      <c r="BG2579" s="1055"/>
      <c r="BH2579" s="1055"/>
      <c r="BI2579" s="1055"/>
      <c r="BJ2579" s="1055"/>
      <c r="BK2579" s="1055"/>
      <c r="BL2579" s="1055"/>
      <c r="BM2579" s="1055"/>
      <c r="BN2579" s="1055"/>
      <c r="BO2579" s="1056"/>
      <c r="BP2579" s="1056"/>
      <c r="BQ2579" s="1056"/>
      <c r="BR2579" s="1056"/>
      <c r="BS2579" s="1056"/>
      <c r="BT2579" s="1056"/>
      <c r="BU2579" s="1056"/>
      <c r="BV2579" s="1057"/>
      <c r="BW2579" s="1057"/>
      <c r="BX2579" s="1148"/>
      <c r="BY2579" s="1057"/>
      <c r="BZ2579" s="1057"/>
      <c r="CA2579" s="1057"/>
      <c r="CB2579" s="1032"/>
    </row>
    <row r="2580" spans="2:80">
      <c r="B2580" s="1033" t="s">
        <v>8184</v>
      </c>
      <c r="C2580" s="1033" t="s">
        <v>381</v>
      </c>
      <c r="D2580" s="1033" t="s">
        <v>8353</v>
      </c>
      <c r="E2580" s="1033" t="s">
        <v>8353</v>
      </c>
      <c r="F2580" s="1034">
        <v>46181</v>
      </c>
      <c r="G2580" s="1033" t="s">
        <v>381</v>
      </c>
      <c r="H2580" s="1063" t="s">
        <v>134</v>
      </c>
      <c r="I2580" s="1063"/>
      <c r="J2580" s="1034"/>
      <c r="K2580" s="1034"/>
      <c r="L2580" s="1036" t="s">
        <v>106</v>
      </c>
      <c r="M2580" s="1037" t="s">
        <v>107</v>
      </c>
      <c r="N2580" s="1034"/>
      <c r="O2580" s="1064"/>
      <c r="P2580" s="1035"/>
      <c r="Q2580" s="1036"/>
      <c r="R2580" s="1038" t="s">
        <v>6592</v>
      </c>
      <c r="S2580" s="1131" t="s">
        <v>8356</v>
      </c>
      <c r="T2580" s="1036" t="s">
        <v>8357</v>
      </c>
      <c r="U2580" s="1066">
        <v>2</v>
      </c>
      <c r="V2580" s="1035" t="s">
        <v>3</v>
      </c>
      <c r="W2580" s="1039">
        <v>3528</v>
      </c>
      <c r="X2580" s="1040">
        <f t="shared" si="508"/>
        <v>7056</v>
      </c>
      <c r="Y2580" s="1045">
        <v>0.5</v>
      </c>
      <c r="Z2580" s="1041">
        <v>1764</v>
      </c>
      <c r="AA2580" s="1041"/>
      <c r="AB2580" s="1041">
        <f t="shared" si="529"/>
        <v>3528</v>
      </c>
      <c r="AC2580" s="1042">
        <f t="shared" si="530"/>
        <v>3528</v>
      </c>
      <c r="AD2580" s="1043">
        <v>32000</v>
      </c>
      <c r="AE2580" s="1044"/>
      <c r="AF2580" s="1045"/>
      <c r="AG2580" s="1046"/>
      <c r="AH2580" s="1045"/>
      <c r="AI2580" s="1047"/>
      <c r="AJ2580" s="1038"/>
      <c r="AK2580" s="1048"/>
      <c r="AL2580" s="1036"/>
      <c r="AM2580" s="1036"/>
      <c r="AN2580" s="1037"/>
      <c r="AO2580" s="1037"/>
      <c r="AP2580" s="1034"/>
      <c r="AQ2580" s="1035"/>
      <c r="AR2580" s="1034"/>
      <c r="AS2580" s="1035"/>
      <c r="AT2580" s="1035"/>
      <c r="AU2580" s="1035"/>
      <c r="AV2580" s="1038"/>
      <c r="AW2580" s="1050"/>
      <c r="AX2580" s="1051"/>
      <c r="AY2580" s="1036"/>
      <c r="AZ2580" s="1035"/>
      <c r="BA2580" s="1035"/>
      <c r="BB2580" s="1052"/>
      <c r="BC2580" s="1053"/>
      <c r="BD2580" s="1049"/>
      <c r="BE2580" s="1054"/>
      <c r="BF2580" s="1055"/>
      <c r="BG2580" s="1055"/>
      <c r="BH2580" s="1055"/>
      <c r="BI2580" s="1055"/>
      <c r="BJ2580" s="1055"/>
      <c r="BK2580" s="1055"/>
      <c r="BL2580" s="1055"/>
      <c r="BM2580" s="1055"/>
      <c r="BN2580" s="1055"/>
      <c r="BO2580" s="1056"/>
      <c r="BP2580" s="1056"/>
      <c r="BQ2580" s="1056"/>
      <c r="BR2580" s="1056"/>
      <c r="BS2580" s="1056"/>
      <c r="BT2580" s="1056"/>
      <c r="BU2580" s="1056"/>
      <c r="BV2580" s="1057"/>
      <c r="BW2580" s="1057"/>
      <c r="BX2580" s="1148"/>
      <c r="BY2580" s="1057"/>
      <c r="BZ2580" s="1057"/>
      <c r="CA2580" s="1057"/>
      <c r="CB2580" s="1032"/>
    </row>
    <row r="2581" spans="2:80">
      <c r="B2581" s="1033"/>
      <c r="C2581" s="1033"/>
      <c r="D2581" s="1033"/>
      <c r="E2581" s="1033"/>
      <c r="F2581" s="1034"/>
      <c r="G2581" s="1033"/>
      <c r="H2581" s="1063"/>
      <c r="I2581" s="1063"/>
      <c r="J2581" s="1034"/>
      <c r="K2581" s="1034"/>
      <c r="L2581" s="1036"/>
      <c r="M2581" s="1037"/>
      <c r="N2581" s="1034"/>
      <c r="O2581" s="1064"/>
      <c r="P2581" s="1035"/>
      <c r="Q2581" s="1036"/>
      <c r="R2581" s="1038"/>
      <c r="S2581" s="1131"/>
      <c r="T2581" s="1036"/>
      <c r="U2581" s="1066"/>
      <c r="V2581" s="1035"/>
      <c r="W2581" s="1039"/>
      <c r="X2581" s="1040"/>
      <c r="Y2581" s="1045"/>
      <c r="Z2581" s="1041"/>
      <c r="AA2581" s="1041"/>
      <c r="AB2581" s="1041"/>
      <c r="AC2581" s="1042"/>
      <c r="AD2581" s="1043"/>
      <c r="AE2581" s="1044"/>
      <c r="AF2581" s="1045"/>
      <c r="AG2581" s="1046"/>
      <c r="AH2581" s="1045"/>
      <c r="AI2581" s="1047"/>
      <c r="AJ2581" s="1038"/>
      <c r="AK2581" s="1048"/>
      <c r="AL2581" s="1036"/>
      <c r="AM2581" s="1036"/>
      <c r="AN2581" s="1037"/>
      <c r="AO2581" s="1037"/>
      <c r="AP2581" s="1034"/>
      <c r="AQ2581" s="1035"/>
      <c r="AR2581" s="1034"/>
      <c r="AS2581" s="1035"/>
      <c r="AT2581" s="1035"/>
      <c r="AU2581" s="1035"/>
      <c r="AV2581" s="1038"/>
      <c r="AW2581" s="1050"/>
      <c r="AX2581" s="1051"/>
      <c r="AY2581" s="1036"/>
      <c r="AZ2581" s="1035"/>
      <c r="BA2581" s="1035"/>
      <c r="BB2581" s="1052"/>
      <c r="BC2581" s="1053"/>
      <c r="BD2581" s="1049"/>
      <c r="BE2581" s="1054"/>
      <c r="BF2581" s="1055"/>
      <c r="BG2581" s="1055"/>
      <c r="BH2581" s="1055"/>
      <c r="BI2581" s="1055"/>
      <c r="BJ2581" s="1055"/>
      <c r="BK2581" s="1055"/>
      <c r="BL2581" s="1055"/>
      <c r="BM2581" s="1055"/>
      <c r="BN2581" s="1055"/>
      <c r="BO2581" s="1056"/>
      <c r="BP2581" s="1056"/>
      <c r="BQ2581" s="1056"/>
      <c r="BR2581" s="1056"/>
      <c r="BS2581" s="1056"/>
      <c r="BT2581" s="1056"/>
      <c r="BU2581" s="1056"/>
      <c r="BV2581" s="1057"/>
      <c r="BW2581" s="1057"/>
      <c r="BX2581" s="1148"/>
      <c r="BY2581" s="1057"/>
      <c r="BZ2581" s="1057"/>
      <c r="CA2581" s="1057"/>
      <c r="CB2581" s="1032"/>
    </row>
    <row r="2582" spans="2:80">
      <c r="B2582" s="1033" t="s">
        <v>8184</v>
      </c>
      <c r="C2582" s="1033" t="s">
        <v>99</v>
      </c>
      <c r="D2582" s="1033"/>
      <c r="E2582" s="1033" t="s">
        <v>8358</v>
      </c>
      <c r="F2582" s="1034">
        <v>46078</v>
      </c>
      <c r="G2582" s="1033" t="s">
        <v>99</v>
      </c>
      <c r="H2582" s="1063" t="s">
        <v>102</v>
      </c>
      <c r="I2582" s="1063" t="s">
        <v>8359</v>
      </c>
      <c r="J2582" s="1034">
        <v>45713</v>
      </c>
      <c r="K2582" s="1034"/>
      <c r="L2582" s="1036" t="s">
        <v>1135</v>
      </c>
      <c r="M2582" s="1037" t="s">
        <v>107</v>
      </c>
      <c r="N2582" s="1034"/>
      <c r="O2582" s="1064"/>
      <c r="P2582" s="1035"/>
      <c r="Q2582" s="1036"/>
      <c r="R2582" s="1038">
        <v>5744166179</v>
      </c>
      <c r="S2582" s="1131" t="s">
        <v>8360</v>
      </c>
      <c r="T2582" s="1036" t="s">
        <v>8361</v>
      </c>
      <c r="U2582" s="1066">
        <v>1</v>
      </c>
      <c r="V2582" s="1035" t="s">
        <v>3</v>
      </c>
      <c r="W2582" s="1039">
        <v>1500</v>
      </c>
      <c r="X2582" s="1040">
        <f t="shared" ref="X2582:X2587" si="532">W2582*U2582</f>
        <v>1500</v>
      </c>
      <c r="Y2582" s="1045">
        <v>0.5</v>
      </c>
      <c r="Z2582" s="1041">
        <v>750</v>
      </c>
      <c r="AA2582" s="1041"/>
      <c r="AB2582" s="1041">
        <f t="shared" si="529"/>
        <v>750</v>
      </c>
      <c r="AC2582" s="1042">
        <f t="shared" si="530"/>
        <v>750</v>
      </c>
      <c r="AD2582" s="1043">
        <v>32000</v>
      </c>
      <c r="AE2582" s="1044"/>
      <c r="AF2582" s="1045"/>
      <c r="AG2582" s="1046"/>
      <c r="AH2582" s="1045"/>
      <c r="AI2582" s="1047"/>
      <c r="AJ2582" s="1038"/>
      <c r="AK2582" s="1048"/>
      <c r="AL2582" s="1036"/>
      <c r="AM2582" s="1036"/>
      <c r="AN2582" s="1037"/>
      <c r="AO2582" s="1037"/>
      <c r="AP2582" s="1034"/>
      <c r="AQ2582" s="1035"/>
      <c r="AR2582" s="1034"/>
      <c r="AS2582" s="1035"/>
      <c r="AT2582" s="1035"/>
      <c r="AU2582" s="1035"/>
      <c r="AV2582" s="1038"/>
      <c r="AW2582" s="1050"/>
      <c r="AX2582" s="1051"/>
      <c r="AY2582" s="1036"/>
      <c r="AZ2582" s="1035"/>
      <c r="BA2582" s="1035"/>
      <c r="BB2582" s="1052"/>
      <c r="BC2582" s="1053"/>
      <c r="BD2582" s="1049"/>
      <c r="BE2582" s="1054" t="str" cm="1">
        <f t="array" ref="BE2582">IF(BD2582="","",AC2582/SUMPRODUCT(--(BD2582=$BD$4:$BD$12824),$AC$4:$AC$12824))</f>
        <v/>
      </c>
      <c r="BF2582" s="1055"/>
      <c r="BG2582" s="1055"/>
      <c r="BH2582" s="1055"/>
      <c r="BI2582" s="1055"/>
      <c r="BJ2582" s="1055"/>
      <c r="BK2582" s="1055"/>
      <c r="BL2582" s="1055"/>
      <c r="BM2582" s="1055"/>
      <c r="BN2582" s="1055"/>
      <c r="BO2582" s="1056"/>
      <c r="BP2582" s="1056"/>
      <c r="BQ2582" s="1056"/>
      <c r="BR2582" s="1056"/>
      <c r="BS2582" s="1056"/>
      <c r="BT2582" s="1056"/>
      <c r="BU2582" s="1056"/>
      <c r="BV2582" s="1057"/>
      <c r="BW2582" s="1057"/>
      <c r="BX2582" s="1148"/>
      <c r="BY2582" s="1057"/>
      <c r="BZ2582" s="1057"/>
      <c r="CA2582" s="1057"/>
      <c r="CB2582" s="1032"/>
    </row>
    <row r="2583" spans="2:80">
      <c r="B2583" s="1033" t="s">
        <v>8184</v>
      </c>
      <c r="C2583" s="1033" t="s">
        <v>99</v>
      </c>
      <c r="D2583" s="1033"/>
      <c r="E2583" s="1033" t="s">
        <v>8362</v>
      </c>
      <c r="F2583" s="1034">
        <v>46160</v>
      </c>
      <c r="G2583" s="1033" t="s">
        <v>99</v>
      </c>
      <c r="H2583" s="1063" t="s">
        <v>102</v>
      </c>
      <c r="I2583" s="1063" t="s">
        <v>8363</v>
      </c>
      <c r="J2583" s="1034"/>
      <c r="K2583" s="1034"/>
      <c r="L2583" s="1036" t="s">
        <v>1135</v>
      </c>
      <c r="M2583" s="1037" t="s">
        <v>107</v>
      </c>
      <c r="N2583" s="1034"/>
      <c r="O2583" s="1064"/>
      <c r="P2583" s="1035"/>
      <c r="Q2583" s="1036"/>
      <c r="R2583" s="1038">
        <v>5744167518</v>
      </c>
      <c r="S2583" s="1131" t="s">
        <v>8364</v>
      </c>
      <c r="T2583" s="1065" t="s">
        <v>8365</v>
      </c>
      <c r="U2583" s="1066">
        <v>1</v>
      </c>
      <c r="V2583" s="1035" t="s">
        <v>3</v>
      </c>
      <c r="W2583" s="1039">
        <v>73</v>
      </c>
      <c r="X2583" s="1040">
        <f t="shared" si="532"/>
        <v>73</v>
      </c>
      <c r="Y2583" s="1045">
        <v>0.45</v>
      </c>
      <c r="Z2583" s="1041">
        <v>40.150000000000006</v>
      </c>
      <c r="AA2583" s="1041"/>
      <c r="AB2583" s="1041">
        <f t="shared" si="529"/>
        <v>40.150000000000006</v>
      </c>
      <c r="AC2583" s="1042">
        <f t="shared" si="530"/>
        <v>40.150000000000006</v>
      </c>
      <c r="AD2583" s="1043">
        <v>32000</v>
      </c>
      <c r="AE2583" s="1044"/>
      <c r="AF2583" s="1045"/>
      <c r="AG2583" s="1046"/>
      <c r="AH2583" s="1045"/>
      <c r="AI2583" s="1047"/>
      <c r="AJ2583" s="1038"/>
      <c r="AK2583" s="1048"/>
      <c r="AL2583" s="1036"/>
      <c r="AM2583" s="1036"/>
      <c r="AN2583" s="1037"/>
      <c r="AO2583" s="1037"/>
      <c r="AP2583" s="1034"/>
      <c r="AQ2583" s="1035"/>
      <c r="AR2583" s="1034"/>
      <c r="AS2583" s="1035"/>
      <c r="AT2583" s="1035"/>
      <c r="AU2583" s="1035"/>
      <c r="AV2583" s="1038"/>
      <c r="AW2583" s="1050"/>
      <c r="AX2583" s="1051"/>
      <c r="AY2583" s="1036"/>
      <c r="AZ2583" s="1035"/>
      <c r="BA2583" s="1035"/>
      <c r="BB2583" s="1052"/>
      <c r="BC2583" s="1053"/>
      <c r="BD2583" s="1049"/>
      <c r="BE2583" s="1054"/>
      <c r="BF2583" s="1055"/>
      <c r="BG2583" s="1055"/>
      <c r="BH2583" s="1055"/>
      <c r="BI2583" s="1055"/>
      <c r="BJ2583" s="1055"/>
      <c r="BK2583" s="1055"/>
      <c r="BL2583" s="1055"/>
      <c r="BM2583" s="1055"/>
      <c r="BN2583" s="1055"/>
      <c r="BO2583" s="1056"/>
      <c r="BP2583" s="1056"/>
      <c r="BQ2583" s="1056"/>
      <c r="BR2583" s="1056"/>
      <c r="BS2583" s="1056"/>
      <c r="BT2583" s="1056"/>
      <c r="BU2583" s="1056"/>
      <c r="BV2583" s="1057"/>
      <c r="BW2583" s="1057"/>
      <c r="BX2583" s="1148"/>
      <c r="BY2583" s="1057"/>
      <c r="BZ2583" s="1057"/>
      <c r="CA2583" s="1057"/>
      <c r="CB2583" s="944"/>
    </row>
    <row r="2584" spans="2:80">
      <c r="B2584" s="1033" t="s">
        <v>8184</v>
      </c>
      <c r="C2584" s="1033" t="s">
        <v>99</v>
      </c>
      <c r="D2584" s="1033"/>
      <c r="E2584" s="1033" t="s">
        <v>8366</v>
      </c>
      <c r="F2584" s="1034">
        <v>46168</v>
      </c>
      <c r="G2584" s="1033" t="s">
        <v>99</v>
      </c>
      <c r="H2584" s="1063" t="s">
        <v>8367</v>
      </c>
      <c r="I2584" s="1063"/>
      <c r="J2584" s="1034"/>
      <c r="K2584" s="1034"/>
      <c r="L2584" s="1036" t="s">
        <v>1135</v>
      </c>
      <c r="M2584" s="1037" t="s">
        <v>107</v>
      </c>
      <c r="N2584" s="1034"/>
      <c r="O2584" s="1064"/>
      <c r="P2584" s="1035"/>
      <c r="Q2584" s="1036"/>
      <c r="R2584" s="1038">
        <v>5741116245</v>
      </c>
      <c r="S2584" s="1131" t="s">
        <v>8368</v>
      </c>
      <c r="T2584" s="1065" t="s">
        <v>8369</v>
      </c>
      <c r="U2584" s="1066">
        <v>2</v>
      </c>
      <c r="V2584" s="1035" t="s">
        <v>3</v>
      </c>
      <c r="W2584" s="1039">
        <v>550</v>
      </c>
      <c r="X2584" s="1040">
        <f t="shared" si="532"/>
        <v>1100</v>
      </c>
      <c r="Y2584" s="1045" t="s">
        <v>8370</v>
      </c>
      <c r="Z2584" s="1041">
        <v>257.125</v>
      </c>
      <c r="AA2584" s="1041"/>
      <c r="AB2584" s="1041">
        <f t="shared" si="529"/>
        <v>514.25</v>
      </c>
      <c r="AC2584" s="1042">
        <f t="shared" si="530"/>
        <v>514.25</v>
      </c>
      <c r="AD2584" s="1043">
        <v>32000</v>
      </c>
      <c r="AE2584" s="1044"/>
      <c r="AF2584" s="1045"/>
      <c r="AG2584" s="1046"/>
      <c r="AH2584" s="1045"/>
      <c r="AI2584" s="1047"/>
      <c r="AJ2584" s="1038"/>
      <c r="AK2584" s="1048"/>
      <c r="AL2584" s="1036"/>
      <c r="AM2584" s="1036"/>
      <c r="AN2584" s="1037"/>
      <c r="AO2584" s="1037"/>
      <c r="AP2584" s="1034"/>
      <c r="AQ2584" s="1035"/>
      <c r="AR2584" s="1034"/>
      <c r="AS2584" s="1035"/>
      <c r="AT2584" s="1035"/>
      <c r="AU2584" s="1035"/>
      <c r="AV2584" s="1038"/>
      <c r="AW2584" s="1050"/>
      <c r="AX2584" s="1051"/>
      <c r="AY2584" s="1036"/>
      <c r="AZ2584" s="1035"/>
      <c r="BA2584" s="1035"/>
      <c r="BB2584" s="1052"/>
      <c r="BC2584" s="1053"/>
      <c r="BD2584" s="1049"/>
      <c r="BE2584" s="1054"/>
      <c r="BF2584" s="1055"/>
      <c r="BG2584" s="1055"/>
      <c r="BH2584" s="1055"/>
      <c r="BI2584" s="1055"/>
      <c r="BJ2584" s="1055"/>
      <c r="BK2584" s="1055"/>
      <c r="BL2584" s="1055"/>
      <c r="BM2584" s="1055"/>
      <c r="BN2584" s="1055"/>
      <c r="BO2584" s="1056"/>
      <c r="BP2584" s="1056"/>
      <c r="BQ2584" s="1056"/>
      <c r="BR2584" s="1056"/>
      <c r="BS2584" s="1056"/>
      <c r="BT2584" s="1056"/>
      <c r="BU2584" s="1056"/>
      <c r="BV2584" s="1057"/>
      <c r="BW2584" s="1057"/>
      <c r="BX2584" s="1148"/>
      <c r="BY2584" s="1057"/>
      <c r="BZ2584" s="1057"/>
      <c r="CA2584" s="1057"/>
      <c r="CB2584" s="944"/>
    </row>
    <row r="2585" spans="2:80">
      <c r="B2585" s="1033" t="s">
        <v>8184</v>
      </c>
      <c r="C2585" s="1033" t="s">
        <v>99</v>
      </c>
      <c r="D2585" s="1033"/>
      <c r="E2585" s="1033" t="s">
        <v>8366</v>
      </c>
      <c r="F2585" s="1034">
        <v>46168</v>
      </c>
      <c r="G2585" s="1033" t="s">
        <v>99</v>
      </c>
      <c r="H2585" s="1063" t="s">
        <v>8367</v>
      </c>
      <c r="I2585" s="1063"/>
      <c r="J2585" s="1034"/>
      <c r="K2585" s="1034"/>
      <c r="L2585" s="1036" t="s">
        <v>1135</v>
      </c>
      <c r="M2585" s="1037" t="s">
        <v>107</v>
      </c>
      <c r="N2585" s="1034"/>
      <c r="O2585" s="1064"/>
      <c r="P2585" s="1035"/>
      <c r="Q2585" s="1036"/>
      <c r="R2585" s="1038">
        <v>5741116232</v>
      </c>
      <c r="S2585" s="1131" t="s">
        <v>8371</v>
      </c>
      <c r="T2585" s="1065" t="s">
        <v>8372</v>
      </c>
      <c r="U2585" s="1066">
        <v>2</v>
      </c>
      <c r="V2585" s="1035" t="s">
        <v>3</v>
      </c>
      <c r="W2585" s="1039">
        <v>550</v>
      </c>
      <c r="X2585" s="1040">
        <f t="shared" si="532"/>
        <v>1100</v>
      </c>
      <c r="Y2585" s="1045" t="s">
        <v>8370</v>
      </c>
      <c r="Z2585" s="1041">
        <v>257.125</v>
      </c>
      <c r="AA2585" s="1041"/>
      <c r="AB2585" s="1041">
        <f t="shared" si="529"/>
        <v>514.25</v>
      </c>
      <c r="AC2585" s="1042">
        <f t="shared" si="530"/>
        <v>514.25</v>
      </c>
      <c r="AD2585" s="1043">
        <v>32000</v>
      </c>
      <c r="AE2585" s="1044"/>
      <c r="AF2585" s="1045"/>
      <c r="AG2585" s="1046"/>
      <c r="AH2585" s="1045"/>
      <c r="AI2585" s="1047"/>
      <c r="AJ2585" s="1038"/>
      <c r="AK2585" s="1048"/>
      <c r="AL2585" s="1036"/>
      <c r="AM2585" s="1036"/>
      <c r="AN2585" s="1037"/>
      <c r="AO2585" s="1037"/>
      <c r="AP2585" s="1034"/>
      <c r="AQ2585" s="1035"/>
      <c r="AR2585" s="1034"/>
      <c r="AS2585" s="1035"/>
      <c r="AT2585" s="1035"/>
      <c r="AU2585" s="1035"/>
      <c r="AV2585" s="1038"/>
      <c r="AW2585" s="1050"/>
      <c r="AX2585" s="1051"/>
      <c r="AY2585" s="1036"/>
      <c r="AZ2585" s="1035"/>
      <c r="BA2585" s="1035"/>
      <c r="BB2585" s="1052"/>
      <c r="BC2585" s="1053"/>
      <c r="BD2585" s="1049"/>
      <c r="BE2585" s="1054"/>
      <c r="BF2585" s="1055"/>
      <c r="BG2585" s="1055"/>
      <c r="BH2585" s="1055"/>
      <c r="BI2585" s="1055"/>
      <c r="BJ2585" s="1055"/>
      <c r="BK2585" s="1055"/>
      <c r="BL2585" s="1055"/>
      <c r="BM2585" s="1055"/>
      <c r="BN2585" s="1055"/>
      <c r="BO2585" s="1056"/>
      <c r="BP2585" s="1056"/>
      <c r="BQ2585" s="1056"/>
      <c r="BR2585" s="1056"/>
      <c r="BS2585" s="1056"/>
      <c r="BT2585" s="1056"/>
      <c r="BU2585" s="1056"/>
      <c r="BV2585" s="1057"/>
      <c r="BW2585" s="1057"/>
      <c r="BX2585" s="1148"/>
      <c r="BY2585" s="1057"/>
      <c r="BZ2585" s="1057"/>
      <c r="CA2585" s="1057"/>
      <c r="CB2585" s="944"/>
    </row>
    <row r="2586" spans="2:80">
      <c r="B2586" s="1033" t="s">
        <v>8184</v>
      </c>
      <c r="C2586" s="1033" t="s">
        <v>99</v>
      </c>
      <c r="D2586" s="1033"/>
      <c r="E2586" s="1033" t="s">
        <v>8366</v>
      </c>
      <c r="F2586" s="1034">
        <v>46168</v>
      </c>
      <c r="G2586" s="1033" t="s">
        <v>99</v>
      </c>
      <c r="H2586" s="1063" t="s">
        <v>8367</v>
      </c>
      <c r="I2586" s="1063"/>
      <c r="J2586" s="1034"/>
      <c r="K2586" s="1034"/>
      <c r="L2586" s="1036" t="s">
        <v>1135</v>
      </c>
      <c r="M2586" s="1037" t="s">
        <v>107</v>
      </c>
      <c r="N2586" s="1034"/>
      <c r="O2586" s="1064"/>
      <c r="P2586" s="1035"/>
      <c r="Q2586" s="1036"/>
      <c r="R2586" s="1038">
        <v>5741116229</v>
      </c>
      <c r="S2586" s="1131" t="s">
        <v>8373</v>
      </c>
      <c r="T2586" s="1065" t="s">
        <v>8374</v>
      </c>
      <c r="U2586" s="1066">
        <v>4</v>
      </c>
      <c r="V2586" s="1035" t="s">
        <v>3</v>
      </c>
      <c r="W2586" s="1039">
        <v>550</v>
      </c>
      <c r="X2586" s="1040">
        <f t="shared" si="532"/>
        <v>2200</v>
      </c>
      <c r="Y2586" s="1045" t="s">
        <v>8370</v>
      </c>
      <c r="Z2586" s="1041">
        <v>257.125</v>
      </c>
      <c r="AA2586" s="1041"/>
      <c r="AB2586" s="1041">
        <f t="shared" si="529"/>
        <v>1028.5</v>
      </c>
      <c r="AC2586" s="1042">
        <f t="shared" si="530"/>
        <v>1028.5</v>
      </c>
      <c r="AD2586" s="1043">
        <v>32000</v>
      </c>
      <c r="AE2586" s="1044"/>
      <c r="AF2586" s="1045"/>
      <c r="AG2586" s="1046"/>
      <c r="AH2586" s="1045"/>
      <c r="AI2586" s="1047"/>
      <c r="AJ2586" s="1038"/>
      <c r="AK2586" s="1048"/>
      <c r="AL2586" s="1036"/>
      <c r="AM2586" s="1036"/>
      <c r="AN2586" s="1037"/>
      <c r="AO2586" s="1037"/>
      <c r="AP2586" s="1034"/>
      <c r="AQ2586" s="1035"/>
      <c r="AR2586" s="1034"/>
      <c r="AS2586" s="1035"/>
      <c r="AT2586" s="1035"/>
      <c r="AU2586" s="1035"/>
      <c r="AV2586" s="1038"/>
      <c r="AW2586" s="1050"/>
      <c r="AX2586" s="1051"/>
      <c r="AY2586" s="1036"/>
      <c r="AZ2586" s="1035"/>
      <c r="BA2586" s="1035"/>
      <c r="BB2586" s="1052"/>
      <c r="BC2586" s="1053"/>
      <c r="BD2586" s="1049"/>
      <c r="BE2586" s="1054"/>
      <c r="BF2586" s="1055"/>
      <c r="BG2586" s="1055"/>
      <c r="BH2586" s="1055"/>
      <c r="BI2586" s="1055"/>
      <c r="BJ2586" s="1055"/>
      <c r="BK2586" s="1055"/>
      <c r="BL2586" s="1055"/>
      <c r="BM2586" s="1055"/>
      <c r="BN2586" s="1055"/>
      <c r="BO2586" s="1056"/>
      <c r="BP2586" s="1056"/>
      <c r="BQ2586" s="1056"/>
      <c r="BR2586" s="1056"/>
      <c r="BS2586" s="1056"/>
      <c r="BT2586" s="1056"/>
      <c r="BU2586" s="1056"/>
      <c r="BV2586" s="1057"/>
      <c r="BW2586" s="1057"/>
      <c r="BX2586" s="1148"/>
      <c r="BY2586" s="1057"/>
      <c r="BZ2586" s="1057"/>
      <c r="CA2586" s="1057"/>
      <c r="CB2586" s="944"/>
    </row>
    <row r="2587" spans="2:80">
      <c r="B2587" s="1033" t="s">
        <v>8184</v>
      </c>
      <c r="C2587" s="1033" t="s">
        <v>99</v>
      </c>
      <c r="D2587" s="1033"/>
      <c r="E2587" s="1033" t="s">
        <v>8366</v>
      </c>
      <c r="F2587" s="1034">
        <v>46168</v>
      </c>
      <c r="G2587" s="1033" t="s">
        <v>99</v>
      </c>
      <c r="H2587" s="1063" t="s">
        <v>8367</v>
      </c>
      <c r="I2587" s="1063"/>
      <c r="J2587" s="1034"/>
      <c r="K2587" s="1034"/>
      <c r="L2587" s="1036" t="s">
        <v>1135</v>
      </c>
      <c r="M2587" s="1037" t="s">
        <v>107</v>
      </c>
      <c r="N2587" s="1034"/>
      <c r="O2587" s="1064"/>
      <c r="P2587" s="1035"/>
      <c r="Q2587" s="1036"/>
      <c r="R2587" s="1038">
        <v>5741116258</v>
      </c>
      <c r="S2587" s="1131" t="s">
        <v>8375</v>
      </c>
      <c r="T2587" s="1065" t="s">
        <v>8376</v>
      </c>
      <c r="U2587" s="1066">
        <v>4</v>
      </c>
      <c r="V2587" s="1035" t="s">
        <v>3</v>
      </c>
      <c r="W2587" s="1039">
        <v>550</v>
      </c>
      <c r="X2587" s="1040">
        <f t="shared" si="532"/>
        <v>2200</v>
      </c>
      <c r="Y2587" s="1045" t="s">
        <v>8370</v>
      </c>
      <c r="Z2587" s="1041">
        <v>257.125</v>
      </c>
      <c r="AA2587" s="1041"/>
      <c r="AB2587" s="1041">
        <f t="shared" si="529"/>
        <v>1028.5</v>
      </c>
      <c r="AC2587" s="1042">
        <f t="shared" si="530"/>
        <v>1028.5</v>
      </c>
      <c r="AD2587" s="1043">
        <v>32000</v>
      </c>
      <c r="AE2587" s="1044"/>
      <c r="AF2587" s="1045"/>
      <c r="AG2587" s="1046"/>
      <c r="AH2587" s="1045"/>
      <c r="AI2587" s="1047"/>
      <c r="AJ2587" s="1038"/>
      <c r="AK2587" s="1048"/>
      <c r="AL2587" s="1036"/>
      <c r="AM2587" s="1036"/>
      <c r="AN2587" s="1037"/>
      <c r="AO2587" s="1037"/>
      <c r="AP2587" s="1034"/>
      <c r="AQ2587" s="1035"/>
      <c r="AR2587" s="1034"/>
      <c r="AS2587" s="1035"/>
      <c r="AT2587" s="1035"/>
      <c r="AU2587" s="1035"/>
      <c r="AV2587" s="1038"/>
      <c r="AW2587" s="1050"/>
      <c r="AX2587" s="1051"/>
      <c r="AY2587" s="1036"/>
      <c r="AZ2587" s="1035"/>
      <c r="BA2587" s="1035"/>
      <c r="BB2587" s="1052"/>
      <c r="BC2587" s="1053"/>
      <c r="BD2587" s="1049"/>
      <c r="BE2587" s="1054"/>
      <c r="BF2587" s="1055"/>
      <c r="BG2587" s="1055"/>
      <c r="BH2587" s="1055"/>
      <c r="BI2587" s="1055"/>
      <c r="BJ2587" s="1055"/>
      <c r="BK2587" s="1055"/>
      <c r="BL2587" s="1055"/>
      <c r="BM2587" s="1055"/>
      <c r="BN2587" s="1055"/>
      <c r="BO2587" s="1056"/>
      <c r="BP2587" s="1056"/>
      <c r="BQ2587" s="1056"/>
      <c r="BR2587" s="1056"/>
      <c r="BS2587" s="1056"/>
      <c r="BT2587" s="1056"/>
      <c r="BU2587" s="1056"/>
      <c r="BV2587" s="1057"/>
      <c r="BW2587" s="1057"/>
      <c r="BX2587" s="1148"/>
      <c r="BY2587" s="1057"/>
      <c r="BZ2587" s="1057"/>
      <c r="CA2587" s="1057"/>
      <c r="CB2587" s="944"/>
    </row>
    <row r="2588" spans="2:80">
      <c r="B2588" s="1033"/>
      <c r="C2588" s="1033"/>
      <c r="D2588" s="1033"/>
      <c r="E2588" s="1033"/>
      <c r="F2588" s="1034"/>
      <c r="G2588" s="1033"/>
      <c r="H2588" s="1063"/>
      <c r="I2588" s="1063"/>
      <c r="J2588" s="1034"/>
      <c r="K2588" s="1034"/>
      <c r="L2588" s="1036"/>
      <c r="M2588" s="1037"/>
      <c r="N2588" s="1034"/>
      <c r="O2588" s="1064"/>
      <c r="P2588" s="1035"/>
      <c r="Q2588" s="1036"/>
      <c r="R2588" s="1038"/>
      <c r="S2588" s="1131"/>
      <c r="T2588" s="1065"/>
      <c r="U2588" s="1066"/>
      <c r="V2588" s="1035"/>
      <c r="W2588" s="1039"/>
      <c r="X2588" s="1040"/>
      <c r="Y2588" s="1045"/>
      <c r="Z2588" s="1041"/>
      <c r="AA2588" s="1041"/>
      <c r="AB2588" s="1041"/>
      <c r="AC2588" s="1042"/>
      <c r="AD2588" s="1043"/>
      <c r="AE2588" s="1044"/>
      <c r="AF2588" s="1045"/>
      <c r="AG2588" s="1046"/>
      <c r="AH2588" s="1045"/>
      <c r="AI2588" s="1047"/>
      <c r="AJ2588" s="1038"/>
      <c r="AK2588" s="1048"/>
      <c r="AL2588" s="1036"/>
      <c r="AM2588" s="1036"/>
      <c r="AN2588" s="1037"/>
      <c r="AO2588" s="1037"/>
      <c r="AP2588" s="1034"/>
      <c r="AQ2588" s="1035"/>
      <c r="AR2588" s="1034"/>
      <c r="AS2588" s="1035"/>
      <c r="AT2588" s="1035"/>
      <c r="AU2588" s="1035"/>
      <c r="AV2588" s="1038"/>
      <c r="AW2588" s="1050"/>
      <c r="AX2588" s="1051"/>
      <c r="AY2588" s="1036"/>
      <c r="AZ2588" s="1035"/>
      <c r="BA2588" s="1035"/>
      <c r="BB2588" s="1052"/>
      <c r="BC2588" s="1053"/>
      <c r="BD2588" s="1049"/>
      <c r="BE2588" s="1054"/>
      <c r="BF2588" s="1055"/>
      <c r="BG2588" s="1055"/>
      <c r="BH2588" s="1055"/>
      <c r="BI2588" s="1055"/>
      <c r="BJ2588" s="1055"/>
      <c r="BK2588" s="1055"/>
      <c r="BL2588" s="1055"/>
      <c r="BM2588" s="1055"/>
      <c r="BN2588" s="1055"/>
      <c r="BO2588" s="1056"/>
      <c r="BP2588" s="1056"/>
      <c r="BQ2588" s="1056"/>
      <c r="BR2588" s="1056"/>
      <c r="BS2588" s="1056"/>
      <c r="BT2588" s="1056"/>
      <c r="BU2588" s="1056"/>
      <c r="BV2588" s="1057"/>
      <c r="BW2588" s="1057"/>
      <c r="BX2588" s="1148"/>
      <c r="BY2588" s="1057"/>
      <c r="BZ2588" s="1057"/>
      <c r="CA2588" s="1057"/>
      <c r="CB2588" s="1032"/>
    </row>
    <row r="2589" spans="2:80">
      <c r="B2589" s="1033" t="s">
        <v>7731</v>
      </c>
      <c r="C2589" s="1033" t="s">
        <v>254</v>
      </c>
      <c r="D2589" s="1033" t="s">
        <v>8377</v>
      </c>
      <c r="E2589" s="1033" t="s">
        <v>8378</v>
      </c>
      <c r="F2589" s="1034">
        <v>46149</v>
      </c>
      <c r="G2589" s="1033" t="s">
        <v>254</v>
      </c>
      <c r="H2589" s="1063" t="s">
        <v>8379</v>
      </c>
      <c r="I2589" s="1063"/>
      <c r="J2589" s="1034"/>
      <c r="K2589" s="1034"/>
      <c r="L2589" s="1036" t="s">
        <v>106</v>
      </c>
      <c r="M2589" s="1037" t="s">
        <v>107</v>
      </c>
      <c r="N2589" s="1034"/>
      <c r="O2589" s="1064"/>
      <c r="P2589" s="1035"/>
      <c r="Q2589" s="1036"/>
      <c r="R2589" s="1038" t="s">
        <v>8380</v>
      </c>
      <c r="S2589" s="1131" t="s">
        <v>8381</v>
      </c>
      <c r="T2589" s="1065" t="s">
        <v>8382</v>
      </c>
      <c r="U2589" s="1066">
        <v>2</v>
      </c>
      <c r="V2589" s="1035" t="s">
        <v>3</v>
      </c>
      <c r="W2589" s="1039">
        <v>484</v>
      </c>
      <c r="X2589" s="1040">
        <f t="shared" ref="X2589:X2592" si="533">W2589*U2589</f>
        <v>968</v>
      </c>
      <c r="Y2589" s="1045" t="s">
        <v>8383</v>
      </c>
      <c r="Z2589" s="1041">
        <v>213.44</v>
      </c>
      <c r="AA2589" s="1041"/>
      <c r="AB2589" s="1041">
        <f t="shared" ref="AB2589:AB2592" si="534">IF(AA2589="F.O.C", 0, Z2589*U2589)</f>
        <v>426.88</v>
      </c>
      <c r="AC2589" s="1042">
        <f t="shared" ref="AC2589:AC2592" si="535">Z2589*U2589</f>
        <v>426.88</v>
      </c>
      <c r="AD2589" s="1043">
        <v>32000</v>
      </c>
      <c r="AE2589" s="1044"/>
      <c r="AF2589" s="1045"/>
      <c r="AG2589" s="1046"/>
      <c r="AH2589" s="1045"/>
      <c r="AI2589" s="1047"/>
      <c r="AJ2589" s="1038"/>
      <c r="AK2589" s="1048"/>
      <c r="AL2589" s="1036"/>
      <c r="AM2589" s="1036"/>
      <c r="AN2589" s="1037"/>
      <c r="AO2589" s="1037"/>
      <c r="AP2589" s="1034"/>
      <c r="AQ2589" s="1035"/>
      <c r="AR2589" s="1034"/>
      <c r="AS2589" s="1035"/>
      <c r="AT2589" s="1035"/>
      <c r="AU2589" s="1035"/>
      <c r="AV2589" s="1038"/>
      <c r="AW2589" s="1050"/>
      <c r="AX2589" s="1051"/>
      <c r="AY2589" s="1036"/>
      <c r="AZ2589" s="1035"/>
      <c r="BA2589" s="1035"/>
      <c r="BB2589" s="1052"/>
      <c r="BC2589" s="1053"/>
      <c r="BD2589" s="1049"/>
      <c r="BE2589" s="1054"/>
      <c r="BF2589" s="1055"/>
      <c r="BG2589" s="1055"/>
      <c r="BH2589" s="1055"/>
      <c r="BI2589" s="1055"/>
      <c r="BJ2589" s="1055"/>
      <c r="BK2589" s="1055"/>
      <c r="BL2589" s="1055"/>
      <c r="BM2589" s="1055"/>
      <c r="BN2589" s="1055"/>
      <c r="BO2589" s="1056"/>
      <c r="BP2589" s="1056"/>
      <c r="BQ2589" s="1056"/>
      <c r="BR2589" s="1056"/>
      <c r="BS2589" s="1056"/>
      <c r="BT2589" s="1056"/>
      <c r="BU2589" s="1056"/>
      <c r="BV2589" s="1057"/>
      <c r="BW2589" s="1057"/>
      <c r="BX2589" s="1148"/>
      <c r="BY2589" s="1057"/>
      <c r="BZ2589" s="1057"/>
      <c r="CA2589" s="1057"/>
      <c r="CB2589" s="1032"/>
    </row>
    <row r="2590" spans="2:80">
      <c r="B2590" s="1033" t="s">
        <v>7731</v>
      </c>
      <c r="C2590" s="1033" t="s">
        <v>254</v>
      </c>
      <c r="D2590" s="1033" t="s">
        <v>8377</v>
      </c>
      <c r="E2590" s="1033" t="s">
        <v>8378</v>
      </c>
      <c r="F2590" s="1034">
        <v>46149</v>
      </c>
      <c r="G2590" s="1033" t="s">
        <v>254</v>
      </c>
      <c r="H2590" s="1063" t="s">
        <v>8379</v>
      </c>
      <c r="I2590" s="1063"/>
      <c r="J2590" s="1034"/>
      <c r="K2590" s="1034"/>
      <c r="L2590" s="1036" t="s">
        <v>106</v>
      </c>
      <c r="M2590" s="1037" t="s">
        <v>107</v>
      </c>
      <c r="N2590" s="1034"/>
      <c r="O2590" s="1064"/>
      <c r="P2590" s="1035"/>
      <c r="Q2590" s="1036"/>
      <c r="R2590" s="1038" t="s">
        <v>8384</v>
      </c>
      <c r="S2590" s="1131" t="s">
        <v>8385</v>
      </c>
      <c r="T2590" s="1036" t="s">
        <v>8386</v>
      </c>
      <c r="U2590" s="1066">
        <v>2</v>
      </c>
      <c r="V2590" s="1035" t="s">
        <v>3</v>
      </c>
      <c r="W2590" s="1039">
        <v>811</v>
      </c>
      <c r="X2590" s="1040">
        <f t="shared" si="533"/>
        <v>1622</v>
      </c>
      <c r="Y2590" s="1045" t="s">
        <v>8383</v>
      </c>
      <c r="Z2590" s="1041">
        <v>357.65</v>
      </c>
      <c r="AA2590" s="1041"/>
      <c r="AB2590" s="1041">
        <f t="shared" si="534"/>
        <v>715.3</v>
      </c>
      <c r="AC2590" s="1042">
        <f t="shared" si="535"/>
        <v>715.3</v>
      </c>
      <c r="AD2590" s="1043">
        <v>32000</v>
      </c>
      <c r="AE2590" s="1044"/>
      <c r="AF2590" s="1045"/>
      <c r="AG2590" s="1046"/>
      <c r="AH2590" s="1045"/>
      <c r="AI2590" s="1047"/>
      <c r="AJ2590" s="1038"/>
      <c r="AK2590" s="1048"/>
      <c r="AL2590" s="1036"/>
      <c r="AM2590" s="1036"/>
      <c r="AN2590" s="1037"/>
      <c r="AO2590" s="1037"/>
      <c r="AP2590" s="1034"/>
      <c r="AQ2590" s="1035"/>
      <c r="AR2590" s="1034"/>
      <c r="AS2590" s="1035"/>
      <c r="AT2590" s="1035"/>
      <c r="AU2590" s="1035"/>
      <c r="AV2590" s="1038"/>
      <c r="AW2590" s="1050"/>
      <c r="AX2590" s="1051"/>
      <c r="AY2590" s="1036"/>
      <c r="AZ2590" s="1035"/>
      <c r="BA2590" s="1035"/>
      <c r="BB2590" s="1052"/>
      <c r="BC2590" s="1053"/>
      <c r="BD2590" s="1049"/>
      <c r="BE2590" s="1054"/>
      <c r="BF2590" s="1055"/>
      <c r="BG2590" s="1055"/>
      <c r="BH2590" s="1055"/>
      <c r="BI2590" s="1055"/>
      <c r="BJ2590" s="1055"/>
      <c r="BK2590" s="1055"/>
      <c r="BL2590" s="1055"/>
      <c r="BM2590" s="1055"/>
      <c r="BN2590" s="1055"/>
      <c r="BO2590" s="1056"/>
      <c r="BP2590" s="1056"/>
      <c r="BQ2590" s="1056"/>
      <c r="BR2590" s="1056"/>
      <c r="BS2590" s="1056"/>
      <c r="BT2590" s="1056"/>
      <c r="BU2590" s="1056"/>
      <c r="BV2590" s="1057"/>
      <c r="BW2590" s="1057"/>
      <c r="BX2590" s="1148"/>
      <c r="BY2590" s="1057"/>
      <c r="BZ2590" s="1057"/>
      <c r="CA2590" s="1057"/>
      <c r="CB2590" s="1032"/>
    </row>
    <row r="2591" spans="2:80">
      <c r="B2591" s="1033" t="s">
        <v>7731</v>
      </c>
      <c r="C2591" s="1033" t="s">
        <v>254</v>
      </c>
      <c r="D2591" s="1033" t="s">
        <v>8377</v>
      </c>
      <c r="E2591" s="1033" t="s">
        <v>8378</v>
      </c>
      <c r="F2591" s="1034">
        <v>46149</v>
      </c>
      <c r="G2591" s="1033" t="s">
        <v>254</v>
      </c>
      <c r="H2591" s="1063" t="s">
        <v>8379</v>
      </c>
      <c r="I2591" s="1063"/>
      <c r="J2591" s="1034"/>
      <c r="K2591" s="1034"/>
      <c r="L2591" s="1036" t="s">
        <v>106</v>
      </c>
      <c r="M2591" s="1037" t="s">
        <v>107</v>
      </c>
      <c r="N2591" s="1034"/>
      <c r="O2591" s="1064"/>
      <c r="P2591" s="1035"/>
      <c r="Q2591" s="1036"/>
      <c r="R2591" s="1038" t="s">
        <v>8387</v>
      </c>
      <c r="S2591" s="1131" t="s">
        <v>8388</v>
      </c>
      <c r="T2591" s="1065" t="s">
        <v>8389</v>
      </c>
      <c r="U2591" s="1066">
        <v>2</v>
      </c>
      <c r="V2591" s="1035" t="s">
        <v>3</v>
      </c>
      <c r="W2591" s="1039">
        <v>1230</v>
      </c>
      <c r="X2591" s="1040">
        <f t="shared" si="533"/>
        <v>2460</v>
      </c>
      <c r="Y2591" s="1045" t="s">
        <v>8383</v>
      </c>
      <c r="Z2591" s="1041">
        <v>542.42999999999995</v>
      </c>
      <c r="AA2591" s="1041"/>
      <c r="AB2591" s="1041">
        <f t="shared" si="534"/>
        <v>1084.8599999999999</v>
      </c>
      <c r="AC2591" s="1042">
        <f t="shared" si="535"/>
        <v>1084.8599999999999</v>
      </c>
      <c r="AD2591" s="1043">
        <v>32000</v>
      </c>
      <c r="AE2591" s="1044"/>
      <c r="AF2591" s="1045"/>
      <c r="AG2591" s="1046"/>
      <c r="AH2591" s="1045"/>
      <c r="AI2591" s="1047"/>
      <c r="AJ2591" s="1038"/>
      <c r="AK2591" s="1048"/>
      <c r="AL2591" s="1036"/>
      <c r="AM2591" s="1036"/>
      <c r="AN2591" s="1037"/>
      <c r="AO2591" s="1037"/>
      <c r="AP2591" s="1034"/>
      <c r="AQ2591" s="1035"/>
      <c r="AR2591" s="1034"/>
      <c r="AS2591" s="1035"/>
      <c r="AT2591" s="1035"/>
      <c r="AU2591" s="1035"/>
      <c r="AV2591" s="1038"/>
      <c r="AW2591" s="1050"/>
      <c r="AX2591" s="1051"/>
      <c r="AY2591" s="1036"/>
      <c r="AZ2591" s="1035"/>
      <c r="BA2591" s="1035"/>
      <c r="BB2591" s="1052"/>
      <c r="BC2591" s="1053"/>
      <c r="BD2591" s="1049"/>
      <c r="BE2591" s="1054"/>
      <c r="BF2591" s="1055"/>
      <c r="BG2591" s="1055"/>
      <c r="BH2591" s="1055"/>
      <c r="BI2591" s="1055"/>
      <c r="BJ2591" s="1055"/>
      <c r="BK2591" s="1055"/>
      <c r="BL2591" s="1055"/>
      <c r="BM2591" s="1055"/>
      <c r="BN2591" s="1055"/>
      <c r="BO2591" s="1056"/>
      <c r="BP2591" s="1056"/>
      <c r="BQ2591" s="1056"/>
      <c r="BR2591" s="1056"/>
      <c r="BS2591" s="1056"/>
      <c r="BT2591" s="1056"/>
      <c r="BU2591" s="1056"/>
      <c r="BV2591" s="1057"/>
      <c r="BW2591" s="1057"/>
      <c r="BX2591" s="1148"/>
      <c r="BY2591" s="1057"/>
      <c r="BZ2591" s="1057"/>
      <c r="CA2591" s="1057"/>
      <c r="CB2591" s="944"/>
    </row>
    <row r="2592" spans="2:80">
      <c r="B2592" s="1033" t="s">
        <v>7731</v>
      </c>
      <c r="C2592" s="1033" t="s">
        <v>254</v>
      </c>
      <c r="D2592" s="1033" t="s">
        <v>8377</v>
      </c>
      <c r="E2592" s="1033" t="s">
        <v>8377</v>
      </c>
      <c r="F2592" s="1034">
        <v>46175</v>
      </c>
      <c r="G2592" s="1033" t="s">
        <v>254</v>
      </c>
      <c r="H2592" s="1063" t="s">
        <v>102</v>
      </c>
      <c r="I2592" s="1063" t="s">
        <v>8390</v>
      </c>
      <c r="J2592" s="1034"/>
      <c r="K2592" s="1034"/>
      <c r="L2592" s="1036" t="s">
        <v>106</v>
      </c>
      <c r="M2592" s="1037" t="s">
        <v>107</v>
      </c>
      <c r="N2592" s="1034"/>
      <c r="O2592" s="1064"/>
      <c r="P2592" s="1035"/>
      <c r="Q2592" s="1036"/>
      <c r="R2592" s="1038" t="s">
        <v>8391</v>
      </c>
      <c r="S2592" s="1131" t="s">
        <v>8392</v>
      </c>
      <c r="T2592" s="1065" t="s">
        <v>8393</v>
      </c>
      <c r="U2592" s="1066">
        <v>1</v>
      </c>
      <c r="V2592" s="1035" t="s">
        <v>3</v>
      </c>
      <c r="W2592" s="1039">
        <v>459</v>
      </c>
      <c r="X2592" s="1040">
        <f t="shared" si="533"/>
        <v>459</v>
      </c>
      <c r="Y2592" s="1045" t="s">
        <v>8394</v>
      </c>
      <c r="Z2592" s="1041">
        <v>224.91</v>
      </c>
      <c r="AA2592" s="1041"/>
      <c r="AB2592" s="1041">
        <f t="shared" si="534"/>
        <v>224.91</v>
      </c>
      <c r="AC2592" s="1042">
        <f t="shared" si="535"/>
        <v>224.91</v>
      </c>
      <c r="AD2592" s="1043">
        <v>32000</v>
      </c>
      <c r="AE2592" s="1044"/>
      <c r="AF2592" s="1045"/>
      <c r="AG2592" s="1046"/>
      <c r="AH2592" s="1045"/>
      <c r="AI2592" s="1047"/>
      <c r="AJ2592" s="1038"/>
      <c r="AK2592" s="1048"/>
      <c r="AL2592" s="1036"/>
      <c r="AM2592" s="1036"/>
      <c r="AN2592" s="1037"/>
      <c r="AO2592" s="1037"/>
      <c r="AP2592" s="1034"/>
      <c r="AQ2592" s="1035"/>
      <c r="AR2592" s="1034"/>
      <c r="AS2592" s="1035"/>
      <c r="AT2592" s="1035"/>
      <c r="AU2592" s="1035"/>
      <c r="AV2592" s="1038"/>
      <c r="AW2592" s="1050"/>
      <c r="AX2592" s="1051"/>
      <c r="AY2592" s="1036"/>
      <c r="AZ2592" s="1035"/>
      <c r="BA2592" s="1035"/>
      <c r="BB2592" s="1052"/>
      <c r="BC2592" s="1053"/>
      <c r="BD2592" s="1049"/>
      <c r="BE2592" s="1054"/>
      <c r="BF2592" s="1055"/>
      <c r="BG2592" s="1055"/>
      <c r="BH2592" s="1055"/>
      <c r="BI2592" s="1055"/>
      <c r="BJ2592" s="1055"/>
      <c r="BK2592" s="1055"/>
      <c r="BL2592" s="1055"/>
      <c r="BM2592" s="1055"/>
      <c r="BN2592" s="1055"/>
      <c r="BO2592" s="1056"/>
      <c r="BP2592" s="1056"/>
      <c r="BQ2592" s="1056"/>
      <c r="BR2592" s="1056"/>
      <c r="BS2592" s="1056"/>
      <c r="BT2592" s="1056"/>
      <c r="BU2592" s="1056"/>
      <c r="BV2592" s="1057"/>
      <c r="BW2592" s="1057"/>
      <c r="BX2592" s="1148"/>
      <c r="BY2592" s="1057"/>
      <c r="BZ2592" s="1057"/>
      <c r="CA2592" s="1057"/>
      <c r="CB2592" s="944"/>
    </row>
    <row r="2593" spans="2:80">
      <c r="B2593" s="1033"/>
      <c r="C2593" s="1033"/>
      <c r="D2593" s="1033"/>
      <c r="E2593" s="1033"/>
      <c r="F2593" s="1034"/>
      <c r="G2593" s="1033"/>
      <c r="H2593" s="1063"/>
      <c r="I2593" s="1063"/>
      <c r="J2593" s="1034"/>
      <c r="K2593" s="1034"/>
      <c r="L2593" s="1036"/>
      <c r="M2593" s="1037"/>
      <c r="N2593" s="1034"/>
      <c r="O2593" s="1064"/>
      <c r="P2593" s="1035"/>
      <c r="Q2593" s="1036"/>
      <c r="R2593" s="1038"/>
      <c r="S2593" s="1131"/>
      <c r="T2593" s="1065"/>
      <c r="U2593" s="1066"/>
      <c r="V2593" s="1035"/>
      <c r="W2593" s="1039"/>
      <c r="X2593" s="1040"/>
      <c r="Y2593" s="1045"/>
      <c r="Z2593" s="1041"/>
      <c r="AA2593" s="1041"/>
      <c r="AB2593" s="1041"/>
      <c r="AC2593" s="1042"/>
      <c r="AD2593" s="1043"/>
      <c r="AE2593" s="1044"/>
      <c r="AF2593" s="1045"/>
      <c r="AG2593" s="1046"/>
      <c r="AH2593" s="1045"/>
      <c r="AI2593" s="1047"/>
      <c r="AJ2593" s="1038"/>
      <c r="AK2593" s="1048"/>
      <c r="AL2593" s="1036"/>
      <c r="AM2593" s="1036"/>
      <c r="AN2593" s="1037"/>
      <c r="AO2593" s="1037"/>
      <c r="AP2593" s="1034"/>
      <c r="AQ2593" s="1035"/>
      <c r="AR2593" s="1034"/>
      <c r="AS2593" s="1035"/>
      <c r="AT2593" s="1035"/>
      <c r="AU2593" s="1035"/>
      <c r="AV2593" s="1038"/>
      <c r="AW2593" s="1050"/>
      <c r="AX2593" s="1051"/>
      <c r="AY2593" s="1036"/>
      <c r="AZ2593" s="1035"/>
      <c r="BA2593" s="1035"/>
      <c r="BB2593" s="1052"/>
      <c r="BC2593" s="1053"/>
      <c r="BD2593" s="1049"/>
      <c r="BE2593" s="1054"/>
      <c r="BF2593" s="1055"/>
      <c r="BG2593" s="1055"/>
      <c r="BH2593" s="1055"/>
      <c r="BI2593" s="1055"/>
      <c r="BJ2593" s="1055"/>
      <c r="BK2593" s="1055"/>
      <c r="BL2593" s="1055"/>
      <c r="BM2593" s="1055"/>
      <c r="BN2593" s="1055"/>
      <c r="BO2593" s="1056"/>
      <c r="BP2593" s="1056"/>
      <c r="BQ2593" s="1056"/>
      <c r="BR2593" s="1056"/>
      <c r="BS2593" s="1056"/>
      <c r="BT2593" s="1056"/>
      <c r="BU2593" s="1056"/>
      <c r="BV2593" s="1057"/>
      <c r="BW2593" s="1057"/>
      <c r="BX2593" s="1148"/>
      <c r="BY2593" s="1057"/>
      <c r="BZ2593" s="1057"/>
      <c r="CA2593" s="1057"/>
      <c r="CB2593" s="944"/>
    </row>
    <row r="2594" spans="2:80">
      <c r="B2594" s="1033" t="s">
        <v>8184</v>
      </c>
      <c r="C2594" s="1033" t="s">
        <v>254</v>
      </c>
      <c r="D2594" s="1033"/>
      <c r="E2594" s="1033" t="s">
        <v>8378</v>
      </c>
      <c r="F2594" s="1034">
        <v>46149</v>
      </c>
      <c r="G2594" s="1033" t="s">
        <v>254</v>
      </c>
      <c r="H2594" s="1063" t="s">
        <v>8379</v>
      </c>
      <c r="I2594" s="1063"/>
      <c r="J2594" s="1034"/>
      <c r="K2594" s="1034"/>
      <c r="L2594" s="1036" t="s">
        <v>106</v>
      </c>
      <c r="M2594" s="1037" t="s">
        <v>107</v>
      </c>
      <c r="N2594" s="1034"/>
      <c r="O2594" s="1064"/>
      <c r="P2594" s="1035"/>
      <c r="Q2594" s="1036"/>
      <c r="R2594" s="1038" t="s">
        <v>8395</v>
      </c>
      <c r="S2594" s="1131" t="s">
        <v>8396</v>
      </c>
      <c r="T2594" s="1036" t="s">
        <v>8397</v>
      </c>
      <c r="U2594" s="1066">
        <v>1</v>
      </c>
      <c r="V2594" s="1035" t="s">
        <v>3</v>
      </c>
      <c r="W2594" s="1039">
        <v>1566</v>
      </c>
      <c r="X2594" s="1040">
        <f>W2594*U2594</f>
        <v>1566</v>
      </c>
      <c r="Y2594" s="1045" t="s">
        <v>8383</v>
      </c>
      <c r="Z2594" s="1041">
        <v>690.61</v>
      </c>
      <c r="AA2594" s="1041"/>
      <c r="AB2594" s="1041">
        <f>IF(AA2594="F.O.C", 0, Z2594*U2594)</f>
        <v>690.61</v>
      </c>
      <c r="AC2594" s="1042">
        <f>Z2594*U2594</f>
        <v>690.61</v>
      </c>
      <c r="AD2594" s="1043">
        <v>32000</v>
      </c>
      <c r="AE2594" s="1044"/>
      <c r="AF2594" s="1045"/>
      <c r="AG2594" s="1046"/>
      <c r="AH2594" s="1045"/>
      <c r="AI2594" s="1047"/>
      <c r="AJ2594" s="1038"/>
      <c r="AK2594" s="1048"/>
      <c r="AL2594" s="1036"/>
      <c r="AM2594" s="1036"/>
      <c r="AN2594" s="1037"/>
      <c r="AO2594" s="1037"/>
      <c r="AP2594" s="1034"/>
      <c r="AQ2594" s="1035"/>
      <c r="AR2594" s="1034"/>
      <c r="AS2594" s="1035"/>
      <c r="AT2594" s="1035"/>
      <c r="AU2594" s="1035"/>
      <c r="AV2594" s="1038"/>
      <c r="AW2594" s="1050"/>
      <c r="AX2594" s="1051"/>
      <c r="AY2594" s="1036"/>
      <c r="AZ2594" s="1035"/>
      <c r="BA2594" s="1035"/>
      <c r="BB2594" s="1052"/>
      <c r="BC2594" s="1053"/>
      <c r="BD2594" s="1049"/>
      <c r="BE2594" s="1054"/>
      <c r="BF2594" s="1055"/>
      <c r="BG2594" s="1055"/>
      <c r="BH2594" s="1055"/>
      <c r="BI2594" s="1055"/>
      <c r="BJ2594" s="1055"/>
      <c r="BK2594" s="1055"/>
      <c r="BL2594" s="1055"/>
      <c r="BM2594" s="1055"/>
      <c r="BN2594" s="1055"/>
      <c r="BO2594" s="1056"/>
      <c r="BP2594" s="1056"/>
      <c r="BQ2594" s="1056"/>
      <c r="BR2594" s="1056"/>
      <c r="BS2594" s="1056"/>
      <c r="BT2594" s="1056"/>
      <c r="BU2594" s="1056"/>
      <c r="BV2594" s="1057"/>
      <c r="BW2594" s="1057"/>
      <c r="BX2594" s="1148"/>
      <c r="BY2594" s="1057"/>
      <c r="BZ2594" s="1057"/>
      <c r="CA2594" s="1057"/>
      <c r="CB2594" s="1032"/>
    </row>
    <row r="2595" spans="2:80">
      <c r="B2595" s="1033" t="s">
        <v>8184</v>
      </c>
      <c r="C2595" s="1033" t="s">
        <v>254</v>
      </c>
      <c r="D2595" s="1033"/>
      <c r="E2595" s="1033" t="s">
        <v>8378</v>
      </c>
      <c r="F2595" s="1034">
        <v>46149</v>
      </c>
      <c r="G2595" s="1033" t="s">
        <v>254</v>
      </c>
      <c r="H2595" s="1063" t="s">
        <v>8379</v>
      </c>
      <c r="I2595" s="1063"/>
      <c r="J2595" s="1034"/>
      <c r="K2595" s="1034"/>
      <c r="L2595" s="1036" t="s">
        <v>106</v>
      </c>
      <c r="M2595" s="1037" t="s">
        <v>107</v>
      </c>
      <c r="N2595" s="1034"/>
      <c r="O2595" s="1064"/>
      <c r="P2595" s="1035"/>
      <c r="Q2595" s="1036"/>
      <c r="R2595" s="1038" t="s">
        <v>8398</v>
      </c>
      <c r="S2595" s="1131" t="s">
        <v>8399</v>
      </c>
      <c r="T2595" s="1036" t="s">
        <v>8400</v>
      </c>
      <c r="U2595" s="1066">
        <v>1</v>
      </c>
      <c r="V2595" s="1035" t="s">
        <v>3</v>
      </c>
      <c r="W2595" s="1039">
        <v>1566</v>
      </c>
      <c r="X2595" s="1040">
        <f>W2595*U2595</f>
        <v>1566</v>
      </c>
      <c r="Y2595" s="1045" t="s">
        <v>8383</v>
      </c>
      <c r="Z2595" s="1041">
        <v>690.61</v>
      </c>
      <c r="AA2595" s="1041"/>
      <c r="AB2595" s="1041">
        <f>IF(AA2595="F.O.C", 0, Z2595*U2595)</f>
        <v>690.61</v>
      </c>
      <c r="AC2595" s="1042">
        <f>Z2595*U2595</f>
        <v>690.61</v>
      </c>
      <c r="AD2595" s="1043">
        <v>32000</v>
      </c>
      <c r="AE2595" s="1044"/>
      <c r="AF2595" s="1045"/>
      <c r="AG2595" s="1046"/>
      <c r="AH2595" s="1045"/>
      <c r="AI2595" s="1047"/>
      <c r="AJ2595" s="1038"/>
      <c r="AK2595" s="1048"/>
      <c r="AL2595" s="1036"/>
      <c r="AM2595" s="1036"/>
      <c r="AN2595" s="1037"/>
      <c r="AO2595" s="1037"/>
      <c r="AP2595" s="1034"/>
      <c r="AQ2595" s="1035"/>
      <c r="AR2595" s="1034"/>
      <c r="AS2595" s="1035"/>
      <c r="AT2595" s="1035"/>
      <c r="AU2595" s="1035"/>
      <c r="AV2595" s="1038"/>
      <c r="AW2595" s="1050"/>
      <c r="AX2595" s="1051"/>
      <c r="AY2595" s="1036"/>
      <c r="AZ2595" s="1035"/>
      <c r="BA2595" s="1035"/>
      <c r="BB2595" s="1052"/>
      <c r="BC2595" s="1053"/>
      <c r="BD2595" s="1049"/>
      <c r="BE2595" s="1054"/>
      <c r="BF2595" s="1055"/>
      <c r="BG2595" s="1055"/>
      <c r="BH2595" s="1055"/>
      <c r="BI2595" s="1055"/>
      <c r="BJ2595" s="1055"/>
      <c r="BK2595" s="1055"/>
      <c r="BL2595" s="1055"/>
      <c r="BM2595" s="1055"/>
      <c r="BN2595" s="1055"/>
      <c r="BO2595" s="1056"/>
      <c r="BP2595" s="1056"/>
      <c r="BQ2595" s="1056"/>
      <c r="BR2595" s="1056"/>
      <c r="BS2595" s="1056"/>
      <c r="BT2595" s="1056"/>
      <c r="BU2595" s="1056"/>
      <c r="BV2595" s="1057"/>
      <c r="BW2595" s="1057"/>
      <c r="BX2595" s="1148"/>
      <c r="BY2595" s="1057"/>
      <c r="BZ2595" s="1057"/>
      <c r="CA2595" s="1057"/>
      <c r="CB2595" s="1032"/>
    </row>
    <row r="2596" spans="2:80">
      <c r="B2596" s="1033" t="s">
        <v>8184</v>
      </c>
      <c r="C2596" s="1033" t="s">
        <v>254</v>
      </c>
      <c r="D2596" s="1033"/>
      <c r="E2596" s="1033" t="s">
        <v>8378</v>
      </c>
      <c r="F2596" s="1034">
        <v>46149</v>
      </c>
      <c r="G2596" s="1033" t="s">
        <v>254</v>
      </c>
      <c r="H2596" s="1063" t="s">
        <v>8379</v>
      </c>
      <c r="I2596" s="1063"/>
      <c r="J2596" s="1034"/>
      <c r="K2596" s="1034"/>
      <c r="L2596" s="1036" t="s">
        <v>106</v>
      </c>
      <c r="M2596" s="1037" t="s">
        <v>107</v>
      </c>
      <c r="N2596" s="1034"/>
      <c r="O2596" s="1064"/>
      <c r="P2596" s="1035"/>
      <c r="Q2596" s="1036"/>
      <c r="R2596" s="1038" t="s">
        <v>8401</v>
      </c>
      <c r="S2596" s="1131" t="s">
        <v>8402</v>
      </c>
      <c r="T2596" s="1036" t="s">
        <v>8403</v>
      </c>
      <c r="U2596" s="1066">
        <v>2</v>
      </c>
      <c r="V2596" s="1035" t="s">
        <v>3</v>
      </c>
      <c r="W2596" s="1039">
        <v>311</v>
      </c>
      <c r="X2596" s="1040">
        <f>W2596*U2596</f>
        <v>622</v>
      </c>
      <c r="Y2596" s="1045" t="s">
        <v>8383</v>
      </c>
      <c r="Z2596" s="1041">
        <v>137.15</v>
      </c>
      <c r="AA2596" s="1041"/>
      <c r="AB2596" s="1041">
        <f>IF(AA2596="F.O.C", 0, Z2596*U2596)</f>
        <v>274.3</v>
      </c>
      <c r="AC2596" s="1042">
        <f>Z2596*U2596</f>
        <v>274.3</v>
      </c>
      <c r="AD2596" s="1043">
        <v>32000</v>
      </c>
      <c r="AE2596" s="1044"/>
      <c r="AF2596" s="1045"/>
      <c r="AG2596" s="1046"/>
      <c r="AH2596" s="1045"/>
      <c r="AI2596" s="1047"/>
      <c r="AJ2596" s="1038"/>
      <c r="AK2596" s="1048"/>
      <c r="AL2596" s="1036"/>
      <c r="AM2596" s="1036"/>
      <c r="AN2596" s="1037"/>
      <c r="AO2596" s="1037"/>
      <c r="AP2596" s="1034"/>
      <c r="AQ2596" s="1035"/>
      <c r="AR2596" s="1034"/>
      <c r="AS2596" s="1035"/>
      <c r="AT2596" s="1035"/>
      <c r="AU2596" s="1035"/>
      <c r="AV2596" s="1038"/>
      <c r="AW2596" s="1050"/>
      <c r="AX2596" s="1051"/>
      <c r="AY2596" s="1036"/>
      <c r="AZ2596" s="1035"/>
      <c r="BA2596" s="1035"/>
      <c r="BB2596" s="1052"/>
      <c r="BC2596" s="1053"/>
      <c r="BD2596" s="1049"/>
      <c r="BE2596" s="1054"/>
      <c r="BF2596" s="1055"/>
      <c r="BG2596" s="1055"/>
      <c r="BH2596" s="1055"/>
      <c r="BI2596" s="1055"/>
      <c r="BJ2596" s="1055"/>
      <c r="BK2596" s="1055"/>
      <c r="BL2596" s="1055"/>
      <c r="BM2596" s="1055"/>
      <c r="BN2596" s="1055"/>
      <c r="BO2596" s="1056"/>
      <c r="BP2596" s="1056"/>
      <c r="BQ2596" s="1056"/>
      <c r="BR2596" s="1056"/>
      <c r="BS2596" s="1056"/>
      <c r="BT2596" s="1056"/>
      <c r="BU2596" s="1056"/>
      <c r="BV2596" s="1057"/>
      <c r="BW2596" s="1057"/>
      <c r="BX2596" s="1148"/>
      <c r="BY2596" s="1057"/>
      <c r="BZ2596" s="1057"/>
      <c r="CA2596" s="1057"/>
      <c r="CB2596" s="1032"/>
    </row>
    <row r="2597" spans="2:80">
      <c r="B2597" s="1033" t="s">
        <v>8184</v>
      </c>
      <c r="C2597" s="1033" t="s">
        <v>254</v>
      </c>
      <c r="D2597" s="1033"/>
      <c r="E2597" s="1033" t="s">
        <v>8378</v>
      </c>
      <c r="F2597" s="1034">
        <v>46149</v>
      </c>
      <c r="G2597" s="1033" t="s">
        <v>254</v>
      </c>
      <c r="H2597" s="1063" t="s">
        <v>8379</v>
      </c>
      <c r="I2597" s="1063"/>
      <c r="J2597" s="1034"/>
      <c r="K2597" s="1034"/>
      <c r="L2597" s="1036" t="s">
        <v>106</v>
      </c>
      <c r="M2597" s="1037" t="s">
        <v>107</v>
      </c>
      <c r="N2597" s="1034"/>
      <c r="O2597" s="1064"/>
      <c r="P2597" s="1035"/>
      <c r="Q2597" s="1036"/>
      <c r="R2597" s="1038" t="s">
        <v>8404</v>
      </c>
      <c r="S2597" s="1131" t="s">
        <v>8405</v>
      </c>
      <c r="T2597" s="1065" t="s">
        <v>8406</v>
      </c>
      <c r="U2597" s="1066">
        <v>2</v>
      </c>
      <c r="V2597" s="1035" t="s">
        <v>3</v>
      </c>
      <c r="W2597" s="1039">
        <v>311</v>
      </c>
      <c r="X2597" s="1040">
        <f>W2597*U2597</f>
        <v>622</v>
      </c>
      <c r="Y2597" s="1045" t="s">
        <v>8383</v>
      </c>
      <c r="Z2597" s="1041">
        <v>137.15</v>
      </c>
      <c r="AA2597" s="1041"/>
      <c r="AB2597" s="1041">
        <f>IF(AA2597="F.O.C", 0, Z2597*U2597)</f>
        <v>274.3</v>
      </c>
      <c r="AC2597" s="1042">
        <f>Z2597*U2597</f>
        <v>274.3</v>
      </c>
      <c r="AD2597" s="1043">
        <v>32000</v>
      </c>
      <c r="AE2597" s="1044"/>
      <c r="AF2597" s="1045"/>
      <c r="AG2597" s="1046"/>
      <c r="AH2597" s="1045"/>
      <c r="AI2597" s="1047"/>
      <c r="AJ2597" s="1038"/>
      <c r="AK2597" s="1048"/>
      <c r="AL2597" s="1036"/>
      <c r="AM2597" s="1036"/>
      <c r="AN2597" s="1037"/>
      <c r="AO2597" s="1037"/>
      <c r="AP2597" s="1034"/>
      <c r="AQ2597" s="1035"/>
      <c r="AR2597" s="1034"/>
      <c r="AS2597" s="1035"/>
      <c r="AT2597" s="1035"/>
      <c r="AU2597" s="1035"/>
      <c r="AV2597" s="1038"/>
      <c r="AW2597" s="1050"/>
      <c r="AX2597" s="1051"/>
      <c r="AY2597" s="1036"/>
      <c r="AZ2597" s="1035"/>
      <c r="BA2597" s="1035"/>
      <c r="BB2597" s="1052"/>
      <c r="BC2597" s="1053"/>
      <c r="BD2597" s="1049"/>
      <c r="BE2597" s="1054"/>
      <c r="BF2597" s="1055"/>
      <c r="BG2597" s="1055"/>
      <c r="BH2597" s="1055"/>
      <c r="BI2597" s="1055"/>
      <c r="BJ2597" s="1055"/>
      <c r="BK2597" s="1055"/>
      <c r="BL2597" s="1055"/>
      <c r="BM2597" s="1055"/>
      <c r="BN2597" s="1055"/>
      <c r="BO2597" s="1056"/>
      <c r="BP2597" s="1056"/>
      <c r="BQ2597" s="1056"/>
      <c r="BR2597" s="1056"/>
      <c r="BS2597" s="1056"/>
      <c r="BT2597" s="1056"/>
      <c r="BU2597" s="1056"/>
      <c r="BV2597" s="1057"/>
      <c r="BW2597" s="1057"/>
      <c r="BX2597" s="1148"/>
      <c r="BY2597" s="1057"/>
      <c r="BZ2597" s="1057"/>
      <c r="CA2597" s="1057"/>
      <c r="CB2597" s="1032"/>
    </row>
    <row r="2598" spans="2:80">
      <c r="B2598" s="1033" t="s">
        <v>8184</v>
      </c>
      <c r="C2598" s="1033" t="s">
        <v>254</v>
      </c>
      <c r="D2598" s="1033"/>
      <c r="E2598" s="1033" t="s">
        <v>8407</v>
      </c>
      <c r="F2598" s="1034">
        <v>46183</v>
      </c>
      <c r="G2598" s="1033" t="s">
        <v>254</v>
      </c>
      <c r="H2598" s="1063" t="s">
        <v>134</v>
      </c>
      <c r="I2598" s="1063"/>
      <c r="J2598" s="1034"/>
      <c r="K2598" s="1034"/>
      <c r="L2598" s="1036" t="s">
        <v>106</v>
      </c>
      <c r="M2598" s="1037" t="s">
        <v>107</v>
      </c>
      <c r="N2598" s="1034"/>
      <c r="O2598" s="1064"/>
      <c r="P2598" s="1035"/>
      <c r="Q2598" s="1036"/>
      <c r="R2598" s="1038" t="s">
        <v>8408</v>
      </c>
      <c r="S2598" s="1131" t="s">
        <v>2515</v>
      </c>
      <c r="T2598" s="1065" t="s">
        <v>8409</v>
      </c>
      <c r="U2598" s="1066">
        <v>2</v>
      </c>
      <c r="V2598" s="1035" t="s">
        <v>3</v>
      </c>
      <c r="W2598" s="1039">
        <v>2213</v>
      </c>
      <c r="X2598" s="1040">
        <f t="shared" si="508"/>
        <v>4426</v>
      </c>
      <c r="Y2598" s="1045" t="s">
        <v>8383</v>
      </c>
      <c r="Z2598" s="1041">
        <v>975.93</v>
      </c>
      <c r="AA2598" s="1041"/>
      <c r="AB2598" s="1041">
        <f t="shared" ref="AB2598:AB2613" si="536">IF(AA2598="F.O.C", 0, Z2598*U2598)</f>
        <v>1951.86</v>
      </c>
      <c r="AC2598" s="1042">
        <f t="shared" ref="AC2598:AC2613" si="537">Z2598*U2598</f>
        <v>1951.86</v>
      </c>
      <c r="AD2598" s="1043">
        <v>32000</v>
      </c>
      <c r="AE2598" s="1044"/>
      <c r="AF2598" s="1045"/>
      <c r="AG2598" s="1046"/>
      <c r="AH2598" s="1045"/>
      <c r="AI2598" s="1047"/>
      <c r="AJ2598" s="1038"/>
      <c r="AK2598" s="1048"/>
      <c r="AL2598" s="1036"/>
      <c r="AM2598" s="1036"/>
      <c r="AN2598" s="1037"/>
      <c r="AO2598" s="1037"/>
      <c r="AP2598" s="1034"/>
      <c r="AQ2598" s="1035"/>
      <c r="AR2598" s="1034"/>
      <c r="AS2598" s="1035"/>
      <c r="AT2598" s="1035"/>
      <c r="AU2598" s="1035"/>
      <c r="AV2598" s="1038"/>
      <c r="AW2598" s="1050"/>
      <c r="AX2598" s="1051"/>
      <c r="AY2598" s="1036"/>
      <c r="AZ2598" s="1035"/>
      <c r="BA2598" s="1035"/>
      <c r="BB2598" s="1052"/>
      <c r="BC2598" s="1053"/>
      <c r="BD2598" s="1049"/>
      <c r="BE2598" s="1054"/>
      <c r="BF2598" s="1055"/>
      <c r="BG2598" s="1055"/>
      <c r="BH2598" s="1055"/>
      <c r="BI2598" s="1055"/>
      <c r="BJ2598" s="1055"/>
      <c r="BK2598" s="1055"/>
      <c r="BL2598" s="1055"/>
      <c r="BM2598" s="1055"/>
      <c r="BN2598" s="1055"/>
      <c r="BO2598" s="1056"/>
      <c r="BP2598" s="1056"/>
      <c r="BQ2598" s="1056"/>
      <c r="BR2598" s="1056"/>
      <c r="BS2598" s="1056"/>
      <c r="BT2598" s="1056"/>
      <c r="BU2598" s="1056"/>
      <c r="BV2598" s="1057"/>
      <c r="BW2598" s="1057"/>
      <c r="BX2598" s="1148"/>
      <c r="BY2598" s="1057"/>
      <c r="BZ2598" s="1057"/>
      <c r="CA2598" s="1057"/>
      <c r="CB2598" s="944"/>
    </row>
    <row r="2599" spans="2:80">
      <c r="B2599" s="1033" t="s">
        <v>8184</v>
      </c>
      <c r="C2599" s="1033" t="s">
        <v>254</v>
      </c>
      <c r="D2599" s="1033"/>
      <c r="E2599" s="1033" t="s">
        <v>8407</v>
      </c>
      <c r="F2599" s="1034">
        <v>46183</v>
      </c>
      <c r="G2599" s="1033" t="s">
        <v>254</v>
      </c>
      <c r="H2599" s="1063" t="s">
        <v>134</v>
      </c>
      <c r="I2599" s="1063"/>
      <c r="J2599" s="1034"/>
      <c r="K2599" s="1034"/>
      <c r="L2599" s="1036" t="s">
        <v>106</v>
      </c>
      <c r="M2599" s="1037" t="s">
        <v>107</v>
      </c>
      <c r="N2599" s="1034"/>
      <c r="O2599" s="1064"/>
      <c r="P2599" s="1035"/>
      <c r="Q2599" s="1036"/>
      <c r="R2599" s="1038" t="s">
        <v>8410</v>
      </c>
      <c r="S2599" s="1131" t="s">
        <v>8411</v>
      </c>
      <c r="T2599" s="1065" t="s">
        <v>8412</v>
      </c>
      <c r="U2599" s="1066">
        <v>2</v>
      </c>
      <c r="V2599" s="1035" t="s">
        <v>3</v>
      </c>
      <c r="W2599" s="1039">
        <v>4631.1475409836066</v>
      </c>
      <c r="X2599" s="1040">
        <f t="shared" si="508"/>
        <v>9262.2950819672133</v>
      </c>
      <c r="Y2599" s="1045" t="s">
        <v>8383</v>
      </c>
      <c r="Z2599" s="1041">
        <v>2042.34</v>
      </c>
      <c r="AA2599" s="1041"/>
      <c r="AB2599" s="1041">
        <f t="shared" si="536"/>
        <v>4084.68</v>
      </c>
      <c r="AC2599" s="1042">
        <f t="shared" si="537"/>
        <v>4084.68</v>
      </c>
      <c r="AD2599" s="1043">
        <v>32000</v>
      </c>
      <c r="AE2599" s="1044"/>
      <c r="AF2599" s="1045"/>
      <c r="AG2599" s="1046"/>
      <c r="AH2599" s="1045"/>
      <c r="AI2599" s="1047"/>
      <c r="AJ2599" s="1038"/>
      <c r="AK2599" s="1048"/>
      <c r="AL2599" s="1036"/>
      <c r="AM2599" s="1036"/>
      <c r="AN2599" s="1037"/>
      <c r="AO2599" s="1037"/>
      <c r="AP2599" s="1034"/>
      <c r="AQ2599" s="1035"/>
      <c r="AR2599" s="1034"/>
      <c r="AS2599" s="1035"/>
      <c r="AT2599" s="1035"/>
      <c r="AU2599" s="1035"/>
      <c r="AV2599" s="1038"/>
      <c r="AW2599" s="1050"/>
      <c r="AX2599" s="1051"/>
      <c r="AY2599" s="1036"/>
      <c r="AZ2599" s="1035"/>
      <c r="BA2599" s="1035"/>
      <c r="BB2599" s="1052"/>
      <c r="BC2599" s="1053"/>
      <c r="BD2599" s="1049"/>
      <c r="BE2599" s="1054"/>
      <c r="BF2599" s="1055"/>
      <c r="BG2599" s="1055"/>
      <c r="BH2599" s="1055"/>
      <c r="BI2599" s="1055"/>
      <c r="BJ2599" s="1055"/>
      <c r="BK2599" s="1055"/>
      <c r="BL2599" s="1055"/>
      <c r="BM2599" s="1055"/>
      <c r="BN2599" s="1055"/>
      <c r="BO2599" s="1056"/>
      <c r="BP2599" s="1056"/>
      <c r="BQ2599" s="1056"/>
      <c r="BR2599" s="1056"/>
      <c r="BS2599" s="1056"/>
      <c r="BT2599" s="1056"/>
      <c r="BU2599" s="1056"/>
      <c r="BV2599" s="1057"/>
      <c r="BW2599" s="1057"/>
      <c r="BX2599" s="1148"/>
      <c r="BY2599" s="1057"/>
      <c r="BZ2599" s="1057"/>
      <c r="CA2599" s="1057"/>
      <c r="CB2599" s="944"/>
    </row>
    <row r="2600" spans="2:80">
      <c r="B2600" s="1033" t="s">
        <v>8184</v>
      </c>
      <c r="C2600" s="1033" t="s">
        <v>254</v>
      </c>
      <c r="D2600" s="1033"/>
      <c r="E2600" s="1033" t="s">
        <v>8407</v>
      </c>
      <c r="F2600" s="1034">
        <v>46183</v>
      </c>
      <c r="G2600" s="1033" t="s">
        <v>254</v>
      </c>
      <c r="H2600" s="1063" t="s">
        <v>134</v>
      </c>
      <c r="I2600" s="1063"/>
      <c r="J2600" s="1034"/>
      <c r="K2600" s="1034"/>
      <c r="L2600" s="1036" t="s">
        <v>106</v>
      </c>
      <c r="M2600" s="1037" t="s">
        <v>107</v>
      </c>
      <c r="N2600" s="1034"/>
      <c r="O2600" s="1064"/>
      <c r="P2600" s="1035"/>
      <c r="Q2600" s="1036"/>
      <c r="R2600" s="1038" t="s">
        <v>8413</v>
      </c>
      <c r="S2600" s="1131" t="s">
        <v>4059</v>
      </c>
      <c r="T2600" s="1065" t="s">
        <v>8414</v>
      </c>
      <c r="U2600" s="1066">
        <v>1</v>
      </c>
      <c r="V2600" s="1035" t="s">
        <v>3</v>
      </c>
      <c r="W2600" s="1039">
        <v>3238</v>
      </c>
      <c r="X2600" s="1040">
        <f t="shared" si="508"/>
        <v>3238</v>
      </c>
      <c r="Y2600" s="1045" t="s">
        <v>8383</v>
      </c>
      <c r="Z2600" s="1041">
        <v>1427.96</v>
      </c>
      <c r="AA2600" s="1041"/>
      <c r="AB2600" s="1041">
        <f t="shared" si="536"/>
        <v>1427.96</v>
      </c>
      <c r="AC2600" s="1042">
        <f t="shared" si="537"/>
        <v>1427.96</v>
      </c>
      <c r="AD2600" s="1043">
        <v>32000</v>
      </c>
      <c r="AE2600" s="1044"/>
      <c r="AF2600" s="1045"/>
      <c r="AG2600" s="1046"/>
      <c r="AH2600" s="1045"/>
      <c r="AI2600" s="1047"/>
      <c r="AJ2600" s="1038"/>
      <c r="AK2600" s="1048"/>
      <c r="AL2600" s="1036"/>
      <c r="AM2600" s="1036"/>
      <c r="AN2600" s="1037"/>
      <c r="AO2600" s="1037"/>
      <c r="AP2600" s="1034"/>
      <c r="AQ2600" s="1035"/>
      <c r="AR2600" s="1034"/>
      <c r="AS2600" s="1035"/>
      <c r="AT2600" s="1035"/>
      <c r="AU2600" s="1035"/>
      <c r="AV2600" s="1038"/>
      <c r="AW2600" s="1050"/>
      <c r="AX2600" s="1051"/>
      <c r="AY2600" s="1036"/>
      <c r="AZ2600" s="1035"/>
      <c r="BA2600" s="1035"/>
      <c r="BB2600" s="1052"/>
      <c r="BC2600" s="1053"/>
      <c r="BD2600" s="1049"/>
      <c r="BE2600" s="1054"/>
      <c r="BF2600" s="1055"/>
      <c r="BG2600" s="1055"/>
      <c r="BH2600" s="1055"/>
      <c r="BI2600" s="1055"/>
      <c r="BJ2600" s="1055"/>
      <c r="BK2600" s="1055"/>
      <c r="BL2600" s="1055"/>
      <c r="BM2600" s="1055"/>
      <c r="BN2600" s="1055"/>
      <c r="BO2600" s="1056"/>
      <c r="BP2600" s="1056"/>
      <c r="BQ2600" s="1056"/>
      <c r="BR2600" s="1056"/>
      <c r="BS2600" s="1056"/>
      <c r="BT2600" s="1056"/>
      <c r="BU2600" s="1056"/>
      <c r="BV2600" s="1057"/>
      <c r="BW2600" s="1057"/>
      <c r="BX2600" s="1148"/>
      <c r="BY2600" s="1057"/>
      <c r="BZ2600" s="1057"/>
      <c r="CA2600" s="1057"/>
      <c r="CB2600" s="944"/>
    </row>
    <row r="2601" spans="2:80">
      <c r="B2601" s="1033" t="s">
        <v>8184</v>
      </c>
      <c r="C2601" s="1033" t="s">
        <v>254</v>
      </c>
      <c r="D2601" s="1033"/>
      <c r="E2601" s="1033" t="s">
        <v>8407</v>
      </c>
      <c r="F2601" s="1034">
        <v>46183</v>
      </c>
      <c r="G2601" s="1033" t="s">
        <v>254</v>
      </c>
      <c r="H2601" s="1063" t="s">
        <v>134</v>
      </c>
      <c r="I2601" s="1063"/>
      <c r="J2601" s="1034"/>
      <c r="K2601" s="1034"/>
      <c r="L2601" s="1036" t="s">
        <v>106</v>
      </c>
      <c r="M2601" s="1037" t="s">
        <v>107</v>
      </c>
      <c r="N2601" s="1034"/>
      <c r="O2601" s="1064"/>
      <c r="P2601" s="1035"/>
      <c r="Q2601" s="1036"/>
      <c r="R2601" s="1038" t="s">
        <v>8415</v>
      </c>
      <c r="S2601" s="1131" t="s">
        <v>8416</v>
      </c>
      <c r="T2601" s="1065" t="s">
        <v>8417</v>
      </c>
      <c r="U2601" s="1066">
        <v>1</v>
      </c>
      <c r="V2601" s="1035" t="s">
        <v>3</v>
      </c>
      <c r="W2601" s="1039">
        <v>4057</v>
      </c>
      <c r="X2601" s="1040">
        <f t="shared" si="508"/>
        <v>4057</v>
      </c>
      <c r="Y2601" s="1045" t="s">
        <v>8383</v>
      </c>
      <c r="Z2601" s="1041">
        <v>1789.14</v>
      </c>
      <c r="AA2601" s="1041"/>
      <c r="AB2601" s="1041">
        <f t="shared" si="536"/>
        <v>1789.14</v>
      </c>
      <c r="AC2601" s="1042">
        <f t="shared" si="537"/>
        <v>1789.14</v>
      </c>
      <c r="AD2601" s="1043">
        <v>32000</v>
      </c>
      <c r="AE2601" s="1044"/>
      <c r="AF2601" s="1045"/>
      <c r="AG2601" s="1046"/>
      <c r="AH2601" s="1045"/>
      <c r="AI2601" s="1047"/>
      <c r="AJ2601" s="1038"/>
      <c r="AK2601" s="1048"/>
      <c r="AL2601" s="1036"/>
      <c r="AM2601" s="1036"/>
      <c r="AN2601" s="1037"/>
      <c r="AO2601" s="1037"/>
      <c r="AP2601" s="1034"/>
      <c r="AQ2601" s="1035"/>
      <c r="AR2601" s="1034"/>
      <c r="AS2601" s="1035"/>
      <c r="AT2601" s="1035"/>
      <c r="AU2601" s="1035"/>
      <c r="AV2601" s="1038"/>
      <c r="AW2601" s="1050"/>
      <c r="AX2601" s="1051"/>
      <c r="AY2601" s="1036"/>
      <c r="AZ2601" s="1035"/>
      <c r="BA2601" s="1035"/>
      <c r="BB2601" s="1052"/>
      <c r="BC2601" s="1053"/>
      <c r="BD2601" s="1049"/>
      <c r="BE2601" s="1054"/>
      <c r="BF2601" s="1055"/>
      <c r="BG2601" s="1055"/>
      <c r="BH2601" s="1055"/>
      <c r="BI2601" s="1055"/>
      <c r="BJ2601" s="1055"/>
      <c r="BK2601" s="1055"/>
      <c r="BL2601" s="1055"/>
      <c r="BM2601" s="1055"/>
      <c r="BN2601" s="1055"/>
      <c r="BO2601" s="1056"/>
      <c r="BP2601" s="1056"/>
      <c r="BQ2601" s="1056"/>
      <c r="BR2601" s="1056"/>
      <c r="BS2601" s="1056"/>
      <c r="BT2601" s="1056"/>
      <c r="BU2601" s="1056"/>
      <c r="BV2601" s="1057"/>
      <c r="BW2601" s="1057"/>
      <c r="BX2601" s="1148"/>
      <c r="BY2601" s="1057"/>
      <c r="BZ2601" s="1057"/>
      <c r="CA2601" s="1057"/>
      <c r="CB2601" s="944"/>
    </row>
    <row r="2602" spans="2:80">
      <c r="B2602" s="1033" t="s">
        <v>8184</v>
      </c>
      <c r="C2602" s="1033" t="s">
        <v>254</v>
      </c>
      <c r="D2602" s="1033"/>
      <c r="E2602" s="1033" t="s">
        <v>8407</v>
      </c>
      <c r="F2602" s="1034">
        <v>46183</v>
      </c>
      <c r="G2602" s="1033" t="s">
        <v>254</v>
      </c>
      <c r="H2602" s="1063" t="s">
        <v>134</v>
      </c>
      <c r="I2602" s="1063"/>
      <c r="J2602" s="1034"/>
      <c r="K2602" s="1034"/>
      <c r="L2602" s="1036" t="s">
        <v>106</v>
      </c>
      <c r="M2602" s="1037" t="s">
        <v>107</v>
      </c>
      <c r="N2602" s="1034"/>
      <c r="O2602" s="1064"/>
      <c r="P2602" s="1035"/>
      <c r="Q2602" s="1036"/>
      <c r="R2602" s="1038" t="s">
        <v>8418</v>
      </c>
      <c r="S2602" s="1131" t="s">
        <v>8419</v>
      </c>
      <c r="T2602" s="1065" t="s">
        <v>8420</v>
      </c>
      <c r="U2602" s="1066">
        <v>1</v>
      </c>
      <c r="V2602" s="1035" t="s">
        <v>3</v>
      </c>
      <c r="W2602" s="1039">
        <v>4836</v>
      </c>
      <c r="X2602" s="1040">
        <f t="shared" si="508"/>
        <v>4836</v>
      </c>
      <c r="Y2602" s="1045" t="s">
        <v>8383</v>
      </c>
      <c r="Z2602" s="1041">
        <v>2132.6799999999998</v>
      </c>
      <c r="AA2602" s="1041"/>
      <c r="AB2602" s="1041">
        <f t="shared" si="536"/>
        <v>2132.6799999999998</v>
      </c>
      <c r="AC2602" s="1042">
        <f t="shared" si="537"/>
        <v>2132.6799999999998</v>
      </c>
      <c r="AD2602" s="1043">
        <v>32000</v>
      </c>
      <c r="AE2602" s="1044"/>
      <c r="AF2602" s="1045"/>
      <c r="AG2602" s="1046"/>
      <c r="AH2602" s="1045"/>
      <c r="AI2602" s="1047"/>
      <c r="AJ2602" s="1038"/>
      <c r="AK2602" s="1048"/>
      <c r="AL2602" s="1036"/>
      <c r="AM2602" s="1036"/>
      <c r="AN2602" s="1037"/>
      <c r="AO2602" s="1037"/>
      <c r="AP2602" s="1034"/>
      <c r="AQ2602" s="1035"/>
      <c r="AR2602" s="1034"/>
      <c r="AS2602" s="1035"/>
      <c r="AT2602" s="1035"/>
      <c r="AU2602" s="1035"/>
      <c r="AV2602" s="1038"/>
      <c r="AW2602" s="1050"/>
      <c r="AX2602" s="1051"/>
      <c r="AY2602" s="1036"/>
      <c r="AZ2602" s="1035"/>
      <c r="BA2602" s="1035"/>
      <c r="BB2602" s="1052"/>
      <c r="BC2602" s="1053"/>
      <c r="BD2602" s="1049"/>
      <c r="BE2602" s="1054"/>
      <c r="BF2602" s="1055"/>
      <c r="BG2602" s="1055"/>
      <c r="BH2602" s="1055"/>
      <c r="BI2602" s="1055"/>
      <c r="BJ2602" s="1055"/>
      <c r="BK2602" s="1055"/>
      <c r="BL2602" s="1055"/>
      <c r="BM2602" s="1055"/>
      <c r="BN2602" s="1055"/>
      <c r="BO2602" s="1056"/>
      <c r="BP2602" s="1056"/>
      <c r="BQ2602" s="1056"/>
      <c r="BR2602" s="1056"/>
      <c r="BS2602" s="1056"/>
      <c r="BT2602" s="1056"/>
      <c r="BU2602" s="1056"/>
      <c r="BV2602" s="1057"/>
      <c r="BW2602" s="1057"/>
      <c r="BX2602" s="1148"/>
      <c r="BY2602" s="1057"/>
      <c r="BZ2602" s="1057"/>
      <c r="CA2602" s="1057"/>
      <c r="CB2602" s="944"/>
    </row>
    <row r="2603" spans="2:80">
      <c r="B2603" s="1033" t="s">
        <v>8184</v>
      </c>
      <c r="C2603" s="1033" t="s">
        <v>254</v>
      </c>
      <c r="D2603" s="1033"/>
      <c r="E2603" s="1033" t="s">
        <v>8407</v>
      </c>
      <c r="F2603" s="1034">
        <v>46183</v>
      </c>
      <c r="G2603" s="1033" t="s">
        <v>254</v>
      </c>
      <c r="H2603" s="1063" t="s">
        <v>134</v>
      </c>
      <c r="I2603" s="1063"/>
      <c r="J2603" s="1034"/>
      <c r="K2603" s="1034"/>
      <c r="L2603" s="1036" t="s">
        <v>106</v>
      </c>
      <c r="M2603" s="1037" t="s">
        <v>107</v>
      </c>
      <c r="N2603" s="1034"/>
      <c r="O2603" s="1064"/>
      <c r="P2603" s="1035"/>
      <c r="Q2603" s="1036"/>
      <c r="R2603" s="1038" t="s">
        <v>6921</v>
      </c>
      <c r="S2603" s="1131" t="s">
        <v>6922</v>
      </c>
      <c r="T2603" s="1065" t="s">
        <v>8421</v>
      </c>
      <c r="U2603" s="1066">
        <v>2</v>
      </c>
      <c r="V2603" s="1035" t="s">
        <v>3</v>
      </c>
      <c r="W2603" s="1039">
        <v>3156</v>
      </c>
      <c r="X2603" s="1040">
        <f t="shared" si="508"/>
        <v>6312</v>
      </c>
      <c r="Y2603" s="1045" t="s">
        <v>8383</v>
      </c>
      <c r="Z2603" s="1041">
        <v>1391.8</v>
      </c>
      <c r="AA2603" s="1041"/>
      <c r="AB2603" s="1041">
        <f t="shared" si="536"/>
        <v>2783.6</v>
      </c>
      <c r="AC2603" s="1042">
        <f t="shared" si="537"/>
        <v>2783.6</v>
      </c>
      <c r="AD2603" s="1043">
        <v>32000</v>
      </c>
      <c r="AE2603" s="1044"/>
      <c r="AF2603" s="1045"/>
      <c r="AG2603" s="1046"/>
      <c r="AH2603" s="1045"/>
      <c r="AI2603" s="1047"/>
      <c r="AJ2603" s="1038"/>
      <c r="AK2603" s="1048"/>
      <c r="AL2603" s="1036"/>
      <c r="AM2603" s="1036"/>
      <c r="AN2603" s="1037"/>
      <c r="AO2603" s="1037"/>
      <c r="AP2603" s="1034"/>
      <c r="AQ2603" s="1035"/>
      <c r="AR2603" s="1034"/>
      <c r="AS2603" s="1035"/>
      <c r="AT2603" s="1035"/>
      <c r="AU2603" s="1035"/>
      <c r="AV2603" s="1038"/>
      <c r="AW2603" s="1050"/>
      <c r="AX2603" s="1051"/>
      <c r="AY2603" s="1036"/>
      <c r="AZ2603" s="1035"/>
      <c r="BA2603" s="1035"/>
      <c r="BB2603" s="1052"/>
      <c r="BC2603" s="1053"/>
      <c r="BD2603" s="1049"/>
      <c r="BE2603" s="1054"/>
      <c r="BF2603" s="1055"/>
      <c r="BG2603" s="1055"/>
      <c r="BH2603" s="1055"/>
      <c r="BI2603" s="1055"/>
      <c r="BJ2603" s="1055"/>
      <c r="BK2603" s="1055"/>
      <c r="BL2603" s="1055"/>
      <c r="BM2603" s="1055"/>
      <c r="BN2603" s="1055"/>
      <c r="BO2603" s="1056"/>
      <c r="BP2603" s="1056"/>
      <c r="BQ2603" s="1056"/>
      <c r="BR2603" s="1056"/>
      <c r="BS2603" s="1056"/>
      <c r="BT2603" s="1056"/>
      <c r="BU2603" s="1056"/>
      <c r="BV2603" s="1057"/>
      <c r="BW2603" s="1057"/>
      <c r="BX2603" s="1148"/>
      <c r="BY2603" s="1057"/>
      <c r="BZ2603" s="1057"/>
      <c r="CA2603" s="1057"/>
      <c r="CB2603" s="944"/>
    </row>
    <row r="2604" spans="2:80">
      <c r="B2604" s="1033" t="s">
        <v>8184</v>
      </c>
      <c r="C2604" s="1033" t="s">
        <v>254</v>
      </c>
      <c r="D2604" s="1033"/>
      <c r="E2604" s="1033" t="s">
        <v>8407</v>
      </c>
      <c r="F2604" s="1034">
        <v>46183</v>
      </c>
      <c r="G2604" s="1033" t="s">
        <v>254</v>
      </c>
      <c r="H2604" s="1063" t="s">
        <v>134</v>
      </c>
      <c r="I2604" s="1063"/>
      <c r="J2604" s="1034"/>
      <c r="K2604" s="1034"/>
      <c r="L2604" s="1036" t="s">
        <v>106</v>
      </c>
      <c r="M2604" s="1037" t="s">
        <v>107</v>
      </c>
      <c r="N2604" s="1034"/>
      <c r="O2604" s="1064"/>
      <c r="P2604" s="1035"/>
      <c r="Q2604" s="1036"/>
      <c r="R2604" s="1038" t="s">
        <v>6925</v>
      </c>
      <c r="S2604" s="1131" t="s">
        <v>6926</v>
      </c>
      <c r="T2604" s="1065" t="s">
        <v>8422</v>
      </c>
      <c r="U2604" s="1066">
        <v>1</v>
      </c>
      <c r="V2604" s="1035" t="s">
        <v>3</v>
      </c>
      <c r="W2604" s="1039">
        <v>3770</v>
      </c>
      <c r="X2604" s="1040">
        <f t="shared" si="508"/>
        <v>3770</v>
      </c>
      <c r="Y2604" s="1045" t="s">
        <v>8383</v>
      </c>
      <c r="Z2604" s="1041">
        <v>1662.58</v>
      </c>
      <c r="AA2604" s="1041"/>
      <c r="AB2604" s="1041">
        <f t="shared" si="536"/>
        <v>1662.58</v>
      </c>
      <c r="AC2604" s="1042">
        <f t="shared" si="537"/>
        <v>1662.58</v>
      </c>
      <c r="AD2604" s="1043">
        <v>32000</v>
      </c>
      <c r="AE2604" s="1044"/>
      <c r="AF2604" s="1045"/>
      <c r="AG2604" s="1046"/>
      <c r="AH2604" s="1045"/>
      <c r="AI2604" s="1047"/>
      <c r="AJ2604" s="1038"/>
      <c r="AK2604" s="1048"/>
      <c r="AL2604" s="1036"/>
      <c r="AM2604" s="1036"/>
      <c r="AN2604" s="1037"/>
      <c r="AO2604" s="1037"/>
      <c r="AP2604" s="1034"/>
      <c r="AQ2604" s="1035"/>
      <c r="AR2604" s="1034"/>
      <c r="AS2604" s="1035"/>
      <c r="AT2604" s="1035"/>
      <c r="AU2604" s="1035"/>
      <c r="AV2604" s="1038"/>
      <c r="AW2604" s="1050"/>
      <c r="AX2604" s="1051"/>
      <c r="AY2604" s="1036"/>
      <c r="AZ2604" s="1035"/>
      <c r="BA2604" s="1035"/>
      <c r="BB2604" s="1052"/>
      <c r="BC2604" s="1053"/>
      <c r="BD2604" s="1049"/>
      <c r="BE2604" s="1054"/>
      <c r="BF2604" s="1055"/>
      <c r="BG2604" s="1055"/>
      <c r="BH2604" s="1055"/>
      <c r="BI2604" s="1055"/>
      <c r="BJ2604" s="1055"/>
      <c r="BK2604" s="1055"/>
      <c r="BL2604" s="1055"/>
      <c r="BM2604" s="1055"/>
      <c r="BN2604" s="1055"/>
      <c r="BO2604" s="1056"/>
      <c r="BP2604" s="1056"/>
      <c r="BQ2604" s="1056"/>
      <c r="BR2604" s="1056"/>
      <c r="BS2604" s="1056"/>
      <c r="BT2604" s="1056"/>
      <c r="BU2604" s="1056"/>
      <c r="BV2604" s="1057"/>
      <c r="BW2604" s="1057"/>
      <c r="BX2604" s="1148"/>
      <c r="BY2604" s="1057"/>
      <c r="BZ2604" s="1057"/>
      <c r="CA2604" s="1057"/>
      <c r="CB2604" s="944"/>
    </row>
    <row r="2605" spans="2:80">
      <c r="B2605" s="1033" t="s">
        <v>8184</v>
      </c>
      <c r="C2605" s="1033" t="s">
        <v>254</v>
      </c>
      <c r="D2605" s="1033"/>
      <c r="E2605" s="1033" t="s">
        <v>8407</v>
      </c>
      <c r="F2605" s="1034">
        <v>46183</v>
      </c>
      <c r="G2605" s="1033" t="s">
        <v>254</v>
      </c>
      <c r="H2605" s="1063" t="s">
        <v>134</v>
      </c>
      <c r="I2605" s="1063"/>
      <c r="J2605" s="1034"/>
      <c r="K2605" s="1034"/>
      <c r="L2605" s="1036" t="s">
        <v>106</v>
      </c>
      <c r="M2605" s="1037" t="s">
        <v>107</v>
      </c>
      <c r="N2605" s="1034"/>
      <c r="O2605" s="1064"/>
      <c r="P2605" s="1035"/>
      <c r="Q2605" s="1036"/>
      <c r="R2605" s="1038" t="s">
        <v>1178</v>
      </c>
      <c r="S2605" s="1131" t="s">
        <v>1179</v>
      </c>
      <c r="T2605" s="1065" t="s">
        <v>8423</v>
      </c>
      <c r="U2605" s="1066">
        <v>4</v>
      </c>
      <c r="V2605" s="1035" t="s">
        <v>3</v>
      </c>
      <c r="W2605" s="1039">
        <v>4549</v>
      </c>
      <c r="X2605" s="1040">
        <f t="shared" si="508"/>
        <v>18196</v>
      </c>
      <c r="Y2605" s="1045" t="s">
        <v>8383</v>
      </c>
      <c r="Z2605" s="1041">
        <v>2006.11</v>
      </c>
      <c r="AA2605" s="1041"/>
      <c r="AB2605" s="1041">
        <f t="shared" si="536"/>
        <v>8024.44</v>
      </c>
      <c r="AC2605" s="1042">
        <f t="shared" si="537"/>
        <v>8024.44</v>
      </c>
      <c r="AD2605" s="1043">
        <v>32000</v>
      </c>
      <c r="AE2605" s="1044"/>
      <c r="AF2605" s="1045"/>
      <c r="AG2605" s="1046"/>
      <c r="AH2605" s="1045"/>
      <c r="AI2605" s="1047"/>
      <c r="AJ2605" s="1038"/>
      <c r="AK2605" s="1048"/>
      <c r="AL2605" s="1036"/>
      <c r="AM2605" s="1036"/>
      <c r="AN2605" s="1037"/>
      <c r="AO2605" s="1037"/>
      <c r="AP2605" s="1034"/>
      <c r="AQ2605" s="1035"/>
      <c r="AR2605" s="1034"/>
      <c r="AS2605" s="1035"/>
      <c r="AT2605" s="1035"/>
      <c r="AU2605" s="1035"/>
      <c r="AV2605" s="1038"/>
      <c r="AW2605" s="1050"/>
      <c r="AX2605" s="1051"/>
      <c r="AY2605" s="1036"/>
      <c r="AZ2605" s="1035"/>
      <c r="BA2605" s="1035"/>
      <c r="BB2605" s="1052"/>
      <c r="BC2605" s="1053"/>
      <c r="BD2605" s="1049"/>
      <c r="BE2605" s="1054"/>
      <c r="BF2605" s="1055"/>
      <c r="BG2605" s="1055"/>
      <c r="BH2605" s="1055"/>
      <c r="BI2605" s="1055"/>
      <c r="BJ2605" s="1055"/>
      <c r="BK2605" s="1055"/>
      <c r="BL2605" s="1055"/>
      <c r="BM2605" s="1055"/>
      <c r="BN2605" s="1055"/>
      <c r="BO2605" s="1056"/>
      <c r="BP2605" s="1056"/>
      <c r="BQ2605" s="1056"/>
      <c r="BR2605" s="1056"/>
      <c r="BS2605" s="1056"/>
      <c r="BT2605" s="1056"/>
      <c r="BU2605" s="1056"/>
      <c r="BV2605" s="1057"/>
      <c r="BW2605" s="1057"/>
      <c r="BX2605" s="1148"/>
      <c r="BY2605" s="1057"/>
      <c r="BZ2605" s="1057"/>
      <c r="CA2605" s="1057"/>
      <c r="CB2605" s="944"/>
    </row>
    <row r="2606" spans="2:80">
      <c r="B2606" s="1033" t="s">
        <v>8184</v>
      </c>
      <c r="C2606" s="1033" t="s">
        <v>254</v>
      </c>
      <c r="D2606" s="1033"/>
      <c r="E2606" s="1033" t="s">
        <v>8407</v>
      </c>
      <c r="F2606" s="1034">
        <v>46183</v>
      </c>
      <c r="G2606" s="1033" t="s">
        <v>254</v>
      </c>
      <c r="H2606" s="1063" t="s">
        <v>134</v>
      </c>
      <c r="I2606" s="1063"/>
      <c r="J2606" s="1034"/>
      <c r="K2606" s="1034"/>
      <c r="L2606" s="1036" t="s">
        <v>106</v>
      </c>
      <c r="M2606" s="1037" t="s">
        <v>107</v>
      </c>
      <c r="N2606" s="1034"/>
      <c r="O2606" s="1064"/>
      <c r="P2606" s="1035"/>
      <c r="Q2606" s="1036"/>
      <c r="R2606" s="1038" t="s">
        <v>8424</v>
      </c>
      <c r="S2606" s="1131" t="s">
        <v>8425</v>
      </c>
      <c r="T2606" s="1065" t="s">
        <v>8426</v>
      </c>
      <c r="U2606" s="1066">
        <v>2</v>
      </c>
      <c r="V2606" s="1035" t="s">
        <v>3</v>
      </c>
      <c r="W2606" s="1039">
        <v>5164</v>
      </c>
      <c r="X2606" s="1040">
        <f t="shared" si="508"/>
        <v>10328</v>
      </c>
      <c r="Y2606" s="1045" t="s">
        <v>8383</v>
      </c>
      <c r="Z2606" s="1041">
        <v>2277.3200000000002</v>
      </c>
      <c r="AA2606" s="1041"/>
      <c r="AB2606" s="1041">
        <f t="shared" si="536"/>
        <v>4554.6400000000003</v>
      </c>
      <c r="AC2606" s="1042">
        <f t="shared" si="537"/>
        <v>4554.6400000000003</v>
      </c>
      <c r="AD2606" s="1043">
        <v>32000</v>
      </c>
      <c r="AE2606" s="1044"/>
      <c r="AF2606" s="1045"/>
      <c r="AG2606" s="1046"/>
      <c r="AH2606" s="1045"/>
      <c r="AI2606" s="1047"/>
      <c r="AJ2606" s="1038"/>
      <c r="AK2606" s="1048"/>
      <c r="AL2606" s="1036"/>
      <c r="AM2606" s="1036"/>
      <c r="AN2606" s="1037"/>
      <c r="AO2606" s="1037"/>
      <c r="AP2606" s="1034"/>
      <c r="AQ2606" s="1035"/>
      <c r="AR2606" s="1034"/>
      <c r="AS2606" s="1035"/>
      <c r="AT2606" s="1035"/>
      <c r="AU2606" s="1035"/>
      <c r="AV2606" s="1038"/>
      <c r="AW2606" s="1050"/>
      <c r="AX2606" s="1051"/>
      <c r="AY2606" s="1036"/>
      <c r="AZ2606" s="1035"/>
      <c r="BA2606" s="1035"/>
      <c r="BB2606" s="1052"/>
      <c r="BC2606" s="1053"/>
      <c r="BD2606" s="1049"/>
      <c r="BE2606" s="1054"/>
      <c r="BF2606" s="1055"/>
      <c r="BG2606" s="1055"/>
      <c r="BH2606" s="1055"/>
      <c r="BI2606" s="1055"/>
      <c r="BJ2606" s="1055"/>
      <c r="BK2606" s="1055"/>
      <c r="BL2606" s="1055"/>
      <c r="BM2606" s="1055"/>
      <c r="BN2606" s="1055"/>
      <c r="BO2606" s="1056"/>
      <c r="BP2606" s="1056"/>
      <c r="BQ2606" s="1056"/>
      <c r="BR2606" s="1056"/>
      <c r="BS2606" s="1056"/>
      <c r="BT2606" s="1056"/>
      <c r="BU2606" s="1056"/>
      <c r="BV2606" s="1057"/>
      <c r="BW2606" s="1057"/>
      <c r="BX2606" s="1148"/>
      <c r="BY2606" s="1057"/>
      <c r="BZ2606" s="1057"/>
      <c r="CA2606" s="1057"/>
      <c r="CB2606" s="944"/>
    </row>
    <row r="2607" spans="2:80">
      <c r="B2607" s="1033" t="s">
        <v>8184</v>
      </c>
      <c r="C2607" s="1033" t="s">
        <v>254</v>
      </c>
      <c r="D2607" s="1033"/>
      <c r="E2607" s="1033" t="s">
        <v>8407</v>
      </c>
      <c r="F2607" s="1034">
        <v>46183</v>
      </c>
      <c r="G2607" s="1033" t="s">
        <v>254</v>
      </c>
      <c r="H2607" s="1063" t="s">
        <v>134</v>
      </c>
      <c r="I2607" s="1063"/>
      <c r="J2607" s="1034"/>
      <c r="K2607" s="1034"/>
      <c r="L2607" s="1036" t="s">
        <v>106</v>
      </c>
      <c r="M2607" s="1037" t="s">
        <v>107</v>
      </c>
      <c r="N2607" s="1034"/>
      <c r="O2607" s="1064"/>
      <c r="P2607" s="1035"/>
      <c r="Q2607" s="1036"/>
      <c r="R2607" s="1038" t="s">
        <v>6917</v>
      </c>
      <c r="S2607" s="1131" t="s">
        <v>6918</v>
      </c>
      <c r="T2607" s="1065" t="s">
        <v>8427</v>
      </c>
      <c r="U2607" s="1066">
        <v>1</v>
      </c>
      <c r="V2607" s="1035" t="s">
        <v>3</v>
      </c>
      <c r="W2607" s="1039">
        <v>3770</v>
      </c>
      <c r="X2607" s="1040">
        <f t="shared" si="508"/>
        <v>3770</v>
      </c>
      <c r="Y2607" s="1045" t="s">
        <v>8383</v>
      </c>
      <c r="Z2607" s="1041">
        <v>1662.57</v>
      </c>
      <c r="AA2607" s="1041"/>
      <c r="AB2607" s="1041">
        <f t="shared" si="536"/>
        <v>1662.57</v>
      </c>
      <c r="AC2607" s="1042">
        <f t="shared" si="537"/>
        <v>1662.57</v>
      </c>
      <c r="AD2607" s="1043">
        <v>32000</v>
      </c>
      <c r="AE2607" s="1044"/>
      <c r="AF2607" s="1045"/>
      <c r="AG2607" s="1046"/>
      <c r="AH2607" s="1045"/>
      <c r="AI2607" s="1047"/>
      <c r="AJ2607" s="1038"/>
      <c r="AK2607" s="1048"/>
      <c r="AL2607" s="1036"/>
      <c r="AM2607" s="1036"/>
      <c r="AN2607" s="1037"/>
      <c r="AO2607" s="1037"/>
      <c r="AP2607" s="1034"/>
      <c r="AQ2607" s="1035"/>
      <c r="AR2607" s="1034"/>
      <c r="AS2607" s="1035"/>
      <c r="AT2607" s="1035"/>
      <c r="AU2607" s="1035"/>
      <c r="AV2607" s="1038"/>
      <c r="AW2607" s="1050"/>
      <c r="AX2607" s="1051"/>
      <c r="AY2607" s="1036"/>
      <c r="AZ2607" s="1035"/>
      <c r="BA2607" s="1035"/>
      <c r="BB2607" s="1052"/>
      <c r="BC2607" s="1053"/>
      <c r="BD2607" s="1049"/>
      <c r="BE2607" s="1054"/>
      <c r="BF2607" s="1055"/>
      <c r="BG2607" s="1055"/>
      <c r="BH2607" s="1055"/>
      <c r="BI2607" s="1055"/>
      <c r="BJ2607" s="1055"/>
      <c r="BK2607" s="1055"/>
      <c r="BL2607" s="1055"/>
      <c r="BM2607" s="1055"/>
      <c r="BN2607" s="1055"/>
      <c r="BO2607" s="1056"/>
      <c r="BP2607" s="1056"/>
      <c r="BQ2607" s="1056"/>
      <c r="BR2607" s="1056"/>
      <c r="BS2607" s="1056"/>
      <c r="BT2607" s="1056"/>
      <c r="BU2607" s="1056"/>
      <c r="BV2607" s="1057"/>
      <c r="BW2607" s="1057"/>
      <c r="BX2607" s="1148"/>
      <c r="BY2607" s="1057"/>
      <c r="BZ2607" s="1057"/>
      <c r="CA2607" s="1057"/>
      <c r="CB2607" s="944"/>
    </row>
    <row r="2608" spans="2:80">
      <c r="B2608" s="1033" t="s">
        <v>8184</v>
      </c>
      <c r="C2608" s="1033" t="s">
        <v>254</v>
      </c>
      <c r="D2608" s="1033"/>
      <c r="E2608" s="1033" t="s">
        <v>8407</v>
      </c>
      <c r="F2608" s="1034">
        <v>46183</v>
      </c>
      <c r="G2608" s="1033" t="s">
        <v>254</v>
      </c>
      <c r="H2608" s="1063" t="s">
        <v>134</v>
      </c>
      <c r="I2608" s="1063"/>
      <c r="J2608" s="1034"/>
      <c r="K2608" s="1034"/>
      <c r="L2608" s="1036" t="s">
        <v>106</v>
      </c>
      <c r="M2608" s="1037" t="s">
        <v>107</v>
      </c>
      <c r="N2608" s="1034"/>
      <c r="O2608" s="1064"/>
      <c r="P2608" s="1035"/>
      <c r="Q2608" s="1036"/>
      <c r="R2608" s="1038" t="s">
        <v>263</v>
      </c>
      <c r="S2608" s="1131" t="s">
        <v>264</v>
      </c>
      <c r="T2608" s="1065" t="s">
        <v>8428</v>
      </c>
      <c r="U2608" s="1066">
        <v>2</v>
      </c>
      <c r="V2608" s="1035" t="s">
        <v>3</v>
      </c>
      <c r="W2608" s="1039">
        <v>1533</v>
      </c>
      <c r="X2608" s="1040">
        <f t="shared" si="508"/>
        <v>3066</v>
      </c>
      <c r="Y2608" s="1045" t="s">
        <v>8383</v>
      </c>
      <c r="Z2608" s="1041">
        <v>676.05</v>
      </c>
      <c r="AA2608" s="1041"/>
      <c r="AB2608" s="1041">
        <f t="shared" si="536"/>
        <v>1352.1</v>
      </c>
      <c r="AC2608" s="1042">
        <f t="shared" si="537"/>
        <v>1352.1</v>
      </c>
      <c r="AD2608" s="1043">
        <v>32000</v>
      </c>
      <c r="AE2608" s="1044"/>
      <c r="AF2608" s="1045"/>
      <c r="AG2608" s="1046"/>
      <c r="AH2608" s="1045"/>
      <c r="AI2608" s="1047"/>
      <c r="AJ2608" s="1038"/>
      <c r="AK2608" s="1048"/>
      <c r="AL2608" s="1036"/>
      <c r="AM2608" s="1036"/>
      <c r="AN2608" s="1037"/>
      <c r="AO2608" s="1037"/>
      <c r="AP2608" s="1034"/>
      <c r="AQ2608" s="1035"/>
      <c r="AR2608" s="1034"/>
      <c r="AS2608" s="1035"/>
      <c r="AT2608" s="1035"/>
      <c r="AU2608" s="1035"/>
      <c r="AV2608" s="1038"/>
      <c r="AW2608" s="1050"/>
      <c r="AX2608" s="1051"/>
      <c r="AY2608" s="1036"/>
      <c r="AZ2608" s="1035"/>
      <c r="BA2608" s="1035"/>
      <c r="BB2608" s="1052"/>
      <c r="BC2608" s="1053"/>
      <c r="BD2608" s="1049"/>
      <c r="BE2608" s="1054"/>
      <c r="BF2608" s="1055"/>
      <c r="BG2608" s="1055"/>
      <c r="BH2608" s="1055"/>
      <c r="BI2608" s="1055"/>
      <c r="BJ2608" s="1055"/>
      <c r="BK2608" s="1055"/>
      <c r="BL2608" s="1055"/>
      <c r="BM2608" s="1055"/>
      <c r="BN2608" s="1055"/>
      <c r="BO2608" s="1056"/>
      <c r="BP2608" s="1056"/>
      <c r="BQ2608" s="1056"/>
      <c r="BR2608" s="1056"/>
      <c r="BS2608" s="1056"/>
      <c r="BT2608" s="1056"/>
      <c r="BU2608" s="1056"/>
      <c r="BV2608" s="1057"/>
      <c r="BW2608" s="1057"/>
      <c r="BX2608" s="1148"/>
      <c r="BY2608" s="1057"/>
      <c r="BZ2608" s="1057"/>
      <c r="CA2608" s="1057"/>
      <c r="CB2608" s="944"/>
    </row>
    <row r="2609" spans="2:80">
      <c r="B2609" s="1033" t="s">
        <v>8184</v>
      </c>
      <c r="C2609" s="1033" t="s">
        <v>254</v>
      </c>
      <c r="D2609" s="1033"/>
      <c r="E2609" s="1033" t="s">
        <v>8407</v>
      </c>
      <c r="F2609" s="1034">
        <v>46183</v>
      </c>
      <c r="G2609" s="1033" t="s">
        <v>254</v>
      </c>
      <c r="H2609" s="1063" t="s">
        <v>134</v>
      </c>
      <c r="I2609" s="1063"/>
      <c r="J2609" s="1034"/>
      <c r="K2609" s="1034"/>
      <c r="L2609" s="1036" t="s">
        <v>106</v>
      </c>
      <c r="M2609" s="1037" t="s">
        <v>107</v>
      </c>
      <c r="N2609" s="1034"/>
      <c r="O2609" s="1064"/>
      <c r="P2609" s="1035"/>
      <c r="Q2609" s="1036"/>
      <c r="R2609" s="1038" t="s">
        <v>8380</v>
      </c>
      <c r="S2609" s="1131" t="s">
        <v>8381</v>
      </c>
      <c r="T2609" s="1065" t="s">
        <v>8382</v>
      </c>
      <c r="U2609" s="1066">
        <v>2</v>
      </c>
      <c r="V2609" s="1035" t="s">
        <v>3</v>
      </c>
      <c r="W2609" s="1039">
        <v>484</v>
      </c>
      <c r="X2609" s="1040">
        <f t="shared" si="508"/>
        <v>968</v>
      </c>
      <c r="Y2609" s="1045" t="s">
        <v>8383</v>
      </c>
      <c r="Z2609" s="1041">
        <v>213.44</v>
      </c>
      <c r="AA2609" s="1041"/>
      <c r="AB2609" s="1041">
        <f t="shared" si="536"/>
        <v>426.88</v>
      </c>
      <c r="AC2609" s="1042">
        <f t="shared" si="537"/>
        <v>426.88</v>
      </c>
      <c r="AD2609" s="1043">
        <v>32000</v>
      </c>
      <c r="AE2609" s="1044"/>
      <c r="AF2609" s="1045"/>
      <c r="AG2609" s="1046"/>
      <c r="AH2609" s="1045"/>
      <c r="AI2609" s="1047"/>
      <c r="AJ2609" s="1038"/>
      <c r="AK2609" s="1048"/>
      <c r="AL2609" s="1036"/>
      <c r="AM2609" s="1036"/>
      <c r="AN2609" s="1037"/>
      <c r="AO2609" s="1037"/>
      <c r="AP2609" s="1034"/>
      <c r="AQ2609" s="1035"/>
      <c r="AR2609" s="1034"/>
      <c r="AS2609" s="1035"/>
      <c r="AT2609" s="1035"/>
      <c r="AU2609" s="1035"/>
      <c r="AV2609" s="1038"/>
      <c r="AW2609" s="1050"/>
      <c r="AX2609" s="1051"/>
      <c r="AY2609" s="1036"/>
      <c r="AZ2609" s="1035"/>
      <c r="BA2609" s="1035"/>
      <c r="BB2609" s="1052"/>
      <c r="BC2609" s="1053"/>
      <c r="BD2609" s="1049"/>
      <c r="BE2609" s="1054"/>
      <c r="BF2609" s="1055"/>
      <c r="BG2609" s="1055"/>
      <c r="BH2609" s="1055"/>
      <c r="BI2609" s="1055"/>
      <c r="BJ2609" s="1055"/>
      <c r="BK2609" s="1055"/>
      <c r="BL2609" s="1055"/>
      <c r="BM2609" s="1055"/>
      <c r="BN2609" s="1055"/>
      <c r="BO2609" s="1056"/>
      <c r="BP2609" s="1056"/>
      <c r="BQ2609" s="1056"/>
      <c r="BR2609" s="1056"/>
      <c r="BS2609" s="1056"/>
      <c r="BT2609" s="1056"/>
      <c r="BU2609" s="1056"/>
      <c r="BV2609" s="1057"/>
      <c r="BW2609" s="1057"/>
      <c r="BX2609" s="1148"/>
      <c r="BY2609" s="1057"/>
      <c r="BZ2609" s="1057"/>
      <c r="CA2609" s="1057"/>
      <c r="CB2609" s="944"/>
    </row>
    <row r="2610" spans="2:80">
      <c r="B2610" s="1033" t="s">
        <v>8184</v>
      </c>
      <c r="C2610" s="1033" t="s">
        <v>254</v>
      </c>
      <c r="D2610" s="1033"/>
      <c r="E2610" s="1033" t="s">
        <v>8407</v>
      </c>
      <c r="F2610" s="1034">
        <v>46183</v>
      </c>
      <c r="G2610" s="1033" t="s">
        <v>254</v>
      </c>
      <c r="H2610" s="1063" t="s">
        <v>134</v>
      </c>
      <c r="I2610" s="1063"/>
      <c r="J2610" s="1034"/>
      <c r="K2610" s="1034"/>
      <c r="L2610" s="1036" t="s">
        <v>106</v>
      </c>
      <c r="M2610" s="1037" t="s">
        <v>107</v>
      </c>
      <c r="N2610" s="1034"/>
      <c r="O2610" s="1064"/>
      <c r="P2610" s="1035"/>
      <c r="Q2610" s="1036"/>
      <c r="R2610" s="1038" t="s">
        <v>8384</v>
      </c>
      <c r="S2610" s="1131" t="s">
        <v>8385</v>
      </c>
      <c r="T2610" s="1065" t="s">
        <v>8386</v>
      </c>
      <c r="U2610" s="1066">
        <v>2</v>
      </c>
      <c r="V2610" s="1035" t="s">
        <v>3</v>
      </c>
      <c r="W2610" s="1039">
        <v>811</v>
      </c>
      <c r="X2610" s="1040">
        <f t="shared" si="508"/>
        <v>1622</v>
      </c>
      <c r="Y2610" s="1045" t="s">
        <v>8383</v>
      </c>
      <c r="Z2610" s="1041">
        <v>357.65</v>
      </c>
      <c r="AA2610" s="1041"/>
      <c r="AB2610" s="1041">
        <f t="shared" si="536"/>
        <v>715.3</v>
      </c>
      <c r="AC2610" s="1042">
        <f t="shared" si="537"/>
        <v>715.3</v>
      </c>
      <c r="AD2610" s="1043">
        <v>32000</v>
      </c>
      <c r="AE2610" s="1044"/>
      <c r="AF2610" s="1045"/>
      <c r="AG2610" s="1046"/>
      <c r="AH2610" s="1045"/>
      <c r="AI2610" s="1047"/>
      <c r="AJ2610" s="1038"/>
      <c r="AK2610" s="1048"/>
      <c r="AL2610" s="1036"/>
      <c r="AM2610" s="1036"/>
      <c r="AN2610" s="1037"/>
      <c r="AO2610" s="1037"/>
      <c r="AP2610" s="1034"/>
      <c r="AQ2610" s="1035"/>
      <c r="AR2610" s="1034"/>
      <c r="AS2610" s="1035"/>
      <c r="AT2610" s="1035"/>
      <c r="AU2610" s="1035"/>
      <c r="AV2610" s="1038"/>
      <c r="AW2610" s="1050"/>
      <c r="AX2610" s="1051"/>
      <c r="AY2610" s="1036"/>
      <c r="AZ2610" s="1035"/>
      <c r="BA2610" s="1035"/>
      <c r="BB2610" s="1052"/>
      <c r="BC2610" s="1053"/>
      <c r="BD2610" s="1049"/>
      <c r="BE2610" s="1054"/>
      <c r="BF2610" s="1055"/>
      <c r="BG2610" s="1055"/>
      <c r="BH2610" s="1055"/>
      <c r="BI2610" s="1055"/>
      <c r="BJ2610" s="1055"/>
      <c r="BK2610" s="1055"/>
      <c r="BL2610" s="1055"/>
      <c r="BM2610" s="1055"/>
      <c r="BN2610" s="1055"/>
      <c r="BO2610" s="1056"/>
      <c r="BP2610" s="1056"/>
      <c r="BQ2610" s="1056"/>
      <c r="BR2610" s="1056"/>
      <c r="BS2610" s="1056"/>
      <c r="BT2610" s="1056"/>
      <c r="BU2610" s="1056"/>
      <c r="BV2610" s="1057"/>
      <c r="BW2610" s="1057"/>
      <c r="BX2610" s="1148"/>
      <c r="BY2610" s="1057"/>
      <c r="BZ2610" s="1057"/>
      <c r="CA2610" s="1057"/>
      <c r="CB2610" s="944"/>
    </row>
    <row r="2611" spans="2:80">
      <c r="B2611" s="1033" t="s">
        <v>8184</v>
      </c>
      <c r="C2611" s="1033" t="s">
        <v>254</v>
      </c>
      <c r="D2611" s="1033"/>
      <c r="E2611" s="1033" t="s">
        <v>8407</v>
      </c>
      <c r="F2611" s="1034">
        <v>46183</v>
      </c>
      <c r="G2611" s="1033" t="s">
        <v>254</v>
      </c>
      <c r="H2611" s="1063" t="s">
        <v>134</v>
      </c>
      <c r="I2611" s="1063"/>
      <c r="J2611" s="1034"/>
      <c r="K2611" s="1034"/>
      <c r="L2611" s="1036" t="s">
        <v>106</v>
      </c>
      <c r="M2611" s="1037" t="s">
        <v>107</v>
      </c>
      <c r="N2611" s="1034"/>
      <c r="O2611" s="1064"/>
      <c r="P2611" s="1035"/>
      <c r="Q2611" s="1036"/>
      <c r="R2611" s="1038" t="s">
        <v>8387</v>
      </c>
      <c r="S2611" s="1131" t="s">
        <v>8388</v>
      </c>
      <c r="T2611" s="1065" t="s">
        <v>8389</v>
      </c>
      <c r="U2611" s="1066">
        <v>2</v>
      </c>
      <c r="V2611" s="1035" t="s">
        <v>3</v>
      </c>
      <c r="W2611" s="1039">
        <v>1230</v>
      </c>
      <c r="X2611" s="1040">
        <f t="shared" si="508"/>
        <v>2460</v>
      </c>
      <c r="Y2611" s="1045" t="s">
        <v>8383</v>
      </c>
      <c r="Z2611" s="1041">
        <v>542.42999999999995</v>
      </c>
      <c r="AA2611" s="1041"/>
      <c r="AB2611" s="1041">
        <f t="shared" si="536"/>
        <v>1084.8599999999999</v>
      </c>
      <c r="AC2611" s="1042">
        <f t="shared" si="537"/>
        <v>1084.8599999999999</v>
      </c>
      <c r="AD2611" s="1043">
        <v>32000</v>
      </c>
      <c r="AE2611" s="1044"/>
      <c r="AF2611" s="1045"/>
      <c r="AG2611" s="1046"/>
      <c r="AH2611" s="1045"/>
      <c r="AI2611" s="1047"/>
      <c r="AJ2611" s="1038"/>
      <c r="AK2611" s="1048"/>
      <c r="AL2611" s="1036"/>
      <c r="AM2611" s="1036"/>
      <c r="AN2611" s="1037"/>
      <c r="AO2611" s="1037"/>
      <c r="AP2611" s="1034"/>
      <c r="AQ2611" s="1035"/>
      <c r="AR2611" s="1034"/>
      <c r="AS2611" s="1035"/>
      <c r="AT2611" s="1035"/>
      <c r="AU2611" s="1035"/>
      <c r="AV2611" s="1038"/>
      <c r="AW2611" s="1050"/>
      <c r="AX2611" s="1051"/>
      <c r="AY2611" s="1036"/>
      <c r="AZ2611" s="1035"/>
      <c r="BA2611" s="1035"/>
      <c r="BB2611" s="1052"/>
      <c r="BC2611" s="1053"/>
      <c r="BD2611" s="1049"/>
      <c r="BE2611" s="1054"/>
      <c r="BF2611" s="1055"/>
      <c r="BG2611" s="1055"/>
      <c r="BH2611" s="1055"/>
      <c r="BI2611" s="1055"/>
      <c r="BJ2611" s="1055"/>
      <c r="BK2611" s="1055"/>
      <c r="BL2611" s="1055"/>
      <c r="BM2611" s="1055"/>
      <c r="BN2611" s="1055"/>
      <c r="BO2611" s="1056"/>
      <c r="BP2611" s="1056"/>
      <c r="BQ2611" s="1056"/>
      <c r="BR2611" s="1056"/>
      <c r="BS2611" s="1056"/>
      <c r="BT2611" s="1056"/>
      <c r="BU2611" s="1056"/>
      <c r="BV2611" s="1057"/>
      <c r="BW2611" s="1057"/>
      <c r="BX2611" s="1148"/>
      <c r="BY2611" s="1057"/>
      <c r="BZ2611" s="1057"/>
      <c r="CA2611" s="1057"/>
      <c r="CB2611" s="944"/>
    </row>
    <row r="2612" spans="2:80">
      <c r="B2612" s="1033" t="s">
        <v>8184</v>
      </c>
      <c r="C2612" s="1033" t="s">
        <v>254</v>
      </c>
      <c r="D2612" s="1033"/>
      <c r="E2612" s="1033" t="s">
        <v>8407</v>
      </c>
      <c r="F2612" s="1034">
        <v>46183</v>
      </c>
      <c r="G2612" s="1033" t="s">
        <v>254</v>
      </c>
      <c r="H2612" s="1063" t="s">
        <v>134</v>
      </c>
      <c r="I2612" s="1063"/>
      <c r="J2612" s="1034"/>
      <c r="K2612" s="1034"/>
      <c r="L2612" s="1036" t="s">
        <v>106</v>
      </c>
      <c r="M2612" s="1037" t="s">
        <v>107</v>
      </c>
      <c r="N2612" s="1034"/>
      <c r="O2612" s="1064"/>
      <c r="P2612" s="1035"/>
      <c r="Q2612" s="1036"/>
      <c r="R2612" s="1038" t="s">
        <v>4076</v>
      </c>
      <c r="S2612" s="1131" t="s">
        <v>4077</v>
      </c>
      <c r="T2612" s="1065" t="s">
        <v>8429</v>
      </c>
      <c r="U2612" s="1066">
        <v>2</v>
      </c>
      <c r="V2612" s="1035" t="s">
        <v>3</v>
      </c>
      <c r="W2612" s="1039">
        <v>943</v>
      </c>
      <c r="X2612" s="1040">
        <f t="shared" si="508"/>
        <v>1886</v>
      </c>
      <c r="Y2612" s="1045" t="s">
        <v>8383</v>
      </c>
      <c r="Z2612" s="1041">
        <v>415.86</v>
      </c>
      <c r="AA2612" s="1041"/>
      <c r="AB2612" s="1041">
        <f t="shared" si="536"/>
        <v>831.72</v>
      </c>
      <c r="AC2612" s="1042">
        <f t="shared" si="537"/>
        <v>831.72</v>
      </c>
      <c r="AD2612" s="1043">
        <v>32000</v>
      </c>
      <c r="AE2612" s="1044"/>
      <c r="AF2612" s="1045"/>
      <c r="AG2612" s="1046"/>
      <c r="AH2612" s="1045"/>
      <c r="AI2612" s="1047"/>
      <c r="AJ2612" s="1038"/>
      <c r="AK2612" s="1048"/>
      <c r="AL2612" s="1036"/>
      <c r="AM2612" s="1036"/>
      <c r="AN2612" s="1037"/>
      <c r="AO2612" s="1037"/>
      <c r="AP2612" s="1034"/>
      <c r="AQ2612" s="1035"/>
      <c r="AR2612" s="1034"/>
      <c r="AS2612" s="1035"/>
      <c r="AT2612" s="1035"/>
      <c r="AU2612" s="1035"/>
      <c r="AV2612" s="1038"/>
      <c r="AW2612" s="1050"/>
      <c r="AX2612" s="1051"/>
      <c r="AY2612" s="1036"/>
      <c r="AZ2612" s="1035"/>
      <c r="BA2612" s="1035"/>
      <c r="BB2612" s="1052"/>
      <c r="BC2612" s="1053"/>
      <c r="BD2612" s="1049"/>
      <c r="BE2612" s="1054"/>
      <c r="BF2612" s="1055"/>
      <c r="BG2612" s="1055"/>
      <c r="BH2612" s="1055"/>
      <c r="BI2612" s="1055"/>
      <c r="BJ2612" s="1055"/>
      <c r="BK2612" s="1055"/>
      <c r="BL2612" s="1055"/>
      <c r="BM2612" s="1055"/>
      <c r="BN2612" s="1055"/>
      <c r="BO2612" s="1056"/>
      <c r="BP2612" s="1056"/>
      <c r="BQ2612" s="1056"/>
      <c r="BR2612" s="1056"/>
      <c r="BS2612" s="1056"/>
      <c r="BT2612" s="1056"/>
      <c r="BU2612" s="1056"/>
      <c r="BV2612" s="1057"/>
      <c r="BW2612" s="1057"/>
      <c r="BX2612" s="1148"/>
      <c r="BY2612" s="1057"/>
      <c r="BZ2612" s="1057"/>
      <c r="CA2612" s="1057"/>
      <c r="CB2612" s="944"/>
    </row>
    <row r="2613" spans="2:80">
      <c r="B2613" s="1033" t="s">
        <v>8184</v>
      </c>
      <c r="C2613" s="1033" t="s">
        <v>254</v>
      </c>
      <c r="D2613" s="1033"/>
      <c r="E2613" s="1033" t="s">
        <v>8407</v>
      </c>
      <c r="F2613" s="1034">
        <v>46183</v>
      </c>
      <c r="G2613" s="1033" t="s">
        <v>254</v>
      </c>
      <c r="H2613" s="1063" t="s">
        <v>134</v>
      </c>
      <c r="I2613" s="1063"/>
      <c r="J2613" s="1034"/>
      <c r="K2613" s="1034"/>
      <c r="L2613" s="1036" t="s">
        <v>106</v>
      </c>
      <c r="M2613" s="1037" t="s">
        <v>107</v>
      </c>
      <c r="N2613" s="1034"/>
      <c r="O2613" s="1064"/>
      <c r="P2613" s="1035"/>
      <c r="Q2613" s="1036"/>
      <c r="R2613" s="1038" t="s">
        <v>2525</v>
      </c>
      <c r="S2613" s="1131" t="s">
        <v>2526</v>
      </c>
      <c r="T2613" s="1065" t="s">
        <v>8430</v>
      </c>
      <c r="U2613" s="1066">
        <v>2</v>
      </c>
      <c r="V2613" s="1035" t="s">
        <v>3</v>
      </c>
      <c r="W2613" s="1039">
        <v>943</v>
      </c>
      <c r="X2613" s="1040">
        <f t="shared" si="508"/>
        <v>1886</v>
      </c>
      <c r="Y2613" s="1045" t="s">
        <v>8383</v>
      </c>
      <c r="Z2613" s="1041">
        <v>415.86</v>
      </c>
      <c r="AA2613" s="1041"/>
      <c r="AB2613" s="1041">
        <f t="shared" si="536"/>
        <v>831.72</v>
      </c>
      <c r="AC2613" s="1042">
        <f t="shared" si="537"/>
        <v>831.72</v>
      </c>
      <c r="AD2613" s="1043">
        <v>32000</v>
      </c>
      <c r="AE2613" s="1044"/>
      <c r="AF2613" s="1045"/>
      <c r="AG2613" s="1046"/>
      <c r="AH2613" s="1045"/>
      <c r="AI2613" s="1047"/>
      <c r="AJ2613" s="1038"/>
      <c r="AK2613" s="1048"/>
      <c r="AL2613" s="1036"/>
      <c r="AM2613" s="1036"/>
      <c r="AN2613" s="1037"/>
      <c r="AO2613" s="1037"/>
      <c r="AP2613" s="1034"/>
      <c r="AQ2613" s="1035"/>
      <c r="AR2613" s="1034"/>
      <c r="AS2613" s="1035"/>
      <c r="AT2613" s="1035"/>
      <c r="AU2613" s="1035"/>
      <c r="AV2613" s="1038"/>
      <c r="AW2613" s="1050"/>
      <c r="AX2613" s="1051"/>
      <c r="AY2613" s="1036"/>
      <c r="AZ2613" s="1035"/>
      <c r="BA2613" s="1035"/>
      <c r="BB2613" s="1052"/>
      <c r="BC2613" s="1053"/>
      <c r="BD2613" s="1049"/>
      <c r="BE2613" s="1054"/>
      <c r="BF2613" s="1055"/>
      <c r="BG2613" s="1055"/>
      <c r="BH2613" s="1055"/>
      <c r="BI2613" s="1055"/>
      <c r="BJ2613" s="1055"/>
      <c r="BK2613" s="1055"/>
      <c r="BL2613" s="1055"/>
      <c r="BM2613" s="1055"/>
      <c r="BN2613" s="1055"/>
      <c r="BO2613" s="1056"/>
      <c r="BP2613" s="1056"/>
      <c r="BQ2613" s="1056"/>
      <c r="BR2613" s="1056"/>
      <c r="BS2613" s="1056"/>
      <c r="BT2613" s="1056"/>
      <c r="BU2613" s="1056"/>
      <c r="BV2613" s="1057"/>
      <c r="BW2613" s="1057"/>
      <c r="BX2613" s="1148"/>
      <c r="BY2613" s="1057"/>
      <c r="BZ2613" s="1057"/>
      <c r="CA2613" s="1057"/>
      <c r="CB2613" s="944"/>
    </row>
    <row r="2614" spans="2:80">
      <c r="B2614" s="1033" t="s">
        <v>8184</v>
      </c>
      <c r="C2614" s="1033" t="s">
        <v>254</v>
      </c>
      <c r="D2614" s="1033"/>
      <c r="E2614" s="1033" t="s">
        <v>8431</v>
      </c>
      <c r="F2614" s="1034">
        <v>46207</v>
      </c>
      <c r="G2614" s="1033" t="s">
        <v>254</v>
      </c>
      <c r="H2614" s="1063" t="s">
        <v>8432</v>
      </c>
      <c r="I2614" s="1063"/>
      <c r="J2614" s="1034"/>
      <c r="K2614" s="1034"/>
      <c r="L2614" s="1036" t="s">
        <v>106</v>
      </c>
      <c r="M2614" s="1037" t="s">
        <v>107</v>
      </c>
      <c r="N2614" s="1034"/>
      <c r="O2614" s="1064"/>
      <c r="P2614" s="1035"/>
      <c r="Q2614" s="1036"/>
      <c r="R2614" s="1038" t="s">
        <v>8433</v>
      </c>
      <c r="S2614" s="1131"/>
      <c r="T2614" s="1065" t="s">
        <v>8434</v>
      </c>
      <c r="U2614" s="1066">
        <v>10</v>
      </c>
      <c r="V2614" s="1035" t="s">
        <v>3</v>
      </c>
      <c r="W2614" s="1039">
        <v>285</v>
      </c>
      <c r="X2614" s="1040">
        <f t="shared" si="508"/>
        <v>2850</v>
      </c>
      <c r="Y2614" s="1045">
        <v>0.51</v>
      </c>
      <c r="Z2614" s="1041">
        <v>139.65</v>
      </c>
      <c r="AA2614" s="1041"/>
      <c r="AB2614" s="1041">
        <f t="shared" ref="AB2614" si="538">IF(AA2614="F.O.C", 0, Z2614*U2614)</f>
        <v>1396.5</v>
      </c>
      <c r="AC2614" s="1042">
        <f t="shared" ref="AC2614" si="539">Z2614*U2614</f>
        <v>1396.5</v>
      </c>
      <c r="AD2614" s="1043">
        <v>32000</v>
      </c>
      <c r="AE2614" s="1044"/>
      <c r="AF2614" s="1045"/>
      <c r="AG2614" s="1046"/>
      <c r="AH2614" s="1045"/>
      <c r="AI2614" s="1047"/>
      <c r="AJ2614" s="1038"/>
      <c r="AK2614" s="1048"/>
      <c r="AL2614" s="1036"/>
      <c r="AM2614" s="1036"/>
      <c r="AN2614" s="1037"/>
      <c r="AO2614" s="1037"/>
      <c r="AP2614" s="1034"/>
      <c r="AQ2614" s="1035"/>
      <c r="AR2614" s="1034"/>
      <c r="AS2614" s="1035"/>
      <c r="AT2614" s="1035"/>
      <c r="AU2614" s="1035"/>
      <c r="AV2614" s="1038"/>
      <c r="AW2614" s="1050"/>
      <c r="AX2614" s="1051"/>
      <c r="AY2614" s="1036"/>
      <c r="AZ2614" s="1035"/>
      <c r="BA2614" s="1035"/>
      <c r="BB2614" s="1052"/>
      <c r="BC2614" s="1053"/>
      <c r="BD2614" s="1049"/>
      <c r="BE2614" s="1054"/>
      <c r="BF2614" s="1055"/>
      <c r="BG2614" s="1055"/>
      <c r="BH2614" s="1055"/>
      <c r="BI2614" s="1055"/>
      <c r="BJ2614" s="1055"/>
      <c r="BK2614" s="1055"/>
      <c r="BL2614" s="1055"/>
      <c r="BM2614" s="1055"/>
      <c r="BN2614" s="1055"/>
      <c r="BO2614" s="1056"/>
      <c r="BP2614" s="1056"/>
      <c r="BQ2614" s="1056"/>
      <c r="BR2614" s="1056"/>
      <c r="BS2614" s="1056"/>
      <c r="BT2614" s="1056"/>
      <c r="BU2614" s="1056"/>
      <c r="BV2614" s="1057"/>
      <c r="BW2614" s="1057"/>
      <c r="BX2614" s="1148"/>
      <c r="BY2614" s="1057"/>
      <c r="BZ2614" s="1057"/>
      <c r="CA2614" s="1057"/>
      <c r="CB2614" s="944"/>
    </row>
    <row r="2615" spans="2:80">
      <c r="B2615" s="1033"/>
      <c r="C2615" s="1033"/>
      <c r="D2615" s="1033"/>
      <c r="E2615" s="1033"/>
      <c r="F2615" s="1034"/>
      <c r="G2615" s="1033"/>
      <c r="H2615" s="1063"/>
      <c r="I2615" s="1063"/>
      <c r="J2615" s="1034"/>
      <c r="K2615" s="1034"/>
      <c r="L2615" s="1036"/>
      <c r="M2615" s="1037"/>
      <c r="N2615" s="1034"/>
      <c r="O2615" s="1064"/>
      <c r="P2615" s="1035"/>
      <c r="Q2615" s="1036"/>
      <c r="R2615" s="1038"/>
      <c r="S2615" s="1131"/>
      <c r="T2615" s="1065"/>
      <c r="U2615" s="1066"/>
      <c r="V2615" s="1035"/>
      <c r="W2615" s="1039"/>
      <c r="X2615" s="1040"/>
      <c r="Y2615" s="1045"/>
      <c r="Z2615" s="1041"/>
      <c r="AA2615" s="1041"/>
      <c r="AB2615" s="1041"/>
      <c r="AC2615" s="1042"/>
      <c r="AD2615" s="1043"/>
      <c r="AE2615" s="1044"/>
      <c r="AF2615" s="1045"/>
      <c r="AG2615" s="1046"/>
      <c r="AH2615" s="1045"/>
      <c r="AI2615" s="1047"/>
      <c r="AJ2615" s="1038"/>
      <c r="AK2615" s="1048"/>
      <c r="AL2615" s="1036"/>
      <c r="AM2615" s="1036"/>
      <c r="AN2615" s="1037"/>
      <c r="AO2615" s="1037"/>
      <c r="AP2615" s="1034"/>
      <c r="AQ2615" s="1035"/>
      <c r="AR2615" s="1034"/>
      <c r="AS2615" s="1035"/>
      <c r="AT2615" s="1035"/>
      <c r="AU2615" s="1035"/>
      <c r="AV2615" s="1038"/>
      <c r="AW2615" s="1050"/>
      <c r="AX2615" s="1051"/>
      <c r="AY2615" s="1036"/>
      <c r="AZ2615" s="1035"/>
      <c r="BA2615" s="1035"/>
      <c r="BB2615" s="1052"/>
      <c r="BC2615" s="1053"/>
      <c r="BD2615" s="1049"/>
      <c r="BE2615" s="1054"/>
      <c r="BF2615" s="1055"/>
      <c r="BG2615" s="1055"/>
      <c r="BH2615" s="1055"/>
      <c r="BI2615" s="1055"/>
      <c r="BJ2615" s="1055"/>
      <c r="BK2615" s="1055"/>
      <c r="BL2615" s="1055"/>
      <c r="BM2615" s="1055"/>
      <c r="BN2615" s="1055"/>
      <c r="BO2615" s="1056"/>
      <c r="BP2615" s="1056"/>
      <c r="BQ2615" s="1056"/>
      <c r="BR2615" s="1056"/>
      <c r="BS2615" s="1056"/>
      <c r="BT2615" s="1056"/>
      <c r="BU2615" s="1056"/>
      <c r="BV2615" s="1057"/>
      <c r="BW2615" s="1057"/>
      <c r="BX2615" s="1148"/>
      <c r="BY2615" s="1057"/>
      <c r="BZ2615" s="1057"/>
      <c r="CA2615" s="1057"/>
      <c r="CB2615" s="944"/>
    </row>
    <row r="2616" spans="2:80">
      <c r="B2616" s="1033" t="s">
        <v>8184</v>
      </c>
      <c r="C2616" s="1033" t="s">
        <v>4757</v>
      </c>
      <c r="D2616" s="1033"/>
      <c r="E2616" s="1033" t="s">
        <v>8435</v>
      </c>
      <c r="F2616" s="1034">
        <v>46199</v>
      </c>
      <c r="G2616" s="1033" t="s">
        <v>4757</v>
      </c>
      <c r="H2616" s="1063" t="s">
        <v>8436</v>
      </c>
      <c r="I2616" s="1063"/>
      <c r="J2616" s="1034"/>
      <c r="K2616" s="1034"/>
      <c r="L2616" s="1036" t="s">
        <v>106</v>
      </c>
      <c r="M2616" s="1037" t="s">
        <v>107</v>
      </c>
      <c r="N2616" s="1034"/>
      <c r="O2616" s="1064"/>
      <c r="P2616" s="1035"/>
      <c r="Q2616" s="1036"/>
      <c r="R2616" s="1038" t="s">
        <v>8437</v>
      </c>
      <c r="S2616" s="1131" t="s">
        <v>8438</v>
      </c>
      <c r="T2616" s="1065" t="s">
        <v>8439</v>
      </c>
      <c r="U2616" s="1066">
        <v>1</v>
      </c>
      <c r="V2616" s="1035" t="s">
        <v>3</v>
      </c>
      <c r="W2616" s="1039">
        <v>205</v>
      </c>
      <c r="X2616" s="1040">
        <f t="shared" si="508"/>
        <v>205</v>
      </c>
      <c r="Y2616" s="1045">
        <v>0.45</v>
      </c>
      <c r="Z2616" s="1041">
        <v>112.75000000000001</v>
      </c>
      <c r="AA2616" s="1041"/>
      <c r="AB2616" s="1041">
        <f t="shared" ref="AB2616" si="540">IF(AA2616="F.O.C", 0, Z2616*U2616)</f>
        <v>112.75000000000001</v>
      </c>
      <c r="AC2616" s="1042">
        <f t="shared" ref="AC2616" si="541">Z2616*U2616</f>
        <v>112.75000000000001</v>
      </c>
      <c r="AD2616" s="1043">
        <v>32000</v>
      </c>
      <c r="AE2616" s="1044"/>
      <c r="AF2616" s="1045"/>
      <c r="AG2616" s="1046"/>
      <c r="AH2616" s="1045"/>
      <c r="AI2616" s="1047"/>
      <c r="AJ2616" s="1038"/>
      <c r="AK2616" s="1048"/>
      <c r="AL2616" s="1036"/>
      <c r="AM2616" s="1036"/>
      <c r="AN2616" s="1037"/>
      <c r="AO2616" s="1037"/>
      <c r="AP2616" s="1034"/>
      <c r="AQ2616" s="1035"/>
      <c r="AR2616" s="1034"/>
      <c r="AS2616" s="1035"/>
      <c r="AT2616" s="1035"/>
      <c r="AU2616" s="1035"/>
      <c r="AV2616" s="1038"/>
      <c r="AW2616" s="1050"/>
      <c r="AX2616" s="1051"/>
      <c r="AY2616" s="1036"/>
      <c r="AZ2616" s="1035"/>
      <c r="BA2616" s="1035"/>
      <c r="BB2616" s="1052"/>
      <c r="BC2616" s="1053"/>
      <c r="BD2616" s="1049"/>
      <c r="BE2616" s="1054"/>
      <c r="BF2616" s="1055"/>
      <c r="BG2616" s="1055"/>
      <c r="BH2616" s="1055"/>
      <c r="BI2616" s="1055"/>
      <c r="BJ2616" s="1055"/>
      <c r="BK2616" s="1055"/>
      <c r="BL2616" s="1055"/>
      <c r="BM2616" s="1055"/>
      <c r="BN2616" s="1055"/>
      <c r="BO2616" s="1056"/>
      <c r="BP2616" s="1056"/>
      <c r="BQ2616" s="1056"/>
      <c r="BR2616" s="1056"/>
      <c r="BS2616" s="1056"/>
      <c r="BT2616" s="1056"/>
      <c r="BU2616" s="1056"/>
      <c r="BV2616" s="1057"/>
      <c r="BW2616" s="1057"/>
      <c r="BX2616" s="1148"/>
      <c r="BY2616" s="1057"/>
      <c r="BZ2616" s="1057"/>
      <c r="CA2616" s="1057"/>
      <c r="CB2616" s="944"/>
    </row>
    <row r="2617" spans="2:80">
      <c r="B2617" s="1033" t="s">
        <v>8184</v>
      </c>
      <c r="C2617" s="1033" t="s">
        <v>4757</v>
      </c>
      <c r="D2617" s="1033"/>
      <c r="E2617" s="1033" t="s">
        <v>8435</v>
      </c>
      <c r="F2617" s="1034">
        <v>46199</v>
      </c>
      <c r="G2617" s="1033" t="s">
        <v>4757</v>
      </c>
      <c r="H2617" s="1063" t="s">
        <v>8440</v>
      </c>
      <c r="I2617" s="1063"/>
      <c r="J2617" s="1034"/>
      <c r="K2617" s="1034"/>
      <c r="L2617" s="1036" t="s">
        <v>106</v>
      </c>
      <c r="M2617" s="1037" t="s">
        <v>107</v>
      </c>
      <c r="N2617" s="1034"/>
      <c r="O2617" s="1064"/>
      <c r="P2617" s="1035"/>
      <c r="Q2617" s="1036"/>
      <c r="R2617" s="1038" t="s">
        <v>8441</v>
      </c>
      <c r="S2617" s="1131" t="s">
        <v>8442</v>
      </c>
      <c r="T2617" s="1065" t="s">
        <v>8443</v>
      </c>
      <c r="U2617" s="1066">
        <v>1</v>
      </c>
      <c r="V2617" s="1035" t="s">
        <v>3</v>
      </c>
      <c r="W2617" s="1039">
        <v>530</v>
      </c>
      <c r="X2617" s="1040">
        <f t="shared" si="508"/>
        <v>530</v>
      </c>
      <c r="Y2617" s="1045">
        <v>0.45</v>
      </c>
      <c r="Z2617" s="1041">
        <v>291.5</v>
      </c>
      <c r="AA2617" s="1041"/>
      <c r="AB2617" s="1041">
        <f t="shared" ref="AB2617" si="542">IF(AA2617="F.O.C", 0, Z2617*U2617)</f>
        <v>291.5</v>
      </c>
      <c r="AC2617" s="1042">
        <f t="shared" ref="AC2617" si="543">Z2617*U2617</f>
        <v>291.5</v>
      </c>
      <c r="AD2617" s="1043">
        <v>32000</v>
      </c>
      <c r="AE2617" s="1044"/>
      <c r="AF2617" s="1045"/>
      <c r="AG2617" s="1046"/>
      <c r="AH2617" s="1045"/>
      <c r="AI2617" s="1047"/>
      <c r="AJ2617" s="1038"/>
      <c r="AK2617" s="1048"/>
      <c r="AL2617" s="1036"/>
      <c r="AM2617" s="1036"/>
      <c r="AN2617" s="1037"/>
      <c r="AO2617" s="1037"/>
      <c r="AP2617" s="1034"/>
      <c r="AQ2617" s="1035"/>
      <c r="AR2617" s="1034"/>
      <c r="AS2617" s="1035"/>
      <c r="AT2617" s="1035"/>
      <c r="AU2617" s="1035"/>
      <c r="AV2617" s="1038"/>
      <c r="AW2617" s="1050"/>
      <c r="AX2617" s="1051"/>
      <c r="AY2617" s="1036"/>
      <c r="AZ2617" s="1035"/>
      <c r="BA2617" s="1035"/>
      <c r="BB2617" s="1052"/>
      <c r="BC2617" s="1053"/>
      <c r="BD2617" s="1049"/>
      <c r="BE2617" s="1054"/>
      <c r="BF2617" s="1055"/>
      <c r="BG2617" s="1055"/>
      <c r="BH2617" s="1055"/>
      <c r="BI2617" s="1055"/>
      <c r="BJ2617" s="1055"/>
      <c r="BK2617" s="1055"/>
      <c r="BL2617" s="1055"/>
      <c r="BM2617" s="1055"/>
      <c r="BN2617" s="1055"/>
      <c r="BO2617" s="1056"/>
      <c r="BP2617" s="1056"/>
      <c r="BQ2617" s="1056"/>
      <c r="BR2617" s="1056"/>
      <c r="BS2617" s="1056"/>
      <c r="BT2617" s="1056"/>
      <c r="BU2617" s="1056"/>
      <c r="BV2617" s="1057"/>
      <c r="BW2617" s="1057"/>
      <c r="BX2617" s="1148"/>
      <c r="BY2617" s="1057"/>
      <c r="BZ2617" s="1057"/>
      <c r="CA2617" s="1057"/>
      <c r="CB2617" s="944"/>
    </row>
    <row r="2618" spans="2:80">
      <c r="B2618" s="1033"/>
      <c r="C2618" s="1033"/>
      <c r="D2618" s="1033"/>
      <c r="E2618" s="1033"/>
      <c r="F2618" s="1034"/>
      <c r="G2618" s="1033"/>
      <c r="H2618" s="1063"/>
      <c r="I2618" s="1063"/>
      <c r="J2618" s="1034"/>
      <c r="K2618" s="1034"/>
      <c r="L2618" s="1036"/>
      <c r="M2618" s="1037"/>
      <c r="N2618" s="1034"/>
      <c r="O2618" s="1064"/>
      <c r="P2618" s="1035"/>
      <c r="Q2618" s="1036"/>
      <c r="R2618" s="1038"/>
      <c r="S2618" s="1131"/>
      <c r="T2618" s="1065"/>
      <c r="U2618" s="1066"/>
      <c r="V2618" s="1035"/>
      <c r="W2618" s="1039"/>
      <c r="X2618" s="1040"/>
      <c r="Y2618" s="1045"/>
      <c r="Z2618" s="1041"/>
      <c r="AA2618" s="1041"/>
      <c r="AB2618" s="1041"/>
      <c r="AC2618" s="1042"/>
      <c r="AD2618" s="1043"/>
      <c r="AE2618" s="1044"/>
      <c r="AF2618" s="1045"/>
      <c r="AG2618" s="1046"/>
      <c r="AH2618" s="1045"/>
      <c r="AI2618" s="1047"/>
      <c r="AJ2618" s="1038"/>
      <c r="AK2618" s="1048"/>
      <c r="AL2618" s="1036"/>
      <c r="AM2618" s="1036"/>
      <c r="AN2618" s="1037"/>
      <c r="AO2618" s="1037"/>
      <c r="AP2618" s="1034"/>
      <c r="AQ2618" s="1035"/>
      <c r="AR2618" s="1034"/>
      <c r="AS2618" s="1035"/>
      <c r="AT2618" s="1035"/>
      <c r="AU2618" s="1035"/>
      <c r="AV2618" s="1038"/>
      <c r="AW2618" s="1050"/>
      <c r="AX2618" s="1051"/>
      <c r="AY2618" s="1036"/>
      <c r="AZ2618" s="1035"/>
      <c r="BA2618" s="1035"/>
      <c r="BB2618" s="1052"/>
      <c r="BC2618" s="1053"/>
      <c r="BD2618" s="1049"/>
      <c r="BE2618" s="1054"/>
      <c r="BF2618" s="1055"/>
      <c r="BG2618" s="1055"/>
      <c r="BH2618" s="1055"/>
      <c r="BI2618" s="1055"/>
      <c r="BJ2618" s="1055"/>
      <c r="BK2618" s="1055"/>
      <c r="BL2618" s="1055"/>
      <c r="BM2618" s="1055"/>
      <c r="BN2618" s="1055"/>
      <c r="BO2618" s="1056"/>
      <c r="BP2618" s="1056"/>
      <c r="BQ2618" s="1056"/>
      <c r="BR2618" s="1056"/>
      <c r="BS2618" s="1056"/>
      <c r="BT2618" s="1056"/>
      <c r="BU2618" s="1056"/>
      <c r="BV2618" s="1057"/>
      <c r="BW2618" s="1057"/>
      <c r="BX2618" s="1148"/>
      <c r="BY2618" s="1057"/>
      <c r="BZ2618" s="1057"/>
      <c r="CA2618" s="1057"/>
      <c r="CB2618" s="944"/>
    </row>
    <row r="2619" spans="2:80">
      <c r="B2619" s="1033"/>
      <c r="C2619" s="1033"/>
      <c r="D2619" s="1033"/>
      <c r="E2619" s="1033"/>
      <c r="F2619" s="1034"/>
      <c r="G2619" s="1033"/>
      <c r="H2619" s="1063"/>
      <c r="I2619" s="1063"/>
      <c r="J2619" s="1034"/>
      <c r="K2619" s="1034"/>
      <c r="L2619" s="1036"/>
      <c r="M2619" s="1037"/>
      <c r="N2619" s="1034"/>
      <c r="O2619" s="1064"/>
      <c r="P2619" s="1035"/>
      <c r="Q2619" s="1036"/>
      <c r="R2619" s="1038"/>
      <c r="S2619" s="1131"/>
      <c r="T2619" s="1065"/>
      <c r="U2619" s="1066"/>
      <c r="V2619" s="1035"/>
      <c r="W2619" s="1039"/>
      <c r="X2619" s="1040"/>
      <c r="Y2619" s="1045"/>
      <c r="Z2619" s="1039"/>
      <c r="AA2619" s="1041"/>
      <c r="AB2619" s="1041"/>
      <c r="AC2619" s="1042"/>
      <c r="AD2619" s="1043"/>
      <c r="AE2619" s="1044"/>
      <c r="AF2619" s="1045"/>
      <c r="AG2619" s="1046"/>
      <c r="AH2619" s="1045"/>
      <c r="AI2619" s="1047"/>
      <c r="AJ2619" s="1038"/>
      <c r="AK2619" s="1048"/>
      <c r="AL2619" s="1036"/>
      <c r="AM2619" s="1036"/>
      <c r="AN2619" s="1037"/>
      <c r="AO2619" s="1037"/>
      <c r="AP2619" s="1034"/>
      <c r="AQ2619" s="1035"/>
      <c r="AR2619" s="1034"/>
      <c r="AS2619" s="1035"/>
      <c r="AT2619" s="1035"/>
      <c r="AU2619" s="1035"/>
      <c r="AV2619" s="1038"/>
      <c r="AW2619" s="1050"/>
      <c r="AX2619" s="1051"/>
      <c r="AY2619" s="1036"/>
      <c r="AZ2619" s="1035"/>
      <c r="BA2619" s="1035"/>
      <c r="BB2619" s="1052"/>
      <c r="BC2619" s="1053"/>
      <c r="BD2619" s="1049"/>
      <c r="BE2619" s="1054"/>
      <c r="BF2619" s="1055"/>
      <c r="BG2619" s="1055"/>
      <c r="BH2619" s="1055"/>
      <c r="BI2619" s="1055"/>
      <c r="BJ2619" s="1055"/>
      <c r="BK2619" s="1055"/>
      <c r="BL2619" s="1055"/>
      <c r="BM2619" s="1055"/>
      <c r="BN2619" s="1055"/>
      <c r="BO2619" s="1056"/>
      <c r="BP2619" s="1056"/>
      <c r="BQ2619" s="1056"/>
      <c r="BR2619" s="1056"/>
      <c r="BS2619" s="1056"/>
      <c r="BT2619" s="1056"/>
      <c r="BU2619" s="1056"/>
      <c r="BV2619" s="1057"/>
      <c r="BW2619" s="1057"/>
      <c r="BX2619" s="1148"/>
      <c r="BY2619" s="1057"/>
      <c r="BZ2619" s="1057"/>
      <c r="CA2619" s="1057"/>
      <c r="CB2619" s="944"/>
    </row>
    <row r="2620" spans="2:80">
      <c r="B2620" s="1033" t="s">
        <v>8184</v>
      </c>
      <c r="C2620" s="1033" t="s">
        <v>3454</v>
      </c>
      <c r="D2620" s="1033"/>
      <c r="E2620" s="1033" t="s">
        <v>8444</v>
      </c>
      <c r="F2620" s="1034">
        <v>46182</v>
      </c>
      <c r="G2620" s="1033" t="s">
        <v>3456</v>
      </c>
      <c r="H2620" s="1063" t="s">
        <v>8445</v>
      </c>
      <c r="I2620" s="1063"/>
      <c r="J2620" s="1034"/>
      <c r="K2620" s="1034"/>
      <c r="L2620" s="1036" t="s">
        <v>106</v>
      </c>
      <c r="M2620" s="1037" t="s">
        <v>107</v>
      </c>
      <c r="N2620" s="1034"/>
      <c r="O2620" s="1064"/>
      <c r="P2620" s="1035"/>
      <c r="Q2620" s="1036"/>
      <c r="R2620" s="1131" t="s">
        <v>8446</v>
      </c>
      <c r="S2620" s="1131" t="s">
        <v>8446</v>
      </c>
      <c r="T2620" s="1065" t="s">
        <v>8447</v>
      </c>
      <c r="U2620" s="1066">
        <v>6</v>
      </c>
      <c r="V2620" s="1035" t="s">
        <v>8</v>
      </c>
      <c r="W2620" s="1039">
        <v>18.600000000000001</v>
      </c>
      <c r="X2620" s="1040">
        <f t="shared" si="508"/>
        <v>111.60000000000001</v>
      </c>
      <c r="Y2620" s="1045"/>
      <c r="Z2620" s="1039">
        <v>18.600000000000001</v>
      </c>
      <c r="AA2620" s="1041"/>
      <c r="AB2620" s="1041">
        <f t="shared" ref="AB2620:AB2655" si="544">IF(AA2620="F.O.C", 0, Z2620*U2620)</f>
        <v>111.60000000000001</v>
      </c>
      <c r="AC2620" s="1042">
        <f t="shared" ref="AC2620:AC2655" si="545">Z2620*U2620</f>
        <v>111.60000000000001</v>
      </c>
      <c r="AD2620" s="1043">
        <v>27000</v>
      </c>
      <c r="AE2620" s="1044"/>
      <c r="AF2620" s="1045"/>
      <c r="AG2620" s="1046"/>
      <c r="AH2620" s="1045"/>
      <c r="AI2620" s="1047"/>
      <c r="AJ2620" s="1038"/>
      <c r="AK2620" s="1048"/>
      <c r="AL2620" s="1036"/>
      <c r="AM2620" s="1036"/>
      <c r="AN2620" s="1037"/>
      <c r="AO2620" s="1037"/>
      <c r="AP2620" s="1034"/>
      <c r="AQ2620" s="1035"/>
      <c r="AR2620" s="1034"/>
      <c r="AS2620" s="1035"/>
      <c r="AT2620" s="1035"/>
      <c r="AU2620" s="1035"/>
      <c r="AV2620" s="1038"/>
      <c r="AW2620" s="1050"/>
      <c r="AX2620" s="1051"/>
      <c r="AY2620" s="1036"/>
      <c r="AZ2620" s="1035"/>
      <c r="BA2620" s="1035"/>
      <c r="BB2620" s="1052"/>
      <c r="BC2620" s="1053"/>
      <c r="BD2620" s="1049"/>
      <c r="BE2620" s="1054"/>
      <c r="BF2620" s="1055"/>
      <c r="BG2620" s="1055"/>
      <c r="BH2620" s="1055"/>
      <c r="BI2620" s="1055"/>
      <c r="BJ2620" s="1055"/>
      <c r="BK2620" s="1055"/>
      <c r="BL2620" s="1055"/>
      <c r="BM2620" s="1055"/>
      <c r="BN2620" s="1055"/>
      <c r="BO2620" s="1056"/>
      <c r="BP2620" s="1056"/>
      <c r="BQ2620" s="1056"/>
      <c r="BR2620" s="1056"/>
      <c r="BS2620" s="1056"/>
      <c r="BT2620" s="1056"/>
      <c r="BU2620" s="1056"/>
      <c r="BV2620" s="1057"/>
      <c r="BW2620" s="1057"/>
      <c r="BX2620" s="1148"/>
      <c r="BY2620" s="1057"/>
      <c r="BZ2620" s="1057"/>
      <c r="CA2620" s="1057"/>
      <c r="CB2620" s="944"/>
    </row>
    <row r="2621" spans="2:80">
      <c r="B2621" s="1033" t="s">
        <v>8184</v>
      </c>
      <c r="C2621" s="1033" t="s">
        <v>3454</v>
      </c>
      <c r="D2621" s="1033"/>
      <c r="E2621" s="1033" t="s">
        <v>8448</v>
      </c>
      <c r="F2621" s="1034">
        <v>46185</v>
      </c>
      <c r="G2621" s="1033" t="s">
        <v>3456</v>
      </c>
      <c r="H2621" s="1063" t="s">
        <v>8449</v>
      </c>
      <c r="I2621" s="1063"/>
      <c r="J2621" s="1034"/>
      <c r="K2621" s="1034"/>
      <c r="L2621" s="1036" t="s">
        <v>106</v>
      </c>
      <c r="M2621" s="1037" t="s">
        <v>107</v>
      </c>
      <c r="N2621" s="1034"/>
      <c r="O2621" s="1064"/>
      <c r="P2621" s="1035"/>
      <c r="Q2621" s="1036"/>
      <c r="R2621" s="1038" t="s">
        <v>8450</v>
      </c>
      <c r="S2621" s="1131" t="s">
        <v>8450</v>
      </c>
      <c r="T2621" s="1065" t="s">
        <v>8451</v>
      </c>
      <c r="U2621" s="1066">
        <v>78</v>
      </c>
      <c r="V2621" s="1035" t="s">
        <v>8</v>
      </c>
      <c r="W2621" s="1039">
        <v>13.2</v>
      </c>
      <c r="X2621" s="1040">
        <f t="shared" si="508"/>
        <v>1029.5999999999999</v>
      </c>
      <c r="Y2621" s="1045"/>
      <c r="Z2621" s="1041">
        <v>13.2</v>
      </c>
      <c r="AA2621" s="1041"/>
      <c r="AB2621" s="1041">
        <f t="shared" ref="AB2621:AB2626" si="546">IF(AA2621="F.O.C", 0, Z2621*U2621)</f>
        <v>1029.5999999999999</v>
      </c>
      <c r="AC2621" s="1042">
        <f t="shared" ref="AC2621:AC2626" si="547">Z2621*U2621</f>
        <v>1029.5999999999999</v>
      </c>
      <c r="AD2621" s="1043">
        <v>27000</v>
      </c>
      <c r="AE2621" s="1044"/>
      <c r="AF2621" s="1045"/>
      <c r="AG2621" s="1046"/>
      <c r="AH2621" s="1045"/>
      <c r="AI2621" s="1047"/>
      <c r="AJ2621" s="1038"/>
      <c r="AK2621" s="1048"/>
      <c r="AL2621" s="1036"/>
      <c r="AM2621" s="1036"/>
      <c r="AN2621" s="1037"/>
      <c r="AO2621" s="1037"/>
      <c r="AP2621" s="1034"/>
      <c r="AQ2621" s="1035"/>
      <c r="AR2621" s="1034"/>
      <c r="AS2621" s="1035"/>
      <c r="AT2621" s="1035"/>
      <c r="AU2621" s="1035"/>
      <c r="AV2621" s="1038"/>
      <c r="AW2621" s="1050"/>
      <c r="AX2621" s="1051"/>
      <c r="AY2621" s="1036"/>
      <c r="AZ2621" s="1035"/>
      <c r="BA2621" s="1035"/>
      <c r="BB2621" s="1052"/>
      <c r="BC2621" s="1053"/>
      <c r="BD2621" s="1049"/>
      <c r="BE2621" s="1054"/>
      <c r="BF2621" s="1055"/>
      <c r="BG2621" s="1055"/>
      <c r="BH2621" s="1055"/>
      <c r="BI2621" s="1055"/>
      <c r="BJ2621" s="1055"/>
      <c r="BK2621" s="1055"/>
      <c r="BL2621" s="1055"/>
      <c r="BM2621" s="1055"/>
      <c r="BN2621" s="1055"/>
      <c r="BO2621" s="1056"/>
      <c r="BP2621" s="1056"/>
      <c r="BQ2621" s="1056"/>
      <c r="BR2621" s="1056"/>
      <c r="BS2621" s="1056"/>
      <c r="BT2621" s="1056"/>
      <c r="BU2621" s="1056"/>
      <c r="BV2621" s="1057"/>
      <c r="BW2621" s="1057"/>
      <c r="BX2621" s="1148"/>
      <c r="BY2621" s="1057"/>
      <c r="BZ2621" s="1057"/>
      <c r="CA2621" s="1057"/>
      <c r="CB2621" s="944"/>
    </row>
    <row r="2622" spans="2:80">
      <c r="B2622" s="1033" t="s">
        <v>8184</v>
      </c>
      <c r="C2622" s="1033" t="s">
        <v>3454</v>
      </c>
      <c r="D2622" s="1033"/>
      <c r="E2622" s="1033" t="s">
        <v>8448</v>
      </c>
      <c r="F2622" s="1034">
        <v>46185</v>
      </c>
      <c r="G2622" s="1033" t="s">
        <v>3456</v>
      </c>
      <c r="H2622" s="1063" t="s">
        <v>8449</v>
      </c>
      <c r="I2622" s="1063"/>
      <c r="J2622" s="1034"/>
      <c r="K2622" s="1034"/>
      <c r="L2622" s="1036" t="s">
        <v>106</v>
      </c>
      <c r="M2622" s="1037" t="s">
        <v>107</v>
      </c>
      <c r="N2622" s="1034"/>
      <c r="O2622" s="1064"/>
      <c r="P2622" s="1035"/>
      <c r="Q2622" s="1036"/>
      <c r="R2622" s="1038" t="s">
        <v>8452</v>
      </c>
      <c r="S2622" s="1131" t="s">
        <v>8452</v>
      </c>
      <c r="T2622" s="1065" t="s">
        <v>8453</v>
      </c>
      <c r="U2622" s="1066">
        <v>42</v>
      </c>
      <c r="V2622" s="1035" t="s">
        <v>8</v>
      </c>
      <c r="W2622" s="1039">
        <v>5.4</v>
      </c>
      <c r="X2622" s="1040">
        <f t="shared" si="508"/>
        <v>226.8</v>
      </c>
      <c r="Y2622" s="1045"/>
      <c r="Z2622" s="1041">
        <v>5.4</v>
      </c>
      <c r="AA2622" s="1041"/>
      <c r="AB2622" s="1041">
        <f t="shared" si="546"/>
        <v>226.8</v>
      </c>
      <c r="AC2622" s="1042">
        <f t="shared" si="547"/>
        <v>226.8</v>
      </c>
      <c r="AD2622" s="1043">
        <v>27000</v>
      </c>
      <c r="AE2622" s="1044"/>
      <c r="AF2622" s="1045"/>
      <c r="AG2622" s="1046"/>
      <c r="AH2622" s="1045"/>
      <c r="AI2622" s="1047"/>
      <c r="AJ2622" s="1038"/>
      <c r="AK2622" s="1048"/>
      <c r="AL2622" s="1036"/>
      <c r="AM2622" s="1036"/>
      <c r="AN2622" s="1037"/>
      <c r="AO2622" s="1037"/>
      <c r="AP2622" s="1034"/>
      <c r="AQ2622" s="1035"/>
      <c r="AR2622" s="1034"/>
      <c r="AS2622" s="1035"/>
      <c r="AT2622" s="1035"/>
      <c r="AU2622" s="1035"/>
      <c r="AV2622" s="1038"/>
      <c r="AW2622" s="1050"/>
      <c r="AX2622" s="1051"/>
      <c r="AY2622" s="1036"/>
      <c r="AZ2622" s="1035"/>
      <c r="BA2622" s="1035"/>
      <c r="BB2622" s="1052"/>
      <c r="BC2622" s="1053"/>
      <c r="BD2622" s="1049"/>
      <c r="BE2622" s="1054"/>
      <c r="BF2622" s="1055"/>
      <c r="BG2622" s="1055"/>
      <c r="BH2622" s="1055"/>
      <c r="BI2622" s="1055"/>
      <c r="BJ2622" s="1055"/>
      <c r="BK2622" s="1055"/>
      <c r="BL2622" s="1055"/>
      <c r="BM2622" s="1055"/>
      <c r="BN2622" s="1055"/>
      <c r="BO2622" s="1056"/>
      <c r="BP2622" s="1056"/>
      <c r="BQ2622" s="1056"/>
      <c r="BR2622" s="1056"/>
      <c r="BS2622" s="1056"/>
      <c r="BT2622" s="1056"/>
      <c r="BU2622" s="1056"/>
      <c r="BV2622" s="1057"/>
      <c r="BW2622" s="1057"/>
      <c r="BX2622" s="1148"/>
      <c r="BY2622" s="1057"/>
      <c r="BZ2622" s="1057"/>
      <c r="CA2622" s="1057"/>
      <c r="CB2622" s="944"/>
    </row>
    <row r="2623" spans="2:80">
      <c r="B2623" s="1033" t="s">
        <v>8184</v>
      </c>
      <c r="C2623" s="1033" t="s">
        <v>3454</v>
      </c>
      <c r="D2623" s="1033"/>
      <c r="E2623" s="1033" t="s">
        <v>8448</v>
      </c>
      <c r="F2623" s="1034">
        <v>46185</v>
      </c>
      <c r="G2623" s="1033" t="s">
        <v>3456</v>
      </c>
      <c r="H2623" s="1063" t="s">
        <v>8449</v>
      </c>
      <c r="I2623" s="1063"/>
      <c r="J2623" s="1034"/>
      <c r="K2623" s="1034"/>
      <c r="L2623" s="1036" t="s">
        <v>106</v>
      </c>
      <c r="M2623" s="1037" t="s">
        <v>107</v>
      </c>
      <c r="N2623" s="1034"/>
      <c r="O2623" s="1064"/>
      <c r="P2623" s="1035"/>
      <c r="Q2623" s="1036"/>
      <c r="R2623" s="1038" t="s">
        <v>8454</v>
      </c>
      <c r="S2623" s="1131" t="s">
        <v>8454</v>
      </c>
      <c r="T2623" s="1065" t="s">
        <v>8455</v>
      </c>
      <c r="U2623" s="1066">
        <v>15</v>
      </c>
      <c r="V2623" s="1035" t="s">
        <v>8</v>
      </c>
      <c r="W2623" s="1039">
        <v>4</v>
      </c>
      <c r="X2623" s="1040">
        <f t="shared" si="508"/>
        <v>60</v>
      </c>
      <c r="Y2623" s="1045"/>
      <c r="Z2623" s="1041">
        <v>4</v>
      </c>
      <c r="AA2623" s="1041"/>
      <c r="AB2623" s="1041">
        <f t="shared" si="546"/>
        <v>60</v>
      </c>
      <c r="AC2623" s="1042">
        <f t="shared" si="547"/>
        <v>60</v>
      </c>
      <c r="AD2623" s="1043">
        <v>27000</v>
      </c>
      <c r="AE2623" s="1044"/>
      <c r="AF2623" s="1045"/>
      <c r="AG2623" s="1046"/>
      <c r="AH2623" s="1045"/>
      <c r="AI2623" s="1047"/>
      <c r="AJ2623" s="1038"/>
      <c r="AK2623" s="1048"/>
      <c r="AL2623" s="1036"/>
      <c r="AM2623" s="1036"/>
      <c r="AN2623" s="1037"/>
      <c r="AO2623" s="1037"/>
      <c r="AP2623" s="1034"/>
      <c r="AQ2623" s="1035"/>
      <c r="AR2623" s="1034"/>
      <c r="AS2623" s="1035"/>
      <c r="AT2623" s="1035"/>
      <c r="AU2623" s="1035"/>
      <c r="AV2623" s="1038"/>
      <c r="AW2623" s="1050"/>
      <c r="AX2623" s="1051"/>
      <c r="AY2623" s="1036"/>
      <c r="AZ2623" s="1035"/>
      <c r="BA2623" s="1035"/>
      <c r="BB2623" s="1052"/>
      <c r="BC2623" s="1053"/>
      <c r="BD2623" s="1049"/>
      <c r="BE2623" s="1054"/>
      <c r="BF2623" s="1055"/>
      <c r="BG2623" s="1055"/>
      <c r="BH2623" s="1055"/>
      <c r="BI2623" s="1055"/>
      <c r="BJ2623" s="1055"/>
      <c r="BK2623" s="1055"/>
      <c r="BL2623" s="1055"/>
      <c r="BM2623" s="1055"/>
      <c r="BN2623" s="1055"/>
      <c r="BO2623" s="1056"/>
      <c r="BP2623" s="1056"/>
      <c r="BQ2623" s="1056"/>
      <c r="BR2623" s="1056"/>
      <c r="BS2623" s="1056"/>
      <c r="BT2623" s="1056"/>
      <c r="BU2623" s="1056"/>
      <c r="BV2623" s="1057"/>
      <c r="BW2623" s="1057"/>
      <c r="BX2623" s="1148"/>
      <c r="BY2623" s="1057"/>
      <c r="BZ2623" s="1057"/>
      <c r="CA2623" s="1057"/>
      <c r="CB2623" s="944"/>
    </row>
    <row r="2624" spans="2:80">
      <c r="B2624" s="1033" t="s">
        <v>8184</v>
      </c>
      <c r="C2624" s="1033" t="s">
        <v>3454</v>
      </c>
      <c r="D2624" s="1033"/>
      <c r="E2624" s="1033" t="s">
        <v>8448</v>
      </c>
      <c r="F2624" s="1034">
        <v>46185</v>
      </c>
      <c r="G2624" s="1033" t="s">
        <v>3456</v>
      </c>
      <c r="H2624" s="1063" t="s">
        <v>8449</v>
      </c>
      <c r="I2624" s="1063"/>
      <c r="J2624" s="1034"/>
      <c r="K2624" s="1034"/>
      <c r="L2624" s="1036" t="s">
        <v>106</v>
      </c>
      <c r="M2624" s="1037" t="s">
        <v>107</v>
      </c>
      <c r="N2624" s="1034"/>
      <c r="O2624" s="1064"/>
      <c r="P2624" s="1035"/>
      <c r="Q2624" s="1036"/>
      <c r="R2624" s="1038" t="s">
        <v>8456</v>
      </c>
      <c r="S2624" s="1131" t="s">
        <v>8456</v>
      </c>
      <c r="T2624" s="1065" t="s">
        <v>8457</v>
      </c>
      <c r="U2624" s="1066">
        <v>5</v>
      </c>
      <c r="V2624" s="1035" t="s">
        <v>8</v>
      </c>
      <c r="W2624" s="1039">
        <v>2.7</v>
      </c>
      <c r="X2624" s="1040">
        <f t="shared" si="508"/>
        <v>13.5</v>
      </c>
      <c r="Y2624" s="1045"/>
      <c r="Z2624" s="1041">
        <v>2.7</v>
      </c>
      <c r="AA2624" s="1041"/>
      <c r="AB2624" s="1041">
        <f t="shared" si="546"/>
        <v>13.5</v>
      </c>
      <c r="AC2624" s="1042">
        <f t="shared" si="547"/>
        <v>13.5</v>
      </c>
      <c r="AD2624" s="1043">
        <v>27000</v>
      </c>
      <c r="AE2624" s="1044"/>
      <c r="AF2624" s="1045"/>
      <c r="AG2624" s="1046"/>
      <c r="AH2624" s="1045"/>
      <c r="AI2624" s="1047"/>
      <c r="AJ2624" s="1038"/>
      <c r="AK2624" s="1048"/>
      <c r="AL2624" s="1036"/>
      <c r="AM2624" s="1036"/>
      <c r="AN2624" s="1037"/>
      <c r="AO2624" s="1037"/>
      <c r="AP2624" s="1034"/>
      <c r="AQ2624" s="1035"/>
      <c r="AR2624" s="1034"/>
      <c r="AS2624" s="1035"/>
      <c r="AT2624" s="1035"/>
      <c r="AU2624" s="1035"/>
      <c r="AV2624" s="1038"/>
      <c r="AW2624" s="1050"/>
      <c r="AX2624" s="1051"/>
      <c r="AY2624" s="1036"/>
      <c r="AZ2624" s="1035"/>
      <c r="BA2624" s="1035"/>
      <c r="BB2624" s="1052"/>
      <c r="BC2624" s="1053"/>
      <c r="BD2624" s="1049"/>
      <c r="BE2624" s="1054"/>
      <c r="BF2624" s="1055"/>
      <c r="BG2624" s="1055"/>
      <c r="BH2624" s="1055"/>
      <c r="BI2624" s="1055"/>
      <c r="BJ2624" s="1055"/>
      <c r="BK2624" s="1055"/>
      <c r="BL2624" s="1055"/>
      <c r="BM2624" s="1055"/>
      <c r="BN2624" s="1055"/>
      <c r="BO2624" s="1056"/>
      <c r="BP2624" s="1056"/>
      <c r="BQ2624" s="1056"/>
      <c r="BR2624" s="1056"/>
      <c r="BS2624" s="1056"/>
      <c r="BT2624" s="1056"/>
      <c r="BU2624" s="1056"/>
      <c r="BV2624" s="1057"/>
      <c r="BW2624" s="1057"/>
      <c r="BX2624" s="1148"/>
      <c r="BY2624" s="1057"/>
      <c r="BZ2624" s="1057"/>
      <c r="CA2624" s="1057"/>
      <c r="CB2624" s="944"/>
    </row>
    <row r="2625" spans="2:80">
      <c r="B2625" s="1033" t="s">
        <v>8184</v>
      </c>
      <c r="C2625" s="1033" t="s">
        <v>3454</v>
      </c>
      <c r="D2625" s="1033"/>
      <c r="E2625" s="1033" t="s">
        <v>8448</v>
      </c>
      <c r="F2625" s="1034">
        <v>46185</v>
      </c>
      <c r="G2625" s="1033" t="s">
        <v>3456</v>
      </c>
      <c r="H2625" s="1063" t="s">
        <v>8449</v>
      </c>
      <c r="I2625" s="1063"/>
      <c r="J2625" s="1034"/>
      <c r="K2625" s="1034"/>
      <c r="L2625" s="1036" t="s">
        <v>106</v>
      </c>
      <c r="M2625" s="1037" t="s">
        <v>107</v>
      </c>
      <c r="N2625" s="1034"/>
      <c r="O2625" s="1064"/>
      <c r="P2625" s="1035"/>
      <c r="Q2625" s="1036"/>
      <c r="R2625" s="1038" t="s">
        <v>8458</v>
      </c>
      <c r="S2625" s="1131" t="s">
        <v>8458</v>
      </c>
      <c r="T2625" s="1065" t="s">
        <v>8459</v>
      </c>
      <c r="U2625" s="1066">
        <v>40</v>
      </c>
      <c r="V2625" s="1035" t="s">
        <v>8</v>
      </c>
      <c r="W2625" s="1039">
        <v>0.8</v>
      </c>
      <c r="X2625" s="1040">
        <f t="shared" si="508"/>
        <v>32</v>
      </c>
      <c r="Y2625" s="1045"/>
      <c r="Z2625" s="1041">
        <v>0.8</v>
      </c>
      <c r="AA2625" s="1041"/>
      <c r="AB2625" s="1041">
        <f t="shared" si="546"/>
        <v>32</v>
      </c>
      <c r="AC2625" s="1042">
        <f t="shared" si="547"/>
        <v>32</v>
      </c>
      <c r="AD2625" s="1043">
        <v>27000</v>
      </c>
      <c r="AE2625" s="1044"/>
      <c r="AF2625" s="1045"/>
      <c r="AG2625" s="1046"/>
      <c r="AH2625" s="1045"/>
      <c r="AI2625" s="1047"/>
      <c r="AJ2625" s="1038"/>
      <c r="AK2625" s="1048"/>
      <c r="AL2625" s="1036"/>
      <c r="AM2625" s="1036"/>
      <c r="AN2625" s="1037"/>
      <c r="AO2625" s="1037"/>
      <c r="AP2625" s="1034"/>
      <c r="AQ2625" s="1035"/>
      <c r="AR2625" s="1034"/>
      <c r="AS2625" s="1035"/>
      <c r="AT2625" s="1035"/>
      <c r="AU2625" s="1035"/>
      <c r="AV2625" s="1038"/>
      <c r="AW2625" s="1050"/>
      <c r="AX2625" s="1051"/>
      <c r="AY2625" s="1036"/>
      <c r="AZ2625" s="1035"/>
      <c r="BA2625" s="1035"/>
      <c r="BB2625" s="1052"/>
      <c r="BC2625" s="1053"/>
      <c r="BD2625" s="1049"/>
      <c r="BE2625" s="1054"/>
      <c r="BF2625" s="1055"/>
      <c r="BG2625" s="1055"/>
      <c r="BH2625" s="1055"/>
      <c r="BI2625" s="1055"/>
      <c r="BJ2625" s="1055"/>
      <c r="BK2625" s="1055"/>
      <c r="BL2625" s="1055"/>
      <c r="BM2625" s="1055"/>
      <c r="BN2625" s="1055"/>
      <c r="BO2625" s="1056"/>
      <c r="BP2625" s="1056"/>
      <c r="BQ2625" s="1056"/>
      <c r="BR2625" s="1056"/>
      <c r="BS2625" s="1056"/>
      <c r="BT2625" s="1056"/>
      <c r="BU2625" s="1056"/>
      <c r="BV2625" s="1057"/>
      <c r="BW2625" s="1057"/>
      <c r="BX2625" s="1148"/>
      <c r="BY2625" s="1057"/>
      <c r="BZ2625" s="1057"/>
      <c r="CA2625" s="1057"/>
      <c r="CB2625" s="944"/>
    </row>
    <row r="2626" spans="2:80">
      <c r="B2626" s="1033" t="s">
        <v>8184</v>
      </c>
      <c r="C2626" s="1033" t="s">
        <v>3454</v>
      </c>
      <c r="D2626" s="1033"/>
      <c r="E2626" s="1033" t="s">
        <v>8460</v>
      </c>
      <c r="F2626" s="1034">
        <v>46196</v>
      </c>
      <c r="G2626" s="1033" t="s">
        <v>3482</v>
      </c>
      <c r="H2626" s="1063" t="s">
        <v>8461</v>
      </c>
      <c r="I2626" s="1063"/>
      <c r="J2626" s="1034"/>
      <c r="K2626" s="1034"/>
      <c r="L2626" s="1036" t="s">
        <v>106</v>
      </c>
      <c r="M2626" s="1037" t="s">
        <v>107</v>
      </c>
      <c r="N2626" s="1034"/>
      <c r="O2626" s="1064"/>
      <c r="P2626" s="1035"/>
      <c r="Q2626" s="1036"/>
      <c r="R2626" s="1038" t="s">
        <v>5413</v>
      </c>
      <c r="S2626" s="1131" t="s">
        <v>5413</v>
      </c>
      <c r="T2626" s="1065" t="s">
        <v>8462</v>
      </c>
      <c r="U2626" s="1066">
        <v>6</v>
      </c>
      <c r="V2626" s="1035" t="s">
        <v>8</v>
      </c>
      <c r="W2626" s="1039">
        <v>15</v>
      </c>
      <c r="X2626" s="1040">
        <f t="shared" si="508"/>
        <v>90</v>
      </c>
      <c r="Y2626" s="1045"/>
      <c r="Z2626" s="1041">
        <v>15</v>
      </c>
      <c r="AA2626" s="1041"/>
      <c r="AB2626" s="1041">
        <f t="shared" si="546"/>
        <v>90</v>
      </c>
      <c r="AC2626" s="1042">
        <f t="shared" si="547"/>
        <v>90</v>
      </c>
      <c r="AD2626" s="1043">
        <v>27000</v>
      </c>
      <c r="AE2626" s="1044"/>
      <c r="AF2626" s="1045"/>
      <c r="AG2626" s="1046"/>
      <c r="AH2626" s="1045"/>
      <c r="AI2626" s="1047"/>
      <c r="AJ2626" s="1038"/>
      <c r="AK2626" s="1048"/>
      <c r="AL2626" s="1036"/>
      <c r="AM2626" s="1036"/>
      <c r="AN2626" s="1037"/>
      <c r="AO2626" s="1037"/>
      <c r="AP2626" s="1034"/>
      <c r="AQ2626" s="1035"/>
      <c r="AR2626" s="1034"/>
      <c r="AS2626" s="1035"/>
      <c r="AT2626" s="1035"/>
      <c r="AU2626" s="1035"/>
      <c r="AV2626" s="1038"/>
      <c r="AW2626" s="1050"/>
      <c r="AX2626" s="1051"/>
      <c r="AY2626" s="1036"/>
      <c r="AZ2626" s="1035"/>
      <c r="BA2626" s="1035"/>
      <c r="BB2626" s="1052"/>
      <c r="BC2626" s="1053"/>
      <c r="BD2626" s="1049"/>
      <c r="BE2626" s="1054"/>
      <c r="BF2626" s="1055"/>
      <c r="BG2626" s="1055"/>
      <c r="BH2626" s="1055"/>
      <c r="BI2626" s="1055"/>
      <c r="BJ2626" s="1055"/>
      <c r="BK2626" s="1055"/>
      <c r="BL2626" s="1055"/>
      <c r="BM2626" s="1055"/>
      <c r="BN2626" s="1055"/>
      <c r="BO2626" s="1056"/>
      <c r="BP2626" s="1056"/>
      <c r="BQ2626" s="1056"/>
      <c r="BR2626" s="1056"/>
      <c r="BS2626" s="1056"/>
      <c r="BT2626" s="1056"/>
      <c r="BU2626" s="1056"/>
      <c r="BV2626" s="1057"/>
      <c r="BW2626" s="1057"/>
      <c r="BX2626" s="1148"/>
      <c r="BY2626" s="1057"/>
      <c r="BZ2626" s="1057"/>
      <c r="CA2626" s="1057"/>
      <c r="CB2626" s="944"/>
    </row>
    <row r="2627" spans="2:80">
      <c r="B2627" s="1033"/>
      <c r="C2627" s="1033"/>
      <c r="D2627" s="1033"/>
      <c r="E2627" s="1033"/>
      <c r="F2627" s="1034"/>
      <c r="G2627" s="1033"/>
      <c r="H2627" s="1063"/>
      <c r="I2627" s="1063"/>
      <c r="J2627" s="1034"/>
      <c r="K2627" s="1034"/>
      <c r="L2627" s="1036"/>
      <c r="M2627" s="1037"/>
      <c r="N2627" s="1034"/>
      <c r="O2627" s="1064"/>
      <c r="P2627" s="1035"/>
      <c r="Q2627" s="1036"/>
      <c r="R2627" s="1038"/>
      <c r="S2627" s="1131"/>
      <c r="T2627" s="1065"/>
      <c r="U2627" s="1066"/>
      <c r="V2627" s="1035"/>
      <c r="W2627" s="1039"/>
      <c r="X2627" s="1040"/>
      <c r="Y2627" s="1045"/>
      <c r="Z2627" s="1041"/>
      <c r="AA2627" s="1041"/>
      <c r="AB2627" s="1041"/>
      <c r="AC2627" s="1042"/>
      <c r="AD2627" s="1043"/>
      <c r="AE2627" s="1044"/>
      <c r="AF2627" s="1045"/>
      <c r="AG2627" s="1046"/>
      <c r="AH2627" s="1045"/>
      <c r="AI2627" s="1047"/>
      <c r="AJ2627" s="1038"/>
      <c r="AK2627" s="1048"/>
      <c r="AL2627" s="1036"/>
      <c r="AM2627" s="1036"/>
      <c r="AN2627" s="1037"/>
      <c r="AO2627" s="1037"/>
      <c r="AP2627" s="1034"/>
      <c r="AQ2627" s="1035"/>
      <c r="AR2627" s="1034"/>
      <c r="AS2627" s="1035"/>
      <c r="AT2627" s="1035"/>
      <c r="AU2627" s="1035"/>
      <c r="AV2627" s="1038"/>
      <c r="AW2627" s="1050"/>
      <c r="AX2627" s="1051"/>
      <c r="AY2627" s="1036"/>
      <c r="AZ2627" s="1035"/>
      <c r="BA2627" s="1035"/>
      <c r="BB2627" s="1052"/>
      <c r="BC2627" s="1053"/>
      <c r="BD2627" s="1049"/>
      <c r="BE2627" s="1054"/>
      <c r="BF2627" s="1055"/>
      <c r="BG2627" s="1055"/>
      <c r="BH2627" s="1055"/>
      <c r="BI2627" s="1055"/>
      <c r="BJ2627" s="1055"/>
      <c r="BK2627" s="1055"/>
      <c r="BL2627" s="1055"/>
      <c r="BM2627" s="1055"/>
      <c r="BN2627" s="1055"/>
      <c r="BO2627" s="1056"/>
      <c r="BP2627" s="1056"/>
      <c r="BQ2627" s="1056"/>
      <c r="BR2627" s="1056"/>
      <c r="BS2627" s="1056"/>
      <c r="BT2627" s="1056"/>
      <c r="BU2627" s="1056"/>
      <c r="BV2627" s="1057"/>
      <c r="BW2627" s="1057"/>
      <c r="BX2627" s="1148"/>
      <c r="BY2627" s="1057"/>
      <c r="BZ2627" s="1057"/>
      <c r="CA2627" s="1057"/>
      <c r="CB2627" s="944"/>
    </row>
    <row r="2628" spans="2:80">
      <c r="B2628" s="1033" t="s">
        <v>8184</v>
      </c>
      <c r="C2628" s="1033" t="s">
        <v>3786</v>
      </c>
      <c r="D2628" s="1033"/>
      <c r="E2628" s="1033" t="s">
        <v>8463</v>
      </c>
      <c r="F2628" s="1034">
        <v>46206</v>
      </c>
      <c r="G2628" s="1033" t="s">
        <v>3783</v>
      </c>
      <c r="H2628" s="1063" t="s">
        <v>134</v>
      </c>
      <c r="I2628" s="1063"/>
      <c r="J2628" s="1034"/>
      <c r="K2628" s="1034"/>
      <c r="L2628" s="1036" t="s">
        <v>106</v>
      </c>
      <c r="M2628" s="1037" t="s">
        <v>107</v>
      </c>
      <c r="N2628" s="1034"/>
      <c r="O2628" s="1064"/>
      <c r="P2628" s="1035"/>
      <c r="Q2628" s="1036"/>
      <c r="R2628" s="1038" t="s">
        <v>3787</v>
      </c>
      <c r="S2628" s="1131" t="s">
        <v>3788</v>
      </c>
      <c r="T2628" s="1065" t="s">
        <v>8464</v>
      </c>
      <c r="U2628" s="1066">
        <v>1</v>
      </c>
      <c r="V2628" s="1035" t="s">
        <v>3</v>
      </c>
      <c r="W2628" s="1039">
        <v>9765</v>
      </c>
      <c r="X2628" s="1040">
        <f t="shared" si="508"/>
        <v>9765</v>
      </c>
      <c r="Y2628" s="1045">
        <v>0.5</v>
      </c>
      <c r="Z2628" s="1041">
        <v>4953.5</v>
      </c>
      <c r="AA2628" s="1041"/>
      <c r="AB2628" s="1041">
        <f t="shared" ref="AB2628" si="548">IF(AA2628="F.O.C", 0, Z2628*U2628)</f>
        <v>4953.5</v>
      </c>
      <c r="AC2628" s="1042">
        <f t="shared" ref="AC2628" si="549">Z2628*U2628</f>
        <v>4953.5</v>
      </c>
      <c r="AD2628" s="1043">
        <v>32000</v>
      </c>
      <c r="AE2628" s="1044"/>
      <c r="AF2628" s="1045"/>
      <c r="AG2628" s="1046"/>
      <c r="AH2628" s="1045"/>
      <c r="AI2628" s="1047"/>
      <c r="AJ2628" s="1038"/>
      <c r="AK2628" s="1048"/>
      <c r="AL2628" s="1036"/>
      <c r="AM2628" s="1036"/>
      <c r="AN2628" s="1037"/>
      <c r="AO2628" s="1037"/>
      <c r="AP2628" s="1034"/>
      <c r="AQ2628" s="1035"/>
      <c r="AR2628" s="1034"/>
      <c r="AS2628" s="1035"/>
      <c r="AT2628" s="1035"/>
      <c r="AU2628" s="1035"/>
      <c r="AV2628" s="1038"/>
      <c r="AW2628" s="1050"/>
      <c r="AX2628" s="1051"/>
      <c r="AY2628" s="1036"/>
      <c r="AZ2628" s="1035"/>
      <c r="BA2628" s="1035"/>
      <c r="BB2628" s="1052"/>
      <c r="BC2628" s="1053"/>
      <c r="BD2628" s="1049"/>
      <c r="BE2628" s="1054"/>
      <c r="BF2628" s="1055"/>
      <c r="BG2628" s="1055"/>
      <c r="BH2628" s="1055"/>
      <c r="BI2628" s="1055"/>
      <c r="BJ2628" s="1055"/>
      <c r="BK2628" s="1055"/>
      <c r="BL2628" s="1055"/>
      <c r="BM2628" s="1055"/>
      <c r="BN2628" s="1055"/>
      <c r="BO2628" s="1056"/>
      <c r="BP2628" s="1056"/>
      <c r="BQ2628" s="1056"/>
      <c r="BR2628" s="1056"/>
      <c r="BS2628" s="1056"/>
      <c r="BT2628" s="1056"/>
      <c r="BU2628" s="1056"/>
      <c r="BV2628" s="1057"/>
      <c r="BW2628" s="1057"/>
      <c r="BX2628" s="1148"/>
      <c r="BY2628" s="1057"/>
      <c r="BZ2628" s="1057"/>
      <c r="CA2628" s="1057"/>
      <c r="CB2628" s="944"/>
    </row>
    <row r="2629" spans="2:80">
      <c r="B2629" s="1033" t="s">
        <v>8184</v>
      </c>
      <c r="C2629" s="1033" t="s">
        <v>3786</v>
      </c>
      <c r="D2629" s="1033"/>
      <c r="E2629" s="1033" t="s">
        <v>8463</v>
      </c>
      <c r="F2629" s="1034">
        <v>46206</v>
      </c>
      <c r="G2629" s="1033" t="s">
        <v>3783</v>
      </c>
      <c r="H2629" s="1063" t="s">
        <v>134</v>
      </c>
      <c r="I2629" s="1063"/>
      <c r="J2629" s="1034"/>
      <c r="K2629" s="1034"/>
      <c r="L2629" s="1036" t="s">
        <v>106</v>
      </c>
      <c r="M2629" s="1037" t="s">
        <v>107</v>
      </c>
      <c r="N2629" s="1034"/>
      <c r="O2629" s="1064"/>
      <c r="P2629" s="1035"/>
      <c r="Q2629" s="1036"/>
      <c r="R2629" s="1038" t="s">
        <v>3798</v>
      </c>
      <c r="S2629" s="1131" t="s">
        <v>3799</v>
      </c>
      <c r="T2629" s="1065" t="s">
        <v>8465</v>
      </c>
      <c r="U2629" s="1066">
        <v>1</v>
      </c>
      <c r="V2629" s="1035" t="s">
        <v>3</v>
      </c>
      <c r="W2629" s="1039">
        <v>8354</v>
      </c>
      <c r="X2629" s="1040">
        <f t="shared" si="508"/>
        <v>8354</v>
      </c>
      <c r="Y2629" s="1045">
        <v>0.5</v>
      </c>
      <c r="Z2629" s="1041">
        <v>4248</v>
      </c>
      <c r="AA2629" s="1041"/>
      <c r="AB2629" s="1041">
        <f t="shared" ref="AB2629:AB2637" si="550">IF(AA2629="F.O.C", 0, Z2629*U2629)</f>
        <v>4248</v>
      </c>
      <c r="AC2629" s="1042">
        <f t="shared" ref="AC2629:AC2637" si="551">Z2629*U2629</f>
        <v>4248</v>
      </c>
      <c r="AD2629" s="1043">
        <v>32000</v>
      </c>
      <c r="AE2629" s="1044"/>
      <c r="AF2629" s="1045"/>
      <c r="AG2629" s="1046"/>
      <c r="AH2629" s="1045"/>
      <c r="AI2629" s="1047"/>
      <c r="AJ2629" s="1038"/>
      <c r="AK2629" s="1048"/>
      <c r="AL2629" s="1036"/>
      <c r="AM2629" s="1036"/>
      <c r="AN2629" s="1037"/>
      <c r="AO2629" s="1037"/>
      <c r="AP2629" s="1034"/>
      <c r="AQ2629" s="1035"/>
      <c r="AR2629" s="1034"/>
      <c r="AS2629" s="1035"/>
      <c r="AT2629" s="1035"/>
      <c r="AU2629" s="1035"/>
      <c r="AV2629" s="1038"/>
      <c r="AW2629" s="1050"/>
      <c r="AX2629" s="1051"/>
      <c r="AY2629" s="1036"/>
      <c r="AZ2629" s="1035"/>
      <c r="BA2629" s="1035"/>
      <c r="BB2629" s="1052"/>
      <c r="BC2629" s="1053"/>
      <c r="BD2629" s="1049"/>
      <c r="BE2629" s="1054"/>
      <c r="BF2629" s="1055"/>
      <c r="BG2629" s="1055"/>
      <c r="BH2629" s="1055"/>
      <c r="BI2629" s="1055"/>
      <c r="BJ2629" s="1055"/>
      <c r="BK2629" s="1055"/>
      <c r="BL2629" s="1055"/>
      <c r="BM2629" s="1055"/>
      <c r="BN2629" s="1055"/>
      <c r="BO2629" s="1056"/>
      <c r="BP2629" s="1056"/>
      <c r="BQ2629" s="1056"/>
      <c r="BR2629" s="1056"/>
      <c r="BS2629" s="1056"/>
      <c r="BT2629" s="1056"/>
      <c r="BU2629" s="1056"/>
      <c r="BV2629" s="1057"/>
      <c r="BW2629" s="1057"/>
      <c r="BX2629" s="1148"/>
      <c r="BY2629" s="1057"/>
      <c r="BZ2629" s="1057"/>
      <c r="CA2629" s="1057"/>
      <c r="CB2629" s="944"/>
    </row>
    <row r="2630" spans="2:80">
      <c r="B2630" s="1033" t="s">
        <v>8184</v>
      </c>
      <c r="C2630" s="1033" t="s">
        <v>3786</v>
      </c>
      <c r="D2630" s="1033"/>
      <c r="E2630" s="1033" t="s">
        <v>8463</v>
      </c>
      <c r="F2630" s="1034">
        <v>46206</v>
      </c>
      <c r="G2630" s="1033" t="s">
        <v>3783</v>
      </c>
      <c r="H2630" s="1063" t="s">
        <v>134</v>
      </c>
      <c r="I2630" s="1063"/>
      <c r="J2630" s="1034"/>
      <c r="K2630" s="1034"/>
      <c r="L2630" s="1036" t="s">
        <v>106</v>
      </c>
      <c r="M2630" s="1037" t="s">
        <v>107</v>
      </c>
      <c r="N2630" s="1034"/>
      <c r="O2630" s="1064"/>
      <c r="P2630" s="1035"/>
      <c r="Q2630" s="1036"/>
      <c r="R2630" s="1038" t="s">
        <v>8466</v>
      </c>
      <c r="S2630" s="1131" t="s">
        <v>8467</v>
      </c>
      <c r="T2630" s="1065" t="s">
        <v>8468</v>
      </c>
      <c r="U2630" s="1066">
        <v>1</v>
      </c>
      <c r="V2630" s="1035" t="s">
        <v>3</v>
      </c>
      <c r="W2630" s="1039">
        <v>8497</v>
      </c>
      <c r="X2630" s="1040">
        <f t="shared" si="508"/>
        <v>8497</v>
      </c>
      <c r="Y2630" s="1045">
        <v>0.5</v>
      </c>
      <c r="Z2630" s="1041">
        <v>4319.5</v>
      </c>
      <c r="AA2630" s="1041"/>
      <c r="AB2630" s="1041">
        <f t="shared" si="550"/>
        <v>4319.5</v>
      </c>
      <c r="AC2630" s="1042">
        <f t="shared" si="551"/>
        <v>4319.5</v>
      </c>
      <c r="AD2630" s="1043">
        <v>32000</v>
      </c>
      <c r="AE2630" s="1044"/>
      <c r="AF2630" s="1045"/>
      <c r="AG2630" s="1046"/>
      <c r="AH2630" s="1045"/>
      <c r="AI2630" s="1047"/>
      <c r="AJ2630" s="1038"/>
      <c r="AK2630" s="1048"/>
      <c r="AL2630" s="1036"/>
      <c r="AM2630" s="1036"/>
      <c r="AN2630" s="1037"/>
      <c r="AO2630" s="1037"/>
      <c r="AP2630" s="1034"/>
      <c r="AQ2630" s="1035"/>
      <c r="AR2630" s="1034"/>
      <c r="AS2630" s="1035"/>
      <c r="AT2630" s="1035"/>
      <c r="AU2630" s="1035"/>
      <c r="AV2630" s="1038"/>
      <c r="AW2630" s="1050"/>
      <c r="AX2630" s="1051"/>
      <c r="AY2630" s="1036"/>
      <c r="AZ2630" s="1035"/>
      <c r="BA2630" s="1035"/>
      <c r="BB2630" s="1052"/>
      <c r="BC2630" s="1053"/>
      <c r="BD2630" s="1049"/>
      <c r="BE2630" s="1054"/>
      <c r="BF2630" s="1055"/>
      <c r="BG2630" s="1055"/>
      <c r="BH2630" s="1055"/>
      <c r="BI2630" s="1055"/>
      <c r="BJ2630" s="1055"/>
      <c r="BK2630" s="1055"/>
      <c r="BL2630" s="1055"/>
      <c r="BM2630" s="1055"/>
      <c r="BN2630" s="1055"/>
      <c r="BO2630" s="1056"/>
      <c r="BP2630" s="1056"/>
      <c r="BQ2630" s="1056"/>
      <c r="BR2630" s="1056"/>
      <c r="BS2630" s="1056"/>
      <c r="BT2630" s="1056"/>
      <c r="BU2630" s="1056"/>
      <c r="BV2630" s="1057"/>
      <c r="BW2630" s="1057"/>
      <c r="BX2630" s="1148"/>
      <c r="BY2630" s="1057"/>
      <c r="BZ2630" s="1057"/>
      <c r="CA2630" s="1057"/>
      <c r="CB2630" s="944"/>
    </row>
    <row r="2631" spans="2:80">
      <c r="B2631" s="1033" t="s">
        <v>8184</v>
      </c>
      <c r="C2631" s="1033" t="s">
        <v>3786</v>
      </c>
      <c r="D2631" s="1033"/>
      <c r="E2631" s="1033" t="s">
        <v>8463</v>
      </c>
      <c r="F2631" s="1034">
        <v>46206</v>
      </c>
      <c r="G2631" s="1033" t="s">
        <v>3783</v>
      </c>
      <c r="H2631" s="1063" t="s">
        <v>134</v>
      </c>
      <c r="I2631" s="1063"/>
      <c r="J2631" s="1034"/>
      <c r="K2631" s="1034"/>
      <c r="L2631" s="1036" t="s">
        <v>106</v>
      </c>
      <c r="M2631" s="1037" t="s">
        <v>107</v>
      </c>
      <c r="N2631" s="1034"/>
      <c r="O2631" s="1064"/>
      <c r="P2631" s="1035"/>
      <c r="Q2631" s="1036"/>
      <c r="R2631" s="1038" t="s">
        <v>8469</v>
      </c>
      <c r="S2631" s="1131" t="s">
        <v>3868</v>
      </c>
      <c r="T2631" s="1065" t="s">
        <v>8470</v>
      </c>
      <c r="U2631" s="1066">
        <v>2</v>
      </c>
      <c r="V2631" s="1035" t="s">
        <v>3</v>
      </c>
      <c r="W2631" s="1039">
        <v>2739</v>
      </c>
      <c r="X2631" s="1040">
        <f t="shared" si="508"/>
        <v>5478</v>
      </c>
      <c r="Y2631" s="1045">
        <v>0.5</v>
      </c>
      <c r="Z2631" s="1041">
        <v>1369.5</v>
      </c>
      <c r="AA2631" s="1041"/>
      <c r="AB2631" s="1041">
        <f t="shared" si="550"/>
        <v>2739</v>
      </c>
      <c r="AC2631" s="1042">
        <f t="shared" si="551"/>
        <v>2739</v>
      </c>
      <c r="AD2631" s="1043">
        <v>32000</v>
      </c>
      <c r="AE2631" s="1044"/>
      <c r="AF2631" s="1045"/>
      <c r="AG2631" s="1046"/>
      <c r="AH2631" s="1045"/>
      <c r="AI2631" s="1047"/>
      <c r="AJ2631" s="1038"/>
      <c r="AK2631" s="1048"/>
      <c r="AL2631" s="1036"/>
      <c r="AM2631" s="1036"/>
      <c r="AN2631" s="1037"/>
      <c r="AO2631" s="1037"/>
      <c r="AP2631" s="1034"/>
      <c r="AQ2631" s="1035"/>
      <c r="AR2631" s="1034"/>
      <c r="AS2631" s="1035"/>
      <c r="AT2631" s="1035"/>
      <c r="AU2631" s="1035"/>
      <c r="AV2631" s="1038"/>
      <c r="AW2631" s="1050"/>
      <c r="AX2631" s="1051"/>
      <c r="AY2631" s="1036"/>
      <c r="AZ2631" s="1035"/>
      <c r="BA2631" s="1035"/>
      <c r="BB2631" s="1052"/>
      <c r="BC2631" s="1053"/>
      <c r="BD2631" s="1049"/>
      <c r="BE2631" s="1054"/>
      <c r="BF2631" s="1055"/>
      <c r="BG2631" s="1055"/>
      <c r="BH2631" s="1055"/>
      <c r="BI2631" s="1055"/>
      <c r="BJ2631" s="1055"/>
      <c r="BK2631" s="1055"/>
      <c r="BL2631" s="1055"/>
      <c r="BM2631" s="1055"/>
      <c r="BN2631" s="1055"/>
      <c r="BO2631" s="1056"/>
      <c r="BP2631" s="1056"/>
      <c r="BQ2631" s="1056"/>
      <c r="BR2631" s="1056"/>
      <c r="BS2631" s="1056"/>
      <c r="BT2631" s="1056"/>
      <c r="BU2631" s="1056"/>
      <c r="BV2631" s="1057"/>
      <c r="BW2631" s="1057"/>
      <c r="BX2631" s="1148"/>
      <c r="BY2631" s="1057"/>
      <c r="BZ2631" s="1057"/>
      <c r="CA2631" s="1057"/>
      <c r="CB2631" s="944"/>
    </row>
    <row r="2632" spans="2:80">
      <c r="B2632" s="1033" t="s">
        <v>8184</v>
      </c>
      <c r="C2632" s="1033" t="s">
        <v>3786</v>
      </c>
      <c r="D2632" s="1033"/>
      <c r="E2632" s="1033" t="s">
        <v>8463</v>
      </c>
      <c r="F2632" s="1034">
        <v>46206</v>
      </c>
      <c r="G2632" s="1033" t="s">
        <v>3783</v>
      </c>
      <c r="H2632" s="1063" t="s">
        <v>134</v>
      </c>
      <c r="I2632" s="1063"/>
      <c r="J2632" s="1034"/>
      <c r="K2632" s="1034"/>
      <c r="L2632" s="1036" t="s">
        <v>106</v>
      </c>
      <c r="M2632" s="1037" t="s">
        <v>107</v>
      </c>
      <c r="N2632" s="1034"/>
      <c r="O2632" s="1064"/>
      <c r="P2632" s="1035"/>
      <c r="Q2632" s="1036"/>
      <c r="R2632" s="1038" t="s">
        <v>3852</v>
      </c>
      <c r="S2632" s="1131" t="s">
        <v>3853</v>
      </c>
      <c r="T2632" s="1065" t="s">
        <v>8471</v>
      </c>
      <c r="U2632" s="1066">
        <v>1</v>
      </c>
      <c r="V2632" s="1035" t="s">
        <v>3</v>
      </c>
      <c r="W2632" s="1039">
        <v>2473</v>
      </c>
      <c r="X2632" s="1040">
        <f t="shared" si="508"/>
        <v>2473</v>
      </c>
      <c r="Y2632" s="1045">
        <v>0.5</v>
      </c>
      <c r="Z2632" s="1041">
        <v>1236.5</v>
      </c>
      <c r="AA2632" s="1041"/>
      <c r="AB2632" s="1041">
        <f t="shared" si="550"/>
        <v>1236.5</v>
      </c>
      <c r="AC2632" s="1042">
        <f t="shared" si="551"/>
        <v>1236.5</v>
      </c>
      <c r="AD2632" s="1043">
        <v>32000</v>
      </c>
      <c r="AE2632" s="1044"/>
      <c r="AF2632" s="1045"/>
      <c r="AG2632" s="1046"/>
      <c r="AH2632" s="1045"/>
      <c r="AI2632" s="1047"/>
      <c r="AJ2632" s="1038"/>
      <c r="AK2632" s="1048"/>
      <c r="AL2632" s="1036"/>
      <c r="AM2632" s="1036"/>
      <c r="AN2632" s="1037"/>
      <c r="AO2632" s="1037"/>
      <c r="AP2632" s="1034"/>
      <c r="AQ2632" s="1035"/>
      <c r="AR2632" s="1034"/>
      <c r="AS2632" s="1035"/>
      <c r="AT2632" s="1035"/>
      <c r="AU2632" s="1035"/>
      <c r="AV2632" s="1038"/>
      <c r="AW2632" s="1050"/>
      <c r="AX2632" s="1051"/>
      <c r="AY2632" s="1036"/>
      <c r="AZ2632" s="1035"/>
      <c r="BA2632" s="1035"/>
      <c r="BB2632" s="1052"/>
      <c r="BC2632" s="1053"/>
      <c r="BD2632" s="1049"/>
      <c r="BE2632" s="1054"/>
      <c r="BF2632" s="1055"/>
      <c r="BG2632" s="1055"/>
      <c r="BH2632" s="1055"/>
      <c r="BI2632" s="1055"/>
      <c r="BJ2632" s="1055"/>
      <c r="BK2632" s="1055"/>
      <c r="BL2632" s="1055"/>
      <c r="BM2632" s="1055"/>
      <c r="BN2632" s="1055"/>
      <c r="BO2632" s="1056"/>
      <c r="BP2632" s="1056"/>
      <c r="BQ2632" s="1056"/>
      <c r="BR2632" s="1056"/>
      <c r="BS2632" s="1056"/>
      <c r="BT2632" s="1056"/>
      <c r="BU2632" s="1056"/>
      <c r="BV2632" s="1057"/>
      <c r="BW2632" s="1057"/>
      <c r="BX2632" s="1148"/>
      <c r="BY2632" s="1057"/>
      <c r="BZ2632" s="1057"/>
      <c r="CA2632" s="1057"/>
      <c r="CB2632" s="944"/>
    </row>
    <row r="2633" spans="2:80">
      <c r="B2633" s="1033" t="s">
        <v>8184</v>
      </c>
      <c r="C2633" s="1033" t="s">
        <v>3786</v>
      </c>
      <c r="D2633" s="1033"/>
      <c r="E2633" s="1033" t="s">
        <v>8463</v>
      </c>
      <c r="F2633" s="1034">
        <v>46206</v>
      </c>
      <c r="G2633" s="1033" t="s">
        <v>3783</v>
      </c>
      <c r="H2633" s="1063" t="s">
        <v>134</v>
      </c>
      <c r="I2633" s="1063"/>
      <c r="J2633" s="1034"/>
      <c r="K2633" s="1034"/>
      <c r="L2633" s="1036" t="s">
        <v>106</v>
      </c>
      <c r="M2633" s="1037" t="s">
        <v>107</v>
      </c>
      <c r="N2633" s="1034"/>
      <c r="O2633" s="1064"/>
      <c r="P2633" s="1035"/>
      <c r="Q2633" s="1036"/>
      <c r="R2633" s="1038" t="s">
        <v>3855</v>
      </c>
      <c r="S2633" s="1131" t="s">
        <v>3856</v>
      </c>
      <c r="T2633" s="1065" t="s">
        <v>8472</v>
      </c>
      <c r="U2633" s="1066">
        <v>1</v>
      </c>
      <c r="V2633" s="1035" t="s">
        <v>3</v>
      </c>
      <c r="W2633" s="1039">
        <v>2473</v>
      </c>
      <c r="X2633" s="1040">
        <f t="shared" si="508"/>
        <v>2473</v>
      </c>
      <c r="Y2633" s="1045">
        <v>0.5</v>
      </c>
      <c r="Z2633" s="1041">
        <v>1236.5</v>
      </c>
      <c r="AA2633" s="1041"/>
      <c r="AB2633" s="1041">
        <f t="shared" si="550"/>
        <v>1236.5</v>
      </c>
      <c r="AC2633" s="1042">
        <f t="shared" si="551"/>
        <v>1236.5</v>
      </c>
      <c r="AD2633" s="1043">
        <v>32000</v>
      </c>
      <c r="AE2633" s="1044"/>
      <c r="AF2633" s="1045"/>
      <c r="AG2633" s="1046"/>
      <c r="AH2633" s="1045"/>
      <c r="AI2633" s="1047"/>
      <c r="AJ2633" s="1038"/>
      <c r="AK2633" s="1048"/>
      <c r="AL2633" s="1036"/>
      <c r="AM2633" s="1036"/>
      <c r="AN2633" s="1037"/>
      <c r="AO2633" s="1037"/>
      <c r="AP2633" s="1034"/>
      <c r="AQ2633" s="1035"/>
      <c r="AR2633" s="1034"/>
      <c r="AS2633" s="1035"/>
      <c r="AT2633" s="1035"/>
      <c r="AU2633" s="1035"/>
      <c r="AV2633" s="1038"/>
      <c r="AW2633" s="1050"/>
      <c r="AX2633" s="1051"/>
      <c r="AY2633" s="1036"/>
      <c r="AZ2633" s="1035"/>
      <c r="BA2633" s="1035"/>
      <c r="BB2633" s="1052"/>
      <c r="BC2633" s="1053"/>
      <c r="BD2633" s="1049"/>
      <c r="BE2633" s="1054"/>
      <c r="BF2633" s="1055"/>
      <c r="BG2633" s="1055"/>
      <c r="BH2633" s="1055"/>
      <c r="BI2633" s="1055"/>
      <c r="BJ2633" s="1055"/>
      <c r="BK2633" s="1055"/>
      <c r="BL2633" s="1055"/>
      <c r="BM2633" s="1055"/>
      <c r="BN2633" s="1055"/>
      <c r="BO2633" s="1056"/>
      <c r="BP2633" s="1056"/>
      <c r="BQ2633" s="1056"/>
      <c r="BR2633" s="1056"/>
      <c r="BS2633" s="1056"/>
      <c r="BT2633" s="1056"/>
      <c r="BU2633" s="1056"/>
      <c r="BV2633" s="1057"/>
      <c r="BW2633" s="1057"/>
      <c r="BX2633" s="1148"/>
      <c r="BY2633" s="1057"/>
      <c r="BZ2633" s="1057"/>
      <c r="CA2633" s="1057"/>
      <c r="CB2633" s="944"/>
    </row>
    <row r="2634" spans="2:80">
      <c r="B2634" s="1033" t="s">
        <v>8184</v>
      </c>
      <c r="C2634" s="1033" t="s">
        <v>3786</v>
      </c>
      <c r="D2634" s="1033"/>
      <c r="E2634" s="1033" t="s">
        <v>8463</v>
      </c>
      <c r="F2634" s="1034">
        <v>46206</v>
      </c>
      <c r="G2634" s="1033" t="s">
        <v>3783</v>
      </c>
      <c r="H2634" s="1063" t="s">
        <v>134</v>
      </c>
      <c r="I2634" s="1063"/>
      <c r="J2634" s="1034"/>
      <c r="K2634" s="1034"/>
      <c r="L2634" s="1036" t="s">
        <v>106</v>
      </c>
      <c r="M2634" s="1037" t="s">
        <v>107</v>
      </c>
      <c r="N2634" s="1034"/>
      <c r="O2634" s="1064"/>
      <c r="P2634" s="1035"/>
      <c r="Q2634" s="1036"/>
      <c r="R2634" s="1038" t="s">
        <v>8473</v>
      </c>
      <c r="S2634" s="1131" t="s">
        <v>8474</v>
      </c>
      <c r="T2634" s="1065" t="s">
        <v>8475</v>
      </c>
      <c r="U2634" s="1066">
        <v>1</v>
      </c>
      <c r="V2634" s="1035" t="s">
        <v>3</v>
      </c>
      <c r="W2634" s="1039">
        <v>3832</v>
      </c>
      <c r="X2634" s="1040">
        <f t="shared" si="508"/>
        <v>3832</v>
      </c>
      <c r="Y2634" s="1045">
        <v>0.5</v>
      </c>
      <c r="Z2634" s="1041">
        <v>1916</v>
      </c>
      <c r="AA2634" s="1041"/>
      <c r="AB2634" s="1041">
        <f t="shared" si="550"/>
        <v>1916</v>
      </c>
      <c r="AC2634" s="1042">
        <f t="shared" si="551"/>
        <v>1916</v>
      </c>
      <c r="AD2634" s="1043">
        <v>32000</v>
      </c>
      <c r="AE2634" s="1044"/>
      <c r="AF2634" s="1045"/>
      <c r="AG2634" s="1046"/>
      <c r="AH2634" s="1045"/>
      <c r="AI2634" s="1047"/>
      <c r="AJ2634" s="1038"/>
      <c r="AK2634" s="1048"/>
      <c r="AL2634" s="1036"/>
      <c r="AM2634" s="1036"/>
      <c r="AN2634" s="1037"/>
      <c r="AO2634" s="1037"/>
      <c r="AP2634" s="1034"/>
      <c r="AQ2634" s="1035"/>
      <c r="AR2634" s="1034"/>
      <c r="AS2634" s="1035"/>
      <c r="AT2634" s="1035"/>
      <c r="AU2634" s="1035"/>
      <c r="AV2634" s="1038"/>
      <c r="AW2634" s="1050"/>
      <c r="AX2634" s="1051"/>
      <c r="AY2634" s="1036"/>
      <c r="AZ2634" s="1035"/>
      <c r="BA2634" s="1035"/>
      <c r="BB2634" s="1052"/>
      <c r="BC2634" s="1053"/>
      <c r="BD2634" s="1049"/>
      <c r="BE2634" s="1054"/>
      <c r="BF2634" s="1055"/>
      <c r="BG2634" s="1055"/>
      <c r="BH2634" s="1055"/>
      <c r="BI2634" s="1055"/>
      <c r="BJ2634" s="1055"/>
      <c r="BK2634" s="1055"/>
      <c r="BL2634" s="1055"/>
      <c r="BM2634" s="1055"/>
      <c r="BN2634" s="1055"/>
      <c r="BO2634" s="1056"/>
      <c r="BP2634" s="1056"/>
      <c r="BQ2634" s="1056"/>
      <c r="BR2634" s="1056"/>
      <c r="BS2634" s="1056"/>
      <c r="BT2634" s="1056"/>
      <c r="BU2634" s="1056"/>
      <c r="BV2634" s="1057"/>
      <c r="BW2634" s="1057"/>
      <c r="BX2634" s="1148"/>
      <c r="BY2634" s="1057"/>
      <c r="BZ2634" s="1057"/>
      <c r="CA2634" s="1057"/>
      <c r="CB2634" s="944"/>
    </row>
    <row r="2635" spans="2:80">
      <c r="B2635" s="1033" t="s">
        <v>8184</v>
      </c>
      <c r="C2635" s="1033" t="s">
        <v>3786</v>
      </c>
      <c r="D2635" s="1033"/>
      <c r="E2635" s="1033" t="s">
        <v>8463</v>
      </c>
      <c r="F2635" s="1034">
        <v>46206</v>
      </c>
      <c r="G2635" s="1033" t="s">
        <v>3783</v>
      </c>
      <c r="H2635" s="1063" t="s">
        <v>134</v>
      </c>
      <c r="I2635" s="1063"/>
      <c r="J2635" s="1034"/>
      <c r="K2635" s="1034"/>
      <c r="L2635" s="1036" t="s">
        <v>106</v>
      </c>
      <c r="M2635" s="1037" t="s">
        <v>107</v>
      </c>
      <c r="N2635" s="1034"/>
      <c r="O2635" s="1064"/>
      <c r="P2635" s="1035"/>
      <c r="Q2635" s="1036"/>
      <c r="R2635" s="1038" t="s">
        <v>8476</v>
      </c>
      <c r="S2635" s="1131" t="s">
        <v>8477</v>
      </c>
      <c r="T2635" s="1065" t="s">
        <v>8478</v>
      </c>
      <c r="U2635" s="1066">
        <v>2</v>
      </c>
      <c r="V2635" s="1035" t="s">
        <v>3</v>
      </c>
      <c r="W2635" s="1039">
        <v>5784</v>
      </c>
      <c r="X2635" s="1040">
        <f t="shared" si="508"/>
        <v>11568</v>
      </c>
      <c r="Y2635" s="1045">
        <v>0.5</v>
      </c>
      <c r="Z2635" s="1041">
        <v>2892</v>
      </c>
      <c r="AA2635" s="1041"/>
      <c r="AB2635" s="1041">
        <f t="shared" si="550"/>
        <v>5784</v>
      </c>
      <c r="AC2635" s="1042">
        <f t="shared" si="551"/>
        <v>5784</v>
      </c>
      <c r="AD2635" s="1043">
        <v>32000</v>
      </c>
      <c r="AE2635" s="1044"/>
      <c r="AF2635" s="1045"/>
      <c r="AG2635" s="1046"/>
      <c r="AH2635" s="1045"/>
      <c r="AI2635" s="1047"/>
      <c r="AJ2635" s="1038"/>
      <c r="AK2635" s="1048"/>
      <c r="AL2635" s="1036"/>
      <c r="AM2635" s="1036"/>
      <c r="AN2635" s="1037"/>
      <c r="AO2635" s="1037"/>
      <c r="AP2635" s="1034"/>
      <c r="AQ2635" s="1035"/>
      <c r="AR2635" s="1034"/>
      <c r="AS2635" s="1035"/>
      <c r="AT2635" s="1035"/>
      <c r="AU2635" s="1035"/>
      <c r="AV2635" s="1038"/>
      <c r="AW2635" s="1050"/>
      <c r="AX2635" s="1051"/>
      <c r="AY2635" s="1036"/>
      <c r="AZ2635" s="1035"/>
      <c r="BA2635" s="1035"/>
      <c r="BB2635" s="1052"/>
      <c r="BC2635" s="1053"/>
      <c r="BD2635" s="1049"/>
      <c r="BE2635" s="1054"/>
      <c r="BF2635" s="1055"/>
      <c r="BG2635" s="1055"/>
      <c r="BH2635" s="1055"/>
      <c r="BI2635" s="1055"/>
      <c r="BJ2635" s="1055"/>
      <c r="BK2635" s="1055"/>
      <c r="BL2635" s="1055"/>
      <c r="BM2635" s="1055"/>
      <c r="BN2635" s="1055"/>
      <c r="BO2635" s="1056"/>
      <c r="BP2635" s="1056"/>
      <c r="BQ2635" s="1056"/>
      <c r="BR2635" s="1056"/>
      <c r="BS2635" s="1056"/>
      <c r="BT2635" s="1056"/>
      <c r="BU2635" s="1056"/>
      <c r="BV2635" s="1057"/>
      <c r="BW2635" s="1057"/>
      <c r="BX2635" s="1148"/>
      <c r="BY2635" s="1057"/>
      <c r="BZ2635" s="1057"/>
      <c r="CA2635" s="1057"/>
      <c r="CB2635" s="944"/>
    </row>
    <row r="2636" spans="2:80">
      <c r="B2636" s="1033" t="s">
        <v>8184</v>
      </c>
      <c r="C2636" s="1033" t="s">
        <v>3786</v>
      </c>
      <c r="D2636" s="1033"/>
      <c r="E2636" s="1033" t="s">
        <v>8463</v>
      </c>
      <c r="F2636" s="1034">
        <v>46206</v>
      </c>
      <c r="G2636" s="1033" t="s">
        <v>3783</v>
      </c>
      <c r="H2636" s="1063" t="s">
        <v>134</v>
      </c>
      <c r="I2636" s="1063"/>
      <c r="J2636" s="1034"/>
      <c r="K2636" s="1034"/>
      <c r="L2636" s="1036" t="s">
        <v>106</v>
      </c>
      <c r="M2636" s="1037" t="s">
        <v>107</v>
      </c>
      <c r="N2636" s="1034"/>
      <c r="O2636" s="1064"/>
      <c r="P2636" s="1035"/>
      <c r="Q2636" s="1036"/>
      <c r="R2636" s="1038" t="s">
        <v>8479</v>
      </c>
      <c r="S2636" s="1131" t="s">
        <v>8480</v>
      </c>
      <c r="T2636" s="1065" t="s">
        <v>8481</v>
      </c>
      <c r="U2636" s="1066">
        <v>1</v>
      </c>
      <c r="V2636" s="1035" t="s">
        <v>3</v>
      </c>
      <c r="W2636" s="1039">
        <v>2601</v>
      </c>
      <c r="X2636" s="1040">
        <f t="shared" si="508"/>
        <v>2601</v>
      </c>
      <c r="Y2636" s="1045">
        <v>0.5</v>
      </c>
      <c r="Z2636" s="1041">
        <v>1300.5</v>
      </c>
      <c r="AA2636" s="1041"/>
      <c r="AB2636" s="1041">
        <f t="shared" si="550"/>
        <v>1300.5</v>
      </c>
      <c r="AC2636" s="1042">
        <f t="shared" si="551"/>
        <v>1300.5</v>
      </c>
      <c r="AD2636" s="1043">
        <v>32000</v>
      </c>
      <c r="AE2636" s="1044"/>
      <c r="AF2636" s="1045"/>
      <c r="AG2636" s="1046"/>
      <c r="AH2636" s="1045"/>
      <c r="AI2636" s="1047"/>
      <c r="AJ2636" s="1038"/>
      <c r="AK2636" s="1048"/>
      <c r="AL2636" s="1036"/>
      <c r="AM2636" s="1036"/>
      <c r="AN2636" s="1037"/>
      <c r="AO2636" s="1037"/>
      <c r="AP2636" s="1034"/>
      <c r="AQ2636" s="1035"/>
      <c r="AR2636" s="1034"/>
      <c r="AS2636" s="1035"/>
      <c r="AT2636" s="1035"/>
      <c r="AU2636" s="1035"/>
      <c r="AV2636" s="1038"/>
      <c r="AW2636" s="1050"/>
      <c r="AX2636" s="1051"/>
      <c r="AY2636" s="1036"/>
      <c r="AZ2636" s="1035"/>
      <c r="BA2636" s="1035"/>
      <c r="BB2636" s="1052"/>
      <c r="BC2636" s="1053"/>
      <c r="BD2636" s="1049"/>
      <c r="BE2636" s="1054"/>
      <c r="BF2636" s="1055"/>
      <c r="BG2636" s="1055"/>
      <c r="BH2636" s="1055"/>
      <c r="BI2636" s="1055"/>
      <c r="BJ2636" s="1055"/>
      <c r="BK2636" s="1055"/>
      <c r="BL2636" s="1055"/>
      <c r="BM2636" s="1055"/>
      <c r="BN2636" s="1055"/>
      <c r="BO2636" s="1056"/>
      <c r="BP2636" s="1056"/>
      <c r="BQ2636" s="1056"/>
      <c r="BR2636" s="1056"/>
      <c r="BS2636" s="1056"/>
      <c r="BT2636" s="1056"/>
      <c r="BU2636" s="1056"/>
      <c r="BV2636" s="1057"/>
      <c r="BW2636" s="1057"/>
      <c r="BX2636" s="1148"/>
      <c r="BY2636" s="1057"/>
      <c r="BZ2636" s="1057"/>
      <c r="CA2636" s="1057"/>
      <c r="CB2636" s="944"/>
    </row>
    <row r="2637" spans="2:80">
      <c r="B2637" s="1033" t="s">
        <v>8184</v>
      </c>
      <c r="C2637" s="1033" t="s">
        <v>3786</v>
      </c>
      <c r="D2637" s="1033"/>
      <c r="E2637" s="1033" t="s">
        <v>8463</v>
      </c>
      <c r="F2637" s="1034">
        <v>46206</v>
      </c>
      <c r="G2637" s="1033" t="s">
        <v>3783</v>
      </c>
      <c r="H2637" s="1063" t="s">
        <v>134</v>
      </c>
      <c r="I2637" s="1063"/>
      <c r="J2637" s="1034"/>
      <c r="K2637" s="1034"/>
      <c r="L2637" s="1036" t="s">
        <v>106</v>
      </c>
      <c r="M2637" s="1037" t="s">
        <v>107</v>
      </c>
      <c r="N2637" s="1034"/>
      <c r="O2637" s="1064"/>
      <c r="P2637" s="1035"/>
      <c r="Q2637" s="1036"/>
      <c r="R2637" s="1038" t="s">
        <v>8482</v>
      </c>
      <c r="S2637" s="1131" t="s">
        <v>8483</v>
      </c>
      <c r="T2637" s="1065" t="s">
        <v>8484</v>
      </c>
      <c r="U2637" s="1066">
        <v>1</v>
      </c>
      <c r="V2637" s="1035" t="s">
        <v>3</v>
      </c>
      <c r="W2637" s="1039">
        <v>7406</v>
      </c>
      <c r="X2637" s="1040">
        <f t="shared" si="508"/>
        <v>7406</v>
      </c>
      <c r="Y2637" s="1045">
        <v>0.5</v>
      </c>
      <c r="Z2637" s="1041">
        <v>3703</v>
      </c>
      <c r="AA2637" s="1041"/>
      <c r="AB2637" s="1041">
        <f t="shared" si="550"/>
        <v>3703</v>
      </c>
      <c r="AC2637" s="1042">
        <f t="shared" si="551"/>
        <v>3703</v>
      </c>
      <c r="AD2637" s="1043">
        <v>32000</v>
      </c>
      <c r="AE2637" s="1044"/>
      <c r="AF2637" s="1045"/>
      <c r="AG2637" s="1046"/>
      <c r="AH2637" s="1045"/>
      <c r="AI2637" s="1047"/>
      <c r="AJ2637" s="1038"/>
      <c r="AK2637" s="1048"/>
      <c r="AL2637" s="1036"/>
      <c r="AM2637" s="1036"/>
      <c r="AN2637" s="1037"/>
      <c r="AO2637" s="1037"/>
      <c r="AP2637" s="1034"/>
      <c r="AQ2637" s="1035"/>
      <c r="AR2637" s="1034"/>
      <c r="AS2637" s="1035"/>
      <c r="AT2637" s="1035"/>
      <c r="AU2637" s="1035"/>
      <c r="AV2637" s="1038"/>
      <c r="AW2637" s="1050"/>
      <c r="AX2637" s="1051"/>
      <c r="AY2637" s="1036"/>
      <c r="AZ2637" s="1035"/>
      <c r="BA2637" s="1035"/>
      <c r="BB2637" s="1052"/>
      <c r="BC2637" s="1053"/>
      <c r="BD2637" s="1049"/>
      <c r="BE2637" s="1054"/>
      <c r="BF2637" s="1055"/>
      <c r="BG2637" s="1055"/>
      <c r="BH2637" s="1055"/>
      <c r="BI2637" s="1055"/>
      <c r="BJ2637" s="1055"/>
      <c r="BK2637" s="1055"/>
      <c r="BL2637" s="1055"/>
      <c r="BM2637" s="1055"/>
      <c r="BN2637" s="1055"/>
      <c r="BO2637" s="1056"/>
      <c r="BP2637" s="1056"/>
      <c r="BQ2637" s="1056"/>
      <c r="BR2637" s="1056"/>
      <c r="BS2637" s="1056"/>
      <c r="BT2637" s="1056"/>
      <c r="BU2637" s="1056"/>
      <c r="BV2637" s="1057"/>
      <c r="BW2637" s="1057"/>
      <c r="BX2637" s="1148"/>
      <c r="BY2637" s="1057"/>
      <c r="BZ2637" s="1057"/>
      <c r="CA2637" s="1057"/>
      <c r="CB2637" s="944"/>
    </row>
    <row r="2638" spans="2:80">
      <c r="B2638" s="1033"/>
      <c r="C2638" s="1033"/>
      <c r="D2638" s="1033"/>
      <c r="E2638" s="1033"/>
      <c r="F2638" s="1034"/>
      <c r="G2638" s="1033"/>
      <c r="H2638" s="1063"/>
      <c r="I2638" s="1063"/>
      <c r="J2638" s="1034"/>
      <c r="K2638" s="1034"/>
      <c r="L2638" s="1036"/>
      <c r="M2638" s="1037"/>
      <c r="N2638" s="1034"/>
      <c r="O2638" s="1064"/>
      <c r="P2638" s="1035"/>
      <c r="Q2638" s="1036"/>
      <c r="R2638" s="1038"/>
      <c r="S2638" s="1131"/>
      <c r="T2638" s="1065"/>
      <c r="U2638" s="1066"/>
      <c r="V2638" s="1035"/>
      <c r="W2638" s="1039"/>
      <c r="X2638" s="1040"/>
      <c r="Y2638" s="1045"/>
      <c r="Z2638" s="1041"/>
      <c r="AA2638" s="1041"/>
      <c r="AB2638" s="1041"/>
      <c r="AC2638" s="1042"/>
      <c r="AD2638" s="1043"/>
      <c r="AE2638" s="1044"/>
      <c r="AF2638" s="1045"/>
      <c r="AG2638" s="1046"/>
      <c r="AH2638" s="1045"/>
      <c r="AI2638" s="1047"/>
      <c r="AJ2638" s="1038"/>
      <c r="AK2638" s="1048"/>
      <c r="AL2638" s="1036"/>
      <c r="AM2638" s="1036"/>
      <c r="AN2638" s="1037"/>
      <c r="AO2638" s="1037"/>
      <c r="AP2638" s="1034"/>
      <c r="AQ2638" s="1035"/>
      <c r="AR2638" s="1034"/>
      <c r="AS2638" s="1035"/>
      <c r="AT2638" s="1035"/>
      <c r="AU2638" s="1035"/>
      <c r="AV2638" s="1038"/>
      <c r="AW2638" s="1050"/>
      <c r="AX2638" s="1051"/>
      <c r="AY2638" s="1036"/>
      <c r="AZ2638" s="1035"/>
      <c r="BA2638" s="1035"/>
      <c r="BB2638" s="1052"/>
      <c r="BC2638" s="1053"/>
      <c r="BD2638" s="1049"/>
      <c r="BE2638" s="1054"/>
      <c r="BF2638" s="1055"/>
      <c r="BG2638" s="1055"/>
      <c r="BH2638" s="1055"/>
      <c r="BI2638" s="1055"/>
      <c r="BJ2638" s="1055"/>
      <c r="BK2638" s="1055"/>
      <c r="BL2638" s="1055"/>
      <c r="BM2638" s="1055"/>
      <c r="BN2638" s="1055"/>
      <c r="BO2638" s="1056"/>
      <c r="BP2638" s="1056"/>
      <c r="BQ2638" s="1056"/>
      <c r="BR2638" s="1056"/>
      <c r="BS2638" s="1056"/>
      <c r="BT2638" s="1056"/>
      <c r="BU2638" s="1056"/>
      <c r="BV2638" s="1057"/>
      <c r="BW2638" s="1057"/>
      <c r="BX2638" s="1148"/>
      <c r="BY2638" s="1057"/>
      <c r="BZ2638" s="1057"/>
      <c r="CA2638" s="1057"/>
      <c r="CB2638" s="944"/>
    </row>
    <row r="2639" spans="2:80">
      <c r="B2639" s="1033"/>
      <c r="C2639" s="1033"/>
      <c r="D2639" s="1033"/>
      <c r="E2639" s="1033"/>
      <c r="F2639" s="1034"/>
      <c r="G2639" s="1033"/>
      <c r="H2639" s="1063"/>
      <c r="I2639" s="1063"/>
      <c r="J2639" s="1034"/>
      <c r="K2639" s="1034"/>
      <c r="L2639" s="1036"/>
      <c r="M2639" s="1037"/>
      <c r="N2639" s="1034"/>
      <c r="O2639" s="1064"/>
      <c r="P2639" s="1035"/>
      <c r="Q2639" s="1036"/>
      <c r="R2639" s="1038"/>
      <c r="S2639" s="1131"/>
      <c r="T2639" s="1065"/>
      <c r="U2639" s="1066"/>
      <c r="V2639" s="1035"/>
      <c r="W2639" s="1039"/>
      <c r="X2639" s="1040"/>
      <c r="Y2639" s="1045"/>
      <c r="Z2639" s="1041"/>
      <c r="AA2639" s="1041"/>
      <c r="AB2639" s="1041"/>
      <c r="AC2639" s="1042"/>
      <c r="AD2639" s="1043"/>
      <c r="AE2639" s="1044"/>
      <c r="AF2639" s="1045"/>
      <c r="AG2639" s="1046"/>
      <c r="AH2639" s="1045"/>
      <c r="AI2639" s="1047"/>
      <c r="AJ2639" s="1038"/>
      <c r="AK2639" s="1048"/>
      <c r="AL2639" s="1036"/>
      <c r="AM2639" s="1036"/>
      <c r="AN2639" s="1037"/>
      <c r="AO2639" s="1037"/>
      <c r="AP2639" s="1034"/>
      <c r="AQ2639" s="1035"/>
      <c r="AR2639" s="1034"/>
      <c r="AS2639" s="1035"/>
      <c r="AT2639" s="1035"/>
      <c r="AU2639" s="1035"/>
      <c r="AV2639" s="1038"/>
      <c r="AW2639" s="1050"/>
      <c r="AX2639" s="1051"/>
      <c r="AY2639" s="1036"/>
      <c r="AZ2639" s="1035"/>
      <c r="BA2639" s="1035"/>
      <c r="BB2639" s="1052"/>
      <c r="BC2639" s="1053"/>
      <c r="BD2639" s="1049"/>
      <c r="BE2639" s="1054"/>
      <c r="BF2639" s="1055"/>
      <c r="BG2639" s="1055"/>
      <c r="BH2639" s="1055"/>
      <c r="BI2639" s="1055"/>
      <c r="BJ2639" s="1055"/>
      <c r="BK2639" s="1055"/>
      <c r="BL2639" s="1055"/>
      <c r="BM2639" s="1055"/>
      <c r="BN2639" s="1055"/>
      <c r="BO2639" s="1056"/>
      <c r="BP2639" s="1056"/>
      <c r="BQ2639" s="1056"/>
      <c r="BR2639" s="1056"/>
      <c r="BS2639" s="1056"/>
      <c r="BT2639" s="1056"/>
      <c r="BU2639" s="1056"/>
      <c r="BV2639" s="1057"/>
      <c r="BW2639" s="1057"/>
      <c r="BX2639" s="1148"/>
      <c r="BY2639" s="1057"/>
      <c r="BZ2639" s="1057"/>
      <c r="CA2639" s="1057"/>
      <c r="CB2639" s="944"/>
    </row>
    <row r="2640" spans="2:80">
      <c r="B2640" s="1033"/>
      <c r="C2640" s="1033"/>
      <c r="D2640" s="1033"/>
      <c r="E2640" s="1033"/>
      <c r="F2640" s="1034"/>
      <c r="G2640" s="1033"/>
      <c r="H2640" s="1063"/>
      <c r="I2640" s="1063"/>
      <c r="J2640" s="1034"/>
      <c r="K2640" s="1034"/>
      <c r="L2640" s="1036"/>
      <c r="M2640" s="1037"/>
      <c r="N2640" s="1034"/>
      <c r="O2640" s="1064"/>
      <c r="P2640" s="1035"/>
      <c r="Q2640" s="1036"/>
      <c r="R2640" s="1038"/>
      <c r="S2640" s="1131"/>
      <c r="T2640" s="1065"/>
      <c r="U2640" s="1066"/>
      <c r="V2640" s="1035"/>
      <c r="W2640" s="1039"/>
      <c r="X2640" s="1040"/>
      <c r="Y2640" s="1045"/>
      <c r="Z2640" s="1041"/>
      <c r="AA2640" s="1041"/>
      <c r="AB2640" s="1041"/>
      <c r="AC2640" s="1042"/>
      <c r="AD2640" s="1043"/>
      <c r="AE2640" s="1044"/>
      <c r="AF2640" s="1045"/>
      <c r="AG2640" s="1046"/>
      <c r="AH2640" s="1045"/>
      <c r="AI2640" s="1047"/>
      <c r="AJ2640" s="1038"/>
      <c r="AK2640" s="1048"/>
      <c r="AL2640" s="1036"/>
      <c r="AM2640" s="1036"/>
      <c r="AN2640" s="1037"/>
      <c r="AO2640" s="1037"/>
      <c r="AP2640" s="1034"/>
      <c r="AQ2640" s="1035"/>
      <c r="AR2640" s="1034"/>
      <c r="AS2640" s="1035"/>
      <c r="AT2640" s="1035"/>
      <c r="AU2640" s="1035"/>
      <c r="AV2640" s="1038"/>
      <c r="AW2640" s="1050"/>
      <c r="AX2640" s="1051"/>
      <c r="AY2640" s="1036"/>
      <c r="AZ2640" s="1035"/>
      <c r="BA2640" s="1035"/>
      <c r="BB2640" s="1052"/>
      <c r="BC2640" s="1053"/>
      <c r="BD2640" s="1049"/>
      <c r="BE2640" s="1054"/>
      <c r="BF2640" s="1055"/>
      <c r="BG2640" s="1055"/>
      <c r="BH2640" s="1055"/>
      <c r="BI2640" s="1055"/>
      <c r="BJ2640" s="1055"/>
      <c r="BK2640" s="1055"/>
      <c r="BL2640" s="1055"/>
      <c r="BM2640" s="1055"/>
      <c r="BN2640" s="1055"/>
      <c r="BO2640" s="1056"/>
      <c r="BP2640" s="1056"/>
      <c r="BQ2640" s="1056"/>
      <c r="BR2640" s="1056"/>
      <c r="BS2640" s="1056"/>
      <c r="BT2640" s="1056"/>
      <c r="BU2640" s="1056"/>
      <c r="BV2640" s="1057"/>
      <c r="BW2640" s="1057"/>
      <c r="BX2640" s="1148"/>
      <c r="BY2640" s="1057"/>
      <c r="BZ2640" s="1057"/>
      <c r="CA2640" s="1057"/>
      <c r="CB2640" s="944"/>
    </row>
    <row r="2641" spans="2:80">
      <c r="B2641" s="1033"/>
      <c r="C2641" s="1033"/>
      <c r="D2641" s="1033"/>
      <c r="E2641" s="1033"/>
      <c r="F2641" s="1034"/>
      <c r="G2641" s="1033"/>
      <c r="H2641" s="1063"/>
      <c r="I2641" s="1063"/>
      <c r="J2641" s="1034"/>
      <c r="K2641" s="1034"/>
      <c r="L2641" s="1036"/>
      <c r="M2641" s="1037"/>
      <c r="N2641" s="1034"/>
      <c r="O2641" s="1064"/>
      <c r="P2641" s="1035"/>
      <c r="Q2641" s="1036"/>
      <c r="R2641" s="1038"/>
      <c r="S2641" s="1131"/>
      <c r="T2641" s="1065"/>
      <c r="U2641" s="1066"/>
      <c r="V2641" s="1035"/>
      <c r="W2641" s="1039"/>
      <c r="X2641" s="1040"/>
      <c r="Y2641" s="1045"/>
      <c r="Z2641" s="1041"/>
      <c r="AA2641" s="1041"/>
      <c r="AB2641" s="1041"/>
      <c r="AC2641" s="1042"/>
      <c r="AD2641" s="1043"/>
      <c r="AE2641" s="1044"/>
      <c r="AF2641" s="1045"/>
      <c r="AG2641" s="1046"/>
      <c r="AH2641" s="1045"/>
      <c r="AI2641" s="1047"/>
      <c r="AJ2641" s="1038"/>
      <c r="AK2641" s="1048"/>
      <c r="AL2641" s="1036"/>
      <c r="AM2641" s="1036"/>
      <c r="AN2641" s="1037"/>
      <c r="AO2641" s="1037"/>
      <c r="AP2641" s="1034"/>
      <c r="AQ2641" s="1035"/>
      <c r="AR2641" s="1034"/>
      <c r="AS2641" s="1035"/>
      <c r="AT2641" s="1035"/>
      <c r="AU2641" s="1035"/>
      <c r="AV2641" s="1038"/>
      <c r="AW2641" s="1050"/>
      <c r="AX2641" s="1051"/>
      <c r="AY2641" s="1036"/>
      <c r="AZ2641" s="1035"/>
      <c r="BA2641" s="1035"/>
      <c r="BB2641" s="1052"/>
      <c r="BC2641" s="1053"/>
      <c r="BD2641" s="1049"/>
      <c r="BE2641" s="1054"/>
      <c r="BF2641" s="1055"/>
      <c r="BG2641" s="1055"/>
      <c r="BH2641" s="1055"/>
      <c r="BI2641" s="1055"/>
      <c r="BJ2641" s="1055"/>
      <c r="BK2641" s="1055"/>
      <c r="BL2641" s="1055"/>
      <c r="BM2641" s="1055"/>
      <c r="BN2641" s="1055"/>
      <c r="BO2641" s="1056"/>
      <c r="BP2641" s="1056"/>
      <c r="BQ2641" s="1056"/>
      <c r="BR2641" s="1056"/>
      <c r="BS2641" s="1056"/>
      <c r="BT2641" s="1056"/>
      <c r="BU2641" s="1056"/>
      <c r="BV2641" s="1057"/>
      <c r="BW2641" s="1057"/>
      <c r="BX2641" s="1148"/>
      <c r="BY2641" s="1057"/>
      <c r="BZ2641" s="1057"/>
      <c r="CA2641" s="1057"/>
      <c r="CB2641" s="944"/>
    </row>
    <row r="2642" spans="2:80">
      <c r="B2642" s="1033"/>
      <c r="C2642" s="1033"/>
      <c r="D2642" s="1033"/>
      <c r="E2642" s="1033"/>
      <c r="F2642" s="1034"/>
      <c r="G2642" s="1033"/>
      <c r="H2642" s="1063"/>
      <c r="I2642" s="1063"/>
      <c r="J2642" s="1034"/>
      <c r="K2642" s="1034"/>
      <c r="L2642" s="1036"/>
      <c r="M2642" s="1037"/>
      <c r="N2642" s="1034"/>
      <c r="O2642" s="1064"/>
      <c r="P2642" s="1035"/>
      <c r="Q2642" s="1036"/>
      <c r="R2642" s="1038"/>
      <c r="S2642" s="1131"/>
      <c r="T2642" s="1065"/>
      <c r="U2642" s="1066"/>
      <c r="V2642" s="1035"/>
      <c r="W2642" s="1039"/>
      <c r="X2642" s="1040"/>
      <c r="Y2642" s="1045"/>
      <c r="Z2642" s="1041"/>
      <c r="AA2642" s="1041"/>
      <c r="AB2642" s="1041"/>
      <c r="AC2642" s="1042"/>
      <c r="AD2642" s="1043"/>
      <c r="AE2642" s="1044"/>
      <c r="AF2642" s="1045"/>
      <c r="AG2642" s="1046"/>
      <c r="AH2642" s="1045"/>
      <c r="AI2642" s="1047"/>
      <c r="AJ2642" s="1038"/>
      <c r="AK2642" s="1048"/>
      <c r="AL2642" s="1036"/>
      <c r="AM2642" s="1036"/>
      <c r="AN2642" s="1037"/>
      <c r="AO2642" s="1037"/>
      <c r="AP2642" s="1034"/>
      <c r="AQ2642" s="1035"/>
      <c r="AR2642" s="1034"/>
      <c r="AS2642" s="1035"/>
      <c r="AT2642" s="1035"/>
      <c r="AU2642" s="1035"/>
      <c r="AV2642" s="1038"/>
      <c r="AW2642" s="1050"/>
      <c r="AX2642" s="1051"/>
      <c r="AY2642" s="1036"/>
      <c r="AZ2642" s="1035"/>
      <c r="BA2642" s="1035"/>
      <c r="BB2642" s="1052"/>
      <c r="BC2642" s="1053"/>
      <c r="BD2642" s="1049"/>
      <c r="BE2642" s="1054"/>
      <c r="BF2642" s="1055"/>
      <c r="BG2642" s="1055"/>
      <c r="BH2642" s="1055"/>
      <c r="BI2642" s="1055"/>
      <c r="BJ2642" s="1055"/>
      <c r="BK2642" s="1055"/>
      <c r="BL2642" s="1055"/>
      <c r="BM2642" s="1055"/>
      <c r="BN2642" s="1055"/>
      <c r="BO2642" s="1056"/>
      <c r="BP2642" s="1056"/>
      <c r="BQ2642" s="1056"/>
      <c r="BR2642" s="1056"/>
      <c r="BS2642" s="1056"/>
      <c r="BT2642" s="1056"/>
      <c r="BU2642" s="1056"/>
      <c r="BV2642" s="1057"/>
      <c r="BW2642" s="1057"/>
      <c r="BX2642" s="1148"/>
      <c r="BY2642" s="1057"/>
      <c r="BZ2642" s="1057"/>
      <c r="CA2642" s="1057"/>
      <c r="CB2642" s="944"/>
    </row>
    <row r="2643" spans="2:80">
      <c r="B2643" s="1033"/>
      <c r="C2643" s="1033"/>
      <c r="D2643" s="1033"/>
      <c r="E2643" s="1033"/>
      <c r="F2643" s="1034"/>
      <c r="G2643" s="1033"/>
      <c r="H2643" s="1063"/>
      <c r="I2643" s="1063"/>
      <c r="J2643" s="1034"/>
      <c r="K2643" s="1034"/>
      <c r="L2643" s="1036"/>
      <c r="M2643" s="1037"/>
      <c r="N2643" s="1034"/>
      <c r="O2643" s="1064"/>
      <c r="P2643" s="1035"/>
      <c r="Q2643" s="1036"/>
      <c r="R2643" s="1038"/>
      <c r="S2643" s="1131"/>
      <c r="T2643" s="1065"/>
      <c r="U2643" s="1066"/>
      <c r="V2643" s="1035"/>
      <c r="W2643" s="1039"/>
      <c r="X2643" s="1040"/>
      <c r="Y2643" s="1045"/>
      <c r="Z2643" s="1041"/>
      <c r="AA2643" s="1041"/>
      <c r="AB2643" s="1041"/>
      <c r="AC2643" s="1042"/>
      <c r="AD2643" s="1043"/>
      <c r="AE2643" s="1044"/>
      <c r="AF2643" s="1045"/>
      <c r="AG2643" s="1046"/>
      <c r="AH2643" s="1045"/>
      <c r="AI2643" s="1047"/>
      <c r="AJ2643" s="1038"/>
      <c r="AK2643" s="1048"/>
      <c r="AL2643" s="1036"/>
      <c r="AM2643" s="1036"/>
      <c r="AN2643" s="1037"/>
      <c r="AO2643" s="1037"/>
      <c r="AP2643" s="1034"/>
      <c r="AQ2643" s="1035"/>
      <c r="AR2643" s="1034"/>
      <c r="AS2643" s="1035"/>
      <c r="AT2643" s="1035"/>
      <c r="AU2643" s="1035"/>
      <c r="AV2643" s="1038"/>
      <c r="AW2643" s="1050"/>
      <c r="AX2643" s="1051"/>
      <c r="AY2643" s="1036"/>
      <c r="AZ2643" s="1035"/>
      <c r="BA2643" s="1035"/>
      <c r="BB2643" s="1052"/>
      <c r="BC2643" s="1053"/>
      <c r="BD2643" s="1049"/>
      <c r="BE2643" s="1054"/>
      <c r="BF2643" s="1055"/>
      <c r="BG2643" s="1055"/>
      <c r="BH2643" s="1055"/>
      <c r="BI2643" s="1055"/>
      <c r="BJ2643" s="1055"/>
      <c r="BK2643" s="1055"/>
      <c r="BL2643" s="1055"/>
      <c r="BM2643" s="1055"/>
      <c r="BN2643" s="1055"/>
      <c r="BO2643" s="1056"/>
      <c r="BP2643" s="1056"/>
      <c r="BQ2643" s="1056"/>
      <c r="BR2643" s="1056"/>
      <c r="BS2643" s="1056"/>
      <c r="BT2643" s="1056"/>
      <c r="BU2643" s="1056"/>
      <c r="BV2643" s="1057"/>
      <c r="BW2643" s="1057"/>
      <c r="BX2643" s="1148"/>
      <c r="BY2643" s="1057"/>
      <c r="BZ2643" s="1057"/>
      <c r="CA2643" s="1057"/>
      <c r="CB2643" s="944"/>
    </row>
    <row r="2644" spans="2:80">
      <c r="B2644" s="1033"/>
      <c r="C2644" s="1033"/>
      <c r="D2644" s="1033"/>
      <c r="E2644" s="1033"/>
      <c r="F2644" s="1034"/>
      <c r="G2644" s="1033"/>
      <c r="H2644" s="1063"/>
      <c r="I2644" s="1063"/>
      <c r="J2644" s="1034"/>
      <c r="K2644" s="1034"/>
      <c r="L2644" s="1036"/>
      <c r="M2644" s="1037"/>
      <c r="N2644" s="1034"/>
      <c r="O2644" s="1064"/>
      <c r="P2644" s="1035"/>
      <c r="Q2644" s="1036"/>
      <c r="R2644" s="1038"/>
      <c r="S2644" s="1131"/>
      <c r="T2644" s="1065"/>
      <c r="U2644" s="1066"/>
      <c r="V2644" s="1035"/>
      <c r="W2644" s="1039"/>
      <c r="X2644" s="1040"/>
      <c r="Y2644" s="1045"/>
      <c r="Z2644" s="1041"/>
      <c r="AA2644" s="1041"/>
      <c r="AB2644" s="1041"/>
      <c r="AC2644" s="1042"/>
      <c r="AD2644" s="1043"/>
      <c r="AE2644" s="1044"/>
      <c r="AF2644" s="1045"/>
      <c r="AG2644" s="1046"/>
      <c r="AH2644" s="1045"/>
      <c r="AI2644" s="1047"/>
      <c r="AJ2644" s="1038"/>
      <c r="AK2644" s="1048"/>
      <c r="AL2644" s="1036"/>
      <c r="AM2644" s="1036"/>
      <c r="AN2644" s="1037"/>
      <c r="AO2644" s="1037"/>
      <c r="AP2644" s="1034"/>
      <c r="AQ2644" s="1035"/>
      <c r="AR2644" s="1034"/>
      <c r="AS2644" s="1035"/>
      <c r="AT2644" s="1035"/>
      <c r="AU2644" s="1035"/>
      <c r="AV2644" s="1038"/>
      <c r="AW2644" s="1050"/>
      <c r="AX2644" s="1051"/>
      <c r="AY2644" s="1036"/>
      <c r="AZ2644" s="1035"/>
      <c r="BA2644" s="1035"/>
      <c r="BB2644" s="1052"/>
      <c r="BC2644" s="1053"/>
      <c r="BD2644" s="1049"/>
      <c r="BE2644" s="1054"/>
      <c r="BF2644" s="1055"/>
      <c r="BG2644" s="1055"/>
      <c r="BH2644" s="1055"/>
      <c r="BI2644" s="1055"/>
      <c r="BJ2644" s="1055"/>
      <c r="BK2644" s="1055"/>
      <c r="BL2644" s="1055"/>
      <c r="BM2644" s="1055"/>
      <c r="BN2644" s="1055"/>
      <c r="BO2644" s="1056"/>
      <c r="BP2644" s="1056"/>
      <c r="BQ2644" s="1056"/>
      <c r="BR2644" s="1056"/>
      <c r="BS2644" s="1056"/>
      <c r="BT2644" s="1056"/>
      <c r="BU2644" s="1056"/>
      <c r="BV2644" s="1057"/>
      <c r="BW2644" s="1057"/>
      <c r="BX2644" s="1148"/>
      <c r="BY2644" s="1057"/>
      <c r="BZ2644" s="1057"/>
      <c r="CA2644" s="1057"/>
      <c r="CB2644" s="944"/>
    </row>
    <row r="2645" spans="2:80">
      <c r="B2645" s="1033"/>
      <c r="C2645" s="1033"/>
      <c r="D2645" s="1033"/>
      <c r="E2645" s="1033"/>
      <c r="F2645" s="1034"/>
      <c r="G2645" s="1033"/>
      <c r="H2645" s="1063"/>
      <c r="I2645" s="1063"/>
      <c r="J2645" s="1034"/>
      <c r="K2645" s="1034"/>
      <c r="L2645" s="1036"/>
      <c r="M2645" s="1037"/>
      <c r="N2645" s="1034"/>
      <c r="O2645" s="1064"/>
      <c r="P2645" s="1035"/>
      <c r="Q2645" s="1036"/>
      <c r="R2645" s="1038"/>
      <c r="S2645" s="1131"/>
      <c r="T2645" s="1065"/>
      <c r="U2645" s="1066"/>
      <c r="V2645" s="1035"/>
      <c r="W2645" s="1039"/>
      <c r="X2645" s="1040"/>
      <c r="Y2645" s="1045"/>
      <c r="Z2645" s="1041"/>
      <c r="AA2645" s="1041"/>
      <c r="AB2645" s="1041"/>
      <c r="AC2645" s="1042"/>
      <c r="AD2645" s="1043"/>
      <c r="AE2645" s="1044"/>
      <c r="AF2645" s="1045"/>
      <c r="AG2645" s="1046"/>
      <c r="AH2645" s="1045"/>
      <c r="AI2645" s="1047"/>
      <c r="AJ2645" s="1038"/>
      <c r="AK2645" s="1048"/>
      <c r="AL2645" s="1036"/>
      <c r="AM2645" s="1036"/>
      <c r="AN2645" s="1037"/>
      <c r="AO2645" s="1037"/>
      <c r="AP2645" s="1034"/>
      <c r="AQ2645" s="1035"/>
      <c r="AR2645" s="1034"/>
      <c r="AS2645" s="1035"/>
      <c r="AT2645" s="1035"/>
      <c r="AU2645" s="1035"/>
      <c r="AV2645" s="1038"/>
      <c r="AW2645" s="1050"/>
      <c r="AX2645" s="1051"/>
      <c r="AY2645" s="1036"/>
      <c r="AZ2645" s="1035"/>
      <c r="BA2645" s="1035"/>
      <c r="BB2645" s="1052"/>
      <c r="BC2645" s="1053"/>
      <c r="BD2645" s="1049"/>
      <c r="BE2645" s="1054"/>
      <c r="BF2645" s="1055"/>
      <c r="BG2645" s="1055"/>
      <c r="BH2645" s="1055"/>
      <c r="BI2645" s="1055"/>
      <c r="BJ2645" s="1055"/>
      <c r="BK2645" s="1055"/>
      <c r="BL2645" s="1055"/>
      <c r="BM2645" s="1055"/>
      <c r="BN2645" s="1055"/>
      <c r="BO2645" s="1056"/>
      <c r="BP2645" s="1056"/>
      <c r="BQ2645" s="1056"/>
      <c r="BR2645" s="1056"/>
      <c r="BS2645" s="1056"/>
      <c r="BT2645" s="1056"/>
      <c r="BU2645" s="1056"/>
      <c r="BV2645" s="1057"/>
      <c r="BW2645" s="1057"/>
      <c r="BX2645" s="1148"/>
      <c r="BY2645" s="1057"/>
      <c r="BZ2645" s="1057"/>
      <c r="CA2645" s="1057"/>
      <c r="CB2645" s="944"/>
    </row>
    <row r="2646" spans="2:80">
      <c r="B2646" s="1033"/>
      <c r="C2646" s="1033"/>
      <c r="D2646" s="1033"/>
      <c r="E2646" s="1033"/>
      <c r="F2646" s="1034"/>
      <c r="G2646" s="1033"/>
      <c r="H2646" s="1063"/>
      <c r="I2646" s="1063"/>
      <c r="J2646" s="1034"/>
      <c r="K2646" s="1034"/>
      <c r="L2646" s="1036"/>
      <c r="M2646" s="1037"/>
      <c r="N2646" s="1034"/>
      <c r="O2646" s="1064"/>
      <c r="P2646" s="1035"/>
      <c r="Q2646" s="1036"/>
      <c r="R2646" s="1038"/>
      <c r="S2646" s="1131"/>
      <c r="T2646" s="1065"/>
      <c r="U2646" s="1066"/>
      <c r="V2646" s="1035"/>
      <c r="W2646" s="1039"/>
      <c r="X2646" s="1040"/>
      <c r="Y2646" s="1045"/>
      <c r="Z2646" s="1041"/>
      <c r="AA2646" s="1041"/>
      <c r="AB2646" s="1041"/>
      <c r="AC2646" s="1042"/>
      <c r="AD2646" s="1043"/>
      <c r="AE2646" s="1044"/>
      <c r="AF2646" s="1045"/>
      <c r="AG2646" s="1046"/>
      <c r="AH2646" s="1045"/>
      <c r="AI2646" s="1047"/>
      <c r="AJ2646" s="1038"/>
      <c r="AK2646" s="1048"/>
      <c r="AL2646" s="1036"/>
      <c r="AM2646" s="1036"/>
      <c r="AN2646" s="1037"/>
      <c r="AO2646" s="1037"/>
      <c r="AP2646" s="1034"/>
      <c r="AQ2646" s="1035"/>
      <c r="AR2646" s="1034"/>
      <c r="AS2646" s="1035"/>
      <c r="AT2646" s="1035"/>
      <c r="AU2646" s="1035"/>
      <c r="AV2646" s="1038"/>
      <c r="AW2646" s="1050"/>
      <c r="AX2646" s="1051"/>
      <c r="AY2646" s="1036"/>
      <c r="AZ2646" s="1035"/>
      <c r="BA2646" s="1035"/>
      <c r="BB2646" s="1052"/>
      <c r="BC2646" s="1053"/>
      <c r="BD2646" s="1049"/>
      <c r="BE2646" s="1054"/>
      <c r="BF2646" s="1055"/>
      <c r="BG2646" s="1055"/>
      <c r="BH2646" s="1055"/>
      <c r="BI2646" s="1055"/>
      <c r="BJ2646" s="1055"/>
      <c r="BK2646" s="1055"/>
      <c r="BL2646" s="1055"/>
      <c r="BM2646" s="1055"/>
      <c r="BN2646" s="1055"/>
      <c r="BO2646" s="1056"/>
      <c r="BP2646" s="1056"/>
      <c r="BQ2646" s="1056"/>
      <c r="BR2646" s="1056"/>
      <c r="BS2646" s="1056"/>
      <c r="BT2646" s="1056"/>
      <c r="BU2646" s="1056"/>
      <c r="BV2646" s="1057"/>
      <c r="BW2646" s="1057"/>
      <c r="BX2646" s="1148"/>
      <c r="BY2646" s="1057"/>
      <c r="BZ2646" s="1057"/>
      <c r="CA2646" s="1057"/>
      <c r="CB2646" s="944"/>
    </row>
    <row r="2647" spans="2:80">
      <c r="B2647" s="1033"/>
      <c r="C2647" s="1033"/>
      <c r="D2647" s="1033"/>
      <c r="E2647" s="1033"/>
      <c r="F2647" s="1034"/>
      <c r="G2647" s="1033"/>
      <c r="H2647" s="1063"/>
      <c r="I2647" s="1063"/>
      <c r="J2647" s="1034"/>
      <c r="K2647" s="1034"/>
      <c r="L2647" s="1036"/>
      <c r="M2647" s="1037"/>
      <c r="N2647" s="1034"/>
      <c r="O2647" s="1064"/>
      <c r="P2647" s="1035"/>
      <c r="Q2647" s="1036"/>
      <c r="R2647" s="1038"/>
      <c r="S2647" s="1131"/>
      <c r="T2647" s="1065"/>
      <c r="U2647" s="1066"/>
      <c r="V2647" s="1035"/>
      <c r="W2647" s="1039"/>
      <c r="X2647" s="1040"/>
      <c r="Y2647" s="1045"/>
      <c r="Z2647" s="1041"/>
      <c r="AA2647" s="1041"/>
      <c r="AB2647" s="1041"/>
      <c r="AC2647" s="1042"/>
      <c r="AD2647" s="1043"/>
      <c r="AE2647" s="1044"/>
      <c r="AF2647" s="1045"/>
      <c r="AG2647" s="1046"/>
      <c r="AH2647" s="1045"/>
      <c r="AI2647" s="1047"/>
      <c r="AJ2647" s="1038"/>
      <c r="AK2647" s="1048"/>
      <c r="AL2647" s="1036"/>
      <c r="AM2647" s="1036"/>
      <c r="AN2647" s="1037"/>
      <c r="AO2647" s="1037"/>
      <c r="AP2647" s="1034"/>
      <c r="AQ2647" s="1035"/>
      <c r="AR2647" s="1034"/>
      <c r="AS2647" s="1035"/>
      <c r="AT2647" s="1035"/>
      <c r="AU2647" s="1035"/>
      <c r="AV2647" s="1038"/>
      <c r="AW2647" s="1050"/>
      <c r="AX2647" s="1051"/>
      <c r="AY2647" s="1036"/>
      <c r="AZ2647" s="1035"/>
      <c r="BA2647" s="1035"/>
      <c r="BB2647" s="1052"/>
      <c r="BC2647" s="1053"/>
      <c r="BD2647" s="1049"/>
      <c r="BE2647" s="1054"/>
      <c r="BF2647" s="1055"/>
      <c r="BG2647" s="1055"/>
      <c r="BH2647" s="1055"/>
      <c r="BI2647" s="1055"/>
      <c r="BJ2647" s="1055"/>
      <c r="BK2647" s="1055"/>
      <c r="BL2647" s="1055"/>
      <c r="BM2647" s="1055"/>
      <c r="BN2647" s="1055"/>
      <c r="BO2647" s="1056"/>
      <c r="BP2647" s="1056"/>
      <c r="BQ2647" s="1056"/>
      <c r="BR2647" s="1056"/>
      <c r="BS2647" s="1056"/>
      <c r="BT2647" s="1056"/>
      <c r="BU2647" s="1056"/>
      <c r="BV2647" s="1057"/>
      <c r="BW2647" s="1057"/>
      <c r="BX2647" s="1148"/>
      <c r="BY2647" s="1057"/>
      <c r="BZ2647" s="1057"/>
      <c r="CA2647" s="1057"/>
      <c r="CB2647" s="944"/>
    </row>
    <row r="2648" spans="2:80">
      <c r="B2648" s="1033"/>
      <c r="C2648" s="1033"/>
      <c r="D2648" s="1033"/>
      <c r="E2648" s="1033"/>
      <c r="F2648" s="1034"/>
      <c r="G2648" s="1033"/>
      <c r="H2648" s="1063"/>
      <c r="I2648" s="1063"/>
      <c r="J2648" s="1034"/>
      <c r="K2648" s="1034"/>
      <c r="L2648" s="1036"/>
      <c r="M2648" s="1037"/>
      <c r="N2648" s="1034"/>
      <c r="O2648" s="1064"/>
      <c r="P2648" s="1035"/>
      <c r="Q2648" s="1036"/>
      <c r="R2648" s="1038"/>
      <c r="S2648" s="1131"/>
      <c r="T2648" s="1065"/>
      <c r="U2648" s="1066"/>
      <c r="V2648" s="1035"/>
      <c r="W2648" s="1039"/>
      <c r="X2648" s="1040"/>
      <c r="Y2648" s="1045"/>
      <c r="Z2648" s="1041"/>
      <c r="AA2648" s="1041"/>
      <c r="AB2648" s="1041"/>
      <c r="AC2648" s="1042"/>
      <c r="AD2648" s="1043"/>
      <c r="AE2648" s="1044"/>
      <c r="AF2648" s="1045"/>
      <c r="AG2648" s="1046"/>
      <c r="AH2648" s="1045"/>
      <c r="AI2648" s="1047"/>
      <c r="AJ2648" s="1038"/>
      <c r="AK2648" s="1048"/>
      <c r="AL2648" s="1036"/>
      <c r="AM2648" s="1036"/>
      <c r="AN2648" s="1037"/>
      <c r="AO2648" s="1037"/>
      <c r="AP2648" s="1034"/>
      <c r="AQ2648" s="1035"/>
      <c r="AR2648" s="1034"/>
      <c r="AS2648" s="1035"/>
      <c r="AT2648" s="1035"/>
      <c r="AU2648" s="1035"/>
      <c r="AV2648" s="1038"/>
      <c r="AW2648" s="1050"/>
      <c r="AX2648" s="1051"/>
      <c r="AY2648" s="1036"/>
      <c r="AZ2648" s="1035"/>
      <c r="BA2648" s="1035"/>
      <c r="BB2648" s="1052"/>
      <c r="BC2648" s="1053"/>
      <c r="BD2648" s="1049"/>
      <c r="BE2648" s="1054"/>
      <c r="BF2648" s="1055"/>
      <c r="BG2648" s="1055"/>
      <c r="BH2648" s="1055"/>
      <c r="BI2648" s="1055"/>
      <c r="BJ2648" s="1055"/>
      <c r="BK2648" s="1055"/>
      <c r="BL2648" s="1055"/>
      <c r="BM2648" s="1055"/>
      <c r="BN2648" s="1055"/>
      <c r="BO2648" s="1056"/>
      <c r="BP2648" s="1056"/>
      <c r="BQ2648" s="1056"/>
      <c r="BR2648" s="1056"/>
      <c r="BS2648" s="1056"/>
      <c r="BT2648" s="1056"/>
      <c r="BU2648" s="1056"/>
      <c r="BV2648" s="1057"/>
      <c r="BW2648" s="1057"/>
      <c r="BX2648" s="1148"/>
      <c r="BY2648" s="1057"/>
      <c r="BZ2648" s="1057"/>
      <c r="CA2648" s="1057"/>
      <c r="CB2648" s="944"/>
    </row>
    <row r="2649" spans="2:80">
      <c r="B2649" s="1033"/>
      <c r="C2649" s="1033"/>
      <c r="D2649" s="1033"/>
      <c r="E2649" s="1033"/>
      <c r="F2649" s="1034"/>
      <c r="G2649" s="1033"/>
      <c r="H2649" s="1063"/>
      <c r="I2649" s="1063"/>
      <c r="J2649" s="1034"/>
      <c r="K2649" s="1034"/>
      <c r="L2649" s="1036"/>
      <c r="M2649" s="1037"/>
      <c r="N2649" s="1034"/>
      <c r="O2649" s="1064"/>
      <c r="P2649" s="1035"/>
      <c r="Q2649" s="1036"/>
      <c r="R2649" s="1038"/>
      <c r="S2649" s="1131"/>
      <c r="T2649" s="1065"/>
      <c r="U2649" s="1066"/>
      <c r="V2649" s="1035"/>
      <c r="W2649" s="1039"/>
      <c r="X2649" s="1040"/>
      <c r="Y2649" s="1045"/>
      <c r="Z2649" s="1041"/>
      <c r="AA2649" s="1041"/>
      <c r="AB2649" s="1041"/>
      <c r="AC2649" s="1042"/>
      <c r="AD2649" s="1043"/>
      <c r="AE2649" s="1044"/>
      <c r="AF2649" s="1045"/>
      <c r="AG2649" s="1046"/>
      <c r="AH2649" s="1045"/>
      <c r="AI2649" s="1047"/>
      <c r="AJ2649" s="1038"/>
      <c r="AK2649" s="1048"/>
      <c r="AL2649" s="1036"/>
      <c r="AM2649" s="1036"/>
      <c r="AN2649" s="1037"/>
      <c r="AO2649" s="1037"/>
      <c r="AP2649" s="1034"/>
      <c r="AQ2649" s="1035"/>
      <c r="AR2649" s="1034"/>
      <c r="AS2649" s="1035"/>
      <c r="AT2649" s="1035"/>
      <c r="AU2649" s="1035"/>
      <c r="AV2649" s="1038"/>
      <c r="AW2649" s="1050"/>
      <c r="AX2649" s="1051"/>
      <c r="AY2649" s="1036"/>
      <c r="AZ2649" s="1035"/>
      <c r="BA2649" s="1035"/>
      <c r="BB2649" s="1052"/>
      <c r="BC2649" s="1053"/>
      <c r="BD2649" s="1049"/>
      <c r="BE2649" s="1054"/>
      <c r="BF2649" s="1055"/>
      <c r="BG2649" s="1055"/>
      <c r="BH2649" s="1055"/>
      <c r="BI2649" s="1055"/>
      <c r="BJ2649" s="1055"/>
      <c r="BK2649" s="1055"/>
      <c r="BL2649" s="1055"/>
      <c r="BM2649" s="1055"/>
      <c r="BN2649" s="1055"/>
      <c r="BO2649" s="1056"/>
      <c r="BP2649" s="1056"/>
      <c r="BQ2649" s="1056"/>
      <c r="BR2649" s="1056"/>
      <c r="BS2649" s="1056"/>
      <c r="BT2649" s="1056"/>
      <c r="BU2649" s="1056"/>
      <c r="BV2649" s="1057"/>
      <c r="BW2649" s="1057"/>
      <c r="BX2649" s="1148"/>
      <c r="BY2649" s="1057"/>
      <c r="BZ2649" s="1057"/>
      <c r="CA2649" s="1057"/>
      <c r="CB2649" s="944"/>
    </row>
    <row r="2650" spans="2:80">
      <c r="B2650" s="1033"/>
      <c r="C2650" s="1033"/>
      <c r="D2650" s="1033"/>
      <c r="E2650" s="1033"/>
      <c r="F2650" s="1034"/>
      <c r="G2650" s="1033"/>
      <c r="H2650" s="1063"/>
      <c r="I2650" s="1063"/>
      <c r="J2650" s="1034"/>
      <c r="K2650" s="1034"/>
      <c r="L2650" s="1036"/>
      <c r="M2650" s="1037"/>
      <c r="N2650" s="1034"/>
      <c r="O2650" s="1064"/>
      <c r="P2650" s="1035"/>
      <c r="Q2650" s="1036"/>
      <c r="R2650" s="1038"/>
      <c r="S2650" s="1131"/>
      <c r="T2650" s="1065"/>
      <c r="U2650" s="1066"/>
      <c r="V2650" s="1035"/>
      <c r="W2650" s="1039"/>
      <c r="X2650" s="1040"/>
      <c r="Y2650" s="1045"/>
      <c r="Z2650" s="1041"/>
      <c r="AA2650" s="1041"/>
      <c r="AB2650" s="1041"/>
      <c r="AC2650" s="1042"/>
      <c r="AD2650" s="1043"/>
      <c r="AE2650" s="1044"/>
      <c r="AF2650" s="1045"/>
      <c r="AG2650" s="1046"/>
      <c r="AH2650" s="1045"/>
      <c r="AI2650" s="1047"/>
      <c r="AJ2650" s="1038"/>
      <c r="AK2650" s="1048"/>
      <c r="AL2650" s="1036"/>
      <c r="AM2650" s="1036"/>
      <c r="AN2650" s="1037"/>
      <c r="AO2650" s="1037"/>
      <c r="AP2650" s="1034"/>
      <c r="AQ2650" s="1035"/>
      <c r="AR2650" s="1034"/>
      <c r="AS2650" s="1035"/>
      <c r="AT2650" s="1035"/>
      <c r="AU2650" s="1035"/>
      <c r="AV2650" s="1038"/>
      <c r="AW2650" s="1050"/>
      <c r="AX2650" s="1051"/>
      <c r="AY2650" s="1036"/>
      <c r="AZ2650" s="1035"/>
      <c r="BA2650" s="1035"/>
      <c r="BB2650" s="1052"/>
      <c r="BC2650" s="1053"/>
      <c r="BD2650" s="1049"/>
      <c r="BE2650" s="1054"/>
      <c r="BF2650" s="1055"/>
      <c r="BG2650" s="1055"/>
      <c r="BH2650" s="1055"/>
      <c r="BI2650" s="1055"/>
      <c r="BJ2650" s="1055"/>
      <c r="BK2650" s="1055"/>
      <c r="BL2650" s="1055"/>
      <c r="BM2650" s="1055"/>
      <c r="BN2650" s="1055"/>
      <c r="BO2650" s="1056"/>
      <c r="BP2650" s="1056"/>
      <c r="BQ2650" s="1056"/>
      <c r="BR2650" s="1056"/>
      <c r="BS2650" s="1056"/>
      <c r="BT2650" s="1056"/>
      <c r="BU2650" s="1056"/>
      <c r="BV2650" s="1057"/>
      <c r="BW2650" s="1057"/>
      <c r="BX2650" s="1148"/>
      <c r="BY2650" s="1057"/>
      <c r="BZ2650" s="1057"/>
      <c r="CA2650" s="1057"/>
      <c r="CB2650" s="944"/>
    </row>
    <row r="2651" spans="2:80">
      <c r="B2651" s="1033"/>
      <c r="C2651" s="1033"/>
      <c r="D2651" s="1033"/>
      <c r="E2651" s="1033"/>
      <c r="F2651" s="1034"/>
      <c r="G2651" s="1033"/>
      <c r="H2651" s="1063"/>
      <c r="I2651" s="1063"/>
      <c r="J2651" s="1034"/>
      <c r="K2651" s="1034"/>
      <c r="L2651" s="1036"/>
      <c r="M2651" s="1037"/>
      <c r="N2651" s="1034"/>
      <c r="O2651" s="1064"/>
      <c r="P2651" s="1035"/>
      <c r="Q2651" s="1036"/>
      <c r="R2651" s="1038"/>
      <c r="S2651" s="1131"/>
      <c r="T2651" s="1065"/>
      <c r="U2651" s="1066"/>
      <c r="V2651" s="1035"/>
      <c r="W2651" s="1039"/>
      <c r="X2651" s="1040">
        <f t="shared" si="508"/>
        <v>0</v>
      </c>
      <c r="Y2651" s="1045"/>
      <c r="Z2651" s="1041"/>
      <c r="AA2651" s="1041"/>
      <c r="AB2651" s="1041">
        <f t="shared" si="544"/>
        <v>0</v>
      </c>
      <c r="AC2651" s="1042">
        <f t="shared" si="545"/>
        <v>0</v>
      </c>
      <c r="AD2651" s="1043"/>
      <c r="AE2651" s="1044"/>
      <c r="AF2651" s="1045"/>
      <c r="AG2651" s="1046"/>
      <c r="AH2651" s="1045"/>
      <c r="AI2651" s="1047"/>
      <c r="AJ2651" s="1038"/>
      <c r="AK2651" s="1048"/>
      <c r="AL2651" s="1036"/>
      <c r="AM2651" s="1036"/>
      <c r="AN2651" s="1037"/>
      <c r="AO2651" s="1037"/>
      <c r="AP2651" s="1034"/>
      <c r="AQ2651" s="1035"/>
      <c r="AR2651" s="1034"/>
      <c r="AS2651" s="1035"/>
      <c r="AT2651" s="1035"/>
      <c r="AU2651" s="1035"/>
      <c r="AV2651" s="1038"/>
      <c r="AW2651" s="1050"/>
      <c r="AX2651" s="1051"/>
      <c r="AY2651" s="1036"/>
      <c r="AZ2651" s="1035"/>
      <c r="BA2651" s="1035"/>
      <c r="BB2651" s="1052"/>
      <c r="BC2651" s="1053"/>
      <c r="BD2651" s="1049"/>
      <c r="BE2651" s="1054"/>
      <c r="BF2651" s="1055"/>
      <c r="BG2651" s="1055"/>
      <c r="BH2651" s="1055"/>
      <c r="BI2651" s="1055"/>
      <c r="BJ2651" s="1055"/>
      <c r="BK2651" s="1055"/>
      <c r="BL2651" s="1055"/>
      <c r="BM2651" s="1055"/>
      <c r="BN2651" s="1055"/>
      <c r="BO2651" s="1056"/>
      <c r="BP2651" s="1056"/>
      <c r="BQ2651" s="1056"/>
      <c r="BR2651" s="1056"/>
      <c r="BS2651" s="1056"/>
      <c r="BT2651" s="1056"/>
      <c r="BU2651" s="1056"/>
      <c r="BV2651" s="1057"/>
      <c r="BW2651" s="1057"/>
      <c r="BX2651" s="1148"/>
      <c r="BY2651" s="1057"/>
      <c r="BZ2651" s="1057"/>
      <c r="CA2651" s="1057"/>
      <c r="CB2651" s="944"/>
    </row>
    <row r="2652" spans="2:80">
      <c r="B2652" s="1033"/>
      <c r="C2652" s="1033"/>
      <c r="D2652" s="1033"/>
      <c r="E2652" s="1033"/>
      <c r="F2652" s="1034"/>
      <c r="G2652" s="1033"/>
      <c r="H2652" s="1063"/>
      <c r="I2652" s="1063"/>
      <c r="J2652" s="1034"/>
      <c r="K2652" s="1034"/>
      <c r="L2652" s="1036"/>
      <c r="M2652" s="1037"/>
      <c r="N2652" s="1034"/>
      <c r="O2652" s="1064"/>
      <c r="P2652" s="1035"/>
      <c r="Q2652" s="1036"/>
      <c r="R2652" s="1038"/>
      <c r="S2652" s="1131"/>
      <c r="T2652" s="1065"/>
      <c r="U2652" s="1066"/>
      <c r="V2652" s="1035"/>
      <c r="W2652" s="1039"/>
      <c r="X2652" s="1040">
        <f t="shared" si="508"/>
        <v>0</v>
      </c>
      <c r="Y2652" s="1045"/>
      <c r="Z2652" s="1041"/>
      <c r="AA2652" s="1041"/>
      <c r="AB2652" s="1041">
        <f t="shared" si="544"/>
        <v>0</v>
      </c>
      <c r="AC2652" s="1042">
        <f t="shared" si="545"/>
        <v>0</v>
      </c>
      <c r="AD2652" s="1043"/>
      <c r="AE2652" s="1044"/>
      <c r="AF2652" s="1045"/>
      <c r="AG2652" s="1046"/>
      <c r="AH2652" s="1045"/>
      <c r="AI2652" s="1047"/>
      <c r="AJ2652" s="1038"/>
      <c r="AK2652" s="1048"/>
      <c r="AL2652" s="1036"/>
      <c r="AM2652" s="1036"/>
      <c r="AN2652" s="1037"/>
      <c r="AO2652" s="1037"/>
      <c r="AP2652" s="1034"/>
      <c r="AQ2652" s="1035"/>
      <c r="AR2652" s="1034"/>
      <c r="AS2652" s="1035"/>
      <c r="AT2652" s="1035"/>
      <c r="AU2652" s="1035"/>
      <c r="AV2652" s="1038"/>
      <c r="AW2652" s="1050"/>
      <c r="AX2652" s="1051"/>
      <c r="AY2652" s="1036"/>
      <c r="AZ2652" s="1035"/>
      <c r="BA2652" s="1035"/>
      <c r="BB2652" s="1052"/>
      <c r="BC2652" s="1053"/>
      <c r="BD2652" s="1049"/>
      <c r="BE2652" s="1054"/>
      <c r="BF2652" s="1055"/>
      <c r="BG2652" s="1055"/>
      <c r="BH2652" s="1055"/>
      <c r="BI2652" s="1055"/>
      <c r="BJ2652" s="1055"/>
      <c r="BK2652" s="1055"/>
      <c r="BL2652" s="1055"/>
      <c r="BM2652" s="1055"/>
      <c r="BN2652" s="1055"/>
      <c r="BO2652" s="1056"/>
      <c r="BP2652" s="1056"/>
      <c r="BQ2652" s="1056"/>
      <c r="BR2652" s="1056"/>
      <c r="BS2652" s="1056"/>
      <c r="BT2652" s="1056"/>
      <c r="BU2652" s="1056"/>
      <c r="BV2652" s="1057"/>
      <c r="BW2652" s="1057"/>
      <c r="BX2652" s="1148"/>
      <c r="BY2652" s="1057"/>
      <c r="BZ2652" s="1057"/>
      <c r="CA2652" s="1057"/>
      <c r="CB2652" s="944"/>
    </row>
    <row r="2653" spans="2:80">
      <c r="B2653" s="1033"/>
      <c r="C2653" s="1033"/>
      <c r="D2653" s="1033"/>
      <c r="E2653" s="1033"/>
      <c r="F2653" s="1034"/>
      <c r="G2653" s="1033"/>
      <c r="H2653" s="1063"/>
      <c r="I2653" s="1063"/>
      <c r="J2653" s="1034"/>
      <c r="K2653" s="1034"/>
      <c r="L2653" s="1036"/>
      <c r="M2653" s="1037"/>
      <c r="N2653" s="1034"/>
      <c r="O2653" s="1064"/>
      <c r="P2653" s="1035"/>
      <c r="Q2653" s="1036"/>
      <c r="R2653" s="1038"/>
      <c r="S2653" s="1131"/>
      <c r="T2653" s="1065"/>
      <c r="U2653" s="1066"/>
      <c r="V2653" s="1035"/>
      <c r="W2653" s="1039"/>
      <c r="X2653" s="1040">
        <f t="shared" si="508"/>
        <v>0</v>
      </c>
      <c r="Y2653" s="1045"/>
      <c r="Z2653" s="1041"/>
      <c r="AA2653" s="1041"/>
      <c r="AB2653" s="1041">
        <f t="shared" si="544"/>
        <v>0</v>
      </c>
      <c r="AC2653" s="1042">
        <f t="shared" si="545"/>
        <v>0</v>
      </c>
      <c r="AD2653" s="1043"/>
      <c r="AE2653" s="1044"/>
      <c r="AF2653" s="1045"/>
      <c r="AG2653" s="1046"/>
      <c r="AH2653" s="1045"/>
      <c r="AI2653" s="1047"/>
      <c r="AJ2653" s="1038"/>
      <c r="AK2653" s="1048"/>
      <c r="AL2653" s="1036"/>
      <c r="AM2653" s="1036"/>
      <c r="AN2653" s="1037"/>
      <c r="AO2653" s="1037"/>
      <c r="AP2653" s="1034"/>
      <c r="AQ2653" s="1035"/>
      <c r="AR2653" s="1034"/>
      <c r="AS2653" s="1035"/>
      <c r="AT2653" s="1035"/>
      <c r="AU2653" s="1035"/>
      <c r="AV2653" s="1038"/>
      <c r="AW2653" s="1050"/>
      <c r="AX2653" s="1051"/>
      <c r="AY2653" s="1036"/>
      <c r="AZ2653" s="1035"/>
      <c r="BA2653" s="1035"/>
      <c r="BB2653" s="1052"/>
      <c r="BC2653" s="1053"/>
      <c r="BD2653" s="1049"/>
      <c r="BE2653" s="1054"/>
      <c r="BF2653" s="1055"/>
      <c r="BG2653" s="1055"/>
      <c r="BH2653" s="1055"/>
      <c r="BI2653" s="1055"/>
      <c r="BJ2653" s="1055"/>
      <c r="BK2653" s="1055"/>
      <c r="BL2653" s="1055"/>
      <c r="BM2653" s="1055"/>
      <c r="BN2653" s="1055"/>
      <c r="BO2653" s="1056"/>
      <c r="BP2653" s="1056"/>
      <c r="BQ2653" s="1056"/>
      <c r="BR2653" s="1056"/>
      <c r="BS2653" s="1056"/>
      <c r="BT2653" s="1056"/>
      <c r="BU2653" s="1056"/>
      <c r="BV2653" s="1057"/>
      <c r="BW2653" s="1057"/>
      <c r="BX2653" s="1148"/>
      <c r="BY2653" s="1057"/>
      <c r="BZ2653" s="1057"/>
      <c r="CA2653" s="1057"/>
      <c r="CB2653" s="944"/>
    </row>
    <row r="2654" spans="2:80">
      <c r="B2654" s="1033"/>
      <c r="C2654" s="1033"/>
      <c r="D2654" s="1033"/>
      <c r="E2654" s="1033"/>
      <c r="F2654" s="1034"/>
      <c r="G2654" s="1033"/>
      <c r="H2654" s="1063"/>
      <c r="I2654" s="1063"/>
      <c r="J2654" s="1034"/>
      <c r="K2654" s="1034"/>
      <c r="L2654" s="1036"/>
      <c r="M2654" s="1037"/>
      <c r="N2654" s="1034"/>
      <c r="O2654" s="1064"/>
      <c r="P2654" s="1035"/>
      <c r="Q2654" s="1036"/>
      <c r="R2654" s="1038"/>
      <c r="S2654" s="1131"/>
      <c r="T2654" s="1065"/>
      <c r="U2654" s="1066"/>
      <c r="V2654" s="1035"/>
      <c r="W2654" s="1039"/>
      <c r="X2654" s="1040">
        <f t="shared" si="508"/>
        <v>0</v>
      </c>
      <c r="Y2654" s="1045"/>
      <c r="Z2654" s="1041"/>
      <c r="AA2654" s="1041"/>
      <c r="AB2654" s="1041">
        <f t="shared" si="544"/>
        <v>0</v>
      </c>
      <c r="AC2654" s="1042">
        <f t="shared" si="545"/>
        <v>0</v>
      </c>
      <c r="AD2654" s="1043"/>
      <c r="AE2654" s="1044"/>
      <c r="AF2654" s="1045"/>
      <c r="AG2654" s="1046"/>
      <c r="AH2654" s="1045"/>
      <c r="AI2654" s="1047"/>
      <c r="AJ2654" s="1038"/>
      <c r="AK2654" s="1048"/>
      <c r="AL2654" s="1036"/>
      <c r="AM2654" s="1036"/>
      <c r="AN2654" s="1037"/>
      <c r="AO2654" s="1037"/>
      <c r="AP2654" s="1034"/>
      <c r="AQ2654" s="1035"/>
      <c r="AR2654" s="1034"/>
      <c r="AS2654" s="1035"/>
      <c r="AT2654" s="1035"/>
      <c r="AU2654" s="1035"/>
      <c r="AV2654" s="1038"/>
      <c r="AW2654" s="1050"/>
      <c r="AX2654" s="1051"/>
      <c r="AY2654" s="1036"/>
      <c r="AZ2654" s="1035"/>
      <c r="BA2654" s="1035"/>
      <c r="BB2654" s="1052"/>
      <c r="BC2654" s="1053"/>
      <c r="BD2654" s="1049"/>
      <c r="BE2654" s="1054"/>
      <c r="BF2654" s="1055"/>
      <c r="BG2654" s="1055"/>
      <c r="BH2654" s="1055"/>
      <c r="BI2654" s="1055"/>
      <c r="BJ2654" s="1055"/>
      <c r="BK2654" s="1055"/>
      <c r="BL2654" s="1055"/>
      <c r="BM2654" s="1055"/>
      <c r="BN2654" s="1055"/>
      <c r="BO2654" s="1056"/>
      <c r="BP2654" s="1056"/>
      <c r="BQ2654" s="1056"/>
      <c r="BR2654" s="1056"/>
      <c r="BS2654" s="1056"/>
      <c r="BT2654" s="1056"/>
      <c r="BU2654" s="1056"/>
      <c r="BV2654" s="1057"/>
      <c r="BW2654" s="1057"/>
      <c r="BX2654" s="1148"/>
      <c r="BY2654" s="1057"/>
      <c r="BZ2654" s="1057"/>
      <c r="CA2654" s="1057"/>
      <c r="CB2654" s="944"/>
    </row>
    <row r="2655" spans="2:80">
      <c r="B2655" s="1033"/>
      <c r="C2655" s="1033"/>
      <c r="D2655" s="1033"/>
      <c r="E2655" s="1033"/>
      <c r="F2655" s="1034"/>
      <c r="G2655" s="1033"/>
      <c r="H2655" s="1063"/>
      <c r="I2655" s="1063"/>
      <c r="J2655" s="1034"/>
      <c r="K2655" s="1034"/>
      <c r="L2655" s="1036"/>
      <c r="M2655" s="1037"/>
      <c r="N2655" s="1034"/>
      <c r="O2655" s="1064"/>
      <c r="P2655" s="1035"/>
      <c r="Q2655" s="1036"/>
      <c r="R2655" s="1038"/>
      <c r="S2655" s="1131"/>
      <c r="T2655" s="1065"/>
      <c r="U2655" s="1066"/>
      <c r="V2655" s="1035"/>
      <c r="W2655" s="1039"/>
      <c r="X2655" s="1040">
        <f t="shared" si="508"/>
        <v>0</v>
      </c>
      <c r="Y2655" s="1045"/>
      <c r="Z2655" s="1041"/>
      <c r="AA2655" s="1041"/>
      <c r="AB2655" s="1041">
        <f t="shared" si="544"/>
        <v>0</v>
      </c>
      <c r="AC2655" s="1042">
        <f t="shared" si="545"/>
        <v>0</v>
      </c>
      <c r="AD2655" s="1043"/>
      <c r="AE2655" s="1044"/>
      <c r="AF2655" s="1045"/>
      <c r="AG2655" s="1046"/>
      <c r="AH2655" s="1045"/>
      <c r="AI2655" s="1047"/>
      <c r="AJ2655" s="1038"/>
      <c r="AK2655" s="1048"/>
      <c r="AL2655" s="1036"/>
      <c r="AM2655" s="1036"/>
      <c r="AN2655" s="1037"/>
      <c r="AO2655" s="1037"/>
      <c r="AP2655" s="1034"/>
      <c r="AQ2655" s="1035"/>
      <c r="AR2655" s="1034"/>
      <c r="AS2655" s="1035"/>
      <c r="AT2655" s="1035"/>
      <c r="AU2655" s="1035"/>
      <c r="AV2655" s="1038"/>
      <c r="AW2655" s="1050"/>
      <c r="AX2655" s="1051"/>
      <c r="AY2655" s="1036"/>
      <c r="AZ2655" s="1035"/>
      <c r="BA2655" s="1035"/>
      <c r="BB2655" s="1052"/>
      <c r="BC2655" s="1053"/>
      <c r="BD2655" s="1049"/>
      <c r="BE2655" s="1054"/>
      <c r="BF2655" s="1055"/>
      <c r="BG2655" s="1055"/>
      <c r="BH2655" s="1055"/>
      <c r="BI2655" s="1055"/>
      <c r="BJ2655" s="1055"/>
      <c r="BK2655" s="1055"/>
      <c r="BL2655" s="1055"/>
      <c r="BM2655" s="1055"/>
      <c r="BN2655" s="1055"/>
      <c r="BO2655" s="1056"/>
      <c r="BP2655" s="1056"/>
      <c r="BQ2655" s="1056"/>
      <c r="BR2655" s="1056"/>
      <c r="BS2655" s="1056"/>
      <c r="BT2655" s="1056"/>
      <c r="BU2655" s="1056"/>
      <c r="BV2655" s="1057"/>
      <c r="BW2655" s="1057"/>
      <c r="BX2655" s="1148"/>
      <c r="BY2655" s="1057"/>
      <c r="BZ2655" s="1057"/>
      <c r="CA2655" s="1057"/>
      <c r="CB2655" s="944"/>
    </row>
    <row r="2656" spans="2:80">
      <c r="B2656" s="1033"/>
      <c r="C2656" s="1033"/>
      <c r="D2656" s="1033"/>
      <c r="E2656" s="1033"/>
      <c r="F2656" s="1034"/>
      <c r="G2656" s="1033"/>
      <c r="H2656" s="1063"/>
      <c r="I2656" s="1063"/>
      <c r="J2656" s="1034"/>
      <c r="K2656" s="1034"/>
      <c r="L2656" s="1036"/>
      <c r="M2656" s="1037"/>
      <c r="N2656" s="1034"/>
      <c r="O2656" s="1064"/>
      <c r="P2656" s="1035"/>
      <c r="Q2656" s="1036"/>
      <c r="R2656" s="1038"/>
      <c r="S2656" s="1131"/>
      <c r="T2656" s="1065"/>
      <c r="U2656" s="1066"/>
      <c r="V2656" s="1035"/>
      <c r="W2656" s="1039"/>
      <c r="X2656" s="1040">
        <f t="shared" si="508"/>
        <v>0</v>
      </c>
      <c r="Y2656" s="1045"/>
      <c r="Z2656" s="1041"/>
      <c r="AA2656" s="1041"/>
      <c r="AB2656" s="1041">
        <f t="shared" ref="AB2656:AB2660" si="552">IF(AA2656="F.O.C", 0, Z2656*U2656)</f>
        <v>0</v>
      </c>
      <c r="AC2656" s="1042">
        <f t="shared" ref="AC2656:AC2660" si="553">Z2656*U2656</f>
        <v>0</v>
      </c>
      <c r="AD2656" s="1043"/>
      <c r="AE2656" s="1044"/>
      <c r="AF2656" s="1045"/>
      <c r="AG2656" s="1046"/>
      <c r="AH2656" s="1045"/>
      <c r="AI2656" s="1047"/>
      <c r="AJ2656" s="1038"/>
      <c r="AK2656" s="1048"/>
      <c r="AL2656" s="1036"/>
      <c r="AM2656" s="1036"/>
      <c r="AN2656" s="1037"/>
      <c r="AO2656" s="1037"/>
      <c r="AP2656" s="1034"/>
      <c r="AQ2656" s="1035"/>
      <c r="AR2656" s="1034"/>
      <c r="AS2656" s="1035"/>
      <c r="AT2656" s="1035"/>
      <c r="AU2656" s="1035"/>
      <c r="AV2656" s="1038"/>
      <c r="AW2656" s="1050"/>
      <c r="AX2656" s="1051"/>
      <c r="AY2656" s="1036"/>
      <c r="AZ2656" s="1035"/>
      <c r="BA2656" s="1035"/>
      <c r="BB2656" s="1052"/>
      <c r="BC2656" s="1053"/>
      <c r="BD2656" s="1049"/>
      <c r="BE2656" s="1054"/>
      <c r="BF2656" s="1055"/>
      <c r="BG2656" s="1055"/>
      <c r="BH2656" s="1055"/>
      <c r="BI2656" s="1055"/>
      <c r="BJ2656" s="1055"/>
      <c r="BK2656" s="1055"/>
      <c r="BL2656" s="1055"/>
      <c r="BM2656" s="1055"/>
      <c r="BN2656" s="1055"/>
      <c r="BO2656" s="1056"/>
      <c r="BP2656" s="1056"/>
      <c r="BQ2656" s="1056"/>
      <c r="BR2656" s="1056"/>
      <c r="BS2656" s="1056"/>
      <c r="BT2656" s="1056"/>
      <c r="BU2656" s="1056"/>
      <c r="BV2656" s="1057"/>
      <c r="BW2656" s="1057"/>
      <c r="BX2656" s="1148"/>
      <c r="BY2656" s="1057"/>
      <c r="BZ2656" s="1057"/>
      <c r="CA2656" s="1057"/>
      <c r="CB2656" s="944"/>
    </row>
    <row r="2657" spans="2:80">
      <c r="B2657" s="1033"/>
      <c r="C2657" s="1033"/>
      <c r="D2657" s="1033"/>
      <c r="E2657" s="1033"/>
      <c r="F2657" s="1034"/>
      <c r="G2657" s="1033"/>
      <c r="H2657" s="1063"/>
      <c r="I2657" s="1063"/>
      <c r="J2657" s="1034"/>
      <c r="K2657" s="1034"/>
      <c r="L2657" s="1036"/>
      <c r="M2657" s="1037"/>
      <c r="N2657" s="1034"/>
      <c r="O2657" s="1064"/>
      <c r="P2657" s="1035"/>
      <c r="Q2657" s="1036"/>
      <c r="R2657" s="1038"/>
      <c r="S2657" s="1036"/>
      <c r="T2657" s="1065"/>
      <c r="U2657" s="1066"/>
      <c r="V2657" s="1035"/>
      <c r="W2657" s="1039"/>
      <c r="X2657" s="1040">
        <f t="shared" si="508"/>
        <v>0</v>
      </c>
      <c r="Y2657" s="1045"/>
      <c r="Z2657" s="1041"/>
      <c r="AA2657" s="1041"/>
      <c r="AB2657" s="1041">
        <f t="shared" si="552"/>
        <v>0</v>
      </c>
      <c r="AC2657" s="1042">
        <f t="shared" si="553"/>
        <v>0</v>
      </c>
      <c r="AD2657" s="1043"/>
      <c r="AE2657" s="1044"/>
      <c r="AF2657" s="1045"/>
      <c r="AG2657" s="1046"/>
      <c r="AH2657" s="1045"/>
      <c r="AI2657" s="1047"/>
      <c r="AJ2657" s="1038"/>
      <c r="AK2657" s="1048"/>
      <c r="AL2657" s="1036"/>
      <c r="AM2657" s="1036"/>
      <c r="AN2657" s="1037"/>
      <c r="AO2657" s="1037"/>
      <c r="AP2657" s="1034"/>
      <c r="AQ2657" s="1035"/>
      <c r="AR2657" s="1034"/>
      <c r="AS2657" s="1035"/>
      <c r="AT2657" s="1035"/>
      <c r="AU2657" s="1035"/>
      <c r="AV2657" s="1038"/>
      <c r="AW2657" s="1050"/>
      <c r="AX2657" s="1051"/>
      <c r="AY2657" s="1036"/>
      <c r="AZ2657" s="1035"/>
      <c r="BA2657" s="1035"/>
      <c r="BB2657" s="1052"/>
      <c r="BC2657" s="1053"/>
      <c r="BD2657" s="1049"/>
      <c r="BE2657" s="1054"/>
      <c r="BF2657" s="1055"/>
      <c r="BG2657" s="1055"/>
      <c r="BH2657" s="1055"/>
      <c r="BI2657" s="1055"/>
      <c r="BJ2657" s="1055"/>
      <c r="BK2657" s="1055"/>
      <c r="BL2657" s="1055"/>
      <c r="BM2657" s="1055"/>
      <c r="BN2657" s="1055"/>
      <c r="BO2657" s="1056"/>
      <c r="BP2657" s="1056"/>
      <c r="BQ2657" s="1056"/>
      <c r="BR2657" s="1056"/>
      <c r="BS2657" s="1056"/>
      <c r="BT2657" s="1056"/>
      <c r="BU2657" s="1056"/>
      <c r="BV2657" s="1057"/>
      <c r="BW2657" s="1057"/>
      <c r="BX2657" s="1148"/>
      <c r="BY2657" s="1057"/>
      <c r="BZ2657" s="1057"/>
      <c r="CA2657" s="1057"/>
      <c r="CB2657" s="944"/>
    </row>
    <row r="2658" spans="2:80">
      <c r="B2658" s="1033"/>
      <c r="C2658" s="1033"/>
      <c r="D2658" s="1033"/>
      <c r="E2658" s="1033"/>
      <c r="F2658" s="1034"/>
      <c r="G2658" s="1033"/>
      <c r="H2658" s="1063"/>
      <c r="I2658" s="1063"/>
      <c r="J2658" s="1034"/>
      <c r="K2658" s="1034"/>
      <c r="L2658" s="1036"/>
      <c r="M2658" s="1037"/>
      <c r="N2658" s="1034"/>
      <c r="O2658" s="1064"/>
      <c r="P2658" s="1035"/>
      <c r="Q2658" s="1036"/>
      <c r="R2658" s="1038"/>
      <c r="S2658" s="1036"/>
      <c r="T2658" s="1065"/>
      <c r="U2658" s="1066"/>
      <c r="V2658" s="1035"/>
      <c r="W2658" s="1039"/>
      <c r="X2658" s="1040">
        <f t="shared" ref="X2658:X2660" si="554">W2658*U2658</f>
        <v>0</v>
      </c>
      <c r="Y2658" s="1045"/>
      <c r="Z2658" s="1041"/>
      <c r="AA2658" s="1041"/>
      <c r="AB2658" s="1041">
        <f t="shared" si="552"/>
        <v>0</v>
      </c>
      <c r="AC2658" s="1042">
        <f t="shared" si="553"/>
        <v>0</v>
      </c>
      <c r="AD2658" s="1043"/>
      <c r="AE2658" s="1044"/>
      <c r="AF2658" s="1045"/>
      <c r="AG2658" s="1046"/>
      <c r="AH2658" s="1045"/>
      <c r="AI2658" s="1047"/>
      <c r="AJ2658" s="1038"/>
      <c r="AK2658" s="1048"/>
      <c r="AL2658" s="1036"/>
      <c r="AM2658" s="1036"/>
      <c r="AN2658" s="1037"/>
      <c r="AO2658" s="1037"/>
      <c r="AP2658" s="1034"/>
      <c r="AQ2658" s="1035"/>
      <c r="AR2658" s="1034"/>
      <c r="AS2658" s="1035"/>
      <c r="AT2658" s="1035"/>
      <c r="AU2658" s="1035"/>
      <c r="AV2658" s="1038"/>
      <c r="AW2658" s="1050"/>
      <c r="AX2658" s="1051"/>
      <c r="AY2658" s="1036"/>
      <c r="AZ2658" s="1035"/>
      <c r="BA2658" s="1035"/>
      <c r="BB2658" s="1052"/>
      <c r="BC2658" s="1053"/>
      <c r="BD2658" s="1049"/>
      <c r="BE2658" s="1054"/>
      <c r="BF2658" s="1055"/>
      <c r="BG2658" s="1055"/>
      <c r="BH2658" s="1055"/>
      <c r="BI2658" s="1055"/>
      <c r="BJ2658" s="1055"/>
      <c r="BK2658" s="1055"/>
      <c r="BL2658" s="1055"/>
      <c r="BM2658" s="1055"/>
      <c r="BN2658" s="1055"/>
      <c r="BO2658" s="1056"/>
      <c r="BP2658" s="1056"/>
      <c r="BQ2658" s="1056"/>
      <c r="BR2658" s="1056"/>
      <c r="BS2658" s="1056"/>
      <c r="BT2658" s="1056"/>
      <c r="BU2658" s="1056"/>
      <c r="BV2658" s="1057"/>
      <c r="BW2658" s="1057"/>
      <c r="BX2658" s="1148"/>
      <c r="BY2658" s="1057"/>
      <c r="BZ2658" s="1057"/>
      <c r="CA2658" s="1057"/>
      <c r="CB2658" s="944"/>
    </row>
    <row r="2659" spans="2:80">
      <c r="B2659" s="1033"/>
      <c r="C2659" s="1033"/>
      <c r="D2659" s="1033"/>
      <c r="E2659" s="1033"/>
      <c r="F2659" s="1034"/>
      <c r="G2659" s="1033"/>
      <c r="H2659" s="1063"/>
      <c r="I2659" s="1063"/>
      <c r="J2659" s="1034"/>
      <c r="K2659" s="1034"/>
      <c r="L2659" s="1036"/>
      <c r="M2659" s="1037"/>
      <c r="N2659" s="1034"/>
      <c r="O2659" s="1064"/>
      <c r="P2659" s="1035"/>
      <c r="Q2659" s="1036"/>
      <c r="R2659" s="1038"/>
      <c r="S2659" s="1036"/>
      <c r="T2659" s="1065"/>
      <c r="U2659" s="1066"/>
      <c r="V2659" s="1035"/>
      <c r="W2659" s="1039"/>
      <c r="X2659" s="1040">
        <f t="shared" si="554"/>
        <v>0</v>
      </c>
      <c r="Y2659" s="1045"/>
      <c r="Z2659" s="1041"/>
      <c r="AA2659" s="1041"/>
      <c r="AB2659" s="1041">
        <f t="shared" si="552"/>
        <v>0</v>
      </c>
      <c r="AC2659" s="1042">
        <f t="shared" si="553"/>
        <v>0</v>
      </c>
      <c r="AD2659" s="1043"/>
      <c r="AE2659" s="1044"/>
      <c r="AF2659" s="1045"/>
      <c r="AG2659" s="1046"/>
      <c r="AH2659" s="1045"/>
      <c r="AI2659" s="1047"/>
      <c r="AJ2659" s="1038"/>
      <c r="AK2659" s="1048"/>
      <c r="AL2659" s="1036"/>
      <c r="AM2659" s="1036"/>
      <c r="AN2659" s="1037"/>
      <c r="AO2659" s="1037"/>
      <c r="AP2659" s="1034"/>
      <c r="AQ2659" s="1035"/>
      <c r="AR2659" s="1034"/>
      <c r="AS2659" s="1035"/>
      <c r="AT2659" s="1035"/>
      <c r="AU2659" s="1035"/>
      <c r="AV2659" s="1038"/>
      <c r="AW2659" s="1050"/>
      <c r="AX2659" s="1051"/>
      <c r="AY2659" s="1036"/>
      <c r="AZ2659" s="1035"/>
      <c r="BA2659" s="1035"/>
      <c r="BB2659" s="1052"/>
      <c r="BC2659" s="1053"/>
      <c r="BD2659" s="1049"/>
      <c r="BE2659" s="1054"/>
      <c r="BF2659" s="1055"/>
      <c r="BG2659" s="1055"/>
      <c r="BH2659" s="1055"/>
      <c r="BI2659" s="1055"/>
      <c r="BJ2659" s="1055"/>
      <c r="BK2659" s="1055"/>
      <c r="BL2659" s="1055"/>
      <c r="BM2659" s="1055"/>
      <c r="BN2659" s="1055"/>
      <c r="BO2659" s="1056"/>
      <c r="BP2659" s="1056"/>
      <c r="BQ2659" s="1056"/>
      <c r="BR2659" s="1056"/>
      <c r="BS2659" s="1056"/>
      <c r="BT2659" s="1056"/>
      <c r="BU2659" s="1056"/>
      <c r="BV2659" s="1057"/>
      <c r="BW2659" s="1057"/>
      <c r="BX2659" s="1148"/>
      <c r="BY2659" s="1057"/>
      <c r="BZ2659" s="1057"/>
      <c r="CA2659" s="1057"/>
      <c r="CB2659" s="944"/>
    </row>
    <row r="2660" spans="2:80">
      <c r="B2660" s="1033"/>
      <c r="C2660" s="1033"/>
      <c r="D2660" s="1033"/>
      <c r="E2660" s="1033"/>
      <c r="F2660" s="1034"/>
      <c r="G2660" s="1033"/>
      <c r="H2660" s="1063"/>
      <c r="I2660" s="1063"/>
      <c r="J2660" s="1034"/>
      <c r="K2660" s="1034"/>
      <c r="L2660" s="1036"/>
      <c r="M2660" s="1037"/>
      <c r="N2660" s="1034"/>
      <c r="O2660" s="1064"/>
      <c r="P2660" s="1035"/>
      <c r="Q2660" s="1036"/>
      <c r="R2660" s="1038"/>
      <c r="S2660" s="1036"/>
      <c r="T2660" s="1065"/>
      <c r="U2660" s="1066"/>
      <c r="V2660" s="1035"/>
      <c r="W2660" s="1039"/>
      <c r="X2660" s="1040">
        <f t="shared" si="554"/>
        <v>0</v>
      </c>
      <c r="Y2660" s="1045"/>
      <c r="Z2660" s="1041"/>
      <c r="AA2660" s="1041"/>
      <c r="AB2660" s="1041">
        <f t="shared" si="552"/>
        <v>0</v>
      </c>
      <c r="AC2660" s="1042">
        <f t="shared" si="553"/>
        <v>0</v>
      </c>
      <c r="AD2660" s="1043"/>
      <c r="AE2660" s="1044"/>
      <c r="AF2660" s="1045"/>
      <c r="AG2660" s="1046"/>
      <c r="AH2660" s="1045"/>
      <c r="AI2660" s="1047"/>
      <c r="AJ2660" s="1038"/>
      <c r="AK2660" s="1048"/>
      <c r="AL2660" s="1036"/>
      <c r="AM2660" s="1036"/>
      <c r="AN2660" s="1037"/>
      <c r="AO2660" s="1037"/>
      <c r="AP2660" s="1034"/>
      <c r="AQ2660" s="1035"/>
      <c r="AR2660" s="1034"/>
      <c r="AS2660" s="1035"/>
      <c r="AT2660" s="1035"/>
      <c r="AU2660" s="1035"/>
      <c r="AV2660" s="1038"/>
      <c r="AW2660" s="1050"/>
      <c r="AX2660" s="1051"/>
      <c r="AY2660" s="1036"/>
      <c r="AZ2660" s="1035"/>
      <c r="BA2660" s="1035"/>
      <c r="BB2660" s="1052"/>
      <c r="BC2660" s="1053"/>
      <c r="BD2660" s="1049"/>
      <c r="BE2660" s="1054"/>
      <c r="BF2660" s="1055"/>
      <c r="BG2660" s="1055"/>
      <c r="BH2660" s="1055"/>
      <c r="BI2660" s="1055"/>
      <c r="BJ2660" s="1055"/>
      <c r="BK2660" s="1055"/>
      <c r="BL2660" s="1055"/>
      <c r="BM2660" s="1055"/>
      <c r="BN2660" s="1055"/>
      <c r="BO2660" s="1056"/>
      <c r="BP2660" s="1056"/>
      <c r="BQ2660" s="1056"/>
      <c r="BR2660" s="1056"/>
      <c r="BS2660" s="1056"/>
      <c r="BT2660" s="1056"/>
      <c r="BU2660" s="1056"/>
      <c r="BV2660" s="1057"/>
      <c r="BW2660" s="1057"/>
      <c r="BX2660" s="1148"/>
      <c r="BY2660" s="1057"/>
      <c r="BZ2660" s="1057"/>
      <c r="CA2660" s="1057"/>
      <c r="CB2660" s="944"/>
    </row>
    <row r="2661" spans="2:80">
      <c r="B2661" s="1068"/>
      <c r="C2661" s="1068"/>
      <c r="D2661" s="1068"/>
      <c r="E2661" s="1068"/>
      <c r="F2661" s="1070"/>
      <c r="G2661" s="1071"/>
      <c r="H2661" s="1072"/>
      <c r="I2661" s="1072"/>
      <c r="J2661" s="1070"/>
      <c r="K2661" s="1070"/>
      <c r="L2661" s="1073"/>
      <c r="M2661" s="1074"/>
      <c r="N2661" s="1070"/>
      <c r="O2661" s="1075"/>
      <c r="P2661" s="1075"/>
      <c r="Q2661" s="1073"/>
      <c r="R2661" s="1076"/>
      <c r="S2661" s="1075"/>
      <c r="T2661" s="1077"/>
      <c r="U2661" s="1078"/>
      <c r="V2661" s="1075"/>
      <c r="W2661" s="1079"/>
      <c r="X2661" s="1080"/>
      <c r="Y2661" s="1081"/>
      <c r="Z2661" s="1079"/>
      <c r="AA2661" s="1079"/>
      <c r="AB2661" s="1079"/>
      <c r="AC2661" s="1082"/>
      <c r="AD2661" s="1083"/>
      <c r="AE2661" s="1080"/>
      <c r="AF2661" s="1084"/>
      <c r="AG2661" s="1085"/>
      <c r="AH2661" s="1084"/>
      <c r="AI2661" s="1086"/>
      <c r="AJ2661" s="1076"/>
      <c r="AK2661" s="1087"/>
      <c r="AL2661" s="1073"/>
      <c r="AM2661" s="1073"/>
      <c r="AN2661" s="1074"/>
      <c r="AO2661" s="1074"/>
      <c r="AP2661" s="1070"/>
      <c r="AQ2661" s="1070"/>
      <c r="AR2661" s="1070"/>
      <c r="AS2661" s="1075"/>
      <c r="AT2661" s="1075"/>
      <c r="AU2661" s="1075"/>
      <c r="AV2661" s="1076"/>
      <c r="AW2661" s="1088"/>
      <c r="AX2661" s="1089"/>
      <c r="AY2661" s="1073"/>
      <c r="AZ2661" s="1075"/>
      <c r="BA2661" s="1075"/>
      <c r="BB2661" s="1090"/>
      <c r="BC2661" s="1091"/>
      <c r="BD2661" s="1092"/>
      <c r="BE2661" s="1093"/>
      <c r="BF2661" s="1094"/>
      <c r="BG2661" s="1094"/>
      <c r="BH2661" s="1094"/>
      <c r="BI2661" s="1094"/>
      <c r="BJ2661" s="1094"/>
      <c r="BK2661" s="1094"/>
      <c r="BL2661" s="1094"/>
      <c r="BM2661" s="1094"/>
      <c r="BN2661" s="1094"/>
      <c r="BO2661" s="1095"/>
      <c r="BP2661" s="1095"/>
      <c r="BQ2661" s="1095"/>
      <c r="BR2661" s="1095"/>
      <c r="BS2661" s="1095"/>
      <c r="BT2661" s="1095"/>
      <c r="BU2661" s="1095"/>
      <c r="BV2661" s="1096"/>
      <c r="BW2661" s="1096"/>
      <c r="BX2661" s="1149"/>
      <c r="BY2661" s="1096"/>
      <c r="BZ2661" s="1096"/>
      <c r="CA2661" s="1096"/>
      <c r="CB2661" s="944"/>
    </row>
    <row r="2662" spans="2:80">
      <c r="B2662" s="1097"/>
      <c r="C2662" s="1097"/>
      <c r="D2662" s="1097"/>
      <c r="E2662" s="1097"/>
      <c r="F2662" s="934"/>
      <c r="G2662" s="1098"/>
      <c r="H2662" s="1099"/>
      <c r="I2662" s="1099"/>
      <c r="J2662" s="934"/>
      <c r="K2662" s="934"/>
      <c r="L2662" s="933"/>
      <c r="M2662" s="1100"/>
      <c r="N2662" s="934"/>
      <c r="O2662" s="936"/>
      <c r="P2662" s="936"/>
      <c r="Q2662" s="933"/>
      <c r="T2662" s="1101"/>
      <c r="U2662" s="1102"/>
      <c r="V2662" s="936"/>
      <c r="W2662" s="1103"/>
      <c r="X2662" s="1104"/>
      <c r="Y2662" s="1105"/>
      <c r="Z2662" s="1103"/>
      <c r="AA2662" s="1103"/>
      <c r="AB2662" s="1103"/>
      <c r="AC2662" s="1106"/>
      <c r="AD2662" s="1107"/>
      <c r="AE2662" s="1104"/>
      <c r="AG2662" s="1109"/>
      <c r="AI2662" s="1110"/>
      <c r="AL2662" s="933"/>
      <c r="AM2662" s="933"/>
      <c r="AN2662" s="1100"/>
      <c r="AO2662" s="1100"/>
      <c r="AP2662" s="934"/>
      <c r="AQ2662" s="934"/>
      <c r="AR2662" s="934"/>
      <c r="AS2662" s="936"/>
      <c r="AT2662" s="936"/>
      <c r="AU2662" s="936"/>
      <c r="AV2662" s="937"/>
      <c r="AW2662" s="938"/>
      <c r="AX2662" s="939"/>
      <c r="AY2662" s="933"/>
      <c r="AZ2662" s="936"/>
      <c r="BA2662" s="936"/>
      <c r="BB2662" s="1112"/>
      <c r="BC2662" s="940"/>
      <c r="BD2662" s="941"/>
      <c r="BE2662" s="942"/>
      <c r="BF2662" s="943"/>
      <c r="BG2662" s="943"/>
      <c r="BH2662" s="943"/>
      <c r="BI2662" s="943"/>
      <c r="BJ2662" s="943"/>
      <c r="BK2662" s="943"/>
      <c r="BL2662" s="943"/>
      <c r="BM2662" s="943"/>
      <c r="BN2662" s="943"/>
      <c r="BO2662" s="1059"/>
      <c r="BP2662" s="1059"/>
      <c r="BQ2662" s="1059"/>
      <c r="BR2662" s="1059"/>
      <c r="BS2662" s="1059"/>
      <c r="BT2662" s="1059"/>
      <c r="BU2662" s="1059"/>
      <c r="BV2662" s="944"/>
      <c r="BW2662" s="944"/>
      <c r="BX2662" s="1147"/>
      <c r="BY2662" s="944"/>
      <c r="BZ2662" s="944"/>
      <c r="CA2662" s="944"/>
      <c r="CB2662" s="944"/>
    </row>
    <row r="2663" spans="2:80">
      <c r="B2663" s="1097"/>
      <c r="C2663" s="1097"/>
      <c r="D2663" s="1097"/>
      <c r="E2663" s="1097"/>
      <c r="F2663" s="934"/>
      <c r="G2663" s="1098"/>
      <c r="H2663" s="1099"/>
      <c r="I2663" s="1099"/>
      <c r="J2663" s="934"/>
      <c r="K2663" s="934"/>
      <c r="L2663" s="933"/>
      <c r="M2663" s="1100"/>
      <c r="N2663" s="934"/>
      <c r="O2663" s="936"/>
      <c r="P2663" s="936"/>
      <c r="Q2663" s="933"/>
      <c r="T2663" s="1101"/>
      <c r="U2663" s="1102"/>
      <c r="V2663" s="936"/>
      <c r="W2663" s="1103"/>
      <c r="X2663" s="1104"/>
      <c r="Y2663" s="1105"/>
      <c r="Z2663" s="1103"/>
      <c r="AA2663" s="1103"/>
      <c r="AB2663" s="1103"/>
      <c r="AC2663" s="1106"/>
      <c r="AD2663" s="1107"/>
      <c r="AE2663" s="1104"/>
      <c r="AG2663" s="1109"/>
      <c r="AI2663" s="1110"/>
      <c r="AL2663" s="933"/>
      <c r="AM2663" s="933"/>
      <c r="AN2663" s="1100"/>
      <c r="AO2663" s="1100"/>
      <c r="AP2663" s="934"/>
      <c r="AQ2663" s="934"/>
      <c r="AR2663" s="934"/>
      <c r="AS2663" s="936"/>
      <c r="AT2663" s="936"/>
      <c r="AU2663" s="936"/>
      <c r="AV2663" s="937"/>
      <c r="AW2663" s="938"/>
      <c r="AX2663" s="939"/>
      <c r="AY2663" s="933"/>
      <c r="AZ2663" s="936"/>
      <c r="BA2663" s="936"/>
      <c r="BB2663" s="1112"/>
      <c r="BC2663" s="940"/>
      <c r="BD2663" s="941"/>
      <c r="BE2663" s="942"/>
      <c r="BF2663" s="943"/>
      <c r="BG2663" s="943"/>
      <c r="BH2663" s="943"/>
      <c r="BI2663" s="943"/>
      <c r="BJ2663" s="943"/>
      <c r="BK2663" s="943"/>
      <c r="BL2663" s="943"/>
      <c r="BM2663" s="943"/>
      <c r="BN2663" s="943"/>
      <c r="BO2663" s="1059"/>
      <c r="BP2663" s="1059"/>
      <c r="BQ2663" s="1059"/>
      <c r="BR2663" s="1059"/>
      <c r="BS2663" s="1059"/>
      <c r="BT2663" s="1059"/>
      <c r="BU2663" s="1059"/>
      <c r="BV2663" s="944"/>
      <c r="BW2663" s="944"/>
      <c r="BX2663" s="1147"/>
      <c r="BY2663" s="944"/>
      <c r="BZ2663" s="944"/>
      <c r="CA2663" s="944"/>
      <c r="CB2663" s="944"/>
    </row>
    <row r="2664" spans="2:80">
      <c r="B2664" s="1097"/>
      <c r="C2664" s="1097"/>
      <c r="D2664" s="1097"/>
      <c r="E2664" s="1097"/>
      <c r="F2664" s="934"/>
      <c r="G2664" s="1098"/>
      <c r="H2664" s="1099"/>
      <c r="I2664" s="1099"/>
      <c r="J2664" s="934"/>
      <c r="K2664" s="934"/>
      <c r="L2664" s="933"/>
      <c r="M2664" s="1100"/>
      <c r="N2664" s="934"/>
      <c r="O2664" s="936"/>
      <c r="P2664" s="936"/>
      <c r="Q2664" s="933"/>
      <c r="T2664" s="1101"/>
      <c r="U2664" s="1102"/>
      <c r="V2664" s="936"/>
      <c r="W2664" s="1103"/>
      <c r="X2664" s="1104"/>
      <c r="Y2664" s="1105"/>
      <c r="Z2664" s="1103"/>
      <c r="AA2664" s="1103"/>
      <c r="AB2664" s="1103"/>
      <c r="AC2664" s="1113"/>
      <c r="AD2664" s="1107"/>
      <c r="AE2664" s="1104"/>
      <c r="AG2664" s="1109"/>
      <c r="AI2664" s="1110"/>
      <c r="AL2664" s="933"/>
      <c r="AM2664" s="933"/>
      <c r="AN2664" s="1100"/>
      <c r="AO2664" s="1100"/>
      <c r="AP2664" s="934"/>
      <c r="AQ2664" s="934"/>
      <c r="AR2664" s="934"/>
      <c r="AS2664" s="936"/>
      <c r="AT2664" s="936"/>
      <c r="AU2664" s="936"/>
      <c r="AV2664" s="937"/>
      <c r="AW2664" s="938"/>
      <c r="AX2664" s="939"/>
      <c r="AY2664" s="933"/>
      <c r="AZ2664" s="936"/>
      <c r="BA2664" s="936"/>
      <c r="BB2664" s="1112"/>
      <c r="BC2664" s="940"/>
      <c r="BD2664" s="941"/>
      <c r="BE2664" s="942"/>
      <c r="BF2664" s="943"/>
      <c r="BG2664" s="943"/>
      <c r="BH2664" s="943"/>
      <c r="BI2664" s="943"/>
      <c r="BJ2664" s="943"/>
      <c r="BK2664" s="943"/>
      <c r="BL2664" s="943"/>
      <c r="BM2664" s="943"/>
      <c r="BN2664" s="943"/>
      <c r="BO2664" s="1059"/>
      <c r="BP2664" s="1059"/>
      <c r="BQ2664" s="1059"/>
      <c r="BR2664" s="1059"/>
      <c r="BS2664" s="1059"/>
      <c r="BT2664" s="1059"/>
      <c r="BU2664" s="1059"/>
      <c r="BV2664" s="944"/>
      <c r="BW2664" s="944"/>
      <c r="BX2664" s="1147"/>
      <c r="BY2664" s="944"/>
      <c r="BZ2664" s="944"/>
      <c r="CA2664" s="944"/>
      <c r="CB2664" s="944"/>
    </row>
    <row r="2665" spans="2:80">
      <c r="B2665" s="1097"/>
      <c r="C2665" s="1097"/>
      <c r="D2665" s="1097"/>
      <c r="E2665" s="1097"/>
      <c r="F2665" s="934"/>
      <c r="G2665" s="1098"/>
      <c r="H2665" s="1099"/>
      <c r="I2665" s="1099"/>
      <c r="J2665" s="934"/>
      <c r="K2665" s="934"/>
      <c r="L2665" s="933"/>
      <c r="M2665" s="1100"/>
      <c r="N2665" s="934"/>
      <c r="O2665" s="936"/>
      <c r="P2665" s="936"/>
      <c r="Q2665" s="933"/>
      <c r="T2665" s="1101"/>
      <c r="U2665" s="1102"/>
      <c r="V2665" s="936"/>
      <c r="W2665" s="1103"/>
      <c r="X2665" s="1104"/>
      <c r="Y2665" s="1114"/>
      <c r="Z2665" s="1103"/>
      <c r="AA2665" s="1103"/>
      <c r="AB2665" s="1103"/>
      <c r="AC2665" s="1106"/>
      <c r="AD2665" s="1107"/>
      <c r="AE2665" s="1104"/>
      <c r="AG2665" s="1109"/>
      <c r="AI2665" s="1110"/>
      <c r="AL2665" s="933"/>
      <c r="AM2665" s="933"/>
      <c r="AN2665" s="1100"/>
      <c r="AO2665" s="1100"/>
      <c r="AP2665" s="934"/>
      <c r="AQ2665" s="934"/>
      <c r="AR2665" s="934"/>
      <c r="AS2665" s="936"/>
      <c r="AT2665" s="936"/>
      <c r="AU2665" s="936"/>
      <c r="AV2665" s="937"/>
      <c r="AW2665" s="938"/>
      <c r="AX2665" s="939"/>
      <c r="AY2665" s="933"/>
      <c r="AZ2665" s="936"/>
      <c r="BA2665" s="936"/>
      <c r="BB2665" s="1112"/>
      <c r="BC2665" s="940"/>
      <c r="BD2665" s="941"/>
      <c r="BE2665" s="942"/>
      <c r="BF2665" s="943"/>
      <c r="BG2665" s="943"/>
      <c r="BH2665" s="943"/>
      <c r="BI2665" s="943"/>
      <c r="BJ2665" s="943"/>
      <c r="BK2665" s="943"/>
      <c r="BL2665" s="943"/>
      <c r="BM2665" s="943"/>
      <c r="BN2665" s="943"/>
      <c r="BO2665" s="1059"/>
      <c r="BP2665" s="1059"/>
      <c r="BQ2665" s="1059"/>
      <c r="BR2665" s="1059"/>
      <c r="BS2665" s="1059"/>
      <c r="BT2665" s="1059"/>
      <c r="BU2665" s="1059"/>
      <c r="BV2665" s="944"/>
      <c r="BW2665" s="944"/>
      <c r="BX2665" s="1147"/>
      <c r="BY2665" s="944"/>
      <c r="BZ2665" s="944"/>
      <c r="CA2665" s="944"/>
      <c r="CB2665" s="944"/>
    </row>
    <row r="2666" spans="2:80">
      <c r="B2666" s="1097"/>
      <c r="C2666" s="1097"/>
      <c r="D2666" s="1097"/>
      <c r="E2666" s="1097"/>
      <c r="F2666" s="934"/>
      <c r="G2666" s="1098"/>
      <c r="H2666" s="1099"/>
      <c r="I2666" s="1099"/>
      <c r="J2666" s="934"/>
      <c r="K2666" s="934"/>
      <c r="L2666" s="933"/>
      <c r="M2666" s="1100"/>
      <c r="N2666" s="934"/>
      <c r="O2666" s="936"/>
      <c r="P2666" s="936"/>
      <c r="Q2666" s="933"/>
      <c r="T2666" s="1101"/>
      <c r="U2666" s="1102"/>
      <c r="V2666" s="936"/>
      <c r="W2666" s="1103"/>
      <c r="X2666" s="1104"/>
      <c r="Y2666" s="1105"/>
      <c r="Z2666" s="1103"/>
      <c r="AA2666" s="1103"/>
      <c r="AB2666" s="1103"/>
      <c r="AC2666" s="1106"/>
      <c r="AD2666" s="1107"/>
      <c r="AE2666" s="1104"/>
      <c r="AG2666" s="1109"/>
      <c r="AI2666" s="1110"/>
      <c r="AL2666" s="933"/>
      <c r="AM2666" s="933"/>
      <c r="AN2666" s="1100"/>
      <c r="AO2666" s="1100"/>
      <c r="AP2666" s="934"/>
      <c r="AQ2666" s="934"/>
      <c r="AR2666" s="934"/>
      <c r="AS2666" s="936"/>
      <c r="AT2666" s="936"/>
      <c r="AU2666" s="936"/>
      <c r="AV2666" s="937"/>
      <c r="AW2666" s="938"/>
      <c r="AX2666" s="939"/>
      <c r="AY2666" s="933"/>
      <c r="AZ2666" s="936"/>
      <c r="BA2666" s="936"/>
      <c r="BB2666" s="1112"/>
      <c r="BC2666" s="940"/>
      <c r="BD2666" s="941"/>
      <c r="BE2666" s="942"/>
      <c r="BF2666" s="943"/>
      <c r="BG2666" s="943"/>
      <c r="BH2666" s="943"/>
      <c r="BI2666" s="943"/>
      <c r="BJ2666" s="943"/>
      <c r="BK2666" s="943"/>
      <c r="BL2666" s="943"/>
      <c r="BM2666" s="943"/>
      <c r="BN2666" s="943"/>
      <c r="BO2666" s="1059"/>
      <c r="BP2666" s="1059"/>
      <c r="BQ2666" s="1059"/>
      <c r="BR2666" s="1059"/>
      <c r="BS2666" s="1059"/>
      <c r="BT2666" s="1059"/>
      <c r="BU2666" s="1059"/>
      <c r="BV2666" s="944"/>
      <c r="BW2666" s="944"/>
      <c r="BX2666" s="1147"/>
      <c r="BY2666" s="944"/>
      <c r="BZ2666" s="944"/>
      <c r="CA2666" s="944"/>
      <c r="CB2666" s="944"/>
    </row>
    <row r="2667" spans="2:80">
      <c r="B2667" s="1097"/>
      <c r="C2667" s="1097"/>
      <c r="D2667" s="1097"/>
      <c r="E2667" s="1097"/>
      <c r="F2667" s="934"/>
      <c r="G2667" s="1098"/>
      <c r="H2667" s="1099"/>
      <c r="I2667" s="1099"/>
      <c r="J2667" s="934"/>
      <c r="K2667" s="934"/>
      <c r="L2667" s="933"/>
      <c r="M2667" s="1100"/>
      <c r="N2667" s="934"/>
      <c r="O2667" s="936"/>
      <c r="P2667" s="936"/>
      <c r="Q2667" s="933"/>
      <c r="T2667" s="1101"/>
      <c r="U2667" s="1102"/>
      <c r="V2667" s="936"/>
      <c r="W2667" s="1103"/>
      <c r="X2667" s="1104"/>
      <c r="Y2667" s="1105"/>
      <c r="Z2667" s="1103"/>
      <c r="AA2667" s="1103"/>
      <c r="AB2667" s="1103"/>
      <c r="AC2667" s="1106"/>
      <c r="AD2667" s="1107"/>
      <c r="AE2667" s="1104"/>
      <c r="AG2667" s="1109"/>
      <c r="AI2667" s="1110"/>
      <c r="AL2667" s="933"/>
      <c r="AM2667" s="933"/>
      <c r="AN2667" s="1100"/>
      <c r="AO2667" s="1100"/>
      <c r="AP2667" s="934"/>
      <c r="AQ2667" s="934"/>
      <c r="AR2667" s="934"/>
      <c r="AS2667" s="936"/>
      <c r="AT2667" s="936"/>
      <c r="AU2667" s="936"/>
      <c r="AV2667" s="937"/>
      <c r="AW2667" s="938"/>
      <c r="AX2667" s="939"/>
      <c r="AY2667" s="933"/>
      <c r="AZ2667" s="936"/>
      <c r="BA2667" s="936"/>
      <c r="BB2667" s="1112"/>
      <c r="BC2667" s="940"/>
      <c r="BD2667" s="941"/>
      <c r="BE2667" s="942"/>
      <c r="BF2667" s="943"/>
      <c r="BG2667" s="943"/>
      <c r="BH2667" s="943"/>
      <c r="BI2667" s="943"/>
      <c r="BJ2667" s="943"/>
      <c r="BK2667" s="943"/>
      <c r="BL2667" s="943"/>
      <c r="BM2667" s="943"/>
      <c r="BN2667" s="943"/>
      <c r="BO2667" s="1059"/>
      <c r="BP2667" s="1059"/>
      <c r="BQ2667" s="1059"/>
      <c r="BR2667" s="1059"/>
      <c r="BS2667" s="1059"/>
      <c r="BT2667" s="1059"/>
      <c r="BU2667" s="1059"/>
      <c r="BV2667" s="944"/>
      <c r="BW2667" s="944"/>
      <c r="BX2667" s="1147"/>
      <c r="BY2667" s="944"/>
      <c r="BZ2667" s="944"/>
      <c r="CA2667" s="944"/>
      <c r="CB2667" s="944"/>
    </row>
    <row r="2668" spans="2:80">
      <c r="B2668" s="1097"/>
      <c r="C2668" s="1097"/>
      <c r="D2668" s="1097"/>
      <c r="E2668" s="1097"/>
      <c r="F2668" s="934"/>
      <c r="G2668" s="1098"/>
      <c r="H2668" s="1099"/>
      <c r="I2668" s="1099"/>
      <c r="J2668" s="934"/>
      <c r="K2668" s="934"/>
      <c r="L2668" s="933"/>
      <c r="M2668" s="1100"/>
      <c r="N2668" s="934"/>
      <c r="O2668" s="936"/>
      <c r="P2668" s="936"/>
      <c r="Q2668" s="933"/>
      <c r="T2668" s="1101"/>
      <c r="U2668" s="1102"/>
      <c r="V2668" s="936"/>
      <c r="W2668" s="1103"/>
      <c r="X2668" s="1104"/>
      <c r="Y2668" s="1105"/>
      <c r="Z2668" s="1103"/>
      <c r="AA2668" s="1103"/>
      <c r="AB2668" s="1103"/>
      <c r="AC2668" s="1106"/>
      <c r="AD2668" s="1107"/>
      <c r="AE2668" s="1104"/>
      <c r="AG2668" s="1109"/>
      <c r="AI2668" s="1110"/>
      <c r="AL2668" s="933"/>
      <c r="AM2668" s="933"/>
      <c r="AN2668" s="1100"/>
      <c r="AO2668" s="1100"/>
      <c r="AP2668" s="934"/>
      <c r="AQ2668" s="934"/>
      <c r="AR2668" s="934"/>
      <c r="AS2668" s="936"/>
      <c r="AT2668" s="936"/>
      <c r="AU2668" s="936"/>
      <c r="AV2668" s="937"/>
      <c r="AW2668" s="938"/>
      <c r="AX2668" s="939"/>
      <c r="AY2668" s="933"/>
      <c r="AZ2668" s="936"/>
      <c r="BA2668" s="936"/>
      <c r="BB2668" s="1112"/>
      <c r="BC2668" s="940"/>
      <c r="BD2668" s="941"/>
      <c r="BE2668" s="942"/>
      <c r="BF2668" s="943"/>
      <c r="BG2668" s="943"/>
      <c r="BH2668" s="943"/>
      <c r="BI2668" s="943"/>
      <c r="BJ2668" s="943"/>
      <c r="BK2668" s="943"/>
      <c r="BL2668" s="943"/>
      <c r="BM2668" s="943"/>
      <c r="BN2668" s="943"/>
      <c r="BO2668" s="1059"/>
      <c r="BP2668" s="1059"/>
      <c r="BQ2668" s="1059"/>
      <c r="BR2668" s="1059"/>
      <c r="BS2668" s="1059"/>
      <c r="BT2668" s="1059"/>
      <c r="BU2668" s="1059"/>
      <c r="BV2668" s="944"/>
      <c r="BW2668" s="944"/>
      <c r="BX2668" s="1147"/>
      <c r="BY2668" s="944"/>
      <c r="BZ2668" s="944"/>
      <c r="CA2668" s="944"/>
      <c r="CB2668" s="944"/>
    </row>
    <row r="2669" spans="2:80">
      <c r="B2669" s="1097"/>
      <c r="C2669" s="1097"/>
      <c r="D2669" s="1097"/>
      <c r="E2669" s="1097"/>
      <c r="F2669" s="934"/>
      <c r="G2669" s="1098"/>
      <c r="H2669" s="1099"/>
      <c r="I2669" s="1099"/>
      <c r="J2669" s="934"/>
      <c r="K2669" s="934"/>
      <c r="L2669" s="933"/>
      <c r="M2669" s="1100"/>
      <c r="N2669" s="934"/>
      <c r="O2669" s="936"/>
      <c r="P2669" s="936"/>
      <c r="Q2669" s="933"/>
      <c r="T2669" s="1101"/>
      <c r="U2669" s="1102"/>
      <c r="V2669" s="936"/>
      <c r="W2669" s="1103"/>
      <c r="X2669" s="1104"/>
      <c r="Y2669" s="1105"/>
      <c r="Z2669" s="1103"/>
      <c r="AA2669" s="1103"/>
      <c r="AB2669" s="1103"/>
      <c r="AC2669" s="1106"/>
      <c r="AD2669" s="1107"/>
      <c r="AE2669" s="1104"/>
      <c r="AG2669" s="1109"/>
      <c r="AI2669" s="1110"/>
      <c r="AL2669" s="933"/>
      <c r="AM2669" s="933"/>
      <c r="AN2669" s="1100"/>
      <c r="AO2669" s="1100"/>
      <c r="AP2669" s="934"/>
      <c r="AQ2669" s="934"/>
      <c r="AR2669" s="934"/>
      <c r="AS2669" s="936"/>
      <c r="AT2669" s="936"/>
      <c r="AU2669" s="936"/>
      <c r="AV2669" s="937"/>
      <c r="AW2669" s="938"/>
      <c r="AX2669" s="939"/>
      <c r="AY2669" s="933"/>
      <c r="AZ2669" s="936"/>
      <c r="BA2669" s="936"/>
      <c r="BB2669" s="1112"/>
      <c r="BC2669" s="940"/>
      <c r="BD2669" s="941"/>
      <c r="BE2669" s="942"/>
      <c r="BF2669" s="943"/>
      <c r="BG2669" s="943"/>
      <c r="BH2669" s="943"/>
      <c r="BI2669" s="943"/>
      <c r="BJ2669" s="943"/>
      <c r="BK2669" s="943"/>
      <c r="BL2669" s="943"/>
      <c r="BM2669" s="943"/>
      <c r="BN2669" s="943"/>
      <c r="BO2669" s="1059"/>
      <c r="BP2669" s="1059"/>
      <c r="BQ2669" s="1059"/>
      <c r="BR2669" s="1059"/>
      <c r="BS2669" s="1059"/>
      <c r="BT2669" s="1059"/>
      <c r="BU2669" s="1059"/>
      <c r="BV2669" s="944"/>
      <c r="BW2669" s="944"/>
      <c r="BX2669" s="1147"/>
      <c r="BY2669" s="944"/>
      <c r="BZ2669" s="944"/>
      <c r="CA2669" s="944"/>
      <c r="CB2669" s="944"/>
    </row>
    <row r="2670" spans="2:80">
      <c r="B2670" s="1097"/>
      <c r="C2670" s="1097"/>
      <c r="D2670" s="1097"/>
      <c r="E2670" s="1097"/>
      <c r="F2670" s="934"/>
      <c r="G2670" s="1098"/>
      <c r="H2670" s="1099"/>
      <c r="I2670" s="1099"/>
      <c r="J2670" s="934"/>
      <c r="K2670" s="934"/>
      <c r="L2670" s="933"/>
      <c r="M2670" s="1100"/>
      <c r="N2670" s="934"/>
      <c r="O2670" s="936"/>
      <c r="P2670" s="936"/>
      <c r="Q2670" s="933"/>
      <c r="T2670" s="1101"/>
      <c r="U2670" s="1102"/>
      <c r="V2670" s="936"/>
      <c r="W2670" s="1103"/>
      <c r="X2670" s="1104"/>
      <c r="Y2670" s="1105"/>
      <c r="Z2670" s="1103"/>
      <c r="AA2670" s="1103"/>
      <c r="AB2670" s="1103"/>
      <c r="AC2670" s="1106"/>
      <c r="AD2670" s="1107"/>
      <c r="AE2670" s="1104"/>
      <c r="AG2670" s="1109"/>
      <c r="AI2670" s="1110"/>
      <c r="AL2670" s="933"/>
      <c r="AM2670" s="933"/>
      <c r="AN2670" s="1100"/>
      <c r="AO2670" s="1100"/>
      <c r="AP2670" s="934"/>
      <c r="AQ2670" s="934"/>
      <c r="AR2670" s="934"/>
      <c r="AS2670" s="936"/>
      <c r="AT2670" s="936"/>
      <c r="AU2670" s="936"/>
      <c r="AV2670" s="937"/>
      <c r="AW2670" s="938"/>
      <c r="AX2670" s="939"/>
      <c r="AY2670" s="933"/>
      <c r="AZ2670" s="936"/>
      <c r="BA2670" s="936"/>
      <c r="BB2670" s="1112"/>
      <c r="BC2670" s="940"/>
      <c r="BD2670" s="941"/>
      <c r="BE2670" s="942"/>
      <c r="BF2670" s="943"/>
      <c r="BG2670" s="943"/>
      <c r="BH2670" s="943"/>
      <c r="BI2670" s="943"/>
      <c r="BJ2670" s="943"/>
      <c r="BK2670" s="943"/>
      <c r="BL2670" s="943"/>
      <c r="BM2670" s="943"/>
      <c r="BN2670" s="943"/>
      <c r="BO2670" s="1059"/>
      <c r="BP2670" s="1059"/>
      <c r="BQ2670" s="1059"/>
      <c r="BR2670" s="1059"/>
      <c r="BS2670" s="1059"/>
      <c r="BT2670" s="1059"/>
      <c r="BU2670" s="1059"/>
      <c r="BV2670" s="944"/>
      <c r="BW2670" s="944"/>
      <c r="BX2670" s="1147"/>
      <c r="BY2670" s="944"/>
      <c r="BZ2670" s="944"/>
      <c r="CA2670" s="944"/>
      <c r="CB2670" s="944"/>
    </row>
    <row r="2671" spans="2:80">
      <c r="B2671" s="1097"/>
      <c r="C2671" s="1097"/>
      <c r="D2671" s="1097"/>
      <c r="E2671" s="1097"/>
      <c r="F2671" s="934"/>
      <c r="G2671" s="1098"/>
      <c r="H2671" s="1099"/>
      <c r="I2671" s="1099"/>
      <c r="J2671" s="934"/>
      <c r="K2671" s="934"/>
      <c r="L2671" s="933"/>
      <c r="M2671" s="1100"/>
      <c r="N2671" s="934"/>
      <c r="O2671" s="936"/>
      <c r="P2671" s="936"/>
      <c r="Q2671" s="933"/>
      <c r="T2671" s="1101"/>
      <c r="U2671" s="1102"/>
      <c r="V2671" s="936"/>
      <c r="W2671" s="1103"/>
      <c r="X2671" s="1104"/>
      <c r="Y2671" s="1105"/>
      <c r="Z2671" s="1103"/>
      <c r="AA2671" s="1103"/>
      <c r="AB2671" s="1103"/>
      <c r="AC2671" s="1106"/>
      <c r="AD2671" s="1107"/>
      <c r="AE2671" s="1104"/>
      <c r="AG2671" s="1109"/>
      <c r="AI2671" s="1110"/>
      <c r="AL2671" s="933"/>
      <c r="AM2671" s="933"/>
      <c r="AN2671" s="1100"/>
      <c r="AO2671" s="1100"/>
      <c r="AP2671" s="934"/>
      <c r="AQ2671" s="934"/>
      <c r="AR2671" s="934"/>
      <c r="AS2671" s="936"/>
      <c r="AT2671" s="936"/>
      <c r="AU2671" s="936"/>
      <c r="AV2671" s="937"/>
      <c r="AW2671" s="938"/>
      <c r="AX2671" s="939"/>
      <c r="AY2671" s="933"/>
      <c r="AZ2671" s="936"/>
      <c r="BA2671" s="936"/>
      <c r="BB2671" s="1112"/>
      <c r="BC2671" s="940"/>
      <c r="BD2671" s="941"/>
      <c r="BE2671" s="942"/>
      <c r="BF2671" s="943"/>
      <c r="BG2671" s="943"/>
      <c r="BH2671" s="943"/>
      <c r="BI2671" s="943"/>
      <c r="BJ2671" s="943"/>
      <c r="BK2671" s="943"/>
      <c r="BL2671" s="943"/>
      <c r="BM2671" s="943"/>
      <c r="BN2671" s="943"/>
      <c r="BO2671" s="1059"/>
      <c r="BP2671" s="1059"/>
      <c r="BQ2671" s="1059"/>
      <c r="BR2671" s="1059"/>
      <c r="BS2671" s="1059"/>
      <c r="BT2671" s="1059"/>
      <c r="BU2671" s="1059"/>
      <c r="BV2671" s="944"/>
      <c r="BW2671" s="944"/>
      <c r="BX2671" s="1147"/>
      <c r="BY2671" s="944"/>
      <c r="BZ2671" s="944"/>
      <c r="CA2671" s="944"/>
      <c r="CB2671" s="944"/>
    </row>
    <row r="2672" spans="2:80">
      <c r="B2672" s="1097"/>
      <c r="C2672" s="1097"/>
      <c r="D2672" s="1097"/>
      <c r="E2672" s="1097"/>
      <c r="F2672" s="934"/>
      <c r="G2672" s="1098"/>
      <c r="H2672" s="1099"/>
      <c r="I2672" s="1099"/>
      <c r="J2672" s="934"/>
      <c r="K2672" s="934"/>
      <c r="L2672" s="933"/>
      <c r="M2672" s="1100"/>
      <c r="N2672" s="934"/>
      <c r="O2672" s="936"/>
      <c r="P2672" s="936"/>
      <c r="Q2672" s="933"/>
      <c r="T2672" s="1101"/>
      <c r="U2672" s="1102"/>
      <c r="V2672" s="936"/>
      <c r="W2672" s="1103"/>
      <c r="X2672" s="1104"/>
      <c r="Y2672" s="1105"/>
      <c r="Z2672" s="1103"/>
      <c r="AA2672" s="1103"/>
      <c r="AB2672" s="1103"/>
      <c r="AC2672" s="1106"/>
      <c r="AD2672" s="1107"/>
      <c r="AE2672" s="1104"/>
      <c r="AG2672" s="1109"/>
      <c r="AI2672" s="1110"/>
      <c r="AL2672" s="933"/>
      <c r="AM2672" s="933"/>
      <c r="AN2672" s="1100"/>
      <c r="AO2672" s="1100"/>
      <c r="AP2672" s="934"/>
      <c r="AQ2672" s="934"/>
      <c r="AR2672" s="934"/>
      <c r="AS2672" s="936"/>
      <c r="AT2672" s="936"/>
      <c r="AU2672" s="936"/>
      <c r="AV2672" s="937"/>
      <c r="AW2672" s="938"/>
      <c r="AX2672" s="939"/>
      <c r="AY2672" s="933"/>
      <c r="AZ2672" s="936"/>
      <c r="BA2672" s="936"/>
      <c r="BB2672" s="1112"/>
      <c r="BC2672" s="940"/>
      <c r="BD2672" s="941"/>
      <c r="BE2672" s="942"/>
      <c r="BF2672" s="943"/>
      <c r="BG2672" s="943"/>
      <c r="BH2672" s="943"/>
      <c r="BI2672" s="943"/>
      <c r="BJ2672" s="943"/>
      <c r="BK2672" s="943"/>
      <c r="BL2672" s="943"/>
      <c r="BM2672" s="943"/>
      <c r="BN2672" s="943"/>
      <c r="BO2672" s="1059"/>
      <c r="BP2672" s="1059"/>
      <c r="BQ2672" s="1059"/>
      <c r="BR2672" s="1059"/>
      <c r="BS2672" s="1059"/>
      <c r="BT2672" s="1059"/>
      <c r="BU2672" s="1059"/>
      <c r="BV2672" s="944"/>
      <c r="BW2672" s="944"/>
      <c r="BX2672" s="1147"/>
      <c r="BY2672" s="944"/>
      <c r="BZ2672" s="944"/>
      <c r="CA2672" s="944"/>
      <c r="CB2672" s="944"/>
    </row>
    <row r="2673" spans="2:80">
      <c r="B2673" s="1097"/>
      <c r="C2673" s="1097"/>
      <c r="D2673" s="1097"/>
      <c r="E2673" s="1097"/>
      <c r="F2673" s="934"/>
      <c r="G2673" s="1098"/>
      <c r="H2673" s="1099"/>
      <c r="I2673" s="1099"/>
      <c r="J2673" s="934"/>
      <c r="K2673" s="934"/>
      <c r="L2673" s="933"/>
      <c r="M2673" s="1100"/>
      <c r="N2673" s="934"/>
      <c r="O2673" s="936"/>
      <c r="P2673" s="936"/>
      <c r="Q2673" s="933"/>
      <c r="T2673" s="1101"/>
      <c r="U2673" s="1102"/>
      <c r="V2673" s="936"/>
      <c r="W2673" s="1103"/>
      <c r="X2673" s="1104"/>
      <c r="Y2673" s="1105"/>
      <c r="Z2673" s="1103"/>
      <c r="AA2673" s="1103"/>
      <c r="AB2673" s="1103"/>
      <c r="AC2673" s="1106"/>
      <c r="AD2673" s="1107"/>
      <c r="AE2673" s="1104"/>
      <c r="AG2673" s="1109"/>
      <c r="AI2673" s="1110"/>
      <c r="AL2673" s="933"/>
      <c r="AM2673" s="933"/>
      <c r="AN2673" s="1100"/>
      <c r="AO2673" s="1100"/>
      <c r="AP2673" s="934"/>
      <c r="AQ2673" s="934"/>
      <c r="AR2673" s="934"/>
      <c r="AS2673" s="936"/>
      <c r="AT2673" s="936"/>
      <c r="AU2673" s="936"/>
      <c r="AV2673" s="937"/>
      <c r="AW2673" s="938"/>
      <c r="AX2673" s="939"/>
      <c r="AY2673" s="933"/>
      <c r="AZ2673" s="936"/>
      <c r="BA2673" s="936"/>
      <c r="BB2673" s="1112"/>
      <c r="BC2673" s="940"/>
      <c r="BD2673" s="941"/>
      <c r="BE2673" s="942"/>
      <c r="BF2673" s="943"/>
      <c r="BG2673" s="943"/>
      <c r="BH2673" s="943"/>
      <c r="BI2673" s="943"/>
      <c r="BJ2673" s="943"/>
      <c r="BK2673" s="943"/>
      <c r="BL2673" s="943"/>
      <c r="BM2673" s="943"/>
      <c r="BN2673" s="943"/>
      <c r="BO2673" s="1059"/>
      <c r="BP2673" s="1059"/>
      <c r="BQ2673" s="1059"/>
      <c r="BR2673" s="1059"/>
      <c r="BS2673" s="1059"/>
      <c r="BT2673" s="1059"/>
      <c r="BU2673" s="1059"/>
      <c r="BV2673" s="944"/>
      <c r="BW2673" s="944"/>
      <c r="BX2673" s="1147"/>
      <c r="BY2673" s="944"/>
      <c r="BZ2673" s="944"/>
      <c r="CA2673" s="944"/>
      <c r="CB2673" s="944"/>
    </row>
    <row r="2674" spans="2:80">
      <c r="B2674" s="1097"/>
      <c r="C2674" s="1097"/>
      <c r="D2674" s="1097"/>
      <c r="E2674" s="1097"/>
      <c r="F2674" s="934"/>
      <c r="G2674" s="1098"/>
      <c r="H2674" s="1099"/>
      <c r="I2674" s="1099"/>
      <c r="J2674" s="934"/>
      <c r="K2674" s="934"/>
      <c r="L2674" s="933"/>
      <c r="M2674" s="1100"/>
      <c r="N2674" s="934"/>
      <c r="O2674" s="936"/>
      <c r="P2674" s="936"/>
      <c r="Q2674" s="933"/>
      <c r="T2674" s="1101"/>
      <c r="U2674" s="1102"/>
      <c r="V2674" s="936"/>
      <c r="W2674" s="1103"/>
      <c r="X2674" s="1104"/>
      <c r="Y2674" s="1105"/>
      <c r="Z2674" s="1103"/>
      <c r="AA2674" s="1103"/>
      <c r="AB2674" s="1103"/>
      <c r="AC2674" s="1106"/>
      <c r="AD2674" s="1107"/>
      <c r="AE2674" s="1104"/>
      <c r="AG2674" s="1109"/>
      <c r="AI2674" s="1110"/>
      <c r="AL2674" s="933"/>
      <c r="AM2674" s="933"/>
      <c r="AN2674" s="1100"/>
      <c r="AO2674" s="1100"/>
      <c r="AP2674" s="934"/>
      <c r="AQ2674" s="934"/>
      <c r="AR2674" s="934"/>
      <c r="AS2674" s="936"/>
      <c r="AT2674" s="936"/>
      <c r="AU2674" s="936"/>
      <c r="AV2674" s="937"/>
      <c r="AW2674" s="938"/>
      <c r="AX2674" s="939"/>
      <c r="AY2674" s="933"/>
      <c r="AZ2674" s="936"/>
      <c r="BA2674" s="936"/>
      <c r="BB2674" s="1112"/>
      <c r="BC2674" s="940"/>
      <c r="BD2674" s="941"/>
      <c r="BE2674" s="942"/>
      <c r="BF2674" s="943"/>
      <c r="BG2674" s="943"/>
      <c r="BH2674" s="943"/>
      <c r="BI2674" s="943"/>
      <c r="BJ2674" s="943"/>
      <c r="BK2674" s="943"/>
      <c r="BL2674" s="943"/>
      <c r="BM2674" s="943"/>
      <c r="BN2674" s="943"/>
      <c r="BO2674" s="1059"/>
      <c r="BP2674" s="1059"/>
      <c r="BQ2674" s="1059"/>
      <c r="BR2674" s="1059"/>
      <c r="BS2674" s="1059"/>
      <c r="BT2674" s="1059"/>
      <c r="BU2674" s="1059"/>
      <c r="BV2674" s="944"/>
      <c r="BW2674" s="944"/>
      <c r="BX2674" s="1147"/>
      <c r="BY2674" s="944"/>
      <c r="BZ2674" s="944"/>
      <c r="CA2674" s="944"/>
      <c r="CB2674" s="944"/>
    </row>
    <row r="2675" spans="2:80">
      <c r="B2675" s="1097"/>
      <c r="C2675" s="1097"/>
      <c r="D2675" s="1097"/>
      <c r="E2675" s="1097"/>
      <c r="F2675" s="934"/>
      <c r="G2675" s="1098"/>
      <c r="H2675" s="1099"/>
      <c r="I2675" s="1099"/>
      <c r="J2675" s="934"/>
      <c r="K2675" s="934"/>
      <c r="L2675" s="933"/>
      <c r="M2675" s="1100"/>
      <c r="N2675" s="934"/>
      <c r="O2675" s="936"/>
      <c r="P2675" s="936"/>
      <c r="Q2675" s="933"/>
      <c r="T2675" s="1101"/>
      <c r="U2675" s="1102"/>
      <c r="V2675" s="936"/>
      <c r="W2675" s="1103"/>
      <c r="X2675" s="1104"/>
      <c r="Y2675" s="1105"/>
      <c r="Z2675" s="1103"/>
      <c r="AA2675" s="1103"/>
      <c r="AB2675" s="1103"/>
      <c r="AC2675" s="1106"/>
      <c r="AD2675" s="1107"/>
      <c r="AE2675" s="1104"/>
      <c r="AG2675" s="1109"/>
      <c r="AI2675" s="1110"/>
      <c r="AL2675" s="933"/>
      <c r="AM2675" s="933"/>
      <c r="AN2675" s="1100"/>
      <c r="AO2675" s="1100"/>
      <c r="AP2675" s="934"/>
      <c r="AQ2675" s="934"/>
      <c r="AR2675" s="934"/>
      <c r="AS2675" s="936"/>
      <c r="AT2675" s="936"/>
      <c r="AU2675" s="936"/>
      <c r="AV2675" s="937"/>
      <c r="AW2675" s="938"/>
      <c r="AX2675" s="939"/>
      <c r="AY2675" s="933"/>
      <c r="AZ2675" s="936"/>
      <c r="BA2675" s="936"/>
      <c r="BB2675" s="1112"/>
      <c r="BC2675" s="940"/>
      <c r="BD2675" s="941"/>
      <c r="BE2675" s="942"/>
      <c r="BF2675" s="943"/>
      <c r="BG2675" s="943"/>
      <c r="BH2675" s="943"/>
      <c r="BI2675" s="943"/>
      <c r="BJ2675" s="943"/>
      <c r="BK2675" s="943"/>
      <c r="BL2675" s="943"/>
      <c r="BM2675" s="943"/>
      <c r="BN2675" s="943"/>
      <c r="BO2675" s="1059"/>
      <c r="BP2675" s="1059"/>
      <c r="BQ2675" s="1059"/>
      <c r="BR2675" s="1059"/>
      <c r="BS2675" s="1059"/>
      <c r="BT2675" s="1059"/>
      <c r="BU2675" s="1059"/>
      <c r="BV2675" s="944"/>
      <c r="BW2675" s="944"/>
      <c r="BX2675" s="1147"/>
      <c r="BY2675" s="944"/>
      <c r="BZ2675" s="944"/>
      <c r="CA2675" s="944"/>
      <c r="CB2675" s="944"/>
    </row>
    <row r="2676" spans="2:80">
      <c r="B2676" s="1097"/>
      <c r="C2676" s="1097"/>
      <c r="D2676" s="1097"/>
      <c r="E2676" s="1097"/>
      <c r="F2676" s="934"/>
      <c r="G2676" s="1098"/>
      <c r="H2676" s="1099"/>
      <c r="I2676" s="1099"/>
      <c r="J2676" s="934"/>
      <c r="K2676" s="934"/>
      <c r="L2676" s="933"/>
      <c r="M2676" s="1100"/>
      <c r="N2676" s="934"/>
      <c r="O2676" s="936"/>
      <c r="P2676" s="936"/>
      <c r="Q2676" s="933"/>
      <c r="T2676" s="1101"/>
      <c r="U2676" s="1102"/>
      <c r="V2676" s="936"/>
      <c r="W2676" s="1103"/>
      <c r="X2676" s="1104"/>
      <c r="Y2676" s="1105"/>
      <c r="Z2676" s="1103"/>
      <c r="AA2676" s="1103"/>
      <c r="AB2676" s="1103"/>
      <c r="AC2676" s="1106"/>
      <c r="AD2676" s="1107"/>
      <c r="AE2676" s="1104"/>
      <c r="AG2676" s="1109"/>
      <c r="AI2676" s="1110"/>
      <c r="AL2676" s="933"/>
      <c r="AM2676" s="933"/>
      <c r="AN2676" s="1100"/>
      <c r="AO2676" s="1100"/>
      <c r="AP2676" s="934"/>
      <c r="AQ2676" s="934"/>
      <c r="AR2676" s="934"/>
      <c r="AS2676" s="936"/>
      <c r="AT2676" s="936"/>
      <c r="AU2676" s="936"/>
      <c r="AV2676" s="937"/>
      <c r="AW2676" s="938"/>
      <c r="AX2676" s="939"/>
      <c r="AY2676" s="933"/>
      <c r="AZ2676" s="936"/>
      <c r="BA2676" s="936"/>
      <c r="BB2676" s="1112"/>
      <c r="BC2676" s="940"/>
      <c r="BD2676" s="941"/>
      <c r="BE2676" s="942"/>
      <c r="BF2676" s="943"/>
      <c r="BG2676" s="943"/>
      <c r="BH2676" s="943"/>
      <c r="BI2676" s="943"/>
      <c r="BJ2676" s="943"/>
      <c r="BK2676" s="943"/>
      <c r="BL2676" s="943"/>
      <c r="BM2676" s="943"/>
      <c r="BN2676" s="943"/>
      <c r="BO2676" s="1059"/>
      <c r="BP2676" s="1059"/>
      <c r="BQ2676" s="1059"/>
      <c r="BR2676" s="1059"/>
      <c r="BS2676" s="1059"/>
      <c r="BT2676" s="1059"/>
      <c r="BU2676" s="1059"/>
      <c r="BV2676" s="944"/>
      <c r="BW2676" s="944"/>
      <c r="BX2676" s="1147"/>
      <c r="BY2676" s="944"/>
      <c r="BZ2676" s="944"/>
      <c r="CA2676" s="944"/>
      <c r="CB2676" s="944"/>
    </row>
    <row r="2677" spans="2:80">
      <c r="B2677" s="1097"/>
      <c r="C2677" s="1097"/>
      <c r="D2677" s="1097"/>
      <c r="E2677" s="1097"/>
      <c r="F2677" s="934"/>
      <c r="G2677" s="1098"/>
      <c r="H2677" s="1099"/>
      <c r="I2677" s="1099"/>
      <c r="J2677" s="934"/>
      <c r="K2677" s="934"/>
      <c r="L2677" s="933"/>
      <c r="M2677" s="1100"/>
      <c r="N2677" s="934"/>
      <c r="O2677" s="936"/>
      <c r="P2677" s="936"/>
      <c r="Q2677" s="933"/>
      <c r="T2677" s="1101"/>
      <c r="U2677" s="1102"/>
      <c r="V2677" s="936"/>
      <c r="W2677" s="1103"/>
      <c r="X2677" s="1104"/>
      <c r="Y2677" s="1105"/>
      <c r="Z2677" s="1103"/>
      <c r="AA2677" s="1103"/>
      <c r="AB2677" s="1103"/>
      <c r="AC2677" s="1106"/>
      <c r="AD2677" s="1107"/>
      <c r="AE2677" s="1104"/>
      <c r="AG2677" s="1109"/>
      <c r="AI2677" s="1110"/>
      <c r="AL2677" s="933"/>
      <c r="AM2677" s="933"/>
      <c r="AN2677" s="1100"/>
      <c r="AO2677" s="1100"/>
      <c r="AP2677" s="934"/>
      <c r="AQ2677" s="934"/>
      <c r="AR2677" s="934"/>
      <c r="AS2677" s="936"/>
      <c r="AT2677" s="936"/>
      <c r="AU2677" s="936"/>
      <c r="AV2677" s="937"/>
      <c r="AW2677" s="938"/>
      <c r="AX2677" s="939"/>
      <c r="AY2677" s="933"/>
      <c r="AZ2677" s="936"/>
      <c r="BA2677" s="936"/>
      <c r="BB2677" s="1112"/>
      <c r="BC2677" s="940"/>
      <c r="BD2677" s="941"/>
      <c r="BE2677" s="942"/>
      <c r="BF2677" s="943"/>
      <c r="BG2677" s="943"/>
      <c r="BH2677" s="943"/>
      <c r="BI2677" s="943"/>
      <c r="BJ2677" s="943"/>
      <c r="BK2677" s="943"/>
      <c r="BL2677" s="943"/>
      <c r="BM2677" s="943"/>
      <c r="BN2677" s="943"/>
      <c r="BO2677" s="1059"/>
      <c r="BP2677" s="1059"/>
      <c r="BQ2677" s="1059"/>
      <c r="BR2677" s="1059"/>
      <c r="BS2677" s="1059"/>
      <c r="BT2677" s="1059"/>
      <c r="BU2677" s="1059"/>
      <c r="BV2677" s="944"/>
      <c r="BW2677" s="944"/>
      <c r="BX2677" s="1147"/>
      <c r="BY2677" s="944"/>
      <c r="BZ2677" s="944"/>
      <c r="CA2677" s="944"/>
      <c r="CB2677" s="944"/>
    </row>
    <row r="2678" spans="2:80">
      <c r="B2678" s="1097"/>
      <c r="C2678" s="1097"/>
      <c r="D2678" s="1097"/>
      <c r="E2678" s="1097"/>
      <c r="F2678" s="934"/>
      <c r="G2678" s="1098"/>
      <c r="H2678" s="1099"/>
      <c r="I2678" s="1099"/>
      <c r="J2678" s="934"/>
      <c r="K2678" s="934"/>
      <c r="L2678" s="933"/>
      <c r="M2678" s="1100"/>
      <c r="N2678" s="934"/>
      <c r="O2678" s="936"/>
      <c r="P2678" s="936"/>
      <c r="Q2678" s="933"/>
      <c r="T2678" s="1101"/>
      <c r="U2678" s="1102"/>
      <c r="V2678" s="936"/>
      <c r="W2678" s="1103"/>
      <c r="X2678" s="1104"/>
      <c r="Y2678" s="1105"/>
      <c r="Z2678" s="1103"/>
      <c r="AA2678" s="1103"/>
      <c r="AB2678" s="1103"/>
      <c r="AC2678" s="1106"/>
      <c r="AD2678" s="1107"/>
      <c r="AE2678" s="1104"/>
      <c r="AG2678" s="1109"/>
      <c r="AI2678" s="1110"/>
      <c r="AL2678" s="933"/>
      <c r="AM2678" s="933"/>
      <c r="AN2678" s="1100"/>
      <c r="AO2678" s="1100"/>
      <c r="AP2678" s="934"/>
      <c r="AQ2678" s="934"/>
      <c r="AR2678" s="934"/>
      <c r="AS2678" s="936"/>
      <c r="AT2678" s="936"/>
      <c r="AU2678" s="936"/>
      <c r="AV2678" s="937"/>
      <c r="AW2678" s="938"/>
      <c r="AX2678" s="939"/>
      <c r="AY2678" s="933"/>
      <c r="AZ2678" s="936"/>
      <c r="BA2678" s="936"/>
      <c r="BB2678" s="1112"/>
      <c r="BC2678" s="940"/>
      <c r="BD2678" s="941"/>
      <c r="BE2678" s="942"/>
      <c r="BF2678" s="943"/>
      <c r="BG2678" s="943"/>
      <c r="BH2678" s="943"/>
      <c r="BI2678" s="943"/>
      <c r="BJ2678" s="943"/>
      <c r="BK2678" s="943"/>
      <c r="BL2678" s="943"/>
      <c r="BM2678" s="943"/>
      <c r="BN2678" s="943"/>
      <c r="BO2678" s="1059"/>
      <c r="BP2678" s="1059"/>
      <c r="BQ2678" s="1059"/>
      <c r="BR2678" s="1059"/>
      <c r="BS2678" s="1059"/>
      <c r="BT2678" s="1059"/>
      <c r="BU2678" s="1059"/>
      <c r="BV2678" s="944"/>
      <c r="BW2678" s="944"/>
      <c r="BX2678" s="1147"/>
      <c r="BY2678" s="944"/>
      <c r="BZ2678" s="944"/>
      <c r="CA2678" s="944"/>
      <c r="CB2678" s="944"/>
    </row>
    <row r="2679" spans="2:80">
      <c r="B2679" s="1097"/>
      <c r="C2679" s="1097"/>
      <c r="D2679" s="1097"/>
      <c r="E2679" s="1097"/>
      <c r="F2679" s="934"/>
      <c r="G2679" s="1098"/>
      <c r="H2679" s="1099"/>
      <c r="I2679" s="1099"/>
      <c r="J2679" s="934"/>
      <c r="K2679" s="934"/>
      <c r="L2679" s="933"/>
      <c r="M2679" s="1100"/>
      <c r="N2679" s="934"/>
      <c r="O2679" s="936"/>
      <c r="P2679" s="936"/>
      <c r="Q2679" s="933"/>
      <c r="T2679" s="1101"/>
      <c r="U2679" s="1102"/>
      <c r="V2679" s="936"/>
      <c r="W2679" s="1103"/>
      <c r="X2679" s="1104"/>
      <c r="Y2679" s="1105"/>
      <c r="Z2679" s="1103"/>
      <c r="AA2679" s="1103"/>
      <c r="AB2679" s="1103"/>
      <c r="AC2679" s="1106"/>
      <c r="AD2679" s="1107"/>
      <c r="AE2679" s="1104"/>
      <c r="AG2679" s="1109"/>
      <c r="AI2679" s="1110"/>
      <c r="AL2679" s="933"/>
      <c r="AM2679" s="933"/>
      <c r="AN2679" s="1100"/>
      <c r="AO2679" s="1100"/>
      <c r="AP2679" s="934"/>
      <c r="AQ2679" s="934"/>
      <c r="AR2679" s="934"/>
      <c r="AS2679" s="936"/>
      <c r="AT2679" s="936"/>
      <c r="AU2679" s="936"/>
      <c r="AV2679" s="937"/>
      <c r="AW2679" s="938"/>
      <c r="AX2679" s="939"/>
      <c r="AY2679" s="933"/>
      <c r="AZ2679" s="936"/>
      <c r="BA2679" s="936"/>
      <c r="BB2679" s="1112"/>
      <c r="BC2679" s="940"/>
      <c r="BD2679" s="941"/>
      <c r="BE2679" s="942"/>
      <c r="BF2679" s="943"/>
      <c r="BG2679" s="943"/>
      <c r="BH2679" s="943"/>
      <c r="BI2679" s="943"/>
      <c r="BJ2679" s="943"/>
      <c r="BK2679" s="943"/>
      <c r="BL2679" s="943"/>
      <c r="BM2679" s="943"/>
      <c r="BN2679" s="943"/>
      <c r="BO2679" s="1059"/>
      <c r="BP2679" s="1059"/>
      <c r="BQ2679" s="1059"/>
      <c r="BR2679" s="1059"/>
      <c r="BS2679" s="1059"/>
      <c r="BT2679" s="1059"/>
      <c r="BU2679" s="1059"/>
      <c r="BV2679" s="944"/>
      <c r="BW2679" s="944"/>
      <c r="BX2679" s="1147"/>
      <c r="BY2679" s="944"/>
      <c r="BZ2679" s="944"/>
      <c r="CA2679" s="944"/>
      <c r="CB2679" s="944"/>
    </row>
    <row r="2680" spans="2:80">
      <c r="B2680" s="1097"/>
      <c r="C2680" s="1097"/>
      <c r="D2680" s="1097"/>
      <c r="E2680" s="1097"/>
      <c r="F2680" s="934"/>
      <c r="G2680" s="1098"/>
      <c r="H2680" s="1099"/>
      <c r="I2680" s="1099"/>
      <c r="J2680" s="934"/>
      <c r="K2680" s="934"/>
      <c r="L2680" s="933"/>
      <c r="M2680" s="1100"/>
      <c r="N2680" s="934"/>
      <c r="O2680" s="936"/>
      <c r="P2680" s="936"/>
      <c r="Q2680" s="933"/>
      <c r="T2680" s="1101"/>
      <c r="U2680" s="1102"/>
      <c r="V2680" s="936"/>
      <c r="W2680" s="1103"/>
      <c r="X2680" s="1104"/>
      <c r="Y2680" s="1105"/>
      <c r="Z2680" s="1103"/>
      <c r="AA2680" s="1103"/>
      <c r="AB2680" s="1103"/>
      <c r="AC2680" s="1106"/>
      <c r="AD2680" s="1107"/>
      <c r="AE2680" s="1104"/>
      <c r="AG2680" s="1109"/>
      <c r="AI2680" s="1110"/>
      <c r="AL2680" s="933"/>
      <c r="AM2680" s="933"/>
      <c r="AN2680" s="1100"/>
      <c r="AO2680" s="1100"/>
      <c r="AP2680" s="934"/>
      <c r="AQ2680" s="934"/>
      <c r="AR2680" s="934"/>
      <c r="AS2680" s="936"/>
      <c r="AT2680" s="936"/>
      <c r="AU2680" s="936"/>
      <c r="AV2680" s="937"/>
      <c r="AW2680" s="938"/>
      <c r="AX2680" s="939"/>
      <c r="AY2680" s="933"/>
      <c r="AZ2680" s="936"/>
      <c r="BA2680" s="936"/>
      <c r="BB2680" s="1112"/>
      <c r="BC2680" s="940"/>
      <c r="BD2680" s="941"/>
      <c r="BE2680" s="942"/>
      <c r="BF2680" s="943"/>
      <c r="BG2680" s="943"/>
      <c r="BH2680" s="943"/>
      <c r="BI2680" s="943"/>
      <c r="BJ2680" s="943"/>
      <c r="BK2680" s="943"/>
      <c r="BL2680" s="943"/>
      <c r="BM2680" s="943"/>
      <c r="BN2680" s="943"/>
      <c r="BO2680" s="1059"/>
      <c r="BP2680" s="1059"/>
      <c r="BQ2680" s="1059"/>
      <c r="BR2680" s="1059"/>
      <c r="BS2680" s="1059"/>
      <c r="BT2680" s="1059"/>
      <c r="BU2680" s="1059"/>
      <c r="BV2680" s="944"/>
      <c r="BW2680" s="944"/>
      <c r="BX2680" s="1147"/>
      <c r="BY2680" s="944"/>
      <c r="BZ2680" s="944"/>
      <c r="CA2680" s="944"/>
      <c r="CB2680" s="944"/>
    </row>
    <row r="2681" spans="2:80">
      <c r="B2681" s="1097"/>
      <c r="C2681" s="1097"/>
      <c r="D2681" s="1097"/>
      <c r="E2681" s="1097"/>
      <c r="F2681" s="934"/>
      <c r="G2681" s="1098"/>
      <c r="H2681" s="1099"/>
      <c r="I2681" s="1099"/>
      <c r="J2681" s="934"/>
      <c r="K2681" s="934"/>
      <c r="L2681" s="933"/>
      <c r="M2681" s="1100"/>
      <c r="N2681" s="934"/>
      <c r="O2681" s="936"/>
      <c r="P2681" s="936"/>
      <c r="Q2681" s="933"/>
      <c r="T2681" s="1101"/>
      <c r="U2681" s="1102"/>
      <c r="V2681" s="936"/>
      <c r="W2681" s="1103"/>
      <c r="X2681" s="1104"/>
      <c r="Y2681" s="1105"/>
      <c r="Z2681" s="1103"/>
      <c r="AA2681" s="1103"/>
      <c r="AB2681" s="1103"/>
      <c r="AC2681" s="1106"/>
      <c r="AD2681" s="1107"/>
      <c r="AE2681" s="1104"/>
      <c r="AG2681" s="1109"/>
      <c r="AI2681" s="1110"/>
      <c r="AL2681" s="933"/>
      <c r="AM2681" s="933"/>
      <c r="AN2681" s="1100"/>
      <c r="AO2681" s="1100"/>
      <c r="AP2681" s="934"/>
      <c r="AQ2681" s="934"/>
      <c r="AR2681" s="934"/>
      <c r="AS2681" s="936"/>
      <c r="AT2681" s="936"/>
      <c r="AU2681" s="936"/>
      <c r="AV2681" s="937"/>
      <c r="AW2681" s="938"/>
      <c r="AX2681" s="939"/>
      <c r="AY2681" s="933"/>
      <c r="AZ2681" s="936"/>
      <c r="BA2681" s="936"/>
      <c r="BB2681" s="1112"/>
      <c r="BC2681" s="940"/>
      <c r="BD2681" s="941"/>
      <c r="BE2681" s="942"/>
      <c r="BF2681" s="943"/>
      <c r="BG2681" s="943"/>
      <c r="BH2681" s="943"/>
      <c r="BI2681" s="943"/>
      <c r="BJ2681" s="943"/>
      <c r="BK2681" s="943"/>
      <c r="BL2681" s="943"/>
      <c r="BM2681" s="943"/>
      <c r="BN2681" s="943"/>
      <c r="BO2681" s="1059"/>
      <c r="BP2681" s="1059"/>
      <c r="BQ2681" s="1059"/>
      <c r="BR2681" s="1059"/>
      <c r="BS2681" s="1059"/>
      <c r="BT2681" s="1059"/>
      <c r="BU2681" s="1059"/>
      <c r="BV2681" s="944"/>
      <c r="BW2681" s="944"/>
      <c r="BX2681" s="1147"/>
      <c r="BY2681" s="944"/>
      <c r="BZ2681" s="944"/>
      <c r="CA2681" s="944"/>
      <c r="CB2681" s="944"/>
    </row>
    <row r="2682" spans="2:80">
      <c r="B2682" s="1097"/>
      <c r="C2682" s="1097"/>
      <c r="D2682" s="1097"/>
      <c r="E2682" s="1097"/>
      <c r="F2682" s="934"/>
      <c r="G2682" s="1098"/>
      <c r="H2682" s="1099"/>
      <c r="I2682" s="1099"/>
      <c r="J2682" s="934"/>
      <c r="K2682" s="934"/>
      <c r="L2682" s="933"/>
      <c r="M2682" s="1100"/>
      <c r="N2682" s="934"/>
      <c r="O2682" s="936"/>
      <c r="P2682" s="936"/>
      <c r="Q2682" s="933"/>
      <c r="T2682" s="1101"/>
      <c r="U2682" s="1102"/>
      <c r="V2682" s="936"/>
      <c r="W2682" s="1103"/>
      <c r="X2682" s="1104"/>
      <c r="Y2682" s="1105"/>
      <c r="Z2682" s="1103"/>
      <c r="AA2682" s="1103"/>
      <c r="AB2682" s="1103"/>
      <c r="AC2682" s="1106"/>
      <c r="AD2682" s="1107"/>
      <c r="AE2682" s="1104"/>
      <c r="AG2682" s="1109"/>
      <c r="AI2682" s="1110"/>
      <c r="AL2682" s="933"/>
      <c r="AM2682" s="933"/>
      <c r="AN2682" s="1100"/>
      <c r="AO2682" s="1100"/>
      <c r="AP2682" s="934"/>
      <c r="AQ2682" s="934"/>
      <c r="AR2682" s="934"/>
      <c r="AS2682" s="936"/>
      <c r="AT2682" s="936"/>
      <c r="AU2682" s="936"/>
      <c r="AV2682" s="937"/>
      <c r="AW2682" s="938"/>
      <c r="AX2682" s="939"/>
      <c r="AY2682" s="933"/>
      <c r="AZ2682" s="936"/>
      <c r="BA2682" s="936"/>
      <c r="BB2682" s="1112"/>
      <c r="BC2682" s="940"/>
      <c r="BD2682" s="941"/>
      <c r="BE2682" s="942"/>
      <c r="BF2682" s="943"/>
      <c r="BG2682" s="943"/>
      <c r="BH2682" s="943"/>
      <c r="BI2682" s="943"/>
      <c r="BJ2682" s="943"/>
      <c r="BK2682" s="943"/>
      <c r="BL2682" s="943"/>
      <c r="BM2682" s="943"/>
      <c r="BN2682" s="943"/>
      <c r="BO2682" s="1059"/>
      <c r="BP2682" s="1059"/>
      <c r="BQ2682" s="1059"/>
      <c r="BR2682" s="1059"/>
      <c r="BS2682" s="1059"/>
      <c r="BT2682" s="1059"/>
      <c r="BU2682" s="1059"/>
      <c r="BV2682" s="944"/>
      <c r="BW2682" s="944"/>
      <c r="BX2682" s="1147"/>
      <c r="BY2682" s="944"/>
      <c r="BZ2682" s="944"/>
      <c r="CA2682" s="944"/>
      <c r="CB2682" s="944"/>
    </row>
    <row r="2683" spans="2:80">
      <c r="B2683" s="1097"/>
      <c r="C2683" s="1097"/>
      <c r="D2683" s="1097"/>
      <c r="E2683" s="1097"/>
      <c r="F2683" s="934"/>
      <c r="G2683" s="1098"/>
      <c r="H2683" s="1099"/>
      <c r="I2683" s="1099"/>
      <c r="J2683" s="934"/>
      <c r="K2683" s="934"/>
      <c r="L2683" s="933"/>
      <c r="M2683" s="1100"/>
      <c r="N2683" s="934"/>
      <c r="O2683" s="936"/>
      <c r="P2683" s="936"/>
      <c r="Q2683" s="933"/>
      <c r="T2683" s="1101"/>
      <c r="U2683" s="1102"/>
      <c r="V2683" s="936"/>
      <c r="W2683" s="1103"/>
      <c r="X2683" s="1104"/>
      <c r="Y2683" s="1105"/>
      <c r="Z2683" s="1103"/>
      <c r="AA2683" s="1103"/>
      <c r="AB2683" s="1103"/>
      <c r="AC2683" s="1106"/>
      <c r="AD2683" s="1107"/>
      <c r="AE2683" s="1104"/>
      <c r="AG2683" s="1109"/>
      <c r="AI2683" s="1110"/>
      <c r="AL2683" s="933"/>
      <c r="AM2683" s="933"/>
      <c r="AN2683" s="1100"/>
      <c r="AO2683" s="1100"/>
      <c r="AP2683" s="934"/>
      <c r="AQ2683" s="934"/>
      <c r="AR2683" s="934"/>
      <c r="AS2683" s="936"/>
      <c r="AT2683" s="936"/>
      <c r="AU2683" s="936"/>
      <c r="AV2683" s="937"/>
      <c r="AW2683" s="938"/>
      <c r="AX2683" s="939"/>
      <c r="AY2683" s="933"/>
      <c r="AZ2683" s="936"/>
      <c r="BA2683" s="936"/>
      <c r="BB2683" s="1112"/>
      <c r="BC2683" s="940"/>
      <c r="BD2683" s="941"/>
      <c r="BE2683" s="942"/>
      <c r="BF2683" s="943"/>
      <c r="BG2683" s="943"/>
      <c r="BH2683" s="943"/>
      <c r="BI2683" s="943"/>
      <c r="BJ2683" s="943"/>
      <c r="BK2683" s="943"/>
      <c r="BL2683" s="943"/>
      <c r="BM2683" s="943"/>
      <c r="BN2683" s="943"/>
      <c r="BO2683" s="1059"/>
      <c r="BP2683" s="1059"/>
      <c r="BQ2683" s="1059"/>
      <c r="BR2683" s="1059"/>
      <c r="BS2683" s="1059"/>
      <c r="BT2683" s="1059"/>
      <c r="BU2683" s="1059"/>
      <c r="BV2683" s="944"/>
      <c r="BW2683" s="944"/>
      <c r="BX2683" s="1147"/>
      <c r="BY2683" s="944"/>
      <c r="BZ2683" s="944"/>
      <c r="CA2683" s="944"/>
      <c r="CB2683" s="944"/>
    </row>
    <row r="2684" spans="2:80">
      <c r="B2684" s="1097"/>
      <c r="C2684" s="1097"/>
      <c r="D2684" s="1097"/>
      <c r="E2684" s="1097"/>
      <c r="F2684" s="934"/>
      <c r="G2684" s="1098"/>
      <c r="H2684" s="1099"/>
      <c r="I2684" s="1099"/>
      <c r="J2684" s="934"/>
      <c r="K2684" s="934"/>
      <c r="L2684" s="933"/>
      <c r="M2684" s="1100"/>
      <c r="N2684" s="934"/>
      <c r="O2684" s="936"/>
      <c r="P2684" s="936"/>
      <c r="Q2684" s="933"/>
      <c r="T2684" s="1101"/>
      <c r="U2684" s="1102"/>
      <c r="V2684" s="936"/>
      <c r="W2684" s="1103"/>
      <c r="X2684" s="1104"/>
      <c r="Y2684" s="1105"/>
      <c r="Z2684" s="1103"/>
      <c r="AA2684" s="1103"/>
      <c r="AB2684" s="1103"/>
      <c r="AC2684" s="1106"/>
      <c r="AD2684" s="1107"/>
      <c r="AE2684" s="1104"/>
      <c r="AG2684" s="1109"/>
      <c r="AI2684" s="1110"/>
      <c r="AL2684" s="933"/>
      <c r="AM2684" s="933"/>
      <c r="AN2684" s="1100"/>
      <c r="AO2684" s="1100"/>
      <c r="AP2684" s="934"/>
      <c r="AQ2684" s="934"/>
      <c r="AR2684" s="934"/>
      <c r="AS2684" s="936"/>
      <c r="AT2684" s="936"/>
      <c r="AU2684" s="936"/>
      <c r="AV2684" s="937"/>
      <c r="AW2684" s="938"/>
      <c r="AX2684" s="939"/>
      <c r="AY2684" s="933"/>
      <c r="AZ2684" s="936"/>
      <c r="BA2684" s="936"/>
      <c r="BB2684" s="1112"/>
      <c r="BC2684" s="940"/>
      <c r="BD2684" s="941"/>
      <c r="BE2684" s="942"/>
      <c r="BF2684" s="943"/>
      <c r="BG2684" s="943"/>
      <c r="BH2684" s="943"/>
      <c r="BI2684" s="943"/>
      <c r="BJ2684" s="943"/>
      <c r="BK2684" s="943"/>
      <c r="BL2684" s="943"/>
      <c r="BM2684" s="943"/>
      <c r="BN2684" s="943"/>
      <c r="BO2684" s="1059"/>
      <c r="BP2684" s="1059"/>
      <c r="BQ2684" s="1059"/>
      <c r="BR2684" s="1059"/>
      <c r="BS2684" s="1059"/>
      <c r="BT2684" s="1059"/>
      <c r="BU2684" s="1059"/>
      <c r="BV2684" s="944"/>
      <c r="BW2684" s="944"/>
      <c r="BX2684" s="1147"/>
      <c r="BY2684" s="944"/>
      <c r="BZ2684" s="944"/>
      <c r="CA2684" s="944"/>
      <c r="CB2684" s="944"/>
    </row>
    <row r="2685" spans="2:80">
      <c r="B2685" s="1097"/>
      <c r="C2685" s="1097"/>
      <c r="D2685" s="1097"/>
      <c r="E2685" s="1097"/>
      <c r="F2685" s="934"/>
      <c r="G2685" s="1098"/>
      <c r="H2685" s="1099"/>
      <c r="I2685" s="1099"/>
      <c r="J2685" s="934"/>
      <c r="K2685" s="934"/>
      <c r="L2685" s="933"/>
      <c r="M2685" s="1100"/>
      <c r="N2685" s="934"/>
      <c r="O2685" s="936"/>
      <c r="P2685" s="936"/>
      <c r="Q2685" s="933"/>
      <c r="T2685" s="1101"/>
      <c r="U2685" s="1102"/>
      <c r="V2685" s="936"/>
      <c r="W2685" s="1103"/>
      <c r="X2685" s="1104"/>
      <c r="Y2685" s="1105"/>
      <c r="Z2685" s="1103"/>
      <c r="AA2685" s="1103"/>
      <c r="AB2685" s="1103"/>
      <c r="AC2685" s="1106"/>
      <c r="AD2685" s="1107"/>
      <c r="AE2685" s="1104"/>
      <c r="AG2685" s="1109"/>
      <c r="AI2685" s="1110"/>
      <c r="AL2685" s="933"/>
      <c r="AM2685" s="933"/>
      <c r="AN2685" s="1100"/>
      <c r="AO2685" s="1100"/>
      <c r="AP2685" s="934"/>
      <c r="AQ2685" s="934"/>
      <c r="AR2685" s="934"/>
      <c r="AS2685" s="936"/>
      <c r="AT2685" s="936"/>
      <c r="AU2685" s="936"/>
      <c r="AV2685" s="937"/>
      <c r="AW2685" s="938"/>
      <c r="AX2685" s="939"/>
      <c r="AY2685" s="933"/>
      <c r="AZ2685" s="936"/>
      <c r="BA2685" s="936"/>
      <c r="BB2685" s="1112"/>
      <c r="BC2685" s="940"/>
      <c r="BD2685" s="941"/>
      <c r="BE2685" s="942"/>
      <c r="BF2685" s="943"/>
      <c r="BG2685" s="943"/>
      <c r="BH2685" s="943"/>
      <c r="BI2685" s="943"/>
      <c r="BJ2685" s="943"/>
      <c r="BK2685" s="943"/>
      <c r="BL2685" s="943"/>
      <c r="BM2685" s="943"/>
      <c r="BN2685" s="943"/>
      <c r="BO2685" s="1059"/>
      <c r="BP2685" s="1059"/>
      <c r="BQ2685" s="1059"/>
      <c r="BR2685" s="1059"/>
      <c r="BS2685" s="1059"/>
      <c r="BT2685" s="1059"/>
      <c r="BU2685" s="1059"/>
      <c r="BV2685" s="944"/>
      <c r="BW2685" s="944"/>
      <c r="BX2685" s="1147"/>
      <c r="BY2685" s="944"/>
      <c r="BZ2685" s="944"/>
      <c r="CA2685" s="944"/>
      <c r="CB2685" s="944"/>
    </row>
    <row r="2686" spans="2:80">
      <c r="B2686" s="1097"/>
      <c r="C2686" s="1097"/>
      <c r="D2686" s="1097"/>
      <c r="E2686" s="1097"/>
      <c r="F2686" s="934"/>
      <c r="G2686" s="1098"/>
      <c r="H2686" s="1099"/>
      <c r="I2686" s="1099"/>
      <c r="J2686" s="934"/>
      <c r="K2686" s="934"/>
      <c r="L2686" s="933"/>
      <c r="M2686" s="1100"/>
      <c r="N2686" s="934"/>
      <c r="O2686" s="936"/>
      <c r="P2686" s="936"/>
      <c r="Q2686" s="933"/>
      <c r="T2686" s="1101"/>
      <c r="U2686" s="1102"/>
      <c r="V2686" s="936"/>
      <c r="W2686" s="1103"/>
      <c r="X2686" s="1104"/>
      <c r="Y2686" s="1105"/>
      <c r="Z2686" s="1103"/>
      <c r="AA2686" s="1103"/>
      <c r="AB2686" s="1103"/>
      <c r="AC2686" s="1106"/>
      <c r="AD2686" s="1107"/>
      <c r="AE2686" s="1104"/>
      <c r="AG2686" s="1109"/>
      <c r="AI2686" s="1110"/>
      <c r="AL2686" s="933"/>
      <c r="AM2686" s="933"/>
      <c r="AN2686" s="1100"/>
      <c r="AO2686" s="1100"/>
      <c r="AP2686" s="934"/>
      <c r="AQ2686" s="934"/>
      <c r="AR2686" s="934"/>
      <c r="AS2686" s="936"/>
      <c r="AT2686" s="936"/>
      <c r="AU2686" s="936"/>
      <c r="AV2686" s="937"/>
      <c r="AW2686" s="938"/>
      <c r="AX2686" s="939"/>
      <c r="AY2686" s="933"/>
      <c r="AZ2686" s="936"/>
      <c r="BA2686" s="936"/>
      <c r="BB2686" s="1112"/>
      <c r="BC2686" s="940"/>
      <c r="BD2686" s="941"/>
      <c r="BE2686" s="942"/>
      <c r="BF2686" s="943"/>
      <c r="BG2686" s="943"/>
      <c r="BH2686" s="943"/>
      <c r="BI2686" s="943"/>
      <c r="BJ2686" s="943"/>
      <c r="BK2686" s="943"/>
      <c r="BL2686" s="943"/>
      <c r="BM2686" s="943"/>
      <c r="BN2686" s="943"/>
      <c r="BO2686" s="1059"/>
      <c r="BP2686" s="1059"/>
      <c r="BQ2686" s="1059"/>
      <c r="BR2686" s="1059"/>
      <c r="BS2686" s="1059"/>
      <c r="BT2686" s="1059"/>
      <c r="BU2686" s="1059"/>
      <c r="BV2686" s="944"/>
      <c r="BW2686" s="944"/>
      <c r="BX2686" s="1147"/>
      <c r="BY2686" s="944"/>
      <c r="BZ2686" s="944"/>
      <c r="CA2686" s="944"/>
      <c r="CB2686" s="944"/>
    </row>
    <row r="2687" spans="2:80">
      <c r="B2687" s="1097"/>
      <c r="C2687" s="1097"/>
      <c r="D2687" s="1097"/>
      <c r="E2687" s="1097"/>
      <c r="F2687" s="934"/>
      <c r="G2687" s="1098"/>
      <c r="H2687" s="1099"/>
      <c r="I2687" s="1099"/>
      <c r="J2687" s="934"/>
      <c r="K2687" s="934"/>
      <c r="L2687" s="933"/>
      <c r="M2687" s="1100"/>
      <c r="N2687" s="934"/>
      <c r="O2687" s="936"/>
      <c r="P2687" s="936"/>
      <c r="Q2687" s="933"/>
      <c r="T2687" s="1101"/>
      <c r="U2687" s="1102"/>
      <c r="V2687" s="936"/>
      <c r="W2687" s="1103"/>
      <c r="X2687" s="1104"/>
      <c r="Y2687" s="1105"/>
      <c r="Z2687" s="1103"/>
      <c r="AA2687" s="1103"/>
      <c r="AB2687" s="1103"/>
      <c r="AC2687" s="1106"/>
      <c r="AD2687" s="1107"/>
      <c r="AE2687" s="1104"/>
      <c r="AG2687" s="1109"/>
      <c r="AI2687" s="1110"/>
      <c r="AL2687" s="933"/>
      <c r="AM2687" s="933"/>
      <c r="AN2687" s="1100"/>
      <c r="AO2687" s="1100"/>
      <c r="AP2687" s="934"/>
      <c r="AQ2687" s="934"/>
      <c r="AR2687" s="934"/>
      <c r="AS2687" s="936"/>
      <c r="AT2687" s="936"/>
      <c r="AU2687" s="936"/>
      <c r="AV2687" s="937"/>
      <c r="AW2687" s="938"/>
      <c r="AX2687" s="939"/>
      <c r="AY2687" s="933"/>
      <c r="AZ2687" s="936"/>
      <c r="BA2687" s="936"/>
      <c r="BB2687" s="1112"/>
      <c r="BC2687" s="940"/>
      <c r="BD2687" s="941"/>
      <c r="BE2687" s="942"/>
      <c r="BF2687" s="943"/>
      <c r="BG2687" s="943"/>
      <c r="BH2687" s="943"/>
      <c r="BI2687" s="943"/>
      <c r="BJ2687" s="943"/>
      <c r="BK2687" s="943"/>
      <c r="BL2687" s="943"/>
      <c r="BM2687" s="943"/>
      <c r="BN2687" s="943"/>
      <c r="BO2687" s="1059"/>
      <c r="BP2687" s="1059"/>
      <c r="BQ2687" s="1059"/>
      <c r="BR2687" s="1059"/>
      <c r="BS2687" s="1059"/>
      <c r="BT2687" s="1059"/>
      <c r="BU2687" s="1059"/>
      <c r="BV2687" s="944"/>
      <c r="BW2687" s="944"/>
      <c r="BX2687" s="1147"/>
      <c r="BY2687" s="944"/>
      <c r="BZ2687" s="944"/>
      <c r="CA2687" s="944"/>
      <c r="CB2687" s="944"/>
    </row>
    <row r="2688" spans="2:80">
      <c r="B2688" s="1097"/>
      <c r="C2688" s="1097"/>
      <c r="D2688" s="1097"/>
      <c r="E2688" s="1097"/>
      <c r="F2688" s="934"/>
      <c r="G2688" s="1098"/>
      <c r="H2688" s="1099"/>
      <c r="I2688" s="1099"/>
      <c r="J2688" s="934"/>
      <c r="K2688" s="934"/>
      <c r="L2688" s="933"/>
      <c r="M2688" s="1100"/>
      <c r="N2688" s="934"/>
      <c r="O2688" s="936"/>
      <c r="P2688" s="936"/>
      <c r="Q2688" s="933"/>
      <c r="T2688" s="1101"/>
      <c r="U2688" s="1102"/>
      <c r="V2688" s="936"/>
      <c r="W2688" s="1103"/>
      <c r="X2688" s="1104"/>
      <c r="Y2688" s="1105"/>
      <c r="Z2688" s="1103"/>
      <c r="AA2688" s="1103"/>
      <c r="AB2688" s="1103"/>
      <c r="AC2688" s="1106"/>
      <c r="AD2688" s="1107"/>
      <c r="AE2688" s="1104"/>
      <c r="AG2688" s="1109"/>
      <c r="AI2688" s="1110"/>
      <c r="AL2688" s="933"/>
      <c r="AM2688" s="933"/>
      <c r="AN2688" s="1100"/>
      <c r="AO2688" s="1100"/>
      <c r="AP2688" s="934"/>
      <c r="AQ2688" s="934"/>
      <c r="AR2688" s="934"/>
      <c r="AS2688" s="936"/>
      <c r="AT2688" s="936"/>
      <c r="AU2688" s="936"/>
      <c r="AV2688" s="937"/>
      <c r="AW2688" s="938"/>
      <c r="AX2688" s="939"/>
      <c r="AY2688" s="933"/>
      <c r="AZ2688" s="936"/>
      <c r="BA2688" s="936"/>
      <c r="BB2688" s="1112"/>
      <c r="BC2688" s="940"/>
      <c r="BD2688" s="941"/>
      <c r="BE2688" s="942"/>
      <c r="BF2688" s="943"/>
      <c r="BG2688" s="943"/>
      <c r="BH2688" s="943"/>
      <c r="BI2688" s="943"/>
      <c r="BJ2688" s="943"/>
      <c r="BK2688" s="943"/>
      <c r="BL2688" s="943"/>
      <c r="BM2688" s="943"/>
      <c r="BN2688" s="943"/>
      <c r="BO2688" s="1059"/>
      <c r="BP2688" s="1059"/>
      <c r="BQ2688" s="1059"/>
      <c r="BR2688" s="1059"/>
      <c r="BS2688" s="1059"/>
      <c r="BT2688" s="1059"/>
      <c r="BU2688" s="1059"/>
      <c r="BV2688" s="944"/>
      <c r="BW2688" s="944"/>
      <c r="BX2688" s="1147"/>
      <c r="BY2688" s="944"/>
      <c r="BZ2688" s="944"/>
      <c r="CA2688" s="944"/>
      <c r="CB2688" s="944"/>
    </row>
    <row r="2689" spans="2:80">
      <c r="B2689" s="1097"/>
      <c r="C2689" s="1097"/>
      <c r="D2689" s="1097"/>
      <c r="E2689" s="1097"/>
      <c r="F2689" s="934"/>
      <c r="G2689" s="1098"/>
      <c r="H2689" s="1099"/>
      <c r="I2689" s="1099"/>
      <c r="J2689" s="934"/>
      <c r="K2689" s="934"/>
      <c r="L2689" s="933"/>
      <c r="M2689" s="1100"/>
      <c r="N2689" s="934"/>
      <c r="O2689" s="936"/>
      <c r="P2689" s="936"/>
      <c r="Q2689" s="933"/>
      <c r="T2689" s="1101"/>
      <c r="U2689" s="1102"/>
      <c r="V2689" s="936"/>
      <c r="W2689" s="1103"/>
      <c r="X2689" s="1104"/>
      <c r="Y2689" s="1105"/>
      <c r="Z2689" s="1103"/>
      <c r="AA2689" s="1103"/>
      <c r="AB2689" s="1103"/>
      <c r="AC2689" s="1106"/>
      <c r="AD2689" s="1107"/>
      <c r="AE2689" s="1104"/>
      <c r="AG2689" s="1109"/>
      <c r="AI2689" s="1110"/>
      <c r="AL2689" s="933"/>
      <c r="AM2689" s="933"/>
      <c r="AN2689" s="1100"/>
      <c r="AO2689" s="1100"/>
      <c r="AP2689" s="934"/>
      <c r="AQ2689" s="934"/>
      <c r="AR2689" s="934"/>
      <c r="AS2689" s="936"/>
      <c r="AT2689" s="936"/>
      <c r="AU2689" s="936"/>
      <c r="AV2689" s="937"/>
      <c r="AW2689" s="938"/>
      <c r="AX2689" s="939"/>
      <c r="AY2689" s="933"/>
      <c r="AZ2689" s="936"/>
      <c r="BA2689" s="936"/>
      <c r="BB2689" s="1112"/>
      <c r="BC2689" s="940"/>
      <c r="BD2689" s="941"/>
      <c r="BE2689" s="942"/>
      <c r="BF2689" s="943"/>
      <c r="BG2689" s="943"/>
      <c r="BH2689" s="943"/>
      <c r="BI2689" s="943"/>
      <c r="BJ2689" s="943"/>
      <c r="BK2689" s="943"/>
      <c r="BL2689" s="943"/>
      <c r="BM2689" s="943"/>
      <c r="BN2689" s="943"/>
      <c r="BO2689" s="1059"/>
      <c r="BP2689" s="1059"/>
      <c r="BQ2689" s="1059"/>
      <c r="BR2689" s="1059"/>
      <c r="BS2689" s="1059"/>
      <c r="BT2689" s="1059"/>
      <c r="BU2689" s="1059"/>
      <c r="BV2689" s="944"/>
      <c r="BW2689" s="944"/>
      <c r="BX2689" s="1147"/>
      <c r="BY2689" s="944"/>
      <c r="BZ2689" s="944"/>
      <c r="CA2689" s="944"/>
      <c r="CB2689" s="944"/>
    </row>
    <row r="2690" spans="2:80">
      <c r="B2690" s="1097"/>
      <c r="C2690" s="1097"/>
      <c r="D2690" s="1097"/>
      <c r="E2690" s="1097"/>
      <c r="F2690" s="934"/>
      <c r="G2690" s="1098"/>
      <c r="H2690" s="1099"/>
      <c r="I2690" s="1099"/>
      <c r="J2690" s="934"/>
      <c r="K2690" s="934"/>
      <c r="L2690" s="933"/>
      <c r="M2690" s="1100"/>
      <c r="N2690" s="934"/>
      <c r="O2690" s="936"/>
      <c r="P2690" s="936"/>
      <c r="Q2690" s="933"/>
      <c r="T2690" s="1101"/>
      <c r="U2690" s="1102"/>
      <c r="V2690" s="936"/>
      <c r="W2690" s="1103"/>
      <c r="X2690" s="1104"/>
      <c r="Y2690" s="1105"/>
      <c r="Z2690" s="1103"/>
      <c r="AA2690" s="1103"/>
      <c r="AB2690" s="1103"/>
      <c r="AC2690" s="1106"/>
      <c r="AD2690" s="1107"/>
      <c r="AE2690" s="1104"/>
      <c r="AG2690" s="1109"/>
      <c r="AI2690" s="1110"/>
      <c r="AL2690" s="933"/>
      <c r="AM2690" s="933"/>
      <c r="AN2690" s="1100"/>
      <c r="AO2690" s="1100"/>
      <c r="AP2690" s="934"/>
      <c r="AQ2690" s="934"/>
      <c r="AR2690" s="934"/>
      <c r="AS2690" s="936"/>
      <c r="AT2690" s="936"/>
      <c r="AU2690" s="936"/>
      <c r="AV2690" s="937"/>
      <c r="AW2690" s="938"/>
      <c r="AX2690" s="939"/>
      <c r="AY2690" s="933"/>
      <c r="AZ2690" s="936"/>
      <c r="BA2690" s="936"/>
      <c r="BB2690" s="1112"/>
      <c r="BC2690" s="940"/>
      <c r="BD2690" s="941"/>
      <c r="BE2690" s="942"/>
      <c r="BF2690" s="943"/>
      <c r="BG2690" s="943"/>
      <c r="BH2690" s="943"/>
      <c r="BI2690" s="943"/>
      <c r="BJ2690" s="943"/>
      <c r="BK2690" s="943"/>
      <c r="BL2690" s="943"/>
      <c r="BM2690" s="943"/>
      <c r="BN2690" s="943"/>
      <c r="BO2690" s="1059"/>
      <c r="BP2690" s="1059"/>
      <c r="BQ2690" s="1059"/>
      <c r="BR2690" s="1059"/>
      <c r="BS2690" s="1059"/>
      <c r="BT2690" s="1059"/>
      <c r="BU2690" s="1059"/>
      <c r="BV2690" s="944"/>
      <c r="BW2690" s="944"/>
      <c r="BX2690" s="1147"/>
      <c r="BY2690" s="944"/>
      <c r="BZ2690" s="944"/>
      <c r="CA2690" s="944"/>
      <c r="CB2690" s="944"/>
    </row>
    <row r="2691" spans="2:80">
      <c r="B2691" s="1097"/>
      <c r="C2691" s="1097"/>
      <c r="D2691" s="1097"/>
      <c r="E2691" s="1097"/>
      <c r="F2691" s="934"/>
      <c r="G2691" s="1098"/>
      <c r="H2691" s="1099"/>
      <c r="I2691" s="1099"/>
      <c r="J2691" s="934"/>
      <c r="K2691" s="934"/>
      <c r="L2691" s="933"/>
      <c r="M2691" s="1100"/>
      <c r="N2691" s="934"/>
      <c r="O2691" s="936"/>
      <c r="P2691" s="936"/>
      <c r="Q2691" s="933"/>
      <c r="T2691" s="1101"/>
      <c r="U2691" s="1102"/>
      <c r="V2691" s="936"/>
      <c r="W2691" s="1103"/>
      <c r="X2691" s="1104"/>
      <c r="Y2691" s="1105"/>
      <c r="Z2691" s="1103"/>
      <c r="AA2691" s="1103"/>
      <c r="AB2691" s="1103"/>
      <c r="AC2691" s="1106"/>
      <c r="AD2691" s="1107"/>
      <c r="AE2691" s="1104"/>
      <c r="AG2691" s="1109"/>
      <c r="AI2691" s="1110"/>
      <c r="AL2691" s="933"/>
      <c r="AM2691" s="933"/>
      <c r="AN2691" s="1100"/>
      <c r="AO2691" s="1100"/>
      <c r="AP2691" s="934"/>
      <c r="AQ2691" s="934"/>
      <c r="AR2691" s="934"/>
      <c r="AS2691" s="936"/>
      <c r="AT2691" s="936"/>
      <c r="AU2691" s="936"/>
      <c r="AV2691" s="937"/>
      <c r="AW2691" s="938"/>
      <c r="AX2691" s="939"/>
      <c r="AY2691" s="933"/>
      <c r="AZ2691" s="936"/>
      <c r="BA2691" s="936"/>
      <c r="BB2691" s="1112"/>
      <c r="BC2691" s="940"/>
      <c r="BD2691" s="941"/>
      <c r="BE2691" s="942"/>
      <c r="BF2691" s="943"/>
      <c r="BG2691" s="943"/>
      <c r="BH2691" s="943"/>
      <c r="BI2691" s="943"/>
      <c r="BJ2691" s="943"/>
      <c r="BK2691" s="943"/>
      <c r="BL2691" s="943"/>
      <c r="BM2691" s="943"/>
      <c r="BN2691" s="943"/>
      <c r="BO2691" s="1059"/>
      <c r="BP2691" s="1059"/>
      <c r="BQ2691" s="1059"/>
      <c r="BR2691" s="1059"/>
      <c r="BS2691" s="1059"/>
      <c r="BT2691" s="1059"/>
      <c r="BU2691" s="1059"/>
      <c r="BV2691" s="944"/>
      <c r="BW2691" s="944"/>
      <c r="BX2691" s="1147"/>
      <c r="BY2691" s="944"/>
      <c r="BZ2691" s="944"/>
      <c r="CA2691" s="944"/>
      <c r="CB2691" s="944"/>
    </row>
    <row r="2692" spans="2:80">
      <c r="B2692" s="1097"/>
      <c r="C2692" s="1097"/>
      <c r="D2692" s="1097"/>
      <c r="E2692" s="1097"/>
      <c r="F2692" s="934"/>
      <c r="G2692" s="1098"/>
      <c r="H2692" s="1099"/>
      <c r="I2692" s="1099"/>
      <c r="J2692" s="934"/>
      <c r="K2692" s="934"/>
      <c r="L2692" s="933"/>
      <c r="M2692" s="1100"/>
      <c r="N2692" s="934"/>
      <c r="O2692" s="936"/>
      <c r="P2692" s="936"/>
      <c r="Q2692" s="933"/>
      <c r="T2692" s="1101"/>
      <c r="U2692" s="1102"/>
      <c r="V2692" s="936"/>
      <c r="W2692" s="1103"/>
      <c r="X2692" s="1104"/>
      <c r="Y2692" s="1105"/>
      <c r="Z2692" s="1103"/>
      <c r="AA2692" s="1103"/>
      <c r="AB2692" s="1103"/>
      <c r="AC2692" s="1106"/>
      <c r="AD2692" s="1107"/>
      <c r="AE2692" s="1104"/>
      <c r="AG2692" s="1109"/>
      <c r="AI2692" s="1110"/>
      <c r="AL2692" s="933"/>
      <c r="AM2692" s="933"/>
      <c r="AN2692" s="1100"/>
      <c r="AO2692" s="1100"/>
      <c r="AP2692" s="934"/>
      <c r="AQ2692" s="934"/>
      <c r="AR2692" s="934"/>
      <c r="AS2692" s="936"/>
      <c r="AT2692" s="936"/>
      <c r="AU2692" s="936"/>
      <c r="AV2692" s="937"/>
      <c r="AW2692" s="938"/>
      <c r="AX2692" s="939"/>
      <c r="AY2692" s="933"/>
      <c r="AZ2692" s="936"/>
      <c r="BA2692" s="936"/>
      <c r="BB2692" s="1112"/>
      <c r="BC2692" s="940"/>
      <c r="BD2692" s="941"/>
      <c r="BE2692" s="942"/>
      <c r="BF2692" s="943"/>
      <c r="BG2692" s="943"/>
      <c r="BH2692" s="943"/>
      <c r="BI2692" s="943"/>
      <c r="BJ2692" s="943"/>
      <c r="BK2692" s="943"/>
      <c r="BL2692" s="943"/>
      <c r="BM2692" s="943"/>
      <c r="BN2692" s="943"/>
      <c r="BO2692" s="1059"/>
      <c r="BP2692" s="1059"/>
      <c r="BQ2692" s="1059"/>
      <c r="BR2692" s="1059"/>
      <c r="BS2692" s="1059"/>
      <c r="BT2692" s="1059"/>
      <c r="BU2692" s="1059"/>
      <c r="BV2692" s="944"/>
      <c r="BW2692" s="944"/>
      <c r="BX2692" s="1147"/>
      <c r="BY2692" s="944"/>
      <c r="BZ2692" s="944"/>
      <c r="CA2692" s="944"/>
      <c r="CB2692" s="944"/>
    </row>
    <row r="2693" spans="2:80">
      <c r="B2693" s="1097"/>
      <c r="C2693" s="1097"/>
      <c r="D2693" s="1097"/>
      <c r="E2693" s="1097"/>
      <c r="F2693" s="934"/>
      <c r="G2693" s="1098"/>
      <c r="H2693" s="1099"/>
      <c r="I2693" s="1099"/>
      <c r="J2693" s="934"/>
      <c r="K2693" s="934"/>
      <c r="L2693" s="933"/>
      <c r="M2693" s="1100"/>
      <c r="N2693" s="934"/>
      <c r="O2693" s="936"/>
      <c r="P2693" s="936"/>
      <c r="Q2693" s="933"/>
      <c r="T2693" s="1101"/>
      <c r="U2693" s="1102"/>
      <c r="V2693" s="936"/>
      <c r="W2693" s="1103"/>
      <c r="X2693" s="1104"/>
      <c r="Y2693" s="1105"/>
      <c r="Z2693" s="1103"/>
      <c r="AA2693" s="1103"/>
      <c r="AB2693" s="1103"/>
      <c r="AC2693" s="1106"/>
      <c r="AD2693" s="1107"/>
      <c r="AE2693" s="1104"/>
      <c r="AG2693" s="1109"/>
      <c r="AI2693" s="1110"/>
      <c r="AL2693" s="933"/>
      <c r="AM2693" s="933"/>
      <c r="AN2693" s="1100"/>
      <c r="AO2693" s="1100"/>
      <c r="AP2693" s="934"/>
      <c r="AQ2693" s="934"/>
      <c r="AR2693" s="934"/>
      <c r="AS2693" s="936"/>
      <c r="AT2693" s="936"/>
      <c r="AU2693" s="936"/>
      <c r="AV2693" s="937"/>
      <c r="AW2693" s="938"/>
      <c r="AX2693" s="939"/>
      <c r="AY2693" s="933"/>
      <c r="AZ2693" s="936"/>
      <c r="BA2693" s="936"/>
      <c r="BB2693" s="1112"/>
      <c r="BC2693" s="940"/>
      <c r="BD2693" s="941"/>
      <c r="BE2693" s="942"/>
      <c r="BF2693" s="943"/>
      <c r="BG2693" s="943"/>
      <c r="BH2693" s="943"/>
      <c r="BI2693" s="943"/>
      <c r="BJ2693" s="943"/>
      <c r="BK2693" s="943"/>
      <c r="BL2693" s="943"/>
      <c r="BM2693" s="943"/>
      <c r="BN2693" s="943"/>
      <c r="BO2693" s="1059"/>
      <c r="BP2693" s="1059"/>
      <c r="BQ2693" s="1059"/>
      <c r="BR2693" s="1059"/>
      <c r="BS2693" s="1059"/>
      <c r="BT2693" s="1059"/>
      <c r="BU2693" s="1059"/>
      <c r="BV2693" s="944"/>
      <c r="BW2693" s="944"/>
      <c r="BX2693" s="1147"/>
      <c r="BY2693" s="944"/>
      <c r="BZ2693" s="944"/>
      <c r="CA2693" s="944"/>
      <c r="CB2693" s="944"/>
    </row>
    <row r="2694" spans="2:80">
      <c r="B2694" s="1097"/>
      <c r="C2694" s="1097"/>
      <c r="D2694" s="1097"/>
      <c r="E2694" s="1097"/>
      <c r="F2694" s="934"/>
      <c r="G2694" s="1098"/>
      <c r="H2694" s="1099"/>
      <c r="I2694" s="1099"/>
      <c r="J2694" s="934"/>
      <c r="K2694" s="934"/>
      <c r="L2694" s="933"/>
      <c r="M2694" s="1100"/>
      <c r="N2694" s="934"/>
      <c r="O2694" s="936"/>
      <c r="P2694" s="936"/>
      <c r="Q2694" s="933"/>
      <c r="T2694" s="1101"/>
      <c r="U2694" s="1102"/>
      <c r="V2694" s="936"/>
      <c r="W2694" s="1103"/>
      <c r="X2694" s="1104"/>
      <c r="Y2694" s="1105"/>
      <c r="Z2694" s="1103"/>
      <c r="AA2694" s="1103"/>
      <c r="AB2694" s="1103"/>
      <c r="AC2694" s="1106"/>
      <c r="AD2694" s="1107"/>
      <c r="AE2694" s="1104"/>
      <c r="AG2694" s="1109"/>
      <c r="AI2694" s="1110"/>
      <c r="AL2694" s="933"/>
      <c r="AM2694" s="933"/>
      <c r="AN2694" s="1100"/>
      <c r="AO2694" s="1100"/>
      <c r="AP2694" s="934"/>
      <c r="AQ2694" s="934"/>
      <c r="AR2694" s="934"/>
      <c r="AS2694" s="936"/>
      <c r="AT2694" s="936"/>
      <c r="AU2694" s="936"/>
      <c r="AV2694" s="937"/>
      <c r="AW2694" s="938"/>
      <c r="AX2694" s="939"/>
      <c r="AY2694" s="933"/>
      <c r="AZ2694" s="936"/>
      <c r="BA2694" s="936"/>
      <c r="BB2694" s="1112"/>
      <c r="BC2694" s="940"/>
      <c r="BD2694" s="941"/>
      <c r="BE2694" s="942"/>
      <c r="BF2694" s="943"/>
      <c r="BG2694" s="943"/>
      <c r="BH2694" s="943"/>
      <c r="BI2694" s="943"/>
      <c r="BJ2694" s="943"/>
      <c r="BK2694" s="943"/>
      <c r="BL2694" s="943"/>
      <c r="BM2694" s="943"/>
      <c r="BN2694" s="943"/>
      <c r="BO2694" s="1059"/>
      <c r="BP2694" s="1059"/>
      <c r="BQ2694" s="1059"/>
      <c r="BR2694" s="1059"/>
      <c r="BS2694" s="1059"/>
      <c r="BT2694" s="1059"/>
      <c r="BU2694" s="1059"/>
      <c r="BV2694" s="944"/>
      <c r="BW2694" s="944"/>
      <c r="BX2694" s="1147"/>
      <c r="BY2694" s="944"/>
      <c r="BZ2694" s="944"/>
      <c r="CA2694" s="944"/>
      <c r="CB2694" s="944"/>
    </row>
    <row r="2695" spans="2:80">
      <c r="B2695" s="1097"/>
      <c r="C2695" s="1097"/>
      <c r="D2695" s="1097"/>
      <c r="E2695" s="1097"/>
      <c r="F2695" s="934"/>
      <c r="G2695" s="1098"/>
      <c r="H2695" s="1099"/>
      <c r="I2695" s="1099"/>
      <c r="J2695" s="934"/>
      <c r="K2695" s="934"/>
      <c r="L2695" s="933"/>
      <c r="M2695" s="1100"/>
      <c r="N2695" s="934"/>
      <c r="O2695" s="936"/>
      <c r="P2695" s="936"/>
      <c r="Q2695" s="933"/>
      <c r="T2695" s="1101"/>
      <c r="U2695" s="1102"/>
      <c r="V2695" s="936"/>
      <c r="W2695" s="1103"/>
      <c r="X2695" s="1104"/>
      <c r="Y2695" s="1105"/>
      <c r="Z2695" s="1103"/>
      <c r="AA2695" s="1103"/>
      <c r="AB2695" s="1103"/>
      <c r="AC2695" s="1106"/>
      <c r="AD2695" s="1107"/>
      <c r="AE2695" s="1104"/>
      <c r="AG2695" s="1109"/>
      <c r="AI2695" s="1110"/>
      <c r="AL2695" s="933"/>
      <c r="AM2695" s="933"/>
      <c r="AN2695" s="1100"/>
      <c r="AO2695" s="1100"/>
      <c r="AP2695" s="934"/>
      <c r="AQ2695" s="934"/>
      <c r="AR2695" s="934"/>
      <c r="AS2695" s="936"/>
      <c r="AT2695" s="936"/>
      <c r="AU2695" s="936"/>
      <c r="AV2695" s="937"/>
      <c r="AW2695" s="938"/>
      <c r="AX2695" s="939"/>
      <c r="AY2695" s="933"/>
      <c r="AZ2695" s="936"/>
      <c r="BA2695" s="936"/>
      <c r="BB2695" s="1112"/>
      <c r="BC2695" s="940"/>
      <c r="BD2695" s="941"/>
      <c r="BE2695" s="942"/>
      <c r="BF2695" s="943"/>
      <c r="BG2695" s="943"/>
      <c r="BH2695" s="943"/>
      <c r="BI2695" s="943"/>
      <c r="BJ2695" s="943"/>
      <c r="BK2695" s="943"/>
      <c r="BL2695" s="943"/>
      <c r="BM2695" s="943"/>
      <c r="BN2695" s="943"/>
      <c r="BO2695" s="1059"/>
      <c r="BP2695" s="1059"/>
      <c r="BQ2695" s="1059"/>
      <c r="BR2695" s="1059"/>
      <c r="BS2695" s="1059"/>
      <c r="BT2695" s="1059"/>
      <c r="BU2695" s="1059"/>
      <c r="BV2695" s="944"/>
      <c r="BW2695" s="944"/>
      <c r="BX2695" s="1147"/>
      <c r="BY2695" s="944"/>
      <c r="BZ2695" s="944"/>
      <c r="CA2695" s="944"/>
      <c r="CB2695" s="944"/>
    </row>
    <row r="2696" spans="2:80">
      <c r="B2696" s="1097"/>
      <c r="C2696" s="1097"/>
      <c r="D2696" s="1097"/>
      <c r="E2696" s="1097"/>
      <c r="F2696" s="934"/>
      <c r="G2696" s="1098"/>
      <c r="H2696" s="1099"/>
      <c r="I2696" s="1099"/>
      <c r="J2696" s="934"/>
      <c r="K2696" s="934"/>
      <c r="L2696" s="933"/>
      <c r="M2696" s="1100"/>
      <c r="N2696" s="934"/>
      <c r="O2696" s="936"/>
      <c r="P2696" s="936"/>
      <c r="Q2696" s="933"/>
      <c r="T2696" s="1101"/>
      <c r="U2696" s="1102"/>
      <c r="V2696" s="936"/>
      <c r="W2696" s="1103"/>
      <c r="X2696" s="1104"/>
      <c r="Y2696" s="1105"/>
      <c r="Z2696" s="1103"/>
      <c r="AA2696" s="1103"/>
      <c r="AB2696" s="1103"/>
      <c r="AC2696" s="1106"/>
      <c r="AD2696" s="1107"/>
      <c r="AE2696" s="1104"/>
      <c r="AG2696" s="1109"/>
      <c r="AI2696" s="1110"/>
      <c r="AL2696" s="933"/>
      <c r="AM2696" s="933"/>
      <c r="AN2696" s="1100"/>
      <c r="AO2696" s="1100"/>
      <c r="AP2696" s="934"/>
      <c r="AQ2696" s="934"/>
      <c r="AR2696" s="934"/>
      <c r="AS2696" s="936"/>
      <c r="AT2696" s="936"/>
      <c r="AU2696" s="936"/>
      <c r="AV2696" s="937"/>
      <c r="AW2696" s="938"/>
      <c r="AX2696" s="939"/>
      <c r="AY2696" s="933"/>
      <c r="AZ2696" s="936"/>
      <c r="BA2696" s="936"/>
      <c r="BB2696" s="1112"/>
      <c r="BC2696" s="940"/>
      <c r="BD2696" s="941"/>
      <c r="BE2696" s="942"/>
      <c r="BF2696" s="943"/>
      <c r="BG2696" s="943"/>
      <c r="BH2696" s="943"/>
      <c r="BI2696" s="943"/>
      <c r="BJ2696" s="943"/>
      <c r="BK2696" s="943"/>
      <c r="BL2696" s="943"/>
      <c r="BM2696" s="943"/>
      <c r="BN2696" s="943"/>
      <c r="BO2696" s="1059"/>
      <c r="BP2696" s="1059"/>
      <c r="BQ2696" s="1059"/>
      <c r="BR2696" s="1059"/>
      <c r="BS2696" s="1059"/>
      <c r="BT2696" s="1059"/>
      <c r="BU2696" s="1059"/>
      <c r="BV2696" s="944"/>
      <c r="BW2696" s="944"/>
      <c r="BX2696" s="1147"/>
      <c r="BY2696" s="944"/>
      <c r="BZ2696" s="944"/>
      <c r="CA2696" s="944"/>
      <c r="CB2696" s="944"/>
    </row>
    <row r="2697" spans="2:80">
      <c r="B2697" s="1097"/>
      <c r="C2697" s="1097"/>
      <c r="D2697" s="1097"/>
      <c r="E2697" s="1097"/>
      <c r="F2697" s="934"/>
      <c r="G2697" s="1098"/>
      <c r="H2697" s="1099"/>
      <c r="I2697" s="1099"/>
      <c r="J2697" s="934"/>
      <c r="K2697" s="934"/>
      <c r="L2697" s="933"/>
      <c r="M2697" s="1100"/>
      <c r="N2697" s="934"/>
      <c r="O2697" s="936"/>
      <c r="P2697" s="936"/>
      <c r="Q2697" s="933"/>
      <c r="T2697" s="1101"/>
      <c r="U2697" s="1102"/>
      <c r="V2697" s="936"/>
      <c r="W2697" s="1103"/>
      <c r="X2697" s="1104"/>
      <c r="Y2697" s="1105"/>
      <c r="Z2697" s="1103"/>
      <c r="AA2697" s="1103"/>
      <c r="AB2697" s="1103"/>
      <c r="AC2697" s="1106"/>
      <c r="AD2697" s="1107"/>
      <c r="AE2697" s="1104"/>
      <c r="AG2697" s="1109"/>
      <c r="AI2697" s="1110"/>
      <c r="AL2697" s="933"/>
      <c r="AM2697" s="933"/>
      <c r="AN2697" s="1100"/>
      <c r="AO2697" s="1100"/>
      <c r="AP2697" s="934"/>
      <c r="AQ2697" s="934"/>
      <c r="AR2697" s="934"/>
      <c r="AS2697" s="936"/>
      <c r="AT2697" s="936"/>
      <c r="AU2697" s="936"/>
      <c r="AV2697" s="937"/>
      <c r="AW2697" s="938"/>
      <c r="AX2697" s="939"/>
      <c r="AY2697" s="933"/>
      <c r="AZ2697" s="936"/>
      <c r="BA2697" s="936"/>
      <c r="BB2697" s="1112"/>
      <c r="BC2697" s="940"/>
      <c r="BD2697" s="941"/>
      <c r="BE2697" s="942"/>
      <c r="BF2697" s="943"/>
      <c r="BG2697" s="943"/>
      <c r="BH2697" s="943"/>
      <c r="BI2697" s="943"/>
      <c r="BJ2697" s="943"/>
      <c r="BK2697" s="943"/>
      <c r="BL2697" s="943"/>
      <c r="BM2697" s="943"/>
      <c r="BN2697" s="943"/>
      <c r="BO2697" s="1059"/>
      <c r="BP2697" s="1059"/>
      <c r="BQ2697" s="1059"/>
      <c r="BR2697" s="1059"/>
      <c r="BS2697" s="1059"/>
      <c r="BT2697" s="1059"/>
      <c r="BU2697" s="1059"/>
      <c r="BV2697" s="944"/>
      <c r="BW2697" s="944"/>
      <c r="BX2697" s="1147"/>
      <c r="BY2697" s="944"/>
      <c r="BZ2697" s="944"/>
      <c r="CA2697" s="944"/>
      <c r="CB2697" s="944"/>
    </row>
    <row r="2698" spans="2:80">
      <c r="B2698" s="1097"/>
      <c r="C2698" s="1097"/>
      <c r="D2698" s="1097"/>
      <c r="E2698" s="1097"/>
      <c r="F2698" s="934"/>
      <c r="G2698" s="1098"/>
      <c r="H2698" s="1099"/>
      <c r="I2698" s="1099"/>
      <c r="J2698" s="934"/>
      <c r="K2698" s="934"/>
      <c r="L2698" s="933"/>
      <c r="M2698" s="1100"/>
      <c r="N2698" s="934"/>
      <c r="O2698" s="936"/>
      <c r="P2698" s="936"/>
      <c r="Q2698" s="933"/>
      <c r="T2698" s="1101"/>
      <c r="U2698" s="1102"/>
      <c r="V2698" s="936"/>
      <c r="W2698" s="1103"/>
      <c r="X2698" s="1104"/>
      <c r="Y2698" s="1105"/>
      <c r="Z2698" s="1103"/>
      <c r="AA2698" s="1103"/>
      <c r="AB2698" s="1103"/>
      <c r="AC2698" s="1106"/>
      <c r="AD2698" s="1107"/>
      <c r="AE2698" s="1104"/>
      <c r="AG2698" s="1109"/>
      <c r="AI2698" s="1110"/>
      <c r="AL2698" s="933"/>
      <c r="AM2698" s="933"/>
      <c r="AN2698" s="1100"/>
      <c r="AO2698" s="1100"/>
      <c r="AP2698" s="934"/>
      <c r="AQ2698" s="934"/>
      <c r="AR2698" s="934"/>
      <c r="AS2698" s="936"/>
      <c r="AT2698" s="936"/>
      <c r="AU2698" s="936"/>
      <c r="AV2698" s="937"/>
      <c r="AW2698" s="938"/>
      <c r="AX2698" s="939"/>
      <c r="AY2698" s="933"/>
      <c r="AZ2698" s="936"/>
      <c r="BA2698" s="936"/>
      <c r="BB2698" s="1112"/>
      <c r="BC2698" s="940"/>
      <c r="BD2698" s="941"/>
      <c r="BE2698" s="942"/>
      <c r="BF2698" s="943"/>
      <c r="BG2698" s="943"/>
      <c r="BH2698" s="943"/>
      <c r="BI2698" s="943"/>
      <c r="BJ2698" s="943"/>
      <c r="BK2698" s="943"/>
      <c r="BL2698" s="943"/>
      <c r="BM2698" s="943"/>
      <c r="BN2698" s="943"/>
      <c r="BO2698" s="1059"/>
      <c r="BP2698" s="1059"/>
      <c r="BQ2698" s="1059"/>
      <c r="BR2698" s="1059"/>
      <c r="BS2698" s="1059"/>
      <c r="BT2698" s="1059"/>
      <c r="BU2698" s="1059"/>
      <c r="BV2698" s="944"/>
      <c r="BW2698" s="944"/>
      <c r="BX2698" s="1147"/>
      <c r="BY2698" s="944"/>
      <c r="BZ2698" s="944"/>
      <c r="CA2698" s="944"/>
      <c r="CB2698" s="944"/>
    </row>
    <row r="2699" spans="2:80">
      <c r="B2699" s="1097"/>
      <c r="C2699" s="1097"/>
      <c r="D2699" s="1097"/>
      <c r="E2699" s="1097"/>
      <c r="F2699" s="934"/>
      <c r="G2699" s="1098"/>
      <c r="H2699" s="1099"/>
      <c r="I2699" s="1099"/>
      <c r="J2699" s="934"/>
      <c r="K2699" s="934"/>
      <c r="L2699" s="933"/>
      <c r="M2699" s="1100"/>
      <c r="N2699" s="934"/>
      <c r="O2699" s="936"/>
      <c r="P2699" s="936"/>
      <c r="Q2699" s="933"/>
      <c r="T2699" s="1101"/>
      <c r="U2699" s="1102"/>
      <c r="V2699" s="936"/>
      <c r="W2699" s="1103"/>
      <c r="X2699" s="1104"/>
      <c r="Y2699" s="1105"/>
      <c r="Z2699" s="1103"/>
      <c r="AA2699" s="1103"/>
      <c r="AB2699" s="1103"/>
      <c r="AC2699" s="1106"/>
      <c r="AD2699" s="1107"/>
      <c r="AE2699" s="1104"/>
      <c r="AG2699" s="1109"/>
      <c r="AI2699" s="1110"/>
      <c r="AL2699" s="933"/>
      <c r="AM2699" s="933"/>
      <c r="AN2699" s="1100"/>
      <c r="AO2699" s="1100"/>
      <c r="AP2699" s="934"/>
      <c r="AQ2699" s="934"/>
      <c r="AR2699" s="934"/>
      <c r="AS2699" s="936"/>
      <c r="AT2699" s="936"/>
      <c r="AU2699" s="936"/>
      <c r="AV2699" s="937"/>
      <c r="AW2699" s="938"/>
      <c r="AX2699" s="939"/>
      <c r="AY2699" s="933"/>
      <c r="AZ2699" s="936"/>
      <c r="BA2699" s="936"/>
      <c r="BB2699" s="1112"/>
      <c r="BC2699" s="940"/>
      <c r="BD2699" s="941"/>
      <c r="BE2699" s="942"/>
      <c r="BF2699" s="943"/>
      <c r="BG2699" s="943"/>
      <c r="BH2699" s="943"/>
      <c r="BI2699" s="943"/>
      <c r="BJ2699" s="943"/>
      <c r="BK2699" s="943"/>
      <c r="BL2699" s="943"/>
      <c r="BM2699" s="943"/>
      <c r="BN2699" s="943"/>
      <c r="BO2699" s="1059"/>
      <c r="BP2699" s="1059"/>
      <c r="BQ2699" s="1059"/>
      <c r="BR2699" s="1059"/>
      <c r="BS2699" s="1059"/>
      <c r="BT2699" s="1059"/>
      <c r="BU2699" s="1059"/>
      <c r="BV2699" s="944"/>
      <c r="BW2699" s="944"/>
      <c r="BX2699" s="1147"/>
      <c r="BY2699" s="944"/>
      <c r="BZ2699" s="944"/>
      <c r="CA2699" s="944"/>
      <c r="CB2699" s="944"/>
    </row>
    <row r="2700" spans="2:80">
      <c r="B2700" s="1097"/>
      <c r="C2700" s="1097"/>
      <c r="D2700" s="1097"/>
      <c r="E2700" s="1097"/>
      <c r="F2700" s="934"/>
      <c r="G2700" s="1098"/>
      <c r="H2700" s="1099"/>
      <c r="I2700" s="1099"/>
      <c r="J2700" s="934"/>
      <c r="K2700" s="934"/>
      <c r="L2700" s="933"/>
      <c r="M2700" s="1100"/>
      <c r="N2700" s="934"/>
      <c r="O2700" s="936"/>
      <c r="P2700" s="936"/>
      <c r="Q2700" s="933"/>
      <c r="T2700" s="1101"/>
      <c r="U2700" s="1102"/>
      <c r="V2700" s="936"/>
      <c r="W2700" s="1103"/>
      <c r="X2700" s="1104"/>
      <c r="Y2700" s="1105"/>
      <c r="Z2700" s="1103"/>
      <c r="AA2700" s="1103"/>
      <c r="AB2700" s="1103"/>
      <c r="AC2700" s="1106"/>
      <c r="AD2700" s="1107"/>
      <c r="AE2700" s="1104"/>
      <c r="AG2700" s="1109"/>
      <c r="AI2700" s="1110"/>
      <c r="AL2700" s="933"/>
      <c r="AM2700" s="933"/>
      <c r="AN2700" s="1100"/>
      <c r="AO2700" s="1100"/>
      <c r="AP2700" s="934"/>
      <c r="AQ2700" s="934"/>
      <c r="AR2700" s="934"/>
      <c r="AS2700" s="936"/>
      <c r="AT2700" s="936"/>
      <c r="AU2700" s="936"/>
      <c r="AV2700" s="937"/>
      <c r="AW2700" s="938"/>
      <c r="AX2700" s="939"/>
      <c r="AY2700" s="933"/>
      <c r="AZ2700" s="936"/>
      <c r="BA2700" s="936"/>
      <c r="BB2700" s="1112"/>
      <c r="BC2700" s="940"/>
      <c r="BD2700" s="941"/>
      <c r="BE2700" s="942"/>
      <c r="BF2700" s="943"/>
      <c r="BG2700" s="943"/>
      <c r="BH2700" s="943"/>
      <c r="BI2700" s="943"/>
      <c r="BJ2700" s="943"/>
      <c r="BK2700" s="943"/>
      <c r="BL2700" s="943"/>
      <c r="BM2700" s="943"/>
      <c r="BN2700" s="943"/>
      <c r="BO2700" s="1059"/>
      <c r="BP2700" s="1059"/>
      <c r="BQ2700" s="1059"/>
      <c r="BR2700" s="1059"/>
      <c r="BS2700" s="1059"/>
      <c r="BT2700" s="1059"/>
      <c r="BU2700" s="1059"/>
      <c r="BV2700" s="944"/>
      <c r="BW2700" s="944"/>
      <c r="BX2700" s="1147"/>
      <c r="BY2700" s="944"/>
      <c r="BZ2700" s="944"/>
      <c r="CA2700" s="944"/>
      <c r="CB2700" s="944"/>
    </row>
    <row r="2701" spans="2:80">
      <c r="B2701" s="1097"/>
      <c r="C2701" s="1097"/>
      <c r="D2701" s="1097"/>
      <c r="E2701" s="1097"/>
      <c r="F2701" s="934"/>
      <c r="G2701" s="1098"/>
      <c r="H2701" s="1099"/>
      <c r="I2701" s="1099"/>
      <c r="J2701" s="934"/>
      <c r="K2701" s="934"/>
      <c r="L2701" s="933"/>
      <c r="M2701" s="1100"/>
      <c r="N2701" s="934"/>
      <c r="O2701" s="936"/>
      <c r="P2701" s="936"/>
      <c r="Q2701" s="933"/>
      <c r="T2701" s="1101"/>
      <c r="U2701" s="1102"/>
      <c r="V2701" s="936"/>
      <c r="W2701" s="1103"/>
      <c r="X2701" s="1104"/>
      <c r="Y2701" s="1105"/>
      <c r="Z2701" s="1103"/>
      <c r="AA2701" s="1103"/>
      <c r="AB2701" s="1103"/>
      <c r="AC2701" s="1106"/>
      <c r="AD2701" s="1107"/>
      <c r="AE2701" s="1104"/>
      <c r="AG2701" s="1109"/>
      <c r="AI2701" s="1110"/>
      <c r="AL2701" s="933"/>
      <c r="AM2701" s="933"/>
      <c r="AN2701" s="1100"/>
      <c r="AO2701" s="1100"/>
      <c r="AP2701" s="934"/>
      <c r="AQ2701" s="934"/>
      <c r="AR2701" s="934"/>
      <c r="AS2701" s="936"/>
      <c r="AT2701" s="936"/>
      <c r="AU2701" s="936"/>
      <c r="AV2701" s="937"/>
      <c r="AW2701" s="938"/>
      <c r="AX2701" s="939"/>
      <c r="AY2701" s="933"/>
      <c r="AZ2701" s="936"/>
      <c r="BA2701" s="936"/>
      <c r="BB2701" s="1112"/>
      <c r="BC2701" s="940"/>
      <c r="BD2701" s="941"/>
      <c r="BE2701" s="942"/>
      <c r="BF2701" s="943"/>
      <c r="BG2701" s="943"/>
      <c r="BH2701" s="943"/>
      <c r="BI2701" s="943"/>
      <c r="BJ2701" s="943"/>
      <c r="BK2701" s="943"/>
      <c r="BL2701" s="943"/>
      <c r="BM2701" s="943"/>
      <c r="BN2701" s="943"/>
      <c r="BO2701" s="1059"/>
      <c r="BP2701" s="1059"/>
      <c r="BQ2701" s="1059"/>
      <c r="BR2701" s="1059"/>
      <c r="BS2701" s="1059"/>
      <c r="BT2701" s="1059"/>
      <c r="BU2701" s="1059"/>
      <c r="BV2701" s="944"/>
      <c r="BW2701" s="944"/>
      <c r="BX2701" s="1147"/>
      <c r="BY2701" s="944"/>
      <c r="BZ2701" s="944"/>
      <c r="CA2701" s="944"/>
      <c r="CB2701" s="944"/>
    </row>
    <row r="2702" spans="2:80">
      <c r="B2702" s="1097"/>
      <c r="C2702" s="1097"/>
      <c r="D2702" s="1097"/>
      <c r="E2702" s="1097"/>
      <c r="F2702" s="934"/>
      <c r="G2702" s="1098"/>
      <c r="H2702" s="1099"/>
      <c r="I2702" s="1099"/>
      <c r="J2702" s="934"/>
      <c r="K2702" s="934"/>
      <c r="L2702" s="933"/>
      <c r="M2702" s="1100"/>
      <c r="N2702" s="934"/>
      <c r="O2702" s="936"/>
      <c r="P2702" s="936"/>
      <c r="Q2702" s="933"/>
      <c r="T2702" s="1101"/>
      <c r="U2702" s="1102"/>
      <c r="V2702" s="936"/>
      <c r="W2702" s="1103"/>
      <c r="X2702" s="1104"/>
      <c r="Y2702" s="1105"/>
      <c r="Z2702" s="1103"/>
      <c r="AA2702" s="1103"/>
      <c r="AB2702" s="1103"/>
      <c r="AC2702" s="1106"/>
      <c r="AD2702" s="1107"/>
      <c r="AE2702" s="1104"/>
      <c r="AG2702" s="1109"/>
      <c r="AI2702" s="1110"/>
      <c r="AL2702" s="933"/>
      <c r="AM2702" s="933"/>
      <c r="AN2702" s="1100"/>
      <c r="AO2702" s="1100"/>
      <c r="AP2702" s="934"/>
      <c r="AQ2702" s="934"/>
      <c r="AR2702" s="934"/>
      <c r="AS2702" s="936"/>
      <c r="AT2702" s="936"/>
      <c r="AU2702" s="936"/>
      <c r="AV2702" s="937"/>
      <c r="AW2702" s="938"/>
      <c r="AX2702" s="939"/>
      <c r="AY2702" s="933"/>
      <c r="AZ2702" s="936"/>
      <c r="BA2702" s="936"/>
      <c r="BB2702" s="1112"/>
      <c r="BC2702" s="940"/>
      <c r="BD2702" s="941"/>
      <c r="BE2702" s="942"/>
      <c r="BF2702" s="943"/>
      <c r="BG2702" s="943"/>
      <c r="BH2702" s="943"/>
      <c r="BI2702" s="943"/>
      <c r="BJ2702" s="943"/>
      <c r="BK2702" s="943"/>
      <c r="BL2702" s="943"/>
      <c r="BM2702" s="943"/>
      <c r="BN2702" s="943"/>
      <c r="BO2702" s="1059"/>
      <c r="BP2702" s="1059"/>
      <c r="BQ2702" s="1059"/>
      <c r="BR2702" s="1059"/>
      <c r="BS2702" s="1059"/>
      <c r="BT2702" s="1059"/>
      <c r="BU2702" s="1059"/>
      <c r="BV2702" s="944"/>
      <c r="BW2702" s="944"/>
      <c r="BX2702" s="1147"/>
      <c r="BY2702" s="944"/>
      <c r="BZ2702" s="944"/>
      <c r="CA2702" s="944"/>
      <c r="CB2702" s="944"/>
    </row>
    <row r="2703" spans="2:80">
      <c r="B2703" s="1097"/>
      <c r="C2703" s="1097"/>
      <c r="D2703" s="1097"/>
      <c r="E2703" s="1097"/>
      <c r="F2703" s="934"/>
      <c r="G2703" s="1098"/>
      <c r="H2703" s="1099"/>
      <c r="I2703" s="1099"/>
      <c r="J2703" s="934"/>
      <c r="K2703" s="934"/>
      <c r="L2703" s="933"/>
      <c r="M2703" s="1100"/>
      <c r="N2703" s="934"/>
      <c r="O2703" s="936"/>
      <c r="P2703" s="936"/>
      <c r="Q2703" s="933"/>
      <c r="T2703" s="1101"/>
      <c r="U2703" s="1102"/>
      <c r="V2703" s="936"/>
      <c r="W2703" s="1103"/>
      <c r="X2703" s="1104"/>
      <c r="Y2703" s="1105"/>
      <c r="Z2703" s="1103"/>
      <c r="AA2703" s="1103"/>
      <c r="AB2703" s="1103"/>
      <c r="AC2703" s="1106"/>
      <c r="AD2703" s="1107"/>
      <c r="AE2703" s="1104"/>
      <c r="AG2703" s="1109"/>
      <c r="AI2703" s="1110"/>
      <c r="AL2703" s="933"/>
      <c r="AM2703" s="933"/>
      <c r="AN2703" s="1100"/>
      <c r="AO2703" s="1100"/>
      <c r="AP2703" s="934"/>
      <c r="AQ2703" s="934"/>
      <c r="AR2703" s="934"/>
      <c r="AS2703" s="936"/>
      <c r="AT2703" s="936"/>
      <c r="AU2703" s="936"/>
      <c r="AV2703" s="937"/>
      <c r="AW2703" s="938"/>
      <c r="AX2703" s="939"/>
      <c r="AY2703" s="933"/>
      <c r="AZ2703" s="936"/>
      <c r="BA2703" s="936"/>
      <c r="BB2703" s="1112"/>
      <c r="BC2703" s="940"/>
      <c r="BD2703" s="941"/>
      <c r="BE2703" s="942"/>
      <c r="BF2703" s="943"/>
      <c r="BG2703" s="943"/>
      <c r="BH2703" s="943"/>
      <c r="BI2703" s="943"/>
      <c r="BJ2703" s="943"/>
      <c r="BK2703" s="943"/>
      <c r="BL2703" s="943"/>
      <c r="BM2703" s="943"/>
      <c r="BN2703" s="943"/>
      <c r="BO2703" s="1059"/>
      <c r="BP2703" s="1059"/>
      <c r="BQ2703" s="1059"/>
      <c r="BR2703" s="1059"/>
      <c r="BS2703" s="1059"/>
      <c r="BT2703" s="1059"/>
      <c r="BU2703" s="1059"/>
      <c r="BV2703" s="944"/>
      <c r="BW2703" s="944"/>
      <c r="BX2703" s="1147"/>
      <c r="BY2703" s="944"/>
      <c r="BZ2703" s="944"/>
      <c r="CA2703" s="944"/>
      <c r="CB2703" s="944"/>
    </row>
    <row r="2704" spans="2:80">
      <c r="B2704" s="1097"/>
      <c r="C2704" s="1097"/>
      <c r="D2704" s="1097"/>
      <c r="E2704" s="1097"/>
      <c r="F2704" s="934"/>
      <c r="G2704" s="1098"/>
      <c r="H2704" s="1099"/>
      <c r="I2704" s="1099"/>
      <c r="J2704" s="934"/>
      <c r="K2704" s="934"/>
      <c r="L2704" s="933"/>
      <c r="M2704" s="1100"/>
      <c r="N2704" s="934"/>
      <c r="O2704" s="936"/>
      <c r="P2704" s="936"/>
      <c r="Q2704" s="933"/>
      <c r="T2704" s="1101"/>
      <c r="U2704" s="1102"/>
      <c r="V2704" s="936"/>
      <c r="W2704" s="1103"/>
      <c r="X2704" s="1104"/>
      <c r="Y2704" s="1105"/>
      <c r="Z2704" s="1103"/>
      <c r="AA2704" s="1103"/>
      <c r="AB2704" s="1103"/>
      <c r="AC2704" s="1106"/>
      <c r="AD2704" s="1107"/>
      <c r="AE2704" s="1104"/>
      <c r="AG2704" s="1109"/>
      <c r="AI2704" s="1110"/>
      <c r="AL2704" s="933"/>
      <c r="AM2704" s="933"/>
      <c r="AN2704" s="1100"/>
      <c r="AO2704" s="1100"/>
      <c r="AP2704" s="934"/>
      <c r="AQ2704" s="934"/>
      <c r="AR2704" s="934"/>
      <c r="AS2704" s="936"/>
      <c r="AT2704" s="936"/>
      <c r="AU2704" s="936"/>
      <c r="AV2704" s="937"/>
      <c r="AW2704" s="938"/>
      <c r="AX2704" s="939"/>
      <c r="AY2704" s="933"/>
      <c r="AZ2704" s="936"/>
      <c r="BA2704" s="936"/>
      <c r="BB2704" s="1112"/>
      <c r="BC2704" s="940"/>
      <c r="BD2704" s="941"/>
      <c r="BE2704" s="942"/>
      <c r="BF2704" s="943"/>
      <c r="BG2704" s="943"/>
      <c r="BH2704" s="943"/>
      <c r="BI2704" s="943"/>
      <c r="BJ2704" s="943"/>
      <c r="BK2704" s="943"/>
      <c r="BL2704" s="943"/>
      <c r="BM2704" s="943"/>
      <c r="BN2704" s="943"/>
      <c r="BO2704" s="1059"/>
      <c r="BP2704" s="1059"/>
      <c r="BQ2704" s="1059"/>
      <c r="BR2704" s="1059"/>
      <c r="BS2704" s="1059"/>
      <c r="BT2704" s="1059"/>
      <c r="BU2704" s="1059"/>
      <c r="BV2704" s="944"/>
      <c r="BW2704" s="944"/>
      <c r="BX2704" s="1147"/>
      <c r="BY2704" s="944"/>
      <c r="BZ2704" s="944"/>
      <c r="CA2704" s="944"/>
      <c r="CB2704" s="944"/>
    </row>
    <row r="2705" spans="2:80">
      <c r="B2705" s="1097"/>
      <c r="C2705" s="1097"/>
      <c r="D2705" s="1097"/>
      <c r="E2705" s="1097"/>
      <c r="F2705" s="934"/>
      <c r="G2705" s="1098"/>
      <c r="H2705" s="1099"/>
      <c r="I2705" s="1099"/>
      <c r="J2705" s="934"/>
      <c r="K2705" s="934"/>
      <c r="L2705" s="933"/>
      <c r="M2705" s="1100"/>
      <c r="N2705" s="934"/>
      <c r="O2705" s="936"/>
      <c r="P2705" s="936"/>
      <c r="Q2705" s="933"/>
      <c r="T2705" s="1101"/>
      <c r="U2705" s="1102"/>
      <c r="V2705" s="936"/>
      <c r="W2705" s="1103"/>
      <c r="X2705" s="1104"/>
      <c r="Y2705" s="1105"/>
      <c r="Z2705" s="1103"/>
      <c r="AA2705" s="1103"/>
      <c r="AB2705" s="1103"/>
      <c r="AC2705" s="1106"/>
      <c r="AD2705" s="1107"/>
      <c r="AE2705" s="1104"/>
      <c r="AG2705" s="1109"/>
      <c r="AI2705" s="1110"/>
      <c r="AL2705" s="933"/>
      <c r="AM2705" s="933"/>
      <c r="AN2705" s="1100"/>
      <c r="AO2705" s="1100"/>
      <c r="AP2705" s="934"/>
      <c r="AQ2705" s="934"/>
      <c r="AR2705" s="934"/>
      <c r="AS2705" s="936"/>
      <c r="AT2705" s="936"/>
      <c r="AU2705" s="936"/>
      <c r="AV2705" s="937"/>
      <c r="AW2705" s="938"/>
      <c r="AX2705" s="939"/>
      <c r="AY2705" s="933"/>
      <c r="AZ2705" s="936"/>
      <c r="BA2705" s="936"/>
      <c r="BB2705" s="1112"/>
      <c r="BC2705" s="940"/>
      <c r="BD2705" s="941"/>
      <c r="BE2705" s="942"/>
      <c r="BF2705" s="943"/>
      <c r="BG2705" s="943"/>
      <c r="BH2705" s="943"/>
      <c r="BI2705" s="943"/>
      <c r="BJ2705" s="943"/>
      <c r="BK2705" s="943"/>
      <c r="BL2705" s="943"/>
      <c r="BM2705" s="943"/>
      <c r="BN2705" s="943"/>
      <c r="BO2705" s="1059"/>
      <c r="BP2705" s="1059"/>
      <c r="BQ2705" s="1059"/>
      <c r="BR2705" s="1059"/>
      <c r="BS2705" s="1059"/>
      <c r="BT2705" s="1059"/>
      <c r="BU2705" s="1059"/>
      <c r="BV2705" s="944"/>
      <c r="BW2705" s="944"/>
      <c r="BX2705" s="1147"/>
      <c r="BY2705" s="944"/>
      <c r="BZ2705" s="944"/>
      <c r="CA2705" s="944"/>
      <c r="CB2705" s="944"/>
    </row>
    <row r="2706" spans="2:80">
      <c r="B2706" s="1097"/>
      <c r="C2706" s="1097"/>
      <c r="D2706" s="1097"/>
      <c r="E2706" s="1097"/>
      <c r="F2706" s="934"/>
      <c r="G2706" s="1098"/>
      <c r="H2706" s="1099"/>
      <c r="I2706" s="1099"/>
      <c r="J2706" s="934"/>
      <c r="K2706" s="934"/>
      <c r="L2706" s="933"/>
      <c r="M2706" s="1100"/>
      <c r="N2706" s="934"/>
      <c r="O2706" s="936"/>
      <c r="P2706" s="936"/>
      <c r="Q2706" s="933"/>
      <c r="T2706" s="1101"/>
      <c r="U2706" s="1102"/>
      <c r="V2706" s="936"/>
      <c r="W2706" s="1103"/>
      <c r="X2706" s="1104"/>
      <c r="Y2706" s="1105"/>
      <c r="Z2706" s="1103"/>
      <c r="AA2706" s="1103"/>
      <c r="AB2706" s="1103"/>
      <c r="AC2706" s="1106"/>
      <c r="AD2706" s="1107"/>
      <c r="AE2706" s="1104"/>
      <c r="AG2706" s="1109"/>
      <c r="AI2706" s="1110"/>
      <c r="AL2706" s="933"/>
      <c r="AM2706" s="933"/>
      <c r="AN2706" s="1100"/>
      <c r="AO2706" s="1100"/>
      <c r="AP2706" s="934"/>
      <c r="AQ2706" s="934"/>
      <c r="AR2706" s="934"/>
      <c r="AS2706" s="936"/>
      <c r="AT2706" s="936"/>
      <c r="AU2706" s="936"/>
      <c r="AV2706" s="937"/>
      <c r="AW2706" s="938"/>
      <c r="AX2706" s="939"/>
      <c r="AY2706" s="933"/>
      <c r="AZ2706" s="936"/>
      <c r="BA2706" s="936"/>
      <c r="BB2706" s="1112"/>
      <c r="BC2706" s="940"/>
      <c r="BD2706" s="941"/>
      <c r="BE2706" s="942"/>
      <c r="BF2706" s="943"/>
      <c r="BG2706" s="943"/>
      <c r="BH2706" s="943"/>
      <c r="BI2706" s="943"/>
      <c r="BJ2706" s="943"/>
      <c r="BK2706" s="943"/>
      <c r="BL2706" s="943"/>
      <c r="BM2706" s="943"/>
      <c r="BN2706" s="943"/>
      <c r="BO2706" s="1059"/>
      <c r="BP2706" s="1059"/>
      <c r="BQ2706" s="1059"/>
      <c r="BR2706" s="1059"/>
      <c r="BS2706" s="1059"/>
      <c r="BT2706" s="1059"/>
      <c r="BU2706" s="1059"/>
      <c r="BV2706" s="944"/>
      <c r="BW2706" s="944"/>
      <c r="BX2706" s="1147"/>
      <c r="BY2706" s="944"/>
      <c r="BZ2706" s="944"/>
      <c r="CA2706" s="944"/>
      <c r="CB2706" s="944"/>
    </row>
    <row r="2707" spans="2:80">
      <c r="B2707" s="1097"/>
      <c r="C2707" s="1097"/>
      <c r="D2707" s="1097"/>
      <c r="E2707" s="1097"/>
      <c r="F2707" s="934"/>
      <c r="G2707" s="1098"/>
      <c r="H2707" s="1099"/>
      <c r="I2707" s="1099"/>
      <c r="J2707" s="934"/>
      <c r="K2707" s="934"/>
      <c r="L2707" s="933"/>
      <c r="M2707" s="1100"/>
      <c r="N2707" s="934"/>
      <c r="O2707" s="936"/>
      <c r="P2707" s="936"/>
      <c r="Q2707" s="933"/>
      <c r="T2707" s="1101"/>
      <c r="U2707" s="1102"/>
      <c r="V2707" s="936"/>
      <c r="W2707" s="1103"/>
      <c r="X2707" s="1104"/>
      <c r="Y2707" s="1105"/>
      <c r="Z2707" s="1103"/>
      <c r="AA2707" s="1103"/>
      <c r="AB2707" s="1103"/>
      <c r="AC2707" s="1106"/>
      <c r="AD2707" s="1107"/>
      <c r="AE2707" s="1104"/>
      <c r="AG2707" s="1109"/>
      <c r="AI2707" s="1110"/>
      <c r="AL2707" s="933"/>
      <c r="AM2707" s="933"/>
      <c r="AN2707" s="1100"/>
      <c r="AO2707" s="1100"/>
      <c r="AP2707" s="934"/>
      <c r="AQ2707" s="934"/>
      <c r="AR2707" s="934"/>
      <c r="AS2707" s="936"/>
      <c r="AT2707" s="936"/>
      <c r="AU2707" s="936"/>
      <c r="AV2707" s="937"/>
      <c r="AW2707" s="938"/>
      <c r="AX2707" s="939"/>
      <c r="AY2707" s="933"/>
      <c r="AZ2707" s="936"/>
      <c r="BA2707" s="936"/>
      <c r="BB2707" s="1112"/>
      <c r="BC2707" s="940"/>
      <c r="BD2707" s="941"/>
      <c r="BE2707" s="942"/>
      <c r="BF2707" s="943"/>
      <c r="BG2707" s="943"/>
      <c r="BH2707" s="943"/>
      <c r="BI2707" s="943"/>
      <c r="BJ2707" s="943"/>
      <c r="BK2707" s="943"/>
      <c r="BL2707" s="943"/>
      <c r="BM2707" s="943"/>
      <c r="BN2707" s="943"/>
      <c r="BO2707" s="1059"/>
      <c r="BP2707" s="1059"/>
      <c r="BQ2707" s="1059"/>
      <c r="BR2707" s="1059"/>
      <c r="BS2707" s="1059"/>
      <c r="BT2707" s="1059"/>
      <c r="BU2707" s="1059"/>
      <c r="BV2707" s="944"/>
      <c r="BW2707" s="944"/>
      <c r="BX2707" s="1147"/>
      <c r="BY2707" s="944"/>
      <c r="BZ2707" s="944"/>
      <c r="CA2707" s="944"/>
      <c r="CB2707" s="944"/>
    </row>
    <row r="2708" spans="2:80">
      <c r="B2708" s="1097"/>
      <c r="C2708" s="1097"/>
      <c r="D2708" s="1097"/>
      <c r="E2708" s="1097"/>
      <c r="F2708" s="934"/>
      <c r="G2708" s="1098"/>
      <c r="H2708" s="1099"/>
      <c r="I2708" s="1099"/>
      <c r="J2708" s="934"/>
      <c r="K2708" s="934"/>
      <c r="L2708" s="933"/>
      <c r="M2708" s="1100"/>
      <c r="N2708" s="934"/>
      <c r="O2708" s="936"/>
      <c r="P2708" s="936"/>
      <c r="Q2708" s="933"/>
      <c r="T2708" s="1101"/>
      <c r="U2708" s="1102"/>
      <c r="V2708" s="936"/>
      <c r="W2708" s="1103"/>
      <c r="X2708" s="1104"/>
      <c r="Y2708" s="1105"/>
      <c r="Z2708" s="1103"/>
      <c r="AA2708" s="1103"/>
      <c r="AB2708" s="1103"/>
      <c r="AC2708" s="1106"/>
      <c r="AD2708" s="1107"/>
      <c r="AE2708" s="1104"/>
      <c r="AG2708" s="1109"/>
      <c r="AI2708" s="1110"/>
      <c r="AL2708" s="933"/>
      <c r="AM2708" s="933"/>
      <c r="AN2708" s="1100"/>
      <c r="AO2708" s="1100"/>
      <c r="AP2708" s="934"/>
      <c r="AQ2708" s="934"/>
      <c r="AR2708" s="934"/>
      <c r="AS2708" s="936"/>
      <c r="AT2708" s="936"/>
      <c r="AU2708" s="936"/>
      <c r="AV2708" s="937"/>
      <c r="AW2708" s="938"/>
      <c r="AX2708" s="939"/>
      <c r="AY2708" s="933"/>
      <c r="AZ2708" s="936"/>
      <c r="BA2708" s="936"/>
      <c r="BB2708" s="1112"/>
      <c r="BC2708" s="940"/>
      <c r="BD2708" s="941"/>
      <c r="BE2708" s="942"/>
      <c r="BF2708" s="943"/>
      <c r="BG2708" s="943"/>
      <c r="BH2708" s="943"/>
      <c r="BI2708" s="943"/>
      <c r="BJ2708" s="943"/>
      <c r="BK2708" s="943"/>
      <c r="BL2708" s="943"/>
      <c r="BM2708" s="943"/>
      <c r="BN2708" s="943"/>
      <c r="BO2708" s="1059"/>
      <c r="BP2708" s="1059"/>
      <c r="BQ2708" s="1059"/>
      <c r="BR2708" s="1059"/>
      <c r="BS2708" s="1059"/>
      <c r="BT2708" s="1059"/>
      <c r="BU2708" s="1059"/>
      <c r="BV2708" s="944"/>
      <c r="BW2708" s="944"/>
      <c r="BX2708" s="1147"/>
      <c r="BY2708" s="944"/>
      <c r="BZ2708" s="944"/>
      <c r="CA2708" s="944"/>
      <c r="CB2708" s="944"/>
    </row>
    <row r="2709" spans="2:80">
      <c r="B2709" s="1097"/>
      <c r="C2709" s="1097"/>
      <c r="D2709" s="1097"/>
      <c r="E2709" s="1097"/>
      <c r="F2709" s="934"/>
      <c r="G2709" s="1098"/>
      <c r="H2709" s="1099"/>
      <c r="I2709" s="1099"/>
      <c r="J2709" s="934"/>
      <c r="K2709" s="934"/>
      <c r="L2709" s="933"/>
      <c r="M2709" s="1100"/>
      <c r="N2709" s="934"/>
      <c r="O2709" s="936"/>
      <c r="P2709" s="936"/>
      <c r="Q2709" s="933"/>
      <c r="T2709" s="1101"/>
      <c r="U2709" s="1102"/>
      <c r="V2709" s="936"/>
      <c r="W2709" s="1103"/>
      <c r="X2709" s="1104"/>
      <c r="Y2709" s="1105"/>
      <c r="Z2709" s="1103"/>
      <c r="AA2709" s="1103"/>
      <c r="AB2709" s="1103"/>
      <c r="AC2709" s="1106"/>
      <c r="AD2709" s="1107"/>
      <c r="AE2709" s="1104"/>
      <c r="AG2709" s="1109"/>
      <c r="AI2709" s="1110"/>
      <c r="AL2709" s="933"/>
      <c r="AM2709" s="933"/>
      <c r="AN2709" s="1100"/>
      <c r="AO2709" s="1100"/>
      <c r="AP2709" s="934"/>
      <c r="AQ2709" s="934"/>
      <c r="AR2709" s="934"/>
      <c r="AS2709" s="936"/>
      <c r="AT2709" s="936"/>
      <c r="AU2709" s="936"/>
      <c r="AV2709" s="937"/>
      <c r="AW2709" s="938"/>
      <c r="AX2709" s="939"/>
      <c r="AY2709" s="933"/>
      <c r="AZ2709" s="936"/>
      <c r="BA2709" s="936"/>
      <c r="BB2709" s="1112"/>
      <c r="BC2709" s="940"/>
      <c r="BD2709" s="941"/>
      <c r="BE2709" s="942"/>
      <c r="BF2709" s="943"/>
      <c r="BG2709" s="943"/>
      <c r="BH2709" s="943"/>
      <c r="BI2709" s="943"/>
      <c r="BJ2709" s="943"/>
      <c r="BK2709" s="943"/>
      <c r="BL2709" s="943"/>
      <c r="BM2709" s="943"/>
      <c r="BN2709" s="943"/>
      <c r="BO2709" s="1059"/>
      <c r="BP2709" s="1059"/>
      <c r="BQ2709" s="1059"/>
      <c r="BR2709" s="1059"/>
      <c r="BS2709" s="1059"/>
      <c r="BT2709" s="1059"/>
      <c r="BU2709" s="1059"/>
      <c r="BV2709" s="944"/>
      <c r="BW2709" s="944"/>
      <c r="BX2709" s="1147"/>
      <c r="BY2709" s="944"/>
      <c r="BZ2709" s="944"/>
      <c r="CA2709" s="944"/>
      <c r="CB2709" s="944"/>
    </row>
    <row r="2710" spans="2:80">
      <c r="B2710" s="1097"/>
      <c r="C2710" s="1097"/>
      <c r="D2710" s="1097"/>
      <c r="E2710" s="1097"/>
      <c r="F2710" s="934"/>
      <c r="G2710" s="1098"/>
      <c r="H2710" s="1099"/>
      <c r="I2710" s="1099"/>
      <c r="J2710" s="934"/>
      <c r="K2710" s="934"/>
      <c r="L2710" s="933"/>
      <c r="M2710" s="1100"/>
      <c r="N2710" s="934"/>
      <c r="O2710" s="936"/>
      <c r="P2710" s="936"/>
      <c r="Q2710" s="933"/>
      <c r="T2710" s="1101"/>
      <c r="U2710" s="1102"/>
      <c r="V2710" s="936"/>
      <c r="W2710" s="1103"/>
      <c r="X2710" s="1104"/>
      <c r="Y2710" s="1105"/>
      <c r="Z2710" s="1103"/>
      <c r="AA2710" s="1103"/>
      <c r="AB2710" s="1103"/>
      <c r="AC2710" s="1106"/>
      <c r="AD2710" s="1107"/>
      <c r="AE2710" s="1104"/>
      <c r="AG2710" s="1109"/>
      <c r="AI2710" s="1110"/>
      <c r="AL2710" s="933"/>
      <c r="AM2710" s="933"/>
      <c r="AN2710" s="1100"/>
      <c r="AO2710" s="1100"/>
      <c r="AP2710" s="934"/>
      <c r="AQ2710" s="934"/>
      <c r="AR2710" s="934"/>
      <c r="AS2710" s="936"/>
      <c r="AT2710" s="936"/>
      <c r="AU2710" s="936"/>
      <c r="AV2710" s="937"/>
      <c r="AW2710" s="938"/>
      <c r="AX2710" s="939"/>
      <c r="AY2710" s="933"/>
      <c r="AZ2710" s="936"/>
      <c r="BA2710" s="936"/>
      <c r="BB2710" s="1112"/>
      <c r="BC2710" s="940"/>
      <c r="BD2710" s="941"/>
      <c r="BE2710" s="942"/>
      <c r="BF2710" s="943"/>
      <c r="BG2710" s="943"/>
      <c r="BH2710" s="943"/>
      <c r="BI2710" s="943"/>
      <c r="BJ2710" s="943"/>
      <c r="BK2710" s="943"/>
      <c r="BL2710" s="943"/>
      <c r="BM2710" s="943"/>
      <c r="BN2710" s="943"/>
      <c r="BO2710" s="1059"/>
      <c r="BP2710" s="1059"/>
      <c r="BQ2710" s="1059"/>
      <c r="BR2710" s="1059"/>
      <c r="BS2710" s="1059"/>
      <c r="BT2710" s="1059"/>
      <c r="BU2710" s="1059"/>
      <c r="BV2710" s="944"/>
      <c r="BW2710" s="944"/>
      <c r="BX2710" s="1147"/>
      <c r="BY2710" s="944"/>
      <c r="BZ2710" s="944"/>
      <c r="CA2710" s="944"/>
      <c r="CB2710" s="944"/>
    </row>
    <row r="2711" spans="2:80">
      <c r="B2711" s="1097"/>
      <c r="C2711" s="1097"/>
      <c r="D2711" s="1097"/>
      <c r="E2711" s="1097"/>
      <c r="F2711" s="934"/>
      <c r="G2711" s="1098"/>
      <c r="H2711" s="1099"/>
      <c r="I2711" s="1099"/>
      <c r="J2711" s="934"/>
      <c r="K2711" s="934"/>
      <c r="L2711" s="933"/>
      <c r="M2711" s="1100"/>
      <c r="N2711" s="934"/>
      <c r="O2711" s="936"/>
      <c r="P2711" s="936"/>
      <c r="Q2711" s="933"/>
      <c r="T2711" s="1101"/>
      <c r="U2711" s="1102"/>
      <c r="V2711" s="936"/>
      <c r="W2711" s="1103"/>
      <c r="X2711" s="1104"/>
      <c r="Y2711" s="1105"/>
      <c r="Z2711" s="1103"/>
      <c r="AA2711" s="1103"/>
      <c r="AB2711" s="1103"/>
      <c r="AC2711" s="1106"/>
      <c r="AD2711" s="1107"/>
      <c r="AE2711" s="1104"/>
      <c r="AG2711" s="1109"/>
      <c r="AI2711" s="1110"/>
      <c r="AL2711" s="933"/>
      <c r="AM2711" s="933"/>
      <c r="AN2711" s="1100"/>
      <c r="AO2711" s="1100"/>
      <c r="AP2711" s="934"/>
      <c r="AQ2711" s="934"/>
      <c r="AR2711" s="934"/>
      <c r="AS2711" s="936"/>
      <c r="AT2711" s="936"/>
      <c r="AU2711" s="936"/>
      <c r="AV2711" s="937"/>
      <c r="AW2711" s="938"/>
      <c r="AX2711" s="939"/>
      <c r="AY2711" s="933"/>
      <c r="AZ2711" s="936"/>
      <c r="BA2711" s="936"/>
      <c r="BB2711" s="1112"/>
      <c r="BC2711" s="940"/>
      <c r="BD2711" s="941"/>
      <c r="BE2711" s="942"/>
      <c r="BF2711" s="943"/>
      <c r="BG2711" s="943"/>
      <c r="BH2711" s="943"/>
      <c r="BI2711" s="943"/>
      <c r="BJ2711" s="943"/>
      <c r="BK2711" s="943"/>
      <c r="BL2711" s="943"/>
      <c r="BM2711" s="943"/>
      <c r="BN2711" s="943"/>
      <c r="BO2711" s="1059"/>
      <c r="BP2711" s="1059"/>
      <c r="BQ2711" s="1059"/>
      <c r="BR2711" s="1059"/>
      <c r="BS2711" s="1059"/>
      <c r="BT2711" s="1059"/>
      <c r="BU2711" s="1059"/>
      <c r="BV2711" s="944"/>
      <c r="BW2711" s="944"/>
      <c r="BX2711" s="1147"/>
      <c r="BY2711" s="944"/>
      <c r="BZ2711" s="944"/>
      <c r="CA2711" s="944"/>
      <c r="CB2711" s="944"/>
    </row>
    <row r="2712" spans="2:80">
      <c r="B2712" s="1097"/>
      <c r="C2712" s="1097"/>
      <c r="D2712" s="1097"/>
      <c r="E2712" s="1097"/>
      <c r="F2712" s="934"/>
      <c r="G2712" s="1098"/>
      <c r="H2712" s="1099"/>
      <c r="I2712" s="1099"/>
      <c r="J2712" s="934"/>
      <c r="K2712" s="934"/>
      <c r="L2712" s="933"/>
      <c r="M2712" s="1100"/>
      <c r="N2712" s="934"/>
      <c r="O2712" s="936"/>
      <c r="P2712" s="936"/>
      <c r="Q2712" s="933"/>
      <c r="T2712" s="1101"/>
      <c r="U2712" s="1102"/>
      <c r="V2712" s="936"/>
      <c r="W2712" s="1103"/>
      <c r="X2712" s="1104"/>
      <c r="Y2712" s="1105"/>
      <c r="Z2712" s="1103"/>
      <c r="AA2712" s="1103"/>
      <c r="AB2712" s="1103"/>
      <c r="AC2712" s="1106"/>
      <c r="AD2712" s="1107"/>
      <c r="AE2712" s="1104"/>
      <c r="AG2712" s="1109"/>
      <c r="AI2712" s="1110"/>
      <c r="AL2712" s="933"/>
      <c r="AM2712" s="933"/>
      <c r="AN2712" s="1100"/>
      <c r="AO2712" s="1100"/>
      <c r="AP2712" s="934"/>
      <c r="AQ2712" s="934"/>
      <c r="AR2712" s="934"/>
      <c r="AS2712" s="936"/>
      <c r="AT2712" s="936"/>
      <c r="AU2712" s="936"/>
      <c r="AV2712" s="937"/>
      <c r="AW2712" s="938"/>
      <c r="AX2712" s="939"/>
      <c r="AY2712" s="933"/>
      <c r="AZ2712" s="936"/>
      <c r="BA2712" s="936"/>
      <c r="BB2712" s="1112"/>
      <c r="BC2712" s="940"/>
      <c r="BD2712" s="941"/>
      <c r="BE2712" s="942"/>
      <c r="BF2712" s="943"/>
      <c r="BG2712" s="943"/>
      <c r="BH2712" s="943"/>
      <c r="BI2712" s="943"/>
      <c r="BJ2712" s="943"/>
      <c r="BK2712" s="943"/>
      <c r="BL2712" s="943"/>
      <c r="BM2712" s="943"/>
      <c r="BN2712" s="943"/>
      <c r="BO2712" s="1059"/>
      <c r="BP2712" s="1059"/>
      <c r="BQ2712" s="1059"/>
      <c r="BR2712" s="1059"/>
      <c r="BS2712" s="1059"/>
      <c r="BT2712" s="1059"/>
      <c r="BU2712" s="1059"/>
      <c r="BV2712" s="944"/>
      <c r="BW2712" s="944"/>
      <c r="BX2712" s="1147"/>
      <c r="BY2712" s="944"/>
      <c r="BZ2712" s="944"/>
      <c r="CA2712" s="944"/>
      <c r="CB2712" s="944"/>
    </row>
    <row r="2713" spans="2:80">
      <c r="B2713" s="1097"/>
      <c r="C2713" s="1097"/>
      <c r="D2713" s="1097"/>
      <c r="E2713" s="1097"/>
      <c r="F2713" s="934"/>
      <c r="G2713" s="1098"/>
      <c r="H2713" s="1099"/>
      <c r="I2713" s="1099"/>
      <c r="J2713" s="934"/>
      <c r="K2713" s="934"/>
      <c r="L2713" s="933"/>
      <c r="M2713" s="1100"/>
      <c r="N2713" s="934"/>
      <c r="O2713" s="936"/>
      <c r="P2713" s="936"/>
      <c r="Q2713" s="933"/>
      <c r="T2713" s="1101"/>
      <c r="U2713" s="1102"/>
      <c r="V2713" s="936"/>
      <c r="W2713" s="1103"/>
      <c r="X2713" s="1104"/>
      <c r="Y2713" s="1105"/>
      <c r="Z2713" s="1103"/>
      <c r="AA2713" s="1103"/>
      <c r="AB2713" s="1103"/>
      <c r="AC2713" s="1106"/>
      <c r="AD2713" s="1107"/>
      <c r="AE2713" s="1104"/>
      <c r="AG2713" s="1109"/>
      <c r="AI2713" s="1110"/>
      <c r="AL2713" s="933"/>
      <c r="AM2713" s="933"/>
      <c r="AN2713" s="1100"/>
      <c r="AO2713" s="1100"/>
      <c r="AP2713" s="934"/>
      <c r="AQ2713" s="934"/>
      <c r="AR2713" s="934"/>
      <c r="AS2713" s="936"/>
      <c r="AT2713" s="936"/>
      <c r="AU2713" s="936"/>
      <c r="AV2713" s="937"/>
      <c r="AW2713" s="938"/>
      <c r="AX2713" s="939"/>
      <c r="AY2713" s="933"/>
      <c r="AZ2713" s="936"/>
      <c r="BA2713" s="936"/>
      <c r="BB2713" s="1112"/>
      <c r="BC2713" s="940"/>
      <c r="BD2713" s="941"/>
      <c r="BE2713" s="942"/>
      <c r="BF2713" s="943"/>
      <c r="BG2713" s="943"/>
      <c r="BH2713" s="943"/>
      <c r="BI2713" s="943"/>
      <c r="BJ2713" s="943"/>
      <c r="BK2713" s="943"/>
      <c r="BL2713" s="943"/>
      <c r="BM2713" s="943"/>
      <c r="BN2713" s="943"/>
      <c r="BO2713" s="1059"/>
      <c r="BP2713" s="1059"/>
      <c r="BQ2713" s="1059"/>
      <c r="BR2713" s="1059"/>
      <c r="BS2713" s="1059"/>
      <c r="BT2713" s="1059"/>
      <c r="BU2713" s="1059"/>
      <c r="BV2713" s="944"/>
      <c r="BW2713" s="944"/>
      <c r="BX2713" s="1147"/>
      <c r="BY2713" s="944"/>
      <c r="BZ2713" s="944"/>
      <c r="CA2713" s="944"/>
      <c r="CB2713" s="944"/>
    </row>
    <row r="2714" spans="2:80">
      <c r="B2714" s="1097"/>
      <c r="C2714" s="1097"/>
      <c r="D2714" s="1097"/>
      <c r="E2714" s="1097"/>
      <c r="F2714" s="934"/>
      <c r="G2714" s="1098"/>
      <c r="H2714" s="1099"/>
      <c r="I2714" s="1099"/>
      <c r="J2714" s="934"/>
      <c r="K2714" s="934"/>
      <c r="L2714" s="933"/>
      <c r="M2714" s="1100"/>
      <c r="N2714" s="934"/>
      <c r="O2714" s="936"/>
      <c r="P2714" s="936"/>
      <c r="Q2714" s="933"/>
      <c r="T2714" s="1101"/>
      <c r="U2714" s="1102"/>
      <c r="V2714" s="936"/>
      <c r="W2714" s="1103"/>
      <c r="X2714" s="1104"/>
      <c r="Y2714" s="1105"/>
      <c r="Z2714" s="1103"/>
      <c r="AA2714" s="1103"/>
      <c r="AB2714" s="1103"/>
      <c r="AC2714" s="1106"/>
      <c r="AD2714" s="1107"/>
      <c r="AE2714" s="1104"/>
      <c r="AG2714" s="1109"/>
      <c r="AI2714" s="1110"/>
      <c r="AL2714" s="933"/>
      <c r="AM2714" s="933"/>
      <c r="AN2714" s="1100"/>
      <c r="AO2714" s="1100"/>
      <c r="AP2714" s="934"/>
      <c r="AQ2714" s="934"/>
      <c r="AR2714" s="934"/>
      <c r="AS2714" s="936"/>
      <c r="AT2714" s="936"/>
      <c r="AU2714" s="936"/>
      <c r="AV2714" s="937"/>
      <c r="AW2714" s="938"/>
      <c r="AX2714" s="939"/>
      <c r="AY2714" s="933"/>
      <c r="AZ2714" s="936"/>
      <c r="BA2714" s="936"/>
      <c r="BB2714" s="1112"/>
      <c r="BC2714" s="940"/>
      <c r="BD2714" s="941"/>
      <c r="BE2714" s="942"/>
      <c r="BF2714" s="943"/>
      <c r="BG2714" s="943"/>
      <c r="BH2714" s="943"/>
      <c r="BI2714" s="943"/>
      <c r="BJ2714" s="943"/>
      <c r="BK2714" s="943"/>
      <c r="BL2714" s="943"/>
      <c r="BM2714" s="943"/>
      <c r="BN2714" s="943"/>
      <c r="BO2714" s="1059"/>
      <c r="BP2714" s="1059"/>
      <c r="BQ2714" s="1059"/>
      <c r="BR2714" s="1059"/>
      <c r="BS2714" s="1059"/>
      <c r="BT2714" s="1059"/>
      <c r="BU2714" s="1059"/>
      <c r="BV2714" s="944"/>
      <c r="BW2714" s="944"/>
      <c r="BX2714" s="1147"/>
      <c r="BY2714" s="944"/>
      <c r="BZ2714" s="944"/>
      <c r="CA2714" s="944"/>
      <c r="CB2714" s="944"/>
    </row>
    <row r="2715" spans="2:80">
      <c r="B2715" s="1097"/>
      <c r="C2715" s="1097"/>
      <c r="D2715" s="1097"/>
      <c r="E2715" s="1097"/>
      <c r="F2715" s="934"/>
      <c r="G2715" s="1098"/>
      <c r="H2715" s="1099"/>
      <c r="I2715" s="1099"/>
      <c r="J2715" s="934"/>
      <c r="K2715" s="934"/>
      <c r="L2715" s="933"/>
      <c r="M2715" s="1100"/>
      <c r="N2715" s="934"/>
      <c r="O2715" s="936"/>
      <c r="P2715" s="936"/>
      <c r="Q2715" s="933"/>
      <c r="T2715" s="1101"/>
      <c r="U2715" s="1102"/>
      <c r="V2715" s="936"/>
      <c r="W2715" s="1103"/>
      <c r="X2715" s="1104"/>
      <c r="Y2715" s="1105"/>
      <c r="Z2715" s="1103"/>
      <c r="AA2715" s="1103"/>
      <c r="AB2715" s="1103"/>
      <c r="AC2715" s="1106"/>
      <c r="AD2715" s="1107"/>
      <c r="AE2715" s="1104"/>
      <c r="AG2715" s="1109"/>
      <c r="AI2715" s="1110"/>
      <c r="AL2715" s="933"/>
      <c r="AM2715" s="933"/>
      <c r="AN2715" s="1100"/>
      <c r="AO2715" s="1100"/>
      <c r="AP2715" s="934"/>
      <c r="AQ2715" s="934"/>
      <c r="AR2715" s="934"/>
      <c r="AS2715" s="936"/>
      <c r="AT2715" s="936"/>
      <c r="AU2715" s="936"/>
      <c r="AV2715" s="937"/>
      <c r="AW2715" s="938"/>
      <c r="AX2715" s="939"/>
      <c r="AY2715" s="933"/>
      <c r="AZ2715" s="936"/>
      <c r="BA2715" s="936"/>
      <c r="BB2715" s="1112"/>
      <c r="BC2715" s="940"/>
      <c r="BD2715" s="941"/>
      <c r="BE2715" s="942"/>
      <c r="BF2715" s="943"/>
      <c r="BG2715" s="943"/>
      <c r="BH2715" s="943"/>
      <c r="BI2715" s="943"/>
      <c r="BJ2715" s="943"/>
      <c r="BK2715" s="943"/>
      <c r="BL2715" s="943"/>
      <c r="BM2715" s="943"/>
      <c r="BN2715" s="943"/>
      <c r="BO2715" s="1059"/>
      <c r="BP2715" s="1059"/>
      <c r="BQ2715" s="1059"/>
      <c r="BR2715" s="1059"/>
      <c r="BS2715" s="1059"/>
      <c r="BT2715" s="1059"/>
      <c r="BU2715" s="1059"/>
      <c r="BV2715" s="944"/>
      <c r="BW2715" s="944"/>
      <c r="BX2715" s="1147"/>
      <c r="BY2715" s="944"/>
      <c r="BZ2715" s="944"/>
      <c r="CA2715" s="944"/>
      <c r="CB2715" s="944"/>
    </row>
    <row r="2716" spans="2:80">
      <c r="B2716" s="1097"/>
      <c r="C2716" s="1097"/>
      <c r="D2716" s="1097"/>
      <c r="E2716" s="1097"/>
      <c r="F2716" s="934"/>
      <c r="G2716" s="1098"/>
      <c r="H2716" s="1099"/>
      <c r="I2716" s="1099"/>
      <c r="J2716" s="934"/>
      <c r="K2716" s="934"/>
      <c r="L2716" s="933"/>
      <c r="M2716" s="1100"/>
      <c r="N2716" s="934"/>
      <c r="O2716" s="936"/>
      <c r="P2716" s="936"/>
      <c r="Q2716" s="933"/>
      <c r="T2716" s="1101"/>
      <c r="U2716" s="1102"/>
      <c r="V2716" s="936"/>
      <c r="W2716" s="1103"/>
      <c r="X2716" s="1104"/>
      <c r="Y2716" s="1105"/>
      <c r="Z2716" s="1103"/>
      <c r="AA2716" s="1103"/>
      <c r="AB2716" s="1103"/>
      <c r="AC2716" s="1106"/>
      <c r="AD2716" s="1107"/>
      <c r="AE2716" s="1104"/>
      <c r="AG2716" s="1109"/>
      <c r="AI2716" s="1110"/>
      <c r="AL2716" s="933"/>
      <c r="AM2716" s="933"/>
      <c r="AN2716" s="1100"/>
      <c r="AO2716" s="1100"/>
      <c r="AP2716" s="934"/>
      <c r="AQ2716" s="934"/>
      <c r="AR2716" s="934"/>
      <c r="AS2716" s="936"/>
      <c r="AT2716" s="936"/>
      <c r="AU2716" s="936"/>
      <c r="AV2716" s="937"/>
      <c r="AW2716" s="938"/>
      <c r="AX2716" s="939"/>
      <c r="AY2716" s="933"/>
      <c r="AZ2716" s="936"/>
      <c r="BA2716" s="936"/>
      <c r="BB2716" s="1112"/>
      <c r="BC2716" s="940"/>
      <c r="BD2716" s="941"/>
      <c r="BE2716" s="942"/>
      <c r="BF2716" s="943"/>
      <c r="BG2716" s="943"/>
      <c r="BH2716" s="943"/>
      <c r="BI2716" s="943"/>
      <c r="BJ2716" s="943"/>
      <c r="BK2716" s="943"/>
      <c r="BL2716" s="943"/>
      <c r="BM2716" s="943"/>
      <c r="BN2716" s="943"/>
      <c r="BO2716" s="1059"/>
      <c r="BP2716" s="1059"/>
      <c r="BQ2716" s="1059"/>
      <c r="BR2716" s="1059"/>
      <c r="BS2716" s="1059"/>
      <c r="BT2716" s="1059"/>
      <c r="BU2716" s="1059"/>
      <c r="BV2716" s="944"/>
      <c r="BW2716" s="944"/>
      <c r="BX2716" s="1147"/>
      <c r="BY2716" s="944"/>
      <c r="BZ2716" s="944"/>
      <c r="CA2716" s="944"/>
      <c r="CB2716" s="944"/>
    </row>
    <row r="2717" spans="2:80">
      <c r="B2717" s="1097"/>
      <c r="C2717" s="1097"/>
      <c r="D2717" s="1097"/>
      <c r="E2717" s="1097"/>
      <c r="F2717" s="934"/>
      <c r="G2717" s="1098"/>
      <c r="H2717" s="1099"/>
      <c r="I2717" s="1099"/>
      <c r="J2717" s="934"/>
      <c r="K2717" s="934"/>
      <c r="L2717" s="933"/>
      <c r="M2717" s="1100"/>
      <c r="N2717" s="934"/>
      <c r="O2717" s="936"/>
      <c r="P2717" s="936"/>
      <c r="Q2717" s="933"/>
      <c r="T2717" s="1101"/>
      <c r="U2717" s="1102"/>
      <c r="V2717" s="936"/>
      <c r="W2717" s="1103"/>
      <c r="X2717" s="1104"/>
      <c r="Y2717" s="1105"/>
      <c r="Z2717" s="1103"/>
      <c r="AA2717" s="1103"/>
      <c r="AB2717" s="1103"/>
      <c r="AC2717" s="1106"/>
      <c r="AD2717" s="1107"/>
      <c r="AE2717" s="1104"/>
      <c r="AG2717" s="1109"/>
      <c r="AI2717" s="1110"/>
      <c r="AL2717" s="933"/>
      <c r="AM2717" s="933"/>
      <c r="AN2717" s="1100"/>
      <c r="AO2717" s="1100"/>
      <c r="AP2717" s="934"/>
      <c r="AQ2717" s="934"/>
      <c r="AR2717" s="934"/>
      <c r="AS2717" s="936"/>
      <c r="AT2717" s="936"/>
      <c r="AU2717" s="936"/>
      <c r="AV2717" s="937"/>
      <c r="AW2717" s="938"/>
      <c r="AX2717" s="939"/>
      <c r="AY2717" s="933"/>
      <c r="AZ2717" s="936"/>
      <c r="BA2717" s="936"/>
      <c r="BB2717" s="1112"/>
      <c r="BC2717" s="940"/>
      <c r="BD2717" s="941"/>
      <c r="BE2717" s="942"/>
      <c r="BF2717" s="943"/>
      <c r="BG2717" s="943"/>
      <c r="BH2717" s="943"/>
      <c r="BI2717" s="943"/>
      <c r="BJ2717" s="943"/>
      <c r="BK2717" s="943"/>
      <c r="BL2717" s="943"/>
      <c r="BM2717" s="943"/>
      <c r="BN2717" s="943"/>
      <c r="BO2717" s="1059"/>
      <c r="BP2717" s="1059"/>
      <c r="BQ2717" s="1059"/>
      <c r="BR2717" s="1059"/>
      <c r="BS2717" s="1059"/>
      <c r="BT2717" s="1059"/>
      <c r="BU2717" s="1059"/>
      <c r="BV2717" s="944"/>
      <c r="BW2717" s="944"/>
      <c r="BX2717" s="1147"/>
      <c r="BY2717" s="944"/>
      <c r="BZ2717" s="944"/>
      <c r="CA2717" s="944"/>
      <c r="CB2717" s="944"/>
    </row>
    <row r="2718" spans="2:80">
      <c r="B2718" s="1097"/>
      <c r="C2718" s="1097"/>
      <c r="D2718" s="1097"/>
      <c r="E2718" s="1097"/>
      <c r="F2718" s="934"/>
      <c r="G2718" s="1098"/>
      <c r="H2718" s="1099"/>
      <c r="I2718" s="1099"/>
      <c r="J2718" s="934"/>
      <c r="K2718" s="934"/>
      <c r="L2718" s="933"/>
      <c r="M2718" s="1100"/>
      <c r="N2718" s="934"/>
      <c r="O2718" s="936"/>
      <c r="P2718" s="936"/>
      <c r="Q2718" s="933"/>
      <c r="T2718" s="1101"/>
      <c r="U2718" s="1102"/>
      <c r="V2718" s="936"/>
      <c r="W2718" s="1103"/>
      <c r="X2718" s="1104"/>
      <c r="Y2718" s="1105"/>
      <c r="Z2718" s="1103"/>
      <c r="AA2718" s="1103"/>
      <c r="AB2718" s="1103"/>
      <c r="AC2718" s="1106"/>
      <c r="AD2718" s="1107"/>
      <c r="AE2718" s="1104"/>
      <c r="AG2718" s="1109"/>
      <c r="AI2718" s="1110"/>
      <c r="AL2718" s="933"/>
      <c r="AM2718" s="933"/>
      <c r="AN2718" s="1100"/>
      <c r="AO2718" s="1100"/>
      <c r="AP2718" s="934"/>
      <c r="AQ2718" s="934"/>
      <c r="AR2718" s="934"/>
      <c r="AS2718" s="936"/>
      <c r="AT2718" s="936"/>
      <c r="AU2718" s="936"/>
      <c r="AV2718" s="937"/>
      <c r="AW2718" s="938"/>
      <c r="AX2718" s="939"/>
      <c r="AY2718" s="933"/>
      <c r="AZ2718" s="936"/>
      <c r="BA2718" s="936"/>
      <c r="BB2718" s="1112"/>
      <c r="BC2718" s="940"/>
      <c r="BD2718" s="941"/>
      <c r="BE2718" s="942"/>
      <c r="BF2718" s="943"/>
      <c r="BG2718" s="943"/>
      <c r="BH2718" s="943"/>
      <c r="BI2718" s="943"/>
      <c r="BJ2718" s="943"/>
      <c r="BK2718" s="943"/>
      <c r="BL2718" s="943"/>
      <c r="BM2718" s="943"/>
      <c r="BN2718" s="943"/>
      <c r="BO2718" s="1059"/>
      <c r="BP2718" s="1059"/>
      <c r="BQ2718" s="1059"/>
      <c r="BR2718" s="1059"/>
      <c r="BS2718" s="1059"/>
      <c r="BT2718" s="1059"/>
      <c r="BU2718" s="1059"/>
      <c r="BV2718" s="944"/>
      <c r="BW2718" s="944"/>
      <c r="BX2718" s="1147"/>
      <c r="BY2718" s="944"/>
      <c r="BZ2718" s="944"/>
      <c r="CA2718" s="944"/>
      <c r="CB2718" s="944"/>
    </row>
    <row r="2719" spans="2:80">
      <c r="B2719" s="1097"/>
      <c r="C2719" s="1097"/>
      <c r="D2719" s="1097"/>
      <c r="E2719" s="1097"/>
      <c r="F2719" s="934"/>
      <c r="G2719" s="1098"/>
      <c r="H2719" s="1099"/>
      <c r="I2719" s="1099"/>
      <c r="J2719" s="934"/>
      <c r="K2719" s="934"/>
      <c r="L2719" s="933"/>
      <c r="M2719" s="1100"/>
      <c r="N2719" s="934"/>
      <c r="O2719" s="936"/>
      <c r="P2719" s="936"/>
      <c r="Q2719" s="933"/>
      <c r="T2719" s="1101"/>
      <c r="U2719" s="1102"/>
      <c r="V2719" s="936"/>
      <c r="W2719" s="1103"/>
      <c r="X2719" s="1104"/>
      <c r="Y2719" s="1105"/>
      <c r="Z2719" s="1103"/>
      <c r="AA2719" s="1103"/>
      <c r="AB2719" s="1103"/>
      <c r="AC2719" s="1106"/>
      <c r="AD2719" s="1107"/>
      <c r="AE2719" s="1104"/>
      <c r="AG2719" s="1109"/>
      <c r="AI2719" s="1110"/>
      <c r="AL2719" s="933"/>
      <c r="AM2719" s="933"/>
      <c r="AN2719" s="1100"/>
      <c r="AO2719" s="1100"/>
      <c r="AP2719" s="934"/>
      <c r="AQ2719" s="934"/>
      <c r="AR2719" s="934"/>
      <c r="AS2719" s="936"/>
      <c r="AT2719" s="936"/>
      <c r="AU2719" s="936"/>
      <c r="AV2719" s="937"/>
      <c r="AW2719" s="938"/>
      <c r="AX2719" s="939"/>
      <c r="AY2719" s="933"/>
      <c r="AZ2719" s="936"/>
      <c r="BA2719" s="936"/>
      <c r="BB2719" s="1112"/>
      <c r="BC2719" s="940"/>
      <c r="BD2719" s="941"/>
      <c r="BE2719" s="942"/>
      <c r="BF2719" s="943"/>
      <c r="BG2719" s="943"/>
      <c r="BH2719" s="943"/>
      <c r="BI2719" s="943"/>
      <c r="BJ2719" s="943"/>
      <c r="BK2719" s="943"/>
      <c r="BL2719" s="943"/>
      <c r="BM2719" s="943"/>
      <c r="BN2719" s="943"/>
      <c r="BO2719" s="1059"/>
      <c r="BP2719" s="1059"/>
      <c r="BQ2719" s="1059"/>
      <c r="BR2719" s="1059"/>
      <c r="BS2719" s="1059"/>
      <c r="BT2719" s="1059"/>
      <c r="BU2719" s="1059"/>
      <c r="BV2719" s="944"/>
      <c r="BW2719" s="944"/>
      <c r="BX2719" s="1147"/>
      <c r="BY2719" s="944"/>
      <c r="BZ2719" s="944"/>
      <c r="CA2719" s="944"/>
      <c r="CB2719" s="944"/>
    </row>
    <row r="2720" spans="2:80">
      <c r="B2720" s="1097"/>
      <c r="C2720" s="1097"/>
      <c r="D2720" s="1097"/>
      <c r="E2720" s="1097"/>
      <c r="F2720" s="934"/>
      <c r="G2720" s="1098"/>
      <c r="H2720" s="1099"/>
      <c r="I2720" s="1099"/>
      <c r="J2720" s="934"/>
      <c r="K2720" s="934"/>
      <c r="L2720" s="933"/>
      <c r="M2720" s="1100"/>
      <c r="N2720" s="934"/>
      <c r="O2720" s="936"/>
      <c r="P2720" s="936"/>
      <c r="Q2720" s="933"/>
      <c r="T2720" s="1101"/>
      <c r="U2720" s="1102"/>
      <c r="V2720" s="936"/>
      <c r="W2720" s="1103"/>
      <c r="X2720" s="1104"/>
      <c r="Y2720" s="1105"/>
      <c r="Z2720" s="1103"/>
      <c r="AA2720" s="1103"/>
      <c r="AB2720" s="1103"/>
      <c r="AC2720" s="1106"/>
      <c r="AD2720" s="1107"/>
      <c r="AE2720" s="1104"/>
      <c r="AG2720" s="1109"/>
      <c r="AI2720" s="1110"/>
      <c r="AL2720" s="933"/>
      <c r="AM2720" s="933"/>
      <c r="AN2720" s="1100"/>
      <c r="AO2720" s="1100"/>
      <c r="AP2720" s="934"/>
      <c r="AQ2720" s="934"/>
      <c r="AR2720" s="934"/>
      <c r="AS2720" s="936"/>
      <c r="AT2720" s="936"/>
      <c r="AU2720" s="936"/>
      <c r="AV2720" s="937"/>
      <c r="AW2720" s="938"/>
      <c r="AX2720" s="939"/>
      <c r="AY2720" s="933"/>
      <c r="AZ2720" s="936"/>
      <c r="BA2720" s="936"/>
      <c r="BB2720" s="1112"/>
      <c r="BC2720" s="940"/>
      <c r="BD2720" s="941"/>
      <c r="BE2720" s="942"/>
      <c r="BF2720" s="943"/>
      <c r="BG2720" s="943"/>
      <c r="BH2720" s="943"/>
      <c r="BI2720" s="943"/>
      <c r="BJ2720" s="943"/>
      <c r="BK2720" s="943"/>
      <c r="BL2720" s="943"/>
      <c r="BM2720" s="943"/>
      <c r="BN2720" s="943"/>
      <c r="BO2720" s="1059"/>
      <c r="BP2720" s="1059"/>
      <c r="BQ2720" s="1059"/>
      <c r="BR2720" s="1059"/>
      <c r="BS2720" s="1059"/>
      <c r="BT2720" s="1059"/>
      <c r="BU2720" s="1059"/>
      <c r="BV2720" s="944"/>
      <c r="BW2720" s="944"/>
      <c r="BX2720" s="1147"/>
      <c r="BY2720" s="944"/>
      <c r="BZ2720" s="944"/>
      <c r="CA2720" s="944"/>
      <c r="CB2720" s="944"/>
    </row>
    <row r="2721" spans="2:80">
      <c r="B2721" s="1097"/>
      <c r="C2721" s="1097"/>
      <c r="D2721" s="1097"/>
      <c r="E2721" s="1097"/>
      <c r="F2721" s="934"/>
      <c r="G2721" s="1098"/>
      <c r="H2721" s="1099"/>
      <c r="I2721" s="1099"/>
      <c r="J2721" s="934"/>
      <c r="K2721" s="934"/>
      <c r="L2721" s="933"/>
      <c r="M2721" s="1100"/>
      <c r="N2721" s="934"/>
      <c r="O2721" s="936"/>
      <c r="P2721" s="936"/>
      <c r="Q2721" s="933"/>
      <c r="T2721" s="1101"/>
      <c r="U2721" s="1102"/>
      <c r="V2721" s="936"/>
      <c r="W2721" s="1103"/>
      <c r="X2721" s="1104"/>
      <c r="Y2721" s="1105"/>
      <c r="Z2721" s="1103"/>
      <c r="AA2721" s="1103"/>
      <c r="AB2721" s="1103"/>
      <c r="AC2721" s="1106"/>
      <c r="AD2721" s="1107"/>
      <c r="AE2721" s="1104"/>
      <c r="AG2721" s="1109"/>
      <c r="AI2721" s="1110"/>
      <c r="AL2721" s="933"/>
      <c r="AM2721" s="933"/>
      <c r="AN2721" s="1100"/>
      <c r="AO2721" s="1100"/>
      <c r="AP2721" s="934"/>
      <c r="AQ2721" s="934"/>
      <c r="AR2721" s="934"/>
      <c r="AS2721" s="936"/>
      <c r="AT2721" s="936"/>
      <c r="AU2721" s="936"/>
      <c r="AV2721" s="937"/>
      <c r="AW2721" s="938"/>
      <c r="AX2721" s="939"/>
      <c r="AY2721" s="933"/>
      <c r="AZ2721" s="936"/>
      <c r="BA2721" s="936"/>
      <c r="BB2721" s="1112"/>
      <c r="BC2721" s="940"/>
      <c r="BD2721" s="941"/>
      <c r="BE2721" s="942"/>
      <c r="BF2721" s="943"/>
      <c r="BG2721" s="943"/>
      <c r="BH2721" s="943"/>
      <c r="BI2721" s="943"/>
      <c r="BJ2721" s="943"/>
      <c r="BK2721" s="943"/>
      <c r="BL2721" s="943"/>
      <c r="BM2721" s="943"/>
      <c r="BN2721" s="943"/>
      <c r="BO2721" s="1059"/>
      <c r="BP2721" s="1059"/>
      <c r="BQ2721" s="1059"/>
      <c r="BR2721" s="1059"/>
      <c r="BS2721" s="1059"/>
      <c r="BT2721" s="1059"/>
      <c r="BU2721" s="1059"/>
      <c r="BV2721" s="944"/>
      <c r="BW2721" s="944"/>
      <c r="BX2721" s="1147"/>
      <c r="BY2721" s="944"/>
      <c r="BZ2721" s="944"/>
      <c r="CA2721" s="944"/>
      <c r="CB2721" s="944"/>
    </row>
    <row r="2722" spans="2:80">
      <c r="B2722" s="1097"/>
      <c r="C2722" s="1097"/>
      <c r="D2722" s="1097"/>
      <c r="E2722" s="1097"/>
      <c r="F2722" s="934"/>
      <c r="G2722" s="1098"/>
      <c r="H2722" s="1099"/>
      <c r="I2722" s="1099"/>
      <c r="J2722" s="934"/>
      <c r="K2722" s="934"/>
      <c r="L2722" s="933"/>
      <c r="M2722" s="1100"/>
      <c r="N2722" s="934"/>
      <c r="O2722" s="936"/>
      <c r="P2722" s="936"/>
      <c r="Q2722" s="933"/>
      <c r="T2722" s="1101"/>
      <c r="U2722" s="1102"/>
      <c r="V2722" s="936"/>
      <c r="W2722" s="1103"/>
      <c r="X2722" s="1104"/>
      <c r="Y2722" s="1105"/>
      <c r="Z2722" s="1103"/>
      <c r="AA2722" s="1103"/>
      <c r="AB2722" s="1103"/>
      <c r="AC2722" s="1106"/>
      <c r="AD2722" s="1107"/>
      <c r="AE2722" s="1104"/>
      <c r="AG2722" s="1109"/>
      <c r="AI2722" s="1110"/>
      <c r="AL2722" s="933"/>
      <c r="AM2722" s="933"/>
      <c r="AN2722" s="1100"/>
      <c r="AO2722" s="1100"/>
      <c r="AP2722" s="934"/>
      <c r="AQ2722" s="934"/>
      <c r="AR2722" s="934"/>
      <c r="AS2722" s="936"/>
      <c r="AT2722" s="936"/>
      <c r="AU2722" s="936"/>
      <c r="AV2722" s="937"/>
      <c r="AW2722" s="938"/>
      <c r="AX2722" s="939"/>
      <c r="AY2722" s="933"/>
      <c r="AZ2722" s="936"/>
      <c r="BA2722" s="936"/>
      <c r="BB2722" s="1112"/>
      <c r="BC2722" s="940"/>
      <c r="BD2722" s="941"/>
      <c r="BE2722" s="942"/>
      <c r="BF2722" s="943"/>
      <c r="BG2722" s="943"/>
      <c r="BH2722" s="943"/>
      <c r="BI2722" s="943"/>
      <c r="BJ2722" s="943"/>
      <c r="BK2722" s="943"/>
      <c r="BL2722" s="943"/>
      <c r="BM2722" s="943"/>
      <c r="BN2722" s="943"/>
      <c r="BO2722" s="1059"/>
      <c r="BP2722" s="1059"/>
      <c r="BQ2722" s="1059"/>
      <c r="BR2722" s="1059"/>
      <c r="BS2722" s="1059"/>
      <c r="BT2722" s="1059"/>
      <c r="BU2722" s="1059"/>
      <c r="BV2722" s="944"/>
      <c r="BW2722" s="944"/>
      <c r="BX2722" s="1147"/>
      <c r="BY2722" s="944"/>
      <c r="BZ2722" s="944"/>
      <c r="CA2722" s="944"/>
      <c r="CB2722" s="944"/>
    </row>
    <row r="2723" spans="2:80">
      <c r="B2723" s="1097"/>
      <c r="C2723" s="1097"/>
      <c r="D2723" s="1097"/>
      <c r="E2723" s="1097"/>
      <c r="F2723" s="934"/>
      <c r="G2723" s="1098"/>
      <c r="H2723" s="1099"/>
      <c r="I2723" s="1099"/>
      <c r="J2723" s="934"/>
      <c r="K2723" s="934"/>
      <c r="L2723" s="933"/>
      <c r="M2723" s="1100"/>
      <c r="N2723" s="934"/>
      <c r="O2723" s="936"/>
      <c r="P2723" s="936"/>
      <c r="Q2723" s="933"/>
      <c r="T2723" s="1101"/>
      <c r="U2723" s="1102"/>
      <c r="V2723" s="936"/>
      <c r="W2723" s="1103"/>
      <c r="X2723" s="1104"/>
      <c r="Y2723" s="1105"/>
      <c r="Z2723" s="1103"/>
      <c r="AA2723" s="1103"/>
      <c r="AB2723" s="1103"/>
      <c r="AC2723" s="1106"/>
      <c r="AD2723" s="1107"/>
      <c r="AE2723" s="1104"/>
      <c r="AG2723" s="1109"/>
      <c r="AI2723" s="1110"/>
      <c r="AL2723" s="933"/>
      <c r="AM2723" s="933"/>
      <c r="AN2723" s="1100"/>
      <c r="AO2723" s="1100"/>
      <c r="AP2723" s="934"/>
      <c r="AQ2723" s="934"/>
      <c r="AR2723" s="934"/>
      <c r="AS2723" s="936"/>
      <c r="AT2723" s="936"/>
      <c r="AU2723" s="936"/>
      <c r="AV2723" s="937"/>
      <c r="AW2723" s="938"/>
      <c r="AX2723" s="939"/>
      <c r="AY2723" s="933"/>
      <c r="AZ2723" s="936"/>
      <c r="BA2723" s="936"/>
      <c r="BB2723" s="1112"/>
      <c r="BC2723" s="940"/>
      <c r="BD2723" s="941"/>
      <c r="BE2723" s="942"/>
      <c r="BF2723" s="943"/>
      <c r="BG2723" s="943"/>
      <c r="BH2723" s="943"/>
      <c r="BI2723" s="943"/>
      <c r="BJ2723" s="943"/>
      <c r="BK2723" s="943"/>
      <c r="BL2723" s="943"/>
      <c r="BM2723" s="943"/>
      <c r="BN2723" s="943"/>
      <c r="BO2723" s="1059"/>
      <c r="BP2723" s="1059"/>
      <c r="BQ2723" s="1059"/>
      <c r="BR2723" s="1059"/>
      <c r="BS2723" s="1059"/>
      <c r="BT2723" s="1059"/>
      <c r="BU2723" s="1059"/>
      <c r="BV2723" s="944"/>
      <c r="BW2723" s="944"/>
      <c r="BX2723" s="1147"/>
      <c r="BY2723" s="944"/>
      <c r="BZ2723" s="944"/>
      <c r="CA2723" s="944"/>
      <c r="CB2723" s="944"/>
    </row>
    <row r="2724" spans="2:80">
      <c r="B2724" s="1097"/>
      <c r="C2724" s="1097"/>
      <c r="D2724" s="1097"/>
      <c r="E2724" s="1097"/>
      <c r="F2724" s="934"/>
      <c r="G2724" s="1098"/>
      <c r="H2724" s="1099"/>
      <c r="I2724" s="1099"/>
      <c r="J2724" s="934"/>
      <c r="K2724" s="934"/>
      <c r="L2724" s="933"/>
      <c r="M2724" s="1100"/>
      <c r="N2724" s="934"/>
      <c r="O2724" s="936"/>
      <c r="P2724" s="936"/>
      <c r="Q2724" s="933"/>
      <c r="T2724" s="1101"/>
      <c r="U2724" s="1102"/>
      <c r="V2724" s="936"/>
      <c r="W2724" s="1103"/>
      <c r="X2724" s="1104"/>
      <c r="Y2724" s="1105"/>
      <c r="Z2724" s="1103"/>
      <c r="AA2724" s="1103"/>
      <c r="AB2724" s="1103"/>
      <c r="AC2724" s="1106"/>
      <c r="AD2724" s="1107"/>
      <c r="AE2724" s="1104"/>
      <c r="AG2724" s="1109"/>
      <c r="AI2724" s="1110"/>
      <c r="AL2724" s="933"/>
      <c r="AM2724" s="933"/>
      <c r="AN2724" s="1100"/>
      <c r="AO2724" s="1100"/>
      <c r="AP2724" s="934"/>
      <c r="AQ2724" s="934"/>
      <c r="AR2724" s="934"/>
      <c r="AS2724" s="936"/>
      <c r="AT2724" s="936"/>
      <c r="AU2724" s="936"/>
      <c r="AV2724" s="937"/>
      <c r="AW2724" s="938"/>
      <c r="AX2724" s="939"/>
      <c r="AY2724" s="933"/>
      <c r="AZ2724" s="936"/>
      <c r="BA2724" s="936"/>
      <c r="BB2724" s="1112"/>
      <c r="BC2724" s="940"/>
      <c r="BD2724" s="941"/>
      <c r="BE2724" s="942"/>
      <c r="BF2724" s="943"/>
      <c r="BG2724" s="943"/>
      <c r="BH2724" s="943"/>
      <c r="BI2724" s="943"/>
      <c r="BJ2724" s="943"/>
      <c r="BK2724" s="943"/>
      <c r="BL2724" s="943"/>
      <c r="BM2724" s="943"/>
      <c r="BN2724" s="943"/>
      <c r="BO2724" s="1059"/>
      <c r="BP2724" s="1059"/>
      <c r="BQ2724" s="1059"/>
      <c r="BR2724" s="1059"/>
      <c r="BS2724" s="1059"/>
      <c r="BT2724" s="1059"/>
      <c r="BU2724" s="1059"/>
      <c r="BV2724" s="944"/>
      <c r="BW2724" s="944"/>
      <c r="BX2724" s="1147"/>
      <c r="BY2724" s="944"/>
      <c r="BZ2724" s="944"/>
      <c r="CA2724" s="944"/>
      <c r="CB2724" s="944"/>
    </row>
    <row r="2725" spans="2:80">
      <c r="B2725" s="1097"/>
      <c r="C2725" s="1097"/>
      <c r="D2725" s="1097"/>
      <c r="E2725" s="1097"/>
      <c r="F2725" s="934"/>
      <c r="G2725" s="1098"/>
      <c r="H2725" s="1099"/>
      <c r="I2725" s="1099"/>
      <c r="J2725" s="934"/>
      <c r="K2725" s="934"/>
      <c r="L2725" s="933"/>
      <c r="M2725" s="1100"/>
      <c r="N2725" s="934"/>
      <c r="O2725" s="936"/>
      <c r="P2725" s="936"/>
      <c r="Q2725" s="933"/>
      <c r="T2725" s="1101"/>
      <c r="U2725" s="1102"/>
      <c r="V2725" s="936"/>
      <c r="W2725" s="1103"/>
      <c r="X2725" s="1104"/>
      <c r="Y2725" s="1105"/>
      <c r="Z2725" s="1103"/>
      <c r="AA2725" s="1103"/>
      <c r="AB2725" s="1103"/>
      <c r="AC2725" s="1106"/>
      <c r="AD2725" s="1107"/>
      <c r="AE2725" s="1104"/>
      <c r="AG2725" s="1109"/>
      <c r="AI2725" s="1110"/>
      <c r="AL2725" s="933"/>
      <c r="AM2725" s="933"/>
      <c r="AN2725" s="1100"/>
      <c r="AO2725" s="1100"/>
      <c r="AP2725" s="934"/>
      <c r="AQ2725" s="934"/>
      <c r="AR2725" s="934"/>
      <c r="AS2725" s="936"/>
      <c r="AT2725" s="936"/>
      <c r="AU2725" s="936"/>
      <c r="AV2725" s="937"/>
      <c r="AW2725" s="938"/>
      <c r="AX2725" s="939"/>
      <c r="AY2725" s="933"/>
      <c r="AZ2725" s="936"/>
      <c r="BA2725" s="936"/>
      <c r="BB2725" s="1112"/>
      <c r="BC2725" s="940"/>
      <c r="BD2725" s="941"/>
      <c r="BE2725" s="942"/>
      <c r="BF2725" s="943"/>
      <c r="BG2725" s="943"/>
      <c r="BH2725" s="943"/>
      <c r="BI2725" s="943"/>
      <c r="BJ2725" s="943"/>
      <c r="BK2725" s="943"/>
      <c r="BL2725" s="943"/>
      <c r="BM2725" s="943"/>
      <c r="BN2725" s="943"/>
      <c r="BO2725" s="1059"/>
      <c r="BP2725" s="1059"/>
      <c r="BQ2725" s="1059"/>
      <c r="BR2725" s="1059"/>
      <c r="BS2725" s="1059"/>
      <c r="BT2725" s="1059"/>
      <c r="BU2725" s="1059"/>
      <c r="BV2725" s="944"/>
      <c r="BW2725" s="944"/>
      <c r="BX2725" s="1147"/>
      <c r="BY2725" s="944"/>
      <c r="BZ2725" s="944"/>
      <c r="CA2725" s="944"/>
      <c r="CB2725" s="944"/>
    </row>
    <row r="2726" spans="2:80">
      <c r="B2726" s="1097"/>
      <c r="C2726" s="1097"/>
      <c r="D2726" s="1097"/>
      <c r="E2726" s="1097"/>
      <c r="F2726" s="934"/>
      <c r="G2726" s="1098"/>
      <c r="H2726" s="1099"/>
      <c r="I2726" s="1099"/>
      <c r="J2726" s="934"/>
      <c r="K2726" s="934"/>
      <c r="L2726" s="933"/>
      <c r="M2726" s="1100"/>
      <c r="N2726" s="934"/>
      <c r="O2726" s="936"/>
      <c r="P2726" s="936"/>
      <c r="Q2726" s="933"/>
      <c r="T2726" s="1101"/>
      <c r="U2726" s="1102"/>
      <c r="V2726" s="936"/>
      <c r="W2726" s="1103"/>
      <c r="X2726" s="1104"/>
      <c r="Y2726" s="1105"/>
      <c r="Z2726" s="1103"/>
      <c r="AA2726" s="1103"/>
      <c r="AB2726" s="1103"/>
      <c r="AC2726" s="1106"/>
      <c r="AD2726" s="1107"/>
      <c r="AE2726" s="1104"/>
      <c r="AG2726" s="1109"/>
      <c r="AI2726" s="1110"/>
      <c r="AL2726" s="933"/>
      <c r="AM2726" s="933"/>
      <c r="AN2726" s="1100"/>
      <c r="AO2726" s="1100"/>
      <c r="AP2726" s="934"/>
      <c r="AQ2726" s="934"/>
      <c r="AR2726" s="934"/>
      <c r="AS2726" s="936"/>
      <c r="AT2726" s="936"/>
      <c r="AU2726" s="936"/>
      <c r="AV2726" s="937"/>
      <c r="AW2726" s="938"/>
      <c r="AX2726" s="939"/>
      <c r="AY2726" s="933"/>
      <c r="AZ2726" s="936"/>
      <c r="BA2726" s="936"/>
      <c r="BB2726" s="1112"/>
      <c r="BC2726" s="940"/>
      <c r="BD2726" s="941"/>
      <c r="BE2726" s="942"/>
      <c r="BF2726" s="943"/>
      <c r="BG2726" s="943"/>
      <c r="BH2726" s="943"/>
      <c r="BI2726" s="943"/>
      <c r="BJ2726" s="943"/>
      <c r="BK2726" s="943"/>
      <c r="BL2726" s="943"/>
      <c r="BM2726" s="943"/>
      <c r="BN2726" s="943"/>
      <c r="BO2726" s="1059"/>
      <c r="BP2726" s="1059"/>
      <c r="BQ2726" s="1059"/>
      <c r="BR2726" s="1059"/>
      <c r="BS2726" s="1059"/>
      <c r="BT2726" s="1059"/>
      <c r="BU2726" s="1059"/>
      <c r="BV2726" s="944"/>
      <c r="BW2726" s="944"/>
      <c r="BX2726" s="1147"/>
      <c r="BY2726" s="944"/>
      <c r="BZ2726" s="944"/>
      <c r="CA2726" s="944"/>
      <c r="CB2726" s="944"/>
    </row>
    <row r="2727" spans="2:80">
      <c r="B2727" s="1097"/>
      <c r="C2727" s="1097"/>
      <c r="D2727" s="1097"/>
      <c r="E2727" s="1097"/>
      <c r="F2727" s="934"/>
      <c r="G2727" s="1098"/>
      <c r="H2727" s="1099"/>
      <c r="I2727" s="1099"/>
      <c r="J2727" s="934"/>
      <c r="K2727" s="934"/>
      <c r="L2727" s="933"/>
      <c r="M2727" s="1100"/>
      <c r="N2727" s="934"/>
      <c r="O2727" s="936"/>
      <c r="P2727" s="936"/>
      <c r="Q2727" s="933"/>
      <c r="T2727" s="1101"/>
      <c r="U2727" s="1102"/>
      <c r="V2727" s="936"/>
      <c r="W2727" s="1103"/>
      <c r="X2727" s="1104"/>
      <c r="Y2727" s="1105"/>
      <c r="Z2727" s="1103"/>
      <c r="AA2727" s="1103"/>
      <c r="AB2727" s="1103"/>
      <c r="AC2727" s="1106"/>
      <c r="AD2727" s="1107"/>
      <c r="AE2727" s="1104"/>
      <c r="AG2727" s="1109"/>
      <c r="AI2727" s="1110"/>
      <c r="AL2727" s="933"/>
      <c r="AM2727" s="933"/>
      <c r="AN2727" s="1100"/>
      <c r="AO2727" s="1100"/>
      <c r="AP2727" s="934"/>
      <c r="AQ2727" s="934"/>
      <c r="AR2727" s="934"/>
      <c r="AS2727" s="936"/>
      <c r="AT2727" s="936"/>
      <c r="AU2727" s="936"/>
      <c r="AV2727" s="937"/>
      <c r="AW2727" s="938"/>
      <c r="AX2727" s="939"/>
      <c r="AY2727" s="933"/>
      <c r="AZ2727" s="936"/>
      <c r="BA2727" s="936"/>
      <c r="BB2727" s="1112"/>
      <c r="BC2727" s="940"/>
      <c r="BD2727" s="941"/>
      <c r="BE2727" s="942"/>
      <c r="BF2727" s="943"/>
      <c r="BG2727" s="943"/>
      <c r="BH2727" s="943"/>
      <c r="BI2727" s="943"/>
      <c r="BJ2727" s="943"/>
      <c r="BK2727" s="943"/>
      <c r="BL2727" s="943"/>
      <c r="BM2727" s="943"/>
      <c r="BN2727" s="943"/>
      <c r="BO2727" s="1059"/>
      <c r="BP2727" s="1059"/>
      <c r="BQ2727" s="1059"/>
      <c r="BR2727" s="1059"/>
      <c r="BS2727" s="1059"/>
      <c r="BT2727" s="1059"/>
      <c r="BU2727" s="1059"/>
      <c r="BV2727" s="944"/>
      <c r="BW2727" s="944"/>
      <c r="BX2727" s="1147"/>
      <c r="BY2727" s="944"/>
      <c r="BZ2727" s="944"/>
      <c r="CA2727" s="944"/>
      <c r="CB2727" s="944"/>
    </row>
    <row r="2728" spans="2:80">
      <c r="B2728" s="1097"/>
      <c r="C2728" s="1097"/>
      <c r="D2728" s="1097"/>
      <c r="E2728" s="1097"/>
      <c r="F2728" s="934"/>
      <c r="G2728" s="1098"/>
      <c r="H2728" s="1099"/>
      <c r="I2728" s="1099"/>
      <c r="J2728" s="934"/>
      <c r="K2728" s="934"/>
      <c r="L2728" s="933"/>
      <c r="M2728" s="1100"/>
      <c r="N2728" s="934"/>
      <c r="O2728" s="936"/>
      <c r="P2728" s="936"/>
      <c r="Q2728" s="933"/>
      <c r="T2728" s="1101"/>
      <c r="U2728" s="1102"/>
      <c r="V2728" s="936"/>
      <c r="W2728" s="1103"/>
      <c r="X2728" s="1104"/>
      <c r="Y2728" s="1105"/>
      <c r="Z2728" s="1103"/>
      <c r="AA2728" s="1103"/>
      <c r="AB2728" s="1103"/>
      <c r="AC2728" s="1106"/>
      <c r="AD2728" s="1107"/>
      <c r="AE2728" s="1104"/>
      <c r="AG2728" s="1109"/>
      <c r="AI2728" s="1110"/>
      <c r="AL2728" s="933"/>
      <c r="AM2728" s="933"/>
      <c r="AN2728" s="1100"/>
      <c r="AO2728" s="1100"/>
      <c r="AP2728" s="934"/>
      <c r="AQ2728" s="934"/>
      <c r="AR2728" s="934"/>
      <c r="AS2728" s="936"/>
      <c r="AT2728" s="936"/>
      <c r="AU2728" s="936"/>
      <c r="AV2728" s="937"/>
      <c r="AW2728" s="938"/>
      <c r="AX2728" s="939"/>
      <c r="AY2728" s="933"/>
      <c r="AZ2728" s="936"/>
      <c r="BA2728" s="936"/>
      <c r="BB2728" s="1112"/>
      <c r="BC2728" s="940"/>
      <c r="BD2728" s="941"/>
      <c r="BE2728" s="942"/>
      <c r="BF2728" s="943"/>
      <c r="BG2728" s="943"/>
      <c r="BH2728" s="943"/>
      <c r="BI2728" s="943"/>
      <c r="BJ2728" s="943"/>
      <c r="BK2728" s="943"/>
      <c r="BL2728" s="943"/>
      <c r="BM2728" s="943"/>
      <c r="BN2728" s="943"/>
      <c r="BO2728" s="1059"/>
      <c r="BP2728" s="1059"/>
      <c r="BQ2728" s="1059"/>
      <c r="BR2728" s="1059"/>
      <c r="BS2728" s="1059"/>
      <c r="BT2728" s="1059"/>
      <c r="BU2728" s="1059"/>
      <c r="BV2728" s="944"/>
      <c r="BW2728" s="944"/>
      <c r="BX2728" s="1147"/>
      <c r="BY2728" s="944"/>
      <c r="BZ2728" s="944"/>
      <c r="CA2728" s="944"/>
      <c r="CB2728" s="944"/>
    </row>
    <row r="2729" spans="2:80">
      <c r="B2729" s="1097"/>
      <c r="C2729" s="1097"/>
      <c r="D2729" s="1097"/>
      <c r="E2729" s="1097"/>
      <c r="F2729" s="934"/>
      <c r="G2729" s="1098"/>
      <c r="H2729" s="1099"/>
      <c r="I2729" s="1099"/>
      <c r="J2729" s="934"/>
      <c r="K2729" s="934"/>
      <c r="L2729" s="933"/>
      <c r="M2729" s="1100"/>
      <c r="N2729" s="934"/>
      <c r="O2729" s="936"/>
      <c r="P2729" s="936"/>
      <c r="Q2729" s="933"/>
      <c r="T2729" s="1101"/>
      <c r="U2729" s="1102"/>
      <c r="V2729" s="936"/>
      <c r="W2729" s="1103"/>
      <c r="X2729" s="1104"/>
      <c r="Y2729" s="1105"/>
      <c r="Z2729" s="1103"/>
      <c r="AA2729" s="1103"/>
      <c r="AB2729" s="1103"/>
      <c r="AC2729" s="1106"/>
      <c r="AD2729" s="1107"/>
      <c r="AE2729" s="1104"/>
      <c r="AG2729" s="1109"/>
      <c r="AI2729" s="1110"/>
      <c r="AL2729" s="933"/>
      <c r="AM2729" s="933"/>
      <c r="AN2729" s="1100"/>
      <c r="AO2729" s="1100"/>
      <c r="AP2729" s="934"/>
      <c r="AQ2729" s="934"/>
      <c r="AR2729" s="934"/>
      <c r="AS2729" s="936"/>
      <c r="AT2729" s="936"/>
      <c r="AU2729" s="936"/>
      <c r="AV2729" s="937"/>
      <c r="AW2729" s="938"/>
      <c r="AX2729" s="939"/>
      <c r="AY2729" s="933"/>
      <c r="AZ2729" s="936"/>
      <c r="BA2729" s="936"/>
      <c r="BB2729" s="1112"/>
      <c r="BC2729" s="940"/>
      <c r="BD2729" s="941"/>
      <c r="BE2729" s="942"/>
      <c r="BF2729" s="943"/>
      <c r="BG2729" s="943"/>
      <c r="BH2729" s="943"/>
      <c r="BI2729" s="943"/>
      <c r="BJ2729" s="943"/>
      <c r="BK2729" s="943"/>
      <c r="BL2729" s="943"/>
      <c r="BM2729" s="943"/>
      <c r="BN2729" s="943"/>
      <c r="BO2729" s="1059"/>
      <c r="BP2729" s="1059"/>
      <c r="BQ2729" s="1059"/>
      <c r="BR2729" s="1059"/>
      <c r="BS2729" s="1059"/>
      <c r="BT2729" s="1059"/>
      <c r="BU2729" s="1059"/>
      <c r="BV2729" s="944"/>
      <c r="BW2729" s="944"/>
      <c r="BX2729" s="1147"/>
      <c r="BY2729" s="944"/>
      <c r="BZ2729" s="944"/>
      <c r="CA2729" s="944"/>
      <c r="CB2729" s="944"/>
    </row>
    <row r="2730" spans="2:80">
      <c r="B2730" s="1097"/>
      <c r="C2730" s="1097"/>
      <c r="D2730" s="1097"/>
      <c r="E2730" s="1097"/>
      <c r="F2730" s="934"/>
      <c r="G2730" s="1098"/>
      <c r="H2730" s="1099"/>
      <c r="I2730" s="1099"/>
      <c r="J2730" s="934"/>
      <c r="K2730" s="934"/>
      <c r="L2730" s="933"/>
      <c r="M2730" s="1100"/>
      <c r="N2730" s="934"/>
      <c r="O2730" s="936"/>
      <c r="P2730" s="936"/>
      <c r="Q2730" s="933"/>
      <c r="T2730" s="1101"/>
      <c r="U2730" s="1102"/>
      <c r="V2730" s="936"/>
      <c r="W2730" s="1103"/>
      <c r="X2730" s="1104"/>
      <c r="Y2730" s="1105"/>
      <c r="Z2730" s="1103"/>
      <c r="AA2730" s="1103"/>
      <c r="AB2730" s="1103"/>
      <c r="AC2730" s="1106"/>
      <c r="AD2730" s="1107"/>
      <c r="AE2730" s="1104"/>
      <c r="AG2730" s="1109"/>
      <c r="AI2730" s="1110"/>
      <c r="AL2730" s="933"/>
      <c r="AM2730" s="933"/>
      <c r="AN2730" s="1100"/>
      <c r="AO2730" s="1100"/>
      <c r="AP2730" s="934"/>
      <c r="AQ2730" s="934"/>
      <c r="AR2730" s="934"/>
      <c r="AS2730" s="936"/>
      <c r="AT2730" s="936"/>
      <c r="AU2730" s="936"/>
      <c r="AV2730" s="937"/>
      <c r="AW2730" s="938"/>
      <c r="AX2730" s="939"/>
      <c r="AY2730" s="933"/>
      <c r="AZ2730" s="936"/>
      <c r="BA2730" s="936"/>
      <c r="BB2730" s="1112"/>
      <c r="BC2730" s="940"/>
      <c r="BD2730" s="941"/>
      <c r="BE2730" s="942"/>
      <c r="BF2730" s="943"/>
      <c r="BG2730" s="943"/>
      <c r="BH2730" s="943"/>
      <c r="BI2730" s="943"/>
      <c r="BJ2730" s="943"/>
      <c r="BK2730" s="943"/>
      <c r="BL2730" s="943"/>
      <c r="BM2730" s="943"/>
      <c r="BN2730" s="943"/>
      <c r="BO2730" s="1059"/>
      <c r="BP2730" s="1059"/>
      <c r="BQ2730" s="1059"/>
      <c r="BR2730" s="1059"/>
      <c r="BS2730" s="1059"/>
      <c r="BT2730" s="1059"/>
      <c r="BU2730" s="1059"/>
      <c r="BV2730" s="944"/>
      <c r="BW2730" s="944"/>
      <c r="BX2730" s="1147"/>
      <c r="BY2730" s="944"/>
      <c r="BZ2730" s="944"/>
      <c r="CA2730" s="944"/>
      <c r="CB2730" s="944"/>
    </row>
    <row r="2731" spans="2:80">
      <c r="B2731" s="1097"/>
      <c r="C2731" s="1097"/>
      <c r="D2731" s="1097"/>
      <c r="E2731" s="1097"/>
      <c r="F2731" s="934"/>
      <c r="G2731" s="1098"/>
      <c r="H2731" s="1099"/>
      <c r="I2731" s="1099"/>
      <c r="J2731" s="934"/>
      <c r="K2731" s="934"/>
      <c r="L2731" s="933"/>
      <c r="M2731" s="1100"/>
      <c r="N2731" s="934"/>
      <c r="O2731" s="936"/>
      <c r="P2731" s="936"/>
      <c r="Q2731" s="933"/>
      <c r="T2731" s="1101"/>
      <c r="U2731" s="1102"/>
      <c r="V2731" s="936"/>
      <c r="W2731" s="1103"/>
      <c r="X2731" s="1104"/>
      <c r="Y2731" s="1105"/>
      <c r="Z2731" s="1103"/>
      <c r="AA2731" s="1103"/>
      <c r="AB2731" s="1103"/>
      <c r="AC2731" s="1106"/>
      <c r="AD2731" s="1107"/>
      <c r="AE2731" s="1104"/>
      <c r="AG2731" s="1109"/>
      <c r="AI2731" s="1110"/>
      <c r="AL2731" s="933"/>
      <c r="AM2731" s="933"/>
      <c r="AN2731" s="1100"/>
      <c r="AO2731" s="1100"/>
      <c r="AP2731" s="934"/>
      <c r="AQ2731" s="934"/>
      <c r="AR2731" s="934"/>
      <c r="AS2731" s="936"/>
      <c r="AT2731" s="936"/>
      <c r="AU2731" s="936"/>
      <c r="AV2731" s="937"/>
      <c r="AW2731" s="938"/>
      <c r="AX2731" s="939"/>
      <c r="AY2731" s="933"/>
      <c r="AZ2731" s="936"/>
      <c r="BA2731" s="936"/>
      <c r="BB2731" s="1112"/>
      <c r="BC2731" s="940"/>
      <c r="BD2731" s="941"/>
      <c r="BE2731" s="942"/>
      <c r="BF2731" s="943"/>
      <c r="BG2731" s="943"/>
      <c r="BH2731" s="943"/>
      <c r="BI2731" s="943"/>
      <c r="BJ2731" s="943"/>
      <c r="BK2731" s="943"/>
      <c r="BL2731" s="943"/>
      <c r="BM2731" s="943"/>
      <c r="BN2731" s="943"/>
      <c r="BO2731" s="1059"/>
      <c r="BP2731" s="1059"/>
      <c r="BQ2731" s="1059"/>
      <c r="BR2731" s="1059"/>
      <c r="BS2731" s="1059"/>
      <c r="BT2731" s="1059"/>
      <c r="BU2731" s="1059"/>
      <c r="BV2731" s="944"/>
      <c r="BW2731" s="944"/>
      <c r="BX2731" s="1147"/>
      <c r="BY2731" s="944"/>
      <c r="BZ2731" s="944"/>
      <c r="CA2731" s="944"/>
      <c r="CB2731" s="944"/>
    </row>
    <row r="2732" spans="2:80">
      <c r="B2732" s="1097"/>
      <c r="C2732" s="1097"/>
      <c r="D2732" s="1097"/>
      <c r="E2732" s="1097"/>
      <c r="F2732" s="934"/>
      <c r="G2732" s="1098"/>
      <c r="H2732" s="1099"/>
      <c r="I2732" s="1099"/>
      <c r="J2732" s="934"/>
      <c r="K2732" s="934"/>
      <c r="L2732" s="933"/>
      <c r="M2732" s="1100"/>
      <c r="N2732" s="934"/>
      <c r="O2732" s="936"/>
      <c r="P2732" s="936"/>
      <c r="Q2732" s="933"/>
      <c r="T2732" s="1101"/>
      <c r="U2732" s="1102"/>
      <c r="V2732" s="936"/>
      <c r="W2732" s="1103"/>
      <c r="X2732" s="1104"/>
      <c r="Y2732" s="1105"/>
      <c r="Z2732" s="1103"/>
      <c r="AA2732" s="1103"/>
      <c r="AB2732" s="1103"/>
      <c r="AC2732" s="1106"/>
      <c r="AD2732" s="1107"/>
      <c r="AE2732" s="1104"/>
      <c r="AG2732" s="1109"/>
      <c r="AI2732" s="1110"/>
      <c r="AL2732" s="933"/>
      <c r="AM2732" s="933"/>
      <c r="AN2732" s="1100"/>
      <c r="AO2732" s="1100"/>
      <c r="AP2732" s="934"/>
      <c r="AQ2732" s="934"/>
      <c r="AR2732" s="934"/>
      <c r="AS2732" s="936"/>
      <c r="AT2732" s="936"/>
      <c r="AU2732" s="936"/>
      <c r="AV2732" s="937"/>
      <c r="AW2732" s="938"/>
      <c r="AX2732" s="939"/>
      <c r="AY2732" s="933"/>
      <c r="AZ2732" s="936"/>
      <c r="BA2732" s="936"/>
      <c r="BB2732" s="1112"/>
      <c r="BC2732" s="940"/>
      <c r="BD2732" s="941"/>
      <c r="BE2732" s="942"/>
      <c r="BF2732" s="943"/>
      <c r="BG2732" s="943"/>
      <c r="BH2732" s="943"/>
      <c r="BI2732" s="943"/>
      <c r="BJ2732" s="943"/>
      <c r="BK2732" s="943"/>
      <c r="BL2732" s="943"/>
      <c r="BM2732" s="943"/>
      <c r="BN2732" s="943"/>
      <c r="BO2732" s="1059"/>
      <c r="BP2732" s="1059"/>
      <c r="BQ2732" s="1059"/>
      <c r="BR2732" s="1059"/>
      <c r="BS2732" s="1059"/>
      <c r="BT2732" s="1059"/>
      <c r="BU2732" s="1059"/>
      <c r="BV2732" s="944"/>
      <c r="BW2732" s="944"/>
      <c r="BX2732" s="1147"/>
      <c r="BY2732" s="944"/>
      <c r="BZ2732" s="944"/>
      <c r="CA2732" s="944"/>
      <c r="CB2732" s="944"/>
    </row>
    <row r="2733" spans="2:80">
      <c r="B2733" s="1097"/>
      <c r="C2733" s="1097"/>
      <c r="D2733" s="1097"/>
      <c r="E2733" s="1097"/>
      <c r="F2733" s="934"/>
      <c r="G2733" s="1098"/>
      <c r="H2733" s="1099"/>
      <c r="I2733" s="1099"/>
      <c r="J2733" s="934"/>
      <c r="K2733" s="934"/>
      <c r="L2733" s="933"/>
      <c r="M2733" s="1100"/>
      <c r="N2733" s="934"/>
      <c r="O2733" s="936"/>
      <c r="P2733" s="936"/>
      <c r="Q2733" s="933"/>
      <c r="T2733" s="1101"/>
      <c r="U2733" s="1102"/>
      <c r="V2733" s="936"/>
      <c r="W2733" s="1103"/>
      <c r="X2733" s="1104"/>
      <c r="Y2733" s="1105"/>
      <c r="Z2733" s="1103"/>
      <c r="AA2733" s="1103"/>
      <c r="AB2733" s="1103"/>
      <c r="AC2733" s="1106"/>
      <c r="AD2733" s="1107"/>
      <c r="AE2733" s="1104"/>
      <c r="AG2733" s="1109"/>
      <c r="AI2733" s="1110"/>
      <c r="AL2733" s="933"/>
      <c r="AM2733" s="933"/>
      <c r="AN2733" s="1100"/>
      <c r="AO2733" s="1100"/>
      <c r="AP2733" s="934"/>
      <c r="AQ2733" s="934"/>
      <c r="AR2733" s="934"/>
      <c r="AS2733" s="936"/>
      <c r="AT2733" s="936"/>
      <c r="AU2733" s="936"/>
      <c r="AV2733" s="937"/>
      <c r="AW2733" s="938"/>
      <c r="AX2733" s="939"/>
      <c r="AY2733" s="933"/>
      <c r="AZ2733" s="936"/>
      <c r="BA2733" s="936"/>
      <c r="BB2733" s="1112"/>
      <c r="BC2733" s="940"/>
      <c r="BD2733" s="941"/>
      <c r="BE2733" s="942"/>
      <c r="BF2733" s="943"/>
      <c r="BG2733" s="943"/>
      <c r="BH2733" s="943"/>
      <c r="BI2733" s="943"/>
      <c r="BJ2733" s="943"/>
      <c r="BK2733" s="943"/>
      <c r="BL2733" s="943"/>
      <c r="BM2733" s="943"/>
      <c r="BN2733" s="943"/>
      <c r="BO2733" s="1059"/>
      <c r="BP2733" s="1059"/>
      <c r="BQ2733" s="1059"/>
      <c r="BR2733" s="1059"/>
      <c r="BS2733" s="1059"/>
      <c r="BT2733" s="1059"/>
      <c r="BU2733" s="1059"/>
      <c r="BV2733" s="944"/>
      <c r="BW2733" s="944"/>
      <c r="BX2733" s="1147"/>
      <c r="BY2733" s="944"/>
      <c r="BZ2733" s="944"/>
      <c r="CA2733" s="944"/>
      <c r="CB2733" s="944"/>
    </row>
    <row r="2734" spans="2:80">
      <c r="B2734" s="1097"/>
      <c r="C2734" s="1097"/>
      <c r="D2734" s="1097"/>
      <c r="E2734" s="1097"/>
      <c r="F2734" s="934"/>
      <c r="G2734" s="1098"/>
      <c r="H2734" s="1099"/>
      <c r="I2734" s="1099"/>
      <c r="J2734" s="934"/>
      <c r="K2734" s="934"/>
      <c r="L2734" s="933"/>
      <c r="M2734" s="1100"/>
      <c r="N2734" s="934"/>
      <c r="O2734" s="936"/>
      <c r="P2734" s="936"/>
      <c r="Q2734" s="933"/>
      <c r="T2734" s="1101"/>
      <c r="U2734" s="1102"/>
      <c r="V2734" s="936"/>
      <c r="W2734" s="1103"/>
      <c r="X2734" s="1104"/>
      <c r="Y2734" s="1105"/>
      <c r="Z2734" s="1103"/>
      <c r="AA2734" s="1103"/>
      <c r="AB2734" s="1103"/>
      <c r="AC2734" s="1106"/>
      <c r="AD2734" s="1107"/>
      <c r="AE2734" s="1104"/>
      <c r="AG2734" s="1109"/>
      <c r="AI2734" s="1110"/>
      <c r="AL2734" s="933"/>
      <c r="AM2734" s="933"/>
      <c r="AN2734" s="1100"/>
      <c r="AO2734" s="1100"/>
      <c r="AP2734" s="934"/>
      <c r="AQ2734" s="934"/>
      <c r="AR2734" s="934"/>
      <c r="AS2734" s="936"/>
      <c r="AT2734" s="936"/>
      <c r="AU2734" s="936"/>
      <c r="AV2734" s="937"/>
      <c r="AW2734" s="938"/>
      <c r="AX2734" s="939"/>
      <c r="AY2734" s="933"/>
      <c r="AZ2734" s="936"/>
      <c r="BA2734" s="936"/>
      <c r="BB2734" s="1112"/>
      <c r="BC2734" s="940"/>
      <c r="BD2734" s="941"/>
      <c r="BE2734" s="942"/>
      <c r="BF2734" s="943"/>
      <c r="BG2734" s="943"/>
      <c r="BH2734" s="943"/>
      <c r="BI2734" s="943"/>
      <c r="BJ2734" s="943"/>
      <c r="BK2734" s="943"/>
      <c r="BL2734" s="943"/>
      <c r="BM2734" s="943"/>
      <c r="BN2734" s="943"/>
      <c r="BO2734" s="1059"/>
      <c r="BP2734" s="1059"/>
      <c r="BQ2734" s="1059"/>
      <c r="BR2734" s="1059"/>
      <c r="BS2734" s="1059"/>
      <c r="BT2734" s="1059"/>
      <c r="BU2734" s="1059"/>
      <c r="BV2734" s="944"/>
      <c r="BW2734" s="944"/>
      <c r="BX2734" s="1147"/>
      <c r="BY2734" s="944"/>
      <c r="BZ2734" s="944"/>
      <c r="CA2734" s="944"/>
      <c r="CB2734" s="944"/>
    </row>
    <row r="2735" spans="2:80">
      <c r="B2735" s="1097"/>
      <c r="C2735" s="1097"/>
      <c r="D2735" s="1097"/>
      <c r="E2735" s="1097"/>
      <c r="F2735" s="934"/>
      <c r="G2735" s="1098"/>
      <c r="H2735" s="1099"/>
      <c r="I2735" s="1099"/>
      <c r="J2735" s="934"/>
      <c r="K2735" s="934"/>
      <c r="L2735" s="933"/>
      <c r="M2735" s="1100"/>
      <c r="N2735" s="934"/>
      <c r="O2735" s="936"/>
      <c r="P2735" s="936"/>
      <c r="Q2735" s="933"/>
      <c r="T2735" s="1101"/>
      <c r="U2735" s="1102"/>
      <c r="V2735" s="936"/>
      <c r="W2735" s="1103"/>
      <c r="X2735" s="1104"/>
      <c r="Y2735" s="1105"/>
      <c r="Z2735" s="1103"/>
      <c r="AA2735" s="1103"/>
      <c r="AB2735" s="1103"/>
      <c r="AC2735" s="1106"/>
      <c r="AD2735" s="1107"/>
      <c r="AE2735" s="1104"/>
      <c r="AG2735" s="1109"/>
      <c r="AI2735" s="1110"/>
      <c r="AL2735" s="933"/>
      <c r="AM2735" s="933"/>
      <c r="AN2735" s="1100"/>
      <c r="AO2735" s="1100"/>
      <c r="AP2735" s="934"/>
      <c r="AQ2735" s="934"/>
      <c r="AR2735" s="934"/>
      <c r="AS2735" s="936"/>
      <c r="AT2735" s="936"/>
      <c r="AU2735" s="936"/>
      <c r="AV2735" s="937"/>
      <c r="AW2735" s="938"/>
      <c r="AX2735" s="939"/>
      <c r="AY2735" s="933"/>
      <c r="AZ2735" s="936"/>
      <c r="BA2735" s="936"/>
      <c r="BB2735" s="1112"/>
      <c r="BC2735" s="940"/>
      <c r="BD2735" s="941"/>
      <c r="BE2735" s="942"/>
      <c r="BF2735" s="943"/>
      <c r="BG2735" s="943"/>
      <c r="BH2735" s="943"/>
      <c r="BI2735" s="943"/>
      <c r="BJ2735" s="943"/>
      <c r="BK2735" s="943"/>
      <c r="BL2735" s="943"/>
      <c r="BM2735" s="943"/>
      <c r="BN2735" s="943"/>
      <c r="BO2735" s="1059"/>
      <c r="BP2735" s="1059"/>
      <c r="BQ2735" s="1059"/>
      <c r="BR2735" s="1059"/>
      <c r="BS2735" s="1059"/>
      <c r="BT2735" s="1059"/>
      <c r="BU2735" s="1059"/>
      <c r="BV2735" s="944"/>
      <c r="BW2735" s="944"/>
      <c r="BX2735" s="1147"/>
      <c r="BY2735" s="944"/>
      <c r="BZ2735" s="944"/>
      <c r="CA2735" s="944"/>
      <c r="CB2735" s="944"/>
    </row>
    <row r="2736" spans="2:80">
      <c r="B2736" s="1097"/>
      <c r="C2736" s="1097"/>
      <c r="D2736" s="1097"/>
      <c r="E2736" s="1097"/>
      <c r="F2736" s="934"/>
      <c r="G2736" s="1098"/>
      <c r="H2736" s="1099"/>
      <c r="I2736" s="1099"/>
      <c r="J2736" s="934"/>
      <c r="K2736" s="934"/>
      <c r="L2736" s="933"/>
      <c r="M2736" s="1100"/>
      <c r="N2736" s="934"/>
      <c r="O2736" s="936"/>
      <c r="P2736" s="936"/>
      <c r="Q2736" s="933"/>
      <c r="T2736" s="1101"/>
      <c r="U2736" s="1102"/>
      <c r="V2736" s="936"/>
      <c r="W2736" s="1103"/>
      <c r="X2736" s="1104"/>
      <c r="Y2736" s="1105"/>
      <c r="Z2736" s="1103"/>
      <c r="AA2736" s="1103"/>
      <c r="AB2736" s="1103"/>
      <c r="AC2736" s="1106"/>
      <c r="AD2736" s="1107"/>
      <c r="AE2736" s="1104"/>
      <c r="AG2736" s="1109"/>
      <c r="AI2736" s="1110"/>
      <c r="AL2736" s="933"/>
      <c r="AM2736" s="933"/>
      <c r="AN2736" s="1100"/>
      <c r="AO2736" s="1100"/>
      <c r="AP2736" s="934"/>
      <c r="AQ2736" s="934"/>
      <c r="AR2736" s="934"/>
      <c r="AS2736" s="936"/>
      <c r="AT2736" s="936"/>
      <c r="AU2736" s="936"/>
      <c r="AV2736" s="937"/>
      <c r="AW2736" s="938"/>
      <c r="AX2736" s="939"/>
      <c r="AY2736" s="933"/>
      <c r="AZ2736" s="936"/>
      <c r="BA2736" s="936"/>
      <c r="BB2736" s="1112"/>
      <c r="BC2736" s="940"/>
      <c r="BD2736" s="941"/>
      <c r="BE2736" s="942"/>
      <c r="BF2736" s="943"/>
      <c r="BG2736" s="943"/>
      <c r="BH2736" s="943"/>
      <c r="BI2736" s="943"/>
      <c r="BJ2736" s="943"/>
      <c r="BK2736" s="943"/>
      <c r="BL2736" s="943"/>
      <c r="BM2736" s="943"/>
      <c r="BN2736" s="943"/>
      <c r="BO2736" s="1059"/>
      <c r="BP2736" s="1059"/>
      <c r="BQ2736" s="1059"/>
      <c r="BR2736" s="1059"/>
      <c r="BS2736" s="1059"/>
      <c r="BT2736" s="1059"/>
      <c r="BU2736" s="1059"/>
      <c r="BV2736" s="944"/>
      <c r="BW2736" s="944"/>
      <c r="BX2736" s="1147"/>
      <c r="BY2736" s="944"/>
      <c r="BZ2736" s="944"/>
      <c r="CA2736" s="944"/>
      <c r="CB2736" s="944"/>
    </row>
    <row r="2737" spans="2:80">
      <c r="B2737" s="1097"/>
      <c r="C2737" s="1097"/>
      <c r="D2737" s="1097"/>
      <c r="E2737" s="1097"/>
      <c r="F2737" s="934"/>
      <c r="G2737" s="1098"/>
      <c r="H2737" s="1099"/>
      <c r="I2737" s="1099"/>
      <c r="J2737" s="934"/>
      <c r="K2737" s="934"/>
      <c r="L2737" s="933"/>
      <c r="M2737" s="1100"/>
      <c r="N2737" s="934"/>
      <c r="O2737" s="936"/>
      <c r="P2737" s="936"/>
      <c r="Q2737" s="933"/>
      <c r="T2737" s="1101"/>
      <c r="U2737" s="1102"/>
      <c r="V2737" s="936"/>
      <c r="W2737" s="1103"/>
      <c r="X2737" s="1104"/>
      <c r="Y2737" s="1105"/>
      <c r="Z2737" s="1103"/>
      <c r="AA2737" s="1103"/>
      <c r="AB2737" s="1103"/>
      <c r="AC2737" s="1106"/>
      <c r="AD2737" s="1107"/>
      <c r="AE2737" s="1104"/>
      <c r="AG2737" s="1109"/>
      <c r="AI2737" s="1110"/>
      <c r="AL2737" s="933"/>
      <c r="AM2737" s="933"/>
      <c r="AN2737" s="1100"/>
      <c r="AO2737" s="1100"/>
      <c r="AP2737" s="934"/>
      <c r="AQ2737" s="934"/>
      <c r="AR2737" s="934"/>
      <c r="AS2737" s="936"/>
      <c r="AT2737" s="936"/>
      <c r="AU2737" s="936"/>
      <c r="AV2737" s="937"/>
      <c r="AW2737" s="938"/>
      <c r="AX2737" s="939"/>
      <c r="AY2737" s="933"/>
      <c r="AZ2737" s="936"/>
      <c r="BA2737" s="936"/>
      <c r="BB2737" s="1112"/>
      <c r="BC2737" s="940"/>
      <c r="BD2737" s="941"/>
      <c r="BE2737" s="942"/>
      <c r="BF2737" s="943"/>
      <c r="BG2737" s="943"/>
      <c r="BH2737" s="943"/>
      <c r="BI2737" s="943"/>
      <c r="BJ2737" s="943"/>
      <c r="BK2737" s="943"/>
      <c r="BL2737" s="943"/>
      <c r="BM2737" s="943"/>
      <c r="BN2737" s="943"/>
      <c r="BO2737" s="1059"/>
      <c r="BP2737" s="1059"/>
      <c r="BQ2737" s="1059"/>
      <c r="BR2737" s="1059"/>
      <c r="BS2737" s="1059"/>
      <c r="BT2737" s="1059"/>
      <c r="BU2737" s="1059"/>
      <c r="BV2737" s="944"/>
      <c r="BW2737" s="944"/>
      <c r="BX2737" s="1147"/>
      <c r="BY2737" s="944"/>
      <c r="BZ2737" s="944"/>
      <c r="CA2737" s="944"/>
      <c r="CB2737" s="944"/>
    </row>
    <row r="2738" spans="2:80">
      <c r="B2738" s="1097"/>
      <c r="C2738" s="1097"/>
      <c r="D2738" s="1097"/>
      <c r="E2738" s="1097"/>
      <c r="F2738" s="934"/>
      <c r="G2738" s="1098"/>
      <c r="H2738" s="1099"/>
      <c r="I2738" s="1099"/>
      <c r="J2738" s="934"/>
      <c r="K2738" s="934"/>
      <c r="L2738" s="933"/>
      <c r="M2738" s="1100"/>
      <c r="N2738" s="934"/>
      <c r="O2738" s="936"/>
      <c r="P2738" s="936"/>
      <c r="Q2738" s="933"/>
      <c r="T2738" s="1101"/>
      <c r="U2738" s="1102"/>
      <c r="V2738" s="936"/>
      <c r="W2738" s="1103"/>
      <c r="X2738" s="1104"/>
      <c r="Y2738" s="1105"/>
      <c r="Z2738" s="1103"/>
      <c r="AA2738" s="1103"/>
      <c r="AB2738" s="1103"/>
      <c r="AC2738" s="1106"/>
      <c r="AD2738" s="1107"/>
      <c r="AE2738" s="1104"/>
      <c r="AG2738" s="1109"/>
      <c r="AI2738" s="1110"/>
      <c r="AL2738" s="933"/>
      <c r="AM2738" s="933"/>
      <c r="AN2738" s="1100"/>
      <c r="AO2738" s="1100"/>
      <c r="AP2738" s="934"/>
      <c r="AQ2738" s="934"/>
      <c r="AR2738" s="934"/>
      <c r="AS2738" s="936"/>
      <c r="AT2738" s="936"/>
      <c r="AU2738" s="936"/>
      <c r="AV2738" s="937"/>
      <c r="AW2738" s="938"/>
      <c r="AX2738" s="939"/>
      <c r="AY2738" s="933"/>
      <c r="AZ2738" s="936"/>
      <c r="BA2738" s="936"/>
      <c r="BB2738" s="1112"/>
      <c r="BC2738" s="940"/>
      <c r="BD2738" s="941"/>
      <c r="BE2738" s="942"/>
      <c r="BF2738" s="943"/>
      <c r="BG2738" s="943"/>
      <c r="BH2738" s="943"/>
      <c r="BI2738" s="943"/>
      <c r="BJ2738" s="943"/>
      <c r="BK2738" s="943"/>
      <c r="BL2738" s="943"/>
      <c r="BM2738" s="943"/>
      <c r="BN2738" s="943"/>
      <c r="BO2738" s="1059"/>
      <c r="BP2738" s="1059"/>
      <c r="BQ2738" s="1059"/>
      <c r="BR2738" s="1059"/>
      <c r="BS2738" s="1059"/>
      <c r="BT2738" s="1059"/>
      <c r="BU2738" s="1059"/>
      <c r="BV2738" s="944"/>
      <c r="BW2738" s="944"/>
      <c r="BX2738" s="1147"/>
      <c r="BY2738" s="944"/>
      <c r="BZ2738" s="944"/>
      <c r="CA2738" s="944"/>
      <c r="CB2738" s="944"/>
    </row>
    <row r="2739" spans="2:80">
      <c r="B2739" s="1097"/>
      <c r="C2739" s="1097"/>
      <c r="D2739" s="1097"/>
      <c r="E2739" s="1097"/>
      <c r="F2739" s="934"/>
      <c r="G2739" s="1098"/>
      <c r="H2739" s="1099"/>
      <c r="I2739" s="1099"/>
      <c r="J2739" s="934"/>
      <c r="K2739" s="934"/>
      <c r="L2739" s="933"/>
      <c r="M2739" s="1100"/>
      <c r="N2739" s="934"/>
      <c r="O2739" s="936"/>
      <c r="P2739" s="936"/>
      <c r="Q2739" s="933"/>
      <c r="T2739" s="1101"/>
      <c r="U2739" s="1102"/>
      <c r="V2739" s="936"/>
      <c r="W2739" s="1103"/>
      <c r="X2739" s="1104"/>
      <c r="Y2739" s="1105"/>
      <c r="Z2739" s="1103"/>
      <c r="AA2739" s="1103"/>
      <c r="AB2739" s="1103"/>
      <c r="AC2739" s="1106"/>
      <c r="AD2739" s="1107"/>
      <c r="AE2739" s="1104"/>
      <c r="AG2739" s="1109"/>
      <c r="AI2739" s="1110"/>
      <c r="AL2739" s="933"/>
      <c r="AM2739" s="933"/>
      <c r="AN2739" s="1100"/>
      <c r="AO2739" s="1100"/>
      <c r="AP2739" s="934"/>
      <c r="AQ2739" s="934"/>
      <c r="AR2739" s="934"/>
      <c r="AS2739" s="936"/>
      <c r="AT2739" s="936"/>
      <c r="AU2739" s="936"/>
      <c r="AV2739" s="937"/>
      <c r="AW2739" s="938"/>
      <c r="AX2739" s="939"/>
      <c r="AY2739" s="933"/>
      <c r="AZ2739" s="936"/>
      <c r="BA2739" s="936"/>
      <c r="BB2739" s="1112"/>
      <c r="BC2739" s="940"/>
      <c r="BD2739" s="941"/>
      <c r="BE2739" s="942"/>
      <c r="BF2739" s="943"/>
      <c r="BG2739" s="943"/>
      <c r="BH2739" s="943"/>
      <c r="BI2739" s="943"/>
      <c r="BJ2739" s="943"/>
      <c r="BK2739" s="943"/>
      <c r="BL2739" s="943"/>
      <c r="BM2739" s="943"/>
      <c r="BN2739" s="943"/>
      <c r="BO2739" s="1059"/>
      <c r="BP2739" s="1059"/>
      <c r="BQ2739" s="1059"/>
      <c r="BR2739" s="1059"/>
      <c r="BS2739" s="1059"/>
      <c r="BT2739" s="1059"/>
      <c r="BU2739" s="1059"/>
      <c r="BV2739" s="944"/>
      <c r="BW2739" s="944"/>
      <c r="BX2739" s="1147"/>
      <c r="BY2739" s="944"/>
      <c r="BZ2739" s="944"/>
      <c r="CA2739" s="944"/>
      <c r="CB2739" s="944"/>
    </row>
    <row r="2740" spans="2:80">
      <c r="B2740" s="1097"/>
      <c r="C2740" s="1097"/>
      <c r="D2740" s="1097"/>
      <c r="E2740" s="1097"/>
      <c r="F2740" s="934"/>
      <c r="G2740" s="1098"/>
      <c r="H2740" s="1099"/>
      <c r="I2740" s="1099"/>
      <c r="J2740" s="934"/>
      <c r="K2740" s="934"/>
      <c r="L2740" s="933"/>
      <c r="M2740" s="1100"/>
      <c r="N2740" s="934"/>
      <c r="O2740" s="936"/>
      <c r="P2740" s="936"/>
      <c r="Q2740" s="933"/>
      <c r="T2740" s="1101"/>
      <c r="U2740" s="1102"/>
      <c r="V2740" s="936"/>
      <c r="W2740" s="1103"/>
      <c r="X2740" s="1104"/>
      <c r="Y2740" s="1105"/>
      <c r="Z2740" s="1103"/>
      <c r="AA2740" s="1103"/>
      <c r="AB2740" s="1103"/>
      <c r="AC2740" s="1106"/>
      <c r="AD2740" s="1107"/>
      <c r="AE2740" s="1104"/>
      <c r="AG2740" s="1109"/>
      <c r="AI2740" s="1110"/>
      <c r="AL2740" s="933"/>
      <c r="AM2740" s="933"/>
      <c r="AN2740" s="1100"/>
      <c r="AO2740" s="1100"/>
      <c r="AP2740" s="934"/>
      <c r="AQ2740" s="934"/>
      <c r="AR2740" s="934"/>
      <c r="AS2740" s="936"/>
      <c r="AT2740" s="936"/>
      <c r="AU2740" s="936"/>
      <c r="AV2740" s="937"/>
      <c r="AW2740" s="938"/>
      <c r="AX2740" s="939"/>
      <c r="AY2740" s="933"/>
      <c r="AZ2740" s="936"/>
      <c r="BA2740" s="936"/>
      <c r="BB2740" s="1112"/>
      <c r="BC2740" s="940"/>
      <c r="BD2740" s="941"/>
      <c r="BE2740" s="942"/>
      <c r="BF2740" s="943"/>
      <c r="BG2740" s="943"/>
      <c r="BH2740" s="943"/>
      <c r="BI2740" s="943"/>
      <c r="BJ2740" s="943"/>
      <c r="BK2740" s="943"/>
      <c r="BL2740" s="943"/>
      <c r="BM2740" s="943"/>
      <c r="BN2740" s="943"/>
      <c r="BO2740" s="1059"/>
      <c r="BP2740" s="1059"/>
      <c r="BQ2740" s="1059"/>
      <c r="BR2740" s="1059"/>
      <c r="BS2740" s="1059"/>
      <c r="BT2740" s="1059"/>
      <c r="BU2740" s="1059"/>
      <c r="BV2740" s="944"/>
      <c r="BW2740" s="944"/>
      <c r="BX2740" s="1147"/>
      <c r="BY2740" s="944"/>
      <c r="BZ2740" s="944"/>
      <c r="CA2740" s="944"/>
      <c r="CB2740" s="944"/>
    </row>
    <row r="2741" spans="2:80">
      <c r="B2741" s="1097"/>
      <c r="C2741" s="1097"/>
      <c r="D2741" s="1097"/>
      <c r="E2741" s="1097"/>
      <c r="F2741" s="934"/>
      <c r="G2741" s="1098"/>
      <c r="H2741" s="1099"/>
      <c r="I2741" s="1099"/>
      <c r="J2741" s="934"/>
      <c r="K2741" s="934"/>
      <c r="L2741" s="933"/>
      <c r="M2741" s="1100"/>
      <c r="N2741" s="934"/>
      <c r="O2741" s="936"/>
      <c r="P2741" s="936"/>
      <c r="Q2741" s="933"/>
      <c r="T2741" s="1101"/>
      <c r="U2741" s="1102"/>
      <c r="V2741" s="936"/>
      <c r="W2741" s="1103"/>
      <c r="X2741" s="1104"/>
      <c r="Y2741" s="1105"/>
      <c r="Z2741" s="1103"/>
      <c r="AA2741" s="1103"/>
      <c r="AB2741" s="1103"/>
      <c r="AC2741" s="1106"/>
      <c r="AD2741" s="1107"/>
      <c r="AE2741" s="1104"/>
      <c r="AG2741" s="1109"/>
      <c r="AI2741" s="1110"/>
      <c r="AL2741" s="933"/>
      <c r="AM2741" s="933"/>
      <c r="AN2741" s="1100"/>
      <c r="AO2741" s="1100"/>
      <c r="AP2741" s="934"/>
      <c r="AQ2741" s="934"/>
      <c r="AR2741" s="934"/>
      <c r="AS2741" s="936"/>
      <c r="AT2741" s="936"/>
      <c r="AU2741" s="936"/>
      <c r="AV2741" s="937"/>
      <c r="AW2741" s="938"/>
      <c r="AX2741" s="939"/>
      <c r="AY2741" s="933"/>
      <c r="AZ2741" s="936"/>
      <c r="BA2741" s="936"/>
      <c r="BB2741" s="1112"/>
      <c r="BC2741" s="940"/>
      <c r="BD2741" s="941"/>
      <c r="BE2741" s="942"/>
      <c r="BF2741" s="943"/>
      <c r="BG2741" s="943"/>
      <c r="BH2741" s="943"/>
      <c r="BI2741" s="943"/>
      <c r="BJ2741" s="943"/>
      <c r="BK2741" s="943"/>
      <c r="BL2741" s="943"/>
      <c r="BM2741" s="943"/>
      <c r="BN2741" s="943"/>
      <c r="BO2741" s="1059"/>
      <c r="BP2741" s="1059"/>
      <c r="BQ2741" s="1059"/>
      <c r="BR2741" s="1059"/>
      <c r="BS2741" s="1059"/>
      <c r="BT2741" s="1059"/>
      <c r="BU2741" s="1059"/>
      <c r="BV2741" s="944"/>
      <c r="BW2741" s="944"/>
      <c r="BX2741" s="1147"/>
      <c r="BY2741" s="944"/>
      <c r="BZ2741" s="944"/>
      <c r="CA2741" s="944"/>
      <c r="CB2741" s="944"/>
    </row>
    <row r="2742" spans="2:80">
      <c r="B2742" s="1097"/>
      <c r="C2742" s="1097"/>
      <c r="D2742" s="1097"/>
      <c r="E2742" s="1097"/>
      <c r="F2742" s="934"/>
      <c r="G2742" s="1098"/>
      <c r="H2742" s="1099"/>
      <c r="I2742" s="1099"/>
      <c r="J2742" s="934"/>
      <c r="K2742" s="934"/>
      <c r="L2742" s="933"/>
      <c r="M2742" s="1100"/>
      <c r="N2742" s="934"/>
      <c r="O2742" s="936"/>
      <c r="P2742" s="936"/>
      <c r="Q2742" s="933"/>
      <c r="T2742" s="1101"/>
      <c r="U2742" s="1102"/>
      <c r="V2742" s="936"/>
      <c r="W2742" s="1103"/>
      <c r="X2742" s="1104"/>
      <c r="Y2742" s="1105"/>
      <c r="Z2742" s="1103"/>
      <c r="AA2742" s="1103"/>
      <c r="AB2742" s="1103"/>
      <c r="AC2742" s="1106"/>
      <c r="AD2742" s="1107"/>
      <c r="AE2742" s="1104"/>
      <c r="AG2742" s="1109"/>
      <c r="AI2742" s="1110"/>
      <c r="AL2742" s="933"/>
      <c r="AM2742" s="933"/>
      <c r="AN2742" s="1100"/>
      <c r="AO2742" s="1100"/>
      <c r="AP2742" s="934"/>
      <c r="AQ2742" s="934"/>
      <c r="AR2742" s="934"/>
      <c r="AS2742" s="936"/>
      <c r="AT2742" s="936"/>
      <c r="AU2742" s="936"/>
      <c r="AV2742" s="937"/>
      <c r="AW2742" s="938"/>
      <c r="AX2742" s="939"/>
      <c r="AY2742" s="933"/>
      <c r="AZ2742" s="936"/>
      <c r="BA2742" s="936"/>
      <c r="BB2742" s="1112"/>
      <c r="BC2742" s="940"/>
      <c r="BD2742" s="941"/>
      <c r="BE2742" s="942"/>
      <c r="BF2742" s="943"/>
      <c r="BG2742" s="943"/>
      <c r="BH2742" s="943"/>
      <c r="BI2742" s="943"/>
      <c r="BJ2742" s="943"/>
      <c r="BK2742" s="943"/>
      <c r="BL2742" s="943"/>
      <c r="BM2742" s="943"/>
      <c r="BN2742" s="943"/>
      <c r="BO2742" s="1059"/>
      <c r="BP2742" s="1059"/>
      <c r="BQ2742" s="1059"/>
      <c r="BR2742" s="1059"/>
      <c r="BS2742" s="1059"/>
      <c r="BT2742" s="1059"/>
      <c r="BU2742" s="1059"/>
      <c r="BV2742" s="944"/>
      <c r="BW2742" s="944"/>
      <c r="BX2742" s="1147"/>
      <c r="BY2742" s="944"/>
      <c r="BZ2742" s="944"/>
      <c r="CA2742" s="944"/>
      <c r="CB2742" s="944"/>
    </row>
    <row r="2743" spans="2:80">
      <c r="B2743" s="1097"/>
      <c r="C2743" s="1097"/>
      <c r="D2743" s="1097"/>
      <c r="E2743" s="1097"/>
      <c r="F2743" s="934"/>
      <c r="G2743" s="1098"/>
      <c r="H2743" s="1099"/>
      <c r="I2743" s="1099"/>
      <c r="J2743" s="934"/>
      <c r="K2743" s="934"/>
      <c r="L2743" s="933"/>
      <c r="M2743" s="1100"/>
      <c r="N2743" s="934"/>
      <c r="O2743" s="936"/>
      <c r="P2743" s="936"/>
      <c r="Q2743" s="933"/>
      <c r="T2743" s="1101"/>
      <c r="U2743" s="1102"/>
      <c r="V2743" s="936"/>
      <c r="W2743" s="1103"/>
      <c r="X2743" s="1104"/>
      <c r="Y2743" s="1105"/>
      <c r="Z2743" s="1103"/>
      <c r="AA2743" s="1103"/>
      <c r="AB2743" s="1103"/>
      <c r="AC2743" s="1106"/>
      <c r="AD2743" s="1107"/>
      <c r="AE2743" s="1104"/>
      <c r="AG2743" s="1109"/>
      <c r="AI2743" s="1110"/>
      <c r="AL2743" s="933"/>
      <c r="AM2743" s="933"/>
      <c r="AN2743" s="1100"/>
      <c r="AO2743" s="1100"/>
      <c r="AP2743" s="934"/>
      <c r="AQ2743" s="934"/>
      <c r="AR2743" s="934"/>
      <c r="AS2743" s="936"/>
      <c r="AT2743" s="936"/>
      <c r="AU2743" s="936"/>
      <c r="AV2743" s="937"/>
      <c r="AW2743" s="938"/>
      <c r="AX2743" s="939"/>
      <c r="AY2743" s="933"/>
      <c r="AZ2743" s="936"/>
      <c r="BA2743" s="936"/>
      <c r="BB2743" s="1112"/>
      <c r="BC2743" s="940"/>
      <c r="BD2743" s="941"/>
      <c r="BE2743" s="942"/>
      <c r="BF2743" s="943"/>
      <c r="BG2743" s="943"/>
      <c r="BH2743" s="943"/>
      <c r="BI2743" s="943"/>
      <c r="BJ2743" s="943"/>
      <c r="BK2743" s="943"/>
      <c r="BL2743" s="943"/>
      <c r="BM2743" s="943"/>
      <c r="BN2743" s="943"/>
      <c r="BO2743" s="1059"/>
      <c r="BP2743" s="1059"/>
      <c r="BQ2743" s="1059"/>
      <c r="BR2743" s="1059"/>
      <c r="BS2743" s="1059"/>
      <c r="BT2743" s="1059"/>
      <c r="BU2743" s="1059"/>
      <c r="BV2743" s="944"/>
      <c r="BW2743" s="944"/>
      <c r="BX2743" s="1147"/>
      <c r="BY2743" s="944"/>
      <c r="BZ2743" s="944"/>
      <c r="CA2743" s="944"/>
      <c r="CB2743" s="944"/>
    </row>
    <row r="2744" spans="2:80">
      <c r="B2744" s="1097"/>
      <c r="C2744" s="1097"/>
      <c r="D2744" s="1097"/>
      <c r="E2744" s="1097"/>
      <c r="F2744" s="934"/>
      <c r="G2744" s="1098"/>
      <c r="H2744" s="1099"/>
      <c r="I2744" s="1099"/>
      <c r="J2744" s="934"/>
      <c r="K2744" s="934"/>
      <c r="L2744" s="933"/>
      <c r="M2744" s="1100"/>
      <c r="N2744" s="934"/>
      <c r="O2744" s="936"/>
      <c r="P2744" s="936"/>
      <c r="Q2744" s="933"/>
      <c r="T2744" s="1101"/>
      <c r="U2744" s="1102"/>
      <c r="V2744" s="936"/>
      <c r="W2744" s="1103"/>
      <c r="X2744" s="1104"/>
      <c r="Y2744" s="1105"/>
      <c r="Z2744" s="1103"/>
      <c r="AA2744" s="1103"/>
      <c r="AB2744" s="1103"/>
      <c r="AC2744" s="1106"/>
      <c r="AD2744" s="1107"/>
      <c r="AE2744" s="1104"/>
      <c r="AG2744" s="1109"/>
      <c r="AI2744" s="1110"/>
      <c r="AL2744" s="933"/>
      <c r="AM2744" s="933"/>
      <c r="AN2744" s="1100"/>
      <c r="AO2744" s="1100"/>
      <c r="AP2744" s="934"/>
      <c r="AQ2744" s="934"/>
      <c r="AR2744" s="934"/>
      <c r="AS2744" s="936"/>
      <c r="AT2744" s="936"/>
      <c r="AU2744" s="936"/>
      <c r="AV2744" s="937"/>
      <c r="AW2744" s="938"/>
      <c r="AX2744" s="939"/>
      <c r="AY2744" s="933"/>
      <c r="AZ2744" s="936"/>
      <c r="BA2744" s="936"/>
      <c r="BB2744" s="1112"/>
      <c r="BC2744" s="940"/>
      <c r="BD2744" s="941"/>
      <c r="BE2744" s="942"/>
      <c r="BF2744" s="943"/>
      <c r="BG2744" s="943"/>
      <c r="BH2744" s="943"/>
      <c r="BI2744" s="943"/>
      <c r="BJ2744" s="943"/>
      <c r="BK2744" s="943"/>
      <c r="BL2744" s="943"/>
      <c r="BM2744" s="943"/>
      <c r="BN2744" s="943"/>
      <c r="BO2744" s="1059"/>
      <c r="BP2744" s="1059"/>
      <c r="BQ2744" s="1059"/>
      <c r="BR2744" s="1059"/>
      <c r="BS2744" s="1059"/>
      <c r="BT2744" s="1059"/>
      <c r="BU2744" s="1059"/>
      <c r="BV2744" s="944"/>
      <c r="BW2744" s="944"/>
      <c r="BX2744" s="1147"/>
      <c r="BY2744" s="944"/>
      <c r="BZ2744" s="944"/>
      <c r="CA2744" s="944"/>
      <c r="CB2744" s="944"/>
    </row>
    <row r="2745" spans="2:80">
      <c r="B2745" s="1097"/>
      <c r="C2745" s="1097"/>
      <c r="D2745" s="1097"/>
      <c r="E2745" s="1097"/>
      <c r="F2745" s="934"/>
      <c r="G2745" s="1098"/>
      <c r="H2745" s="1099"/>
      <c r="I2745" s="1099"/>
      <c r="J2745" s="934"/>
      <c r="K2745" s="934"/>
      <c r="L2745" s="933"/>
      <c r="M2745" s="1100"/>
      <c r="N2745" s="934"/>
      <c r="O2745" s="936"/>
      <c r="P2745" s="936"/>
      <c r="Q2745" s="933"/>
      <c r="T2745" s="1101"/>
      <c r="U2745" s="1102"/>
      <c r="V2745" s="936"/>
      <c r="W2745" s="1103"/>
      <c r="X2745" s="1104"/>
      <c r="Y2745" s="1105"/>
      <c r="Z2745" s="1103"/>
      <c r="AA2745" s="1103"/>
      <c r="AB2745" s="1103"/>
      <c r="AC2745" s="1106"/>
      <c r="AD2745" s="1107"/>
      <c r="AE2745" s="1104"/>
      <c r="AG2745" s="1109"/>
      <c r="AI2745" s="1110"/>
      <c r="AL2745" s="933"/>
      <c r="AM2745" s="933"/>
      <c r="AN2745" s="1100"/>
      <c r="AO2745" s="1100"/>
      <c r="AP2745" s="934"/>
      <c r="AQ2745" s="934"/>
      <c r="AR2745" s="934"/>
      <c r="AS2745" s="936"/>
      <c r="AT2745" s="936"/>
      <c r="AU2745" s="936"/>
      <c r="AV2745" s="937"/>
      <c r="AW2745" s="938"/>
      <c r="AX2745" s="939"/>
      <c r="AY2745" s="933"/>
      <c r="AZ2745" s="936"/>
      <c r="BA2745" s="936"/>
      <c r="BB2745" s="1112"/>
      <c r="BC2745" s="940"/>
      <c r="BD2745" s="941"/>
      <c r="BE2745" s="942"/>
      <c r="BF2745" s="943"/>
      <c r="BG2745" s="943"/>
      <c r="BH2745" s="943"/>
      <c r="BI2745" s="943"/>
      <c r="BJ2745" s="943"/>
      <c r="BK2745" s="943"/>
      <c r="BL2745" s="943"/>
      <c r="BM2745" s="943"/>
      <c r="BN2745" s="943"/>
      <c r="BO2745" s="1059"/>
      <c r="BP2745" s="1059"/>
      <c r="BQ2745" s="1059"/>
      <c r="BR2745" s="1059"/>
      <c r="BS2745" s="1059"/>
      <c r="BT2745" s="1059"/>
      <c r="BU2745" s="1059"/>
      <c r="BV2745" s="944"/>
      <c r="BW2745" s="944"/>
      <c r="BX2745" s="1147"/>
      <c r="BY2745" s="944"/>
      <c r="BZ2745" s="944"/>
      <c r="CA2745" s="944"/>
      <c r="CB2745" s="944"/>
    </row>
    <row r="2746" spans="2:80">
      <c r="B2746" s="1097"/>
      <c r="C2746" s="1097"/>
      <c r="D2746" s="1097"/>
      <c r="E2746" s="1097"/>
      <c r="F2746" s="934"/>
      <c r="G2746" s="1098"/>
      <c r="H2746" s="1099"/>
      <c r="I2746" s="1099"/>
      <c r="J2746" s="934"/>
      <c r="K2746" s="934"/>
      <c r="L2746" s="933"/>
      <c r="M2746" s="1100"/>
      <c r="N2746" s="934"/>
      <c r="O2746" s="936"/>
      <c r="P2746" s="936"/>
      <c r="Q2746" s="933"/>
      <c r="T2746" s="1101"/>
      <c r="U2746" s="1102"/>
      <c r="V2746" s="936"/>
      <c r="W2746" s="1103"/>
      <c r="X2746" s="1104"/>
      <c r="Y2746" s="1105"/>
      <c r="Z2746" s="1103"/>
      <c r="AA2746" s="1103"/>
      <c r="AB2746" s="1103"/>
      <c r="AC2746" s="1106"/>
      <c r="AD2746" s="1107"/>
      <c r="AE2746" s="1104"/>
      <c r="AG2746" s="1109"/>
      <c r="AI2746" s="1110"/>
      <c r="AL2746" s="933"/>
      <c r="AM2746" s="933"/>
      <c r="AN2746" s="1100"/>
      <c r="AO2746" s="1100"/>
      <c r="AP2746" s="934"/>
      <c r="AQ2746" s="934"/>
      <c r="AR2746" s="934"/>
      <c r="AS2746" s="936"/>
      <c r="AT2746" s="936"/>
      <c r="AU2746" s="936"/>
      <c r="AV2746" s="937"/>
      <c r="AW2746" s="938"/>
      <c r="AX2746" s="939"/>
      <c r="AY2746" s="933"/>
      <c r="AZ2746" s="936"/>
      <c r="BA2746" s="936"/>
      <c r="BB2746" s="1112"/>
      <c r="BC2746" s="940"/>
      <c r="BD2746" s="941"/>
      <c r="BE2746" s="942"/>
      <c r="BF2746" s="943"/>
      <c r="BG2746" s="943"/>
      <c r="BH2746" s="943"/>
      <c r="BI2746" s="943"/>
      <c r="BJ2746" s="943"/>
      <c r="BK2746" s="943"/>
      <c r="BL2746" s="943"/>
      <c r="BM2746" s="943"/>
      <c r="BN2746" s="943"/>
      <c r="BO2746" s="1059"/>
      <c r="BP2746" s="1059"/>
      <c r="BQ2746" s="1059"/>
      <c r="BR2746" s="1059"/>
      <c r="BS2746" s="1059"/>
      <c r="BT2746" s="1059"/>
      <c r="BU2746" s="1059"/>
      <c r="BV2746" s="944"/>
      <c r="BW2746" s="944"/>
      <c r="BX2746" s="1147"/>
      <c r="BY2746" s="944"/>
      <c r="BZ2746" s="944"/>
      <c r="CA2746" s="944"/>
      <c r="CB2746" s="944"/>
    </row>
    <row r="2747" spans="2:80">
      <c r="B2747" s="1097"/>
      <c r="C2747" s="1097"/>
      <c r="D2747" s="1097"/>
      <c r="E2747" s="1097"/>
      <c r="F2747" s="934"/>
      <c r="G2747" s="1098"/>
      <c r="H2747" s="1099"/>
      <c r="I2747" s="1099"/>
      <c r="J2747" s="934"/>
      <c r="K2747" s="934"/>
      <c r="L2747" s="933"/>
      <c r="M2747" s="1100"/>
      <c r="N2747" s="934"/>
      <c r="O2747" s="936"/>
      <c r="P2747" s="936"/>
      <c r="Q2747" s="933"/>
      <c r="T2747" s="1101"/>
      <c r="U2747" s="1102"/>
      <c r="V2747" s="936"/>
      <c r="W2747" s="1103"/>
      <c r="X2747" s="1104"/>
      <c r="Y2747" s="1105"/>
      <c r="Z2747" s="1103"/>
      <c r="AA2747" s="1103"/>
      <c r="AB2747" s="1103"/>
      <c r="AC2747" s="1106"/>
      <c r="AD2747" s="1107"/>
      <c r="AE2747" s="1104"/>
      <c r="AG2747" s="1109"/>
      <c r="AI2747" s="1110"/>
      <c r="AL2747" s="933"/>
      <c r="AM2747" s="933"/>
      <c r="AN2747" s="1100"/>
      <c r="AO2747" s="1100"/>
      <c r="AP2747" s="934"/>
      <c r="AQ2747" s="934"/>
      <c r="AR2747" s="934"/>
      <c r="AS2747" s="936"/>
      <c r="AT2747" s="936"/>
      <c r="AU2747" s="936"/>
      <c r="AV2747" s="937"/>
      <c r="AW2747" s="938"/>
      <c r="AX2747" s="939"/>
      <c r="AY2747" s="933"/>
      <c r="AZ2747" s="936"/>
      <c r="BA2747" s="936"/>
      <c r="BB2747" s="1112"/>
      <c r="BC2747" s="940"/>
      <c r="BD2747" s="941"/>
      <c r="BE2747" s="942"/>
      <c r="BF2747" s="943"/>
      <c r="BG2747" s="943"/>
      <c r="BH2747" s="943"/>
      <c r="BI2747" s="943"/>
      <c r="BJ2747" s="943"/>
      <c r="BK2747" s="943"/>
      <c r="BL2747" s="943"/>
      <c r="BM2747" s="943"/>
      <c r="BN2747" s="943"/>
      <c r="BO2747" s="1059"/>
      <c r="BP2747" s="1059"/>
      <c r="BQ2747" s="1059"/>
      <c r="BR2747" s="1059"/>
      <c r="BS2747" s="1059"/>
      <c r="BT2747" s="1059"/>
      <c r="BU2747" s="1059"/>
      <c r="BV2747" s="944"/>
      <c r="BW2747" s="944"/>
      <c r="BX2747" s="1147"/>
      <c r="BY2747" s="944"/>
      <c r="BZ2747" s="944"/>
      <c r="CA2747" s="944"/>
      <c r="CB2747" s="944"/>
    </row>
    <row r="2748" spans="2:80">
      <c r="B2748" s="1097"/>
      <c r="C2748" s="1097"/>
      <c r="D2748" s="1097"/>
      <c r="E2748" s="1097"/>
      <c r="F2748" s="934"/>
      <c r="G2748" s="1098"/>
      <c r="H2748" s="1099"/>
      <c r="I2748" s="1099"/>
      <c r="J2748" s="934"/>
      <c r="K2748" s="934"/>
      <c r="L2748" s="933"/>
      <c r="M2748" s="1100"/>
      <c r="N2748" s="934"/>
      <c r="O2748" s="936"/>
      <c r="P2748" s="936"/>
      <c r="Q2748" s="933"/>
      <c r="T2748" s="1101"/>
      <c r="U2748" s="1102"/>
      <c r="V2748" s="936"/>
      <c r="W2748" s="1103"/>
      <c r="X2748" s="1104"/>
      <c r="Y2748" s="1105"/>
      <c r="Z2748" s="1103"/>
      <c r="AA2748" s="1103"/>
      <c r="AB2748" s="1103"/>
      <c r="AC2748" s="1106"/>
      <c r="AD2748" s="1107"/>
      <c r="AE2748" s="1104"/>
      <c r="AG2748" s="1109"/>
      <c r="AI2748" s="1110"/>
      <c r="AL2748" s="933"/>
      <c r="AM2748" s="933"/>
      <c r="AN2748" s="1100"/>
      <c r="AO2748" s="1100"/>
      <c r="AP2748" s="934"/>
      <c r="AQ2748" s="934"/>
      <c r="AR2748" s="934"/>
      <c r="AS2748" s="936"/>
      <c r="AT2748" s="936"/>
      <c r="AU2748" s="936"/>
      <c r="AV2748" s="937"/>
      <c r="AW2748" s="938"/>
      <c r="AX2748" s="939"/>
      <c r="AY2748" s="933"/>
      <c r="AZ2748" s="936"/>
      <c r="BA2748" s="936"/>
      <c r="BB2748" s="1112"/>
      <c r="BC2748" s="940"/>
      <c r="BD2748" s="941"/>
      <c r="BE2748" s="942"/>
      <c r="BF2748" s="943"/>
      <c r="BG2748" s="943"/>
      <c r="BH2748" s="943"/>
      <c r="BI2748" s="943"/>
      <c r="BJ2748" s="943"/>
      <c r="BK2748" s="943"/>
      <c r="BL2748" s="943"/>
      <c r="BM2748" s="943"/>
      <c r="BN2748" s="943"/>
      <c r="BO2748" s="1059"/>
      <c r="BP2748" s="1059"/>
      <c r="BQ2748" s="1059"/>
      <c r="BR2748" s="1059"/>
      <c r="BS2748" s="1059"/>
      <c r="BT2748" s="1059"/>
      <c r="BU2748" s="1059"/>
      <c r="BV2748" s="944"/>
      <c r="BW2748" s="944"/>
      <c r="BX2748" s="1147"/>
      <c r="BY2748" s="944"/>
      <c r="BZ2748" s="944"/>
      <c r="CA2748" s="944"/>
      <c r="CB2748" s="944"/>
    </row>
    <row r="2749" spans="2:80">
      <c r="B2749" s="1097"/>
      <c r="C2749" s="1097"/>
      <c r="D2749" s="1097"/>
      <c r="E2749" s="1097"/>
      <c r="F2749" s="934"/>
      <c r="G2749" s="1098"/>
      <c r="H2749" s="1099"/>
      <c r="I2749" s="1099"/>
      <c r="J2749" s="934"/>
      <c r="K2749" s="934"/>
      <c r="L2749" s="933"/>
      <c r="M2749" s="1100"/>
      <c r="N2749" s="934"/>
      <c r="O2749" s="936"/>
      <c r="P2749" s="936"/>
      <c r="Q2749" s="933"/>
      <c r="T2749" s="1101"/>
      <c r="U2749" s="1102"/>
      <c r="V2749" s="936"/>
      <c r="W2749" s="1103"/>
      <c r="X2749" s="1104"/>
      <c r="Y2749" s="1105"/>
      <c r="Z2749" s="1103"/>
      <c r="AA2749" s="1103"/>
      <c r="AB2749" s="1103"/>
      <c r="AC2749" s="1106"/>
      <c r="AD2749" s="1107"/>
      <c r="AE2749" s="1104"/>
      <c r="AG2749" s="1109"/>
      <c r="AI2749" s="1110"/>
      <c r="AL2749" s="933"/>
      <c r="AM2749" s="933"/>
      <c r="AN2749" s="1100"/>
      <c r="AO2749" s="1100"/>
      <c r="AP2749" s="934"/>
      <c r="AQ2749" s="934"/>
      <c r="AR2749" s="934"/>
      <c r="AS2749" s="936"/>
      <c r="AT2749" s="936"/>
      <c r="AU2749" s="936"/>
      <c r="AV2749" s="937"/>
      <c r="AW2749" s="938"/>
      <c r="AX2749" s="939"/>
      <c r="AY2749" s="933"/>
      <c r="AZ2749" s="936"/>
      <c r="BA2749" s="936"/>
      <c r="BB2749" s="1112"/>
      <c r="BC2749" s="940"/>
      <c r="BD2749" s="941"/>
      <c r="BE2749" s="942"/>
      <c r="BF2749" s="943"/>
      <c r="BG2749" s="943"/>
      <c r="BH2749" s="943"/>
      <c r="BI2749" s="943"/>
      <c r="BJ2749" s="943"/>
      <c r="BK2749" s="943"/>
      <c r="BL2749" s="943"/>
      <c r="BM2749" s="943"/>
      <c r="BN2749" s="943"/>
      <c r="BO2749" s="1059"/>
      <c r="BP2749" s="1059"/>
      <c r="BQ2749" s="1059"/>
      <c r="BR2749" s="1059"/>
      <c r="BS2749" s="1059"/>
      <c r="BT2749" s="1059"/>
      <c r="BU2749" s="1059"/>
      <c r="BV2749" s="944"/>
      <c r="BW2749" s="944"/>
      <c r="BX2749" s="1147"/>
      <c r="BY2749" s="944"/>
      <c r="BZ2749" s="944"/>
      <c r="CA2749" s="944"/>
      <c r="CB2749" s="944"/>
    </row>
    <row r="2750" spans="2:80">
      <c r="B2750" s="1097"/>
      <c r="C2750" s="1097"/>
      <c r="D2750" s="1097"/>
      <c r="E2750" s="1097"/>
      <c r="F2750" s="934"/>
      <c r="G2750" s="1098"/>
      <c r="H2750" s="1099"/>
      <c r="I2750" s="1099"/>
      <c r="J2750" s="934"/>
      <c r="K2750" s="934"/>
      <c r="L2750" s="933"/>
      <c r="M2750" s="1100"/>
      <c r="N2750" s="934"/>
      <c r="O2750" s="936"/>
      <c r="P2750" s="936"/>
      <c r="Q2750" s="933"/>
      <c r="T2750" s="1101"/>
      <c r="U2750" s="1102"/>
      <c r="V2750" s="936"/>
      <c r="W2750" s="1103"/>
      <c r="X2750" s="1104"/>
      <c r="Y2750" s="1105"/>
      <c r="Z2750" s="1103"/>
      <c r="AA2750" s="1103"/>
      <c r="AB2750" s="1103"/>
      <c r="AC2750" s="1106"/>
      <c r="AD2750" s="1107"/>
      <c r="AE2750" s="1104"/>
      <c r="AG2750" s="1109"/>
      <c r="AI2750" s="1110"/>
      <c r="AL2750" s="933"/>
      <c r="AM2750" s="933"/>
      <c r="AN2750" s="1100"/>
      <c r="AO2750" s="1100"/>
      <c r="AP2750" s="934"/>
      <c r="AQ2750" s="934"/>
      <c r="AR2750" s="934"/>
      <c r="AS2750" s="936"/>
      <c r="AT2750" s="936"/>
      <c r="AU2750" s="936"/>
      <c r="AV2750" s="937"/>
      <c r="AW2750" s="938"/>
      <c r="AX2750" s="939"/>
      <c r="AY2750" s="933"/>
      <c r="AZ2750" s="936"/>
      <c r="BA2750" s="936"/>
      <c r="BB2750" s="1112"/>
      <c r="BC2750" s="940"/>
      <c r="BD2750" s="941"/>
      <c r="BE2750" s="942"/>
      <c r="BF2750" s="943"/>
      <c r="BG2750" s="943"/>
      <c r="BH2750" s="943"/>
      <c r="BI2750" s="943"/>
      <c r="BJ2750" s="943"/>
      <c r="BK2750" s="943"/>
      <c r="BL2750" s="943"/>
      <c r="BM2750" s="943"/>
      <c r="BN2750" s="943"/>
      <c r="BO2750" s="1059"/>
      <c r="BP2750" s="1059"/>
      <c r="BQ2750" s="1059"/>
      <c r="BR2750" s="1059"/>
      <c r="BS2750" s="1059"/>
      <c r="BT2750" s="1059"/>
      <c r="BU2750" s="1059"/>
      <c r="BV2750" s="944"/>
      <c r="BW2750" s="944"/>
      <c r="BX2750" s="1147"/>
      <c r="BY2750" s="944"/>
      <c r="BZ2750" s="944"/>
      <c r="CA2750" s="944"/>
      <c r="CB2750" s="944"/>
    </row>
    <row r="2751" spans="2:80">
      <c r="B2751" s="1097"/>
      <c r="C2751" s="1097"/>
      <c r="D2751" s="1097"/>
      <c r="E2751" s="1097"/>
      <c r="F2751" s="934"/>
      <c r="G2751" s="1098"/>
      <c r="H2751" s="1099"/>
      <c r="I2751" s="1099"/>
      <c r="J2751" s="934"/>
      <c r="K2751" s="934"/>
      <c r="L2751" s="933"/>
      <c r="M2751" s="1100"/>
      <c r="N2751" s="934"/>
      <c r="O2751" s="936"/>
      <c r="P2751" s="936"/>
      <c r="Q2751" s="933"/>
      <c r="T2751" s="1101"/>
      <c r="U2751" s="1102"/>
      <c r="V2751" s="936"/>
      <c r="W2751" s="1103"/>
      <c r="X2751" s="1104"/>
      <c r="Y2751" s="1105"/>
      <c r="Z2751" s="1103"/>
      <c r="AA2751" s="1103"/>
      <c r="AB2751" s="1103"/>
      <c r="AC2751" s="1106"/>
      <c r="AD2751" s="1107"/>
      <c r="AE2751" s="1104"/>
      <c r="AG2751" s="1109"/>
      <c r="AI2751" s="1110"/>
      <c r="AL2751" s="933"/>
      <c r="AM2751" s="933"/>
      <c r="AN2751" s="1100"/>
      <c r="AO2751" s="1100"/>
      <c r="AP2751" s="934"/>
      <c r="AQ2751" s="934"/>
      <c r="AR2751" s="934"/>
      <c r="AS2751" s="936"/>
      <c r="AT2751" s="936"/>
      <c r="AU2751" s="936"/>
      <c r="AV2751" s="937"/>
      <c r="AW2751" s="938"/>
      <c r="AX2751" s="939"/>
      <c r="AY2751" s="933"/>
      <c r="AZ2751" s="936"/>
      <c r="BA2751" s="936"/>
      <c r="BB2751" s="1112"/>
      <c r="BC2751" s="940"/>
      <c r="BD2751" s="941"/>
      <c r="BE2751" s="942"/>
      <c r="BF2751" s="943"/>
      <c r="BG2751" s="943"/>
      <c r="BH2751" s="943"/>
      <c r="BI2751" s="943"/>
      <c r="BJ2751" s="943"/>
      <c r="BK2751" s="943"/>
      <c r="BL2751" s="943"/>
      <c r="BM2751" s="943"/>
      <c r="BN2751" s="943"/>
      <c r="BO2751" s="1059"/>
      <c r="BP2751" s="1059"/>
      <c r="BQ2751" s="1059"/>
      <c r="BR2751" s="1059"/>
      <c r="BS2751" s="1059"/>
      <c r="BT2751" s="1059"/>
      <c r="BU2751" s="1059"/>
      <c r="BV2751" s="944"/>
      <c r="BW2751" s="944"/>
      <c r="BX2751" s="1147"/>
      <c r="BY2751" s="944"/>
      <c r="BZ2751" s="944"/>
      <c r="CA2751" s="944"/>
      <c r="CB2751" s="944"/>
    </row>
    <row r="2752" spans="2:80">
      <c r="B2752" s="1097"/>
      <c r="C2752" s="1097"/>
      <c r="D2752" s="1097"/>
      <c r="E2752" s="1097"/>
      <c r="F2752" s="934"/>
      <c r="G2752" s="1098"/>
      <c r="H2752" s="1099"/>
      <c r="I2752" s="1099"/>
      <c r="J2752" s="934"/>
      <c r="K2752" s="934"/>
      <c r="L2752" s="933"/>
      <c r="M2752" s="1100"/>
      <c r="N2752" s="934"/>
      <c r="O2752" s="936"/>
      <c r="P2752" s="936"/>
      <c r="Q2752" s="933"/>
      <c r="T2752" s="1101"/>
      <c r="U2752" s="1102"/>
      <c r="V2752" s="936"/>
      <c r="W2752" s="1103"/>
      <c r="X2752" s="1104"/>
      <c r="Y2752" s="1105"/>
      <c r="Z2752" s="1103"/>
      <c r="AA2752" s="1103"/>
      <c r="AB2752" s="1103"/>
      <c r="AC2752" s="1106"/>
      <c r="AD2752" s="1107"/>
      <c r="AE2752" s="1104"/>
      <c r="AG2752" s="1109"/>
      <c r="AI2752" s="1110"/>
      <c r="AL2752" s="933"/>
      <c r="AM2752" s="933"/>
      <c r="AN2752" s="1100"/>
      <c r="AO2752" s="1100"/>
      <c r="AP2752" s="934"/>
      <c r="AQ2752" s="934"/>
      <c r="AR2752" s="934"/>
      <c r="AS2752" s="936"/>
      <c r="AT2752" s="936"/>
      <c r="AU2752" s="936"/>
      <c r="AV2752" s="937"/>
      <c r="AW2752" s="938"/>
      <c r="AX2752" s="939"/>
      <c r="AY2752" s="933"/>
      <c r="AZ2752" s="936"/>
      <c r="BA2752" s="936"/>
      <c r="BB2752" s="1112"/>
      <c r="BC2752" s="940"/>
      <c r="BD2752" s="941"/>
      <c r="BE2752" s="942"/>
      <c r="BF2752" s="943"/>
      <c r="BG2752" s="943"/>
      <c r="BH2752" s="943"/>
      <c r="BI2752" s="943"/>
      <c r="BJ2752" s="943"/>
      <c r="BK2752" s="943"/>
      <c r="BL2752" s="943"/>
      <c r="BM2752" s="943"/>
      <c r="BN2752" s="943"/>
      <c r="BO2752" s="1059"/>
      <c r="BP2752" s="1059"/>
      <c r="BQ2752" s="1059"/>
      <c r="BR2752" s="1059"/>
      <c r="BS2752" s="1059"/>
      <c r="BT2752" s="1059"/>
      <c r="BU2752" s="1059"/>
      <c r="BV2752" s="944"/>
      <c r="BW2752" s="944"/>
      <c r="BX2752" s="1147"/>
      <c r="BY2752" s="944"/>
      <c r="BZ2752" s="944"/>
      <c r="CA2752" s="944"/>
      <c r="CB2752" s="944"/>
    </row>
    <row r="2753" spans="2:80">
      <c r="B2753" s="1097"/>
      <c r="C2753" s="1097"/>
      <c r="D2753" s="1097"/>
      <c r="E2753" s="1097"/>
      <c r="F2753" s="934"/>
      <c r="G2753" s="1098"/>
      <c r="H2753" s="1099"/>
      <c r="I2753" s="1099"/>
      <c r="J2753" s="934"/>
      <c r="K2753" s="934"/>
      <c r="L2753" s="933"/>
      <c r="M2753" s="1100"/>
      <c r="N2753" s="934"/>
      <c r="O2753" s="936"/>
      <c r="P2753" s="936"/>
      <c r="Q2753" s="933"/>
      <c r="T2753" s="1101"/>
      <c r="U2753" s="1102"/>
      <c r="V2753" s="936"/>
      <c r="W2753" s="1103"/>
      <c r="X2753" s="1104"/>
      <c r="Y2753" s="1105"/>
      <c r="Z2753" s="1103"/>
      <c r="AA2753" s="1103"/>
      <c r="AB2753" s="1103"/>
      <c r="AC2753" s="1106"/>
      <c r="AD2753" s="1107"/>
      <c r="AE2753" s="1104"/>
      <c r="AG2753" s="1109"/>
      <c r="AI2753" s="1110"/>
      <c r="AL2753" s="933"/>
      <c r="AM2753" s="933"/>
      <c r="AN2753" s="1100"/>
      <c r="AO2753" s="1100"/>
      <c r="AP2753" s="934"/>
      <c r="AQ2753" s="934"/>
      <c r="AR2753" s="934"/>
      <c r="AS2753" s="936"/>
      <c r="AT2753" s="936"/>
      <c r="AU2753" s="936"/>
      <c r="AV2753" s="937"/>
      <c r="AW2753" s="938"/>
      <c r="AX2753" s="939"/>
      <c r="AY2753" s="933"/>
      <c r="AZ2753" s="936"/>
      <c r="BA2753" s="936"/>
      <c r="BB2753" s="1112"/>
      <c r="BC2753" s="940"/>
      <c r="BD2753" s="941"/>
      <c r="BE2753" s="942"/>
      <c r="BF2753" s="943"/>
      <c r="BG2753" s="943"/>
      <c r="BH2753" s="943"/>
      <c r="BI2753" s="943"/>
      <c r="BJ2753" s="943"/>
      <c r="BK2753" s="943"/>
      <c r="BL2753" s="943"/>
      <c r="BM2753" s="943"/>
      <c r="BN2753" s="943"/>
      <c r="BO2753" s="1059"/>
      <c r="BP2753" s="1059"/>
      <c r="BQ2753" s="1059"/>
      <c r="BR2753" s="1059"/>
      <c r="BS2753" s="1059"/>
      <c r="BT2753" s="1059"/>
      <c r="BU2753" s="1059"/>
      <c r="BV2753" s="944"/>
      <c r="BW2753" s="944"/>
      <c r="BX2753" s="1147"/>
      <c r="BY2753" s="944"/>
      <c r="BZ2753" s="944"/>
      <c r="CA2753" s="944"/>
      <c r="CB2753" s="944"/>
    </row>
    <row r="2754" spans="2:80">
      <c r="B2754" s="1097"/>
      <c r="C2754" s="1097"/>
      <c r="D2754" s="1097"/>
      <c r="E2754" s="1097"/>
      <c r="F2754" s="934"/>
      <c r="G2754" s="1098"/>
      <c r="H2754" s="1099"/>
      <c r="I2754" s="1099"/>
      <c r="J2754" s="934"/>
      <c r="K2754" s="934"/>
      <c r="L2754" s="933"/>
      <c r="M2754" s="1100"/>
      <c r="N2754" s="934"/>
      <c r="O2754" s="936"/>
      <c r="P2754" s="936"/>
      <c r="Q2754" s="933"/>
      <c r="T2754" s="1101"/>
      <c r="U2754" s="1102"/>
      <c r="V2754" s="936"/>
      <c r="W2754" s="1103"/>
      <c r="X2754" s="1104"/>
      <c r="Y2754" s="1105"/>
      <c r="Z2754" s="1103"/>
      <c r="AA2754" s="1103"/>
      <c r="AB2754" s="1103"/>
      <c r="AC2754" s="1106"/>
      <c r="AD2754" s="1107"/>
      <c r="AE2754" s="1104"/>
      <c r="AG2754" s="1109"/>
      <c r="AI2754" s="1110"/>
      <c r="AL2754" s="933"/>
      <c r="AM2754" s="933"/>
      <c r="AN2754" s="1100"/>
      <c r="AO2754" s="1100"/>
      <c r="AP2754" s="934"/>
      <c r="AQ2754" s="934"/>
      <c r="AR2754" s="934"/>
      <c r="AS2754" s="936"/>
      <c r="AT2754" s="936"/>
      <c r="AU2754" s="936"/>
      <c r="AV2754" s="937"/>
      <c r="AW2754" s="938"/>
      <c r="AX2754" s="939"/>
      <c r="AY2754" s="933"/>
      <c r="AZ2754" s="936"/>
      <c r="BA2754" s="936"/>
      <c r="BB2754" s="1112"/>
      <c r="BC2754" s="940"/>
      <c r="BD2754" s="941"/>
      <c r="BE2754" s="942"/>
      <c r="BF2754" s="943"/>
      <c r="BG2754" s="943"/>
      <c r="BH2754" s="943"/>
      <c r="BI2754" s="943"/>
      <c r="BJ2754" s="943"/>
      <c r="BK2754" s="943"/>
      <c r="BL2754" s="943"/>
      <c r="BM2754" s="943"/>
      <c r="BN2754" s="943"/>
      <c r="BO2754" s="1059"/>
      <c r="BP2754" s="1059"/>
      <c r="BQ2754" s="1059"/>
      <c r="BR2754" s="1059"/>
      <c r="BS2754" s="1059"/>
      <c r="BT2754" s="1059"/>
      <c r="BU2754" s="1059"/>
      <c r="BV2754" s="944"/>
      <c r="BW2754" s="944"/>
      <c r="BX2754" s="1147"/>
      <c r="BY2754" s="944"/>
      <c r="BZ2754" s="944"/>
      <c r="CA2754" s="944"/>
      <c r="CB2754" s="944"/>
    </row>
    <row r="2755" spans="2:80">
      <c r="B2755" s="1097"/>
      <c r="C2755" s="1097"/>
      <c r="D2755" s="1097"/>
      <c r="E2755" s="1097"/>
      <c r="F2755" s="934"/>
      <c r="G2755" s="1098"/>
      <c r="H2755" s="1099"/>
      <c r="I2755" s="1099"/>
      <c r="J2755" s="934"/>
      <c r="K2755" s="934"/>
      <c r="L2755" s="933"/>
      <c r="M2755" s="1100"/>
      <c r="N2755" s="934"/>
      <c r="O2755" s="936"/>
      <c r="P2755" s="936"/>
      <c r="Q2755" s="933"/>
      <c r="T2755" s="1101"/>
      <c r="U2755" s="1102"/>
      <c r="V2755" s="936"/>
      <c r="W2755" s="1103"/>
      <c r="X2755" s="1104"/>
      <c r="Y2755" s="1105"/>
      <c r="Z2755" s="1103"/>
      <c r="AA2755" s="1103"/>
      <c r="AB2755" s="1103"/>
      <c r="AC2755" s="1106"/>
      <c r="AD2755" s="1107"/>
      <c r="AE2755" s="1104"/>
      <c r="AG2755" s="1109"/>
      <c r="AI2755" s="1110"/>
      <c r="AL2755" s="933"/>
      <c r="AM2755" s="933"/>
      <c r="AN2755" s="1100"/>
      <c r="AO2755" s="1100"/>
      <c r="AP2755" s="934"/>
      <c r="AQ2755" s="934"/>
      <c r="AR2755" s="934"/>
      <c r="AS2755" s="936"/>
      <c r="AT2755" s="936"/>
      <c r="AU2755" s="936"/>
      <c r="AV2755" s="937"/>
      <c r="AW2755" s="938"/>
      <c r="AX2755" s="939"/>
      <c r="AY2755" s="933"/>
      <c r="AZ2755" s="936"/>
      <c r="BA2755" s="936"/>
      <c r="BB2755" s="1112"/>
      <c r="BC2755" s="940"/>
      <c r="BD2755" s="941"/>
      <c r="BE2755" s="942"/>
      <c r="BF2755" s="943"/>
      <c r="BG2755" s="943"/>
      <c r="BH2755" s="943"/>
      <c r="BI2755" s="943"/>
      <c r="BJ2755" s="943"/>
      <c r="BK2755" s="943"/>
      <c r="BL2755" s="943"/>
      <c r="BM2755" s="943"/>
      <c r="BN2755" s="943"/>
      <c r="BO2755" s="1059"/>
      <c r="BP2755" s="1059"/>
      <c r="BQ2755" s="1059"/>
      <c r="BR2755" s="1059"/>
      <c r="BS2755" s="1059"/>
      <c r="BT2755" s="1059"/>
      <c r="BU2755" s="1059"/>
      <c r="BV2755" s="944"/>
      <c r="BW2755" s="944"/>
      <c r="BX2755" s="1147"/>
      <c r="BY2755" s="944"/>
      <c r="BZ2755" s="944"/>
      <c r="CA2755" s="944"/>
      <c r="CB2755" s="944"/>
    </row>
    <row r="2756" spans="2:80">
      <c r="B2756" s="1097"/>
      <c r="C2756" s="1097"/>
      <c r="D2756" s="1097"/>
      <c r="E2756" s="1097"/>
      <c r="F2756" s="934"/>
      <c r="G2756" s="1098"/>
      <c r="H2756" s="1099"/>
      <c r="I2756" s="1099"/>
      <c r="J2756" s="934"/>
      <c r="K2756" s="934"/>
      <c r="L2756" s="933"/>
      <c r="M2756" s="1100"/>
      <c r="N2756" s="934"/>
      <c r="O2756" s="936"/>
      <c r="P2756" s="936"/>
      <c r="Q2756" s="933"/>
      <c r="T2756" s="1101"/>
      <c r="U2756" s="1102"/>
      <c r="V2756" s="936"/>
      <c r="W2756" s="1103"/>
      <c r="X2756" s="1104"/>
      <c r="Y2756" s="1105"/>
      <c r="Z2756" s="1103"/>
      <c r="AC2756" s="1106"/>
      <c r="AD2756" s="1107"/>
      <c r="AE2756" s="1104"/>
      <c r="AG2756" s="1109"/>
      <c r="AI2756" s="1110"/>
      <c r="AL2756" s="933"/>
      <c r="AM2756" s="933"/>
      <c r="AN2756" s="1100"/>
      <c r="AO2756" s="1100"/>
      <c r="AP2756" s="934"/>
      <c r="AQ2756" s="934"/>
      <c r="AR2756" s="934"/>
      <c r="AS2756" s="936"/>
      <c r="AT2756" s="936"/>
      <c r="AU2756" s="936"/>
      <c r="AV2756" s="937"/>
      <c r="AW2756" s="938"/>
      <c r="AX2756" s="939"/>
      <c r="AY2756" s="933"/>
      <c r="AZ2756" s="936"/>
      <c r="BA2756" s="936"/>
      <c r="BB2756" s="1112"/>
      <c r="BC2756" s="940"/>
      <c r="BD2756" s="941"/>
      <c r="BE2756" s="942"/>
      <c r="BF2756" s="943"/>
      <c r="BG2756" s="943"/>
      <c r="BH2756" s="943"/>
      <c r="BI2756" s="943"/>
      <c r="BJ2756" s="943"/>
      <c r="BK2756" s="943"/>
      <c r="BL2756" s="943"/>
      <c r="BM2756" s="943"/>
      <c r="BN2756" s="943"/>
      <c r="BO2756" s="1059"/>
      <c r="BP2756" s="1059"/>
      <c r="BQ2756" s="1059"/>
      <c r="BR2756" s="1059"/>
      <c r="BS2756" s="1059"/>
      <c r="BT2756" s="1059"/>
      <c r="BU2756" s="1059"/>
      <c r="BV2756" s="944"/>
      <c r="BW2756" s="944"/>
      <c r="BX2756" s="1147"/>
      <c r="BY2756" s="944"/>
      <c r="BZ2756" s="944"/>
      <c r="CA2756" s="944"/>
      <c r="CB2756" s="944"/>
    </row>
    <row r="2757" spans="2:80">
      <c r="B2757" s="1097"/>
      <c r="C2757" s="1097"/>
      <c r="D2757" s="1097"/>
      <c r="E2757" s="1097"/>
      <c r="F2757" s="934"/>
      <c r="G2757" s="1098"/>
      <c r="H2757" s="1099"/>
      <c r="I2757" s="1099"/>
      <c r="J2757" s="934"/>
      <c r="K2757" s="934"/>
      <c r="L2757" s="933"/>
      <c r="M2757" s="1100"/>
      <c r="N2757" s="934"/>
      <c r="O2757" s="936"/>
      <c r="P2757" s="936"/>
      <c r="Q2757" s="933"/>
      <c r="T2757" s="1101"/>
      <c r="U2757" s="1102"/>
      <c r="V2757" s="936"/>
      <c r="W2757" s="1103"/>
      <c r="X2757" s="1104"/>
      <c r="Y2757" s="1105"/>
      <c r="Z2757" s="1103"/>
      <c r="AC2757" s="1106"/>
      <c r="AD2757" s="1107"/>
      <c r="AE2757" s="1104"/>
      <c r="AG2757" s="1109"/>
      <c r="AI2757" s="1110"/>
      <c r="AL2757" s="933"/>
      <c r="AM2757" s="933"/>
      <c r="AN2757" s="1100"/>
      <c r="AO2757" s="1100"/>
      <c r="AP2757" s="934"/>
      <c r="AQ2757" s="934"/>
      <c r="AR2757" s="934"/>
      <c r="AS2757" s="936"/>
      <c r="AT2757" s="936"/>
      <c r="AU2757" s="936"/>
      <c r="AV2757" s="937"/>
      <c r="AW2757" s="938"/>
      <c r="AX2757" s="939"/>
      <c r="AY2757" s="933"/>
      <c r="AZ2757" s="936"/>
      <c r="BA2757" s="936"/>
      <c r="BB2757" s="1112"/>
      <c r="BC2757" s="940"/>
      <c r="BD2757" s="941"/>
      <c r="BE2757" s="942"/>
      <c r="BF2757" s="943"/>
      <c r="BG2757" s="943"/>
      <c r="BH2757" s="943"/>
      <c r="BI2757" s="943"/>
      <c r="BJ2757" s="943"/>
      <c r="BK2757" s="943"/>
      <c r="BL2757" s="943"/>
      <c r="BM2757" s="943"/>
      <c r="BN2757" s="943"/>
      <c r="BO2757" s="1059"/>
      <c r="BP2757" s="1059"/>
      <c r="BQ2757" s="1059"/>
      <c r="BR2757" s="1059"/>
      <c r="BS2757" s="1059"/>
      <c r="BT2757" s="1059"/>
      <c r="BU2757" s="1059"/>
      <c r="BV2757" s="944"/>
      <c r="BW2757" s="944"/>
      <c r="BX2757" s="1147"/>
      <c r="BY2757" s="944"/>
      <c r="BZ2757" s="944"/>
      <c r="CA2757" s="944"/>
      <c r="CB2757" s="944"/>
    </row>
    <row r="2758" spans="2:80">
      <c r="B2758" s="1097"/>
      <c r="C2758" s="1097"/>
      <c r="D2758" s="1097"/>
      <c r="E2758" s="1097"/>
      <c r="F2758" s="934"/>
      <c r="G2758" s="1098"/>
      <c r="H2758" s="1099"/>
      <c r="I2758" s="1099"/>
      <c r="J2758" s="934"/>
      <c r="K2758" s="934"/>
      <c r="L2758" s="933"/>
      <c r="M2758" s="1100"/>
      <c r="N2758" s="934"/>
      <c r="O2758" s="936"/>
      <c r="P2758" s="936"/>
      <c r="Q2758" s="933"/>
      <c r="T2758" s="1101"/>
      <c r="U2758" s="1102"/>
      <c r="V2758" s="936"/>
      <c r="W2758" s="1103"/>
      <c r="X2758" s="1104"/>
      <c r="Y2758" s="1105"/>
      <c r="Z2758" s="1103"/>
      <c r="AC2758" s="1106"/>
      <c r="AD2758" s="1107"/>
      <c r="AE2758" s="1104"/>
      <c r="AG2758" s="1109"/>
      <c r="AI2758" s="1110"/>
      <c r="AL2758" s="933"/>
      <c r="AM2758" s="933"/>
      <c r="AN2758" s="1100"/>
      <c r="AO2758" s="1100"/>
      <c r="AP2758" s="934"/>
      <c r="AQ2758" s="934"/>
      <c r="AR2758" s="934"/>
      <c r="AS2758" s="936"/>
      <c r="AT2758" s="936"/>
      <c r="AU2758" s="936"/>
      <c r="AV2758" s="937"/>
      <c r="AW2758" s="938"/>
      <c r="AX2758" s="939"/>
      <c r="AY2758" s="933"/>
      <c r="AZ2758" s="936"/>
      <c r="BA2758" s="936"/>
      <c r="BB2758" s="1112"/>
      <c r="BC2758" s="940"/>
      <c r="BD2758" s="941"/>
      <c r="BE2758" s="942"/>
      <c r="BF2758" s="943"/>
      <c r="BG2758" s="943"/>
      <c r="BH2758" s="943"/>
      <c r="BI2758" s="943"/>
      <c r="BJ2758" s="943"/>
      <c r="BK2758" s="943"/>
      <c r="BL2758" s="943"/>
      <c r="BM2758" s="943"/>
      <c r="BN2758" s="943"/>
      <c r="BO2758" s="1059"/>
      <c r="BP2758" s="1059"/>
      <c r="BQ2758" s="1059"/>
      <c r="BR2758" s="1059"/>
      <c r="BS2758" s="1059"/>
      <c r="BT2758" s="1059"/>
      <c r="BU2758" s="1059"/>
      <c r="BV2758" s="944"/>
      <c r="BW2758" s="944"/>
      <c r="BX2758" s="1147"/>
      <c r="BY2758" s="944"/>
      <c r="BZ2758" s="944"/>
      <c r="CA2758" s="944"/>
      <c r="CB2758" s="944"/>
    </row>
    <row r="2759" spans="2:80">
      <c r="B2759" s="1097"/>
      <c r="C2759" s="1097"/>
      <c r="D2759" s="1097"/>
      <c r="E2759" s="1097"/>
      <c r="F2759" s="934"/>
      <c r="G2759" s="1098"/>
      <c r="H2759" s="1099"/>
      <c r="I2759" s="1099"/>
      <c r="J2759" s="934"/>
      <c r="K2759" s="934"/>
      <c r="L2759" s="933"/>
      <c r="M2759" s="1100"/>
      <c r="N2759" s="934"/>
      <c r="O2759" s="936"/>
      <c r="P2759" s="936"/>
      <c r="Q2759" s="933"/>
      <c r="T2759" s="1101"/>
      <c r="U2759" s="1102"/>
      <c r="V2759" s="936"/>
      <c r="W2759" s="1103"/>
      <c r="X2759" s="1104"/>
      <c r="Y2759" s="1105"/>
      <c r="Z2759" s="1103"/>
      <c r="AC2759" s="1106"/>
      <c r="AD2759" s="1107"/>
      <c r="AE2759" s="1104"/>
      <c r="AG2759" s="1109"/>
      <c r="AI2759" s="1110"/>
      <c r="AL2759" s="933"/>
      <c r="AM2759" s="933"/>
      <c r="AN2759" s="1100"/>
      <c r="AO2759" s="1100"/>
      <c r="AP2759" s="934"/>
      <c r="AQ2759" s="934"/>
      <c r="AR2759" s="934"/>
      <c r="AS2759" s="936"/>
      <c r="AT2759" s="936"/>
      <c r="AU2759" s="936"/>
      <c r="AV2759" s="937"/>
      <c r="AW2759" s="938"/>
      <c r="AX2759" s="939"/>
      <c r="AY2759" s="933"/>
      <c r="AZ2759" s="936"/>
      <c r="BA2759" s="936"/>
      <c r="BB2759" s="1112"/>
      <c r="BC2759" s="940"/>
      <c r="BD2759" s="941"/>
      <c r="BE2759" s="942"/>
      <c r="BF2759" s="943"/>
      <c r="BG2759" s="943"/>
      <c r="BH2759" s="943"/>
      <c r="BI2759" s="943"/>
      <c r="BJ2759" s="943"/>
      <c r="BK2759" s="943"/>
      <c r="BL2759" s="943"/>
      <c r="BM2759" s="943"/>
      <c r="BN2759" s="943"/>
      <c r="BO2759" s="1059"/>
      <c r="BP2759" s="1059"/>
      <c r="BQ2759" s="1059"/>
      <c r="BR2759" s="1059"/>
      <c r="BS2759" s="1059"/>
      <c r="BT2759" s="1059"/>
      <c r="BU2759" s="1059"/>
      <c r="BV2759" s="944"/>
      <c r="BW2759" s="944"/>
      <c r="BX2759" s="1147"/>
      <c r="BY2759" s="944"/>
      <c r="BZ2759" s="944"/>
      <c r="CA2759" s="944"/>
      <c r="CB2759" s="944"/>
    </row>
    <row r="2760" spans="2:80">
      <c r="B2760" s="1097"/>
      <c r="C2760" s="1097"/>
      <c r="D2760" s="1097"/>
      <c r="E2760" s="1097"/>
      <c r="F2760" s="934"/>
      <c r="G2760" s="1098"/>
      <c r="H2760" s="1099"/>
      <c r="I2760" s="1099"/>
      <c r="J2760" s="934"/>
      <c r="K2760" s="934"/>
      <c r="L2760" s="933"/>
      <c r="M2760" s="1100"/>
      <c r="N2760" s="934"/>
      <c r="O2760" s="936"/>
      <c r="P2760" s="936"/>
      <c r="Q2760" s="933"/>
      <c r="T2760" s="1101"/>
      <c r="U2760" s="1102"/>
      <c r="V2760" s="936"/>
      <c r="W2760" s="1103"/>
      <c r="X2760" s="1104"/>
      <c r="Y2760" s="1105"/>
      <c r="Z2760" s="1103"/>
      <c r="AC2760" s="1106"/>
      <c r="AD2760" s="1107"/>
      <c r="AE2760" s="1104"/>
      <c r="AG2760" s="1109"/>
      <c r="AI2760" s="1110"/>
      <c r="AL2760" s="933"/>
      <c r="AM2760" s="933"/>
      <c r="AN2760" s="1100"/>
      <c r="AO2760" s="1100"/>
      <c r="AP2760" s="934"/>
      <c r="AQ2760" s="934"/>
      <c r="AR2760" s="934"/>
      <c r="AS2760" s="936"/>
      <c r="AT2760" s="936"/>
      <c r="AU2760" s="936"/>
      <c r="AV2760" s="937"/>
      <c r="AW2760" s="938"/>
      <c r="AX2760" s="939"/>
      <c r="AY2760" s="933"/>
      <c r="AZ2760" s="936"/>
      <c r="BA2760" s="936"/>
      <c r="BB2760" s="1112"/>
      <c r="BC2760" s="940"/>
      <c r="BD2760" s="941"/>
      <c r="BE2760" s="942"/>
      <c r="BF2760" s="943"/>
      <c r="BG2760" s="943"/>
      <c r="BH2760" s="943"/>
      <c r="BI2760" s="943"/>
      <c r="BJ2760" s="943"/>
      <c r="BK2760" s="943"/>
      <c r="BL2760" s="943"/>
      <c r="BM2760" s="943"/>
      <c r="BN2760" s="943"/>
      <c r="BO2760" s="1059"/>
      <c r="BP2760" s="1059"/>
      <c r="BQ2760" s="1059"/>
      <c r="BR2760" s="1059"/>
      <c r="BS2760" s="1059"/>
      <c r="BT2760" s="1059"/>
      <c r="BU2760" s="1059"/>
      <c r="BV2760" s="944"/>
      <c r="BW2760" s="944"/>
      <c r="BX2760" s="1147"/>
      <c r="BY2760" s="944"/>
      <c r="BZ2760" s="944"/>
      <c r="CA2760" s="944"/>
      <c r="CB2760" s="944"/>
    </row>
    <row r="2761" spans="2:80">
      <c r="B2761" s="1097"/>
      <c r="C2761" s="1097"/>
      <c r="D2761" s="1097"/>
      <c r="E2761" s="1097"/>
      <c r="F2761" s="934"/>
      <c r="G2761" s="1098"/>
      <c r="H2761" s="1099"/>
      <c r="I2761" s="1099"/>
      <c r="J2761" s="934"/>
      <c r="K2761" s="934"/>
      <c r="L2761" s="933"/>
      <c r="M2761" s="1100"/>
      <c r="N2761" s="934"/>
      <c r="O2761" s="936"/>
      <c r="P2761" s="936"/>
      <c r="Q2761" s="933"/>
      <c r="T2761" s="1101"/>
      <c r="U2761" s="1102"/>
      <c r="V2761" s="936"/>
      <c r="W2761" s="1103"/>
      <c r="X2761" s="1104"/>
      <c r="Y2761" s="1105"/>
      <c r="Z2761" s="1103"/>
      <c r="AC2761" s="1106"/>
      <c r="AD2761" s="1107"/>
      <c r="AE2761" s="1104"/>
      <c r="AG2761" s="1109"/>
      <c r="AI2761" s="1110"/>
      <c r="AL2761" s="933"/>
      <c r="AM2761" s="933"/>
      <c r="AN2761" s="1100"/>
      <c r="AO2761" s="1100"/>
      <c r="AP2761" s="934"/>
      <c r="AQ2761" s="934"/>
      <c r="AR2761" s="934"/>
      <c r="AS2761" s="936"/>
      <c r="AT2761" s="936"/>
      <c r="AU2761" s="936"/>
      <c r="AV2761" s="937"/>
      <c r="AW2761" s="938"/>
      <c r="AX2761" s="939"/>
      <c r="AY2761" s="933"/>
      <c r="AZ2761" s="936"/>
      <c r="BA2761" s="936"/>
      <c r="BB2761" s="1112"/>
      <c r="BC2761" s="940"/>
      <c r="BD2761" s="941"/>
      <c r="BE2761" s="942"/>
      <c r="BF2761" s="943"/>
      <c r="BG2761" s="943"/>
      <c r="BH2761" s="943"/>
      <c r="BI2761" s="943"/>
      <c r="BJ2761" s="943"/>
      <c r="BK2761" s="943"/>
      <c r="BL2761" s="943"/>
      <c r="BM2761" s="943"/>
      <c r="BN2761" s="943"/>
      <c r="BO2761" s="1059"/>
      <c r="BP2761" s="1059"/>
      <c r="BQ2761" s="1059"/>
      <c r="BR2761" s="1059"/>
      <c r="BS2761" s="1059"/>
      <c r="BT2761" s="1059"/>
      <c r="BU2761" s="1059"/>
      <c r="BV2761" s="944"/>
      <c r="BW2761" s="944"/>
      <c r="BX2761" s="1147"/>
      <c r="BY2761" s="944"/>
      <c r="BZ2761" s="944"/>
      <c r="CA2761" s="944"/>
      <c r="CB2761" s="944"/>
    </row>
    <row r="2762" spans="2:80">
      <c r="B2762" s="1097"/>
      <c r="C2762" s="1097"/>
      <c r="D2762" s="1097"/>
      <c r="E2762" s="1097"/>
      <c r="F2762" s="934"/>
      <c r="G2762" s="1098"/>
      <c r="H2762" s="1099"/>
      <c r="I2762" s="1099"/>
      <c r="J2762" s="934"/>
      <c r="K2762" s="934"/>
      <c r="L2762" s="933"/>
      <c r="M2762" s="1100"/>
      <c r="N2762" s="934"/>
      <c r="O2762" s="936"/>
      <c r="P2762" s="936"/>
      <c r="Q2762" s="933"/>
      <c r="T2762" s="1101"/>
      <c r="U2762" s="1102"/>
      <c r="V2762" s="936"/>
      <c r="W2762" s="1103"/>
      <c r="X2762" s="1104"/>
      <c r="Y2762" s="1105"/>
      <c r="Z2762" s="1103"/>
      <c r="AC2762" s="1106"/>
      <c r="AD2762" s="1107"/>
      <c r="AE2762" s="1104"/>
      <c r="AG2762" s="1109"/>
      <c r="AI2762" s="1110"/>
      <c r="AL2762" s="933"/>
      <c r="AM2762" s="933"/>
      <c r="AN2762" s="1100"/>
      <c r="AO2762" s="1100"/>
      <c r="AP2762" s="934"/>
      <c r="AQ2762" s="934"/>
      <c r="AR2762" s="934"/>
      <c r="AS2762" s="936"/>
      <c r="AT2762" s="936"/>
      <c r="AU2762" s="936"/>
      <c r="AV2762" s="937"/>
      <c r="AW2762" s="938"/>
      <c r="AX2762" s="939"/>
      <c r="AY2762" s="933"/>
      <c r="AZ2762" s="936"/>
      <c r="BA2762" s="936"/>
      <c r="BB2762" s="1112"/>
      <c r="BC2762" s="940"/>
      <c r="BD2762" s="941"/>
      <c r="BE2762" s="942"/>
      <c r="BF2762" s="943"/>
      <c r="BG2762" s="943"/>
      <c r="BH2762" s="943"/>
      <c r="BI2762" s="943"/>
      <c r="BJ2762" s="943"/>
      <c r="BK2762" s="943"/>
      <c r="BL2762" s="943"/>
      <c r="BM2762" s="943"/>
      <c r="BN2762" s="943"/>
      <c r="BO2762" s="1059"/>
      <c r="BP2762" s="1059"/>
      <c r="BQ2762" s="1059"/>
      <c r="BR2762" s="1059"/>
      <c r="BS2762" s="1059"/>
      <c r="BT2762" s="1059"/>
      <c r="BU2762" s="1059"/>
      <c r="BV2762" s="944"/>
      <c r="BW2762" s="944"/>
      <c r="BX2762" s="1147"/>
      <c r="BY2762" s="944"/>
      <c r="BZ2762" s="944"/>
      <c r="CA2762" s="944"/>
      <c r="CB2762" s="944"/>
    </row>
    <row r="2763" spans="2:80">
      <c r="B2763" s="1097"/>
      <c r="C2763" s="1097"/>
      <c r="D2763" s="1097"/>
      <c r="E2763" s="1097"/>
      <c r="F2763" s="934"/>
      <c r="G2763" s="1098"/>
      <c r="H2763" s="1099"/>
      <c r="I2763" s="1099"/>
      <c r="J2763" s="934"/>
      <c r="K2763" s="934"/>
      <c r="L2763" s="933"/>
      <c r="M2763" s="1100"/>
      <c r="N2763" s="934"/>
      <c r="O2763" s="936"/>
      <c r="P2763" s="936"/>
      <c r="Q2763" s="933"/>
      <c r="T2763" s="1101"/>
      <c r="U2763" s="1102"/>
      <c r="V2763" s="936"/>
      <c r="W2763" s="1103"/>
      <c r="X2763" s="1104"/>
      <c r="Y2763" s="1105"/>
      <c r="Z2763" s="1103"/>
      <c r="AC2763" s="1106"/>
      <c r="AD2763" s="1107"/>
      <c r="AE2763" s="1104"/>
      <c r="AG2763" s="1109"/>
      <c r="AI2763" s="1110"/>
      <c r="AL2763" s="933"/>
      <c r="AM2763" s="933"/>
      <c r="AN2763" s="1100"/>
      <c r="AO2763" s="1100"/>
      <c r="AP2763" s="934"/>
      <c r="AQ2763" s="934"/>
      <c r="AR2763" s="934"/>
      <c r="AS2763" s="936"/>
      <c r="AT2763" s="936"/>
      <c r="AU2763" s="936"/>
      <c r="AV2763" s="937"/>
      <c r="AW2763" s="938"/>
      <c r="AX2763" s="939"/>
      <c r="AY2763" s="933"/>
      <c r="AZ2763" s="936"/>
      <c r="BA2763" s="936"/>
      <c r="BB2763" s="1112"/>
      <c r="BC2763" s="940"/>
      <c r="BD2763" s="941"/>
      <c r="BE2763" s="942"/>
      <c r="BF2763" s="943"/>
      <c r="BG2763" s="943"/>
      <c r="BH2763" s="943"/>
      <c r="BI2763" s="943"/>
      <c r="BJ2763" s="943"/>
      <c r="BK2763" s="943"/>
      <c r="BL2763" s="943"/>
      <c r="BM2763" s="943"/>
      <c r="BN2763" s="943"/>
      <c r="BO2763" s="1059"/>
      <c r="BP2763" s="1059"/>
      <c r="BQ2763" s="1059"/>
      <c r="BR2763" s="1059"/>
      <c r="BS2763" s="1059"/>
      <c r="BT2763" s="1059"/>
      <c r="BU2763" s="1059"/>
      <c r="BV2763" s="944"/>
      <c r="BW2763" s="944"/>
      <c r="BX2763" s="1147"/>
      <c r="BY2763" s="944"/>
      <c r="BZ2763" s="944"/>
      <c r="CA2763" s="944"/>
      <c r="CB2763" s="944"/>
    </row>
    <row r="2764" spans="2:80">
      <c r="B2764" s="1097"/>
      <c r="C2764" s="1097"/>
      <c r="D2764" s="1097"/>
      <c r="E2764" s="1097"/>
      <c r="F2764" s="934"/>
      <c r="G2764" s="1098"/>
      <c r="H2764" s="1099"/>
      <c r="I2764" s="1099"/>
      <c r="J2764" s="934"/>
      <c r="K2764" s="934"/>
      <c r="L2764" s="933"/>
      <c r="M2764" s="1100"/>
      <c r="N2764" s="934"/>
      <c r="O2764" s="936"/>
      <c r="P2764" s="936"/>
      <c r="Q2764" s="933"/>
      <c r="T2764" s="1101"/>
      <c r="U2764" s="1102"/>
      <c r="V2764" s="936"/>
      <c r="W2764" s="1103"/>
      <c r="X2764" s="1104"/>
      <c r="Y2764" s="1105"/>
      <c r="Z2764" s="1103"/>
      <c r="AC2764" s="1106"/>
      <c r="AD2764" s="1107"/>
      <c r="AE2764" s="1104"/>
      <c r="AG2764" s="1109"/>
      <c r="AI2764" s="1110"/>
      <c r="AL2764" s="933"/>
      <c r="AM2764" s="933"/>
      <c r="AN2764" s="1100"/>
      <c r="AO2764" s="1100"/>
      <c r="AP2764" s="934"/>
      <c r="AQ2764" s="934"/>
      <c r="AR2764" s="934"/>
      <c r="AS2764" s="936"/>
      <c r="AT2764" s="936"/>
      <c r="AU2764" s="936"/>
      <c r="AV2764" s="937"/>
      <c r="AW2764" s="938"/>
      <c r="AX2764" s="939"/>
      <c r="AY2764" s="933"/>
      <c r="AZ2764" s="936"/>
      <c r="BA2764" s="936"/>
      <c r="BB2764" s="1112"/>
      <c r="BC2764" s="940"/>
      <c r="BD2764" s="941"/>
      <c r="BE2764" s="942"/>
      <c r="BF2764" s="943"/>
      <c r="BG2764" s="943"/>
      <c r="BH2764" s="943"/>
      <c r="BI2764" s="943"/>
      <c r="BJ2764" s="943"/>
      <c r="BK2764" s="943"/>
      <c r="BL2764" s="943"/>
      <c r="BM2764" s="943"/>
      <c r="BN2764" s="943"/>
      <c r="BO2764" s="1059"/>
      <c r="BP2764" s="1059"/>
      <c r="BQ2764" s="1059"/>
      <c r="BR2764" s="1059"/>
      <c r="BS2764" s="1059"/>
      <c r="BT2764" s="1059"/>
      <c r="BU2764" s="1059"/>
      <c r="BV2764" s="944"/>
      <c r="BW2764" s="944"/>
      <c r="BX2764" s="1147"/>
      <c r="BY2764" s="944"/>
      <c r="BZ2764" s="944"/>
      <c r="CA2764" s="944"/>
      <c r="CB2764" s="944"/>
    </row>
    <row r="2765" spans="2:80">
      <c r="B2765" s="1097"/>
      <c r="C2765" s="1097"/>
      <c r="D2765" s="1097"/>
      <c r="E2765" s="1097"/>
      <c r="F2765" s="934"/>
      <c r="G2765" s="1098"/>
      <c r="H2765" s="1099"/>
      <c r="I2765" s="1099"/>
      <c r="J2765" s="934"/>
      <c r="K2765" s="934"/>
      <c r="L2765" s="933"/>
      <c r="M2765" s="1100"/>
      <c r="N2765" s="934"/>
      <c r="O2765" s="936"/>
      <c r="P2765" s="936"/>
      <c r="Q2765" s="933"/>
      <c r="T2765" s="1101"/>
      <c r="U2765" s="1102"/>
      <c r="V2765" s="936"/>
      <c r="W2765" s="1103"/>
      <c r="X2765" s="1104"/>
      <c r="Y2765" s="1105"/>
      <c r="Z2765" s="1103"/>
      <c r="AC2765" s="1106"/>
      <c r="AD2765" s="1107"/>
      <c r="AE2765" s="1104"/>
      <c r="AG2765" s="1109"/>
      <c r="AI2765" s="1110"/>
      <c r="AL2765" s="933"/>
      <c r="AM2765" s="933"/>
      <c r="AN2765" s="1100"/>
      <c r="AO2765" s="1100"/>
      <c r="AP2765" s="934"/>
      <c r="AQ2765" s="934"/>
      <c r="AR2765" s="934"/>
      <c r="AS2765" s="936"/>
      <c r="AT2765" s="936"/>
      <c r="AU2765" s="936"/>
      <c r="AV2765" s="937"/>
      <c r="AW2765" s="938"/>
      <c r="AX2765" s="939"/>
      <c r="AY2765" s="933"/>
      <c r="AZ2765" s="936"/>
      <c r="BA2765" s="936"/>
      <c r="BB2765" s="1112"/>
      <c r="BC2765" s="940"/>
      <c r="BD2765" s="941"/>
      <c r="BE2765" s="942"/>
      <c r="BF2765" s="943"/>
      <c r="BG2765" s="943"/>
      <c r="BH2765" s="943"/>
      <c r="BI2765" s="943"/>
      <c r="BJ2765" s="943"/>
      <c r="BK2765" s="943"/>
      <c r="BL2765" s="943"/>
      <c r="BM2765" s="943"/>
      <c r="BN2765" s="943"/>
      <c r="BO2765" s="1059"/>
      <c r="BP2765" s="1059"/>
      <c r="BQ2765" s="1059"/>
      <c r="BR2765" s="1059"/>
      <c r="BS2765" s="1059"/>
      <c r="BT2765" s="1059"/>
      <c r="BU2765" s="1059"/>
      <c r="BV2765" s="944"/>
      <c r="BW2765" s="944"/>
      <c r="BX2765" s="1147"/>
      <c r="BY2765" s="944"/>
      <c r="BZ2765" s="944"/>
      <c r="CA2765" s="944"/>
      <c r="CB2765" s="944"/>
    </row>
    <row r="2766" spans="2:80">
      <c r="B2766" s="1097"/>
      <c r="C2766" s="1097"/>
      <c r="D2766" s="1097"/>
      <c r="E2766" s="1097"/>
      <c r="F2766" s="934"/>
      <c r="G2766" s="1098"/>
      <c r="H2766" s="1099"/>
      <c r="I2766" s="1099"/>
      <c r="J2766" s="934"/>
      <c r="K2766" s="934"/>
      <c r="L2766" s="933"/>
      <c r="M2766" s="1100"/>
      <c r="N2766" s="934"/>
      <c r="O2766" s="936"/>
      <c r="P2766" s="936"/>
      <c r="Q2766" s="933"/>
      <c r="T2766" s="1101"/>
      <c r="U2766" s="1102"/>
      <c r="V2766" s="936"/>
      <c r="W2766" s="1103"/>
      <c r="X2766" s="1104"/>
      <c r="Y2766" s="1105"/>
      <c r="Z2766" s="1103"/>
      <c r="AC2766" s="1106"/>
      <c r="AD2766" s="1107"/>
      <c r="AE2766" s="1104"/>
      <c r="AG2766" s="1109"/>
      <c r="AI2766" s="1110"/>
      <c r="AL2766" s="933"/>
      <c r="AM2766" s="933"/>
      <c r="AN2766" s="1100"/>
      <c r="AO2766" s="1100"/>
      <c r="AP2766" s="934"/>
      <c r="AQ2766" s="934"/>
      <c r="AR2766" s="934"/>
      <c r="AS2766" s="936"/>
      <c r="AT2766" s="936"/>
      <c r="AU2766" s="936"/>
      <c r="AV2766" s="937"/>
      <c r="AW2766" s="938"/>
      <c r="AX2766" s="939"/>
      <c r="AY2766" s="933"/>
      <c r="AZ2766" s="936"/>
      <c r="BA2766" s="936"/>
      <c r="BB2766" s="1112"/>
      <c r="BC2766" s="940"/>
      <c r="BD2766" s="941"/>
      <c r="BE2766" s="942"/>
      <c r="BF2766" s="943"/>
      <c r="BG2766" s="943"/>
      <c r="BH2766" s="943"/>
      <c r="BI2766" s="943"/>
      <c r="BJ2766" s="943"/>
      <c r="BK2766" s="943"/>
      <c r="BL2766" s="943"/>
      <c r="BM2766" s="943"/>
      <c r="BN2766" s="943"/>
      <c r="BO2766" s="1059"/>
      <c r="BP2766" s="1059"/>
      <c r="BQ2766" s="1059"/>
      <c r="BR2766" s="1059"/>
      <c r="BS2766" s="1059"/>
      <c r="BT2766" s="1059"/>
      <c r="BU2766" s="1059"/>
      <c r="BV2766" s="944"/>
      <c r="BW2766" s="944"/>
      <c r="BX2766" s="1147"/>
      <c r="BY2766" s="944"/>
      <c r="BZ2766" s="944"/>
      <c r="CA2766" s="944"/>
      <c r="CB2766" s="944"/>
    </row>
    <row r="2767" spans="2:80">
      <c r="B2767" s="1097"/>
      <c r="C2767" s="1097"/>
      <c r="D2767" s="1097"/>
      <c r="E2767" s="1097"/>
      <c r="F2767" s="934"/>
      <c r="G2767" s="1098"/>
      <c r="H2767" s="1099"/>
      <c r="I2767" s="1099"/>
      <c r="J2767" s="934"/>
      <c r="K2767" s="934"/>
      <c r="L2767" s="933"/>
      <c r="M2767" s="1100"/>
      <c r="N2767" s="934"/>
      <c r="O2767" s="936"/>
      <c r="P2767" s="936"/>
      <c r="Q2767" s="933"/>
      <c r="T2767" s="1101"/>
      <c r="U2767" s="1102"/>
      <c r="V2767" s="936"/>
      <c r="W2767" s="1103"/>
      <c r="X2767" s="1104"/>
      <c r="Y2767" s="1105"/>
      <c r="Z2767" s="1103"/>
      <c r="AC2767" s="1106"/>
      <c r="AD2767" s="1107"/>
      <c r="AE2767" s="1104"/>
      <c r="AG2767" s="1109"/>
      <c r="AI2767" s="1110"/>
      <c r="AL2767" s="933"/>
      <c r="AM2767" s="933"/>
      <c r="AN2767" s="1100"/>
      <c r="AO2767" s="1100"/>
      <c r="AP2767" s="934"/>
      <c r="AQ2767" s="934"/>
      <c r="AR2767" s="934"/>
      <c r="AS2767" s="936"/>
      <c r="AT2767" s="936"/>
      <c r="AU2767" s="936"/>
      <c r="AV2767" s="937"/>
      <c r="AW2767" s="938"/>
      <c r="AX2767" s="939"/>
      <c r="AY2767" s="933"/>
      <c r="AZ2767" s="936"/>
      <c r="BA2767" s="936"/>
      <c r="BB2767" s="1112"/>
      <c r="BC2767" s="940"/>
      <c r="BD2767" s="941"/>
      <c r="BE2767" s="942"/>
      <c r="BF2767" s="943"/>
      <c r="BG2767" s="943"/>
      <c r="BH2767" s="943"/>
      <c r="BI2767" s="943"/>
      <c r="BJ2767" s="943"/>
      <c r="BK2767" s="943"/>
      <c r="BL2767" s="943"/>
      <c r="BM2767" s="943"/>
      <c r="BN2767" s="943"/>
      <c r="BO2767" s="1059"/>
      <c r="BP2767" s="1059"/>
      <c r="BQ2767" s="1059"/>
      <c r="BR2767" s="1059"/>
      <c r="BS2767" s="1059"/>
      <c r="BT2767" s="1059"/>
      <c r="BU2767" s="1059"/>
      <c r="BV2767" s="944"/>
      <c r="BW2767" s="944"/>
      <c r="BX2767" s="1147"/>
      <c r="BY2767" s="944"/>
      <c r="BZ2767" s="944"/>
      <c r="CA2767" s="944"/>
      <c r="CB2767" s="944"/>
    </row>
    <row r="2768" spans="2:80">
      <c r="B2768" s="1097"/>
      <c r="C2768" s="1097"/>
      <c r="D2768" s="1097"/>
      <c r="E2768" s="1097"/>
      <c r="F2768" s="934"/>
      <c r="G2768" s="1098"/>
      <c r="H2768" s="1099"/>
      <c r="I2768" s="1099"/>
      <c r="J2768" s="934"/>
      <c r="K2768" s="934"/>
      <c r="L2768" s="933"/>
      <c r="M2768" s="1100"/>
      <c r="N2768" s="934"/>
      <c r="O2768" s="936"/>
      <c r="P2768" s="936"/>
      <c r="Q2768" s="933"/>
      <c r="T2768" s="1101"/>
      <c r="U2768" s="1102"/>
      <c r="V2768" s="936"/>
      <c r="W2768" s="1103"/>
      <c r="X2768" s="1104"/>
      <c r="Y2768" s="1105"/>
      <c r="Z2768" s="1103"/>
      <c r="AC2768" s="1106"/>
      <c r="AD2768" s="1107"/>
      <c r="AE2768" s="1104"/>
      <c r="AG2768" s="1109"/>
      <c r="AI2768" s="1110"/>
      <c r="AL2768" s="933"/>
      <c r="AM2768" s="933"/>
      <c r="AN2768" s="1100"/>
      <c r="AO2768" s="1100"/>
      <c r="AP2768" s="934"/>
      <c r="AQ2768" s="934"/>
      <c r="AR2768" s="934"/>
      <c r="AS2768" s="936"/>
      <c r="AT2768" s="936"/>
      <c r="AU2768" s="936"/>
      <c r="AV2768" s="937"/>
      <c r="AW2768" s="938"/>
      <c r="AX2768" s="939"/>
      <c r="AY2768" s="933"/>
      <c r="AZ2768" s="936"/>
      <c r="BA2768" s="936"/>
      <c r="BB2768" s="1112"/>
      <c r="BC2768" s="940"/>
      <c r="BD2768" s="941"/>
      <c r="BE2768" s="942"/>
      <c r="BF2768" s="943"/>
      <c r="BG2768" s="943"/>
      <c r="BH2768" s="943"/>
      <c r="BI2768" s="943"/>
      <c r="BJ2768" s="943"/>
      <c r="BK2768" s="943"/>
      <c r="BL2768" s="943"/>
      <c r="BM2768" s="943"/>
      <c r="BN2768" s="943"/>
      <c r="BO2768" s="1059"/>
      <c r="BP2768" s="1059"/>
      <c r="BQ2768" s="1059"/>
      <c r="BR2768" s="1059"/>
      <c r="BS2768" s="1059"/>
      <c r="BT2768" s="1059"/>
      <c r="BU2768" s="1059"/>
      <c r="BV2768" s="944"/>
      <c r="BW2768" s="944"/>
      <c r="BX2768" s="1147"/>
      <c r="BY2768" s="944"/>
      <c r="BZ2768" s="944"/>
      <c r="CA2768" s="944"/>
      <c r="CB2768" s="944"/>
    </row>
    <row r="2769" spans="2:80">
      <c r="B2769" s="1097"/>
      <c r="C2769" s="1097"/>
      <c r="D2769" s="1097"/>
      <c r="E2769" s="1097"/>
      <c r="F2769" s="934"/>
      <c r="G2769" s="1098"/>
      <c r="H2769" s="1099"/>
      <c r="I2769" s="1099"/>
      <c r="J2769" s="934"/>
      <c r="K2769" s="934"/>
      <c r="L2769" s="933"/>
      <c r="M2769" s="1100"/>
      <c r="N2769" s="934"/>
      <c r="O2769" s="936"/>
      <c r="P2769" s="936"/>
      <c r="Q2769" s="933"/>
      <c r="T2769" s="1101"/>
      <c r="U2769" s="1102"/>
      <c r="V2769" s="936"/>
      <c r="W2769" s="1103"/>
      <c r="X2769" s="1104"/>
      <c r="Y2769" s="1105"/>
      <c r="Z2769" s="1103"/>
      <c r="AC2769" s="1106"/>
      <c r="AD2769" s="1107"/>
      <c r="AE2769" s="1104"/>
      <c r="AG2769" s="1109"/>
      <c r="AI2769" s="1110"/>
      <c r="AL2769" s="933"/>
      <c r="AM2769" s="933"/>
      <c r="AN2769" s="1100"/>
      <c r="AO2769" s="1100"/>
      <c r="AP2769" s="934"/>
      <c r="AQ2769" s="934"/>
      <c r="AR2769" s="934"/>
      <c r="AS2769" s="936"/>
      <c r="AT2769" s="936"/>
      <c r="AU2769" s="936"/>
      <c r="AV2769" s="937"/>
      <c r="AW2769" s="938"/>
      <c r="AX2769" s="939"/>
      <c r="AY2769" s="933"/>
      <c r="AZ2769" s="936"/>
      <c r="BA2769" s="936"/>
      <c r="BB2769" s="1112"/>
      <c r="BC2769" s="940"/>
      <c r="BD2769" s="941"/>
      <c r="BE2769" s="942"/>
      <c r="BF2769" s="943"/>
      <c r="BG2769" s="943"/>
      <c r="BH2769" s="943"/>
      <c r="BI2769" s="943"/>
      <c r="BJ2769" s="943"/>
      <c r="BK2769" s="943"/>
      <c r="BL2769" s="943"/>
      <c r="BM2769" s="943"/>
      <c r="BN2769" s="943"/>
      <c r="BO2769" s="1059"/>
      <c r="BP2769" s="1059"/>
      <c r="BQ2769" s="1059"/>
      <c r="BR2769" s="1059"/>
      <c r="BS2769" s="1059"/>
      <c r="BT2769" s="1059"/>
      <c r="BU2769" s="1059"/>
      <c r="BV2769" s="944"/>
      <c r="BW2769" s="944"/>
      <c r="BX2769" s="1147"/>
      <c r="BY2769" s="944"/>
      <c r="BZ2769" s="944"/>
      <c r="CA2769" s="944"/>
      <c r="CB2769" s="944"/>
    </row>
    <row r="2770" spans="2:80">
      <c r="B2770" s="1097"/>
      <c r="C2770" s="1097"/>
      <c r="D2770" s="1097"/>
      <c r="E2770" s="1097"/>
      <c r="F2770" s="934"/>
      <c r="G2770" s="1098"/>
      <c r="H2770" s="1099"/>
      <c r="I2770" s="1099"/>
      <c r="J2770" s="934"/>
      <c r="K2770" s="934"/>
      <c r="L2770" s="933"/>
      <c r="M2770" s="1100"/>
      <c r="N2770" s="934"/>
      <c r="O2770" s="936"/>
      <c r="P2770" s="936"/>
      <c r="Q2770" s="933"/>
      <c r="T2770" s="1101"/>
      <c r="U2770" s="1102"/>
      <c r="V2770" s="936"/>
      <c r="W2770" s="1103"/>
      <c r="X2770" s="1104"/>
      <c r="Y2770" s="1105"/>
      <c r="Z2770" s="1103"/>
      <c r="AC2770" s="1106"/>
      <c r="AD2770" s="1107"/>
      <c r="AE2770" s="1104"/>
      <c r="AG2770" s="1109"/>
      <c r="AI2770" s="1110"/>
      <c r="AL2770" s="933"/>
      <c r="AM2770" s="933"/>
      <c r="AN2770" s="1100"/>
      <c r="AO2770" s="1100"/>
      <c r="AP2770" s="934"/>
      <c r="AQ2770" s="934"/>
      <c r="AR2770" s="934"/>
      <c r="AS2770" s="936"/>
      <c r="AT2770" s="936"/>
      <c r="AU2770" s="936"/>
      <c r="AV2770" s="937"/>
      <c r="AW2770" s="938"/>
      <c r="AX2770" s="939"/>
      <c r="AY2770" s="933"/>
      <c r="AZ2770" s="936"/>
      <c r="BA2770" s="936"/>
      <c r="BB2770" s="1112"/>
      <c r="BC2770" s="940"/>
      <c r="BD2770" s="941"/>
      <c r="BE2770" s="942"/>
      <c r="BF2770" s="943"/>
      <c r="BG2770" s="943"/>
      <c r="BH2770" s="943"/>
      <c r="BI2770" s="943"/>
      <c r="BJ2770" s="943"/>
      <c r="BK2770" s="943"/>
      <c r="BL2770" s="943"/>
      <c r="BM2770" s="943"/>
      <c r="BN2770" s="943"/>
      <c r="BO2770" s="1059"/>
      <c r="BP2770" s="1059"/>
      <c r="BQ2770" s="1059"/>
      <c r="BR2770" s="1059"/>
      <c r="BS2770" s="1059"/>
      <c r="BT2770" s="1059"/>
      <c r="BU2770" s="1059"/>
      <c r="BV2770" s="944"/>
      <c r="BW2770" s="944"/>
      <c r="BX2770" s="1147"/>
      <c r="BY2770" s="944"/>
      <c r="BZ2770" s="944"/>
      <c r="CA2770" s="944"/>
      <c r="CB2770" s="944"/>
    </row>
    <row r="2771" spans="2:80">
      <c r="B2771" s="1097"/>
      <c r="C2771" s="1097"/>
      <c r="D2771" s="1097"/>
      <c r="E2771" s="1097"/>
      <c r="F2771" s="934"/>
      <c r="G2771" s="1098"/>
      <c r="H2771" s="1099"/>
      <c r="I2771" s="1099"/>
      <c r="J2771" s="934"/>
      <c r="K2771" s="934"/>
      <c r="L2771" s="933"/>
      <c r="M2771" s="1100"/>
      <c r="N2771" s="934"/>
      <c r="O2771" s="936"/>
      <c r="P2771" s="936"/>
      <c r="Q2771" s="933"/>
      <c r="T2771" s="1101"/>
      <c r="U2771" s="1102"/>
      <c r="V2771" s="936"/>
      <c r="W2771" s="1103"/>
      <c r="X2771" s="1104"/>
      <c r="Y2771" s="1105"/>
      <c r="Z2771" s="1103"/>
      <c r="AC2771" s="1106"/>
      <c r="AD2771" s="1107"/>
      <c r="AE2771" s="1104"/>
      <c r="AG2771" s="1109"/>
      <c r="AI2771" s="1110"/>
      <c r="AL2771" s="933"/>
      <c r="AM2771" s="933"/>
      <c r="AN2771" s="1100"/>
      <c r="AO2771" s="1100"/>
      <c r="AP2771" s="934"/>
      <c r="AQ2771" s="934"/>
      <c r="AR2771" s="934"/>
      <c r="AS2771" s="936"/>
      <c r="AT2771" s="936"/>
      <c r="AU2771" s="936"/>
      <c r="AV2771" s="937"/>
      <c r="AW2771" s="938"/>
      <c r="AX2771" s="939"/>
      <c r="AY2771" s="933"/>
      <c r="AZ2771" s="936"/>
      <c r="BA2771" s="936"/>
      <c r="BB2771" s="1112"/>
      <c r="BC2771" s="940"/>
      <c r="BD2771" s="941"/>
      <c r="BE2771" s="942"/>
      <c r="BF2771" s="943"/>
      <c r="BG2771" s="943"/>
      <c r="BH2771" s="943"/>
      <c r="BI2771" s="943"/>
      <c r="BJ2771" s="943"/>
      <c r="BK2771" s="943"/>
      <c r="BL2771" s="943"/>
      <c r="BM2771" s="943"/>
      <c r="BN2771" s="943"/>
      <c r="BO2771" s="1059"/>
      <c r="BP2771" s="1059"/>
      <c r="BQ2771" s="1059"/>
      <c r="BR2771" s="1059"/>
      <c r="BS2771" s="1059"/>
      <c r="BT2771" s="1059"/>
      <c r="BU2771" s="1059"/>
      <c r="BV2771" s="944"/>
      <c r="BW2771" s="944"/>
      <c r="BX2771" s="1147"/>
      <c r="BY2771" s="944"/>
      <c r="BZ2771" s="944"/>
      <c r="CA2771" s="944"/>
      <c r="CB2771" s="944"/>
    </row>
    <row r="2772" spans="2:80">
      <c r="B2772" s="1097"/>
      <c r="C2772" s="1097"/>
      <c r="D2772" s="1097"/>
      <c r="E2772" s="1097"/>
      <c r="F2772" s="934"/>
      <c r="G2772" s="1098"/>
      <c r="H2772" s="1099"/>
      <c r="I2772" s="1099"/>
      <c r="J2772" s="934"/>
      <c r="K2772" s="934"/>
      <c r="L2772" s="933"/>
      <c r="M2772" s="1100"/>
      <c r="N2772" s="934"/>
      <c r="O2772" s="936"/>
      <c r="P2772" s="936"/>
      <c r="Q2772" s="933"/>
      <c r="T2772" s="1101"/>
      <c r="U2772" s="1102"/>
      <c r="V2772" s="936"/>
      <c r="W2772" s="1103"/>
      <c r="X2772" s="1104"/>
      <c r="Y2772" s="1105"/>
      <c r="Z2772" s="1103"/>
      <c r="AC2772" s="1106"/>
      <c r="AD2772" s="1107"/>
      <c r="AE2772" s="1104"/>
      <c r="AG2772" s="1109"/>
      <c r="AI2772" s="1110"/>
      <c r="AL2772" s="933"/>
      <c r="AM2772" s="933"/>
      <c r="AN2772" s="1100"/>
      <c r="AO2772" s="1100"/>
      <c r="AP2772" s="934"/>
      <c r="AQ2772" s="934"/>
      <c r="AR2772" s="934"/>
      <c r="AS2772" s="936"/>
      <c r="AT2772" s="936"/>
      <c r="AU2772" s="936"/>
      <c r="AV2772" s="937"/>
      <c r="AW2772" s="938"/>
      <c r="AX2772" s="939"/>
      <c r="AY2772" s="933"/>
      <c r="AZ2772" s="936"/>
      <c r="BA2772" s="936"/>
      <c r="BB2772" s="1112"/>
      <c r="BC2772" s="940"/>
      <c r="BD2772" s="941"/>
      <c r="BE2772" s="942"/>
      <c r="BF2772" s="943"/>
      <c r="BG2772" s="943"/>
      <c r="BH2772" s="943"/>
      <c r="BI2772" s="943"/>
      <c r="BJ2772" s="943"/>
      <c r="BK2772" s="943"/>
      <c r="BL2772" s="943"/>
      <c r="BM2772" s="943"/>
      <c r="BN2772" s="943"/>
      <c r="BO2772" s="1059"/>
      <c r="BP2772" s="1059"/>
      <c r="BQ2772" s="1059"/>
      <c r="BR2772" s="1059"/>
      <c r="BS2772" s="1059"/>
      <c r="BT2772" s="1059"/>
      <c r="BU2772" s="1059"/>
      <c r="BV2772" s="944"/>
      <c r="BW2772" s="944"/>
      <c r="BX2772" s="1147"/>
      <c r="BY2772" s="944"/>
      <c r="BZ2772" s="944"/>
      <c r="CA2772" s="944"/>
      <c r="CB2772" s="944"/>
    </row>
    <row r="2773" spans="2:80">
      <c r="B2773" s="1097"/>
      <c r="C2773" s="1097"/>
      <c r="D2773" s="1097"/>
      <c r="E2773" s="1097"/>
      <c r="F2773" s="934"/>
      <c r="G2773" s="1098"/>
      <c r="H2773" s="1099"/>
      <c r="I2773" s="1099"/>
      <c r="J2773" s="934"/>
      <c r="K2773" s="934"/>
      <c r="L2773" s="933"/>
      <c r="M2773" s="1100"/>
      <c r="N2773" s="934"/>
      <c r="O2773" s="936"/>
      <c r="P2773" s="936"/>
      <c r="Q2773" s="933"/>
      <c r="T2773" s="1101"/>
      <c r="U2773" s="1102"/>
      <c r="V2773" s="936"/>
      <c r="W2773" s="1103"/>
      <c r="X2773" s="1104"/>
      <c r="Y2773" s="1105"/>
      <c r="Z2773" s="1103"/>
      <c r="AC2773" s="1106"/>
      <c r="AD2773" s="1107"/>
      <c r="AE2773" s="1104"/>
      <c r="AG2773" s="1109"/>
      <c r="AI2773" s="1110"/>
      <c r="AL2773" s="933"/>
      <c r="AM2773" s="933"/>
      <c r="AN2773" s="1100"/>
      <c r="AO2773" s="1100"/>
      <c r="AP2773" s="934"/>
      <c r="AQ2773" s="934"/>
      <c r="AR2773" s="934"/>
      <c r="AS2773" s="936"/>
      <c r="AT2773" s="936"/>
      <c r="AU2773" s="936"/>
      <c r="AV2773" s="937"/>
      <c r="AW2773" s="938"/>
      <c r="AX2773" s="939"/>
      <c r="AY2773" s="933"/>
      <c r="AZ2773" s="936"/>
      <c r="BA2773" s="936"/>
      <c r="BB2773" s="1112"/>
      <c r="BC2773" s="940"/>
      <c r="BD2773" s="941"/>
      <c r="BE2773" s="942"/>
      <c r="BF2773" s="943"/>
      <c r="BG2773" s="943"/>
      <c r="BH2773" s="943"/>
      <c r="BI2773" s="943"/>
      <c r="BJ2773" s="943"/>
      <c r="BK2773" s="943"/>
      <c r="BL2773" s="943"/>
      <c r="BM2773" s="943"/>
      <c r="BN2773" s="943"/>
      <c r="BO2773" s="1059"/>
      <c r="BP2773" s="1059"/>
      <c r="BQ2773" s="1059"/>
      <c r="BR2773" s="1059"/>
      <c r="BS2773" s="1059"/>
      <c r="BT2773" s="1059"/>
      <c r="BU2773" s="1059"/>
      <c r="BV2773" s="944"/>
      <c r="BW2773" s="944"/>
      <c r="BX2773" s="1147"/>
      <c r="BY2773" s="944"/>
      <c r="BZ2773" s="944"/>
      <c r="CA2773" s="944"/>
      <c r="CB2773" s="944"/>
    </row>
    <row r="2774" spans="2:80">
      <c r="B2774" s="1097"/>
      <c r="C2774" s="1097"/>
      <c r="D2774" s="1097"/>
      <c r="E2774" s="1097"/>
      <c r="F2774" s="934"/>
      <c r="G2774" s="1098"/>
      <c r="H2774" s="1099"/>
      <c r="I2774" s="1099"/>
      <c r="J2774" s="934"/>
      <c r="K2774" s="934"/>
      <c r="L2774" s="933"/>
      <c r="M2774" s="1100"/>
      <c r="N2774" s="934"/>
      <c r="O2774" s="936"/>
      <c r="P2774" s="936"/>
      <c r="Q2774" s="933"/>
      <c r="T2774" s="1101"/>
      <c r="U2774" s="1102"/>
      <c r="V2774" s="936"/>
      <c r="W2774" s="1103"/>
      <c r="X2774" s="1104"/>
      <c r="Y2774" s="1105"/>
      <c r="Z2774" s="1103"/>
      <c r="AC2774" s="1106"/>
      <c r="AD2774" s="1107"/>
      <c r="AE2774" s="1104"/>
      <c r="AG2774" s="1109"/>
      <c r="AI2774" s="1110"/>
      <c r="AL2774" s="933"/>
      <c r="AM2774" s="933"/>
      <c r="AN2774" s="1100"/>
      <c r="AO2774" s="1100"/>
      <c r="AP2774" s="934"/>
      <c r="AQ2774" s="934"/>
      <c r="AR2774" s="934"/>
      <c r="AS2774" s="936"/>
      <c r="AT2774" s="936"/>
      <c r="AU2774" s="936"/>
      <c r="AV2774" s="937"/>
      <c r="AW2774" s="938"/>
      <c r="AX2774" s="939"/>
      <c r="AY2774" s="933"/>
      <c r="AZ2774" s="936"/>
      <c r="BA2774" s="936"/>
      <c r="BB2774" s="1112"/>
      <c r="BC2774" s="940"/>
      <c r="BD2774" s="941"/>
      <c r="BE2774" s="942"/>
      <c r="BF2774" s="943"/>
      <c r="BG2774" s="943"/>
      <c r="BH2774" s="943"/>
      <c r="BI2774" s="943"/>
      <c r="BJ2774" s="943"/>
      <c r="BK2774" s="943"/>
      <c r="BL2774" s="943"/>
      <c r="BM2774" s="943"/>
      <c r="BN2774" s="943"/>
      <c r="BO2774" s="1059"/>
      <c r="BP2774" s="1059"/>
      <c r="BQ2774" s="1059"/>
      <c r="BR2774" s="1059"/>
      <c r="BS2774" s="1059"/>
      <c r="BT2774" s="1059"/>
      <c r="BU2774" s="1059"/>
      <c r="BV2774" s="944"/>
      <c r="BW2774" s="944"/>
      <c r="BX2774" s="1147"/>
      <c r="BY2774" s="944"/>
      <c r="BZ2774" s="944"/>
      <c r="CA2774" s="944"/>
      <c r="CB2774" s="944"/>
    </row>
    <row r="2775" spans="2:80">
      <c r="B2775" s="1097"/>
      <c r="C2775" s="1097"/>
      <c r="D2775" s="1097"/>
      <c r="E2775" s="1097"/>
      <c r="F2775" s="934"/>
      <c r="G2775" s="1098"/>
      <c r="H2775" s="1099"/>
      <c r="I2775" s="1099"/>
      <c r="J2775" s="934"/>
      <c r="K2775" s="934"/>
      <c r="L2775" s="933"/>
      <c r="M2775" s="1100"/>
      <c r="N2775" s="934"/>
      <c r="O2775" s="936"/>
      <c r="P2775" s="936"/>
      <c r="Q2775" s="933"/>
      <c r="T2775" s="1101"/>
      <c r="U2775" s="1102"/>
      <c r="V2775" s="936"/>
      <c r="W2775" s="1103"/>
      <c r="X2775" s="1104"/>
      <c r="Y2775" s="1105"/>
      <c r="Z2775" s="1103"/>
      <c r="AC2775" s="1106"/>
      <c r="AD2775" s="1107"/>
      <c r="AE2775" s="1104"/>
      <c r="AG2775" s="1109"/>
      <c r="AI2775" s="1110"/>
      <c r="AL2775" s="933"/>
      <c r="AM2775" s="933"/>
      <c r="AN2775" s="1100"/>
      <c r="AO2775" s="1100"/>
      <c r="AP2775" s="934"/>
      <c r="AQ2775" s="934"/>
      <c r="AR2775" s="934"/>
      <c r="AS2775" s="936"/>
      <c r="AT2775" s="936"/>
      <c r="AU2775" s="936"/>
      <c r="AV2775" s="937"/>
      <c r="AW2775" s="938"/>
      <c r="AX2775" s="939"/>
      <c r="AY2775" s="933"/>
      <c r="AZ2775" s="936"/>
      <c r="BA2775" s="936"/>
      <c r="BB2775" s="1112"/>
      <c r="BC2775" s="940"/>
      <c r="BD2775" s="941"/>
      <c r="BE2775" s="942"/>
      <c r="BF2775" s="943"/>
      <c r="BG2775" s="943"/>
      <c r="BH2775" s="943"/>
      <c r="BI2775" s="943"/>
      <c r="BJ2775" s="943"/>
      <c r="BK2775" s="943"/>
      <c r="BL2775" s="943"/>
      <c r="BM2775" s="943"/>
      <c r="BN2775" s="943"/>
      <c r="BO2775" s="1059"/>
      <c r="BP2775" s="1059"/>
      <c r="BQ2775" s="1059"/>
      <c r="BR2775" s="1059"/>
      <c r="BS2775" s="1059"/>
      <c r="BT2775" s="1059"/>
      <c r="BU2775" s="1059"/>
      <c r="BV2775" s="944"/>
      <c r="BW2775" s="944"/>
      <c r="BX2775" s="1147"/>
      <c r="BY2775" s="944"/>
      <c r="BZ2775" s="944"/>
      <c r="CA2775" s="944"/>
      <c r="CB2775" s="944"/>
    </row>
    <row r="2776" spans="2:80">
      <c r="B2776" s="1097"/>
      <c r="C2776" s="1097"/>
      <c r="D2776" s="1097"/>
      <c r="E2776" s="1097"/>
      <c r="F2776" s="934"/>
      <c r="G2776" s="1098"/>
      <c r="H2776" s="1099"/>
      <c r="I2776" s="1099"/>
      <c r="J2776" s="934"/>
      <c r="K2776" s="934"/>
      <c r="L2776" s="933"/>
      <c r="M2776" s="1100"/>
      <c r="N2776" s="934"/>
      <c r="O2776" s="936"/>
      <c r="P2776" s="936"/>
      <c r="Q2776" s="933"/>
      <c r="T2776" s="1101"/>
      <c r="U2776" s="1102"/>
      <c r="V2776" s="936"/>
      <c r="W2776" s="1103"/>
      <c r="X2776" s="1104"/>
      <c r="Y2776" s="1105"/>
      <c r="Z2776" s="1103"/>
      <c r="AC2776" s="1106"/>
      <c r="AD2776" s="1107"/>
      <c r="AE2776" s="1104"/>
      <c r="AG2776" s="1109"/>
      <c r="AI2776" s="1110"/>
      <c r="AL2776" s="933"/>
      <c r="AM2776" s="933"/>
      <c r="AN2776" s="1100"/>
      <c r="AO2776" s="1100"/>
      <c r="AP2776" s="934"/>
      <c r="AQ2776" s="934"/>
      <c r="AR2776" s="934"/>
      <c r="AS2776" s="936"/>
      <c r="AT2776" s="936"/>
      <c r="AU2776" s="936"/>
      <c r="AV2776" s="937"/>
      <c r="AW2776" s="938"/>
      <c r="AX2776" s="939"/>
      <c r="AY2776" s="933"/>
      <c r="AZ2776" s="936"/>
      <c r="BA2776" s="936"/>
      <c r="BB2776" s="1112"/>
      <c r="BC2776" s="940"/>
      <c r="BD2776" s="941"/>
      <c r="BE2776" s="942"/>
      <c r="BF2776" s="943"/>
      <c r="BG2776" s="943"/>
      <c r="BH2776" s="943"/>
      <c r="BI2776" s="943"/>
      <c r="BJ2776" s="943"/>
      <c r="BK2776" s="943"/>
      <c r="BL2776" s="943"/>
      <c r="BM2776" s="943"/>
      <c r="BN2776" s="943"/>
      <c r="BO2776" s="1059"/>
      <c r="BP2776" s="1059"/>
      <c r="BQ2776" s="1059"/>
      <c r="BR2776" s="1059"/>
      <c r="BS2776" s="1059"/>
      <c r="BT2776" s="1059"/>
      <c r="BU2776" s="1059"/>
      <c r="BV2776" s="944"/>
      <c r="BW2776" s="944"/>
      <c r="BX2776" s="1147"/>
      <c r="BY2776" s="944"/>
      <c r="BZ2776" s="944"/>
      <c r="CA2776" s="944"/>
      <c r="CB2776" s="944"/>
    </row>
    <row r="2777" spans="2:80">
      <c r="B2777" s="1097"/>
      <c r="C2777" s="1097"/>
      <c r="D2777" s="1097"/>
      <c r="E2777" s="1097"/>
      <c r="F2777" s="934"/>
      <c r="G2777" s="1098"/>
      <c r="H2777" s="1099"/>
      <c r="I2777" s="1099"/>
      <c r="J2777" s="934"/>
      <c r="K2777" s="934"/>
      <c r="L2777" s="933"/>
      <c r="M2777" s="1100"/>
      <c r="N2777" s="934"/>
      <c r="O2777" s="936"/>
      <c r="P2777" s="936"/>
      <c r="Q2777" s="933"/>
      <c r="T2777" s="1101"/>
      <c r="U2777" s="1102"/>
      <c r="V2777" s="936"/>
      <c r="W2777" s="1103"/>
      <c r="X2777" s="1104"/>
      <c r="Y2777" s="1105"/>
      <c r="Z2777" s="1103"/>
      <c r="AC2777" s="1106"/>
      <c r="AD2777" s="1107"/>
      <c r="AE2777" s="1104"/>
      <c r="AG2777" s="1109"/>
      <c r="AI2777" s="1110"/>
      <c r="AL2777" s="933"/>
      <c r="AM2777" s="933"/>
      <c r="AN2777" s="1100"/>
      <c r="AO2777" s="1100"/>
      <c r="AP2777" s="934"/>
      <c r="AQ2777" s="934"/>
      <c r="AR2777" s="934"/>
      <c r="AS2777" s="936"/>
      <c r="AT2777" s="936"/>
      <c r="AU2777" s="936"/>
      <c r="AV2777" s="937"/>
      <c r="AW2777" s="938"/>
      <c r="AX2777" s="939"/>
      <c r="AY2777" s="933"/>
      <c r="AZ2777" s="936"/>
      <c r="BA2777" s="936"/>
      <c r="BB2777" s="1112"/>
      <c r="BC2777" s="940"/>
      <c r="BD2777" s="941"/>
      <c r="BE2777" s="942"/>
      <c r="BF2777" s="943"/>
      <c r="BG2777" s="943"/>
      <c r="BH2777" s="943"/>
      <c r="BI2777" s="943"/>
      <c r="BJ2777" s="943"/>
      <c r="BK2777" s="943"/>
      <c r="BL2777" s="943"/>
      <c r="BM2777" s="943"/>
      <c r="BN2777" s="943"/>
      <c r="BO2777" s="1059"/>
      <c r="BP2777" s="1059"/>
      <c r="BQ2777" s="1059"/>
      <c r="BR2777" s="1059"/>
      <c r="BS2777" s="1059"/>
      <c r="BT2777" s="1059"/>
      <c r="BU2777" s="1059"/>
      <c r="BV2777" s="944"/>
      <c r="BW2777" s="944"/>
      <c r="BX2777" s="1147"/>
      <c r="BY2777" s="944"/>
      <c r="BZ2777" s="944"/>
      <c r="CA2777" s="944"/>
      <c r="CB2777" s="944"/>
    </row>
    <row r="2778" spans="2:80">
      <c r="B2778" s="1097"/>
      <c r="C2778" s="1097"/>
      <c r="D2778" s="1097"/>
      <c r="E2778" s="1097"/>
      <c r="F2778" s="934"/>
      <c r="G2778" s="1098"/>
      <c r="H2778" s="1099"/>
      <c r="I2778" s="1099"/>
      <c r="J2778" s="934"/>
      <c r="K2778" s="934"/>
      <c r="L2778" s="933"/>
      <c r="M2778" s="1100"/>
      <c r="N2778" s="934"/>
      <c r="O2778" s="936"/>
      <c r="P2778" s="936"/>
      <c r="Q2778" s="933"/>
      <c r="T2778" s="1101"/>
      <c r="U2778" s="1102"/>
      <c r="V2778" s="936"/>
      <c r="W2778" s="1103"/>
      <c r="X2778" s="1104"/>
      <c r="Y2778" s="1105"/>
      <c r="Z2778" s="1103"/>
      <c r="AC2778" s="1106"/>
      <c r="AD2778" s="1107"/>
      <c r="AE2778" s="1104"/>
      <c r="AG2778" s="1109"/>
      <c r="AI2778" s="1110"/>
      <c r="AL2778" s="933"/>
      <c r="AM2778" s="933"/>
      <c r="AN2778" s="1100"/>
      <c r="AO2778" s="1100"/>
      <c r="AP2778" s="934"/>
      <c r="AQ2778" s="934"/>
      <c r="AR2778" s="934"/>
      <c r="AS2778" s="936"/>
      <c r="AT2778" s="936"/>
      <c r="AU2778" s="936"/>
      <c r="AV2778" s="937"/>
      <c r="AW2778" s="938"/>
      <c r="AX2778" s="939"/>
      <c r="AY2778" s="933"/>
      <c r="AZ2778" s="936"/>
      <c r="BA2778" s="936"/>
      <c r="BB2778" s="1112"/>
      <c r="BC2778" s="940"/>
      <c r="BD2778" s="941"/>
      <c r="BE2778" s="942"/>
      <c r="BF2778" s="943"/>
      <c r="BG2778" s="943"/>
      <c r="BH2778" s="943"/>
      <c r="BI2778" s="943"/>
      <c r="BJ2778" s="943"/>
      <c r="BK2778" s="943"/>
      <c r="BL2778" s="943"/>
      <c r="BM2778" s="943"/>
      <c r="BN2778" s="943"/>
      <c r="BO2778" s="1059"/>
      <c r="BP2778" s="1059"/>
      <c r="BQ2778" s="1059"/>
      <c r="BR2778" s="1059"/>
      <c r="BS2778" s="1059"/>
      <c r="BT2778" s="1059"/>
      <c r="BU2778" s="1059"/>
      <c r="BV2778" s="944"/>
      <c r="BW2778" s="944"/>
      <c r="BX2778" s="1147"/>
      <c r="BY2778" s="944"/>
      <c r="BZ2778" s="944"/>
      <c r="CA2778" s="944"/>
      <c r="CB2778" s="944"/>
    </row>
    <row r="2779" spans="2:80">
      <c r="B2779" s="1097"/>
      <c r="C2779" s="1097"/>
      <c r="D2779" s="1097"/>
      <c r="E2779" s="1097"/>
      <c r="F2779" s="934"/>
      <c r="G2779" s="1098"/>
      <c r="H2779" s="1099"/>
      <c r="I2779" s="1099"/>
      <c r="J2779" s="934"/>
      <c r="K2779" s="934"/>
      <c r="L2779" s="933"/>
      <c r="M2779" s="1100"/>
      <c r="N2779" s="934"/>
      <c r="O2779" s="936"/>
      <c r="P2779" s="936"/>
      <c r="Q2779" s="933"/>
      <c r="T2779" s="1101"/>
      <c r="U2779" s="1102"/>
      <c r="V2779" s="936"/>
      <c r="W2779" s="1103"/>
      <c r="X2779" s="1104"/>
      <c r="Y2779" s="1105"/>
      <c r="Z2779" s="1103"/>
      <c r="AC2779" s="1106"/>
      <c r="AD2779" s="1107"/>
      <c r="AE2779" s="1104"/>
      <c r="AG2779" s="1109"/>
      <c r="AI2779" s="1110"/>
      <c r="AL2779" s="933"/>
      <c r="AM2779" s="933"/>
      <c r="AN2779" s="1100"/>
      <c r="AO2779" s="1100"/>
      <c r="AP2779" s="934"/>
      <c r="AQ2779" s="934"/>
      <c r="AR2779" s="934"/>
      <c r="AS2779" s="936"/>
      <c r="AT2779" s="936"/>
      <c r="AU2779" s="936"/>
      <c r="AV2779" s="937"/>
      <c r="AW2779" s="938"/>
      <c r="AX2779" s="939"/>
      <c r="AY2779" s="933"/>
      <c r="AZ2779" s="936"/>
      <c r="BA2779" s="936"/>
      <c r="BB2779" s="1112"/>
      <c r="BC2779" s="940"/>
      <c r="BD2779" s="941"/>
      <c r="BE2779" s="942"/>
      <c r="BF2779" s="943"/>
      <c r="BG2779" s="943"/>
      <c r="BH2779" s="943"/>
      <c r="BI2779" s="943"/>
      <c r="BJ2779" s="943"/>
      <c r="BK2779" s="943"/>
      <c r="BL2779" s="943"/>
      <c r="BM2779" s="943"/>
      <c r="BN2779" s="943"/>
      <c r="BO2779" s="1059"/>
      <c r="BP2779" s="1059"/>
      <c r="BQ2779" s="1059"/>
      <c r="BR2779" s="1059"/>
      <c r="BS2779" s="1059"/>
      <c r="BT2779" s="1059"/>
      <c r="BU2779" s="1059"/>
      <c r="BV2779" s="944"/>
      <c r="BW2779" s="944"/>
      <c r="BX2779" s="1147"/>
      <c r="BY2779" s="944"/>
      <c r="BZ2779" s="944"/>
      <c r="CA2779" s="944"/>
      <c r="CB2779" s="944"/>
    </row>
    <row r="2780" spans="2:80">
      <c r="B2780" s="1097"/>
      <c r="C2780" s="1097"/>
      <c r="D2780" s="1097"/>
      <c r="E2780" s="1097"/>
      <c r="F2780" s="934"/>
      <c r="G2780" s="1098"/>
      <c r="H2780" s="1099"/>
      <c r="I2780" s="1099"/>
      <c r="J2780" s="934"/>
      <c r="K2780" s="934"/>
      <c r="L2780" s="933"/>
      <c r="M2780" s="1100"/>
      <c r="N2780" s="934"/>
      <c r="O2780" s="936"/>
      <c r="P2780" s="936"/>
      <c r="Q2780" s="933"/>
      <c r="T2780" s="1101"/>
      <c r="U2780" s="1102"/>
      <c r="V2780" s="936"/>
      <c r="W2780" s="1103"/>
      <c r="X2780" s="1104"/>
      <c r="Y2780" s="1105"/>
      <c r="Z2780" s="1103"/>
      <c r="AC2780" s="1106"/>
      <c r="AD2780" s="1107"/>
      <c r="AE2780" s="1104"/>
      <c r="AG2780" s="1109"/>
      <c r="AI2780" s="1110"/>
      <c r="AL2780" s="933"/>
      <c r="AM2780" s="933"/>
      <c r="AN2780" s="1100"/>
      <c r="AO2780" s="1100"/>
      <c r="AP2780" s="934"/>
      <c r="AQ2780" s="934"/>
      <c r="AR2780" s="934"/>
      <c r="AS2780" s="936"/>
      <c r="AT2780" s="936"/>
      <c r="AU2780" s="936"/>
      <c r="AV2780" s="937"/>
      <c r="AW2780" s="938"/>
      <c r="AX2780" s="939"/>
      <c r="AY2780" s="933"/>
      <c r="AZ2780" s="936"/>
      <c r="BA2780" s="936"/>
      <c r="BB2780" s="1112"/>
      <c r="BC2780" s="940"/>
      <c r="BD2780" s="941"/>
      <c r="BE2780" s="942"/>
      <c r="BF2780" s="943"/>
      <c r="BG2780" s="943"/>
      <c r="BH2780" s="943"/>
      <c r="BI2780" s="943"/>
      <c r="BJ2780" s="943"/>
      <c r="BK2780" s="943"/>
      <c r="BL2780" s="943"/>
      <c r="BM2780" s="943"/>
      <c r="BN2780" s="943"/>
      <c r="BO2780" s="1059"/>
      <c r="BP2780" s="1059"/>
      <c r="BQ2780" s="1059"/>
      <c r="BR2780" s="1059"/>
      <c r="BS2780" s="1059"/>
      <c r="BT2780" s="1059"/>
      <c r="BU2780" s="1059"/>
      <c r="BV2780" s="944"/>
      <c r="BW2780" s="944"/>
      <c r="BX2780" s="1147"/>
      <c r="BY2780" s="944"/>
      <c r="BZ2780" s="944"/>
      <c r="CA2780" s="944"/>
      <c r="CB2780" s="944"/>
    </row>
    <row r="2781" spans="2:80">
      <c r="B2781" s="1097"/>
      <c r="C2781" s="1097"/>
      <c r="D2781" s="1097"/>
      <c r="E2781" s="1097"/>
      <c r="F2781" s="934"/>
      <c r="G2781" s="1098"/>
      <c r="H2781" s="1099"/>
      <c r="I2781" s="1099"/>
      <c r="J2781" s="934"/>
      <c r="K2781" s="934"/>
      <c r="L2781" s="933"/>
      <c r="M2781" s="1100"/>
      <c r="N2781" s="934"/>
      <c r="O2781" s="936"/>
      <c r="P2781" s="936"/>
      <c r="Q2781" s="933"/>
      <c r="T2781" s="1101"/>
      <c r="U2781" s="1102"/>
      <c r="V2781" s="936"/>
      <c r="W2781" s="1103"/>
      <c r="X2781" s="1104"/>
      <c r="Y2781" s="1105"/>
      <c r="Z2781" s="1103"/>
      <c r="AC2781" s="1106"/>
      <c r="AD2781" s="1107"/>
      <c r="AE2781" s="1104"/>
      <c r="AG2781" s="1109"/>
      <c r="AI2781" s="1110"/>
      <c r="AL2781" s="933"/>
      <c r="AM2781" s="933"/>
      <c r="AN2781" s="1100"/>
      <c r="AO2781" s="1100"/>
      <c r="AP2781" s="934"/>
      <c r="AQ2781" s="934"/>
      <c r="AR2781" s="934"/>
      <c r="AS2781" s="936"/>
      <c r="AT2781" s="936"/>
      <c r="AU2781" s="936"/>
      <c r="AV2781" s="937"/>
      <c r="AW2781" s="938"/>
      <c r="AX2781" s="939"/>
      <c r="AY2781" s="933"/>
      <c r="AZ2781" s="936"/>
      <c r="BA2781" s="936"/>
      <c r="BB2781" s="1112"/>
      <c r="BC2781" s="940"/>
      <c r="BD2781" s="941"/>
      <c r="BE2781" s="942"/>
      <c r="BF2781" s="943"/>
      <c r="BG2781" s="943"/>
      <c r="BH2781" s="943"/>
      <c r="BI2781" s="943"/>
      <c r="BJ2781" s="943"/>
      <c r="BK2781" s="943"/>
      <c r="BL2781" s="943"/>
      <c r="BM2781" s="943"/>
      <c r="BN2781" s="943"/>
      <c r="BO2781" s="1059"/>
      <c r="BP2781" s="1059"/>
      <c r="BQ2781" s="1059"/>
      <c r="BR2781" s="1059"/>
      <c r="BS2781" s="1059"/>
      <c r="BT2781" s="1059"/>
      <c r="BU2781" s="1059"/>
      <c r="BV2781" s="944"/>
      <c r="BW2781" s="944"/>
      <c r="BX2781" s="1147"/>
      <c r="BY2781" s="944"/>
      <c r="BZ2781" s="944"/>
      <c r="CA2781" s="944"/>
      <c r="CB2781" s="944"/>
    </row>
    <row r="2782" spans="2:80">
      <c r="B2782" s="1097"/>
      <c r="C2782" s="1097"/>
      <c r="D2782" s="1097"/>
      <c r="E2782" s="1097"/>
      <c r="F2782" s="934"/>
      <c r="G2782" s="1098"/>
      <c r="H2782" s="1099"/>
      <c r="I2782" s="1099"/>
      <c r="J2782" s="934"/>
      <c r="K2782" s="934"/>
      <c r="L2782" s="933"/>
      <c r="M2782" s="1100"/>
      <c r="N2782" s="934"/>
      <c r="O2782" s="936"/>
      <c r="P2782" s="936"/>
      <c r="Q2782" s="933"/>
      <c r="T2782" s="1101"/>
      <c r="U2782" s="1102"/>
      <c r="V2782" s="936"/>
      <c r="W2782" s="1103"/>
      <c r="X2782" s="1104"/>
      <c r="Y2782" s="1105"/>
      <c r="Z2782" s="1103"/>
      <c r="AC2782" s="1106"/>
      <c r="AD2782" s="1107"/>
      <c r="AE2782" s="1104"/>
      <c r="AG2782" s="1109"/>
      <c r="AI2782" s="1110"/>
      <c r="AL2782" s="933"/>
      <c r="AM2782" s="933"/>
      <c r="AN2782" s="1100"/>
      <c r="AO2782" s="1100"/>
      <c r="AP2782" s="934"/>
      <c r="AQ2782" s="934"/>
      <c r="AR2782" s="934"/>
      <c r="AS2782" s="936"/>
      <c r="AT2782" s="936"/>
      <c r="AU2782" s="936"/>
      <c r="AV2782" s="937"/>
      <c r="AW2782" s="938"/>
      <c r="AX2782" s="939"/>
      <c r="AY2782" s="933"/>
      <c r="AZ2782" s="936"/>
      <c r="BA2782" s="936"/>
      <c r="BB2782" s="1112"/>
      <c r="BC2782" s="940"/>
      <c r="BD2782" s="941"/>
      <c r="BE2782" s="942"/>
      <c r="BF2782" s="943"/>
      <c r="BG2782" s="943"/>
      <c r="BH2782" s="943"/>
      <c r="BI2782" s="943"/>
      <c r="BJ2782" s="943"/>
      <c r="BK2782" s="943"/>
      <c r="BL2782" s="943"/>
      <c r="BM2782" s="943"/>
      <c r="BN2782" s="943"/>
      <c r="BO2782" s="1059"/>
      <c r="BP2782" s="1059"/>
      <c r="BQ2782" s="1059"/>
      <c r="BR2782" s="1059"/>
      <c r="BS2782" s="1059"/>
      <c r="BT2782" s="1059"/>
      <c r="BU2782" s="1059"/>
      <c r="BV2782" s="944"/>
      <c r="BW2782" s="944"/>
      <c r="BX2782" s="1147"/>
      <c r="BY2782" s="944"/>
      <c r="BZ2782" s="944"/>
      <c r="CA2782" s="944"/>
      <c r="CB2782" s="944"/>
    </row>
    <row r="2783" spans="2:80">
      <c r="B2783" s="1097"/>
      <c r="C2783" s="1097"/>
      <c r="D2783" s="1097"/>
      <c r="E2783" s="1097"/>
      <c r="F2783" s="934"/>
      <c r="G2783" s="1098"/>
      <c r="H2783" s="1099"/>
      <c r="I2783" s="1099"/>
      <c r="J2783" s="934"/>
      <c r="K2783" s="934"/>
      <c r="L2783" s="933"/>
      <c r="M2783" s="1100"/>
      <c r="N2783" s="934"/>
      <c r="O2783" s="936"/>
      <c r="P2783" s="936"/>
      <c r="Q2783" s="933"/>
      <c r="T2783" s="1101"/>
      <c r="U2783" s="1102"/>
      <c r="V2783" s="936"/>
      <c r="W2783" s="1103"/>
      <c r="X2783" s="1104"/>
      <c r="Y2783" s="1105"/>
      <c r="Z2783" s="1103"/>
      <c r="AC2783" s="1106"/>
      <c r="AD2783" s="1107"/>
      <c r="AE2783" s="1104"/>
      <c r="AG2783" s="1109"/>
      <c r="AI2783" s="1110"/>
      <c r="AL2783" s="933"/>
      <c r="AM2783" s="933"/>
      <c r="AN2783" s="1100"/>
      <c r="AO2783" s="1100"/>
      <c r="AP2783" s="934"/>
      <c r="AQ2783" s="934"/>
      <c r="AR2783" s="934"/>
      <c r="AS2783" s="936"/>
      <c r="AT2783" s="936"/>
      <c r="AU2783" s="936"/>
      <c r="AV2783" s="937"/>
      <c r="AW2783" s="938"/>
      <c r="AX2783" s="939"/>
      <c r="AY2783" s="933"/>
      <c r="AZ2783" s="936"/>
      <c r="BA2783" s="936"/>
      <c r="BB2783" s="1112"/>
      <c r="BC2783" s="940"/>
      <c r="BD2783" s="941"/>
      <c r="BE2783" s="942"/>
      <c r="BF2783" s="943"/>
      <c r="BG2783" s="943"/>
      <c r="BH2783" s="943"/>
      <c r="BI2783" s="943"/>
      <c r="BJ2783" s="943"/>
      <c r="BK2783" s="943"/>
      <c r="BL2783" s="943"/>
      <c r="BM2783" s="943"/>
      <c r="BN2783" s="943"/>
      <c r="BO2783" s="1059"/>
      <c r="BP2783" s="1059"/>
      <c r="BQ2783" s="1059"/>
      <c r="BR2783" s="1059"/>
      <c r="BS2783" s="1059"/>
      <c r="BT2783" s="1059"/>
      <c r="BU2783" s="1059"/>
      <c r="BV2783" s="944"/>
      <c r="BW2783" s="944"/>
      <c r="BX2783" s="1147"/>
      <c r="BY2783" s="944"/>
      <c r="BZ2783" s="944"/>
      <c r="CA2783" s="944"/>
      <c r="CB2783" s="944"/>
    </row>
    <row r="2784" spans="2:80">
      <c r="B2784" s="1097"/>
      <c r="C2784" s="1097"/>
      <c r="D2784" s="1097"/>
      <c r="E2784" s="1097"/>
      <c r="F2784" s="934"/>
      <c r="G2784" s="1098"/>
      <c r="H2784" s="1099"/>
      <c r="I2784" s="1099"/>
      <c r="J2784" s="934"/>
      <c r="K2784" s="934"/>
      <c r="L2784" s="933"/>
      <c r="M2784" s="1100"/>
      <c r="N2784" s="934"/>
      <c r="O2784" s="936"/>
      <c r="P2784" s="936"/>
      <c r="Q2784" s="933"/>
      <c r="T2784" s="1101"/>
      <c r="U2784" s="1102"/>
      <c r="V2784" s="936"/>
      <c r="W2784" s="1103"/>
      <c r="X2784" s="1104"/>
      <c r="Y2784" s="1105"/>
      <c r="Z2784" s="1103"/>
      <c r="AC2784" s="1106"/>
      <c r="AD2784" s="1107"/>
      <c r="AE2784" s="1104"/>
      <c r="AG2784" s="1109"/>
      <c r="AI2784" s="1110"/>
      <c r="AL2784" s="933"/>
      <c r="AM2784" s="933"/>
      <c r="AN2784" s="1100"/>
      <c r="AO2784" s="1100"/>
      <c r="AP2784" s="934"/>
      <c r="AQ2784" s="934"/>
      <c r="AR2784" s="934"/>
      <c r="AS2784" s="936"/>
      <c r="AT2784" s="936"/>
      <c r="AU2784" s="936"/>
      <c r="AV2784" s="937"/>
      <c r="AW2784" s="938"/>
      <c r="AX2784" s="939"/>
      <c r="AY2784" s="933"/>
      <c r="AZ2784" s="936"/>
      <c r="BA2784" s="936"/>
      <c r="BB2784" s="1112"/>
      <c r="BC2784" s="940"/>
      <c r="BD2784" s="941"/>
      <c r="BE2784" s="942"/>
      <c r="BF2784" s="943"/>
      <c r="BG2784" s="943"/>
      <c r="BH2784" s="943"/>
      <c r="BI2784" s="943"/>
      <c r="BJ2784" s="943"/>
      <c r="BK2784" s="943"/>
      <c r="BL2784" s="943"/>
      <c r="BM2784" s="943"/>
      <c r="BN2784" s="943"/>
      <c r="BO2784" s="1059"/>
      <c r="BP2784" s="1059"/>
      <c r="BQ2784" s="1059"/>
      <c r="BR2784" s="1059"/>
      <c r="BS2784" s="1059"/>
      <c r="BT2784" s="1059"/>
      <c r="BU2784" s="1059"/>
      <c r="BV2784" s="944"/>
      <c r="BW2784" s="944"/>
      <c r="BX2784" s="1147"/>
      <c r="BY2784" s="944"/>
      <c r="BZ2784" s="944"/>
      <c r="CA2784" s="944"/>
      <c r="CB2784" s="944"/>
    </row>
    <row r="2785" spans="2:80">
      <c r="B2785" s="1097"/>
      <c r="C2785" s="1097"/>
      <c r="D2785" s="1097"/>
      <c r="E2785" s="1097"/>
      <c r="F2785" s="934"/>
      <c r="G2785" s="1098"/>
      <c r="H2785" s="1099"/>
      <c r="I2785" s="1099"/>
      <c r="J2785" s="934"/>
      <c r="K2785" s="934"/>
      <c r="L2785" s="933"/>
      <c r="M2785" s="1100"/>
      <c r="N2785" s="934"/>
      <c r="O2785" s="936"/>
      <c r="P2785" s="936"/>
      <c r="Q2785" s="933"/>
      <c r="T2785" s="1101"/>
      <c r="U2785" s="1102"/>
      <c r="V2785" s="936"/>
      <c r="W2785" s="1103"/>
      <c r="X2785" s="1104"/>
      <c r="Y2785" s="1105"/>
      <c r="Z2785" s="1103"/>
      <c r="AC2785" s="1106"/>
      <c r="AD2785" s="1107"/>
      <c r="AE2785" s="1104"/>
      <c r="AG2785" s="1109"/>
      <c r="AI2785" s="1110"/>
      <c r="AL2785" s="933"/>
      <c r="AM2785" s="933"/>
      <c r="AN2785" s="1100"/>
      <c r="AO2785" s="1100"/>
      <c r="AP2785" s="934"/>
      <c r="AQ2785" s="934"/>
      <c r="AR2785" s="934"/>
      <c r="AS2785" s="936"/>
      <c r="AT2785" s="936"/>
      <c r="AU2785" s="936"/>
      <c r="AV2785" s="937"/>
      <c r="AW2785" s="938"/>
      <c r="AX2785" s="939"/>
      <c r="AY2785" s="933"/>
      <c r="AZ2785" s="936"/>
      <c r="BA2785" s="936"/>
      <c r="BB2785" s="1112"/>
      <c r="BC2785" s="940"/>
      <c r="BD2785" s="941"/>
      <c r="BE2785" s="942"/>
      <c r="BF2785" s="943"/>
      <c r="BG2785" s="943"/>
      <c r="BH2785" s="943"/>
      <c r="BI2785" s="943"/>
      <c r="BJ2785" s="943"/>
      <c r="BK2785" s="943"/>
      <c r="BL2785" s="943"/>
      <c r="BM2785" s="943"/>
      <c r="BN2785" s="943"/>
      <c r="BO2785" s="1059"/>
      <c r="BP2785" s="1059"/>
      <c r="BQ2785" s="1059"/>
      <c r="BR2785" s="1059"/>
      <c r="BS2785" s="1059"/>
      <c r="BT2785" s="1059"/>
      <c r="BU2785" s="1059"/>
      <c r="BV2785" s="944"/>
      <c r="BW2785" s="944"/>
      <c r="BX2785" s="1147"/>
      <c r="BY2785" s="944"/>
      <c r="BZ2785" s="944"/>
      <c r="CA2785" s="944"/>
      <c r="CB2785" s="944"/>
    </row>
    <row r="2786" spans="2:80">
      <c r="B2786" s="1097"/>
      <c r="C2786" s="1097"/>
      <c r="D2786" s="1097"/>
      <c r="E2786" s="1097"/>
      <c r="F2786" s="934"/>
      <c r="G2786" s="1098"/>
      <c r="H2786" s="1099"/>
      <c r="I2786" s="1099"/>
      <c r="J2786" s="934"/>
      <c r="K2786" s="934"/>
      <c r="L2786" s="933"/>
      <c r="M2786" s="1100"/>
      <c r="N2786" s="934"/>
      <c r="O2786" s="936"/>
      <c r="P2786" s="936"/>
      <c r="Q2786" s="933"/>
      <c r="T2786" s="1101"/>
      <c r="U2786" s="1102"/>
      <c r="V2786" s="936"/>
      <c r="W2786" s="1103"/>
      <c r="X2786" s="1104"/>
      <c r="Y2786" s="1105"/>
      <c r="Z2786" s="1103"/>
      <c r="AC2786" s="1106"/>
      <c r="AD2786" s="1107"/>
      <c r="AE2786" s="1104"/>
      <c r="AG2786" s="1109"/>
      <c r="AI2786" s="1110"/>
      <c r="AL2786" s="933"/>
      <c r="AM2786" s="933"/>
      <c r="AN2786" s="1100"/>
      <c r="AO2786" s="1100"/>
      <c r="AP2786" s="934"/>
      <c r="AQ2786" s="934"/>
      <c r="AR2786" s="934"/>
      <c r="AS2786" s="936"/>
      <c r="AT2786" s="936"/>
      <c r="AU2786" s="936"/>
      <c r="AV2786" s="937"/>
      <c r="AW2786" s="938"/>
      <c r="AX2786" s="939"/>
      <c r="AY2786" s="933"/>
      <c r="AZ2786" s="936"/>
      <c r="BA2786" s="936"/>
      <c r="BB2786" s="1112"/>
      <c r="BC2786" s="940"/>
      <c r="BD2786" s="941"/>
      <c r="BE2786" s="942"/>
      <c r="BF2786" s="943"/>
      <c r="BG2786" s="943"/>
      <c r="BH2786" s="943"/>
      <c r="BI2786" s="943"/>
      <c r="BJ2786" s="943"/>
      <c r="BK2786" s="943"/>
      <c r="BL2786" s="943"/>
      <c r="BM2786" s="943"/>
      <c r="BN2786" s="943"/>
      <c r="BO2786" s="1059"/>
      <c r="BP2786" s="1059"/>
      <c r="BQ2786" s="1059"/>
      <c r="BR2786" s="1059"/>
      <c r="BS2786" s="1059"/>
      <c r="BT2786" s="1059"/>
      <c r="BU2786" s="1059"/>
      <c r="BV2786" s="944"/>
      <c r="BW2786" s="944"/>
      <c r="BX2786" s="1147"/>
      <c r="BY2786" s="944"/>
      <c r="BZ2786" s="944"/>
      <c r="CA2786" s="944"/>
      <c r="CB2786" s="944"/>
    </row>
    <row r="2787" spans="2:80">
      <c r="B2787" s="1097"/>
      <c r="C2787" s="1097"/>
      <c r="D2787" s="1097"/>
      <c r="E2787" s="1097"/>
      <c r="F2787" s="934"/>
      <c r="G2787" s="1098"/>
      <c r="H2787" s="1099"/>
      <c r="I2787" s="1099"/>
      <c r="J2787" s="934"/>
      <c r="K2787" s="934"/>
      <c r="L2787" s="933"/>
      <c r="M2787" s="1100"/>
      <c r="N2787" s="934"/>
      <c r="O2787" s="936"/>
      <c r="P2787" s="936"/>
      <c r="Q2787" s="933"/>
      <c r="T2787" s="1101"/>
      <c r="U2787" s="1102"/>
      <c r="V2787" s="936"/>
      <c r="W2787" s="1103"/>
      <c r="X2787" s="1104"/>
      <c r="Y2787" s="1105"/>
      <c r="Z2787" s="1103"/>
      <c r="AC2787" s="1106"/>
      <c r="AD2787" s="1107"/>
      <c r="AE2787" s="1104"/>
      <c r="AG2787" s="1109"/>
      <c r="AI2787" s="1110"/>
      <c r="AL2787" s="933"/>
      <c r="AM2787" s="933"/>
      <c r="AN2787" s="1100"/>
      <c r="AO2787" s="1100"/>
      <c r="AP2787" s="934"/>
      <c r="AQ2787" s="934"/>
      <c r="AR2787" s="934"/>
      <c r="AS2787" s="936"/>
      <c r="AT2787" s="936"/>
      <c r="AU2787" s="936"/>
      <c r="AV2787" s="937"/>
      <c r="AW2787" s="938"/>
      <c r="AX2787" s="939"/>
      <c r="AY2787" s="933"/>
      <c r="AZ2787" s="936"/>
      <c r="BA2787" s="936"/>
      <c r="BB2787" s="1112"/>
      <c r="BC2787" s="940"/>
      <c r="BD2787" s="941"/>
      <c r="BE2787" s="942"/>
      <c r="BF2787" s="943"/>
      <c r="BG2787" s="943"/>
      <c r="BH2787" s="943"/>
      <c r="BI2787" s="943"/>
      <c r="BJ2787" s="943"/>
      <c r="BK2787" s="943"/>
      <c r="BL2787" s="943"/>
      <c r="BM2787" s="943"/>
      <c r="BN2787" s="943"/>
      <c r="BO2787" s="1059"/>
      <c r="BP2787" s="1059"/>
      <c r="BQ2787" s="1059"/>
      <c r="BR2787" s="1059"/>
      <c r="BS2787" s="1059"/>
      <c r="BT2787" s="1059"/>
      <c r="BU2787" s="1059"/>
      <c r="BV2787" s="944"/>
      <c r="BW2787" s="944"/>
      <c r="BX2787" s="1147"/>
      <c r="BY2787" s="944"/>
      <c r="BZ2787" s="944"/>
      <c r="CA2787" s="944"/>
      <c r="CB2787" s="944"/>
    </row>
    <row r="2788" spans="2:80">
      <c r="B2788" s="1097"/>
      <c r="C2788" s="1097"/>
      <c r="D2788" s="1097"/>
      <c r="E2788" s="1097"/>
      <c r="F2788" s="934"/>
      <c r="G2788" s="1098"/>
      <c r="H2788" s="1099"/>
      <c r="I2788" s="1099"/>
      <c r="J2788" s="934"/>
      <c r="K2788" s="934"/>
      <c r="L2788" s="933"/>
      <c r="M2788" s="1100"/>
      <c r="N2788" s="934"/>
      <c r="O2788" s="936"/>
      <c r="P2788" s="936"/>
      <c r="Q2788" s="933"/>
      <c r="T2788" s="1101"/>
      <c r="U2788" s="1102"/>
      <c r="V2788" s="936"/>
      <c r="W2788" s="1103"/>
      <c r="X2788" s="1104"/>
      <c r="Y2788" s="1105"/>
      <c r="Z2788" s="1103"/>
      <c r="AC2788" s="1106"/>
      <c r="AD2788" s="1107"/>
      <c r="AE2788" s="1104"/>
      <c r="AG2788" s="1109"/>
      <c r="AI2788" s="1110"/>
      <c r="AL2788" s="933"/>
      <c r="AM2788" s="933"/>
      <c r="AN2788" s="1100"/>
      <c r="AO2788" s="1100"/>
      <c r="AP2788" s="934"/>
      <c r="AQ2788" s="934"/>
      <c r="AR2788" s="934"/>
      <c r="AS2788" s="936"/>
      <c r="AT2788" s="936"/>
      <c r="AU2788" s="936"/>
      <c r="AV2788" s="937"/>
      <c r="AW2788" s="938"/>
      <c r="AX2788" s="939"/>
      <c r="AY2788" s="933"/>
      <c r="AZ2788" s="936"/>
      <c r="BA2788" s="936"/>
      <c r="BB2788" s="1112"/>
      <c r="BC2788" s="940"/>
      <c r="BD2788" s="941"/>
      <c r="BE2788" s="942"/>
      <c r="BF2788" s="943"/>
      <c r="BG2788" s="943"/>
      <c r="BH2788" s="943"/>
      <c r="BI2788" s="943"/>
      <c r="BJ2788" s="943"/>
      <c r="BK2788" s="943"/>
      <c r="BL2788" s="943"/>
      <c r="BM2788" s="943"/>
      <c r="BN2788" s="943"/>
      <c r="BO2788" s="1059"/>
      <c r="BP2788" s="1059"/>
      <c r="BQ2788" s="1059"/>
      <c r="BR2788" s="1059"/>
      <c r="BS2788" s="1059"/>
      <c r="BT2788" s="1059"/>
      <c r="BU2788" s="1059"/>
      <c r="BV2788" s="944"/>
      <c r="BW2788" s="944"/>
      <c r="BX2788" s="1147"/>
      <c r="BY2788" s="944"/>
      <c r="BZ2788" s="944"/>
      <c r="CA2788" s="944"/>
      <c r="CB2788" s="944"/>
    </row>
    <row r="2789" spans="2:80">
      <c r="B2789" s="1097"/>
      <c r="C2789" s="1097"/>
      <c r="D2789" s="1097"/>
      <c r="E2789" s="1097"/>
      <c r="F2789" s="934"/>
      <c r="G2789" s="1098"/>
      <c r="H2789" s="1099"/>
      <c r="I2789" s="1099"/>
      <c r="J2789" s="934"/>
      <c r="K2789" s="934"/>
      <c r="L2789" s="933"/>
      <c r="M2789" s="1100"/>
      <c r="N2789" s="934"/>
      <c r="O2789" s="936"/>
      <c r="P2789" s="936"/>
      <c r="Q2789" s="933"/>
      <c r="T2789" s="1101"/>
      <c r="U2789" s="1102"/>
      <c r="V2789" s="936"/>
      <c r="W2789" s="1103"/>
      <c r="X2789" s="1104"/>
      <c r="Y2789" s="1105"/>
      <c r="Z2789" s="1103"/>
      <c r="AC2789" s="1106"/>
      <c r="AD2789" s="1107"/>
      <c r="AE2789" s="1104"/>
      <c r="AG2789" s="1109"/>
      <c r="AI2789" s="1110"/>
      <c r="AL2789" s="933"/>
      <c r="AM2789" s="933"/>
      <c r="AN2789" s="1100"/>
      <c r="AO2789" s="1100"/>
      <c r="AP2789" s="934"/>
      <c r="AQ2789" s="934"/>
      <c r="AR2789" s="934"/>
      <c r="AS2789" s="936"/>
      <c r="AT2789" s="936"/>
      <c r="AU2789" s="936"/>
      <c r="AV2789" s="937"/>
      <c r="AW2789" s="938"/>
      <c r="AX2789" s="939"/>
      <c r="AY2789" s="933"/>
      <c r="AZ2789" s="936"/>
      <c r="BA2789" s="936"/>
      <c r="BB2789" s="1112"/>
      <c r="BC2789" s="940"/>
      <c r="BD2789" s="941"/>
      <c r="BE2789" s="942"/>
      <c r="BF2789" s="943"/>
      <c r="BG2789" s="943"/>
      <c r="BH2789" s="943"/>
      <c r="BI2789" s="943"/>
      <c r="BJ2789" s="943"/>
      <c r="BK2789" s="943"/>
      <c r="BL2789" s="943"/>
      <c r="BM2789" s="943"/>
      <c r="BN2789" s="943"/>
      <c r="BO2789" s="1059"/>
      <c r="BP2789" s="1059"/>
      <c r="BQ2789" s="1059"/>
      <c r="BR2789" s="1059"/>
      <c r="BS2789" s="1059"/>
      <c r="BT2789" s="1059"/>
      <c r="BU2789" s="1059"/>
      <c r="BV2789" s="944"/>
      <c r="BW2789" s="944"/>
      <c r="BX2789" s="1147"/>
      <c r="BY2789" s="944"/>
      <c r="BZ2789" s="944"/>
      <c r="CA2789" s="944"/>
      <c r="CB2789" s="944"/>
    </row>
    <row r="2790" spans="2:80">
      <c r="B2790" s="1097"/>
      <c r="C2790" s="1097"/>
      <c r="D2790" s="1097"/>
      <c r="E2790" s="1097"/>
      <c r="F2790" s="934"/>
      <c r="G2790" s="1098"/>
      <c r="H2790" s="1099"/>
      <c r="I2790" s="1099"/>
      <c r="J2790" s="934"/>
      <c r="K2790" s="934"/>
      <c r="L2790" s="933"/>
      <c r="M2790" s="1100"/>
      <c r="N2790" s="934"/>
      <c r="O2790" s="936"/>
      <c r="P2790" s="936"/>
      <c r="Q2790" s="933"/>
      <c r="T2790" s="1101"/>
      <c r="U2790" s="1102"/>
      <c r="V2790" s="936"/>
      <c r="W2790" s="1103"/>
      <c r="X2790" s="1104"/>
      <c r="Y2790" s="1105"/>
      <c r="Z2790" s="1103"/>
      <c r="AC2790" s="1106"/>
      <c r="AD2790" s="1107"/>
      <c r="AE2790" s="1104"/>
      <c r="AG2790" s="1109"/>
      <c r="AI2790" s="1110"/>
      <c r="AL2790" s="933"/>
      <c r="AM2790" s="933"/>
      <c r="AN2790" s="1100"/>
      <c r="AO2790" s="1100"/>
      <c r="AP2790" s="934"/>
      <c r="AQ2790" s="934"/>
      <c r="AR2790" s="934"/>
      <c r="AS2790" s="936"/>
      <c r="AT2790" s="936"/>
      <c r="AU2790" s="936"/>
      <c r="AV2790" s="937"/>
      <c r="AW2790" s="938"/>
      <c r="AX2790" s="939"/>
      <c r="AY2790" s="933"/>
      <c r="AZ2790" s="936"/>
      <c r="BA2790" s="936"/>
      <c r="BB2790" s="1112"/>
      <c r="BC2790" s="940"/>
      <c r="BD2790" s="941"/>
      <c r="BE2790" s="942"/>
      <c r="BF2790" s="943"/>
      <c r="BG2790" s="943"/>
      <c r="BH2790" s="943"/>
      <c r="BI2790" s="943"/>
      <c r="BJ2790" s="943"/>
      <c r="BK2790" s="943"/>
      <c r="BL2790" s="943"/>
      <c r="BM2790" s="943"/>
      <c r="BN2790" s="943"/>
      <c r="BO2790" s="1059"/>
      <c r="BP2790" s="1059"/>
      <c r="BQ2790" s="1059"/>
      <c r="BR2790" s="1059"/>
      <c r="BS2790" s="1059"/>
      <c r="BT2790" s="1059"/>
      <c r="BU2790" s="1059"/>
      <c r="BV2790" s="944"/>
      <c r="BW2790" s="944"/>
      <c r="BX2790" s="1147"/>
      <c r="BY2790" s="944"/>
      <c r="BZ2790" s="944"/>
      <c r="CA2790" s="944"/>
      <c r="CB2790" s="944"/>
    </row>
    <row r="2791" spans="2:80">
      <c r="B2791" s="1097"/>
      <c r="C2791" s="1097"/>
      <c r="D2791" s="1097"/>
      <c r="E2791" s="1097"/>
      <c r="F2791" s="934"/>
      <c r="G2791" s="1098"/>
      <c r="H2791" s="1099"/>
      <c r="I2791" s="1099"/>
      <c r="J2791" s="934"/>
      <c r="K2791" s="934"/>
      <c r="L2791" s="933"/>
      <c r="M2791" s="1100"/>
      <c r="N2791" s="934"/>
      <c r="O2791" s="936"/>
      <c r="P2791" s="936"/>
      <c r="Q2791" s="933"/>
      <c r="T2791" s="1101"/>
      <c r="U2791" s="1102"/>
      <c r="V2791" s="936"/>
      <c r="W2791" s="1103"/>
      <c r="X2791" s="1104"/>
      <c r="Y2791" s="1105"/>
      <c r="Z2791" s="1103"/>
      <c r="AC2791" s="1106"/>
      <c r="AD2791" s="1107"/>
      <c r="AE2791" s="1104"/>
      <c r="AG2791" s="1109"/>
      <c r="AI2791" s="1110"/>
      <c r="AL2791" s="933"/>
      <c r="AM2791" s="933"/>
      <c r="AN2791" s="1100"/>
      <c r="AO2791" s="1100"/>
      <c r="AP2791" s="934"/>
      <c r="AQ2791" s="934"/>
      <c r="AR2791" s="934"/>
      <c r="AS2791" s="936"/>
      <c r="AT2791" s="936"/>
      <c r="AU2791" s="936"/>
      <c r="AV2791" s="937"/>
      <c r="AW2791" s="938"/>
      <c r="AX2791" s="939"/>
      <c r="AY2791" s="933"/>
      <c r="AZ2791" s="936"/>
      <c r="BA2791" s="936"/>
      <c r="BB2791" s="1112"/>
      <c r="BC2791" s="940"/>
      <c r="BD2791" s="941"/>
      <c r="BE2791" s="942"/>
      <c r="BF2791" s="943"/>
      <c r="BG2791" s="943"/>
      <c r="BH2791" s="943"/>
      <c r="BI2791" s="943"/>
      <c r="BJ2791" s="943"/>
      <c r="BK2791" s="943"/>
      <c r="BL2791" s="943"/>
      <c r="BM2791" s="943"/>
      <c r="BN2791" s="943"/>
      <c r="BO2791" s="1059"/>
      <c r="BP2791" s="1059"/>
      <c r="BQ2791" s="1059"/>
      <c r="BR2791" s="1059"/>
      <c r="BS2791" s="1059"/>
      <c r="BT2791" s="1059"/>
      <c r="BU2791" s="1059"/>
      <c r="BV2791" s="944"/>
      <c r="BW2791" s="944"/>
      <c r="BX2791" s="1147"/>
      <c r="BY2791" s="944"/>
      <c r="BZ2791" s="944"/>
      <c r="CA2791" s="944"/>
      <c r="CB2791" s="944"/>
    </row>
    <row r="2792" spans="2:80">
      <c r="B2792" s="1097"/>
      <c r="C2792" s="1097"/>
      <c r="D2792" s="1097"/>
      <c r="E2792" s="1097"/>
      <c r="F2792" s="934"/>
      <c r="G2792" s="1098"/>
      <c r="H2792" s="1099"/>
      <c r="I2792" s="1099"/>
      <c r="J2792" s="934"/>
      <c r="K2792" s="934"/>
      <c r="L2792" s="933"/>
      <c r="M2792" s="1100"/>
      <c r="N2792" s="934"/>
      <c r="O2792" s="936"/>
      <c r="P2792" s="936"/>
      <c r="Q2792" s="933"/>
      <c r="T2792" s="1101"/>
      <c r="U2792" s="1102"/>
      <c r="V2792" s="936"/>
      <c r="W2792" s="1103"/>
      <c r="X2792" s="1104"/>
      <c r="Y2792" s="1105"/>
      <c r="Z2792" s="1103"/>
      <c r="AC2792" s="1106"/>
      <c r="AD2792" s="1107"/>
      <c r="AE2792" s="1104"/>
      <c r="AG2792" s="1109"/>
      <c r="AI2792" s="1110"/>
      <c r="AL2792" s="933"/>
      <c r="AM2792" s="933"/>
      <c r="AN2792" s="1100"/>
      <c r="AO2792" s="1100"/>
      <c r="AP2792" s="934"/>
      <c r="AQ2792" s="934"/>
      <c r="AR2792" s="934"/>
      <c r="AS2792" s="936"/>
      <c r="AT2792" s="936"/>
      <c r="AU2792" s="936"/>
      <c r="AV2792" s="937"/>
      <c r="AW2792" s="938"/>
      <c r="AX2792" s="939"/>
      <c r="AY2792" s="933"/>
      <c r="AZ2792" s="936"/>
      <c r="BA2792" s="936"/>
      <c r="BB2792" s="1112"/>
      <c r="BC2792" s="940"/>
      <c r="BD2792" s="941"/>
      <c r="BE2792" s="942"/>
      <c r="BF2792" s="943"/>
      <c r="BG2792" s="943"/>
      <c r="BH2792" s="943"/>
      <c r="BI2792" s="943"/>
      <c r="BJ2792" s="943"/>
      <c r="BK2792" s="943"/>
      <c r="BL2792" s="943"/>
      <c r="BM2792" s="943"/>
      <c r="BN2792" s="943"/>
      <c r="BO2792" s="1059"/>
      <c r="BP2792" s="1059"/>
      <c r="BQ2792" s="1059"/>
      <c r="BR2792" s="1059"/>
      <c r="BS2792" s="1059"/>
      <c r="BT2792" s="1059"/>
      <c r="BU2792" s="1059"/>
      <c r="BV2792" s="944"/>
      <c r="BW2792" s="944"/>
      <c r="BX2792" s="1147"/>
      <c r="BY2792" s="944"/>
      <c r="BZ2792" s="944"/>
      <c r="CA2792" s="944"/>
      <c r="CB2792" s="944"/>
    </row>
    <row r="2793" spans="2:80">
      <c r="B2793" s="1097"/>
      <c r="C2793" s="1097"/>
      <c r="D2793" s="1097"/>
      <c r="E2793" s="1097"/>
      <c r="F2793" s="934"/>
      <c r="G2793" s="1098"/>
      <c r="H2793" s="1099"/>
      <c r="I2793" s="1099"/>
      <c r="J2793" s="934"/>
      <c r="K2793" s="934"/>
      <c r="L2793" s="933"/>
      <c r="M2793" s="1100"/>
      <c r="N2793" s="934"/>
      <c r="O2793" s="936"/>
      <c r="P2793" s="936"/>
      <c r="Q2793" s="933"/>
      <c r="T2793" s="1101"/>
      <c r="U2793" s="1102"/>
      <c r="V2793" s="936"/>
      <c r="W2793" s="1103"/>
      <c r="X2793" s="1104"/>
      <c r="Y2793" s="1105"/>
      <c r="Z2793" s="1103"/>
      <c r="AC2793" s="1106"/>
      <c r="AD2793" s="1107"/>
      <c r="AE2793" s="1104"/>
      <c r="AG2793" s="1109"/>
      <c r="AI2793" s="1110"/>
      <c r="AL2793" s="933"/>
      <c r="AM2793" s="933"/>
      <c r="AN2793" s="1100"/>
      <c r="AO2793" s="1100"/>
      <c r="AP2793" s="934"/>
      <c r="AQ2793" s="934"/>
      <c r="AR2793" s="934"/>
      <c r="AS2793" s="936"/>
      <c r="AT2793" s="936"/>
      <c r="AU2793" s="936"/>
      <c r="AV2793" s="937"/>
      <c r="AW2793" s="938"/>
      <c r="AX2793" s="939"/>
      <c r="AY2793" s="933"/>
      <c r="AZ2793" s="936"/>
      <c r="BA2793" s="936"/>
      <c r="BB2793" s="1112"/>
      <c r="BC2793" s="940"/>
      <c r="BD2793" s="941"/>
      <c r="BE2793" s="942"/>
      <c r="BF2793" s="943"/>
      <c r="BG2793" s="943"/>
      <c r="BH2793" s="943"/>
      <c r="BI2793" s="943"/>
      <c r="BJ2793" s="943"/>
      <c r="BK2793" s="943"/>
      <c r="BL2793" s="943"/>
      <c r="BM2793" s="943"/>
      <c r="BN2793" s="943"/>
      <c r="BO2793" s="1059"/>
      <c r="BP2793" s="1059"/>
      <c r="BQ2793" s="1059"/>
      <c r="BR2793" s="1059"/>
      <c r="BS2793" s="1059"/>
      <c r="BT2793" s="1059"/>
      <c r="BU2793" s="1059"/>
      <c r="BV2793" s="944"/>
      <c r="BW2793" s="944"/>
      <c r="BX2793" s="1147"/>
      <c r="BY2793" s="944"/>
      <c r="BZ2793" s="944"/>
      <c r="CA2793" s="944"/>
      <c r="CB2793" s="944"/>
    </row>
    <row r="2794" spans="2:80">
      <c r="B2794" s="1097"/>
      <c r="C2794" s="1097"/>
      <c r="D2794" s="1097"/>
      <c r="E2794" s="1097"/>
      <c r="F2794" s="934"/>
      <c r="G2794" s="1098"/>
      <c r="H2794" s="1099"/>
      <c r="I2794" s="1099"/>
      <c r="J2794" s="934"/>
      <c r="K2794" s="934"/>
      <c r="L2794" s="933"/>
      <c r="M2794" s="1100"/>
      <c r="N2794" s="934"/>
      <c r="O2794" s="936"/>
      <c r="P2794" s="936"/>
      <c r="Q2794" s="933"/>
      <c r="T2794" s="1101"/>
      <c r="U2794" s="1102"/>
      <c r="V2794" s="936"/>
      <c r="W2794" s="1103"/>
      <c r="X2794" s="1104"/>
      <c r="Y2794" s="1105"/>
      <c r="Z2794" s="1103"/>
      <c r="AC2794" s="1106"/>
      <c r="AD2794" s="1107"/>
      <c r="AE2794" s="1104"/>
      <c r="AG2794" s="1109"/>
      <c r="AI2794" s="1110"/>
      <c r="AL2794" s="933"/>
      <c r="AM2794" s="933"/>
      <c r="AN2794" s="1100"/>
      <c r="AO2794" s="1100"/>
      <c r="AP2794" s="934"/>
      <c r="AQ2794" s="934"/>
      <c r="AR2794" s="934"/>
      <c r="AS2794" s="936"/>
      <c r="AT2794" s="936"/>
      <c r="AU2794" s="936"/>
      <c r="AV2794" s="937"/>
      <c r="AW2794" s="938"/>
      <c r="AX2794" s="939"/>
      <c r="AY2794" s="933"/>
      <c r="AZ2794" s="936"/>
      <c r="BA2794" s="936"/>
      <c r="BB2794" s="1112"/>
      <c r="BC2794" s="940"/>
      <c r="BD2794" s="941"/>
      <c r="BE2794" s="942"/>
      <c r="BF2794" s="943"/>
      <c r="BG2794" s="943"/>
      <c r="BH2794" s="943"/>
      <c r="BI2794" s="943"/>
      <c r="BJ2794" s="943"/>
      <c r="BK2794" s="943"/>
      <c r="BL2794" s="943"/>
      <c r="BM2794" s="943"/>
      <c r="BN2794" s="943"/>
      <c r="BO2794" s="1059"/>
      <c r="BP2794" s="1059"/>
      <c r="BQ2794" s="1059"/>
      <c r="BR2794" s="1059"/>
      <c r="BS2794" s="1059"/>
      <c r="BT2794" s="1059"/>
      <c r="BU2794" s="1059"/>
      <c r="BV2794" s="944"/>
      <c r="BW2794" s="944"/>
      <c r="BX2794" s="1147"/>
      <c r="BY2794" s="944"/>
      <c r="BZ2794" s="944"/>
      <c r="CA2794" s="944"/>
      <c r="CB2794" s="944"/>
    </row>
    <row r="2795" spans="2:80">
      <c r="B2795" s="1097"/>
      <c r="C2795" s="1097"/>
      <c r="D2795" s="1097"/>
      <c r="E2795" s="1097"/>
      <c r="F2795" s="934"/>
      <c r="G2795" s="1098"/>
      <c r="H2795" s="1099"/>
      <c r="I2795" s="1099"/>
      <c r="J2795" s="934"/>
      <c r="K2795" s="934"/>
      <c r="L2795" s="933"/>
      <c r="M2795" s="1100"/>
      <c r="N2795" s="934"/>
      <c r="O2795" s="936"/>
      <c r="P2795" s="936"/>
      <c r="Q2795" s="933"/>
      <c r="T2795" s="1101"/>
      <c r="U2795" s="1102"/>
      <c r="V2795" s="936"/>
      <c r="W2795" s="1103"/>
      <c r="X2795" s="1104"/>
      <c r="Y2795" s="1105"/>
      <c r="Z2795" s="1103"/>
      <c r="AC2795" s="1106"/>
      <c r="AD2795" s="1107"/>
      <c r="AE2795" s="1104"/>
      <c r="AG2795" s="1109"/>
      <c r="AI2795" s="1110"/>
      <c r="AL2795" s="933"/>
      <c r="AM2795" s="933"/>
      <c r="AN2795" s="1100"/>
      <c r="AO2795" s="1100"/>
      <c r="AP2795" s="934"/>
      <c r="AQ2795" s="934"/>
      <c r="AR2795" s="934"/>
      <c r="AS2795" s="936"/>
      <c r="AT2795" s="936"/>
      <c r="AU2795" s="936"/>
      <c r="AV2795" s="937"/>
      <c r="AW2795" s="938"/>
      <c r="AX2795" s="939"/>
      <c r="AY2795" s="933"/>
      <c r="AZ2795" s="936"/>
      <c r="BA2795" s="936"/>
      <c r="BB2795" s="1112"/>
      <c r="BC2795" s="940"/>
      <c r="BD2795" s="941"/>
      <c r="BE2795" s="942"/>
      <c r="BF2795" s="943"/>
      <c r="BG2795" s="943"/>
      <c r="BH2795" s="943"/>
      <c r="BI2795" s="943"/>
      <c r="BJ2795" s="943"/>
      <c r="BK2795" s="943"/>
      <c r="BL2795" s="943"/>
      <c r="BM2795" s="943"/>
      <c r="BN2795" s="943"/>
      <c r="BO2795" s="1059"/>
      <c r="BP2795" s="1059"/>
      <c r="BQ2795" s="1059"/>
      <c r="BR2795" s="1059"/>
      <c r="BS2795" s="1059"/>
      <c r="BT2795" s="1059"/>
      <c r="BU2795" s="1059"/>
      <c r="BV2795" s="944"/>
      <c r="BW2795" s="944"/>
      <c r="BX2795" s="1147"/>
      <c r="BY2795" s="944"/>
      <c r="BZ2795" s="944"/>
      <c r="CA2795" s="944"/>
      <c r="CB2795" s="944"/>
    </row>
    <row r="2796" spans="2:80">
      <c r="B2796" s="1097"/>
      <c r="C2796" s="1097"/>
      <c r="D2796" s="1097"/>
      <c r="E2796" s="1097"/>
      <c r="F2796" s="934"/>
      <c r="G2796" s="1098"/>
      <c r="H2796" s="1099"/>
      <c r="I2796" s="1099"/>
      <c r="J2796" s="934"/>
      <c r="K2796" s="934"/>
      <c r="L2796" s="933"/>
      <c r="M2796" s="1100"/>
      <c r="N2796" s="934"/>
      <c r="O2796" s="936"/>
      <c r="P2796" s="936"/>
      <c r="Q2796" s="933"/>
      <c r="T2796" s="1101"/>
      <c r="U2796" s="1102"/>
      <c r="V2796" s="936"/>
      <c r="W2796" s="1103"/>
      <c r="X2796" s="1104"/>
      <c r="Y2796" s="1105"/>
      <c r="Z2796" s="1103"/>
      <c r="AC2796" s="1106"/>
      <c r="AD2796" s="1107"/>
      <c r="AE2796" s="1104"/>
      <c r="AG2796" s="1109"/>
      <c r="AI2796" s="1110"/>
      <c r="AL2796" s="933"/>
      <c r="AM2796" s="933"/>
      <c r="AN2796" s="1100"/>
      <c r="AO2796" s="1100"/>
      <c r="AP2796" s="934"/>
      <c r="AQ2796" s="934"/>
      <c r="AR2796" s="934"/>
      <c r="AS2796" s="936"/>
      <c r="AT2796" s="936"/>
      <c r="AU2796" s="936"/>
      <c r="AV2796" s="937"/>
      <c r="AW2796" s="938"/>
      <c r="AX2796" s="939"/>
      <c r="AY2796" s="933"/>
      <c r="AZ2796" s="936"/>
      <c r="BA2796" s="936"/>
      <c r="BB2796" s="1112"/>
      <c r="BC2796" s="940"/>
      <c r="BD2796" s="941"/>
      <c r="BE2796" s="942"/>
      <c r="BF2796" s="943"/>
      <c r="BG2796" s="943"/>
      <c r="BH2796" s="943"/>
      <c r="BI2796" s="943"/>
      <c r="BJ2796" s="943"/>
      <c r="BK2796" s="943"/>
      <c r="BL2796" s="943"/>
      <c r="BM2796" s="943"/>
      <c r="BN2796" s="943"/>
      <c r="BO2796" s="1059"/>
      <c r="BP2796" s="1059"/>
      <c r="BQ2796" s="1059"/>
      <c r="BR2796" s="1059"/>
      <c r="BS2796" s="1059"/>
      <c r="BT2796" s="1059"/>
      <c r="BU2796" s="1059"/>
      <c r="BV2796" s="944"/>
      <c r="BW2796" s="944"/>
      <c r="BX2796" s="1147"/>
      <c r="BY2796" s="944"/>
      <c r="BZ2796" s="944"/>
      <c r="CA2796" s="944"/>
      <c r="CB2796" s="944"/>
    </row>
    <row r="2797" spans="2:80">
      <c r="B2797" s="1097"/>
      <c r="C2797" s="1097"/>
      <c r="D2797" s="1097"/>
      <c r="E2797" s="1097"/>
      <c r="F2797" s="934"/>
      <c r="G2797" s="1098"/>
      <c r="H2797" s="1099"/>
      <c r="I2797" s="1099"/>
      <c r="J2797" s="934"/>
      <c r="K2797" s="934"/>
      <c r="L2797" s="933"/>
      <c r="M2797" s="1100"/>
      <c r="N2797" s="934"/>
      <c r="O2797" s="936"/>
      <c r="P2797" s="936"/>
      <c r="Q2797" s="933"/>
      <c r="T2797" s="1101"/>
      <c r="U2797" s="1102"/>
      <c r="V2797" s="936"/>
      <c r="W2797" s="1103"/>
      <c r="X2797" s="1104"/>
      <c r="Y2797" s="1105"/>
      <c r="Z2797" s="1103"/>
      <c r="AC2797" s="1106"/>
      <c r="AD2797" s="1107"/>
      <c r="AE2797" s="1104"/>
      <c r="AG2797" s="1109"/>
      <c r="AI2797" s="1110"/>
      <c r="AL2797" s="933"/>
      <c r="AM2797" s="933"/>
      <c r="AN2797" s="1100"/>
      <c r="AO2797" s="1100"/>
      <c r="AP2797" s="934"/>
      <c r="AQ2797" s="934"/>
      <c r="AR2797" s="934"/>
      <c r="AS2797" s="936"/>
      <c r="AT2797" s="936"/>
      <c r="AU2797" s="936"/>
      <c r="AV2797" s="937"/>
      <c r="AW2797" s="938"/>
      <c r="AX2797" s="939"/>
      <c r="AY2797" s="933"/>
      <c r="AZ2797" s="936"/>
      <c r="BA2797" s="936"/>
      <c r="BB2797" s="1112"/>
      <c r="BC2797" s="940"/>
      <c r="BD2797" s="941"/>
      <c r="BE2797" s="942"/>
      <c r="BF2797" s="943"/>
      <c r="BG2797" s="943"/>
      <c r="BH2797" s="943"/>
      <c r="BI2797" s="943"/>
      <c r="BJ2797" s="943"/>
      <c r="BK2797" s="943"/>
      <c r="BL2797" s="943"/>
      <c r="BM2797" s="943"/>
      <c r="BN2797" s="943"/>
      <c r="BO2797" s="1059"/>
      <c r="BP2797" s="1059"/>
      <c r="BQ2797" s="1059"/>
      <c r="BR2797" s="1059"/>
      <c r="BS2797" s="1059"/>
      <c r="BT2797" s="1059"/>
      <c r="BU2797" s="1059"/>
      <c r="BV2797" s="944"/>
      <c r="BW2797" s="944"/>
      <c r="BX2797" s="1147"/>
      <c r="BY2797" s="944"/>
      <c r="BZ2797" s="944"/>
      <c r="CA2797" s="944"/>
      <c r="CB2797" s="944"/>
    </row>
    <row r="2798" spans="2:80">
      <c r="B2798" s="1097"/>
      <c r="C2798" s="1097"/>
      <c r="D2798" s="1097"/>
      <c r="E2798" s="1097"/>
      <c r="F2798" s="934"/>
      <c r="G2798" s="1098"/>
      <c r="H2798" s="1099"/>
      <c r="I2798" s="1099"/>
      <c r="J2798" s="934"/>
      <c r="K2798" s="934"/>
      <c r="L2798" s="933"/>
      <c r="M2798" s="1100"/>
      <c r="N2798" s="934"/>
      <c r="O2798" s="936"/>
      <c r="P2798" s="936"/>
      <c r="Q2798" s="933"/>
      <c r="T2798" s="1101"/>
      <c r="U2798" s="1102"/>
      <c r="V2798" s="936"/>
      <c r="W2798" s="1103"/>
      <c r="X2798" s="1104"/>
      <c r="Y2798" s="1105"/>
      <c r="Z2798" s="1103"/>
      <c r="AC2798" s="1106"/>
      <c r="AD2798" s="1107"/>
      <c r="AE2798" s="1104"/>
      <c r="AG2798" s="1109"/>
      <c r="AI2798" s="1110"/>
      <c r="AL2798" s="933"/>
      <c r="AM2798" s="933"/>
      <c r="AN2798" s="1100"/>
      <c r="AO2798" s="1100"/>
      <c r="AP2798" s="934"/>
      <c r="AQ2798" s="934"/>
      <c r="AR2798" s="934"/>
      <c r="AS2798" s="936"/>
      <c r="AT2798" s="936"/>
      <c r="AU2798" s="936"/>
      <c r="AV2798" s="937"/>
      <c r="AW2798" s="938"/>
      <c r="AX2798" s="939"/>
      <c r="AY2798" s="933"/>
      <c r="AZ2798" s="936"/>
      <c r="BA2798" s="936"/>
      <c r="BB2798" s="1112"/>
      <c r="BC2798" s="940"/>
      <c r="BD2798" s="941"/>
      <c r="BE2798" s="942"/>
      <c r="BF2798" s="943"/>
      <c r="BG2798" s="943"/>
      <c r="BH2798" s="943"/>
      <c r="BI2798" s="943"/>
      <c r="BJ2798" s="943"/>
      <c r="BK2798" s="943"/>
      <c r="BL2798" s="943"/>
      <c r="BM2798" s="943"/>
      <c r="BN2798" s="943"/>
      <c r="BO2798" s="1059"/>
      <c r="BP2798" s="1059"/>
      <c r="BQ2798" s="1059"/>
      <c r="BR2798" s="1059"/>
      <c r="BS2798" s="1059"/>
      <c r="BT2798" s="1059"/>
      <c r="BU2798" s="1059"/>
      <c r="BV2798" s="944"/>
      <c r="BW2798" s="944"/>
      <c r="BX2798" s="1147"/>
      <c r="BY2798" s="944"/>
      <c r="BZ2798" s="944"/>
      <c r="CA2798" s="944"/>
      <c r="CB2798" s="944"/>
    </row>
    <row r="2799" spans="2:80">
      <c r="B2799" s="1097"/>
      <c r="C2799" s="1097"/>
      <c r="D2799" s="1097"/>
      <c r="E2799" s="1097"/>
      <c r="F2799" s="934"/>
      <c r="G2799" s="1098"/>
      <c r="H2799" s="1099"/>
      <c r="I2799" s="1099"/>
      <c r="J2799" s="934"/>
      <c r="K2799" s="934"/>
      <c r="L2799" s="933"/>
      <c r="M2799" s="1100"/>
      <c r="N2799" s="934"/>
      <c r="O2799" s="936"/>
      <c r="P2799" s="936"/>
      <c r="Q2799" s="933"/>
      <c r="T2799" s="1101"/>
      <c r="U2799" s="1102"/>
      <c r="V2799" s="936"/>
      <c r="W2799" s="1103"/>
      <c r="X2799" s="1104"/>
      <c r="Y2799" s="1105"/>
      <c r="Z2799" s="1103"/>
      <c r="AC2799" s="1106"/>
      <c r="AD2799" s="1107"/>
      <c r="AE2799" s="1104"/>
      <c r="AG2799" s="1109"/>
      <c r="AI2799" s="1110"/>
      <c r="AL2799" s="933"/>
      <c r="AM2799" s="933"/>
      <c r="AN2799" s="1100"/>
      <c r="AO2799" s="1100"/>
      <c r="AP2799" s="934"/>
      <c r="AQ2799" s="934"/>
      <c r="AR2799" s="934"/>
      <c r="AS2799" s="936"/>
      <c r="AT2799" s="936"/>
      <c r="AU2799" s="936"/>
      <c r="AV2799" s="937"/>
      <c r="AW2799" s="938"/>
      <c r="AX2799" s="939"/>
      <c r="AY2799" s="933"/>
      <c r="AZ2799" s="936"/>
      <c r="BA2799" s="936"/>
      <c r="BB2799" s="1112"/>
      <c r="BC2799" s="940"/>
      <c r="BD2799" s="941"/>
      <c r="BE2799" s="942"/>
      <c r="BF2799" s="943"/>
      <c r="BG2799" s="943"/>
      <c r="BH2799" s="943"/>
      <c r="BI2799" s="943"/>
      <c r="BJ2799" s="943"/>
      <c r="BK2799" s="943"/>
      <c r="BL2799" s="943"/>
      <c r="BM2799" s="943"/>
      <c r="BN2799" s="943"/>
      <c r="BO2799" s="1059"/>
      <c r="BP2799" s="1059"/>
      <c r="BQ2799" s="1059"/>
      <c r="BR2799" s="1059"/>
      <c r="BS2799" s="1059"/>
      <c r="BT2799" s="1059"/>
      <c r="BU2799" s="1059"/>
      <c r="BV2799" s="944"/>
      <c r="BW2799" s="944"/>
      <c r="BX2799" s="1147"/>
      <c r="BY2799" s="944"/>
      <c r="BZ2799" s="944"/>
      <c r="CA2799" s="944"/>
      <c r="CB2799" s="944"/>
    </row>
    <row r="2800" spans="2:80">
      <c r="B2800" s="1097"/>
      <c r="C2800" s="1097"/>
      <c r="D2800" s="1097"/>
      <c r="E2800" s="1097"/>
      <c r="F2800" s="934"/>
      <c r="G2800" s="1098"/>
      <c r="H2800" s="1099"/>
      <c r="I2800" s="1099"/>
      <c r="J2800" s="934"/>
      <c r="K2800" s="934"/>
      <c r="L2800" s="933"/>
      <c r="M2800" s="1100"/>
      <c r="N2800" s="934"/>
      <c r="O2800" s="936"/>
      <c r="P2800" s="936"/>
      <c r="Q2800" s="933"/>
      <c r="T2800" s="1101"/>
      <c r="U2800" s="1102"/>
      <c r="V2800" s="936"/>
      <c r="W2800" s="1103"/>
      <c r="X2800" s="1104"/>
      <c r="Y2800" s="1105"/>
      <c r="Z2800" s="1103"/>
      <c r="AC2800" s="1106"/>
      <c r="AD2800" s="1107"/>
      <c r="AE2800" s="1104"/>
      <c r="AG2800" s="1109"/>
      <c r="AI2800" s="1110"/>
      <c r="AL2800" s="933"/>
      <c r="AM2800" s="933"/>
      <c r="AN2800" s="1100"/>
      <c r="AO2800" s="1100"/>
      <c r="AP2800" s="934"/>
      <c r="AQ2800" s="934"/>
      <c r="AR2800" s="934"/>
      <c r="AS2800" s="936"/>
      <c r="AT2800" s="936"/>
      <c r="AU2800" s="936"/>
      <c r="AV2800" s="937"/>
      <c r="AW2800" s="938"/>
      <c r="AX2800" s="939"/>
      <c r="AY2800" s="933"/>
      <c r="AZ2800" s="936"/>
      <c r="BA2800" s="936"/>
      <c r="BB2800" s="1112"/>
      <c r="BC2800" s="940"/>
      <c r="BD2800" s="941"/>
      <c r="BE2800" s="942"/>
      <c r="BF2800" s="943"/>
      <c r="BG2800" s="943"/>
      <c r="BH2800" s="943"/>
      <c r="BI2800" s="943"/>
      <c r="BJ2800" s="943"/>
      <c r="BK2800" s="943"/>
      <c r="BL2800" s="943"/>
      <c r="BM2800" s="943"/>
      <c r="BN2800" s="943"/>
      <c r="BO2800" s="1059"/>
      <c r="BP2800" s="1059"/>
      <c r="BQ2800" s="1059"/>
      <c r="BR2800" s="1059"/>
      <c r="BS2800" s="1059"/>
      <c r="BT2800" s="1059"/>
      <c r="BU2800" s="1059"/>
      <c r="BV2800" s="944"/>
      <c r="BW2800" s="944"/>
      <c r="BX2800" s="1147"/>
      <c r="BY2800" s="944"/>
      <c r="BZ2800" s="944"/>
      <c r="CA2800" s="944"/>
      <c r="CB2800" s="944"/>
    </row>
    <row r="2801" spans="2:80">
      <c r="B2801" s="1097"/>
      <c r="C2801" s="1097"/>
      <c r="D2801" s="1097"/>
      <c r="E2801" s="1097"/>
      <c r="F2801" s="934"/>
      <c r="G2801" s="1098"/>
      <c r="H2801" s="1099"/>
      <c r="I2801" s="1099"/>
      <c r="J2801" s="934"/>
      <c r="K2801" s="934"/>
      <c r="L2801" s="933"/>
      <c r="M2801" s="1100"/>
      <c r="N2801" s="934"/>
      <c r="O2801" s="936"/>
      <c r="P2801" s="936"/>
      <c r="Q2801" s="933"/>
      <c r="T2801" s="1101"/>
      <c r="U2801" s="1102"/>
      <c r="V2801" s="936"/>
      <c r="W2801" s="1103"/>
      <c r="X2801" s="1104"/>
      <c r="Y2801" s="1105"/>
      <c r="Z2801" s="1103"/>
      <c r="AC2801" s="1106"/>
      <c r="AD2801" s="1107"/>
      <c r="AE2801" s="1104"/>
      <c r="AG2801" s="1109"/>
      <c r="AI2801" s="1110"/>
      <c r="AL2801" s="933"/>
      <c r="AM2801" s="933"/>
      <c r="AN2801" s="1100"/>
      <c r="AO2801" s="1100"/>
      <c r="AP2801" s="934"/>
      <c r="AQ2801" s="934"/>
      <c r="AR2801" s="934"/>
      <c r="AS2801" s="936"/>
      <c r="AT2801" s="936"/>
      <c r="AU2801" s="936"/>
      <c r="AV2801" s="937"/>
      <c r="AW2801" s="938"/>
      <c r="AX2801" s="939"/>
      <c r="AY2801" s="933"/>
      <c r="AZ2801" s="936"/>
      <c r="BA2801" s="936"/>
      <c r="BB2801" s="1112"/>
      <c r="BC2801" s="940"/>
      <c r="BD2801" s="941"/>
      <c r="BE2801" s="942"/>
      <c r="BF2801" s="943"/>
      <c r="BG2801" s="943"/>
      <c r="BH2801" s="943"/>
      <c r="BI2801" s="943"/>
      <c r="BJ2801" s="943"/>
      <c r="BK2801" s="943"/>
      <c r="BL2801" s="943"/>
      <c r="BM2801" s="943"/>
      <c r="BN2801" s="943"/>
      <c r="BO2801" s="1059"/>
      <c r="BP2801" s="1059"/>
      <c r="BQ2801" s="1059"/>
      <c r="BR2801" s="1059"/>
      <c r="BS2801" s="1059"/>
      <c r="BT2801" s="1059"/>
      <c r="BU2801" s="1059"/>
      <c r="BV2801" s="944"/>
      <c r="BW2801" s="944"/>
      <c r="BX2801" s="1147"/>
      <c r="BY2801" s="944"/>
      <c r="BZ2801" s="944"/>
      <c r="CA2801" s="944"/>
      <c r="CB2801" s="944"/>
    </row>
    <row r="2802" spans="2:80">
      <c r="B2802" s="1097"/>
      <c r="C2802" s="1097"/>
      <c r="D2802" s="1097"/>
      <c r="E2802" s="1097"/>
      <c r="F2802" s="934"/>
      <c r="G2802" s="1098"/>
      <c r="H2802" s="1099"/>
      <c r="I2802" s="1099"/>
      <c r="J2802" s="934"/>
      <c r="K2802" s="934"/>
      <c r="L2802" s="933"/>
      <c r="M2802" s="1100"/>
      <c r="N2802" s="934"/>
      <c r="O2802" s="936"/>
      <c r="P2802" s="936"/>
      <c r="Q2802" s="933"/>
      <c r="T2802" s="1101"/>
      <c r="U2802" s="1102"/>
      <c r="V2802" s="936"/>
      <c r="W2802" s="1103"/>
      <c r="X2802" s="1104"/>
      <c r="Y2802" s="1105"/>
      <c r="Z2802" s="1103"/>
      <c r="AC2802" s="1106"/>
      <c r="AD2802" s="1107"/>
      <c r="AE2802" s="1104"/>
      <c r="AG2802" s="1109"/>
      <c r="AI2802" s="1110"/>
      <c r="AL2802" s="933"/>
      <c r="AM2802" s="933"/>
      <c r="AN2802" s="1100"/>
      <c r="AO2802" s="1100"/>
      <c r="AP2802" s="934"/>
      <c r="AQ2802" s="934"/>
      <c r="AR2802" s="934"/>
      <c r="AS2802" s="936"/>
      <c r="AT2802" s="936"/>
      <c r="AU2802" s="936"/>
      <c r="AV2802" s="937"/>
      <c r="AW2802" s="938"/>
      <c r="AX2802" s="939"/>
      <c r="AY2802" s="933"/>
      <c r="AZ2802" s="936"/>
      <c r="BA2802" s="936"/>
      <c r="BB2802" s="1112"/>
      <c r="BC2802" s="940"/>
      <c r="BD2802" s="941"/>
      <c r="BE2802" s="942"/>
      <c r="BF2802" s="943"/>
      <c r="BG2802" s="943"/>
      <c r="BH2802" s="943"/>
      <c r="BI2802" s="943"/>
      <c r="BJ2802" s="943"/>
      <c r="BK2802" s="943"/>
      <c r="BL2802" s="943"/>
      <c r="BM2802" s="943"/>
      <c r="BN2802" s="943"/>
      <c r="BO2802" s="1059"/>
      <c r="BP2802" s="1059"/>
      <c r="BQ2802" s="1059"/>
      <c r="BR2802" s="1059"/>
      <c r="BS2802" s="1059"/>
      <c r="BT2802" s="1059"/>
      <c r="BU2802" s="1059"/>
      <c r="BV2802" s="944"/>
      <c r="BW2802" s="944"/>
      <c r="BX2802" s="1147"/>
      <c r="BY2802" s="944"/>
      <c r="BZ2802" s="944"/>
      <c r="CA2802" s="944"/>
      <c r="CB2802" s="944"/>
    </row>
    <row r="2803" spans="2:80">
      <c r="B2803" s="1097"/>
      <c r="C2803" s="1097"/>
      <c r="D2803" s="1097"/>
      <c r="E2803" s="1097"/>
      <c r="F2803" s="934"/>
      <c r="G2803" s="1098"/>
      <c r="H2803" s="1099"/>
      <c r="I2803" s="1099"/>
      <c r="J2803" s="934"/>
      <c r="K2803" s="934"/>
      <c r="L2803" s="933"/>
      <c r="M2803" s="1100"/>
      <c r="N2803" s="934"/>
      <c r="O2803" s="936"/>
      <c r="P2803" s="936"/>
      <c r="Q2803" s="933"/>
      <c r="T2803" s="1101"/>
      <c r="U2803" s="1102"/>
      <c r="V2803" s="936"/>
      <c r="W2803" s="1103"/>
      <c r="X2803" s="1104"/>
      <c r="Y2803" s="1105"/>
      <c r="Z2803" s="1103"/>
      <c r="AC2803" s="1106"/>
      <c r="AD2803" s="1107"/>
      <c r="AE2803" s="1104"/>
      <c r="AG2803" s="1109"/>
      <c r="AI2803" s="1110"/>
      <c r="AL2803" s="933"/>
      <c r="AM2803" s="933"/>
      <c r="AN2803" s="1100"/>
      <c r="AO2803" s="1100"/>
      <c r="AP2803" s="934"/>
      <c r="AQ2803" s="934"/>
      <c r="AR2803" s="934"/>
      <c r="AS2803" s="936"/>
      <c r="AT2803" s="936"/>
      <c r="AU2803" s="936"/>
      <c r="AV2803" s="937"/>
      <c r="AW2803" s="938"/>
      <c r="AX2803" s="939"/>
      <c r="AY2803" s="933"/>
      <c r="AZ2803" s="936"/>
      <c r="BA2803" s="936"/>
      <c r="BB2803" s="1112"/>
      <c r="BC2803" s="940"/>
      <c r="BD2803" s="941"/>
      <c r="BE2803" s="942"/>
      <c r="BF2803" s="943"/>
      <c r="BG2803" s="943"/>
      <c r="BH2803" s="943"/>
      <c r="BI2803" s="943"/>
      <c r="BJ2803" s="943"/>
      <c r="BK2803" s="943"/>
      <c r="BL2803" s="943"/>
      <c r="BM2803" s="943"/>
      <c r="BN2803" s="943"/>
      <c r="BO2803" s="1059"/>
      <c r="BP2803" s="1059"/>
      <c r="BQ2803" s="1059"/>
      <c r="BR2803" s="1059"/>
      <c r="BS2803" s="1059"/>
      <c r="BT2803" s="1059"/>
      <c r="BU2803" s="1059"/>
      <c r="BV2803" s="944"/>
      <c r="BW2803" s="944"/>
      <c r="BX2803" s="1147"/>
      <c r="BY2803" s="944"/>
      <c r="BZ2803" s="944"/>
      <c r="CA2803" s="944"/>
      <c r="CB2803" s="944"/>
    </row>
    <row r="2804" spans="2:80">
      <c r="B2804" s="1097"/>
      <c r="C2804" s="1097"/>
      <c r="D2804" s="1097"/>
      <c r="E2804" s="1097"/>
      <c r="F2804" s="934"/>
      <c r="G2804" s="1098"/>
      <c r="H2804" s="1099"/>
      <c r="I2804" s="1099"/>
      <c r="J2804" s="934"/>
      <c r="K2804" s="934"/>
      <c r="L2804" s="933"/>
      <c r="M2804" s="1100"/>
      <c r="N2804" s="934"/>
      <c r="O2804" s="936"/>
      <c r="P2804" s="936"/>
      <c r="Q2804" s="933"/>
      <c r="T2804" s="1101"/>
      <c r="U2804" s="1102"/>
      <c r="V2804" s="936"/>
      <c r="W2804" s="1103"/>
      <c r="X2804" s="1104"/>
      <c r="Y2804" s="1105"/>
      <c r="Z2804" s="1103"/>
      <c r="AC2804" s="1106"/>
      <c r="AD2804" s="1107"/>
      <c r="AE2804" s="1104"/>
      <c r="AG2804" s="1109"/>
      <c r="AI2804" s="1110"/>
      <c r="AL2804" s="933"/>
      <c r="AM2804" s="933"/>
      <c r="AN2804" s="1100"/>
      <c r="AO2804" s="1100"/>
      <c r="AP2804" s="934"/>
      <c r="AQ2804" s="934"/>
      <c r="AR2804" s="934"/>
      <c r="AS2804" s="936"/>
      <c r="AT2804" s="936"/>
      <c r="AU2804" s="936"/>
      <c r="AV2804" s="937"/>
      <c r="AW2804" s="938"/>
      <c r="AX2804" s="939"/>
      <c r="AY2804" s="933"/>
      <c r="AZ2804" s="936"/>
      <c r="BA2804" s="936"/>
      <c r="BB2804" s="1112"/>
      <c r="BC2804" s="940"/>
      <c r="BD2804" s="941"/>
      <c r="BE2804" s="942"/>
      <c r="BF2804" s="943"/>
      <c r="BG2804" s="943"/>
      <c r="BH2804" s="943"/>
      <c r="BI2804" s="943"/>
      <c r="BJ2804" s="943"/>
      <c r="BK2804" s="943"/>
      <c r="BL2804" s="943"/>
      <c r="BM2804" s="943"/>
      <c r="BN2804" s="943"/>
      <c r="BO2804" s="1059"/>
      <c r="BP2804" s="1059"/>
      <c r="BQ2804" s="1059"/>
      <c r="BR2804" s="1059"/>
      <c r="BS2804" s="1059"/>
      <c r="BT2804" s="1059"/>
      <c r="BU2804" s="1059"/>
      <c r="BV2804" s="944"/>
      <c r="BW2804" s="944"/>
      <c r="BX2804" s="1147"/>
      <c r="BY2804" s="944"/>
      <c r="BZ2804" s="944"/>
      <c r="CA2804" s="944"/>
      <c r="CB2804" s="944"/>
    </row>
    <row r="2805" spans="2:80">
      <c r="B2805" s="1097"/>
      <c r="C2805" s="1097"/>
      <c r="D2805" s="1097"/>
      <c r="E2805" s="1097"/>
      <c r="F2805" s="934"/>
      <c r="G2805" s="1098"/>
      <c r="H2805" s="1099"/>
      <c r="I2805" s="1099"/>
      <c r="J2805" s="934"/>
      <c r="K2805" s="934"/>
      <c r="L2805" s="933"/>
      <c r="M2805" s="1100"/>
      <c r="N2805" s="934"/>
      <c r="O2805" s="936"/>
      <c r="P2805" s="936"/>
      <c r="Q2805" s="933"/>
      <c r="T2805" s="1101"/>
      <c r="U2805" s="1102"/>
      <c r="V2805" s="936"/>
      <c r="W2805" s="1103"/>
      <c r="X2805" s="1104"/>
      <c r="Y2805" s="1105"/>
      <c r="Z2805" s="1103"/>
      <c r="AC2805" s="1106"/>
      <c r="AD2805" s="1107"/>
      <c r="AE2805" s="1104"/>
      <c r="AG2805" s="1109"/>
      <c r="AI2805" s="1110"/>
      <c r="AL2805" s="933"/>
      <c r="AM2805" s="933"/>
      <c r="AN2805" s="1100"/>
      <c r="AO2805" s="1100"/>
      <c r="AP2805" s="934"/>
      <c r="AQ2805" s="934"/>
      <c r="AR2805" s="934"/>
      <c r="AS2805" s="936"/>
      <c r="AT2805" s="936"/>
      <c r="AU2805" s="936"/>
      <c r="AV2805" s="937"/>
      <c r="AW2805" s="938"/>
      <c r="AX2805" s="939"/>
      <c r="AY2805" s="933"/>
      <c r="AZ2805" s="936"/>
      <c r="BA2805" s="936"/>
      <c r="BB2805" s="1112"/>
      <c r="BC2805" s="940"/>
      <c r="BD2805" s="941"/>
      <c r="BE2805" s="942"/>
      <c r="BF2805" s="943"/>
      <c r="BG2805" s="943"/>
      <c r="BH2805" s="943"/>
      <c r="BI2805" s="943"/>
      <c r="BJ2805" s="943"/>
      <c r="BK2805" s="943"/>
      <c r="BL2805" s="943"/>
      <c r="BM2805" s="943"/>
      <c r="BN2805" s="943"/>
      <c r="BO2805" s="1059"/>
      <c r="BP2805" s="1059"/>
      <c r="BQ2805" s="1059"/>
      <c r="BR2805" s="1059"/>
      <c r="BS2805" s="1059"/>
      <c r="BT2805" s="1059"/>
      <c r="BU2805" s="1059"/>
      <c r="BV2805" s="944"/>
      <c r="BW2805" s="944"/>
      <c r="BX2805" s="1147"/>
      <c r="BY2805" s="944"/>
      <c r="BZ2805" s="944"/>
      <c r="CA2805" s="944"/>
      <c r="CB2805" s="944"/>
    </row>
    <row r="2806" spans="2:80">
      <c r="B2806" s="1097"/>
      <c r="C2806" s="1097"/>
      <c r="D2806" s="1097"/>
      <c r="E2806" s="1097"/>
      <c r="F2806" s="934"/>
      <c r="G2806" s="1098"/>
      <c r="H2806" s="1099"/>
      <c r="I2806" s="1099"/>
      <c r="J2806" s="934"/>
      <c r="K2806" s="934"/>
      <c r="L2806" s="933"/>
      <c r="M2806" s="1100"/>
      <c r="N2806" s="934"/>
      <c r="O2806" s="936"/>
      <c r="P2806" s="936"/>
      <c r="Q2806" s="933"/>
      <c r="T2806" s="1101"/>
      <c r="U2806" s="1102"/>
      <c r="V2806" s="936"/>
      <c r="W2806" s="1103"/>
      <c r="X2806" s="1104"/>
      <c r="Y2806" s="1105"/>
      <c r="Z2806" s="1103"/>
      <c r="AC2806" s="1106"/>
      <c r="AD2806" s="1107"/>
      <c r="AE2806" s="1104"/>
      <c r="AG2806" s="1109"/>
      <c r="AI2806" s="1110"/>
      <c r="AL2806" s="933"/>
      <c r="AM2806" s="933"/>
      <c r="AN2806" s="1100"/>
      <c r="AO2806" s="1100"/>
      <c r="AP2806" s="934"/>
      <c r="AQ2806" s="934"/>
      <c r="AR2806" s="934"/>
      <c r="AS2806" s="936"/>
      <c r="AT2806" s="936"/>
      <c r="AU2806" s="936"/>
      <c r="AV2806" s="937"/>
      <c r="AW2806" s="938"/>
      <c r="AX2806" s="939"/>
      <c r="AY2806" s="933"/>
      <c r="AZ2806" s="936"/>
      <c r="BA2806" s="936"/>
      <c r="BB2806" s="1112"/>
      <c r="BC2806" s="940"/>
      <c r="BD2806" s="941"/>
      <c r="BE2806" s="942"/>
      <c r="BF2806" s="943"/>
      <c r="BG2806" s="943"/>
      <c r="BH2806" s="943"/>
      <c r="BI2806" s="943"/>
      <c r="BJ2806" s="943"/>
      <c r="BK2806" s="943"/>
      <c r="BL2806" s="943"/>
      <c r="BM2806" s="943"/>
      <c r="BN2806" s="943"/>
      <c r="BO2806" s="1059"/>
      <c r="BP2806" s="1059"/>
      <c r="BQ2806" s="1059"/>
      <c r="BR2806" s="1059"/>
      <c r="BS2806" s="1059"/>
      <c r="BT2806" s="1059"/>
      <c r="BU2806" s="1059"/>
      <c r="BV2806" s="944"/>
      <c r="BW2806" s="944"/>
      <c r="BX2806" s="1147"/>
      <c r="BY2806" s="944"/>
      <c r="BZ2806" s="944"/>
      <c r="CA2806" s="944"/>
      <c r="CB2806" s="944"/>
    </row>
    <row r="2807" spans="2:80">
      <c r="B2807" s="1097"/>
      <c r="C2807" s="1097"/>
      <c r="D2807" s="1097"/>
      <c r="E2807" s="1097"/>
      <c r="F2807" s="934"/>
      <c r="G2807" s="1098"/>
      <c r="H2807" s="1099"/>
      <c r="I2807" s="1099"/>
      <c r="J2807" s="934"/>
      <c r="K2807" s="934"/>
      <c r="L2807" s="933"/>
      <c r="M2807" s="1100"/>
      <c r="N2807" s="934"/>
      <c r="O2807" s="936"/>
      <c r="P2807" s="936"/>
      <c r="Q2807" s="933"/>
      <c r="T2807" s="1101"/>
      <c r="U2807" s="1102"/>
      <c r="V2807" s="936"/>
      <c r="W2807" s="1103"/>
      <c r="X2807" s="1104"/>
      <c r="Y2807" s="1105"/>
      <c r="Z2807" s="1103"/>
      <c r="AC2807" s="1106"/>
      <c r="AD2807" s="1107"/>
      <c r="AE2807" s="1104"/>
      <c r="AG2807" s="1109"/>
      <c r="AI2807" s="1110"/>
      <c r="AL2807" s="933"/>
      <c r="AM2807" s="933"/>
      <c r="AN2807" s="1100"/>
      <c r="AO2807" s="1100"/>
      <c r="AP2807" s="934"/>
      <c r="AQ2807" s="934"/>
      <c r="AR2807" s="934"/>
      <c r="AS2807" s="936"/>
      <c r="AT2807" s="936"/>
      <c r="AU2807" s="936"/>
      <c r="AV2807" s="937"/>
      <c r="AW2807" s="938"/>
      <c r="AX2807" s="939"/>
      <c r="AY2807" s="933"/>
      <c r="AZ2807" s="936"/>
      <c r="BA2807" s="936"/>
      <c r="BB2807" s="1112"/>
      <c r="BC2807" s="940"/>
      <c r="BD2807" s="941"/>
      <c r="BE2807" s="942"/>
      <c r="BF2807" s="943"/>
      <c r="BG2807" s="943"/>
      <c r="BH2807" s="943"/>
      <c r="BI2807" s="943"/>
      <c r="BJ2807" s="943"/>
      <c r="BK2807" s="943"/>
      <c r="BL2807" s="943"/>
      <c r="BM2807" s="943"/>
      <c r="BN2807" s="943"/>
      <c r="BO2807" s="1059"/>
      <c r="BP2807" s="1059"/>
      <c r="BQ2807" s="1059"/>
      <c r="BR2807" s="1059"/>
      <c r="BS2807" s="1059"/>
      <c r="BT2807" s="1059"/>
      <c r="BU2807" s="1059"/>
      <c r="BV2807" s="944"/>
      <c r="BW2807" s="944"/>
      <c r="BX2807" s="1147"/>
      <c r="BY2807" s="944"/>
      <c r="BZ2807" s="944"/>
      <c r="CA2807" s="944"/>
      <c r="CB2807" s="944"/>
    </row>
    <row r="2808" spans="2:80">
      <c r="B2808" s="1097"/>
      <c r="C2808" s="1097"/>
      <c r="D2808" s="1097"/>
      <c r="E2808" s="1097"/>
      <c r="F2808" s="934"/>
      <c r="G2808" s="1098"/>
      <c r="H2808" s="1099"/>
      <c r="I2808" s="1099"/>
      <c r="J2808" s="934"/>
      <c r="K2808" s="934"/>
      <c r="L2808" s="933"/>
      <c r="M2808" s="1100"/>
      <c r="N2808" s="934"/>
      <c r="O2808" s="936"/>
      <c r="P2808" s="936"/>
      <c r="Q2808" s="933"/>
      <c r="T2808" s="1101"/>
      <c r="U2808" s="1102"/>
      <c r="V2808" s="936"/>
      <c r="W2808" s="1103"/>
      <c r="X2808" s="1104"/>
      <c r="Y2808" s="1105"/>
      <c r="Z2808" s="1103"/>
      <c r="AC2808" s="1106"/>
      <c r="AD2808" s="1107"/>
      <c r="AE2808" s="1104"/>
      <c r="AG2808" s="1109"/>
      <c r="AI2808" s="1110"/>
      <c r="AL2808" s="933"/>
      <c r="AM2808" s="933"/>
      <c r="AN2808" s="1100"/>
      <c r="AO2808" s="1100"/>
      <c r="AP2808" s="934"/>
      <c r="AQ2808" s="934"/>
      <c r="AR2808" s="934"/>
      <c r="AS2808" s="936"/>
      <c r="AT2808" s="936"/>
      <c r="AU2808" s="936"/>
      <c r="AV2808" s="937"/>
      <c r="AW2808" s="938"/>
      <c r="AX2808" s="939"/>
      <c r="AY2808" s="933"/>
      <c r="AZ2808" s="936"/>
      <c r="BA2808" s="936"/>
      <c r="BB2808" s="1112"/>
      <c r="BC2808" s="940"/>
      <c r="BD2808" s="941"/>
      <c r="BE2808" s="942"/>
      <c r="BF2808" s="943"/>
      <c r="BG2808" s="943"/>
      <c r="BH2808" s="943"/>
      <c r="BI2808" s="943"/>
      <c r="BJ2808" s="943"/>
      <c r="BK2808" s="943"/>
      <c r="BL2808" s="943"/>
      <c r="BM2808" s="943"/>
      <c r="BN2808" s="943"/>
      <c r="BO2808" s="1059"/>
      <c r="BP2808" s="1059"/>
      <c r="BQ2808" s="1059"/>
      <c r="BR2808" s="1059"/>
      <c r="BS2808" s="1059"/>
      <c r="BT2808" s="1059"/>
      <c r="BU2808" s="1059"/>
      <c r="BV2808" s="944"/>
      <c r="BW2808" s="944"/>
      <c r="BX2808" s="1147"/>
      <c r="BY2808" s="944"/>
      <c r="BZ2808" s="944"/>
      <c r="CA2808" s="944"/>
      <c r="CB2808" s="944"/>
    </row>
    <row r="2809" spans="2:80">
      <c r="B2809" s="1097"/>
      <c r="C2809" s="1097"/>
      <c r="D2809" s="1097"/>
      <c r="E2809" s="1097"/>
      <c r="F2809" s="934"/>
      <c r="G2809" s="1098"/>
      <c r="H2809" s="1099"/>
      <c r="I2809" s="1099"/>
      <c r="J2809" s="934"/>
      <c r="K2809" s="934"/>
      <c r="L2809" s="933"/>
      <c r="M2809" s="1100"/>
      <c r="N2809" s="934"/>
      <c r="O2809" s="936"/>
      <c r="P2809" s="936"/>
      <c r="Q2809" s="933"/>
      <c r="T2809" s="1101"/>
      <c r="U2809" s="1102"/>
      <c r="V2809" s="936"/>
      <c r="W2809" s="1103"/>
      <c r="X2809" s="1104"/>
      <c r="Y2809" s="1105"/>
      <c r="Z2809" s="1103"/>
      <c r="AC2809" s="1106"/>
      <c r="AD2809" s="1107"/>
      <c r="AE2809" s="1104"/>
      <c r="AG2809" s="1109"/>
      <c r="AI2809" s="1110"/>
      <c r="AL2809" s="933"/>
      <c r="AM2809" s="933"/>
      <c r="AN2809" s="1100"/>
      <c r="AO2809" s="1100"/>
      <c r="AP2809" s="934"/>
      <c r="AQ2809" s="934"/>
      <c r="AR2809" s="934"/>
      <c r="AS2809" s="936"/>
      <c r="AT2809" s="936"/>
      <c r="AU2809" s="936"/>
      <c r="AV2809" s="937"/>
      <c r="AW2809" s="938"/>
      <c r="AX2809" s="939"/>
      <c r="AY2809" s="933"/>
      <c r="AZ2809" s="936"/>
      <c r="BA2809" s="936"/>
      <c r="BB2809" s="1112"/>
      <c r="BC2809" s="940"/>
      <c r="BD2809" s="941"/>
      <c r="BE2809" s="942"/>
      <c r="BF2809" s="943"/>
      <c r="BG2809" s="943"/>
      <c r="BH2809" s="943"/>
      <c r="BI2809" s="943"/>
      <c r="BJ2809" s="943"/>
      <c r="BK2809" s="943"/>
      <c r="BL2809" s="943"/>
      <c r="BM2809" s="943"/>
      <c r="BN2809" s="943"/>
      <c r="BO2809" s="1059"/>
      <c r="BP2809" s="1059"/>
      <c r="BQ2809" s="1059"/>
      <c r="BR2809" s="1059"/>
      <c r="BS2809" s="1059"/>
      <c r="BT2809" s="1059"/>
      <c r="BU2809" s="1059"/>
      <c r="BV2809" s="944"/>
      <c r="BW2809" s="944"/>
      <c r="BX2809" s="1147"/>
      <c r="BY2809" s="944"/>
      <c r="BZ2809" s="944"/>
      <c r="CA2809" s="944"/>
      <c r="CB2809" s="944"/>
    </row>
    <row r="2810" spans="2:80">
      <c r="B2810" s="1097"/>
      <c r="C2810" s="1097"/>
      <c r="D2810" s="1097"/>
      <c r="E2810" s="1097"/>
      <c r="F2810" s="934"/>
      <c r="G2810" s="1098"/>
      <c r="H2810" s="1099"/>
      <c r="I2810" s="1099"/>
      <c r="J2810" s="934"/>
      <c r="K2810" s="934"/>
      <c r="L2810" s="933"/>
      <c r="M2810" s="1100"/>
      <c r="N2810" s="934"/>
      <c r="O2810" s="936"/>
      <c r="P2810" s="936"/>
      <c r="Q2810" s="933"/>
      <c r="T2810" s="1101"/>
      <c r="U2810" s="1102"/>
      <c r="V2810" s="936"/>
      <c r="W2810" s="1103"/>
      <c r="X2810" s="1104"/>
      <c r="Y2810" s="1105"/>
      <c r="Z2810" s="1103"/>
      <c r="AC2810" s="1106"/>
      <c r="AD2810" s="1107"/>
      <c r="AE2810" s="1104"/>
      <c r="AG2810" s="1109"/>
      <c r="AI2810" s="1110"/>
      <c r="AL2810" s="933"/>
      <c r="AM2810" s="933"/>
      <c r="AN2810" s="1100"/>
      <c r="AO2810" s="1100"/>
      <c r="AP2810" s="934"/>
      <c r="AQ2810" s="934"/>
      <c r="AR2810" s="934"/>
      <c r="AS2810" s="936"/>
      <c r="AT2810" s="936"/>
      <c r="AU2810" s="936"/>
      <c r="AV2810" s="937"/>
      <c r="AW2810" s="938"/>
      <c r="AX2810" s="939"/>
      <c r="AY2810" s="933"/>
      <c r="AZ2810" s="936"/>
      <c r="BA2810" s="936"/>
      <c r="BB2810" s="1112"/>
      <c r="BC2810" s="940"/>
      <c r="BD2810" s="941"/>
      <c r="BE2810" s="942"/>
      <c r="BF2810" s="943"/>
      <c r="BG2810" s="943"/>
      <c r="BH2810" s="943"/>
      <c r="BI2810" s="943"/>
      <c r="BJ2810" s="943"/>
      <c r="BK2810" s="943"/>
      <c r="BL2810" s="943"/>
      <c r="BM2810" s="943"/>
      <c r="BN2810" s="943"/>
      <c r="BO2810" s="1059"/>
      <c r="BP2810" s="1059"/>
      <c r="BQ2810" s="1059"/>
      <c r="BR2810" s="1059"/>
      <c r="BS2810" s="1059"/>
      <c r="BT2810" s="1059"/>
      <c r="BU2810" s="1059"/>
      <c r="BV2810" s="944"/>
      <c r="BW2810" s="944"/>
      <c r="BX2810" s="1147"/>
      <c r="BY2810" s="944"/>
      <c r="BZ2810" s="944"/>
      <c r="CA2810" s="944"/>
      <c r="CB2810" s="944"/>
    </row>
    <row r="2811" spans="2:80">
      <c r="B2811" s="1097"/>
      <c r="C2811" s="1097"/>
      <c r="D2811" s="1097"/>
      <c r="E2811" s="1097"/>
      <c r="F2811" s="934"/>
      <c r="G2811" s="1098"/>
      <c r="H2811" s="1099"/>
      <c r="I2811" s="1099"/>
      <c r="J2811" s="934"/>
      <c r="K2811" s="934"/>
      <c r="L2811" s="933"/>
      <c r="M2811" s="1100"/>
      <c r="N2811" s="934"/>
      <c r="O2811" s="936"/>
      <c r="P2811" s="936"/>
      <c r="Q2811" s="933"/>
      <c r="T2811" s="1101"/>
      <c r="U2811" s="1102"/>
      <c r="V2811" s="936"/>
      <c r="W2811" s="1103"/>
      <c r="X2811" s="1104"/>
      <c r="Y2811" s="1105"/>
      <c r="Z2811" s="1103"/>
      <c r="AC2811" s="1106"/>
      <c r="AD2811" s="1107"/>
      <c r="AE2811" s="1104"/>
      <c r="AG2811" s="1109"/>
      <c r="AI2811" s="1110"/>
      <c r="AL2811" s="933"/>
      <c r="AM2811" s="933"/>
      <c r="AN2811" s="1100"/>
      <c r="AO2811" s="1100"/>
      <c r="AP2811" s="934"/>
      <c r="AQ2811" s="934"/>
      <c r="AR2811" s="934"/>
      <c r="AS2811" s="936"/>
      <c r="AT2811" s="936"/>
      <c r="AU2811" s="936"/>
      <c r="AV2811" s="937"/>
      <c r="AW2811" s="938"/>
      <c r="AX2811" s="939"/>
      <c r="AY2811" s="933"/>
      <c r="AZ2811" s="936"/>
      <c r="BA2811" s="936"/>
      <c r="BB2811" s="1112"/>
      <c r="BC2811" s="940"/>
      <c r="BD2811" s="941"/>
      <c r="BE2811" s="942"/>
      <c r="BF2811" s="943"/>
      <c r="BG2811" s="943"/>
      <c r="BH2811" s="943"/>
      <c r="BI2811" s="943"/>
      <c r="BJ2811" s="943"/>
      <c r="BK2811" s="943"/>
      <c r="BL2811" s="943"/>
      <c r="BM2811" s="943"/>
      <c r="BN2811" s="943"/>
      <c r="BO2811" s="1059"/>
      <c r="BP2811" s="1059"/>
      <c r="BQ2811" s="1059"/>
      <c r="BR2811" s="1059"/>
      <c r="BS2811" s="1059"/>
      <c r="BT2811" s="1059"/>
      <c r="BU2811" s="1059"/>
      <c r="BV2811" s="944"/>
      <c r="BW2811" s="944"/>
      <c r="BX2811" s="1147"/>
      <c r="BY2811" s="944"/>
      <c r="BZ2811" s="944"/>
      <c r="CA2811" s="944"/>
      <c r="CB2811" s="944"/>
    </row>
    <row r="2812" spans="2:80">
      <c r="B2812" s="1097"/>
      <c r="C2812" s="1097"/>
      <c r="D2812" s="1097"/>
      <c r="E2812" s="1097"/>
      <c r="F2812" s="934"/>
      <c r="G2812" s="1098"/>
      <c r="H2812" s="1099"/>
      <c r="I2812" s="1099"/>
      <c r="J2812" s="934"/>
      <c r="K2812" s="934"/>
      <c r="L2812" s="933"/>
      <c r="M2812" s="1100"/>
      <c r="N2812" s="934"/>
      <c r="O2812" s="936"/>
      <c r="P2812" s="936"/>
      <c r="Q2812" s="933"/>
      <c r="T2812" s="1101"/>
      <c r="U2812" s="1102"/>
      <c r="V2812" s="936"/>
      <c r="W2812" s="1103"/>
      <c r="X2812" s="1104"/>
      <c r="Y2812" s="1105"/>
      <c r="Z2812" s="1103"/>
      <c r="AC2812" s="1106"/>
      <c r="AD2812" s="1107"/>
      <c r="AE2812" s="1104"/>
      <c r="AG2812" s="1109"/>
      <c r="AI2812" s="1110"/>
      <c r="AL2812" s="933"/>
      <c r="AM2812" s="933"/>
      <c r="AN2812" s="1100"/>
      <c r="AO2812" s="1100"/>
      <c r="AP2812" s="934"/>
      <c r="AQ2812" s="934"/>
      <c r="AR2812" s="934"/>
      <c r="AS2812" s="936"/>
      <c r="AT2812" s="936"/>
      <c r="AU2812" s="936"/>
      <c r="AV2812" s="937"/>
      <c r="AW2812" s="938"/>
      <c r="AX2812" s="939"/>
      <c r="AY2812" s="933"/>
      <c r="AZ2812" s="936"/>
      <c r="BA2812" s="936"/>
      <c r="BB2812" s="1112"/>
      <c r="BC2812" s="940"/>
      <c r="BD2812" s="941"/>
      <c r="BE2812" s="942"/>
      <c r="BF2812" s="943"/>
      <c r="BG2812" s="943"/>
      <c r="BH2812" s="943"/>
      <c r="BI2812" s="943"/>
      <c r="BJ2812" s="943"/>
      <c r="BK2812" s="943"/>
      <c r="BL2812" s="943"/>
      <c r="BM2812" s="943"/>
      <c r="BN2812" s="943"/>
      <c r="BO2812" s="1059"/>
      <c r="BP2812" s="1059"/>
      <c r="BQ2812" s="1059"/>
      <c r="BR2812" s="1059"/>
      <c r="BS2812" s="1059"/>
      <c r="BT2812" s="1059"/>
      <c r="BU2812" s="1059"/>
      <c r="BV2812" s="944"/>
      <c r="BW2812" s="944"/>
      <c r="BX2812" s="1147"/>
      <c r="BY2812" s="944"/>
      <c r="BZ2812" s="944"/>
      <c r="CA2812" s="944"/>
      <c r="CB2812" s="944"/>
    </row>
    <row r="2813" spans="2:80">
      <c r="B2813" s="1097"/>
      <c r="C2813" s="1097"/>
      <c r="D2813" s="1097"/>
      <c r="E2813" s="1097"/>
      <c r="F2813" s="934"/>
      <c r="G2813" s="1098"/>
      <c r="H2813" s="1099"/>
      <c r="I2813" s="1099"/>
      <c r="J2813" s="934"/>
      <c r="K2813" s="934"/>
      <c r="L2813" s="933"/>
      <c r="M2813" s="1100"/>
      <c r="N2813" s="934"/>
      <c r="O2813" s="936"/>
      <c r="P2813" s="936"/>
      <c r="Q2813" s="933"/>
      <c r="T2813" s="1101"/>
      <c r="U2813" s="1102"/>
      <c r="V2813" s="936"/>
      <c r="W2813" s="1103"/>
      <c r="X2813" s="1104"/>
      <c r="Y2813" s="1105"/>
      <c r="Z2813" s="1103"/>
      <c r="AC2813" s="1106"/>
      <c r="AD2813" s="1107"/>
      <c r="AE2813" s="1104"/>
      <c r="AG2813" s="1109"/>
      <c r="AI2813" s="1110"/>
      <c r="AL2813" s="933"/>
      <c r="AM2813" s="933"/>
      <c r="AN2813" s="1100"/>
      <c r="AO2813" s="1100"/>
      <c r="AP2813" s="934"/>
      <c r="AQ2813" s="934"/>
      <c r="AR2813" s="934"/>
      <c r="AS2813" s="936"/>
      <c r="AT2813" s="936"/>
      <c r="AU2813" s="936"/>
      <c r="AV2813" s="937"/>
      <c r="AW2813" s="938"/>
      <c r="AX2813" s="939"/>
      <c r="AY2813" s="933"/>
      <c r="AZ2813" s="936"/>
      <c r="BA2813" s="936"/>
      <c r="BB2813" s="1112"/>
      <c r="BC2813" s="940"/>
      <c r="BD2813" s="941"/>
      <c r="BE2813" s="942"/>
      <c r="BF2813" s="943"/>
      <c r="BG2813" s="943"/>
      <c r="BH2813" s="943"/>
      <c r="BI2813" s="943"/>
      <c r="BJ2813" s="943"/>
      <c r="BK2813" s="943"/>
      <c r="BL2813" s="943"/>
      <c r="BM2813" s="943"/>
      <c r="BN2813" s="943"/>
      <c r="BO2813" s="1059"/>
      <c r="BP2813" s="1059"/>
      <c r="BQ2813" s="1059"/>
      <c r="BR2813" s="1059"/>
      <c r="BS2813" s="1059"/>
      <c r="BT2813" s="1059"/>
      <c r="BU2813" s="1059"/>
      <c r="BV2813" s="944"/>
      <c r="BW2813" s="944"/>
      <c r="BX2813" s="1147"/>
      <c r="BY2813" s="944"/>
      <c r="BZ2813" s="944"/>
      <c r="CA2813" s="944"/>
      <c r="CB2813" s="944"/>
    </row>
    <row r="2814" spans="2:80">
      <c r="B2814" s="1097"/>
      <c r="C2814" s="1097"/>
      <c r="D2814" s="1097"/>
      <c r="E2814" s="1097"/>
      <c r="F2814" s="934"/>
      <c r="G2814" s="1098"/>
      <c r="H2814" s="1099"/>
      <c r="I2814" s="1099"/>
      <c r="J2814" s="934"/>
      <c r="K2814" s="934"/>
      <c r="L2814" s="933"/>
      <c r="M2814" s="1100"/>
      <c r="N2814" s="934"/>
      <c r="O2814" s="936"/>
      <c r="P2814" s="936"/>
      <c r="Q2814" s="933"/>
      <c r="T2814" s="1101"/>
      <c r="U2814" s="1102"/>
      <c r="V2814" s="936"/>
      <c r="W2814" s="1103"/>
      <c r="X2814" s="1104"/>
      <c r="Y2814" s="1105"/>
      <c r="Z2814" s="1103"/>
      <c r="AC2814" s="1106"/>
      <c r="AD2814" s="1107"/>
      <c r="AE2814" s="1104"/>
      <c r="AG2814" s="1109"/>
      <c r="AI2814" s="1110"/>
      <c r="AL2814" s="933"/>
      <c r="AM2814" s="933"/>
      <c r="AN2814" s="1100"/>
      <c r="AO2814" s="1100"/>
      <c r="AP2814" s="934"/>
      <c r="AQ2814" s="934"/>
      <c r="AR2814" s="934"/>
      <c r="AS2814" s="936"/>
      <c r="AT2814" s="936"/>
      <c r="AU2814" s="936"/>
      <c r="AV2814" s="937"/>
      <c r="AW2814" s="938"/>
      <c r="AX2814" s="939"/>
      <c r="AY2814" s="933"/>
      <c r="AZ2814" s="936"/>
      <c r="BA2814" s="936"/>
      <c r="BB2814" s="1112"/>
      <c r="BC2814" s="940"/>
      <c r="BD2814" s="941"/>
      <c r="BE2814" s="942"/>
      <c r="BF2814" s="943"/>
      <c r="BG2814" s="943"/>
      <c r="BH2814" s="943"/>
      <c r="BI2814" s="943"/>
      <c r="BJ2814" s="943"/>
      <c r="BK2814" s="943"/>
      <c r="BL2814" s="943"/>
      <c r="BM2814" s="943"/>
      <c r="BN2814" s="943"/>
      <c r="BO2814" s="1059"/>
      <c r="BP2814" s="1059"/>
      <c r="BQ2814" s="1059"/>
      <c r="BR2814" s="1059"/>
      <c r="BS2814" s="1059"/>
      <c r="BT2814" s="1059"/>
      <c r="BU2814" s="1059"/>
      <c r="BV2814" s="944"/>
      <c r="BW2814" s="944"/>
      <c r="BX2814" s="1147"/>
      <c r="BY2814" s="944"/>
      <c r="BZ2814" s="944"/>
      <c r="CA2814" s="944"/>
      <c r="CB2814" s="944"/>
    </row>
    <row r="2815" spans="2:80">
      <c r="B2815" s="1097"/>
      <c r="C2815" s="1097"/>
      <c r="D2815" s="1097"/>
      <c r="E2815" s="1097"/>
      <c r="F2815" s="934"/>
      <c r="G2815" s="1098"/>
      <c r="H2815" s="1099"/>
      <c r="I2815" s="1099"/>
      <c r="J2815" s="934"/>
      <c r="K2815" s="934"/>
      <c r="L2815" s="933"/>
      <c r="M2815" s="1100"/>
      <c r="N2815" s="934"/>
      <c r="O2815" s="936"/>
      <c r="P2815" s="936"/>
      <c r="Q2815" s="933"/>
      <c r="T2815" s="1101"/>
      <c r="U2815" s="1102"/>
      <c r="V2815" s="936"/>
      <c r="W2815" s="1103"/>
      <c r="X2815" s="1104"/>
      <c r="Y2815" s="1105"/>
      <c r="Z2815" s="1103"/>
      <c r="AC2815" s="1106"/>
      <c r="AD2815" s="1107"/>
      <c r="AE2815" s="1104"/>
      <c r="AG2815" s="1109"/>
      <c r="AI2815" s="1110"/>
      <c r="AL2815" s="933"/>
      <c r="AM2815" s="933"/>
      <c r="AN2815" s="1100"/>
      <c r="AO2815" s="1100"/>
      <c r="AP2815" s="934"/>
      <c r="AQ2815" s="934"/>
      <c r="AR2815" s="934"/>
      <c r="AS2815" s="936"/>
      <c r="AT2815" s="936"/>
      <c r="AU2815" s="936"/>
      <c r="AV2815" s="937"/>
      <c r="AW2815" s="938"/>
      <c r="AX2815" s="939"/>
      <c r="AY2815" s="933"/>
      <c r="AZ2815" s="936"/>
      <c r="BA2815" s="936"/>
      <c r="BB2815" s="1112"/>
      <c r="BC2815" s="940"/>
      <c r="BD2815" s="941"/>
      <c r="BE2815" s="942"/>
      <c r="BF2815" s="943"/>
      <c r="BG2815" s="943"/>
      <c r="BH2815" s="943"/>
      <c r="BI2815" s="943"/>
      <c r="BJ2815" s="943"/>
      <c r="BK2815" s="943"/>
      <c r="BL2815" s="943"/>
      <c r="BM2815" s="943"/>
      <c r="BN2815" s="943"/>
      <c r="BO2815" s="1059"/>
      <c r="BP2815" s="1059"/>
      <c r="BQ2815" s="1059"/>
      <c r="BR2815" s="1059"/>
      <c r="BS2815" s="1059"/>
      <c r="BT2815" s="1059"/>
      <c r="BU2815" s="1059"/>
      <c r="BV2815" s="944"/>
      <c r="BW2815" s="944"/>
      <c r="BX2815" s="1147"/>
      <c r="BY2815" s="944"/>
      <c r="BZ2815" s="944"/>
      <c r="CA2815" s="944"/>
      <c r="CB2815" s="944"/>
    </row>
    <row r="2816" spans="2:80">
      <c r="B2816" s="1097"/>
      <c r="C2816" s="1097"/>
      <c r="D2816" s="1097"/>
      <c r="E2816" s="1097"/>
      <c r="F2816" s="934"/>
      <c r="G2816" s="1098"/>
      <c r="H2816" s="1099"/>
      <c r="I2816" s="1099"/>
      <c r="J2816" s="934"/>
      <c r="K2816" s="934"/>
      <c r="L2816" s="933"/>
      <c r="M2816" s="1100"/>
      <c r="N2816" s="934"/>
      <c r="O2816" s="936"/>
      <c r="P2816" s="936"/>
      <c r="Q2816" s="933"/>
      <c r="T2816" s="1101"/>
      <c r="U2816" s="1102"/>
      <c r="V2816" s="936"/>
      <c r="W2816" s="1103"/>
      <c r="X2816" s="1104"/>
      <c r="Y2816" s="1105"/>
      <c r="Z2816" s="1103"/>
      <c r="AC2816" s="1106"/>
      <c r="AD2816" s="1107"/>
      <c r="AE2816" s="1104"/>
      <c r="AG2816" s="1109"/>
      <c r="AI2816" s="1110"/>
      <c r="AL2816" s="933"/>
      <c r="AM2816" s="933"/>
      <c r="AN2816" s="1100"/>
      <c r="AO2816" s="1100"/>
      <c r="AP2816" s="934"/>
      <c r="AQ2816" s="934"/>
      <c r="AR2816" s="934"/>
      <c r="AS2816" s="936"/>
      <c r="AT2816" s="936"/>
      <c r="AU2816" s="936"/>
      <c r="AV2816" s="937"/>
      <c r="AW2816" s="938"/>
      <c r="AX2816" s="939"/>
      <c r="AY2816" s="933"/>
      <c r="AZ2816" s="936"/>
      <c r="BA2816" s="936"/>
      <c r="BB2816" s="1112"/>
      <c r="BC2816" s="940"/>
      <c r="BD2816" s="941"/>
      <c r="BE2816" s="942"/>
      <c r="BF2816" s="943"/>
      <c r="BG2816" s="943"/>
      <c r="BH2816" s="943"/>
      <c r="BI2816" s="943"/>
      <c r="BJ2816" s="943"/>
      <c r="BK2816" s="943"/>
      <c r="BL2816" s="943"/>
      <c r="BM2816" s="943"/>
      <c r="BN2816" s="943"/>
      <c r="BO2816" s="1059"/>
      <c r="BP2816" s="1059"/>
      <c r="BQ2816" s="1059"/>
      <c r="BR2816" s="1059"/>
      <c r="BS2816" s="1059"/>
      <c r="BT2816" s="1059"/>
      <c r="BU2816" s="1059"/>
      <c r="BV2816" s="944"/>
      <c r="BW2816" s="944"/>
      <c r="BX2816" s="1147"/>
      <c r="BY2816" s="944"/>
      <c r="BZ2816" s="944"/>
      <c r="CA2816" s="944"/>
      <c r="CB2816" s="944"/>
    </row>
    <row r="2817" spans="2:80">
      <c r="B2817" s="1097"/>
      <c r="C2817" s="1097"/>
      <c r="D2817" s="1097"/>
      <c r="E2817" s="1097"/>
      <c r="F2817" s="934"/>
      <c r="G2817" s="1098"/>
      <c r="H2817" s="1099"/>
      <c r="I2817" s="1099"/>
      <c r="J2817" s="934"/>
      <c r="K2817" s="934"/>
      <c r="L2817" s="933"/>
      <c r="M2817" s="1100"/>
      <c r="N2817" s="934"/>
      <c r="O2817" s="936"/>
      <c r="P2817" s="936"/>
      <c r="Q2817" s="933"/>
      <c r="T2817" s="1101"/>
      <c r="U2817" s="1102"/>
      <c r="V2817" s="936"/>
      <c r="W2817" s="1103"/>
      <c r="X2817" s="1104"/>
      <c r="Y2817" s="1105"/>
      <c r="Z2817" s="1103"/>
      <c r="AC2817" s="1106"/>
      <c r="AD2817" s="1107"/>
      <c r="AE2817" s="1104"/>
      <c r="AG2817" s="1109"/>
      <c r="AI2817" s="1110"/>
      <c r="AL2817" s="933"/>
      <c r="AM2817" s="933"/>
      <c r="AN2817" s="1100"/>
      <c r="AO2817" s="1100"/>
      <c r="AP2817" s="934"/>
      <c r="AQ2817" s="934"/>
      <c r="AR2817" s="934"/>
      <c r="AS2817" s="936"/>
      <c r="AT2817" s="936"/>
      <c r="AU2817" s="936"/>
      <c r="AV2817" s="937"/>
      <c r="AW2817" s="938"/>
      <c r="AX2817" s="939"/>
      <c r="AY2817" s="933"/>
      <c r="AZ2817" s="936"/>
      <c r="BA2817" s="936"/>
      <c r="BB2817" s="1112"/>
      <c r="BC2817" s="940"/>
      <c r="BD2817" s="941"/>
      <c r="BE2817" s="942"/>
      <c r="BF2817" s="943"/>
      <c r="BG2817" s="943"/>
      <c r="BH2817" s="943"/>
      <c r="BI2817" s="943"/>
      <c r="BJ2817" s="943"/>
      <c r="BK2817" s="943"/>
      <c r="BL2817" s="943"/>
      <c r="BM2817" s="943"/>
      <c r="BN2817" s="943"/>
      <c r="BO2817" s="1059"/>
      <c r="BP2817" s="1059"/>
      <c r="BQ2817" s="1059"/>
      <c r="BR2817" s="1059"/>
      <c r="BS2817" s="1059"/>
      <c r="BT2817" s="1059"/>
      <c r="BU2817" s="1059"/>
      <c r="BV2817" s="944"/>
      <c r="BW2817" s="944"/>
      <c r="BX2817" s="1147"/>
      <c r="BY2817" s="944"/>
      <c r="BZ2817" s="944"/>
      <c r="CA2817" s="944"/>
      <c r="CB2817" s="944"/>
    </row>
    <row r="2818" spans="2:80">
      <c r="B2818" s="1097"/>
      <c r="C2818" s="1097"/>
      <c r="D2818" s="1097"/>
      <c r="E2818" s="1097"/>
      <c r="F2818" s="934"/>
      <c r="G2818" s="1098"/>
      <c r="H2818" s="1099"/>
      <c r="I2818" s="1099"/>
      <c r="J2818" s="934"/>
      <c r="K2818" s="934"/>
      <c r="L2818" s="933"/>
      <c r="M2818" s="1100"/>
      <c r="N2818" s="934"/>
      <c r="O2818" s="936"/>
      <c r="P2818" s="936"/>
      <c r="Q2818" s="933"/>
      <c r="T2818" s="1101"/>
      <c r="U2818" s="1102"/>
      <c r="V2818" s="936"/>
      <c r="W2818" s="1103"/>
      <c r="X2818" s="1104"/>
      <c r="Y2818" s="1105"/>
      <c r="Z2818" s="1103"/>
      <c r="AC2818" s="1106"/>
      <c r="AD2818" s="1107"/>
      <c r="AE2818" s="1104"/>
      <c r="AG2818" s="1109"/>
      <c r="AI2818" s="1110"/>
      <c r="AL2818" s="933"/>
      <c r="AM2818" s="933"/>
      <c r="AN2818" s="1100"/>
      <c r="AO2818" s="1100"/>
      <c r="AP2818" s="934"/>
      <c r="AQ2818" s="934"/>
      <c r="AR2818" s="934"/>
      <c r="AS2818" s="936"/>
      <c r="AT2818" s="936"/>
      <c r="AU2818" s="936"/>
      <c r="AV2818" s="937"/>
      <c r="AW2818" s="938"/>
      <c r="AX2818" s="939"/>
      <c r="AY2818" s="933"/>
      <c r="AZ2818" s="936"/>
      <c r="BA2818" s="936"/>
      <c r="BB2818" s="1112"/>
      <c r="BC2818" s="940"/>
      <c r="BD2818" s="941"/>
      <c r="BE2818" s="942"/>
      <c r="BF2818" s="943"/>
      <c r="BG2818" s="943"/>
      <c r="BH2818" s="943"/>
      <c r="BI2818" s="943"/>
      <c r="BJ2818" s="943"/>
      <c r="BK2818" s="943"/>
      <c r="BL2818" s="943"/>
      <c r="BM2818" s="943"/>
      <c r="BN2818" s="943"/>
      <c r="BO2818" s="1059"/>
      <c r="BP2818" s="1059"/>
      <c r="BQ2818" s="1059"/>
      <c r="BR2818" s="1059"/>
      <c r="BS2818" s="1059"/>
      <c r="BT2818" s="1059"/>
      <c r="BU2818" s="1059"/>
      <c r="BV2818" s="944"/>
      <c r="BW2818" s="944"/>
      <c r="BX2818" s="1147"/>
      <c r="BY2818" s="944"/>
      <c r="BZ2818" s="944"/>
      <c r="CA2818" s="944"/>
      <c r="CB2818" s="944"/>
    </row>
    <row r="2819" spans="2:80">
      <c r="B2819" s="1097"/>
      <c r="C2819" s="1097"/>
      <c r="D2819" s="1097"/>
      <c r="E2819" s="1097"/>
      <c r="F2819" s="934"/>
      <c r="G2819" s="1098"/>
      <c r="H2819" s="1099"/>
      <c r="I2819" s="1099"/>
      <c r="J2819" s="934"/>
      <c r="K2819" s="934"/>
      <c r="L2819" s="933"/>
      <c r="M2819" s="1100"/>
      <c r="N2819" s="934"/>
      <c r="O2819" s="936"/>
      <c r="P2819" s="936"/>
      <c r="Q2819" s="933"/>
      <c r="T2819" s="1101"/>
      <c r="U2819" s="1102"/>
      <c r="V2819" s="936"/>
      <c r="W2819" s="1103"/>
      <c r="X2819" s="1104"/>
      <c r="Y2819" s="1105"/>
      <c r="Z2819" s="1103"/>
      <c r="AC2819" s="1106"/>
      <c r="AD2819" s="1107"/>
      <c r="AE2819" s="1104"/>
      <c r="AG2819" s="1109"/>
      <c r="AI2819" s="1110"/>
      <c r="AL2819" s="933"/>
      <c r="AM2819" s="933"/>
      <c r="AN2819" s="1100"/>
      <c r="AO2819" s="1100"/>
      <c r="AP2819" s="934"/>
      <c r="AQ2819" s="934"/>
      <c r="AR2819" s="934"/>
      <c r="AS2819" s="936"/>
      <c r="AT2819" s="936"/>
      <c r="AU2819" s="936"/>
      <c r="AV2819" s="937"/>
      <c r="AW2819" s="938"/>
      <c r="AX2819" s="939"/>
      <c r="AY2819" s="933"/>
      <c r="AZ2819" s="936"/>
      <c r="BA2819" s="936"/>
      <c r="BB2819" s="1112"/>
      <c r="BC2819" s="940"/>
      <c r="BD2819" s="941"/>
      <c r="BE2819" s="942"/>
      <c r="BF2819" s="943"/>
      <c r="BG2819" s="943"/>
      <c r="BH2819" s="943"/>
      <c r="BI2819" s="943"/>
      <c r="BJ2819" s="943"/>
      <c r="BK2819" s="943"/>
      <c r="BL2819" s="943"/>
      <c r="BM2819" s="943"/>
      <c r="BN2819" s="943"/>
      <c r="BO2819" s="1059"/>
      <c r="BP2819" s="1059"/>
      <c r="BQ2819" s="1059"/>
      <c r="BR2819" s="1059"/>
      <c r="BS2819" s="1059"/>
      <c r="BT2819" s="1059"/>
      <c r="BU2819" s="1059"/>
      <c r="BV2819" s="944"/>
      <c r="BW2819" s="944"/>
      <c r="BX2819" s="1147"/>
      <c r="BY2819" s="944"/>
      <c r="BZ2819" s="944"/>
      <c r="CA2819" s="944"/>
      <c r="CB2819" s="944"/>
    </row>
    <row r="2820" spans="2:80">
      <c r="B2820" s="1097"/>
      <c r="C2820" s="1097"/>
      <c r="D2820" s="1097"/>
      <c r="E2820" s="1097"/>
      <c r="F2820" s="934"/>
      <c r="G2820" s="1098"/>
      <c r="H2820" s="1099"/>
      <c r="I2820" s="1099"/>
      <c r="J2820" s="934"/>
      <c r="K2820" s="934"/>
      <c r="L2820" s="933"/>
      <c r="M2820" s="1100"/>
      <c r="N2820" s="934"/>
      <c r="O2820" s="936"/>
      <c r="P2820" s="936"/>
      <c r="Q2820" s="933"/>
      <c r="T2820" s="1101"/>
      <c r="U2820" s="1102"/>
      <c r="V2820" s="936"/>
      <c r="W2820" s="1103"/>
      <c r="X2820" s="1104"/>
      <c r="Y2820" s="1105"/>
      <c r="Z2820" s="1103"/>
      <c r="AC2820" s="1106"/>
      <c r="AD2820" s="1107"/>
      <c r="AE2820" s="1104"/>
      <c r="AG2820" s="1109"/>
      <c r="AI2820" s="1110"/>
      <c r="AL2820" s="933"/>
      <c r="AM2820" s="933"/>
      <c r="AN2820" s="1100"/>
      <c r="AO2820" s="1100"/>
      <c r="AP2820" s="934"/>
      <c r="AQ2820" s="934"/>
      <c r="AR2820" s="934"/>
      <c r="AS2820" s="936"/>
      <c r="AT2820" s="936"/>
      <c r="AU2820" s="936"/>
      <c r="AV2820" s="937"/>
      <c r="AW2820" s="938"/>
      <c r="AX2820" s="939"/>
      <c r="AY2820" s="933"/>
      <c r="AZ2820" s="936"/>
      <c r="BA2820" s="936"/>
      <c r="BB2820" s="1112"/>
      <c r="BC2820" s="940"/>
      <c r="BD2820" s="941"/>
      <c r="BE2820" s="942"/>
      <c r="BF2820" s="943"/>
      <c r="BG2820" s="943"/>
      <c r="BH2820" s="943"/>
      <c r="BI2820" s="943"/>
      <c r="BJ2820" s="943"/>
      <c r="BK2820" s="943"/>
      <c r="BL2820" s="943"/>
      <c r="BM2820" s="943"/>
      <c r="BN2820" s="943"/>
      <c r="BO2820" s="1059"/>
      <c r="BP2820" s="1059"/>
      <c r="BQ2820" s="1059"/>
      <c r="BR2820" s="1059"/>
      <c r="BS2820" s="1059"/>
      <c r="BT2820" s="1059"/>
      <c r="BU2820" s="1059"/>
      <c r="BV2820" s="944"/>
      <c r="BW2820" s="944"/>
      <c r="BX2820" s="1147"/>
      <c r="BY2820" s="944"/>
      <c r="BZ2820" s="944"/>
      <c r="CA2820" s="944"/>
      <c r="CB2820" s="944"/>
    </row>
    <row r="2821" spans="2:80">
      <c r="B2821" s="1097"/>
      <c r="C2821" s="1097"/>
      <c r="D2821" s="1097"/>
      <c r="E2821" s="1097"/>
      <c r="F2821" s="934"/>
      <c r="G2821" s="1098"/>
      <c r="H2821" s="1099"/>
      <c r="I2821" s="1099"/>
      <c r="J2821" s="934"/>
      <c r="K2821" s="934"/>
      <c r="L2821" s="933"/>
      <c r="M2821" s="1100"/>
      <c r="N2821" s="934"/>
      <c r="O2821" s="936"/>
      <c r="P2821" s="936"/>
      <c r="Q2821" s="933"/>
      <c r="T2821" s="1101"/>
      <c r="U2821" s="1102"/>
      <c r="V2821" s="936"/>
      <c r="W2821" s="1103"/>
      <c r="X2821" s="1104"/>
      <c r="Y2821" s="1105"/>
      <c r="Z2821" s="1103"/>
      <c r="AC2821" s="1106"/>
      <c r="AD2821" s="1107"/>
      <c r="AE2821" s="1104"/>
      <c r="AG2821" s="1109"/>
      <c r="AI2821" s="1110"/>
      <c r="AL2821" s="933"/>
      <c r="AM2821" s="933"/>
      <c r="AN2821" s="1100"/>
      <c r="AO2821" s="1100"/>
      <c r="AP2821" s="934"/>
      <c r="AQ2821" s="934"/>
      <c r="AR2821" s="934"/>
      <c r="AS2821" s="936"/>
      <c r="AT2821" s="936"/>
      <c r="AU2821" s="936"/>
      <c r="AV2821" s="937"/>
      <c r="AW2821" s="938"/>
      <c r="AX2821" s="939"/>
      <c r="AY2821" s="933"/>
      <c r="AZ2821" s="936"/>
      <c r="BA2821" s="936"/>
      <c r="BB2821" s="1112"/>
      <c r="BC2821" s="940"/>
      <c r="BD2821" s="941"/>
      <c r="BE2821" s="942"/>
      <c r="BF2821" s="943"/>
      <c r="BG2821" s="943"/>
      <c r="BH2821" s="943"/>
      <c r="BI2821" s="943"/>
      <c r="BJ2821" s="943"/>
      <c r="BK2821" s="943"/>
      <c r="BL2821" s="943"/>
      <c r="BM2821" s="943"/>
      <c r="BN2821" s="943"/>
      <c r="BO2821" s="1059"/>
      <c r="BP2821" s="1059"/>
      <c r="BQ2821" s="1059"/>
      <c r="BR2821" s="1059"/>
      <c r="BS2821" s="1059"/>
      <c r="BT2821" s="1059"/>
      <c r="BU2821" s="1059"/>
      <c r="BV2821" s="944"/>
      <c r="BW2821" s="944"/>
      <c r="BX2821" s="1147"/>
      <c r="BY2821" s="944"/>
      <c r="BZ2821" s="944"/>
      <c r="CA2821" s="944"/>
      <c r="CB2821" s="944"/>
    </row>
    <row r="2822" spans="2:80">
      <c r="B2822" s="1097"/>
      <c r="C2822" s="1097"/>
      <c r="D2822" s="1097"/>
      <c r="E2822" s="1097"/>
      <c r="F2822" s="934"/>
      <c r="G2822" s="1098"/>
      <c r="H2822" s="1099"/>
      <c r="I2822" s="1099"/>
      <c r="J2822" s="934"/>
      <c r="K2822" s="934"/>
      <c r="L2822" s="933"/>
      <c r="M2822" s="1100"/>
      <c r="N2822" s="934"/>
      <c r="O2822" s="936"/>
      <c r="P2822" s="936"/>
      <c r="Q2822" s="933"/>
      <c r="T2822" s="1101"/>
      <c r="U2822" s="1102"/>
      <c r="V2822" s="936"/>
      <c r="W2822" s="1103"/>
      <c r="X2822" s="1104"/>
      <c r="Y2822" s="1105"/>
      <c r="Z2822" s="1103"/>
      <c r="AC2822" s="1106"/>
      <c r="AD2822" s="1107"/>
      <c r="AE2822" s="1104"/>
      <c r="AG2822" s="1109"/>
      <c r="AI2822" s="1110"/>
      <c r="AL2822" s="933"/>
      <c r="AM2822" s="933"/>
      <c r="AN2822" s="1100"/>
      <c r="AO2822" s="1100"/>
      <c r="AP2822" s="934"/>
      <c r="AQ2822" s="934"/>
      <c r="AR2822" s="934"/>
      <c r="AS2822" s="936"/>
      <c r="AT2822" s="936"/>
      <c r="AU2822" s="936"/>
      <c r="AV2822" s="937"/>
      <c r="AW2822" s="938"/>
      <c r="AX2822" s="939"/>
      <c r="AY2822" s="933"/>
      <c r="AZ2822" s="936"/>
      <c r="BA2822" s="936"/>
      <c r="BB2822" s="1112"/>
      <c r="BC2822" s="940"/>
      <c r="BD2822" s="941"/>
      <c r="BE2822" s="942"/>
      <c r="BF2822" s="943"/>
      <c r="BG2822" s="943"/>
      <c r="BH2822" s="943"/>
      <c r="BI2822" s="943"/>
      <c r="BJ2822" s="943"/>
      <c r="BK2822" s="943"/>
      <c r="BL2822" s="943"/>
      <c r="BM2822" s="943"/>
      <c r="BN2822" s="943"/>
      <c r="BO2822" s="1059"/>
      <c r="BP2822" s="1059"/>
      <c r="BQ2822" s="1059"/>
      <c r="BR2822" s="1059"/>
      <c r="BS2822" s="1059"/>
      <c r="BT2822" s="1059"/>
      <c r="BU2822" s="1059"/>
      <c r="BV2822" s="944"/>
      <c r="BW2822" s="944"/>
      <c r="BX2822" s="1147"/>
      <c r="BY2822" s="944"/>
      <c r="BZ2822" s="944"/>
      <c r="CA2822" s="944"/>
      <c r="CB2822" s="944"/>
    </row>
    <row r="2823" spans="2:80">
      <c r="B2823" s="1097"/>
      <c r="C2823" s="1097"/>
      <c r="D2823" s="1097"/>
      <c r="E2823" s="1097"/>
      <c r="F2823" s="934"/>
      <c r="G2823" s="1098"/>
      <c r="H2823" s="1099"/>
      <c r="I2823" s="1099"/>
      <c r="J2823" s="934"/>
      <c r="K2823" s="934"/>
      <c r="L2823" s="933"/>
      <c r="M2823" s="1100"/>
      <c r="N2823" s="934"/>
      <c r="O2823" s="936"/>
      <c r="P2823" s="936"/>
      <c r="Q2823" s="933"/>
      <c r="T2823" s="1101"/>
      <c r="U2823" s="1102"/>
      <c r="V2823" s="936"/>
      <c r="W2823" s="1103"/>
      <c r="X2823" s="1104"/>
      <c r="Y2823" s="1105"/>
      <c r="Z2823" s="1103"/>
      <c r="AC2823" s="1106"/>
      <c r="AD2823" s="1107"/>
      <c r="AE2823" s="1104"/>
      <c r="AG2823" s="1109"/>
      <c r="AI2823" s="1110"/>
      <c r="AL2823" s="933"/>
      <c r="AM2823" s="933"/>
      <c r="AN2823" s="1100"/>
      <c r="AO2823" s="1100"/>
      <c r="AP2823" s="934"/>
      <c r="AQ2823" s="934"/>
      <c r="AR2823" s="934"/>
      <c r="AS2823" s="936"/>
      <c r="AT2823" s="936"/>
      <c r="AU2823" s="936"/>
      <c r="AV2823" s="937"/>
      <c r="AW2823" s="938"/>
      <c r="AX2823" s="939"/>
      <c r="AY2823" s="933"/>
      <c r="AZ2823" s="936"/>
      <c r="BA2823" s="936"/>
      <c r="BB2823" s="1112"/>
      <c r="BC2823" s="940"/>
      <c r="BD2823" s="941"/>
      <c r="BE2823" s="942"/>
      <c r="BF2823" s="943"/>
      <c r="BG2823" s="943"/>
      <c r="BH2823" s="943"/>
      <c r="BI2823" s="943"/>
      <c r="BJ2823" s="943"/>
      <c r="BK2823" s="943"/>
      <c r="BL2823" s="943"/>
      <c r="BM2823" s="943"/>
      <c r="BN2823" s="943"/>
      <c r="BO2823" s="1059"/>
      <c r="BP2823" s="1059"/>
      <c r="BQ2823" s="1059"/>
      <c r="BR2823" s="1059"/>
      <c r="BS2823" s="1059"/>
      <c r="BT2823" s="1059"/>
      <c r="BU2823" s="1059"/>
      <c r="BV2823" s="944"/>
      <c r="BW2823" s="944"/>
      <c r="BX2823" s="1147"/>
      <c r="BY2823" s="944"/>
      <c r="BZ2823" s="944"/>
      <c r="CA2823" s="944"/>
      <c r="CB2823" s="944"/>
    </row>
    <row r="2824" spans="2:80">
      <c r="B2824" s="1097"/>
      <c r="C2824" s="1097"/>
      <c r="D2824" s="1097"/>
      <c r="E2824" s="1097"/>
      <c r="F2824" s="934"/>
      <c r="G2824" s="1098"/>
      <c r="H2824" s="1099"/>
      <c r="I2824" s="1099"/>
      <c r="J2824" s="934"/>
      <c r="K2824" s="934"/>
      <c r="L2824" s="933"/>
      <c r="M2824" s="1100"/>
      <c r="N2824" s="934"/>
      <c r="O2824" s="936"/>
      <c r="P2824" s="936"/>
      <c r="Q2824" s="933"/>
      <c r="T2824" s="1101"/>
      <c r="U2824" s="1102"/>
      <c r="V2824" s="936"/>
      <c r="W2824" s="1103"/>
      <c r="X2824" s="1104"/>
      <c r="Y2824" s="1105"/>
      <c r="Z2824" s="1103"/>
      <c r="AC2824" s="1106"/>
      <c r="AD2824" s="1107"/>
      <c r="AE2824" s="1104"/>
      <c r="AG2824" s="1109"/>
      <c r="AI2824" s="1110"/>
      <c r="AL2824" s="933"/>
      <c r="AM2824" s="933"/>
      <c r="AN2824" s="1100"/>
      <c r="AO2824" s="1100"/>
      <c r="AP2824" s="934"/>
      <c r="AQ2824" s="934"/>
      <c r="AR2824" s="934"/>
      <c r="AS2824" s="936"/>
      <c r="AT2824" s="936"/>
      <c r="AU2824" s="936"/>
      <c r="AV2824" s="937"/>
      <c r="AW2824" s="938"/>
      <c r="AX2824" s="939"/>
      <c r="AY2824" s="933"/>
      <c r="AZ2824" s="936"/>
      <c r="BA2824" s="936"/>
      <c r="BB2824" s="1112"/>
      <c r="BC2824" s="940"/>
      <c r="BD2824" s="941"/>
      <c r="BE2824" s="942"/>
      <c r="BF2824" s="943"/>
      <c r="BG2824" s="943"/>
      <c r="BH2824" s="943"/>
      <c r="BI2824" s="943"/>
      <c r="BJ2824" s="943"/>
      <c r="BK2824" s="943"/>
      <c r="BL2824" s="943"/>
      <c r="BM2824" s="943"/>
      <c r="BN2824" s="943"/>
      <c r="BO2824" s="1059"/>
      <c r="BP2824" s="1059"/>
      <c r="BQ2824" s="1059"/>
      <c r="BR2824" s="1059"/>
      <c r="BS2824" s="1059"/>
      <c r="BT2824" s="1059"/>
      <c r="BU2824" s="1059"/>
      <c r="BV2824" s="944"/>
      <c r="BW2824" s="944"/>
      <c r="BX2824" s="1147"/>
      <c r="BY2824" s="944"/>
      <c r="BZ2824" s="944"/>
      <c r="CA2824" s="944"/>
      <c r="CB2824" s="944"/>
    </row>
    <row r="2825" spans="2:80">
      <c r="B2825" s="1097"/>
      <c r="C2825" s="1097"/>
      <c r="D2825" s="1097"/>
      <c r="E2825" s="1097"/>
      <c r="F2825" s="934"/>
      <c r="G2825" s="1098"/>
      <c r="H2825" s="1099"/>
      <c r="I2825" s="1099"/>
      <c r="J2825" s="934"/>
      <c r="K2825" s="934"/>
      <c r="L2825" s="933"/>
      <c r="M2825" s="1100"/>
      <c r="N2825" s="934"/>
      <c r="O2825" s="936"/>
      <c r="P2825" s="936"/>
      <c r="Q2825" s="933"/>
      <c r="T2825" s="1101"/>
      <c r="U2825" s="1102"/>
      <c r="V2825" s="936"/>
      <c r="W2825" s="1103"/>
      <c r="X2825" s="1104"/>
      <c r="Y2825" s="1105"/>
      <c r="Z2825" s="1103"/>
      <c r="AC2825" s="1106"/>
      <c r="AD2825" s="1107"/>
      <c r="AE2825" s="1104"/>
      <c r="AG2825" s="1109"/>
      <c r="AI2825" s="1110"/>
      <c r="AL2825" s="933"/>
      <c r="AM2825" s="933"/>
      <c r="AN2825" s="1100"/>
      <c r="AO2825" s="1100"/>
      <c r="AP2825" s="934"/>
      <c r="AQ2825" s="934"/>
      <c r="AR2825" s="934"/>
      <c r="AS2825" s="936"/>
      <c r="AT2825" s="936"/>
      <c r="AU2825" s="936"/>
      <c r="AV2825" s="937"/>
      <c r="AW2825" s="938"/>
      <c r="AX2825" s="939"/>
      <c r="AY2825" s="933"/>
      <c r="AZ2825" s="936"/>
      <c r="BA2825" s="936"/>
      <c r="BB2825" s="1112"/>
      <c r="BC2825" s="940"/>
      <c r="BD2825" s="941"/>
      <c r="BE2825" s="942"/>
      <c r="BF2825" s="943"/>
      <c r="BG2825" s="943"/>
      <c r="BH2825" s="943"/>
      <c r="BI2825" s="943"/>
      <c r="BJ2825" s="943"/>
      <c r="BK2825" s="943"/>
      <c r="BL2825" s="943"/>
      <c r="BM2825" s="943"/>
      <c r="BN2825" s="943"/>
      <c r="BO2825" s="1059"/>
      <c r="BP2825" s="1059"/>
      <c r="BQ2825" s="1059"/>
      <c r="BR2825" s="1059"/>
      <c r="BS2825" s="1059"/>
      <c r="BT2825" s="1059"/>
      <c r="BU2825" s="1059"/>
      <c r="BV2825" s="944"/>
      <c r="BW2825" s="944"/>
      <c r="BX2825" s="1147"/>
      <c r="BY2825" s="944"/>
      <c r="BZ2825" s="944"/>
      <c r="CA2825" s="944"/>
      <c r="CB2825" s="944"/>
    </row>
    <row r="2826" spans="2:80">
      <c r="B2826" s="1097"/>
      <c r="C2826" s="1097"/>
      <c r="D2826" s="1097"/>
      <c r="E2826" s="1097"/>
      <c r="F2826" s="934"/>
      <c r="G2826" s="1098"/>
      <c r="H2826" s="1099"/>
      <c r="I2826" s="1099"/>
      <c r="J2826" s="934"/>
      <c r="K2826" s="934"/>
      <c r="L2826" s="933"/>
      <c r="M2826" s="1100"/>
      <c r="N2826" s="934"/>
      <c r="O2826" s="936"/>
      <c r="P2826" s="936"/>
      <c r="Q2826" s="933"/>
      <c r="T2826" s="1101"/>
      <c r="U2826" s="1102"/>
      <c r="V2826" s="936"/>
      <c r="W2826" s="1103"/>
      <c r="X2826" s="1104"/>
      <c r="Y2826" s="1105"/>
      <c r="Z2826" s="1103"/>
      <c r="AC2826" s="1106"/>
      <c r="AD2826" s="1107"/>
      <c r="AE2826" s="1104"/>
      <c r="AG2826" s="1109"/>
      <c r="AI2826" s="1110"/>
      <c r="AL2826" s="933"/>
      <c r="AM2826" s="933"/>
      <c r="AN2826" s="1100"/>
      <c r="AO2826" s="1100"/>
      <c r="AP2826" s="934"/>
      <c r="AQ2826" s="934"/>
      <c r="AR2826" s="934"/>
      <c r="AS2826" s="936"/>
      <c r="AT2826" s="936"/>
      <c r="AU2826" s="936"/>
      <c r="AV2826" s="937"/>
      <c r="AW2826" s="938"/>
      <c r="AX2826" s="939"/>
      <c r="AY2826" s="933"/>
      <c r="AZ2826" s="936"/>
      <c r="BA2826" s="936"/>
      <c r="BB2826" s="1112"/>
      <c r="BC2826" s="940"/>
      <c r="BD2826" s="941"/>
      <c r="BE2826" s="942"/>
      <c r="BF2826" s="943"/>
      <c r="BG2826" s="943"/>
      <c r="BH2826" s="943"/>
      <c r="BI2826" s="943"/>
      <c r="BJ2826" s="943"/>
      <c r="BK2826" s="943"/>
      <c r="BL2826" s="943"/>
      <c r="BM2826" s="943"/>
      <c r="BN2826" s="943"/>
      <c r="BO2826" s="1059"/>
      <c r="BP2826" s="1059"/>
      <c r="BQ2826" s="1059"/>
      <c r="BR2826" s="1059"/>
      <c r="BS2826" s="1059"/>
      <c r="BT2826" s="1059"/>
      <c r="BU2826" s="1059"/>
      <c r="BV2826" s="944"/>
      <c r="BW2826" s="944"/>
      <c r="BX2826" s="1147"/>
      <c r="BY2826" s="944"/>
      <c r="BZ2826" s="944"/>
      <c r="CA2826" s="944"/>
      <c r="CB2826" s="944"/>
    </row>
    <row r="2827" spans="2:80">
      <c r="B2827" s="1097"/>
      <c r="C2827" s="1097"/>
      <c r="D2827" s="1097"/>
      <c r="E2827" s="1097"/>
      <c r="F2827" s="934"/>
      <c r="G2827" s="1098"/>
      <c r="H2827" s="1099"/>
      <c r="I2827" s="1099"/>
      <c r="J2827" s="934"/>
      <c r="K2827" s="934"/>
      <c r="L2827" s="933"/>
      <c r="M2827" s="1100"/>
      <c r="N2827" s="934"/>
      <c r="O2827" s="936"/>
      <c r="P2827" s="936"/>
      <c r="Q2827" s="933"/>
      <c r="T2827" s="1101"/>
      <c r="U2827" s="1102"/>
      <c r="V2827" s="936"/>
      <c r="W2827" s="1103"/>
      <c r="X2827" s="1104"/>
      <c r="Y2827" s="1105"/>
      <c r="Z2827" s="1103"/>
      <c r="AC2827" s="1106"/>
      <c r="AD2827" s="1107"/>
      <c r="AE2827" s="1104"/>
      <c r="AG2827" s="1109"/>
      <c r="AI2827" s="1110"/>
      <c r="AL2827" s="933"/>
      <c r="AM2827" s="933"/>
      <c r="AN2827" s="1100"/>
      <c r="AO2827" s="1100"/>
      <c r="AP2827" s="934"/>
      <c r="AQ2827" s="934"/>
      <c r="AR2827" s="934"/>
      <c r="AS2827" s="936"/>
      <c r="AT2827" s="936"/>
      <c r="AU2827" s="936"/>
      <c r="AV2827" s="937"/>
      <c r="AW2827" s="938"/>
      <c r="AX2827" s="939"/>
      <c r="AY2827" s="933"/>
      <c r="AZ2827" s="936"/>
      <c r="BA2827" s="936"/>
      <c r="BB2827" s="1112"/>
      <c r="BC2827" s="940"/>
      <c r="BD2827" s="941"/>
      <c r="BE2827" s="942"/>
      <c r="BF2827" s="943"/>
      <c r="BG2827" s="943"/>
      <c r="BH2827" s="943"/>
      <c r="BI2827" s="943"/>
      <c r="BJ2827" s="943"/>
      <c r="BK2827" s="943"/>
      <c r="BL2827" s="943"/>
      <c r="BM2827" s="943"/>
      <c r="BN2827" s="943"/>
      <c r="BO2827" s="1059"/>
      <c r="BP2827" s="1059"/>
      <c r="BQ2827" s="1059"/>
      <c r="BR2827" s="1059"/>
      <c r="BS2827" s="1059"/>
      <c r="BT2827" s="1059"/>
      <c r="BU2827" s="1059"/>
      <c r="BV2827" s="944"/>
      <c r="BW2827" s="944"/>
      <c r="BX2827" s="1147"/>
      <c r="BY2827" s="944"/>
      <c r="BZ2827" s="944"/>
      <c r="CA2827" s="944"/>
      <c r="CB2827" s="944"/>
    </row>
    <row r="2828" spans="2:80">
      <c r="B2828" s="1097"/>
      <c r="C2828" s="1097"/>
      <c r="D2828" s="1097"/>
      <c r="E2828" s="1097"/>
      <c r="F2828" s="934"/>
      <c r="G2828" s="1098"/>
      <c r="H2828" s="1099"/>
      <c r="I2828" s="1099"/>
      <c r="J2828" s="934"/>
      <c r="K2828" s="934"/>
      <c r="L2828" s="933"/>
      <c r="M2828" s="1100"/>
      <c r="N2828" s="934"/>
      <c r="O2828" s="936"/>
      <c r="P2828" s="936"/>
      <c r="Q2828" s="933"/>
      <c r="T2828" s="1101"/>
      <c r="U2828" s="1102"/>
      <c r="V2828" s="936"/>
      <c r="W2828" s="1103"/>
      <c r="X2828" s="1104"/>
      <c r="Y2828" s="1105"/>
      <c r="Z2828" s="1103"/>
      <c r="AC2828" s="1106"/>
      <c r="AD2828" s="1107"/>
      <c r="AE2828" s="1104"/>
      <c r="AG2828" s="1109"/>
      <c r="AI2828" s="1110"/>
      <c r="AL2828" s="933"/>
      <c r="AM2828" s="933"/>
      <c r="AN2828" s="1100"/>
      <c r="AO2828" s="1100"/>
      <c r="AP2828" s="934"/>
      <c r="AQ2828" s="934"/>
      <c r="AR2828" s="934"/>
      <c r="AS2828" s="936"/>
      <c r="AT2828" s="936"/>
      <c r="AU2828" s="936"/>
      <c r="AV2828" s="937"/>
      <c r="AW2828" s="938"/>
      <c r="AX2828" s="939"/>
      <c r="AY2828" s="933"/>
      <c r="AZ2828" s="936"/>
      <c r="BA2828" s="936"/>
      <c r="BB2828" s="1112"/>
      <c r="BC2828" s="940"/>
      <c r="BD2828" s="941"/>
      <c r="BE2828" s="942"/>
      <c r="BF2828" s="943"/>
      <c r="BG2828" s="943"/>
      <c r="BH2828" s="943"/>
      <c r="BI2828" s="943"/>
      <c r="BJ2828" s="943"/>
      <c r="BK2828" s="943"/>
      <c r="BL2828" s="943"/>
      <c r="BM2828" s="943"/>
      <c r="BN2828" s="943"/>
      <c r="BO2828" s="1059"/>
      <c r="BP2828" s="1059"/>
      <c r="BQ2828" s="1059"/>
      <c r="BR2828" s="1059"/>
      <c r="BS2828" s="1059"/>
      <c r="BT2828" s="1059"/>
      <c r="BU2828" s="1059"/>
      <c r="BV2828" s="944"/>
      <c r="BW2828" s="944"/>
      <c r="BX2828" s="1147"/>
      <c r="BY2828" s="944"/>
      <c r="BZ2828" s="944"/>
      <c r="CA2828" s="944"/>
      <c r="CB2828" s="944"/>
    </row>
    <row r="2829" spans="2:80">
      <c r="B2829" s="1097"/>
      <c r="C2829" s="1097"/>
      <c r="D2829" s="1097"/>
      <c r="E2829" s="1097"/>
      <c r="F2829" s="934"/>
      <c r="G2829" s="1098"/>
      <c r="H2829" s="1099"/>
      <c r="I2829" s="1099"/>
      <c r="J2829" s="934"/>
      <c r="K2829" s="934"/>
      <c r="L2829" s="933"/>
      <c r="M2829" s="1100"/>
      <c r="N2829" s="934"/>
      <c r="O2829" s="936"/>
      <c r="P2829" s="936"/>
      <c r="Q2829" s="933"/>
      <c r="T2829" s="1101"/>
      <c r="U2829" s="1102"/>
      <c r="V2829" s="936"/>
      <c r="W2829" s="1103"/>
      <c r="X2829" s="1104"/>
      <c r="Y2829" s="1105"/>
      <c r="Z2829" s="1103"/>
      <c r="AC2829" s="1106"/>
      <c r="AD2829" s="1107"/>
      <c r="AE2829" s="1104"/>
      <c r="AG2829" s="1109"/>
      <c r="AI2829" s="1110"/>
      <c r="AL2829" s="933"/>
      <c r="AM2829" s="933"/>
      <c r="AN2829" s="1100"/>
      <c r="AO2829" s="1100"/>
      <c r="AP2829" s="934"/>
      <c r="AQ2829" s="934"/>
      <c r="AR2829" s="934"/>
      <c r="AS2829" s="936"/>
      <c r="AT2829" s="936"/>
      <c r="AU2829" s="936"/>
      <c r="AV2829" s="937"/>
      <c r="AW2829" s="938"/>
      <c r="AX2829" s="939"/>
      <c r="AY2829" s="933"/>
      <c r="AZ2829" s="936"/>
      <c r="BA2829" s="936"/>
      <c r="BB2829" s="1112"/>
      <c r="BC2829" s="940"/>
      <c r="BD2829" s="941"/>
      <c r="BE2829" s="942"/>
      <c r="BF2829" s="943"/>
      <c r="BG2829" s="943"/>
      <c r="BH2829" s="943"/>
      <c r="BI2829" s="943"/>
      <c r="BJ2829" s="943"/>
      <c r="BK2829" s="943"/>
      <c r="BL2829" s="943"/>
      <c r="BM2829" s="943"/>
      <c r="BN2829" s="943"/>
      <c r="BO2829" s="1059"/>
      <c r="BP2829" s="1059"/>
      <c r="BQ2829" s="1059"/>
      <c r="BR2829" s="1059"/>
      <c r="BS2829" s="1059"/>
      <c r="BT2829" s="1059"/>
      <c r="BU2829" s="1059"/>
      <c r="BV2829" s="944"/>
      <c r="BW2829" s="944"/>
      <c r="BX2829" s="1147"/>
      <c r="BY2829" s="944"/>
      <c r="BZ2829" s="944"/>
      <c r="CA2829" s="944"/>
      <c r="CB2829" s="944"/>
    </row>
    <row r="2830" spans="2:80">
      <c r="B2830" s="1097"/>
      <c r="C2830" s="1097"/>
      <c r="D2830" s="1097"/>
      <c r="E2830" s="1097"/>
      <c r="F2830" s="934"/>
      <c r="G2830" s="1098"/>
      <c r="H2830" s="1099"/>
      <c r="I2830" s="1099"/>
      <c r="J2830" s="934"/>
      <c r="K2830" s="934"/>
      <c r="L2830" s="933"/>
      <c r="M2830" s="1100"/>
      <c r="N2830" s="934"/>
      <c r="O2830" s="936"/>
      <c r="P2830" s="936"/>
      <c r="Q2830" s="933"/>
      <c r="T2830" s="1101"/>
      <c r="U2830" s="1102"/>
      <c r="V2830" s="936"/>
      <c r="W2830" s="1103"/>
      <c r="X2830" s="1104"/>
      <c r="Y2830" s="1105"/>
      <c r="Z2830" s="1103"/>
      <c r="AC2830" s="1106"/>
      <c r="AD2830" s="1107"/>
      <c r="AE2830" s="1104"/>
      <c r="AG2830" s="1109"/>
      <c r="AI2830" s="1110"/>
      <c r="AL2830" s="933"/>
      <c r="AM2830" s="933"/>
      <c r="AN2830" s="1100"/>
      <c r="AO2830" s="1100"/>
      <c r="AP2830" s="934"/>
      <c r="AQ2830" s="934"/>
      <c r="AR2830" s="934"/>
      <c r="AS2830" s="936"/>
      <c r="AT2830" s="936"/>
      <c r="AU2830" s="936"/>
      <c r="AV2830" s="937"/>
      <c r="AW2830" s="938"/>
      <c r="AX2830" s="939"/>
      <c r="AY2830" s="933"/>
      <c r="AZ2830" s="936"/>
      <c r="BA2830" s="936"/>
      <c r="BB2830" s="1112"/>
      <c r="BC2830" s="940"/>
      <c r="BD2830" s="941"/>
      <c r="BE2830" s="942"/>
      <c r="BF2830" s="943"/>
      <c r="BG2830" s="943"/>
      <c r="BH2830" s="943"/>
      <c r="BI2830" s="943"/>
      <c r="BJ2830" s="943"/>
      <c r="BK2830" s="943"/>
      <c r="BL2830" s="943"/>
      <c r="BM2830" s="943"/>
      <c r="BN2830" s="943"/>
      <c r="BO2830" s="1059"/>
      <c r="BP2830" s="1059"/>
      <c r="BQ2830" s="1059"/>
      <c r="BR2830" s="1059"/>
      <c r="BS2830" s="1059"/>
      <c r="BT2830" s="1059"/>
      <c r="BU2830" s="1059"/>
      <c r="BV2830" s="944"/>
      <c r="BW2830" s="944"/>
      <c r="BX2830" s="1147"/>
      <c r="BY2830" s="944"/>
      <c r="BZ2830" s="944"/>
      <c r="CA2830" s="944"/>
      <c r="CB2830" s="944"/>
    </row>
    <row r="2831" spans="2:80">
      <c r="B2831" s="1097"/>
      <c r="C2831" s="1097"/>
      <c r="D2831" s="1097"/>
      <c r="E2831" s="1097"/>
      <c r="F2831" s="934"/>
      <c r="G2831" s="1098"/>
      <c r="H2831" s="1099"/>
      <c r="I2831" s="1099"/>
      <c r="J2831" s="934"/>
      <c r="K2831" s="934"/>
      <c r="L2831" s="933"/>
      <c r="M2831" s="1100"/>
      <c r="N2831" s="934"/>
      <c r="O2831" s="936"/>
      <c r="P2831" s="936"/>
      <c r="Q2831" s="933"/>
      <c r="T2831" s="1101"/>
      <c r="U2831" s="1102"/>
      <c r="V2831" s="936"/>
      <c r="W2831" s="1103"/>
      <c r="X2831" s="1104"/>
      <c r="Y2831" s="1105"/>
      <c r="Z2831" s="1103"/>
      <c r="AC2831" s="1106"/>
      <c r="AD2831" s="1107"/>
      <c r="AE2831" s="1104"/>
      <c r="AG2831" s="1109"/>
      <c r="AI2831" s="1110"/>
      <c r="AL2831" s="933"/>
      <c r="AM2831" s="933"/>
      <c r="AN2831" s="1100"/>
      <c r="AO2831" s="1100"/>
      <c r="AP2831" s="934"/>
      <c r="AQ2831" s="934"/>
      <c r="AR2831" s="934"/>
      <c r="AS2831" s="936"/>
      <c r="AT2831" s="936"/>
      <c r="AU2831" s="936"/>
      <c r="AV2831" s="937"/>
      <c r="AW2831" s="938"/>
      <c r="AX2831" s="939"/>
      <c r="AY2831" s="933"/>
      <c r="AZ2831" s="936"/>
      <c r="BA2831" s="936"/>
      <c r="BB2831" s="1112"/>
      <c r="BC2831" s="940"/>
      <c r="BD2831" s="941"/>
      <c r="BE2831" s="942"/>
      <c r="BF2831" s="943"/>
      <c r="BG2831" s="943"/>
      <c r="BH2831" s="943"/>
      <c r="BI2831" s="943"/>
      <c r="BJ2831" s="943"/>
      <c r="BK2831" s="943"/>
      <c r="BL2831" s="943"/>
      <c r="BM2831" s="943"/>
      <c r="BN2831" s="943"/>
      <c r="BO2831" s="1059"/>
      <c r="BP2831" s="1059"/>
      <c r="BQ2831" s="1059"/>
      <c r="BR2831" s="1059"/>
      <c r="BS2831" s="1059"/>
      <c r="BT2831" s="1059"/>
      <c r="BU2831" s="1059"/>
      <c r="BV2831" s="944"/>
      <c r="BW2831" s="944"/>
      <c r="BX2831" s="1147"/>
      <c r="BY2831" s="944"/>
      <c r="BZ2831" s="944"/>
      <c r="CA2831" s="944"/>
      <c r="CB2831" s="944"/>
    </row>
    <row r="2832" spans="2:80">
      <c r="B2832" s="1097"/>
      <c r="C2832" s="1097"/>
      <c r="D2832" s="1097"/>
      <c r="E2832" s="1097"/>
      <c r="F2832" s="934"/>
      <c r="G2832" s="1098"/>
      <c r="H2832" s="1099"/>
      <c r="I2832" s="1099"/>
      <c r="J2832" s="934"/>
      <c r="K2832" s="934"/>
      <c r="L2832" s="933"/>
      <c r="M2832" s="1100"/>
      <c r="N2832" s="934"/>
      <c r="O2832" s="936"/>
      <c r="P2832" s="936"/>
      <c r="Q2832" s="933"/>
      <c r="T2832" s="1101"/>
      <c r="U2832" s="1102"/>
      <c r="V2832" s="936"/>
      <c r="W2832" s="1103"/>
      <c r="X2832" s="1104"/>
      <c r="Y2832" s="1105"/>
      <c r="Z2832" s="1103"/>
      <c r="AC2832" s="1106"/>
      <c r="AD2832" s="1107"/>
      <c r="AE2832" s="1104"/>
      <c r="AG2832" s="1109"/>
      <c r="AI2832" s="1110"/>
      <c r="AL2832" s="933"/>
      <c r="AM2832" s="933"/>
      <c r="AN2832" s="1100"/>
      <c r="AO2832" s="1100"/>
      <c r="AP2832" s="934"/>
      <c r="AQ2832" s="934"/>
      <c r="AR2832" s="934"/>
      <c r="AS2832" s="936"/>
      <c r="AT2832" s="936"/>
      <c r="AU2832" s="936"/>
      <c r="AV2832" s="937"/>
      <c r="AW2832" s="938"/>
      <c r="AX2832" s="939"/>
      <c r="AY2832" s="933"/>
      <c r="AZ2832" s="936"/>
      <c r="BA2832" s="936"/>
      <c r="BB2832" s="1112"/>
      <c r="BC2832" s="940"/>
      <c r="BD2832" s="941"/>
      <c r="BE2832" s="942"/>
      <c r="BF2832" s="943"/>
      <c r="BG2832" s="943"/>
      <c r="BH2832" s="943"/>
      <c r="BI2832" s="943"/>
      <c r="BJ2832" s="943"/>
      <c r="BK2832" s="943"/>
      <c r="BL2832" s="943"/>
      <c r="BM2832" s="943"/>
      <c r="BN2832" s="943"/>
      <c r="BO2832" s="1059"/>
      <c r="BP2832" s="1059"/>
      <c r="BQ2832" s="1059"/>
      <c r="BR2832" s="1059"/>
      <c r="BS2832" s="1059"/>
      <c r="BT2832" s="1059"/>
      <c r="BU2832" s="1059"/>
      <c r="BV2832" s="944"/>
      <c r="BW2832" s="944"/>
      <c r="BX2832" s="1147"/>
      <c r="BY2832" s="944"/>
      <c r="BZ2832" s="944"/>
      <c r="CA2832" s="944"/>
      <c r="CB2832" s="944"/>
    </row>
    <row r="2833" spans="2:80">
      <c r="B2833" s="1097"/>
      <c r="C2833" s="1097"/>
      <c r="D2833" s="1097"/>
      <c r="E2833" s="1097"/>
      <c r="F2833" s="934"/>
      <c r="G2833" s="1098"/>
      <c r="H2833" s="1099"/>
      <c r="I2833" s="1099"/>
      <c r="J2833" s="934"/>
      <c r="K2833" s="934"/>
      <c r="L2833" s="933"/>
      <c r="M2833" s="1100"/>
      <c r="N2833" s="934"/>
      <c r="O2833" s="936"/>
      <c r="P2833" s="936"/>
      <c r="Q2833" s="933"/>
      <c r="T2833" s="1101"/>
      <c r="U2833" s="1102"/>
      <c r="V2833" s="936"/>
      <c r="W2833" s="1103"/>
      <c r="X2833" s="1104"/>
      <c r="Y2833" s="1105"/>
      <c r="Z2833" s="1103"/>
      <c r="AC2833" s="1106"/>
      <c r="AD2833" s="1107"/>
      <c r="AE2833" s="1104"/>
      <c r="AG2833" s="1109"/>
      <c r="AI2833" s="1110"/>
      <c r="AL2833" s="933"/>
      <c r="AM2833" s="933"/>
      <c r="AN2833" s="1100"/>
      <c r="AO2833" s="1100"/>
      <c r="AP2833" s="934"/>
      <c r="AQ2833" s="934"/>
      <c r="AR2833" s="934"/>
      <c r="AS2833" s="936"/>
      <c r="AT2833" s="936"/>
      <c r="AU2833" s="936"/>
      <c r="AV2833" s="937"/>
      <c r="AW2833" s="938"/>
      <c r="AX2833" s="939"/>
      <c r="AY2833" s="933"/>
      <c r="AZ2833" s="936"/>
      <c r="BA2833" s="936"/>
      <c r="BB2833" s="1112"/>
      <c r="BC2833" s="940"/>
      <c r="BD2833" s="941"/>
      <c r="BE2833" s="942"/>
      <c r="BF2833" s="943"/>
      <c r="BG2833" s="943"/>
      <c r="BH2833" s="943"/>
      <c r="BI2833" s="943"/>
      <c r="BJ2833" s="943"/>
      <c r="BK2833" s="943"/>
      <c r="BL2833" s="943"/>
      <c r="BM2833" s="943"/>
      <c r="BN2833" s="943"/>
      <c r="BO2833" s="1059"/>
      <c r="BP2833" s="1059"/>
      <c r="BQ2833" s="1059"/>
      <c r="BR2833" s="1059"/>
      <c r="BS2833" s="1059"/>
      <c r="BT2833" s="1059"/>
      <c r="BU2833" s="1059"/>
      <c r="BV2833" s="944"/>
      <c r="BW2833" s="944"/>
      <c r="BX2833" s="1147"/>
      <c r="BY2833" s="944"/>
      <c r="BZ2833" s="944"/>
      <c r="CA2833" s="944"/>
      <c r="CB2833" s="944"/>
    </row>
    <row r="2834" spans="2:80">
      <c r="B2834" s="1097"/>
      <c r="C2834" s="1097"/>
      <c r="D2834" s="1097"/>
      <c r="E2834" s="1097"/>
      <c r="F2834" s="934"/>
      <c r="G2834" s="1098"/>
      <c r="H2834" s="1099"/>
      <c r="I2834" s="1099"/>
      <c r="J2834" s="934"/>
      <c r="K2834" s="934"/>
      <c r="L2834" s="933"/>
      <c r="M2834" s="1100"/>
      <c r="N2834" s="934"/>
      <c r="O2834" s="936"/>
      <c r="P2834" s="936"/>
      <c r="Q2834" s="933"/>
      <c r="T2834" s="1101"/>
      <c r="U2834" s="1102"/>
      <c r="V2834" s="936"/>
      <c r="W2834" s="1103"/>
      <c r="X2834" s="1104"/>
      <c r="Y2834" s="1105"/>
      <c r="Z2834" s="1103"/>
      <c r="AC2834" s="1106"/>
      <c r="AD2834" s="1107"/>
      <c r="AE2834" s="1104"/>
      <c r="AG2834" s="1109"/>
      <c r="AI2834" s="1110"/>
      <c r="AL2834" s="933"/>
      <c r="AM2834" s="933"/>
      <c r="AN2834" s="1100"/>
      <c r="AO2834" s="1100"/>
      <c r="AP2834" s="934"/>
      <c r="AQ2834" s="934"/>
      <c r="AR2834" s="934"/>
      <c r="AS2834" s="936"/>
      <c r="AT2834" s="936"/>
      <c r="AU2834" s="936"/>
      <c r="AV2834" s="937"/>
      <c r="AW2834" s="938"/>
      <c r="AX2834" s="939"/>
      <c r="AY2834" s="933"/>
      <c r="AZ2834" s="936"/>
      <c r="BA2834" s="936"/>
      <c r="BB2834" s="1112"/>
      <c r="BC2834" s="940"/>
      <c r="BD2834" s="941"/>
      <c r="BE2834" s="942"/>
      <c r="BF2834" s="943"/>
      <c r="BG2834" s="943"/>
      <c r="BH2834" s="943"/>
      <c r="BI2834" s="943"/>
      <c r="BJ2834" s="943"/>
      <c r="BK2834" s="943"/>
      <c r="BL2834" s="943"/>
      <c r="BM2834" s="943"/>
      <c r="BN2834" s="943"/>
      <c r="BO2834" s="1059"/>
      <c r="BP2834" s="1059"/>
      <c r="BQ2834" s="1059"/>
      <c r="BR2834" s="1059"/>
      <c r="BS2834" s="1059"/>
      <c r="BT2834" s="1059"/>
      <c r="BU2834" s="1059"/>
      <c r="BV2834" s="944"/>
      <c r="BW2834" s="944"/>
      <c r="BX2834" s="1147"/>
      <c r="BY2834" s="944"/>
      <c r="BZ2834" s="944"/>
      <c r="CA2834" s="944"/>
      <c r="CB2834" s="944"/>
    </row>
    <row r="2835" spans="2:80">
      <c r="B2835" s="1097"/>
      <c r="C2835" s="1097"/>
      <c r="D2835" s="1097"/>
      <c r="E2835" s="1097"/>
      <c r="F2835" s="934"/>
      <c r="G2835" s="1098"/>
      <c r="H2835" s="1099"/>
      <c r="I2835" s="1099"/>
      <c r="J2835" s="934"/>
      <c r="K2835" s="934"/>
      <c r="L2835" s="933"/>
      <c r="M2835" s="1100"/>
      <c r="N2835" s="934"/>
      <c r="O2835" s="936"/>
      <c r="P2835" s="936"/>
      <c r="Q2835" s="933"/>
      <c r="T2835" s="1101"/>
      <c r="U2835" s="1102"/>
      <c r="V2835" s="936"/>
      <c r="W2835" s="1103"/>
      <c r="X2835" s="1104"/>
      <c r="Y2835" s="1105"/>
      <c r="Z2835" s="1103"/>
      <c r="AC2835" s="1106"/>
      <c r="AD2835" s="1107"/>
      <c r="AE2835" s="1104"/>
      <c r="AG2835" s="1109"/>
      <c r="AI2835" s="1110"/>
      <c r="AL2835" s="933"/>
      <c r="AM2835" s="933"/>
      <c r="AN2835" s="1100"/>
      <c r="AO2835" s="1100"/>
      <c r="AP2835" s="934"/>
      <c r="AQ2835" s="934"/>
      <c r="AR2835" s="934"/>
      <c r="AS2835" s="936"/>
      <c r="AT2835" s="936"/>
      <c r="AU2835" s="936"/>
      <c r="AV2835" s="937"/>
      <c r="AW2835" s="938"/>
      <c r="AX2835" s="939"/>
      <c r="AY2835" s="933"/>
      <c r="AZ2835" s="936"/>
      <c r="BA2835" s="936"/>
      <c r="BB2835" s="1112"/>
      <c r="BC2835" s="940"/>
      <c r="BD2835" s="941"/>
      <c r="BE2835" s="942"/>
      <c r="BF2835" s="943"/>
      <c r="BG2835" s="943"/>
      <c r="BH2835" s="943"/>
      <c r="BI2835" s="943"/>
      <c r="BJ2835" s="943"/>
      <c r="BK2835" s="943"/>
      <c r="BL2835" s="943"/>
      <c r="BM2835" s="943"/>
      <c r="BN2835" s="943"/>
      <c r="BO2835" s="1059"/>
      <c r="BP2835" s="1059"/>
      <c r="BQ2835" s="1059"/>
      <c r="BR2835" s="1059"/>
      <c r="BS2835" s="1059"/>
      <c r="BT2835" s="1059"/>
      <c r="BU2835" s="1059"/>
      <c r="BV2835" s="944"/>
      <c r="BW2835" s="944"/>
      <c r="BX2835" s="1147"/>
      <c r="BY2835" s="944"/>
      <c r="BZ2835" s="944"/>
      <c r="CA2835" s="944"/>
      <c r="CB2835" s="944"/>
    </row>
    <row r="2836" spans="2:80">
      <c r="B2836" s="1097"/>
      <c r="C2836" s="1097"/>
      <c r="D2836" s="1097"/>
      <c r="E2836" s="1097"/>
      <c r="F2836" s="934"/>
      <c r="G2836" s="1098"/>
      <c r="H2836" s="1099"/>
      <c r="I2836" s="1099"/>
      <c r="J2836" s="934"/>
      <c r="K2836" s="934"/>
      <c r="L2836" s="933"/>
      <c r="M2836" s="1100"/>
      <c r="N2836" s="934"/>
      <c r="O2836" s="936"/>
      <c r="P2836" s="936"/>
      <c r="Q2836" s="933"/>
      <c r="T2836" s="1101"/>
      <c r="U2836" s="1102"/>
      <c r="V2836" s="936"/>
      <c r="W2836" s="1103"/>
      <c r="X2836" s="1104"/>
      <c r="Y2836" s="1105"/>
      <c r="Z2836" s="1103"/>
      <c r="AC2836" s="1106"/>
      <c r="AD2836" s="1107"/>
      <c r="AE2836" s="1104"/>
      <c r="AG2836" s="1109"/>
      <c r="AI2836" s="1110"/>
      <c r="AL2836" s="933"/>
      <c r="AM2836" s="933"/>
      <c r="AN2836" s="1100"/>
      <c r="AO2836" s="1100"/>
      <c r="AP2836" s="934"/>
      <c r="AQ2836" s="934"/>
      <c r="AR2836" s="934"/>
      <c r="AS2836" s="936"/>
      <c r="AT2836" s="936"/>
      <c r="AU2836" s="936"/>
      <c r="AV2836" s="937"/>
      <c r="AW2836" s="938"/>
      <c r="AX2836" s="939"/>
      <c r="AY2836" s="933"/>
      <c r="AZ2836" s="936"/>
      <c r="BA2836" s="936"/>
      <c r="BB2836" s="1112"/>
      <c r="BC2836" s="940"/>
      <c r="BD2836" s="941"/>
      <c r="BE2836" s="942"/>
      <c r="BF2836" s="943"/>
      <c r="BG2836" s="943"/>
      <c r="BH2836" s="943"/>
      <c r="BI2836" s="943"/>
      <c r="BJ2836" s="943"/>
      <c r="BK2836" s="943"/>
      <c r="BL2836" s="943"/>
      <c r="BM2836" s="943"/>
      <c r="BN2836" s="943"/>
      <c r="BO2836" s="1059"/>
      <c r="BP2836" s="1059"/>
      <c r="BQ2836" s="1059"/>
      <c r="BR2836" s="1059"/>
      <c r="BS2836" s="1059"/>
      <c r="BT2836" s="1059"/>
      <c r="BU2836" s="1059"/>
      <c r="BV2836" s="944"/>
      <c r="BW2836" s="944"/>
      <c r="BX2836" s="1147"/>
      <c r="BY2836" s="944"/>
      <c r="BZ2836" s="944"/>
      <c r="CA2836" s="944"/>
      <c r="CB2836" s="944"/>
    </row>
    <row r="2837" spans="2:80">
      <c r="B2837" s="1097"/>
      <c r="C2837" s="1097"/>
      <c r="D2837" s="1097"/>
      <c r="E2837" s="1097"/>
      <c r="F2837" s="934"/>
      <c r="G2837" s="1098"/>
      <c r="H2837" s="1099"/>
      <c r="I2837" s="1099"/>
      <c r="J2837" s="934"/>
      <c r="K2837" s="934"/>
      <c r="L2837" s="933"/>
      <c r="M2837" s="1100"/>
      <c r="N2837" s="934"/>
      <c r="O2837" s="936"/>
      <c r="P2837" s="936"/>
      <c r="Q2837" s="933"/>
      <c r="T2837" s="1101"/>
      <c r="U2837" s="1102"/>
      <c r="V2837" s="936"/>
      <c r="W2837" s="1103"/>
      <c r="X2837" s="1104"/>
      <c r="Y2837" s="1105"/>
      <c r="Z2837" s="1103"/>
      <c r="AC2837" s="1106"/>
      <c r="AD2837" s="1107"/>
      <c r="AE2837" s="1104"/>
      <c r="AG2837" s="1109"/>
      <c r="AI2837" s="1110"/>
      <c r="AL2837" s="933"/>
      <c r="AM2837" s="933"/>
      <c r="AN2837" s="1100"/>
      <c r="AO2837" s="1100"/>
      <c r="AP2837" s="934"/>
      <c r="AQ2837" s="934"/>
      <c r="AR2837" s="934"/>
      <c r="AS2837" s="936"/>
      <c r="AT2837" s="936"/>
      <c r="AU2837" s="936"/>
      <c r="AV2837" s="937"/>
      <c r="AW2837" s="938"/>
      <c r="AX2837" s="939"/>
      <c r="AY2837" s="933"/>
      <c r="AZ2837" s="936"/>
      <c r="BA2837" s="936"/>
      <c r="BB2837" s="1112"/>
      <c r="BC2837" s="940"/>
      <c r="BD2837" s="941"/>
      <c r="BE2837" s="942"/>
      <c r="BF2837" s="943"/>
      <c r="BG2837" s="943"/>
      <c r="BH2837" s="943"/>
      <c r="BI2837" s="943"/>
      <c r="BJ2837" s="943"/>
      <c r="BK2837" s="943"/>
      <c r="BL2837" s="943"/>
      <c r="BM2837" s="943"/>
      <c r="BN2837" s="943"/>
      <c r="BO2837" s="1059"/>
      <c r="BP2837" s="1059"/>
      <c r="BQ2837" s="1059"/>
      <c r="BR2837" s="1059"/>
      <c r="BS2837" s="1059"/>
      <c r="BT2837" s="1059"/>
      <c r="BU2837" s="1059"/>
      <c r="BV2837" s="944"/>
      <c r="BW2837" s="944"/>
      <c r="BX2837" s="1147"/>
      <c r="BY2837" s="944"/>
      <c r="BZ2837" s="944"/>
      <c r="CA2837" s="944"/>
      <c r="CB2837" s="944"/>
    </row>
    <row r="2838" spans="2:80">
      <c r="B2838" s="1097"/>
      <c r="C2838" s="1097"/>
      <c r="D2838" s="1097"/>
      <c r="E2838" s="1097"/>
      <c r="F2838" s="934"/>
      <c r="G2838" s="1098"/>
      <c r="H2838" s="1099"/>
      <c r="I2838" s="1099"/>
      <c r="J2838" s="934"/>
      <c r="K2838" s="934"/>
      <c r="L2838" s="933"/>
      <c r="M2838" s="1100"/>
      <c r="N2838" s="934"/>
      <c r="O2838" s="936"/>
      <c r="P2838" s="936"/>
      <c r="Q2838" s="933"/>
      <c r="T2838" s="1101"/>
      <c r="U2838" s="1102"/>
      <c r="V2838" s="936"/>
      <c r="W2838" s="1103"/>
      <c r="X2838" s="1104"/>
      <c r="Y2838" s="1105"/>
      <c r="Z2838" s="1103"/>
      <c r="AC2838" s="1106"/>
      <c r="AD2838" s="1107"/>
      <c r="AE2838" s="1104"/>
      <c r="AG2838" s="1109"/>
      <c r="AI2838" s="1110"/>
      <c r="AL2838" s="933"/>
      <c r="AM2838" s="933"/>
      <c r="AN2838" s="1100"/>
      <c r="AO2838" s="1100"/>
      <c r="AP2838" s="934"/>
      <c r="AQ2838" s="934"/>
      <c r="AR2838" s="934"/>
      <c r="AS2838" s="936"/>
      <c r="AT2838" s="936"/>
      <c r="AU2838" s="936"/>
      <c r="AV2838" s="937"/>
      <c r="AW2838" s="938"/>
      <c r="AX2838" s="939"/>
      <c r="AY2838" s="933"/>
      <c r="AZ2838" s="936"/>
      <c r="BA2838" s="936"/>
      <c r="BB2838" s="1112"/>
      <c r="BC2838" s="940"/>
      <c r="BD2838" s="941"/>
      <c r="BE2838" s="942"/>
      <c r="BF2838" s="943"/>
      <c r="BG2838" s="943"/>
      <c r="BH2838" s="943"/>
      <c r="BI2838" s="943"/>
      <c r="BJ2838" s="943"/>
      <c r="BK2838" s="943"/>
      <c r="BL2838" s="943"/>
      <c r="BM2838" s="943"/>
      <c r="BN2838" s="943"/>
      <c r="BO2838" s="1059"/>
      <c r="BP2838" s="1059"/>
      <c r="BQ2838" s="1059"/>
      <c r="BR2838" s="1059"/>
      <c r="BS2838" s="1059"/>
      <c r="BT2838" s="1059"/>
      <c r="BU2838" s="1059"/>
      <c r="BV2838" s="944"/>
      <c r="BW2838" s="944"/>
      <c r="BX2838" s="1147"/>
      <c r="BY2838" s="944"/>
      <c r="BZ2838" s="944"/>
      <c r="CA2838" s="944"/>
      <c r="CB2838" s="944"/>
    </row>
    <row r="2839" spans="2:80">
      <c r="B2839" s="1097"/>
      <c r="C2839" s="1097"/>
      <c r="D2839" s="1097"/>
      <c r="E2839" s="1097"/>
      <c r="F2839" s="934"/>
      <c r="G2839" s="1098"/>
      <c r="H2839" s="1099"/>
      <c r="I2839" s="1099"/>
      <c r="J2839" s="934"/>
      <c r="K2839" s="934"/>
      <c r="L2839" s="933"/>
      <c r="M2839" s="1100"/>
      <c r="N2839" s="934"/>
      <c r="O2839" s="936"/>
      <c r="P2839" s="936"/>
      <c r="Q2839" s="933"/>
      <c r="T2839" s="1101"/>
      <c r="U2839" s="1102"/>
      <c r="V2839" s="936"/>
      <c r="W2839" s="1103"/>
      <c r="X2839" s="1104"/>
      <c r="Y2839" s="1105"/>
      <c r="Z2839" s="1103"/>
      <c r="AC2839" s="1106"/>
      <c r="AD2839" s="1107"/>
      <c r="AE2839" s="1104"/>
      <c r="AG2839" s="1109"/>
      <c r="AI2839" s="1110"/>
      <c r="AL2839" s="933"/>
      <c r="AM2839" s="933"/>
      <c r="AN2839" s="1100"/>
      <c r="AO2839" s="1100"/>
      <c r="AP2839" s="934"/>
      <c r="AQ2839" s="934"/>
      <c r="AR2839" s="934"/>
      <c r="AS2839" s="936"/>
      <c r="AT2839" s="936"/>
      <c r="AU2839" s="936"/>
      <c r="AV2839" s="937"/>
      <c r="AW2839" s="938"/>
      <c r="AX2839" s="939"/>
      <c r="AY2839" s="933"/>
      <c r="AZ2839" s="936"/>
      <c r="BA2839" s="936"/>
      <c r="BB2839" s="1112"/>
      <c r="BC2839" s="940"/>
      <c r="BD2839" s="941"/>
      <c r="BE2839" s="942"/>
      <c r="BF2839" s="943"/>
      <c r="BG2839" s="943"/>
      <c r="BH2839" s="943"/>
      <c r="BI2839" s="943"/>
      <c r="BJ2839" s="943"/>
      <c r="BK2839" s="943"/>
      <c r="BL2839" s="943"/>
      <c r="BM2839" s="943"/>
      <c r="BN2839" s="943"/>
      <c r="BO2839" s="1059"/>
      <c r="BP2839" s="1059"/>
      <c r="BQ2839" s="1059"/>
      <c r="BR2839" s="1059"/>
      <c r="BS2839" s="1059"/>
      <c r="BT2839" s="1059"/>
      <c r="BU2839" s="1059"/>
      <c r="BV2839" s="944"/>
      <c r="BW2839" s="944"/>
      <c r="BX2839" s="1147"/>
      <c r="BY2839" s="944"/>
      <c r="BZ2839" s="944"/>
      <c r="CA2839" s="944"/>
      <c r="CB2839" s="944"/>
    </row>
    <row r="2840" spans="2:80">
      <c r="B2840" s="1097"/>
      <c r="C2840" s="1097"/>
      <c r="D2840" s="1097"/>
      <c r="E2840" s="1097"/>
      <c r="F2840" s="934"/>
      <c r="G2840" s="1098"/>
      <c r="H2840" s="1099"/>
      <c r="I2840" s="1099"/>
      <c r="J2840" s="934"/>
      <c r="K2840" s="934"/>
      <c r="L2840" s="933"/>
      <c r="M2840" s="1100"/>
      <c r="N2840" s="934"/>
      <c r="O2840" s="936"/>
      <c r="P2840" s="936"/>
      <c r="Q2840" s="933"/>
      <c r="T2840" s="1101"/>
      <c r="U2840" s="1102"/>
      <c r="V2840" s="936"/>
      <c r="W2840" s="1103"/>
      <c r="X2840" s="1104"/>
      <c r="Y2840" s="1105"/>
      <c r="Z2840" s="1103"/>
      <c r="AC2840" s="1106"/>
      <c r="AD2840" s="1107"/>
      <c r="AE2840" s="1104"/>
      <c r="AG2840" s="1109"/>
      <c r="AI2840" s="1110"/>
      <c r="AL2840" s="933"/>
      <c r="AM2840" s="933"/>
      <c r="AN2840" s="1100"/>
      <c r="AO2840" s="1100"/>
      <c r="AP2840" s="934"/>
      <c r="AQ2840" s="934"/>
      <c r="AR2840" s="934"/>
      <c r="AS2840" s="936"/>
      <c r="AT2840" s="936"/>
      <c r="AU2840" s="936"/>
      <c r="AV2840" s="937"/>
      <c r="AW2840" s="938"/>
      <c r="AX2840" s="939"/>
      <c r="AY2840" s="933"/>
      <c r="AZ2840" s="936"/>
      <c r="BA2840" s="936"/>
      <c r="BB2840" s="1112"/>
      <c r="BC2840" s="940"/>
      <c r="BD2840" s="941"/>
      <c r="BE2840" s="942"/>
      <c r="BF2840" s="943"/>
      <c r="BG2840" s="943"/>
      <c r="BH2840" s="943"/>
      <c r="BI2840" s="943"/>
      <c r="BJ2840" s="943"/>
      <c r="BK2840" s="943"/>
      <c r="BL2840" s="943"/>
      <c r="BM2840" s="943"/>
      <c r="BN2840" s="943"/>
      <c r="BO2840" s="1059"/>
      <c r="BP2840" s="1059"/>
      <c r="BQ2840" s="1059"/>
      <c r="BR2840" s="1059"/>
      <c r="BS2840" s="1059"/>
      <c r="BT2840" s="1059"/>
      <c r="BU2840" s="1059"/>
      <c r="BV2840" s="944"/>
      <c r="BW2840" s="944"/>
      <c r="BX2840" s="1147"/>
      <c r="BY2840" s="944"/>
      <c r="BZ2840" s="944"/>
      <c r="CA2840" s="944"/>
      <c r="CB2840" s="944"/>
    </row>
    <row r="2841" spans="2:80">
      <c r="B2841" s="1097"/>
      <c r="C2841" s="1097"/>
      <c r="D2841" s="1097"/>
      <c r="E2841" s="1097"/>
      <c r="F2841" s="934"/>
      <c r="G2841" s="1098"/>
      <c r="H2841" s="1099"/>
      <c r="I2841" s="1099"/>
      <c r="J2841" s="934"/>
      <c r="K2841" s="934"/>
      <c r="L2841" s="933"/>
      <c r="M2841" s="1100"/>
      <c r="N2841" s="934"/>
      <c r="O2841" s="936"/>
      <c r="P2841" s="936"/>
      <c r="Q2841" s="933"/>
      <c r="T2841" s="1101"/>
      <c r="U2841" s="1102"/>
      <c r="V2841" s="936"/>
      <c r="W2841" s="1103"/>
      <c r="X2841" s="1104"/>
      <c r="Y2841" s="1105"/>
      <c r="Z2841" s="1103"/>
      <c r="AC2841" s="1106"/>
      <c r="AD2841" s="1107"/>
      <c r="AE2841" s="1104"/>
      <c r="AG2841" s="1109"/>
      <c r="AI2841" s="1110"/>
      <c r="AL2841" s="933"/>
      <c r="AM2841" s="933"/>
      <c r="AN2841" s="1100"/>
      <c r="AO2841" s="1100"/>
      <c r="AP2841" s="934"/>
      <c r="AQ2841" s="934"/>
      <c r="AR2841" s="934"/>
      <c r="AS2841" s="936"/>
      <c r="AT2841" s="936"/>
      <c r="AU2841" s="936"/>
      <c r="AV2841" s="937"/>
      <c r="AW2841" s="938"/>
      <c r="AX2841" s="939"/>
      <c r="AY2841" s="933"/>
      <c r="AZ2841" s="936"/>
      <c r="BA2841" s="936"/>
      <c r="BB2841" s="1112"/>
      <c r="BC2841" s="940"/>
      <c r="BD2841" s="941"/>
      <c r="BE2841" s="942"/>
      <c r="BF2841" s="943"/>
      <c r="BG2841" s="943"/>
      <c r="BH2841" s="943"/>
      <c r="BI2841" s="943"/>
      <c r="BJ2841" s="943"/>
      <c r="BK2841" s="943"/>
      <c r="BL2841" s="943"/>
      <c r="BM2841" s="943"/>
      <c r="BN2841" s="943"/>
      <c r="BO2841" s="1059"/>
      <c r="BP2841" s="1059"/>
      <c r="BQ2841" s="1059"/>
      <c r="BR2841" s="1059"/>
      <c r="BS2841" s="1059"/>
      <c r="BT2841" s="1059"/>
      <c r="BU2841" s="1059"/>
      <c r="BV2841" s="944"/>
      <c r="BW2841" s="944"/>
      <c r="BX2841" s="1147"/>
      <c r="BY2841" s="944"/>
      <c r="BZ2841" s="944"/>
      <c r="CA2841" s="944"/>
      <c r="CB2841" s="944"/>
    </row>
    <row r="2842" spans="2:80">
      <c r="B2842" s="1097"/>
      <c r="C2842" s="1097"/>
      <c r="D2842" s="1097"/>
      <c r="E2842" s="1097"/>
      <c r="F2842" s="934"/>
      <c r="G2842" s="1098"/>
      <c r="H2842" s="1099"/>
      <c r="I2842" s="1099"/>
      <c r="J2842" s="934"/>
      <c r="K2842" s="934"/>
      <c r="L2842" s="933"/>
      <c r="M2842" s="1100"/>
      <c r="N2842" s="934"/>
      <c r="O2842" s="936"/>
      <c r="P2842" s="936"/>
      <c r="Q2842" s="933"/>
      <c r="T2842" s="1101"/>
      <c r="U2842" s="1102"/>
      <c r="V2842" s="936"/>
      <c r="W2842" s="1103"/>
      <c r="X2842" s="1104"/>
      <c r="Y2842" s="1105"/>
      <c r="Z2842" s="1103"/>
      <c r="AC2842" s="1106"/>
      <c r="AD2842" s="1107"/>
      <c r="AE2842" s="1104"/>
      <c r="AG2842" s="1109"/>
      <c r="AI2842" s="1110"/>
      <c r="AL2842" s="933"/>
      <c r="AM2842" s="933"/>
      <c r="AN2842" s="1100"/>
      <c r="AO2842" s="1100"/>
      <c r="AP2842" s="934"/>
      <c r="AQ2842" s="934"/>
      <c r="AR2842" s="934"/>
      <c r="AS2842" s="936"/>
      <c r="AT2842" s="936"/>
      <c r="AU2842" s="936"/>
      <c r="AV2842" s="937"/>
      <c r="AW2842" s="938"/>
      <c r="AX2842" s="939"/>
      <c r="AY2842" s="933"/>
      <c r="AZ2842" s="936"/>
      <c r="BA2842" s="936"/>
      <c r="BB2842" s="1112"/>
      <c r="BC2842" s="940"/>
      <c r="BD2842" s="941"/>
      <c r="BE2842" s="942"/>
      <c r="BF2842" s="943"/>
      <c r="BG2842" s="943"/>
      <c r="BH2842" s="943"/>
      <c r="BI2842" s="943"/>
      <c r="BJ2842" s="943"/>
      <c r="BK2842" s="943"/>
      <c r="BL2842" s="943"/>
      <c r="BM2842" s="943"/>
      <c r="BN2842" s="943"/>
      <c r="BO2842" s="1059"/>
      <c r="BP2842" s="1059"/>
      <c r="BQ2842" s="1059"/>
      <c r="BR2842" s="1059"/>
      <c r="BS2842" s="1059"/>
      <c r="BT2842" s="1059"/>
      <c r="BU2842" s="1059"/>
      <c r="BV2842" s="944"/>
      <c r="BW2842" s="944"/>
      <c r="BX2842" s="1147"/>
      <c r="BY2842" s="944"/>
      <c r="BZ2842" s="944"/>
      <c r="CA2842" s="944"/>
      <c r="CB2842" s="944"/>
    </row>
    <row r="2843" spans="2:80">
      <c r="B2843" s="1097"/>
      <c r="C2843" s="1097"/>
      <c r="D2843" s="1097"/>
      <c r="E2843" s="1097"/>
      <c r="F2843" s="934"/>
      <c r="G2843" s="1098"/>
      <c r="H2843" s="1099"/>
      <c r="I2843" s="1099"/>
      <c r="J2843" s="934"/>
      <c r="K2843" s="934"/>
      <c r="L2843" s="933"/>
      <c r="M2843" s="1100"/>
      <c r="N2843" s="934"/>
      <c r="O2843" s="936"/>
      <c r="P2843" s="936"/>
      <c r="Q2843" s="933"/>
      <c r="T2843" s="1101"/>
      <c r="U2843" s="1102"/>
      <c r="V2843" s="936"/>
      <c r="W2843" s="1103"/>
      <c r="X2843" s="1104"/>
      <c r="Y2843" s="1105"/>
      <c r="Z2843" s="1103"/>
      <c r="AC2843" s="1106"/>
      <c r="AD2843" s="1107"/>
      <c r="AE2843" s="1104"/>
      <c r="AG2843" s="1109"/>
      <c r="AI2843" s="1110"/>
      <c r="AL2843" s="933"/>
      <c r="AM2843" s="933"/>
      <c r="AN2843" s="1100"/>
      <c r="AO2843" s="1100"/>
      <c r="AP2843" s="934"/>
      <c r="AQ2843" s="934"/>
      <c r="AR2843" s="934"/>
      <c r="AS2843" s="936"/>
      <c r="AT2843" s="936"/>
      <c r="AU2843" s="936"/>
      <c r="AV2843" s="937"/>
      <c r="AW2843" s="938"/>
      <c r="AX2843" s="939"/>
      <c r="AY2843" s="933"/>
      <c r="AZ2843" s="936"/>
      <c r="BA2843" s="936"/>
      <c r="BB2843" s="1112"/>
      <c r="BC2843" s="940"/>
      <c r="BD2843" s="941"/>
      <c r="BE2843" s="942"/>
      <c r="BF2843" s="943"/>
      <c r="BG2843" s="943"/>
      <c r="BH2843" s="943"/>
      <c r="BI2843" s="943"/>
      <c r="BJ2843" s="943"/>
      <c r="BK2843" s="943"/>
      <c r="BL2843" s="943"/>
      <c r="BM2843" s="943"/>
      <c r="BN2843" s="943"/>
      <c r="BO2843" s="1059"/>
      <c r="BP2843" s="1059"/>
      <c r="BQ2843" s="1059"/>
      <c r="BR2843" s="1059"/>
      <c r="BS2843" s="1059"/>
      <c r="BT2843" s="1059"/>
      <c r="BU2843" s="1059"/>
      <c r="BV2843" s="944"/>
      <c r="BW2843" s="944"/>
      <c r="BX2843" s="1147"/>
      <c r="BY2843" s="944"/>
      <c r="BZ2843" s="944"/>
      <c r="CA2843" s="944"/>
      <c r="CB2843" s="944"/>
    </row>
    <row r="2844" spans="2:80">
      <c r="B2844" s="1097"/>
      <c r="C2844" s="1097"/>
      <c r="D2844" s="1097"/>
      <c r="E2844" s="1097"/>
      <c r="F2844" s="934"/>
      <c r="G2844" s="1098"/>
      <c r="H2844" s="1099"/>
      <c r="I2844" s="1099"/>
      <c r="J2844" s="934"/>
      <c r="K2844" s="934"/>
      <c r="L2844" s="933"/>
      <c r="M2844" s="1100"/>
      <c r="N2844" s="934"/>
      <c r="O2844" s="936"/>
      <c r="P2844" s="936"/>
      <c r="Q2844" s="933"/>
      <c r="T2844" s="1101"/>
      <c r="U2844" s="1102"/>
      <c r="V2844" s="936"/>
      <c r="W2844" s="1103"/>
      <c r="X2844" s="1104"/>
      <c r="Y2844" s="1105"/>
      <c r="Z2844" s="1103"/>
      <c r="AC2844" s="1106"/>
      <c r="AD2844" s="1107"/>
      <c r="AE2844" s="1104"/>
      <c r="AG2844" s="1109"/>
      <c r="AI2844" s="1110"/>
      <c r="AL2844" s="933"/>
      <c r="AM2844" s="933"/>
      <c r="AN2844" s="1100"/>
      <c r="AO2844" s="1100"/>
      <c r="AP2844" s="934"/>
      <c r="AQ2844" s="934"/>
      <c r="AR2844" s="934"/>
      <c r="AS2844" s="936"/>
      <c r="AT2844" s="936"/>
      <c r="AU2844" s="936"/>
      <c r="AV2844" s="937"/>
      <c r="AW2844" s="938"/>
      <c r="AX2844" s="939"/>
      <c r="AY2844" s="933"/>
      <c r="AZ2844" s="936"/>
      <c r="BA2844" s="936"/>
      <c r="BB2844" s="1112"/>
      <c r="BC2844" s="940"/>
      <c r="BD2844" s="941"/>
      <c r="BE2844" s="942"/>
      <c r="BF2844" s="943"/>
      <c r="BG2844" s="943"/>
      <c r="BH2844" s="943"/>
      <c r="BI2844" s="943"/>
      <c r="BJ2844" s="943"/>
      <c r="BK2844" s="943"/>
      <c r="BL2844" s="943"/>
      <c r="BM2844" s="943"/>
      <c r="BN2844" s="943"/>
      <c r="BO2844" s="1059"/>
      <c r="BP2844" s="1059"/>
      <c r="BQ2844" s="1059"/>
      <c r="BR2844" s="1059"/>
      <c r="BS2844" s="1059"/>
      <c r="BT2844" s="1059"/>
      <c r="BU2844" s="1059"/>
      <c r="BV2844" s="944"/>
      <c r="BW2844" s="944"/>
      <c r="BX2844" s="1147"/>
      <c r="BY2844" s="944"/>
      <c r="BZ2844" s="944"/>
      <c r="CA2844" s="944"/>
      <c r="CB2844" s="944"/>
    </row>
    <row r="2845" spans="2:80">
      <c r="B2845" s="1097"/>
      <c r="C2845" s="1097"/>
      <c r="D2845" s="1097"/>
      <c r="E2845" s="1097"/>
      <c r="F2845" s="934"/>
      <c r="G2845" s="1098"/>
      <c r="H2845" s="1099"/>
      <c r="I2845" s="1099"/>
      <c r="J2845" s="934"/>
      <c r="K2845" s="934"/>
      <c r="L2845" s="933"/>
      <c r="M2845" s="1100"/>
      <c r="N2845" s="934"/>
      <c r="O2845" s="936"/>
      <c r="P2845" s="936"/>
      <c r="Q2845" s="933"/>
      <c r="T2845" s="1101"/>
      <c r="U2845" s="1102"/>
      <c r="V2845" s="936"/>
      <c r="W2845" s="1103"/>
      <c r="X2845" s="1104"/>
      <c r="Y2845" s="1105"/>
      <c r="Z2845" s="1103"/>
      <c r="AC2845" s="1106"/>
      <c r="AD2845" s="1107"/>
      <c r="AE2845" s="1104"/>
      <c r="AG2845" s="1109"/>
      <c r="AI2845" s="1110"/>
      <c r="AL2845" s="933"/>
      <c r="AM2845" s="933"/>
      <c r="AN2845" s="1100"/>
      <c r="AO2845" s="1100"/>
      <c r="AP2845" s="934"/>
      <c r="AQ2845" s="934"/>
      <c r="AR2845" s="934"/>
      <c r="AS2845" s="936"/>
      <c r="AT2845" s="936"/>
      <c r="AU2845" s="936"/>
      <c r="AV2845" s="937"/>
      <c r="AW2845" s="938"/>
      <c r="AX2845" s="939"/>
      <c r="AY2845" s="933"/>
      <c r="AZ2845" s="936"/>
      <c r="BA2845" s="936"/>
      <c r="BB2845" s="1112"/>
      <c r="BC2845" s="940"/>
      <c r="BD2845" s="941"/>
      <c r="BE2845" s="942"/>
      <c r="BF2845" s="943"/>
      <c r="BG2845" s="943"/>
      <c r="BH2845" s="943"/>
      <c r="BI2845" s="943"/>
      <c r="BJ2845" s="943"/>
      <c r="BK2845" s="943"/>
      <c r="BL2845" s="943"/>
      <c r="BM2845" s="943"/>
      <c r="BN2845" s="943"/>
      <c r="BO2845" s="1059"/>
      <c r="BP2845" s="1059"/>
      <c r="BQ2845" s="1059"/>
      <c r="BR2845" s="1059"/>
      <c r="BS2845" s="1059"/>
      <c r="BT2845" s="1059"/>
      <c r="BU2845" s="1059"/>
      <c r="BV2845" s="944"/>
      <c r="BW2845" s="944"/>
      <c r="BX2845" s="1147"/>
      <c r="BY2845" s="944"/>
      <c r="BZ2845" s="944"/>
      <c r="CA2845" s="944"/>
      <c r="CB2845" s="944"/>
    </row>
    <row r="2846" spans="2:80">
      <c r="B2846" s="1097"/>
      <c r="C2846" s="1097"/>
      <c r="D2846" s="1097"/>
      <c r="E2846" s="1097"/>
      <c r="F2846" s="934"/>
      <c r="G2846" s="1098"/>
      <c r="H2846" s="1099"/>
      <c r="I2846" s="1099"/>
      <c r="J2846" s="934"/>
      <c r="K2846" s="934"/>
      <c r="L2846" s="933"/>
      <c r="M2846" s="1100"/>
      <c r="N2846" s="934"/>
      <c r="O2846" s="936"/>
      <c r="P2846" s="936"/>
      <c r="Q2846" s="933"/>
      <c r="T2846" s="1101"/>
      <c r="U2846" s="1102"/>
      <c r="V2846" s="936"/>
      <c r="W2846" s="1103"/>
      <c r="X2846" s="1104"/>
      <c r="Y2846" s="1105"/>
      <c r="Z2846" s="1103"/>
      <c r="AC2846" s="1106"/>
      <c r="AD2846" s="1107"/>
      <c r="AE2846" s="1104"/>
      <c r="AG2846" s="1109"/>
      <c r="AI2846" s="1110"/>
      <c r="AL2846" s="933"/>
      <c r="AM2846" s="933"/>
      <c r="AN2846" s="1100"/>
      <c r="AO2846" s="1100"/>
      <c r="AP2846" s="934"/>
      <c r="AQ2846" s="934"/>
      <c r="AR2846" s="934"/>
      <c r="AS2846" s="936"/>
      <c r="AT2846" s="936"/>
      <c r="AU2846" s="936"/>
      <c r="AV2846" s="937"/>
      <c r="AW2846" s="938"/>
      <c r="AX2846" s="939"/>
      <c r="AY2846" s="933"/>
      <c r="AZ2846" s="936"/>
      <c r="BA2846" s="936"/>
      <c r="BB2846" s="1112"/>
      <c r="BC2846" s="940"/>
      <c r="BD2846" s="941"/>
      <c r="BE2846" s="942"/>
      <c r="BF2846" s="943"/>
      <c r="BG2846" s="943"/>
      <c r="BH2846" s="943"/>
      <c r="BI2846" s="943"/>
      <c r="BJ2846" s="943"/>
      <c r="BK2846" s="943"/>
      <c r="BL2846" s="943"/>
      <c r="BM2846" s="943"/>
      <c r="BN2846" s="943"/>
      <c r="BO2846" s="1059"/>
      <c r="BP2846" s="1059"/>
      <c r="BQ2846" s="1059"/>
      <c r="BR2846" s="1059"/>
      <c r="BS2846" s="1059"/>
      <c r="BT2846" s="1059"/>
      <c r="BU2846" s="1059"/>
      <c r="BV2846" s="944"/>
      <c r="BW2846" s="944"/>
      <c r="BX2846" s="1147"/>
      <c r="BY2846" s="944"/>
      <c r="BZ2846" s="944"/>
      <c r="CA2846" s="944"/>
      <c r="CB2846" s="944"/>
    </row>
    <row r="2847" spans="2:80">
      <c r="B2847" s="1097"/>
      <c r="C2847" s="1097"/>
      <c r="D2847" s="1097"/>
      <c r="E2847" s="1097"/>
      <c r="F2847" s="934"/>
      <c r="G2847" s="1098"/>
      <c r="H2847" s="1099"/>
      <c r="I2847" s="1099"/>
      <c r="J2847" s="934"/>
      <c r="K2847" s="934"/>
      <c r="L2847" s="933"/>
      <c r="M2847" s="1100"/>
      <c r="N2847" s="934"/>
      <c r="O2847" s="936"/>
      <c r="P2847" s="936"/>
      <c r="Q2847" s="933"/>
      <c r="T2847" s="1101"/>
      <c r="U2847" s="1102"/>
      <c r="V2847" s="936"/>
      <c r="W2847" s="1103"/>
      <c r="X2847" s="1104"/>
      <c r="Y2847" s="1105"/>
      <c r="Z2847" s="1103"/>
      <c r="AC2847" s="1106"/>
      <c r="AD2847" s="1107"/>
      <c r="AE2847" s="1104"/>
      <c r="AG2847" s="1109"/>
      <c r="AI2847" s="1110"/>
      <c r="AL2847" s="933"/>
      <c r="AM2847" s="933"/>
      <c r="AN2847" s="1100"/>
      <c r="AO2847" s="1100"/>
      <c r="AP2847" s="934"/>
      <c r="AQ2847" s="934"/>
      <c r="AR2847" s="934"/>
      <c r="AS2847" s="936"/>
      <c r="AT2847" s="936"/>
      <c r="AU2847" s="936"/>
      <c r="AV2847" s="937"/>
      <c r="AW2847" s="938"/>
      <c r="AX2847" s="939"/>
      <c r="AY2847" s="933"/>
      <c r="AZ2847" s="936"/>
      <c r="BA2847" s="936"/>
      <c r="BB2847" s="1112"/>
      <c r="BC2847" s="940"/>
      <c r="BD2847" s="941"/>
      <c r="BE2847" s="942"/>
      <c r="BF2847" s="943"/>
      <c r="BG2847" s="943"/>
      <c r="BH2847" s="943"/>
      <c r="BI2847" s="943"/>
      <c r="BJ2847" s="943"/>
      <c r="BK2847" s="943"/>
      <c r="BL2847" s="943"/>
      <c r="BM2847" s="943"/>
      <c r="BN2847" s="943"/>
      <c r="BO2847" s="1059"/>
      <c r="BP2847" s="1059"/>
      <c r="BQ2847" s="1059"/>
      <c r="BR2847" s="1059"/>
      <c r="BS2847" s="1059"/>
      <c r="BT2847" s="1059"/>
      <c r="BU2847" s="1059"/>
      <c r="BV2847" s="944"/>
      <c r="BW2847" s="944"/>
      <c r="BX2847" s="1147"/>
      <c r="BY2847" s="944"/>
      <c r="BZ2847" s="944"/>
      <c r="CA2847" s="944"/>
      <c r="CB2847" s="944"/>
    </row>
    <row r="2848" spans="2:80">
      <c r="B2848" s="1097"/>
      <c r="C2848" s="1097"/>
      <c r="D2848" s="1097"/>
      <c r="E2848" s="1097"/>
      <c r="F2848" s="934"/>
      <c r="G2848" s="1098"/>
      <c r="H2848" s="1099"/>
      <c r="I2848" s="1099"/>
      <c r="J2848" s="934"/>
      <c r="K2848" s="934"/>
      <c r="L2848" s="933"/>
      <c r="M2848" s="1100"/>
      <c r="N2848" s="934"/>
      <c r="O2848" s="936"/>
      <c r="P2848" s="936"/>
      <c r="Q2848" s="933"/>
      <c r="T2848" s="1101"/>
      <c r="U2848" s="1102"/>
      <c r="V2848" s="936"/>
      <c r="W2848" s="1103"/>
      <c r="X2848" s="1104"/>
      <c r="Y2848" s="1105"/>
      <c r="Z2848" s="1103"/>
      <c r="AC2848" s="1106"/>
      <c r="AD2848" s="1107"/>
      <c r="AE2848" s="1104"/>
      <c r="AG2848" s="1109"/>
      <c r="AI2848" s="1110"/>
      <c r="AL2848" s="933"/>
      <c r="AM2848" s="933"/>
      <c r="AN2848" s="1100"/>
      <c r="AO2848" s="1100"/>
      <c r="AP2848" s="934"/>
      <c r="AQ2848" s="934"/>
      <c r="AR2848" s="934"/>
      <c r="AS2848" s="936"/>
      <c r="AT2848" s="936"/>
      <c r="AU2848" s="936"/>
      <c r="AV2848" s="937"/>
      <c r="AW2848" s="938"/>
      <c r="AX2848" s="939"/>
      <c r="AY2848" s="933"/>
      <c r="AZ2848" s="936"/>
      <c r="BA2848" s="936"/>
      <c r="BB2848" s="1112"/>
      <c r="BC2848" s="940"/>
      <c r="BD2848" s="941"/>
      <c r="BE2848" s="942"/>
      <c r="BF2848" s="943"/>
      <c r="BG2848" s="943"/>
      <c r="BH2848" s="943"/>
      <c r="BI2848" s="943"/>
      <c r="BJ2848" s="943"/>
      <c r="BK2848" s="943"/>
      <c r="BL2848" s="943"/>
      <c r="BM2848" s="943"/>
      <c r="BN2848" s="943"/>
      <c r="BO2848" s="1059"/>
      <c r="BP2848" s="1059"/>
      <c r="BQ2848" s="1059"/>
      <c r="BR2848" s="1059"/>
      <c r="BS2848" s="1059"/>
      <c r="BT2848" s="1059"/>
      <c r="BU2848" s="1059"/>
      <c r="BV2848" s="944"/>
      <c r="BW2848" s="944"/>
      <c r="BX2848" s="1147"/>
      <c r="BY2848" s="944"/>
      <c r="BZ2848" s="944"/>
      <c r="CA2848" s="944"/>
      <c r="CB2848" s="944"/>
    </row>
    <row r="2849" spans="2:80">
      <c r="B2849" s="1097"/>
      <c r="C2849" s="1097"/>
      <c r="D2849" s="1097"/>
      <c r="E2849" s="1097"/>
      <c r="F2849" s="934"/>
      <c r="G2849" s="1098"/>
      <c r="H2849" s="1099"/>
      <c r="I2849" s="1099"/>
      <c r="J2849" s="934"/>
      <c r="K2849" s="934"/>
      <c r="L2849" s="933"/>
      <c r="M2849" s="1100"/>
      <c r="N2849" s="934"/>
      <c r="O2849" s="936"/>
      <c r="P2849" s="936"/>
      <c r="Q2849" s="933"/>
      <c r="T2849" s="1101"/>
      <c r="U2849" s="1102"/>
      <c r="V2849" s="936"/>
      <c r="W2849" s="1103"/>
      <c r="X2849" s="1104"/>
      <c r="Y2849" s="1105"/>
      <c r="Z2849" s="1103"/>
      <c r="AC2849" s="1106"/>
      <c r="AD2849" s="1107"/>
      <c r="AE2849" s="1104"/>
      <c r="AG2849" s="1109"/>
      <c r="AI2849" s="1110"/>
      <c r="AL2849" s="933"/>
      <c r="AM2849" s="933"/>
      <c r="AN2849" s="1100"/>
      <c r="AO2849" s="1100"/>
      <c r="AP2849" s="934"/>
      <c r="AQ2849" s="934"/>
      <c r="AR2849" s="934"/>
      <c r="AS2849" s="936"/>
      <c r="AT2849" s="936"/>
      <c r="AU2849" s="936"/>
      <c r="AV2849" s="937"/>
      <c r="AW2849" s="938"/>
      <c r="AX2849" s="939"/>
      <c r="AY2849" s="933"/>
      <c r="AZ2849" s="936"/>
      <c r="BA2849" s="936"/>
      <c r="BB2849" s="1112"/>
      <c r="BC2849" s="940"/>
      <c r="BD2849" s="941"/>
      <c r="BE2849" s="942"/>
      <c r="BF2849" s="943"/>
      <c r="BG2849" s="943"/>
      <c r="BH2849" s="943"/>
      <c r="BI2849" s="943"/>
      <c r="BJ2849" s="943"/>
      <c r="BK2849" s="943"/>
      <c r="BL2849" s="943"/>
      <c r="BM2849" s="943"/>
      <c r="BN2849" s="943"/>
      <c r="BO2849" s="1059"/>
      <c r="BP2849" s="1059"/>
      <c r="BQ2849" s="1059"/>
      <c r="BR2849" s="1059"/>
      <c r="BS2849" s="1059"/>
      <c r="BT2849" s="1059"/>
      <c r="BU2849" s="1059"/>
      <c r="BV2849" s="944"/>
      <c r="BW2849" s="944"/>
      <c r="BX2849" s="1147"/>
      <c r="BY2849" s="944"/>
      <c r="BZ2849" s="944"/>
      <c r="CA2849" s="944"/>
      <c r="CB2849" s="944"/>
    </row>
    <row r="2850" spans="2:80">
      <c r="B2850" s="1097"/>
      <c r="C2850" s="1097"/>
      <c r="D2850" s="1097"/>
      <c r="E2850" s="1097"/>
      <c r="F2850" s="934"/>
      <c r="G2850" s="1098"/>
      <c r="H2850" s="1099"/>
      <c r="I2850" s="1099"/>
      <c r="J2850" s="934"/>
      <c r="K2850" s="934"/>
      <c r="L2850" s="933"/>
      <c r="M2850" s="1100"/>
      <c r="N2850" s="934"/>
      <c r="O2850" s="936"/>
      <c r="P2850" s="936"/>
      <c r="Q2850" s="933"/>
      <c r="T2850" s="1101"/>
      <c r="U2850" s="1102"/>
      <c r="V2850" s="936"/>
      <c r="W2850" s="1103"/>
      <c r="X2850" s="1104"/>
      <c r="Y2850" s="1105"/>
      <c r="Z2850" s="1103"/>
      <c r="AC2850" s="1106"/>
      <c r="AD2850" s="1107"/>
      <c r="AE2850" s="1104"/>
      <c r="AG2850" s="1109"/>
      <c r="AI2850" s="1110"/>
      <c r="AL2850" s="933"/>
      <c r="AM2850" s="933"/>
      <c r="AN2850" s="1100"/>
      <c r="AO2850" s="1100"/>
      <c r="AP2850" s="934"/>
      <c r="AQ2850" s="934"/>
      <c r="AR2850" s="934"/>
      <c r="AS2850" s="936"/>
      <c r="AT2850" s="936"/>
      <c r="AU2850" s="936"/>
      <c r="AV2850" s="937"/>
      <c r="AW2850" s="938"/>
      <c r="AX2850" s="939"/>
      <c r="AY2850" s="933"/>
      <c r="AZ2850" s="936"/>
      <c r="BA2850" s="936"/>
      <c r="BB2850" s="1112"/>
      <c r="BC2850" s="940"/>
      <c r="BD2850" s="941"/>
      <c r="BE2850" s="942"/>
      <c r="BF2850" s="943"/>
      <c r="BG2850" s="943"/>
      <c r="BH2850" s="943"/>
      <c r="BI2850" s="943"/>
      <c r="BJ2850" s="943"/>
      <c r="BK2850" s="943"/>
      <c r="BL2850" s="943"/>
      <c r="BM2850" s="943"/>
      <c r="BN2850" s="943"/>
      <c r="BO2850" s="1059"/>
      <c r="BP2850" s="1059"/>
      <c r="BQ2850" s="1059"/>
      <c r="BR2850" s="1059"/>
      <c r="BS2850" s="1059"/>
      <c r="BT2850" s="1059"/>
      <c r="BU2850" s="1059"/>
      <c r="BV2850" s="944"/>
      <c r="BW2850" s="944"/>
      <c r="BX2850" s="1147"/>
      <c r="BY2850" s="944"/>
      <c r="BZ2850" s="944"/>
      <c r="CA2850" s="944"/>
      <c r="CB2850" s="944"/>
    </row>
    <row r="2851" spans="2:80">
      <c r="B2851" s="1097"/>
      <c r="C2851" s="1097"/>
      <c r="D2851" s="1097"/>
      <c r="E2851" s="1097"/>
      <c r="F2851" s="934"/>
      <c r="G2851" s="1098"/>
      <c r="H2851" s="1099"/>
      <c r="I2851" s="1099"/>
      <c r="J2851" s="934"/>
      <c r="K2851" s="934"/>
      <c r="L2851" s="933"/>
      <c r="M2851" s="1100"/>
      <c r="N2851" s="934"/>
      <c r="O2851" s="936"/>
      <c r="P2851" s="936"/>
      <c r="Q2851" s="933"/>
      <c r="T2851" s="1101"/>
      <c r="U2851" s="1102"/>
      <c r="V2851" s="936"/>
      <c r="W2851" s="1103"/>
      <c r="X2851" s="1104"/>
      <c r="Y2851" s="1105"/>
      <c r="Z2851" s="1103"/>
      <c r="AC2851" s="1106"/>
      <c r="AD2851" s="1107"/>
      <c r="AE2851" s="1104"/>
      <c r="AG2851" s="1109"/>
      <c r="AI2851" s="1110"/>
      <c r="AL2851" s="933"/>
      <c r="AM2851" s="933"/>
      <c r="AN2851" s="1100"/>
      <c r="AO2851" s="1100"/>
      <c r="AP2851" s="934"/>
      <c r="AQ2851" s="934"/>
      <c r="AR2851" s="934"/>
      <c r="AS2851" s="936"/>
      <c r="AT2851" s="936"/>
      <c r="AU2851" s="936"/>
      <c r="AV2851" s="937"/>
      <c r="AW2851" s="938"/>
      <c r="AX2851" s="939"/>
      <c r="AY2851" s="933"/>
      <c r="AZ2851" s="936"/>
      <c r="BA2851" s="936"/>
      <c r="BB2851" s="1112"/>
      <c r="BC2851" s="940"/>
      <c r="BD2851" s="941"/>
      <c r="BE2851" s="942"/>
      <c r="BF2851" s="943"/>
      <c r="BG2851" s="943"/>
      <c r="BH2851" s="943"/>
      <c r="BI2851" s="943"/>
      <c r="BJ2851" s="943"/>
      <c r="BK2851" s="943"/>
      <c r="BL2851" s="943"/>
      <c r="BM2851" s="943"/>
      <c r="BN2851" s="943"/>
      <c r="BO2851" s="1059"/>
      <c r="BP2851" s="1059"/>
      <c r="BQ2851" s="1059"/>
      <c r="BR2851" s="1059"/>
      <c r="BS2851" s="1059"/>
      <c r="BT2851" s="1059"/>
      <c r="BU2851" s="1059"/>
      <c r="BV2851" s="944"/>
      <c r="BW2851" s="944"/>
      <c r="BX2851" s="1147"/>
      <c r="BY2851" s="944"/>
      <c r="BZ2851" s="944"/>
      <c r="CA2851" s="944"/>
      <c r="CB2851" s="944"/>
    </row>
    <row r="2852" spans="2:80">
      <c r="B2852" s="1097"/>
      <c r="C2852" s="1097"/>
      <c r="D2852" s="1097"/>
      <c r="E2852" s="1097"/>
      <c r="F2852" s="934"/>
      <c r="G2852" s="1098"/>
      <c r="H2852" s="1099"/>
      <c r="I2852" s="1099"/>
      <c r="J2852" s="934"/>
      <c r="K2852" s="934"/>
      <c r="L2852" s="933"/>
      <c r="M2852" s="1100"/>
      <c r="N2852" s="934"/>
      <c r="O2852" s="936"/>
      <c r="P2852" s="936"/>
      <c r="Q2852" s="933"/>
      <c r="T2852" s="1101"/>
      <c r="U2852" s="1102"/>
      <c r="V2852" s="936"/>
      <c r="W2852" s="1103"/>
      <c r="X2852" s="1104"/>
      <c r="Y2852" s="1105"/>
      <c r="Z2852" s="1103"/>
      <c r="AC2852" s="1106"/>
      <c r="AD2852" s="1107"/>
      <c r="AE2852" s="1104"/>
      <c r="AG2852" s="1109"/>
      <c r="AI2852" s="1110"/>
      <c r="AL2852" s="933"/>
      <c r="AM2852" s="933"/>
      <c r="AN2852" s="1100"/>
      <c r="AO2852" s="1100"/>
      <c r="AP2852" s="934"/>
      <c r="AQ2852" s="934"/>
      <c r="AR2852" s="934"/>
      <c r="AS2852" s="936"/>
      <c r="AT2852" s="936"/>
      <c r="AU2852" s="936"/>
      <c r="AV2852" s="937"/>
      <c r="AW2852" s="938"/>
      <c r="AX2852" s="939"/>
      <c r="AY2852" s="933"/>
      <c r="AZ2852" s="936"/>
      <c r="BA2852" s="936"/>
      <c r="BB2852" s="1112"/>
      <c r="BC2852" s="940"/>
      <c r="BD2852" s="941"/>
      <c r="BE2852" s="942"/>
      <c r="BF2852" s="943"/>
      <c r="BG2852" s="943"/>
      <c r="BH2852" s="943"/>
      <c r="BI2852" s="943"/>
      <c r="BJ2852" s="943"/>
      <c r="BK2852" s="943"/>
      <c r="BL2852" s="943"/>
      <c r="BM2852" s="943"/>
      <c r="BN2852" s="943"/>
      <c r="BO2852" s="1059"/>
      <c r="BP2852" s="1059"/>
      <c r="BQ2852" s="1059"/>
      <c r="BR2852" s="1059"/>
      <c r="BS2852" s="1059"/>
      <c r="BT2852" s="1059"/>
      <c r="BU2852" s="1059"/>
      <c r="BV2852" s="944"/>
      <c r="BW2852" s="944"/>
      <c r="BX2852" s="1147"/>
      <c r="BY2852" s="944"/>
      <c r="BZ2852" s="944"/>
      <c r="CA2852" s="944"/>
      <c r="CB2852" s="944"/>
    </row>
    <row r="2853" spans="2:80">
      <c r="B2853" s="1097"/>
      <c r="C2853" s="1097"/>
      <c r="D2853" s="1097"/>
      <c r="E2853" s="1097"/>
      <c r="F2853" s="934"/>
      <c r="G2853" s="1098"/>
      <c r="H2853" s="1099"/>
      <c r="I2853" s="1099"/>
      <c r="J2853" s="934"/>
      <c r="K2853" s="934"/>
      <c r="L2853" s="933"/>
      <c r="M2853" s="1100"/>
      <c r="N2853" s="934"/>
      <c r="O2853" s="936"/>
      <c r="P2853" s="936"/>
      <c r="Q2853" s="933"/>
      <c r="T2853" s="1101"/>
      <c r="U2853" s="1102"/>
      <c r="V2853" s="936"/>
      <c r="W2853" s="1103"/>
      <c r="X2853" s="1104"/>
      <c r="Y2853" s="1105"/>
      <c r="Z2853" s="1103"/>
      <c r="AC2853" s="1106"/>
      <c r="AD2853" s="1107"/>
      <c r="AE2853" s="1104"/>
      <c r="AG2853" s="1109"/>
      <c r="AI2853" s="1110"/>
      <c r="AL2853" s="933"/>
      <c r="AM2853" s="933"/>
      <c r="AN2853" s="1100"/>
      <c r="AO2853" s="1100"/>
      <c r="AP2853" s="934"/>
      <c r="AQ2853" s="934"/>
      <c r="AR2853" s="934"/>
      <c r="AS2853" s="936"/>
      <c r="AT2853" s="936"/>
      <c r="AU2853" s="936"/>
      <c r="AV2853" s="937"/>
      <c r="AW2853" s="938"/>
      <c r="AX2853" s="939"/>
      <c r="AY2853" s="933"/>
      <c r="AZ2853" s="936"/>
      <c r="BA2853" s="936"/>
      <c r="BB2853" s="1112"/>
      <c r="BC2853" s="940"/>
      <c r="BD2853" s="941"/>
      <c r="BE2853" s="942"/>
      <c r="BF2853" s="943"/>
      <c r="BG2853" s="943"/>
      <c r="BH2853" s="943"/>
      <c r="BI2853" s="943"/>
      <c r="BJ2853" s="943"/>
      <c r="BK2853" s="943"/>
      <c r="BL2853" s="943"/>
      <c r="BM2853" s="943"/>
      <c r="BN2853" s="943"/>
      <c r="BO2853" s="1059"/>
      <c r="BP2853" s="1059"/>
      <c r="BQ2853" s="1059"/>
      <c r="BR2853" s="1059"/>
      <c r="BS2853" s="1059"/>
      <c r="BT2853" s="1059"/>
      <c r="BU2853" s="1059"/>
      <c r="BV2853" s="944"/>
      <c r="BW2853" s="944"/>
      <c r="BX2853" s="1147"/>
      <c r="BY2853" s="944"/>
      <c r="BZ2853" s="944"/>
      <c r="CA2853" s="944"/>
      <c r="CB2853" s="944"/>
    </row>
    <row r="2854" spans="2:80">
      <c r="B2854" s="1097"/>
      <c r="C2854" s="1097"/>
      <c r="D2854" s="1097"/>
      <c r="E2854" s="1097"/>
      <c r="F2854" s="934"/>
      <c r="G2854" s="1098"/>
      <c r="H2854" s="1099"/>
      <c r="I2854" s="1099"/>
      <c r="J2854" s="934"/>
      <c r="K2854" s="934"/>
      <c r="L2854" s="933"/>
      <c r="M2854" s="1100"/>
      <c r="N2854" s="934"/>
      <c r="O2854" s="936"/>
      <c r="P2854" s="936"/>
      <c r="Q2854" s="933"/>
      <c r="T2854" s="1101"/>
      <c r="U2854" s="1102"/>
      <c r="V2854" s="936"/>
      <c r="W2854" s="1103"/>
      <c r="X2854" s="1104"/>
      <c r="Y2854" s="1105"/>
      <c r="Z2854" s="1103"/>
      <c r="AC2854" s="1106"/>
      <c r="AD2854" s="1107"/>
      <c r="AE2854" s="1104"/>
      <c r="AG2854" s="1109"/>
      <c r="AI2854" s="1110"/>
      <c r="AL2854" s="933"/>
      <c r="AM2854" s="933"/>
      <c r="AN2854" s="1100"/>
      <c r="AO2854" s="1100"/>
      <c r="AP2854" s="934"/>
      <c r="AQ2854" s="934"/>
      <c r="AR2854" s="934"/>
      <c r="AS2854" s="936"/>
      <c r="AT2854" s="936"/>
      <c r="AU2854" s="936"/>
      <c r="AV2854" s="937"/>
      <c r="AW2854" s="938"/>
      <c r="AX2854" s="939"/>
      <c r="AY2854" s="933"/>
      <c r="AZ2854" s="936"/>
      <c r="BA2854" s="936"/>
      <c r="BB2854" s="1112"/>
      <c r="BC2854" s="940"/>
      <c r="BD2854" s="941"/>
      <c r="BE2854" s="942"/>
      <c r="BF2854" s="943"/>
      <c r="BG2854" s="943"/>
      <c r="BH2854" s="943"/>
      <c r="BI2854" s="943"/>
      <c r="BJ2854" s="943"/>
      <c r="BK2854" s="943"/>
      <c r="BL2854" s="943"/>
      <c r="BM2854" s="943"/>
      <c r="BN2854" s="943"/>
      <c r="BO2854" s="1059"/>
      <c r="BP2854" s="1059"/>
      <c r="BQ2854" s="1059"/>
      <c r="BR2854" s="1059"/>
      <c r="BS2854" s="1059"/>
      <c r="BT2854" s="1059"/>
      <c r="BU2854" s="1059"/>
      <c r="BV2854" s="944"/>
      <c r="BW2854" s="944"/>
      <c r="BX2854" s="1147"/>
      <c r="BY2854" s="944"/>
      <c r="BZ2854" s="944"/>
      <c r="CA2854" s="944"/>
      <c r="CB2854" s="944"/>
    </row>
    <row r="2855" spans="2:80">
      <c r="B2855" s="1097"/>
      <c r="C2855" s="1097"/>
      <c r="D2855" s="1097"/>
      <c r="E2855" s="1097"/>
      <c r="F2855" s="934"/>
      <c r="G2855" s="1098"/>
      <c r="H2855" s="1099"/>
      <c r="I2855" s="1099"/>
      <c r="J2855" s="934"/>
      <c r="K2855" s="934"/>
      <c r="L2855" s="933"/>
      <c r="M2855" s="1100"/>
      <c r="N2855" s="934"/>
      <c r="O2855" s="936"/>
      <c r="P2855" s="936"/>
      <c r="Q2855" s="933"/>
      <c r="T2855" s="1101"/>
      <c r="U2855" s="1102"/>
      <c r="V2855" s="936"/>
      <c r="W2855" s="1103"/>
      <c r="X2855" s="1104"/>
      <c r="Y2855" s="1105"/>
      <c r="Z2855" s="1103"/>
      <c r="AC2855" s="1106"/>
      <c r="AD2855" s="1107"/>
      <c r="AE2855" s="1104"/>
      <c r="AG2855" s="1109"/>
      <c r="AI2855" s="1110"/>
      <c r="AL2855" s="933"/>
      <c r="AM2855" s="933"/>
      <c r="AN2855" s="1100"/>
      <c r="AO2855" s="1100"/>
      <c r="AP2855" s="934"/>
      <c r="AQ2855" s="934"/>
      <c r="AR2855" s="934"/>
      <c r="AS2855" s="936"/>
      <c r="AT2855" s="936"/>
      <c r="AU2855" s="936"/>
      <c r="AV2855" s="937"/>
      <c r="AW2855" s="938"/>
      <c r="AX2855" s="939"/>
      <c r="AY2855" s="933"/>
      <c r="AZ2855" s="936"/>
      <c r="BA2855" s="936"/>
      <c r="BB2855" s="1112"/>
      <c r="BC2855" s="940"/>
      <c r="BD2855" s="941"/>
      <c r="BE2855" s="942"/>
      <c r="BF2855" s="943"/>
      <c r="BG2855" s="943"/>
      <c r="BH2855" s="943"/>
      <c r="BI2855" s="943"/>
      <c r="BJ2855" s="943"/>
      <c r="BK2855" s="943"/>
      <c r="BL2855" s="943"/>
      <c r="BM2855" s="943"/>
      <c r="BN2855" s="943"/>
      <c r="BO2855" s="1059"/>
      <c r="BP2855" s="1059"/>
      <c r="BQ2855" s="1059"/>
      <c r="BR2855" s="1059"/>
      <c r="BS2855" s="1059"/>
      <c r="BT2855" s="1059"/>
      <c r="BU2855" s="1059"/>
      <c r="BV2855" s="944"/>
      <c r="BW2855" s="944"/>
      <c r="BX2855" s="1147"/>
      <c r="BY2855" s="944"/>
      <c r="BZ2855" s="944"/>
      <c r="CA2855" s="944"/>
      <c r="CB2855" s="944"/>
    </row>
    <row r="2856" spans="2:80">
      <c r="B2856" s="1097"/>
      <c r="C2856" s="1097"/>
      <c r="D2856" s="1097"/>
      <c r="E2856" s="1097"/>
      <c r="F2856" s="934"/>
      <c r="G2856" s="1098"/>
      <c r="H2856" s="1099"/>
      <c r="I2856" s="1099"/>
      <c r="J2856" s="934"/>
      <c r="K2856" s="934"/>
      <c r="L2856" s="933"/>
      <c r="M2856" s="1100"/>
      <c r="N2856" s="934"/>
      <c r="O2856" s="936"/>
      <c r="P2856" s="936"/>
      <c r="Q2856" s="933"/>
      <c r="T2856" s="1101"/>
      <c r="U2856" s="1102"/>
      <c r="V2856" s="936"/>
      <c r="W2856" s="1103"/>
      <c r="X2856" s="1104"/>
      <c r="Y2856" s="1105"/>
      <c r="Z2856" s="1103"/>
      <c r="AC2856" s="1106"/>
      <c r="AD2856" s="1107"/>
      <c r="AE2856" s="1104"/>
      <c r="AG2856" s="1109"/>
      <c r="AI2856" s="1110"/>
      <c r="AL2856" s="933"/>
      <c r="AM2856" s="933"/>
      <c r="AN2856" s="1100"/>
      <c r="AO2856" s="1100"/>
      <c r="AP2856" s="934"/>
      <c r="AQ2856" s="934"/>
      <c r="AR2856" s="934"/>
      <c r="AS2856" s="936"/>
      <c r="AT2856" s="936"/>
      <c r="AU2856" s="936"/>
      <c r="AV2856" s="937"/>
      <c r="AW2856" s="938"/>
      <c r="AX2856" s="939"/>
      <c r="AY2856" s="933"/>
      <c r="AZ2856" s="936"/>
      <c r="BA2856" s="936"/>
      <c r="BB2856" s="1112"/>
      <c r="BC2856" s="940"/>
      <c r="BD2856" s="941"/>
      <c r="BE2856" s="942"/>
      <c r="BF2856" s="943"/>
      <c r="BG2856" s="943"/>
      <c r="BH2856" s="943"/>
      <c r="BI2856" s="943"/>
      <c r="BJ2856" s="943"/>
      <c r="BK2856" s="943"/>
      <c r="BL2856" s="943"/>
      <c r="BM2856" s="943"/>
      <c r="BN2856" s="943"/>
      <c r="BO2856" s="1059"/>
      <c r="BP2856" s="1059"/>
      <c r="BQ2856" s="1059"/>
      <c r="BR2856" s="1059"/>
      <c r="BS2856" s="1059"/>
      <c r="BT2856" s="1059"/>
      <c r="BU2856" s="1059"/>
      <c r="BV2856" s="944"/>
      <c r="BW2856" s="944"/>
      <c r="BX2856" s="1147"/>
      <c r="BY2856" s="944"/>
      <c r="BZ2856" s="944"/>
      <c r="CA2856" s="944"/>
      <c r="CB2856" s="944"/>
    </row>
    <row r="2857" spans="2:80">
      <c r="B2857" s="1097"/>
      <c r="C2857" s="1097"/>
      <c r="D2857" s="1097"/>
      <c r="E2857" s="1097"/>
      <c r="F2857" s="934"/>
      <c r="G2857" s="1098"/>
      <c r="H2857" s="1099"/>
      <c r="I2857" s="1099"/>
      <c r="J2857" s="934"/>
      <c r="K2857" s="934"/>
      <c r="L2857" s="933"/>
      <c r="M2857" s="1100"/>
      <c r="N2857" s="934"/>
      <c r="O2857" s="936"/>
      <c r="P2857" s="936"/>
      <c r="Q2857" s="933"/>
      <c r="T2857" s="1101"/>
      <c r="U2857" s="1102"/>
      <c r="V2857" s="936"/>
      <c r="W2857" s="1103"/>
      <c r="X2857" s="1104"/>
      <c r="Y2857" s="1105"/>
      <c r="Z2857" s="1103"/>
      <c r="AC2857" s="1106"/>
      <c r="AD2857" s="1107"/>
      <c r="AE2857" s="1104"/>
      <c r="AG2857" s="1109"/>
      <c r="AI2857" s="1110"/>
      <c r="AL2857" s="933"/>
      <c r="AM2857" s="933"/>
      <c r="AN2857" s="1100"/>
      <c r="AO2857" s="1100"/>
      <c r="AP2857" s="934"/>
      <c r="AQ2857" s="934"/>
      <c r="AR2857" s="934"/>
      <c r="AS2857" s="936"/>
      <c r="AT2857" s="936"/>
      <c r="AU2857" s="936"/>
      <c r="AV2857" s="937"/>
      <c r="AW2857" s="938"/>
      <c r="AX2857" s="939"/>
      <c r="AY2857" s="933"/>
      <c r="AZ2857" s="936"/>
      <c r="BA2857" s="936"/>
      <c r="BB2857" s="1112"/>
      <c r="BC2857" s="940"/>
      <c r="BD2857" s="941"/>
      <c r="BE2857" s="942"/>
      <c r="BF2857" s="943"/>
      <c r="BG2857" s="943"/>
      <c r="BH2857" s="943"/>
      <c r="BI2857" s="943"/>
      <c r="BJ2857" s="943"/>
      <c r="BK2857" s="943"/>
      <c r="BL2857" s="943"/>
      <c r="BM2857" s="943"/>
      <c r="BN2857" s="943"/>
      <c r="BO2857" s="1059"/>
      <c r="BP2857" s="1059"/>
      <c r="BQ2857" s="1059"/>
      <c r="BR2857" s="1059"/>
      <c r="BS2857" s="1059"/>
      <c r="BT2857" s="1059"/>
      <c r="BU2857" s="1059"/>
      <c r="BV2857" s="944"/>
      <c r="BW2857" s="944"/>
      <c r="BX2857" s="1147"/>
      <c r="BY2857" s="944"/>
      <c r="BZ2857" s="944"/>
      <c r="CA2857" s="944"/>
      <c r="CB2857" s="944"/>
    </row>
    <row r="2858" spans="2:80">
      <c r="B2858" s="1097"/>
      <c r="C2858" s="1097"/>
      <c r="D2858" s="1097"/>
      <c r="E2858" s="1097"/>
      <c r="F2858" s="934"/>
      <c r="G2858" s="1098"/>
      <c r="H2858" s="1099"/>
      <c r="I2858" s="1099"/>
      <c r="J2858" s="934"/>
      <c r="K2858" s="934"/>
      <c r="L2858" s="933"/>
      <c r="M2858" s="1100"/>
      <c r="N2858" s="934"/>
      <c r="O2858" s="936"/>
      <c r="P2858" s="936"/>
      <c r="Q2858" s="933"/>
      <c r="T2858" s="1101"/>
      <c r="U2858" s="1102"/>
      <c r="V2858" s="936"/>
      <c r="W2858" s="1103"/>
      <c r="X2858" s="1104"/>
      <c r="Y2858" s="1105"/>
      <c r="Z2858" s="1103"/>
      <c r="AC2858" s="1106"/>
      <c r="AD2858" s="1107"/>
      <c r="AE2858" s="1104"/>
      <c r="AG2858" s="1109"/>
      <c r="AI2858" s="1110"/>
      <c r="AL2858" s="933"/>
      <c r="AM2858" s="933"/>
      <c r="AN2858" s="1100"/>
      <c r="AO2858" s="1100"/>
      <c r="AP2858" s="934"/>
      <c r="AQ2858" s="934"/>
      <c r="AR2858" s="934"/>
      <c r="AS2858" s="936"/>
      <c r="AT2858" s="936"/>
      <c r="AU2858" s="936"/>
      <c r="AV2858" s="937"/>
      <c r="AW2858" s="938"/>
      <c r="AX2858" s="939"/>
      <c r="AY2858" s="933"/>
      <c r="AZ2858" s="936"/>
      <c r="BA2858" s="936"/>
      <c r="BB2858" s="1112"/>
      <c r="BC2858" s="940"/>
      <c r="BD2858" s="941"/>
      <c r="BE2858" s="942"/>
      <c r="BF2858" s="943"/>
      <c r="BG2858" s="943"/>
      <c r="BH2858" s="943"/>
      <c r="BI2858" s="943"/>
      <c r="BJ2858" s="943"/>
      <c r="BK2858" s="943"/>
      <c r="BL2858" s="943"/>
      <c r="BM2858" s="943"/>
      <c r="BN2858" s="943"/>
      <c r="BO2858" s="1059"/>
      <c r="BP2858" s="1059"/>
      <c r="BQ2858" s="1059"/>
      <c r="BR2858" s="1059"/>
      <c r="BS2858" s="1059"/>
      <c r="BT2858" s="1059"/>
      <c r="BU2858" s="1059"/>
      <c r="BV2858" s="944"/>
      <c r="BW2858" s="944"/>
      <c r="BX2858" s="1147"/>
      <c r="BY2858" s="944"/>
      <c r="BZ2858" s="944"/>
      <c r="CA2858" s="944"/>
      <c r="CB2858" s="944"/>
    </row>
    <row r="2859" spans="2:80">
      <c r="B2859" s="1097"/>
      <c r="C2859" s="1097"/>
      <c r="D2859" s="1097"/>
      <c r="E2859" s="1097"/>
      <c r="F2859" s="934"/>
      <c r="G2859" s="1098"/>
      <c r="H2859" s="1099"/>
      <c r="I2859" s="1099"/>
      <c r="J2859" s="934"/>
      <c r="K2859" s="934"/>
      <c r="L2859" s="933"/>
      <c r="M2859" s="1100"/>
      <c r="N2859" s="934"/>
      <c r="O2859" s="936"/>
      <c r="P2859" s="936"/>
      <c r="Q2859" s="933"/>
      <c r="T2859" s="1101"/>
      <c r="U2859" s="1102"/>
      <c r="V2859" s="936"/>
      <c r="W2859" s="1103"/>
      <c r="X2859" s="1104"/>
      <c r="Y2859" s="1105"/>
      <c r="Z2859" s="1103"/>
      <c r="AC2859" s="1106"/>
      <c r="AD2859" s="1107"/>
      <c r="AE2859" s="1104"/>
      <c r="AG2859" s="1109"/>
      <c r="AI2859" s="1110"/>
      <c r="AL2859" s="933"/>
      <c r="AM2859" s="933"/>
      <c r="AN2859" s="1100"/>
      <c r="AO2859" s="1100"/>
      <c r="AP2859" s="934"/>
      <c r="AQ2859" s="934"/>
      <c r="AR2859" s="934"/>
      <c r="AS2859" s="936"/>
      <c r="AT2859" s="936"/>
      <c r="AU2859" s="936"/>
      <c r="AV2859" s="937"/>
      <c r="AW2859" s="938"/>
      <c r="AX2859" s="939"/>
      <c r="AY2859" s="933"/>
      <c r="AZ2859" s="936"/>
      <c r="BA2859" s="936"/>
      <c r="BB2859" s="1112"/>
      <c r="BC2859" s="940"/>
      <c r="BD2859" s="941"/>
      <c r="BE2859" s="942"/>
      <c r="BF2859" s="943"/>
      <c r="BG2859" s="943"/>
      <c r="BH2859" s="943"/>
      <c r="BI2859" s="943"/>
      <c r="BJ2859" s="943"/>
      <c r="BK2859" s="943"/>
      <c r="BL2859" s="943"/>
      <c r="BM2859" s="943"/>
      <c r="BN2859" s="943"/>
      <c r="BO2859" s="1059"/>
      <c r="BP2859" s="1059"/>
      <c r="BQ2859" s="1059"/>
      <c r="BR2859" s="1059"/>
      <c r="BS2859" s="1059"/>
      <c r="BT2859" s="1059"/>
      <c r="BU2859" s="1059"/>
      <c r="BV2859" s="944"/>
      <c r="BW2859" s="944"/>
      <c r="BX2859" s="1147"/>
      <c r="BY2859" s="944"/>
      <c r="BZ2859" s="944"/>
      <c r="CA2859" s="944"/>
      <c r="CB2859" s="944"/>
    </row>
    <row r="2860" spans="2:80">
      <c r="B2860" s="1097"/>
      <c r="C2860" s="1097"/>
      <c r="D2860" s="1097"/>
      <c r="E2860" s="1097"/>
      <c r="F2860" s="934"/>
      <c r="G2860" s="1098"/>
      <c r="H2860" s="1099"/>
      <c r="I2860" s="1099"/>
      <c r="J2860" s="934"/>
      <c r="K2860" s="934"/>
      <c r="L2860" s="933"/>
      <c r="M2860" s="1100"/>
      <c r="N2860" s="934"/>
      <c r="O2860" s="936"/>
      <c r="P2860" s="936"/>
      <c r="Q2860" s="933"/>
      <c r="T2860" s="1101"/>
      <c r="U2860" s="1102"/>
      <c r="V2860" s="936"/>
      <c r="W2860" s="1103"/>
      <c r="X2860" s="1104"/>
      <c r="Y2860" s="1105"/>
      <c r="Z2860" s="1103"/>
      <c r="AC2860" s="1106"/>
      <c r="AD2860" s="1107"/>
      <c r="AE2860" s="1104"/>
      <c r="AG2860" s="1109"/>
      <c r="AI2860" s="1110"/>
      <c r="AL2860" s="933"/>
      <c r="AM2860" s="933"/>
      <c r="AN2860" s="1100"/>
      <c r="AO2860" s="1100"/>
      <c r="AP2860" s="934"/>
      <c r="AQ2860" s="934"/>
      <c r="AR2860" s="934"/>
      <c r="AS2860" s="936"/>
      <c r="AT2860" s="936"/>
      <c r="AU2860" s="936"/>
      <c r="AV2860" s="937"/>
      <c r="AW2860" s="938"/>
      <c r="AX2860" s="939"/>
      <c r="AY2860" s="933"/>
      <c r="AZ2860" s="936"/>
      <c r="BA2860" s="936"/>
      <c r="BB2860" s="1112"/>
      <c r="BC2860" s="940"/>
      <c r="BD2860" s="941"/>
      <c r="BE2860" s="942"/>
      <c r="BF2860" s="943"/>
      <c r="BG2860" s="943"/>
      <c r="BH2860" s="943"/>
      <c r="BI2860" s="943"/>
      <c r="BJ2860" s="943"/>
      <c r="BK2860" s="943"/>
      <c r="BL2860" s="943"/>
      <c r="BM2860" s="943"/>
      <c r="BN2860" s="943"/>
      <c r="BO2860" s="1059"/>
      <c r="BP2860" s="1059"/>
      <c r="BQ2860" s="1059"/>
      <c r="BR2860" s="1059"/>
      <c r="BS2860" s="1059"/>
      <c r="BT2860" s="1059"/>
      <c r="BU2860" s="1059"/>
      <c r="BV2860" s="944"/>
      <c r="BW2860" s="944"/>
      <c r="BX2860" s="1147"/>
      <c r="BY2860" s="944"/>
      <c r="BZ2860" s="944"/>
      <c r="CA2860" s="944"/>
      <c r="CB2860" s="944"/>
    </row>
    <row r="2861" spans="2:80">
      <c r="B2861" s="1097"/>
      <c r="C2861" s="1097"/>
      <c r="D2861" s="1097"/>
      <c r="E2861" s="1097"/>
      <c r="F2861" s="934"/>
      <c r="G2861" s="1098"/>
      <c r="H2861" s="1099"/>
      <c r="I2861" s="1099"/>
      <c r="J2861" s="934"/>
      <c r="K2861" s="934"/>
      <c r="L2861" s="933"/>
      <c r="M2861" s="1100"/>
      <c r="N2861" s="934"/>
      <c r="O2861" s="936"/>
      <c r="P2861" s="936"/>
      <c r="Q2861" s="933"/>
      <c r="T2861" s="1101"/>
      <c r="U2861" s="1102"/>
      <c r="V2861" s="936"/>
      <c r="W2861" s="1103"/>
      <c r="X2861" s="1104"/>
      <c r="Y2861" s="1105"/>
      <c r="Z2861" s="1103"/>
      <c r="AC2861" s="1106"/>
      <c r="AD2861" s="1107"/>
      <c r="AE2861" s="1104"/>
      <c r="AG2861" s="1109"/>
      <c r="AI2861" s="1110"/>
      <c r="AL2861" s="933"/>
      <c r="AM2861" s="933"/>
      <c r="AN2861" s="1100"/>
      <c r="AO2861" s="1100"/>
      <c r="AP2861" s="934"/>
      <c r="AQ2861" s="934"/>
      <c r="AR2861" s="934"/>
      <c r="AS2861" s="936"/>
      <c r="AT2861" s="936"/>
      <c r="AU2861" s="936"/>
      <c r="AV2861" s="937"/>
      <c r="AW2861" s="938"/>
      <c r="AX2861" s="939"/>
      <c r="AY2861" s="933"/>
      <c r="AZ2861" s="936"/>
      <c r="BA2861" s="936"/>
      <c r="BB2861" s="1112"/>
      <c r="BC2861" s="940"/>
      <c r="BD2861" s="941"/>
      <c r="BE2861" s="942"/>
      <c r="BF2861" s="943"/>
      <c r="BG2861" s="943"/>
      <c r="BH2861" s="943"/>
      <c r="BI2861" s="943"/>
      <c r="BJ2861" s="943"/>
      <c r="BK2861" s="943"/>
      <c r="BL2861" s="943"/>
      <c r="BM2861" s="943"/>
      <c r="BN2861" s="943"/>
      <c r="BO2861" s="1059"/>
      <c r="BP2861" s="1059"/>
      <c r="BQ2861" s="1059"/>
      <c r="BR2861" s="1059"/>
      <c r="BS2861" s="1059"/>
      <c r="BT2861" s="1059"/>
      <c r="BU2861" s="1059"/>
      <c r="BV2861" s="944"/>
      <c r="BW2861" s="944"/>
      <c r="BX2861" s="1147"/>
      <c r="BY2861" s="944"/>
      <c r="BZ2861" s="944"/>
      <c r="CA2861" s="944"/>
      <c r="CB2861" s="944"/>
    </row>
    <row r="2862" spans="2:80">
      <c r="B2862" s="1097"/>
      <c r="C2862" s="1097"/>
      <c r="D2862" s="1097"/>
      <c r="E2862" s="1097"/>
      <c r="F2862" s="934"/>
      <c r="G2862" s="1098"/>
      <c r="H2862" s="1099"/>
      <c r="I2862" s="1099"/>
      <c r="J2862" s="934"/>
      <c r="K2862" s="934"/>
      <c r="L2862" s="933"/>
      <c r="M2862" s="1100"/>
      <c r="N2862" s="934"/>
      <c r="O2862" s="936"/>
      <c r="P2862" s="936"/>
      <c r="Q2862" s="933"/>
      <c r="T2862" s="1101"/>
      <c r="U2862" s="1102"/>
      <c r="V2862" s="936"/>
      <c r="W2862" s="1103"/>
      <c r="X2862" s="1104"/>
      <c r="Y2862" s="1105"/>
      <c r="Z2862" s="1103"/>
      <c r="AC2862" s="1106"/>
      <c r="AD2862" s="1107"/>
      <c r="AE2862" s="1104"/>
      <c r="AG2862" s="1109"/>
      <c r="AI2862" s="1110"/>
      <c r="AL2862" s="933"/>
      <c r="AM2862" s="933"/>
      <c r="AN2862" s="1100"/>
      <c r="AO2862" s="1100"/>
      <c r="AP2862" s="934"/>
      <c r="AQ2862" s="934"/>
      <c r="AR2862" s="934"/>
      <c r="AS2862" s="936"/>
      <c r="AT2862" s="936"/>
      <c r="AU2862" s="936"/>
      <c r="AV2862" s="937"/>
      <c r="AW2862" s="938"/>
      <c r="AX2862" s="939"/>
      <c r="AY2862" s="933"/>
      <c r="AZ2862" s="936"/>
      <c r="BA2862" s="936"/>
      <c r="BB2862" s="1112"/>
      <c r="BC2862" s="940"/>
      <c r="BD2862" s="941"/>
      <c r="BE2862" s="942"/>
      <c r="BF2862" s="943"/>
      <c r="BG2862" s="943"/>
      <c r="BH2862" s="943"/>
      <c r="BI2862" s="943"/>
      <c r="BJ2862" s="943"/>
      <c r="BK2862" s="943"/>
      <c r="BL2862" s="943"/>
      <c r="BM2862" s="943"/>
      <c r="BN2862" s="943"/>
      <c r="BO2862" s="1059"/>
      <c r="BP2862" s="1059"/>
      <c r="BQ2862" s="1059"/>
      <c r="BR2862" s="1059"/>
      <c r="BS2862" s="1059"/>
      <c r="BT2862" s="1059"/>
      <c r="BU2862" s="1059"/>
      <c r="BV2862" s="944"/>
      <c r="BW2862" s="944"/>
      <c r="BX2862" s="1147"/>
      <c r="BY2862" s="944"/>
      <c r="BZ2862" s="944"/>
      <c r="CA2862" s="944"/>
      <c r="CB2862" s="944"/>
    </row>
    <row r="2863" spans="2:80">
      <c r="B2863" s="1097"/>
      <c r="C2863" s="1097"/>
      <c r="D2863" s="1097"/>
      <c r="E2863" s="1097"/>
      <c r="F2863" s="934"/>
      <c r="G2863" s="1098"/>
      <c r="H2863" s="1099"/>
      <c r="I2863" s="1099"/>
      <c r="J2863" s="934"/>
      <c r="K2863" s="934"/>
      <c r="L2863" s="933"/>
      <c r="M2863" s="1100"/>
      <c r="N2863" s="934"/>
      <c r="O2863" s="936"/>
      <c r="P2863" s="936"/>
      <c r="Q2863" s="933"/>
      <c r="T2863" s="1101"/>
      <c r="U2863" s="1102"/>
      <c r="V2863" s="936"/>
      <c r="W2863" s="1103"/>
      <c r="X2863" s="1104"/>
      <c r="Y2863" s="1105"/>
      <c r="Z2863" s="1103"/>
      <c r="AC2863" s="1106"/>
      <c r="AD2863" s="1107"/>
      <c r="AE2863" s="1104"/>
      <c r="AG2863" s="1109"/>
      <c r="AI2863" s="1110"/>
      <c r="AL2863" s="933"/>
      <c r="AM2863" s="933"/>
      <c r="AN2863" s="1100"/>
      <c r="AO2863" s="1100"/>
      <c r="AP2863" s="934"/>
      <c r="AQ2863" s="934"/>
      <c r="AR2863" s="934"/>
      <c r="AS2863" s="936"/>
      <c r="AT2863" s="936"/>
      <c r="AU2863" s="936"/>
      <c r="AV2863" s="937"/>
      <c r="AW2863" s="938"/>
      <c r="AX2863" s="939"/>
      <c r="AY2863" s="933"/>
      <c r="AZ2863" s="936"/>
      <c r="BA2863" s="936"/>
      <c r="BB2863" s="1112"/>
      <c r="BC2863" s="940"/>
      <c r="BD2863" s="941"/>
      <c r="BE2863" s="942"/>
      <c r="BF2863" s="943"/>
      <c r="BG2863" s="943"/>
      <c r="BH2863" s="943"/>
      <c r="BI2863" s="943"/>
      <c r="BJ2863" s="943"/>
      <c r="BK2863" s="943"/>
      <c r="BL2863" s="943"/>
      <c r="BM2863" s="943"/>
      <c r="BN2863" s="943"/>
      <c r="BO2863" s="1059"/>
      <c r="BP2863" s="1059"/>
      <c r="BQ2863" s="1059"/>
      <c r="BR2863" s="1059"/>
      <c r="BS2863" s="1059"/>
      <c r="BT2863" s="1059"/>
      <c r="BU2863" s="1059"/>
      <c r="BV2863" s="944"/>
      <c r="BW2863" s="944"/>
      <c r="BX2863" s="1147"/>
      <c r="BY2863" s="944"/>
      <c r="BZ2863" s="944"/>
      <c r="CA2863" s="944"/>
      <c r="CB2863" s="944"/>
    </row>
    <row r="2864" spans="2:80">
      <c r="B2864" s="1097"/>
      <c r="C2864" s="1097"/>
      <c r="D2864" s="1097"/>
      <c r="E2864" s="1097"/>
      <c r="F2864" s="934"/>
      <c r="G2864" s="1098"/>
      <c r="H2864" s="1099"/>
      <c r="I2864" s="1099"/>
      <c r="J2864" s="934"/>
      <c r="K2864" s="934"/>
      <c r="L2864" s="933"/>
      <c r="M2864" s="1100"/>
      <c r="N2864" s="934"/>
      <c r="O2864" s="936"/>
      <c r="P2864" s="936"/>
      <c r="Q2864" s="933"/>
      <c r="T2864" s="1101"/>
      <c r="U2864" s="1102"/>
      <c r="V2864" s="936"/>
      <c r="W2864" s="1103"/>
      <c r="X2864" s="1104"/>
      <c r="Y2864" s="1105"/>
      <c r="Z2864" s="1103"/>
      <c r="AC2864" s="1106"/>
      <c r="AD2864" s="1107"/>
      <c r="AE2864" s="1104"/>
      <c r="AG2864" s="1109"/>
      <c r="AI2864" s="1110"/>
      <c r="AL2864" s="933"/>
      <c r="AM2864" s="933"/>
      <c r="AN2864" s="1100"/>
      <c r="AO2864" s="1100"/>
      <c r="AP2864" s="934"/>
      <c r="AQ2864" s="934"/>
      <c r="AR2864" s="934"/>
      <c r="AS2864" s="936"/>
      <c r="AT2864" s="936"/>
      <c r="AU2864" s="936"/>
      <c r="AV2864" s="937"/>
      <c r="AW2864" s="938"/>
      <c r="AX2864" s="939"/>
      <c r="AY2864" s="933"/>
      <c r="AZ2864" s="936"/>
      <c r="BA2864" s="936"/>
      <c r="BB2864" s="1112"/>
      <c r="BC2864" s="940"/>
      <c r="BD2864" s="941"/>
      <c r="BE2864" s="942"/>
      <c r="BF2864" s="943"/>
      <c r="BG2864" s="943"/>
      <c r="BH2864" s="943"/>
      <c r="BI2864" s="943"/>
      <c r="BJ2864" s="943"/>
      <c r="BK2864" s="943"/>
      <c r="BL2864" s="943"/>
      <c r="BM2864" s="943"/>
      <c r="BN2864" s="943"/>
      <c r="BO2864" s="1059"/>
      <c r="BP2864" s="1059"/>
      <c r="BQ2864" s="1059"/>
      <c r="BR2864" s="1059"/>
      <c r="BS2864" s="1059"/>
      <c r="BT2864" s="1059"/>
      <c r="BU2864" s="1059"/>
      <c r="BV2864" s="944"/>
      <c r="BW2864" s="944"/>
      <c r="BX2864" s="1147"/>
      <c r="BY2864" s="944"/>
      <c r="BZ2864" s="944"/>
      <c r="CA2864" s="944"/>
      <c r="CB2864" s="944"/>
    </row>
    <row r="2865" spans="2:80">
      <c r="B2865" s="1097"/>
      <c r="C2865" s="1097"/>
      <c r="D2865" s="1097"/>
      <c r="E2865" s="1097"/>
      <c r="F2865" s="934"/>
      <c r="G2865" s="1098"/>
      <c r="H2865" s="1099"/>
      <c r="I2865" s="1099"/>
      <c r="J2865" s="934"/>
      <c r="K2865" s="934"/>
      <c r="L2865" s="933"/>
      <c r="M2865" s="1100"/>
      <c r="N2865" s="934"/>
      <c r="O2865" s="936"/>
      <c r="P2865" s="936"/>
      <c r="Q2865" s="933"/>
      <c r="T2865" s="1101"/>
      <c r="U2865" s="1102"/>
      <c r="V2865" s="936"/>
      <c r="W2865" s="1103"/>
      <c r="X2865" s="1104"/>
      <c r="Y2865" s="1105"/>
      <c r="Z2865" s="1103"/>
      <c r="AC2865" s="1106"/>
      <c r="AD2865" s="1107"/>
      <c r="AE2865" s="1104"/>
      <c r="AG2865" s="1109"/>
      <c r="AI2865" s="1110"/>
      <c r="AL2865" s="933"/>
      <c r="AM2865" s="933"/>
      <c r="AN2865" s="1100"/>
      <c r="AO2865" s="1100"/>
      <c r="AP2865" s="934"/>
      <c r="AQ2865" s="934"/>
      <c r="AR2865" s="934"/>
      <c r="AS2865" s="936"/>
      <c r="AT2865" s="936"/>
      <c r="AU2865" s="936"/>
      <c r="AV2865" s="937"/>
      <c r="AW2865" s="938"/>
      <c r="AX2865" s="939"/>
      <c r="AY2865" s="933"/>
      <c r="AZ2865" s="936"/>
      <c r="BA2865" s="936"/>
      <c r="BB2865" s="1112"/>
      <c r="BC2865" s="940"/>
      <c r="BD2865" s="941"/>
      <c r="BE2865" s="942"/>
      <c r="BF2865" s="943"/>
      <c r="BG2865" s="943"/>
      <c r="BH2865" s="943"/>
      <c r="BI2865" s="943"/>
      <c r="BJ2865" s="943"/>
      <c r="BK2865" s="943"/>
      <c r="BL2865" s="943"/>
      <c r="BM2865" s="943"/>
      <c r="BN2865" s="943"/>
      <c r="BO2865" s="1059"/>
      <c r="BP2865" s="1059"/>
      <c r="BQ2865" s="1059"/>
      <c r="BR2865" s="1059"/>
      <c r="BS2865" s="1059"/>
      <c r="BT2865" s="1059"/>
      <c r="BU2865" s="1059"/>
      <c r="BV2865" s="944"/>
      <c r="BW2865" s="944"/>
      <c r="BX2865" s="1147"/>
      <c r="BY2865" s="944"/>
      <c r="BZ2865" s="944"/>
      <c r="CA2865" s="944"/>
      <c r="CB2865" s="944"/>
    </row>
    <row r="2866" spans="2:80">
      <c r="B2866" s="1097"/>
      <c r="C2866" s="1097"/>
      <c r="D2866" s="1097"/>
      <c r="E2866" s="1097"/>
      <c r="F2866" s="934"/>
      <c r="G2866" s="1098"/>
      <c r="H2866" s="1099"/>
      <c r="I2866" s="1099"/>
      <c r="J2866" s="934"/>
      <c r="K2866" s="934"/>
      <c r="L2866" s="933"/>
      <c r="M2866" s="1100"/>
      <c r="N2866" s="934"/>
      <c r="O2866" s="936"/>
      <c r="P2866" s="936"/>
      <c r="Q2866" s="933"/>
      <c r="T2866" s="1101"/>
      <c r="U2866" s="1102"/>
      <c r="V2866" s="936"/>
      <c r="W2866" s="1103"/>
      <c r="X2866" s="1104"/>
      <c r="Y2866" s="1105"/>
      <c r="Z2866" s="1103"/>
      <c r="AC2866" s="1106"/>
      <c r="AD2866" s="1107"/>
      <c r="AE2866" s="1104"/>
      <c r="AG2866" s="1109"/>
      <c r="AI2866" s="1110"/>
      <c r="AL2866" s="933"/>
      <c r="AM2866" s="933"/>
      <c r="AN2866" s="1100"/>
      <c r="AO2866" s="1100"/>
      <c r="AP2866" s="934"/>
      <c r="AQ2866" s="934"/>
      <c r="AR2866" s="934"/>
      <c r="AS2866" s="936"/>
      <c r="AT2866" s="936"/>
      <c r="AU2866" s="936"/>
      <c r="AV2866" s="937"/>
      <c r="AW2866" s="938"/>
      <c r="AX2866" s="939"/>
      <c r="AY2866" s="933"/>
      <c r="AZ2866" s="936"/>
      <c r="BA2866" s="936"/>
      <c r="BB2866" s="1112"/>
      <c r="BC2866" s="940"/>
      <c r="BD2866" s="941"/>
      <c r="BE2866" s="942"/>
      <c r="BF2866" s="943"/>
      <c r="BG2866" s="943"/>
      <c r="BH2866" s="943"/>
      <c r="BI2866" s="943"/>
      <c r="BJ2866" s="943"/>
      <c r="BK2866" s="943"/>
      <c r="BL2866" s="943"/>
      <c r="BM2866" s="943"/>
      <c r="BN2866" s="943"/>
      <c r="BO2866" s="1059"/>
      <c r="BP2866" s="1059"/>
      <c r="BQ2866" s="1059"/>
      <c r="BR2866" s="1059"/>
      <c r="BS2866" s="1059"/>
      <c r="BT2866" s="1059"/>
      <c r="BU2866" s="1059"/>
      <c r="BV2866" s="944"/>
      <c r="BW2866" s="944"/>
      <c r="BX2866" s="1147"/>
      <c r="BY2866" s="944"/>
      <c r="BZ2866" s="944"/>
      <c r="CA2866" s="944"/>
      <c r="CB2866" s="944"/>
    </row>
    <row r="2867" spans="2:80">
      <c r="B2867" s="1097"/>
      <c r="C2867" s="1097"/>
      <c r="D2867" s="1097"/>
      <c r="E2867" s="1097"/>
      <c r="F2867" s="934"/>
      <c r="G2867" s="1098"/>
      <c r="H2867" s="1099"/>
      <c r="I2867" s="1099"/>
      <c r="J2867" s="934"/>
      <c r="K2867" s="934"/>
      <c r="L2867" s="933"/>
      <c r="M2867" s="1100"/>
      <c r="N2867" s="934"/>
      <c r="O2867" s="936"/>
      <c r="P2867" s="936"/>
      <c r="Q2867" s="933"/>
      <c r="T2867" s="1101"/>
      <c r="U2867" s="1102"/>
      <c r="V2867" s="936"/>
      <c r="W2867" s="1103"/>
      <c r="X2867" s="1104"/>
      <c r="Y2867" s="1105"/>
      <c r="Z2867" s="1103"/>
      <c r="AC2867" s="1106"/>
      <c r="AD2867" s="1107"/>
      <c r="AE2867" s="1104"/>
      <c r="AG2867" s="1109"/>
      <c r="AI2867" s="1110"/>
      <c r="AL2867" s="933"/>
      <c r="AM2867" s="933"/>
      <c r="AN2867" s="1100"/>
      <c r="AO2867" s="1100"/>
      <c r="AP2867" s="934"/>
      <c r="AQ2867" s="934"/>
      <c r="AR2867" s="934"/>
      <c r="AS2867" s="936"/>
      <c r="AT2867" s="936"/>
      <c r="AU2867" s="936"/>
      <c r="AV2867" s="937"/>
      <c r="AW2867" s="938"/>
      <c r="AX2867" s="939"/>
      <c r="AY2867" s="933"/>
      <c r="AZ2867" s="936"/>
      <c r="BA2867" s="936"/>
      <c r="BB2867" s="1112"/>
      <c r="BC2867" s="940"/>
      <c r="BD2867" s="941"/>
      <c r="BE2867" s="942"/>
      <c r="BF2867" s="943"/>
      <c r="BG2867" s="943"/>
      <c r="BH2867" s="943"/>
      <c r="BI2867" s="943"/>
      <c r="BJ2867" s="943"/>
      <c r="BK2867" s="943"/>
      <c r="BL2867" s="943"/>
      <c r="BM2867" s="943"/>
      <c r="BN2867" s="943"/>
      <c r="BO2867" s="1059"/>
      <c r="BP2867" s="1059"/>
      <c r="BQ2867" s="1059"/>
      <c r="BR2867" s="1059"/>
      <c r="BS2867" s="1059"/>
      <c r="BT2867" s="1059"/>
      <c r="BU2867" s="1059"/>
      <c r="BV2867" s="944"/>
      <c r="BW2867" s="944"/>
      <c r="BX2867" s="1147"/>
      <c r="BY2867" s="944"/>
      <c r="BZ2867" s="944"/>
      <c r="CA2867" s="944"/>
      <c r="CB2867" s="944"/>
    </row>
    <row r="2868" spans="2:80">
      <c r="B2868" s="1097"/>
      <c r="C2868" s="1097"/>
      <c r="D2868" s="1097"/>
      <c r="E2868" s="1097"/>
      <c r="F2868" s="934"/>
      <c r="G2868" s="1098"/>
      <c r="H2868" s="1099"/>
      <c r="I2868" s="1099"/>
      <c r="J2868" s="934"/>
      <c r="K2868" s="934"/>
      <c r="L2868" s="933"/>
      <c r="M2868" s="1100"/>
      <c r="N2868" s="934"/>
      <c r="O2868" s="936"/>
      <c r="P2868" s="936"/>
      <c r="Q2868" s="933"/>
      <c r="T2868" s="1101"/>
      <c r="U2868" s="1102"/>
      <c r="V2868" s="936"/>
      <c r="W2868" s="1103"/>
      <c r="X2868" s="1104"/>
      <c r="Y2868" s="1105"/>
      <c r="Z2868" s="1103"/>
      <c r="AC2868" s="1106"/>
      <c r="AD2868" s="1107"/>
      <c r="AE2868" s="1104"/>
      <c r="AG2868" s="1109"/>
      <c r="AI2868" s="1110"/>
      <c r="AL2868" s="933"/>
      <c r="AM2868" s="933"/>
      <c r="AN2868" s="1100"/>
      <c r="AO2868" s="1100"/>
      <c r="AP2868" s="934"/>
      <c r="AQ2868" s="934"/>
      <c r="AR2868" s="934"/>
      <c r="AS2868" s="936"/>
      <c r="AT2868" s="936"/>
      <c r="AU2868" s="936"/>
      <c r="AV2868" s="937"/>
      <c r="AW2868" s="938"/>
      <c r="AX2868" s="939"/>
      <c r="AY2868" s="933"/>
      <c r="AZ2868" s="936"/>
      <c r="BA2868" s="936"/>
      <c r="BB2868" s="1112"/>
      <c r="BC2868" s="940"/>
      <c r="BD2868" s="941"/>
      <c r="BE2868" s="942"/>
      <c r="BF2868" s="943"/>
      <c r="BG2868" s="943"/>
      <c r="BH2868" s="943"/>
      <c r="BI2868" s="943"/>
      <c r="BJ2868" s="943"/>
      <c r="BK2868" s="943"/>
      <c r="BL2868" s="943"/>
      <c r="BM2868" s="943"/>
      <c r="BN2868" s="943"/>
      <c r="BO2868" s="1059"/>
      <c r="BP2868" s="1059"/>
      <c r="BQ2868" s="1059"/>
      <c r="BR2868" s="1059"/>
      <c r="BS2868" s="1059"/>
      <c r="BT2868" s="1059"/>
      <c r="BU2868" s="1059"/>
      <c r="BV2868" s="944"/>
      <c r="BW2868" s="944"/>
      <c r="BX2868" s="1147"/>
      <c r="BY2868" s="944"/>
      <c r="BZ2868" s="944"/>
      <c r="CA2868" s="944"/>
      <c r="CB2868" s="944"/>
    </row>
    <row r="2869" spans="2:80">
      <c r="B2869" s="1097"/>
      <c r="C2869" s="1097"/>
      <c r="D2869" s="1097"/>
      <c r="E2869" s="1097"/>
      <c r="F2869" s="934"/>
      <c r="G2869" s="1098"/>
      <c r="H2869" s="1099"/>
      <c r="I2869" s="1099"/>
      <c r="J2869" s="934"/>
      <c r="K2869" s="934"/>
      <c r="L2869" s="933"/>
      <c r="M2869" s="1100"/>
      <c r="N2869" s="934"/>
      <c r="O2869" s="936"/>
      <c r="P2869" s="936"/>
      <c r="Q2869" s="933"/>
      <c r="T2869" s="1101"/>
      <c r="U2869" s="1102"/>
      <c r="V2869" s="936"/>
      <c r="W2869" s="1103"/>
      <c r="X2869" s="1104"/>
      <c r="Y2869" s="1105"/>
      <c r="Z2869" s="1103"/>
      <c r="AC2869" s="1106"/>
      <c r="AD2869" s="1107"/>
      <c r="AE2869" s="1104"/>
      <c r="AG2869" s="1109"/>
      <c r="AI2869" s="1110"/>
      <c r="AL2869" s="933"/>
      <c r="AM2869" s="933"/>
      <c r="AN2869" s="1100"/>
      <c r="AO2869" s="1100"/>
      <c r="AP2869" s="934"/>
      <c r="AQ2869" s="934"/>
      <c r="AR2869" s="934"/>
      <c r="AS2869" s="936"/>
      <c r="AT2869" s="936"/>
      <c r="AU2869" s="936"/>
      <c r="AV2869" s="937"/>
      <c r="AW2869" s="938"/>
      <c r="AX2869" s="939"/>
      <c r="AY2869" s="933"/>
      <c r="AZ2869" s="936"/>
      <c r="BA2869" s="936"/>
      <c r="BB2869" s="1112"/>
      <c r="BC2869" s="940"/>
      <c r="BD2869" s="941"/>
      <c r="BE2869" s="942"/>
      <c r="BF2869" s="943"/>
      <c r="BG2869" s="943"/>
      <c r="BH2869" s="943"/>
      <c r="BI2869" s="943"/>
      <c r="BJ2869" s="943"/>
      <c r="BK2869" s="943"/>
      <c r="BL2869" s="943"/>
      <c r="BM2869" s="943"/>
      <c r="BN2869" s="943"/>
      <c r="BO2869" s="1059"/>
      <c r="BP2869" s="1059"/>
      <c r="BQ2869" s="1059"/>
      <c r="BR2869" s="1059"/>
      <c r="BS2869" s="1059"/>
      <c r="BT2869" s="1059"/>
      <c r="BU2869" s="1059"/>
      <c r="BV2869" s="944"/>
      <c r="BW2869" s="944"/>
      <c r="BX2869" s="1147"/>
      <c r="BY2869" s="944"/>
      <c r="BZ2869" s="944"/>
      <c r="CA2869" s="944"/>
      <c r="CB2869" s="944"/>
    </row>
    <row r="2870" spans="2:80">
      <c r="B2870" s="1097"/>
      <c r="C2870" s="1097"/>
      <c r="D2870" s="1097"/>
      <c r="E2870" s="1097"/>
      <c r="F2870" s="934"/>
      <c r="G2870" s="1098"/>
      <c r="H2870" s="1099"/>
      <c r="I2870" s="1099"/>
      <c r="J2870" s="934"/>
      <c r="K2870" s="934"/>
      <c r="L2870" s="933"/>
      <c r="M2870" s="1100"/>
      <c r="N2870" s="934"/>
      <c r="O2870" s="936"/>
      <c r="P2870" s="936"/>
      <c r="Q2870" s="933"/>
      <c r="T2870" s="1101"/>
      <c r="U2870" s="1102"/>
      <c r="V2870" s="936"/>
      <c r="W2870" s="1103"/>
      <c r="X2870" s="1104"/>
      <c r="Y2870" s="1105"/>
      <c r="Z2870" s="1103"/>
      <c r="AC2870" s="1106"/>
      <c r="AD2870" s="1107"/>
      <c r="AE2870" s="1104"/>
      <c r="AG2870" s="1109"/>
      <c r="AI2870" s="1110"/>
      <c r="AL2870" s="933"/>
      <c r="AM2870" s="933"/>
      <c r="AN2870" s="1100"/>
      <c r="AO2870" s="1100"/>
      <c r="AP2870" s="934"/>
      <c r="AQ2870" s="934"/>
      <c r="AR2870" s="934"/>
      <c r="AS2870" s="936"/>
      <c r="AT2870" s="936"/>
      <c r="AU2870" s="936"/>
      <c r="AV2870" s="937"/>
      <c r="AW2870" s="938"/>
      <c r="AX2870" s="939"/>
      <c r="AY2870" s="933"/>
      <c r="AZ2870" s="936"/>
      <c r="BA2870" s="936"/>
      <c r="BB2870" s="1112"/>
      <c r="BC2870" s="940"/>
      <c r="BD2870" s="941"/>
      <c r="BE2870" s="942"/>
      <c r="BF2870" s="943"/>
      <c r="BG2870" s="943"/>
      <c r="BH2870" s="943"/>
      <c r="BI2870" s="943"/>
      <c r="BJ2870" s="943"/>
      <c r="BK2870" s="943"/>
      <c r="BL2870" s="943"/>
      <c r="BM2870" s="943"/>
      <c r="BN2870" s="943"/>
      <c r="BO2870" s="1059"/>
      <c r="BP2870" s="1059"/>
      <c r="BQ2870" s="1059"/>
      <c r="BR2870" s="1059"/>
      <c r="BS2870" s="1059"/>
      <c r="BT2870" s="1059"/>
      <c r="BU2870" s="1059"/>
      <c r="BV2870" s="944"/>
      <c r="BW2870" s="944"/>
      <c r="BX2870" s="1147"/>
      <c r="BY2870" s="944"/>
      <c r="BZ2870" s="944"/>
      <c r="CA2870" s="944"/>
      <c r="CB2870" s="944"/>
    </row>
    <row r="2871" spans="2:80">
      <c r="B2871" s="1097"/>
      <c r="C2871" s="1097"/>
      <c r="D2871" s="1097"/>
      <c r="E2871" s="1097"/>
      <c r="F2871" s="934"/>
      <c r="G2871" s="1098"/>
      <c r="H2871" s="1099"/>
      <c r="I2871" s="1099"/>
      <c r="J2871" s="934"/>
      <c r="K2871" s="934"/>
      <c r="L2871" s="933"/>
      <c r="M2871" s="1100"/>
      <c r="N2871" s="934"/>
      <c r="O2871" s="936"/>
      <c r="P2871" s="936"/>
      <c r="Q2871" s="933"/>
      <c r="T2871" s="1101"/>
      <c r="U2871" s="1102"/>
      <c r="V2871" s="936"/>
      <c r="W2871" s="1103"/>
      <c r="X2871" s="1104"/>
      <c r="Y2871" s="1105"/>
      <c r="Z2871" s="1103"/>
      <c r="AC2871" s="1106"/>
      <c r="AD2871" s="1107"/>
      <c r="AE2871" s="1104"/>
      <c r="AG2871" s="1109"/>
      <c r="AI2871" s="1110"/>
      <c r="AL2871" s="933"/>
      <c r="AM2871" s="933"/>
      <c r="AN2871" s="1100"/>
      <c r="AO2871" s="1100"/>
      <c r="AP2871" s="934"/>
      <c r="AQ2871" s="934"/>
      <c r="AR2871" s="934"/>
      <c r="AS2871" s="936"/>
      <c r="AT2871" s="936"/>
      <c r="AU2871" s="936"/>
      <c r="AV2871" s="937"/>
      <c r="AW2871" s="938"/>
      <c r="AX2871" s="939"/>
      <c r="AY2871" s="933"/>
      <c r="AZ2871" s="936"/>
      <c r="BA2871" s="936"/>
      <c r="BB2871" s="1112"/>
      <c r="BC2871" s="940"/>
      <c r="BD2871" s="941"/>
      <c r="BE2871" s="942"/>
      <c r="BF2871" s="943"/>
      <c r="BG2871" s="943"/>
      <c r="BH2871" s="943"/>
      <c r="BI2871" s="943"/>
      <c r="BJ2871" s="943"/>
      <c r="BK2871" s="943"/>
      <c r="BL2871" s="943"/>
      <c r="BM2871" s="943"/>
      <c r="BN2871" s="943"/>
      <c r="BO2871" s="1059"/>
      <c r="BP2871" s="1059"/>
      <c r="BQ2871" s="1059"/>
      <c r="BR2871" s="1059"/>
      <c r="BS2871" s="1059"/>
      <c r="BT2871" s="1059"/>
      <c r="BU2871" s="1059"/>
      <c r="BV2871" s="944"/>
      <c r="BW2871" s="944"/>
      <c r="BX2871" s="1147"/>
      <c r="BY2871" s="944"/>
      <c r="BZ2871" s="944"/>
      <c r="CA2871" s="944"/>
      <c r="CB2871" s="944"/>
    </row>
    <row r="2872" spans="2:80">
      <c r="B2872" s="1097"/>
      <c r="C2872" s="1097"/>
      <c r="D2872" s="1097"/>
      <c r="E2872" s="1097"/>
      <c r="F2872" s="934"/>
      <c r="G2872" s="1098"/>
      <c r="H2872" s="1099"/>
      <c r="I2872" s="1099"/>
      <c r="J2872" s="934"/>
      <c r="K2872" s="934"/>
      <c r="L2872" s="933"/>
      <c r="M2872" s="1100"/>
      <c r="N2872" s="934"/>
      <c r="O2872" s="936"/>
      <c r="P2872" s="936"/>
      <c r="Q2872" s="933"/>
      <c r="T2872" s="1101"/>
      <c r="U2872" s="1102"/>
      <c r="V2872" s="936"/>
      <c r="W2872" s="1103"/>
      <c r="X2872" s="1104"/>
      <c r="Y2872" s="1105"/>
      <c r="Z2872" s="1103"/>
      <c r="AC2872" s="1106"/>
      <c r="AD2872" s="1107"/>
      <c r="AE2872" s="1104"/>
      <c r="AG2872" s="1109"/>
      <c r="AI2872" s="1110"/>
      <c r="AL2872" s="933"/>
      <c r="AM2872" s="933"/>
      <c r="AN2872" s="1100"/>
      <c r="AO2872" s="1100"/>
      <c r="AP2872" s="934"/>
      <c r="AQ2872" s="934"/>
      <c r="AR2872" s="934"/>
      <c r="AS2872" s="936"/>
      <c r="AT2872" s="936"/>
      <c r="AU2872" s="936"/>
      <c r="AV2872" s="937"/>
      <c r="AW2872" s="938"/>
      <c r="AX2872" s="939"/>
      <c r="AY2872" s="933"/>
      <c r="AZ2872" s="936"/>
      <c r="BA2872" s="936"/>
      <c r="BB2872" s="1112"/>
      <c r="BC2872" s="940"/>
      <c r="BD2872" s="941"/>
      <c r="BE2872" s="942"/>
      <c r="BF2872" s="943"/>
      <c r="BG2872" s="943"/>
      <c r="BH2872" s="943"/>
      <c r="BI2872" s="943"/>
      <c r="BJ2872" s="943"/>
      <c r="BK2872" s="943"/>
      <c r="BL2872" s="943"/>
      <c r="BM2872" s="943"/>
      <c r="BN2872" s="943"/>
      <c r="BO2872" s="1059"/>
      <c r="BP2872" s="1059"/>
      <c r="BQ2872" s="1059"/>
      <c r="BR2872" s="1059"/>
      <c r="BS2872" s="1059"/>
      <c r="BT2872" s="1059"/>
      <c r="BU2872" s="1059"/>
      <c r="BV2872" s="944"/>
      <c r="BW2872" s="944"/>
      <c r="BX2872" s="1147"/>
      <c r="BY2872" s="944"/>
      <c r="BZ2872" s="944"/>
      <c r="CA2872" s="944"/>
      <c r="CB2872" s="944"/>
    </row>
    <row r="2873" spans="2:80">
      <c r="B2873" s="1097"/>
      <c r="C2873" s="1097"/>
      <c r="D2873" s="1097"/>
      <c r="E2873" s="1097"/>
      <c r="F2873" s="934"/>
      <c r="G2873" s="1098"/>
      <c r="H2873" s="1099"/>
      <c r="I2873" s="1099"/>
      <c r="J2873" s="934"/>
      <c r="K2873" s="934"/>
      <c r="L2873" s="933"/>
      <c r="M2873" s="1100"/>
      <c r="N2873" s="934"/>
      <c r="O2873" s="936"/>
      <c r="P2873" s="936"/>
      <c r="Q2873" s="933"/>
      <c r="T2873" s="1101"/>
      <c r="U2873" s="1102"/>
      <c r="V2873" s="936"/>
      <c r="W2873" s="1103"/>
      <c r="X2873" s="1104"/>
      <c r="Y2873" s="1105"/>
      <c r="Z2873" s="1103"/>
      <c r="AC2873" s="1106"/>
      <c r="AD2873" s="1107"/>
      <c r="AE2873" s="1104"/>
      <c r="AG2873" s="1109"/>
      <c r="AI2873" s="1110"/>
      <c r="AL2873" s="933"/>
      <c r="AM2873" s="933"/>
      <c r="AN2873" s="1100"/>
      <c r="AO2873" s="1100"/>
      <c r="AP2873" s="934"/>
      <c r="AQ2873" s="934"/>
      <c r="AR2873" s="934"/>
      <c r="AS2873" s="936"/>
      <c r="AT2873" s="936"/>
      <c r="AU2873" s="936"/>
      <c r="AV2873" s="937"/>
      <c r="AW2873" s="938"/>
      <c r="AX2873" s="939"/>
      <c r="AY2873" s="933"/>
      <c r="AZ2873" s="936"/>
      <c r="BA2873" s="936"/>
      <c r="BB2873" s="1112"/>
      <c r="BC2873" s="940"/>
      <c r="BD2873" s="941"/>
      <c r="BE2873" s="942"/>
      <c r="BF2873" s="943"/>
      <c r="BG2873" s="943"/>
      <c r="BH2873" s="943"/>
      <c r="BI2873" s="943"/>
      <c r="BJ2873" s="943"/>
      <c r="BK2873" s="943"/>
      <c r="BL2873" s="943"/>
      <c r="BM2873" s="943"/>
      <c r="BN2873" s="943"/>
      <c r="BO2873" s="1059"/>
      <c r="BP2873" s="1059"/>
      <c r="BQ2873" s="1059"/>
      <c r="BR2873" s="1059"/>
      <c r="BS2873" s="1059"/>
      <c r="BT2873" s="1059"/>
      <c r="BU2873" s="1059"/>
      <c r="BV2873" s="944"/>
      <c r="BW2873" s="944"/>
      <c r="BX2873" s="1147"/>
      <c r="BY2873" s="944"/>
      <c r="BZ2873" s="944"/>
      <c r="CA2873" s="944"/>
      <c r="CB2873" s="944"/>
    </row>
    <row r="2874" spans="2:80">
      <c r="B2874" s="1097"/>
      <c r="C2874" s="1097"/>
      <c r="D2874" s="1097"/>
      <c r="E2874" s="1097"/>
      <c r="F2874" s="934"/>
      <c r="G2874" s="1098"/>
      <c r="H2874" s="1099"/>
      <c r="I2874" s="1099"/>
      <c r="J2874" s="934"/>
      <c r="K2874" s="934"/>
      <c r="L2874" s="933"/>
      <c r="M2874" s="1100"/>
      <c r="N2874" s="934"/>
      <c r="O2874" s="936"/>
      <c r="P2874" s="936"/>
      <c r="Q2874" s="933"/>
      <c r="T2874" s="1101"/>
      <c r="U2874" s="1102"/>
      <c r="V2874" s="936"/>
      <c r="W2874" s="1103"/>
      <c r="X2874" s="1104"/>
      <c r="Y2874" s="1105"/>
      <c r="Z2874" s="1103"/>
      <c r="AC2874" s="1106"/>
      <c r="AD2874" s="1107"/>
      <c r="AE2874" s="1104"/>
      <c r="AG2874" s="1109"/>
      <c r="AI2874" s="1110"/>
      <c r="AL2874" s="933"/>
      <c r="AM2874" s="933"/>
      <c r="AN2874" s="1100"/>
      <c r="AO2874" s="1100"/>
      <c r="AP2874" s="934"/>
      <c r="AQ2874" s="934"/>
      <c r="AR2874" s="934"/>
      <c r="AS2874" s="936"/>
      <c r="AT2874" s="936"/>
      <c r="AU2874" s="936"/>
      <c r="AV2874" s="937"/>
      <c r="AW2874" s="938"/>
      <c r="AX2874" s="939"/>
      <c r="AY2874" s="933"/>
      <c r="AZ2874" s="936"/>
      <c r="BA2874" s="936"/>
      <c r="BB2874" s="1112"/>
      <c r="BC2874" s="940"/>
      <c r="BD2874" s="941"/>
      <c r="BE2874" s="942"/>
      <c r="BF2874" s="943"/>
      <c r="BG2874" s="943"/>
      <c r="BH2874" s="943"/>
      <c r="BI2874" s="943"/>
      <c r="BJ2874" s="943"/>
      <c r="BK2874" s="943"/>
      <c r="BL2874" s="943"/>
      <c r="BM2874" s="943"/>
      <c r="BN2874" s="943"/>
      <c r="BO2874" s="1059"/>
      <c r="BP2874" s="1059"/>
      <c r="BQ2874" s="1059"/>
      <c r="BR2874" s="1059"/>
      <c r="BS2874" s="1059"/>
      <c r="BT2874" s="1059"/>
      <c r="BU2874" s="1059"/>
      <c r="BV2874" s="944"/>
      <c r="BW2874" s="944"/>
      <c r="BX2874" s="1147"/>
      <c r="BY2874" s="944"/>
      <c r="BZ2874" s="944"/>
      <c r="CA2874" s="944"/>
      <c r="CB2874" s="944"/>
    </row>
    <row r="2875" spans="2:80">
      <c r="B2875" s="1097"/>
      <c r="C2875" s="1097"/>
      <c r="D2875" s="1097"/>
      <c r="E2875" s="1097"/>
      <c r="F2875" s="934"/>
      <c r="G2875" s="1098"/>
      <c r="H2875" s="1099"/>
      <c r="I2875" s="1099"/>
      <c r="J2875" s="934"/>
      <c r="K2875" s="934"/>
      <c r="L2875" s="933"/>
      <c r="M2875" s="1100"/>
      <c r="N2875" s="934"/>
      <c r="O2875" s="936"/>
      <c r="P2875" s="936"/>
      <c r="Q2875" s="933"/>
      <c r="T2875" s="1101"/>
      <c r="U2875" s="1102"/>
      <c r="V2875" s="936"/>
      <c r="W2875" s="1103"/>
      <c r="X2875" s="1104"/>
      <c r="Y2875" s="1105"/>
      <c r="Z2875" s="1103"/>
      <c r="AC2875" s="1106"/>
      <c r="AD2875" s="1107"/>
      <c r="AE2875" s="1104"/>
      <c r="AG2875" s="1109"/>
      <c r="AI2875" s="1110"/>
      <c r="AL2875" s="933"/>
      <c r="AM2875" s="933"/>
      <c r="AN2875" s="1100"/>
      <c r="AO2875" s="1100"/>
      <c r="AP2875" s="934"/>
      <c r="AQ2875" s="934"/>
      <c r="AR2875" s="934"/>
      <c r="AS2875" s="936"/>
      <c r="AT2875" s="936"/>
      <c r="AU2875" s="936"/>
      <c r="AV2875" s="937"/>
      <c r="AW2875" s="938"/>
      <c r="AX2875" s="939"/>
      <c r="AY2875" s="933"/>
      <c r="AZ2875" s="936"/>
      <c r="BA2875" s="936"/>
      <c r="BB2875" s="1112"/>
      <c r="BC2875" s="940"/>
      <c r="BD2875" s="941"/>
      <c r="BE2875" s="942"/>
      <c r="BF2875" s="943"/>
      <c r="BG2875" s="943"/>
      <c r="BH2875" s="943"/>
      <c r="BI2875" s="943"/>
      <c r="BJ2875" s="943"/>
      <c r="BK2875" s="943"/>
      <c r="BL2875" s="943"/>
      <c r="BM2875" s="943"/>
      <c r="BN2875" s="943"/>
      <c r="BO2875" s="1059"/>
      <c r="BP2875" s="1059"/>
      <c r="BQ2875" s="1059"/>
      <c r="BR2875" s="1059"/>
      <c r="BS2875" s="1059"/>
      <c r="BT2875" s="1059"/>
      <c r="BU2875" s="1059"/>
      <c r="BV2875" s="944"/>
      <c r="BW2875" s="944"/>
      <c r="BX2875" s="1147"/>
      <c r="BY2875" s="944"/>
      <c r="BZ2875" s="944"/>
      <c r="CA2875" s="944"/>
      <c r="CB2875" s="944"/>
    </row>
    <row r="2876" spans="2:80">
      <c r="B2876" s="1097"/>
      <c r="C2876" s="1097"/>
      <c r="D2876" s="1097"/>
      <c r="E2876" s="1097"/>
      <c r="F2876" s="934"/>
      <c r="G2876" s="1098"/>
      <c r="H2876" s="1099"/>
      <c r="I2876" s="1099"/>
      <c r="J2876" s="934"/>
      <c r="K2876" s="934"/>
      <c r="L2876" s="933"/>
      <c r="M2876" s="1100"/>
      <c r="N2876" s="934"/>
      <c r="O2876" s="936"/>
      <c r="P2876" s="936"/>
      <c r="Q2876" s="933"/>
      <c r="T2876" s="1101"/>
      <c r="U2876" s="1102"/>
      <c r="V2876" s="936"/>
      <c r="W2876" s="1103"/>
      <c r="X2876" s="1104"/>
      <c r="Y2876" s="1105"/>
      <c r="Z2876" s="1103"/>
      <c r="AC2876" s="1106"/>
      <c r="AD2876" s="1107"/>
      <c r="AE2876" s="1104"/>
      <c r="AG2876" s="1109"/>
      <c r="AI2876" s="1110"/>
      <c r="AL2876" s="933"/>
      <c r="AM2876" s="933"/>
      <c r="AN2876" s="1100"/>
      <c r="AO2876" s="1100"/>
      <c r="AP2876" s="934"/>
      <c r="AQ2876" s="934"/>
      <c r="AR2876" s="934"/>
      <c r="AS2876" s="936"/>
      <c r="AT2876" s="936"/>
      <c r="AU2876" s="936"/>
      <c r="AV2876" s="937"/>
      <c r="AW2876" s="938"/>
      <c r="AX2876" s="939"/>
      <c r="AY2876" s="933"/>
      <c r="AZ2876" s="936"/>
      <c r="BA2876" s="936"/>
      <c r="BB2876" s="1112"/>
      <c r="BC2876" s="940"/>
      <c r="BD2876" s="941"/>
      <c r="BE2876" s="942"/>
      <c r="BF2876" s="943"/>
      <c r="BG2876" s="943"/>
      <c r="BH2876" s="943"/>
      <c r="BI2876" s="943"/>
      <c r="BJ2876" s="943"/>
      <c r="BK2876" s="943"/>
      <c r="BL2876" s="943"/>
      <c r="BM2876" s="943"/>
      <c r="BN2876" s="943"/>
      <c r="BO2876" s="1059"/>
      <c r="BP2876" s="1059"/>
      <c r="BQ2876" s="1059"/>
      <c r="BR2876" s="1059"/>
      <c r="BS2876" s="1059"/>
      <c r="BT2876" s="1059"/>
      <c r="BU2876" s="1059"/>
      <c r="BV2876" s="944"/>
      <c r="BW2876" s="944"/>
      <c r="BX2876" s="1147"/>
      <c r="BY2876" s="944"/>
      <c r="BZ2876" s="944"/>
      <c r="CA2876" s="944"/>
      <c r="CB2876" s="944"/>
    </row>
    <row r="2877" spans="2:80">
      <c r="B2877" s="1097"/>
      <c r="C2877" s="1097"/>
      <c r="D2877" s="1097"/>
      <c r="E2877" s="1097"/>
      <c r="F2877" s="934"/>
      <c r="G2877" s="1098"/>
      <c r="H2877" s="1099"/>
      <c r="I2877" s="1099"/>
      <c r="J2877" s="934"/>
      <c r="K2877" s="934"/>
      <c r="L2877" s="933"/>
      <c r="M2877" s="1100"/>
      <c r="N2877" s="934"/>
      <c r="O2877" s="936"/>
      <c r="P2877" s="936"/>
      <c r="Q2877" s="933"/>
      <c r="T2877" s="1101"/>
      <c r="U2877" s="1102"/>
      <c r="V2877" s="936"/>
      <c r="W2877" s="1103"/>
      <c r="X2877" s="1104"/>
      <c r="Y2877" s="1105"/>
      <c r="Z2877" s="1103"/>
      <c r="AC2877" s="1106"/>
      <c r="AD2877" s="1107"/>
      <c r="AE2877" s="1104"/>
      <c r="AG2877" s="1109"/>
      <c r="AI2877" s="1110"/>
      <c r="AL2877" s="933"/>
      <c r="AM2877" s="933"/>
      <c r="AN2877" s="1100"/>
      <c r="AO2877" s="1100"/>
      <c r="AP2877" s="934"/>
      <c r="AQ2877" s="934"/>
      <c r="AR2877" s="934"/>
      <c r="AS2877" s="936"/>
      <c r="AT2877" s="936"/>
      <c r="AU2877" s="936"/>
      <c r="AV2877" s="937"/>
      <c r="AW2877" s="938"/>
      <c r="AX2877" s="939"/>
      <c r="AY2877" s="933"/>
      <c r="AZ2877" s="936"/>
      <c r="BA2877" s="936"/>
      <c r="BB2877" s="1112"/>
      <c r="BC2877" s="940"/>
      <c r="BD2877" s="941"/>
      <c r="BE2877" s="942"/>
      <c r="BF2877" s="943"/>
      <c r="BG2877" s="943"/>
      <c r="BH2877" s="943"/>
      <c r="BI2877" s="943"/>
      <c r="BJ2877" s="943"/>
      <c r="BK2877" s="943"/>
      <c r="BL2877" s="943"/>
      <c r="BM2877" s="943"/>
      <c r="BN2877" s="943"/>
      <c r="BO2877" s="1059"/>
      <c r="BP2877" s="1059"/>
      <c r="BQ2877" s="1059"/>
      <c r="BR2877" s="1059"/>
      <c r="BS2877" s="1059"/>
      <c r="BT2877" s="1059"/>
      <c r="BU2877" s="1059"/>
      <c r="BV2877" s="944"/>
      <c r="BW2877" s="944"/>
      <c r="BX2877" s="1147"/>
      <c r="BY2877" s="944"/>
      <c r="BZ2877" s="944"/>
      <c r="CA2877" s="944"/>
      <c r="CB2877" s="944"/>
    </row>
    <row r="2878" spans="2:80">
      <c r="B2878" s="1097"/>
      <c r="C2878" s="1097"/>
      <c r="D2878" s="1097"/>
      <c r="E2878" s="1097"/>
      <c r="F2878" s="934"/>
      <c r="G2878" s="1098"/>
      <c r="H2878" s="1099"/>
      <c r="I2878" s="1099"/>
      <c r="J2878" s="934"/>
      <c r="K2878" s="934"/>
      <c r="L2878" s="933"/>
      <c r="M2878" s="1100"/>
      <c r="N2878" s="934"/>
      <c r="O2878" s="936"/>
      <c r="P2878" s="936"/>
      <c r="Q2878" s="933"/>
      <c r="T2878" s="1101"/>
      <c r="U2878" s="1102"/>
      <c r="V2878" s="936"/>
      <c r="W2878" s="1103"/>
      <c r="X2878" s="1104"/>
      <c r="Y2878" s="1105"/>
      <c r="Z2878" s="1103"/>
      <c r="AC2878" s="1106"/>
      <c r="AD2878" s="1107"/>
      <c r="AE2878" s="1104"/>
      <c r="AG2878" s="1109"/>
      <c r="AI2878" s="1110"/>
      <c r="AL2878" s="933"/>
      <c r="AM2878" s="933"/>
      <c r="AN2878" s="1100"/>
      <c r="AO2878" s="1100"/>
      <c r="AP2878" s="934"/>
      <c r="AQ2878" s="934"/>
      <c r="AR2878" s="934"/>
      <c r="AS2878" s="936"/>
      <c r="AT2878" s="936"/>
      <c r="AU2878" s="936"/>
      <c r="AV2878" s="937"/>
      <c r="AW2878" s="938"/>
      <c r="AX2878" s="939"/>
      <c r="AY2878" s="933"/>
      <c r="AZ2878" s="936"/>
      <c r="BA2878" s="936"/>
      <c r="BB2878" s="1112"/>
      <c r="BC2878" s="940"/>
      <c r="BD2878" s="941"/>
      <c r="BE2878" s="942"/>
      <c r="BF2878" s="943"/>
      <c r="BG2878" s="943"/>
      <c r="BH2878" s="943"/>
      <c r="BI2878" s="943"/>
      <c r="BJ2878" s="943"/>
      <c r="BK2878" s="943"/>
      <c r="BL2878" s="943"/>
      <c r="BM2878" s="943"/>
      <c r="BN2878" s="943"/>
      <c r="BO2878" s="1059"/>
      <c r="BP2878" s="1059"/>
      <c r="BQ2878" s="1059"/>
      <c r="BR2878" s="1059"/>
      <c r="BS2878" s="1059"/>
      <c r="BT2878" s="1059"/>
      <c r="BU2878" s="1059"/>
      <c r="BV2878" s="944"/>
      <c r="BW2878" s="944"/>
      <c r="BX2878" s="1147"/>
      <c r="BY2878" s="944"/>
      <c r="BZ2878" s="944"/>
      <c r="CA2878" s="944"/>
      <c r="CB2878" s="944"/>
    </row>
    <row r="2879" spans="2:80">
      <c r="B2879" s="1097"/>
      <c r="C2879" s="1097"/>
      <c r="D2879" s="1097"/>
      <c r="E2879" s="1097"/>
      <c r="F2879" s="934"/>
      <c r="G2879" s="1098"/>
      <c r="H2879" s="1099"/>
      <c r="I2879" s="1099"/>
      <c r="J2879" s="934"/>
      <c r="K2879" s="934"/>
      <c r="L2879" s="933"/>
      <c r="M2879" s="1100"/>
      <c r="N2879" s="934"/>
      <c r="O2879" s="936"/>
      <c r="P2879" s="936"/>
      <c r="Q2879" s="933"/>
      <c r="T2879" s="1101"/>
      <c r="U2879" s="1102"/>
      <c r="V2879" s="936"/>
      <c r="W2879" s="1103"/>
      <c r="X2879" s="1104"/>
      <c r="Y2879" s="1105"/>
      <c r="Z2879" s="1103"/>
      <c r="AC2879" s="1106"/>
      <c r="AD2879" s="1107"/>
      <c r="AE2879" s="1104"/>
      <c r="AG2879" s="1109"/>
      <c r="AI2879" s="1110"/>
      <c r="AL2879" s="933"/>
      <c r="AM2879" s="933"/>
      <c r="AN2879" s="1100"/>
      <c r="AO2879" s="1100"/>
      <c r="AP2879" s="934"/>
      <c r="AQ2879" s="934"/>
      <c r="AR2879" s="934"/>
      <c r="AS2879" s="936"/>
      <c r="AT2879" s="936"/>
      <c r="AU2879" s="936"/>
      <c r="AV2879" s="937"/>
      <c r="AW2879" s="938"/>
      <c r="AX2879" s="939"/>
      <c r="AY2879" s="933"/>
      <c r="AZ2879" s="936"/>
      <c r="BA2879" s="936"/>
      <c r="BB2879" s="1112"/>
      <c r="BC2879" s="940"/>
      <c r="BD2879" s="941"/>
      <c r="BE2879" s="942"/>
      <c r="BF2879" s="943"/>
      <c r="BG2879" s="943"/>
      <c r="BH2879" s="943"/>
      <c r="BI2879" s="943"/>
      <c r="BJ2879" s="943"/>
      <c r="BK2879" s="943"/>
      <c r="BL2879" s="943"/>
      <c r="BM2879" s="943"/>
      <c r="BN2879" s="943"/>
      <c r="BO2879" s="1059"/>
      <c r="BP2879" s="1059"/>
      <c r="BQ2879" s="1059"/>
      <c r="BR2879" s="1059"/>
      <c r="BS2879" s="1059"/>
      <c r="BT2879" s="1059"/>
      <c r="BU2879" s="1059"/>
      <c r="BV2879" s="944"/>
      <c r="BW2879" s="944"/>
      <c r="BX2879" s="1147"/>
      <c r="BY2879" s="944"/>
      <c r="BZ2879" s="944"/>
      <c r="CA2879" s="944"/>
      <c r="CB2879" s="944"/>
    </row>
    <row r="2880" spans="2:80">
      <c r="B2880" s="1097"/>
      <c r="C2880" s="1097"/>
      <c r="D2880" s="1097"/>
      <c r="E2880" s="1097"/>
      <c r="F2880" s="934"/>
      <c r="G2880" s="1098"/>
      <c r="H2880" s="1099"/>
      <c r="I2880" s="1099"/>
      <c r="J2880" s="934"/>
      <c r="K2880" s="934"/>
      <c r="L2880" s="933"/>
      <c r="M2880" s="1100"/>
      <c r="N2880" s="934"/>
      <c r="O2880" s="936"/>
      <c r="P2880" s="936"/>
      <c r="Q2880" s="933"/>
      <c r="T2880" s="1101"/>
      <c r="U2880" s="1102"/>
      <c r="V2880" s="936"/>
      <c r="W2880" s="1103"/>
      <c r="X2880" s="1104"/>
      <c r="Y2880" s="1105"/>
      <c r="Z2880" s="1103"/>
      <c r="AC2880" s="1106"/>
      <c r="AD2880" s="1107"/>
      <c r="AE2880" s="1104"/>
      <c r="AG2880" s="1109"/>
      <c r="AI2880" s="1110"/>
      <c r="AL2880" s="933"/>
      <c r="AM2880" s="933"/>
      <c r="AN2880" s="1100"/>
      <c r="AO2880" s="1100"/>
      <c r="AP2880" s="934"/>
      <c r="AQ2880" s="934"/>
      <c r="AR2880" s="934"/>
      <c r="AS2880" s="936"/>
      <c r="AT2880" s="936"/>
      <c r="AU2880" s="936"/>
      <c r="AV2880" s="937"/>
      <c r="AW2880" s="938"/>
      <c r="AX2880" s="939"/>
      <c r="AY2880" s="933"/>
      <c r="AZ2880" s="936"/>
      <c r="BA2880" s="936"/>
      <c r="BB2880" s="1112"/>
      <c r="BC2880" s="940"/>
      <c r="BD2880" s="941"/>
      <c r="BE2880" s="942"/>
      <c r="BF2880" s="943"/>
      <c r="BG2880" s="943"/>
      <c r="BH2880" s="943"/>
      <c r="BI2880" s="943"/>
      <c r="BJ2880" s="943"/>
      <c r="BK2880" s="943"/>
      <c r="BL2880" s="943"/>
      <c r="BM2880" s="943"/>
      <c r="BN2880" s="943"/>
      <c r="BO2880" s="1059"/>
      <c r="BP2880" s="1059"/>
      <c r="BQ2880" s="1059"/>
      <c r="BR2880" s="1059"/>
      <c r="BS2880" s="1059"/>
      <c r="BT2880" s="1059"/>
      <c r="BU2880" s="1059"/>
      <c r="BV2880" s="944"/>
      <c r="BW2880" s="944"/>
      <c r="BX2880" s="1147"/>
      <c r="BY2880" s="944"/>
      <c r="BZ2880" s="944"/>
      <c r="CA2880" s="944"/>
      <c r="CB2880" s="944"/>
    </row>
    <row r="2881" spans="2:80">
      <c r="B2881" s="1097"/>
      <c r="C2881" s="1097"/>
      <c r="D2881" s="1097"/>
      <c r="E2881" s="1097"/>
      <c r="F2881" s="934"/>
      <c r="G2881" s="1098"/>
      <c r="H2881" s="1099"/>
      <c r="I2881" s="1099"/>
      <c r="J2881" s="934"/>
      <c r="K2881" s="934"/>
      <c r="L2881" s="933"/>
      <c r="M2881" s="1100"/>
      <c r="N2881" s="934"/>
      <c r="O2881" s="936"/>
      <c r="P2881" s="936"/>
      <c r="Q2881" s="933"/>
      <c r="T2881" s="1101"/>
      <c r="U2881" s="1102"/>
      <c r="V2881" s="936"/>
      <c r="W2881" s="1103"/>
      <c r="X2881" s="1104"/>
      <c r="Y2881" s="1105"/>
      <c r="Z2881" s="1103"/>
      <c r="AC2881" s="1106"/>
      <c r="AD2881" s="1107"/>
      <c r="AE2881" s="1104"/>
      <c r="AG2881" s="1109"/>
      <c r="AI2881" s="1110"/>
      <c r="AL2881" s="933"/>
      <c r="AM2881" s="933"/>
      <c r="AN2881" s="1100"/>
      <c r="AO2881" s="1100"/>
      <c r="AP2881" s="934"/>
      <c r="AQ2881" s="934"/>
      <c r="AR2881" s="934"/>
      <c r="AS2881" s="936"/>
      <c r="AT2881" s="936"/>
      <c r="AU2881" s="936"/>
      <c r="AV2881" s="937"/>
      <c r="AW2881" s="938"/>
      <c r="AX2881" s="939"/>
      <c r="AY2881" s="933"/>
      <c r="AZ2881" s="936"/>
      <c r="BA2881" s="936"/>
      <c r="BB2881" s="1112"/>
      <c r="BC2881" s="940"/>
      <c r="BD2881" s="941"/>
      <c r="BE2881" s="942"/>
      <c r="BF2881" s="943"/>
      <c r="BG2881" s="943"/>
      <c r="BH2881" s="943"/>
      <c r="BI2881" s="943"/>
      <c r="BJ2881" s="943"/>
      <c r="BK2881" s="943"/>
      <c r="BL2881" s="943"/>
      <c r="BM2881" s="943"/>
      <c r="BN2881" s="943"/>
      <c r="BO2881" s="1059"/>
      <c r="BP2881" s="1059"/>
      <c r="BQ2881" s="1059"/>
      <c r="BR2881" s="1059"/>
      <c r="BS2881" s="1059"/>
      <c r="BT2881" s="1059"/>
      <c r="BU2881" s="1059"/>
      <c r="BV2881" s="944"/>
      <c r="BW2881" s="944"/>
      <c r="BX2881" s="1147"/>
      <c r="BY2881" s="944"/>
      <c r="BZ2881" s="944"/>
      <c r="CA2881" s="944"/>
      <c r="CB2881" s="944"/>
    </row>
    <row r="2882" spans="2:80">
      <c r="B2882" s="1097"/>
      <c r="C2882" s="1097"/>
      <c r="D2882" s="1097"/>
      <c r="E2882" s="1097"/>
      <c r="F2882" s="934"/>
      <c r="G2882" s="1098"/>
      <c r="H2882" s="1099"/>
      <c r="I2882" s="1099"/>
      <c r="J2882" s="934"/>
      <c r="K2882" s="934"/>
      <c r="L2882" s="933"/>
      <c r="M2882" s="1100"/>
      <c r="N2882" s="934"/>
      <c r="O2882" s="936"/>
      <c r="P2882" s="936"/>
      <c r="Q2882" s="933"/>
      <c r="T2882" s="1101"/>
      <c r="U2882" s="1102"/>
      <c r="V2882" s="936"/>
      <c r="W2882" s="1103"/>
      <c r="X2882" s="1104"/>
      <c r="Y2882" s="1105"/>
      <c r="Z2882" s="1103"/>
      <c r="AC2882" s="1106"/>
      <c r="AD2882" s="1107"/>
      <c r="AE2882" s="1104"/>
      <c r="AG2882" s="1109"/>
      <c r="AI2882" s="1110"/>
      <c r="AL2882" s="933"/>
      <c r="AM2882" s="933"/>
      <c r="AN2882" s="1100"/>
      <c r="AO2882" s="1100"/>
      <c r="AP2882" s="934"/>
      <c r="AQ2882" s="934"/>
      <c r="AR2882" s="934"/>
      <c r="AS2882" s="936"/>
      <c r="AT2882" s="936"/>
      <c r="AU2882" s="936"/>
      <c r="AV2882" s="937"/>
      <c r="AW2882" s="938"/>
      <c r="AX2882" s="939"/>
      <c r="AY2882" s="933"/>
      <c r="AZ2882" s="936"/>
      <c r="BA2882" s="936"/>
      <c r="BB2882" s="1112"/>
      <c r="BC2882" s="940"/>
      <c r="BD2882" s="941"/>
      <c r="BE2882" s="942"/>
      <c r="BF2882" s="943"/>
      <c r="BG2882" s="943"/>
      <c r="BH2882" s="943"/>
      <c r="BI2882" s="943"/>
      <c r="BJ2882" s="943"/>
      <c r="BK2882" s="943"/>
      <c r="BL2882" s="943"/>
      <c r="BM2882" s="943"/>
      <c r="BN2882" s="943"/>
      <c r="BO2882" s="1059"/>
      <c r="BP2882" s="1059"/>
      <c r="BQ2882" s="1059"/>
      <c r="BR2882" s="1059"/>
      <c r="BS2882" s="1059"/>
      <c r="BT2882" s="1059"/>
      <c r="BU2882" s="1059"/>
      <c r="BV2882" s="944"/>
      <c r="BW2882" s="944"/>
      <c r="BX2882" s="1147"/>
      <c r="BY2882" s="944"/>
      <c r="BZ2882" s="944"/>
      <c r="CA2882" s="944"/>
      <c r="CB2882" s="944"/>
    </row>
    <row r="2883" spans="2:80">
      <c r="B2883" s="1097"/>
      <c r="C2883" s="1097"/>
      <c r="D2883" s="1097"/>
      <c r="E2883" s="1097"/>
      <c r="F2883" s="934"/>
      <c r="G2883" s="1098"/>
      <c r="H2883" s="1099"/>
      <c r="I2883" s="1099"/>
      <c r="J2883" s="934"/>
      <c r="K2883" s="934"/>
      <c r="L2883" s="933"/>
      <c r="M2883" s="1100"/>
      <c r="N2883" s="934"/>
      <c r="O2883" s="936"/>
      <c r="P2883" s="936"/>
      <c r="Q2883" s="933"/>
      <c r="T2883" s="1101"/>
      <c r="U2883" s="1102"/>
      <c r="V2883" s="936"/>
      <c r="W2883" s="1103"/>
      <c r="X2883" s="1104"/>
      <c r="Y2883" s="1105"/>
      <c r="Z2883" s="1103"/>
      <c r="AC2883" s="1106"/>
      <c r="AD2883" s="1107"/>
      <c r="AE2883" s="1104"/>
      <c r="AG2883" s="1109"/>
      <c r="AI2883" s="1110"/>
      <c r="AL2883" s="933"/>
      <c r="AM2883" s="933"/>
      <c r="AN2883" s="1100"/>
      <c r="AO2883" s="1100"/>
      <c r="AP2883" s="934"/>
      <c r="AQ2883" s="934"/>
      <c r="AR2883" s="934"/>
      <c r="AS2883" s="936"/>
      <c r="AT2883" s="936"/>
      <c r="AU2883" s="936"/>
      <c r="AV2883" s="937"/>
      <c r="AW2883" s="938"/>
      <c r="AX2883" s="939"/>
      <c r="AY2883" s="933"/>
      <c r="AZ2883" s="936"/>
      <c r="BA2883" s="936"/>
      <c r="BB2883" s="1112"/>
      <c r="BC2883" s="940"/>
      <c r="BD2883" s="941"/>
      <c r="BE2883" s="942"/>
      <c r="BF2883" s="943"/>
      <c r="BG2883" s="943"/>
      <c r="BH2883" s="943"/>
      <c r="BI2883" s="943"/>
      <c r="BJ2883" s="943"/>
      <c r="BK2883" s="943"/>
      <c r="BL2883" s="943"/>
      <c r="BM2883" s="943"/>
      <c r="BN2883" s="943"/>
      <c r="BO2883" s="1059"/>
      <c r="BP2883" s="1059"/>
      <c r="BQ2883" s="1059"/>
      <c r="BR2883" s="1059"/>
      <c r="BS2883" s="1059"/>
      <c r="BT2883" s="1059"/>
      <c r="BU2883" s="1059"/>
      <c r="BV2883" s="944"/>
      <c r="BW2883" s="944"/>
      <c r="BX2883" s="1147"/>
      <c r="BY2883" s="944"/>
      <c r="BZ2883" s="944"/>
      <c r="CA2883" s="944"/>
      <c r="CB2883" s="944"/>
    </row>
    <row r="2884" spans="2:80">
      <c r="B2884" s="1097"/>
      <c r="C2884" s="1097"/>
      <c r="D2884" s="1097"/>
      <c r="E2884" s="1097"/>
      <c r="F2884" s="934"/>
      <c r="G2884" s="1098"/>
      <c r="H2884" s="1099"/>
      <c r="I2884" s="1099"/>
      <c r="J2884" s="934"/>
      <c r="K2884" s="934"/>
      <c r="L2884" s="933"/>
      <c r="M2884" s="1100"/>
      <c r="N2884" s="934"/>
      <c r="O2884" s="936"/>
      <c r="P2884" s="936"/>
      <c r="Q2884" s="933"/>
      <c r="T2884" s="1101"/>
      <c r="U2884" s="1102"/>
      <c r="V2884" s="936"/>
      <c r="W2884" s="1103"/>
      <c r="X2884" s="1104"/>
      <c r="Y2884" s="1105"/>
      <c r="Z2884" s="1103"/>
      <c r="AC2884" s="1106"/>
      <c r="AD2884" s="1107"/>
      <c r="AE2884" s="1104"/>
      <c r="AG2884" s="1109"/>
      <c r="AI2884" s="1110"/>
      <c r="AL2884" s="933"/>
      <c r="AM2884" s="933"/>
      <c r="AN2884" s="1100"/>
      <c r="AO2884" s="1100"/>
      <c r="AP2884" s="934"/>
      <c r="AQ2884" s="934"/>
      <c r="AR2884" s="934"/>
      <c r="AS2884" s="936"/>
      <c r="AT2884" s="936"/>
      <c r="AU2884" s="936"/>
      <c r="AV2884" s="937"/>
      <c r="AW2884" s="938"/>
      <c r="AX2884" s="939"/>
      <c r="AY2884" s="933"/>
      <c r="AZ2884" s="936"/>
      <c r="BA2884" s="936"/>
      <c r="BB2884" s="1112"/>
      <c r="BC2884" s="940"/>
      <c r="BD2884" s="941"/>
      <c r="BE2884" s="942"/>
      <c r="BF2884" s="943"/>
      <c r="BG2884" s="943"/>
      <c r="BH2884" s="943"/>
      <c r="BI2884" s="943"/>
      <c r="BJ2884" s="943"/>
      <c r="BK2884" s="943"/>
      <c r="BL2884" s="943"/>
      <c r="BM2884" s="943"/>
      <c r="BN2884" s="943"/>
      <c r="BO2884" s="1059"/>
      <c r="BP2884" s="1059"/>
      <c r="BQ2884" s="1059"/>
      <c r="BR2884" s="1059"/>
      <c r="BS2884" s="1059"/>
      <c r="BT2884" s="1059"/>
      <c r="BU2884" s="1059"/>
      <c r="BV2884" s="944"/>
      <c r="BW2884" s="944"/>
      <c r="BX2884" s="1147"/>
      <c r="BY2884" s="944"/>
      <c r="BZ2884" s="944"/>
      <c r="CA2884" s="944"/>
      <c r="CB2884" s="944"/>
    </row>
    <row r="2885" spans="2:80">
      <c r="B2885" s="1097"/>
      <c r="C2885" s="1097"/>
      <c r="D2885" s="1097"/>
      <c r="E2885" s="1097"/>
      <c r="F2885" s="934"/>
      <c r="G2885" s="1098"/>
      <c r="H2885" s="1099"/>
      <c r="I2885" s="1099"/>
      <c r="J2885" s="934"/>
      <c r="K2885" s="934"/>
      <c r="L2885" s="933"/>
      <c r="M2885" s="1100"/>
      <c r="N2885" s="934"/>
      <c r="O2885" s="936"/>
      <c r="P2885" s="936"/>
      <c r="Q2885" s="933"/>
      <c r="T2885" s="1101"/>
      <c r="U2885" s="1102"/>
      <c r="V2885" s="936"/>
      <c r="W2885" s="1103"/>
      <c r="X2885" s="1104"/>
      <c r="Y2885" s="1105"/>
      <c r="Z2885" s="1103"/>
      <c r="AC2885" s="1106"/>
      <c r="AD2885" s="1107"/>
      <c r="AE2885" s="1104"/>
      <c r="AG2885" s="1109"/>
      <c r="AI2885" s="1110"/>
      <c r="AL2885" s="933"/>
      <c r="AM2885" s="933"/>
      <c r="AN2885" s="1100"/>
      <c r="AO2885" s="1100"/>
      <c r="AP2885" s="934"/>
      <c r="AQ2885" s="934"/>
      <c r="AR2885" s="934"/>
      <c r="AS2885" s="936"/>
      <c r="AT2885" s="936"/>
      <c r="AU2885" s="936"/>
      <c r="AV2885" s="937"/>
      <c r="AW2885" s="938"/>
      <c r="AX2885" s="939"/>
      <c r="AY2885" s="933"/>
      <c r="AZ2885" s="936"/>
      <c r="BA2885" s="936"/>
      <c r="BB2885" s="1112"/>
      <c r="BC2885" s="940"/>
      <c r="BD2885" s="941"/>
      <c r="BE2885" s="942"/>
      <c r="BF2885" s="943"/>
      <c r="BG2885" s="943"/>
      <c r="BH2885" s="943"/>
      <c r="BI2885" s="943"/>
      <c r="BJ2885" s="943"/>
      <c r="BK2885" s="943"/>
      <c r="BL2885" s="943"/>
      <c r="BM2885" s="943"/>
      <c r="BN2885" s="943"/>
      <c r="BO2885" s="1059"/>
      <c r="BP2885" s="1059"/>
      <c r="BQ2885" s="1059"/>
      <c r="BR2885" s="1059"/>
      <c r="BS2885" s="1059"/>
      <c r="BT2885" s="1059"/>
      <c r="BU2885" s="1059"/>
      <c r="BV2885" s="944"/>
      <c r="BW2885" s="944"/>
      <c r="BX2885" s="1147"/>
      <c r="BY2885" s="944"/>
      <c r="BZ2885" s="944"/>
      <c r="CA2885" s="944"/>
      <c r="CB2885" s="944"/>
    </row>
    <row r="2886" spans="2:80">
      <c r="B2886" s="1097"/>
      <c r="C2886" s="1097"/>
      <c r="D2886" s="1097"/>
      <c r="E2886" s="1097"/>
      <c r="F2886" s="934"/>
      <c r="G2886" s="1098"/>
      <c r="H2886" s="1099"/>
      <c r="I2886" s="1099"/>
      <c r="J2886" s="934"/>
      <c r="K2886" s="934"/>
      <c r="L2886" s="933"/>
      <c r="M2886" s="1100"/>
      <c r="N2886" s="934"/>
      <c r="O2886" s="936"/>
      <c r="P2886" s="936"/>
      <c r="Q2886" s="933"/>
      <c r="T2886" s="1101"/>
      <c r="U2886" s="1102"/>
      <c r="V2886" s="936"/>
      <c r="W2886" s="1103"/>
      <c r="X2886" s="1104"/>
      <c r="Y2886" s="1105"/>
      <c r="Z2886" s="1103"/>
      <c r="AC2886" s="1106"/>
      <c r="AD2886" s="1107"/>
      <c r="AE2886" s="1104"/>
      <c r="AG2886" s="1109"/>
      <c r="AI2886" s="1110"/>
      <c r="AL2886" s="933"/>
      <c r="AM2886" s="933"/>
      <c r="AN2886" s="1100"/>
      <c r="AO2886" s="1100"/>
      <c r="AP2886" s="934"/>
      <c r="AQ2886" s="934"/>
      <c r="AR2886" s="934"/>
      <c r="AS2886" s="936"/>
      <c r="AT2886" s="936"/>
      <c r="AU2886" s="936"/>
      <c r="AV2886" s="937"/>
      <c r="AW2886" s="938"/>
      <c r="AX2886" s="939"/>
      <c r="AY2886" s="933"/>
      <c r="AZ2886" s="936"/>
      <c r="BA2886" s="936"/>
      <c r="BB2886" s="1112"/>
      <c r="BC2886" s="940"/>
      <c r="BD2886" s="941"/>
      <c r="BE2886" s="942"/>
      <c r="BF2886" s="943"/>
      <c r="BG2886" s="943"/>
      <c r="BH2886" s="943"/>
      <c r="BI2886" s="943"/>
      <c r="BJ2886" s="943"/>
      <c r="BK2886" s="943"/>
      <c r="BL2886" s="943"/>
      <c r="BM2886" s="943"/>
      <c r="BN2886" s="943"/>
      <c r="BO2886" s="1059"/>
      <c r="BP2886" s="1059"/>
      <c r="BQ2886" s="1059"/>
      <c r="BR2886" s="1059"/>
      <c r="BS2886" s="1059"/>
      <c r="BT2886" s="1059"/>
      <c r="BU2886" s="1059"/>
      <c r="BV2886" s="944"/>
      <c r="BW2886" s="944"/>
      <c r="BX2886" s="1147"/>
      <c r="BY2886" s="944"/>
      <c r="BZ2886" s="944"/>
      <c r="CA2886" s="944"/>
      <c r="CB2886" s="944"/>
    </row>
    <row r="2887" spans="2:80">
      <c r="B2887" s="1097"/>
      <c r="C2887" s="1097"/>
      <c r="D2887" s="1097"/>
      <c r="E2887" s="1097"/>
      <c r="F2887" s="934"/>
      <c r="G2887" s="1098"/>
      <c r="H2887" s="1099"/>
      <c r="I2887" s="1099"/>
      <c r="J2887" s="934"/>
      <c r="K2887" s="934"/>
      <c r="L2887" s="933"/>
      <c r="M2887" s="1100"/>
      <c r="N2887" s="934"/>
      <c r="O2887" s="936"/>
      <c r="P2887" s="936"/>
      <c r="Q2887" s="933"/>
      <c r="T2887" s="1101"/>
      <c r="U2887" s="1102"/>
      <c r="V2887" s="936"/>
      <c r="W2887" s="1103"/>
      <c r="X2887" s="1104"/>
      <c r="Y2887" s="1105"/>
      <c r="Z2887" s="1103"/>
      <c r="AC2887" s="1106"/>
      <c r="AD2887" s="1107"/>
      <c r="AE2887" s="1104"/>
      <c r="AG2887" s="1109"/>
      <c r="AI2887" s="1110"/>
      <c r="AL2887" s="933"/>
      <c r="AM2887" s="933"/>
      <c r="AN2887" s="1100"/>
      <c r="AO2887" s="1100"/>
      <c r="AP2887" s="934"/>
      <c r="AQ2887" s="934"/>
      <c r="AR2887" s="934"/>
      <c r="AS2887" s="936"/>
      <c r="AT2887" s="936"/>
      <c r="AU2887" s="936"/>
      <c r="AV2887" s="937"/>
      <c r="AW2887" s="938"/>
      <c r="AX2887" s="939"/>
      <c r="AY2887" s="933"/>
      <c r="AZ2887" s="936"/>
      <c r="BA2887" s="936"/>
      <c r="BB2887" s="1112"/>
      <c r="BC2887" s="940"/>
      <c r="BD2887" s="941"/>
      <c r="BE2887" s="942"/>
      <c r="BF2887" s="943"/>
      <c r="BG2887" s="943"/>
      <c r="BH2887" s="943"/>
      <c r="BI2887" s="943"/>
      <c r="BJ2887" s="943"/>
      <c r="BK2887" s="943"/>
      <c r="BL2887" s="943"/>
      <c r="BM2887" s="943"/>
      <c r="BN2887" s="943"/>
      <c r="BO2887" s="1059"/>
      <c r="BP2887" s="1059"/>
      <c r="BQ2887" s="1059"/>
      <c r="BR2887" s="1059"/>
      <c r="BS2887" s="1059"/>
      <c r="BT2887" s="1059"/>
      <c r="BU2887" s="1059"/>
      <c r="BV2887" s="944"/>
      <c r="BW2887" s="944"/>
      <c r="BX2887" s="1147"/>
      <c r="BY2887" s="944"/>
      <c r="BZ2887" s="944"/>
      <c r="CA2887" s="944"/>
      <c r="CB2887" s="944"/>
    </row>
    <row r="2888" spans="2:80">
      <c r="B2888" s="1097"/>
      <c r="C2888" s="1097"/>
      <c r="D2888" s="1097"/>
      <c r="E2888" s="1097"/>
      <c r="F2888" s="934"/>
      <c r="G2888" s="1098"/>
      <c r="H2888" s="1099"/>
      <c r="I2888" s="1099"/>
      <c r="J2888" s="934"/>
      <c r="K2888" s="934"/>
      <c r="L2888" s="933"/>
      <c r="M2888" s="1100"/>
      <c r="N2888" s="934"/>
      <c r="O2888" s="936"/>
      <c r="P2888" s="936"/>
      <c r="Q2888" s="933"/>
      <c r="T2888" s="1101"/>
      <c r="U2888" s="1102"/>
      <c r="V2888" s="936"/>
      <c r="W2888" s="1103"/>
      <c r="X2888" s="1104"/>
      <c r="Y2888" s="1105"/>
      <c r="Z2888" s="1103"/>
      <c r="AC2888" s="1106"/>
      <c r="AD2888" s="1107"/>
      <c r="AE2888" s="1104"/>
      <c r="AG2888" s="1109"/>
      <c r="AI2888" s="1110"/>
      <c r="AL2888" s="933"/>
      <c r="AM2888" s="933"/>
      <c r="AN2888" s="1100"/>
      <c r="AO2888" s="1100"/>
      <c r="AP2888" s="934"/>
      <c r="AQ2888" s="934"/>
      <c r="AR2888" s="934"/>
      <c r="AS2888" s="936"/>
      <c r="AT2888" s="936"/>
      <c r="AU2888" s="936"/>
      <c r="AV2888" s="937"/>
      <c r="AW2888" s="938"/>
      <c r="AX2888" s="939"/>
      <c r="AY2888" s="933"/>
      <c r="AZ2888" s="936"/>
      <c r="BA2888" s="936"/>
      <c r="BB2888" s="1112"/>
      <c r="BC2888" s="940"/>
      <c r="BD2888" s="941"/>
      <c r="BE2888" s="942"/>
      <c r="BF2888" s="943"/>
      <c r="BG2888" s="943"/>
      <c r="BH2888" s="943"/>
      <c r="BI2888" s="943"/>
      <c r="BJ2888" s="943"/>
      <c r="BK2888" s="943"/>
      <c r="BL2888" s="943"/>
      <c r="BM2888" s="943"/>
      <c r="BN2888" s="943"/>
      <c r="BO2888" s="1059"/>
      <c r="BP2888" s="1059"/>
      <c r="BQ2888" s="1059"/>
      <c r="BR2888" s="1059"/>
      <c r="BS2888" s="1059"/>
      <c r="BT2888" s="1059"/>
      <c r="BU2888" s="1059"/>
      <c r="BV2888" s="944"/>
      <c r="BW2888" s="944"/>
      <c r="BX2888" s="1147"/>
      <c r="BY2888" s="944"/>
      <c r="BZ2888" s="944"/>
      <c r="CA2888" s="944"/>
      <c r="CB2888" s="944"/>
    </row>
    <row r="2889" spans="2:80">
      <c r="B2889" s="1097"/>
      <c r="C2889" s="1097"/>
      <c r="D2889" s="1097"/>
      <c r="E2889" s="1097"/>
      <c r="F2889" s="934"/>
      <c r="G2889" s="1098"/>
      <c r="H2889" s="1099"/>
      <c r="I2889" s="1099"/>
      <c r="J2889" s="934"/>
      <c r="K2889" s="934"/>
      <c r="L2889" s="933"/>
      <c r="M2889" s="1100"/>
      <c r="N2889" s="934"/>
      <c r="O2889" s="936"/>
      <c r="P2889" s="936"/>
      <c r="Q2889" s="933"/>
      <c r="T2889" s="1101"/>
      <c r="U2889" s="1102"/>
      <c r="V2889" s="936"/>
      <c r="W2889" s="1103"/>
      <c r="X2889" s="1104"/>
      <c r="Y2889" s="1105"/>
      <c r="Z2889" s="1103"/>
      <c r="AC2889" s="1106"/>
      <c r="AD2889" s="1107"/>
      <c r="AE2889" s="1104"/>
      <c r="AG2889" s="1109"/>
      <c r="AI2889" s="1110"/>
      <c r="AL2889" s="933"/>
      <c r="AM2889" s="933"/>
      <c r="AN2889" s="1100"/>
      <c r="AO2889" s="1100"/>
      <c r="AP2889" s="934"/>
      <c r="AQ2889" s="934"/>
      <c r="AR2889" s="934"/>
      <c r="AS2889" s="936"/>
      <c r="AT2889" s="936"/>
      <c r="AU2889" s="936"/>
      <c r="AV2889" s="937"/>
      <c r="AW2889" s="938"/>
      <c r="AX2889" s="939"/>
      <c r="AY2889" s="933"/>
      <c r="AZ2889" s="936"/>
      <c r="BA2889" s="936"/>
      <c r="BB2889" s="1112"/>
      <c r="BC2889" s="940"/>
      <c r="BD2889" s="941"/>
      <c r="BE2889" s="942"/>
      <c r="BF2889" s="943"/>
      <c r="BG2889" s="943"/>
      <c r="BH2889" s="943"/>
      <c r="BI2889" s="943"/>
      <c r="BJ2889" s="943"/>
      <c r="BK2889" s="943"/>
      <c r="BL2889" s="943"/>
      <c r="BM2889" s="943"/>
      <c r="BN2889" s="943"/>
      <c r="BO2889" s="1059"/>
      <c r="BP2889" s="1059"/>
      <c r="BQ2889" s="1059"/>
      <c r="BR2889" s="1059"/>
      <c r="BS2889" s="1059"/>
      <c r="BT2889" s="1059"/>
      <c r="BU2889" s="1059"/>
      <c r="BV2889" s="944"/>
      <c r="BW2889" s="944"/>
      <c r="BX2889" s="1147"/>
      <c r="BY2889" s="944"/>
      <c r="BZ2889" s="944"/>
      <c r="CA2889" s="944"/>
      <c r="CB2889" s="944"/>
    </row>
    <row r="2890" spans="2:80">
      <c r="B2890" s="1097"/>
      <c r="C2890" s="1097"/>
      <c r="D2890" s="1097"/>
      <c r="E2890" s="1097"/>
      <c r="F2890" s="934"/>
      <c r="G2890" s="1098"/>
      <c r="H2890" s="1099"/>
      <c r="I2890" s="1099"/>
      <c r="J2890" s="934"/>
      <c r="K2890" s="934"/>
      <c r="L2890" s="933"/>
      <c r="M2890" s="1100"/>
      <c r="N2890" s="934"/>
      <c r="O2890" s="936"/>
      <c r="P2890" s="936"/>
      <c r="Q2890" s="933"/>
      <c r="T2890" s="1101"/>
      <c r="U2890" s="1102"/>
      <c r="V2890" s="936"/>
      <c r="W2890" s="1103"/>
      <c r="X2890" s="1104"/>
      <c r="Y2890" s="1105"/>
      <c r="Z2890" s="1103"/>
      <c r="AC2890" s="1106"/>
      <c r="AD2890" s="1107"/>
      <c r="AE2890" s="1104"/>
      <c r="AG2890" s="1109"/>
      <c r="AI2890" s="1110"/>
      <c r="AL2890" s="933"/>
      <c r="AM2890" s="933"/>
      <c r="AN2890" s="1100"/>
      <c r="AO2890" s="1100"/>
      <c r="AP2890" s="934"/>
      <c r="AQ2890" s="934"/>
      <c r="AR2890" s="934"/>
      <c r="AS2890" s="936"/>
      <c r="AT2890" s="936"/>
      <c r="AU2890" s="936"/>
      <c r="AV2890" s="937"/>
      <c r="AW2890" s="938"/>
      <c r="AX2890" s="939"/>
      <c r="AY2890" s="933"/>
      <c r="AZ2890" s="936"/>
      <c r="BA2890" s="936"/>
      <c r="BB2890" s="1112"/>
      <c r="BC2890" s="940"/>
      <c r="BD2890" s="941"/>
      <c r="BE2890" s="942"/>
      <c r="BF2890" s="943"/>
      <c r="BG2890" s="943"/>
      <c r="BH2890" s="943"/>
      <c r="BI2890" s="943"/>
      <c r="BJ2890" s="943"/>
      <c r="BK2890" s="943"/>
      <c r="BL2890" s="943"/>
      <c r="BM2890" s="943"/>
      <c r="BN2890" s="943"/>
      <c r="BO2890" s="1059"/>
      <c r="BP2890" s="1059"/>
      <c r="BQ2890" s="1059"/>
      <c r="BR2890" s="1059"/>
      <c r="BS2890" s="1059"/>
      <c r="BT2890" s="1059"/>
      <c r="BU2890" s="1059"/>
      <c r="BV2890" s="944"/>
      <c r="BW2890" s="944"/>
      <c r="BX2890" s="1147"/>
      <c r="BY2890" s="944"/>
      <c r="BZ2890" s="944"/>
      <c r="CA2890" s="944"/>
      <c r="CB2890" s="944"/>
    </row>
    <row r="2891" spans="2:80">
      <c r="B2891" s="1097"/>
      <c r="C2891" s="1097"/>
      <c r="D2891" s="1097"/>
      <c r="E2891" s="1097"/>
      <c r="F2891" s="934"/>
      <c r="G2891" s="1098"/>
      <c r="H2891" s="1099"/>
      <c r="I2891" s="1099"/>
      <c r="J2891" s="934"/>
      <c r="K2891" s="934"/>
      <c r="L2891" s="933"/>
      <c r="M2891" s="1100"/>
      <c r="N2891" s="934"/>
      <c r="O2891" s="936"/>
      <c r="P2891" s="936"/>
      <c r="Q2891" s="933"/>
      <c r="T2891" s="1101"/>
      <c r="U2891" s="1102"/>
      <c r="V2891" s="936"/>
      <c r="W2891" s="1103"/>
      <c r="X2891" s="1104"/>
      <c r="Y2891" s="1105"/>
      <c r="Z2891" s="1103"/>
      <c r="AC2891" s="1106"/>
      <c r="AD2891" s="1107"/>
      <c r="AE2891" s="1104"/>
      <c r="AG2891" s="1109"/>
      <c r="AI2891" s="1110"/>
      <c r="AL2891" s="933"/>
      <c r="AM2891" s="933"/>
      <c r="AN2891" s="1100"/>
      <c r="AO2891" s="1100"/>
      <c r="AP2891" s="934"/>
      <c r="AQ2891" s="934"/>
      <c r="AR2891" s="934"/>
      <c r="AS2891" s="936"/>
      <c r="AT2891" s="936"/>
      <c r="AU2891" s="936"/>
      <c r="AV2891" s="937"/>
      <c r="AW2891" s="938"/>
      <c r="AX2891" s="939"/>
      <c r="AY2891" s="933"/>
      <c r="AZ2891" s="936"/>
      <c r="BA2891" s="936"/>
      <c r="BB2891" s="1112"/>
      <c r="BC2891" s="940"/>
      <c r="BD2891" s="941"/>
      <c r="BE2891" s="942"/>
      <c r="BF2891" s="943"/>
      <c r="BG2891" s="943"/>
      <c r="BH2891" s="943"/>
      <c r="BI2891" s="943"/>
      <c r="BJ2891" s="943"/>
      <c r="BK2891" s="943"/>
      <c r="BL2891" s="943"/>
      <c r="BM2891" s="943"/>
      <c r="BN2891" s="943"/>
      <c r="BO2891" s="1059"/>
      <c r="BP2891" s="1059"/>
      <c r="BQ2891" s="1059"/>
      <c r="BR2891" s="1059"/>
      <c r="BS2891" s="1059"/>
      <c r="BT2891" s="1059"/>
      <c r="BU2891" s="1059"/>
      <c r="BV2891" s="944"/>
      <c r="BW2891" s="944"/>
      <c r="BX2891" s="1147"/>
      <c r="BY2891" s="944"/>
      <c r="BZ2891" s="944"/>
      <c r="CA2891" s="944"/>
      <c r="CB2891" s="944"/>
    </row>
    <row r="2892" spans="2:80">
      <c r="B2892" s="1097"/>
      <c r="C2892" s="1097"/>
      <c r="D2892" s="1097"/>
      <c r="E2892" s="1097"/>
      <c r="F2892" s="934"/>
      <c r="G2892" s="1098"/>
      <c r="H2892" s="1099"/>
      <c r="I2892" s="1099"/>
      <c r="J2892" s="934"/>
      <c r="K2892" s="934"/>
      <c r="L2892" s="933"/>
      <c r="M2892" s="1100"/>
      <c r="N2892" s="934"/>
      <c r="O2892" s="936"/>
      <c r="P2892" s="936"/>
      <c r="Q2892" s="933"/>
      <c r="T2892" s="1101"/>
      <c r="U2892" s="1102"/>
      <c r="V2892" s="936"/>
      <c r="W2892" s="1103"/>
      <c r="X2892" s="1104"/>
      <c r="Y2892" s="1105"/>
      <c r="Z2892" s="1103"/>
      <c r="AC2892" s="1106"/>
      <c r="AD2892" s="1107"/>
      <c r="AE2892" s="1104"/>
      <c r="AG2892" s="1109"/>
      <c r="AI2892" s="1110"/>
      <c r="AL2892" s="933"/>
      <c r="AM2892" s="933"/>
      <c r="AN2892" s="1100"/>
      <c r="AO2892" s="1100"/>
      <c r="AP2892" s="934"/>
      <c r="AQ2892" s="934"/>
      <c r="AR2892" s="934"/>
      <c r="AS2892" s="936"/>
      <c r="AT2892" s="936"/>
      <c r="AU2892" s="936"/>
      <c r="AV2892" s="937"/>
      <c r="AW2892" s="938"/>
      <c r="AX2892" s="939"/>
      <c r="AY2892" s="933"/>
      <c r="AZ2892" s="936"/>
      <c r="BA2892" s="936"/>
      <c r="BB2892" s="1112"/>
      <c r="BC2892" s="940"/>
      <c r="BD2892" s="941"/>
      <c r="BE2892" s="942"/>
      <c r="BF2892" s="943"/>
      <c r="BG2892" s="943"/>
      <c r="BH2892" s="943"/>
      <c r="BI2892" s="943"/>
      <c r="BJ2892" s="943"/>
      <c r="BK2892" s="943"/>
      <c r="BL2892" s="943"/>
      <c r="BM2892" s="943"/>
      <c r="BN2892" s="943"/>
      <c r="BO2892" s="1059"/>
      <c r="BP2892" s="1059"/>
      <c r="BQ2892" s="1059"/>
      <c r="BR2892" s="1059"/>
      <c r="BS2892" s="1059"/>
      <c r="BT2892" s="1059"/>
      <c r="BU2892" s="1059"/>
      <c r="BV2892" s="944"/>
      <c r="BW2892" s="944"/>
      <c r="BX2892" s="1147"/>
      <c r="BY2892" s="944"/>
      <c r="BZ2892" s="944"/>
      <c r="CA2892" s="944"/>
      <c r="CB2892" s="944"/>
    </row>
    <row r="2893" spans="2:80">
      <c r="B2893" s="1097"/>
      <c r="C2893" s="1097"/>
      <c r="D2893" s="1097"/>
      <c r="E2893" s="1097"/>
      <c r="F2893" s="934"/>
      <c r="G2893" s="1098"/>
      <c r="H2893" s="1099"/>
      <c r="I2893" s="1099"/>
      <c r="J2893" s="934"/>
      <c r="K2893" s="934"/>
      <c r="L2893" s="933"/>
      <c r="M2893" s="1100"/>
      <c r="N2893" s="934"/>
      <c r="O2893" s="936"/>
      <c r="P2893" s="936"/>
      <c r="Q2893" s="933"/>
      <c r="T2893" s="1101"/>
      <c r="U2893" s="1102"/>
      <c r="V2893" s="936"/>
      <c r="W2893" s="1103"/>
      <c r="X2893" s="1104"/>
      <c r="Y2893" s="1105"/>
      <c r="Z2893" s="1103"/>
      <c r="AC2893" s="1106"/>
      <c r="AD2893" s="1107"/>
      <c r="AE2893" s="1104"/>
      <c r="AG2893" s="1109"/>
      <c r="AI2893" s="1110"/>
      <c r="AL2893" s="933"/>
      <c r="AM2893" s="933"/>
      <c r="AN2893" s="1100"/>
      <c r="AO2893" s="1100"/>
      <c r="AP2893" s="934"/>
      <c r="AQ2893" s="934"/>
      <c r="AR2893" s="934"/>
      <c r="AS2893" s="936"/>
      <c r="AT2893" s="936"/>
      <c r="AU2893" s="936"/>
      <c r="AV2893" s="937"/>
      <c r="AW2893" s="938"/>
      <c r="AX2893" s="939"/>
      <c r="AY2893" s="933"/>
      <c r="AZ2893" s="936"/>
      <c r="BA2893" s="936"/>
      <c r="BB2893" s="1112"/>
      <c r="BC2893" s="940"/>
      <c r="BD2893" s="941"/>
      <c r="BE2893" s="942"/>
      <c r="BF2893" s="943"/>
      <c r="BG2893" s="943"/>
      <c r="BH2893" s="943"/>
      <c r="BI2893" s="943"/>
      <c r="BJ2893" s="943"/>
      <c r="BK2893" s="943"/>
      <c r="BL2893" s="943"/>
      <c r="BM2893" s="943"/>
      <c r="BN2893" s="943"/>
      <c r="BO2893" s="1059"/>
      <c r="BP2893" s="1059"/>
      <c r="BQ2893" s="1059"/>
      <c r="BR2893" s="1059"/>
      <c r="BS2893" s="1059"/>
      <c r="BT2893" s="1059"/>
      <c r="BU2893" s="1059"/>
      <c r="BV2893" s="944"/>
      <c r="BW2893" s="944"/>
      <c r="BX2893" s="1147"/>
      <c r="BY2893" s="944"/>
      <c r="BZ2893" s="944"/>
      <c r="CA2893" s="944"/>
      <c r="CB2893" s="944"/>
    </row>
    <row r="2894" spans="2:80">
      <c r="B2894" s="1097"/>
      <c r="C2894" s="1097"/>
      <c r="D2894" s="1097"/>
      <c r="E2894" s="1097"/>
      <c r="F2894" s="934"/>
      <c r="G2894" s="1098"/>
      <c r="H2894" s="1099"/>
      <c r="I2894" s="1099"/>
      <c r="J2894" s="934"/>
      <c r="K2894" s="934"/>
      <c r="L2894" s="933"/>
      <c r="M2894" s="1100"/>
      <c r="N2894" s="934"/>
      <c r="O2894" s="936"/>
      <c r="P2894" s="936"/>
      <c r="Q2894" s="933"/>
      <c r="T2894" s="1101"/>
      <c r="U2894" s="1102"/>
      <c r="V2894" s="936"/>
      <c r="W2894" s="1103"/>
      <c r="X2894" s="1104"/>
      <c r="Y2894" s="1105"/>
      <c r="Z2894" s="1103"/>
      <c r="AC2894" s="1106"/>
      <c r="AD2894" s="1107"/>
      <c r="AE2894" s="1104"/>
      <c r="AG2894" s="1109"/>
      <c r="AI2894" s="1110"/>
      <c r="AL2894" s="933"/>
      <c r="AM2894" s="933"/>
      <c r="AN2894" s="1100"/>
      <c r="AO2894" s="1100"/>
      <c r="AP2894" s="934"/>
      <c r="AQ2894" s="934"/>
      <c r="AR2894" s="934"/>
      <c r="AS2894" s="936"/>
      <c r="AT2894" s="936"/>
      <c r="AU2894" s="936"/>
      <c r="AV2894" s="937"/>
      <c r="AW2894" s="938"/>
      <c r="AX2894" s="939"/>
      <c r="AY2894" s="933"/>
      <c r="AZ2894" s="936"/>
      <c r="BA2894" s="936"/>
      <c r="BB2894" s="1112"/>
      <c r="BC2894" s="940"/>
      <c r="BD2894" s="941"/>
      <c r="BE2894" s="942"/>
      <c r="BF2894" s="943"/>
      <c r="BG2894" s="943"/>
      <c r="BH2894" s="943"/>
      <c r="BI2894" s="943"/>
      <c r="BJ2894" s="943"/>
      <c r="BK2894" s="943"/>
      <c r="BL2894" s="943"/>
      <c r="BM2894" s="943"/>
      <c r="BN2894" s="943"/>
      <c r="BO2894" s="1059"/>
      <c r="BP2894" s="1059"/>
      <c r="BQ2894" s="1059"/>
      <c r="BR2894" s="1059"/>
      <c r="BS2894" s="1059"/>
      <c r="BT2894" s="1059"/>
      <c r="BU2894" s="1059"/>
      <c r="BV2894" s="944"/>
      <c r="BW2894" s="944"/>
      <c r="BX2894" s="1147"/>
      <c r="BY2894" s="944"/>
      <c r="BZ2894" s="944"/>
      <c r="CA2894" s="944"/>
      <c r="CB2894" s="944"/>
    </row>
    <row r="2895" spans="2:80">
      <c r="B2895" s="1097"/>
      <c r="C2895" s="1097"/>
      <c r="D2895" s="1097"/>
      <c r="E2895" s="1097"/>
      <c r="F2895" s="934"/>
      <c r="G2895" s="1098"/>
      <c r="H2895" s="1099"/>
      <c r="I2895" s="1099"/>
      <c r="J2895" s="934"/>
      <c r="K2895" s="934"/>
      <c r="L2895" s="933"/>
      <c r="M2895" s="1100"/>
      <c r="N2895" s="934"/>
      <c r="O2895" s="936"/>
      <c r="P2895" s="936"/>
      <c r="Q2895" s="933"/>
      <c r="T2895" s="1101"/>
      <c r="U2895" s="1102"/>
      <c r="V2895" s="936"/>
      <c r="W2895" s="1103"/>
      <c r="X2895" s="1104"/>
      <c r="Y2895" s="1105"/>
      <c r="Z2895" s="1103"/>
      <c r="AC2895" s="1106"/>
      <c r="AD2895" s="1107"/>
      <c r="AE2895" s="1104"/>
      <c r="AG2895" s="1109"/>
      <c r="AI2895" s="1110"/>
      <c r="AL2895" s="933"/>
      <c r="AM2895" s="933"/>
      <c r="AN2895" s="1100"/>
      <c r="AO2895" s="1100"/>
      <c r="AP2895" s="934"/>
      <c r="AQ2895" s="934"/>
      <c r="AR2895" s="934"/>
      <c r="AS2895" s="936"/>
      <c r="AT2895" s="936"/>
      <c r="AU2895" s="936"/>
      <c r="AV2895" s="937"/>
      <c r="AW2895" s="938"/>
      <c r="AX2895" s="939"/>
      <c r="AY2895" s="933"/>
      <c r="AZ2895" s="936"/>
      <c r="BA2895" s="936"/>
      <c r="BB2895" s="1112"/>
      <c r="BC2895" s="940"/>
      <c r="BD2895" s="941"/>
      <c r="BE2895" s="942"/>
      <c r="BF2895" s="943"/>
      <c r="BG2895" s="943"/>
      <c r="BH2895" s="943"/>
      <c r="BI2895" s="943"/>
      <c r="BJ2895" s="943"/>
      <c r="BK2895" s="943"/>
      <c r="BL2895" s="943"/>
      <c r="BM2895" s="943"/>
      <c r="BN2895" s="943"/>
      <c r="BO2895" s="1059"/>
      <c r="BP2895" s="1059"/>
      <c r="BQ2895" s="1059"/>
      <c r="BR2895" s="1059"/>
      <c r="BS2895" s="1059"/>
      <c r="BT2895" s="1059"/>
      <c r="BU2895" s="1059"/>
      <c r="BV2895" s="944"/>
      <c r="BW2895" s="944"/>
      <c r="BX2895" s="1147"/>
      <c r="BY2895" s="944"/>
      <c r="BZ2895" s="944"/>
      <c r="CA2895" s="944"/>
      <c r="CB2895" s="944"/>
    </row>
    <row r="2896" spans="2:80">
      <c r="B2896" s="1097"/>
      <c r="C2896" s="1097"/>
      <c r="D2896" s="1097"/>
      <c r="E2896" s="1097"/>
      <c r="F2896" s="934"/>
      <c r="G2896" s="1098"/>
      <c r="H2896" s="1099"/>
      <c r="I2896" s="1099"/>
      <c r="J2896" s="934"/>
      <c r="K2896" s="934"/>
      <c r="L2896" s="933"/>
      <c r="M2896" s="1100"/>
      <c r="N2896" s="934"/>
      <c r="O2896" s="936"/>
      <c r="P2896" s="936"/>
      <c r="Q2896" s="933"/>
      <c r="T2896" s="1101"/>
      <c r="U2896" s="1102"/>
      <c r="V2896" s="936"/>
      <c r="W2896" s="1103"/>
      <c r="X2896" s="1104"/>
      <c r="Y2896" s="1105"/>
      <c r="Z2896" s="1103"/>
      <c r="AC2896" s="1106"/>
      <c r="AD2896" s="1107"/>
      <c r="AE2896" s="1104"/>
      <c r="AG2896" s="1109"/>
      <c r="AI2896" s="1110"/>
      <c r="AL2896" s="933"/>
      <c r="AM2896" s="933"/>
      <c r="AN2896" s="1100"/>
      <c r="AO2896" s="1100"/>
      <c r="AP2896" s="934"/>
      <c r="AQ2896" s="934"/>
      <c r="AR2896" s="934"/>
      <c r="AS2896" s="936"/>
      <c r="AT2896" s="936"/>
      <c r="AU2896" s="936"/>
      <c r="AV2896" s="937"/>
      <c r="AW2896" s="938"/>
      <c r="AX2896" s="939"/>
      <c r="AY2896" s="933"/>
      <c r="AZ2896" s="936"/>
      <c r="BA2896" s="936"/>
      <c r="BB2896" s="1112"/>
      <c r="BC2896" s="940"/>
      <c r="BD2896" s="941"/>
      <c r="BE2896" s="942"/>
      <c r="BF2896" s="943"/>
      <c r="BG2896" s="943"/>
      <c r="BH2896" s="943"/>
      <c r="BI2896" s="943"/>
      <c r="BJ2896" s="943"/>
      <c r="BK2896" s="943"/>
      <c r="BL2896" s="943"/>
      <c r="BM2896" s="943"/>
      <c r="BN2896" s="943"/>
      <c r="BO2896" s="1059"/>
      <c r="BP2896" s="1059"/>
      <c r="BQ2896" s="1059"/>
      <c r="BR2896" s="1059"/>
      <c r="BS2896" s="1059"/>
      <c r="BT2896" s="1059"/>
      <c r="BU2896" s="1059"/>
      <c r="BV2896" s="944"/>
      <c r="BW2896" s="944"/>
      <c r="BX2896" s="1147"/>
      <c r="BY2896" s="944"/>
      <c r="BZ2896" s="944"/>
      <c r="CA2896" s="944"/>
      <c r="CB2896" s="944"/>
    </row>
    <row r="2897" spans="2:80">
      <c r="B2897" s="1097"/>
      <c r="C2897" s="1097"/>
      <c r="D2897" s="1097"/>
      <c r="E2897" s="1097"/>
      <c r="F2897" s="934"/>
      <c r="G2897" s="1098"/>
      <c r="H2897" s="1099"/>
      <c r="I2897" s="1099"/>
      <c r="J2897" s="934"/>
      <c r="K2897" s="934"/>
      <c r="L2897" s="933"/>
      <c r="M2897" s="1100"/>
      <c r="N2897" s="934"/>
      <c r="O2897" s="936"/>
      <c r="P2897" s="936"/>
      <c r="Q2897" s="933"/>
      <c r="T2897" s="1101"/>
      <c r="U2897" s="1102"/>
      <c r="V2897" s="936"/>
      <c r="W2897" s="1103"/>
      <c r="X2897" s="1104"/>
      <c r="Y2897" s="1105"/>
      <c r="Z2897" s="1103"/>
      <c r="AC2897" s="1106"/>
      <c r="AD2897" s="1107"/>
      <c r="AE2897" s="1104"/>
      <c r="AG2897" s="1109"/>
      <c r="AI2897" s="1110"/>
      <c r="AL2897" s="933"/>
      <c r="AM2897" s="933"/>
      <c r="AN2897" s="1100"/>
      <c r="AO2897" s="1100"/>
      <c r="AP2897" s="934"/>
      <c r="AQ2897" s="934"/>
      <c r="AR2897" s="934"/>
      <c r="AS2897" s="936"/>
      <c r="AT2897" s="936"/>
      <c r="AU2897" s="936"/>
      <c r="AV2897" s="937"/>
      <c r="AW2897" s="938"/>
      <c r="AX2897" s="939"/>
      <c r="AY2897" s="933"/>
      <c r="AZ2897" s="936"/>
      <c r="BA2897" s="936"/>
      <c r="BB2897" s="1112"/>
      <c r="BC2897" s="940"/>
      <c r="BD2897" s="941"/>
      <c r="BE2897" s="942"/>
      <c r="BF2897" s="943"/>
      <c r="BG2897" s="943"/>
      <c r="BH2897" s="943"/>
      <c r="BI2897" s="943"/>
      <c r="BJ2897" s="943"/>
      <c r="BK2897" s="943"/>
      <c r="BL2897" s="943"/>
      <c r="BM2897" s="943"/>
      <c r="BN2897" s="943"/>
      <c r="BO2897" s="1059"/>
      <c r="BP2897" s="1059"/>
      <c r="BQ2897" s="1059"/>
      <c r="BR2897" s="1059"/>
      <c r="BS2897" s="1059"/>
      <c r="BT2897" s="1059"/>
      <c r="BU2897" s="1059"/>
      <c r="BV2897" s="944"/>
      <c r="BW2897" s="944"/>
      <c r="BX2897" s="1147"/>
      <c r="BY2897" s="944"/>
      <c r="BZ2897" s="944"/>
      <c r="CA2897" s="944"/>
      <c r="CB2897" s="944"/>
    </row>
    <row r="2898" spans="2:80">
      <c r="B2898" s="1097"/>
      <c r="C2898" s="1097"/>
      <c r="D2898" s="1097"/>
      <c r="E2898" s="1097"/>
      <c r="F2898" s="934"/>
      <c r="G2898" s="1098"/>
      <c r="H2898" s="1099"/>
      <c r="I2898" s="1099"/>
      <c r="J2898" s="934"/>
      <c r="K2898" s="934"/>
      <c r="L2898" s="933"/>
      <c r="M2898" s="1100"/>
      <c r="N2898" s="934"/>
      <c r="O2898" s="936"/>
      <c r="P2898" s="936"/>
      <c r="Q2898" s="933"/>
      <c r="T2898" s="1101"/>
      <c r="U2898" s="1102"/>
      <c r="V2898" s="936"/>
      <c r="W2898" s="1103"/>
      <c r="X2898" s="1104"/>
      <c r="Y2898" s="1105"/>
      <c r="Z2898" s="1103"/>
      <c r="AC2898" s="1106"/>
      <c r="AD2898" s="1107"/>
      <c r="AE2898" s="1104"/>
      <c r="AG2898" s="1109"/>
      <c r="AI2898" s="1110"/>
      <c r="AL2898" s="933"/>
      <c r="AM2898" s="933"/>
      <c r="AN2898" s="1100"/>
      <c r="AO2898" s="1100"/>
      <c r="AP2898" s="934"/>
      <c r="AQ2898" s="934"/>
      <c r="AR2898" s="934"/>
      <c r="AS2898" s="936"/>
      <c r="AT2898" s="936"/>
      <c r="AU2898" s="936"/>
      <c r="AV2898" s="937"/>
      <c r="AW2898" s="938"/>
      <c r="AX2898" s="939"/>
      <c r="AY2898" s="933"/>
      <c r="AZ2898" s="936"/>
      <c r="BA2898" s="936"/>
      <c r="BB2898" s="1112"/>
      <c r="BC2898" s="940"/>
      <c r="BD2898" s="941"/>
      <c r="BE2898" s="942"/>
      <c r="BF2898" s="943"/>
      <c r="BG2898" s="943"/>
      <c r="BH2898" s="943"/>
      <c r="BI2898" s="943"/>
      <c r="BJ2898" s="943"/>
      <c r="BK2898" s="943"/>
      <c r="BL2898" s="943"/>
      <c r="BM2898" s="943"/>
      <c r="BN2898" s="943"/>
      <c r="BO2898" s="1059"/>
      <c r="BP2898" s="1059"/>
      <c r="BQ2898" s="1059"/>
      <c r="BR2898" s="1059"/>
      <c r="BS2898" s="1059"/>
      <c r="BT2898" s="1059"/>
      <c r="BU2898" s="1059"/>
      <c r="BV2898" s="944"/>
      <c r="BW2898" s="944"/>
      <c r="BX2898" s="1147"/>
      <c r="BY2898" s="944"/>
      <c r="BZ2898" s="944"/>
      <c r="CA2898" s="944"/>
      <c r="CB2898" s="944"/>
    </row>
    <row r="2899" spans="2:80">
      <c r="B2899" s="1097"/>
      <c r="C2899" s="1097"/>
      <c r="D2899" s="1097"/>
      <c r="E2899" s="1097"/>
      <c r="F2899" s="934"/>
      <c r="G2899" s="1098"/>
      <c r="H2899" s="1099"/>
      <c r="I2899" s="1099"/>
      <c r="J2899" s="934"/>
      <c r="K2899" s="934"/>
      <c r="L2899" s="933"/>
      <c r="M2899" s="1100"/>
      <c r="N2899" s="934"/>
      <c r="O2899" s="936"/>
      <c r="P2899" s="936"/>
      <c r="Q2899" s="933"/>
      <c r="T2899" s="1101"/>
      <c r="U2899" s="1102"/>
      <c r="V2899" s="936"/>
      <c r="W2899" s="1103"/>
      <c r="X2899" s="1104"/>
      <c r="Y2899" s="1105"/>
      <c r="Z2899" s="1103"/>
      <c r="AC2899" s="1106"/>
      <c r="AD2899" s="1107"/>
      <c r="AE2899" s="1104"/>
      <c r="AG2899" s="1109"/>
      <c r="AI2899" s="1110"/>
      <c r="AL2899" s="933"/>
      <c r="AM2899" s="933"/>
      <c r="AN2899" s="1100"/>
      <c r="AO2899" s="1100"/>
      <c r="AP2899" s="934"/>
      <c r="AQ2899" s="934"/>
      <c r="AR2899" s="934"/>
      <c r="AS2899" s="936"/>
      <c r="AT2899" s="936"/>
      <c r="AU2899" s="936"/>
      <c r="AV2899" s="937"/>
      <c r="AW2899" s="938"/>
      <c r="AX2899" s="939"/>
      <c r="AY2899" s="933"/>
      <c r="AZ2899" s="936"/>
      <c r="BA2899" s="936"/>
      <c r="BB2899" s="1112"/>
      <c r="BC2899" s="940"/>
      <c r="BD2899" s="941"/>
      <c r="BE2899" s="942"/>
      <c r="BF2899" s="943"/>
      <c r="BG2899" s="943"/>
      <c r="BH2899" s="943"/>
      <c r="BI2899" s="943"/>
      <c r="BJ2899" s="943"/>
      <c r="BK2899" s="943"/>
      <c r="BL2899" s="943"/>
      <c r="BM2899" s="943"/>
      <c r="BN2899" s="943"/>
      <c r="BO2899" s="1059"/>
      <c r="BP2899" s="1059"/>
      <c r="BQ2899" s="1059"/>
      <c r="BR2899" s="1059"/>
      <c r="BS2899" s="1059"/>
      <c r="BT2899" s="1059"/>
      <c r="BU2899" s="1059"/>
      <c r="BV2899" s="944"/>
      <c r="BW2899" s="944"/>
      <c r="BX2899" s="1147"/>
      <c r="BY2899" s="944"/>
      <c r="BZ2899" s="944"/>
      <c r="CA2899" s="944"/>
      <c r="CB2899" s="944"/>
    </row>
    <row r="2900" spans="2:80">
      <c r="B2900" s="1097"/>
      <c r="C2900" s="1097"/>
      <c r="D2900" s="1097"/>
      <c r="E2900" s="1097"/>
      <c r="F2900" s="934"/>
      <c r="G2900" s="1098"/>
      <c r="H2900" s="1099"/>
      <c r="I2900" s="1099"/>
      <c r="J2900" s="934"/>
      <c r="K2900" s="934"/>
      <c r="L2900" s="933"/>
      <c r="M2900" s="1100"/>
      <c r="N2900" s="934"/>
      <c r="O2900" s="936"/>
      <c r="P2900" s="936"/>
      <c r="Q2900" s="933"/>
      <c r="T2900" s="1101"/>
      <c r="U2900" s="1102"/>
      <c r="V2900" s="936"/>
      <c r="W2900" s="1103"/>
      <c r="X2900" s="1104"/>
      <c r="Y2900" s="1105"/>
      <c r="Z2900" s="1103"/>
      <c r="AC2900" s="1106"/>
      <c r="AD2900" s="1107"/>
      <c r="AE2900" s="1104"/>
      <c r="AG2900" s="1109"/>
      <c r="AI2900" s="1110"/>
      <c r="AL2900" s="933"/>
      <c r="AM2900" s="933"/>
      <c r="AN2900" s="1100"/>
      <c r="AO2900" s="1100"/>
      <c r="AP2900" s="934"/>
      <c r="AQ2900" s="934"/>
      <c r="AR2900" s="934"/>
      <c r="AS2900" s="936"/>
      <c r="AT2900" s="936"/>
      <c r="AU2900" s="936"/>
      <c r="AV2900" s="937"/>
      <c r="AW2900" s="938"/>
      <c r="AX2900" s="939"/>
      <c r="AY2900" s="933"/>
      <c r="AZ2900" s="936"/>
      <c r="BA2900" s="936"/>
      <c r="BB2900" s="1112"/>
      <c r="BC2900" s="940"/>
      <c r="BD2900" s="941"/>
      <c r="BE2900" s="942"/>
      <c r="BF2900" s="943"/>
      <c r="BG2900" s="943"/>
      <c r="BH2900" s="943"/>
      <c r="BI2900" s="943"/>
      <c r="BJ2900" s="943"/>
      <c r="BK2900" s="943"/>
      <c r="BL2900" s="943"/>
      <c r="BM2900" s="943"/>
      <c r="BN2900" s="943"/>
      <c r="BO2900" s="1059"/>
      <c r="BP2900" s="1059"/>
      <c r="BQ2900" s="1059"/>
      <c r="BR2900" s="1059"/>
      <c r="BS2900" s="1059"/>
      <c r="BT2900" s="1059"/>
      <c r="BU2900" s="1059"/>
      <c r="BV2900" s="944"/>
      <c r="BW2900" s="944"/>
      <c r="BX2900" s="1147"/>
      <c r="BY2900" s="944"/>
      <c r="BZ2900" s="944"/>
      <c r="CA2900" s="944"/>
      <c r="CB2900" s="944"/>
    </row>
    <row r="2901" spans="2:80">
      <c r="B2901" s="1097"/>
      <c r="C2901" s="1097"/>
      <c r="D2901" s="1097"/>
      <c r="E2901" s="1097"/>
      <c r="F2901" s="934"/>
      <c r="G2901" s="1098"/>
      <c r="H2901" s="1099"/>
      <c r="I2901" s="1099"/>
      <c r="J2901" s="934"/>
      <c r="K2901" s="934"/>
      <c r="L2901" s="933"/>
      <c r="M2901" s="1100"/>
      <c r="N2901" s="934"/>
      <c r="O2901" s="936"/>
      <c r="P2901" s="936"/>
      <c r="Q2901" s="933"/>
      <c r="T2901" s="1101"/>
      <c r="U2901" s="1102"/>
      <c r="V2901" s="936"/>
      <c r="W2901" s="1103"/>
      <c r="X2901" s="1104"/>
      <c r="Y2901" s="1105"/>
      <c r="Z2901" s="1103"/>
      <c r="AC2901" s="1106"/>
      <c r="AD2901" s="1107"/>
      <c r="AE2901" s="1104"/>
      <c r="AG2901" s="1109"/>
      <c r="AI2901" s="1110"/>
      <c r="AL2901" s="933"/>
      <c r="AM2901" s="933"/>
      <c r="AN2901" s="1100"/>
      <c r="AO2901" s="1100"/>
      <c r="AP2901" s="934"/>
      <c r="AQ2901" s="934"/>
      <c r="AR2901" s="934"/>
      <c r="AS2901" s="936"/>
      <c r="AT2901" s="936"/>
      <c r="AU2901" s="936"/>
      <c r="AV2901" s="937"/>
      <c r="AW2901" s="938"/>
      <c r="AX2901" s="939"/>
      <c r="AY2901" s="933"/>
      <c r="AZ2901" s="936"/>
      <c r="BA2901" s="936"/>
      <c r="BB2901" s="1112"/>
      <c r="BC2901" s="940"/>
      <c r="BD2901" s="941"/>
      <c r="BE2901" s="942"/>
      <c r="BF2901" s="943"/>
      <c r="BG2901" s="943"/>
      <c r="BH2901" s="943"/>
      <c r="BI2901" s="943"/>
      <c r="BJ2901" s="943"/>
      <c r="BK2901" s="943"/>
      <c r="BL2901" s="943"/>
      <c r="BM2901" s="943"/>
      <c r="BN2901" s="943"/>
      <c r="BO2901" s="1059"/>
      <c r="BP2901" s="1059"/>
      <c r="BQ2901" s="1059"/>
      <c r="BR2901" s="1059"/>
      <c r="BS2901" s="1059"/>
      <c r="BT2901" s="1059"/>
      <c r="BU2901" s="1059"/>
      <c r="BV2901" s="944"/>
      <c r="BW2901" s="944"/>
      <c r="BX2901" s="1147"/>
      <c r="BY2901" s="944"/>
      <c r="BZ2901" s="944"/>
      <c r="CA2901" s="944"/>
      <c r="CB2901" s="944"/>
    </row>
    <row r="2902" spans="2:80">
      <c r="B2902" s="1097"/>
      <c r="C2902" s="1097"/>
      <c r="D2902" s="1097"/>
      <c r="E2902" s="1097"/>
      <c r="F2902" s="934"/>
      <c r="G2902" s="1098"/>
      <c r="H2902" s="1099"/>
      <c r="I2902" s="1099"/>
      <c r="J2902" s="934"/>
      <c r="K2902" s="934"/>
      <c r="L2902" s="933"/>
      <c r="M2902" s="1100"/>
      <c r="N2902" s="934"/>
      <c r="O2902" s="936"/>
      <c r="P2902" s="936"/>
      <c r="Q2902" s="933"/>
      <c r="T2902" s="1101"/>
      <c r="U2902" s="1102"/>
      <c r="V2902" s="936"/>
      <c r="W2902" s="1103"/>
      <c r="X2902" s="1104"/>
      <c r="Y2902" s="1105"/>
      <c r="Z2902" s="1103"/>
      <c r="AC2902" s="1106"/>
      <c r="AD2902" s="1107"/>
      <c r="AE2902" s="1104"/>
      <c r="AG2902" s="1109"/>
      <c r="AI2902" s="1110"/>
      <c r="AL2902" s="933"/>
      <c r="AM2902" s="933"/>
      <c r="AN2902" s="1100"/>
      <c r="AO2902" s="1100"/>
      <c r="AP2902" s="934"/>
      <c r="AQ2902" s="934"/>
      <c r="AR2902" s="934"/>
      <c r="AS2902" s="936"/>
      <c r="AT2902" s="936"/>
      <c r="AU2902" s="936"/>
      <c r="AV2902" s="937"/>
      <c r="AW2902" s="938"/>
      <c r="AX2902" s="939"/>
      <c r="AY2902" s="933"/>
      <c r="AZ2902" s="936"/>
      <c r="BA2902" s="936"/>
      <c r="BB2902" s="1112"/>
      <c r="BC2902" s="940"/>
      <c r="BD2902" s="941"/>
      <c r="BE2902" s="942"/>
      <c r="BF2902" s="943"/>
      <c r="BG2902" s="943"/>
      <c r="BH2902" s="943"/>
      <c r="BI2902" s="943"/>
      <c r="BJ2902" s="943"/>
      <c r="BK2902" s="943"/>
      <c r="BL2902" s="943"/>
      <c r="BM2902" s="943"/>
      <c r="BN2902" s="943"/>
      <c r="BO2902" s="1059"/>
      <c r="BP2902" s="1059"/>
      <c r="BQ2902" s="1059"/>
      <c r="BR2902" s="1059"/>
      <c r="BS2902" s="1059"/>
      <c r="BT2902" s="1059"/>
      <c r="BU2902" s="1059"/>
      <c r="BV2902" s="944"/>
      <c r="BW2902" s="944"/>
      <c r="BX2902" s="1147"/>
      <c r="BY2902" s="944"/>
      <c r="BZ2902" s="944"/>
      <c r="CA2902" s="944"/>
      <c r="CB2902" s="944"/>
    </row>
    <row r="2903" spans="2:80">
      <c r="B2903" s="1097"/>
      <c r="C2903" s="1097"/>
      <c r="D2903" s="1097"/>
      <c r="E2903" s="1097"/>
      <c r="F2903" s="934"/>
      <c r="G2903" s="1098"/>
      <c r="H2903" s="1099"/>
      <c r="I2903" s="1099"/>
      <c r="J2903" s="934"/>
      <c r="K2903" s="934"/>
      <c r="L2903" s="933"/>
      <c r="M2903" s="1100"/>
      <c r="N2903" s="934"/>
      <c r="O2903" s="936"/>
      <c r="P2903" s="936"/>
      <c r="Q2903" s="933"/>
      <c r="T2903" s="1101"/>
      <c r="U2903" s="1102"/>
      <c r="V2903" s="936"/>
      <c r="W2903" s="1103"/>
      <c r="X2903" s="1104"/>
      <c r="Y2903" s="1105"/>
      <c r="Z2903" s="1103"/>
      <c r="AC2903" s="1106"/>
      <c r="AD2903" s="1107"/>
      <c r="AE2903" s="1104"/>
      <c r="AG2903" s="1109"/>
      <c r="AI2903" s="1110"/>
      <c r="AL2903" s="933"/>
      <c r="AM2903" s="933"/>
      <c r="AN2903" s="1100"/>
      <c r="AO2903" s="1100"/>
      <c r="AP2903" s="934"/>
      <c r="AQ2903" s="934"/>
      <c r="AR2903" s="934"/>
      <c r="AS2903" s="936"/>
      <c r="AT2903" s="936"/>
      <c r="AU2903" s="936"/>
      <c r="AV2903" s="937"/>
      <c r="AW2903" s="938"/>
      <c r="AX2903" s="939"/>
      <c r="AY2903" s="933"/>
      <c r="AZ2903" s="936"/>
      <c r="BA2903" s="936"/>
      <c r="BB2903" s="1112"/>
      <c r="BC2903" s="940"/>
      <c r="BD2903" s="941"/>
      <c r="BE2903" s="942"/>
      <c r="BF2903" s="943"/>
      <c r="BG2903" s="943"/>
      <c r="BH2903" s="943"/>
      <c r="BI2903" s="943"/>
      <c r="BJ2903" s="943"/>
      <c r="BK2903" s="943"/>
      <c r="BL2903" s="943"/>
      <c r="BM2903" s="943"/>
      <c r="BN2903" s="943"/>
      <c r="BO2903" s="1059"/>
      <c r="BP2903" s="1059"/>
      <c r="BQ2903" s="1059"/>
      <c r="BR2903" s="1059"/>
      <c r="BS2903" s="1059"/>
      <c r="BT2903" s="1059"/>
      <c r="BU2903" s="1059"/>
      <c r="BV2903" s="944"/>
      <c r="BW2903" s="944"/>
      <c r="BX2903" s="1147"/>
      <c r="BY2903" s="944"/>
      <c r="BZ2903" s="944"/>
      <c r="CA2903" s="944"/>
      <c r="CB2903" s="944"/>
    </row>
    <row r="2904" spans="2:80">
      <c r="B2904" s="1097"/>
      <c r="C2904" s="1097"/>
      <c r="D2904" s="1097"/>
      <c r="E2904" s="1097"/>
      <c r="F2904" s="934"/>
      <c r="G2904" s="1098"/>
      <c r="H2904" s="1099"/>
      <c r="I2904" s="1099"/>
      <c r="J2904" s="934"/>
      <c r="K2904" s="934"/>
      <c r="L2904" s="933"/>
      <c r="M2904" s="1100"/>
      <c r="N2904" s="934"/>
      <c r="O2904" s="936"/>
      <c r="P2904" s="936"/>
      <c r="Q2904" s="933"/>
      <c r="T2904" s="1101"/>
      <c r="U2904" s="1102"/>
      <c r="V2904" s="936"/>
      <c r="W2904" s="1103"/>
      <c r="X2904" s="1104"/>
      <c r="Y2904" s="1105"/>
      <c r="Z2904" s="1103"/>
      <c r="AC2904" s="1106"/>
      <c r="AD2904" s="1107"/>
      <c r="AE2904" s="1104"/>
      <c r="AG2904" s="1109"/>
      <c r="AI2904" s="1110"/>
      <c r="AL2904" s="933"/>
      <c r="AM2904" s="933"/>
      <c r="AN2904" s="1100"/>
      <c r="AO2904" s="1100"/>
      <c r="AP2904" s="934"/>
      <c r="AQ2904" s="934"/>
      <c r="AR2904" s="934"/>
      <c r="AS2904" s="936"/>
      <c r="AT2904" s="936"/>
      <c r="AU2904" s="936"/>
      <c r="AV2904" s="937"/>
      <c r="AW2904" s="938"/>
      <c r="AX2904" s="939"/>
      <c r="AY2904" s="933"/>
      <c r="AZ2904" s="936"/>
      <c r="BA2904" s="936"/>
      <c r="BB2904" s="1112"/>
      <c r="BC2904" s="940"/>
      <c r="BD2904" s="941"/>
      <c r="BE2904" s="942"/>
      <c r="BF2904" s="943"/>
      <c r="BG2904" s="943"/>
      <c r="BH2904" s="943"/>
      <c r="BI2904" s="943"/>
      <c r="BJ2904" s="943"/>
      <c r="BK2904" s="943"/>
      <c r="BL2904" s="943"/>
      <c r="BM2904" s="943"/>
      <c r="BN2904" s="943"/>
      <c r="BO2904" s="1059"/>
      <c r="BP2904" s="1059"/>
      <c r="BQ2904" s="1059"/>
      <c r="BR2904" s="1059"/>
      <c r="BS2904" s="1059"/>
      <c r="BT2904" s="1059"/>
      <c r="BU2904" s="1059"/>
      <c r="BV2904" s="944"/>
      <c r="BW2904" s="944"/>
      <c r="BX2904" s="1147"/>
      <c r="BY2904" s="944"/>
      <c r="BZ2904" s="944"/>
      <c r="CA2904" s="944"/>
      <c r="CB2904" s="944"/>
    </row>
    <row r="2905" spans="2:80">
      <c r="B2905" s="1097"/>
      <c r="C2905" s="1097"/>
      <c r="D2905" s="1097"/>
      <c r="E2905" s="1097"/>
      <c r="F2905" s="934"/>
      <c r="G2905" s="1098"/>
      <c r="H2905" s="1099"/>
      <c r="I2905" s="1099"/>
      <c r="J2905" s="934"/>
      <c r="K2905" s="934"/>
      <c r="L2905" s="933"/>
      <c r="M2905" s="1100"/>
      <c r="N2905" s="934"/>
      <c r="O2905" s="936"/>
      <c r="P2905" s="936"/>
      <c r="Q2905" s="933"/>
      <c r="T2905" s="1101"/>
      <c r="U2905" s="1102"/>
      <c r="V2905" s="936"/>
      <c r="W2905" s="1103"/>
      <c r="X2905" s="1104"/>
      <c r="Y2905" s="1105"/>
      <c r="Z2905" s="1103"/>
      <c r="AC2905" s="1106"/>
      <c r="AD2905" s="1107"/>
      <c r="AE2905" s="1104"/>
      <c r="AG2905" s="1109"/>
      <c r="AI2905" s="1110"/>
      <c r="AL2905" s="933"/>
      <c r="AM2905" s="933"/>
      <c r="AN2905" s="1100"/>
      <c r="AO2905" s="1100"/>
      <c r="AP2905" s="934"/>
      <c r="AQ2905" s="934"/>
      <c r="AR2905" s="934"/>
      <c r="AS2905" s="936"/>
      <c r="AT2905" s="936"/>
      <c r="AU2905" s="936"/>
      <c r="AV2905" s="937"/>
      <c r="AW2905" s="938"/>
      <c r="AX2905" s="939"/>
      <c r="AY2905" s="933"/>
      <c r="AZ2905" s="936"/>
      <c r="BA2905" s="936"/>
      <c r="BB2905" s="1112"/>
      <c r="BC2905" s="940"/>
      <c r="BD2905" s="941"/>
      <c r="BE2905" s="942"/>
      <c r="BF2905" s="943"/>
      <c r="BG2905" s="943"/>
      <c r="BH2905" s="943"/>
      <c r="BI2905" s="943"/>
      <c r="BJ2905" s="943"/>
      <c r="BK2905" s="943"/>
      <c r="BL2905" s="943"/>
      <c r="BM2905" s="943"/>
      <c r="BN2905" s="943"/>
      <c r="BO2905" s="1059"/>
      <c r="BP2905" s="1059"/>
      <c r="BQ2905" s="1059"/>
      <c r="BR2905" s="1059"/>
      <c r="BS2905" s="1059"/>
      <c r="BT2905" s="1059"/>
      <c r="BU2905" s="1059"/>
      <c r="BV2905" s="944"/>
      <c r="BW2905" s="944"/>
      <c r="BX2905" s="1147"/>
      <c r="BY2905" s="944"/>
      <c r="BZ2905" s="944"/>
      <c r="CA2905" s="944"/>
      <c r="CB2905" s="944"/>
    </row>
    <row r="2906" spans="2:80">
      <c r="B2906" s="1097"/>
      <c r="C2906" s="1097"/>
      <c r="D2906" s="1097"/>
      <c r="E2906" s="1097"/>
      <c r="F2906" s="934"/>
      <c r="G2906" s="1098"/>
      <c r="H2906" s="1099"/>
      <c r="I2906" s="1099"/>
      <c r="J2906" s="934"/>
      <c r="K2906" s="934"/>
      <c r="L2906" s="933"/>
      <c r="M2906" s="1100"/>
      <c r="N2906" s="934"/>
      <c r="O2906" s="936"/>
      <c r="P2906" s="936"/>
      <c r="Q2906" s="933"/>
      <c r="T2906" s="1101"/>
      <c r="U2906" s="1102"/>
      <c r="V2906" s="936"/>
      <c r="W2906" s="1103"/>
      <c r="X2906" s="1104"/>
      <c r="Y2906" s="1105"/>
      <c r="Z2906" s="1103"/>
      <c r="AC2906" s="1106"/>
      <c r="AD2906" s="1107"/>
      <c r="AE2906" s="1104"/>
      <c r="AG2906" s="1109"/>
      <c r="AI2906" s="1110"/>
      <c r="AL2906" s="933"/>
      <c r="AM2906" s="933"/>
      <c r="AN2906" s="1100"/>
      <c r="AO2906" s="1100"/>
      <c r="AP2906" s="934"/>
      <c r="AQ2906" s="934"/>
      <c r="AR2906" s="934"/>
      <c r="AS2906" s="936"/>
      <c r="AT2906" s="936"/>
      <c r="AU2906" s="936"/>
      <c r="AV2906" s="937"/>
      <c r="AW2906" s="938"/>
      <c r="AX2906" s="939"/>
      <c r="AY2906" s="933"/>
      <c r="AZ2906" s="936"/>
      <c r="BA2906" s="936"/>
      <c r="BB2906" s="1112"/>
      <c r="BC2906" s="940"/>
      <c r="BD2906" s="941"/>
      <c r="BE2906" s="942"/>
      <c r="BF2906" s="943"/>
      <c r="BG2906" s="943"/>
      <c r="BH2906" s="943"/>
      <c r="BI2906" s="943"/>
      <c r="BJ2906" s="943"/>
      <c r="BK2906" s="943"/>
      <c r="BL2906" s="943"/>
      <c r="BM2906" s="943"/>
      <c r="BN2906" s="943"/>
      <c r="BO2906" s="1059"/>
      <c r="BP2906" s="1059"/>
      <c r="BQ2906" s="1059"/>
      <c r="BR2906" s="1059"/>
      <c r="BS2906" s="1059"/>
      <c r="BT2906" s="1059"/>
      <c r="BU2906" s="1059"/>
      <c r="BV2906" s="944"/>
      <c r="BW2906" s="944"/>
      <c r="BX2906" s="1147"/>
      <c r="BY2906" s="944"/>
      <c r="BZ2906" s="944"/>
      <c r="CA2906" s="944"/>
      <c r="CB2906" s="944"/>
    </row>
    <row r="2907" spans="2:80">
      <c r="B2907" s="1097"/>
      <c r="C2907" s="1097"/>
      <c r="D2907" s="1097"/>
      <c r="E2907" s="1097"/>
      <c r="F2907" s="934"/>
      <c r="G2907" s="1098"/>
      <c r="H2907" s="1099"/>
      <c r="I2907" s="1099"/>
      <c r="J2907" s="934"/>
      <c r="K2907" s="934"/>
      <c r="L2907" s="933"/>
      <c r="M2907" s="1100"/>
      <c r="N2907" s="934"/>
      <c r="O2907" s="936"/>
      <c r="P2907" s="936"/>
      <c r="Q2907" s="933"/>
      <c r="T2907" s="1101"/>
      <c r="U2907" s="1102"/>
      <c r="V2907" s="936"/>
      <c r="W2907" s="1103"/>
      <c r="X2907" s="1104"/>
      <c r="Y2907" s="1105"/>
      <c r="Z2907" s="1103"/>
      <c r="AC2907" s="1106"/>
      <c r="AD2907" s="1107"/>
      <c r="AE2907" s="1104"/>
      <c r="AG2907" s="1109"/>
      <c r="AI2907" s="1110"/>
      <c r="AL2907" s="933"/>
      <c r="AM2907" s="933"/>
      <c r="AN2907" s="1100"/>
      <c r="AO2907" s="1100"/>
      <c r="AP2907" s="934"/>
      <c r="AQ2907" s="934"/>
      <c r="AR2907" s="934"/>
      <c r="AS2907" s="936"/>
      <c r="AT2907" s="936"/>
      <c r="AU2907" s="936"/>
      <c r="AV2907" s="937"/>
      <c r="AW2907" s="938"/>
      <c r="AX2907" s="939"/>
      <c r="AY2907" s="933"/>
      <c r="AZ2907" s="936"/>
      <c r="BA2907" s="936"/>
      <c r="BB2907" s="1112"/>
      <c r="BC2907" s="940"/>
      <c r="BD2907" s="941"/>
      <c r="BE2907" s="942"/>
      <c r="BF2907" s="943"/>
      <c r="BG2907" s="943"/>
      <c r="BH2907" s="943"/>
      <c r="BI2907" s="943"/>
      <c r="BJ2907" s="943"/>
      <c r="BK2907" s="943"/>
      <c r="BL2907" s="943"/>
      <c r="BM2907" s="943"/>
      <c r="BN2907" s="943"/>
      <c r="BO2907" s="1059"/>
      <c r="BP2907" s="1059"/>
      <c r="BQ2907" s="1059"/>
      <c r="BR2907" s="1059"/>
      <c r="BS2907" s="1059"/>
      <c r="BT2907" s="1059"/>
      <c r="BU2907" s="1059"/>
      <c r="BV2907" s="944"/>
      <c r="BW2907" s="944"/>
      <c r="BX2907" s="1147"/>
      <c r="BY2907" s="944"/>
      <c r="BZ2907" s="944"/>
      <c r="CA2907" s="944"/>
      <c r="CB2907" s="944"/>
    </row>
    <row r="2908" spans="2:80">
      <c r="B2908" s="1097"/>
      <c r="C2908" s="1097"/>
      <c r="D2908" s="1097"/>
      <c r="E2908" s="1097"/>
      <c r="F2908" s="934"/>
      <c r="G2908" s="1098"/>
      <c r="H2908" s="1099"/>
      <c r="I2908" s="1099"/>
      <c r="J2908" s="934"/>
      <c r="K2908" s="934"/>
      <c r="L2908" s="933"/>
      <c r="M2908" s="1100"/>
      <c r="N2908" s="934"/>
      <c r="O2908" s="936"/>
      <c r="P2908" s="936"/>
      <c r="Q2908" s="933"/>
      <c r="T2908" s="1101"/>
      <c r="U2908" s="1102"/>
      <c r="V2908" s="936"/>
      <c r="W2908" s="1103"/>
      <c r="X2908" s="1104"/>
      <c r="Y2908" s="1105"/>
      <c r="Z2908" s="1103"/>
      <c r="AC2908" s="1106"/>
      <c r="AD2908" s="1107"/>
      <c r="AE2908" s="1104"/>
      <c r="AG2908" s="1109"/>
      <c r="AI2908" s="1110"/>
      <c r="AL2908" s="933"/>
      <c r="AM2908" s="933"/>
      <c r="AN2908" s="1100"/>
      <c r="AO2908" s="1100"/>
      <c r="AP2908" s="934"/>
      <c r="AQ2908" s="934"/>
      <c r="AR2908" s="934"/>
      <c r="AS2908" s="936"/>
      <c r="AT2908" s="936"/>
      <c r="AU2908" s="936"/>
      <c r="AV2908" s="937"/>
      <c r="AW2908" s="938"/>
      <c r="AX2908" s="939"/>
      <c r="AY2908" s="933"/>
      <c r="AZ2908" s="936"/>
      <c r="BA2908" s="936"/>
      <c r="BB2908" s="1112"/>
      <c r="BC2908" s="940"/>
      <c r="BD2908" s="941"/>
      <c r="BE2908" s="942"/>
      <c r="BF2908" s="943"/>
      <c r="BG2908" s="943"/>
      <c r="BH2908" s="943"/>
      <c r="BI2908" s="943"/>
      <c r="BJ2908" s="943"/>
      <c r="BK2908" s="943"/>
      <c r="BL2908" s="943"/>
      <c r="BM2908" s="943"/>
      <c r="BN2908" s="943"/>
      <c r="BO2908" s="1059"/>
      <c r="BP2908" s="1059"/>
      <c r="BQ2908" s="1059"/>
      <c r="BR2908" s="1059"/>
      <c r="BS2908" s="1059"/>
      <c r="BT2908" s="1059"/>
      <c r="BU2908" s="1059"/>
      <c r="BV2908" s="944"/>
      <c r="BW2908" s="944"/>
      <c r="BX2908" s="1147"/>
      <c r="BY2908" s="944"/>
      <c r="BZ2908" s="944"/>
      <c r="CA2908" s="944"/>
      <c r="CB2908" s="944"/>
    </row>
    <row r="2909" spans="2:80">
      <c r="B2909" s="1097"/>
      <c r="C2909" s="1097"/>
      <c r="D2909" s="1097"/>
      <c r="E2909" s="1097"/>
      <c r="F2909" s="934"/>
      <c r="G2909" s="1098"/>
      <c r="H2909" s="1099"/>
      <c r="I2909" s="1099"/>
      <c r="J2909" s="934"/>
      <c r="K2909" s="934"/>
      <c r="L2909" s="933"/>
      <c r="M2909" s="1100"/>
      <c r="N2909" s="934"/>
      <c r="O2909" s="936"/>
      <c r="P2909" s="936"/>
      <c r="Q2909" s="933"/>
      <c r="T2909" s="1101"/>
      <c r="U2909" s="1102"/>
      <c r="V2909" s="936"/>
      <c r="W2909" s="1103"/>
      <c r="X2909" s="1104"/>
      <c r="Y2909" s="1105"/>
      <c r="Z2909" s="1103"/>
      <c r="AC2909" s="1106"/>
      <c r="AD2909" s="1107"/>
      <c r="AE2909" s="1104"/>
      <c r="AG2909" s="1109"/>
      <c r="AI2909" s="1110"/>
      <c r="AL2909" s="933"/>
      <c r="AM2909" s="933"/>
      <c r="AN2909" s="1100"/>
      <c r="AO2909" s="1100"/>
      <c r="AP2909" s="934"/>
      <c r="AQ2909" s="934"/>
      <c r="AR2909" s="934"/>
      <c r="AS2909" s="936"/>
      <c r="AT2909" s="936"/>
      <c r="AU2909" s="936"/>
      <c r="AV2909" s="937"/>
      <c r="AW2909" s="938"/>
      <c r="AX2909" s="939"/>
      <c r="AY2909" s="933"/>
      <c r="AZ2909" s="936"/>
      <c r="BA2909" s="936"/>
      <c r="BB2909" s="1112"/>
      <c r="BC2909" s="940"/>
      <c r="BD2909" s="941"/>
      <c r="BE2909" s="942"/>
      <c r="BF2909" s="943"/>
      <c r="BG2909" s="943"/>
      <c r="BH2909" s="943"/>
      <c r="BI2909" s="943"/>
      <c r="BJ2909" s="943"/>
      <c r="BK2909" s="943"/>
      <c r="BL2909" s="943"/>
      <c r="BM2909" s="943"/>
      <c r="BN2909" s="943"/>
      <c r="BO2909" s="1059"/>
      <c r="BP2909" s="1059"/>
      <c r="BQ2909" s="1059"/>
      <c r="BR2909" s="1059"/>
      <c r="BS2909" s="1059"/>
      <c r="BT2909" s="1059"/>
      <c r="BU2909" s="1059"/>
      <c r="BV2909" s="944"/>
      <c r="BW2909" s="944"/>
      <c r="BX2909" s="1147"/>
      <c r="BY2909" s="944"/>
      <c r="BZ2909" s="944"/>
      <c r="CA2909" s="944"/>
      <c r="CB2909" s="944"/>
    </row>
    <row r="2910" spans="2:80">
      <c r="B2910" s="1097"/>
      <c r="C2910" s="1097"/>
      <c r="D2910" s="1097"/>
      <c r="E2910" s="1097"/>
      <c r="F2910" s="934"/>
      <c r="G2910" s="1098"/>
      <c r="H2910" s="1099"/>
      <c r="I2910" s="1099"/>
      <c r="J2910" s="934"/>
      <c r="K2910" s="934"/>
      <c r="L2910" s="933"/>
      <c r="M2910" s="1100"/>
      <c r="N2910" s="934"/>
      <c r="O2910" s="936"/>
      <c r="P2910" s="936"/>
      <c r="Q2910" s="933"/>
      <c r="T2910" s="1101"/>
      <c r="U2910" s="1102"/>
      <c r="V2910" s="936"/>
      <c r="W2910" s="1103"/>
      <c r="X2910" s="1104"/>
      <c r="Y2910" s="1105"/>
      <c r="Z2910" s="1103"/>
      <c r="AC2910" s="1106"/>
      <c r="AD2910" s="1107"/>
      <c r="AE2910" s="1104"/>
      <c r="AG2910" s="1109"/>
      <c r="AI2910" s="1110"/>
      <c r="AL2910" s="933"/>
      <c r="AM2910" s="933"/>
      <c r="AN2910" s="1100"/>
      <c r="AO2910" s="1100"/>
      <c r="AP2910" s="934"/>
      <c r="AQ2910" s="934"/>
      <c r="AR2910" s="934"/>
      <c r="AS2910" s="936"/>
      <c r="AT2910" s="936"/>
      <c r="AU2910" s="936"/>
      <c r="AV2910" s="937"/>
      <c r="AW2910" s="938"/>
      <c r="AX2910" s="939"/>
      <c r="AY2910" s="933"/>
      <c r="AZ2910" s="936"/>
      <c r="BA2910" s="936"/>
      <c r="BB2910" s="1112"/>
      <c r="BC2910" s="940"/>
      <c r="BD2910" s="941"/>
      <c r="BE2910" s="942"/>
      <c r="BF2910" s="943"/>
      <c r="BG2910" s="943"/>
      <c r="BH2910" s="943"/>
      <c r="BI2910" s="943"/>
      <c r="BJ2910" s="943"/>
      <c r="BK2910" s="943"/>
      <c r="BL2910" s="943"/>
      <c r="BM2910" s="943"/>
      <c r="BN2910" s="943"/>
      <c r="BO2910" s="1059"/>
      <c r="BP2910" s="1059"/>
      <c r="BQ2910" s="1059"/>
      <c r="BR2910" s="1059"/>
      <c r="BS2910" s="1059"/>
      <c r="BT2910" s="1059"/>
      <c r="BU2910" s="1059"/>
      <c r="BV2910" s="944"/>
      <c r="BW2910" s="944"/>
      <c r="BX2910" s="1147"/>
      <c r="BY2910" s="944"/>
      <c r="BZ2910" s="944"/>
      <c r="CA2910" s="944"/>
      <c r="CB2910" s="944"/>
    </row>
    <row r="2911" spans="2:80">
      <c r="B2911" s="1097"/>
      <c r="C2911" s="1097"/>
      <c r="D2911" s="1097"/>
      <c r="E2911" s="1097"/>
      <c r="F2911" s="934"/>
      <c r="G2911" s="1098"/>
      <c r="H2911" s="1099"/>
      <c r="I2911" s="1099"/>
      <c r="J2911" s="934"/>
      <c r="K2911" s="934"/>
      <c r="L2911" s="933"/>
      <c r="M2911" s="1100"/>
      <c r="N2911" s="934"/>
      <c r="O2911" s="936"/>
      <c r="P2911" s="936"/>
      <c r="Q2911" s="933"/>
      <c r="T2911" s="1101"/>
      <c r="U2911" s="1102"/>
      <c r="V2911" s="936"/>
      <c r="W2911" s="1103"/>
      <c r="X2911" s="1104"/>
      <c r="Y2911" s="1105"/>
      <c r="Z2911" s="1103"/>
      <c r="AC2911" s="1106"/>
      <c r="AD2911" s="1107"/>
      <c r="AE2911" s="1104"/>
      <c r="AG2911" s="1109"/>
      <c r="AI2911" s="1110"/>
      <c r="AL2911" s="933"/>
      <c r="AM2911" s="933"/>
      <c r="AN2911" s="1100"/>
      <c r="AO2911" s="1100"/>
      <c r="AP2911" s="934"/>
      <c r="AQ2911" s="934"/>
      <c r="AR2911" s="934"/>
      <c r="AS2911" s="936"/>
      <c r="AT2911" s="936"/>
      <c r="AU2911" s="936"/>
      <c r="AV2911" s="937"/>
      <c r="AW2911" s="938"/>
      <c r="AX2911" s="939"/>
      <c r="AY2911" s="933"/>
      <c r="AZ2911" s="936"/>
      <c r="BA2911" s="936"/>
      <c r="BB2911" s="1112"/>
      <c r="BC2911" s="940"/>
      <c r="BD2911" s="941"/>
      <c r="BE2911" s="942"/>
      <c r="BF2911" s="943"/>
      <c r="BG2911" s="943"/>
      <c r="BH2911" s="943"/>
      <c r="BI2911" s="943"/>
      <c r="BJ2911" s="943"/>
      <c r="BK2911" s="943"/>
      <c r="BL2911" s="943"/>
      <c r="BM2911" s="943"/>
      <c r="BN2911" s="943"/>
      <c r="BO2911" s="1059"/>
      <c r="BP2911" s="1059"/>
      <c r="BQ2911" s="1059"/>
      <c r="BR2911" s="1059"/>
      <c r="BS2911" s="1059"/>
      <c r="BT2911" s="1059"/>
      <c r="BU2911" s="1059"/>
      <c r="BV2911" s="944"/>
      <c r="BW2911" s="944"/>
      <c r="BX2911" s="1147"/>
      <c r="BY2911" s="944"/>
      <c r="BZ2911" s="944"/>
      <c r="CA2911" s="944"/>
      <c r="CB2911" s="944"/>
    </row>
    <row r="2912" spans="2:80">
      <c r="B2912" s="1097"/>
      <c r="C2912" s="1097"/>
      <c r="D2912" s="1097"/>
      <c r="E2912" s="1097"/>
      <c r="F2912" s="934"/>
      <c r="G2912" s="1098"/>
      <c r="H2912" s="1099"/>
      <c r="I2912" s="1099"/>
      <c r="J2912" s="934"/>
      <c r="K2912" s="934"/>
      <c r="L2912" s="933"/>
      <c r="M2912" s="1100"/>
      <c r="N2912" s="934"/>
      <c r="O2912" s="936"/>
      <c r="P2912" s="936"/>
      <c r="Q2912" s="933"/>
      <c r="T2912" s="1101"/>
      <c r="U2912" s="1102"/>
      <c r="V2912" s="936"/>
      <c r="W2912" s="1103"/>
      <c r="X2912" s="1104"/>
      <c r="Y2912" s="1105"/>
      <c r="Z2912" s="1103"/>
      <c r="AC2912" s="1106"/>
      <c r="AD2912" s="1107"/>
      <c r="AE2912" s="1104"/>
      <c r="AG2912" s="1109"/>
      <c r="AI2912" s="1110"/>
      <c r="AL2912" s="933"/>
      <c r="AM2912" s="933"/>
      <c r="AN2912" s="1100"/>
      <c r="AO2912" s="1100"/>
      <c r="AP2912" s="934"/>
      <c r="AQ2912" s="934"/>
      <c r="AR2912" s="934"/>
      <c r="AS2912" s="936"/>
      <c r="AT2912" s="936"/>
      <c r="AU2912" s="936"/>
      <c r="AV2912" s="937"/>
      <c r="AW2912" s="938"/>
      <c r="AX2912" s="939"/>
      <c r="AY2912" s="933"/>
      <c r="AZ2912" s="936"/>
      <c r="BA2912" s="936"/>
      <c r="BB2912" s="1112"/>
      <c r="BC2912" s="940"/>
      <c r="BD2912" s="941"/>
      <c r="BE2912" s="942"/>
      <c r="BF2912" s="943"/>
      <c r="BG2912" s="943"/>
      <c r="BH2912" s="943"/>
      <c r="BI2912" s="943"/>
      <c r="BJ2912" s="943"/>
      <c r="BK2912" s="943"/>
      <c r="BL2912" s="943"/>
      <c r="BM2912" s="943"/>
      <c r="BN2912" s="943"/>
      <c r="BO2912" s="1059"/>
      <c r="BP2912" s="1059"/>
      <c r="BQ2912" s="1059"/>
      <c r="BR2912" s="1059"/>
      <c r="BS2912" s="1059"/>
      <c r="BT2912" s="1059"/>
      <c r="BU2912" s="1059"/>
      <c r="BV2912" s="944"/>
      <c r="BW2912" s="944"/>
      <c r="BX2912" s="1147"/>
      <c r="BY2912" s="944"/>
      <c r="BZ2912" s="944"/>
      <c r="CA2912" s="944"/>
      <c r="CB2912" s="944"/>
    </row>
    <row r="2913" spans="2:80">
      <c r="B2913" s="1097"/>
      <c r="C2913" s="1097"/>
      <c r="D2913" s="1097"/>
      <c r="E2913" s="1097"/>
      <c r="F2913" s="934"/>
      <c r="G2913" s="1098"/>
      <c r="H2913" s="1099"/>
      <c r="I2913" s="1099"/>
      <c r="J2913" s="934"/>
      <c r="K2913" s="934"/>
      <c r="L2913" s="933"/>
      <c r="M2913" s="1100"/>
      <c r="N2913" s="934"/>
      <c r="O2913" s="936"/>
      <c r="P2913" s="936"/>
      <c r="Q2913" s="933"/>
      <c r="T2913" s="1101"/>
      <c r="U2913" s="1102"/>
      <c r="V2913" s="936"/>
      <c r="W2913" s="1103"/>
      <c r="X2913" s="1104"/>
      <c r="Y2913" s="1105"/>
      <c r="Z2913" s="1103"/>
      <c r="AC2913" s="1106"/>
      <c r="AD2913" s="1107"/>
      <c r="AE2913" s="1104"/>
      <c r="AG2913" s="1109"/>
      <c r="AI2913" s="1110"/>
      <c r="AL2913" s="933"/>
      <c r="AM2913" s="933"/>
      <c r="AN2913" s="1100"/>
      <c r="AO2913" s="1100"/>
      <c r="AP2913" s="934"/>
      <c r="AQ2913" s="934"/>
      <c r="AR2913" s="934"/>
      <c r="AS2913" s="936"/>
      <c r="AT2913" s="936"/>
      <c r="AU2913" s="936"/>
      <c r="AV2913" s="937"/>
      <c r="AW2913" s="938"/>
      <c r="AX2913" s="939"/>
      <c r="AY2913" s="933"/>
      <c r="AZ2913" s="936"/>
      <c r="BA2913" s="936"/>
      <c r="BB2913" s="1112"/>
      <c r="BC2913" s="940"/>
      <c r="BD2913" s="941"/>
      <c r="BE2913" s="942"/>
      <c r="BF2913" s="943"/>
      <c r="BG2913" s="943"/>
      <c r="BH2913" s="943"/>
      <c r="BI2913" s="943"/>
      <c r="BJ2913" s="943"/>
      <c r="BK2913" s="943"/>
      <c r="BL2913" s="943"/>
      <c r="BM2913" s="943"/>
      <c r="BN2913" s="943"/>
      <c r="BO2913" s="1059"/>
      <c r="BP2913" s="1059"/>
      <c r="BQ2913" s="1059"/>
      <c r="BR2913" s="1059"/>
      <c r="BS2913" s="1059"/>
      <c r="BT2913" s="1059"/>
      <c r="BU2913" s="1059"/>
      <c r="BV2913" s="944"/>
      <c r="BW2913" s="944"/>
      <c r="BX2913" s="1147"/>
      <c r="BY2913" s="944"/>
      <c r="BZ2913" s="944"/>
      <c r="CA2913" s="944"/>
      <c r="CB2913" s="944"/>
    </row>
    <row r="2914" spans="2:80">
      <c r="B2914" s="1097"/>
      <c r="C2914" s="1097"/>
      <c r="D2914" s="1097"/>
      <c r="E2914" s="1097"/>
      <c r="F2914" s="934"/>
      <c r="G2914" s="1098"/>
      <c r="H2914" s="1099"/>
      <c r="I2914" s="1099"/>
      <c r="J2914" s="934"/>
      <c r="K2914" s="934"/>
      <c r="L2914" s="933"/>
      <c r="M2914" s="1100"/>
      <c r="N2914" s="934"/>
      <c r="O2914" s="936"/>
      <c r="P2914" s="936"/>
      <c r="Q2914" s="933"/>
      <c r="T2914" s="1101"/>
      <c r="U2914" s="1102"/>
      <c r="V2914" s="936"/>
      <c r="W2914" s="1103"/>
      <c r="X2914" s="1104"/>
      <c r="Y2914" s="1105"/>
      <c r="Z2914" s="1103"/>
      <c r="AC2914" s="1106"/>
      <c r="AD2914" s="1107"/>
      <c r="AE2914" s="1104"/>
      <c r="AG2914" s="1109"/>
      <c r="AI2914" s="1110"/>
      <c r="AL2914" s="933"/>
      <c r="AM2914" s="933"/>
      <c r="AN2914" s="1100"/>
      <c r="AO2914" s="1100"/>
      <c r="AP2914" s="934"/>
      <c r="AQ2914" s="934"/>
      <c r="AR2914" s="934"/>
      <c r="AS2914" s="936"/>
      <c r="AT2914" s="936"/>
      <c r="AU2914" s="936"/>
      <c r="AV2914" s="937"/>
      <c r="AW2914" s="938"/>
      <c r="AX2914" s="939"/>
      <c r="AY2914" s="933"/>
      <c r="AZ2914" s="936"/>
      <c r="BA2914" s="936"/>
      <c r="BB2914" s="1112"/>
      <c r="BC2914" s="940"/>
      <c r="BD2914" s="941"/>
      <c r="BE2914" s="942"/>
      <c r="BF2914" s="943"/>
      <c r="BG2914" s="943"/>
      <c r="BH2914" s="943"/>
      <c r="BI2914" s="943"/>
      <c r="BJ2914" s="943"/>
      <c r="BK2914" s="943"/>
      <c r="BL2914" s="943"/>
      <c r="BM2914" s="943"/>
      <c r="BN2914" s="943"/>
      <c r="BO2914" s="1059"/>
      <c r="BP2914" s="1059"/>
      <c r="BQ2914" s="1059"/>
      <c r="BR2914" s="1059"/>
      <c r="BS2914" s="1059"/>
      <c r="BT2914" s="1059"/>
      <c r="BU2914" s="1059"/>
      <c r="BV2914" s="944"/>
      <c r="BW2914" s="944"/>
      <c r="BX2914" s="1147"/>
      <c r="BY2914" s="944"/>
      <c r="BZ2914" s="944"/>
      <c r="CA2914" s="944"/>
      <c r="CB2914" s="944"/>
    </row>
    <row r="2915" spans="2:80">
      <c r="B2915" s="1097"/>
      <c r="C2915" s="1097"/>
      <c r="D2915" s="1097"/>
      <c r="E2915" s="1097"/>
      <c r="F2915" s="934"/>
      <c r="G2915" s="1098"/>
      <c r="H2915" s="1099"/>
      <c r="I2915" s="1099"/>
      <c r="J2915" s="934"/>
      <c r="K2915" s="934"/>
      <c r="L2915" s="933"/>
      <c r="M2915" s="1100"/>
      <c r="N2915" s="934"/>
      <c r="O2915" s="936"/>
      <c r="P2915" s="936"/>
      <c r="Q2915" s="933"/>
      <c r="T2915" s="1101"/>
      <c r="U2915" s="1102"/>
      <c r="V2915" s="936"/>
      <c r="W2915" s="1103"/>
      <c r="X2915" s="1104"/>
      <c r="Y2915" s="1105"/>
      <c r="Z2915" s="1103"/>
      <c r="AC2915" s="1106"/>
      <c r="AD2915" s="1107"/>
      <c r="AE2915" s="1104"/>
      <c r="AG2915" s="1109"/>
      <c r="AI2915" s="1110"/>
      <c r="AL2915" s="933"/>
      <c r="AM2915" s="933"/>
      <c r="AN2915" s="1100"/>
      <c r="AO2915" s="1100"/>
      <c r="AP2915" s="934"/>
      <c r="AQ2915" s="934"/>
      <c r="AR2915" s="934"/>
      <c r="AS2915" s="936"/>
      <c r="AT2915" s="936"/>
      <c r="AU2915" s="936"/>
      <c r="AV2915" s="937"/>
      <c r="AW2915" s="938"/>
      <c r="AX2915" s="939"/>
      <c r="AY2915" s="933"/>
      <c r="AZ2915" s="936"/>
      <c r="BA2915" s="936"/>
      <c r="BB2915" s="1112"/>
      <c r="BC2915" s="940"/>
      <c r="BD2915" s="941"/>
      <c r="BE2915" s="942"/>
      <c r="BF2915" s="943"/>
      <c r="BG2915" s="943"/>
      <c r="BH2915" s="943"/>
      <c r="BI2915" s="943"/>
      <c r="BJ2915" s="943"/>
      <c r="BK2915" s="943"/>
      <c r="BL2915" s="943"/>
      <c r="BM2915" s="943"/>
      <c r="BN2915" s="943"/>
      <c r="BO2915" s="1059"/>
      <c r="BP2915" s="1059"/>
      <c r="BQ2915" s="1059"/>
      <c r="BR2915" s="1059"/>
      <c r="BS2915" s="1059"/>
      <c r="BT2915" s="1059"/>
      <c r="BU2915" s="1059"/>
      <c r="BV2915" s="944"/>
      <c r="BW2915" s="944"/>
      <c r="BX2915" s="1147"/>
      <c r="BY2915" s="944"/>
      <c r="BZ2915" s="944"/>
      <c r="CA2915" s="944"/>
      <c r="CB2915" s="944"/>
    </row>
    <row r="2916" spans="2:80">
      <c r="B2916" s="1097"/>
      <c r="C2916" s="1097"/>
      <c r="D2916" s="1097"/>
      <c r="E2916" s="1097"/>
      <c r="F2916" s="934"/>
      <c r="G2916" s="1098"/>
      <c r="H2916" s="1099"/>
      <c r="I2916" s="1099"/>
      <c r="J2916" s="934"/>
      <c r="K2916" s="934"/>
      <c r="L2916" s="933"/>
      <c r="M2916" s="1100"/>
      <c r="N2916" s="934"/>
      <c r="O2916" s="936"/>
      <c r="P2916" s="936"/>
      <c r="Q2916" s="933"/>
      <c r="T2916" s="1101"/>
      <c r="U2916" s="1102"/>
      <c r="V2916" s="936"/>
      <c r="W2916" s="1103"/>
      <c r="X2916" s="1104"/>
      <c r="Y2916" s="1105"/>
      <c r="Z2916" s="1103"/>
      <c r="AC2916" s="1106"/>
      <c r="AD2916" s="1107"/>
      <c r="AE2916" s="1104"/>
      <c r="AG2916" s="1109"/>
      <c r="AI2916" s="1110"/>
      <c r="AL2916" s="933"/>
      <c r="AM2916" s="933"/>
      <c r="AN2916" s="1100"/>
      <c r="AO2916" s="1100"/>
      <c r="AP2916" s="934"/>
      <c r="AQ2916" s="934"/>
      <c r="AR2916" s="934"/>
      <c r="AS2916" s="936"/>
      <c r="AT2916" s="936"/>
      <c r="AU2916" s="936"/>
      <c r="AV2916" s="937"/>
      <c r="AW2916" s="938"/>
      <c r="AX2916" s="939"/>
      <c r="AY2916" s="933"/>
      <c r="AZ2916" s="936"/>
      <c r="BA2916" s="936"/>
      <c r="BB2916" s="1112"/>
      <c r="BC2916" s="940"/>
      <c r="BD2916" s="941"/>
      <c r="BE2916" s="942"/>
      <c r="BF2916" s="943"/>
      <c r="BG2916" s="943"/>
      <c r="BH2916" s="943"/>
      <c r="BI2916" s="943"/>
      <c r="BJ2916" s="943"/>
      <c r="BK2916" s="943"/>
      <c r="BL2916" s="943"/>
      <c r="BM2916" s="943"/>
      <c r="BN2916" s="943"/>
      <c r="BO2916" s="1059"/>
      <c r="BP2916" s="1059"/>
      <c r="BQ2916" s="1059"/>
      <c r="BR2916" s="1059"/>
      <c r="BS2916" s="1059"/>
      <c r="BT2916" s="1059"/>
      <c r="BU2916" s="1059"/>
      <c r="BV2916" s="944"/>
      <c r="BW2916" s="944"/>
      <c r="BX2916" s="1147"/>
      <c r="BY2916" s="944"/>
      <c r="BZ2916" s="944"/>
      <c r="CA2916" s="944"/>
      <c r="CB2916" s="944"/>
    </row>
    <row r="2917" spans="2:80">
      <c r="B2917" s="1097"/>
      <c r="C2917" s="1097"/>
      <c r="D2917" s="1097"/>
      <c r="E2917" s="1097"/>
      <c r="F2917" s="934"/>
      <c r="G2917" s="1098"/>
      <c r="H2917" s="1099"/>
      <c r="I2917" s="1099"/>
      <c r="J2917" s="934"/>
      <c r="K2917" s="934"/>
      <c r="L2917" s="933"/>
      <c r="M2917" s="1100"/>
      <c r="N2917" s="934"/>
      <c r="O2917" s="936"/>
      <c r="P2917" s="936"/>
      <c r="Q2917" s="933"/>
      <c r="T2917" s="1101"/>
      <c r="U2917" s="1102"/>
      <c r="V2917" s="936"/>
      <c r="W2917" s="1103"/>
      <c r="X2917" s="1104"/>
      <c r="Y2917" s="1105"/>
      <c r="Z2917" s="1103"/>
      <c r="AC2917" s="1106"/>
      <c r="AD2917" s="1107"/>
      <c r="AE2917" s="1104"/>
      <c r="AG2917" s="1109"/>
      <c r="AI2917" s="1110"/>
      <c r="AL2917" s="933"/>
      <c r="AM2917" s="933"/>
      <c r="AN2917" s="1100"/>
      <c r="AO2917" s="1100"/>
      <c r="AP2917" s="934"/>
      <c r="AQ2917" s="934"/>
      <c r="AR2917" s="934"/>
      <c r="AS2917" s="936"/>
      <c r="AT2917" s="936"/>
      <c r="AU2917" s="936"/>
      <c r="AV2917" s="937"/>
      <c r="AW2917" s="938"/>
      <c r="AX2917" s="939"/>
      <c r="AY2917" s="933"/>
      <c r="AZ2917" s="936"/>
      <c r="BA2917" s="936"/>
      <c r="BB2917" s="1112"/>
      <c r="BC2917" s="940"/>
      <c r="BD2917" s="941"/>
      <c r="BE2917" s="942"/>
      <c r="BF2917" s="943"/>
      <c r="BG2917" s="943"/>
      <c r="BH2917" s="943"/>
      <c r="BI2917" s="943"/>
      <c r="BJ2917" s="943"/>
      <c r="BK2917" s="943"/>
      <c r="BL2917" s="943"/>
      <c r="BM2917" s="943"/>
      <c r="BN2917" s="943"/>
      <c r="BO2917" s="1059"/>
      <c r="BP2917" s="1059"/>
      <c r="BQ2917" s="1059"/>
      <c r="BR2917" s="1059"/>
      <c r="BS2917" s="1059"/>
      <c r="BT2917" s="1059"/>
      <c r="BU2917" s="1059"/>
      <c r="BV2917" s="944"/>
      <c r="BW2917" s="944"/>
      <c r="BX2917" s="1147"/>
      <c r="BY2917" s="944"/>
      <c r="BZ2917" s="944"/>
      <c r="CA2917" s="944"/>
      <c r="CB2917" s="944"/>
    </row>
    <row r="2918" spans="2:80">
      <c r="B2918" s="1097"/>
      <c r="C2918" s="1097"/>
      <c r="D2918" s="1097"/>
      <c r="E2918" s="1097"/>
      <c r="F2918" s="934"/>
      <c r="G2918" s="1098"/>
      <c r="H2918" s="1099"/>
      <c r="I2918" s="1099"/>
      <c r="J2918" s="934"/>
      <c r="K2918" s="934"/>
      <c r="L2918" s="933"/>
      <c r="M2918" s="1100"/>
      <c r="N2918" s="934"/>
      <c r="O2918" s="936"/>
      <c r="P2918" s="936"/>
      <c r="Q2918" s="933"/>
      <c r="T2918" s="1101"/>
      <c r="U2918" s="1102"/>
      <c r="V2918" s="936"/>
      <c r="W2918" s="1103"/>
      <c r="X2918" s="1104"/>
      <c r="Y2918" s="1105"/>
      <c r="Z2918" s="1103"/>
      <c r="AC2918" s="1106"/>
      <c r="AD2918" s="1107"/>
      <c r="AE2918" s="1104"/>
      <c r="AG2918" s="1109"/>
      <c r="AI2918" s="1110"/>
      <c r="AL2918" s="933"/>
      <c r="AM2918" s="933"/>
      <c r="AN2918" s="1100"/>
      <c r="AO2918" s="1100"/>
      <c r="AP2918" s="934"/>
      <c r="AQ2918" s="934"/>
      <c r="AR2918" s="934"/>
      <c r="AS2918" s="936"/>
      <c r="AT2918" s="936"/>
      <c r="AU2918" s="936"/>
      <c r="AV2918" s="937"/>
      <c r="AW2918" s="938"/>
      <c r="AX2918" s="939"/>
      <c r="AY2918" s="933"/>
      <c r="AZ2918" s="936"/>
      <c r="BA2918" s="936"/>
      <c r="BB2918" s="1112"/>
      <c r="BC2918" s="940"/>
      <c r="BD2918" s="941"/>
      <c r="BE2918" s="942"/>
      <c r="BF2918" s="943"/>
      <c r="BG2918" s="943"/>
      <c r="BH2918" s="943"/>
      <c r="BI2918" s="943"/>
      <c r="BJ2918" s="943"/>
      <c r="BK2918" s="943"/>
      <c r="BL2918" s="943"/>
      <c r="BM2918" s="943"/>
      <c r="BN2918" s="943"/>
      <c r="BO2918" s="1059"/>
      <c r="BP2918" s="1059"/>
      <c r="BQ2918" s="1059"/>
      <c r="BR2918" s="1059"/>
      <c r="BS2918" s="1059"/>
      <c r="BT2918" s="1059"/>
      <c r="BU2918" s="1059"/>
      <c r="BV2918" s="944"/>
      <c r="BW2918" s="944"/>
      <c r="BX2918" s="1147"/>
      <c r="BY2918" s="944"/>
      <c r="BZ2918" s="944"/>
      <c r="CA2918" s="944"/>
      <c r="CB2918" s="944"/>
    </row>
    <row r="2919" spans="2:80">
      <c r="B2919" s="1097"/>
      <c r="C2919" s="1097"/>
      <c r="D2919" s="1097"/>
      <c r="E2919" s="1097"/>
      <c r="F2919" s="934"/>
      <c r="G2919" s="1098"/>
      <c r="H2919" s="1099"/>
      <c r="I2919" s="1099"/>
      <c r="J2919" s="934"/>
      <c r="K2919" s="934"/>
      <c r="L2919" s="933"/>
      <c r="M2919" s="1100"/>
      <c r="N2919" s="934"/>
      <c r="O2919" s="936"/>
      <c r="P2919" s="936"/>
      <c r="Q2919" s="933"/>
      <c r="T2919" s="1101"/>
      <c r="U2919" s="1102"/>
      <c r="V2919" s="936"/>
      <c r="W2919" s="1103"/>
      <c r="X2919" s="1104"/>
      <c r="Y2919" s="1105"/>
      <c r="Z2919" s="1103"/>
      <c r="AC2919" s="1106"/>
      <c r="AD2919" s="1107"/>
      <c r="AE2919" s="1104"/>
      <c r="AG2919" s="1109"/>
      <c r="AI2919" s="1110"/>
      <c r="AL2919" s="933"/>
      <c r="AM2919" s="933"/>
      <c r="AN2919" s="1100"/>
      <c r="AO2919" s="1100"/>
      <c r="AP2919" s="934"/>
      <c r="AQ2919" s="934"/>
      <c r="AR2919" s="934"/>
      <c r="AS2919" s="936"/>
      <c r="AT2919" s="936"/>
      <c r="AU2919" s="936"/>
      <c r="AV2919" s="937"/>
      <c r="AW2919" s="938"/>
      <c r="AX2919" s="939"/>
      <c r="AY2919" s="933"/>
      <c r="AZ2919" s="936"/>
      <c r="BA2919" s="936"/>
      <c r="BB2919" s="1112"/>
      <c r="BC2919" s="940"/>
      <c r="BD2919" s="941"/>
      <c r="BE2919" s="942"/>
      <c r="BF2919" s="943"/>
      <c r="BG2919" s="943"/>
      <c r="BH2919" s="943"/>
      <c r="BI2919" s="943"/>
      <c r="BJ2919" s="943"/>
      <c r="BK2919" s="943"/>
      <c r="BL2919" s="943"/>
      <c r="BM2919" s="943"/>
      <c r="BN2919" s="943"/>
      <c r="BO2919" s="1059"/>
      <c r="BP2919" s="1059"/>
      <c r="BQ2919" s="1059"/>
      <c r="BR2919" s="1059"/>
      <c r="BS2919" s="1059"/>
      <c r="BT2919" s="1059"/>
      <c r="BU2919" s="1059"/>
      <c r="BV2919" s="944"/>
      <c r="BW2919" s="944"/>
      <c r="BX2919" s="1147"/>
      <c r="BY2919" s="944"/>
      <c r="BZ2919" s="944"/>
      <c r="CA2919" s="944"/>
      <c r="CB2919" s="944"/>
    </row>
    <row r="2920" spans="2:80">
      <c r="B2920" s="1097"/>
      <c r="C2920" s="1097"/>
      <c r="D2920" s="1097"/>
      <c r="E2920" s="1097"/>
      <c r="F2920" s="934"/>
      <c r="G2920" s="1098"/>
      <c r="H2920" s="1099"/>
      <c r="I2920" s="1099"/>
      <c r="J2920" s="934"/>
      <c r="K2920" s="934"/>
      <c r="L2920" s="933"/>
      <c r="M2920" s="1100"/>
      <c r="N2920" s="934"/>
      <c r="O2920" s="936"/>
      <c r="P2920" s="936"/>
      <c r="Q2920" s="933"/>
      <c r="T2920" s="1101"/>
      <c r="U2920" s="1102"/>
      <c r="V2920" s="936"/>
      <c r="W2920" s="1103"/>
      <c r="X2920" s="1104"/>
      <c r="Y2920" s="1105"/>
      <c r="Z2920" s="1103"/>
      <c r="AC2920" s="1106"/>
      <c r="AD2920" s="1107"/>
      <c r="AE2920" s="1104"/>
      <c r="AG2920" s="1109"/>
      <c r="AI2920" s="1110"/>
      <c r="AL2920" s="933"/>
      <c r="AM2920" s="933"/>
      <c r="AN2920" s="1100"/>
      <c r="AO2920" s="1100"/>
      <c r="AP2920" s="934"/>
      <c r="AQ2920" s="934"/>
      <c r="AR2920" s="934"/>
      <c r="AS2920" s="936"/>
      <c r="AT2920" s="936"/>
      <c r="AU2920" s="936"/>
      <c r="AV2920" s="937"/>
      <c r="AW2920" s="938"/>
      <c r="AX2920" s="939"/>
      <c r="AY2920" s="933"/>
      <c r="AZ2920" s="936"/>
      <c r="BA2920" s="936"/>
      <c r="BB2920" s="1112"/>
      <c r="BC2920" s="940"/>
      <c r="BD2920" s="941"/>
      <c r="BE2920" s="942"/>
      <c r="BF2920" s="943"/>
      <c r="BG2920" s="943"/>
      <c r="BH2920" s="943"/>
      <c r="BI2920" s="943"/>
      <c r="BJ2920" s="943"/>
      <c r="BK2920" s="943"/>
      <c r="BL2920" s="943"/>
      <c r="BM2920" s="943"/>
      <c r="BN2920" s="943"/>
      <c r="BO2920" s="1059"/>
      <c r="BP2920" s="1059"/>
      <c r="BQ2920" s="1059"/>
      <c r="BR2920" s="1059"/>
      <c r="BS2920" s="1059"/>
      <c r="BT2920" s="1059"/>
      <c r="BU2920" s="1059"/>
      <c r="BV2920" s="944"/>
      <c r="BW2920" s="944"/>
      <c r="BX2920" s="1147"/>
      <c r="BY2920" s="944"/>
      <c r="BZ2920" s="944"/>
      <c r="CA2920" s="944"/>
      <c r="CB2920" s="944"/>
    </row>
    <row r="2921" spans="2:80">
      <c r="B2921" s="1097"/>
      <c r="C2921" s="1097"/>
      <c r="D2921" s="1097"/>
      <c r="E2921" s="1097"/>
      <c r="F2921" s="934"/>
      <c r="G2921" s="1098"/>
      <c r="H2921" s="1099"/>
      <c r="I2921" s="1099"/>
      <c r="J2921" s="934"/>
      <c r="K2921" s="934"/>
      <c r="L2921" s="933"/>
      <c r="M2921" s="1100"/>
      <c r="N2921" s="934"/>
      <c r="O2921" s="936"/>
      <c r="P2921" s="936"/>
      <c r="Q2921" s="933"/>
      <c r="T2921" s="1101"/>
      <c r="U2921" s="1102"/>
      <c r="V2921" s="936"/>
      <c r="W2921" s="1103"/>
      <c r="X2921" s="1104"/>
      <c r="Y2921" s="1105"/>
      <c r="Z2921" s="1103"/>
      <c r="AC2921" s="1106"/>
      <c r="AD2921" s="1107"/>
      <c r="AE2921" s="1104"/>
      <c r="AG2921" s="1109"/>
      <c r="AI2921" s="1110"/>
      <c r="AL2921" s="933"/>
      <c r="AM2921" s="933"/>
      <c r="AN2921" s="1100"/>
      <c r="AO2921" s="1100"/>
      <c r="AP2921" s="934"/>
      <c r="AQ2921" s="934"/>
      <c r="AR2921" s="934"/>
      <c r="AS2921" s="936"/>
      <c r="AT2921" s="936"/>
      <c r="AU2921" s="936"/>
      <c r="AV2921" s="937"/>
      <c r="AW2921" s="938"/>
      <c r="AX2921" s="939"/>
      <c r="AY2921" s="933"/>
      <c r="AZ2921" s="936"/>
      <c r="BA2921" s="936"/>
      <c r="BB2921" s="1112"/>
      <c r="BC2921" s="940"/>
      <c r="BD2921" s="941"/>
      <c r="BE2921" s="942"/>
      <c r="BF2921" s="943"/>
      <c r="BG2921" s="943"/>
      <c r="BH2921" s="943"/>
      <c r="BI2921" s="943"/>
      <c r="BJ2921" s="943"/>
      <c r="BK2921" s="943"/>
      <c r="BL2921" s="943"/>
      <c r="BM2921" s="943"/>
      <c r="BN2921" s="943"/>
      <c r="BO2921" s="1059"/>
      <c r="BP2921" s="1059"/>
      <c r="BQ2921" s="1059"/>
      <c r="BR2921" s="1059"/>
      <c r="BS2921" s="1059"/>
      <c r="BT2921" s="1059"/>
      <c r="BU2921" s="1059"/>
      <c r="BV2921" s="944"/>
      <c r="BW2921" s="944"/>
      <c r="BX2921" s="1147"/>
      <c r="BY2921" s="944"/>
      <c r="BZ2921" s="944"/>
      <c r="CA2921" s="944"/>
      <c r="CB2921" s="944"/>
    </row>
    <row r="2922" spans="2:80">
      <c r="B2922" s="1097"/>
      <c r="C2922" s="1097"/>
      <c r="D2922" s="1097"/>
      <c r="E2922" s="1097"/>
      <c r="F2922" s="934"/>
      <c r="G2922" s="1098"/>
      <c r="H2922" s="1099"/>
      <c r="I2922" s="1099"/>
      <c r="J2922" s="934"/>
      <c r="K2922" s="934"/>
      <c r="L2922" s="933"/>
      <c r="M2922" s="1100"/>
      <c r="N2922" s="934"/>
      <c r="O2922" s="936"/>
      <c r="P2922" s="936"/>
      <c r="Q2922" s="933"/>
      <c r="T2922" s="1101"/>
      <c r="U2922" s="1102"/>
      <c r="V2922" s="936"/>
      <c r="W2922" s="1103"/>
      <c r="X2922" s="1104"/>
      <c r="Y2922" s="1105"/>
      <c r="Z2922" s="1103"/>
      <c r="AC2922" s="1106"/>
      <c r="AD2922" s="1107"/>
      <c r="AE2922" s="1104"/>
      <c r="AG2922" s="1109"/>
      <c r="AI2922" s="1110"/>
      <c r="AL2922" s="933"/>
      <c r="AM2922" s="933"/>
      <c r="AN2922" s="1100"/>
      <c r="AO2922" s="1100"/>
      <c r="AP2922" s="934"/>
      <c r="AQ2922" s="934"/>
      <c r="AR2922" s="934"/>
      <c r="AS2922" s="936"/>
      <c r="AT2922" s="936"/>
      <c r="AU2922" s="936"/>
      <c r="AV2922" s="937"/>
      <c r="AW2922" s="938"/>
      <c r="AX2922" s="939"/>
      <c r="AY2922" s="933"/>
      <c r="AZ2922" s="936"/>
      <c r="BA2922" s="936"/>
      <c r="BB2922" s="1112"/>
      <c r="BC2922" s="940"/>
      <c r="BD2922" s="941"/>
      <c r="BE2922" s="942"/>
      <c r="BF2922" s="943"/>
      <c r="BG2922" s="943"/>
      <c r="BH2922" s="943"/>
      <c r="BI2922" s="943"/>
      <c r="BJ2922" s="943"/>
      <c r="BK2922" s="943"/>
      <c r="BL2922" s="943"/>
      <c r="BM2922" s="943"/>
      <c r="BN2922" s="943"/>
      <c r="BO2922" s="1059"/>
      <c r="BP2922" s="1059"/>
      <c r="BQ2922" s="1059"/>
      <c r="BR2922" s="1059"/>
      <c r="BS2922" s="1059"/>
      <c r="BT2922" s="1059"/>
      <c r="BU2922" s="1059"/>
      <c r="BV2922" s="944"/>
      <c r="BW2922" s="944"/>
      <c r="BX2922" s="1147"/>
      <c r="BY2922" s="944"/>
      <c r="BZ2922" s="944"/>
      <c r="CA2922" s="944"/>
      <c r="CB2922" s="944"/>
    </row>
    <row r="2923" spans="2:80">
      <c r="B2923" s="1097"/>
      <c r="C2923" s="1097"/>
      <c r="D2923" s="1097"/>
      <c r="E2923" s="1097"/>
      <c r="F2923" s="934"/>
      <c r="G2923" s="1098"/>
      <c r="H2923" s="1099"/>
      <c r="I2923" s="1099"/>
      <c r="J2923" s="934"/>
      <c r="K2923" s="934"/>
      <c r="L2923" s="933"/>
      <c r="M2923" s="1100"/>
      <c r="N2923" s="934"/>
      <c r="O2923" s="936"/>
      <c r="P2923" s="936"/>
      <c r="Q2923" s="933"/>
      <c r="T2923" s="1101"/>
      <c r="U2923" s="1102"/>
      <c r="V2923" s="936"/>
      <c r="W2923" s="1103"/>
      <c r="X2923" s="1104"/>
      <c r="Y2923" s="1105"/>
      <c r="Z2923" s="1103"/>
      <c r="AC2923" s="1106"/>
      <c r="AD2923" s="1107"/>
      <c r="AE2923" s="1104"/>
      <c r="AG2923" s="1109"/>
      <c r="AI2923" s="1110"/>
      <c r="AL2923" s="933"/>
      <c r="AM2923" s="933"/>
      <c r="AN2923" s="1100"/>
      <c r="AO2923" s="1100"/>
      <c r="AP2923" s="934"/>
      <c r="AQ2923" s="934"/>
      <c r="AR2923" s="934"/>
      <c r="AS2923" s="936"/>
      <c r="AT2923" s="936"/>
      <c r="AU2923" s="936"/>
      <c r="AV2923" s="937"/>
      <c r="AW2923" s="938"/>
      <c r="AX2923" s="939"/>
      <c r="AY2923" s="933"/>
      <c r="AZ2923" s="936"/>
      <c r="BA2923" s="936"/>
      <c r="BB2923" s="1112"/>
      <c r="BC2923" s="940"/>
      <c r="BD2923" s="941"/>
      <c r="BE2923" s="942"/>
      <c r="BF2923" s="943"/>
      <c r="BG2923" s="943"/>
      <c r="BH2923" s="943"/>
      <c r="BI2923" s="943"/>
      <c r="BJ2923" s="943"/>
      <c r="BK2923" s="943"/>
      <c r="BL2923" s="943"/>
      <c r="BM2923" s="943"/>
      <c r="BN2923" s="943"/>
      <c r="BO2923" s="1059"/>
      <c r="BP2923" s="1059"/>
      <c r="BQ2923" s="1059"/>
      <c r="BR2923" s="1059"/>
      <c r="BS2923" s="1059"/>
      <c r="BT2923" s="1059"/>
      <c r="BU2923" s="1059"/>
      <c r="BV2923" s="944"/>
      <c r="BW2923" s="944"/>
      <c r="BX2923" s="1147"/>
      <c r="BY2923" s="944"/>
      <c r="BZ2923" s="944"/>
      <c r="CA2923" s="944"/>
      <c r="CB2923" s="944"/>
    </row>
    <row r="2924" spans="2:80">
      <c r="B2924" s="1097"/>
      <c r="C2924" s="1097"/>
      <c r="D2924" s="1097"/>
      <c r="E2924" s="1097"/>
      <c r="F2924" s="934"/>
      <c r="G2924" s="1098"/>
      <c r="H2924" s="1099"/>
      <c r="I2924" s="1099"/>
      <c r="J2924" s="934"/>
      <c r="K2924" s="934"/>
      <c r="L2924" s="933"/>
      <c r="M2924" s="1100"/>
      <c r="N2924" s="934"/>
      <c r="O2924" s="936"/>
      <c r="P2924" s="936"/>
      <c r="Q2924" s="933"/>
      <c r="T2924" s="1101"/>
      <c r="U2924" s="1102"/>
      <c r="V2924" s="936"/>
      <c r="W2924" s="1103"/>
      <c r="X2924" s="1104"/>
      <c r="Y2924" s="1105"/>
      <c r="Z2924" s="1103"/>
      <c r="AC2924" s="1106"/>
      <c r="AD2924" s="1107"/>
      <c r="AE2924" s="1104"/>
      <c r="AG2924" s="1109"/>
      <c r="AI2924" s="1110"/>
      <c r="AL2924" s="933"/>
      <c r="AM2924" s="933"/>
      <c r="AN2924" s="1100"/>
      <c r="AO2924" s="1100"/>
      <c r="AP2924" s="934"/>
      <c r="AQ2924" s="934"/>
      <c r="AR2924" s="934"/>
      <c r="AS2924" s="936"/>
      <c r="AT2924" s="936"/>
      <c r="AU2924" s="936"/>
      <c r="AV2924" s="937"/>
      <c r="AW2924" s="938"/>
      <c r="AX2924" s="939"/>
      <c r="AY2924" s="933"/>
      <c r="AZ2924" s="936"/>
      <c r="BA2924" s="936"/>
      <c r="BB2924" s="1112"/>
      <c r="BC2924" s="940"/>
      <c r="BD2924" s="941"/>
      <c r="BE2924" s="942"/>
      <c r="BF2924" s="943"/>
      <c r="BG2924" s="943"/>
      <c r="BH2924" s="943"/>
      <c r="BI2924" s="943"/>
      <c r="BJ2924" s="943"/>
      <c r="BK2924" s="943"/>
      <c r="BL2924" s="943"/>
      <c r="BM2924" s="943"/>
      <c r="BN2924" s="943"/>
      <c r="BO2924" s="1059"/>
      <c r="BP2924" s="1059"/>
      <c r="BQ2924" s="1059"/>
      <c r="BR2924" s="1059"/>
      <c r="BS2924" s="1059"/>
      <c r="BT2924" s="1059"/>
      <c r="BU2924" s="1059"/>
      <c r="BV2924" s="944"/>
      <c r="BW2924" s="944"/>
      <c r="BX2924" s="1147"/>
      <c r="BY2924" s="944"/>
      <c r="BZ2924" s="944"/>
      <c r="CA2924" s="944"/>
      <c r="CB2924" s="944"/>
    </row>
    <row r="2925" spans="2:80">
      <c r="B2925" s="1097"/>
      <c r="C2925" s="1097"/>
      <c r="D2925" s="1097"/>
      <c r="E2925" s="1097"/>
      <c r="F2925" s="934"/>
      <c r="G2925" s="1098"/>
      <c r="H2925" s="1099"/>
      <c r="I2925" s="1099"/>
      <c r="J2925" s="934"/>
      <c r="K2925" s="934"/>
      <c r="L2925" s="933"/>
      <c r="M2925" s="1100"/>
      <c r="N2925" s="934"/>
      <c r="O2925" s="936"/>
      <c r="P2925" s="936"/>
      <c r="Q2925" s="933"/>
      <c r="T2925" s="1101"/>
      <c r="U2925" s="1102"/>
      <c r="V2925" s="936"/>
      <c r="W2925" s="1103"/>
      <c r="X2925" s="1104"/>
      <c r="Y2925" s="1105"/>
      <c r="Z2925" s="1103"/>
      <c r="AC2925" s="1106"/>
      <c r="AD2925" s="1107"/>
      <c r="AE2925" s="1104"/>
      <c r="AG2925" s="1109"/>
      <c r="AI2925" s="1110"/>
      <c r="AL2925" s="933"/>
      <c r="AM2925" s="933"/>
      <c r="AN2925" s="1100"/>
      <c r="AO2925" s="1100"/>
      <c r="AP2925" s="934"/>
      <c r="AQ2925" s="934"/>
      <c r="AR2925" s="934"/>
      <c r="AS2925" s="936"/>
      <c r="AT2925" s="936"/>
      <c r="AU2925" s="936"/>
      <c r="AV2925" s="937"/>
      <c r="AW2925" s="938"/>
      <c r="AX2925" s="939"/>
      <c r="AY2925" s="933"/>
      <c r="AZ2925" s="936"/>
      <c r="BA2925" s="936"/>
      <c r="BB2925" s="1112"/>
      <c r="BC2925" s="940"/>
      <c r="BD2925" s="941"/>
      <c r="BE2925" s="942"/>
      <c r="BF2925" s="943"/>
      <c r="BG2925" s="943"/>
      <c r="BH2925" s="943"/>
      <c r="BI2925" s="943"/>
      <c r="BJ2925" s="943"/>
      <c r="BK2925" s="943"/>
      <c r="BL2925" s="943"/>
      <c r="BM2925" s="943"/>
      <c r="BN2925" s="943"/>
      <c r="BO2925" s="1059"/>
      <c r="BP2925" s="1059"/>
      <c r="BQ2925" s="1059"/>
      <c r="BR2925" s="1059"/>
      <c r="BS2925" s="1059"/>
      <c r="BT2925" s="1059"/>
      <c r="BU2925" s="1059"/>
      <c r="BV2925" s="944"/>
      <c r="BW2925" s="944"/>
      <c r="BX2925" s="1147"/>
      <c r="BY2925" s="944"/>
      <c r="BZ2925" s="944"/>
      <c r="CA2925" s="944"/>
      <c r="CB2925" s="944"/>
    </row>
    <row r="2926" spans="2:80">
      <c r="B2926" s="1097"/>
      <c r="C2926" s="1097"/>
      <c r="D2926" s="1097"/>
      <c r="E2926" s="1097"/>
      <c r="F2926" s="934"/>
      <c r="G2926" s="1098"/>
      <c r="H2926" s="1099"/>
      <c r="I2926" s="1099"/>
      <c r="J2926" s="934"/>
      <c r="K2926" s="934"/>
      <c r="L2926" s="933"/>
      <c r="M2926" s="1100"/>
      <c r="N2926" s="934"/>
      <c r="O2926" s="936"/>
      <c r="P2926" s="936"/>
      <c r="Q2926" s="933"/>
      <c r="T2926" s="1101"/>
      <c r="U2926" s="1102"/>
      <c r="V2926" s="936"/>
      <c r="W2926" s="1103"/>
      <c r="X2926" s="1104"/>
      <c r="Y2926" s="1105"/>
      <c r="Z2926" s="1103"/>
      <c r="AC2926" s="1106"/>
      <c r="AD2926" s="1107"/>
      <c r="AE2926" s="1104"/>
      <c r="AG2926" s="1109"/>
      <c r="AI2926" s="1110"/>
      <c r="AL2926" s="933"/>
      <c r="AM2926" s="933"/>
      <c r="AN2926" s="1100"/>
      <c r="AO2926" s="1100"/>
      <c r="AP2926" s="934"/>
      <c r="AQ2926" s="934"/>
      <c r="AR2926" s="934"/>
      <c r="AS2926" s="936"/>
      <c r="AT2926" s="936"/>
      <c r="AU2926" s="936"/>
      <c r="AV2926" s="937"/>
      <c r="AW2926" s="938"/>
      <c r="AX2926" s="939"/>
      <c r="AY2926" s="933"/>
      <c r="AZ2926" s="936"/>
      <c r="BA2926" s="936"/>
      <c r="BB2926" s="1112"/>
      <c r="BC2926" s="940"/>
      <c r="BD2926" s="941"/>
      <c r="BE2926" s="942"/>
      <c r="BF2926" s="943"/>
      <c r="BG2926" s="943"/>
      <c r="BH2926" s="943"/>
      <c r="BI2926" s="943"/>
      <c r="BJ2926" s="943"/>
      <c r="BK2926" s="943"/>
      <c r="BL2926" s="943"/>
      <c r="BM2926" s="943"/>
      <c r="BN2926" s="943"/>
      <c r="BO2926" s="1059"/>
      <c r="BP2926" s="1059"/>
      <c r="BQ2926" s="1059"/>
      <c r="BR2926" s="1059"/>
      <c r="BS2926" s="1059"/>
      <c r="BT2926" s="1059"/>
      <c r="BU2926" s="1059"/>
      <c r="BV2926" s="944"/>
      <c r="BW2926" s="944"/>
      <c r="BX2926" s="1147"/>
      <c r="BY2926" s="944"/>
      <c r="BZ2926" s="944"/>
      <c r="CA2926" s="944"/>
      <c r="CB2926" s="944"/>
    </row>
    <row r="2927" spans="2:80">
      <c r="B2927" s="1097"/>
      <c r="C2927" s="1097"/>
      <c r="D2927" s="1097"/>
      <c r="E2927" s="1097"/>
      <c r="F2927" s="934"/>
      <c r="G2927" s="1098"/>
      <c r="H2927" s="1099"/>
      <c r="I2927" s="1099"/>
      <c r="J2927" s="934"/>
      <c r="K2927" s="934"/>
      <c r="L2927" s="933"/>
      <c r="M2927" s="1100"/>
      <c r="N2927" s="934"/>
      <c r="O2927" s="936"/>
      <c r="P2927" s="936"/>
      <c r="Q2927" s="933"/>
      <c r="T2927" s="1101"/>
      <c r="U2927" s="1102"/>
      <c r="V2927" s="936"/>
      <c r="W2927" s="1103"/>
      <c r="X2927" s="1104"/>
      <c r="Y2927" s="1105"/>
      <c r="Z2927" s="1103"/>
      <c r="AC2927" s="1106"/>
      <c r="AD2927" s="1107"/>
      <c r="AE2927" s="1104"/>
      <c r="AG2927" s="1109"/>
      <c r="AI2927" s="1110"/>
      <c r="AL2927" s="933"/>
      <c r="AM2927" s="933"/>
      <c r="AN2927" s="1100"/>
      <c r="AO2927" s="1100"/>
      <c r="AP2927" s="934"/>
      <c r="AQ2927" s="934"/>
      <c r="AR2927" s="934"/>
      <c r="AS2927" s="936"/>
      <c r="AT2927" s="936"/>
      <c r="AU2927" s="936"/>
      <c r="AV2927" s="937"/>
      <c r="AW2927" s="938"/>
      <c r="AX2927" s="939"/>
      <c r="AY2927" s="933"/>
      <c r="AZ2927" s="936"/>
      <c r="BA2927" s="936"/>
      <c r="BB2927" s="1112"/>
      <c r="BC2927" s="940"/>
      <c r="BD2927" s="941"/>
      <c r="BE2927" s="942"/>
      <c r="BF2927" s="943"/>
      <c r="BG2927" s="943"/>
      <c r="BH2927" s="943"/>
      <c r="BI2927" s="943"/>
      <c r="BJ2927" s="943"/>
      <c r="BK2927" s="943"/>
      <c r="BL2927" s="943"/>
      <c r="BM2927" s="943"/>
      <c r="BN2927" s="943"/>
      <c r="BO2927" s="1059"/>
      <c r="BP2927" s="1059"/>
      <c r="BQ2927" s="1059"/>
      <c r="BR2927" s="1059"/>
      <c r="BS2927" s="1059"/>
      <c r="BT2927" s="1059"/>
      <c r="BU2927" s="1059"/>
      <c r="BV2927" s="944"/>
      <c r="BW2927" s="944"/>
      <c r="BX2927" s="1147"/>
      <c r="BY2927" s="944"/>
      <c r="BZ2927" s="944"/>
      <c r="CA2927" s="944"/>
      <c r="CB2927" s="944"/>
    </row>
    <row r="2928" spans="2:80">
      <c r="B2928" s="1097"/>
      <c r="C2928" s="1097"/>
      <c r="D2928" s="1097"/>
      <c r="E2928" s="1097"/>
      <c r="F2928" s="934"/>
      <c r="G2928" s="1098"/>
      <c r="H2928" s="1099"/>
      <c r="I2928" s="1099"/>
      <c r="J2928" s="934"/>
      <c r="K2928" s="934"/>
      <c r="L2928" s="933"/>
      <c r="M2928" s="1100"/>
      <c r="N2928" s="934"/>
      <c r="O2928" s="936"/>
      <c r="P2928" s="936"/>
      <c r="Q2928" s="933"/>
      <c r="T2928" s="1101"/>
      <c r="U2928" s="1102"/>
      <c r="V2928" s="936"/>
      <c r="W2928" s="1103"/>
      <c r="X2928" s="1104"/>
      <c r="Y2928" s="1105"/>
      <c r="Z2928" s="1103"/>
      <c r="AC2928" s="1106"/>
      <c r="AD2928" s="1107"/>
      <c r="AE2928" s="1104"/>
      <c r="AG2928" s="1109"/>
      <c r="AI2928" s="1110"/>
      <c r="AL2928" s="933"/>
      <c r="AM2928" s="933"/>
      <c r="AN2928" s="1100"/>
      <c r="AO2928" s="1100"/>
      <c r="AP2928" s="934"/>
      <c r="AQ2928" s="934"/>
      <c r="AR2928" s="934"/>
      <c r="AS2928" s="936"/>
      <c r="AT2928" s="936"/>
      <c r="AU2928" s="936"/>
      <c r="AV2928" s="937"/>
      <c r="AW2928" s="938"/>
      <c r="AX2928" s="939"/>
      <c r="AY2928" s="933"/>
      <c r="AZ2928" s="936"/>
      <c r="BA2928" s="936"/>
      <c r="BB2928" s="1112"/>
      <c r="BC2928" s="940"/>
      <c r="BD2928" s="941"/>
      <c r="BE2928" s="942"/>
      <c r="BF2928" s="943"/>
      <c r="BG2928" s="943"/>
      <c r="BH2928" s="943"/>
      <c r="BI2928" s="943"/>
      <c r="BJ2928" s="943"/>
      <c r="BK2928" s="943"/>
      <c r="BL2928" s="943"/>
      <c r="BM2928" s="943"/>
      <c r="BN2928" s="943"/>
      <c r="BO2928" s="1059"/>
      <c r="BP2928" s="1059"/>
      <c r="BQ2928" s="1059"/>
      <c r="BR2928" s="1059"/>
      <c r="BS2928" s="1059"/>
      <c r="BT2928" s="1059"/>
      <c r="BU2928" s="1059"/>
      <c r="BV2928" s="944"/>
      <c r="BW2928" s="944"/>
      <c r="BX2928" s="1147"/>
      <c r="BY2928" s="944"/>
      <c r="BZ2928" s="944"/>
      <c r="CA2928" s="944"/>
      <c r="CB2928" s="944"/>
    </row>
    <row r="2929" spans="2:80">
      <c r="B2929" s="1097"/>
      <c r="C2929" s="1097"/>
      <c r="D2929" s="1097"/>
      <c r="E2929" s="1097"/>
      <c r="F2929" s="934"/>
      <c r="G2929" s="1098"/>
      <c r="H2929" s="1099"/>
      <c r="I2929" s="1099"/>
      <c r="J2929" s="934"/>
      <c r="K2929" s="934"/>
      <c r="L2929" s="933"/>
      <c r="M2929" s="1100"/>
      <c r="N2929" s="934"/>
      <c r="O2929" s="936"/>
      <c r="P2929" s="936"/>
      <c r="Q2929" s="933"/>
      <c r="T2929" s="1101"/>
      <c r="U2929" s="1102"/>
      <c r="V2929" s="936"/>
      <c r="W2929" s="1103"/>
      <c r="X2929" s="1104"/>
      <c r="Y2929" s="1105"/>
      <c r="Z2929" s="1103"/>
      <c r="AC2929" s="1106"/>
      <c r="AD2929" s="1107"/>
      <c r="AE2929" s="1104"/>
      <c r="AG2929" s="1109"/>
      <c r="AI2929" s="1110"/>
      <c r="AL2929" s="933"/>
      <c r="AM2929" s="933"/>
      <c r="AN2929" s="1100"/>
      <c r="AO2929" s="1100"/>
      <c r="AP2929" s="934"/>
      <c r="AQ2929" s="934"/>
      <c r="AR2929" s="934"/>
      <c r="AS2929" s="936"/>
      <c r="AT2929" s="936"/>
      <c r="AU2929" s="936"/>
      <c r="AV2929" s="937"/>
      <c r="AW2929" s="938"/>
      <c r="AX2929" s="939"/>
      <c r="AY2929" s="933"/>
      <c r="AZ2929" s="936"/>
      <c r="BA2929" s="936"/>
      <c r="BB2929" s="1112"/>
      <c r="BC2929" s="940"/>
      <c r="BD2929" s="941"/>
      <c r="BE2929" s="942"/>
      <c r="BF2929" s="943"/>
      <c r="BG2929" s="943"/>
      <c r="BH2929" s="943"/>
      <c r="BI2929" s="943"/>
      <c r="BJ2929" s="943"/>
      <c r="BK2929" s="943"/>
      <c r="BL2929" s="943"/>
      <c r="BM2929" s="943"/>
      <c r="BN2929" s="943"/>
      <c r="BO2929" s="1059"/>
      <c r="BP2929" s="1059"/>
      <c r="BQ2929" s="1059"/>
      <c r="BR2929" s="1059"/>
      <c r="BS2929" s="1059"/>
      <c r="BT2929" s="1059"/>
      <c r="BU2929" s="1059"/>
      <c r="BV2929" s="944"/>
      <c r="BW2929" s="944"/>
      <c r="BX2929" s="1147"/>
      <c r="BY2929" s="944"/>
      <c r="BZ2929" s="944"/>
      <c r="CA2929" s="944"/>
      <c r="CB2929" s="944"/>
    </row>
    <row r="2930" spans="2:80">
      <c r="B2930" s="1097"/>
      <c r="C2930" s="1097"/>
      <c r="D2930" s="1097"/>
      <c r="E2930" s="1097"/>
      <c r="F2930" s="934"/>
      <c r="G2930" s="1098"/>
      <c r="H2930" s="1099"/>
      <c r="I2930" s="1099"/>
      <c r="J2930" s="934"/>
      <c r="K2930" s="934"/>
      <c r="L2930" s="933"/>
      <c r="M2930" s="1100"/>
      <c r="N2930" s="934"/>
      <c r="O2930" s="936"/>
      <c r="P2930" s="936"/>
      <c r="Q2930" s="933"/>
      <c r="T2930" s="1101"/>
      <c r="U2930" s="1102"/>
      <c r="V2930" s="936"/>
      <c r="W2930" s="1103"/>
      <c r="X2930" s="1104"/>
      <c r="Y2930" s="1105"/>
      <c r="Z2930" s="1103"/>
      <c r="AC2930" s="1106"/>
      <c r="AD2930" s="1107"/>
      <c r="AE2930" s="1104"/>
      <c r="AG2930" s="1109"/>
      <c r="AI2930" s="1110"/>
      <c r="AL2930" s="933"/>
      <c r="AM2930" s="933"/>
      <c r="AN2930" s="1100"/>
      <c r="AO2930" s="1100"/>
      <c r="AP2930" s="934"/>
      <c r="AQ2930" s="934"/>
      <c r="AR2930" s="934"/>
      <c r="AS2930" s="936"/>
      <c r="AT2930" s="936"/>
      <c r="AU2930" s="936"/>
      <c r="AV2930" s="937"/>
      <c r="AW2930" s="938"/>
      <c r="AX2930" s="939"/>
      <c r="AY2930" s="933"/>
      <c r="AZ2930" s="936"/>
      <c r="BA2930" s="936"/>
      <c r="BB2930" s="1112"/>
      <c r="BC2930" s="940"/>
      <c r="BD2930" s="941"/>
      <c r="BE2930" s="942"/>
      <c r="BF2930" s="943"/>
      <c r="BG2930" s="943"/>
      <c r="BH2930" s="943"/>
      <c r="BI2930" s="943"/>
      <c r="BJ2930" s="943"/>
      <c r="BK2930" s="943"/>
      <c r="BL2930" s="943"/>
      <c r="BM2930" s="943"/>
      <c r="BN2930" s="943"/>
      <c r="BO2930" s="1059"/>
      <c r="BP2930" s="1059"/>
      <c r="BQ2930" s="1059"/>
      <c r="BR2930" s="1059"/>
      <c r="BS2930" s="1059"/>
      <c r="BT2930" s="1059"/>
      <c r="BU2930" s="1059"/>
      <c r="BV2930" s="944"/>
      <c r="BW2930" s="944"/>
      <c r="BX2930" s="1147"/>
      <c r="BY2930" s="944"/>
      <c r="BZ2930" s="944"/>
      <c r="CA2930" s="944"/>
      <c r="CB2930" s="944"/>
    </row>
    <row r="2931" spans="2:80">
      <c r="B2931" s="1097"/>
      <c r="C2931" s="1097"/>
      <c r="D2931" s="1097"/>
      <c r="E2931" s="1097"/>
      <c r="F2931" s="934"/>
      <c r="G2931" s="1098"/>
      <c r="H2931" s="1099"/>
      <c r="I2931" s="1099"/>
      <c r="J2931" s="934"/>
      <c r="K2931" s="934"/>
      <c r="L2931" s="933"/>
      <c r="M2931" s="1100"/>
      <c r="N2931" s="934"/>
      <c r="O2931" s="936"/>
      <c r="P2931" s="936"/>
      <c r="Q2931" s="933"/>
      <c r="T2931" s="1101"/>
      <c r="U2931" s="1102"/>
      <c r="V2931" s="936"/>
      <c r="W2931" s="1103"/>
      <c r="X2931" s="1104"/>
      <c r="Y2931" s="1105"/>
      <c r="Z2931" s="1103"/>
      <c r="AC2931" s="1106"/>
      <c r="AD2931" s="1107"/>
      <c r="AE2931" s="1104"/>
      <c r="AG2931" s="1109"/>
      <c r="AI2931" s="1110"/>
      <c r="AL2931" s="933"/>
      <c r="AM2931" s="933"/>
      <c r="AN2931" s="1100"/>
      <c r="AO2931" s="1100"/>
      <c r="AP2931" s="934"/>
      <c r="AQ2931" s="934"/>
      <c r="AR2931" s="934"/>
      <c r="AS2931" s="936"/>
      <c r="AT2931" s="936"/>
      <c r="AU2931" s="936"/>
      <c r="AV2931" s="937"/>
      <c r="AW2931" s="938"/>
      <c r="AX2931" s="939"/>
      <c r="AY2931" s="933"/>
      <c r="AZ2931" s="936"/>
      <c r="BA2931" s="936"/>
      <c r="BB2931" s="1112"/>
      <c r="BC2931" s="940"/>
      <c r="BD2931" s="941"/>
      <c r="BE2931" s="942"/>
      <c r="BF2931" s="943"/>
      <c r="BG2931" s="943"/>
      <c r="BH2931" s="943"/>
      <c r="BI2931" s="943"/>
      <c r="BJ2931" s="943"/>
      <c r="BK2931" s="943"/>
      <c r="BL2931" s="943"/>
      <c r="BM2931" s="943"/>
      <c r="BN2931" s="943"/>
      <c r="BO2931" s="1059"/>
      <c r="BP2931" s="1059"/>
      <c r="BQ2931" s="1059"/>
      <c r="BR2931" s="1059"/>
      <c r="BS2931" s="1059"/>
      <c r="BT2931" s="1059"/>
      <c r="BU2931" s="1059"/>
      <c r="BV2931" s="944"/>
      <c r="BW2931" s="944"/>
      <c r="BX2931" s="1147"/>
      <c r="BY2931" s="944"/>
      <c r="BZ2931" s="944"/>
      <c r="CA2931" s="944"/>
      <c r="CB2931" s="944"/>
    </row>
    <row r="2932" spans="2:80">
      <c r="B2932" s="1097"/>
      <c r="C2932" s="1097"/>
      <c r="D2932" s="1097"/>
      <c r="E2932" s="1097"/>
      <c r="F2932" s="934"/>
      <c r="G2932" s="1098"/>
      <c r="H2932" s="1099"/>
      <c r="I2932" s="1099"/>
      <c r="J2932" s="934"/>
      <c r="K2932" s="934"/>
      <c r="L2932" s="933"/>
      <c r="M2932" s="1100"/>
      <c r="N2932" s="934"/>
      <c r="O2932" s="936"/>
      <c r="P2932" s="936"/>
      <c r="Q2932" s="933"/>
      <c r="T2932" s="1101"/>
      <c r="U2932" s="1102"/>
      <c r="V2932" s="936"/>
      <c r="W2932" s="1103"/>
      <c r="X2932" s="1104"/>
      <c r="Y2932" s="1105"/>
      <c r="Z2932" s="1103"/>
      <c r="AC2932" s="1106"/>
      <c r="AD2932" s="1107"/>
      <c r="AE2932" s="1104"/>
      <c r="AG2932" s="1109"/>
      <c r="AI2932" s="1110"/>
      <c r="AL2932" s="933"/>
      <c r="AM2932" s="933"/>
      <c r="AN2932" s="1100"/>
      <c r="AO2932" s="1100"/>
      <c r="AP2932" s="934"/>
      <c r="AQ2932" s="934"/>
      <c r="AR2932" s="934"/>
      <c r="AS2932" s="936"/>
      <c r="AT2932" s="936"/>
      <c r="AU2932" s="936"/>
      <c r="AV2932" s="937"/>
      <c r="AW2932" s="938"/>
      <c r="AX2932" s="939"/>
      <c r="AY2932" s="933"/>
      <c r="AZ2932" s="936"/>
      <c r="BA2932" s="936"/>
      <c r="BB2932" s="1112"/>
      <c r="BC2932" s="940"/>
      <c r="BD2932" s="941"/>
      <c r="BE2932" s="942"/>
      <c r="BF2932" s="943"/>
      <c r="BG2932" s="943"/>
      <c r="BH2932" s="943"/>
      <c r="BI2932" s="943"/>
      <c r="BJ2932" s="943"/>
      <c r="BK2932" s="943"/>
      <c r="BL2932" s="943"/>
      <c r="BM2932" s="943"/>
      <c r="BN2932" s="943"/>
      <c r="BO2932" s="1059"/>
      <c r="BP2932" s="1059"/>
      <c r="BQ2932" s="1059"/>
      <c r="BR2932" s="1059"/>
      <c r="BS2932" s="1059"/>
      <c r="BT2932" s="1059"/>
      <c r="BU2932" s="1059"/>
      <c r="BV2932" s="944"/>
      <c r="BW2932" s="944"/>
      <c r="BX2932" s="1147"/>
      <c r="BY2932" s="944"/>
      <c r="BZ2932" s="944"/>
      <c r="CA2932" s="944"/>
      <c r="CB2932" s="944"/>
    </row>
    <row r="2933" spans="2:80">
      <c r="B2933" s="1097"/>
      <c r="C2933" s="1097"/>
      <c r="D2933" s="1097"/>
      <c r="E2933" s="1097"/>
      <c r="F2933" s="934"/>
      <c r="G2933" s="1098"/>
      <c r="H2933" s="1099"/>
      <c r="I2933" s="1099"/>
      <c r="J2933" s="934"/>
      <c r="K2933" s="934"/>
      <c r="L2933" s="933"/>
      <c r="M2933" s="1100"/>
      <c r="N2933" s="934"/>
      <c r="O2933" s="936"/>
      <c r="P2933" s="936"/>
      <c r="Q2933" s="933"/>
      <c r="T2933" s="1101"/>
      <c r="U2933" s="1102"/>
      <c r="V2933" s="936"/>
      <c r="W2933" s="1103"/>
      <c r="X2933" s="1104"/>
      <c r="Y2933" s="1105"/>
      <c r="Z2933" s="1103"/>
      <c r="AC2933" s="1106"/>
      <c r="AD2933" s="1107"/>
      <c r="AE2933" s="1104"/>
      <c r="AG2933" s="1109"/>
      <c r="AI2933" s="1110"/>
      <c r="AL2933" s="933"/>
      <c r="AM2933" s="933"/>
      <c r="AN2933" s="1100"/>
      <c r="AO2933" s="1100"/>
      <c r="AP2933" s="934"/>
      <c r="AQ2933" s="934"/>
      <c r="AR2933" s="934"/>
      <c r="AS2933" s="936"/>
      <c r="AT2933" s="936"/>
      <c r="AU2933" s="936"/>
      <c r="AV2933" s="937"/>
      <c r="AW2933" s="938"/>
      <c r="AX2933" s="939"/>
      <c r="AY2933" s="933"/>
      <c r="AZ2933" s="936"/>
      <c r="BA2933" s="936"/>
      <c r="BB2933" s="1112"/>
      <c r="BC2933" s="940"/>
      <c r="BD2933" s="941"/>
      <c r="BE2933" s="942"/>
      <c r="BF2933" s="943"/>
      <c r="BG2933" s="943"/>
      <c r="BH2933" s="943"/>
      <c r="BI2933" s="943"/>
      <c r="BJ2933" s="943"/>
      <c r="BK2933" s="943"/>
      <c r="BL2933" s="943"/>
      <c r="BM2933" s="943"/>
      <c r="BN2933" s="943"/>
      <c r="BO2933" s="1059"/>
      <c r="BP2933" s="1059"/>
      <c r="BQ2933" s="1059"/>
      <c r="BR2933" s="1059"/>
      <c r="BS2933" s="1059"/>
      <c r="BT2933" s="1059"/>
      <c r="BU2933" s="1059"/>
      <c r="BV2933" s="944"/>
      <c r="BW2933" s="944"/>
      <c r="BX2933" s="1147"/>
      <c r="BY2933" s="944"/>
      <c r="BZ2933" s="944"/>
      <c r="CA2933" s="944"/>
      <c r="CB2933" s="944"/>
    </row>
    <row r="2934" spans="2:80">
      <c r="B2934" s="1097"/>
      <c r="C2934" s="1097"/>
      <c r="D2934" s="1097"/>
      <c r="E2934" s="1097"/>
      <c r="F2934" s="934"/>
      <c r="G2934" s="1098"/>
      <c r="H2934" s="1099"/>
      <c r="I2934" s="1099"/>
      <c r="J2934" s="934"/>
      <c r="K2934" s="934"/>
      <c r="L2934" s="933"/>
      <c r="M2934" s="1100"/>
      <c r="N2934" s="934"/>
      <c r="O2934" s="936"/>
      <c r="P2934" s="936"/>
      <c r="Q2934" s="933"/>
      <c r="T2934" s="1101"/>
      <c r="U2934" s="1102"/>
      <c r="V2934" s="936"/>
      <c r="W2934" s="1103"/>
      <c r="X2934" s="1104"/>
      <c r="Y2934" s="1105"/>
      <c r="Z2934" s="1103"/>
      <c r="AC2934" s="1106"/>
      <c r="AD2934" s="1107"/>
      <c r="AE2934" s="1104"/>
      <c r="AG2934" s="1109"/>
      <c r="AI2934" s="1110"/>
      <c r="AL2934" s="933"/>
      <c r="AM2934" s="933"/>
      <c r="AN2934" s="1100"/>
      <c r="AO2934" s="1100"/>
      <c r="AP2934" s="934"/>
      <c r="AQ2934" s="934"/>
      <c r="AR2934" s="934"/>
      <c r="AS2934" s="936"/>
      <c r="AT2934" s="936"/>
      <c r="AU2934" s="936"/>
      <c r="AV2934" s="937"/>
      <c r="AW2934" s="938"/>
      <c r="AX2934" s="939"/>
      <c r="AY2934" s="933"/>
      <c r="AZ2934" s="936"/>
      <c r="BA2934" s="936"/>
      <c r="BB2934" s="1112"/>
      <c r="BC2934" s="940"/>
      <c r="BD2934" s="941"/>
      <c r="BE2934" s="942"/>
      <c r="BF2934" s="943"/>
      <c r="BG2934" s="943"/>
      <c r="BH2934" s="943"/>
      <c r="BI2934" s="943"/>
      <c r="BJ2934" s="943"/>
      <c r="BK2934" s="943"/>
      <c r="BL2934" s="943"/>
      <c r="BM2934" s="943"/>
      <c r="BN2934" s="943"/>
      <c r="BO2934" s="1059"/>
      <c r="BP2934" s="1059"/>
      <c r="BQ2934" s="1059"/>
      <c r="BR2934" s="1059"/>
      <c r="BS2934" s="1059"/>
      <c r="BT2934" s="1059"/>
      <c r="BU2934" s="1059"/>
      <c r="BV2934" s="944"/>
      <c r="BW2934" s="944"/>
      <c r="BX2934" s="1147"/>
      <c r="BY2934" s="944"/>
      <c r="BZ2934" s="944"/>
      <c r="CA2934" s="944"/>
      <c r="CB2934" s="944"/>
    </row>
    <row r="2935" spans="2:80">
      <c r="B2935" s="1097"/>
      <c r="C2935" s="1097"/>
      <c r="D2935" s="1097"/>
      <c r="E2935" s="1097"/>
      <c r="F2935" s="934"/>
      <c r="G2935" s="1098"/>
      <c r="H2935" s="1099"/>
      <c r="I2935" s="1099"/>
      <c r="J2935" s="934"/>
      <c r="K2935" s="934"/>
      <c r="L2935" s="933"/>
      <c r="M2935" s="1100"/>
      <c r="N2935" s="934"/>
      <c r="O2935" s="936"/>
      <c r="P2935" s="936"/>
      <c r="Q2935" s="933"/>
      <c r="T2935" s="1101"/>
      <c r="U2935" s="1102"/>
      <c r="V2935" s="936"/>
      <c r="W2935" s="1103"/>
      <c r="X2935" s="1104"/>
      <c r="Y2935" s="1105"/>
      <c r="Z2935" s="1103"/>
      <c r="AC2935" s="1106"/>
      <c r="AD2935" s="1107"/>
      <c r="AE2935" s="1104"/>
      <c r="AG2935" s="1109"/>
      <c r="AI2935" s="1110"/>
      <c r="AL2935" s="933"/>
      <c r="AM2935" s="933"/>
      <c r="AN2935" s="1100"/>
      <c r="AO2935" s="1100"/>
      <c r="AP2935" s="934"/>
      <c r="AQ2935" s="934"/>
      <c r="AR2935" s="934"/>
      <c r="AS2935" s="936"/>
      <c r="AT2935" s="936"/>
      <c r="AU2935" s="936"/>
      <c r="AV2935" s="937"/>
      <c r="AW2935" s="938"/>
      <c r="AX2935" s="939"/>
      <c r="AY2935" s="933"/>
      <c r="AZ2935" s="936"/>
      <c r="BA2935" s="936"/>
      <c r="BB2935" s="1112"/>
      <c r="BC2935" s="940"/>
      <c r="BD2935" s="941"/>
      <c r="BE2935" s="942"/>
      <c r="BF2935" s="943"/>
      <c r="BG2935" s="943"/>
      <c r="BH2935" s="943"/>
      <c r="BI2935" s="943"/>
      <c r="BJ2935" s="943"/>
      <c r="BK2935" s="943"/>
      <c r="BL2935" s="943"/>
      <c r="BM2935" s="943"/>
      <c r="BN2935" s="943"/>
      <c r="BO2935" s="1059"/>
      <c r="BP2935" s="1059"/>
      <c r="BQ2935" s="1059"/>
      <c r="BR2935" s="1059"/>
      <c r="BS2935" s="1059"/>
      <c r="BT2935" s="1059"/>
      <c r="BU2935" s="1059"/>
      <c r="BV2935" s="944"/>
      <c r="BW2935" s="944"/>
      <c r="BX2935" s="1147"/>
      <c r="BY2935" s="944"/>
      <c r="BZ2935" s="944"/>
      <c r="CA2935" s="944"/>
      <c r="CB2935" s="944"/>
    </row>
    <row r="2936" spans="2:80">
      <c r="B2936" s="1097"/>
      <c r="C2936" s="1097"/>
      <c r="D2936" s="1097"/>
      <c r="E2936" s="1097"/>
      <c r="F2936" s="934"/>
      <c r="G2936" s="1098"/>
      <c r="H2936" s="1099"/>
      <c r="I2936" s="1099"/>
      <c r="J2936" s="934"/>
      <c r="K2936" s="934"/>
      <c r="L2936" s="933"/>
      <c r="M2936" s="1100"/>
      <c r="N2936" s="934"/>
      <c r="O2936" s="936"/>
      <c r="P2936" s="936"/>
      <c r="Q2936" s="933"/>
      <c r="T2936" s="1101"/>
      <c r="U2936" s="1102"/>
      <c r="V2936" s="936"/>
      <c r="W2936" s="1103"/>
      <c r="X2936" s="1104"/>
      <c r="Y2936" s="1105"/>
      <c r="Z2936" s="1103"/>
      <c r="AC2936" s="1106"/>
      <c r="AD2936" s="1107"/>
      <c r="AE2936" s="1104"/>
      <c r="AG2936" s="1109"/>
      <c r="AI2936" s="1110"/>
      <c r="AL2936" s="933"/>
      <c r="AM2936" s="933"/>
      <c r="AN2936" s="1100"/>
      <c r="AO2936" s="1100"/>
      <c r="AP2936" s="934"/>
      <c r="AQ2936" s="934"/>
      <c r="AR2936" s="934"/>
      <c r="AS2936" s="936"/>
      <c r="AT2936" s="936"/>
      <c r="AU2936" s="936"/>
      <c r="AV2936" s="937"/>
      <c r="AW2936" s="938"/>
      <c r="AX2936" s="939"/>
      <c r="AY2936" s="933"/>
      <c r="AZ2936" s="936"/>
      <c r="BA2936" s="936"/>
      <c r="BB2936" s="1112"/>
      <c r="BC2936" s="940"/>
      <c r="BD2936" s="941"/>
      <c r="BE2936" s="942"/>
      <c r="BF2936" s="943"/>
      <c r="BG2936" s="943"/>
      <c r="BH2936" s="943"/>
      <c r="BI2936" s="943"/>
      <c r="BJ2936" s="943"/>
      <c r="BK2936" s="943"/>
      <c r="BL2936" s="943"/>
      <c r="BM2936" s="943"/>
      <c r="BN2936" s="943"/>
      <c r="BO2936" s="1059"/>
      <c r="BP2936" s="1059"/>
      <c r="BQ2936" s="1059"/>
      <c r="BR2936" s="1059"/>
      <c r="BS2936" s="1059"/>
      <c r="BT2936" s="1059"/>
      <c r="BU2936" s="1059"/>
      <c r="BV2936" s="944"/>
      <c r="BW2936" s="944"/>
      <c r="BX2936" s="1147"/>
      <c r="BY2936" s="944"/>
      <c r="BZ2936" s="944"/>
      <c r="CA2936" s="944"/>
      <c r="CB2936" s="944"/>
    </row>
    <row r="2937" spans="2:80">
      <c r="B2937" s="1097"/>
      <c r="C2937" s="1097"/>
      <c r="D2937" s="1097"/>
      <c r="E2937" s="1097"/>
      <c r="F2937" s="934"/>
      <c r="G2937" s="1098"/>
      <c r="H2937" s="1099"/>
      <c r="I2937" s="1099"/>
      <c r="J2937" s="934"/>
      <c r="K2937" s="934"/>
      <c r="L2937" s="933"/>
      <c r="M2937" s="1100"/>
      <c r="N2937" s="934"/>
      <c r="O2937" s="936"/>
      <c r="P2937" s="936"/>
      <c r="Q2937" s="933"/>
      <c r="T2937" s="1101"/>
      <c r="U2937" s="1102"/>
      <c r="V2937" s="936"/>
      <c r="W2937" s="1103"/>
      <c r="X2937" s="1104"/>
      <c r="Y2937" s="1105"/>
      <c r="Z2937" s="1103"/>
      <c r="AC2937" s="1106"/>
      <c r="AD2937" s="1107"/>
      <c r="AE2937" s="1104"/>
      <c r="AG2937" s="1109"/>
      <c r="AI2937" s="1110"/>
      <c r="AL2937" s="933"/>
      <c r="AM2937" s="933"/>
      <c r="AN2937" s="1100"/>
      <c r="AO2937" s="1100"/>
      <c r="AP2937" s="934"/>
      <c r="AQ2937" s="934"/>
      <c r="AR2937" s="934"/>
      <c r="AS2937" s="936"/>
      <c r="AT2937" s="936"/>
      <c r="AU2937" s="936"/>
      <c r="AV2937" s="937"/>
      <c r="AW2937" s="938"/>
      <c r="AX2937" s="939"/>
      <c r="AY2937" s="933"/>
      <c r="AZ2937" s="936"/>
      <c r="BA2937" s="936"/>
      <c r="BB2937" s="1112"/>
      <c r="BC2937" s="940"/>
      <c r="BD2937" s="941"/>
      <c r="BE2937" s="942"/>
      <c r="BF2937" s="943"/>
      <c r="BG2937" s="943"/>
      <c r="BH2937" s="943"/>
      <c r="BI2937" s="943"/>
      <c r="BJ2937" s="943"/>
      <c r="BK2937" s="943"/>
      <c r="BL2937" s="943"/>
      <c r="BM2937" s="943"/>
      <c r="BN2937" s="943"/>
      <c r="BO2937" s="1059"/>
      <c r="BP2937" s="1059"/>
      <c r="BQ2937" s="1059"/>
      <c r="BR2937" s="1059"/>
      <c r="BS2937" s="1059"/>
      <c r="BT2937" s="1059"/>
      <c r="BU2937" s="1059"/>
      <c r="BV2937" s="944"/>
      <c r="BW2937" s="944"/>
      <c r="BX2937" s="1147"/>
      <c r="BY2937" s="944"/>
      <c r="BZ2937" s="944"/>
      <c r="CA2937" s="944"/>
      <c r="CB2937" s="944"/>
    </row>
    <row r="2938" spans="2:80">
      <c r="B2938" s="1097"/>
      <c r="C2938" s="1097"/>
      <c r="D2938" s="1097"/>
      <c r="E2938" s="1097"/>
      <c r="F2938" s="934"/>
      <c r="G2938" s="1098"/>
      <c r="H2938" s="1099"/>
      <c r="I2938" s="1099"/>
      <c r="J2938" s="934"/>
      <c r="K2938" s="934"/>
      <c r="L2938" s="933"/>
      <c r="M2938" s="1100"/>
      <c r="N2938" s="934"/>
      <c r="O2938" s="936"/>
      <c r="P2938" s="936"/>
      <c r="Q2938" s="933"/>
      <c r="T2938" s="1101"/>
      <c r="U2938" s="1102"/>
      <c r="V2938" s="936"/>
      <c r="W2938" s="1103"/>
      <c r="X2938" s="1104"/>
      <c r="Y2938" s="1105"/>
      <c r="Z2938" s="1103"/>
      <c r="AC2938" s="1106"/>
      <c r="AD2938" s="1107"/>
      <c r="AE2938" s="1104"/>
      <c r="AG2938" s="1109"/>
      <c r="AI2938" s="1110"/>
      <c r="AL2938" s="933"/>
      <c r="AM2938" s="933"/>
      <c r="AN2938" s="1100"/>
      <c r="AO2938" s="1100"/>
      <c r="AP2938" s="934"/>
      <c r="AQ2938" s="934"/>
      <c r="AR2938" s="934"/>
      <c r="AS2938" s="936"/>
      <c r="AT2938" s="936"/>
      <c r="AU2938" s="936"/>
      <c r="AV2938" s="937"/>
      <c r="AW2938" s="938"/>
      <c r="AX2938" s="939"/>
      <c r="AY2938" s="933"/>
      <c r="AZ2938" s="936"/>
      <c r="BA2938" s="936"/>
      <c r="BB2938" s="1112"/>
      <c r="BC2938" s="940"/>
      <c r="BD2938" s="941"/>
      <c r="BE2938" s="942"/>
      <c r="BF2938" s="943"/>
      <c r="BG2938" s="943"/>
      <c r="BH2938" s="943"/>
      <c r="BI2938" s="943"/>
      <c r="BJ2938" s="943"/>
      <c r="BK2938" s="943"/>
      <c r="BL2938" s="943"/>
      <c r="BM2938" s="943"/>
      <c r="BN2938" s="943"/>
      <c r="BO2938" s="1059"/>
      <c r="BP2938" s="1059"/>
      <c r="BQ2938" s="1059"/>
      <c r="BR2938" s="1059"/>
      <c r="BS2938" s="1059"/>
      <c r="BT2938" s="1059"/>
      <c r="BU2938" s="1059"/>
      <c r="BV2938" s="944"/>
      <c r="BW2938" s="944"/>
      <c r="BX2938" s="1147"/>
      <c r="BY2938" s="944"/>
      <c r="BZ2938" s="944"/>
      <c r="CA2938" s="944"/>
      <c r="CB2938" s="944"/>
    </row>
    <row r="2939" spans="2:80">
      <c r="B2939" s="1097"/>
      <c r="C2939" s="1097"/>
      <c r="D2939" s="1097"/>
      <c r="E2939" s="1097"/>
      <c r="F2939" s="934"/>
      <c r="G2939" s="1098"/>
      <c r="H2939" s="1099"/>
      <c r="I2939" s="1099"/>
      <c r="J2939" s="934"/>
      <c r="K2939" s="934"/>
      <c r="L2939" s="933"/>
      <c r="M2939" s="1100"/>
      <c r="N2939" s="934"/>
      <c r="O2939" s="936"/>
      <c r="P2939" s="936"/>
      <c r="Q2939" s="933"/>
      <c r="T2939" s="1101"/>
      <c r="U2939" s="1102"/>
      <c r="V2939" s="936"/>
      <c r="W2939" s="1103"/>
      <c r="X2939" s="1104"/>
      <c r="Y2939" s="1105"/>
      <c r="Z2939" s="1103"/>
      <c r="AC2939" s="1106"/>
      <c r="AD2939" s="1107"/>
      <c r="AE2939" s="1104"/>
      <c r="AG2939" s="1109"/>
      <c r="AI2939" s="1110"/>
      <c r="AL2939" s="933"/>
      <c r="AM2939" s="933"/>
      <c r="AN2939" s="1100"/>
      <c r="AO2939" s="1100"/>
      <c r="AP2939" s="934"/>
      <c r="AQ2939" s="934"/>
      <c r="AR2939" s="934"/>
      <c r="AS2939" s="936"/>
      <c r="AT2939" s="936"/>
      <c r="AU2939" s="936"/>
      <c r="AV2939" s="937"/>
      <c r="AW2939" s="938"/>
      <c r="AX2939" s="939"/>
      <c r="AY2939" s="933"/>
      <c r="AZ2939" s="936"/>
      <c r="BA2939" s="936"/>
      <c r="BB2939" s="1112"/>
      <c r="BC2939" s="940"/>
      <c r="BD2939" s="941"/>
      <c r="BE2939" s="942"/>
      <c r="BF2939" s="943"/>
      <c r="BG2939" s="943"/>
      <c r="BH2939" s="943"/>
      <c r="BI2939" s="943"/>
      <c r="BJ2939" s="943"/>
      <c r="BK2939" s="943"/>
      <c r="BL2939" s="943"/>
      <c r="BM2939" s="943"/>
      <c r="BN2939" s="943"/>
      <c r="BO2939" s="1059"/>
      <c r="BP2939" s="1059"/>
      <c r="BQ2939" s="1059"/>
      <c r="BR2939" s="1059"/>
      <c r="BS2939" s="1059"/>
      <c r="BT2939" s="1059"/>
      <c r="BU2939" s="1059"/>
      <c r="BV2939" s="944"/>
      <c r="BW2939" s="944"/>
      <c r="BX2939" s="1147"/>
      <c r="BY2939" s="944"/>
      <c r="BZ2939" s="944"/>
      <c r="CA2939" s="944"/>
      <c r="CB2939" s="944"/>
    </row>
    <row r="2940" spans="2:80">
      <c r="B2940" s="1097"/>
      <c r="C2940" s="1097"/>
      <c r="D2940" s="1097"/>
      <c r="E2940" s="1097"/>
      <c r="F2940" s="934"/>
      <c r="G2940" s="1098"/>
      <c r="H2940" s="1099"/>
      <c r="I2940" s="1099"/>
      <c r="J2940" s="934"/>
      <c r="K2940" s="934"/>
      <c r="L2940" s="933"/>
      <c r="M2940" s="1100"/>
      <c r="N2940" s="934"/>
      <c r="O2940" s="936"/>
      <c r="P2940" s="936"/>
      <c r="Q2940" s="933"/>
      <c r="T2940" s="1101"/>
      <c r="U2940" s="1102"/>
      <c r="V2940" s="936"/>
      <c r="W2940" s="1103"/>
      <c r="X2940" s="1104"/>
      <c r="Y2940" s="1105"/>
      <c r="Z2940" s="1103"/>
      <c r="AC2940" s="1106"/>
      <c r="AD2940" s="1107"/>
      <c r="AE2940" s="1104"/>
      <c r="AG2940" s="1109"/>
      <c r="AI2940" s="1110"/>
      <c r="AL2940" s="933"/>
      <c r="AM2940" s="933"/>
      <c r="AN2940" s="1100"/>
      <c r="AO2940" s="1100"/>
      <c r="AP2940" s="934"/>
      <c r="AQ2940" s="934"/>
      <c r="AR2940" s="934"/>
      <c r="AS2940" s="936"/>
      <c r="AT2940" s="936"/>
      <c r="AU2940" s="936"/>
      <c r="AV2940" s="937"/>
      <c r="AW2940" s="938"/>
      <c r="AX2940" s="939"/>
      <c r="AY2940" s="933"/>
      <c r="AZ2940" s="936"/>
      <c r="BA2940" s="936"/>
      <c r="BB2940" s="1112"/>
      <c r="BC2940" s="940"/>
      <c r="BD2940" s="941"/>
      <c r="BE2940" s="942"/>
      <c r="BF2940" s="943"/>
      <c r="BG2940" s="943"/>
      <c r="BH2940" s="943"/>
      <c r="BI2940" s="943"/>
      <c r="BJ2940" s="943"/>
      <c r="BK2940" s="943"/>
      <c r="BL2940" s="943"/>
      <c r="BM2940" s="943"/>
      <c r="BN2940" s="943"/>
      <c r="BO2940" s="1059"/>
      <c r="BP2940" s="1059"/>
      <c r="BQ2940" s="1059"/>
      <c r="BR2940" s="1059"/>
      <c r="BS2940" s="1059"/>
      <c r="BT2940" s="1059"/>
      <c r="BU2940" s="1059"/>
      <c r="BV2940" s="944"/>
      <c r="BW2940" s="944"/>
      <c r="BX2940" s="1147"/>
      <c r="BY2940" s="944"/>
      <c r="BZ2940" s="944"/>
      <c r="CA2940" s="944"/>
      <c r="CB2940" s="944"/>
    </row>
    <row r="2941" spans="2:80">
      <c r="B2941" s="1097"/>
      <c r="C2941" s="1097"/>
      <c r="D2941" s="1097"/>
      <c r="E2941" s="1097"/>
      <c r="F2941" s="934"/>
      <c r="G2941" s="1098"/>
      <c r="H2941" s="1099"/>
      <c r="I2941" s="1099"/>
      <c r="J2941" s="934"/>
      <c r="K2941" s="934"/>
      <c r="L2941" s="933"/>
      <c r="M2941" s="1100"/>
      <c r="N2941" s="934"/>
      <c r="O2941" s="936"/>
      <c r="P2941" s="936"/>
      <c r="Q2941" s="933"/>
      <c r="T2941" s="1101"/>
      <c r="U2941" s="1102"/>
      <c r="V2941" s="936"/>
      <c r="W2941" s="1103"/>
      <c r="X2941" s="1104"/>
      <c r="Y2941" s="1105"/>
      <c r="Z2941" s="1103"/>
      <c r="AC2941" s="1106"/>
      <c r="AD2941" s="1107"/>
      <c r="AE2941" s="1104"/>
      <c r="AG2941" s="1109"/>
      <c r="AI2941" s="1110"/>
      <c r="AL2941" s="933"/>
      <c r="AM2941" s="933"/>
      <c r="AN2941" s="1100"/>
      <c r="AO2941" s="1100"/>
      <c r="AP2941" s="934"/>
      <c r="AQ2941" s="934"/>
      <c r="AR2941" s="934"/>
      <c r="AS2941" s="936"/>
      <c r="AT2941" s="936"/>
      <c r="AU2941" s="936"/>
      <c r="AV2941" s="937"/>
      <c r="AW2941" s="938"/>
      <c r="AX2941" s="939"/>
      <c r="AY2941" s="933"/>
      <c r="AZ2941" s="936"/>
      <c r="BA2941" s="936"/>
      <c r="BB2941" s="1112"/>
      <c r="BC2941" s="940"/>
      <c r="BD2941" s="941"/>
      <c r="BE2941" s="942"/>
      <c r="BF2941" s="943"/>
      <c r="BG2941" s="943"/>
      <c r="BH2941" s="943"/>
      <c r="BI2941" s="943"/>
      <c r="BJ2941" s="943"/>
      <c r="BK2941" s="943"/>
      <c r="BL2941" s="943"/>
      <c r="BM2941" s="943"/>
      <c r="BN2941" s="943"/>
      <c r="BO2941" s="1059"/>
      <c r="BP2941" s="1059"/>
      <c r="BQ2941" s="1059"/>
      <c r="BR2941" s="1059"/>
      <c r="BS2941" s="1059"/>
      <c r="BT2941" s="1059"/>
      <c r="BU2941" s="1059"/>
      <c r="BV2941" s="944"/>
      <c r="BW2941" s="944"/>
      <c r="BX2941" s="1147"/>
      <c r="BY2941" s="944"/>
      <c r="BZ2941" s="944"/>
      <c r="CA2941" s="944"/>
      <c r="CB2941" s="944"/>
    </row>
    <row r="2942" spans="2:80">
      <c r="B2942" s="1097"/>
      <c r="C2942" s="1097"/>
      <c r="D2942" s="1097"/>
      <c r="E2942" s="1097"/>
      <c r="F2942" s="934"/>
      <c r="G2942" s="1098"/>
      <c r="H2942" s="1099"/>
      <c r="I2942" s="1099"/>
      <c r="J2942" s="934"/>
      <c r="K2942" s="934"/>
      <c r="L2942" s="933"/>
      <c r="M2942" s="1100"/>
      <c r="N2942" s="934"/>
      <c r="O2942" s="936"/>
      <c r="P2942" s="936"/>
      <c r="Q2942" s="933"/>
      <c r="T2942" s="1101"/>
      <c r="U2942" s="1102"/>
      <c r="V2942" s="936"/>
      <c r="W2942" s="1103"/>
      <c r="X2942" s="1104"/>
      <c r="Y2942" s="1105"/>
      <c r="Z2942" s="1103"/>
      <c r="AC2942" s="1106"/>
      <c r="AD2942" s="1107"/>
      <c r="AE2942" s="1104"/>
      <c r="AG2942" s="1109"/>
      <c r="AI2942" s="1110"/>
      <c r="AL2942" s="933"/>
      <c r="AM2942" s="933"/>
      <c r="AN2942" s="1100"/>
      <c r="AO2942" s="1100"/>
      <c r="AP2942" s="934"/>
      <c r="AQ2942" s="934"/>
      <c r="AR2942" s="934"/>
      <c r="AS2942" s="936"/>
      <c r="AT2942" s="936"/>
      <c r="AU2942" s="936"/>
      <c r="AV2942" s="937"/>
      <c r="AW2942" s="938"/>
      <c r="AX2942" s="939"/>
      <c r="AY2942" s="933"/>
      <c r="AZ2942" s="936"/>
      <c r="BA2942" s="936"/>
      <c r="BB2942" s="1112"/>
      <c r="BC2942" s="940"/>
      <c r="BD2942" s="941"/>
      <c r="BE2942" s="942"/>
      <c r="BF2942" s="943"/>
      <c r="BG2942" s="943"/>
      <c r="BH2942" s="943"/>
      <c r="BI2942" s="943"/>
      <c r="BJ2942" s="943"/>
      <c r="BK2942" s="943"/>
      <c r="BL2942" s="943"/>
      <c r="BM2942" s="943"/>
      <c r="BN2942" s="943"/>
      <c r="BO2942" s="1059"/>
      <c r="BP2942" s="1059"/>
      <c r="BQ2942" s="1059"/>
      <c r="BR2942" s="1059"/>
      <c r="BS2942" s="1059"/>
      <c r="BT2942" s="1059"/>
      <c r="BU2942" s="1059"/>
      <c r="BV2942" s="944"/>
      <c r="BW2942" s="944"/>
      <c r="BX2942" s="1147"/>
      <c r="BY2942" s="944"/>
      <c r="BZ2942" s="944"/>
      <c r="CA2942" s="944"/>
      <c r="CB2942" s="944"/>
    </row>
    <row r="2943" spans="2:80">
      <c r="B2943" s="1097"/>
      <c r="C2943" s="1097"/>
      <c r="D2943" s="1097"/>
      <c r="E2943" s="1097"/>
      <c r="F2943" s="934"/>
      <c r="G2943" s="1098"/>
      <c r="H2943" s="1099"/>
      <c r="I2943" s="1099"/>
      <c r="J2943" s="934"/>
      <c r="K2943" s="934"/>
      <c r="L2943" s="933"/>
      <c r="M2943" s="1100"/>
      <c r="N2943" s="934"/>
      <c r="O2943" s="936"/>
      <c r="P2943" s="936"/>
      <c r="Q2943" s="933"/>
      <c r="T2943" s="1101"/>
      <c r="U2943" s="1102"/>
      <c r="V2943" s="936"/>
      <c r="W2943" s="1103"/>
      <c r="X2943" s="1104"/>
      <c r="Y2943" s="1105"/>
      <c r="Z2943" s="1103"/>
      <c r="AC2943" s="1106"/>
      <c r="AD2943" s="1107"/>
      <c r="AE2943" s="1104"/>
      <c r="AG2943" s="1109"/>
      <c r="AI2943" s="1110"/>
      <c r="AL2943" s="933"/>
      <c r="AM2943" s="933"/>
      <c r="AN2943" s="1100"/>
      <c r="AO2943" s="1100"/>
      <c r="AP2943" s="934"/>
      <c r="AQ2943" s="934"/>
      <c r="AR2943" s="934"/>
      <c r="AS2943" s="936"/>
      <c r="AT2943" s="936"/>
      <c r="AU2943" s="936"/>
      <c r="AV2943" s="937"/>
      <c r="AW2943" s="938"/>
      <c r="AX2943" s="939"/>
      <c r="AY2943" s="933"/>
      <c r="AZ2943" s="936"/>
      <c r="BA2943" s="936"/>
      <c r="BB2943" s="1112"/>
      <c r="BC2943" s="940"/>
      <c r="BD2943" s="941"/>
      <c r="BE2943" s="942"/>
      <c r="BF2943" s="943"/>
      <c r="BG2943" s="943"/>
      <c r="BH2943" s="943"/>
      <c r="BI2943" s="943"/>
      <c r="BJ2943" s="943"/>
      <c r="BK2943" s="943"/>
      <c r="BL2943" s="943"/>
      <c r="BM2943" s="943"/>
      <c r="BN2943" s="943"/>
      <c r="BO2943" s="1059"/>
      <c r="BP2943" s="1059"/>
      <c r="BQ2943" s="1059"/>
      <c r="BR2943" s="1059"/>
      <c r="BS2943" s="1059"/>
      <c r="BT2943" s="1059"/>
      <c r="BU2943" s="1059"/>
      <c r="BV2943" s="944"/>
      <c r="BW2943" s="944"/>
      <c r="BX2943" s="1147"/>
      <c r="BY2943" s="944"/>
      <c r="BZ2943" s="944"/>
      <c r="CA2943" s="944"/>
      <c r="CB2943" s="944"/>
    </row>
    <row r="2944" spans="2:80">
      <c r="B2944" s="1097"/>
      <c r="C2944" s="1097"/>
      <c r="D2944" s="1097"/>
      <c r="E2944" s="1097"/>
      <c r="F2944" s="934"/>
      <c r="G2944" s="1098"/>
      <c r="H2944" s="1099"/>
      <c r="I2944" s="1099"/>
      <c r="J2944" s="934"/>
      <c r="K2944" s="934"/>
      <c r="L2944" s="933"/>
      <c r="M2944" s="1100"/>
      <c r="N2944" s="934"/>
      <c r="O2944" s="936"/>
      <c r="P2944" s="936"/>
      <c r="Q2944" s="933"/>
      <c r="T2944" s="1101"/>
      <c r="U2944" s="1102"/>
      <c r="V2944" s="936"/>
      <c r="W2944" s="1103"/>
      <c r="X2944" s="1104"/>
      <c r="Y2944" s="1105"/>
      <c r="Z2944" s="1103"/>
      <c r="AC2944" s="1106"/>
      <c r="AD2944" s="1107"/>
      <c r="AE2944" s="1104"/>
      <c r="AG2944" s="1109"/>
      <c r="AI2944" s="1110"/>
      <c r="AL2944" s="933"/>
      <c r="AM2944" s="933"/>
      <c r="AN2944" s="1100"/>
      <c r="AO2944" s="1100"/>
      <c r="AP2944" s="934"/>
      <c r="AQ2944" s="934"/>
      <c r="AR2944" s="934"/>
      <c r="AS2944" s="936"/>
      <c r="AT2944" s="936"/>
      <c r="AU2944" s="936"/>
      <c r="AV2944" s="937"/>
      <c r="AW2944" s="938"/>
      <c r="AX2944" s="939"/>
      <c r="AY2944" s="933"/>
      <c r="AZ2944" s="936"/>
      <c r="BA2944" s="936"/>
      <c r="BB2944" s="1112"/>
      <c r="BC2944" s="940"/>
      <c r="BD2944" s="941"/>
      <c r="BE2944" s="942"/>
      <c r="BF2944" s="943"/>
      <c r="BG2944" s="943"/>
      <c r="BH2944" s="943"/>
      <c r="BI2944" s="943"/>
      <c r="BJ2944" s="943"/>
      <c r="BK2944" s="943"/>
      <c r="BL2944" s="943"/>
      <c r="BM2944" s="943"/>
      <c r="BN2944" s="943"/>
      <c r="BO2944" s="1059"/>
      <c r="BP2944" s="1059"/>
      <c r="BQ2944" s="1059"/>
      <c r="BR2944" s="1059"/>
      <c r="BS2944" s="1059"/>
      <c r="BT2944" s="1059"/>
      <c r="BU2944" s="1059"/>
      <c r="BV2944" s="944"/>
      <c r="BW2944" s="944"/>
      <c r="BX2944" s="1147"/>
      <c r="BY2944" s="944"/>
      <c r="BZ2944" s="944"/>
      <c r="CA2944" s="944"/>
      <c r="CB2944" s="944"/>
    </row>
    <row r="2945" spans="2:80">
      <c r="B2945" s="1097"/>
      <c r="C2945" s="1097"/>
      <c r="D2945" s="1097"/>
      <c r="E2945" s="1097"/>
      <c r="F2945" s="934"/>
      <c r="G2945" s="1098"/>
      <c r="H2945" s="1099"/>
      <c r="I2945" s="1099"/>
      <c r="J2945" s="934"/>
      <c r="K2945" s="934"/>
      <c r="L2945" s="933"/>
      <c r="M2945" s="1100"/>
      <c r="N2945" s="934"/>
      <c r="O2945" s="936"/>
      <c r="P2945" s="936"/>
      <c r="Q2945" s="933"/>
      <c r="T2945" s="1101"/>
      <c r="U2945" s="1102"/>
      <c r="V2945" s="936"/>
      <c r="W2945" s="1103"/>
      <c r="X2945" s="1104"/>
      <c r="Y2945" s="1105"/>
      <c r="Z2945" s="1103"/>
      <c r="AC2945" s="1106"/>
      <c r="AD2945" s="1107"/>
      <c r="AE2945" s="1104"/>
      <c r="AG2945" s="1109"/>
      <c r="AI2945" s="1110"/>
      <c r="AL2945" s="933"/>
      <c r="AM2945" s="933"/>
      <c r="AN2945" s="1100"/>
      <c r="AO2945" s="1100"/>
      <c r="AP2945" s="934"/>
      <c r="AQ2945" s="934"/>
      <c r="AR2945" s="934"/>
      <c r="AS2945" s="936"/>
      <c r="AT2945" s="936"/>
      <c r="AU2945" s="936"/>
      <c r="AV2945" s="937"/>
      <c r="AW2945" s="938"/>
      <c r="AX2945" s="939"/>
      <c r="AY2945" s="933"/>
      <c r="AZ2945" s="936"/>
      <c r="BA2945" s="936"/>
      <c r="BB2945" s="1112"/>
      <c r="BC2945" s="940"/>
      <c r="BD2945" s="941"/>
      <c r="BE2945" s="942"/>
      <c r="BF2945" s="943"/>
      <c r="BG2945" s="943"/>
      <c r="BH2945" s="943"/>
      <c r="BI2945" s="943"/>
      <c r="BJ2945" s="943"/>
      <c r="BK2945" s="943"/>
      <c r="BL2945" s="943"/>
      <c r="BM2945" s="943"/>
      <c r="BN2945" s="943"/>
      <c r="BO2945" s="1059"/>
      <c r="BP2945" s="1059"/>
      <c r="BQ2945" s="1059"/>
      <c r="BR2945" s="1059"/>
      <c r="BS2945" s="1059"/>
      <c r="BT2945" s="1059"/>
      <c r="BU2945" s="1059"/>
      <c r="BV2945" s="944"/>
      <c r="BW2945" s="944"/>
      <c r="BX2945" s="1147"/>
      <c r="BY2945" s="944"/>
      <c r="BZ2945" s="944"/>
      <c r="CA2945" s="944"/>
      <c r="CB2945" s="944"/>
    </row>
    <row r="2946" spans="2:80">
      <c r="B2946" s="1097"/>
      <c r="C2946" s="1097"/>
      <c r="D2946" s="1097"/>
      <c r="E2946" s="1097"/>
      <c r="F2946" s="934"/>
      <c r="G2946" s="1098"/>
      <c r="H2946" s="1099"/>
      <c r="I2946" s="1099"/>
      <c r="J2946" s="934"/>
      <c r="K2946" s="934"/>
      <c r="L2946" s="933"/>
      <c r="M2946" s="1100"/>
      <c r="N2946" s="934"/>
      <c r="O2946" s="936"/>
      <c r="P2946" s="936"/>
      <c r="Q2946" s="933"/>
      <c r="T2946" s="1101"/>
      <c r="U2946" s="1102"/>
      <c r="V2946" s="936"/>
      <c r="W2946" s="1103"/>
      <c r="X2946" s="1104"/>
      <c r="Y2946" s="1105"/>
      <c r="Z2946" s="1103"/>
      <c r="AC2946" s="1106"/>
      <c r="AD2946" s="1107"/>
      <c r="AE2946" s="1104"/>
      <c r="AG2946" s="1109"/>
      <c r="AI2946" s="1110"/>
      <c r="AL2946" s="933"/>
      <c r="AM2946" s="933"/>
      <c r="AN2946" s="1100"/>
      <c r="AO2946" s="1100"/>
      <c r="AP2946" s="934"/>
      <c r="AQ2946" s="934"/>
      <c r="AR2946" s="934"/>
      <c r="AS2946" s="936"/>
      <c r="AT2946" s="936"/>
      <c r="AU2946" s="936"/>
      <c r="AV2946" s="937"/>
      <c r="AW2946" s="938"/>
      <c r="AX2946" s="939"/>
      <c r="AY2946" s="933"/>
      <c r="AZ2946" s="936"/>
      <c r="BA2946" s="936"/>
      <c r="BB2946" s="1112"/>
      <c r="BC2946" s="940"/>
      <c r="BD2946" s="941"/>
      <c r="BE2946" s="942"/>
      <c r="BF2946" s="943"/>
      <c r="BG2946" s="943"/>
      <c r="BH2946" s="943"/>
      <c r="BI2946" s="943"/>
      <c r="BJ2946" s="943"/>
      <c r="BK2946" s="943"/>
      <c r="BL2946" s="943"/>
      <c r="BM2946" s="943"/>
      <c r="BN2946" s="943"/>
      <c r="BO2946" s="1059"/>
      <c r="BP2946" s="1059"/>
      <c r="BQ2946" s="1059"/>
      <c r="BR2946" s="1059"/>
      <c r="BS2946" s="1059"/>
      <c r="BT2946" s="1059"/>
      <c r="BU2946" s="1059"/>
      <c r="BV2946" s="944"/>
      <c r="BW2946" s="944"/>
      <c r="BX2946" s="1147"/>
      <c r="BY2946" s="944"/>
      <c r="BZ2946" s="944"/>
      <c r="CA2946" s="944"/>
      <c r="CB2946" s="944"/>
    </row>
    <row r="2947" spans="2:80">
      <c r="B2947" s="1097"/>
      <c r="C2947" s="1097"/>
      <c r="D2947" s="1097"/>
      <c r="E2947" s="1097"/>
      <c r="F2947" s="934"/>
      <c r="G2947" s="1098"/>
      <c r="H2947" s="1099"/>
      <c r="I2947" s="1099"/>
      <c r="J2947" s="934"/>
      <c r="K2947" s="934"/>
      <c r="L2947" s="933"/>
      <c r="M2947" s="1100"/>
      <c r="N2947" s="934"/>
      <c r="O2947" s="936"/>
      <c r="P2947" s="936"/>
      <c r="Q2947" s="933"/>
      <c r="T2947" s="1101"/>
      <c r="U2947" s="1102"/>
      <c r="V2947" s="936"/>
      <c r="W2947" s="1103"/>
      <c r="X2947" s="1104"/>
      <c r="Y2947" s="1105"/>
      <c r="Z2947" s="1103"/>
      <c r="AC2947" s="1106"/>
      <c r="AD2947" s="1107"/>
      <c r="AE2947" s="1104"/>
      <c r="AG2947" s="1109"/>
      <c r="AI2947" s="1110"/>
      <c r="AL2947" s="933"/>
      <c r="AM2947" s="933"/>
      <c r="AN2947" s="1100"/>
      <c r="AO2947" s="1100"/>
      <c r="AP2947" s="934"/>
      <c r="AQ2947" s="934"/>
      <c r="AR2947" s="934"/>
      <c r="AS2947" s="936"/>
      <c r="AT2947" s="936"/>
      <c r="AU2947" s="936"/>
      <c r="AV2947" s="937"/>
      <c r="AW2947" s="938"/>
      <c r="AX2947" s="939"/>
      <c r="AY2947" s="933"/>
      <c r="AZ2947" s="936"/>
      <c r="BA2947" s="936"/>
      <c r="BB2947" s="1112"/>
      <c r="BC2947" s="940"/>
      <c r="BD2947" s="941"/>
      <c r="BE2947" s="942"/>
      <c r="BF2947" s="943"/>
      <c r="BG2947" s="943"/>
      <c r="BH2947" s="943"/>
      <c r="BI2947" s="943"/>
      <c r="BJ2947" s="943"/>
      <c r="BK2947" s="943"/>
      <c r="BL2947" s="943"/>
      <c r="BM2947" s="943"/>
      <c r="BN2947" s="943"/>
      <c r="BO2947" s="1059"/>
      <c r="BP2947" s="1059"/>
      <c r="BQ2947" s="1059"/>
      <c r="BR2947" s="1059"/>
      <c r="BS2947" s="1059"/>
      <c r="BT2947" s="1059"/>
      <c r="BU2947" s="1059"/>
      <c r="BV2947" s="944"/>
      <c r="BW2947" s="944"/>
      <c r="BX2947" s="1147"/>
      <c r="BY2947" s="944"/>
      <c r="BZ2947" s="944"/>
      <c r="CA2947" s="944"/>
      <c r="CB2947" s="944"/>
    </row>
    <row r="2948" spans="2:80">
      <c r="B2948" s="1097"/>
      <c r="C2948" s="1097"/>
      <c r="D2948" s="1097"/>
      <c r="E2948" s="1097"/>
      <c r="F2948" s="934"/>
      <c r="G2948" s="1098"/>
      <c r="H2948" s="1099"/>
      <c r="I2948" s="1099"/>
      <c r="J2948" s="934"/>
      <c r="K2948" s="934"/>
      <c r="L2948" s="933"/>
      <c r="M2948" s="1100"/>
      <c r="N2948" s="934"/>
      <c r="O2948" s="936"/>
      <c r="P2948" s="936"/>
      <c r="Q2948" s="933"/>
      <c r="T2948" s="1101"/>
      <c r="U2948" s="1102"/>
      <c r="V2948" s="936"/>
      <c r="W2948" s="1103"/>
      <c r="X2948" s="1104"/>
      <c r="Y2948" s="1105"/>
      <c r="Z2948" s="1103"/>
      <c r="AC2948" s="1106"/>
      <c r="AD2948" s="1107"/>
      <c r="AE2948" s="1104"/>
      <c r="AG2948" s="1109"/>
      <c r="AI2948" s="1110"/>
      <c r="AL2948" s="933"/>
      <c r="AM2948" s="933"/>
      <c r="AN2948" s="1100"/>
      <c r="AO2948" s="1100"/>
      <c r="AP2948" s="934"/>
      <c r="AQ2948" s="934"/>
      <c r="AR2948" s="934"/>
      <c r="AS2948" s="936"/>
      <c r="AT2948" s="936"/>
      <c r="AU2948" s="936"/>
      <c r="AV2948" s="937"/>
      <c r="AW2948" s="938"/>
      <c r="AX2948" s="939"/>
      <c r="AY2948" s="933"/>
      <c r="AZ2948" s="936"/>
      <c r="BA2948" s="936"/>
      <c r="BB2948" s="1112"/>
      <c r="BC2948" s="940"/>
      <c r="BD2948" s="941"/>
      <c r="BE2948" s="942"/>
      <c r="BF2948" s="943"/>
      <c r="BG2948" s="943"/>
      <c r="BH2948" s="943"/>
      <c r="BI2948" s="943"/>
      <c r="BJ2948" s="943"/>
      <c r="BK2948" s="943"/>
      <c r="BL2948" s="943"/>
      <c r="BM2948" s="943"/>
      <c r="BN2948" s="943"/>
      <c r="BO2948" s="1059"/>
      <c r="BP2948" s="1059"/>
      <c r="BQ2948" s="1059"/>
      <c r="BR2948" s="1059"/>
      <c r="BS2948" s="1059"/>
      <c r="BT2948" s="1059"/>
      <c r="BU2948" s="1059"/>
      <c r="BV2948" s="944"/>
      <c r="BW2948" s="944"/>
      <c r="BX2948" s="1147"/>
      <c r="BY2948" s="944"/>
      <c r="BZ2948" s="944"/>
      <c r="CA2948" s="944"/>
      <c r="CB2948" s="944"/>
    </row>
    <row r="2949" spans="2:80">
      <c r="B2949" s="1097"/>
      <c r="C2949" s="1097"/>
      <c r="D2949" s="1097"/>
      <c r="E2949" s="1097"/>
      <c r="F2949" s="934"/>
      <c r="G2949" s="1098"/>
      <c r="H2949" s="1099"/>
      <c r="I2949" s="1099"/>
      <c r="J2949" s="934"/>
      <c r="K2949" s="934"/>
      <c r="L2949" s="933"/>
      <c r="M2949" s="1100"/>
      <c r="N2949" s="934"/>
      <c r="O2949" s="936"/>
      <c r="P2949" s="936"/>
      <c r="Q2949" s="933"/>
      <c r="T2949" s="1101"/>
      <c r="U2949" s="1102"/>
      <c r="V2949" s="936"/>
      <c r="W2949" s="1103"/>
      <c r="X2949" s="1104"/>
      <c r="Y2949" s="1105"/>
      <c r="Z2949" s="1103"/>
      <c r="AC2949" s="1106"/>
      <c r="AD2949" s="1107"/>
      <c r="AE2949" s="1104"/>
      <c r="AG2949" s="1109"/>
      <c r="AI2949" s="1110"/>
      <c r="AL2949" s="933"/>
      <c r="AM2949" s="933"/>
      <c r="AN2949" s="1100"/>
      <c r="AO2949" s="1100"/>
      <c r="AP2949" s="934"/>
      <c r="AQ2949" s="934"/>
      <c r="AR2949" s="934"/>
      <c r="AS2949" s="936"/>
      <c r="AT2949" s="936"/>
      <c r="AU2949" s="936"/>
      <c r="AV2949" s="937"/>
      <c r="AW2949" s="938"/>
      <c r="AX2949" s="939"/>
      <c r="AY2949" s="933"/>
      <c r="AZ2949" s="936"/>
      <c r="BA2949" s="936"/>
      <c r="BB2949" s="1112"/>
      <c r="BC2949" s="940"/>
      <c r="BD2949" s="941"/>
      <c r="BE2949" s="942"/>
      <c r="BF2949" s="943"/>
      <c r="BG2949" s="943"/>
      <c r="BH2949" s="943"/>
      <c r="BI2949" s="943"/>
      <c r="BJ2949" s="943"/>
      <c r="BK2949" s="943"/>
      <c r="BL2949" s="943"/>
      <c r="BM2949" s="943"/>
      <c r="BN2949" s="943"/>
      <c r="BO2949" s="1059"/>
      <c r="BP2949" s="1059"/>
      <c r="BQ2949" s="1059"/>
      <c r="BR2949" s="1059"/>
      <c r="BS2949" s="1059"/>
      <c r="BT2949" s="1059"/>
      <c r="BU2949" s="1059"/>
      <c r="BV2949" s="944"/>
      <c r="BW2949" s="944"/>
      <c r="BX2949" s="1147"/>
      <c r="BY2949" s="944"/>
      <c r="BZ2949" s="944"/>
      <c r="CA2949" s="944"/>
      <c r="CB2949" s="944"/>
    </row>
    <row r="2950" spans="2:80">
      <c r="B2950" s="1097"/>
      <c r="C2950" s="1097"/>
      <c r="D2950" s="1097"/>
      <c r="E2950" s="1097"/>
      <c r="F2950" s="934"/>
      <c r="G2950" s="1098"/>
      <c r="H2950" s="1099"/>
      <c r="I2950" s="1099"/>
      <c r="J2950" s="934"/>
      <c r="K2950" s="934"/>
      <c r="L2950" s="933"/>
      <c r="M2950" s="1100"/>
      <c r="N2950" s="934"/>
      <c r="O2950" s="936"/>
      <c r="P2950" s="936"/>
      <c r="Q2950" s="933"/>
      <c r="T2950" s="1101"/>
      <c r="U2950" s="1102"/>
      <c r="V2950" s="936"/>
      <c r="W2950" s="1103"/>
      <c r="X2950" s="1104"/>
      <c r="Y2950" s="1105"/>
      <c r="Z2950" s="1103"/>
      <c r="AC2950" s="1106"/>
      <c r="AD2950" s="1107"/>
      <c r="AE2950" s="1104"/>
      <c r="AG2950" s="1109"/>
      <c r="AI2950" s="1110"/>
      <c r="AL2950" s="933"/>
      <c r="AM2950" s="933"/>
      <c r="AN2950" s="1100"/>
      <c r="AO2950" s="1100"/>
      <c r="AP2950" s="934"/>
      <c r="AQ2950" s="934"/>
      <c r="AR2950" s="934"/>
      <c r="AS2950" s="936"/>
      <c r="AT2950" s="936"/>
      <c r="AU2950" s="936"/>
      <c r="AV2950" s="937"/>
      <c r="AW2950" s="938"/>
      <c r="AX2950" s="939"/>
      <c r="AY2950" s="933"/>
      <c r="AZ2950" s="936"/>
      <c r="BA2950" s="936"/>
      <c r="BB2950" s="1112"/>
      <c r="BC2950" s="940"/>
      <c r="BD2950" s="941"/>
      <c r="BE2950" s="942"/>
      <c r="BF2950" s="943"/>
      <c r="BG2950" s="943"/>
      <c r="BH2950" s="943"/>
      <c r="BI2950" s="943"/>
      <c r="BJ2950" s="943"/>
      <c r="BK2950" s="943"/>
      <c r="BL2950" s="943"/>
      <c r="BM2950" s="943"/>
      <c r="BN2950" s="943"/>
      <c r="BO2950" s="1059"/>
      <c r="BP2950" s="1059"/>
      <c r="BQ2950" s="1059"/>
      <c r="BR2950" s="1059"/>
      <c r="BS2950" s="1059"/>
      <c r="BT2950" s="1059"/>
      <c r="BU2950" s="1059"/>
      <c r="BV2950" s="944"/>
      <c r="BW2950" s="944"/>
      <c r="BX2950" s="1147"/>
      <c r="BY2950" s="944"/>
      <c r="BZ2950" s="944"/>
      <c r="CA2950" s="944"/>
      <c r="CB2950" s="944"/>
    </row>
    <row r="2951" spans="2:80">
      <c r="B2951" s="1097"/>
      <c r="C2951" s="1097"/>
      <c r="D2951" s="1097"/>
      <c r="E2951" s="1097"/>
      <c r="F2951" s="934"/>
      <c r="G2951" s="1098"/>
      <c r="H2951" s="1099"/>
      <c r="I2951" s="1099"/>
      <c r="J2951" s="934"/>
      <c r="K2951" s="934"/>
      <c r="L2951" s="933"/>
      <c r="M2951" s="1100"/>
      <c r="N2951" s="934"/>
      <c r="O2951" s="936"/>
      <c r="P2951" s="936"/>
      <c r="Q2951" s="933"/>
      <c r="T2951" s="1101"/>
      <c r="U2951" s="1102"/>
      <c r="V2951" s="936"/>
      <c r="W2951" s="1103"/>
      <c r="X2951" s="1104"/>
      <c r="Y2951" s="1105"/>
      <c r="Z2951" s="1103"/>
      <c r="AC2951" s="1106"/>
      <c r="AD2951" s="1107"/>
      <c r="AE2951" s="1104"/>
      <c r="AG2951" s="1109"/>
      <c r="AI2951" s="1110"/>
      <c r="AL2951" s="933"/>
      <c r="AM2951" s="933"/>
      <c r="AN2951" s="1100"/>
      <c r="AO2951" s="1100"/>
      <c r="AP2951" s="934"/>
      <c r="AQ2951" s="934"/>
      <c r="AR2951" s="934"/>
      <c r="AS2951" s="936"/>
      <c r="AT2951" s="936"/>
      <c r="AU2951" s="936"/>
      <c r="AV2951" s="937"/>
      <c r="AW2951" s="938"/>
      <c r="AX2951" s="939"/>
      <c r="AY2951" s="933"/>
      <c r="AZ2951" s="936"/>
      <c r="BA2951" s="936"/>
      <c r="BB2951" s="1112"/>
      <c r="BC2951" s="940"/>
      <c r="BD2951" s="941"/>
      <c r="BE2951" s="942"/>
      <c r="BF2951" s="943"/>
      <c r="BG2951" s="943"/>
      <c r="BH2951" s="943"/>
      <c r="BI2951" s="943"/>
      <c r="BJ2951" s="943"/>
      <c r="BK2951" s="943"/>
      <c r="BL2951" s="943"/>
      <c r="BM2951" s="943"/>
      <c r="BN2951" s="943"/>
      <c r="BO2951" s="1059"/>
      <c r="BP2951" s="1059"/>
      <c r="BQ2951" s="1059"/>
      <c r="BR2951" s="1059"/>
      <c r="BS2951" s="1059"/>
      <c r="BT2951" s="1059"/>
      <c r="BU2951" s="1059"/>
      <c r="BV2951" s="944"/>
      <c r="BW2951" s="944"/>
      <c r="BX2951" s="1147"/>
      <c r="BY2951" s="944"/>
      <c r="BZ2951" s="944"/>
      <c r="CA2951" s="944"/>
      <c r="CB2951" s="944"/>
    </row>
    <row r="2952" spans="2:80">
      <c r="B2952" s="1097"/>
      <c r="C2952" s="1097"/>
      <c r="D2952" s="1097"/>
      <c r="E2952" s="1097"/>
      <c r="F2952" s="934"/>
      <c r="G2952" s="1098"/>
      <c r="H2952" s="1099"/>
      <c r="I2952" s="1099"/>
      <c r="J2952" s="934"/>
      <c r="K2952" s="934"/>
      <c r="L2952" s="933"/>
      <c r="M2952" s="1100"/>
      <c r="N2952" s="934"/>
      <c r="O2952" s="936"/>
      <c r="P2952" s="936"/>
      <c r="Q2952" s="933"/>
      <c r="T2952" s="1101"/>
      <c r="U2952" s="1102"/>
      <c r="V2952" s="936"/>
      <c r="W2952" s="1103"/>
      <c r="X2952" s="1104"/>
      <c r="Y2952" s="1105"/>
      <c r="Z2952" s="1103"/>
      <c r="AC2952" s="1106"/>
      <c r="AD2952" s="1107"/>
      <c r="AE2952" s="1104"/>
      <c r="AG2952" s="1109"/>
      <c r="AI2952" s="1110"/>
      <c r="AL2952" s="933"/>
      <c r="AM2952" s="933"/>
      <c r="AN2952" s="1100"/>
      <c r="AO2952" s="1100"/>
      <c r="AP2952" s="934"/>
      <c r="AQ2952" s="934"/>
      <c r="AR2952" s="934"/>
      <c r="AS2952" s="936"/>
      <c r="AT2952" s="936"/>
      <c r="AU2952" s="936"/>
      <c r="AV2952" s="937"/>
      <c r="AW2952" s="938"/>
      <c r="AX2952" s="939"/>
      <c r="AY2952" s="933"/>
      <c r="AZ2952" s="936"/>
      <c r="BA2952" s="936"/>
      <c r="BB2952" s="1112"/>
      <c r="BC2952" s="940"/>
      <c r="BD2952" s="941"/>
      <c r="BE2952" s="942"/>
      <c r="BF2952" s="943"/>
      <c r="BG2952" s="943"/>
      <c r="BH2952" s="943"/>
      <c r="BI2952" s="943"/>
      <c r="BJ2952" s="943"/>
      <c r="BK2952" s="943"/>
      <c r="BL2952" s="943"/>
      <c r="BM2952" s="943"/>
      <c r="BN2952" s="943"/>
      <c r="BO2952" s="1059"/>
      <c r="BP2952" s="1059"/>
      <c r="BQ2952" s="1059"/>
      <c r="BR2952" s="1059"/>
      <c r="BS2952" s="1059"/>
      <c r="BT2952" s="1059"/>
      <c r="BU2952" s="1059"/>
      <c r="BV2952" s="944"/>
      <c r="BW2952" s="944"/>
      <c r="BX2952" s="1147"/>
      <c r="BY2952" s="944"/>
      <c r="BZ2952" s="944"/>
      <c r="CA2952" s="944"/>
      <c r="CB2952" s="944"/>
    </row>
    <row r="2953" spans="2:80">
      <c r="B2953" s="1097"/>
      <c r="C2953" s="1097"/>
      <c r="D2953" s="1097"/>
      <c r="E2953" s="1097"/>
      <c r="F2953" s="934"/>
      <c r="G2953" s="1098"/>
      <c r="H2953" s="1099"/>
      <c r="I2953" s="1099"/>
      <c r="J2953" s="934"/>
      <c r="K2953" s="934"/>
      <c r="L2953" s="933"/>
      <c r="M2953" s="1100"/>
      <c r="N2953" s="934"/>
      <c r="O2953" s="936"/>
      <c r="P2953" s="936"/>
      <c r="Q2953" s="933"/>
      <c r="T2953" s="1101"/>
      <c r="U2953" s="1102"/>
      <c r="V2953" s="936"/>
      <c r="W2953" s="1103"/>
      <c r="X2953" s="1104"/>
      <c r="Y2953" s="1105"/>
      <c r="Z2953" s="1103"/>
      <c r="AC2953" s="1106"/>
      <c r="AD2953" s="1107"/>
      <c r="AE2953" s="1104"/>
      <c r="AG2953" s="1109"/>
      <c r="AI2953" s="1110"/>
      <c r="AL2953" s="933"/>
      <c r="AM2953" s="933"/>
      <c r="AN2953" s="1100"/>
      <c r="AO2953" s="1100"/>
      <c r="AP2953" s="934"/>
      <c r="AQ2953" s="934"/>
      <c r="AR2953" s="934"/>
      <c r="AS2953" s="936"/>
      <c r="AT2953" s="936"/>
      <c r="AU2953" s="936"/>
      <c r="AV2953" s="937"/>
      <c r="AW2953" s="938"/>
      <c r="AX2953" s="939"/>
      <c r="AY2953" s="933"/>
      <c r="AZ2953" s="936"/>
      <c r="BA2953" s="936"/>
      <c r="BB2953" s="1112"/>
      <c r="BC2953" s="940"/>
      <c r="BD2953" s="941"/>
      <c r="BE2953" s="942"/>
      <c r="BF2953" s="943"/>
      <c r="BG2953" s="943"/>
      <c r="BH2953" s="943"/>
      <c r="BI2953" s="943"/>
      <c r="BJ2953" s="943"/>
      <c r="BK2953" s="943"/>
      <c r="BL2953" s="943"/>
      <c r="BM2953" s="943"/>
      <c r="BN2953" s="943"/>
      <c r="BO2953" s="1059"/>
      <c r="BP2953" s="1059"/>
      <c r="BQ2953" s="1059"/>
      <c r="BR2953" s="1059"/>
      <c r="BS2953" s="1059"/>
      <c r="BT2953" s="1059"/>
      <c r="BU2953" s="1059"/>
      <c r="BV2953" s="944"/>
      <c r="BW2953" s="944"/>
      <c r="BX2953" s="1147"/>
      <c r="BY2953" s="944"/>
      <c r="BZ2953" s="944"/>
      <c r="CA2953" s="944"/>
      <c r="CB2953" s="944"/>
    </row>
    <row r="2954" spans="2:80">
      <c r="B2954" s="1097"/>
      <c r="C2954" s="1097"/>
      <c r="D2954" s="1097"/>
      <c r="E2954" s="1097"/>
      <c r="F2954" s="934"/>
      <c r="G2954" s="1098"/>
      <c r="H2954" s="1099"/>
      <c r="I2954" s="1099"/>
      <c r="J2954" s="934"/>
      <c r="K2954" s="934"/>
      <c r="L2954" s="933"/>
      <c r="M2954" s="1100"/>
      <c r="N2954" s="934"/>
      <c r="O2954" s="936"/>
      <c r="P2954" s="936"/>
      <c r="Q2954" s="933"/>
      <c r="T2954" s="1101"/>
      <c r="U2954" s="1102"/>
      <c r="V2954" s="936"/>
      <c r="W2954" s="1103"/>
      <c r="X2954" s="1104"/>
      <c r="Y2954" s="1105"/>
      <c r="Z2954" s="1103"/>
      <c r="AC2954" s="1106"/>
      <c r="AD2954" s="1107"/>
      <c r="AE2954" s="1104"/>
      <c r="AG2954" s="1109"/>
      <c r="AI2954" s="1110"/>
      <c r="AL2954" s="933"/>
      <c r="AM2954" s="933"/>
      <c r="AN2954" s="1100"/>
      <c r="AO2954" s="1100"/>
      <c r="AP2954" s="934"/>
      <c r="AQ2954" s="934"/>
      <c r="AR2954" s="934"/>
      <c r="AS2954" s="936"/>
      <c r="AT2954" s="936"/>
      <c r="AU2954" s="936"/>
      <c r="AV2954" s="937"/>
      <c r="AW2954" s="938"/>
      <c r="AX2954" s="939"/>
      <c r="AY2954" s="933"/>
      <c r="AZ2954" s="936"/>
      <c r="BA2954" s="936"/>
      <c r="BB2954" s="1112"/>
      <c r="BC2954" s="940"/>
      <c r="BD2954" s="941"/>
      <c r="BE2954" s="942"/>
      <c r="BF2954" s="943"/>
      <c r="BG2954" s="943"/>
      <c r="BH2954" s="943"/>
      <c r="BI2954" s="943"/>
      <c r="BJ2954" s="943"/>
      <c r="BK2954" s="943"/>
      <c r="BL2954" s="943"/>
      <c r="BM2954" s="943"/>
      <c r="BN2954" s="943"/>
      <c r="BO2954" s="1059"/>
      <c r="BP2954" s="1059"/>
      <c r="BQ2954" s="1059"/>
      <c r="BR2954" s="1059"/>
      <c r="BS2954" s="1059"/>
      <c r="BT2954" s="1059"/>
      <c r="BU2954" s="1059"/>
      <c r="BV2954" s="944"/>
      <c r="BW2954" s="944"/>
      <c r="BX2954" s="1147"/>
      <c r="BY2954" s="944"/>
      <c r="BZ2954" s="944"/>
      <c r="CA2954" s="944"/>
      <c r="CB2954" s="944"/>
    </row>
    <row r="2955" spans="2:80">
      <c r="B2955" s="1097"/>
      <c r="C2955" s="1097"/>
      <c r="D2955" s="1097"/>
      <c r="E2955" s="1097"/>
      <c r="F2955" s="934"/>
      <c r="G2955" s="1098"/>
      <c r="H2955" s="1099"/>
      <c r="I2955" s="1099"/>
      <c r="J2955" s="934"/>
      <c r="K2955" s="934"/>
      <c r="L2955" s="933"/>
      <c r="M2955" s="1100"/>
      <c r="N2955" s="934"/>
      <c r="O2955" s="936"/>
      <c r="P2955" s="936"/>
      <c r="Q2955" s="933"/>
      <c r="T2955" s="1101"/>
      <c r="U2955" s="1102"/>
      <c r="V2955" s="936"/>
      <c r="W2955" s="1103"/>
      <c r="X2955" s="1104"/>
      <c r="Y2955" s="1105"/>
      <c r="Z2955" s="1103"/>
      <c r="AC2955" s="1106"/>
      <c r="AD2955" s="1107"/>
      <c r="AE2955" s="1104"/>
      <c r="AG2955" s="1109"/>
      <c r="AI2955" s="1110"/>
      <c r="AL2955" s="933"/>
      <c r="AM2955" s="933"/>
      <c r="AN2955" s="1100"/>
      <c r="AO2955" s="1100"/>
      <c r="AP2955" s="934"/>
      <c r="AQ2955" s="934"/>
      <c r="AR2955" s="934"/>
      <c r="AS2955" s="936"/>
      <c r="AT2955" s="936"/>
      <c r="AU2955" s="936"/>
      <c r="AV2955" s="937"/>
      <c r="AW2955" s="938"/>
      <c r="AX2955" s="939"/>
      <c r="AY2955" s="933"/>
      <c r="AZ2955" s="936"/>
      <c r="BA2955" s="936"/>
      <c r="BB2955" s="1112"/>
      <c r="BC2955" s="940"/>
      <c r="BD2955" s="941"/>
      <c r="BE2955" s="942"/>
      <c r="BF2955" s="943"/>
      <c r="BG2955" s="943"/>
      <c r="BH2955" s="943"/>
      <c r="BI2955" s="943"/>
      <c r="BJ2955" s="943"/>
      <c r="BK2955" s="943"/>
      <c r="BL2955" s="943"/>
      <c r="BM2955" s="943"/>
      <c r="BN2955" s="943"/>
      <c r="BO2955" s="1059"/>
      <c r="BP2955" s="1059"/>
      <c r="BQ2955" s="1059"/>
      <c r="BR2955" s="1059"/>
      <c r="BS2955" s="1059"/>
      <c r="BT2955" s="1059"/>
      <c r="BU2955" s="1059"/>
      <c r="BV2955" s="944"/>
      <c r="BW2955" s="944"/>
      <c r="BX2955" s="1147"/>
      <c r="BY2955" s="944"/>
      <c r="BZ2955" s="944"/>
      <c r="CA2955" s="944"/>
      <c r="CB2955" s="944"/>
    </row>
    <row r="2956" spans="2:80">
      <c r="B2956" s="1097"/>
      <c r="C2956" s="1097"/>
      <c r="D2956" s="1097"/>
      <c r="E2956" s="1097"/>
      <c r="F2956" s="934"/>
      <c r="G2956" s="1098"/>
      <c r="H2956" s="1099"/>
      <c r="I2956" s="1099"/>
      <c r="J2956" s="934"/>
      <c r="K2956" s="934"/>
      <c r="L2956" s="933"/>
      <c r="M2956" s="1100"/>
      <c r="N2956" s="934"/>
      <c r="O2956" s="936"/>
      <c r="P2956" s="936"/>
      <c r="Q2956" s="933"/>
      <c r="T2956" s="1101"/>
      <c r="U2956" s="1102"/>
      <c r="V2956" s="936"/>
      <c r="W2956" s="1103"/>
      <c r="X2956" s="1104"/>
      <c r="Y2956" s="1105"/>
      <c r="Z2956" s="1103"/>
      <c r="AC2956" s="1106"/>
      <c r="AD2956" s="1107"/>
      <c r="AE2956" s="1104"/>
      <c r="AG2956" s="1109"/>
      <c r="AI2956" s="1110"/>
      <c r="AL2956" s="933"/>
      <c r="AM2956" s="933"/>
      <c r="AN2956" s="1100"/>
      <c r="AO2956" s="1100"/>
      <c r="AP2956" s="934"/>
      <c r="AQ2956" s="934"/>
      <c r="AR2956" s="934"/>
      <c r="AS2956" s="936"/>
      <c r="AT2956" s="936"/>
      <c r="AU2956" s="936"/>
      <c r="AV2956" s="937"/>
      <c r="AW2956" s="938"/>
      <c r="AX2956" s="939"/>
      <c r="AY2956" s="933"/>
      <c r="AZ2956" s="936"/>
      <c r="BA2956" s="936"/>
      <c r="BB2956" s="1112"/>
      <c r="BC2956" s="940"/>
      <c r="BD2956" s="941"/>
      <c r="BE2956" s="942"/>
      <c r="BF2956" s="943"/>
      <c r="BG2956" s="943"/>
      <c r="BH2956" s="943"/>
      <c r="BI2956" s="943"/>
      <c r="BJ2956" s="943"/>
      <c r="BK2956" s="943"/>
      <c r="BL2956" s="943"/>
      <c r="BM2956" s="943"/>
      <c r="BN2956" s="943"/>
      <c r="BO2956" s="1059"/>
      <c r="BP2956" s="1059"/>
      <c r="BQ2956" s="1059"/>
      <c r="BR2956" s="1059"/>
      <c r="BS2956" s="1059"/>
      <c r="BT2956" s="1059"/>
      <c r="BU2956" s="1059"/>
      <c r="BV2956" s="944"/>
      <c r="BW2956" s="944"/>
      <c r="BX2956" s="1147"/>
      <c r="BY2956" s="944"/>
      <c r="BZ2956" s="944"/>
      <c r="CA2956" s="944"/>
      <c r="CB2956" s="944"/>
    </row>
    <row r="2957" spans="2:80">
      <c r="B2957" s="1097"/>
      <c r="C2957" s="1097"/>
      <c r="D2957" s="1097"/>
      <c r="E2957" s="1097"/>
      <c r="F2957" s="934"/>
      <c r="G2957" s="1098"/>
      <c r="H2957" s="1099"/>
      <c r="I2957" s="1099"/>
      <c r="J2957" s="934"/>
      <c r="K2957" s="934"/>
      <c r="L2957" s="933"/>
      <c r="M2957" s="1100"/>
      <c r="N2957" s="934"/>
      <c r="O2957" s="936"/>
      <c r="P2957" s="936"/>
      <c r="Q2957" s="933"/>
      <c r="T2957" s="1101"/>
      <c r="U2957" s="1102"/>
      <c r="V2957" s="936"/>
      <c r="W2957" s="1103"/>
      <c r="X2957" s="1104"/>
      <c r="Y2957" s="1105"/>
      <c r="Z2957" s="1103"/>
      <c r="AC2957" s="1106"/>
      <c r="AD2957" s="1107"/>
      <c r="AE2957" s="1104"/>
      <c r="AG2957" s="1109"/>
      <c r="AI2957" s="1110"/>
      <c r="AL2957" s="933"/>
      <c r="AM2957" s="933"/>
      <c r="AN2957" s="1100"/>
      <c r="AO2957" s="1100"/>
      <c r="AP2957" s="934"/>
      <c r="AQ2957" s="934"/>
      <c r="AR2957" s="934"/>
      <c r="AS2957" s="936"/>
      <c r="AT2957" s="936"/>
      <c r="AU2957" s="936"/>
      <c r="AV2957" s="937"/>
      <c r="AW2957" s="938"/>
      <c r="AX2957" s="939"/>
      <c r="AY2957" s="933"/>
      <c r="AZ2957" s="936"/>
      <c r="BA2957" s="936"/>
      <c r="BB2957" s="1112"/>
      <c r="BC2957" s="940"/>
      <c r="BD2957" s="941"/>
      <c r="BE2957" s="942"/>
      <c r="BF2957" s="943"/>
      <c r="BG2957" s="943"/>
      <c r="BH2957" s="943"/>
      <c r="BI2957" s="943"/>
      <c r="BJ2957" s="943"/>
      <c r="BK2957" s="943"/>
      <c r="BL2957" s="943"/>
      <c r="BM2957" s="943"/>
      <c r="BN2957" s="943"/>
      <c r="BO2957" s="1059"/>
      <c r="BP2957" s="1059"/>
      <c r="BQ2957" s="1059"/>
      <c r="BR2957" s="1059"/>
      <c r="BS2957" s="1059"/>
      <c r="BT2957" s="1059"/>
      <c r="BU2957" s="1059"/>
      <c r="BV2957" s="944"/>
      <c r="BW2957" s="944"/>
      <c r="BX2957" s="1147"/>
      <c r="BY2957" s="944"/>
      <c r="BZ2957" s="944"/>
      <c r="CA2957" s="944"/>
      <c r="CB2957" s="944"/>
    </row>
    <row r="2958" spans="2:80">
      <c r="B2958" s="1097"/>
      <c r="C2958" s="1097"/>
      <c r="D2958" s="1097"/>
      <c r="E2958" s="1097"/>
      <c r="F2958" s="934"/>
      <c r="G2958" s="1098"/>
      <c r="H2958" s="1099"/>
      <c r="I2958" s="1099"/>
      <c r="J2958" s="934"/>
      <c r="K2958" s="934"/>
      <c r="L2958" s="933"/>
      <c r="M2958" s="1100"/>
      <c r="N2958" s="934"/>
      <c r="O2958" s="936"/>
      <c r="P2958" s="936"/>
      <c r="Q2958" s="933"/>
      <c r="T2958" s="1101"/>
      <c r="U2958" s="1102"/>
      <c r="V2958" s="936"/>
      <c r="W2958" s="1103"/>
      <c r="X2958" s="1104"/>
      <c r="Y2958" s="1105"/>
      <c r="Z2958" s="1103"/>
      <c r="AC2958" s="1106"/>
      <c r="AD2958" s="1107"/>
      <c r="AE2958" s="1104"/>
      <c r="AG2958" s="1109"/>
      <c r="AI2958" s="1110"/>
      <c r="AL2958" s="933"/>
      <c r="AM2958" s="933"/>
      <c r="AN2958" s="1100"/>
      <c r="AO2958" s="1100"/>
      <c r="AP2958" s="934"/>
      <c r="AQ2958" s="934"/>
      <c r="AR2958" s="934"/>
      <c r="AS2958" s="936"/>
      <c r="AT2958" s="936"/>
      <c r="AU2958" s="936"/>
      <c r="AV2958" s="937"/>
      <c r="AW2958" s="938"/>
      <c r="AX2958" s="939"/>
      <c r="AY2958" s="933"/>
      <c r="AZ2958" s="936"/>
      <c r="BA2958" s="936"/>
      <c r="BB2958" s="1112"/>
      <c r="BC2958" s="940"/>
      <c r="BD2958" s="941"/>
      <c r="BE2958" s="942"/>
      <c r="BF2958" s="943"/>
      <c r="BG2958" s="943"/>
      <c r="BH2958" s="943"/>
      <c r="BI2958" s="943"/>
      <c r="BJ2958" s="943"/>
      <c r="BK2958" s="943"/>
      <c r="BL2958" s="943"/>
      <c r="BM2958" s="943"/>
      <c r="BN2958" s="943"/>
      <c r="BO2958" s="1059"/>
      <c r="BP2958" s="1059"/>
      <c r="BQ2958" s="1059"/>
      <c r="BR2958" s="1059"/>
      <c r="BS2958" s="1059"/>
      <c r="BT2958" s="1059"/>
      <c r="BU2958" s="1059"/>
      <c r="BV2958" s="944"/>
      <c r="BW2958" s="944"/>
      <c r="BX2958" s="1147"/>
      <c r="BY2958" s="944"/>
      <c r="BZ2958" s="944"/>
      <c r="CA2958" s="944"/>
      <c r="CB2958" s="944"/>
    </row>
    <row r="2959" spans="2:80">
      <c r="B2959" s="1097"/>
      <c r="C2959" s="1097"/>
      <c r="D2959" s="1097"/>
      <c r="E2959" s="1097"/>
      <c r="F2959" s="934"/>
      <c r="G2959" s="1098"/>
      <c r="H2959" s="1099"/>
      <c r="I2959" s="1099"/>
      <c r="J2959" s="934"/>
      <c r="K2959" s="934"/>
      <c r="L2959" s="933"/>
      <c r="M2959" s="1100"/>
      <c r="N2959" s="934"/>
      <c r="O2959" s="936"/>
      <c r="P2959" s="936"/>
      <c r="Q2959" s="933"/>
      <c r="T2959" s="1101"/>
      <c r="U2959" s="1102"/>
      <c r="V2959" s="936"/>
      <c r="W2959" s="1103"/>
      <c r="X2959" s="1104"/>
      <c r="Y2959" s="1105"/>
      <c r="Z2959" s="1103"/>
      <c r="AC2959" s="1106"/>
      <c r="AD2959" s="1107"/>
      <c r="AE2959" s="1104"/>
      <c r="AG2959" s="1109"/>
      <c r="AI2959" s="1110"/>
      <c r="AL2959" s="933"/>
      <c r="AM2959" s="933"/>
      <c r="AN2959" s="1100"/>
      <c r="AO2959" s="1100"/>
      <c r="AP2959" s="934"/>
      <c r="AQ2959" s="934"/>
      <c r="AR2959" s="934"/>
      <c r="AS2959" s="936"/>
      <c r="AT2959" s="936"/>
      <c r="AU2959" s="936"/>
      <c r="AV2959" s="937"/>
      <c r="AW2959" s="938"/>
      <c r="AX2959" s="939"/>
      <c r="AY2959" s="933"/>
      <c r="AZ2959" s="936"/>
      <c r="BA2959" s="936"/>
      <c r="BB2959" s="1112"/>
      <c r="BC2959" s="940"/>
      <c r="BD2959" s="941"/>
      <c r="BE2959" s="942"/>
      <c r="BF2959" s="943"/>
      <c r="BG2959" s="943"/>
      <c r="BH2959" s="943"/>
      <c r="BI2959" s="943"/>
      <c r="BJ2959" s="943"/>
      <c r="BK2959" s="943"/>
      <c r="BL2959" s="943"/>
      <c r="BM2959" s="943"/>
      <c r="BN2959" s="943"/>
      <c r="BO2959" s="1059"/>
      <c r="BP2959" s="1059"/>
      <c r="BQ2959" s="1059"/>
      <c r="BR2959" s="1059"/>
      <c r="BS2959" s="1059"/>
      <c r="BT2959" s="1059"/>
      <c r="BU2959" s="1059"/>
      <c r="BV2959" s="944"/>
      <c r="BW2959" s="944"/>
      <c r="BX2959" s="1147"/>
      <c r="BY2959" s="944"/>
      <c r="BZ2959" s="944"/>
      <c r="CA2959" s="944"/>
      <c r="CB2959" s="944"/>
    </row>
    <row r="2960" spans="2:80">
      <c r="B2960" s="1097"/>
      <c r="C2960" s="1097"/>
      <c r="D2960" s="1097"/>
      <c r="E2960" s="1097"/>
      <c r="F2960" s="934"/>
      <c r="G2960" s="1098"/>
      <c r="H2960" s="1099"/>
      <c r="I2960" s="1099"/>
      <c r="J2960" s="934"/>
      <c r="K2960" s="934"/>
      <c r="L2960" s="933"/>
      <c r="M2960" s="1100"/>
      <c r="N2960" s="934"/>
      <c r="O2960" s="936"/>
      <c r="P2960" s="936"/>
      <c r="Q2960" s="933"/>
      <c r="T2960" s="1101"/>
      <c r="U2960" s="1102"/>
      <c r="V2960" s="936"/>
      <c r="W2960" s="1103"/>
      <c r="X2960" s="1104"/>
      <c r="Y2960" s="1105"/>
      <c r="Z2960" s="1103"/>
      <c r="AC2960" s="1106"/>
      <c r="AD2960" s="1107"/>
      <c r="AE2960" s="1104"/>
      <c r="AG2960" s="1109"/>
      <c r="AI2960" s="1110"/>
      <c r="AL2960" s="933"/>
      <c r="AM2960" s="933"/>
      <c r="AN2960" s="1100"/>
      <c r="AO2960" s="1100"/>
      <c r="AP2960" s="934"/>
      <c r="AQ2960" s="934"/>
      <c r="AR2960" s="934"/>
      <c r="AS2960" s="936"/>
      <c r="AT2960" s="936"/>
      <c r="AU2960" s="936"/>
      <c r="AV2960" s="937"/>
      <c r="AW2960" s="938"/>
      <c r="AX2960" s="939"/>
      <c r="AY2960" s="933"/>
      <c r="AZ2960" s="936"/>
      <c r="BA2960" s="936"/>
      <c r="BB2960" s="1112"/>
      <c r="BC2960" s="940"/>
      <c r="BD2960" s="941"/>
      <c r="BE2960" s="942"/>
      <c r="BF2960" s="943"/>
      <c r="BG2960" s="943"/>
      <c r="BH2960" s="943"/>
      <c r="BI2960" s="943"/>
      <c r="BJ2960" s="943"/>
      <c r="BK2960" s="943"/>
      <c r="BL2960" s="943"/>
      <c r="BM2960" s="943"/>
      <c r="BN2960" s="943"/>
      <c r="BO2960" s="1059"/>
      <c r="BP2960" s="1059"/>
      <c r="BQ2960" s="1059"/>
      <c r="BR2960" s="1059"/>
      <c r="BS2960" s="1059"/>
      <c r="BT2960" s="1059"/>
      <c r="BU2960" s="1059"/>
      <c r="BV2960" s="944"/>
      <c r="BW2960" s="944"/>
      <c r="BX2960" s="1147"/>
      <c r="BY2960" s="944"/>
      <c r="BZ2960" s="944"/>
      <c r="CA2960" s="944"/>
      <c r="CB2960" s="944"/>
    </row>
    <row r="2961" spans="2:80">
      <c r="B2961" s="1097"/>
      <c r="C2961" s="1097"/>
      <c r="D2961" s="1097"/>
      <c r="E2961" s="1097"/>
      <c r="F2961" s="934"/>
      <c r="G2961" s="1098"/>
      <c r="H2961" s="1099"/>
      <c r="I2961" s="1099"/>
      <c r="J2961" s="934"/>
      <c r="K2961" s="934"/>
      <c r="L2961" s="933"/>
      <c r="M2961" s="1100"/>
      <c r="N2961" s="934"/>
      <c r="O2961" s="936"/>
      <c r="P2961" s="936"/>
      <c r="Q2961" s="933"/>
      <c r="T2961" s="1101"/>
      <c r="U2961" s="1102"/>
      <c r="V2961" s="936"/>
      <c r="W2961" s="1103"/>
      <c r="X2961" s="1104"/>
      <c r="Y2961" s="1105"/>
      <c r="Z2961" s="1103"/>
      <c r="AC2961" s="1106"/>
      <c r="AD2961" s="1107"/>
      <c r="AE2961" s="1104"/>
      <c r="AG2961" s="1109"/>
      <c r="AI2961" s="1110"/>
      <c r="AL2961" s="933"/>
      <c r="AM2961" s="933"/>
      <c r="AN2961" s="1100"/>
      <c r="AO2961" s="1100"/>
      <c r="AP2961" s="934"/>
      <c r="AQ2961" s="934"/>
      <c r="AR2961" s="934"/>
      <c r="AS2961" s="936"/>
      <c r="AT2961" s="936"/>
      <c r="AU2961" s="936"/>
      <c r="AV2961" s="937"/>
      <c r="AW2961" s="938"/>
      <c r="AX2961" s="939"/>
      <c r="AY2961" s="933"/>
      <c r="AZ2961" s="936"/>
      <c r="BA2961" s="936"/>
      <c r="BB2961" s="1112"/>
      <c r="BC2961" s="940"/>
      <c r="BD2961" s="941"/>
      <c r="BE2961" s="942"/>
      <c r="BF2961" s="943"/>
      <c r="BG2961" s="943"/>
      <c r="BH2961" s="943"/>
      <c r="BI2961" s="943"/>
      <c r="BJ2961" s="943"/>
      <c r="BK2961" s="943"/>
      <c r="BL2961" s="943"/>
      <c r="BM2961" s="943"/>
      <c r="BN2961" s="943"/>
      <c r="BO2961" s="1059"/>
      <c r="BP2961" s="1059"/>
      <c r="BQ2961" s="1059"/>
      <c r="BR2961" s="1059"/>
      <c r="BS2961" s="1059"/>
      <c r="BT2961" s="1059"/>
      <c r="BU2961" s="1059"/>
      <c r="BV2961" s="944"/>
      <c r="BW2961" s="944"/>
      <c r="BX2961" s="1147"/>
      <c r="BY2961" s="944"/>
      <c r="BZ2961" s="944"/>
      <c r="CA2961" s="944"/>
      <c r="CB2961" s="944"/>
    </row>
    <row r="2962" spans="2:80">
      <c r="B2962" s="1097"/>
      <c r="C2962" s="1097"/>
      <c r="D2962" s="1097"/>
      <c r="E2962" s="1097"/>
      <c r="F2962" s="934"/>
      <c r="G2962" s="1098"/>
      <c r="H2962" s="1099"/>
      <c r="I2962" s="1099"/>
      <c r="J2962" s="934"/>
      <c r="K2962" s="934"/>
      <c r="L2962" s="933"/>
      <c r="M2962" s="1100"/>
      <c r="N2962" s="934"/>
      <c r="O2962" s="936"/>
      <c r="P2962" s="936"/>
      <c r="Q2962" s="933"/>
      <c r="T2962" s="1101"/>
      <c r="U2962" s="1102"/>
      <c r="V2962" s="936"/>
      <c r="W2962" s="1103"/>
      <c r="X2962" s="1104"/>
      <c r="Y2962" s="1105"/>
      <c r="Z2962" s="1103"/>
      <c r="AC2962" s="1106"/>
      <c r="AD2962" s="1107"/>
      <c r="AE2962" s="1104"/>
      <c r="AG2962" s="1109"/>
      <c r="AI2962" s="1110"/>
      <c r="AL2962" s="933"/>
      <c r="AM2962" s="933"/>
      <c r="AN2962" s="1100"/>
      <c r="AO2962" s="1100"/>
      <c r="AP2962" s="934"/>
      <c r="AQ2962" s="934"/>
      <c r="AR2962" s="934"/>
      <c r="AS2962" s="936"/>
      <c r="AT2962" s="936"/>
      <c r="AU2962" s="936"/>
      <c r="AV2962" s="937"/>
      <c r="AW2962" s="938"/>
      <c r="AX2962" s="939"/>
      <c r="AY2962" s="933"/>
      <c r="AZ2962" s="936"/>
      <c r="BA2962" s="936"/>
      <c r="BB2962" s="1112"/>
      <c r="BC2962" s="940"/>
      <c r="BD2962" s="941"/>
      <c r="BE2962" s="942"/>
      <c r="BF2962" s="943"/>
      <c r="BG2962" s="943"/>
      <c r="BH2962" s="943"/>
      <c r="BI2962" s="943"/>
      <c r="BJ2962" s="943"/>
      <c r="BK2962" s="943"/>
      <c r="BL2962" s="943"/>
      <c r="BM2962" s="943"/>
      <c r="BN2962" s="943"/>
      <c r="BO2962" s="1059"/>
      <c r="BP2962" s="1059"/>
      <c r="BQ2962" s="1059"/>
      <c r="BR2962" s="1059"/>
      <c r="BS2962" s="1059"/>
      <c r="BT2962" s="1059"/>
      <c r="BU2962" s="1059"/>
      <c r="BV2962" s="944"/>
      <c r="BW2962" s="944"/>
      <c r="BX2962" s="1147"/>
      <c r="BY2962" s="944"/>
      <c r="BZ2962" s="944"/>
      <c r="CA2962" s="944"/>
      <c r="CB2962" s="944"/>
    </row>
    <row r="2963" spans="2:80">
      <c r="B2963" s="1097"/>
      <c r="C2963" s="1097"/>
      <c r="D2963" s="1097"/>
      <c r="E2963" s="1097"/>
      <c r="F2963" s="934"/>
      <c r="G2963" s="1098"/>
      <c r="H2963" s="1099"/>
      <c r="I2963" s="1099"/>
      <c r="J2963" s="934"/>
      <c r="K2963" s="934"/>
      <c r="L2963" s="933"/>
      <c r="M2963" s="1100"/>
      <c r="N2963" s="934"/>
      <c r="O2963" s="936"/>
      <c r="P2963" s="936"/>
      <c r="Q2963" s="933"/>
      <c r="T2963" s="1101"/>
      <c r="U2963" s="1102"/>
      <c r="V2963" s="936"/>
      <c r="W2963" s="1103"/>
      <c r="X2963" s="1104"/>
      <c r="Y2963" s="1105"/>
      <c r="Z2963" s="1103"/>
      <c r="AC2963" s="1106"/>
      <c r="AD2963" s="1107"/>
      <c r="AE2963" s="1104"/>
      <c r="AG2963" s="1109"/>
      <c r="AI2963" s="1110"/>
      <c r="AL2963" s="933"/>
      <c r="AM2963" s="933"/>
      <c r="AN2963" s="1100"/>
      <c r="AO2963" s="1100"/>
      <c r="AP2963" s="934"/>
      <c r="AQ2963" s="934"/>
      <c r="AR2963" s="934"/>
      <c r="AS2963" s="936"/>
      <c r="AT2963" s="936"/>
      <c r="AU2963" s="936"/>
      <c r="AV2963" s="937"/>
      <c r="AW2963" s="938"/>
      <c r="AX2963" s="939"/>
      <c r="AY2963" s="933"/>
      <c r="AZ2963" s="936"/>
      <c r="BA2963" s="936"/>
      <c r="BB2963" s="1112"/>
      <c r="BC2963" s="940"/>
      <c r="BD2963" s="941"/>
      <c r="BE2963" s="942"/>
      <c r="BF2963" s="943"/>
      <c r="BG2963" s="943"/>
      <c r="BH2963" s="943"/>
      <c r="BI2963" s="943"/>
      <c r="BJ2963" s="943"/>
      <c r="BK2963" s="943"/>
      <c r="BL2963" s="943"/>
      <c r="BM2963" s="943"/>
      <c r="BN2963" s="943"/>
      <c r="BO2963" s="1059"/>
      <c r="BP2963" s="1059"/>
      <c r="BQ2963" s="1059"/>
      <c r="BR2963" s="1059"/>
      <c r="BS2963" s="1059"/>
      <c r="BT2963" s="1059"/>
      <c r="BU2963" s="1059"/>
      <c r="BV2963" s="944"/>
      <c r="BW2963" s="944"/>
      <c r="BX2963" s="1147"/>
      <c r="BY2963" s="944"/>
      <c r="BZ2963" s="944"/>
      <c r="CA2963" s="944"/>
      <c r="CB2963" s="944"/>
    </row>
    <row r="2964" spans="2:80">
      <c r="B2964" s="1097"/>
      <c r="C2964" s="1097"/>
      <c r="D2964" s="1097"/>
      <c r="E2964" s="1097"/>
      <c r="F2964" s="934"/>
      <c r="G2964" s="1098"/>
      <c r="H2964" s="1099"/>
      <c r="I2964" s="1099"/>
      <c r="J2964" s="934"/>
      <c r="K2964" s="934"/>
      <c r="L2964" s="933"/>
      <c r="M2964" s="1100"/>
      <c r="N2964" s="934"/>
      <c r="O2964" s="936"/>
      <c r="P2964" s="936"/>
      <c r="Q2964" s="933"/>
      <c r="T2964" s="1101"/>
      <c r="U2964" s="1102"/>
      <c r="V2964" s="936"/>
      <c r="W2964" s="1103"/>
      <c r="X2964" s="1104"/>
      <c r="Y2964" s="1105"/>
      <c r="Z2964" s="1103"/>
      <c r="AC2964" s="1106"/>
      <c r="AD2964" s="1107"/>
      <c r="AE2964" s="1104"/>
      <c r="AG2964" s="1109"/>
      <c r="AI2964" s="1110"/>
      <c r="AL2964" s="933"/>
      <c r="AM2964" s="933"/>
      <c r="AN2964" s="1100"/>
      <c r="AO2964" s="1100"/>
      <c r="AP2964" s="934"/>
      <c r="AQ2964" s="934"/>
      <c r="AR2964" s="934"/>
      <c r="AS2964" s="936"/>
      <c r="AT2964" s="936"/>
      <c r="AU2964" s="936"/>
      <c r="AV2964" s="937"/>
      <c r="AW2964" s="938"/>
      <c r="AX2964" s="939"/>
      <c r="AY2964" s="933"/>
      <c r="AZ2964" s="936"/>
      <c r="BA2964" s="936"/>
      <c r="BB2964" s="1112"/>
      <c r="BC2964" s="940"/>
      <c r="BD2964" s="941"/>
      <c r="BE2964" s="942"/>
      <c r="BF2964" s="943"/>
      <c r="BG2964" s="943"/>
      <c r="BH2964" s="943"/>
      <c r="BI2964" s="943"/>
      <c r="BJ2964" s="943"/>
      <c r="BK2964" s="943"/>
      <c r="BL2964" s="943"/>
      <c r="BM2964" s="943"/>
      <c r="BN2964" s="943"/>
      <c r="BO2964" s="1059"/>
      <c r="BP2964" s="1059"/>
      <c r="BQ2964" s="1059"/>
      <c r="BR2964" s="1059"/>
      <c r="BS2964" s="1059"/>
      <c r="BT2964" s="1059"/>
      <c r="BU2964" s="1059"/>
      <c r="BV2964" s="944"/>
      <c r="BW2964" s="944"/>
      <c r="BX2964" s="1147"/>
      <c r="BY2964" s="944"/>
      <c r="BZ2964" s="944"/>
      <c r="CA2964" s="944"/>
      <c r="CB2964" s="944"/>
    </row>
    <row r="2965" spans="2:80">
      <c r="B2965" s="1097"/>
      <c r="C2965" s="1097"/>
      <c r="D2965" s="1097"/>
      <c r="E2965" s="1097"/>
      <c r="F2965" s="934"/>
      <c r="G2965" s="1098"/>
      <c r="H2965" s="1099"/>
      <c r="I2965" s="1099"/>
      <c r="J2965" s="934"/>
      <c r="K2965" s="934"/>
      <c r="L2965" s="933"/>
      <c r="M2965" s="1100"/>
      <c r="N2965" s="934"/>
      <c r="O2965" s="936"/>
      <c r="P2965" s="936"/>
      <c r="Q2965" s="933"/>
      <c r="T2965" s="1101"/>
      <c r="U2965" s="1102"/>
      <c r="V2965" s="936"/>
      <c r="W2965" s="1103"/>
      <c r="X2965" s="1104"/>
      <c r="Y2965" s="1105"/>
      <c r="Z2965" s="1103"/>
      <c r="AC2965" s="1106"/>
      <c r="AD2965" s="1107"/>
      <c r="AE2965" s="1104"/>
      <c r="AG2965" s="1109"/>
      <c r="AI2965" s="1110"/>
      <c r="AL2965" s="933"/>
      <c r="AM2965" s="933"/>
      <c r="AN2965" s="1100"/>
      <c r="AO2965" s="1100"/>
      <c r="AP2965" s="934"/>
      <c r="AQ2965" s="934"/>
      <c r="AR2965" s="934"/>
      <c r="AS2965" s="936"/>
      <c r="AT2965" s="936"/>
      <c r="AU2965" s="936"/>
      <c r="AV2965" s="937"/>
      <c r="AW2965" s="938"/>
      <c r="AX2965" s="939"/>
      <c r="AY2965" s="933"/>
      <c r="AZ2965" s="936"/>
      <c r="BA2965" s="936"/>
      <c r="BB2965" s="1112"/>
      <c r="BC2965" s="940"/>
      <c r="BD2965" s="941"/>
      <c r="BE2965" s="942"/>
      <c r="BF2965" s="943"/>
      <c r="BG2965" s="943"/>
      <c r="BH2965" s="943"/>
      <c r="BI2965" s="943"/>
      <c r="BJ2965" s="943"/>
      <c r="BK2965" s="943"/>
      <c r="BL2965" s="943"/>
      <c r="BM2965" s="943"/>
      <c r="BN2965" s="943"/>
      <c r="BO2965" s="1059"/>
      <c r="BP2965" s="1059"/>
      <c r="BQ2965" s="1059"/>
      <c r="BR2965" s="1059"/>
      <c r="BS2965" s="1059"/>
      <c r="BT2965" s="1059"/>
      <c r="BU2965" s="1059"/>
      <c r="BV2965" s="944"/>
      <c r="BW2965" s="944"/>
      <c r="BX2965" s="1147"/>
      <c r="BY2965" s="944"/>
      <c r="BZ2965" s="944"/>
      <c r="CA2965" s="944"/>
      <c r="CB2965" s="944"/>
    </row>
    <row r="2966" spans="2:80">
      <c r="B2966" s="1097"/>
      <c r="C2966" s="1097"/>
      <c r="D2966" s="1097"/>
      <c r="E2966" s="1097"/>
      <c r="F2966" s="934"/>
      <c r="G2966" s="1098"/>
      <c r="H2966" s="1099"/>
      <c r="I2966" s="1099"/>
      <c r="J2966" s="934"/>
      <c r="K2966" s="934"/>
      <c r="L2966" s="933"/>
      <c r="M2966" s="1100"/>
      <c r="N2966" s="934"/>
      <c r="O2966" s="936"/>
      <c r="P2966" s="936"/>
      <c r="Q2966" s="933"/>
      <c r="T2966" s="1101"/>
      <c r="U2966" s="1102"/>
      <c r="V2966" s="936"/>
      <c r="W2966" s="1103"/>
      <c r="X2966" s="1104"/>
      <c r="Y2966" s="1105"/>
      <c r="Z2966" s="1103"/>
      <c r="AC2966" s="1106"/>
      <c r="AD2966" s="1107"/>
      <c r="AE2966" s="1104"/>
      <c r="AG2966" s="1109"/>
      <c r="AI2966" s="1110"/>
      <c r="AL2966" s="933"/>
      <c r="AM2966" s="933"/>
      <c r="AN2966" s="1100"/>
      <c r="AO2966" s="1100"/>
      <c r="AP2966" s="934"/>
      <c r="AQ2966" s="934"/>
      <c r="AR2966" s="934"/>
      <c r="AS2966" s="936"/>
      <c r="AT2966" s="936"/>
      <c r="AU2966" s="936"/>
      <c r="AV2966" s="937"/>
      <c r="AW2966" s="938"/>
      <c r="AX2966" s="939"/>
      <c r="AY2966" s="933"/>
      <c r="AZ2966" s="936"/>
      <c r="BA2966" s="936"/>
      <c r="BB2966" s="1112"/>
      <c r="BC2966" s="940"/>
      <c r="BD2966" s="941"/>
      <c r="BE2966" s="942"/>
      <c r="BF2966" s="943"/>
      <c r="BG2966" s="943"/>
      <c r="BH2966" s="943"/>
      <c r="BI2966" s="943"/>
      <c r="BJ2966" s="943"/>
      <c r="BK2966" s="943"/>
      <c r="BL2966" s="943"/>
      <c r="BM2966" s="943"/>
      <c r="BN2966" s="943"/>
      <c r="BO2966" s="1059"/>
      <c r="BP2966" s="1059"/>
      <c r="BQ2966" s="1059"/>
      <c r="BR2966" s="1059"/>
      <c r="BS2966" s="1059"/>
      <c r="BT2966" s="1059"/>
      <c r="BU2966" s="1059"/>
      <c r="BV2966" s="944"/>
      <c r="BW2966" s="944"/>
      <c r="BX2966" s="1147"/>
      <c r="BY2966" s="944"/>
      <c r="BZ2966" s="944"/>
      <c r="CA2966" s="944"/>
      <c r="CB2966" s="944"/>
    </row>
    <row r="2967" spans="2:80">
      <c r="B2967" s="1097"/>
      <c r="C2967" s="1097"/>
      <c r="D2967" s="1097"/>
      <c r="E2967" s="1097"/>
      <c r="F2967" s="934"/>
      <c r="G2967" s="1098"/>
      <c r="H2967" s="1099"/>
      <c r="I2967" s="1099"/>
      <c r="J2967" s="934"/>
      <c r="K2967" s="934"/>
      <c r="L2967" s="933"/>
      <c r="M2967" s="1100"/>
      <c r="N2967" s="934"/>
      <c r="O2967" s="936"/>
      <c r="P2967" s="936"/>
      <c r="Q2967" s="933"/>
      <c r="T2967" s="1101"/>
      <c r="U2967" s="1102"/>
      <c r="V2967" s="936"/>
      <c r="W2967" s="1103"/>
      <c r="X2967" s="1104"/>
      <c r="Y2967" s="1105"/>
      <c r="Z2967" s="1103"/>
      <c r="AC2967" s="1106"/>
      <c r="AD2967" s="1107"/>
      <c r="AE2967" s="1104"/>
      <c r="AG2967" s="1109"/>
      <c r="AI2967" s="1110"/>
      <c r="AL2967" s="933"/>
      <c r="AM2967" s="933"/>
      <c r="AN2967" s="1100"/>
      <c r="AO2967" s="1100"/>
      <c r="AP2967" s="934"/>
      <c r="AQ2967" s="934"/>
      <c r="AR2967" s="934"/>
      <c r="AS2967" s="936"/>
      <c r="AT2967" s="936"/>
      <c r="AU2967" s="936"/>
      <c r="AV2967" s="937"/>
      <c r="AW2967" s="938"/>
      <c r="AX2967" s="939"/>
      <c r="AY2967" s="933"/>
      <c r="AZ2967" s="936"/>
      <c r="BA2967" s="936"/>
      <c r="BB2967" s="1112"/>
      <c r="BC2967" s="940"/>
      <c r="BD2967" s="941"/>
      <c r="BE2967" s="942"/>
      <c r="BF2967" s="943"/>
      <c r="BG2967" s="943"/>
      <c r="BH2967" s="943"/>
      <c r="BI2967" s="943"/>
      <c r="BJ2967" s="943"/>
      <c r="BK2967" s="943"/>
      <c r="BL2967" s="943"/>
      <c r="BM2967" s="943"/>
      <c r="BN2967" s="943"/>
      <c r="BO2967" s="1059"/>
      <c r="BP2967" s="1059"/>
      <c r="BQ2967" s="1059"/>
      <c r="BR2967" s="1059"/>
      <c r="BS2967" s="1059"/>
      <c r="BT2967" s="1059"/>
      <c r="BU2967" s="1059"/>
      <c r="BV2967" s="944"/>
      <c r="BW2967" s="944"/>
      <c r="BX2967" s="1147"/>
      <c r="BY2967" s="944"/>
      <c r="BZ2967" s="944"/>
      <c r="CA2967" s="944"/>
      <c r="CB2967" s="944"/>
    </row>
    <row r="2968" spans="2:80">
      <c r="B2968" s="1097"/>
      <c r="C2968" s="1097"/>
      <c r="D2968" s="1097"/>
      <c r="E2968" s="1097"/>
      <c r="F2968" s="934"/>
      <c r="G2968" s="1098"/>
      <c r="H2968" s="1099"/>
      <c r="I2968" s="1099"/>
      <c r="J2968" s="934"/>
      <c r="K2968" s="934"/>
      <c r="L2968" s="933"/>
      <c r="M2968" s="1100"/>
      <c r="N2968" s="934"/>
      <c r="O2968" s="936"/>
      <c r="P2968" s="936"/>
      <c r="Q2968" s="933"/>
      <c r="T2968" s="1101"/>
      <c r="U2968" s="1102"/>
      <c r="V2968" s="936"/>
      <c r="W2968" s="1103"/>
      <c r="X2968" s="1104"/>
      <c r="Y2968" s="1105"/>
      <c r="Z2968" s="1103"/>
      <c r="AC2968" s="1106"/>
      <c r="AD2968" s="1107"/>
      <c r="AE2968" s="1104"/>
      <c r="AG2968" s="1109"/>
      <c r="AI2968" s="1110"/>
      <c r="AL2968" s="933"/>
      <c r="AM2968" s="933"/>
      <c r="AN2968" s="1100"/>
      <c r="AO2968" s="1100"/>
      <c r="AP2968" s="934"/>
      <c r="AQ2968" s="934"/>
      <c r="AR2968" s="934"/>
      <c r="AS2968" s="936"/>
      <c r="AT2968" s="936"/>
      <c r="AU2968" s="936"/>
      <c r="AV2968" s="937"/>
      <c r="AW2968" s="938"/>
      <c r="AX2968" s="939"/>
      <c r="AY2968" s="933"/>
      <c r="AZ2968" s="936"/>
      <c r="BA2968" s="936"/>
      <c r="BB2968" s="1112"/>
      <c r="BC2968" s="940"/>
      <c r="BD2968" s="941"/>
      <c r="BE2968" s="942"/>
      <c r="BF2968" s="943"/>
      <c r="BG2968" s="943"/>
      <c r="BH2968" s="943"/>
      <c r="BI2968" s="943"/>
      <c r="BJ2968" s="943"/>
      <c r="BK2968" s="943"/>
      <c r="BL2968" s="943"/>
      <c r="BM2968" s="943"/>
      <c r="BN2968" s="943"/>
      <c r="BO2968" s="1059"/>
      <c r="BP2968" s="1059"/>
      <c r="BQ2968" s="1059"/>
      <c r="BR2968" s="1059"/>
      <c r="BS2968" s="1059"/>
      <c r="BT2968" s="1059"/>
      <c r="BU2968" s="1059"/>
      <c r="BV2968" s="944"/>
      <c r="BW2968" s="944"/>
      <c r="BX2968" s="1147"/>
      <c r="BY2968" s="944"/>
      <c r="BZ2968" s="944"/>
      <c r="CA2968" s="944"/>
      <c r="CB2968" s="944"/>
    </row>
    <row r="2969" spans="2:80">
      <c r="B2969" s="1097"/>
      <c r="C2969" s="1097"/>
      <c r="D2969" s="1097"/>
      <c r="E2969" s="1097"/>
      <c r="F2969" s="934"/>
      <c r="G2969" s="1098"/>
      <c r="H2969" s="1099"/>
      <c r="I2969" s="1099"/>
      <c r="J2969" s="934"/>
      <c r="K2969" s="934"/>
      <c r="L2969" s="933"/>
      <c r="M2969" s="1100"/>
      <c r="N2969" s="934"/>
      <c r="O2969" s="936"/>
      <c r="P2969" s="936"/>
      <c r="Q2969" s="933"/>
      <c r="T2969" s="1101"/>
      <c r="U2969" s="1102"/>
      <c r="V2969" s="936"/>
      <c r="W2969" s="1103"/>
      <c r="X2969" s="1104"/>
      <c r="Y2969" s="1105"/>
      <c r="Z2969" s="1103"/>
      <c r="AC2969" s="1106"/>
      <c r="AD2969" s="1107"/>
      <c r="AE2969" s="1104"/>
      <c r="AG2969" s="1109"/>
      <c r="AI2969" s="1110"/>
      <c r="AL2969" s="933"/>
      <c r="AM2969" s="933"/>
      <c r="AN2969" s="1100"/>
      <c r="AO2969" s="1100"/>
      <c r="AP2969" s="934"/>
      <c r="AQ2969" s="934"/>
      <c r="AR2969" s="934"/>
      <c r="AS2969" s="936"/>
      <c r="AT2969" s="936"/>
      <c r="AU2969" s="936"/>
      <c r="AV2969" s="937"/>
      <c r="AW2969" s="938"/>
      <c r="AX2969" s="939"/>
      <c r="AY2969" s="933"/>
      <c r="AZ2969" s="936"/>
      <c r="BA2969" s="936"/>
      <c r="BB2969" s="1112"/>
      <c r="BC2969" s="940"/>
      <c r="BD2969" s="941"/>
      <c r="BE2969" s="942"/>
      <c r="BF2969" s="943"/>
      <c r="BG2969" s="943"/>
      <c r="BH2969" s="943"/>
      <c r="BI2969" s="943"/>
      <c r="BJ2969" s="943"/>
      <c r="BK2969" s="943"/>
      <c r="BL2969" s="943"/>
      <c r="BM2969" s="943"/>
      <c r="BN2969" s="943"/>
      <c r="BO2969" s="1059"/>
      <c r="BP2969" s="1059"/>
      <c r="BQ2969" s="1059"/>
      <c r="BR2969" s="1059"/>
      <c r="BS2969" s="1059"/>
      <c r="BT2969" s="1059"/>
      <c r="BU2969" s="1059"/>
      <c r="BV2969" s="944"/>
      <c r="BW2969" s="944"/>
      <c r="BX2969" s="1147"/>
      <c r="BY2969" s="944"/>
      <c r="BZ2969" s="944"/>
      <c r="CA2969" s="944"/>
      <c r="CB2969" s="944"/>
    </row>
    <row r="2970" spans="2:80">
      <c r="B2970" s="1097"/>
      <c r="C2970" s="1097"/>
      <c r="D2970" s="1097"/>
      <c r="E2970" s="1097"/>
      <c r="F2970" s="934"/>
      <c r="G2970" s="1098"/>
      <c r="H2970" s="1099"/>
      <c r="I2970" s="1099"/>
      <c r="J2970" s="934"/>
      <c r="K2970" s="934"/>
      <c r="L2970" s="933"/>
      <c r="M2970" s="1100"/>
      <c r="N2970" s="934"/>
      <c r="O2970" s="936"/>
      <c r="P2970" s="936"/>
      <c r="Q2970" s="933"/>
      <c r="T2970" s="1101"/>
      <c r="U2970" s="1102"/>
      <c r="V2970" s="936"/>
      <c r="W2970" s="1103"/>
      <c r="X2970" s="1104"/>
      <c r="Y2970" s="1105"/>
      <c r="Z2970" s="1103"/>
      <c r="AC2970" s="1106"/>
      <c r="AD2970" s="1107"/>
      <c r="AE2970" s="1104"/>
      <c r="AG2970" s="1109"/>
      <c r="AI2970" s="1110"/>
      <c r="AL2970" s="933"/>
      <c r="AM2970" s="933"/>
      <c r="AN2970" s="1100"/>
      <c r="AO2970" s="1100"/>
      <c r="AP2970" s="934"/>
      <c r="AQ2970" s="934"/>
      <c r="AR2970" s="934"/>
      <c r="AS2970" s="936"/>
      <c r="AT2970" s="936"/>
      <c r="AU2970" s="936"/>
      <c r="AV2970" s="937"/>
      <c r="AW2970" s="938"/>
      <c r="AX2970" s="939"/>
      <c r="AY2970" s="933"/>
      <c r="AZ2970" s="936"/>
      <c r="BA2970" s="936"/>
      <c r="BB2970" s="1112"/>
      <c r="BC2970" s="940"/>
      <c r="BD2970" s="941"/>
      <c r="BE2970" s="942"/>
      <c r="BF2970" s="943"/>
      <c r="BG2970" s="943"/>
      <c r="BH2970" s="943"/>
      <c r="BI2970" s="943"/>
      <c r="BJ2970" s="943"/>
      <c r="BK2970" s="943"/>
      <c r="BL2970" s="943"/>
      <c r="BM2970" s="943"/>
      <c r="BN2970" s="943"/>
      <c r="BO2970" s="1059"/>
      <c r="BP2970" s="1059"/>
      <c r="BQ2970" s="1059"/>
      <c r="BR2970" s="1059"/>
      <c r="BS2970" s="1059"/>
      <c r="BT2970" s="1059"/>
      <c r="BU2970" s="1059"/>
      <c r="BV2970" s="944"/>
      <c r="BW2970" s="944"/>
      <c r="BX2970" s="1147"/>
      <c r="BY2970" s="944"/>
      <c r="BZ2970" s="944"/>
      <c r="CA2970" s="944"/>
      <c r="CB2970" s="944"/>
    </row>
    <row r="2971" spans="2:80">
      <c r="B2971" s="1097"/>
      <c r="C2971" s="1097"/>
      <c r="D2971" s="1097"/>
      <c r="E2971" s="1097"/>
      <c r="F2971" s="934"/>
      <c r="G2971" s="1098"/>
      <c r="H2971" s="1099"/>
      <c r="I2971" s="1099"/>
      <c r="J2971" s="934"/>
      <c r="K2971" s="934"/>
      <c r="L2971" s="933"/>
      <c r="M2971" s="1100"/>
      <c r="N2971" s="934"/>
      <c r="O2971" s="936"/>
      <c r="P2971" s="936"/>
      <c r="Q2971" s="933"/>
      <c r="T2971" s="1101"/>
      <c r="U2971" s="1102"/>
      <c r="V2971" s="936"/>
      <c r="W2971" s="1103"/>
      <c r="X2971" s="1104"/>
      <c r="Y2971" s="1105"/>
      <c r="Z2971" s="1103"/>
      <c r="AC2971" s="1106"/>
      <c r="AD2971" s="1107"/>
      <c r="AE2971" s="1104"/>
      <c r="AG2971" s="1109"/>
      <c r="AI2971" s="1110"/>
      <c r="AL2971" s="933"/>
      <c r="AM2971" s="933"/>
      <c r="AN2971" s="1100"/>
      <c r="AO2971" s="1100"/>
      <c r="AP2971" s="934"/>
      <c r="AQ2971" s="934"/>
      <c r="AR2971" s="934"/>
      <c r="AS2971" s="936"/>
      <c r="AT2971" s="936"/>
      <c r="AU2971" s="936"/>
      <c r="AV2971" s="937"/>
      <c r="AW2971" s="938"/>
      <c r="AX2971" s="939"/>
      <c r="AY2971" s="933"/>
      <c r="AZ2971" s="936"/>
      <c r="BA2971" s="936"/>
      <c r="BB2971" s="1112"/>
      <c r="BC2971" s="940"/>
      <c r="BD2971" s="941"/>
      <c r="BE2971" s="942"/>
      <c r="BF2971" s="943"/>
      <c r="BG2971" s="943"/>
      <c r="BH2971" s="943"/>
      <c r="BI2971" s="943"/>
      <c r="BJ2971" s="943"/>
      <c r="BK2971" s="943"/>
      <c r="BL2971" s="943"/>
      <c r="BM2971" s="943"/>
      <c r="BN2971" s="943"/>
      <c r="BO2971" s="1059"/>
      <c r="BP2971" s="1059"/>
      <c r="BQ2971" s="1059"/>
      <c r="BR2971" s="1059"/>
      <c r="BS2971" s="1059"/>
      <c r="BT2971" s="1059"/>
      <c r="BU2971" s="1059"/>
      <c r="BV2971" s="944"/>
      <c r="BW2971" s="944"/>
      <c r="BX2971" s="1147"/>
      <c r="BY2971" s="944"/>
      <c r="BZ2971" s="944"/>
      <c r="CA2971" s="944"/>
      <c r="CB2971" s="944"/>
    </row>
    <row r="2972" spans="2:80">
      <c r="B2972" s="1097"/>
      <c r="C2972" s="1097"/>
      <c r="D2972" s="1097"/>
      <c r="E2972" s="1097"/>
      <c r="F2972" s="934"/>
      <c r="G2972" s="1098"/>
      <c r="H2972" s="1099"/>
      <c r="I2972" s="1099"/>
      <c r="J2972" s="934"/>
      <c r="K2972" s="934"/>
      <c r="L2972" s="933"/>
      <c r="M2972" s="1100"/>
      <c r="N2972" s="934"/>
      <c r="O2972" s="936"/>
      <c r="P2972" s="936"/>
      <c r="Q2972" s="933"/>
      <c r="T2972" s="1101"/>
      <c r="U2972" s="1102"/>
      <c r="V2972" s="936"/>
      <c r="W2972" s="1103"/>
      <c r="X2972" s="1104"/>
      <c r="Y2972" s="1105"/>
      <c r="Z2972" s="1103"/>
      <c r="AC2972" s="1106"/>
      <c r="AD2972" s="1107"/>
      <c r="AE2972" s="1104"/>
      <c r="AG2972" s="1109"/>
      <c r="AI2972" s="1110"/>
      <c r="AL2972" s="933"/>
      <c r="AM2972" s="933"/>
      <c r="AN2972" s="1100"/>
      <c r="AO2972" s="1100"/>
      <c r="AP2972" s="934"/>
      <c r="AQ2972" s="934"/>
      <c r="AR2972" s="934"/>
      <c r="AS2972" s="936"/>
      <c r="AT2972" s="936"/>
      <c r="AU2972" s="936"/>
      <c r="AV2972" s="937"/>
      <c r="AW2972" s="938"/>
      <c r="AX2972" s="939"/>
      <c r="AY2972" s="933"/>
      <c r="AZ2972" s="936"/>
      <c r="BA2972" s="936"/>
      <c r="BB2972" s="1112"/>
      <c r="BC2972" s="940"/>
      <c r="BD2972" s="941"/>
      <c r="BE2972" s="942"/>
      <c r="BF2972" s="943"/>
      <c r="BG2972" s="943"/>
      <c r="BH2972" s="943"/>
      <c r="BI2972" s="943"/>
      <c r="BJ2972" s="943"/>
      <c r="BK2972" s="943"/>
      <c r="BL2972" s="943"/>
      <c r="BM2972" s="943"/>
      <c r="BN2972" s="943"/>
      <c r="BO2972" s="1059"/>
      <c r="BP2972" s="1059"/>
      <c r="BQ2972" s="1059"/>
      <c r="BR2972" s="1059"/>
      <c r="BS2972" s="1059"/>
      <c r="BT2972" s="1059"/>
      <c r="BU2972" s="1059"/>
      <c r="BV2972" s="944"/>
      <c r="BW2972" s="944"/>
      <c r="BX2972" s="1147"/>
      <c r="BY2972" s="944"/>
      <c r="BZ2972" s="944"/>
      <c r="CA2972" s="944"/>
      <c r="CB2972" s="944"/>
    </row>
    <row r="2973" spans="2:80">
      <c r="B2973" s="1097"/>
      <c r="C2973" s="1097"/>
      <c r="D2973" s="1097"/>
      <c r="E2973" s="1097"/>
      <c r="F2973" s="934"/>
      <c r="G2973" s="1098"/>
      <c r="H2973" s="1099"/>
      <c r="I2973" s="1099"/>
      <c r="J2973" s="934"/>
      <c r="K2973" s="934"/>
      <c r="L2973" s="933"/>
      <c r="M2973" s="1100"/>
      <c r="N2973" s="934"/>
      <c r="O2973" s="936"/>
      <c r="P2973" s="936"/>
      <c r="Q2973" s="933"/>
      <c r="T2973" s="1101"/>
      <c r="U2973" s="1102"/>
      <c r="V2973" s="936"/>
      <c r="W2973" s="1103"/>
      <c r="X2973" s="1104"/>
      <c r="Y2973" s="1105"/>
      <c r="Z2973" s="1103"/>
      <c r="AC2973" s="1106"/>
      <c r="AD2973" s="1107"/>
      <c r="AE2973" s="1104"/>
      <c r="AG2973" s="1109"/>
      <c r="AI2973" s="1110"/>
      <c r="AL2973" s="933"/>
      <c r="AM2973" s="933"/>
      <c r="AN2973" s="1100"/>
      <c r="AO2973" s="1100"/>
      <c r="AP2973" s="934"/>
      <c r="AQ2973" s="934"/>
      <c r="AR2973" s="934"/>
      <c r="AS2973" s="936"/>
      <c r="AT2973" s="936"/>
      <c r="AU2973" s="936"/>
      <c r="AV2973" s="937"/>
      <c r="AW2973" s="938"/>
      <c r="AX2973" s="939"/>
      <c r="AY2973" s="933"/>
      <c r="AZ2973" s="936"/>
      <c r="BA2973" s="936"/>
      <c r="BB2973" s="1112"/>
      <c r="BC2973" s="940"/>
      <c r="BD2973" s="941"/>
      <c r="BE2973" s="942"/>
      <c r="BF2973" s="943"/>
      <c r="BG2973" s="943"/>
      <c r="BH2973" s="943"/>
      <c r="BI2973" s="943"/>
      <c r="BJ2973" s="943"/>
      <c r="BK2973" s="943"/>
      <c r="BL2973" s="943"/>
      <c r="BM2973" s="943"/>
      <c r="BN2973" s="943"/>
      <c r="BO2973" s="1059"/>
      <c r="BP2973" s="1059"/>
      <c r="BQ2973" s="1059"/>
      <c r="BR2973" s="1059"/>
      <c r="BS2973" s="1059"/>
      <c r="BT2973" s="1059"/>
      <c r="BU2973" s="1059"/>
      <c r="BV2973" s="944"/>
      <c r="BW2973" s="944"/>
      <c r="BX2973" s="1147"/>
      <c r="BY2973" s="944"/>
      <c r="BZ2973" s="944"/>
      <c r="CA2973" s="944"/>
      <c r="CB2973" s="944"/>
    </row>
    <row r="2974" spans="2:80">
      <c r="B2974" s="1097"/>
      <c r="C2974" s="1097"/>
      <c r="D2974" s="1097"/>
      <c r="E2974" s="1097"/>
      <c r="F2974" s="934"/>
      <c r="G2974" s="1098"/>
      <c r="H2974" s="1099"/>
      <c r="I2974" s="1099"/>
      <c r="J2974" s="934"/>
      <c r="K2974" s="934"/>
      <c r="L2974" s="933"/>
      <c r="M2974" s="1100"/>
      <c r="N2974" s="934"/>
      <c r="O2974" s="936"/>
      <c r="P2974" s="936"/>
      <c r="Q2974" s="933"/>
      <c r="T2974" s="1101"/>
      <c r="U2974" s="1102"/>
      <c r="V2974" s="936"/>
      <c r="W2974" s="1103"/>
      <c r="X2974" s="1104"/>
      <c r="Y2974" s="1105"/>
      <c r="Z2974" s="1103"/>
      <c r="AC2974" s="1106"/>
      <c r="AD2974" s="1107"/>
      <c r="AE2974" s="1104"/>
      <c r="AG2974" s="1109"/>
      <c r="AI2974" s="1110"/>
      <c r="AL2974" s="933"/>
      <c r="AM2974" s="933"/>
      <c r="AN2974" s="1100"/>
      <c r="AO2974" s="1100"/>
      <c r="AP2974" s="934"/>
      <c r="AQ2974" s="934"/>
      <c r="AR2974" s="934"/>
      <c r="AS2974" s="936"/>
      <c r="AT2974" s="936"/>
      <c r="AU2974" s="936"/>
      <c r="AV2974" s="937"/>
      <c r="AW2974" s="938"/>
      <c r="AX2974" s="939"/>
      <c r="AY2974" s="933"/>
      <c r="AZ2974" s="936"/>
      <c r="BA2974" s="936"/>
      <c r="BB2974" s="1112"/>
      <c r="BC2974" s="940"/>
      <c r="BD2974" s="941"/>
      <c r="BE2974" s="942"/>
      <c r="BF2974" s="943"/>
      <c r="BG2974" s="943"/>
      <c r="BH2974" s="943"/>
      <c r="BI2974" s="943"/>
      <c r="BJ2974" s="943"/>
      <c r="BK2974" s="943"/>
      <c r="BL2974" s="943"/>
      <c r="BM2974" s="943"/>
      <c r="BN2974" s="943"/>
      <c r="BO2974" s="1059"/>
      <c r="BP2974" s="1059"/>
      <c r="BQ2974" s="1059"/>
      <c r="BR2974" s="1059"/>
      <c r="BS2974" s="1059"/>
      <c r="BT2974" s="1059"/>
      <c r="BU2974" s="1059"/>
      <c r="BV2974" s="944"/>
      <c r="BW2974" s="944"/>
      <c r="BX2974" s="1147"/>
      <c r="BY2974" s="944"/>
      <c r="BZ2974" s="944"/>
      <c r="CA2974" s="944"/>
      <c r="CB2974" s="944"/>
    </row>
    <row r="2975" spans="2:80">
      <c r="B2975" s="1097"/>
      <c r="C2975" s="1097"/>
      <c r="D2975" s="1097"/>
      <c r="E2975" s="1097"/>
      <c r="F2975" s="934"/>
      <c r="G2975" s="1098"/>
      <c r="H2975" s="1099"/>
      <c r="I2975" s="1099"/>
      <c r="J2975" s="934"/>
      <c r="K2975" s="934"/>
      <c r="L2975" s="933"/>
      <c r="M2975" s="1100"/>
      <c r="N2975" s="934"/>
      <c r="O2975" s="936"/>
      <c r="P2975" s="936"/>
      <c r="Q2975" s="933"/>
      <c r="T2975" s="1101"/>
      <c r="U2975" s="1102"/>
      <c r="V2975" s="936"/>
      <c r="W2975" s="1103"/>
      <c r="X2975" s="1104"/>
      <c r="Y2975" s="1105"/>
      <c r="Z2975" s="1103"/>
      <c r="AC2975" s="1106"/>
      <c r="AD2975" s="1107"/>
      <c r="AE2975" s="1104"/>
      <c r="AG2975" s="1109"/>
      <c r="AI2975" s="1110"/>
      <c r="AL2975" s="933"/>
      <c r="AM2975" s="933"/>
      <c r="AN2975" s="1100"/>
      <c r="AO2975" s="1100"/>
      <c r="AP2975" s="934"/>
      <c r="AQ2975" s="934"/>
      <c r="AR2975" s="934"/>
      <c r="AS2975" s="936"/>
      <c r="AT2975" s="936"/>
      <c r="AU2975" s="936"/>
      <c r="AV2975" s="937"/>
      <c r="AW2975" s="938"/>
      <c r="AX2975" s="939"/>
      <c r="AY2975" s="933"/>
      <c r="AZ2975" s="936"/>
      <c r="BA2975" s="936"/>
      <c r="BB2975" s="1112"/>
      <c r="BC2975" s="940"/>
      <c r="BD2975" s="941"/>
      <c r="BE2975" s="942"/>
      <c r="BF2975" s="943"/>
      <c r="BG2975" s="943"/>
      <c r="BH2975" s="943"/>
      <c r="BI2975" s="943"/>
      <c r="BJ2975" s="943"/>
      <c r="BK2975" s="943"/>
      <c r="BL2975" s="943"/>
      <c r="BM2975" s="943"/>
      <c r="BN2975" s="943"/>
      <c r="BO2975" s="1059"/>
      <c r="BP2975" s="1059"/>
      <c r="BQ2975" s="1059"/>
      <c r="BR2975" s="1059"/>
      <c r="BS2975" s="1059"/>
      <c r="BT2975" s="1059"/>
      <c r="BU2975" s="1059"/>
      <c r="BV2975" s="944"/>
      <c r="BW2975" s="944"/>
      <c r="BX2975" s="1147"/>
      <c r="BY2975" s="944"/>
      <c r="BZ2975" s="944"/>
      <c r="CA2975" s="944"/>
      <c r="CB2975" s="944"/>
    </row>
    <row r="2976" spans="2:80">
      <c r="B2976" s="1097"/>
      <c r="C2976" s="1097"/>
      <c r="D2976" s="1097"/>
      <c r="E2976" s="1097"/>
      <c r="F2976" s="934"/>
      <c r="G2976" s="1098"/>
      <c r="H2976" s="1099"/>
      <c r="I2976" s="1099"/>
      <c r="J2976" s="934"/>
      <c r="K2976" s="934"/>
      <c r="L2976" s="933"/>
      <c r="M2976" s="1100"/>
      <c r="N2976" s="934"/>
      <c r="O2976" s="936"/>
      <c r="P2976" s="936"/>
      <c r="Q2976" s="933"/>
      <c r="T2976" s="1101"/>
      <c r="U2976" s="1102"/>
      <c r="V2976" s="936"/>
      <c r="W2976" s="1103"/>
      <c r="X2976" s="1104"/>
      <c r="Y2976" s="1105"/>
      <c r="Z2976" s="1103"/>
      <c r="AC2976" s="1106"/>
      <c r="AD2976" s="1107"/>
      <c r="AE2976" s="1104"/>
      <c r="AG2976" s="1109"/>
      <c r="AI2976" s="1110"/>
      <c r="AL2976" s="933"/>
      <c r="AM2976" s="933"/>
      <c r="AN2976" s="1100"/>
      <c r="AO2976" s="1100"/>
      <c r="AP2976" s="934"/>
      <c r="AQ2976" s="934"/>
      <c r="AR2976" s="934"/>
      <c r="AS2976" s="936"/>
      <c r="AT2976" s="936"/>
      <c r="AU2976" s="936"/>
      <c r="AV2976" s="937"/>
      <c r="AW2976" s="938"/>
      <c r="AX2976" s="939"/>
      <c r="AY2976" s="933"/>
      <c r="AZ2976" s="936"/>
      <c r="BA2976" s="936"/>
      <c r="BB2976" s="1112"/>
      <c r="BC2976" s="940"/>
      <c r="BD2976" s="941"/>
      <c r="BE2976" s="942"/>
      <c r="BF2976" s="943"/>
      <c r="BG2976" s="943"/>
      <c r="BH2976" s="943"/>
      <c r="BI2976" s="943"/>
      <c r="BJ2976" s="943"/>
      <c r="BK2976" s="943"/>
      <c r="BL2976" s="943"/>
      <c r="BM2976" s="943"/>
      <c r="BN2976" s="943"/>
      <c r="BO2976" s="1059"/>
      <c r="BP2976" s="1059"/>
      <c r="BQ2976" s="1059"/>
      <c r="BR2976" s="1059"/>
      <c r="BS2976" s="1059"/>
      <c r="BT2976" s="1059"/>
      <c r="BU2976" s="1059"/>
      <c r="BV2976" s="944"/>
      <c r="BW2976" s="944"/>
      <c r="BX2976" s="1147"/>
      <c r="BY2976" s="944"/>
      <c r="BZ2976" s="944"/>
      <c r="CA2976" s="944"/>
      <c r="CB2976" s="944"/>
    </row>
    <row r="2977" spans="2:80">
      <c r="B2977" s="1097"/>
      <c r="C2977" s="1097"/>
      <c r="D2977" s="1097"/>
      <c r="E2977" s="1097"/>
      <c r="F2977" s="934"/>
      <c r="G2977" s="1098"/>
      <c r="H2977" s="1099"/>
      <c r="I2977" s="1099"/>
      <c r="J2977" s="934"/>
      <c r="K2977" s="934"/>
      <c r="L2977" s="933"/>
      <c r="M2977" s="1100"/>
      <c r="N2977" s="934"/>
      <c r="O2977" s="936"/>
      <c r="P2977" s="936"/>
      <c r="Q2977" s="933"/>
      <c r="T2977" s="1101"/>
      <c r="U2977" s="1102"/>
      <c r="V2977" s="936"/>
      <c r="W2977" s="1103"/>
      <c r="X2977" s="1104"/>
      <c r="Y2977" s="1105"/>
      <c r="Z2977" s="1103"/>
      <c r="AC2977" s="1106"/>
      <c r="AD2977" s="1107"/>
      <c r="AE2977" s="1104"/>
      <c r="AG2977" s="1109"/>
      <c r="AI2977" s="1110"/>
      <c r="AL2977" s="933"/>
      <c r="AM2977" s="933"/>
      <c r="AN2977" s="1100"/>
      <c r="AO2977" s="1100"/>
      <c r="AP2977" s="934"/>
      <c r="AQ2977" s="934"/>
      <c r="AR2977" s="934"/>
      <c r="AS2977" s="936"/>
      <c r="AT2977" s="936"/>
      <c r="AU2977" s="936"/>
      <c r="AV2977" s="937"/>
      <c r="AW2977" s="938"/>
      <c r="AX2977" s="939"/>
      <c r="AY2977" s="933"/>
      <c r="AZ2977" s="936"/>
      <c r="BA2977" s="936"/>
      <c r="BB2977" s="1112"/>
      <c r="BC2977" s="940"/>
      <c r="BD2977" s="941"/>
      <c r="BE2977" s="942"/>
      <c r="BF2977" s="943"/>
      <c r="BG2977" s="943"/>
      <c r="BH2977" s="943"/>
      <c r="BI2977" s="943"/>
      <c r="BJ2977" s="943"/>
      <c r="BK2977" s="943"/>
      <c r="BL2977" s="943"/>
      <c r="BM2977" s="943"/>
      <c r="BN2977" s="943"/>
      <c r="BO2977" s="1059"/>
      <c r="BP2977" s="1059"/>
      <c r="BQ2977" s="1059"/>
      <c r="BR2977" s="1059"/>
      <c r="BS2977" s="1059"/>
      <c r="BT2977" s="1059"/>
      <c r="BU2977" s="1059"/>
      <c r="BV2977" s="944"/>
      <c r="BW2977" s="944"/>
      <c r="BX2977" s="1147"/>
      <c r="BY2977" s="944"/>
      <c r="BZ2977" s="944"/>
      <c r="CA2977" s="944"/>
      <c r="CB2977" s="944"/>
    </row>
    <row r="2978" spans="2:80">
      <c r="B2978" s="1097"/>
      <c r="C2978" s="1097"/>
      <c r="D2978" s="1097"/>
      <c r="E2978" s="1097"/>
      <c r="F2978" s="934"/>
      <c r="G2978" s="1098"/>
      <c r="H2978" s="1099"/>
      <c r="I2978" s="1099"/>
      <c r="J2978" s="934"/>
      <c r="K2978" s="934"/>
      <c r="L2978" s="933"/>
      <c r="M2978" s="1100"/>
      <c r="N2978" s="934"/>
      <c r="O2978" s="936"/>
      <c r="P2978" s="936"/>
      <c r="Q2978" s="933"/>
      <c r="T2978" s="1101"/>
      <c r="U2978" s="1102"/>
      <c r="V2978" s="936"/>
      <c r="W2978" s="1103"/>
      <c r="X2978" s="1104"/>
      <c r="Y2978" s="1105"/>
      <c r="Z2978" s="1103"/>
      <c r="AC2978" s="1106"/>
      <c r="AD2978" s="1107"/>
      <c r="AE2978" s="1104"/>
      <c r="AG2978" s="1109"/>
      <c r="AI2978" s="1110"/>
      <c r="AL2978" s="933"/>
      <c r="AM2978" s="933"/>
      <c r="AN2978" s="1100"/>
      <c r="AO2978" s="1100"/>
      <c r="AP2978" s="934"/>
      <c r="AQ2978" s="934"/>
      <c r="AR2978" s="934"/>
      <c r="AS2978" s="936"/>
      <c r="AT2978" s="936"/>
      <c r="AU2978" s="936"/>
      <c r="AV2978" s="937"/>
      <c r="AW2978" s="938"/>
      <c r="AX2978" s="939"/>
      <c r="AY2978" s="933"/>
      <c r="AZ2978" s="936"/>
      <c r="BA2978" s="936"/>
      <c r="BB2978" s="1112"/>
      <c r="BC2978" s="940"/>
      <c r="BD2978" s="941"/>
      <c r="BE2978" s="942"/>
      <c r="BF2978" s="943"/>
      <c r="BG2978" s="943"/>
      <c r="BH2978" s="943"/>
      <c r="BI2978" s="943"/>
      <c r="BJ2978" s="943"/>
      <c r="BK2978" s="943"/>
      <c r="BL2978" s="943"/>
      <c r="BM2978" s="943"/>
      <c r="BN2978" s="943"/>
      <c r="BO2978" s="1059"/>
      <c r="BP2978" s="1059"/>
      <c r="BQ2978" s="1059"/>
      <c r="BR2978" s="1059"/>
      <c r="BS2978" s="1059"/>
      <c r="BT2978" s="1059"/>
      <c r="BU2978" s="1059"/>
      <c r="BV2978" s="944"/>
      <c r="BW2978" s="944"/>
      <c r="BX2978" s="1147"/>
      <c r="BY2978" s="944"/>
      <c r="BZ2978" s="944"/>
      <c r="CA2978" s="944"/>
      <c r="CB2978" s="944"/>
    </row>
    <row r="2979" spans="2:80">
      <c r="B2979" s="1097"/>
      <c r="C2979" s="1097"/>
      <c r="D2979" s="1097"/>
      <c r="E2979" s="1097"/>
      <c r="F2979" s="934"/>
      <c r="G2979" s="1098"/>
      <c r="H2979" s="1099"/>
      <c r="I2979" s="1099"/>
      <c r="J2979" s="934"/>
      <c r="K2979" s="934"/>
      <c r="L2979" s="933"/>
      <c r="M2979" s="1100"/>
      <c r="N2979" s="934"/>
      <c r="O2979" s="936"/>
      <c r="P2979" s="936"/>
      <c r="Q2979" s="933"/>
      <c r="T2979" s="1101"/>
      <c r="U2979" s="1102"/>
      <c r="V2979" s="936"/>
      <c r="W2979" s="1103"/>
      <c r="X2979" s="1104"/>
      <c r="Y2979" s="1105"/>
      <c r="Z2979" s="1103"/>
      <c r="AC2979" s="1106"/>
      <c r="AD2979" s="1107"/>
      <c r="AE2979" s="1104"/>
      <c r="AG2979" s="1109"/>
      <c r="AI2979" s="1110"/>
      <c r="AL2979" s="933"/>
      <c r="AM2979" s="933"/>
      <c r="AN2979" s="1100"/>
      <c r="AO2979" s="1100"/>
      <c r="AP2979" s="934"/>
      <c r="AQ2979" s="934"/>
      <c r="AR2979" s="934"/>
      <c r="AS2979" s="936"/>
      <c r="AT2979" s="936"/>
      <c r="AU2979" s="936"/>
      <c r="AV2979" s="937"/>
      <c r="AW2979" s="938"/>
      <c r="AX2979" s="939"/>
      <c r="AY2979" s="933"/>
      <c r="AZ2979" s="936"/>
      <c r="BA2979" s="936"/>
      <c r="BB2979" s="1112"/>
      <c r="BC2979" s="940"/>
      <c r="BD2979" s="941"/>
      <c r="BE2979" s="942"/>
      <c r="BF2979" s="943"/>
      <c r="BG2979" s="943"/>
      <c r="BH2979" s="943"/>
      <c r="BI2979" s="943"/>
      <c r="BJ2979" s="943"/>
      <c r="BK2979" s="943"/>
      <c r="BL2979" s="943"/>
      <c r="BM2979" s="943"/>
      <c r="BN2979" s="943"/>
      <c r="BO2979" s="1059"/>
      <c r="BP2979" s="1059"/>
      <c r="BQ2979" s="1059"/>
      <c r="BR2979" s="1059"/>
      <c r="BS2979" s="1059"/>
      <c r="BT2979" s="1059"/>
      <c r="BU2979" s="1059"/>
      <c r="BV2979" s="944"/>
      <c r="BW2979" s="944"/>
      <c r="BX2979" s="1147"/>
      <c r="BY2979" s="944"/>
      <c r="BZ2979" s="944"/>
      <c r="CA2979" s="944"/>
      <c r="CB2979" s="944"/>
    </row>
    <row r="2980" spans="2:80">
      <c r="B2980" s="1097"/>
      <c r="C2980" s="1097"/>
      <c r="D2980" s="1097"/>
      <c r="E2980" s="1097"/>
      <c r="F2980" s="934"/>
      <c r="G2980" s="1098"/>
      <c r="H2980" s="1099"/>
      <c r="I2980" s="1099"/>
      <c r="J2980" s="934"/>
      <c r="K2980" s="934"/>
      <c r="L2980" s="933"/>
      <c r="M2980" s="1100"/>
      <c r="N2980" s="934"/>
      <c r="O2980" s="936"/>
      <c r="P2980" s="936"/>
      <c r="Q2980" s="933"/>
      <c r="T2980" s="1101"/>
      <c r="U2980" s="1102"/>
      <c r="V2980" s="936"/>
      <c r="W2980" s="1103"/>
      <c r="X2980" s="1104"/>
      <c r="Y2980" s="1105"/>
      <c r="Z2980" s="1103"/>
      <c r="AC2980" s="1106"/>
      <c r="AD2980" s="1107"/>
      <c r="AE2980" s="1104"/>
      <c r="AG2980" s="1109"/>
      <c r="AI2980" s="1110"/>
      <c r="AL2980" s="933"/>
      <c r="AM2980" s="933"/>
      <c r="AN2980" s="1100"/>
      <c r="AO2980" s="1100"/>
      <c r="AP2980" s="934"/>
      <c r="AQ2980" s="934"/>
      <c r="AR2980" s="934"/>
      <c r="AS2980" s="936"/>
      <c r="AT2980" s="936"/>
      <c r="AU2980" s="936"/>
      <c r="AV2980" s="937"/>
      <c r="AW2980" s="938"/>
      <c r="AX2980" s="939"/>
      <c r="AY2980" s="933"/>
      <c r="AZ2980" s="936"/>
      <c r="BA2980" s="936"/>
      <c r="BB2980" s="1112"/>
      <c r="BC2980" s="940"/>
      <c r="BD2980" s="941"/>
      <c r="BE2980" s="942"/>
      <c r="BF2980" s="943"/>
      <c r="BG2980" s="943"/>
      <c r="BH2980" s="943"/>
      <c r="BI2980" s="943"/>
      <c r="BJ2980" s="943"/>
      <c r="BK2980" s="943"/>
      <c r="BL2980" s="943"/>
      <c r="BM2980" s="943"/>
      <c r="BN2980" s="943"/>
      <c r="BO2980" s="1059"/>
      <c r="BP2980" s="1059"/>
      <c r="BQ2980" s="1059"/>
      <c r="BR2980" s="1059"/>
      <c r="BS2980" s="1059"/>
      <c r="BT2980" s="1059"/>
      <c r="BU2980" s="1059"/>
      <c r="BV2980" s="944"/>
      <c r="BW2980" s="944"/>
      <c r="BX2980" s="1147"/>
      <c r="BY2980" s="944"/>
      <c r="BZ2980" s="944"/>
      <c r="CA2980" s="944"/>
      <c r="CB2980" s="944"/>
    </row>
    <row r="2981" spans="2:80">
      <c r="B2981" s="1097"/>
      <c r="C2981" s="1097"/>
      <c r="D2981" s="1097"/>
      <c r="E2981" s="1097"/>
      <c r="F2981" s="934"/>
      <c r="G2981" s="1098"/>
      <c r="H2981" s="1099"/>
      <c r="I2981" s="1099"/>
      <c r="J2981" s="934"/>
      <c r="K2981" s="934"/>
      <c r="L2981" s="933"/>
      <c r="M2981" s="1100"/>
      <c r="N2981" s="934"/>
      <c r="O2981" s="936"/>
      <c r="P2981" s="936"/>
      <c r="Q2981" s="933"/>
      <c r="T2981" s="1101"/>
      <c r="U2981" s="1102"/>
      <c r="V2981" s="936"/>
      <c r="W2981" s="1103"/>
      <c r="X2981" s="1104"/>
      <c r="Y2981" s="1105"/>
      <c r="Z2981" s="1103"/>
      <c r="AC2981" s="1106"/>
      <c r="AD2981" s="1107"/>
      <c r="AE2981" s="1104"/>
      <c r="AG2981" s="1109"/>
      <c r="AI2981" s="1110"/>
      <c r="AL2981" s="933"/>
      <c r="AM2981" s="933"/>
      <c r="AN2981" s="1100"/>
      <c r="AO2981" s="1100"/>
      <c r="AP2981" s="934"/>
      <c r="AQ2981" s="934"/>
      <c r="AR2981" s="934"/>
      <c r="AS2981" s="936"/>
      <c r="AT2981" s="936"/>
      <c r="AU2981" s="936"/>
      <c r="AV2981" s="937"/>
      <c r="AW2981" s="938"/>
      <c r="AX2981" s="939"/>
      <c r="AY2981" s="933"/>
      <c r="AZ2981" s="936"/>
      <c r="BA2981" s="936"/>
      <c r="BB2981" s="1112"/>
      <c r="BC2981" s="940"/>
      <c r="BD2981" s="941"/>
      <c r="BE2981" s="942"/>
      <c r="BF2981" s="943"/>
      <c r="BG2981" s="943"/>
      <c r="BH2981" s="943"/>
      <c r="BI2981" s="943"/>
      <c r="BJ2981" s="943"/>
      <c r="BK2981" s="943"/>
      <c r="BL2981" s="943"/>
      <c r="BM2981" s="943"/>
      <c r="BN2981" s="943"/>
      <c r="BO2981" s="1059"/>
      <c r="BP2981" s="1059"/>
      <c r="BQ2981" s="1059"/>
      <c r="BR2981" s="1059"/>
      <c r="BS2981" s="1059"/>
      <c r="BT2981" s="1059"/>
      <c r="BU2981" s="1059"/>
      <c r="BV2981" s="944"/>
      <c r="BW2981" s="944"/>
      <c r="BX2981" s="1147"/>
      <c r="BY2981" s="944"/>
      <c r="BZ2981" s="944"/>
      <c r="CA2981" s="944"/>
      <c r="CB2981" s="944"/>
    </row>
    <row r="2982" spans="2:80">
      <c r="B2982" s="1097"/>
      <c r="C2982" s="1097"/>
      <c r="D2982" s="1097"/>
      <c r="E2982" s="1097"/>
      <c r="F2982" s="934"/>
      <c r="G2982" s="1098"/>
      <c r="H2982" s="1099"/>
      <c r="I2982" s="1099"/>
      <c r="J2982" s="934"/>
      <c r="K2982" s="934"/>
      <c r="L2982" s="933"/>
      <c r="M2982" s="1100"/>
      <c r="N2982" s="934"/>
      <c r="O2982" s="936"/>
      <c r="P2982" s="936"/>
      <c r="Q2982" s="933"/>
      <c r="T2982" s="1101"/>
      <c r="U2982" s="1102"/>
      <c r="V2982" s="936"/>
      <c r="W2982" s="1103"/>
      <c r="X2982" s="1104"/>
      <c r="Y2982" s="1105"/>
      <c r="Z2982" s="1103"/>
      <c r="AC2982" s="1106"/>
      <c r="AD2982" s="1107"/>
      <c r="AE2982" s="1104"/>
      <c r="AG2982" s="1109"/>
      <c r="AI2982" s="1110"/>
      <c r="AL2982" s="933"/>
      <c r="AM2982" s="933"/>
      <c r="AN2982" s="1100"/>
      <c r="AO2982" s="1100"/>
      <c r="AP2982" s="934"/>
      <c r="AQ2982" s="934"/>
      <c r="AR2982" s="934"/>
      <c r="AS2982" s="936"/>
      <c r="AT2982" s="936"/>
      <c r="AU2982" s="936"/>
      <c r="AV2982" s="937"/>
      <c r="AW2982" s="938"/>
      <c r="AX2982" s="939"/>
      <c r="AY2982" s="933"/>
      <c r="AZ2982" s="936"/>
      <c r="BA2982" s="936"/>
      <c r="BB2982" s="1112"/>
      <c r="BC2982" s="940"/>
      <c r="BD2982" s="941"/>
      <c r="BE2982" s="942"/>
      <c r="BF2982" s="943"/>
      <c r="BG2982" s="943"/>
      <c r="BH2982" s="943"/>
      <c r="BI2982" s="943"/>
      <c r="BJ2982" s="943"/>
      <c r="BK2982" s="943"/>
      <c r="BL2982" s="943"/>
      <c r="BM2982" s="943"/>
      <c r="BN2982" s="943"/>
      <c r="BO2982" s="1059"/>
      <c r="BP2982" s="1059"/>
      <c r="BQ2982" s="1059"/>
      <c r="BR2982" s="1059"/>
      <c r="BS2982" s="1059"/>
      <c r="BT2982" s="1059"/>
      <c r="BU2982" s="1059"/>
      <c r="BV2982" s="944"/>
      <c r="BW2982" s="944"/>
      <c r="BX2982" s="1147"/>
      <c r="BY2982" s="944"/>
      <c r="BZ2982" s="944"/>
      <c r="CA2982" s="944"/>
      <c r="CB2982" s="944"/>
    </row>
    <row r="2983" spans="2:80">
      <c r="B2983" s="1097"/>
      <c r="C2983" s="1097"/>
      <c r="D2983" s="1097"/>
      <c r="E2983" s="1097"/>
      <c r="F2983" s="934"/>
      <c r="G2983" s="1098"/>
      <c r="H2983" s="1099"/>
      <c r="I2983" s="1099"/>
      <c r="J2983" s="934"/>
      <c r="K2983" s="934"/>
      <c r="L2983" s="933"/>
      <c r="M2983" s="1100"/>
      <c r="N2983" s="934"/>
      <c r="O2983" s="936"/>
      <c r="P2983" s="936"/>
      <c r="Q2983" s="933"/>
      <c r="T2983" s="1101"/>
      <c r="U2983" s="1102"/>
      <c r="V2983" s="936"/>
      <c r="W2983" s="1103"/>
      <c r="X2983" s="1104"/>
      <c r="Y2983" s="1105"/>
      <c r="Z2983" s="1103"/>
      <c r="AC2983" s="1106"/>
      <c r="AD2983" s="1107"/>
      <c r="AE2983" s="1104"/>
      <c r="AG2983" s="1109"/>
      <c r="AI2983" s="1110"/>
      <c r="AL2983" s="933"/>
      <c r="AM2983" s="933"/>
      <c r="AN2983" s="1100"/>
      <c r="AO2983" s="1100"/>
      <c r="AP2983" s="934"/>
      <c r="AQ2983" s="934"/>
      <c r="AR2983" s="934"/>
      <c r="AS2983" s="936"/>
      <c r="AT2983" s="936"/>
      <c r="AU2983" s="936"/>
      <c r="AV2983" s="937"/>
      <c r="AW2983" s="938"/>
      <c r="AX2983" s="939"/>
      <c r="AY2983" s="933"/>
      <c r="AZ2983" s="936"/>
      <c r="BA2983" s="936"/>
      <c r="BB2983" s="1112"/>
      <c r="BC2983" s="940"/>
      <c r="BD2983" s="941"/>
      <c r="BE2983" s="942"/>
      <c r="BF2983" s="943"/>
      <c r="BG2983" s="943"/>
      <c r="BH2983" s="943"/>
      <c r="BI2983" s="943"/>
      <c r="BJ2983" s="943"/>
      <c r="BK2983" s="943"/>
      <c r="BL2983" s="943"/>
      <c r="BM2983" s="943"/>
      <c r="BN2983" s="943"/>
      <c r="BO2983" s="1059"/>
      <c r="BP2983" s="1059"/>
      <c r="BQ2983" s="1059"/>
      <c r="BR2983" s="1059"/>
      <c r="BS2983" s="1059"/>
      <c r="BT2983" s="1059"/>
      <c r="BU2983" s="1059"/>
      <c r="BV2983" s="944"/>
      <c r="BW2983" s="944"/>
      <c r="BX2983" s="1147"/>
      <c r="BY2983" s="944"/>
      <c r="BZ2983" s="944"/>
      <c r="CA2983" s="944"/>
      <c r="CB2983" s="944"/>
    </row>
    <row r="2984" spans="2:80">
      <c r="B2984" s="1097"/>
      <c r="C2984" s="1097"/>
      <c r="D2984" s="1097"/>
      <c r="E2984" s="1097"/>
      <c r="F2984" s="934"/>
      <c r="G2984" s="1098"/>
      <c r="H2984" s="1099"/>
      <c r="I2984" s="1099"/>
      <c r="J2984" s="934"/>
      <c r="K2984" s="934"/>
      <c r="L2984" s="933"/>
      <c r="M2984" s="1100"/>
      <c r="N2984" s="934"/>
      <c r="O2984" s="936"/>
      <c r="P2984" s="936"/>
      <c r="Q2984" s="933"/>
      <c r="T2984" s="1101"/>
      <c r="U2984" s="1102"/>
      <c r="V2984" s="936"/>
      <c r="W2984" s="1103"/>
      <c r="X2984" s="1104"/>
      <c r="Y2984" s="1105"/>
      <c r="Z2984" s="1103"/>
      <c r="AC2984" s="1106"/>
      <c r="AD2984" s="1107"/>
      <c r="AE2984" s="1104"/>
      <c r="AG2984" s="1109"/>
      <c r="AI2984" s="1110"/>
      <c r="AL2984" s="933"/>
      <c r="AM2984" s="933"/>
      <c r="AN2984" s="1100"/>
      <c r="AO2984" s="1100"/>
      <c r="AP2984" s="934"/>
      <c r="AQ2984" s="934"/>
      <c r="AR2984" s="934"/>
      <c r="AS2984" s="936"/>
      <c r="AT2984" s="936"/>
      <c r="AU2984" s="936"/>
      <c r="AV2984" s="937"/>
      <c r="AW2984" s="938"/>
      <c r="AX2984" s="939"/>
      <c r="AY2984" s="933"/>
      <c r="AZ2984" s="936"/>
      <c r="BA2984" s="936"/>
      <c r="BB2984" s="1112"/>
      <c r="BC2984" s="940"/>
      <c r="BD2984" s="941"/>
      <c r="BE2984" s="942"/>
      <c r="BF2984" s="943"/>
      <c r="BG2984" s="943"/>
      <c r="BH2984" s="943"/>
      <c r="BI2984" s="943"/>
      <c r="BJ2984" s="943"/>
      <c r="BK2984" s="943"/>
      <c r="BL2984" s="943"/>
      <c r="BM2984" s="943"/>
      <c r="BN2984" s="943"/>
      <c r="BO2984" s="1059"/>
      <c r="BP2984" s="1059"/>
      <c r="BQ2984" s="1059"/>
      <c r="BR2984" s="1059"/>
      <c r="BS2984" s="1059"/>
      <c r="BT2984" s="1059"/>
      <c r="BU2984" s="1059"/>
      <c r="BV2984" s="944"/>
      <c r="BW2984" s="944"/>
      <c r="BX2984" s="1147"/>
      <c r="BY2984" s="944"/>
      <c r="BZ2984" s="944"/>
      <c r="CA2984" s="944"/>
      <c r="CB2984" s="944"/>
    </row>
    <row r="2985" spans="2:80">
      <c r="B2985" s="1097"/>
      <c r="C2985" s="1097"/>
      <c r="D2985" s="1097"/>
      <c r="E2985" s="1097"/>
      <c r="F2985" s="934"/>
      <c r="G2985" s="1098"/>
      <c r="H2985" s="1099"/>
      <c r="I2985" s="1099"/>
      <c r="J2985" s="934"/>
      <c r="K2985" s="934"/>
      <c r="L2985" s="933"/>
      <c r="M2985" s="1100"/>
      <c r="N2985" s="934"/>
      <c r="O2985" s="936"/>
      <c r="P2985" s="936"/>
      <c r="Q2985" s="933"/>
      <c r="T2985" s="1101"/>
      <c r="U2985" s="1102"/>
      <c r="V2985" s="936"/>
      <c r="W2985" s="1103"/>
      <c r="X2985" s="1104"/>
      <c r="Y2985" s="1105"/>
      <c r="Z2985" s="1103"/>
      <c r="AC2985" s="1106"/>
      <c r="AD2985" s="1107"/>
      <c r="AE2985" s="1104"/>
      <c r="AG2985" s="1109"/>
      <c r="AI2985" s="1110"/>
      <c r="AL2985" s="933"/>
      <c r="AM2985" s="933"/>
      <c r="AN2985" s="1100"/>
      <c r="AO2985" s="1100"/>
      <c r="AP2985" s="934"/>
      <c r="AQ2985" s="934"/>
      <c r="AR2985" s="934"/>
      <c r="AS2985" s="936"/>
      <c r="AT2985" s="936"/>
      <c r="AU2985" s="936"/>
      <c r="AV2985" s="937"/>
      <c r="AW2985" s="938"/>
      <c r="AX2985" s="939"/>
      <c r="AY2985" s="933"/>
      <c r="AZ2985" s="936"/>
      <c r="BA2985" s="936"/>
      <c r="BB2985" s="1112"/>
      <c r="BC2985" s="940"/>
      <c r="BD2985" s="941"/>
      <c r="BE2985" s="942"/>
      <c r="BF2985" s="943"/>
      <c r="BG2985" s="943"/>
      <c r="BH2985" s="943"/>
      <c r="BI2985" s="943"/>
      <c r="BJ2985" s="943"/>
      <c r="BK2985" s="943"/>
      <c r="BL2985" s="943"/>
      <c r="BM2985" s="943"/>
      <c r="BN2985" s="943"/>
      <c r="BO2985" s="1059"/>
      <c r="BP2985" s="1059"/>
      <c r="BQ2985" s="1059"/>
      <c r="BR2985" s="1059"/>
      <c r="BS2985" s="1059"/>
      <c r="BT2985" s="1059"/>
      <c r="BU2985" s="1059"/>
      <c r="BV2985" s="944"/>
      <c r="BW2985" s="944"/>
      <c r="BX2985" s="1147"/>
      <c r="BY2985" s="944"/>
      <c r="BZ2985" s="944"/>
      <c r="CA2985" s="944"/>
      <c r="CB2985" s="944"/>
    </row>
    <row r="2986" spans="2:80">
      <c r="B2986" s="1097"/>
      <c r="C2986" s="1097"/>
      <c r="D2986" s="1097"/>
      <c r="E2986" s="1097"/>
      <c r="F2986" s="934"/>
      <c r="G2986" s="1098"/>
      <c r="H2986" s="1099"/>
      <c r="I2986" s="1099"/>
      <c r="J2986" s="934"/>
      <c r="K2986" s="934"/>
      <c r="L2986" s="933"/>
      <c r="M2986" s="1100"/>
      <c r="N2986" s="934"/>
      <c r="O2986" s="936"/>
      <c r="P2986" s="936"/>
      <c r="Q2986" s="933"/>
      <c r="T2986" s="1101"/>
      <c r="U2986" s="1102"/>
      <c r="V2986" s="936"/>
      <c r="W2986" s="1103"/>
      <c r="X2986" s="1104"/>
      <c r="Y2986" s="1105"/>
      <c r="Z2986" s="1103"/>
      <c r="AC2986" s="1106"/>
      <c r="AD2986" s="1107"/>
      <c r="AE2986" s="1104"/>
      <c r="AG2986" s="1109"/>
      <c r="AI2986" s="1110"/>
      <c r="AL2986" s="933"/>
      <c r="AM2986" s="933"/>
      <c r="AN2986" s="1100"/>
      <c r="AO2986" s="1100"/>
      <c r="AP2986" s="934"/>
      <c r="AQ2986" s="934"/>
      <c r="AR2986" s="934"/>
      <c r="AS2986" s="936"/>
      <c r="AT2986" s="936"/>
      <c r="AU2986" s="936"/>
      <c r="AV2986" s="937"/>
      <c r="AW2986" s="938"/>
      <c r="AX2986" s="939"/>
      <c r="AY2986" s="933"/>
      <c r="AZ2986" s="936"/>
      <c r="BA2986" s="936"/>
      <c r="BB2986" s="1112"/>
      <c r="BC2986" s="940"/>
      <c r="BD2986" s="941"/>
      <c r="BE2986" s="942"/>
      <c r="BF2986" s="943"/>
      <c r="BG2986" s="943"/>
      <c r="BH2986" s="943"/>
      <c r="BI2986" s="943"/>
      <c r="BJ2986" s="943"/>
      <c r="BK2986" s="943"/>
      <c r="BL2986" s="943"/>
      <c r="BM2986" s="943"/>
      <c r="BN2986" s="943"/>
      <c r="BO2986" s="1059"/>
      <c r="BP2986" s="1059"/>
      <c r="BQ2986" s="1059"/>
      <c r="BR2986" s="1059"/>
      <c r="BS2986" s="1059"/>
      <c r="BT2986" s="1059"/>
      <c r="BU2986" s="1059"/>
      <c r="BV2986" s="944"/>
      <c r="BW2986" s="944"/>
      <c r="BX2986" s="1147"/>
      <c r="BY2986" s="944"/>
      <c r="BZ2986" s="944"/>
      <c r="CA2986" s="944"/>
      <c r="CB2986" s="944"/>
    </row>
    <row r="2987" spans="2:80">
      <c r="B2987" s="1097"/>
      <c r="C2987" s="1097"/>
      <c r="D2987" s="1097"/>
      <c r="E2987" s="1097"/>
      <c r="F2987" s="934"/>
      <c r="G2987" s="1098"/>
      <c r="H2987" s="1099"/>
      <c r="I2987" s="1099"/>
      <c r="J2987" s="934"/>
      <c r="K2987" s="934"/>
      <c r="L2987" s="933"/>
      <c r="M2987" s="1100"/>
      <c r="N2987" s="934"/>
      <c r="O2987" s="936"/>
      <c r="P2987" s="936"/>
      <c r="Q2987" s="933"/>
      <c r="T2987" s="1101"/>
      <c r="U2987" s="1102"/>
      <c r="V2987" s="936"/>
      <c r="W2987" s="1103"/>
      <c r="X2987" s="1104"/>
      <c r="Y2987" s="1105"/>
      <c r="Z2987" s="1103"/>
      <c r="AC2987" s="1106"/>
      <c r="AD2987" s="1107"/>
      <c r="AE2987" s="1104"/>
      <c r="AG2987" s="1109"/>
      <c r="AI2987" s="1110"/>
      <c r="AL2987" s="933"/>
      <c r="AM2987" s="933"/>
      <c r="AN2987" s="1100"/>
      <c r="AO2987" s="1100"/>
      <c r="AP2987" s="934"/>
      <c r="AQ2987" s="934"/>
      <c r="AR2987" s="934"/>
      <c r="AS2987" s="936"/>
      <c r="AT2987" s="936"/>
      <c r="AU2987" s="936"/>
      <c r="AV2987" s="937"/>
      <c r="AW2987" s="938"/>
      <c r="AX2987" s="939"/>
      <c r="AY2987" s="933"/>
      <c r="AZ2987" s="936"/>
      <c r="BA2987" s="936"/>
      <c r="BB2987" s="1112"/>
      <c r="BC2987" s="940"/>
      <c r="BD2987" s="941"/>
      <c r="BE2987" s="942"/>
      <c r="BF2987" s="943"/>
      <c r="BG2987" s="943"/>
      <c r="BH2987" s="943"/>
      <c r="BI2987" s="943"/>
      <c r="BJ2987" s="943"/>
      <c r="BK2987" s="943"/>
      <c r="BL2987" s="943"/>
      <c r="BM2987" s="943"/>
      <c r="BN2987" s="943"/>
      <c r="BO2987" s="1059"/>
      <c r="BP2987" s="1059"/>
      <c r="BQ2987" s="1059"/>
      <c r="BR2987" s="1059"/>
      <c r="BS2987" s="1059"/>
      <c r="BT2987" s="1059"/>
      <c r="BU2987" s="1059"/>
      <c r="BV2987" s="944"/>
      <c r="BW2987" s="944"/>
      <c r="BX2987" s="1147"/>
      <c r="BY2987" s="944"/>
      <c r="BZ2987" s="944"/>
      <c r="CA2987" s="944"/>
      <c r="CB2987" s="944"/>
    </row>
    <row r="2988" spans="2:80">
      <c r="B2988" s="1097"/>
      <c r="C2988" s="1097"/>
      <c r="D2988" s="1097"/>
      <c r="E2988" s="1097"/>
      <c r="F2988" s="934"/>
      <c r="G2988" s="1098"/>
      <c r="H2988" s="1099"/>
      <c r="I2988" s="1099"/>
      <c r="J2988" s="934"/>
      <c r="K2988" s="934"/>
      <c r="L2988" s="933"/>
      <c r="M2988" s="1100"/>
      <c r="N2988" s="934"/>
      <c r="O2988" s="936"/>
      <c r="P2988" s="936"/>
      <c r="Q2988" s="933"/>
      <c r="T2988" s="1101"/>
      <c r="U2988" s="1102"/>
      <c r="V2988" s="936"/>
      <c r="W2988" s="1103"/>
      <c r="X2988" s="1104"/>
      <c r="Y2988" s="1105"/>
      <c r="Z2988" s="1103"/>
      <c r="AC2988" s="1106"/>
      <c r="AD2988" s="1107"/>
      <c r="AE2988" s="1104"/>
      <c r="AG2988" s="1109"/>
      <c r="AI2988" s="1110"/>
      <c r="AL2988" s="933"/>
      <c r="AM2988" s="933"/>
      <c r="AN2988" s="1100"/>
      <c r="AO2988" s="1100"/>
      <c r="AP2988" s="934"/>
      <c r="AQ2988" s="934"/>
      <c r="AR2988" s="934"/>
      <c r="AS2988" s="936"/>
      <c r="AT2988" s="936"/>
      <c r="AU2988" s="936"/>
      <c r="AV2988" s="937"/>
      <c r="AW2988" s="938"/>
      <c r="AX2988" s="939"/>
      <c r="AY2988" s="933"/>
      <c r="AZ2988" s="936"/>
      <c r="BA2988" s="936"/>
      <c r="BB2988" s="1112"/>
      <c r="BC2988" s="940"/>
      <c r="BD2988" s="941"/>
      <c r="BE2988" s="942"/>
      <c r="BF2988" s="943"/>
      <c r="BG2988" s="943"/>
      <c r="BH2988" s="943"/>
      <c r="BI2988" s="943"/>
      <c r="BJ2988" s="943"/>
      <c r="BK2988" s="943"/>
      <c r="BL2988" s="943"/>
      <c r="BM2988" s="943"/>
      <c r="BN2988" s="943"/>
      <c r="BO2988" s="1059"/>
      <c r="BP2988" s="1059"/>
      <c r="BQ2988" s="1059"/>
      <c r="BR2988" s="1059"/>
      <c r="BS2988" s="1059"/>
      <c r="BT2988" s="1059"/>
      <c r="BU2988" s="1059"/>
      <c r="BV2988" s="944"/>
      <c r="BW2988" s="944"/>
      <c r="BX2988" s="1147"/>
      <c r="BY2988" s="944"/>
      <c r="BZ2988" s="944"/>
      <c r="CA2988" s="944"/>
      <c r="CB2988" s="944"/>
    </row>
    <row r="2989" spans="2:80">
      <c r="B2989" s="1097"/>
      <c r="C2989" s="1097"/>
      <c r="D2989" s="1097"/>
      <c r="E2989" s="1097"/>
      <c r="F2989" s="934"/>
      <c r="G2989" s="1098"/>
      <c r="H2989" s="1099"/>
      <c r="I2989" s="1099"/>
      <c r="J2989" s="934"/>
      <c r="K2989" s="934"/>
      <c r="L2989" s="933"/>
      <c r="M2989" s="1100"/>
      <c r="N2989" s="934"/>
      <c r="O2989" s="936"/>
      <c r="P2989" s="936"/>
      <c r="Q2989" s="933"/>
      <c r="T2989" s="1101"/>
      <c r="U2989" s="1102"/>
      <c r="V2989" s="936"/>
      <c r="W2989" s="1103"/>
      <c r="X2989" s="1104"/>
      <c r="Y2989" s="1105"/>
      <c r="Z2989" s="1103"/>
      <c r="AC2989" s="1106"/>
      <c r="AD2989" s="1107"/>
      <c r="AE2989" s="1104"/>
      <c r="AG2989" s="1109"/>
      <c r="AI2989" s="1110"/>
      <c r="AL2989" s="933"/>
      <c r="AM2989" s="933"/>
      <c r="AN2989" s="1100"/>
      <c r="AO2989" s="1100"/>
      <c r="AP2989" s="934"/>
      <c r="AQ2989" s="934"/>
      <c r="AR2989" s="934"/>
      <c r="AS2989" s="936"/>
      <c r="AT2989" s="936"/>
      <c r="AU2989" s="936"/>
      <c r="AV2989" s="937"/>
      <c r="AW2989" s="938"/>
      <c r="AX2989" s="939"/>
      <c r="AY2989" s="933"/>
      <c r="AZ2989" s="936"/>
      <c r="BA2989" s="936"/>
      <c r="BB2989" s="1112"/>
      <c r="BC2989" s="940"/>
      <c r="BD2989" s="941"/>
      <c r="BE2989" s="942"/>
      <c r="BF2989" s="943"/>
      <c r="BG2989" s="943"/>
      <c r="BH2989" s="943"/>
      <c r="BI2989" s="943"/>
      <c r="BJ2989" s="943"/>
      <c r="BK2989" s="943"/>
      <c r="BL2989" s="943"/>
      <c r="BM2989" s="943"/>
      <c r="BN2989" s="943"/>
      <c r="BO2989" s="1059"/>
      <c r="BP2989" s="1059"/>
      <c r="BQ2989" s="1059"/>
      <c r="BR2989" s="1059"/>
      <c r="BS2989" s="1059"/>
      <c r="BT2989" s="1059"/>
      <c r="BU2989" s="1059"/>
      <c r="BV2989" s="944"/>
      <c r="BW2989" s="944"/>
      <c r="BX2989" s="1147"/>
      <c r="BY2989" s="944"/>
      <c r="BZ2989" s="944"/>
      <c r="CA2989" s="944"/>
      <c r="CB2989" s="944"/>
    </row>
    <row r="2990" spans="2:80">
      <c r="B2990" s="1097"/>
      <c r="C2990" s="1097"/>
      <c r="D2990" s="1097"/>
      <c r="E2990" s="1097"/>
      <c r="F2990" s="934"/>
      <c r="G2990" s="1098"/>
      <c r="H2990" s="1099"/>
      <c r="I2990" s="1099"/>
      <c r="J2990" s="934"/>
      <c r="K2990" s="934"/>
      <c r="L2990" s="933"/>
      <c r="M2990" s="1100"/>
      <c r="N2990" s="934"/>
      <c r="O2990" s="936"/>
      <c r="P2990" s="936"/>
      <c r="Q2990" s="933"/>
      <c r="T2990" s="1101"/>
      <c r="U2990" s="1102"/>
      <c r="V2990" s="936"/>
      <c r="W2990" s="1103"/>
      <c r="X2990" s="1104"/>
      <c r="Y2990" s="1105"/>
      <c r="Z2990" s="1103"/>
      <c r="AC2990" s="1106"/>
      <c r="AD2990" s="1107"/>
      <c r="AE2990" s="1104"/>
      <c r="AG2990" s="1109"/>
      <c r="AI2990" s="1110"/>
      <c r="AL2990" s="933"/>
      <c r="AM2990" s="933"/>
      <c r="AN2990" s="1100"/>
      <c r="AO2990" s="1100"/>
      <c r="AP2990" s="934"/>
      <c r="AQ2990" s="934"/>
      <c r="AR2990" s="934"/>
      <c r="AS2990" s="936"/>
      <c r="AT2990" s="936"/>
      <c r="AU2990" s="936"/>
      <c r="AV2990" s="937"/>
      <c r="AW2990" s="938"/>
      <c r="AX2990" s="939"/>
      <c r="AY2990" s="933"/>
      <c r="AZ2990" s="936"/>
      <c r="BA2990" s="936"/>
      <c r="BB2990" s="1112"/>
      <c r="BC2990" s="940"/>
      <c r="BD2990" s="941"/>
      <c r="BE2990" s="942"/>
      <c r="BF2990" s="943"/>
      <c r="BG2990" s="943"/>
      <c r="BH2990" s="943"/>
      <c r="BI2990" s="943"/>
      <c r="BJ2990" s="943"/>
      <c r="BK2990" s="943"/>
      <c r="BL2990" s="943"/>
      <c r="BM2990" s="943"/>
      <c r="BN2990" s="943"/>
      <c r="BO2990" s="1059"/>
      <c r="BP2990" s="1059"/>
      <c r="BQ2990" s="1059"/>
      <c r="BR2990" s="1059"/>
      <c r="BS2990" s="1059"/>
      <c r="BT2990" s="1059"/>
      <c r="BU2990" s="1059"/>
      <c r="BV2990" s="944"/>
      <c r="BW2990" s="944"/>
      <c r="BX2990" s="1147"/>
      <c r="BY2990" s="944"/>
      <c r="BZ2990" s="944"/>
      <c r="CA2990" s="944"/>
      <c r="CB2990" s="944"/>
    </row>
    <row r="2991" spans="2:80">
      <c r="B2991" s="1097"/>
      <c r="C2991" s="1097"/>
      <c r="D2991" s="1097"/>
      <c r="E2991" s="1097"/>
      <c r="F2991" s="934"/>
      <c r="G2991" s="1098"/>
      <c r="H2991" s="1099"/>
      <c r="I2991" s="1099"/>
      <c r="J2991" s="934"/>
      <c r="K2991" s="934"/>
      <c r="L2991" s="933"/>
      <c r="M2991" s="1100"/>
      <c r="N2991" s="934"/>
      <c r="O2991" s="936"/>
      <c r="P2991" s="936"/>
      <c r="Q2991" s="933"/>
      <c r="T2991" s="1101"/>
      <c r="U2991" s="1102"/>
      <c r="V2991" s="936"/>
      <c r="W2991" s="1103"/>
      <c r="X2991" s="1104"/>
      <c r="Y2991" s="1105"/>
      <c r="Z2991" s="1103"/>
      <c r="AC2991" s="1106"/>
      <c r="AD2991" s="1107"/>
      <c r="AE2991" s="1104"/>
      <c r="AG2991" s="1109"/>
      <c r="AI2991" s="1110"/>
      <c r="AL2991" s="933"/>
      <c r="AM2991" s="933"/>
      <c r="AN2991" s="1100"/>
      <c r="AO2991" s="1100"/>
      <c r="AP2991" s="934"/>
      <c r="AQ2991" s="934"/>
      <c r="AR2991" s="934"/>
      <c r="AS2991" s="936"/>
      <c r="AT2991" s="936"/>
      <c r="AU2991" s="936"/>
      <c r="AV2991" s="937"/>
      <c r="AW2991" s="938"/>
      <c r="AX2991" s="939"/>
      <c r="AY2991" s="933"/>
      <c r="AZ2991" s="936"/>
      <c r="BA2991" s="936"/>
      <c r="BB2991" s="1112"/>
      <c r="BC2991" s="940"/>
      <c r="BD2991" s="941"/>
      <c r="BE2991" s="942"/>
      <c r="BF2991" s="943"/>
      <c r="BG2991" s="943"/>
      <c r="BH2991" s="943"/>
      <c r="BI2991" s="943"/>
      <c r="BJ2991" s="943"/>
      <c r="BK2991" s="943"/>
      <c r="BL2991" s="943"/>
      <c r="BM2991" s="943"/>
      <c r="BN2991" s="943"/>
      <c r="BO2991" s="1059"/>
      <c r="BP2991" s="1059"/>
      <c r="BQ2991" s="1059"/>
      <c r="BR2991" s="1059"/>
      <c r="BS2991" s="1059"/>
      <c r="BT2991" s="1059"/>
      <c r="BU2991" s="1059"/>
      <c r="BV2991" s="944"/>
      <c r="BW2991" s="944"/>
      <c r="BX2991" s="1147"/>
      <c r="BY2991" s="944"/>
      <c r="BZ2991" s="944"/>
      <c r="CA2991" s="944"/>
      <c r="CB2991" s="944"/>
    </row>
    <row r="2992" spans="2:80">
      <c r="B2992" s="1097"/>
      <c r="C2992" s="1097"/>
      <c r="D2992" s="1097"/>
      <c r="E2992" s="1097"/>
      <c r="F2992" s="934"/>
      <c r="G2992" s="1098"/>
      <c r="H2992" s="1099"/>
      <c r="I2992" s="1099"/>
      <c r="J2992" s="934"/>
      <c r="K2992" s="934"/>
      <c r="L2992" s="933"/>
      <c r="M2992" s="1100"/>
      <c r="N2992" s="934"/>
      <c r="O2992" s="936"/>
      <c r="P2992" s="936"/>
      <c r="Q2992" s="933"/>
      <c r="T2992" s="1101"/>
      <c r="U2992" s="1102"/>
      <c r="V2992" s="936"/>
      <c r="W2992" s="1103"/>
      <c r="X2992" s="1104"/>
      <c r="Y2992" s="1105"/>
      <c r="Z2992" s="1103"/>
      <c r="AC2992" s="1106"/>
      <c r="AD2992" s="1107"/>
      <c r="AE2992" s="1104"/>
      <c r="AG2992" s="1109"/>
      <c r="AI2992" s="1110"/>
      <c r="AL2992" s="933"/>
      <c r="AM2992" s="933"/>
      <c r="AN2992" s="1100"/>
      <c r="AO2992" s="1100"/>
      <c r="AP2992" s="934"/>
      <c r="AQ2992" s="934"/>
      <c r="AR2992" s="934"/>
      <c r="AS2992" s="936"/>
      <c r="AT2992" s="936"/>
      <c r="AU2992" s="936"/>
      <c r="AV2992" s="937"/>
      <c r="AW2992" s="938"/>
      <c r="AX2992" s="939"/>
      <c r="AY2992" s="933"/>
      <c r="AZ2992" s="936"/>
      <c r="BA2992" s="936"/>
      <c r="BB2992" s="1112"/>
      <c r="BC2992" s="940"/>
      <c r="BD2992" s="941"/>
      <c r="BE2992" s="942"/>
      <c r="BF2992" s="943"/>
      <c r="BG2992" s="943"/>
      <c r="BH2992" s="943"/>
      <c r="BI2992" s="943"/>
      <c r="BJ2992" s="943"/>
      <c r="BK2992" s="943"/>
      <c r="BL2992" s="943"/>
      <c r="BM2992" s="943"/>
      <c r="BN2992" s="943"/>
      <c r="BO2992" s="1059"/>
      <c r="BP2992" s="1059"/>
      <c r="BQ2992" s="1059"/>
      <c r="BR2992" s="1059"/>
      <c r="BS2992" s="1059"/>
      <c r="BT2992" s="1059"/>
      <c r="BU2992" s="1059"/>
      <c r="BV2992" s="944"/>
      <c r="BW2992" s="944"/>
      <c r="BX2992" s="1147"/>
      <c r="BY2992" s="944"/>
      <c r="BZ2992" s="944"/>
      <c r="CA2992" s="944"/>
      <c r="CB2992" s="944"/>
    </row>
    <row r="2993" spans="2:80">
      <c r="B2993" s="1097"/>
      <c r="C2993" s="1097"/>
      <c r="D2993" s="1097"/>
      <c r="E2993" s="1097"/>
      <c r="F2993" s="934"/>
      <c r="G2993" s="1098"/>
      <c r="H2993" s="1099"/>
      <c r="I2993" s="1099"/>
      <c r="J2993" s="934"/>
      <c r="K2993" s="934"/>
      <c r="L2993" s="933"/>
      <c r="M2993" s="1100"/>
      <c r="N2993" s="934"/>
      <c r="O2993" s="936"/>
      <c r="P2993" s="936"/>
      <c r="Q2993" s="933"/>
      <c r="T2993" s="1101"/>
      <c r="U2993" s="1102"/>
      <c r="V2993" s="936"/>
      <c r="W2993" s="1103"/>
      <c r="X2993" s="1104"/>
      <c r="Y2993" s="1105"/>
      <c r="Z2993" s="1103"/>
      <c r="AC2993" s="1106"/>
      <c r="AD2993" s="1107"/>
      <c r="AE2993" s="1104"/>
      <c r="AG2993" s="1109"/>
      <c r="AI2993" s="1110"/>
      <c r="AL2993" s="933"/>
      <c r="AM2993" s="933"/>
      <c r="AN2993" s="1100"/>
      <c r="AO2993" s="1100"/>
      <c r="AP2993" s="934"/>
      <c r="AQ2993" s="934"/>
      <c r="AR2993" s="934"/>
      <c r="AS2993" s="936"/>
      <c r="AT2993" s="936"/>
      <c r="AU2993" s="936"/>
      <c r="AV2993" s="937"/>
      <c r="AW2993" s="938"/>
      <c r="AX2993" s="939"/>
      <c r="AY2993" s="933"/>
      <c r="AZ2993" s="936"/>
      <c r="BA2993" s="936"/>
      <c r="BB2993" s="1112"/>
      <c r="BC2993" s="940"/>
      <c r="BD2993" s="941"/>
      <c r="BE2993" s="942"/>
      <c r="BF2993" s="943"/>
      <c r="BG2993" s="943"/>
      <c r="BH2993" s="943"/>
      <c r="BI2993" s="943"/>
      <c r="BJ2993" s="943"/>
      <c r="BK2993" s="943"/>
      <c r="BL2993" s="943"/>
      <c r="BM2993" s="943"/>
      <c r="BN2993" s="943"/>
      <c r="BO2993" s="1059"/>
      <c r="BP2993" s="1059"/>
      <c r="BQ2993" s="1059"/>
      <c r="BR2993" s="1059"/>
      <c r="BS2993" s="1059"/>
      <c r="BT2993" s="1059"/>
      <c r="BU2993" s="1059"/>
      <c r="BV2993" s="944"/>
      <c r="BW2993" s="944"/>
      <c r="BX2993" s="1147"/>
      <c r="BY2993" s="944"/>
      <c r="BZ2993" s="944"/>
      <c r="CA2993" s="944"/>
      <c r="CB2993" s="944"/>
    </row>
    <row r="2994" spans="2:80">
      <c r="B2994" s="1097"/>
      <c r="C2994" s="1097"/>
      <c r="D2994" s="1097"/>
      <c r="E2994" s="1097"/>
      <c r="F2994" s="934"/>
      <c r="G2994" s="1098"/>
      <c r="H2994" s="1099"/>
      <c r="I2994" s="1099"/>
      <c r="J2994" s="934"/>
      <c r="K2994" s="934"/>
      <c r="L2994" s="933"/>
      <c r="M2994" s="1100"/>
      <c r="N2994" s="934"/>
      <c r="O2994" s="936"/>
      <c r="P2994" s="936"/>
      <c r="Q2994" s="933"/>
      <c r="T2994" s="1101"/>
      <c r="U2994" s="1102"/>
      <c r="V2994" s="936"/>
      <c r="W2994" s="1103"/>
      <c r="X2994" s="1104"/>
      <c r="Y2994" s="1105"/>
      <c r="Z2994" s="1103"/>
      <c r="AC2994" s="1106"/>
      <c r="AD2994" s="1107"/>
      <c r="AE2994" s="1104"/>
      <c r="AG2994" s="1109"/>
      <c r="AI2994" s="1110"/>
      <c r="AL2994" s="933"/>
      <c r="AM2994" s="933"/>
      <c r="AN2994" s="1100"/>
      <c r="AO2994" s="1100"/>
      <c r="AP2994" s="934"/>
      <c r="AQ2994" s="934"/>
      <c r="AR2994" s="934"/>
      <c r="AS2994" s="936"/>
      <c r="AT2994" s="936"/>
      <c r="AU2994" s="936"/>
      <c r="AV2994" s="937"/>
      <c r="AW2994" s="938"/>
      <c r="AX2994" s="939"/>
      <c r="AY2994" s="933"/>
      <c r="AZ2994" s="936"/>
      <c r="BA2994" s="936"/>
      <c r="BB2994" s="1112"/>
      <c r="BC2994" s="940"/>
      <c r="BD2994" s="941"/>
      <c r="BE2994" s="942"/>
      <c r="BF2994" s="943"/>
      <c r="BG2994" s="943"/>
      <c r="BH2994" s="943"/>
      <c r="BI2994" s="943"/>
      <c r="BJ2994" s="943"/>
      <c r="BK2994" s="943"/>
      <c r="BL2994" s="943"/>
      <c r="BM2994" s="943"/>
      <c r="BN2994" s="943"/>
      <c r="BO2994" s="1059"/>
      <c r="BP2994" s="1059"/>
      <c r="BQ2994" s="1059"/>
      <c r="BR2994" s="1059"/>
      <c r="BS2994" s="1059"/>
      <c r="BT2994" s="1059"/>
      <c r="BU2994" s="1059"/>
      <c r="BV2994" s="944"/>
      <c r="BW2994" s="944"/>
      <c r="BX2994" s="1147"/>
      <c r="BY2994" s="944"/>
      <c r="BZ2994" s="944"/>
      <c r="CA2994" s="944"/>
      <c r="CB2994" s="944"/>
    </row>
    <row r="2995" spans="2:80">
      <c r="B2995" s="1097"/>
      <c r="C2995" s="1097"/>
      <c r="D2995" s="1097"/>
      <c r="E2995" s="1097"/>
      <c r="F2995" s="934"/>
      <c r="G2995" s="1098"/>
      <c r="H2995" s="1099"/>
      <c r="I2995" s="1099"/>
      <c r="J2995" s="934"/>
      <c r="K2995" s="934"/>
      <c r="L2995" s="933"/>
      <c r="M2995" s="1100"/>
      <c r="N2995" s="934"/>
      <c r="O2995" s="936"/>
      <c r="P2995" s="936"/>
      <c r="Q2995" s="933"/>
      <c r="T2995" s="1101"/>
      <c r="U2995" s="1102"/>
      <c r="V2995" s="936"/>
      <c r="W2995" s="1103"/>
      <c r="X2995" s="1104"/>
      <c r="Y2995" s="1105"/>
      <c r="Z2995" s="1103"/>
      <c r="AC2995" s="1106"/>
      <c r="AD2995" s="1107"/>
      <c r="AE2995" s="1104"/>
      <c r="AG2995" s="1109"/>
      <c r="AI2995" s="1110"/>
      <c r="AL2995" s="933"/>
      <c r="AM2995" s="933"/>
      <c r="AN2995" s="1100"/>
      <c r="AO2995" s="1100"/>
      <c r="AP2995" s="934"/>
      <c r="AQ2995" s="934"/>
      <c r="AR2995" s="934"/>
      <c r="AS2995" s="936"/>
      <c r="AT2995" s="936"/>
      <c r="AU2995" s="936"/>
      <c r="AV2995" s="937"/>
      <c r="AW2995" s="938"/>
      <c r="AX2995" s="939"/>
      <c r="AY2995" s="933"/>
      <c r="AZ2995" s="936"/>
      <c r="BA2995" s="936"/>
      <c r="BB2995" s="1112"/>
      <c r="BC2995" s="940"/>
      <c r="BD2995" s="941"/>
      <c r="BE2995" s="942"/>
      <c r="BF2995" s="943"/>
      <c r="BG2995" s="943"/>
      <c r="BH2995" s="943"/>
      <c r="BI2995" s="943"/>
      <c r="BJ2995" s="943"/>
      <c r="BK2995" s="943"/>
      <c r="BL2995" s="943"/>
      <c r="BM2995" s="943"/>
      <c r="BN2995" s="943"/>
      <c r="BO2995" s="1059"/>
      <c r="BP2995" s="1059"/>
      <c r="BQ2995" s="1059"/>
      <c r="BR2995" s="1059"/>
      <c r="BS2995" s="1059"/>
      <c r="BT2995" s="1059"/>
      <c r="BU2995" s="1059"/>
      <c r="BV2995" s="944"/>
      <c r="BW2995" s="944"/>
      <c r="BX2995" s="1147"/>
      <c r="BY2995" s="944"/>
      <c r="BZ2995" s="944"/>
      <c r="CA2995" s="944"/>
      <c r="CB2995" s="944"/>
    </row>
    <row r="2996" spans="2:80">
      <c r="B2996" s="1097"/>
      <c r="C2996" s="1097"/>
      <c r="D2996" s="1097"/>
      <c r="E2996" s="1097"/>
      <c r="F2996" s="934"/>
      <c r="G2996" s="1098"/>
      <c r="H2996" s="1099"/>
      <c r="I2996" s="1099"/>
      <c r="J2996" s="934"/>
      <c r="K2996" s="934"/>
      <c r="L2996" s="933"/>
      <c r="M2996" s="1100"/>
      <c r="N2996" s="934"/>
      <c r="O2996" s="936"/>
      <c r="P2996" s="936"/>
      <c r="Q2996" s="933"/>
      <c r="T2996" s="1101"/>
      <c r="U2996" s="1102"/>
      <c r="V2996" s="936"/>
      <c r="W2996" s="1103"/>
      <c r="X2996" s="1104"/>
      <c r="Y2996" s="1105"/>
      <c r="Z2996" s="1103"/>
      <c r="AC2996" s="1106"/>
      <c r="AD2996" s="1107"/>
      <c r="AE2996" s="1104"/>
      <c r="AG2996" s="1109"/>
      <c r="AI2996" s="1110"/>
      <c r="AL2996" s="933"/>
      <c r="AM2996" s="933"/>
      <c r="AN2996" s="1100"/>
      <c r="AO2996" s="1100"/>
      <c r="AP2996" s="934"/>
      <c r="AQ2996" s="934"/>
      <c r="AR2996" s="934"/>
      <c r="AS2996" s="936"/>
      <c r="AT2996" s="936"/>
      <c r="AU2996" s="936"/>
      <c r="AV2996" s="937"/>
      <c r="AW2996" s="938"/>
      <c r="AX2996" s="939"/>
      <c r="AY2996" s="933"/>
      <c r="AZ2996" s="936"/>
      <c r="BA2996" s="936"/>
      <c r="BB2996" s="1112"/>
      <c r="BC2996" s="940"/>
      <c r="BD2996" s="941"/>
      <c r="BE2996" s="942"/>
      <c r="BF2996" s="943"/>
      <c r="BG2996" s="943"/>
      <c r="BH2996" s="943"/>
      <c r="BI2996" s="943"/>
      <c r="BJ2996" s="943"/>
      <c r="BK2996" s="943"/>
      <c r="BL2996" s="943"/>
      <c r="BM2996" s="943"/>
      <c r="BN2996" s="943"/>
      <c r="BO2996" s="1059"/>
      <c r="BP2996" s="1059"/>
      <c r="BQ2996" s="1059"/>
      <c r="BR2996" s="1059"/>
      <c r="BS2996" s="1059"/>
      <c r="BT2996" s="1059"/>
      <c r="BU2996" s="1059"/>
      <c r="BV2996" s="944"/>
      <c r="BW2996" s="944"/>
      <c r="BX2996" s="1147"/>
      <c r="BY2996" s="944"/>
      <c r="BZ2996" s="944"/>
      <c r="CA2996" s="944"/>
      <c r="CB2996" s="944"/>
    </row>
    <row r="2997" spans="2:80">
      <c r="B2997" s="1097"/>
      <c r="C2997" s="1097"/>
      <c r="D2997" s="1097"/>
      <c r="E2997" s="1097"/>
      <c r="F2997" s="934"/>
      <c r="G2997" s="1098"/>
      <c r="H2997" s="1099"/>
      <c r="I2997" s="1099"/>
      <c r="J2997" s="934"/>
      <c r="K2997" s="934"/>
      <c r="L2997" s="933"/>
      <c r="M2997" s="1100"/>
      <c r="N2997" s="934"/>
      <c r="O2997" s="936"/>
      <c r="P2997" s="936"/>
      <c r="Q2997" s="933"/>
      <c r="T2997" s="1101"/>
      <c r="U2997" s="1102"/>
      <c r="V2997" s="936"/>
      <c r="W2997" s="1103"/>
      <c r="X2997" s="1104"/>
      <c r="Y2997" s="1105"/>
      <c r="Z2997" s="1103"/>
      <c r="AC2997" s="1106"/>
      <c r="AD2997" s="1107"/>
      <c r="AE2997" s="1104"/>
      <c r="AG2997" s="1109"/>
      <c r="AI2997" s="1110"/>
      <c r="AL2997" s="933"/>
      <c r="AM2997" s="933"/>
      <c r="AN2997" s="1100"/>
      <c r="AO2997" s="1100"/>
      <c r="AP2997" s="934"/>
      <c r="AQ2997" s="934"/>
      <c r="AR2997" s="934"/>
      <c r="AS2997" s="936"/>
      <c r="AT2997" s="936"/>
      <c r="AU2997" s="936"/>
      <c r="AV2997" s="937"/>
      <c r="AW2997" s="938"/>
      <c r="AX2997" s="939"/>
      <c r="AY2997" s="933"/>
      <c r="AZ2997" s="936"/>
      <c r="BA2997" s="936"/>
      <c r="BB2997" s="1112"/>
      <c r="BC2997" s="940"/>
      <c r="BD2997" s="941"/>
      <c r="BE2997" s="942"/>
      <c r="BF2997" s="943"/>
      <c r="BG2997" s="943"/>
      <c r="BH2997" s="943"/>
      <c r="BI2997" s="943"/>
      <c r="BJ2997" s="943"/>
      <c r="BK2997" s="943"/>
      <c r="BL2997" s="943"/>
      <c r="BM2997" s="943"/>
      <c r="BN2997" s="943"/>
      <c r="BO2997" s="1059"/>
      <c r="BP2997" s="1059"/>
      <c r="BQ2997" s="1059"/>
      <c r="BR2997" s="1059"/>
      <c r="BS2997" s="1059"/>
      <c r="BT2997" s="1059"/>
      <c r="BU2997" s="1059"/>
      <c r="BV2997" s="944"/>
      <c r="BW2997" s="944"/>
      <c r="BX2997" s="1147"/>
      <c r="BY2997" s="944"/>
      <c r="BZ2997" s="944"/>
      <c r="CA2997" s="944"/>
      <c r="CB2997" s="944"/>
    </row>
    <row r="2998" spans="2:80">
      <c r="B2998" s="1097"/>
      <c r="C2998" s="1097"/>
      <c r="D2998" s="1097"/>
      <c r="E2998" s="1097"/>
      <c r="F2998" s="934"/>
      <c r="G2998" s="1098"/>
      <c r="H2998" s="1099"/>
      <c r="I2998" s="1099"/>
      <c r="J2998" s="934"/>
      <c r="K2998" s="934"/>
      <c r="L2998" s="933"/>
      <c r="M2998" s="1100"/>
      <c r="N2998" s="934"/>
      <c r="O2998" s="936"/>
      <c r="P2998" s="936"/>
      <c r="Q2998" s="933"/>
      <c r="T2998" s="1101"/>
      <c r="U2998" s="1102"/>
      <c r="V2998" s="936"/>
      <c r="W2998" s="1103"/>
      <c r="X2998" s="1104"/>
      <c r="Y2998" s="1105"/>
      <c r="Z2998" s="1103"/>
      <c r="AC2998" s="1106"/>
      <c r="AD2998" s="1107"/>
      <c r="AE2998" s="1104"/>
      <c r="AG2998" s="1109"/>
      <c r="AI2998" s="1110"/>
      <c r="AL2998" s="933"/>
      <c r="AM2998" s="933"/>
      <c r="AN2998" s="1100"/>
      <c r="AO2998" s="1100"/>
      <c r="AP2998" s="934"/>
      <c r="AQ2998" s="934"/>
      <c r="AR2998" s="934"/>
      <c r="AS2998" s="936"/>
      <c r="AT2998" s="936"/>
      <c r="AU2998" s="936"/>
      <c r="AV2998" s="937"/>
      <c r="AW2998" s="938"/>
      <c r="AX2998" s="939"/>
      <c r="AY2998" s="933"/>
      <c r="AZ2998" s="936"/>
      <c r="BA2998" s="936"/>
      <c r="BB2998" s="1112"/>
      <c r="BC2998" s="940"/>
      <c r="BD2998" s="941"/>
      <c r="BE2998" s="942"/>
      <c r="BF2998" s="943"/>
      <c r="BG2998" s="943"/>
      <c r="BH2998" s="943"/>
      <c r="BI2998" s="943"/>
      <c r="BJ2998" s="943"/>
      <c r="BK2998" s="943"/>
      <c r="BL2998" s="943"/>
      <c r="BM2998" s="943"/>
      <c r="BN2998" s="943"/>
      <c r="BO2998" s="1059"/>
      <c r="BP2998" s="1059"/>
      <c r="BQ2998" s="1059"/>
      <c r="BR2998" s="1059"/>
      <c r="BS2998" s="1059"/>
      <c r="BT2998" s="1059"/>
      <c r="BU2998" s="1059"/>
      <c r="BV2998" s="944"/>
      <c r="BW2998" s="944"/>
      <c r="BX2998" s="1147"/>
      <c r="BY2998" s="944"/>
      <c r="BZ2998" s="944"/>
      <c r="CA2998" s="944"/>
      <c r="CB2998" s="944"/>
    </row>
    <row r="2999" spans="2:80">
      <c r="B2999" s="1097"/>
      <c r="C2999" s="1097"/>
      <c r="D2999" s="1097"/>
      <c r="E2999" s="1097"/>
      <c r="F2999" s="934"/>
      <c r="G2999" s="1098"/>
      <c r="H2999" s="1099"/>
      <c r="I2999" s="1099"/>
      <c r="J2999" s="934"/>
      <c r="K2999" s="934"/>
      <c r="L2999" s="933"/>
      <c r="M2999" s="1100"/>
      <c r="N2999" s="934"/>
      <c r="O2999" s="936"/>
      <c r="P2999" s="936"/>
      <c r="Q2999" s="933"/>
      <c r="T2999" s="1101"/>
      <c r="U2999" s="1102"/>
      <c r="V2999" s="936"/>
      <c r="W2999" s="1103"/>
      <c r="X2999" s="1104"/>
      <c r="Y2999" s="1105"/>
      <c r="Z2999" s="1103"/>
      <c r="AC2999" s="1106"/>
      <c r="AD2999" s="1107"/>
      <c r="AE2999" s="1104"/>
      <c r="AG2999" s="1109"/>
      <c r="AI2999" s="1110"/>
      <c r="AL2999" s="933"/>
      <c r="AM2999" s="933"/>
      <c r="AN2999" s="1100"/>
      <c r="AO2999" s="1100"/>
      <c r="AP2999" s="934"/>
      <c r="AQ2999" s="934"/>
      <c r="AR2999" s="934"/>
      <c r="AS2999" s="936"/>
      <c r="AT2999" s="936"/>
      <c r="AU2999" s="936"/>
      <c r="AV2999" s="937"/>
      <c r="AW2999" s="938"/>
      <c r="AX2999" s="939"/>
      <c r="AY2999" s="933"/>
      <c r="AZ2999" s="936"/>
      <c r="BA2999" s="936"/>
      <c r="BB2999" s="1112"/>
      <c r="BC2999" s="940"/>
      <c r="BD2999" s="941"/>
      <c r="BE2999" s="942"/>
      <c r="BF2999" s="943"/>
      <c r="BG2999" s="943"/>
      <c r="BH2999" s="943"/>
      <c r="BI2999" s="943"/>
      <c r="BJ2999" s="943"/>
      <c r="BK2999" s="943"/>
      <c r="BL2999" s="943"/>
      <c r="BM2999" s="943"/>
      <c r="BN2999" s="943"/>
      <c r="BO2999" s="1059"/>
      <c r="BP2999" s="1059"/>
      <c r="BQ2999" s="1059"/>
      <c r="BR2999" s="1059"/>
      <c r="BS2999" s="1059"/>
      <c r="BT2999" s="1059"/>
      <c r="BU2999" s="1059"/>
      <c r="BV2999" s="944"/>
      <c r="BW2999" s="944"/>
      <c r="BX2999" s="1147"/>
      <c r="BY2999" s="944"/>
      <c r="BZ2999" s="944"/>
      <c r="CA2999" s="944"/>
      <c r="CB2999" s="944"/>
    </row>
    <row r="3000" spans="2:80">
      <c r="B3000" s="1097"/>
      <c r="C3000" s="1097"/>
      <c r="D3000" s="1097"/>
      <c r="E3000" s="1097"/>
      <c r="F3000" s="934"/>
      <c r="G3000" s="1098"/>
      <c r="H3000" s="1099"/>
      <c r="I3000" s="1099"/>
      <c r="J3000" s="934"/>
      <c r="K3000" s="934"/>
      <c r="L3000" s="933"/>
      <c r="M3000" s="1100"/>
      <c r="N3000" s="934"/>
      <c r="O3000" s="936"/>
      <c r="P3000" s="936"/>
      <c r="Q3000" s="933"/>
      <c r="T3000" s="1101"/>
      <c r="U3000" s="1102"/>
      <c r="V3000" s="936"/>
      <c r="W3000" s="1103"/>
      <c r="X3000" s="1104"/>
      <c r="Y3000" s="1105"/>
      <c r="Z3000" s="1103"/>
      <c r="AC3000" s="1106"/>
      <c r="AD3000" s="1107"/>
      <c r="AE3000" s="1104"/>
      <c r="AG3000" s="1109"/>
      <c r="AI3000" s="1110"/>
      <c r="AL3000" s="933"/>
      <c r="AM3000" s="933"/>
      <c r="AN3000" s="1100"/>
      <c r="AO3000" s="1100"/>
      <c r="AP3000" s="934"/>
      <c r="AQ3000" s="934"/>
      <c r="AR3000" s="934"/>
      <c r="AS3000" s="936"/>
      <c r="AT3000" s="936"/>
      <c r="AU3000" s="936"/>
      <c r="AV3000" s="937"/>
      <c r="AW3000" s="938"/>
      <c r="AX3000" s="939"/>
      <c r="AY3000" s="933"/>
      <c r="AZ3000" s="936"/>
      <c r="BA3000" s="936"/>
      <c r="BB3000" s="1112"/>
      <c r="BC3000" s="940"/>
      <c r="BD3000" s="941"/>
      <c r="BE3000" s="942"/>
      <c r="BF3000" s="943"/>
      <c r="BG3000" s="943"/>
      <c r="BH3000" s="943"/>
      <c r="BI3000" s="943"/>
      <c r="BJ3000" s="943"/>
      <c r="BK3000" s="943"/>
      <c r="BL3000" s="943"/>
      <c r="BM3000" s="943"/>
      <c r="BN3000" s="943"/>
      <c r="BO3000" s="1059"/>
      <c r="BP3000" s="1059"/>
      <c r="BQ3000" s="1059"/>
      <c r="BR3000" s="1059"/>
      <c r="BS3000" s="1059"/>
      <c r="BT3000" s="1059"/>
      <c r="BU3000" s="1059"/>
      <c r="BV3000" s="944"/>
      <c r="BW3000" s="944"/>
      <c r="BX3000" s="1147"/>
      <c r="BY3000" s="944"/>
      <c r="BZ3000" s="944"/>
      <c r="CA3000" s="944"/>
      <c r="CB3000" s="944"/>
    </row>
    <row r="3001" spans="2:80">
      <c r="B3001" s="1097"/>
      <c r="C3001" s="1097"/>
      <c r="D3001" s="1097"/>
      <c r="E3001" s="1097"/>
      <c r="F3001" s="934"/>
      <c r="G3001" s="1098"/>
      <c r="H3001" s="1099"/>
      <c r="I3001" s="1099"/>
      <c r="J3001" s="934"/>
      <c r="K3001" s="934"/>
      <c r="L3001" s="933"/>
      <c r="M3001" s="1100"/>
      <c r="N3001" s="934"/>
      <c r="O3001" s="936"/>
      <c r="P3001" s="936"/>
      <c r="Q3001" s="933"/>
      <c r="T3001" s="1101"/>
      <c r="U3001" s="1102"/>
      <c r="V3001" s="936"/>
      <c r="W3001" s="1103"/>
      <c r="X3001" s="1104"/>
      <c r="Y3001" s="1105"/>
      <c r="Z3001" s="1103"/>
      <c r="AC3001" s="1106"/>
      <c r="AD3001" s="1107"/>
      <c r="AE3001" s="1104"/>
      <c r="AG3001" s="1109"/>
      <c r="AI3001" s="1110"/>
      <c r="AL3001" s="933"/>
      <c r="AM3001" s="933"/>
      <c r="AN3001" s="1100"/>
      <c r="AO3001" s="1100"/>
      <c r="AP3001" s="934"/>
      <c r="AQ3001" s="934"/>
      <c r="AR3001" s="934"/>
      <c r="AS3001" s="936"/>
      <c r="AT3001" s="936"/>
      <c r="AU3001" s="936"/>
      <c r="AV3001" s="937"/>
      <c r="AW3001" s="938"/>
      <c r="AX3001" s="939"/>
      <c r="AY3001" s="933"/>
      <c r="AZ3001" s="936"/>
      <c r="BA3001" s="936"/>
      <c r="BB3001" s="1112"/>
      <c r="BC3001" s="940"/>
      <c r="BD3001" s="941"/>
      <c r="BE3001" s="942"/>
      <c r="BF3001" s="943"/>
      <c r="BG3001" s="943"/>
      <c r="BH3001" s="943"/>
      <c r="BI3001" s="943"/>
      <c r="BJ3001" s="943"/>
      <c r="BK3001" s="943"/>
      <c r="BL3001" s="943"/>
      <c r="BM3001" s="943"/>
      <c r="BN3001" s="943"/>
      <c r="BO3001" s="1059"/>
      <c r="BP3001" s="1059"/>
      <c r="BQ3001" s="1059"/>
      <c r="BR3001" s="1059"/>
      <c r="BS3001" s="1059"/>
      <c r="BT3001" s="1059"/>
      <c r="BU3001" s="1059"/>
      <c r="BV3001" s="944"/>
      <c r="BW3001" s="944"/>
      <c r="BX3001" s="1147"/>
      <c r="BY3001" s="944"/>
      <c r="BZ3001" s="944"/>
      <c r="CA3001" s="944"/>
      <c r="CB3001" s="944"/>
    </row>
    <row r="3002" spans="2:80">
      <c r="B3002" s="1097"/>
      <c r="C3002" s="1097"/>
      <c r="D3002" s="1097"/>
      <c r="E3002" s="1097"/>
      <c r="F3002" s="934"/>
      <c r="G3002" s="1098"/>
      <c r="H3002" s="1099"/>
      <c r="I3002" s="1099"/>
      <c r="J3002" s="934"/>
      <c r="K3002" s="934"/>
      <c r="L3002" s="933"/>
      <c r="M3002" s="1100"/>
      <c r="N3002" s="934"/>
      <c r="O3002" s="936"/>
      <c r="P3002" s="936"/>
      <c r="Q3002" s="933"/>
      <c r="T3002" s="1101"/>
      <c r="U3002" s="1102"/>
      <c r="V3002" s="936"/>
      <c r="W3002" s="1103"/>
      <c r="X3002" s="1104"/>
      <c r="Y3002" s="1105"/>
      <c r="Z3002" s="1103"/>
      <c r="AC3002" s="1106"/>
      <c r="AD3002" s="1107"/>
      <c r="AE3002" s="1104"/>
      <c r="AG3002" s="1109"/>
      <c r="AI3002" s="1110"/>
      <c r="AL3002" s="933"/>
      <c r="AM3002" s="933"/>
      <c r="AN3002" s="1100"/>
      <c r="AO3002" s="1100"/>
      <c r="AP3002" s="934"/>
      <c r="AQ3002" s="934"/>
      <c r="AR3002" s="934"/>
      <c r="AS3002" s="936"/>
      <c r="AT3002" s="936"/>
      <c r="AU3002" s="936"/>
      <c r="AV3002" s="937"/>
      <c r="AW3002" s="938"/>
      <c r="AX3002" s="939"/>
      <c r="AY3002" s="933"/>
      <c r="AZ3002" s="936"/>
      <c r="BA3002" s="936"/>
      <c r="BB3002" s="1112"/>
      <c r="BC3002" s="940"/>
      <c r="BD3002" s="941"/>
      <c r="BE3002" s="942"/>
      <c r="BF3002" s="943"/>
      <c r="BG3002" s="943"/>
      <c r="BH3002" s="943"/>
      <c r="BI3002" s="943"/>
      <c r="BJ3002" s="943"/>
      <c r="BK3002" s="943"/>
      <c r="BL3002" s="943"/>
      <c r="BM3002" s="943"/>
      <c r="BN3002" s="943"/>
      <c r="BO3002" s="1059"/>
      <c r="BP3002" s="1059"/>
      <c r="BQ3002" s="1059"/>
      <c r="BR3002" s="1059"/>
      <c r="BS3002" s="1059"/>
      <c r="BT3002" s="1059"/>
      <c r="BU3002" s="1059"/>
      <c r="BV3002" s="944"/>
      <c r="BW3002" s="944"/>
      <c r="BX3002" s="1147"/>
      <c r="BY3002" s="944"/>
      <c r="BZ3002" s="944"/>
      <c r="CA3002" s="944"/>
      <c r="CB3002" s="944"/>
    </row>
    <row r="3003" spans="2:80">
      <c r="B3003" s="1097"/>
      <c r="C3003" s="1097"/>
      <c r="D3003" s="1097"/>
      <c r="E3003" s="1097"/>
      <c r="F3003" s="934"/>
      <c r="G3003" s="1098"/>
      <c r="H3003" s="1099"/>
      <c r="I3003" s="1099"/>
      <c r="J3003" s="934"/>
      <c r="K3003" s="934"/>
      <c r="L3003" s="933"/>
      <c r="M3003" s="1100"/>
      <c r="N3003" s="934"/>
      <c r="O3003" s="936"/>
      <c r="P3003" s="936"/>
      <c r="Q3003" s="933"/>
      <c r="T3003" s="1101"/>
      <c r="U3003" s="1102"/>
      <c r="V3003" s="936"/>
      <c r="W3003" s="1103"/>
      <c r="X3003" s="1104"/>
      <c r="Y3003" s="1105"/>
      <c r="Z3003" s="1103"/>
      <c r="AC3003" s="1106"/>
      <c r="AD3003" s="1107"/>
      <c r="AE3003" s="1104"/>
      <c r="AG3003" s="1109"/>
      <c r="AI3003" s="1110"/>
      <c r="AL3003" s="933"/>
      <c r="AM3003" s="933"/>
      <c r="AN3003" s="1100"/>
      <c r="AO3003" s="1100"/>
      <c r="AP3003" s="934"/>
      <c r="AQ3003" s="934"/>
      <c r="AR3003" s="934"/>
      <c r="AS3003" s="936"/>
      <c r="AT3003" s="936"/>
      <c r="AU3003" s="936"/>
      <c r="AV3003" s="937"/>
      <c r="AW3003" s="938"/>
      <c r="AX3003" s="939"/>
      <c r="AY3003" s="933"/>
      <c r="AZ3003" s="936"/>
      <c r="BA3003" s="936"/>
      <c r="BB3003" s="1112"/>
      <c r="BC3003" s="940"/>
      <c r="BD3003" s="941"/>
      <c r="BE3003" s="942"/>
      <c r="BF3003" s="943"/>
      <c r="BG3003" s="943"/>
      <c r="BH3003" s="943"/>
      <c r="BI3003" s="943"/>
      <c r="BJ3003" s="943"/>
      <c r="BK3003" s="943"/>
      <c r="BL3003" s="943"/>
      <c r="BM3003" s="943"/>
      <c r="BN3003" s="943"/>
      <c r="BO3003" s="1059"/>
      <c r="BP3003" s="1059"/>
      <c r="BQ3003" s="1059"/>
      <c r="BR3003" s="1059"/>
      <c r="BS3003" s="1059"/>
      <c r="BT3003" s="1059"/>
      <c r="BU3003" s="1059"/>
      <c r="BV3003" s="944"/>
      <c r="BW3003" s="944"/>
      <c r="BX3003" s="1147"/>
      <c r="BY3003" s="944"/>
      <c r="BZ3003" s="944"/>
      <c r="CA3003" s="944"/>
      <c r="CB3003" s="944"/>
    </row>
    <row r="3004" spans="2:80">
      <c r="B3004" s="1097"/>
      <c r="C3004" s="1097"/>
      <c r="D3004" s="1097"/>
      <c r="E3004" s="1097"/>
      <c r="F3004" s="934"/>
      <c r="G3004" s="1098"/>
      <c r="H3004" s="1099"/>
      <c r="I3004" s="1099"/>
      <c r="J3004" s="934"/>
      <c r="K3004" s="934"/>
      <c r="L3004" s="933"/>
      <c r="M3004" s="1100"/>
      <c r="N3004" s="934"/>
      <c r="O3004" s="936"/>
      <c r="P3004" s="936"/>
      <c r="Q3004" s="933"/>
      <c r="T3004" s="1101"/>
      <c r="U3004" s="1102"/>
      <c r="V3004" s="936"/>
      <c r="W3004" s="1103"/>
      <c r="X3004" s="1104"/>
      <c r="Y3004" s="1105"/>
      <c r="Z3004" s="1103"/>
      <c r="AC3004" s="1106"/>
      <c r="AD3004" s="1107"/>
      <c r="AE3004" s="1104"/>
      <c r="AG3004" s="1109"/>
      <c r="AI3004" s="1110"/>
      <c r="AL3004" s="933"/>
      <c r="AM3004" s="933"/>
      <c r="AN3004" s="1100"/>
      <c r="AO3004" s="1100"/>
      <c r="AP3004" s="934"/>
      <c r="AQ3004" s="934"/>
      <c r="AR3004" s="934"/>
      <c r="AS3004" s="936"/>
      <c r="AT3004" s="936"/>
      <c r="AU3004" s="936"/>
      <c r="AV3004" s="937"/>
      <c r="AW3004" s="938"/>
      <c r="AX3004" s="939"/>
      <c r="AY3004" s="933"/>
      <c r="AZ3004" s="936"/>
      <c r="BA3004" s="936"/>
      <c r="BB3004" s="1112"/>
      <c r="BC3004" s="940"/>
      <c r="BD3004" s="941"/>
      <c r="BE3004" s="942"/>
      <c r="BF3004" s="943"/>
      <c r="BG3004" s="943"/>
      <c r="BH3004" s="943"/>
      <c r="BI3004" s="943"/>
      <c r="BJ3004" s="943"/>
      <c r="BK3004" s="943"/>
      <c r="BL3004" s="943"/>
      <c r="BM3004" s="943"/>
      <c r="BN3004" s="943"/>
      <c r="BO3004" s="1059"/>
      <c r="BP3004" s="1059"/>
      <c r="BQ3004" s="1059"/>
      <c r="BR3004" s="1059"/>
      <c r="BS3004" s="1059"/>
      <c r="BT3004" s="1059"/>
      <c r="BU3004" s="1059"/>
      <c r="BV3004" s="944"/>
      <c r="BW3004" s="944"/>
      <c r="BX3004" s="1147"/>
      <c r="BY3004" s="944"/>
      <c r="BZ3004" s="944"/>
      <c r="CA3004" s="944"/>
      <c r="CB3004" s="944"/>
    </row>
    <row r="3005" spans="2:80">
      <c r="B3005" s="1097"/>
      <c r="C3005" s="1097"/>
      <c r="D3005" s="1097"/>
      <c r="E3005" s="1097"/>
      <c r="F3005" s="934"/>
      <c r="G3005" s="1098"/>
      <c r="H3005" s="1099"/>
      <c r="I3005" s="1099"/>
      <c r="J3005" s="934"/>
      <c r="K3005" s="934"/>
      <c r="L3005" s="933"/>
      <c r="M3005" s="1100"/>
      <c r="N3005" s="934"/>
      <c r="O3005" s="936"/>
      <c r="P3005" s="936"/>
      <c r="Q3005" s="933"/>
      <c r="T3005" s="1101"/>
      <c r="U3005" s="1102"/>
      <c r="V3005" s="936"/>
      <c r="W3005" s="1103"/>
      <c r="X3005" s="1104"/>
      <c r="Y3005" s="1105"/>
      <c r="Z3005" s="1103"/>
      <c r="AC3005" s="1106"/>
      <c r="AD3005" s="1107"/>
      <c r="AE3005" s="1104"/>
      <c r="AG3005" s="1109"/>
      <c r="AI3005" s="1110"/>
      <c r="AL3005" s="933"/>
      <c r="AM3005" s="933"/>
      <c r="AN3005" s="1100"/>
      <c r="AO3005" s="1100"/>
      <c r="AP3005" s="934"/>
      <c r="AQ3005" s="934"/>
      <c r="AR3005" s="934"/>
      <c r="AS3005" s="936"/>
      <c r="AT3005" s="936"/>
      <c r="AU3005" s="936"/>
      <c r="AV3005" s="937"/>
      <c r="AW3005" s="938"/>
      <c r="AX3005" s="939"/>
      <c r="AY3005" s="933"/>
      <c r="AZ3005" s="936"/>
      <c r="BA3005" s="936"/>
      <c r="BB3005" s="1112"/>
      <c r="BC3005" s="940"/>
      <c r="BD3005" s="941"/>
      <c r="BE3005" s="942"/>
      <c r="BF3005" s="943"/>
      <c r="BG3005" s="943"/>
      <c r="BH3005" s="943"/>
      <c r="BI3005" s="943"/>
      <c r="BJ3005" s="943"/>
      <c r="BK3005" s="943"/>
      <c r="BL3005" s="943"/>
      <c r="BM3005" s="943"/>
      <c r="BN3005" s="943"/>
      <c r="BO3005" s="1059"/>
      <c r="BP3005" s="1059"/>
      <c r="BQ3005" s="1059"/>
      <c r="BR3005" s="1059"/>
      <c r="BS3005" s="1059"/>
      <c r="BT3005" s="1059"/>
      <c r="BU3005" s="1059"/>
      <c r="BV3005" s="944"/>
      <c r="BW3005" s="944"/>
      <c r="BX3005" s="1147"/>
      <c r="BY3005" s="944"/>
      <c r="BZ3005" s="944"/>
      <c r="CA3005" s="944"/>
      <c r="CB3005" s="944"/>
    </row>
    <row r="3006" spans="2:80">
      <c r="B3006" s="1097"/>
      <c r="C3006" s="1097"/>
      <c r="D3006" s="1097"/>
      <c r="E3006" s="1097"/>
      <c r="F3006" s="934"/>
      <c r="G3006" s="1098"/>
      <c r="H3006" s="1099"/>
      <c r="I3006" s="1099"/>
      <c r="J3006" s="934"/>
      <c r="K3006" s="934"/>
      <c r="L3006" s="933"/>
      <c r="M3006" s="1100"/>
      <c r="N3006" s="934"/>
      <c r="O3006" s="936"/>
      <c r="P3006" s="936"/>
      <c r="Q3006" s="933"/>
      <c r="T3006" s="1101"/>
      <c r="U3006" s="1102"/>
      <c r="V3006" s="936"/>
      <c r="W3006" s="1103"/>
      <c r="X3006" s="1104"/>
      <c r="Y3006" s="1105"/>
      <c r="Z3006" s="1103"/>
      <c r="AC3006" s="1106"/>
      <c r="AD3006" s="1107"/>
      <c r="AE3006" s="1104"/>
      <c r="AG3006" s="1109"/>
      <c r="AI3006" s="1110"/>
      <c r="AL3006" s="933"/>
      <c r="AM3006" s="933"/>
      <c r="AN3006" s="1100"/>
      <c r="AO3006" s="1100"/>
      <c r="AP3006" s="934"/>
      <c r="AQ3006" s="934"/>
      <c r="AR3006" s="934"/>
      <c r="AS3006" s="936"/>
      <c r="AT3006" s="936"/>
      <c r="AU3006" s="936"/>
      <c r="AV3006" s="937"/>
      <c r="AW3006" s="938"/>
      <c r="AX3006" s="939"/>
      <c r="AY3006" s="933"/>
      <c r="AZ3006" s="936"/>
      <c r="BA3006" s="936"/>
      <c r="BB3006" s="1112"/>
      <c r="BC3006" s="940"/>
      <c r="BD3006" s="941"/>
      <c r="BE3006" s="942"/>
      <c r="BF3006" s="943"/>
      <c r="BG3006" s="943"/>
      <c r="BH3006" s="943"/>
      <c r="BI3006" s="943"/>
      <c r="BJ3006" s="943"/>
      <c r="BK3006" s="943"/>
      <c r="BL3006" s="943"/>
      <c r="BM3006" s="943"/>
      <c r="BN3006" s="943"/>
      <c r="BO3006" s="1059"/>
      <c r="BP3006" s="1059"/>
      <c r="BQ3006" s="1059"/>
      <c r="BR3006" s="1059"/>
      <c r="BS3006" s="1059"/>
      <c r="BT3006" s="1059"/>
      <c r="BU3006" s="1059"/>
      <c r="BV3006" s="944"/>
      <c r="BW3006" s="944"/>
      <c r="BX3006" s="1147"/>
      <c r="BY3006" s="944"/>
      <c r="BZ3006" s="944"/>
      <c r="CA3006" s="944"/>
      <c r="CB3006" s="944"/>
    </row>
    <row r="3007" spans="2:80">
      <c r="B3007" s="1097"/>
      <c r="C3007" s="1097"/>
      <c r="D3007" s="1097"/>
      <c r="E3007" s="1097"/>
      <c r="F3007" s="934"/>
      <c r="G3007" s="1098"/>
      <c r="H3007" s="1099"/>
      <c r="I3007" s="1099"/>
      <c r="J3007" s="934"/>
      <c r="K3007" s="934"/>
      <c r="L3007" s="933"/>
      <c r="M3007" s="1100"/>
      <c r="N3007" s="934"/>
      <c r="O3007" s="936"/>
      <c r="P3007" s="936"/>
      <c r="Q3007" s="933"/>
      <c r="T3007" s="1101"/>
      <c r="U3007" s="1102"/>
      <c r="V3007" s="936"/>
      <c r="W3007" s="1103"/>
      <c r="X3007" s="1104"/>
      <c r="Y3007" s="1105"/>
      <c r="Z3007" s="1103"/>
      <c r="AC3007" s="1106"/>
      <c r="AD3007" s="1107"/>
      <c r="AE3007" s="1104"/>
      <c r="AG3007" s="1109"/>
      <c r="AI3007" s="1110"/>
      <c r="AL3007" s="933"/>
      <c r="AM3007" s="933"/>
      <c r="AN3007" s="1100"/>
      <c r="AO3007" s="1100"/>
      <c r="AP3007" s="934"/>
      <c r="AQ3007" s="934"/>
      <c r="AR3007" s="934"/>
      <c r="AS3007" s="936"/>
      <c r="AT3007" s="936"/>
      <c r="AU3007" s="936"/>
      <c r="AV3007" s="937"/>
      <c r="AW3007" s="938"/>
      <c r="AX3007" s="939"/>
      <c r="AY3007" s="933"/>
      <c r="AZ3007" s="936"/>
      <c r="BA3007" s="936"/>
      <c r="BB3007" s="1112"/>
      <c r="BC3007" s="940"/>
      <c r="BD3007" s="941"/>
      <c r="BE3007" s="942"/>
      <c r="BF3007" s="943"/>
      <c r="BG3007" s="943"/>
      <c r="BH3007" s="943"/>
      <c r="BI3007" s="943"/>
      <c r="BJ3007" s="943"/>
      <c r="BK3007" s="943"/>
      <c r="BL3007" s="943"/>
      <c r="BM3007" s="943"/>
      <c r="BN3007" s="943"/>
      <c r="BO3007" s="1059"/>
      <c r="BP3007" s="1059"/>
      <c r="BQ3007" s="1059"/>
      <c r="BR3007" s="1059"/>
      <c r="BS3007" s="1059"/>
      <c r="BT3007" s="1059"/>
      <c r="BU3007" s="1059"/>
      <c r="BV3007" s="944"/>
      <c r="BW3007" s="944"/>
      <c r="BX3007" s="1147"/>
      <c r="BY3007" s="944"/>
      <c r="BZ3007" s="944"/>
      <c r="CA3007" s="944"/>
      <c r="CB3007" s="944"/>
    </row>
    <row r="3008" spans="2:80">
      <c r="B3008" s="1097"/>
      <c r="C3008" s="1097"/>
      <c r="D3008" s="1097"/>
      <c r="E3008" s="1097"/>
      <c r="F3008" s="934"/>
      <c r="G3008" s="1098"/>
      <c r="H3008" s="1099"/>
      <c r="I3008" s="1099"/>
      <c r="J3008" s="934"/>
      <c r="K3008" s="934"/>
      <c r="L3008" s="933"/>
      <c r="M3008" s="1100"/>
      <c r="N3008" s="934"/>
      <c r="O3008" s="936"/>
      <c r="P3008" s="936"/>
      <c r="Q3008" s="933"/>
      <c r="T3008" s="1101"/>
      <c r="U3008" s="1102"/>
      <c r="V3008" s="936"/>
      <c r="W3008" s="1103"/>
      <c r="X3008" s="1104"/>
      <c r="Y3008" s="1105"/>
      <c r="Z3008" s="1103"/>
      <c r="AC3008" s="1106"/>
      <c r="AD3008" s="1107"/>
      <c r="AE3008" s="1104"/>
      <c r="AG3008" s="1109"/>
      <c r="AI3008" s="1110"/>
      <c r="AL3008" s="933"/>
      <c r="AM3008" s="933"/>
      <c r="AN3008" s="1100"/>
      <c r="AO3008" s="1100"/>
      <c r="AP3008" s="934"/>
      <c r="AQ3008" s="934"/>
      <c r="AR3008" s="934"/>
      <c r="AS3008" s="936"/>
      <c r="AT3008" s="936"/>
      <c r="AU3008" s="936"/>
      <c r="AV3008" s="937"/>
      <c r="AW3008" s="938"/>
      <c r="AX3008" s="939"/>
      <c r="AY3008" s="933"/>
      <c r="AZ3008" s="936"/>
      <c r="BA3008" s="936"/>
      <c r="BB3008" s="1112"/>
      <c r="BC3008" s="940"/>
      <c r="BD3008" s="941"/>
      <c r="BE3008" s="942"/>
      <c r="BF3008" s="943"/>
      <c r="BG3008" s="943"/>
      <c r="BH3008" s="943"/>
      <c r="BI3008" s="943"/>
      <c r="BJ3008" s="943"/>
      <c r="BK3008" s="943"/>
      <c r="BL3008" s="943"/>
      <c r="BM3008" s="943"/>
      <c r="BN3008" s="943"/>
      <c r="BO3008" s="1059"/>
      <c r="BP3008" s="1059"/>
      <c r="BQ3008" s="1059"/>
      <c r="BR3008" s="1059"/>
      <c r="BS3008" s="1059"/>
      <c r="BT3008" s="1059"/>
      <c r="BU3008" s="1059"/>
      <c r="BV3008" s="944"/>
      <c r="BW3008" s="944"/>
      <c r="BX3008" s="1147"/>
      <c r="BY3008" s="944"/>
      <c r="BZ3008" s="944"/>
      <c r="CA3008" s="944"/>
      <c r="CB3008" s="944"/>
    </row>
    <row r="3009" spans="2:80">
      <c r="B3009" s="1097"/>
      <c r="C3009" s="1097"/>
      <c r="D3009" s="1097"/>
      <c r="E3009" s="1097"/>
      <c r="F3009" s="934"/>
      <c r="G3009" s="1098"/>
      <c r="H3009" s="1099"/>
      <c r="I3009" s="1099"/>
      <c r="J3009" s="934"/>
      <c r="K3009" s="934"/>
      <c r="L3009" s="933"/>
      <c r="M3009" s="1100"/>
      <c r="N3009" s="934"/>
      <c r="O3009" s="936"/>
      <c r="P3009" s="936"/>
      <c r="Q3009" s="933"/>
      <c r="T3009" s="1101"/>
      <c r="U3009" s="1102"/>
      <c r="V3009" s="936"/>
      <c r="W3009" s="1103"/>
      <c r="X3009" s="1104"/>
      <c r="Y3009" s="1105"/>
      <c r="Z3009" s="1103"/>
      <c r="AC3009" s="1106"/>
      <c r="AD3009" s="1107"/>
      <c r="AE3009" s="1104"/>
      <c r="AG3009" s="1109"/>
      <c r="AI3009" s="1110"/>
      <c r="AL3009" s="933"/>
      <c r="AM3009" s="933"/>
      <c r="AN3009" s="1100"/>
      <c r="AO3009" s="1100"/>
      <c r="AP3009" s="934"/>
      <c r="AQ3009" s="934"/>
      <c r="AR3009" s="934"/>
      <c r="AS3009" s="936"/>
      <c r="AT3009" s="936"/>
      <c r="AU3009" s="936"/>
      <c r="AV3009" s="937"/>
      <c r="AW3009" s="938"/>
      <c r="AX3009" s="939"/>
      <c r="AY3009" s="933"/>
      <c r="AZ3009" s="936"/>
      <c r="BA3009" s="936"/>
      <c r="BB3009" s="1112"/>
      <c r="BC3009" s="940"/>
      <c r="BD3009" s="941"/>
      <c r="BE3009" s="942"/>
      <c r="BF3009" s="943"/>
      <c r="BG3009" s="943"/>
      <c r="BH3009" s="943"/>
      <c r="BI3009" s="943"/>
      <c r="BJ3009" s="943"/>
      <c r="BK3009" s="943"/>
      <c r="BL3009" s="943"/>
      <c r="BM3009" s="943"/>
      <c r="BN3009" s="943"/>
      <c r="BO3009" s="1059"/>
      <c r="BP3009" s="1059"/>
      <c r="BQ3009" s="1059"/>
      <c r="BR3009" s="1059"/>
      <c r="BS3009" s="1059"/>
      <c r="BT3009" s="1059"/>
      <c r="BU3009" s="1059"/>
      <c r="BV3009" s="944"/>
      <c r="BW3009" s="944"/>
      <c r="BX3009" s="1147"/>
      <c r="BY3009" s="944"/>
      <c r="BZ3009" s="944"/>
      <c r="CA3009" s="944"/>
      <c r="CB3009" s="944"/>
    </row>
    <row r="3010" spans="2:80">
      <c r="B3010" s="1097"/>
      <c r="C3010" s="1097"/>
      <c r="D3010" s="1097"/>
      <c r="E3010" s="1097"/>
      <c r="F3010" s="934"/>
      <c r="G3010" s="1098"/>
      <c r="H3010" s="1099"/>
      <c r="I3010" s="1099"/>
      <c r="J3010" s="934"/>
      <c r="K3010" s="934"/>
      <c r="L3010" s="933"/>
      <c r="M3010" s="1100"/>
      <c r="N3010" s="934"/>
      <c r="O3010" s="936"/>
      <c r="P3010" s="936"/>
      <c r="Q3010" s="933"/>
      <c r="T3010" s="1101"/>
      <c r="U3010" s="1102"/>
      <c r="V3010" s="936"/>
      <c r="W3010" s="1103"/>
      <c r="X3010" s="1104"/>
      <c r="Y3010" s="1105"/>
      <c r="Z3010" s="1103"/>
      <c r="AC3010" s="1106"/>
      <c r="AD3010" s="1107"/>
      <c r="AE3010" s="1104"/>
      <c r="AG3010" s="1109"/>
      <c r="AI3010" s="1110"/>
      <c r="AL3010" s="933"/>
      <c r="AM3010" s="933"/>
      <c r="AN3010" s="1100"/>
      <c r="AO3010" s="1100"/>
      <c r="AP3010" s="934"/>
      <c r="AQ3010" s="934"/>
      <c r="AR3010" s="934"/>
      <c r="AS3010" s="936"/>
      <c r="AT3010" s="936"/>
      <c r="AU3010" s="936"/>
      <c r="AV3010" s="937"/>
      <c r="AW3010" s="938"/>
      <c r="AX3010" s="939"/>
      <c r="AY3010" s="933"/>
      <c r="AZ3010" s="936"/>
      <c r="BA3010" s="936"/>
      <c r="BB3010" s="1112"/>
      <c r="BC3010" s="940"/>
      <c r="BD3010" s="941"/>
      <c r="BE3010" s="942"/>
      <c r="BF3010" s="943"/>
      <c r="BG3010" s="943"/>
      <c r="BH3010" s="943"/>
      <c r="BI3010" s="943"/>
      <c r="BJ3010" s="943"/>
      <c r="BK3010" s="943"/>
      <c r="BL3010" s="943"/>
      <c r="BM3010" s="943"/>
      <c r="BN3010" s="943"/>
      <c r="BO3010" s="1059"/>
      <c r="BP3010" s="1059"/>
      <c r="BQ3010" s="1059"/>
      <c r="BR3010" s="1059"/>
      <c r="BS3010" s="1059"/>
      <c r="BT3010" s="1059"/>
      <c r="BU3010" s="1059"/>
      <c r="BV3010" s="944"/>
      <c r="BW3010" s="944"/>
      <c r="BX3010" s="1147"/>
      <c r="BY3010" s="944"/>
      <c r="BZ3010" s="944"/>
      <c r="CA3010" s="944"/>
      <c r="CB3010" s="944"/>
    </row>
    <row r="3011" spans="2:80">
      <c r="B3011" s="1097"/>
      <c r="C3011" s="1097"/>
      <c r="D3011" s="1097"/>
      <c r="E3011" s="1097"/>
      <c r="F3011" s="934"/>
      <c r="G3011" s="1098"/>
      <c r="H3011" s="1099"/>
      <c r="I3011" s="1099"/>
      <c r="J3011" s="934"/>
      <c r="K3011" s="934"/>
      <c r="L3011" s="933"/>
      <c r="M3011" s="1100"/>
      <c r="N3011" s="934"/>
      <c r="O3011" s="936"/>
      <c r="P3011" s="936"/>
      <c r="Q3011" s="933"/>
      <c r="T3011" s="1101"/>
      <c r="U3011" s="1102"/>
      <c r="V3011" s="936"/>
      <c r="W3011" s="1103"/>
      <c r="X3011" s="1104"/>
      <c r="Y3011" s="1105"/>
      <c r="Z3011" s="1103"/>
      <c r="AC3011" s="1106"/>
      <c r="AD3011" s="1107"/>
      <c r="AE3011" s="1104"/>
      <c r="AG3011" s="1109"/>
      <c r="AI3011" s="1110"/>
      <c r="AL3011" s="933"/>
      <c r="AM3011" s="933"/>
      <c r="AN3011" s="1100"/>
      <c r="AO3011" s="1100"/>
      <c r="AP3011" s="934"/>
      <c r="AQ3011" s="934"/>
      <c r="AR3011" s="934"/>
      <c r="AS3011" s="936"/>
      <c r="AT3011" s="936"/>
      <c r="AU3011" s="936"/>
      <c r="AV3011" s="937"/>
      <c r="AW3011" s="938"/>
      <c r="AX3011" s="939"/>
      <c r="AY3011" s="933"/>
      <c r="AZ3011" s="936"/>
      <c r="BA3011" s="936"/>
      <c r="BB3011" s="1112"/>
      <c r="BC3011" s="940"/>
      <c r="BD3011" s="941"/>
      <c r="BE3011" s="942"/>
      <c r="BF3011" s="943"/>
      <c r="BG3011" s="943"/>
      <c r="BH3011" s="943"/>
      <c r="BI3011" s="943"/>
      <c r="BJ3011" s="943"/>
      <c r="BK3011" s="943"/>
      <c r="BL3011" s="943"/>
      <c r="BM3011" s="943"/>
      <c r="BN3011" s="943"/>
      <c r="BO3011" s="1059"/>
      <c r="BP3011" s="1059"/>
      <c r="BQ3011" s="1059"/>
      <c r="BR3011" s="1059"/>
      <c r="BS3011" s="1059"/>
      <c r="BT3011" s="1059"/>
      <c r="BU3011" s="1059"/>
      <c r="BV3011" s="944"/>
      <c r="BW3011" s="944"/>
      <c r="BX3011" s="1147"/>
      <c r="BY3011" s="944"/>
      <c r="BZ3011" s="944"/>
      <c r="CA3011" s="944"/>
      <c r="CB3011" s="944"/>
    </row>
    <row r="3012" spans="2:80">
      <c r="B3012" s="1097"/>
      <c r="C3012" s="1097"/>
      <c r="D3012" s="1097"/>
      <c r="E3012" s="1097"/>
      <c r="F3012" s="934"/>
      <c r="G3012" s="1098"/>
      <c r="H3012" s="1099"/>
      <c r="I3012" s="1099"/>
      <c r="J3012" s="934"/>
      <c r="K3012" s="934"/>
      <c r="L3012" s="933"/>
      <c r="M3012" s="1100"/>
      <c r="N3012" s="934"/>
      <c r="O3012" s="936"/>
      <c r="P3012" s="936"/>
      <c r="Q3012" s="933"/>
      <c r="T3012" s="1101"/>
      <c r="U3012" s="1102"/>
      <c r="V3012" s="936"/>
      <c r="W3012" s="1103"/>
      <c r="X3012" s="1104"/>
      <c r="Y3012" s="1105"/>
      <c r="Z3012" s="1103"/>
      <c r="AC3012" s="1106"/>
      <c r="AD3012" s="1107"/>
      <c r="AE3012" s="1104"/>
      <c r="AG3012" s="1109"/>
      <c r="AI3012" s="1110"/>
      <c r="AL3012" s="933"/>
      <c r="AM3012" s="933"/>
      <c r="AN3012" s="1100"/>
      <c r="AO3012" s="1100"/>
      <c r="AP3012" s="934"/>
      <c r="AQ3012" s="934"/>
      <c r="AR3012" s="934"/>
      <c r="AS3012" s="936"/>
      <c r="AT3012" s="936"/>
      <c r="AU3012" s="936"/>
      <c r="AV3012" s="937"/>
      <c r="AW3012" s="938"/>
      <c r="AX3012" s="939"/>
      <c r="AY3012" s="933"/>
      <c r="AZ3012" s="936"/>
      <c r="BA3012" s="936"/>
      <c r="BB3012" s="1112"/>
      <c r="BC3012" s="940"/>
      <c r="BD3012" s="941"/>
      <c r="BE3012" s="942"/>
      <c r="BF3012" s="943"/>
      <c r="BG3012" s="943"/>
      <c r="BH3012" s="943"/>
      <c r="BI3012" s="943"/>
      <c r="BJ3012" s="943"/>
      <c r="BK3012" s="943"/>
      <c r="BL3012" s="943"/>
      <c r="BM3012" s="943"/>
      <c r="BN3012" s="943"/>
      <c r="BO3012" s="1059"/>
      <c r="BP3012" s="1059"/>
      <c r="BQ3012" s="1059"/>
      <c r="BR3012" s="1059"/>
      <c r="BS3012" s="1059"/>
      <c r="BT3012" s="1059"/>
      <c r="BU3012" s="1059"/>
      <c r="BV3012" s="944"/>
      <c r="BW3012" s="944"/>
      <c r="BX3012" s="1147"/>
      <c r="BY3012" s="944"/>
      <c r="BZ3012" s="944"/>
      <c r="CA3012" s="944"/>
      <c r="CB3012" s="944"/>
    </row>
    <row r="3013" spans="2:80">
      <c r="B3013" s="1097"/>
      <c r="C3013" s="1097"/>
      <c r="D3013" s="1097"/>
      <c r="E3013" s="1097"/>
      <c r="F3013" s="934"/>
      <c r="G3013" s="1098"/>
      <c r="H3013" s="1099"/>
      <c r="I3013" s="1099"/>
      <c r="J3013" s="934"/>
      <c r="K3013" s="934"/>
      <c r="L3013" s="933"/>
      <c r="M3013" s="1100"/>
      <c r="N3013" s="934"/>
      <c r="O3013" s="936"/>
      <c r="P3013" s="936"/>
      <c r="Q3013" s="933"/>
      <c r="T3013" s="1101"/>
      <c r="U3013" s="1102"/>
      <c r="V3013" s="936"/>
      <c r="W3013" s="1103"/>
      <c r="X3013" s="1104"/>
      <c r="Y3013" s="1105"/>
      <c r="Z3013" s="1103"/>
      <c r="AC3013" s="1106"/>
      <c r="AD3013" s="1107"/>
      <c r="AE3013" s="1104"/>
      <c r="AG3013" s="1109"/>
      <c r="AI3013" s="1110"/>
      <c r="AL3013" s="933"/>
      <c r="AM3013" s="933"/>
      <c r="AN3013" s="1100"/>
      <c r="AO3013" s="1100"/>
      <c r="AP3013" s="934"/>
      <c r="AQ3013" s="934"/>
      <c r="AR3013" s="934"/>
      <c r="AS3013" s="936"/>
      <c r="AT3013" s="936"/>
      <c r="AU3013" s="936"/>
      <c r="AV3013" s="937"/>
      <c r="AW3013" s="938"/>
      <c r="AX3013" s="939"/>
      <c r="AY3013" s="933"/>
      <c r="AZ3013" s="936"/>
      <c r="BA3013" s="936"/>
      <c r="BB3013" s="1112"/>
      <c r="BC3013" s="940"/>
      <c r="BD3013" s="941"/>
      <c r="BE3013" s="942"/>
      <c r="BF3013" s="943"/>
      <c r="BG3013" s="943"/>
      <c r="BH3013" s="943"/>
      <c r="BI3013" s="943"/>
      <c r="BJ3013" s="943"/>
      <c r="BK3013" s="943"/>
      <c r="BL3013" s="943"/>
      <c r="BM3013" s="943"/>
      <c r="BN3013" s="943"/>
      <c r="BO3013" s="1059"/>
      <c r="BP3013" s="1059"/>
      <c r="BQ3013" s="1059"/>
      <c r="BR3013" s="1059"/>
      <c r="BS3013" s="1059"/>
      <c r="BT3013" s="1059"/>
      <c r="BU3013" s="1059"/>
      <c r="BV3013" s="944"/>
      <c r="BW3013" s="944"/>
      <c r="BX3013" s="1147"/>
      <c r="BY3013" s="944"/>
      <c r="BZ3013" s="944"/>
      <c r="CA3013" s="944"/>
      <c r="CB3013" s="944"/>
    </row>
    <row r="3014" spans="2:80">
      <c r="B3014" s="1097"/>
      <c r="C3014" s="1097"/>
      <c r="D3014" s="1097"/>
      <c r="E3014" s="1097"/>
      <c r="F3014" s="934"/>
      <c r="G3014" s="1098"/>
      <c r="H3014" s="1099"/>
      <c r="I3014" s="1099"/>
      <c r="J3014" s="934"/>
      <c r="K3014" s="934"/>
      <c r="L3014" s="933"/>
      <c r="M3014" s="1100"/>
      <c r="N3014" s="934"/>
      <c r="O3014" s="936"/>
      <c r="P3014" s="936"/>
      <c r="Q3014" s="933"/>
      <c r="T3014" s="1101"/>
      <c r="U3014" s="1102"/>
      <c r="V3014" s="936"/>
      <c r="W3014" s="1103"/>
      <c r="X3014" s="1104"/>
      <c r="Y3014" s="1105"/>
      <c r="Z3014" s="1103"/>
      <c r="AC3014" s="1106"/>
      <c r="AD3014" s="1107"/>
      <c r="AE3014" s="1104"/>
      <c r="AG3014" s="1109"/>
      <c r="AI3014" s="1110"/>
      <c r="AL3014" s="933"/>
      <c r="AM3014" s="933"/>
      <c r="AN3014" s="1100"/>
      <c r="AO3014" s="1100"/>
      <c r="AP3014" s="934"/>
      <c r="AQ3014" s="934"/>
      <c r="AR3014" s="934"/>
      <c r="AS3014" s="936"/>
      <c r="AT3014" s="936"/>
      <c r="AU3014" s="936"/>
      <c r="AV3014" s="937"/>
      <c r="AW3014" s="938"/>
      <c r="AX3014" s="939"/>
      <c r="AY3014" s="933"/>
      <c r="AZ3014" s="936"/>
      <c r="BA3014" s="936"/>
      <c r="BB3014" s="1112"/>
      <c r="BC3014" s="940"/>
      <c r="BD3014" s="941"/>
      <c r="BE3014" s="942"/>
      <c r="BF3014" s="943"/>
      <c r="BG3014" s="943"/>
      <c r="BH3014" s="943"/>
      <c r="BI3014" s="943"/>
      <c r="BJ3014" s="943"/>
      <c r="BK3014" s="943"/>
      <c r="BL3014" s="943"/>
      <c r="BM3014" s="943"/>
      <c r="BN3014" s="943"/>
      <c r="BO3014" s="1059"/>
      <c r="BP3014" s="1059"/>
      <c r="BQ3014" s="1059"/>
      <c r="BR3014" s="1059"/>
      <c r="BS3014" s="1059"/>
      <c r="BT3014" s="1059"/>
      <c r="BU3014" s="1059"/>
      <c r="BV3014" s="944"/>
      <c r="BW3014" s="944"/>
      <c r="BX3014" s="1147"/>
      <c r="BY3014" s="944"/>
      <c r="BZ3014" s="944"/>
      <c r="CA3014" s="944"/>
      <c r="CB3014" s="944"/>
    </row>
    <row r="3015" spans="2:80">
      <c r="B3015" s="1097"/>
      <c r="C3015" s="1097"/>
      <c r="D3015" s="1097"/>
      <c r="E3015" s="1097"/>
      <c r="F3015" s="934"/>
      <c r="G3015" s="1098"/>
      <c r="H3015" s="1099"/>
      <c r="I3015" s="1099"/>
      <c r="J3015" s="934"/>
      <c r="K3015" s="934"/>
      <c r="L3015" s="933"/>
      <c r="M3015" s="1100"/>
      <c r="N3015" s="934"/>
      <c r="O3015" s="936"/>
      <c r="P3015" s="936"/>
      <c r="Q3015" s="933"/>
      <c r="T3015" s="1101"/>
      <c r="U3015" s="1102"/>
      <c r="V3015" s="936"/>
      <c r="W3015" s="1103"/>
      <c r="X3015" s="1104"/>
      <c r="Y3015" s="1105"/>
      <c r="Z3015" s="1103"/>
      <c r="AC3015" s="1106"/>
      <c r="AD3015" s="1107"/>
      <c r="AE3015" s="1104"/>
      <c r="AG3015" s="1109"/>
      <c r="AI3015" s="1110"/>
      <c r="AL3015" s="933"/>
      <c r="AM3015" s="933"/>
      <c r="AN3015" s="1100"/>
      <c r="AO3015" s="1100"/>
      <c r="AP3015" s="934"/>
      <c r="AQ3015" s="934"/>
      <c r="AR3015" s="934"/>
      <c r="AS3015" s="936"/>
      <c r="AT3015" s="936"/>
      <c r="AU3015" s="936"/>
      <c r="AV3015" s="937"/>
      <c r="AW3015" s="938"/>
      <c r="AX3015" s="939"/>
      <c r="AY3015" s="933"/>
      <c r="AZ3015" s="936"/>
      <c r="BA3015" s="936"/>
      <c r="BB3015" s="1112"/>
      <c r="BC3015" s="940"/>
      <c r="BD3015" s="941"/>
      <c r="BE3015" s="942"/>
      <c r="BF3015" s="943"/>
      <c r="BG3015" s="943"/>
      <c r="BH3015" s="943"/>
      <c r="BI3015" s="943"/>
      <c r="BJ3015" s="943"/>
      <c r="BK3015" s="943"/>
      <c r="BL3015" s="943"/>
      <c r="BM3015" s="943"/>
      <c r="BN3015" s="943"/>
      <c r="BO3015" s="1059"/>
      <c r="BP3015" s="1059"/>
      <c r="BQ3015" s="1059"/>
      <c r="BR3015" s="1059"/>
      <c r="BS3015" s="1059"/>
      <c r="BT3015" s="1059"/>
      <c r="BU3015" s="1059"/>
      <c r="BV3015" s="944"/>
      <c r="BW3015" s="944"/>
      <c r="BX3015" s="1147"/>
      <c r="BY3015" s="944"/>
      <c r="BZ3015" s="944"/>
      <c r="CA3015" s="944"/>
      <c r="CB3015" s="944"/>
    </row>
    <row r="3016" spans="2:80">
      <c r="B3016" s="1097"/>
      <c r="C3016" s="1097"/>
      <c r="D3016" s="1097"/>
      <c r="E3016" s="1097"/>
      <c r="F3016" s="934"/>
      <c r="G3016" s="1098"/>
      <c r="H3016" s="1099"/>
      <c r="I3016" s="1099"/>
      <c r="J3016" s="934"/>
      <c r="K3016" s="934"/>
      <c r="L3016" s="933"/>
      <c r="M3016" s="1100"/>
      <c r="N3016" s="934"/>
      <c r="O3016" s="936"/>
      <c r="P3016" s="936"/>
      <c r="Q3016" s="933"/>
      <c r="T3016" s="1101"/>
      <c r="U3016" s="1102"/>
      <c r="V3016" s="936"/>
      <c r="W3016" s="1103"/>
      <c r="X3016" s="1104"/>
      <c r="Y3016" s="1105"/>
      <c r="Z3016" s="1103"/>
      <c r="AC3016" s="1106"/>
      <c r="AD3016" s="1107"/>
      <c r="AE3016" s="1104"/>
      <c r="AG3016" s="1109"/>
      <c r="AI3016" s="1110"/>
      <c r="AL3016" s="933"/>
      <c r="AM3016" s="933"/>
      <c r="AN3016" s="1100"/>
      <c r="AO3016" s="1100"/>
      <c r="AP3016" s="934"/>
      <c r="AQ3016" s="934"/>
      <c r="AR3016" s="934"/>
      <c r="AS3016" s="936"/>
      <c r="AT3016" s="936"/>
      <c r="AU3016" s="936"/>
      <c r="AV3016" s="937"/>
      <c r="AW3016" s="938"/>
      <c r="AX3016" s="939"/>
      <c r="AY3016" s="933"/>
      <c r="AZ3016" s="936"/>
      <c r="BA3016" s="936"/>
      <c r="BB3016" s="1112"/>
      <c r="BC3016" s="940"/>
      <c r="BD3016" s="941"/>
      <c r="BE3016" s="942"/>
      <c r="BF3016" s="943"/>
      <c r="BG3016" s="943"/>
      <c r="BH3016" s="943"/>
      <c r="BI3016" s="943"/>
      <c r="BJ3016" s="943"/>
      <c r="BK3016" s="943"/>
      <c r="BL3016" s="943"/>
      <c r="BM3016" s="943"/>
      <c r="BN3016" s="943"/>
      <c r="BO3016" s="1059"/>
      <c r="BP3016" s="1059"/>
      <c r="BQ3016" s="1059"/>
      <c r="BR3016" s="1059"/>
      <c r="BS3016" s="1059"/>
      <c r="BT3016" s="1059"/>
      <c r="BU3016" s="1059"/>
      <c r="BV3016" s="944"/>
      <c r="BW3016" s="944"/>
      <c r="BX3016" s="1147"/>
      <c r="BY3016" s="944"/>
      <c r="BZ3016" s="944"/>
      <c r="CA3016" s="944"/>
      <c r="CB3016" s="944"/>
    </row>
    <row r="3017" spans="2:80">
      <c r="B3017" s="1097"/>
      <c r="C3017" s="1097"/>
      <c r="D3017" s="1097"/>
      <c r="E3017" s="1097"/>
      <c r="F3017" s="934"/>
      <c r="G3017" s="1098"/>
      <c r="H3017" s="1099"/>
      <c r="I3017" s="1099"/>
      <c r="J3017" s="934"/>
      <c r="K3017" s="934"/>
      <c r="L3017" s="933"/>
      <c r="M3017" s="1100"/>
      <c r="N3017" s="934"/>
      <c r="O3017" s="936"/>
      <c r="P3017" s="936"/>
      <c r="Q3017" s="933"/>
      <c r="T3017" s="1101"/>
      <c r="U3017" s="1102"/>
      <c r="V3017" s="936"/>
      <c r="W3017" s="1103"/>
      <c r="X3017" s="1104"/>
      <c r="Y3017" s="1105"/>
      <c r="Z3017" s="1103"/>
      <c r="AC3017" s="1106"/>
      <c r="AD3017" s="1107"/>
      <c r="AE3017" s="1104"/>
      <c r="AG3017" s="1109"/>
      <c r="AI3017" s="1110"/>
      <c r="AL3017" s="933"/>
      <c r="AM3017" s="933"/>
      <c r="AN3017" s="1100"/>
      <c r="AO3017" s="1100"/>
      <c r="AP3017" s="934"/>
      <c r="AQ3017" s="934"/>
      <c r="AR3017" s="934"/>
      <c r="AS3017" s="936"/>
      <c r="AT3017" s="936"/>
      <c r="AU3017" s="936"/>
      <c r="AV3017" s="937"/>
      <c r="AW3017" s="938"/>
      <c r="AX3017" s="939"/>
      <c r="AY3017" s="933"/>
      <c r="AZ3017" s="936"/>
      <c r="BA3017" s="936"/>
      <c r="BB3017" s="1112"/>
      <c r="BC3017" s="940"/>
      <c r="BD3017" s="941"/>
      <c r="BE3017" s="942"/>
      <c r="BF3017" s="943"/>
      <c r="BG3017" s="943"/>
      <c r="BH3017" s="943"/>
      <c r="BI3017" s="943"/>
      <c r="BJ3017" s="943"/>
      <c r="BK3017" s="943"/>
      <c r="BL3017" s="943"/>
      <c r="BM3017" s="943"/>
      <c r="BN3017" s="943"/>
      <c r="BO3017" s="1059"/>
      <c r="BP3017" s="1059"/>
      <c r="BQ3017" s="1059"/>
      <c r="BR3017" s="1059"/>
      <c r="BS3017" s="1059"/>
      <c r="BT3017" s="1059"/>
      <c r="BU3017" s="1059"/>
      <c r="BV3017" s="944"/>
      <c r="BW3017" s="944"/>
      <c r="BX3017" s="1147"/>
      <c r="BY3017" s="944"/>
      <c r="BZ3017" s="944"/>
      <c r="CA3017" s="944"/>
      <c r="CB3017" s="944"/>
    </row>
    <row r="3018" spans="2:80">
      <c r="B3018" s="1097"/>
      <c r="C3018" s="1097"/>
      <c r="D3018" s="1097"/>
      <c r="E3018" s="1097"/>
      <c r="F3018" s="934"/>
      <c r="G3018" s="1098"/>
      <c r="H3018" s="1099"/>
      <c r="I3018" s="1099"/>
      <c r="J3018" s="934"/>
      <c r="K3018" s="934"/>
      <c r="L3018" s="933"/>
      <c r="M3018" s="1100"/>
      <c r="N3018" s="934"/>
      <c r="O3018" s="936"/>
      <c r="P3018" s="936"/>
      <c r="Q3018" s="933"/>
      <c r="T3018" s="1101"/>
      <c r="U3018" s="1102"/>
      <c r="V3018" s="936"/>
      <c r="W3018" s="1103"/>
      <c r="X3018" s="1104"/>
      <c r="Y3018" s="1105"/>
      <c r="Z3018" s="1103"/>
      <c r="AC3018" s="1106"/>
      <c r="AD3018" s="1107"/>
      <c r="AE3018" s="1104"/>
      <c r="AG3018" s="1109"/>
      <c r="AI3018" s="1110"/>
      <c r="AL3018" s="933"/>
      <c r="AM3018" s="933"/>
      <c r="AN3018" s="1100"/>
      <c r="AO3018" s="1100"/>
      <c r="AP3018" s="934"/>
      <c r="AQ3018" s="934"/>
      <c r="AR3018" s="934"/>
      <c r="AS3018" s="936"/>
      <c r="AT3018" s="936"/>
      <c r="AU3018" s="936"/>
      <c r="AV3018" s="937"/>
      <c r="AW3018" s="938"/>
      <c r="AX3018" s="939"/>
      <c r="AY3018" s="933"/>
      <c r="AZ3018" s="936"/>
      <c r="BA3018" s="936"/>
      <c r="BB3018" s="1112"/>
      <c r="BC3018" s="940"/>
      <c r="BD3018" s="941"/>
      <c r="BE3018" s="942"/>
      <c r="BF3018" s="943"/>
      <c r="BG3018" s="943"/>
      <c r="BH3018" s="943"/>
      <c r="BI3018" s="943"/>
      <c r="BJ3018" s="943"/>
      <c r="BK3018" s="943"/>
      <c r="BL3018" s="943"/>
      <c r="BM3018" s="943"/>
      <c r="BN3018" s="943"/>
      <c r="BO3018" s="1059"/>
      <c r="BP3018" s="1059"/>
      <c r="BQ3018" s="1059"/>
      <c r="BR3018" s="1059"/>
      <c r="BS3018" s="1059"/>
      <c r="BT3018" s="1059"/>
      <c r="BU3018" s="1059"/>
      <c r="BV3018" s="944"/>
      <c r="BW3018" s="944"/>
      <c r="BX3018" s="1147"/>
      <c r="BY3018" s="944"/>
      <c r="BZ3018" s="944"/>
      <c r="CA3018" s="944"/>
      <c r="CB3018" s="944"/>
    </row>
    <row r="3019" spans="2:80">
      <c r="B3019" s="1097"/>
      <c r="C3019" s="1097"/>
      <c r="D3019" s="1097"/>
      <c r="E3019" s="1097"/>
      <c r="F3019" s="934"/>
      <c r="G3019" s="1098"/>
      <c r="H3019" s="1099"/>
      <c r="I3019" s="1099"/>
      <c r="J3019" s="934"/>
      <c r="K3019" s="934"/>
      <c r="L3019" s="933"/>
      <c r="M3019" s="1100"/>
      <c r="N3019" s="934"/>
      <c r="O3019" s="936"/>
      <c r="P3019" s="936"/>
      <c r="Q3019" s="933"/>
      <c r="T3019" s="1101"/>
      <c r="U3019" s="1102"/>
      <c r="V3019" s="936"/>
      <c r="W3019" s="1103"/>
      <c r="X3019" s="1104"/>
      <c r="Y3019" s="1105"/>
      <c r="Z3019" s="1103"/>
      <c r="AC3019" s="1106"/>
      <c r="AD3019" s="1107"/>
      <c r="AE3019" s="1104"/>
      <c r="AG3019" s="1109"/>
      <c r="AI3019" s="1110"/>
      <c r="AL3019" s="933"/>
      <c r="AM3019" s="933"/>
      <c r="AN3019" s="1100"/>
      <c r="AO3019" s="1100"/>
      <c r="AP3019" s="934"/>
      <c r="AQ3019" s="934"/>
      <c r="AR3019" s="934"/>
      <c r="AS3019" s="936"/>
      <c r="AT3019" s="936"/>
      <c r="AU3019" s="936"/>
      <c r="AV3019" s="937"/>
      <c r="AW3019" s="938"/>
      <c r="AX3019" s="939"/>
      <c r="AY3019" s="933"/>
      <c r="AZ3019" s="936"/>
      <c r="BA3019" s="936"/>
      <c r="BB3019" s="1112"/>
      <c r="BC3019" s="940"/>
      <c r="BD3019" s="941"/>
      <c r="BE3019" s="942"/>
      <c r="BF3019" s="943"/>
      <c r="BG3019" s="943"/>
      <c r="BH3019" s="943"/>
      <c r="BI3019" s="943"/>
      <c r="BJ3019" s="943"/>
      <c r="BK3019" s="943"/>
      <c r="BL3019" s="943"/>
      <c r="BM3019" s="943"/>
      <c r="BN3019" s="943"/>
      <c r="BO3019" s="1059"/>
      <c r="BP3019" s="1059"/>
      <c r="BQ3019" s="1059"/>
      <c r="BR3019" s="1059"/>
      <c r="BS3019" s="1059"/>
      <c r="BT3019" s="1059"/>
      <c r="BU3019" s="1059"/>
      <c r="BV3019" s="944"/>
      <c r="BW3019" s="944"/>
      <c r="BX3019" s="1147"/>
      <c r="BY3019" s="944"/>
      <c r="BZ3019" s="944"/>
      <c r="CA3019" s="944"/>
      <c r="CB3019" s="944"/>
    </row>
    <row r="3020" spans="2:80">
      <c r="B3020" s="1097"/>
      <c r="C3020" s="1097"/>
      <c r="D3020" s="1097"/>
      <c r="E3020" s="1097"/>
      <c r="F3020" s="934"/>
      <c r="G3020" s="1098"/>
      <c r="H3020" s="1099"/>
      <c r="I3020" s="1099"/>
      <c r="J3020" s="934"/>
      <c r="K3020" s="934"/>
      <c r="L3020" s="933"/>
      <c r="M3020" s="1100"/>
      <c r="N3020" s="934"/>
      <c r="O3020" s="936"/>
      <c r="P3020" s="936"/>
      <c r="Q3020" s="933"/>
      <c r="T3020" s="1101"/>
      <c r="U3020" s="1102"/>
      <c r="V3020" s="936"/>
      <c r="W3020" s="1103"/>
      <c r="X3020" s="1104"/>
      <c r="Y3020" s="1105"/>
      <c r="Z3020" s="1103"/>
      <c r="AC3020" s="1106"/>
      <c r="AD3020" s="1107"/>
      <c r="AE3020" s="1104"/>
      <c r="AG3020" s="1109"/>
      <c r="AI3020" s="1110"/>
      <c r="AL3020" s="933"/>
      <c r="AM3020" s="933"/>
      <c r="AN3020" s="1100"/>
      <c r="AO3020" s="1100"/>
      <c r="AP3020" s="934"/>
      <c r="AQ3020" s="934"/>
      <c r="AR3020" s="934"/>
      <c r="AS3020" s="936"/>
      <c r="AT3020" s="936"/>
      <c r="AU3020" s="936"/>
      <c r="AV3020" s="937"/>
      <c r="AW3020" s="938"/>
      <c r="AX3020" s="939"/>
      <c r="AY3020" s="933"/>
      <c r="AZ3020" s="936"/>
      <c r="BA3020" s="936"/>
      <c r="BB3020" s="1112"/>
      <c r="BC3020" s="940"/>
      <c r="BD3020" s="941"/>
      <c r="BE3020" s="942"/>
      <c r="BF3020" s="943"/>
      <c r="BG3020" s="943"/>
      <c r="BH3020" s="943"/>
      <c r="BI3020" s="943"/>
      <c r="BJ3020" s="943"/>
      <c r="BK3020" s="943"/>
      <c r="BL3020" s="943"/>
      <c r="BM3020" s="943"/>
      <c r="BN3020" s="943"/>
      <c r="BO3020" s="1059"/>
      <c r="BP3020" s="1059"/>
      <c r="BQ3020" s="1059"/>
      <c r="BR3020" s="1059"/>
      <c r="BS3020" s="1059"/>
      <c r="BT3020" s="1059"/>
      <c r="BU3020" s="1059"/>
      <c r="BV3020" s="944"/>
      <c r="BW3020" s="944"/>
      <c r="BX3020" s="1147"/>
      <c r="BY3020" s="944"/>
      <c r="BZ3020" s="944"/>
      <c r="CA3020" s="944"/>
      <c r="CB3020" s="944"/>
    </row>
    <row r="3021" spans="2:80">
      <c r="B3021" s="1097"/>
      <c r="C3021" s="1097"/>
      <c r="D3021" s="1097"/>
      <c r="E3021" s="1097"/>
      <c r="F3021" s="934"/>
      <c r="G3021" s="1098"/>
      <c r="H3021" s="1099"/>
      <c r="I3021" s="1099"/>
      <c r="J3021" s="934"/>
      <c r="K3021" s="934"/>
      <c r="L3021" s="933"/>
      <c r="M3021" s="1100"/>
      <c r="N3021" s="934"/>
      <c r="O3021" s="936"/>
      <c r="P3021" s="936"/>
      <c r="Q3021" s="933"/>
      <c r="T3021" s="1101"/>
      <c r="U3021" s="1102"/>
      <c r="V3021" s="936"/>
      <c r="W3021" s="1103"/>
      <c r="X3021" s="1104"/>
      <c r="Y3021" s="1105"/>
      <c r="Z3021" s="1103"/>
      <c r="AC3021" s="1106"/>
      <c r="AD3021" s="1107"/>
      <c r="AE3021" s="1104"/>
      <c r="AG3021" s="1109"/>
      <c r="AI3021" s="1110"/>
      <c r="AL3021" s="933"/>
      <c r="AM3021" s="933"/>
      <c r="AN3021" s="1100"/>
      <c r="AO3021" s="1100"/>
      <c r="AP3021" s="934"/>
      <c r="AQ3021" s="934"/>
      <c r="AR3021" s="934"/>
      <c r="AS3021" s="936"/>
      <c r="AT3021" s="936"/>
      <c r="AU3021" s="936"/>
      <c r="AV3021" s="937"/>
      <c r="AW3021" s="938"/>
      <c r="AX3021" s="939"/>
      <c r="AY3021" s="933"/>
      <c r="AZ3021" s="936"/>
      <c r="BA3021" s="936"/>
      <c r="BB3021" s="1112"/>
      <c r="BC3021" s="940"/>
      <c r="BD3021" s="941"/>
      <c r="BE3021" s="942"/>
      <c r="BF3021" s="943"/>
      <c r="BG3021" s="943"/>
      <c r="BH3021" s="943"/>
      <c r="BI3021" s="943"/>
      <c r="BJ3021" s="943"/>
      <c r="BK3021" s="943"/>
      <c r="BL3021" s="943"/>
      <c r="BM3021" s="943"/>
      <c r="BN3021" s="943"/>
      <c r="BO3021" s="1059"/>
      <c r="BP3021" s="1059"/>
      <c r="BQ3021" s="1059"/>
      <c r="BR3021" s="1059"/>
      <c r="BS3021" s="1059"/>
      <c r="BT3021" s="1059"/>
      <c r="BU3021" s="1059"/>
      <c r="BV3021" s="944"/>
      <c r="BW3021" s="944"/>
      <c r="BX3021" s="1147"/>
      <c r="BY3021" s="944"/>
      <c r="BZ3021" s="944"/>
      <c r="CA3021" s="944"/>
      <c r="CB3021" s="944"/>
    </row>
    <row r="3022" spans="2:80">
      <c r="B3022" s="1097"/>
      <c r="C3022" s="1097"/>
      <c r="D3022" s="1097"/>
      <c r="E3022" s="1097"/>
      <c r="F3022" s="934"/>
      <c r="G3022" s="1098"/>
      <c r="H3022" s="1099"/>
      <c r="I3022" s="1099"/>
      <c r="J3022" s="934"/>
      <c r="K3022" s="934"/>
      <c r="L3022" s="933"/>
      <c r="M3022" s="1100"/>
      <c r="N3022" s="934"/>
      <c r="O3022" s="936"/>
      <c r="P3022" s="936"/>
      <c r="Q3022" s="933"/>
      <c r="T3022" s="1101"/>
      <c r="U3022" s="1102"/>
      <c r="V3022" s="936"/>
      <c r="W3022" s="1103"/>
      <c r="X3022" s="1104"/>
      <c r="Y3022" s="1105"/>
      <c r="Z3022" s="1103"/>
      <c r="AC3022" s="1106"/>
      <c r="AD3022" s="1107"/>
      <c r="AE3022" s="1104"/>
      <c r="AG3022" s="1109"/>
      <c r="AI3022" s="1110"/>
      <c r="AL3022" s="933"/>
      <c r="AM3022" s="933"/>
      <c r="AN3022" s="1100"/>
      <c r="AO3022" s="1100"/>
      <c r="AP3022" s="934"/>
      <c r="AQ3022" s="934"/>
      <c r="AR3022" s="934"/>
      <c r="AS3022" s="936"/>
      <c r="AT3022" s="936"/>
      <c r="AU3022" s="936"/>
      <c r="AV3022" s="937"/>
      <c r="AW3022" s="938"/>
      <c r="AX3022" s="939"/>
      <c r="AY3022" s="933"/>
      <c r="AZ3022" s="936"/>
      <c r="BA3022" s="936"/>
      <c r="BB3022" s="1112"/>
      <c r="BC3022" s="940"/>
      <c r="BD3022" s="941"/>
      <c r="BE3022" s="942"/>
      <c r="BF3022" s="943"/>
      <c r="BG3022" s="943"/>
      <c r="BH3022" s="943"/>
      <c r="BI3022" s="943"/>
      <c r="BJ3022" s="943"/>
      <c r="BK3022" s="943"/>
      <c r="BL3022" s="943"/>
      <c r="BM3022" s="943"/>
      <c r="BN3022" s="943"/>
      <c r="BO3022" s="1059"/>
      <c r="BP3022" s="1059"/>
      <c r="BQ3022" s="1059"/>
      <c r="BR3022" s="1059"/>
      <c r="BS3022" s="1059"/>
      <c r="BT3022" s="1059"/>
      <c r="BU3022" s="1059"/>
      <c r="BV3022" s="944"/>
      <c r="BW3022" s="944"/>
      <c r="BX3022" s="1147"/>
      <c r="BY3022" s="944"/>
      <c r="BZ3022" s="944"/>
      <c r="CA3022" s="944"/>
      <c r="CB3022" s="944"/>
    </row>
    <row r="3023" spans="2:80">
      <c r="B3023" s="1097"/>
      <c r="C3023" s="1097"/>
      <c r="D3023" s="1097"/>
      <c r="E3023" s="1097"/>
      <c r="F3023" s="934"/>
      <c r="G3023" s="1098"/>
      <c r="H3023" s="1099"/>
      <c r="I3023" s="1099"/>
      <c r="J3023" s="934"/>
      <c r="K3023" s="934"/>
      <c r="L3023" s="933"/>
      <c r="M3023" s="1100"/>
      <c r="N3023" s="934"/>
      <c r="O3023" s="936"/>
      <c r="P3023" s="936"/>
      <c r="Q3023" s="933"/>
      <c r="T3023" s="1101"/>
      <c r="U3023" s="1102"/>
      <c r="V3023" s="936"/>
      <c r="W3023" s="1103"/>
      <c r="X3023" s="1104"/>
      <c r="Y3023" s="1105"/>
      <c r="Z3023" s="1103"/>
      <c r="AC3023" s="1106"/>
      <c r="AD3023" s="1107"/>
      <c r="AE3023" s="1104"/>
      <c r="AG3023" s="1109"/>
      <c r="AI3023" s="1110"/>
      <c r="AL3023" s="933"/>
      <c r="AM3023" s="933"/>
      <c r="AN3023" s="1100"/>
      <c r="AO3023" s="1100"/>
      <c r="AP3023" s="934"/>
      <c r="AQ3023" s="934"/>
      <c r="AR3023" s="934"/>
      <c r="AS3023" s="936"/>
      <c r="AT3023" s="936"/>
      <c r="AU3023" s="936"/>
      <c r="AV3023" s="937"/>
      <c r="AW3023" s="938"/>
      <c r="AX3023" s="939"/>
      <c r="AY3023" s="933"/>
      <c r="AZ3023" s="936"/>
      <c r="BA3023" s="936"/>
      <c r="BB3023" s="1112"/>
      <c r="BC3023" s="940"/>
      <c r="BD3023" s="941"/>
      <c r="BE3023" s="942"/>
      <c r="BF3023" s="943"/>
      <c r="BG3023" s="943"/>
      <c r="BH3023" s="943"/>
      <c r="BI3023" s="943"/>
      <c r="BJ3023" s="943"/>
      <c r="BK3023" s="943"/>
      <c r="BL3023" s="943"/>
      <c r="BM3023" s="943"/>
      <c r="BN3023" s="943"/>
      <c r="BO3023" s="1059"/>
      <c r="BP3023" s="1059"/>
      <c r="BQ3023" s="1059"/>
      <c r="BR3023" s="1059"/>
      <c r="BS3023" s="1059"/>
      <c r="BT3023" s="1059"/>
      <c r="BU3023" s="1059"/>
      <c r="BV3023" s="944"/>
      <c r="BW3023" s="944"/>
      <c r="BX3023" s="1147"/>
      <c r="BY3023" s="944"/>
      <c r="BZ3023" s="944"/>
      <c r="CA3023" s="944"/>
      <c r="CB3023" s="944"/>
    </row>
    <row r="3024" spans="2:80">
      <c r="B3024" s="1097"/>
      <c r="C3024" s="1097"/>
      <c r="D3024" s="1097"/>
      <c r="E3024" s="1097"/>
      <c r="F3024" s="934"/>
      <c r="G3024" s="1098"/>
      <c r="H3024" s="1099"/>
      <c r="I3024" s="1099"/>
      <c r="J3024" s="934"/>
      <c r="K3024" s="934"/>
      <c r="L3024" s="933"/>
      <c r="M3024" s="1100"/>
      <c r="N3024" s="934"/>
      <c r="O3024" s="936"/>
      <c r="P3024" s="936"/>
      <c r="Q3024" s="933"/>
      <c r="T3024" s="1101"/>
      <c r="U3024" s="1102"/>
      <c r="V3024" s="936"/>
      <c r="W3024" s="1103"/>
      <c r="X3024" s="1104"/>
      <c r="Y3024" s="1105"/>
      <c r="Z3024" s="1103"/>
      <c r="AC3024" s="1106"/>
      <c r="AD3024" s="1107"/>
      <c r="AE3024" s="1104"/>
      <c r="AG3024" s="1109"/>
      <c r="AI3024" s="1110"/>
      <c r="AL3024" s="933"/>
      <c r="AM3024" s="933"/>
      <c r="AN3024" s="1100"/>
      <c r="AO3024" s="1100"/>
      <c r="AP3024" s="934"/>
      <c r="AQ3024" s="934"/>
      <c r="AR3024" s="934"/>
      <c r="AS3024" s="936"/>
      <c r="AT3024" s="936"/>
      <c r="AU3024" s="936"/>
      <c r="AV3024" s="937"/>
      <c r="AW3024" s="938"/>
      <c r="AX3024" s="939"/>
      <c r="AY3024" s="933"/>
      <c r="AZ3024" s="936"/>
      <c r="BA3024" s="936"/>
      <c r="BB3024" s="1112"/>
      <c r="BC3024" s="940"/>
      <c r="BD3024" s="941"/>
      <c r="BE3024" s="942"/>
      <c r="BF3024" s="943"/>
      <c r="BG3024" s="943"/>
      <c r="BH3024" s="943"/>
      <c r="BI3024" s="943"/>
      <c r="BJ3024" s="943"/>
      <c r="BK3024" s="943"/>
      <c r="BL3024" s="943"/>
      <c r="BM3024" s="943"/>
      <c r="BN3024" s="943"/>
      <c r="BO3024" s="1059"/>
      <c r="BP3024" s="1059"/>
      <c r="BQ3024" s="1059"/>
      <c r="BR3024" s="1059"/>
      <c r="BS3024" s="1059"/>
      <c r="BT3024" s="1059"/>
      <c r="BU3024" s="1059"/>
      <c r="BV3024" s="944"/>
      <c r="BW3024" s="944"/>
      <c r="BX3024" s="1147"/>
      <c r="BY3024" s="944"/>
      <c r="BZ3024" s="944"/>
      <c r="CA3024" s="944"/>
      <c r="CB3024" s="944"/>
    </row>
    <row r="3025" spans="2:80">
      <c r="B3025" s="1097"/>
      <c r="C3025" s="1097"/>
      <c r="D3025" s="1097"/>
      <c r="E3025" s="1097"/>
      <c r="F3025" s="934"/>
      <c r="G3025" s="1098"/>
      <c r="H3025" s="1099"/>
      <c r="I3025" s="1099"/>
      <c r="J3025" s="934"/>
      <c r="K3025" s="934"/>
      <c r="L3025" s="933"/>
      <c r="M3025" s="1100"/>
      <c r="N3025" s="934"/>
      <c r="O3025" s="936"/>
      <c r="P3025" s="936"/>
      <c r="Q3025" s="933"/>
      <c r="T3025" s="1101"/>
      <c r="U3025" s="1102"/>
      <c r="V3025" s="936"/>
      <c r="W3025" s="1103"/>
      <c r="X3025" s="1104"/>
      <c r="Y3025" s="1105"/>
      <c r="Z3025" s="1103"/>
      <c r="AC3025" s="1106"/>
      <c r="AD3025" s="1107"/>
      <c r="AE3025" s="1104"/>
      <c r="AG3025" s="1109"/>
      <c r="AI3025" s="1110"/>
      <c r="AL3025" s="933"/>
      <c r="AM3025" s="933"/>
      <c r="AN3025" s="1100"/>
      <c r="AO3025" s="1100"/>
      <c r="AP3025" s="934"/>
      <c r="AQ3025" s="934"/>
      <c r="AR3025" s="934"/>
      <c r="AS3025" s="936"/>
      <c r="AT3025" s="936"/>
      <c r="AU3025" s="936"/>
      <c r="AV3025" s="937"/>
      <c r="AW3025" s="938"/>
      <c r="AX3025" s="939"/>
      <c r="AY3025" s="933"/>
      <c r="AZ3025" s="936"/>
      <c r="BA3025" s="936"/>
      <c r="BB3025" s="1112"/>
      <c r="BC3025" s="940"/>
      <c r="BD3025" s="941"/>
      <c r="BE3025" s="942"/>
      <c r="BF3025" s="943"/>
      <c r="BG3025" s="943"/>
      <c r="BH3025" s="943"/>
      <c r="BI3025" s="943"/>
      <c r="BJ3025" s="943"/>
      <c r="BK3025" s="943"/>
      <c r="BL3025" s="943"/>
      <c r="BM3025" s="943"/>
      <c r="BN3025" s="943"/>
      <c r="BO3025" s="1059"/>
      <c r="BP3025" s="1059"/>
      <c r="BQ3025" s="1059"/>
      <c r="BR3025" s="1059"/>
      <c r="BS3025" s="1059"/>
      <c r="BT3025" s="1059"/>
      <c r="BU3025" s="1059"/>
      <c r="BV3025" s="944"/>
      <c r="BW3025" s="944"/>
      <c r="BX3025" s="1147"/>
      <c r="BY3025" s="944"/>
      <c r="BZ3025" s="944"/>
      <c r="CA3025" s="944"/>
      <c r="CB3025" s="944"/>
    </row>
    <row r="3026" spans="2:80">
      <c r="B3026" s="1097"/>
      <c r="C3026" s="1097"/>
      <c r="D3026" s="1097"/>
      <c r="E3026" s="1097"/>
      <c r="F3026" s="934"/>
      <c r="G3026" s="1098"/>
      <c r="H3026" s="1099"/>
      <c r="I3026" s="1099"/>
      <c r="J3026" s="934"/>
      <c r="K3026" s="934"/>
      <c r="L3026" s="933"/>
      <c r="M3026" s="1100"/>
      <c r="N3026" s="934"/>
      <c r="O3026" s="936"/>
      <c r="P3026" s="936"/>
      <c r="Q3026" s="933"/>
      <c r="T3026" s="1101"/>
      <c r="U3026" s="1102"/>
      <c r="V3026" s="936"/>
      <c r="W3026" s="1103"/>
      <c r="X3026" s="1104"/>
      <c r="Y3026" s="1105"/>
      <c r="Z3026" s="1103"/>
      <c r="AC3026" s="1106"/>
      <c r="AD3026" s="1107"/>
      <c r="AE3026" s="1104"/>
      <c r="AG3026" s="1109"/>
      <c r="AI3026" s="1110"/>
      <c r="AL3026" s="933"/>
      <c r="AM3026" s="933"/>
      <c r="AN3026" s="1100"/>
      <c r="AO3026" s="1100"/>
      <c r="AP3026" s="934"/>
      <c r="AQ3026" s="934"/>
      <c r="AR3026" s="934"/>
      <c r="AS3026" s="936"/>
      <c r="AT3026" s="936"/>
      <c r="AU3026" s="936"/>
      <c r="AV3026" s="937"/>
      <c r="AW3026" s="938"/>
      <c r="AX3026" s="939"/>
      <c r="AY3026" s="933"/>
      <c r="AZ3026" s="936"/>
      <c r="BA3026" s="936"/>
      <c r="BB3026" s="1112"/>
      <c r="BC3026" s="940"/>
      <c r="BD3026" s="941"/>
      <c r="BE3026" s="942"/>
      <c r="BF3026" s="943"/>
      <c r="BG3026" s="943"/>
      <c r="BH3026" s="943"/>
      <c r="BI3026" s="943"/>
      <c r="BJ3026" s="943"/>
      <c r="BK3026" s="943"/>
      <c r="BL3026" s="943"/>
      <c r="BM3026" s="943"/>
      <c r="BN3026" s="943"/>
      <c r="BO3026" s="1059"/>
      <c r="BP3026" s="1059"/>
      <c r="BQ3026" s="1059"/>
      <c r="BR3026" s="1059"/>
      <c r="BS3026" s="1059"/>
      <c r="BT3026" s="1059"/>
      <c r="BU3026" s="1059"/>
      <c r="BV3026" s="944"/>
      <c r="BW3026" s="944"/>
      <c r="BX3026" s="1147"/>
      <c r="BY3026" s="944"/>
      <c r="BZ3026" s="944"/>
      <c r="CA3026" s="944"/>
      <c r="CB3026" s="944"/>
    </row>
    <row r="3027" spans="2:80">
      <c r="B3027" s="1097"/>
      <c r="C3027" s="1097"/>
      <c r="D3027" s="1097"/>
      <c r="E3027" s="1097"/>
      <c r="F3027" s="934"/>
      <c r="G3027" s="1098"/>
      <c r="H3027" s="1099"/>
      <c r="I3027" s="1099"/>
      <c r="J3027" s="934"/>
      <c r="K3027" s="934"/>
      <c r="L3027" s="933"/>
      <c r="M3027" s="1100"/>
      <c r="N3027" s="934"/>
      <c r="O3027" s="936"/>
      <c r="P3027" s="936"/>
      <c r="Q3027" s="933"/>
      <c r="T3027" s="1101"/>
      <c r="U3027" s="1102"/>
      <c r="V3027" s="936"/>
      <c r="W3027" s="1103"/>
      <c r="X3027" s="1104"/>
      <c r="Y3027" s="1105"/>
      <c r="Z3027" s="1103"/>
      <c r="AC3027" s="1106"/>
      <c r="AD3027" s="1107"/>
      <c r="AE3027" s="1104"/>
      <c r="AG3027" s="1109"/>
      <c r="AI3027" s="1110"/>
      <c r="AL3027" s="933"/>
      <c r="AM3027" s="933"/>
      <c r="AN3027" s="1100"/>
      <c r="AO3027" s="1100"/>
      <c r="AP3027" s="934"/>
      <c r="AQ3027" s="934"/>
      <c r="AR3027" s="934"/>
      <c r="AS3027" s="936"/>
      <c r="AT3027" s="936"/>
      <c r="AU3027" s="936"/>
      <c r="AV3027" s="937"/>
      <c r="AW3027" s="938"/>
      <c r="AX3027" s="939"/>
      <c r="AY3027" s="933"/>
      <c r="AZ3027" s="936"/>
      <c r="BA3027" s="936"/>
      <c r="BB3027" s="1112"/>
      <c r="BC3027" s="940"/>
      <c r="BD3027" s="941"/>
      <c r="BE3027" s="942"/>
      <c r="BF3027" s="943"/>
      <c r="BG3027" s="943"/>
      <c r="BH3027" s="943"/>
      <c r="BI3027" s="943"/>
      <c r="BJ3027" s="943"/>
      <c r="BK3027" s="943"/>
      <c r="BL3027" s="943"/>
      <c r="BM3027" s="943"/>
      <c r="BN3027" s="943"/>
      <c r="BO3027" s="1059"/>
      <c r="BP3027" s="1059"/>
      <c r="BQ3027" s="1059"/>
      <c r="BR3027" s="1059"/>
      <c r="BS3027" s="1059"/>
      <c r="BT3027" s="1059"/>
      <c r="BU3027" s="1059"/>
      <c r="BV3027" s="944"/>
      <c r="BW3027" s="944"/>
      <c r="BX3027" s="1147"/>
      <c r="BY3027" s="944"/>
      <c r="BZ3027" s="944"/>
      <c r="CA3027" s="944"/>
      <c r="CB3027" s="944"/>
    </row>
    <row r="3028" spans="2:80">
      <c r="B3028" s="1097"/>
      <c r="C3028" s="1097"/>
      <c r="D3028" s="1097"/>
      <c r="E3028" s="1097"/>
      <c r="F3028" s="934"/>
      <c r="G3028" s="1098"/>
      <c r="H3028" s="1099"/>
      <c r="I3028" s="1099"/>
      <c r="J3028" s="934"/>
      <c r="K3028" s="934"/>
      <c r="L3028" s="933"/>
      <c r="M3028" s="1100"/>
      <c r="N3028" s="934"/>
      <c r="O3028" s="936"/>
      <c r="P3028" s="936"/>
      <c r="Q3028" s="933"/>
      <c r="T3028" s="1101"/>
      <c r="U3028" s="1102"/>
      <c r="V3028" s="936"/>
      <c r="W3028" s="1103"/>
      <c r="X3028" s="1104"/>
      <c r="Y3028" s="1105"/>
      <c r="Z3028" s="1103"/>
      <c r="AC3028" s="1106"/>
      <c r="AD3028" s="1107"/>
      <c r="AE3028" s="1104"/>
      <c r="AG3028" s="1109"/>
      <c r="AI3028" s="1110"/>
      <c r="AL3028" s="933"/>
      <c r="AM3028" s="933"/>
      <c r="AN3028" s="1100"/>
      <c r="AO3028" s="1100"/>
      <c r="AP3028" s="934"/>
      <c r="AQ3028" s="934"/>
      <c r="AR3028" s="934"/>
      <c r="AS3028" s="936"/>
      <c r="AT3028" s="936"/>
      <c r="AU3028" s="936"/>
      <c r="AV3028" s="937"/>
      <c r="AW3028" s="938"/>
      <c r="AX3028" s="939"/>
      <c r="AY3028" s="933"/>
      <c r="AZ3028" s="936"/>
      <c r="BA3028" s="936"/>
      <c r="BB3028" s="1112"/>
      <c r="BC3028" s="940"/>
      <c r="BD3028" s="941"/>
      <c r="BE3028" s="942"/>
      <c r="BF3028" s="943"/>
      <c r="BG3028" s="943"/>
      <c r="BH3028" s="943"/>
      <c r="BI3028" s="943"/>
      <c r="BJ3028" s="943"/>
      <c r="BK3028" s="943"/>
      <c r="BL3028" s="943"/>
      <c r="BM3028" s="943"/>
      <c r="BN3028" s="943"/>
      <c r="BO3028" s="1059"/>
      <c r="BP3028" s="1059"/>
      <c r="BQ3028" s="1059"/>
      <c r="BR3028" s="1059"/>
      <c r="BS3028" s="1059"/>
      <c r="BT3028" s="1059"/>
      <c r="BU3028" s="1059"/>
      <c r="BV3028" s="944"/>
      <c r="BW3028" s="944"/>
      <c r="BX3028" s="1147"/>
      <c r="BY3028" s="944"/>
      <c r="BZ3028" s="944"/>
      <c r="CA3028" s="944"/>
      <c r="CB3028" s="944"/>
    </row>
    <row r="3029" spans="2:80">
      <c r="B3029" s="1097"/>
      <c r="C3029" s="1097"/>
      <c r="D3029" s="1097"/>
      <c r="E3029" s="1097"/>
      <c r="F3029" s="934"/>
      <c r="G3029" s="1098"/>
      <c r="H3029" s="1099"/>
      <c r="I3029" s="1099"/>
      <c r="J3029" s="934"/>
      <c r="K3029" s="934"/>
      <c r="L3029" s="933"/>
      <c r="M3029" s="1100"/>
      <c r="N3029" s="934"/>
      <c r="O3029" s="936"/>
      <c r="P3029" s="936"/>
      <c r="Q3029" s="933"/>
      <c r="T3029" s="1101"/>
      <c r="U3029" s="1102"/>
      <c r="V3029" s="936"/>
      <c r="W3029" s="1103"/>
      <c r="X3029" s="1104"/>
      <c r="Y3029" s="1105"/>
      <c r="Z3029" s="1103"/>
      <c r="AC3029" s="1106"/>
      <c r="AD3029" s="1107"/>
      <c r="AE3029" s="1104"/>
      <c r="AG3029" s="1109"/>
      <c r="AI3029" s="1110"/>
      <c r="AL3029" s="933"/>
      <c r="AM3029" s="933"/>
      <c r="AN3029" s="1100"/>
      <c r="AO3029" s="1100"/>
      <c r="AP3029" s="934"/>
      <c r="AQ3029" s="934"/>
      <c r="AR3029" s="934"/>
      <c r="AS3029" s="936"/>
      <c r="AT3029" s="936"/>
      <c r="AU3029" s="936"/>
      <c r="AV3029" s="937"/>
      <c r="AW3029" s="938"/>
      <c r="AX3029" s="939"/>
      <c r="AY3029" s="933"/>
      <c r="AZ3029" s="936"/>
      <c r="BA3029" s="936"/>
      <c r="BB3029" s="1112"/>
      <c r="BC3029" s="940"/>
      <c r="BD3029" s="941"/>
      <c r="BE3029" s="942"/>
      <c r="BF3029" s="943"/>
      <c r="BG3029" s="943"/>
      <c r="BH3029" s="943"/>
      <c r="BI3029" s="943"/>
      <c r="BJ3029" s="943"/>
      <c r="BK3029" s="943"/>
      <c r="BL3029" s="943"/>
      <c r="BM3029" s="943"/>
      <c r="BN3029" s="943"/>
      <c r="BO3029" s="1059"/>
      <c r="BP3029" s="1059"/>
      <c r="BQ3029" s="1059"/>
      <c r="BR3029" s="1059"/>
      <c r="BS3029" s="1059"/>
      <c r="BT3029" s="1059"/>
      <c r="BU3029" s="1059"/>
      <c r="BV3029" s="944"/>
      <c r="BW3029" s="944"/>
      <c r="BX3029" s="1147"/>
      <c r="BY3029" s="944"/>
      <c r="BZ3029" s="944"/>
      <c r="CA3029" s="944"/>
      <c r="CB3029" s="944"/>
    </row>
    <row r="3030" spans="2:80">
      <c r="B3030" s="1097"/>
      <c r="C3030" s="1097"/>
      <c r="D3030" s="1097"/>
      <c r="E3030" s="1097"/>
      <c r="F3030" s="934"/>
      <c r="G3030" s="1098"/>
      <c r="H3030" s="1099"/>
      <c r="I3030" s="1099"/>
      <c r="J3030" s="934"/>
      <c r="K3030" s="934"/>
      <c r="L3030" s="933"/>
      <c r="M3030" s="1100"/>
      <c r="N3030" s="934"/>
      <c r="O3030" s="936"/>
      <c r="P3030" s="936"/>
      <c r="Q3030" s="933"/>
      <c r="T3030" s="1101"/>
      <c r="U3030" s="1102"/>
      <c r="V3030" s="936"/>
      <c r="W3030" s="1103"/>
      <c r="X3030" s="1104"/>
      <c r="Y3030" s="1105"/>
      <c r="Z3030" s="1103"/>
      <c r="AC3030" s="1106"/>
      <c r="AD3030" s="1107"/>
      <c r="AE3030" s="1104"/>
      <c r="AG3030" s="1109"/>
      <c r="AI3030" s="1110"/>
      <c r="AL3030" s="933"/>
      <c r="AM3030" s="933"/>
      <c r="AN3030" s="1100"/>
      <c r="AO3030" s="1100"/>
      <c r="AP3030" s="934"/>
      <c r="AQ3030" s="934"/>
      <c r="AR3030" s="934"/>
      <c r="AS3030" s="936"/>
      <c r="AT3030" s="936"/>
      <c r="AU3030" s="936"/>
      <c r="AV3030" s="937"/>
      <c r="AW3030" s="938"/>
      <c r="AX3030" s="939"/>
      <c r="AY3030" s="933"/>
      <c r="AZ3030" s="936"/>
      <c r="BA3030" s="936"/>
      <c r="BB3030" s="1112"/>
      <c r="BC3030" s="940"/>
      <c r="BD3030" s="941"/>
      <c r="BE3030" s="942"/>
      <c r="BF3030" s="943"/>
      <c r="BG3030" s="943"/>
      <c r="BH3030" s="943"/>
      <c r="BI3030" s="943"/>
      <c r="BJ3030" s="943"/>
      <c r="BK3030" s="943"/>
      <c r="BL3030" s="943"/>
      <c r="BM3030" s="943"/>
      <c r="BN3030" s="943"/>
      <c r="BO3030" s="1059"/>
      <c r="BP3030" s="1059"/>
      <c r="BQ3030" s="1059"/>
      <c r="BR3030" s="1059"/>
      <c r="BS3030" s="1059"/>
      <c r="BT3030" s="1059"/>
      <c r="BU3030" s="1059"/>
      <c r="BV3030" s="944"/>
      <c r="BW3030" s="944"/>
      <c r="BX3030" s="1147"/>
      <c r="BY3030" s="944"/>
      <c r="BZ3030" s="944"/>
      <c r="CA3030" s="944"/>
      <c r="CB3030" s="944"/>
    </row>
    <row r="3031" spans="2:80">
      <c r="B3031" s="1097"/>
      <c r="C3031" s="1097"/>
      <c r="D3031" s="1097"/>
      <c r="E3031" s="1097"/>
      <c r="F3031" s="934"/>
      <c r="G3031" s="1098"/>
      <c r="H3031" s="1099"/>
      <c r="I3031" s="1099"/>
      <c r="J3031" s="934"/>
      <c r="K3031" s="934"/>
      <c r="L3031" s="933"/>
      <c r="M3031" s="1100"/>
      <c r="N3031" s="934"/>
      <c r="O3031" s="936"/>
      <c r="P3031" s="936"/>
      <c r="Q3031" s="933"/>
      <c r="T3031" s="1101"/>
      <c r="U3031" s="1102"/>
      <c r="V3031" s="936"/>
      <c r="W3031" s="1103"/>
      <c r="X3031" s="1104"/>
      <c r="Y3031" s="1105"/>
      <c r="Z3031" s="1103"/>
      <c r="AC3031" s="1106"/>
      <c r="AD3031" s="1107"/>
      <c r="AE3031" s="1104"/>
      <c r="AG3031" s="1109"/>
      <c r="AI3031" s="1110"/>
      <c r="AL3031" s="933"/>
      <c r="AM3031" s="933"/>
      <c r="AN3031" s="1100"/>
      <c r="AO3031" s="1100"/>
      <c r="AP3031" s="934"/>
      <c r="AQ3031" s="934"/>
      <c r="AR3031" s="934"/>
      <c r="AS3031" s="936"/>
      <c r="AT3031" s="936"/>
      <c r="AU3031" s="936"/>
      <c r="AV3031" s="937"/>
      <c r="AW3031" s="938"/>
      <c r="AX3031" s="939"/>
      <c r="AY3031" s="933"/>
      <c r="AZ3031" s="936"/>
      <c r="BA3031" s="936"/>
      <c r="BB3031" s="1112"/>
      <c r="BC3031" s="940"/>
      <c r="BD3031" s="941"/>
      <c r="BE3031" s="942"/>
      <c r="BF3031" s="943"/>
      <c r="BG3031" s="943"/>
      <c r="BH3031" s="943"/>
      <c r="BI3031" s="943"/>
      <c r="BJ3031" s="943"/>
      <c r="BK3031" s="943"/>
      <c r="BL3031" s="943"/>
      <c r="BM3031" s="943"/>
      <c r="BN3031" s="943"/>
      <c r="BO3031" s="1059"/>
      <c r="BP3031" s="1059"/>
      <c r="BQ3031" s="1059"/>
      <c r="BR3031" s="1059"/>
      <c r="BS3031" s="1059"/>
      <c r="BT3031" s="1059"/>
      <c r="BU3031" s="1059"/>
      <c r="BV3031" s="944"/>
      <c r="BW3031" s="944"/>
      <c r="BX3031" s="1147"/>
      <c r="BY3031" s="944"/>
      <c r="BZ3031" s="944"/>
      <c r="CA3031" s="944"/>
      <c r="CB3031" s="944"/>
    </row>
    <row r="3032" spans="2:80">
      <c r="B3032" s="1097"/>
      <c r="C3032" s="1097"/>
      <c r="D3032" s="1097"/>
      <c r="E3032" s="1097"/>
      <c r="F3032" s="934"/>
      <c r="G3032" s="1098"/>
      <c r="H3032" s="1099"/>
      <c r="I3032" s="1099"/>
      <c r="J3032" s="934"/>
      <c r="K3032" s="934"/>
      <c r="L3032" s="933"/>
      <c r="M3032" s="1100"/>
      <c r="N3032" s="934"/>
      <c r="O3032" s="936"/>
      <c r="P3032" s="936"/>
      <c r="Q3032" s="933"/>
      <c r="T3032" s="1101"/>
      <c r="U3032" s="1102"/>
      <c r="V3032" s="936"/>
      <c r="W3032" s="1103"/>
      <c r="X3032" s="1104"/>
      <c r="Y3032" s="1105"/>
      <c r="Z3032" s="1103"/>
      <c r="AC3032" s="1106"/>
      <c r="AD3032" s="1107"/>
      <c r="AE3032" s="1104"/>
      <c r="AG3032" s="1109"/>
      <c r="AI3032" s="1110"/>
      <c r="AL3032" s="933"/>
      <c r="AM3032" s="933"/>
      <c r="AN3032" s="1100"/>
      <c r="AO3032" s="1100"/>
      <c r="AP3032" s="934"/>
      <c r="AQ3032" s="934"/>
      <c r="AR3032" s="934"/>
      <c r="AS3032" s="936"/>
      <c r="AT3032" s="936"/>
      <c r="AU3032" s="936"/>
      <c r="AV3032" s="937"/>
      <c r="AW3032" s="938"/>
      <c r="AX3032" s="939"/>
      <c r="AY3032" s="933"/>
      <c r="AZ3032" s="936"/>
      <c r="BA3032" s="936"/>
      <c r="BB3032" s="1112"/>
      <c r="BC3032" s="940"/>
      <c r="BD3032" s="941"/>
      <c r="BE3032" s="942"/>
      <c r="BF3032" s="943"/>
      <c r="BG3032" s="943"/>
      <c r="BH3032" s="943"/>
      <c r="BI3032" s="943"/>
      <c r="BJ3032" s="943"/>
      <c r="BK3032" s="943"/>
      <c r="BL3032" s="943"/>
      <c r="BM3032" s="943"/>
      <c r="BN3032" s="943"/>
      <c r="BO3032" s="1059"/>
      <c r="BP3032" s="1059"/>
      <c r="BQ3032" s="1059"/>
      <c r="BR3032" s="1059"/>
      <c r="BS3032" s="1059"/>
      <c r="BT3032" s="1059"/>
      <c r="BU3032" s="1059"/>
      <c r="BV3032" s="944"/>
      <c r="BW3032" s="944"/>
      <c r="BX3032" s="1147"/>
      <c r="BY3032" s="944"/>
      <c r="BZ3032" s="944"/>
      <c r="CA3032" s="944"/>
      <c r="CB3032" s="944"/>
    </row>
    <row r="3033" spans="2:80">
      <c r="B3033" s="1097"/>
      <c r="C3033" s="1097"/>
      <c r="D3033" s="1097"/>
      <c r="E3033" s="1097"/>
      <c r="F3033" s="934"/>
      <c r="G3033" s="1098"/>
      <c r="H3033" s="1099"/>
      <c r="I3033" s="1099"/>
      <c r="J3033" s="934"/>
      <c r="K3033" s="934"/>
      <c r="L3033" s="933"/>
      <c r="M3033" s="1100"/>
      <c r="N3033" s="934"/>
      <c r="O3033" s="936"/>
      <c r="P3033" s="936"/>
      <c r="Q3033" s="933"/>
      <c r="T3033" s="1101"/>
      <c r="U3033" s="1102"/>
      <c r="V3033" s="936"/>
      <c r="W3033" s="1103"/>
      <c r="X3033" s="1104"/>
      <c r="Y3033" s="1105"/>
      <c r="Z3033" s="1103"/>
      <c r="AC3033" s="1106"/>
      <c r="AD3033" s="1107"/>
      <c r="AE3033" s="1104"/>
      <c r="AG3033" s="1109"/>
      <c r="AI3033" s="1110"/>
      <c r="AL3033" s="933"/>
      <c r="AM3033" s="933"/>
      <c r="AN3033" s="1100"/>
      <c r="AO3033" s="1100"/>
      <c r="AP3033" s="934"/>
      <c r="AQ3033" s="934"/>
      <c r="AR3033" s="934"/>
      <c r="AS3033" s="936"/>
      <c r="AT3033" s="936"/>
      <c r="AU3033" s="936"/>
      <c r="AV3033" s="937"/>
      <c r="AW3033" s="938"/>
      <c r="AX3033" s="939"/>
      <c r="AY3033" s="933"/>
      <c r="AZ3033" s="936"/>
      <c r="BA3033" s="936"/>
      <c r="BB3033" s="1112"/>
      <c r="BC3033" s="940"/>
      <c r="BD3033" s="941"/>
      <c r="BE3033" s="942"/>
      <c r="BF3033" s="943"/>
      <c r="BG3033" s="943"/>
      <c r="BH3033" s="943"/>
      <c r="BI3033" s="943"/>
      <c r="BJ3033" s="943"/>
      <c r="BK3033" s="943"/>
      <c r="BL3033" s="943"/>
      <c r="BM3033" s="943"/>
      <c r="BN3033" s="943"/>
      <c r="BO3033" s="1059"/>
      <c r="BP3033" s="1059"/>
      <c r="BQ3033" s="1059"/>
      <c r="BR3033" s="1059"/>
      <c r="BS3033" s="1059"/>
      <c r="BT3033" s="1059"/>
      <c r="BU3033" s="1059"/>
      <c r="BV3033" s="944"/>
      <c r="BW3033" s="944"/>
      <c r="BX3033" s="1147"/>
      <c r="BY3033" s="944"/>
      <c r="BZ3033" s="944"/>
      <c r="CA3033" s="944"/>
      <c r="CB3033" s="944"/>
    </row>
    <row r="3034" spans="2:80">
      <c r="B3034" s="1097"/>
      <c r="C3034" s="1097"/>
      <c r="D3034" s="1097"/>
      <c r="E3034" s="1097"/>
      <c r="F3034" s="934"/>
      <c r="G3034" s="1098"/>
      <c r="H3034" s="1099"/>
      <c r="I3034" s="1099"/>
      <c r="J3034" s="934"/>
      <c r="K3034" s="934"/>
      <c r="L3034" s="933"/>
      <c r="M3034" s="1100"/>
      <c r="N3034" s="934"/>
      <c r="O3034" s="936"/>
      <c r="P3034" s="936"/>
      <c r="Q3034" s="933"/>
      <c r="T3034" s="1101"/>
      <c r="U3034" s="1102"/>
      <c r="V3034" s="936"/>
      <c r="W3034" s="1103"/>
      <c r="X3034" s="1104"/>
      <c r="Y3034" s="1105"/>
      <c r="Z3034" s="1103"/>
      <c r="AC3034" s="1106"/>
      <c r="AD3034" s="1107"/>
      <c r="AE3034" s="1104"/>
      <c r="AG3034" s="1109"/>
      <c r="AI3034" s="1110"/>
      <c r="AL3034" s="933"/>
      <c r="AM3034" s="933"/>
      <c r="AN3034" s="1100"/>
      <c r="AO3034" s="1100"/>
      <c r="AP3034" s="934"/>
      <c r="AQ3034" s="934"/>
      <c r="AR3034" s="934"/>
      <c r="AS3034" s="936"/>
      <c r="AT3034" s="936"/>
      <c r="AU3034" s="936"/>
      <c r="AV3034" s="937"/>
      <c r="AW3034" s="938"/>
      <c r="AX3034" s="939"/>
      <c r="AY3034" s="933"/>
      <c r="AZ3034" s="936"/>
      <c r="BA3034" s="936"/>
      <c r="BB3034" s="1112"/>
      <c r="BC3034" s="940"/>
      <c r="BD3034" s="941"/>
      <c r="BE3034" s="942"/>
      <c r="BF3034" s="943"/>
      <c r="BG3034" s="943"/>
      <c r="BH3034" s="943"/>
      <c r="BI3034" s="943"/>
      <c r="BJ3034" s="943"/>
      <c r="BK3034" s="943"/>
      <c r="BL3034" s="943"/>
      <c r="BM3034" s="943"/>
      <c r="BN3034" s="943"/>
      <c r="BO3034" s="1059"/>
      <c r="BP3034" s="1059"/>
      <c r="BQ3034" s="1059"/>
      <c r="BR3034" s="1059"/>
      <c r="BS3034" s="1059"/>
      <c r="BT3034" s="1059"/>
      <c r="BU3034" s="1059"/>
      <c r="BV3034" s="944"/>
      <c r="BW3034" s="944"/>
      <c r="BX3034" s="1147"/>
      <c r="BY3034" s="944"/>
      <c r="BZ3034" s="944"/>
      <c r="CA3034" s="944"/>
      <c r="CB3034" s="944"/>
    </row>
    <row r="3035" spans="2:80">
      <c r="B3035" s="1097"/>
      <c r="C3035" s="1097"/>
      <c r="D3035" s="1097"/>
      <c r="E3035" s="1097"/>
      <c r="F3035" s="934"/>
      <c r="G3035" s="1098"/>
      <c r="H3035" s="1099"/>
      <c r="I3035" s="1099"/>
      <c r="J3035" s="934"/>
      <c r="K3035" s="934"/>
      <c r="L3035" s="933"/>
      <c r="M3035" s="1100"/>
      <c r="N3035" s="934"/>
      <c r="O3035" s="936"/>
      <c r="P3035" s="936"/>
      <c r="Q3035" s="933"/>
      <c r="T3035" s="1101"/>
      <c r="U3035" s="1102"/>
      <c r="V3035" s="936"/>
      <c r="W3035" s="1103"/>
      <c r="X3035" s="1104"/>
      <c r="Y3035" s="1105"/>
      <c r="Z3035" s="1103"/>
      <c r="AC3035" s="1106"/>
      <c r="AD3035" s="1107"/>
      <c r="AE3035" s="1104"/>
      <c r="AG3035" s="1109"/>
      <c r="AI3035" s="1110"/>
      <c r="AL3035" s="933"/>
      <c r="AM3035" s="933"/>
      <c r="AN3035" s="1100"/>
      <c r="AO3035" s="1100"/>
      <c r="AP3035" s="934"/>
      <c r="AQ3035" s="934"/>
      <c r="AR3035" s="934"/>
      <c r="AS3035" s="936"/>
      <c r="AT3035" s="936"/>
      <c r="AU3035" s="936"/>
      <c r="AV3035" s="937"/>
      <c r="AW3035" s="938"/>
      <c r="AX3035" s="939"/>
      <c r="AY3035" s="933"/>
      <c r="AZ3035" s="936"/>
      <c r="BA3035" s="936"/>
      <c r="BB3035" s="1112"/>
      <c r="BC3035" s="940"/>
      <c r="BD3035" s="941"/>
      <c r="BE3035" s="942"/>
      <c r="BF3035" s="943"/>
      <c r="BG3035" s="943"/>
      <c r="BH3035" s="943"/>
      <c r="BI3035" s="943"/>
      <c r="BJ3035" s="943"/>
      <c r="BK3035" s="943"/>
      <c r="BL3035" s="943"/>
      <c r="BM3035" s="943"/>
      <c r="BN3035" s="943"/>
      <c r="BO3035" s="1059"/>
      <c r="BP3035" s="1059"/>
      <c r="BQ3035" s="1059"/>
      <c r="BR3035" s="1059"/>
      <c r="BS3035" s="1059"/>
      <c r="BT3035" s="1059"/>
      <c r="BU3035" s="1059"/>
      <c r="BV3035" s="944"/>
      <c r="BW3035" s="944"/>
      <c r="BX3035" s="1147"/>
      <c r="BY3035" s="944"/>
      <c r="BZ3035" s="944"/>
      <c r="CA3035" s="944"/>
      <c r="CB3035" s="944"/>
    </row>
    <row r="3036" spans="2:80">
      <c r="B3036" s="1097"/>
      <c r="C3036" s="1097"/>
      <c r="D3036" s="1097"/>
      <c r="E3036" s="1097"/>
      <c r="F3036" s="934"/>
      <c r="G3036" s="1098"/>
      <c r="H3036" s="1099"/>
      <c r="I3036" s="1099"/>
      <c r="J3036" s="934"/>
      <c r="K3036" s="934"/>
      <c r="L3036" s="933"/>
      <c r="M3036" s="1100"/>
      <c r="N3036" s="934"/>
      <c r="O3036" s="936"/>
      <c r="P3036" s="936"/>
      <c r="Q3036" s="933"/>
      <c r="T3036" s="1101"/>
      <c r="U3036" s="1102"/>
      <c r="V3036" s="936"/>
      <c r="W3036" s="1103"/>
      <c r="X3036" s="1104"/>
      <c r="Y3036" s="1105"/>
      <c r="Z3036" s="1103"/>
      <c r="AC3036" s="1106"/>
      <c r="AD3036" s="1107"/>
      <c r="AE3036" s="1104"/>
      <c r="AG3036" s="1109"/>
      <c r="AI3036" s="1110"/>
      <c r="AL3036" s="933"/>
      <c r="AM3036" s="933"/>
      <c r="AN3036" s="1100"/>
      <c r="AO3036" s="1100"/>
      <c r="AP3036" s="934"/>
      <c r="AQ3036" s="934"/>
      <c r="AR3036" s="934"/>
      <c r="AS3036" s="936"/>
      <c r="AT3036" s="936"/>
      <c r="AU3036" s="936"/>
      <c r="AV3036" s="937"/>
      <c r="AW3036" s="938"/>
      <c r="AX3036" s="939"/>
      <c r="AY3036" s="933"/>
      <c r="AZ3036" s="936"/>
      <c r="BA3036" s="936"/>
      <c r="BB3036" s="1112"/>
      <c r="BC3036" s="940"/>
      <c r="BD3036" s="941"/>
      <c r="BE3036" s="942"/>
      <c r="BF3036" s="943"/>
      <c r="BG3036" s="943"/>
      <c r="BH3036" s="943"/>
      <c r="BI3036" s="943"/>
      <c r="BJ3036" s="943"/>
      <c r="BK3036" s="943"/>
      <c r="BL3036" s="943"/>
      <c r="BM3036" s="943"/>
      <c r="BN3036" s="943"/>
      <c r="BO3036" s="1059"/>
      <c r="BP3036" s="1059"/>
      <c r="BQ3036" s="1059"/>
      <c r="BR3036" s="1059"/>
      <c r="BS3036" s="1059"/>
      <c r="BT3036" s="1059"/>
      <c r="BU3036" s="1059"/>
      <c r="BV3036" s="944"/>
      <c r="BW3036" s="944"/>
      <c r="BX3036" s="1147"/>
      <c r="BY3036" s="944"/>
      <c r="BZ3036" s="944"/>
      <c r="CA3036" s="944"/>
      <c r="CB3036" s="944"/>
    </row>
    <row r="3037" spans="2:80">
      <c r="B3037" s="1097"/>
      <c r="C3037" s="1097"/>
      <c r="D3037" s="1097"/>
      <c r="E3037" s="1097"/>
      <c r="F3037" s="934"/>
      <c r="G3037" s="1098"/>
      <c r="H3037" s="1099"/>
      <c r="I3037" s="1099"/>
      <c r="J3037" s="934"/>
      <c r="K3037" s="934"/>
      <c r="L3037" s="933"/>
      <c r="M3037" s="1100"/>
      <c r="N3037" s="934"/>
      <c r="O3037" s="936"/>
      <c r="P3037" s="936"/>
      <c r="Q3037" s="933"/>
      <c r="T3037" s="1101"/>
      <c r="U3037" s="1102"/>
      <c r="V3037" s="936"/>
      <c r="W3037" s="1103"/>
      <c r="X3037" s="1104"/>
      <c r="Y3037" s="1105"/>
      <c r="Z3037" s="1103"/>
      <c r="AC3037" s="1106"/>
      <c r="AD3037" s="1107"/>
      <c r="AE3037" s="1104"/>
      <c r="AG3037" s="1109"/>
      <c r="AI3037" s="1110"/>
      <c r="AL3037" s="933"/>
      <c r="AM3037" s="933"/>
      <c r="AN3037" s="1100"/>
      <c r="AO3037" s="1100"/>
      <c r="AP3037" s="934"/>
      <c r="AQ3037" s="934"/>
      <c r="AR3037" s="934"/>
      <c r="AS3037" s="936"/>
      <c r="AT3037" s="936"/>
      <c r="AU3037" s="936"/>
      <c r="AV3037" s="937"/>
      <c r="AW3037" s="938"/>
      <c r="AX3037" s="939"/>
      <c r="AY3037" s="933"/>
      <c r="AZ3037" s="936"/>
      <c r="BA3037" s="936"/>
      <c r="BB3037" s="1112"/>
      <c r="BC3037" s="940"/>
      <c r="BD3037" s="941"/>
      <c r="BE3037" s="942"/>
      <c r="BF3037" s="943"/>
      <c r="BG3037" s="943"/>
      <c r="BH3037" s="943"/>
      <c r="BI3037" s="943"/>
      <c r="BJ3037" s="943"/>
      <c r="BK3037" s="943"/>
      <c r="BL3037" s="943"/>
      <c r="BM3037" s="943"/>
      <c r="BN3037" s="943"/>
      <c r="BO3037" s="1059"/>
      <c r="BP3037" s="1059"/>
      <c r="BQ3037" s="1059"/>
      <c r="BR3037" s="1059"/>
      <c r="BS3037" s="1059"/>
      <c r="BT3037" s="1059"/>
      <c r="BU3037" s="1059"/>
      <c r="BV3037" s="944"/>
      <c r="BW3037" s="944"/>
      <c r="BX3037" s="1147"/>
      <c r="BY3037" s="944"/>
      <c r="BZ3037" s="944"/>
      <c r="CA3037" s="944"/>
      <c r="CB3037" s="944"/>
    </row>
    <row r="3038" spans="2:80">
      <c r="B3038" s="1097"/>
      <c r="C3038" s="1097"/>
      <c r="D3038" s="1097"/>
      <c r="E3038" s="1097"/>
      <c r="F3038" s="934"/>
      <c r="G3038" s="1098"/>
      <c r="H3038" s="1099"/>
      <c r="I3038" s="1099"/>
      <c r="J3038" s="934"/>
      <c r="K3038" s="934"/>
      <c r="L3038" s="933"/>
      <c r="M3038" s="1100"/>
      <c r="N3038" s="934"/>
      <c r="O3038" s="936"/>
      <c r="P3038" s="936"/>
      <c r="Q3038" s="933"/>
      <c r="T3038" s="1101"/>
      <c r="U3038" s="1102"/>
      <c r="V3038" s="936"/>
      <c r="W3038" s="1103"/>
      <c r="X3038" s="1104"/>
      <c r="Y3038" s="1105"/>
      <c r="Z3038" s="1103"/>
      <c r="AC3038" s="1106"/>
      <c r="AD3038" s="1107"/>
      <c r="AE3038" s="1104"/>
      <c r="AG3038" s="1109"/>
      <c r="AI3038" s="1110"/>
      <c r="AL3038" s="933"/>
      <c r="AM3038" s="933"/>
      <c r="AN3038" s="1100"/>
      <c r="AO3038" s="1100"/>
      <c r="AP3038" s="934"/>
      <c r="AQ3038" s="934"/>
      <c r="AR3038" s="934"/>
      <c r="AS3038" s="936"/>
      <c r="AT3038" s="936"/>
      <c r="AU3038" s="936"/>
      <c r="AV3038" s="937"/>
      <c r="AW3038" s="938"/>
      <c r="AX3038" s="939"/>
      <c r="AY3038" s="933"/>
      <c r="AZ3038" s="936"/>
      <c r="BA3038" s="936"/>
      <c r="BB3038" s="1112"/>
      <c r="BC3038" s="940"/>
      <c r="BD3038" s="941"/>
      <c r="BE3038" s="942"/>
      <c r="BF3038" s="943"/>
      <c r="BG3038" s="943"/>
      <c r="BH3038" s="943"/>
      <c r="BI3038" s="943"/>
      <c r="BJ3038" s="943"/>
      <c r="BK3038" s="943"/>
      <c r="BL3038" s="943"/>
      <c r="BM3038" s="943"/>
      <c r="BN3038" s="943"/>
      <c r="BO3038" s="1059"/>
      <c r="BP3038" s="1059"/>
      <c r="BQ3038" s="1059"/>
      <c r="BR3038" s="1059"/>
      <c r="BS3038" s="1059"/>
      <c r="BT3038" s="1059"/>
      <c r="BU3038" s="1059"/>
      <c r="BV3038" s="944"/>
      <c r="BW3038" s="944"/>
      <c r="BX3038" s="1147"/>
      <c r="BY3038" s="944"/>
      <c r="BZ3038" s="944"/>
      <c r="CA3038" s="944"/>
      <c r="CB3038" s="944"/>
    </row>
    <row r="3039" spans="2:80">
      <c r="B3039" s="1097"/>
      <c r="C3039" s="1097"/>
      <c r="D3039" s="1097"/>
      <c r="E3039" s="1097"/>
      <c r="F3039" s="934"/>
      <c r="G3039" s="1098"/>
      <c r="H3039" s="1099"/>
      <c r="I3039" s="1099"/>
      <c r="J3039" s="934"/>
      <c r="K3039" s="934"/>
      <c r="L3039" s="933"/>
      <c r="M3039" s="1100"/>
      <c r="N3039" s="934"/>
      <c r="O3039" s="936"/>
      <c r="P3039" s="936"/>
      <c r="Q3039" s="933"/>
      <c r="T3039" s="1101"/>
      <c r="U3039" s="1102"/>
      <c r="V3039" s="936"/>
      <c r="W3039" s="1103"/>
      <c r="X3039" s="1104"/>
      <c r="Y3039" s="1105"/>
      <c r="Z3039" s="1103"/>
      <c r="AC3039" s="1106"/>
      <c r="AD3039" s="1107"/>
      <c r="AE3039" s="1104"/>
      <c r="AG3039" s="1109"/>
      <c r="AI3039" s="1110"/>
      <c r="AL3039" s="933"/>
      <c r="AM3039" s="933"/>
      <c r="AN3039" s="1100"/>
      <c r="AO3039" s="1100"/>
      <c r="AP3039" s="934"/>
      <c r="AQ3039" s="934"/>
      <c r="AR3039" s="934"/>
      <c r="AS3039" s="936"/>
      <c r="AT3039" s="936"/>
      <c r="AU3039" s="936"/>
      <c r="AV3039" s="937"/>
      <c r="AW3039" s="938"/>
      <c r="AX3039" s="939"/>
      <c r="AY3039" s="933"/>
      <c r="AZ3039" s="936"/>
      <c r="BA3039" s="936"/>
      <c r="BB3039" s="1112"/>
      <c r="BC3039" s="940"/>
      <c r="BD3039" s="941"/>
      <c r="BE3039" s="942"/>
      <c r="BF3039" s="943"/>
      <c r="BG3039" s="943"/>
      <c r="BH3039" s="943"/>
      <c r="BI3039" s="943"/>
      <c r="BJ3039" s="943"/>
      <c r="BK3039" s="943"/>
      <c r="BL3039" s="943"/>
      <c r="BM3039" s="943"/>
      <c r="BN3039" s="943"/>
      <c r="BO3039" s="1059"/>
      <c r="BP3039" s="1059"/>
      <c r="BQ3039" s="1059"/>
      <c r="BR3039" s="1059"/>
      <c r="BS3039" s="1059"/>
      <c r="BT3039" s="1059"/>
      <c r="BU3039" s="1059"/>
      <c r="BV3039" s="944"/>
      <c r="BW3039" s="944"/>
      <c r="BX3039" s="1147"/>
      <c r="BY3039" s="944"/>
      <c r="BZ3039" s="944"/>
      <c r="CA3039" s="944"/>
      <c r="CB3039" s="944"/>
    </row>
    <row r="3040" spans="2:80">
      <c r="B3040" s="1097"/>
      <c r="C3040" s="1097"/>
      <c r="D3040" s="1097"/>
      <c r="E3040" s="1097"/>
      <c r="F3040" s="934"/>
      <c r="G3040" s="1098"/>
      <c r="H3040" s="1099"/>
      <c r="I3040" s="1099"/>
      <c r="J3040" s="934"/>
      <c r="K3040" s="934"/>
      <c r="L3040" s="933"/>
      <c r="M3040" s="1100"/>
      <c r="N3040" s="934"/>
      <c r="O3040" s="936"/>
      <c r="P3040" s="936"/>
      <c r="Q3040" s="933"/>
      <c r="T3040" s="1101"/>
      <c r="U3040" s="1102"/>
      <c r="V3040" s="936"/>
      <c r="W3040" s="1103"/>
      <c r="X3040" s="1104"/>
      <c r="Y3040" s="1105"/>
      <c r="Z3040" s="1103"/>
      <c r="AC3040" s="1106"/>
      <c r="AD3040" s="1107"/>
      <c r="AE3040" s="1104"/>
      <c r="AG3040" s="1109"/>
      <c r="AI3040" s="1110"/>
      <c r="AL3040" s="933"/>
      <c r="AM3040" s="933"/>
      <c r="AN3040" s="1100"/>
      <c r="AO3040" s="1100"/>
      <c r="AP3040" s="934"/>
      <c r="AQ3040" s="934"/>
      <c r="AR3040" s="934"/>
      <c r="AS3040" s="936"/>
      <c r="AT3040" s="936"/>
      <c r="AU3040" s="936"/>
      <c r="AV3040" s="937"/>
      <c r="AW3040" s="938"/>
      <c r="AX3040" s="939"/>
      <c r="AY3040" s="933"/>
      <c r="AZ3040" s="936"/>
      <c r="BA3040" s="936"/>
      <c r="BB3040" s="1112"/>
      <c r="BC3040" s="940"/>
      <c r="BD3040" s="941"/>
      <c r="BE3040" s="942"/>
      <c r="BF3040" s="943"/>
      <c r="BG3040" s="943"/>
      <c r="BH3040" s="943"/>
      <c r="BI3040" s="943"/>
      <c r="BJ3040" s="943"/>
      <c r="BK3040" s="943"/>
      <c r="BL3040" s="943"/>
      <c r="BM3040" s="943"/>
      <c r="BN3040" s="943"/>
      <c r="BO3040" s="1059"/>
      <c r="BP3040" s="1059"/>
      <c r="BQ3040" s="1059"/>
      <c r="BR3040" s="1059"/>
      <c r="BS3040" s="1059"/>
      <c r="BT3040" s="1059"/>
      <c r="BU3040" s="1059"/>
      <c r="BV3040" s="944"/>
      <c r="BW3040" s="944"/>
      <c r="BX3040" s="1147"/>
      <c r="BY3040" s="944"/>
      <c r="BZ3040" s="944"/>
      <c r="CA3040" s="944"/>
      <c r="CB3040" s="944"/>
    </row>
    <row r="3041" spans="2:80">
      <c r="B3041" s="1097"/>
      <c r="C3041" s="1097"/>
      <c r="D3041" s="1097"/>
      <c r="E3041" s="1097"/>
      <c r="F3041" s="934"/>
      <c r="G3041" s="1098"/>
      <c r="H3041" s="1099"/>
      <c r="I3041" s="1099"/>
      <c r="J3041" s="934"/>
      <c r="K3041" s="934"/>
      <c r="L3041" s="933"/>
      <c r="M3041" s="1100"/>
      <c r="N3041" s="934"/>
      <c r="O3041" s="936"/>
      <c r="P3041" s="936"/>
      <c r="Q3041" s="933"/>
      <c r="T3041" s="1101"/>
      <c r="U3041" s="1102"/>
      <c r="V3041" s="936"/>
      <c r="W3041" s="1103"/>
      <c r="X3041" s="1104"/>
      <c r="Y3041" s="1105"/>
      <c r="Z3041" s="1103"/>
      <c r="AC3041" s="1106"/>
      <c r="AD3041" s="1107"/>
      <c r="AE3041" s="1104"/>
      <c r="AG3041" s="1109"/>
      <c r="AI3041" s="1110"/>
      <c r="AL3041" s="933"/>
      <c r="AM3041" s="933"/>
      <c r="AN3041" s="1100"/>
      <c r="AO3041" s="1100"/>
      <c r="AP3041" s="934"/>
      <c r="AQ3041" s="934"/>
      <c r="AR3041" s="934"/>
      <c r="AS3041" s="936"/>
      <c r="AT3041" s="936"/>
      <c r="AU3041" s="936"/>
      <c r="AV3041" s="937"/>
      <c r="AW3041" s="938"/>
      <c r="AX3041" s="939"/>
      <c r="AY3041" s="933"/>
      <c r="AZ3041" s="936"/>
      <c r="BA3041" s="936"/>
      <c r="BB3041" s="1112"/>
      <c r="BC3041" s="940"/>
      <c r="BD3041" s="941"/>
      <c r="BE3041" s="942"/>
      <c r="BF3041" s="943"/>
      <c r="BG3041" s="943"/>
      <c r="BH3041" s="943"/>
      <c r="BI3041" s="943"/>
      <c r="BJ3041" s="943"/>
      <c r="BK3041" s="943"/>
      <c r="BL3041" s="943"/>
      <c r="BM3041" s="943"/>
      <c r="BN3041" s="943"/>
      <c r="BO3041" s="1059"/>
      <c r="BP3041" s="1059"/>
      <c r="BQ3041" s="1059"/>
      <c r="BR3041" s="1059"/>
      <c r="BS3041" s="1059"/>
      <c r="BT3041" s="1059"/>
      <c r="BU3041" s="1059"/>
      <c r="BV3041" s="944"/>
      <c r="BW3041" s="944"/>
      <c r="BX3041" s="1147"/>
      <c r="BY3041" s="944"/>
      <c r="BZ3041" s="944"/>
      <c r="CA3041" s="944"/>
      <c r="CB3041" s="944"/>
    </row>
    <row r="3042" spans="2:80">
      <c r="B3042" s="1097"/>
      <c r="C3042" s="1097"/>
      <c r="D3042" s="1097"/>
      <c r="E3042" s="1097"/>
      <c r="F3042" s="934"/>
      <c r="G3042" s="1098"/>
      <c r="H3042" s="1099"/>
      <c r="I3042" s="1099"/>
      <c r="J3042" s="934"/>
      <c r="K3042" s="934"/>
      <c r="L3042" s="933"/>
      <c r="M3042" s="1100"/>
      <c r="N3042" s="934"/>
      <c r="O3042" s="936"/>
      <c r="P3042" s="936"/>
      <c r="Q3042" s="933"/>
      <c r="T3042" s="1101"/>
      <c r="U3042" s="1102"/>
      <c r="V3042" s="936"/>
      <c r="W3042" s="1103"/>
      <c r="X3042" s="1104"/>
      <c r="Y3042" s="1105"/>
      <c r="Z3042" s="1103"/>
      <c r="AC3042" s="1106"/>
      <c r="AD3042" s="1107"/>
      <c r="AE3042" s="1104"/>
      <c r="AG3042" s="1109"/>
      <c r="AI3042" s="1110"/>
      <c r="AL3042" s="933"/>
      <c r="AM3042" s="933"/>
      <c r="AN3042" s="1100"/>
      <c r="AO3042" s="1100"/>
      <c r="AP3042" s="934"/>
      <c r="AQ3042" s="934"/>
      <c r="AR3042" s="934"/>
      <c r="AS3042" s="936"/>
      <c r="AT3042" s="936"/>
      <c r="AU3042" s="936"/>
      <c r="AV3042" s="937"/>
      <c r="AW3042" s="938"/>
      <c r="AX3042" s="939"/>
      <c r="AY3042" s="933"/>
      <c r="AZ3042" s="936"/>
      <c r="BA3042" s="936"/>
      <c r="BB3042" s="1112"/>
      <c r="BC3042" s="940"/>
      <c r="BD3042" s="941"/>
      <c r="BE3042" s="942"/>
      <c r="BF3042" s="943"/>
      <c r="BG3042" s="943"/>
      <c r="BH3042" s="943"/>
      <c r="BI3042" s="943"/>
      <c r="BJ3042" s="943"/>
      <c r="BK3042" s="943"/>
      <c r="BL3042" s="943"/>
      <c r="BM3042" s="943"/>
      <c r="BN3042" s="943"/>
      <c r="BO3042" s="1059"/>
      <c r="BP3042" s="1059"/>
      <c r="BQ3042" s="1059"/>
      <c r="BR3042" s="1059"/>
      <c r="BS3042" s="1059"/>
      <c r="BT3042" s="1059"/>
      <c r="BU3042" s="1059"/>
      <c r="BV3042" s="944"/>
      <c r="BW3042" s="944"/>
      <c r="BX3042" s="1147"/>
      <c r="BY3042" s="944"/>
      <c r="BZ3042" s="944"/>
      <c r="CA3042" s="944"/>
      <c r="CB3042" s="944"/>
    </row>
    <row r="3043" spans="2:80">
      <c r="B3043" s="1097"/>
      <c r="C3043" s="1097"/>
      <c r="D3043" s="1097"/>
      <c r="E3043" s="1097"/>
      <c r="F3043" s="934"/>
      <c r="G3043" s="1098"/>
      <c r="H3043" s="1099"/>
      <c r="I3043" s="1099"/>
      <c r="J3043" s="934"/>
      <c r="K3043" s="934"/>
      <c r="L3043" s="933"/>
      <c r="M3043" s="1100"/>
      <c r="N3043" s="934"/>
      <c r="O3043" s="936"/>
      <c r="P3043" s="936"/>
      <c r="Q3043" s="933"/>
      <c r="T3043" s="1101"/>
      <c r="U3043" s="1102"/>
      <c r="V3043" s="936"/>
      <c r="W3043" s="1103"/>
      <c r="X3043" s="1104"/>
      <c r="Y3043" s="1105"/>
      <c r="Z3043" s="1103"/>
      <c r="AC3043" s="1106"/>
      <c r="AD3043" s="1107"/>
      <c r="AE3043" s="1104"/>
      <c r="AG3043" s="1109"/>
      <c r="AI3043" s="1110"/>
      <c r="AL3043" s="933"/>
      <c r="AM3043" s="933"/>
      <c r="AN3043" s="1100"/>
      <c r="AO3043" s="1100"/>
      <c r="AP3043" s="934"/>
      <c r="AQ3043" s="934"/>
      <c r="AR3043" s="934"/>
      <c r="AS3043" s="936"/>
      <c r="AT3043" s="936"/>
      <c r="AU3043" s="936"/>
      <c r="AV3043" s="937"/>
      <c r="AW3043" s="938"/>
      <c r="AX3043" s="939"/>
      <c r="AY3043" s="933"/>
      <c r="AZ3043" s="936"/>
      <c r="BA3043" s="936"/>
      <c r="BB3043" s="1112"/>
      <c r="BC3043" s="940"/>
      <c r="BD3043" s="941"/>
      <c r="BE3043" s="942"/>
      <c r="BF3043" s="943"/>
      <c r="BG3043" s="943"/>
      <c r="BH3043" s="943"/>
      <c r="BI3043" s="943"/>
      <c r="BJ3043" s="943"/>
      <c r="BK3043" s="943"/>
      <c r="BL3043" s="943"/>
      <c r="BM3043" s="943"/>
      <c r="BN3043" s="943"/>
      <c r="BO3043" s="1059"/>
      <c r="BP3043" s="1059"/>
      <c r="BQ3043" s="1059"/>
      <c r="BR3043" s="1059"/>
      <c r="BS3043" s="1059"/>
      <c r="BT3043" s="1059"/>
      <c r="BU3043" s="1059"/>
      <c r="BV3043" s="944"/>
      <c r="BW3043" s="944"/>
      <c r="BX3043" s="1147"/>
      <c r="BY3043" s="944"/>
      <c r="BZ3043" s="944"/>
      <c r="CA3043" s="944"/>
      <c r="CB3043" s="944"/>
    </row>
    <row r="3044" spans="2:80">
      <c r="B3044" s="1097"/>
      <c r="C3044" s="1097"/>
      <c r="D3044" s="1097"/>
      <c r="E3044" s="1097"/>
      <c r="F3044" s="934"/>
      <c r="G3044" s="1098"/>
      <c r="H3044" s="1099"/>
      <c r="I3044" s="1099"/>
      <c r="J3044" s="934"/>
      <c r="K3044" s="934"/>
      <c r="L3044" s="933"/>
      <c r="M3044" s="1100"/>
      <c r="N3044" s="934"/>
      <c r="O3044" s="936"/>
      <c r="P3044" s="936"/>
      <c r="Q3044" s="933"/>
      <c r="T3044" s="1101"/>
      <c r="U3044" s="1102"/>
      <c r="V3044" s="936"/>
      <c r="W3044" s="1103"/>
      <c r="X3044" s="1104"/>
      <c r="Y3044" s="1105"/>
      <c r="Z3044" s="1103"/>
      <c r="AC3044" s="1106"/>
      <c r="AD3044" s="1107"/>
      <c r="AE3044" s="1104"/>
      <c r="AG3044" s="1109"/>
      <c r="AI3044" s="1110"/>
      <c r="AL3044" s="933"/>
      <c r="AM3044" s="933"/>
      <c r="AN3044" s="1100"/>
      <c r="AO3044" s="1100"/>
      <c r="AP3044" s="934"/>
      <c r="AQ3044" s="934"/>
      <c r="AR3044" s="934"/>
      <c r="AS3044" s="936"/>
      <c r="AT3044" s="936"/>
      <c r="AU3044" s="936"/>
      <c r="AV3044" s="937"/>
      <c r="AW3044" s="938"/>
      <c r="AX3044" s="939"/>
      <c r="AY3044" s="933"/>
      <c r="AZ3044" s="936"/>
      <c r="BA3044" s="936"/>
      <c r="BB3044" s="1112"/>
      <c r="BC3044" s="940"/>
      <c r="BD3044" s="941"/>
      <c r="BE3044" s="942"/>
      <c r="BF3044" s="943"/>
      <c r="BG3044" s="943"/>
      <c r="BH3044" s="943"/>
      <c r="BI3044" s="943"/>
      <c r="BJ3044" s="943"/>
      <c r="BK3044" s="943"/>
      <c r="BL3044" s="943"/>
      <c r="BM3044" s="943"/>
      <c r="BN3044" s="943"/>
      <c r="BO3044" s="1059"/>
      <c r="BP3044" s="1059"/>
      <c r="BQ3044" s="1059"/>
      <c r="BR3044" s="1059"/>
      <c r="BS3044" s="1059"/>
      <c r="BT3044" s="1059"/>
      <c r="BU3044" s="1059"/>
      <c r="BV3044" s="944"/>
      <c r="BW3044" s="944"/>
      <c r="BX3044" s="1147"/>
      <c r="BY3044" s="944"/>
      <c r="BZ3044" s="944"/>
      <c r="CA3044" s="944"/>
      <c r="CB3044" s="944"/>
    </row>
    <row r="3045" spans="2:80">
      <c r="B3045" s="1097"/>
      <c r="C3045" s="1097"/>
      <c r="D3045" s="1097"/>
      <c r="E3045" s="1097"/>
      <c r="F3045" s="934"/>
      <c r="G3045" s="1098"/>
      <c r="H3045" s="1099"/>
      <c r="I3045" s="1099"/>
      <c r="J3045" s="934"/>
      <c r="K3045" s="934"/>
      <c r="L3045" s="933"/>
      <c r="M3045" s="1100"/>
      <c r="N3045" s="934"/>
      <c r="O3045" s="936"/>
      <c r="P3045" s="936"/>
      <c r="Q3045" s="933"/>
      <c r="T3045" s="1101"/>
      <c r="U3045" s="1102"/>
      <c r="V3045" s="936"/>
      <c r="W3045" s="1103"/>
      <c r="X3045" s="1104"/>
      <c r="Y3045" s="1105"/>
      <c r="Z3045" s="1103"/>
      <c r="AC3045" s="1106"/>
      <c r="AD3045" s="1107"/>
      <c r="AE3045" s="1104"/>
      <c r="AG3045" s="1109"/>
      <c r="AI3045" s="1110"/>
      <c r="AL3045" s="933"/>
      <c r="AM3045" s="933"/>
      <c r="AN3045" s="1100"/>
      <c r="AO3045" s="1100"/>
      <c r="AP3045" s="934"/>
      <c r="AQ3045" s="934"/>
      <c r="AR3045" s="934"/>
      <c r="AS3045" s="936"/>
      <c r="AT3045" s="936"/>
      <c r="AU3045" s="936"/>
      <c r="AV3045" s="937"/>
      <c r="AW3045" s="938"/>
      <c r="AX3045" s="939"/>
      <c r="AY3045" s="933"/>
      <c r="AZ3045" s="936"/>
      <c r="BA3045" s="936"/>
      <c r="BB3045" s="1112"/>
      <c r="BC3045" s="940"/>
      <c r="BD3045" s="941"/>
      <c r="BE3045" s="942"/>
      <c r="BF3045" s="943"/>
      <c r="BG3045" s="943"/>
      <c r="BH3045" s="943"/>
      <c r="BI3045" s="943"/>
      <c r="BJ3045" s="943"/>
      <c r="BK3045" s="943"/>
      <c r="BL3045" s="943"/>
      <c r="BM3045" s="943"/>
      <c r="BN3045" s="943"/>
      <c r="BO3045" s="1059"/>
      <c r="BP3045" s="1059"/>
      <c r="BQ3045" s="1059"/>
      <c r="BR3045" s="1059"/>
      <c r="BS3045" s="1059"/>
      <c r="BT3045" s="1059"/>
      <c r="BU3045" s="1059"/>
      <c r="BV3045" s="944"/>
      <c r="BW3045" s="944"/>
      <c r="BX3045" s="1147"/>
      <c r="BY3045" s="944"/>
      <c r="BZ3045" s="944"/>
      <c r="CA3045" s="944"/>
      <c r="CB3045" s="944"/>
    </row>
    <row r="3046" spans="2:80">
      <c r="B3046" s="1097"/>
      <c r="C3046" s="1097"/>
      <c r="D3046" s="1097"/>
      <c r="E3046" s="1097"/>
      <c r="F3046" s="934"/>
      <c r="G3046" s="1098"/>
      <c r="H3046" s="1099"/>
      <c r="I3046" s="1099"/>
      <c r="J3046" s="934"/>
      <c r="K3046" s="934"/>
      <c r="L3046" s="933"/>
      <c r="M3046" s="1100"/>
      <c r="N3046" s="934"/>
      <c r="O3046" s="936"/>
      <c r="P3046" s="936"/>
      <c r="Q3046" s="933"/>
      <c r="T3046" s="1101"/>
      <c r="U3046" s="1102"/>
      <c r="V3046" s="936"/>
      <c r="W3046" s="1103"/>
      <c r="X3046" s="1104"/>
      <c r="Y3046" s="1105"/>
      <c r="Z3046" s="1103"/>
      <c r="AC3046" s="1106"/>
      <c r="AD3046" s="1107"/>
      <c r="AE3046" s="1104"/>
      <c r="AG3046" s="1109"/>
      <c r="AI3046" s="1110"/>
      <c r="AL3046" s="933"/>
      <c r="AM3046" s="933"/>
      <c r="AN3046" s="1100"/>
      <c r="AO3046" s="1100"/>
      <c r="AP3046" s="934"/>
      <c r="AQ3046" s="934"/>
      <c r="AR3046" s="934"/>
      <c r="AS3046" s="936"/>
      <c r="AT3046" s="936"/>
      <c r="AU3046" s="936"/>
      <c r="AV3046" s="937"/>
      <c r="AW3046" s="938"/>
      <c r="AX3046" s="939"/>
      <c r="AY3046" s="933"/>
      <c r="AZ3046" s="936"/>
      <c r="BA3046" s="936"/>
      <c r="BB3046" s="1112"/>
      <c r="BC3046" s="940"/>
      <c r="BD3046" s="941"/>
      <c r="BE3046" s="942"/>
      <c r="BF3046" s="943"/>
      <c r="BG3046" s="943"/>
      <c r="BH3046" s="943"/>
      <c r="BI3046" s="943"/>
      <c r="BJ3046" s="943"/>
      <c r="BK3046" s="943"/>
      <c r="BL3046" s="943"/>
      <c r="BM3046" s="943"/>
      <c r="BN3046" s="943"/>
      <c r="BO3046" s="1059"/>
      <c r="BP3046" s="1059"/>
      <c r="BQ3046" s="1059"/>
      <c r="BR3046" s="1059"/>
      <c r="BS3046" s="1059"/>
      <c r="BT3046" s="1059"/>
      <c r="BU3046" s="1059"/>
      <c r="BV3046" s="944"/>
      <c r="BW3046" s="944"/>
      <c r="BX3046" s="1147"/>
      <c r="BY3046" s="944"/>
      <c r="BZ3046" s="944"/>
      <c r="CA3046" s="944"/>
      <c r="CB3046" s="944"/>
    </row>
    <row r="3047" spans="2:80">
      <c r="B3047" s="1097"/>
      <c r="C3047" s="1097"/>
      <c r="D3047" s="1097"/>
      <c r="E3047" s="1097"/>
      <c r="F3047" s="934"/>
      <c r="G3047" s="1098"/>
      <c r="H3047" s="1099"/>
      <c r="I3047" s="1099"/>
      <c r="J3047" s="934"/>
      <c r="K3047" s="934"/>
      <c r="L3047" s="933"/>
      <c r="M3047" s="1100"/>
      <c r="N3047" s="934"/>
      <c r="O3047" s="936"/>
      <c r="P3047" s="936"/>
      <c r="Q3047" s="933"/>
      <c r="T3047" s="1101"/>
      <c r="U3047" s="1102"/>
      <c r="V3047" s="936"/>
      <c r="W3047" s="1103"/>
      <c r="X3047" s="1104"/>
      <c r="Y3047" s="1105"/>
      <c r="Z3047" s="1103"/>
      <c r="AC3047" s="1106"/>
      <c r="AD3047" s="1107"/>
      <c r="AE3047" s="1104"/>
      <c r="AG3047" s="1109"/>
      <c r="AI3047" s="1110"/>
      <c r="AL3047" s="933"/>
      <c r="AM3047" s="933"/>
      <c r="AN3047" s="1100"/>
      <c r="AO3047" s="1100"/>
      <c r="AP3047" s="934"/>
      <c r="AQ3047" s="934"/>
      <c r="AR3047" s="934"/>
      <c r="AS3047" s="936"/>
      <c r="AT3047" s="936"/>
      <c r="AU3047" s="936"/>
      <c r="AV3047" s="937"/>
      <c r="AW3047" s="938"/>
      <c r="AX3047" s="939"/>
      <c r="AY3047" s="933"/>
      <c r="AZ3047" s="936"/>
      <c r="BA3047" s="936"/>
      <c r="BB3047" s="1112"/>
      <c r="BC3047" s="940"/>
      <c r="BD3047" s="941"/>
      <c r="BE3047" s="942"/>
      <c r="BF3047" s="943"/>
      <c r="BG3047" s="943"/>
      <c r="BH3047" s="943"/>
      <c r="BI3047" s="943"/>
      <c r="BJ3047" s="943"/>
      <c r="BK3047" s="943"/>
      <c r="BL3047" s="943"/>
      <c r="BM3047" s="943"/>
      <c r="BN3047" s="943"/>
      <c r="BO3047" s="1059"/>
      <c r="BP3047" s="1059"/>
      <c r="BQ3047" s="1059"/>
      <c r="BR3047" s="1059"/>
      <c r="BS3047" s="1059"/>
      <c r="BT3047" s="1059"/>
      <c r="BU3047" s="1059"/>
      <c r="BV3047" s="944"/>
      <c r="BW3047" s="944"/>
      <c r="BX3047" s="1147"/>
      <c r="BY3047" s="944"/>
      <c r="BZ3047" s="944"/>
      <c r="CA3047" s="944"/>
      <c r="CB3047" s="944"/>
    </row>
    <row r="3048" spans="2:80">
      <c r="B3048" s="1097"/>
      <c r="C3048" s="1097"/>
      <c r="D3048" s="1097"/>
      <c r="E3048" s="1097"/>
      <c r="F3048" s="934"/>
      <c r="G3048" s="1098"/>
      <c r="H3048" s="1099"/>
      <c r="I3048" s="1099"/>
      <c r="J3048" s="934"/>
      <c r="K3048" s="934"/>
      <c r="L3048" s="933"/>
      <c r="M3048" s="1100"/>
      <c r="N3048" s="934"/>
      <c r="O3048" s="936"/>
      <c r="P3048" s="936"/>
      <c r="Q3048" s="933"/>
      <c r="T3048" s="1101"/>
      <c r="U3048" s="1102"/>
      <c r="V3048" s="936"/>
      <c r="W3048" s="1103"/>
      <c r="X3048" s="1104"/>
      <c r="Y3048" s="1105"/>
      <c r="Z3048" s="1103"/>
      <c r="AC3048" s="1106"/>
      <c r="AD3048" s="1107"/>
      <c r="AE3048" s="1104"/>
      <c r="AG3048" s="1109"/>
      <c r="AI3048" s="1110"/>
      <c r="AL3048" s="933"/>
      <c r="AM3048" s="933"/>
      <c r="AN3048" s="1100"/>
      <c r="AO3048" s="1100"/>
      <c r="AP3048" s="934"/>
      <c r="AQ3048" s="934"/>
      <c r="AR3048" s="934"/>
      <c r="AS3048" s="936"/>
      <c r="AT3048" s="936"/>
      <c r="AU3048" s="936"/>
      <c r="AV3048" s="937"/>
      <c r="AW3048" s="938"/>
      <c r="AX3048" s="939"/>
      <c r="AY3048" s="933"/>
      <c r="AZ3048" s="936"/>
      <c r="BA3048" s="936"/>
      <c r="BB3048" s="1112"/>
      <c r="BC3048" s="940"/>
      <c r="BD3048" s="941"/>
      <c r="BE3048" s="942"/>
      <c r="BF3048" s="943"/>
      <c r="BG3048" s="943"/>
      <c r="BH3048" s="943"/>
      <c r="BI3048" s="943"/>
      <c r="BJ3048" s="943"/>
      <c r="BK3048" s="943"/>
      <c r="BL3048" s="943"/>
      <c r="BM3048" s="943"/>
      <c r="BN3048" s="943"/>
      <c r="BO3048" s="1059"/>
      <c r="BP3048" s="1059"/>
      <c r="BQ3048" s="1059"/>
      <c r="BR3048" s="1059"/>
      <c r="BS3048" s="1059"/>
      <c r="BT3048" s="1059"/>
      <c r="BU3048" s="1059"/>
      <c r="BV3048" s="944"/>
      <c r="BW3048" s="944"/>
      <c r="BX3048" s="1147"/>
      <c r="BY3048" s="944"/>
      <c r="BZ3048" s="944"/>
      <c r="CA3048" s="944"/>
      <c r="CB3048" s="944"/>
    </row>
    <row r="3049" spans="2:80">
      <c r="B3049" s="1097"/>
      <c r="C3049" s="1097"/>
      <c r="D3049" s="1097"/>
      <c r="E3049" s="1097"/>
      <c r="F3049" s="934"/>
      <c r="G3049" s="1098"/>
      <c r="H3049" s="1099"/>
      <c r="I3049" s="1099"/>
      <c r="J3049" s="934"/>
      <c r="K3049" s="934"/>
      <c r="L3049" s="933"/>
      <c r="M3049" s="1100"/>
      <c r="N3049" s="934"/>
      <c r="O3049" s="936"/>
      <c r="P3049" s="936"/>
      <c r="Q3049" s="933"/>
      <c r="T3049" s="1101"/>
      <c r="U3049" s="1102"/>
      <c r="V3049" s="936"/>
      <c r="W3049" s="1103"/>
      <c r="X3049" s="1104"/>
      <c r="Y3049" s="1105"/>
      <c r="Z3049" s="1103"/>
      <c r="AC3049" s="1106"/>
      <c r="AD3049" s="1107"/>
      <c r="AE3049" s="1104"/>
      <c r="AG3049" s="1109"/>
      <c r="AI3049" s="1110"/>
      <c r="AL3049" s="933"/>
      <c r="AM3049" s="933"/>
      <c r="AN3049" s="1100"/>
      <c r="AO3049" s="1100"/>
      <c r="AP3049" s="934"/>
      <c r="AQ3049" s="934"/>
      <c r="AR3049" s="934"/>
      <c r="AS3049" s="936"/>
      <c r="AT3049" s="936"/>
      <c r="AU3049" s="936"/>
      <c r="AV3049" s="937"/>
      <c r="AW3049" s="938"/>
      <c r="AX3049" s="939"/>
      <c r="AY3049" s="933"/>
      <c r="AZ3049" s="936"/>
      <c r="BA3049" s="936"/>
      <c r="BB3049" s="1112"/>
      <c r="BC3049" s="940"/>
      <c r="BD3049" s="941"/>
      <c r="BE3049" s="942"/>
      <c r="BF3049" s="943"/>
      <c r="BG3049" s="943"/>
      <c r="BH3049" s="943"/>
      <c r="BI3049" s="943"/>
      <c r="BJ3049" s="943"/>
      <c r="BK3049" s="943"/>
      <c r="BL3049" s="943"/>
      <c r="BM3049" s="943"/>
      <c r="BN3049" s="943"/>
      <c r="BO3049" s="1059"/>
      <c r="BP3049" s="1059"/>
      <c r="BQ3049" s="1059"/>
      <c r="BR3049" s="1059"/>
      <c r="BS3049" s="1059"/>
      <c r="BT3049" s="1059"/>
      <c r="BU3049" s="1059"/>
      <c r="BV3049" s="944"/>
      <c r="BW3049" s="944"/>
      <c r="BX3049" s="1147"/>
      <c r="BY3049" s="944"/>
      <c r="BZ3049" s="944"/>
      <c r="CA3049" s="944"/>
      <c r="CB3049" s="944"/>
    </row>
    <row r="3050" spans="2:80">
      <c r="B3050" s="1097"/>
      <c r="C3050" s="1097"/>
      <c r="D3050" s="1097"/>
      <c r="E3050" s="1097"/>
      <c r="F3050" s="934"/>
      <c r="G3050" s="1098"/>
      <c r="H3050" s="1099"/>
      <c r="I3050" s="1099"/>
      <c r="J3050" s="934"/>
      <c r="K3050" s="934"/>
      <c r="L3050" s="933"/>
      <c r="M3050" s="1100"/>
      <c r="N3050" s="934"/>
      <c r="O3050" s="936"/>
      <c r="P3050" s="936"/>
      <c r="Q3050" s="933"/>
      <c r="T3050" s="1101"/>
      <c r="U3050" s="1102"/>
      <c r="V3050" s="936"/>
      <c r="W3050" s="1103"/>
      <c r="X3050" s="1104"/>
      <c r="Y3050" s="1105"/>
      <c r="Z3050" s="1103"/>
      <c r="AC3050" s="1106"/>
      <c r="AD3050" s="1107"/>
      <c r="AE3050" s="1104"/>
      <c r="AG3050" s="1109"/>
      <c r="AI3050" s="1110"/>
      <c r="AL3050" s="933"/>
      <c r="AM3050" s="933"/>
      <c r="AN3050" s="1100"/>
      <c r="AO3050" s="1100"/>
      <c r="AP3050" s="934"/>
      <c r="AQ3050" s="934"/>
      <c r="AR3050" s="934"/>
      <c r="AS3050" s="936"/>
      <c r="AT3050" s="936"/>
      <c r="AU3050" s="936"/>
      <c r="AV3050" s="937"/>
      <c r="AW3050" s="938"/>
      <c r="AX3050" s="939"/>
      <c r="AY3050" s="933"/>
      <c r="AZ3050" s="936"/>
      <c r="BA3050" s="936"/>
      <c r="BB3050" s="1112"/>
      <c r="BC3050" s="940"/>
      <c r="BD3050" s="941"/>
      <c r="BE3050" s="942"/>
      <c r="BF3050" s="943"/>
      <c r="BG3050" s="943"/>
      <c r="BH3050" s="943"/>
      <c r="BI3050" s="943"/>
      <c r="BJ3050" s="943"/>
      <c r="BK3050" s="943"/>
      <c r="BL3050" s="943"/>
      <c r="BM3050" s="943"/>
      <c r="BN3050" s="943"/>
      <c r="BO3050" s="1059"/>
      <c r="BP3050" s="1059"/>
      <c r="BQ3050" s="1059"/>
      <c r="BR3050" s="1059"/>
      <c r="BS3050" s="1059"/>
      <c r="BT3050" s="1059"/>
      <c r="BU3050" s="1059"/>
      <c r="BV3050" s="944"/>
      <c r="BW3050" s="944"/>
      <c r="BX3050" s="1147"/>
      <c r="BY3050" s="944"/>
      <c r="BZ3050" s="944"/>
      <c r="CA3050" s="944"/>
      <c r="CB3050" s="944"/>
    </row>
    <row r="3051" spans="2:80">
      <c r="B3051" s="1097"/>
      <c r="C3051" s="1097"/>
      <c r="D3051" s="1097"/>
      <c r="E3051" s="1097"/>
      <c r="F3051" s="934"/>
      <c r="G3051" s="1098"/>
      <c r="H3051" s="1099"/>
      <c r="I3051" s="1099"/>
      <c r="J3051" s="934"/>
      <c r="K3051" s="934"/>
      <c r="L3051" s="933"/>
      <c r="M3051" s="1100"/>
      <c r="N3051" s="934"/>
      <c r="O3051" s="936"/>
      <c r="P3051" s="936"/>
      <c r="Q3051" s="933"/>
      <c r="T3051" s="1101"/>
      <c r="U3051" s="1102"/>
      <c r="V3051" s="936"/>
      <c r="W3051" s="1103"/>
      <c r="X3051" s="1104"/>
      <c r="Y3051" s="1105"/>
      <c r="Z3051" s="1103"/>
      <c r="AC3051" s="1106"/>
      <c r="AD3051" s="1107"/>
      <c r="AE3051" s="1104"/>
      <c r="AG3051" s="1109"/>
      <c r="AI3051" s="1110"/>
      <c r="AL3051" s="933"/>
      <c r="AM3051" s="933"/>
      <c r="AN3051" s="1100"/>
      <c r="AO3051" s="1100"/>
      <c r="AP3051" s="934"/>
      <c r="AQ3051" s="934"/>
      <c r="AR3051" s="934"/>
      <c r="AS3051" s="936"/>
      <c r="AT3051" s="936"/>
      <c r="AU3051" s="936"/>
      <c r="AV3051" s="937"/>
      <c r="AW3051" s="938"/>
      <c r="AX3051" s="939"/>
      <c r="AY3051" s="933"/>
      <c r="AZ3051" s="936"/>
      <c r="BA3051" s="936"/>
      <c r="BB3051" s="1112"/>
      <c r="BC3051" s="940"/>
      <c r="BD3051" s="941"/>
      <c r="BE3051" s="942"/>
      <c r="BF3051" s="943"/>
      <c r="BG3051" s="943"/>
      <c r="BH3051" s="943"/>
      <c r="BI3051" s="943"/>
      <c r="BJ3051" s="943"/>
      <c r="BK3051" s="943"/>
      <c r="BL3051" s="943"/>
      <c r="BM3051" s="943"/>
      <c r="BN3051" s="943"/>
      <c r="BO3051" s="1059"/>
      <c r="BP3051" s="1059"/>
      <c r="BQ3051" s="1059"/>
      <c r="BR3051" s="1059"/>
      <c r="BS3051" s="1059"/>
      <c r="BT3051" s="1059"/>
      <c r="BU3051" s="1059"/>
      <c r="BV3051" s="944"/>
      <c r="BW3051" s="944"/>
      <c r="BX3051" s="1147"/>
      <c r="BY3051" s="944"/>
      <c r="BZ3051" s="944"/>
      <c r="CA3051" s="944"/>
      <c r="CB3051" s="944"/>
    </row>
    <row r="3052" spans="2:80">
      <c r="B3052" s="1097"/>
      <c r="C3052" s="1097"/>
      <c r="D3052" s="1097"/>
      <c r="E3052" s="1097"/>
      <c r="F3052" s="934"/>
      <c r="G3052" s="1098"/>
      <c r="H3052" s="1099"/>
      <c r="I3052" s="1099"/>
      <c r="J3052" s="934"/>
      <c r="K3052" s="934"/>
      <c r="L3052" s="933"/>
      <c r="M3052" s="1100"/>
      <c r="N3052" s="934"/>
      <c r="O3052" s="936"/>
      <c r="P3052" s="936"/>
      <c r="Q3052" s="933"/>
      <c r="T3052" s="1101"/>
      <c r="U3052" s="1102"/>
      <c r="V3052" s="936"/>
      <c r="W3052" s="1103"/>
      <c r="X3052" s="1104"/>
      <c r="Y3052" s="1105"/>
      <c r="Z3052" s="1103"/>
      <c r="AC3052" s="1106"/>
      <c r="AD3052" s="1107"/>
      <c r="AE3052" s="1104"/>
      <c r="AG3052" s="1109"/>
      <c r="AI3052" s="1110"/>
      <c r="AL3052" s="933"/>
      <c r="AM3052" s="933"/>
      <c r="AN3052" s="1100"/>
      <c r="AO3052" s="1100"/>
      <c r="AP3052" s="934"/>
      <c r="AQ3052" s="934"/>
      <c r="AR3052" s="934"/>
      <c r="AS3052" s="936"/>
      <c r="AT3052" s="936"/>
      <c r="AU3052" s="936"/>
      <c r="AV3052" s="937"/>
      <c r="AW3052" s="938"/>
      <c r="AX3052" s="939"/>
      <c r="AY3052" s="933"/>
      <c r="AZ3052" s="936"/>
      <c r="BA3052" s="936"/>
      <c r="BB3052" s="1112"/>
      <c r="BC3052" s="940"/>
      <c r="BD3052" s="941"/>
      <c r="BE3052" s="942"/>
      <c r="BF3052" s="943"/>
      <c r="BG3052" s="943"/>
      <c r="BH3052" s="943"/>
      <c r="BI3052" s="943"/>
      <c r="BJ3052" s="943"/>
      <c r="BK3052" s="943"/>
      <c r="BL3052" s="943"/>
      <c r="BM3052" s="943"/>
      <c r="BN3052" s="943"/>
      <c r="BO3052" s="1059"/>
      <c r="BP3052" s="1059"/>
      <c r="BQ3052" s="1059"/>
      <c r="BR3052" s="1059"/>
      <c r="BS3052" s="1059"/>
      <c r="BT3052" s="1059"/>
      <c r="BU3052" s="1059"/>
      <c r="BV3052" s="944"/>
      <c r="BW3052" s="944"/>
      <c r="BX3052" s="1147"/>
      <c r="BY3052" s="944"/>
      <c r="BZ3052" s="944"/>
      <c r="CA3052" s="944"/>
      <c r="CB3052" s="944"/>
    </row>
    <row r="3053" spans="2:80">
      <c r="B3053" s="1097"/>
      <c r="C3053" s="1097"/>
      <c r="D3053" s="1097"/>
      <c r="E3053" s="1097"/>
      <c r="F3053" s="934"/>
      <c r="G3053" s="1098"/>
      <c r="H3053" s="1099"/>
      <c r="I3053" s="1099"/>
      <c r="J3053" s="934"/>
      <c r="K3053" s="934"/>
      <c r="L3053" s="933"/>
      <c r="M3053" s="1100"/>
      <c r="N3053" s="934"/>
      <c r="O3053" s="936"/>
      <c r="P3053" s="936"/>
      <c r="Q3053" s="933"/>
      <c r="T3053" s="1101"/>
      <c r="U3053" s="1102"/>
      <c r="V3053" s="936"/>
      <c r="W3053" s="1103"/>
      <c r="X3053" s="1104"/>
      <c r="Y3053" s="1105"/>
      <c r="Z3053" s="1103"/>
      <c r="AC3053" s="1106"/>
      <c r="AD3053" s="1107"/>
      <c r="AE3053" s="1104"/>
      <c r="AG3053" s="1109"/>
      <c r="AI3053" s="1110"/>
      <c r="AL3053" s="933"/>
      <c r="AM3053" s="933"/>
      <c r="AN3053" s="1100"/>
      <c r="AO3053" s="1100"/>
      <c r="AP3053" s="934"/>
      <c r="AQ3053" s="934"/>
      <c r="AR3053" s="934"/>
      <c r="AS3053" s="936"/>
      <c r="AT3053" s="936"/>
      <c r="AU3053" s="936"/>
      <c r="AV3053" s="937"/>
      <c r="AW3053" s="938"/>
      <c r="AX3053" s="939"/>
      <c r="AY3053" s="933"/>
      <c r="AZ3053" s="936"/>
      <c r="BA3053" s="936"/>
      <c r="BB3053" s="1112"/>
      <c r="BC3053" s="940"/>
      <c r="BD3053" s="941"/>
      <c r="BE3053" s="942"/>
      <c r="BF3053" s="943"/>
      <c r="BG3053" s="943"/>
      <c r="BH3053" s="943"/>
      <c r="BI3053" s="943"/>
      <c r="BJ3053" s="943"/>
      <c r="BK3053" s="943"/>
      <c r="BL3053" s="943"/>
      <c r="BM3053" s="943"/>
      <c r="BN3053" s="943"/>
      <c r="BO3053" s="1059"/>
      <c r="BP3053" s="1059"/>
      <c r="BQ3053" s="1059"/>
      <c r="BR3053" s="1059"/>
      <c r="BS3053" s="1059"/>
      <c r="BT3053" s="1059"/>
      <c r="BU3053" s="1059"/>
      <c r="BV3053" s="944"/>
      <c r="BW3053" s="944"/>
      <c r="BX3053" s="1147"/>
      <c r="BY3053" s="944"/>
      <c r="BZ3053" s="944"/>
      <c r="CA3053" s="944"/>
      <c r="CB3053" s="944"/>
    </row>
    <row r="3054" spans="2:80">
      <c r="B3054" s="1097"/>
      <c r="C3054" s="1097"/>
      <c r="D3054" s="1097"/>
      <c r="E3054" s="1097"/>
      <c r="F3054" s="934"/>
      <c r="G3054" s="1098"/>
      <c r="H3054" s="1099"/>
      <c r="I3054" s="1099"/>
      <c r="J3054" s="934"/>
      <c r="K3054" s="934"/>
      <c r="L3054" s="933"/>
      <c r="M3054" s="1100"/>
      <c r="N3054" s="934"/>
      <c r="O3054" s="936"/>
      <c r="P3054" s="936"/>
      <c r="Q3054" s="933"/>
      <c r="T3054" s="1101"/>
      <c r="U3054" s="1102"/>
      <c r="V3054" s="936"/>
      <c r="W3054" s="1103"/>
      <c r="X3054" s="1104"/>
      <c r="Y3054" s="1105"/>
      <c r="Z3054" s="1103"/>
      <c r="AC3054" s="1106"/>
      <c r="AD3054" s="1107"/>
      <c r="AE3054" s="1104"/>
      <c r="AG3054" s="1109"/>
      <c r="AI3054" s="1110"/>
      <c r="AL3054" s="933"/>
      <c r="AM3054" s="933"/>
      <c r="AN3054" s="1100"/>
      <c r="AO3054" s="1100"/>
      <c r="AP3054" s="934"/>
      <c r="AQ3054" s="934"/>
      <c r="AR3054" s="934"/>
      <c r="AS3054" s="936"/>
      <c r="AT3054" s="936"/>
      <c r="AU3054" s="936"/>
      <c r="AV3054" s="937"/>
      <c r="AW3054" s="938"/>
      <c r="AX3054" s="939"/>
      <c r="AY3054" s="933"/>
      <c r="AZ3054" s="936"/>
      <c r="BA3054" s="936"/>
      <c r="BB3054" s="1112"/>
      <c r="BC3054" s="940"/>
      <c r="BD3054" s="941"/>
      <c r="BE3054" s="942"/>
      <c r="BF3054" s="943"/>
      <c r="BG3054" s="943"/>
      <c r="BH3054" s="943"/>
      <c r="BI3054" s="943"/>
      <c r="BJ3054" s="943"/>
      <c r="BK3054" s="943"/>
      <c r="BL3054" s="943"/>
      <c r="BM3054" s="943"/>
      <c r="BN3054" s="943"/>
      <c r="BO3054" s="1059"/>
      <c r="BP3054" s="1059"/>
      <c r="BQ3054" s="1059"/>
      <c r="BR3054" s="1059"/>
      <c r="BS3054" s="1059"/>
      <c r="BT3054" s="1059"/>
      <c r="BU3054" s="1059"/>
      <c r="BV3054" s="944"/>
      <c r="BW3054" s="944"/>
      <c r="BX3054" s="1147"/>
      <c r="BY3054" s="944"/>
      <c r="BZ3054" s="944"/>
      <c r="CA3054" s="944"/>
      <c r="CB3054" s="944"/>
    </row>
    <row r="3055" spans="2:80">
      <c r="B3055" s="1097"/>
      <c r="C3055" s="1097"/>
      <c r="D3055" s="1097"/>
      <c r="E3055" s="1097"/>
      <c r="F3055" s="934"/>
      <c r="G3055" s="1098"/>
      <c r="H3055" s="1099"/>
      <c r="I3055" s="1099"/>
      <c r="J3055" s="934"/>
      <c r="K3055" s="934"/>
      <c r="L3055" s="933"/>
      <c r="M3055" s="1100"/>
      <c r="N3055" s="934"/>
      <c r="O3055" s="936"/>
      <c r="P3055" s="936"/>
      <c r="Q3055" s="933"/>
      <c r="T3055" s="1101"/>
      <c r="U3055" s="1102"/>
      <c r="V3055" s="936"/>
      <c r="W3055" s="1103"/>
      <c r="X3055" s="1104"/>
      <c r="Y3055" s="1105"/>
      <c r="Z3055" s="1103"/>
      <c r="AC3055" s="1106"/>
      <c r="AD3055" s="1107"/>
      <c r="AE3055" s="1104"/>
      <c r="AG3055" s="1109"/>
      <c r="AI3055" s="1110"/>
      <c r="AL3055" s="933"/>
      <c r="AM3055" s="933"/>
      <c r="AN3055" s="1100"/>
      <c r="AO3055" s="1100"/>
      <c r="AP3055" s="934"/>
      <c r="AQ3055" s="934"/>
      <c r="AR3055" s="934"/>
      <c r="AS3055" s="936"/>
      <c r="AT3055" s="936"/>
      <c r="AU3055" s="936"/>
      <c r="AV3055" s="937"/>
      <c r="AW3055" s="938"/>
      <c r="AX3055" s="939"/>
      <c r="AY3055" s="933"/>
      <c r="AZ3055" s="936"/>
      <c r="BA3055" s="936"/>
      <c r="BB3055" s="1112"/>
      <c r="BC3055" s="940"/>
      <c r="BD3055" s="941"/>
      <c r="BE3055" s="942"/>
      <c r="BF3055" s="943"/>
      <c r="BG3055" s="943"/>
      <c r="BH3055" s="943"/>
      <c r="BI3055" s="943"/>
      <c r="BJ3055" s="943"/>
      <c r="BK3055" s="943"/>
      <c r="BL3055" s="943"/>
      <c r="BM3055" s="943"/>
      <c r="BN3055" s="943"/>
      <c r="BO3055" s="1059"/>
      <c r="BP3055" s="1059"/>
      <c r="BQ3055" s="1059"/>
      <c r="BR3055" s="1059"/>
      <c r="BS3055" s="1059"/>
      <c r="BT3055" s="1059"/>
      <c r="BU3055" s="1059"/>
      <c r="BV3055" s="944"/>
      <c r="BW3055" s="944"/>
      <c r="BX3055" s="1147"/>
      <c r="BY3055" s="944"/>
      <c r="BZ3055" s="944"/>
      <c r="CA3055" s="944"/>
      <c r="CB3055" s="944"/>
    </row>
    <row r="3056" spans="2:80">
      <c r="B3056" s="1097"/>
      <c r="C3056" s="1097"/>
      <c r="D3056" s="1097"/>
      <c r="E3056" s="1097"/>
      <c r="F3056" s="934"/>
      <c r="G3056" s="1098"/>
      <c r="H3056" s="1099"/>
      <c r="I3056" s="1099"/>
      <c r="J3056" s="934"/>
      <c r="K3056" s="934"/>
      <c r="L3056" s="933"/>
      <c r="M3056" s="1100"/>
      <c r="N3056" s="934"/>
      <c r="O3056" s="936"/>
      <c r="P3056" s="936"/>
      <c r="Q3056" s="933"/>
      <c r="T3056" s="1101"/>
      <c r="U3056" s="1102"/>
      <c r="V3056" s="936"/>
      <c r="W3056" s="1103"/>
      <c r="X3056" s="1104"/>
      <c r="Y3056" s="1105"/>
      <c r="Z3056" s="1103"/>
      <c r="AC3056" s="1106"/>
      <c r="AD3056" s="1107"/>
      <c r="AE3056" s="1104"/>
      <c r="AG3056" s="1109"/>
      <c r="AI3056" s="1110"/>
      <c r="AL3056" s="933"/>
      <c r="AM3056" s="933"/>
      <c r="AN3056" s="1100"/>
      <c r="AO3056" s="1100"/>
      <c r="AP3056" s="934"/>
      <c r="AQ3056" s="934"/>
      <c r="AR3056" s="934"/>
      <c r="AS3056" s="936"/>
      <c r="AT3056" s="936"/>
      <c r="AU3056" s="936"/>
      <c r="AV3056" s="937"/>
      <c r="AW3056" s="938"/>
      <c r="AX3056" s="939"/>
      <c r="AY3056" s="933"/>
      <c r="AZ3056" s="936"/>
      <c r="BA3056" s="936"/>
      <c r="BB3056" s="1112"/>
      <c r="BC3056" s="940"/>
      <c r="BD3056" s="941"/>
      <c r="BE3056" s="942"/>
      <c r="BF3056" s="943"/>
      <c r="BG3056" s="943"/>
      <c r="BH3056" s="943"/>
      <c r="BI3056" s="943"/>
      <c r="BJ3056" s="943"/>
      <c r="BK3056" s="943"/>
      <c r="BL3056" s="943"/>
      <c r="BM3056" s="943"/>
      <c r="BN3056" s="943"/>
      <c r="BO3056" s="1059"/>
      <c r="BP3056" s="1059"/>
      <c r="BQ3056" s="1059"/>
      <c r="BR3056" s="1059"/>
      <c r="BS3056" s="1059"/>
      <c r="BT3056" s="1059"/>
      <c r="BU3056" s="1059"/>
      <c r="BV3056" s="944"/>
      <c r="BW3056" s="944"/>
      <c r="BX3056" s="1147"/>
      <c r="BY3056" s="944"/>
      <c r="BZ3056" s="944"/>
      <c r="CA3056" s="944"/>
      <c r="CB3056" s="944"/>
    </row>
    <row r="3057" spans="2:80">
      <c r="B3057" s="1097"/>
      <c r="C3057" s="1097"/>
      <c r="D3057" s="1097"/>
      <c r="E3057" s="1097"/>
      <c r="F3057" s="934"/>
      <c r="G3057" s="1098"/>
      <c r="H3057" s="1099"/>
      <c r="I3057" s="1099"/>
      <c r="J3057" s="934"/>
      <c r="K3057" s="934"/>
      <c r="L3057" s="933"/>
      <c r="M3057" s="1100"/>
      <c r="N3057" s="934"/>
      <c r="O3057" s="936"/>
      <c r="P3057" s="936"/>
      <c r="Q3057" s="933"/>
      <c r="T3057" s="1101"/>
      <c r="U3057" s="1102"/>
      <c r="V3057" s="936"/>
      <c r="W3057" s="1103"/>
      <c r="X3057" s="1104"/>
      <c r="Y3057" s="1105"/>
      <c r="Z3057" s="1103"/>
      <c r="AC3057" s="1106"/>
      <c r="AD3057" s="1107"/>
      <c r="AE3057" s="1104"/>
      <c r="AG3057" s="1109"/>
      <c r="AI3057" s="1110"/>
      <c r="AL3057" s="933"/>
      <c r="AM3057" s="933"/>
      <c r="AN3057" s="1100"/>
      <c r="AO3057" s="1100"/>
      <c r="AP3057" s="934"/>
      <c r="AQ3057" s="934"/>
      <c r="AR3057" s="934"/>
      <c r="AS3057" s="936"/>
      <c r="AT3057" s="936"/>
      <c r="AU3057" s="936"/>
      <c r="AV3057" s="937"/>
      <c r="AW3057" s="938"/>
      <c r="AX3057" s="939"/>
      <c r="AY3057" s="933"/>
      <c r="AZ3057" s="936"/>
      <c r="BA3057" s="936"/>
      <c r="BB3057" s="1112"/>
      <c r="BC3057" s="940"/>
      <c r="BD3057" s="941"/>
      <c r="BE3057" s="942"/>
      <c r="BF3057" s="943"/>
      <c r="BG3057" s="943"/>
      <c r="BH3057" s="943"/>
      <c r="BI3057" s="943"/>
      <c r="BJ3057" s="943"/>
      <c r="BK3057" s="943"/>
      <c r="BL3057" s="943"/>
      <c r="BM3057" s="943"/>
      <c r="BN3057" s="943"/>
      <c r="BO3057" s="1059"/>
      <c r="BP3057" s="1059"/>
      <c r="BQ3057" s="1059"/>
      <c r="BR3057" s="1059"/>
      <c r="BS3057" s="1059"/>
      <c r="BT3057" s="1059"/>
      <c r="BU3057" s="1059"/>
      <c r="BV3057" s="944"/>
      <c r="BW3057" s="944"/>
      <c r="BX3057" s="1147"/>
      <c r="BY3057" s="944"/>
      <c r="BZ3057" s="944"/>
      <c r="CA3057" s="944"/>
      <c r="CB3057" s="944"/>
    </row>
    <row r="3058" spans="2:80">
      <c r="B3058" s="1097"/>
      <c r="C3058" s="1097"/>
      <c r="D3058" s="1097"/>
      <c r="E3058" s="1097"/>
      <c r="F3058" s="934"/>
      <c r="G3058" s="1098"/>
      <c r="H3058" s="1099"/>
      <c r="I3058" s="1099"/>
      <c r="J3058" s="934"/>
      <c r="K3058" s="934"/>
      <c r="L3058" s="933"/>
      <c r="M3058" s="1100"/>
      <c r="N3058" s="934"/>
      <c r="O3058" s="936"/>
      <c r="P3058" s="936"/>
      <c r="Q3058" s="933"/>
      <c r="T3058" s="1101"/>
      <c r="U3058" s="1102"/>
      <c r="V3058" s="936"/>
      <c r="W3058" s="1103"/>
      <c r="X3058" s="1104"/>
      <c r="Y3058" s="1105"/>
      <c r="Z3058" s="1103"/>
      <c r="AC3058" s="1106"/>
      <c r="AD3058" s="1107"/>
      <c r="AE3058" s="1104"/>
      <c r="AG3058" s="1109"/>
      <c r="AI3058" s="1110"/>
      <c r="AL3058" s="933"/>
      <c r="AM3058" s="933"/>
      <c r="AN3058" s="1100"/>
      <c r="AO3058" s="1100"/>
      <c r="AP3058" s="934"/>
      <c r="AQ3058" s="934"/>
      <c r="AR3058" s="934"/>
      <c r="AS3058" s="936"/>
      <c r="AT3058" s="936"/>
      <c r="AU3058" s="936"/>
      <c r="AV3058" s="937"/>
      <c r="AW3058" s="938"/>
      <c r="AX3058" s="939"/>
      <c r="AY3058" s="933"/>
      <c r="AZ3058" s="936"/>
      <c r="BA3058" s="936"/>
      <c r="BB3058" s="1112"/>
      <c r="BC3058" s="940"/>
      <c r="BD3058" s="941"/>
      <c r="BE3058" s="942"/>
      <c r="BF3058" s="943"/>
      <c r="BG3058" s="943"/>
      <c r="BH3058" s="943"/>
      <c r="BI3058" s="943"/>
      <c r="BJ3058" s="943"/>
      <c r="BK3058" s="943"/>
      <c r="BL3058" s="943"/>
      <c r="BM3058" s="943"/>
      <c r="BN3058" s="943"/>
      <c r="BO3058" s="1059"/>
      <c r="BP3058" s="1059"/>
      <c r="BQ3058" s="1059"/>
      <c r="BR3058" s="1059"/>
      <c r="BS3058" s="1059"/>
      <c r="BT3058" s="1059"/>
      <c r="BU3058" s="1059"/>
      <c r="BV3058" s="944"/>
      <c r="BW3058" s="944"/>
      <c r="BX3058" s="1147"/>
      <c r="BY3058" s="944"/>
      <c r="BZ3058" s="944"/>
      <c r="CA3058" s="944"/>
      <c r="CB3058" s="944"/>
    </row>
    <row r="3059" spans="2:80">
      <c r="B3059" s="1097"/>
      <c r="C3059" s="1097"/>
      <c r="D3059" s="1097"/>
      <c r="E3059" s="1097"/>
      <c r="F3059" s="934"/>
      <c r="G3059" s="1098"/>
      <c r="H3059" s="1099"/>
      <c r="I3059" s="1099"/>
      <c r="J3059" s="934"/>
      <c r="K3059" s="934"/>
      <c r="L3059" s="933"/>
      <c r="M3059" s="1100"/>
      <c r="N3059" s="934"/>
      <c r="O3059" s="936"/>
      <c r="P3059" s="936"/>
      <c r="Q3059" s="933"/>
      <c r="T3059" s="1101"/>
      <c r="U3059" s="1102"/>
      <c r="V3059" s="936"/>
      <c r="W3059" s="1103"/>
      <c r="X3059" s="1104"/>
      <c r="Y3059" s="1105"/>
      <c r="Z3059" s="1103"/>
      <c r="AC3059" s="1106"/>
      <c r="AD3059" s="1107"/>
      <c r="AE3059" s="1104"/>
      <c r="AG3059" s="1109"/>
      <c r="AI3059" s="1110"/>
      <c r="AL3059" s="933"/>
      <c r="AM3059" s="933"/>
      <c r="AN3059" s="1100"/>
      <c r="AO3059" s="1100"/>
      <c r="AP3059" s="934"/>
      <c r="AQ3059" s="934"/>
      <c r="AR3059" s="934"/>
      <c r="AS3059" s="936"/>
      <c r="AT3059" s="936"/>
      <c r="AU3059" s="936"/>
      <c r="AV3059" s="937"/>
      <c r="AW3059" s="938"/>
      <c r="AX3059" s="939"/>
      <c r="AY3059" s="933"/>
      <c r="AZ3059" s="936"/>
      <c r="BA3059" s="936"/>
      <c r="BB3059" s="1112"/>
      <c r="BC3059" s="940"/>
      <c r="BD3059" s="941"/>
      <c r="BE3059" s="942"/>
      <c r="BF3059" s="943"/>
      <c r="BG3059" s="943"/>
      <c r="BH3059" s="943"/>
      <c r="BI3059" s="943"/>
      <c r="BJ3059" s="943"/>
      <c r="BK3059" s="943"/>
      <c r="BL3059" s="943"/>
      <c r="BM3059" s="943"/>
      <c r="BN3059" s="943"/>
      <c r="BO3059" s="1059"/>
      <c r="BP3059" s="1059"/>
      <c r="BQ3059" s="1059"/>
      <c r="BR3059" s="1059"/>
      <c r="BS3059" s="1059"/>
      <c r="BT3059" s="1059"/>
      <c r="BU3059" s="1059"/>
      <c r="BV3059" s="944"/>
      <c r="BW3059" s="944"/>
      <c r="BX3059" s="1147"/>
      <c r="BY3059" s="944"/>
      <c r="BZ3059" s="944"/>
      <c r="CA3059" s="944"/>
      <c r="CB3059" s="944"/>
    </row>
    <row r="3060" spans="2:80">
      <c r="B3060" s="1097"/>
      <c r="C3060" s="1097"/>
      <c r="D3060" s="1097"/>
      <c r="E3060" s="1097"/>
      <c r="F3060" s="934"/>
      <c r="G3060" s="1098"/>
      <c r="H3060" s="1099"/>
      <c r="I3060" s="1099"/>
      <c r="J3060" s="934"/>
      <c r="K3060" s="934"/>
      <c r="L3060" s="933"/>
      <c r="M3060" s="1100"/>
      <c r="N3060" s="934"/>
      <c r="O3060" s="936"/>
      <c r="P3060" s="936"/>
      <c r="Q3060" s="933"/>
      <c r="T3060" s="1101"/>
      <c r="U3060" s="1102"/>
      <c r="V3060" s="936"/>
      <c r="W3060" s="1103"/>
      <c r="X3060" s="1104"/>
      <c r="Y3060" s="1105"/>
      <c r="Z3060" s="1103"/>
      <c r="AC3060" s="1106"/>
      <c r="AD3060" s="1107"/>
      <c r="AE3060" s="1104"/>
      <c r="AG3060" s="1109"/>
      <c r="AI3060" s="1110"/>
      <c r="AL3060" s="933"/>
      <c r="AM3060" s="933"/>
      <c r="AN3060" s="1100"/>
      <c r="AO3060" s="1100"/>
      <c r="AP3060" s="934"/>
      <c r="AQ3060" s="934"/>
      <c r="AR3060" s="934"/>
      <c r="AS3060" s="936"/>
      <c r="AT3060" s="936"/>
      <c r="AU3060" s="936"/>
      <c r="AV3060" s="937"/>
      <c r="AW3060" s="938"/>
      <c r="AX3060" s="939"/>
      <c r="AY3060" s="933"/>
      <c r="AZ3060" s="936"/>
      <c r="BA3060" s="936"/>
      <c r="BB3060" s="1112"/>
      <c r="BC3060" s="940"/>
      <c r="BD3060" s="941"/>
      <c r="BE3060" s="942"/>
      <c r="BF3060" s="943"/>
      <c r="BG3060" s="943"/>
      <c r="BH3060" s="943"/>
      <c r="BI3060" s="943"/>
      <c r="BJ3060" s="943"/>
      <c r="BK3060" s="943"/>
      <c r="BL3060" s="943"/>
      <c r="BM3060" s="943"/>
      <c r="BN3060" s="943"/>
      <c r="BO3060" s="1059"/>
      <c r="BP3060" s="1059"/>
      <c r="BQ3060" s="1059"/>
      <c r="BR3060" s="1059"/>
      <c r="BS3060" s="1059"/>
      <c r="BT3060" s="1059"/>
      <c r="BU3060" s="1059"/>
      <c r="BV3060" s="944"/>
      <c r="BW3060" s="944"/>
      <c r="BX3060" s="1147"/>
      <c r="BY3060" s="944"/>
      <c r="BZ3060" s="944"/>
      <c r="CA3060" s="944"/>
      <c r="CB3060" s="944"/>
    </row>
    <row r="3061" spans="2:80">
      <c r="B3061" s="1097"/>
      <c r="C3061" s="1097"/>
      <c r="D3061" s="1097"/>
      <c r="E3061" s="1097"/>
      <c r="F3061" s="934"/>
      <c r="G3061" s="1098"/>
      <c r="H3061" s="1099"/>
      <c r="I3061" s="1099"/>
      <c r="J3061" s="934"/>
      <c r="K3061" s="934"/>
      <c r="L3061" s="933"/>
      <c r="M3061" s="1100"/>
      <c r="N3061" s="934"/>
      <c r="O3061" s="936"/>
      <c r="P3061" s="936"/>
      <c r="Q3061" s="933"/>
      <c r="T3061" s="1101"/>
      <c r="U3061" s="1102"/>
      <c r="V3061" s="936"/>
      <c r="W3061" s="1103"/>
      <c r="X3061" s="1104"/>
      <c r="Y3061" s="1105"/>
      <c r="Z3061" s="1103"/>
      <c r="AC3061" s="1106"/>
      <c r="AD3061" s="1107"/>
      <c r="AE3061" s="1104"/>
      <c r="AG3061" s="1109"/>
      <c r="AI3061" s="1110"/>
      <c r="AL3061" s="933"/>
      <c r="AM3061" s="933"/>
      <c r="AN3061" s="1100"/>
      <c r="AO3061" s="1100"/>
      <c r="AP3061" s="934"/>
      <c r="AQ3061" s="934"/>
      <c r="AR3061" s="934"/>
      <c r="AS3061" s="936"/>
      <c r="AT3061" s="936"/>
      <c r="AU3061" s="936"/>
      <c r="AV3061" s="937"/>
      <c r="AW3061" s="938"/>
      <c r="AX3061" s="939"/>
      <c r="AY3061" s="933"/>
      <c r="AZ3061" s="936"/>
      <c r="BA3061" s="936"/>
      <c r="BB3061" s="1112"/>
      <c r="BC3061" s="940"/>
      <c r="BD3061" s="941"/>
      <c r="BE3061" s="942"/>
      <c r="BF3061" s="943"/>
      <c r="BG3061" s="943"/>
      <c r="BH3061" s="943"/>
      <c r="BI3061" s="943"/>
      <c r="BJ3061" s="943"/>
      <c r="BK3061" s="943"/>
      <c r="BL3061" s="943"/>
      <c r="BM3061" s="943"/>
      <c r="BN3061" s="943"/>
      <c r="BO3061" s="1059"/>
      <c r="BP3061" s="1059"/>
      <c r="BQ3061" s="1059"/>
      <c r="BR3061" s="1059"/>
      <c r="BS3061" s="1059"/>
      <c r="BT3061" s="1059"/>
      <c r="BU3061" s="1059"/>
      <c r="BV3061" s="944"/>
      <c r="BW3061" s="944"/>
      <c r="BX3061" s="1147"/>
      <c r="BY3061" s="944"/>
      <c r="BZ3061" s="944"/>
      <c r="CA3061" s="944"/>
      <c r="CB3061" s="944"/>
    </row>
    <row r="3062" spans="2:80">
      <c r="B3062" s="1097"/>
      <c r="C3062" s="1097"/>
      <c r="D3062" s="1097"/>
      <c r="E3062" s="1097"/>
      <c r="F3062" s="934"/>
      <c r="G3062" s="1098"/>
      <c r="H3062" s="1099"/>
      <c r="I3062" s="1099"/>
      <c r="J3062" s="934"/>
      <c r="K3062" s="934"/>
      <c r="L3062" s="933"/>
      <c r="M3062" s="1100"/>
      <c r="N3062" s="934"/>
      <c r="O3062" s="936"/>
      <c r="P3062" s="936"/>
      <c r="Q3062" s="933"/>
      <c r="T3062" s="1101"/>
      <c r="U3062" s="1102"/>
      <c r="V3062" s="936"/>
      <c r="W3062" s="1103"/>
      <c r="X3062" s="1104"/>
      <c r="Y3062" s="1105"/>
      <c r="Z3062" s="1103"/>
      <c r="AC3062" s="1106"/>
      <c r="AD3062" s="1107"/>
      <c r="AE3062" s="1104"/>
      <c r="AG3062" s="1109"/>
      <c r="AI3062" s="1110"/>
      <c r="AL3062" s="933"/>
      <c r="AM3062" s="933"/>
      <c r="AN3062" s="1100"/>
      <c r="AO3062" s="1100"/>
      <c r="AP3062" s="934"/>
      <c r="AQ3062" s="934"/>
      <c r="AR3062" s="934"/>
      <c r="AS3062" s="936"/>
      <c r="AT3062" s="936"/>
      <c r="AU3062" s="936"/>
      <c r="AV3062" s="937"/>
      <c r="AW3062" s="938"/>
      <c r="AX3062" s="939"/>
      <c r="AY3062" s="933"/>
      <c r="AZ3062" s="936"/>
      <c r="BA3062" s="936"/>
      <c r="BB3062" s="1112"/>
      <c r="BC3062" s="940"/>
      <c r="BD3062" s="941"/>
      <c r="BE3062" s="942"/>
      <c r="BF3062" s="943"/>
      <c r="BG3062" s="943"/>
      <c r="BH3062" s="943"/>
      <c r="BI3062" s="943"/>
      <c r="BJ3062" s="943"/>
      <c r="BK3062" s="943"/>
      <c r="BL3062" s="943"/>
      <c r="BM3062" s="943"/>
      <c r="BN3062" s="943"/>
      <c r="BO3062" s="1059"/>
      <c r="BP3062" s="1059"/>
      <c r="BQ3062" s="1059"/>
      <c r="BR3062" s="1059"/>
      <c r="BS3062" s="1059"/>
      <c r="BT3062" s="1059"/>
      <c r="BU3062" s="1059"/>
      <c r="BV3062" s="944"/>
      <c r="BW3062" s="944"/>
      <c r="BX3062" s="1147"/>
      <c r="BY3062" s="944"/>
      <c r="BZ3062" s="944"/>
      <c r="CA3062" s="944"/>
      <c r="CB3062" s="944"/>
    </row>
    <row r="3063" spans="2:80">
      <c r="B3063" s="1097"/>
      <c r="C3063" s="1097"/>
      <c r="D3063" s="1097"/>
      <c r="E3063" s="1097"/>
      <c r="F3063" s="934"/>
      <c r="G3063" s="1098"/>
      <c r="H3063" s="1099"/>
      <c r="I3063" s="1099"/>
      <c r="J3063" s="934"/>
      <c r="K3063" s="934"/>
      <c r="L3063" s="933"/>
      <c r="M3063" s="1100"/>
      <c r="N3063" s="934"/>
      <c r="O3063" s="936"/>
      <c r="P3063" s="936"/>
      <c r="Q3063" s="933"/>
      <c r="T3063" s="1101"/>
      <c r="U3063" s="1102"/>
      <c r="V3063" s="936"/>
      <c r="W3063" s="1103"/>
      <c r="X3063" s="1104"/>
      <c r="Y3063" s="1105"/>
      <c r="Z3063" s="1103"/>
      <c r="AC3063" s="1106"/>
      <c r="AD3063" s="1107"/>
      <c r="AE3063" s="1104"/>
      <c r="AG3063" s="1109"/>
      <c r="AI3063" s="1110"/>
      <c r="AL3063" s="933"/>
      <c r="AM3063" s="933"/>
      <c r="AN3063" s="1100"/>
      <c r="AO3063" s="1100"/>
      <c r="AP3063" s="934"/>
      <c r="AQ3063" s="934"/>
      <c r="AR3063" s="934"/>
      <c r="AS3063" s="936"/>
      <c r="AT3063" s="936"/>
      <c r="AU3063" s="936"/>
      <c r="AV3063" s="937"/>
      <c r="AW3063" s="938"/>
      <c r="AX3063" s="939"/>
      <c r="AY3063" s="933"/>
      <c r="AZ3063" s="936"/>
      <c r="BA3063" s="936"/>
      <c r="BB3063" s="1112"/>
      <c r="BC3063" s="940"/>
      <c r="BD3063" s="941"/>
      <c r="BE3063" s="942"/>
      <c r="BF3063" s="943"/>
      <c r="BG3063" s="943"/>
      <c r="BH3063" s="943"/>
      <c r="BI3063" s="943"/>
      <c r="BJ3063" s="943"/>
      <c r="BK3063" s="943"/>
      <c r="BL3063" s="943"/>
      <c r="BM3063" s="943"/>
      <c r="BN3063" s="943"/>
      <c r="BO3063" s="1059"/>
      <c r="BP3063" s="1059"/>
      <c r="BQ3063" s="1059"/>
      <c r="BR3063" s="1059"/>
      <c r="BS3063" s="1059"/>
      <c r="BT3063" s="1059"/>
      <c r="BU3063" s="1059"/>
      <c r="BV3063" s="944"/>
      <c r="BW3063" s="944"/>
      <c r="BX3063" s="1147"/>
      <c r="BY3063" s="944"/>
      <c r="BZ3063" s="944"/>
      <c r="CA3063" s="944"/>
      <c r="CB3063" s="944"/>
    </row>
    <row r="3064" spans="2:80">
      <c r="B3064" s="1097"/>
      <c r="C3064" s="1097"/>
      <c r="D3064" s="1097"/>
      <c r="E3064" s="1097"/>
      <c r="F3064" s="934"/>
      <c r="G3064" s="1098"/>
      <c r="H3064" s="1099"/>
      <c r="I3064" s="1099"/>
      <c r="J3064" s="934"/>
      <c r="K3064" s="934"/>
      <c r="L3064" s="933"/>
      <c r="M3064" s="1100"/>
      <c r="N3064" s="934"/>
      <c r="O3064" s="936"/>
      <c r="P3064" s="936"/>
      <c r="Q3064" s="933"/>
      <c r="T3064" s="1101"/>
      <c r="U3064" s="1102"/>
      <c r="V3064" s="936"/>
      <c r="W3064" s="1103"/>
      <c r="X3064" s="1104"/>
      <c r="Y3064" s="1105"/>
      <c r="Z3064" s="1103"/>
      <c r="AC3064" s="1106"/>
      <c r="AD3064" s="1107"/>
      <c r="AE3064" s="1104"/>
      <c r="AG3064" s="1109"/>
      <c r="AI3064" s="1110"/>
      <c r="AL3064" s="933"/>
      <c r="AM3064" s="933"/>
      <c r="AN3064" s="1100"/>
      <c r="AO3064" s="1100"/>
      <c r="AP3064" s="934"/>
      <c r="AQ3064" s="934"/>
      <c r="AR3064" s="934"/>
      <c r="AS3064" s="936"/>
      <c r="AT3064" s="936"/>
      <c r="AU3064" s="936"/>
      <c r="AV3064" s="937"/>
      <c r="AW3064" s="938"/>
      <c r="AX3064" s="939"/>
      <c r="AY3064" s="933"/>
      <c r="AZ3064" s="936"/>
      <c r="BA3064" s="936"/>
      <c r="BB3064" s="1112"/>
      <c r="BC3064" s="940"/>
      <c r="BD3064" s="941"/>
      <c r="BE3064" s="942"/>
      <c r="BF3064" s="943"/>
      <c r="BG3064" s="943"/>
      <c r="BH3064" s="943"/>
      <c r="BI3064" s="943"/>
      <c r="BJ3064" s="943"/>
      <c r="BK3064" s="943"/>
      <c r="BL3064" s="943"/>
      <c r="BM3064" s="943"/>
      <c r="BN3064" s="943"/>
      <c r="BO3064" s="1059"/>
      <c r="BP3064" s="1059"/>
      <c r="BQ3064" s="1059"/>
      <c r="BR3064" s="1059"/>
      <c r="BS3064" s="1059"/>
      <c r="BT3064" s="1059"/>
      <c r="BU3064" s="1059"/>
      <c r="BV3064" s="944"/>
      <c r="BW3064" s="944"/>
      <c r="BX3064" s="1147"/>
      <c r="BY3064" s="944"/>
      <c r="BZ3064" s="944"/>
      <c r="CA3064" s="944"/>
      <c r="CB3064" s="944"/>
    </row>
    <row r="3065" spans="2:80">
      <c r="B3065" s="1097"/>
      <c r="C3065" s="1097"/>
      <c r="D3065" s="1097"/>
      <c r="E3065" s="1097"/>
      <c r="F3065" s="934"/>
      <c r="G3065" s="1098"/>
      <c r="H3065" s="1099"/>
      <c r="I3065" s="1099"/>
      <c r="J3065" s="934"/>
      <c r="K3065" s="934"/>
      <c r="L3065" s="933"/>
      <c r="M3065" s="1100"/>
      <c r="N3065" s="934"/>
      <c r="O3065" s="936"/>
      <c r="P3065" s="936"/>
      <c r="Q3065" s="933"/>
      <c r="T3065" s="1101"/>
      <c r="U3065" s="1102"/>
      <c r="V3065" s="936"/>
      <c r="W3065" s="1103"/>
      <c r="X3065" s="1104"/>
      <c r="Y3065" s="1105"/>
      <c r="Z3065" s="1103"/>
      <c r="AC3065" s="1106"/>
      <c r="AD3065" s="1107"/>
      <c r="AE3065" s="1104"/>
      <c r="AG3065" s="1109"/>
      <c r="AI3065" s="1110"/>
      <c r="AL3065" s="933"/>
      <c r="AM3065" s="933"/>
      <c r="AN3065" s="1100"/>
      <c r="AO3065" s="1100"/>
      <c r="AP3065" s="934"/>
      <c r="AQ3065" s="934"/>
      <c r="AR3065" s="934"/>
      <c r="AS3065" s="936"/>
      <c r="AT3065" s="936"/>
      <c r="AU3065" s="936"/>
      <c r="AV3065" s="937"/>
      <c r="AW3065" s="938"/>
      <c r="AX3065" s="939"/>
      <c r="AY3065" s="933"/>
      <c r="AZ3065" s="936"/>
      <c r="BA3065" s="936"/>
      <c r="BB3065" s="1112"/>
      <c r="BC3065" s="940"/>
      <c r="BD3065" s="941"/>
      <c r="BE3065" s="942"/>
      <c r="BF3065" s="943"/>
      <c r="BG3065" s="943"/>
      <c r="BH3065" s="943"/>
      <c r="BI3065" s="943"/>
      <c r="BJ3065" s="943"/>
      <c r="BK3065" s="943"/>
      <c r="BL3065" s="943"/>
      <c r="BM3065" s="943"/>
      <c r="BN3065" s="943"/>
      <c r="BO3065" s="1059"/>
      <c r="BP3065" s="1059"/>
      <c r="BQ3065" s="1059"/>
      <c r="BR3065" s="1059"/>
      <c r="BS3065" s="1059"/>
      <c r="BT3065" s="1059"/>
      <c r="BU3065" s="1059"/>
      <c r="BV3065" s="944"/>
      <c r="BW3065" s="944"/>
      <c r="BX3065" s="1147"/>
      <c r="BY3065" s="944"/>
      <c r="BZ3065" s="944"/>
      <c r="CA3065" s="944"/>
      <c r="CB3065" s="944"/>
    </row>
    <row r="3066" spans="2:80">
      <c r="B3066" s="1097"/>
      <c r="C3066" s="1097"/>
      <c r="D3066" s="1097"/>
      <c r="E3066" s="1097"/>
      <c r="F3066" s="934"/>
      <c r="G3066" s="1098"/>
      <c r="H3066" s="1099"/>
      <c r="I3066" s="1099"/>
      <c r="J3066" s="934"/>
      <c r="K3066" s="934"/>
      <c r="L3066" s="933"/>
      <c r="M3066" s="1100"/>
      <c r="N3066" s="934"/>
      <c r="O3066" s="936"/>
      <c r="P3066" s="936"/>
      <c r="Q3066" s="933"/>
      <c r="T3066" s="1101"/>
      <c r="U3066" s="1102"/>
      <c r="V3066" s="936"/>
      <c r="W3066" s="1103"/>
      <c r="X3066" s="1104"/>
      <c r="Y3066" s="1105"/>
      <c r="Z3066" s="1103"/>
      <c r="AC3066" s="1106"/>
      <c r="AD3066" s="1107"/>
      <c r="AE3066" s="1104"/>
      <c r="AG3066" s="1109"/>
      <c r="AI3066" s="1110"/>
      <c r="AL3066" s="933"/>
      <c r="AM3066" s="933"/>
      <c r="AN3066" s="1100"/>
      <c r="AO3066" s="1100"/>
      <c r="AP3066" s="934"/>
      <c r="AQ3066" s="934"/>
      <c r="AR3066" s="934"/>
      <c r="AS3066" s="936"/>
      <c r="AT3066" s="936"/>
      <c r="AU3066" s="936"/>
      <c r="AV3066" s="937"/>
      <c r="AW3066" s="938"/>
      <c r="AX3066" s="939"/>
      <c r="AY3066" s="933"/>
      <c r="AZ3066" s="936"/>
      <c r="BA3066" s="936"/>
      <c r="BB3066" s="1112"/>
      <c r="BC3066" s="940"/>
      <c r="BD3066" s="941"/>
      <c r="BE3066" s="942"/>
      <c r="BF3066" s="943"/>
      <c r="BG3066" s="943"/>
      <c r="BH3066" s="943"/>
      <c r="BI3066" s="943"/>
      <c r="BJ3066" s="943"/>
      <c r="BK3066" s="943"/>
      <c r="BL3066" s="943"/>
      <c r="BM3066" s="943"/>
      <c r="BN3066" s="943"/>
      <c r="BO3066" s="1059"/>
      <c r="BP3066" s="1059"/>
      <c r="BQ3066" s="1059"/>
      <c r="BR3066" s="1059"/>
      <c r="BS3066" s="1059"/>
      <c r="BT3066" s="1059"/>
      <c r="BU3066" s="1059"/>
      <c r="BV3066" s="944"/>
      <c r="BW3066" s="944"/>
      <c r="BX3066" s="1147"/>
      <c r="BY3066" s="944"/>
      <c r="BZ3066" s="944"/>
      <c r="CA3066" s="944"/>
      <c r="CB3066" s="944"/>
    </row>
    <row r="3067" spans="2:80">
      <c r="B3067" s="1097"/>
      <c r="C3067" s="1097"/>
      <c r="D3067" s="1097"/>
      <c r="E3067" s="1097"/>
      <c r="F3067" s="934"/>
      <c r="G3067" s="1098"/>
      <c r="H3067" s="1099"/>
      <c r="I3067" s="1099"/>
      <c r="J3067" s="934"/>
      <c r="K3067" s="934"/>
      <c r="L3067" s="933"/>
      <c r="M3067" s="1100"/>
      <c r="N3067" s="934"/>
      <c r="O3067" s="936"/>
      <c r="P3067" s="936"/>
      <c r="Q3067" s="933"/>
      <c r="T3067" s="1101"/>
      <c r="U3067" s="1102"/>
      <c r="V3067" s="936"/>
      <c r="W3067" s="1103"/>
      <c r="X3067" s="1104"/>
      <c r="Y3067" s="1105"/>
      <c r="Z3067" s="1103"/>
      <c r="AC3067" s="1106"/>
      <c r="AD3067" s="1107"/>
      <c r="AE3067" s="1104"/>
      <c r="AG3067" s="1109"/>
      <c r="AI3067" s="1110"/>
      <c r="AL3067" s="933"/>
      <c r="AM3067" s="933"/>
      <c r="AN3067" s="1100"/>
      <c r="AO3067" s="1100"/>
      <c r="AP3067" s="934"/>
      <c r="AQ3067" s="934"/>
      <c r="AR3067" s="934"/>
      <c r="AS3067" s="936"/>
      <c r="AT3067" s="936"/>
      <c r="AU3067" s="936"/>
      <c r="AV3067" s="937"/>
      <c r="AW3067" s="938"/>
      <c r="AX3067" s="939"/>
      <c r="AY3067" s="933"/>
      <c r="AZ3067" s="936"/>
      <c r="BA3067" s="936"/>
      <c r="BB3067" s="1112"/>
      <c r="BC3067" s="940"/>
      <c r="BD3067" s="941"/>
      <c r="BE3067" s="942"/>
      <c r="BF3067" s="943"/>
      <c r="BG3067" s="943"/>
      <c r="BH3067" s="943"/>
      <c r="BI3067" s="943"/>
      <c r="BJ3067" s="943"/>
      <c r="BK3067" s="943"/>
      <c r="BL3067" s="943"/>
      <c r="BM3067" s="943"/>
      <c r="BN3067" s="943"/>
      <c r="BO3067" s="1059"/>
      <c r="BP3067" s="1059"/>
      <c r="BQ3067" s="1059"/>
      <c r="BR3067" s="1059"/>
      <c r="BS3067" s="1059"/>
      <c r="BT3067" s="1059"/>
      <c r="BU3067" s="1059"/>
      <c r="BV3067" s="944"/>
      <c r="BW3067" s="944"/>
      <c r="BX3067" s="1147"/>
      <c r="BY3067" s="944"/>
      <c r="BZ3067" s="944"/>
      <c r="CA3067" s="944"/>
      <c r="CB3067" s="944"/>
    </row>
    <row r="3068" spans="2:80">
      <c r="B3068" s="1097"/>
      <c r="C3068" s="1097"/>
      <c r="D3068" s="1097"/>
      <c r="E3068" s="1097"/>
      <c r="F3068" s="934"/>
      <c r="G3068" s="1098"/>
      <c r="H3068" s="1099"/>
      <c r="I3068" s="1099"/>
      <c r="J3068" s="934"/>
      <c r="K3068" s="934"/>
      <c r="L3068" s="933"/>
      <c r="M3068" s="1100"/>
      <c r="N3068" s="934"/>
      <c r="O3068" s="936"/>
      <c r="P3068" s="936"/>
      <c r="Q3068" s="933"/>
      <c r="T3068" s="1101"/>
      <c r="U3068" s="1102"/>
      <c r="V3068" s="936"/>
      <c r="W3068" s="1103"/>
      <c r="X3068" s="1104"/>
      <c r="Y3068" s="1105"/>
      <c r="Z3068" s="1103"/>
      <c r="AC3068" s="1106"/>
      <c r="AD3068" s="1107"/>
      <c r="AE3068" s="1104"/>
      <c r="AG3068" s="1109"/>
      <c r="AI3068" s="1110"/>
      <c r="AL3068" s="933"/>
      <c r="AM3068" s="933"/>
      <c r="AN3068" s="1100"/>
      <c r="AO3068" s="1100"/>
      <c r="AP3068" s="934"/>
      <c r="AQ3068" s="934"/>
      <c r="AR3068" s="934"/>
      <c r="AS3068" s="936"/>
      <c r="AT3068" s="936"/>
      <c r="AU3068" s="936"/>
      <c r="AV3068" s="937"/>
      <c r="AW3068" s="938"/>
      <c r="AX3068" s="939"/>
      <c r="AY3068" s="933"/>
      <c r="AZ3068" s="936"/>
      <c r="BA3068" s="936"/>
      <c r="BB3068" s="1112"/>
      <c r="BC3068" s="940"/>
      <c r="BD3068" s="941"/>
      <c r="BE3068" s="942"/>
      <c r="BF3068" s="943"/>
      <c r="BG3068" s="943"/>
      <c r="BH3068" s="943"/>
      <c r="BI3068" s="943"/>
      <c r="BJ3068" s="943"/>
      <c r="BK3068" s="943"/>
      <c r="BL3068" s="943"/>
      <c r="BM3068" s="943"/>
      <c r="BN3068" s="943"/>
      <c r="BO3068" s="1059"/>
      <c r="BP3068" s="1059"/>
      <c r="BQ3068" s="1059"/>
      <c r="BR3068" s="1059"/>
      <c r="BS3068" s="1059"/>
      <c r="BT3068" s="1059"/>
      <c r="BU3068" s="1059"/>
      <c r="BV3068" s="944"/>
      <c r="BW3068" s="944"/>
      <c r="BX3068" s="1147"/>
      <c r="BY3068" s="944"/>
      <c r="BZ3068" s="944"/>
      <c r="CA3068" s="944"/>
      <c r="CB3068" s="944"/>
    </row>
    <row r="3069" spans="2:80">
      <c r="B3069" s="1097"/>
      <c r="C3069" s="1097"/>
      <c r="D3069" s="1097"/>
      <c r="E3069" s="1097"/>
      <c r="F3069" s="934"/>
      <c r="G3069" s="1098"/>
      <c r="H3069" s="1099"/>
      <c r="I3069" s="1099"/>
      <c r="J3069" s="934"/>
      <c r="K3069" s="934"/>
      <c r="L3069" s="933"/>
      <c r="M3069" s="1100"/>
      <c r="N3069" s="934"/>
      <c r="O3069" s="936"/>
      <c r="P3069" s="936"/>
      <c r="Q3069" s="933"/>
      <c r="T3069" s="1101"/>
      <c r="U3069" s="1102"/>
      <c r="V3069" s="936"/>
      <c r="W3069" s="1103"/>
      <c r="X3069" s="1104"/>
      <c r="Y3069" s="1105"/>
      <c r="Z3069" s="1103"/>
      <c r="AC3069" s="1106"/>
      <c r="AD3069" s="1107"/>
      <c r="AE3069" s="1104"/>
      <c r="AG3069" s="1109"/>
      <c r="AI3069" s="1110"/>
      <c r="AL3069" s="933"/>
      <c r="AM3069" s="933"/>
      <c r="AN3069" s="1100"/>
      <c r="AO3069" s="1100"/>
      <c r="AP3069" s="934"/>
      <c r="AQ3069" s="934"/>
      <c r="AR3069" s="934"/>
      <c r="AS3069" s="936"/>
      <c r="AT3069" s="936"/>
      <c r="AU3069" s="936"/>
      <c r="AV3069" s="937"/>
      <c r="AW3069" s="938"/>
      <c r="AX3069" s="939"/>
      <c r="AY3069" s="933"/>
      <c r="AZ3069" s="936"/>
      <c r="BA3069" s="936"/>
      <c r="BB3069" s="1112"/>
      <c r="BC3069" s="940"/>
      <c r="BD3069" s="941"/>
      <c r="BE3069" s="942"/>
      <c r="BF3069" s="943"/>
      <c r="BG3069" s="943"/>
      <c r="BH3069" s="943"/>
      <c r="BI3069" s="943"/>
      <c r="BJ3069" s="943"/>
      <c r="BK3069" s="943"/>
      <c r="BL3069" s="943"/>
      <c r="BM3069" s="943"/>
      <c r="BN3069" s="943"/>
      <c r="BO3069" s="1059"/>
      <c r="BP3069" s="1059"/>
      <c r="BQ3069" s="1059"/>
      <c r="BR3069" s="1059"/>
      <c r="BS3069" s="1059"/>
      <c r="BT3069" s="1059"/>
      <c r="BU3069" s="1059"/>
      <c r="BV3069" s="944"/>
      <c r="BW3069" s="944"/>
      <c r="BX3069" s="1147"/>
      <c r="BY3069" s="944"/>
      <c r="BZ3069" s="944"/>
      <c r="CA3069" s="944"/>
      <c r="CB3069" s="944"/>
    </row>
    <row r="3070" spans="2:80">
      <c r="B3070" s="1097"/>
      <c r="C3070" s="1097"/>
      <c r="D3070" s="1097"/>
      <c r="E3070" s="1097"/>
      <c r="F3070" s="934"/>
      <c r="G3070" s="1098"/>
      <c r="H3070" s="1099"/>
      <c r="I3070" s="1099"/>
      <c r="J3070" s="934"/>
      <c r="K3070" s="934"/>
      <c r="L3070" s="933"/>
      <c r="M3070" s="1100"/>
      <c r="N3070" s="934"/>
      <c r="O3070" s="936"/>
      <c r="P3070" s="936"/>
      <c r="Q3070" s="933"/>
      <c r="T3070" s="1101"/>
      <c r="U3070" s="1102"/>
      <c r="V3070" s="936"/>
      <c r="W3070" s="1103"/>
      <c r="X3070" s="1104"/>
      <c r="Y3070" s="1105"/>
      <c r="Z3070" s="1103"/>
      <c r="AC3070" s="1106"/>
      <c r="AD3070" s="1107"/>
      <c r="AE3070" s="1104"/>
      <c r="AG3070" s="1109"/>
      <c r="AI3070" s="1110"/>
      <c r="AL3070" s="933"/>
      <c r="AM3070" s="933"/>
      <c r="AN3070" s="1100"/>
      <c r="AO3070" s="1100"/>
      <c r="AP3070" s="934"/>
      <c r="AQ3070" s="934"/>
      <c r="AR3070" s="934"/>
      <c r="AS3070" s="936"/>
      <c r="AT3070" s="936"/>
      <c r="AU3070" s="936"/>
      <c r="AV3070" s="937"/>
      <c r="AW3070" s="938"/>
      <c r="AX3070" s="939"/>
      <c r="AY3070" s="933"/>
      <c r="AZ3070" s="936"/>
      <c r="BA3070" s="936"/>
      <c r="BB3070" s="1112"/>
      <c r="BC3070" s="940"/>
      <c r="BD3070" s="941"/>
      <c r="BE3070" s="942"/>
      <c r="BF3070" s="943"/>
      <c r="BG3070" s="943"/>
      <c r="BH3070" s="943"/>
      <c r="BI3070" s="943"/>
      <c r="BJ3070" s="943"/>
      <c r="BK3070" s="943"/>
      <c r="BL3070" s="943"/>
      <c r="BM3070" s="943"/>
      <c r="BN3070" s="943"/>
      <c r="BO3070" s="1059"/>
      <c r="BP3070" s="1059"/>
      <c r="BQ3070" s="1059"/>
      <c r="BR3070" s="1059"/>
      <c r="BS3070" s="1059"/>
      <c r="BT3070" s="1059"/>
      <c r="BU3070" s="1059"/>
      <c r="BV3070" s="944"/>
      <c r="BW3070" s="944"/>
      <c r="BX3070" s="1147"/>
      <c r="BY3070" s="944"/>
      <c r="BZ3070" s="944"/>
      <c r="CA3070" s="944"/>
      <c r="CB3070" s="944"/>
    </row>
    <row r="3071" spans="2:80">
      <c r="B3071" s="1097"/>
      <c r="C3071" s="1097"/>
      <c r="D3071" s="1097"/>
      <c r="E3071" s="1097"/>
      <c r="F3071" s="934"/>
      <c r="G3071" s="1098"/>
      <c r="H3071" s="1099"/>
      <c r="I3071" s="1099"/>
      <c r="J3071" s="934"/>
      <c r="K3071" s="934"/>
      <c r="L3071" s="933"/>
      <c r="M3071" s="1100"/>
      <c r="N3071" s="934"/>
      <c r="O3071" s="936"/>
      <c r="P3071" s="936"/>
      <c r="Q3071" s="933"/>
      <c r="T3071" s="1101"/>
      <c r="U3071" s="1102"/>
      <c r="V3071" s="936"/>
      <c r="W3071" s="1103"/>
      <c r="X3071" s="1104"/>
      <c r="Y3071" s="1105"/>
      <c r="Z3071" s="1103"/>
      <c r="AC3071" s="1106"/>
      <c r="AD3071" s="1107"/>
      <c r="AE3071" s="1104"/>
      <c r="AG3071" s="1109"/>
      <c r="AI3071" s="1110"/>
      <c r="AL3071" s="933"/>
      <c r="AM3071" s="933"/>
      <c r="AN3071" s="1100"/>
      <c r="AO3071" s="1100"/>
      <c r="AP3071" s="934"/>
      <c r="AQ3071" s="934"/>
      <c r="AR3071" s="934"/>
      <c r="AS3071" s="936"/>
      <c r="AT3071" s="936"/>
      <c r="AU3071" s="936"/>
      <c r="AV3071" s="937"/>
      <c r="AW3071" s="938"/>
      <c r="AX3071" s="939"/>
      <c r="AY3071" s="933"/>
      <c r="AZ3071" s="936"/>
      <c r="BA3071" s="936"/>
      <c r="BB3071" s="1112"/>
      <c r="BC3071" s="940"/>
      <c r="BD3071" s="941"/>
      <c r="BE3071" s="942"/>
      <c r="BF3071" s="943"/>
      <c r="BG3071" s="943"/>
      <c r="BH3071" s="943"/>
      <c r="BI3071" s="943"/>
      <c r="BJ3071" s="943"/>
      <c r="BK3071" s="943"/>
      <c r="BL3071" s="943"/>
      <c r="BM3071" s="943"/>
      <c r="BN3071" s="943"/>
      <c r="BO3071" s="1059"/>
      <c r="BP3071" s="1059"/>
      <c r="BQ3071" s="1059"/>
      <c r="BR3071" s="1059"/>
      <c r="BS3071" s="1059"/>
      <c r="BT3071" s="1059"/>
      <c r="BU3071" s="1059"/>
      <c r="BV3071" s="944"/>
      <c r="BW3071" s="944"/>
      <c r="BX3071" s="1147"/>
      <c r="BY3071" s="944"/>
      <c r="BZ3071" s="944"/>
      <c r="CA3071" s="944"/>
      <c r="CB3071" s="944"/>
    </row>
    <row r="3072" spans="2:80">
      <c r="B3072" s="1097"/>
      <c r="C3072" s="1097"/>
      <c r="D3072" s="1097"/>
      <c r="E3072" s="1097"/>
      <c r="F3072" s="934"/>
      <c r="G3072" s="1098"/>
      <c r="H3072" s="1099"/>
      <c r="I3072" s="1099"/>
      <c r="J3072" s="934"/>
      <c r="K3072" s="934"/>
      <c r="L3072" s="933"/>
      <c r="M3072" s="1100"/>
      <c r="N3072" s="934"/>
      <c r="O3072" s="936"/>
      <c r="P3072" s="936"/>
      <c r="Q3072" s="933"/>
      <c r="T3072" s="1101"/>
      <c r="U3072" s="1102"/>
      <c r="V3072" s="936"/>
      <c r="W3072" s="1103"/>
      <c r="X3072" s="1104"/>
      <c r="Y3072" s="1105"/>
      <c r="Z3072" s="1103"/>
      <c r="AC3072" s="1106"/>
      <c r="AD3072" s="1107"/>
      <c r="AE3072" s="1104"/>
      <c r="AG3072" s="1109"/>
      <c r="AI3072" s="1110"/>
      <c r="AL3072" s="933"/>
      <c r="AM3072" s="933"/>
      <c r="AN3072" s="1100"/>
      <c r="AO3072" s="1100"/>
      <c r="AP3072" s="934"/>
      <c r="AQ3072" s="934"/>
      <c r="AR3072" s="934"/>
      <c r="AS3072" s="936"/>
      <c r="AT3072" s="936"/>
      <c r="AU3072" s="936"/>
      <c r="AV3072" s="937"/>
      <c r="AW3072" s="938"/>
      <c r="AX3072" s="939"/>
      <c r="AY3072" s="933"/>
      <c r="AZ3072" s="936"/>
      <c r="BA3072" s="936"/>
      <c r="BB3072" s="1112"/>
      <c r="BC3072" s="940"/>
      <c r="BD3072" s="941"/>
      <c r="BE3072" s="942"/>
      <c r="BF3072" s="943"/>
      <c r="BG3072" s="943"/>
      <c r="BH3072" s="943"/>
      <c r="BI3072" s="943"/>
      <c r="BJ3072" s="943"/>
      <c r="BK3072" s="943"/>
      <c r="BL3072" s="943"/>
      <c r="BM3072" s="943"/>
      <c r="BN3072" s="943"/>
      <c r="BO3072" s="1059"/>
      <c r="BP3072" s="1059"/>
      <c r="BQ3072" s="1059"/>
      <c r="BR3072" s="1059"/>
      <c r="BS3072" s="1059"/>
      <c r="BT3072" s="1059"/>
      <c r="BU3072" s="1059"/>
      <c r="BV3072" s="944"/>
      <c r="BW3072" s="944"/>
      <c r="BX3072" s="1147"/>
      <c r="BY3072" s="944"/>
      <c r="BZ3072" s="944"/>
      <c r="CA3072" s="944"/>
      <c r="CB3072" s="944"/>
    </row>
    <row r="3073" spans="2:80">
      <c r="B3073" s="1097"/>
      <c r="C3073" s="1097"/>
      <c r="D3073" s="1097"/>
      <c r="E3073" s="1097"/>
      <c r="F3073" s="934"/>
      <c r="G3073" s="1098"/>
      <c r="H3073" s="1099"/>
      <c r="I3073" s="1099"/>
      <c r="J3073" s="934"/>
      <c r="K3073" s="934"/>
      <c r="L3073" s="933"/>
      <c r="M3073" s="1100"/>
      <c r="N3073" s="934"/>
      <c r="O3073" s="936"/>
      <c r="P3073" s="936"/>
      <c r="Q3073" s="933"/>
      <c r="T3073" s="1101"/>
      <c r="U3073" s="1102"/>
      <c r="V3073" s="936"/>
      <c r="W3073" s="1103"/>
      <c r="X3073" s="1104"/>
      <c r="Y3073" s="1105"/>
      <c r="Z3073" s="1103"/>
      <c r="AC3073" s="1106"/>
      <c r="AD3073" s="1107"/>
      <c r="AE3073" s="1104"/>
      <c r="AG3073" s="1109"/>
      <c r="AI3073" s="1110"/>
      <c r="AL3073" s="933"/>
      <c r="AM3073" s="933"/>
      <c r="AN3073" s="1100"/>
      <c r="AO3073" s="1100"/>
      <c r="AP3073" s="934"/>
      <c r="AQ3073" s="934"/>
      <c r="AR3073" s="934"/>
      <c r="AS3073" s="936"/>
      <c r="AT3073" s="936"/>
      <c r="AU3073" s="936"/>
      <c r="AV3073" s="937"/>
      <c r="AW3073" s="938"/>
      <c r="AX3073" s="939"/>
      <c r="AY3073" s="933"/>
      <c r="AZ3073" s="936"/>
      <c r="BA3073" s="936"/>
      <c r="BB3073" s="1112"/>
      <c r="BC3073" s="940"/>
      <c r="BD3073" s="941"/>
      <c r="BE3073" s="942"/>
      <c r="BF3073" s="943"/>
      <c r="BG3073" s="943"/>
      <c r="BH3073" s="943"/>
      <c r="BI3073" s="943"/>
      <c r="BJ3073" s="943"/>
      <c r="BK3073" s="943"/>
      <c r="BL3073" s="943"/>
      <c r="BM3073" s="943"/>
      <c r="BN3073" s="943"/>
      <c r="BO3073" s="1059"/>
      <c r="BP3073" s="1059"/>
      <c r="BQ3073" s="1059"/>
      <c r="BR3073" s="1059"/>
      <c r="BS3073" s="1059"/>
      <c r="BT3073" s="1059"/>
      <c r="BU3073" s="1059"/>
      <c r="BV3073" s="944"/>
      <c r="BW3073" s="944"/>
      <c r="BX3073" s="1147"/>
      <c r="BY3073" s="944"/>
      <c r="BZ3073" s="944"/>
      <c r="CA3073" s="944"/>
      <c r="CB3073" s="944"/>
    </row>
    <row r="3074" spans="2:80">
      <c r="B3074" s="1097"/>
      <c r="C3074" s="1097"/>
      <c r="D3074" s="1097"/>
      <c r="E3074" s="1097"/>
      <c r="F3074" s="934"/>
      <c r="G3074" s="1098"/>
      <c r="H3074" s="1099"/>
      <c r="I3074" s="1099"/>
      <c r="J3074" s="934"/>
      <c r="K3074" s="934"/>
      <c r="L3074" s="933"/>
      <c r="M3074" s="1100"/>
      <c r="N3074" s="934"/>
      <c r="O3074" s="936"/>
      <c r="P3074" s="936"/>
      <c r="Q3074" s="933"/>
      <c r="T3074" s="1101"/>
      <c r="U3074" s="1102"/>
      <c r="V3074" s="936"/>
      <c r="W3074" s="1103"/>
      <c r="X3074" s="1104"/>
      <c r="Y3074" s="1105"/>
      <c r="Z3074" s="1103"/>
      <c r="AC3074" s="1106"/>
      <c r="AD3074" s="1107"/>
      <c r="AE3074" s="1104"/>
      <c r="AG3074" s="1109"/>
      <c r="AI3074" s="1110"/>
      <c r="AL3074" s="933"/>
      <c r="AM3074" s="933"/>
      <c r="AN3074" s="1100"/>
      <c r="AO3074" s="1100"/>
      <c r="AP3074" s="934"/>
      <c r="AQ3074" s="934"/>
      <c r="AR3074" s="934"/>
      <c r="AS3074" s="936"/>
      <c r="AT3074" s="936"/>
      <c r="AU3074" s="936"/>
      <c r="AV3074" s="937"/>
      <c r="AW3074" s="938"/>
      <c r="AX3074" s="939"/>
      <c r="AY3074" s="933"/>
      <c r="AZ3074" s="936"/>
      <c r="BA3074" s="936"/>
      <c r="BB3074" s="1112"/>
      <c r="BC3074" s="940"/>
      <c r="BD3074" s="941"/>
      <c r="BE3074" s="942"/>
      <c r="BF3074" s="943"/>
      <c r="BG3074" s="943"/>
      <c r="BH3074" s="943"/>
      <c r="BI3074" s="943"/>
      <c r="BJ3074" s="943"/>
      <c r="BK3074" s="943"/>
      <c r="BL3074" s="943"/>
      <c r="BM3074" s="943"/>
      <c r="BN3074" s="943"/>
      <c r="BO3074" s="1059"/>
      <c r="BP3074" s="1059"/>
      <c r="BQ3074" s="1059"/>
      <c r="BR3074" s="1059"/>
      <c r="BS3074" s="1059"/>
      <c r="BT3074" s="1059"/>
      <c r="BU3074" s="1059"/>
      <c r="BV3074" s="944"/>
      <c r="BW3074" s="944"/>
      <c r="BX3074" s="1147"/>
      <c r="BY3074" s="944"/>
      <c r="BZ3074" s="944"/>
      <c r="CA3074" s="944"/>
      <c r="CB3074" s="944"/>
    </row>
    <row r="3075" spans="2:80">
      <c r="B3075" s="1097"/>
      <c r="C3075" s="1097"/>
      <c r="D3075" s="1097"/>
      <c r="E3075" s="1097"/>
      <c r="F3075" s="934"/>
      <c r="G3075" s="1098"/>
      <c r="H3075" s="1099"/>
      <c r="I3075" s="1099"/>
      <c r="J3075" s="934"/>
      <c r="K3075" s="934"/>
      <c r="L3075" s="933"/>
      <c r="M3075" s="1100"/>
      <c r="N3075" s="934"/>
      <c r="O3075" s="936"/>
      <c r="P3075" s="936"/>
      <c r="Q3075" s="933"/>
      <c r="T3075" s="1101"/>
      <c r="U3075" s="1102"/>
      <c r="V3075" s="936"/>
      <c r="W3075" s="1103"/>
      <c r="X3075" s="1104"/>
      <c r="Y3075" s="1105"/>
      <c r="Z3075" s="1103"/>
      <c r="AC3075" s="1106"/>
      <c r="AD3075" s="1107"/>
      <c r="AE3075" s="1104"/>
      <c r="AG3075" s="1109"/>
      <c r="AI3075" s="1110"/>
      <c r="AL3075" s="933"/>
      <c r="AM3075" s="933"/>
      <c r="AN3075" s="1100"/>
      <c r="AO3075" s="1100"/>
      <c r="AP3075" s="934"/>
      <c r="AQ3075" s="934"/>
      <c r="AR3075" s="934"/>
      <c r="AS3075" s="936"/>
      <c r="AT3075" s="936"/>
      <c r="AU3075" s="936"/>
      <c r="AV3075" s="937"/>
      <c r="AW3075" s="938"/>
      <c r="AX3075" s="939"/>
      <c r="AY3075" s="933"/>
      <c r="AZ3075" s="936"/>
      <c r="BA3075" s="936"/>
      <c r="BB3075" s="1112"/>
      <c r="BC3075" s="940"/>
      <c r="BD3075" s="941"/>
      <c r="BE3075" s="942"/>
      <c r="BF3075" s="943"/>
      <c r="BG3075" s="943"/>
      <c r="BH3075" s="943"/>
      <c r="BI3075" s="943"/>
      <c r="BJ3075" s="943"/>
      <c r="BK3075" s="943"/>
      <c r="BL3075" s="943"/>
      <c r="BM3075" s="943"/>
      <c r="BN3075" s="943"/>
      <c r="BO3075" s="1059"/>
      <c r="BP3075" s="1059"/>
      <c r="BQ3075" s="1059"/>
      <c r="BR3075" s="1059"/>
      <c r="BS3075" s="1059"/>
      <c r="BT3075" s="1059"/>
      <c r="BU3075" s="1059"/>
      <c r="BV3075" s="944"/>
      <c r="BW3075" s="944"/>
      <c r="BX3075" s="1147"/>
      <c r="BY3075" s="944"/>
      <c r="BZ3075" s="944"/>
      <c r="CA3075" s="944"/>
      <c r="CB3075" s="944"/>
    </row>
    <row r="3076" spans="2:80">
      <c r="B3076" s="1097"/>
      <c r="C3076" s="1097"/>
      <c r="D3076" s="1097"/>
      <c r="E3076" s="1097"/>
      <c r="F3076" s="934"/>
      <c r="G3076" s="1098"/>
      <c r="H3076" s="1099"/>
      <c r="I3076" s="1099"/>
      <c r="J3076" s="934"/>
      <c r="K3076" s="934"/>
      <c r="L3076" s="933"/>
      <c r="M3076" s="1100"/>
      <c r="N3076" s="934"/>
      <c r="O3076" s="936"/>
      <c r="P3076" s="936"/>
      <c r="Q3076" s="933"/>
      <c r="T3076" s="1101"/>
      <c r="U3076" s="1102"/>
      <c r="V3076" s="936"/>
      <c r="W3076" s="1103"/>
      <c r="X3076" s="1104"/>
      <c r="Y3076" s="1105"/>
      <c r="Z3076" s="1103"/>
      <c r="AC3076" s="1106"/>
      <c r="AD3076" s="1107"/>
      <c r="AE3076" s="1104"/>
      <c r="AG3076" s="1109"/>
      <c r="AI3076" s="1110"/>
      <c r="AL3076" s="933"/>
      <c r="AM3076" s="933"/>
      <c r="AN3076" s="1100"/>
      <c r="AO3076" s="1100"/>
      <c r="AP3076" s="934"/>
      <c r="AQ3076" s="934"/>
      <c r="AR3076" s="934"/>
      <c r="AS3076" s="936"/>
      <c r="AT3076" s="936"/>
      <c r="AU3076" s="936"/>
      <c r="AV3076" s="937"/>
      <c r="AW3076" s="938"/>
      <c r="AX3076" s="939"/>
      <c r="AY3076" s="933"/>
      <c r="AZ3076" s="936"/>
      <c r="BA3076" s="936"/>
      <c r="BB3076" s="1112"/>
      <c r="BC3076" s="940"/>
      <c r="BD3076" s="941"/>
      <c r="BE3076" s="942"/>
      <c r="BF3076" s="943"/>
      <c r="BG3076" s="943"/>
      <c r="BH3076" s="943"/>
      <c r="BI3076" s="943"/>
      <c r="BJ3076" s="943"/>
      <c r="BK3076" s="943"/>
      <c r="BL3076" s="943"/>
      <c r="BM3076" s="943"/>
      <c r="BN3076" s="943"/>
      <c r="BO3076" s="1059"/>
      <c r="BP3076" s="1059"/>
      <c r="BQ3076" s="1059"/>
      <c r="BR3076" s="1059"/>
      <c r="BS3076" s="1059"/>
      <c r="BT3076" s="1059"/>
      <c r="BU3076" s="1059"/>
      <c r="BV3076" s="944"/>
      <c r="BW3076" s="944"/>
      <c r="BX3076" s="1147"/>
      <c r="BY3076" s="944"/>
      <c r="BZ3076" s="944"/>
      <c r="CA3076" s="944"/>
      <c r="CB3076" s="944"/>
    </row>
    <row r="3077" spans="2:80">
      <c r="B3077" s="1097"/>
      <c r="C3077" s="1097"/>
      <c r="D3077" s="1097"/>
      <c r="E3077" s="1097"/>
      <c r="F3077" s="934"/>
      <c r="G3077" s="1098"/>
      <c r="H3077" s="1099"/>
      <c r="I3077" s="1099"/>
      <c r="J3077" s="934"/>
      <c r="K3077" s="934"/>
      <c r="L3077" s="933"/>
      <c r="M3077" s="1100"/>
      <c r="N3077" s="934"/>
      <c r="O3077" s="936"/>
      <c r="P3077" s="936"/>
      <c r="Q3077" s="933"/>
      <c r="T3077" s="1101"/>
      <c r="U3077" s="1102"/>
      <c r="V3077" s="936"/>
      <c r="W3077" s="1103"/>
      <c r="X3077" s="1104"/>
      <c r="Y3077" s="1105"/>
      <c r="Z3077" s="1103"/>
      <c r="AC3077" s="1106"/>
      <c r="AD3077" s="1107"/>
      <c r="AE3077" s="1104"/>
      <c r="AG3077" s="1109"/>
      <c r="AI3077" s="1110"/>
      <c r="AL3077" s="933"/>
      <c r="AM3077" s="933"/>
      <c r="AN3077" s="1100"/>
      <c r="AO3077" s="1100"/>
      <c r="AP3077" s="934"/>
      <c r="AQ3077" s="934"/>
      <c r="AR3077" s="934"/>
      <c r="AS3077" s="936"/>
      <c r="AT3077" s="936"/>
      <c r="AU3077" s="936"/>
      <c r="AV3077" s="937"/>
      <c r="AW3077" s="938"/>
      <c r="AX3077" s="939"/>
      <c r="AY3077" s="933"/>
      <c r="AZ3077" s="936"/>
      <c r="BA3077" s="936"/>
      <c r="BB3077" s="1112"/>
      <c r="BC3077" s="940"/>
      <c r="BD3077" s="941"/>
      <c r="BE3077" s="942"/>
      <c r="BF3077" s="943"/>
      <c r="BG3077" s="943"/>
      <c r="BH3077" s="943"/>
      <c r="BI3077" s="943"/>
      <c r="BJ3077" s="943"/>
      <c r="BK3077" s="943"/>
      <c r="BL3077" s="943"/>
      <c r="BM3077" s="943"/>
      <c r="BN3077" s="943"/>
      <c r="BO3077" s="1059"/>
      <c r="BP3077" s="1059"/>
      <c r="BQ3077" s="1059"/>
      <c r="BR3077" s="1059"/>
      <c r="BS3077" s="1059"/>
      <c r="BT3077" s="1059"/>
      <c r="BU3077" s="1059"/>
      <c r="BV3077" s="944"/>
      <c r="BW3077" s="944"/>
      <c r="BX3077" s="1147"/>
      <c r="BY3077" s="944"/>
      <c r="BZ3077" s="944"/>
      <c r="CA3077" s="944"/>
      <c r="CB3077" s="944"/>
    </row>
    <row r="3078" spans="2:80">
      <c r="B3078" s="1097"/>
      <c r="C3078" s="1097"/>
      <c r="D3078" s="1097"/>
      <c r="E3078" s="1097"/>
      <c r="F3078" s="934"/>
      <c r="G3078" s="1098"/>
      <c r="H3078" s="1099"/>
      <c r="I3078" s="1099"/>
      <c r="J3078" s="934"/>
      <c r="K3078" s="934"/>
      <c r="L3078" s="933"/>
      <c r="M3078" s="1100"/>
      <c r="N3078" s="934"/>
      <c r="O3078" s="936"/>
      <c r="P3078" s="936"/>
      <c r="Q3078" s="933"/>
      <c r="T3078" s="1101"/>
      <c r="U3078" s="1102"/>
      <c r="V3078" s="936"/>
      <c r="W3078" s="1103"/>
      <c r="X3078" s="1104"/>
      <c r="Y3078" s="1105"/>
      <c r="Z3078" s="1103"/>
      <c r="AC3078" s="1106"/>
      <c r="AD3078" s="1107"/>
      <c r="AE3078" s="1104"/>
      <c r="AG3078" s="1109"/>
      <c r="AI3078" s="1110"/>
      <c r="AL3078" s="933"/>
      <c r="AM3078" s="933"/>
      <c r="AN3078" s="1100"/>
      <c r="AO3078" s="1100"/>
      <c r="AP3078" s="934"/>
      <c r="AQ3078" s="934"/>
      <c r="AR3078" s="934"/>
      <c r="AS3078" s="936"/>
      <c r="AT3078" s="936"/>
      <c r="AU3078" s="936"/>
      <c r="AV3078" s="937"/>
      <c r="AW3078" s="938"/>
      <c r="AX3078" s="939"/>
      <c r="AY3078" s="933"/>
      <c r="AZ3078" s="936"/>
      <c r="BA3078" s="936"/>
      <c r="BB3078" s="1112"/>
      <c r="BC3078" s="940"/>
      <c r="BD3078" s="941"/>
      <c r="BE3078" s="942"/>
      <c r="BF3078" s="943"/>
      <c r="BG3078" s="943"/>
      <c r="BH3078" s="943"/>
      <c r="BI3078" s="943"/>
      <c r="BJ3078" s="943"/>
      <c r="BK3078" s="943"/>
      <c r="BL3078" s="943"/>
      <c r="BM3078" s="943"/>
      <c r="BN3078" s="943"/>
      <c r="BO3078" s="1059"/>
      <c r="BP3078" s="1059"/>
      <c r="BQ3078" s="1059"/>
      <c r="BR3078" s="1059"/>
      <c r="BS3078" s="1059"/>
      <c r="BT3078" s="1059"/>
      <c r="BU3078" s="1059"/>
      <c r="BV3078" s="944"/>
      <c r="BW3078" s="944"/>
      <c r="BX3078" s="1147"/>
      <c r="BY3078" s="944"/>
      <c r="BZ3078" s="944"/>
      <c r="CA3078" s="944"/>
      <c r="CB3078" s="944"/>
    </row>
    <row r="3079" spans="2:80">
      <c r="B3079" s="1097"/>
      <c r="C3079" s="1097"/>
      <c r="D3079" s="1097"/>
      <c r="E3079" s="1097"/>
      <c r="F3079" s="934"/>
      <c r="G3079" s="1098"/>
      <c r="H3079" s="1099"/>
      <c r="I3079" s="1099"/>
      <c r="J3079" s="934"/>
      <c r="K3079" s="934"/>
      <c r="L3079" s="933"/>
      <c r="M3079" s="1100"/>
      <c r="N3079" s="934"/>
      <c r="O3079" s="936"/>
      <c r="P3079" s="936"/>
      <c r="Q3079" s="933"/>
      <c r="T3079" s="1101"/>
      <c r="U3079" s="1102"/>
      <c r="V3079" s="936"/>
      <c r="W3079" s="1103"/>
      <c r="X3079" s="1104"/>
      <c r="Y3079" s="1105"/>
      <c r="Z3079" s="1103"/>
      <c r="AC3079" s="1106"/>
      <c r="AD3079" s="1107"/>
      <c r="AE3079" s="1104"/>
      <c r="AG3079" s="1109"/>
      <c r="AI3079" s="1110"/>
      <c r="AL3079" s="933"/>
      <c r="AM3079" s="933"/>
      <c r="AN3079" s="1100"/>
      <c r="AO3079" s="1100"/>
      <c r="AP3079" s="934"/>
      <c r="AQ3079" s="934"/>
      <c r="AR3079" s="934"/>
      <c r="AS3079" s="936"/>
      <c r="AT3079" s="936"/>
      <c r="AU3079" s="936"/>
      <c r="AV3079" s="937"/>
      <c r="AW3079" s="938"/>
      <c r="AX3079" s="939"/>
      <c r="AY3079" s="933"/>
      <c r="AZ3079" s="936"/>
      <c r="BA3079" s="936"/>
      <c r="BB3079" s="1112"/>
      <c r="BC3079" s="940"/>
      <c r="BD3079" s="941"/>
      <c r="BE3079" s="942"/>
      <c r="BF3079" s="943"/>
      <c r="BG3079" s="943"/>
      <c r="BH3079" s="943"/>
      <c r="BI3079" s="943"/>
      <c r="BJ3079" s="943"/>
      <c r="BK3079" s="943"/>
      <c r="BL3079" s="943"/>
      <c r="BM3079" s="943"/>
      <c r="BN3079" s="943"/>
      <c r="BO3079" s="1059"/>
      <c r="BP3079" s="1059"/>
      <c r="BQ3079" s="1059"/>
      <c r="BR3079" s="1059"/>
      <c r="BS3079" s="1059"/>
      <c r="BT3079" s="1059"/>
      <c r="BU3079" s="1059"/>
      <c r="BV3079" s="944"/>
      <c r="BW3079" s="944"/>
      <c r="BX3079" s="1147"/>
      <c r="BY3079" s="944"/>
      <c r="BZ3079" s="944"/>
      <c r="CA3079" s="944"/>
      <c r="CB3079" s="944"/>
    </row>
    <row r="3080" spans="2:80">
      <c r="B3080" s="1097"/>
      <c r="C3080" s="1097"/>
      <c r="D3080" s="1097"/>
      <c r="E3080" s="1097"/>
      <c r="F3080" s="934"/>
      <c r="G3080" s="1098"/>
      <c r="H3080" s="1099"/>
      <c r="I3080" s="1099"/>
      <c r="J3080" s="934"/>
      <c r="K3080" s="934"/>
      <c r="L3080" s="933"/>
      <c r="M3080" s="1100"/>
      <c r="N3080" s="934"/>
      <c r="O3080" s="936"/>
      <c r="P3080" s="936"/>
      <c r="Q3080" s="933"/>
      <c r="T3080" s="1101"/>
      <c r="U3080" s="1102"/>
      <c r="V3080" s="936"/>
      <c r="W3080" s="1103"/>
      <c r="X3080" s="1104"/>
      <c r="Y3080" s="1105"/>
      <c r="Z3080" s="1103"/>
      <c r="AC3080" s="1106"/>
      <c r="AD3080" s="1107"/>
      <c r="AE3080" s="1104"/>
      <c r="AG3080" s="1109"/>
      <c r="AI3080" s="1110"/>
      <c r="AL3080" s="933"/>
      <c r="AM3080" s="933"/>
      <c r="AN3080" s="1100"/>
      <c r="AO3080" s="1100"/>
      <c r="AP3080" s="934"/>
      <c r="AQ3080" s="934"/>
      <c r="AR3080" s="934"/>
      <c r="AS3080" s="936"/>
      <c r="AT3080" s="936"/>
      <c r="AU3080" s="936"/>
      <c r="AV3080" s="937"/>
      <c r="AW3080" s="938"/>
      <c r="AX3080" s="939"/>
      <c r="AY3080" s="933"/>
      <c r="AZ3080" s="936"/>
      <c r="BA3080" s="936"/>
      <c r="BB3080" s="1112"/>
      <c r="BC3080" s="940"/>
      <c r="BD3080" s="941"/>
      <c r="BE3080" s="942"/>
      <c r="BF3080" s="943"/>
      <c r="BG3080" s="943"/>
      <c r="BH3080" s="943"/>
      <c r="BI3080" s="943"/>
      <c r="BJ3080" s="943"/>
      <c r="BK3080" s="943"/>
      <c r="BL3080" s="943"/>
      <c r="BM3080" s="943"/>
      <c r="BN3080" s="943"/>
      <c r="BO3080" s="1059"/>
      <c r="BP3080" s="1059"/>
      <c r="BQ3080" s="1059"/>
      <c r="BR3080" s="1059"/>
      <c r="BS3080" s="1059"/>
      <c r="BT3080" s="1059"/>
      <c r="BU3080" s="1059"/>
      <c r="BV3080" s="944"/>
      <c r="BW3080" s="944"/>
      <c r="BX3080" s="1147"/>
      <c r="BY3080" s="944"/>
      <c r="BZ3080" s="944"/>
      <c r="CA3080" s="944"/>
      <c r="CB3080" s="944"/>
    </row>
    <row r="3081" spans="2:80">
      <c r="B3081" s="1097"/>
      <c r="C3081" s="1097"/>
      <c r="D3081" s="1097"/>
      <c r="E3081" s="1097"/>
      <c r="F3081" s="934"/>
      <c r="G3081" s="1098"/>
      <c r="H3081" s="1099"/>
      <c r="I3081" s="1099"/>
      <c r="J3081" s="934"/>
      <c r="K3081" s="934"/>
      <c r="L3081" s="933"/>
      <c r="M3081" s="1100"/>
      <c r="N3081" s="934"/>
      <c r="O3081" s="936"/>
      <c r="P3081" s="936"/>
      <c r="Q3081" s="933"/>
      <c r="T3081" s="1101"/>
      <c r="U3081" s="1102"/>
      <c r="V3081" s="936"/>
      <c r="W3081" s="1103"/>
      <c r="X3081" s="1104"/>
      <c r="Y3081" s="1105"/>
      <c r="Z3081" s="1103"/>
      <c r="AC3081" s="1106"/>
      <c r="AD3081" s="1107"/>
      <c r="AE3081" s="1104"/>
      <c r="AG3081" s="1109"/>
      <c r="AI3081" s="1110"/>
      <c r="AL3081" s="933"/>
      <c r="AM3081" s="933"/>
      <c r="AN3081" s="1100"/>
      <c r="AO3081" s="1100"/>
      <c r="AP3081" s="934"/>
      <c r="AQ3081" s="934"/>
      <c r="AR3081" s="934"/>
      <c r="AS3081" s="936"/>
      <c r="AT3081" s="936"/>
      <c r="AU3081" s="936"/>
      <c r="AV3081" s="937"/>
      <c r="AW3081" s="938"/>
      <c r="AX3081" s="939"/>
      <c r="AY3081" s="933"/>
      <c r="AZ3081" s="936"/>
      <c r="BA3081" s="936"/>
      <c r="BB3081" s="1112"/>
      <c r="BC3081" s="940"/>
      <c r="BD3081" s="941"/>
      <c r="BE3081" s="942"/>
      <c r="BF3081" s="943"/>
      <c r="BG3081" s="943"/>
      <c r="BH3081" s="943"/>
      <c r="BI3081" s="943"/>
      <c r="BJ3081" s="943"/>
      <c r="BK3081" s="943"/>
      <c r="BL3081" s="943"/>
      <c r="BM3081" s="943"/>
      <c r="BN3081" s="943"/>
      <c r="BO3081" s="1059"/>
      <c r="BP3081" s="1059"/>
      <c r="BQ3081" s="1059"/>
      <c r="BR3081" s="1059"/>
      <c r="BS3081" s="1059"/>
      <c r="BT3081" s="1059"/>
      <c r="BU3081" s="1059"/>
      <c r="BV3081" s="944"/>
      <c r="BW3081" s="944"/>
      <c r="BX3081" s="1147"/>
      <c r="BY3081" s="944"/>
      <c r="BZ3081" s="944"/>
      <c r="CA3081" s="944"/>
      <c r="CB3081" s="944"/>
    </row>
    <row r="3082" spans="2:80">
      <c r="B3082" s="1097"/>
      <c r="C3082" s="1097"/>
      <c r="D3082" s="1097"/>
      <c r="E3082" s="1097"/>
      <c r="F3082" s="934"/>
      <c r="G3082" s="1098"/>
      <c r="H3082" s="1099"/>
      <c r="I3082" s="1099"/>
      <c r="J3082" s="934"/>
      <c r="K3082" s="934"/>
      <c r="L3082" s="933"/>
      <c r="M3082" s="1100"/>
      <c r="N3082" s="934"/>
      <c r="O3082" s="936"/>
      <c r="P3082" s="936"/>
      <c r="Q3082" s="933"/>
      <c r="T3082" s="1101"/>
      <c r="U3082" s="1102"/>
      <c r="V3082" s="936"/>
      <c r="W3082" s="1103"/>
      <c r="X3082" s="1104"/>
      <c r="Y3082" s="1105"/>
      <c r="Z3082" s="1103"/>
      <c r="AC3082" s="1106"/>
      <c r="AD3082" s="1107"/>
      <c r="AE3082" s="1104"/>
      <c r="AG3082" s="1109"/>
      <c r="AI3082" s="1110"/>
      <c r="AL3082" s="933"/>
      <c r="AM3082" s="933"/>
      <c r="AN3082" s="1100"/>
      <c r="AO3082" s="1100"/>
      <c r="AP3082" s="934"/>
      <c r="AQ3082" s="934"/>
      <c r="AR3082" s="934"/>
      <c r="AS3082" s="936"/>
      <c r="AT3082" s="936"/>
      <c r="AU3082" s="936"/>
      <c r="AV3082" s="937"/>
      <c r="AW3082" s="938"/>
      <c r="AX3082" s="939"/>
      <c r="AY3082" s="933"/>
      <c r="AZ3082" s="936"/>
      <c r="BA3082" s="936"/>
      <c r="BB3082" s="1112"/>
      <c r="BC3082" s="940"/>
      <c r="BD3082" s="941"/>
      <c r="BE3082" s="942"/>
      <c r="BF3082" s="943"/>
      <c r="BG3082" s="943"/>
      <c r="BH3082" s="943"/>
      <c r="BI3082" s="943"/>
      <c r="BJ3082" s="943"/>
      <c r="BK3082" s="943"/>
      <c r="BL3082" s="943"/>
      <c r="BM3082" s="943"/>
      <c r="BN3082" s="943"/>
      <c r="BO3082" s="1059"/>
      <c r="BP3082" s="1059"/>
      <c r="BQ3082" s="1059"/>
      <c r="BR3082" s="1059"/>
      <c r="BS3082" s="1059"/>
      <c r="BT3082" s="1059"/>
      <c r="BU3082" s="1059"/>
      <c r="BV3082" s="944"/>
      <c r="BW3082" s="944"/>
      <c r="BX3082" s="1147"/>
      <c r="BY3082" s="944"/>
      <c r="BZ3082" s="944"/>
      <c r="CA3082" s="944"/>
      <c r="CB3082" s="944"/>
    </row>
    <row r="3083" spans="2:80">
      <c r="B3083" s="1097"/>
      <c r="C3083" s="1097"/>
      <c r="D3083" s="1097"/>
      <c r="E3083" s="1097"/>
      <c r="F3083" s="934"/>
      <c r="G3083" s="1098"/>
      <c r="H3083" s="1099"/>
      <c r="I3083" s="1099"/>
      <c r="J3083" s="934"/>
      <c r="K3083" s="934"/>
      <c r="L3083" s="933"/>
      <c r="M3083" s="1100"/>
      <c r="N3083" s="934"/>
      <c r="O3083" s="936"/>
      <c r="P3083" s="936"/>
      <c r="Q3083" s="933"/>
      <c r="T3083" s="1101"/>
      <c r="U3083" s="1102"/>
      <c r="V3083" s="936"/>
      <c r="W3083" s="1103"/>
      <c r="X3083" s="1104"/>
      <c r="Y3083" s="1105"/>
      <c r="Z3083" s="1103"/>
      <c r="AC3083" s="1106"/>
      <c r="AD3083" s="1107"/>
      <c r="AE3083" s="1104"/>
      <c r="AG3083" s="1109"/>
      <c r="AI3083" s="1110"/>
      <c r="AL3083" s="933"/>
      <c r="AM3083" s="933"/>
      <c r="AN3083" s="1100"/>
      <c r="AO3083" s="1100"/>
      <c r="AP3083" s="934"/>
      <c r="AQ3083" s="934"/>
      <c r="AR3083" s="934"/>
      <c r="AS3083" s="936"/>
      <c r="AT3083" s="936"/>
      <c r="AU3083" s="936"/>
      <c r="AV3083" s="937"/>
      <c r="AW3083" s="938"/>
      <c r="AX3083" s="939"/>
      <c r="AY3083" s="933"/>
      <c r="AZ3083" s="936"/>
      <c r="BA3083" s="936"/>
      <c r="BB3083" s="1112"/>
      <c r="BC3083" s="940"/>
      <c r="BD3083" s="941"/>
      <c r="BE3083" s="942"/>
      <c r="BF3083" s="943"/>
      <c r="BG3083" s="943"/>
      <c r="BH3083" s="943"/>
      <c r="BI3083" s="943"/>
      <c r="BJ3083" s="943"/>
      <c r="BK3083" s="943"/>
      <c r="BL3083" s="943"/>
      <c r="BM3083" s="943"/>
      <c r="BN3083" s="943"/>
      <c r="BO3083" s="1059"/>
      <c r="BP3083" s="1059"/>
      <c r="BQ3083" s="1059"/>
      <c r="BR3083" s="1059"/>
      <c r="BS3083" s="1059"/>
      <c r="BT3083" s="1059"/>
      <c r="BU3083" s="1059"/>
      <c r="BV3083" s="944"/>
      <c r="BW3083" s="944"/>
      <c r="BX3083" s="1147"/>
      <c r="BY3083" s="944"/>
      <c r="BZ3083" s="944"/>
      <c r="CA3083" s="944"/>
      <c r="CB3083" s="944"/>
    </row>
    <row r="3084" spans="2:80">
      <c r="B3084" s="1097"/>
      <c r="C3084" s="1097"/>
      <c r="D3084" s="1097"/>
      <c r="E3084" s="1097"/>
      <c r="F3084" s="934"/>
      <c r="G3084" s="1098"/>
      <c r="H3084" s="1099"/>
      <c r="I3084" s="1099"/>
      <c r="J3084" s="934"/>
      <c r="K3084" s="934"/>
      <c r="L3084" s="933"/>
      <c r="M3084" s="1100"/>
      <c r="N3084" s="934"/>
      <c r="O3084" s="936"/>
      <c r="P3084" s="936"/>
      <c r="Q3084" s="933"/>
      <c r="T3084" s="1101"/>
      <c r="U3084" s="1102"/>
      <c r="V3084" s="936"/>
      <c r="W3084" s="1103"/>
      <c r="X3084" s="1104"/>
      <c r="Y3084" s="1105"/>
      <c r="Z3084" s="1103"/>
      <c r="AC3084" s="1106"/>
      <c r="AD3084" s="1107"/>
      <c r="AE3084" s="1104"/>
      <c r="AG3084" s="1109"/>
      <c r="AI3084" s="1110"/>
      <c r="AL3084" s="933"/>
      <c r="AM3084" s="933"/>
      <c r="AN3084" s="1100"/>
      <c r="AO3084" s="1100"/>
      <c r="AP3084" s="934"/>
      <c r="AQ3084" s="934"/>
      <c r="AR3084" s="934"/>
      <c r="AS3084" s="936"/>
      <c r="AT3084" s="936"/>
      <c r="AU3084" s="936"/>
      <c r="AV3084" s="937"/>
      <c r="AW3084" s="938"/>
      <c r="AX3084" s="939"/>
      <c r="AY3084" s="933"/>
      <c r="AZ3084" s="936"/>
      <c r="BA3084" s="936"/>
      <c r="BB3084" s="1112"/>
      <c r="BC3084" s="940"/>
      <c r="BD3084" s="941"/>
      <c r="BE3084" s="942"/>
      <c r="BF3084" s="943"/>
      <c r="BG3084" s="943"/>
      <c r="BH3084" s="943"/>
      <c r="BI3084" s="943"/>
      <c r="BJ3084" s="943"/>
      <c r="BK3084" s="943"/>
      <c r="BL3084" s="943"/>
      <c r="BM3084" s="943"/>
      <c r="BN3084" s="943"/>
      <c r="BO3084" s="1059"/>
      <c r="BP3084" s="1059"/>
      <c r="BQ3084" s="1059"/>
      <c r="BR3084" s="1059"/>
      <c r="BS3084" s="1059"/>
      <c r="BT3084" s="1059"/>
      <c r="BU3084" s="1059"/>
      <c r="BV3084" s="944"/>
      <c r="BW3084" s="944"/>
      <c r="BX3084" s="1147"/>
      <c r="BY3084" s="944"/>
      <c r="BZ3084" s="944"/>
      <c r="CA3084" s="944"/>
      <c r="CB3084" s="944"/>
    </row>
    <row r="3085" spans="2:80">
      <c r="B3085" s="1097"/>
      <c r="C3085" s="1097"/>
      <c r="D3085" s="1097"/>
      <c r="E3085" s="1097"/>
      <c r="F3085" s="934"/>
      <c r="G3085" s="1098"/>
      <c r="H3085" s="1099"/>
      <c r="I3085" s="1099"/>
      <c r="J3085" s="934"/>
      <c r="K3085" s="934"/>
      <c r="L3085" s="933"/>
      <c r="M3085" s="1100"/>
      <c r="N3085" s="934"/>
      <c r="O3085" s="936"/>
      <c r="P3085" s="936"/>
      <c r="Q3085" s="933"/>
      <c r="T3085" s="1101"/>
      <c r="U3085" s="1102"/>
      <c r="V3085" s="936"/>
      <c r="W3085" s="1103"/>
      <c r="X3085" s="1104"/>
      <c r="Y3085" s="1105"/>
      <c r="Z3085" s="1103"/>
      <c r="AC3085" s="1106"/>
      <c r="AD3085" s="1107"/>
      <c r="AE3085" s="1104"/>
      <c r="AG3085" s="1109"/>
      <c r="AI3085" s="1110"/>
      <c r="AL3085" s="933"/>
      <c r="AM3085" s="933"/>
      <c r="AN3085" s="1100"/>
      <c r="AO3085" s="1100"/>
      <c r="AP3085" s="934"/>
      <c r="AQ3085" s="934"/>
      <c r="AR3085" s="934"/>
      <c r="AS3085" s="936"/>
      <c r="AT3085" s="936"/>
      <c r="AU3085" s="936"/>
      <c r="AV3085" s="937"/>
      <c r="AW3085" s="938"/>
      <c r="AX3085" s="939"/>
      <c r="AY3085" s="933"/>
      <c r="AZ3085" s="936"/>
      <c r="BA3085" s="936"/>
      <c r="BB3085" s="1112"/>
      <c r="BC3085" s="940"/>
      <c r="BD3085" s="941"/>
      <c r="BE3085" s="942"/>
      <c r="BF3085" s="943"/>
      <c r="BG3085" s="943"/>
      <c r="BH3085" s="943"/>
      <c r="BI3085" s="943"/>
      <c r="BJ3085" s="943"/>
      <c r="BK3085" s="943"/>
      <c r="BL3085" s="943"/>
      <c r="BM3085" s="943"/>
      <c r="BN3085" s="943"/>
      <c r="BO3085" s="1059"/>
      <c r="BP3085" s="1059"/>
      <c r="BQ3085" s="1059"/>
      <c r="BR3085" s="1059"/>
      <c r="BS3085" s="1059"/>
      <c r="BT3085" s="1059"/>
      <c r="BU3085" s="1059"/>
      <c r="BV3085" s="944"/>
      <c r="BW3085" s="944"/>
      <c r="BX3085" s="1147"/>
      <c r="BY3085" s="944"/>
      <c r="BZ3085" s="944"/>
      <c r="CA3085" s="944"/>
      <c r="CB3085" s="944"/>
    </row>
    <row r="3086" spans="2:80">
      <c r="B3086" s="1097"/>
      <c r="C3086" s="1097"/>
      <c r="D3086" s="1097"/>
      <c r="E3086" s="1097"/>
      <c r="F3086" s="934"/>
      <c r="G3086" s="1098"/>
      <c r="H3086" s="1099"/>
      <c r="I3086" s="1099"/>
      <c r="J3086" s="934"/>
      <c r="K3086" s="934"/>
      <c r="L3086" s="933"/>
      <c r="M3086" s="1100"/>
      <c r="N3086" s="934"/>
      <c r="O3086" s="936"/>
      <c r="P3086" s="936"/>
      <c r="Q3086" s="933"/>
      <c r="T3086" s="1101"/>
      <c r="U3086" s="1102"/>
      <c r="V3086" s="936"/>
      <c r="W3086" s="1103"/>
      <c r="X3086" s="1104"/>
      <c r="Y3086" s="1105"/>
      <c r="Z3086" s="1103"/>
      <c r="AC3086" s="1106"/>
      <c r="AD3086" s="1107"/>
      <c r="AE3086" s="1104"/>
      <c r="AG3086" s="1109"/>
      <c r="AI3086" s="1110"/>
      <c r="AL3086" s="933"/>
      <c r="AM3086" s="933"/>
      <c r="AN3086" s="1100"/>
      <c r="AO3086" s="1100"/>
      <c r="AP3086" s="934"/>
      <c r="AQ3086" s="934"/>
      <c r="AR3086" s="934"/>
      <c r="AS3086" s="936"/>
      <c r="AT3086" s="936"/>
      <c r="AU3086" s="936"/>
      <c r="AV3086" s="937"/>
      <c r="AW3086" s="938"/>
      <c r="AX3086" s="939"/>
      <c r="AY3086" s="933"/>
      <c r="AZ3086" s="936"/>
      <c r="BA3086" s="936"/>
      <c r="BB3086" s="1112"/>
      <c r="BC3086" s="940"/>
      <c r="BD3086" s="941"/>
      <c r="BE3086" s="942"/>
      <c r="BF3086" s="943"/>
      <c r="BG3086" s="943"/>
      <c r="BH3086" s="943"/>
      <c r="BI3086" s="943"/>
      <c r="BJ3086" s="943"/>
      <c r="BK3086" s="943"/>
      <c r="BL3086" s="943"/>
      <c r="BM3086" s="943"/>
      <c r="BN3086" s="943"/>
      <c r="BO3086" s="1059"/>
      <c r="BP3086" s="1059"/>
      <c r="BQ3086" s="1059"/>
      <c r="BR3086" s="1059"/>
      <c r="BS3086" s="1059"/>
      <c r="BT3086" s="1059"/>
      <c r="BU3086" s="1059"/>
      <c r="BV3086" s="944"/>
      <c r="BW3086" s="944"/>
      <c r="BX3086" s="1147"/>
      <c r="BY3086" s="944"/>
      <c r="BZ3086" s="944"/>
      <c r="CA3086" s="944"/>
      <c r="CB3086" s="944"/>
    </row>
    <row r="3087" spans="2:80">
      <c r="B3087" s="1097"/>
      <c r="C3087" s="1097"/>
      <c r="D3087" s="1097"/>
      <c r="E3087" s="1097"/>
      <c r="F3087" s="934"/>
      <c r="G3087" s="1098"/>
      <c r="H3087" s="1099"/>
      <c r="I3087" s="1099"/>
      <c r="J3087" s="934"/>
      <c r="K3087" s="934"/>
      <c r="L3087" s="933"/>
      <c r="M3087" s="1100"/>
      <c r="N3087" s="934"/>
      <c r="O3087" s="936"/>
      <c r="P3087" s="936"/>
      <c r="Q3087" s="933"/>
      <c r="T3087" s="1101"/>
      <c r="U3087" s="1102"/>
      <c r="V3087" s="936"/>
      <c r="W3087" s="1103"/>
      <c r="X3087" s="1104"/>
      <c r="Y3087" s="1105"/>
      <c r="Z3087" s="1103"/>
      <c r="AC3087" s="1106"/>
      <c r="AD3087" s="1107"/>
      <c r="AE3087" s="1104"/>
      <c r="AG3087" s="1109"/>
      <c r="AI3087" s="1110"/>
      <c r="AL3087" s="933"/>
      <c r="AM3087" s="933"/>
      <c r="AN3087" s="1100"/>
      <c r="AO3087" s="1100"/>
      <c r="AP3087" s="934"/>
      <c r="AQ3087" s="934"/>
      <c r="AR3087" s="934"/>
      <c r="AS3087" s="936"/>
      <c r="AT3087" s="936"/>
      <c r="AU3087" s="936"/>
      <c r="AV3087" s="937"/>
      <c r="AW3087" s="938"/>
      <c r="AX3087" s="939"/>
      <c r="AY3087" s="933"/>
      <c r="AZ3087" s="936"/>
      <c r="BA3087" s="936"/>
      <c r="BB3087" s="1112"/>
      <c r="BC3087" s="940"/>
      <c r="BD3087" s="941"/>
      <c r="BE3087" s="942"/>
      <c r="BF3087" s="943"/>
      <c r="BG3087" s="943"/>
      <c r="BH3087" s="943"/>
      <c r="BI3087" s="943"/>
      <c r="BJ3087" s="943"/>
      <c r="BK3087" s="943"/>
      <c r="BL3087" s="943"/>
      <c r="BM3087" s="943"/>
      <c r="BN3087" s="943"/>
      <c r="BO3087" s="1059"/>
      <c r="BP3087" s="1059"/>
      <c r="BQ3087" s="1059"/>
      <c r="BR3087" s="1059"/>
      <c r="BS3087" s="1059"/>
      <c r="BT3087" s="1059"/>
      <c r="BU3087" s="1059"/>
      <c r="BV3087" s="944"/>
      <c r="BW3087" s="944"/>
      <c r="BX3087" s="1147"/>
      <c r="BY3087" s="944"/>
      <c r="BZ3087" s="944"/>
      <c r="CA3087" s="944"/>
      <c r="CB3087" s="944"/>
    </row>
    <row r="3088" spans="2:80">
      <c r="B3088" s="1097"/>
      <c r="C3088" s="1097"/>
      <c r="D3088" s="1097"/>
      <c r="E3088" s="1097"/>
      <c r="F3088" s="934"/>
      <c r="G3088" s="1098"/>
      <c r="H3088" s="1099"/>
      <c r="I3088" s="1099"/>
      <c r="J3088" s="934"/>
      <c r="K3088" s="934"/>
      <c r="L3088" s="933"/>
      <c r="M3088" s="1100"/>
      <c r="N3088" s="934"/>
      <c r="O3088" s="936"/>
      <c r="P3088" s="936"/>
      <c r="Q3088" s="933"/>
      <c r="T3088" s="1101"/>
      <c r="U3088" s="1102"/>
      <c r="V3088" s="936"/>
      <c r="W3088" s="1103"/>
      <c r="X3088" s="1104"/>
      <c r="Y3088" s="1105"/>
      <c r="Z3088" s="1103"/>
      <c r="AC3088" s="1106"/>
      <c r="AD3088" s="1107"/>
      <c r="AE3088" s="1104"/>
      <c r="AG3088" s="1109"/>
      <c r="AI3088" s="1110"/>
      <c r="AL3088" s="933"/>
      <c r="AM3088" s="933"/>
      <c r="AN3088" s="1100"/>
      <c r="AO3088" s="1100"/>
      <c r="AP3088" s="934"/>
      <c r="AQ3088" s="934"/>
      <c r="AR3088" s="934"/>
      <c r="AS3088" s="936"/>
      <c r="AT3088" s="936"/>
      <c r="AU3088" s="936"/>
      <c r="AV3088" s="937"/>
      <c r="AW3088" s="938"/>
      <c r="AX3088" s="939"/>
      <c r="AY3088" s="933"/>
      <c r="AZ3088" s="936"/>
      <c r="BA3088" s="936"/>
      <c r="BB3088" s="1112"/>
      <c r="BC3088" s="940"/>
      <c r="BD3088" s="941"/>
      <c r="BE3088" s="942"/>
      <c r="BF3088" s="943"/>
      <c r="BG3088" s="943"/>
      <c r="BH3088" s="943"/>
      <c r="BI3088" s="943"/>
      <c r="BJ3088" s="943"/>
      <c r="BK3088" s="943"/>
      <c r="BL3088" s="943"/>
      <c r="BM3088" s="943"/>
      <c r="BN3088" s="943"/>
      <c r="BO3088" s="1059"/>
      <c r="BP3088" s="1059"/>
      <c r="BQ3088" s="1059"/>
      <c r="BR3088" s="1059"/>
      <c r="BS3088" s="1059"/>
      <c r="BT3088" s="1059"/>
      <c r="BU3088" s="1059"/>
      <c r="BV3088" s="944"/>
      <c r="BW3088" s="944"/>
      <c r="BX3088" s="1147"/>
      <c r="BY3088" s="944"/>
      <c r="BZ3088" s="944"/>
      <c r="CA3088" s="944"/>
      <c r="CB3088" s="944"/>
    </row>
    <row r="3089" spans="2:80">
      <c r="B3089" s="1097"/>
      <c r="C3089" s="1097"/>
      <c r="D3089" s="1097"/>
      <c r="E3089" s="1097"/>
      <c r="F3089" s="934"/>
      <c r="G3089" s="1098"/>
      <c r="H3089" s="1099"/>
      <c r="I3089" s="1099"/>
      <c r="J3089" s="934"/>
      <c r="K3089" s="934"/>
      <c r="L3089" s="933"/>
      <c r="M3089" s="1100"/>
      <c r="N3089" s="934"/>
      <c r="O3089" s="936"/>
      <c r="P3089" s="936"/>
      <c r="Q3089" s="933"/>
      <c r="T3089" s="1101"/>
      <c r="U3089" s="1102"/>
      <c r="V3089" s="936"/>
      <c r="W3089" s="1103"/>
      <c r="X3089" s="1104"/>
      <c r="Y3089" s="1105"/>
      <c r="Z3089" s="1103"/>
      <c r="AC3089" s="1106"/>
      <c r="AD3089" s="1107"/>
      <c r="AE3089" s="1104"/>
      <c r="AG3089" s="1109"/>
      <c r="AI3089" s="1110"/>
      <c r="AL3089" s="933"/>
      <c r="AM3089" s="933"/>
      <c r="AN3089" s="1100"/>
      <c r="AO3089" s="1100"/>
      <c r="AP3089" s="934"/>
      <c r="AQ3089" s="934"/>
      <c r="AR3089" s="934"/>
      <c r="AS3089" s="936"/>
      <c r="AT3089" s="936"/>
      <c r="AU3089" s="936"/>
      <c r="AV3089" s="937"/>
      <c r="AW3089" s="938"/>
      <c r="AX3089" s="939"/>
      <c r="AY3089" s="933"/>
      <c r="AZ3089" s="936"/>
      <c r="BA3089" s="936"/>
      <c r="BB3089" s="1112"/>
      <c r="BC3089" s="940"/>
      <c r="BD3089" s="941"/>
      <c r="BE3089" s="942"/>
      <c r="BF3089" s="943"/>
      <c r="BG3089" s="943"/>
      <c r="BH3089" s="943"/>
      <c r="BI3089" s="943"/>
      <c r="BJ3089" s="943"/>
      <c r="BK3089" s="943"/>
      <c r="BL3089" s="943"/>
      <c r="BM3089" s="943"/>
      <c r="BN3089" s="943"/>
      <c r="BO3089" s="1059"/>
      <c r="BP3089" s="1059"/>
      <c r="BQ3089" s="1059"/>
      <c r="BR3089" s="1059"/>
      <c r="BS3089" s="1059"/>
      <c r="BT3089" s="1059"/>
      <c r="BU3089" s="1059"/>
      <c r="BV3089" s="944"/>
      <c r="BW3089" s="944"/>
      <c r="BX3089" s="1147"/>
      <c r="BY3089" s="944"/>
      <c r="BZ3089" s="944"/>
      <c r="CA3089" s="944"/>
      <c r="CB3089" s="944"/>
    </row>
    <row r="3090" spans="2:80">
      <c r="B3090" s="1097"/>
      <c r="C3090" s="1097"/>
      <c r="D3090" s="1097"/>
      <c r="E3090" s="1097"/>
      <c r="F3090" s="934"/>
      <c r="G3090" s="1098"/>
      <c r="H3090" s="1099"/>
      <c r="I3090" s="1099"/>
      <c r="J3090" s="934"/>
      <c r="K3090" s="934"/>
      <c r="L3090" s="933"/>
      <c r="M3090" s="1100"/>
      <c r="N3090" s="934"/>
      <c r="O3090" s="936"/>
      <c r="P3090" s="936"/>
      <c r="Q3090" s="933"/>
      <c r="T3090" s="1101"/>
      <c r="U3090" s="1102"/>
      <c r="V3090" s="936"/>
      <c r="W3090" s="1103"/>
      <c r="X3090" s="1104"/>
      <c r="Y3090" s="1105"/>
      <c r="Z3090" s="1103"/>
      <c r="AC3090" s="1106"/>
      <c r="AD3090" s="1107"/>
      <c r="AE3090" s="1104"/>
      <c r="AG3090" s="1109"/>
      <c r="AI3090" s="1110"/>
      <c r="AL3090" s="933"/>
      <c r="AM3090" s="933"/>
      <c r="AN3090" s="1100"/>
      <c r="AO3090" s="1100"/>
      <c r="AP3090" s="934"/>
      <c r="AQ3090" s="934"/>
      <c r="AR3090" s="934"/>
      <c r="AS3090" s="936"/>
      <c r="AT3090" s="936"/>
      <c r="AU3090" s="936"/>
      <c r="AV3090" s="937"/>
      <c r="AW3090" s="938"/>
      <c r="AX3090" s="939"/>
      <c r="AY3090" s="933"/>
      <c r="AZ3090" s="936"/>
      <c r="BA3090" s="936"/>
      <c r="BB3090" s="1112"/>
      <c r="BC3090" s="940"/>
      <c r="BD3090" s="941"/>
      <c r="BE3090" s="942"/>
      <c r="BF3090" s="943"/>
      <c r="BG3090" s="943"/>
      <c r="BH3090" s="943"/>
      <c r="BI3090" s="943"/>
      <c r="BJ3090" s="943"/>
      <c r="BK3090" s="943"/>
      <c r="BL3090" s="943"/>
      <c r="BM3090" s="943"/>
      <c r="BN3090" s="943"/>
      <c r="BO3090" s="1059"/>
      <c r="BP3090" s="1059"/>
      <c r="BQ3090" s="1059"/>
      <c r="BR3090" s="1059"/>
      <c r="BS3090" s="1059"/>
      <c r="BT3090" s="1059"/>
      <c r="BU3090" s="1059"/>
      <c r="BV3090" s="944"/>
      <c r="BW3090" s="944"/>
      <c r="BX3090" s="1147"/>
      <c r="BY3090" s="944"/>
      <c r="BZ3090" s="944"/>
      <c r="CA3090" s="944"/>
      <c r="CB3090" s="944"/>
    </row>
    <row r="3091" spans="2:80">
      <c r="B3091" s="1097"/>
      <c r="C3091" s="1097"/>
      <c r="D3091" s="1097"/>
      <c r="E3091" s="1097"/>
      <c r="F3091" s="934"/>
      <c r="G3091" s="1098"/>
      <c r="H3091" s="1099"/>
      <c r="I3091" s="1099"/>
      <c r="J3091" s="934"/>
      <c r="K3091" s="934"/>
      <c r="L3091" s="933"/>
      <c r="M3091" s="1100"/>
      <c r="N3091" s="934"/>
      <c r="O3091" s="936"/>
      <c r="P3091" s="936"/>
      <c r="Q3091" s="933"/>
      <c r="T3091" s="1101"/>
      <c r="U3091" s="1102"/>
      <c r="V3091" s="936"/>
      <c r="W3091" s="1103"/>
      <c r="X3091" s="1104"/>
      <c r="Y3091" s="1105"/>
      <c r="Z3091" s="1103"/>
      <c r="AC3091" s="1106"/>
      <c r="AD3091" s="1107"/>
      <c r="AE3091" s="1104"/>
      <c r="AG3091" s="1109"/>
      <c r="AI3091" s="1110"/>
      <c r="AL3091" s="933"/>
      <c r="AM3091" s="933"/>
      <c r="AN3091" s="1100"/>
      <c r="AO3091" s="1100"/>
      <c r="AP3091" s="934"/>
      <c r="AQ3091" s="934"/>
      <c r="AR3091" s="934"/>
      <c r="AS3091" s="936"/>
      <c r="AT3091" s="936"/>
      <c r="AU3091" s="936"/>
      <c r="AV3091" s="937"/>
      <c r="AW3091" s="938"/>
      <c r="AX3091" s="939"/>
      <c r="AY3091" s="933"/>
      <c r="AZ3091" s="936"/>
      <c r="BA3091" s="936"/>
      <c r="BB3091" s="1112"/>
      <c r="BC3091" s="940"/>
      <c r="BD3091" s="941"/>
      <c r="BE3091" s="942"/>
      <c r="BF3091" s="943"/>
      <c r="BG3091" s="943"/>
      <c r="BH3091" s="943"/>
      <c r="BI3091" s="943"/>
      <c r="BJ3091" s="943"/>
      <c r="BK3091" s="943"/>
      <c r="BL3091" s="943"/>
      <c r="BM3091" s="943"/>
      <c r="BN3091" s="943"/>
      <c r="BO3091" s="1059"/>
      <c r="BP3091" s="1059"/>
      <c r="BQ3091" s="1059"/>
      <c r="BR3091" s="1059"/>
      <c r="BS3091" s="1059"/>
      <c r="BT3091" s="1059"/>
      <c r="BU3091" s="1059"/>
      <c r="BV3091" s="944"/>
      <c r="BW3091" s="944"/>
      <c r="BX3091" s="1147"/>
      <c r="BY3091" s="944"/>
      <c r="BZ3091" s="944"/>
      <c r="CA3091" s="944"/>
      <c r="CB3091" s="944"/>
    </row>
    <row r="3092" spans="2:80">
      <c r="B3092" s="1097"/>
      <c r="C3092" s="1097"/>
      <c r="D3092" s="1097"/>
      <c r="E3092" s="1097"/>
      <c r="F3092" s="934"/>
      <c r="G3092" s="1098"/>
      <c r="H3092" s="1099"/>
      <c r="I3092" s="1099"/>
      <c r="J3092" s="934"/>
      <c r="K3092" s="934"/>
      <c r="L3092" s="933"/>
      <c r="M3092" s="1100"/>
      <c r="N3092" s="934"/>
      <c r="O3092" s="936"/>
      <c r="P3092" s="936"/>
      <c r="Q3092" s="933"/>
      <c r="T3092" s="1101"/>
      <c r="U3092" s="1102"/>
      <c r="V3092" s="936"/>
      <c r="W3092" s="1103"/>
      <c r="X3092" s="1104"/>
      <c r="Y3092" s="1105"/>
      <c r="Z3092" s="1103"/>
      <c r="AC3092" s="1106"/>
      <c r="AD3092" s="1107"/>
      <c r="AE3092" s="1104"/>
      <c r="AG3092" s="1109"/>
      <c r="AI3092" s="1110"/>
      <c r="AL3092" s="933"/>
      <c r="AM3092" s="933"/>
      <c r="AN3092" s="1100"/>
      <c r="AO3092" s="1100"/>
      <c r="AP3092" s="934"/>
      <c r="AQ3092" s="934"/>
      <c r="AR3092" s="934"/>
      <c r="AS3092" s="936"/>
      <c r="AT3092" s="936"/>
      <c r="AU3092" s="936"/>
      <c r="AV3092" s="937"/>
      <c r="AW3092" s="938"/>
      <c r="AX3092" s="939"/>
      <c r="AY3092" s="933"/>
      <c r="AZ3092" s="936"/>
      <c r="BA3092" s="936"/>
      <c r="BB3092" s="1112"/>
      <c r="BC3092" s="940"/>
      <c r="BD3092" s="941"/>
      <c r="BE3092" s="942"/>
      <c r="BF3092" s="943"/>
      <c r="BG3092" s="943"/>
      <c r="BH3092" s="943"/>
      <c r="BI3092" s="943"/>
      <c r="BJ3092" s="943"/>
      <c r="BK3092" s="943"/>
      <c r="BL3092" s="943"/>
      <c r="BM3092" s="943"/>
      <c r="BN3092" s="943"/>
      <c r="BO3092" s="1059"/>
      <c r="BP3092" s="1059"/>
      <c r="BQ3092" s="1059"/>
      <c r="BR3092" s="1059"/>
      <c r="BS3092" s="1059"/>
      <c r="BT3092" s="1059"/>
      <c r="BU3092" s="1059"/>
      <c r="BV3092" s="944"/>
      <c r="BW3092" s="944"/>
      <c r="BX3092" s="1147"/>
      <c r="BY3092" s="944"/>
      <c r="BZ3092" s="944"/>
      <c r="CA3092" s="944"/>
      <c r="CB3092" s="944"/>
    </row>
    <row r="3093" spans="2:80">
      <c r="B3093" s="1097"/>
      <c r="C3093" s="1097"/>
      <c r="D3093" s="1097"/>
      <c r="E3093" s="1097"/>
      <c r="F3093" s="934"/>
      <c r="G3093" s="1098"/>
      <c r="H3093" s="1099"/>
      <c r="I3093" s="1099"/>
      <c r="J3093" s="934"/>
      <c r="K3093" s="934"/>
      <c r="L3093" s="933"/>
      <c r="M3093" s="1100"/>
      <c r="N3093" s="934"/>
      <c r="O3093" s="936"/>
      <c r="P3093" s="936"/>
      <c r="Q3093" s="933"/>
      <c r="T3093" s="1101"/>
      <c r="U3093" s="1102"/>
      <c r="V3093" s="936"/>
      <c r="W3093" s="1103"/>
      <c r="X3093" s="1104"/>
      <c r="Y3093" s="1105"/>
      <c r="Z3093" s="1103"/>
      <c r="AC3093" s="1106"/>
      <c r="AD3093" s="1107"/>
      <c r="AE3093" s="1104"/>
      <c r="AG3093" s="1109"/>
      <c r="AI3093" s="1110"/>
      <c r="AL3093" s="933"/>
      <c r="AM3093" s="933"/>
      <c r="AN3093" s="1100"/>
      <c r="AO3093" s="1100"/>
      <c r="AP3093" s="934"/>
      <c r="AQ3093" s="934"/>
      <c r="AR3093" s="934"/>
      <c r="AS3093" s="936"/>
      <c r="AT3093" s="936"/>
      <c r="AU3093" s="936"/>
      <c r="AV3093" s="937"/>
      <c r="AW3093" s="938"/>
      <c r="AX3093" s="939"/>
      <c r="AY3093" s="933"/>
      <c r="AZ3093" s="936"/>
      <c r="BA3093" s="936"/>
      <c r="BB3093" s="1112"/>
      <c r="BC3093" s="940"/>
      <c r="BD3093" s="941"/>
      <c r="BE3093" s="942"/>
      <c r="BF3093" s="943"/>
      <c r="BG3093" s="943"/>
      <c r="BH3093" s="943"/>
      <c r="BI3093" s="943"/>
      <c r="BJ3093" s="943"/>
      <c r="BK3093" s="943"/>
      <c r="BL3093" s="943"/>
      <c r="BM3093" s="943"/>
      <c r="BN3093" s="943"/>
      <c r="BO3093" s="1059"/>
      <c r="BP3093" s="1059"/>
      <c r="BQ3093" s="1059"/>
      <c r="BR3093" s="1059"/>
      <c r="BS3093" s="1059"/>
      <c r="BT3093" s="1059"/>
      <c r="BU3093" s="1059"/>
      <c r="BV3093" s="944"/>
      <c r="BW3093" s="944"/>
      <c r="BX3093" s="1147"/>
      <c r="BY3093" s="944"/>
      <c r="BZ3093" s="944"/>
      <c r="CA3093" s="944"/>
      <c r="CB3093" s="944"/>
    </row>
    <row r="3094" spans="2:80">
      <c r="B3094" s="1097"/>
      <c r="C3094" s="1097"/>
      <c r="D3094" s="1097"/>
      <c r="E3094" s="1097"/>
      <c r="F3094" s="934"/>
      <c r="G3094" s="1098"/>
      <c r="H3094" s="1099"/>
      <c r="I3094" s="1099"/>
      <c r="J3094" s="934"/>
      <c r="K3094" s="934"/>
      <c r="L3094" s="933"/>
      <c r="M3094" s="1100"/>
      <c r="N3094" s="934"/>
      <c r="O3094" s="936"/>
      <c r="P3094" s="936"/>
      <c r="Q3094" s="933"/>
      <c r="T3094" s="1101"/>
      <c r="U3094" s="1102"/>
      <c r="V3094" s="936"/>
      <c r="W3094" s="1103"/>
      <c r="X3094" s="1104"/>
      <c r="Y3094" s="1105"/>
      <c r="Z3094" s="1103"/>
      <c r="AC3094" s="1106"/>
      <c r="AD3094" s="1107"/>
      <c r="AE3094" s="1104"/>
      <c r="AG3094" s="1109"/>
      <c r="AI3094" s="1110"/>
      <c r="AL3094" s="933"/>
      <c r="AM3094" s="933"/>
      <c r="AN3094" s="1100"/>
      <c r="AO3094" s="1100"/>
      <c r="AP3094" s="934"/>
      <c r="AQ3094" s="934"/>
      <c r="AR3094" s="934"/>
      <c r="AS3094" s="936"/>
      <c r="AT3094" s="936"/>
      <c r="AU3094" s="936"/>
      <c r="AV3094" s="937"/>
      <c r="AW3094" s="938"/>
      <c r="AX3094" s="939"/>
      <c r="AY3094" s="933"/>
      <c r="AZ3094" s="936"/>
      <c r="BA3094" s="936"/>
      <c r="BB3094" s="1112"/>
      <c r="BC3094" s="940"/>
      <c r="BD3094" s="941"/>
      <c r="BE3094" s="942"/>
      <c r="BF3094" s="943"/>
      <c r="BG3094" s="943"/>
      <c r="BH3094" s="943"/>
      <c r="BI3094" s="943"/>
      <c r="BJ3094" s="943"/>
      <c r="BK3094" s="943"/>
      <c r="BL3094" s="943"/>
      <c r="BM3094" s="943"/>
      <c r="BN3094" s="943"/>
      <c r="BO3094" s="1059"/>
      <c r="BP3094" s="1059"/>
      <c r="BQ3094" s="1059"/>
      <c r="BR3094" s="1059"/>
      <c r="BS3094" s="1059"/>
      <c r="BT3094" s="1059"/>
      <c r="BU3094" s="1059"/>
      <c r="BV3094" s="944"/>
      <c r="BW3094" s="944"/>
      <c r="BX3094" s="1147"/>
      <c r="BY3094" s="944"/>
      <c r="BZ3094" s="944"/>
      <c r="CA3094" s="944"/>
      <c r="CB3094" s="944"/>
    </row>
    <row r="3095" spans="2:80">
      <c r="B3095" s="1097"/>
      <c r="C3095" s="1097"/>
      <c r="D3095" s="1097"/>
      <c r="E3095" s="1097"/>
      <c r="F3095" s="934"/>
      <c r="G3095" s="1098"/>
      <c r="H3095" s="1099"/>
      <c r="I3095" s="1099"/>
      <c r="J3095" s="934"/>
      <c r="K3095" s="934"/>
      <c r="L3095" s="933"/>
      <c r="M3095" s="1100"/>
      <c r="N3095" s="934"/>
      <c r="O3095" s="936"/>
      <c r="P3095" s="936"/>
      <c r="Q3095" s="933"/>
      <c r="T3095" s="1101"/>
      <c r="U3095" s="1102"/>
      <c r="V3095" s="936"/>
      <c r="W3095" s="1103"/>
      <c r="X3095" s="1104"/>
      <c r="Y3095" s="1105"/>
      <c r="Z3095" s="1103"/>
      <c r="AC3095" s="1106"/>
      <c r="AD3095" s="1107"/>
      <c r="AE3095" s="1104"/>
      <c r="AG3095" s="1109"/>
      <c r="AI3095" s="1110"/>
      <c r="AL3095" s="933"/>
      <c r="AM3095" s="933"/>
      <c r="AN3095" s="1100"/>
      <c r="AO3095" s="1100"/>
      <c r="AP3095" s="934"/>
      <c r="AQ3095" s="934"/>
      <c r="AR3095" s="934"/>
      <c r="AS3095" s="936"/>
      <c r="AT3095" s="936"/>
      <c r="AU3095" s="936"/>
      <c r="AV3095" s="937"/>
      <c r="AW3095" s="938"/>
      <c r="AX3095" s="939"/>
      <c r="AY3095" s="933"/>
      <c r="AZ3095" s="936"/>
      <c r="BA3095" s="936"/>
      <c r="BB3095" s="1112"/>
      <c r="BC3095" s="940"/>
      <c r="BD3095" s="941"/>
      <c r="BE3095" s="942"/>
      <c r="BF3095" s="943"/>
      <c r="BG3095" s="943"/>
      <c r="BH3095" s="943"/>
      <c r="BI3095" s="943"/>
      <c r="BJ3095" s="943"/>
      <c r="BK3095" s="943"/>
      <c r="BL3095" s="943"/>
      <c r="BM3095" s="943"/>
      <c r="BN3095" s="943"/>
      <c r="BO3095" s="1059"/>
      <c r="BP3095" s="1059"/>
      <c r="BQ3095" s="1059"/>
      <c r="BR3095" s="1059"/>
      <c r="BS3095" s="1059"/>
      <c r="BT3095" s="1059"/>
      <c r="BU3095" s="1059"/>
      <c r="BV3095" s="944"/>
      <c r="BW3095" s="944"/>
      <c r="BX3095" s="1147"/>
      <c r="BY3095" s="944"/>
      <c r="BZ3095" s="944"/>
      <c r="CA3095" s="944"/>
      <c r="CB3095" s="944"/>
    </row>
    <row r="3096" spans="2:80">
      <c r="B3096" s="1097"/>
      <c r="C3096" s="1097"/>
      <c r="D3096" s="1097"/>
      <c r="E3096" s="1097"/>
      <c r="F3096" s="934"/>
      <c r="G3096" s="1098"/>
      <c r="H3096" s="1099"/>
      <c r="I3096" s="1099"/>
      <c r="J3096" s="934"/>
      <c r="K3096" s="934"/>
      <c r="L3096" s="933"/>
      <c r="M3096" s="1100"/>
      <c r="N3096" s="934"/>
      <c r="O3096" s="936"/>
      <c r="P3096" s="936"/>
      <c r="Q3096" s="933"/>
      <c r="T3096" s="1101"/>
      <c r="U3096" s="1102"/>
      <c r="V3096" s="936"/>
      <c r="W3096" s="1103"/>
      <c r="X3096" s="1104"/>
      <c r="Y3096" s="1105"/>
      <c r="Z3096" s="1103"/>
      <c r="AC3096" s="1106"/>
      <c r="AD3096" s="1107"/>
      <c r="AE3096" s="1104"/>
      <c r="AG3096" s="1109"/>
      <c r="AI3096" s="1110"/>
      <c r="AL3096" s="933"/>
      <c r="AM3096" s="933"/>
      <c r="AN3096" s="1100"/>
      <c r="AO3096" s="1100"/>
      <c r="AP3096" s="934"/>
      <c r="AQ3096" s="934"/>
      <c r="AR3096" s="934"/>
      <c r="AS3096" s="936"/>
      <c r="AT3096" s="936"/>
      <c r="AU3096" s="936"/>
      <c r="AV3096" s="937"/>
      <c r="AW3096" s="938"/>
      <c r="AX3096" s="939"/>
      <c r="AY3096" s="933"/>
      <c r="AZ3096" s="936"/>
      <c r="BA3096" s="936"/>
      <c r="BB3096" s="1112"/>
      <c r="BC3096" s="940"/>
      <c r="BD3096" s="941"/>
      <c r="BE3096" s="942"/>
      <c r="BF3096" s="943"/>
      <c r="BG3096" s="943"/>
      <c r="BH3096" s="943"/>
      <c r="BI3096" s="943"/>
      <c r="BJ3096" s="943"/>
      <c r="BK3096" s="943"/>
      <c r="BL3096" s="943"/>
      <c r="BM3096" s="943"/>
      <c r="BN3096" s="943"/>
      <c r="BO3096" s="1059"/>
      <c r="BP3096" s="1059"/>
      <c r="BQ3096" s="1059"/>
      <c r="BR3096" s="1059"/>
      <c r="BS3096" s="1059"/>
      <c r="BT3096" s="1059"/>
      <c r="BU3096" s="1059"/>
      <c r="BV3096" s="944"/>
      <c r="BW3096" s="944"/>
      <c r="BX3096" s="1147"/>
      <c r="BY3096" s="944"/>
      <c r="BZ3096" s="944"/>
      <c r="CA3096" s="944"/>
      <c r="CB3096" s="944"/>
    </row>
    <row r="3097" spans="2:80">
      <c r="B3097" s="1097"/>
      <c r="C3097" s="1097"/>
      <c r="D3097" s="1097"/>
      <c r="E3097" s="1097"/>
      <c r="F3097" s="934"/>
      <c r="G3097" s="1098"/>
      <c r="H3097" s="1099"/>
      <c r="I3097" s="1099"/>
      <c r="J3097" s="934"/>
      <c r="K3097" s="934"/>
      <c r="L3097" s="933"/>
      <c r="M3097" s="1100"/>
      <c r="N3097" s="934"/>
      <c r="O3097" s="936"/>
      <c r="P3097" s="936"/>
      <c r="Q3097" s="933"/>
      <c r="T3097" s="1101"/>
      <c r="U3097" s="1102"/>
      <c r="V3097" s="936"/>
      <c r="W3097" s="1103"/>
      <c r="X3097" s="1104"/>
      <c r="Y3097" s="1105"/>
      <c r="Z3097" s="1103"/>
      <c r="AC3097" s="1106"/>
      <c r="AD3097" s="1107"/>
      <c r="AE3097" s="1104"/>
      <c r="AG3097" s="1109"/>
      <c r="AI3097" s="1110"/>
      <c r="AL3097" s="933"/>
      <c r="AM3097" s="933"/>
      <c r="AN3097" s="1100"/>
      <c r="AO3097" s="1100"/>
      <c r="AP3097" s="934"/>
      <c r="AQ3097" s="934"/>
      <c r="AR3097" s="934"/>
      <c r="AS3097" s="936"/>
      <c r="AT3097" s="936"/>
      <c r="AU3097" s="936"/>
      <c r="AV3097" s="937"/>
      <c r="AW3097" s="938"/>
      <c r="AX3097" s="939"/>
      <c r="AY3097" s="933"/>
      <c r="AZ3097" s="936"/>
      <c r="BA3097" s="936"/>
      <c r="BB3097" s="1112"/>
      <c r="BC3097" s="940"/>
      <c r="BD3097" s="941"/>
      <c r="BE3097" s="942"/>
      <c r="BF3097" s="943"/>
      <c r="BG3097" s="943"/>
      <c r="BH3097" s="943"/>
      <c r="BI3097" s="943"/>
      <c r="BJ3097" s="943"/>
      <c r="BK3097" s="943"/>
      <c r="BL3097" s="943"/>
      <c r="BM3097" s="943"/>
      <c r="BN3097" s="943"/>
      <c r="BO3097" s="1059"/>
      <c r="BP3097" s="1059"/>
      <c r="BQ3097" s="1059"/>
      <c r="BR3097" s="1059"/>
      <c r="BS3097" s="1059"/>
      <c r="BT3097" s="1059"/>
      <c r="BU3097" s="1059"/>
      <c r="BV3097" s="944"/>
      <c r="BW3097" s="944"/>
      <c r="BX3097" s="1147"/>
      <c r="BY3097" s="944"/>
      <c r="BZ3097" s="944"/>
      <c r="CA3097" s="944"/>
      <c r="CB3097" s="944"/>
    </row>
    <row r="3098" spans="2:80">
      <c r="B3098" s="1097"/>
      <c r="C3098" s="1097"/>
      <c r="D3098" s="1097"/>
      <c r="E3098" s="1097"/>
      <c r="F3098" s="934"/>
      <c r="G3098" s="1098"/>
      <c r="H3098" s="1099"/>
      <c r="I3098" s="1099"/>
      <c r="J3098" s="934"/>
      <c r="K3098" s="934"/>
      <c r="L3098" s="933"/>
      <c r="M3098" s="1100"/>
      <c r="N3098" s="934"/>
      <c r="O3098" s="936"/>
      <c r="P3098" s="936"/>
      <c r="Q3098" s="933"/>
      <c r="T3098" s="1101"/>
      <c r="U3098" s="1102"/>
      <c r="V3098" s="936"/>
      <c r="W3098" s="1103"/>
      <c r="X3098" s="1104"/>
      <c r="Y3098" s="1105"/>
      <c r="Z3098" s="1103"/>
      <c r="AC3098" s="1106"/>
      <c r="AD3098" s="1107"/>
      <c r="AE3098" s="1104"/>
      <c r="AG3098" s="1109"/>
      <c r="AI3098" s="1110"/>
      <c r="AL3098" s="933"/>
      <c r="AM3098" s="933"/>
      <c r="AN3098" s="1100"/>
      <c r="AO3098" s="1100"/>
      <c r="AP3098" s="934"/>
      <c r="AQ3098" s="934"/>
      <c r="AR3098" s="934"/>
      <c r="AS3098" s="936"/>
      <c r="AT3098" s="936"/>
      <c r="AU3098" s="936"/>
      <c r="AV3098" s="937"/>
      <c r="AW3098" s="938"/>
      <c r="AX3098" s="939"/>
      <c r="AY3098" s="933"/>
      <c r="AZ3098" s="936"/>
      <c r="BA3098" s="936"/>
      <c r="BB3098" s="1112"/>
      <c r="BC3098" s="940"/>
      <c r="BD3098" s="941"/>
      <c r="BE3098" s="942"/>
      <c r="BF3098" s="943"/>
      <c r="BG3098" s="943"/>
      <c r="BH3098" s="943"/>
      <c r="BI3098" s="943"/>
      <c r="BJ3098" s="943"/>
      <c r="BK3098" s="943"/>
      <c r="BL3098" s="943"/>
      <c r="BM3098" s="943"/>
      <c r="BN3098" s="943"/>
      <c r="BO3098" s="1059"/>
      <c r="BP3098" s="1059"/>
      <c r="BQ3098" s="1059"/>
      <c r="BR3098" s="1059"/>
      <c r="BS3098" s="1059"/>
      <c r="BT3098" s="1059"/>
      <c r="BU3098" s="1059"/>
      <c r="BV3098" s="944"/>
      <c r="BW3098" s="944"/>
      <c r="BX3098" s="1147"/>
      <c r="BY3098" s="944"/>
      <c r="BZ3098" s="944"/>
      <c r="CA3098" s="944"/>
      <c r="CB3098" s="944"/>
    </row>
    <row r="3099" spans="2:80">
      <c r="B3099" s="1097"/>
      <c r="C3099" s="1097"/>
      <c r="D3099" s="1097"/>
      <c r="E3099" s="1097"/>
      <c r="F3099" s="934"/>
      <c r="G3099" s="1098"/>
      <c r="H3099" s="1099"/>
      <c r="I3099" s="1099"/>
      <c r="J3099" s="934"/>
      <c r="K3099" s="934"/>
      <c r="L3099" s="933"/>
      <c r="M3099" s="1100"/>
      <c r="N3099" s="934"/>
      <c r="O3099" s="936"/>
      <c r="P3099" s="936"/>
      <c r="Q3099" s="933"/>
      <c r="T3099" s="1101"/>
      <c r="U3099" s="1102"/>
      <c r="V3099" s="936"/>
      <c r="W3099" s="1103"/>
      <c r="X3099" s="1104"/>
      <c r="Y3099" s="1105"/>
      <c r="Z3099" s="1103"/>
      <c r="AC3099" s="1106"/>
      <c r="AD3099" s="1107"/>
      <c r="AE3099" s="1104"/>
      <c r="AG3099" s="1109"/>
      <c r="AI3099" s="1110"/>
      <c r="AL3099" s="933"/>
      <c r="AM3099" s="933"/>
      <c r="AN3099" s="1100"/>
      <c r="AO3099" s="1100"/>
      <c r="AP3099" s="934"/>
      <c r="AQ3099" s="934"/>
      <c r="AR3099" s="934"/>
      <c r="AS3099" s="936"/>
      <c r="AT3099" s="936"/>
      <c r="AU3099" s="936"/>
      <c r="AV3099" s="937"/>
      <c r="AW3099" s="938"/>
      <c r="AX3099" s="939"/>
      <c r="AY3099" s="933"/>
      <c r="AZ3099" s="936"/>
      <c r="BA3099" s="936"/>
      <c r="BB3099" s="1112"/>
      <c r="BC3099" s="940"/>
      <c r="BD3099" s="941"/>
      <c r="BE3099" s="942"/>
      <c r="BF3099" s="943"/>
      <c r="BG3099" s="943"/>
      <c r="BH3099" s="943"/>
      <c r="BI3099" s="943"/>
      <c r="BJ3099" s="943"/>
      <c r="BK3099" s="943"/>
      <c r="BL3099" s="943"/>
      <c r="BM3099" s="943"/>
      <c r="BN3099" s="943"/>
      <c r="BO3099" s="1059"/>
      <c r="BP3099" s="1059"/>
      <c r="BQ3099" s="1059"/>
      <c r="BR3099" s="1059"/>
      <c r="BS3099" s="1059"/>
      <c r="BT3099" s="1059"/>
      <c r="BU3099" s="1059"/>
      <c r="BV3099" s="944"/>
      <c r="BW3099" s="944"/>
      <c r="BX3099" s="1147"/>
      <c r="BY3099" s="944"/>
      <c r="BZ3099" s="944"/>
      <c r="CA3099" s="944"/>
      <c r="CB3099" s="944"/>
    </row>
    <row r="3100" spans="2:80">
      <c r="B3100" s="1097"/>
      <c r="C3100" s="1097"/>
      <c r="D3100" s="1097"/>
      <c r="E3100" s="1097"/>
      <c r="F3100" s="934"/>
      <c r="G3100" s="1098"/>
      <c r="H3100" s="1099"/>
      <c r="I3100" s="1099"/>
      <c r="J3100" s="934"/>
      <c r="K3100" s="934"/>
      <c r="L3100" s="933"/>
      <c r="M3100" s="1100"/>
      <c r="N3100" s="934"/>
      <c r="O3100" s="936"/>
      <c r="P3100" s="936"/>
      <c r="Q3100" s="933"/>
      <c r="T3100" s="1101"/>
      <c r="U3100" s="1102"/>
      <c r="V3100" s="936"/>
      <c r="W3100" s="1103"/>
      <c r="X3100" s="1104"/>
      <c r="Y3100" s="1105"/>
      <c r="Z3100" s="1103"/>
      <c r="AC3100" s="1106"/>
      <c r="AD3100" s="1107"/>
      <c r="AE3100" s="1104"/>
      <c r="AG3100" s="1109"/>
      <c r="AI3100" s="1110"/>
      <c r="AL3100" s="933"/>
      <c r="AM3100" s="933"/>
      <c r="AN3100" s="1100"/>
      <c r="AO3100" s="1100"/>
      <c r="AP3100" s="934"/>
      <c r="AQ3100" s="934"/>
      <c r="AR3100" s="934"/>
      <c r="AS3100" s="936"/>
      <c r="AT3100" s="936"/>
      <c r="AU3100" s="936"/>
      <c r="AV3100" s="937"/>
      <c r="AW3100" s="938"/>
      <c r="AX3100" s="939"/>
      <c r="AY3100" s="933"/>
      <c r="AZ3100" s="936"/>
      <c r="BA3100" s="936"/>
      <c r="BB3100" s="1112"/>
      <c r="BC3100" s="940"/>
      <c r="BD3100" s="941"/>
      <c r="BE3100" s="942"/>
      <c r="BF3100" s="943"/>
      <c r="BG3100" s="943"/>
      <c r="BH3100" s="943"/>
      <c r="BI3100" s="943"/>
      <c r="BJ3100" s="943"/>
      <c r="BK3100" s="943"/>
      <c r="BL3100" s="943"/>
      <c r="BM3100" s="943"/>
      <c r="BN3100" s="943"/>
      <c r="BO3100" s="1059"/>
      <c r="BP3100" s="1059"/>
      <c r="BQ3100" s="1059"/>
      <c r="BR3100" s="1059"/>
      <c r="BS3100" s="1059"/>
      <c r="BT3100" s="1059"/>
      <c r="BU3100" s="1059"/>
      <c r="BV3100" s="944"/>
      <c r="BW3100" s="944"/>
      <c r="BX3100" s="1147"/>
      <c r="BY3100" s="944"/>
      <c r="BZ3100" s="944"/>
      <c r="CA3100" s="944"/>
      <c r="CB3100" s="944"/>
    </row>
    <row r="3101" spans="2:80">
      <c r="B3101" s="1097"/>
      <c r="C3101" s="1097"/>
      <c r="D3101" s="1097"/>
      <c r="E3101" s="1097"/>
      <c r="F3101" s="934"/>
      <c r="G3101" s="1098"/>
      <c r="H3101" s="1099"/>
      <c r="I3101" s="1099"/>
      <c r="J3101" s="934"/>
      <c r="K3101" s="934"/>
      <c r="L3101" s="933"/>
      <c r="M3101" s="1100"/>
      <c r="N3101" s="934"/>
      <c r="O3101" s="936"/>
      <c r="P3101" s="936"/>
      <c r="Q3101" s="933"/>
      <c r="T3101" s="1101"/>
      <c r="U3101" s="1102"/>
      <c r="V3101" s="936"/>
      <c r="W3101" s="1103"/>
      <c r="X3101" s="1104"/>
      <c r="Y3101" s="1105"/>
      <c r="Z3101" s="1103"/>
      <c r="AC3101" s="1106"/>
      <c r="AD3101" s="1107"/>
      <c r="AE3101" s="1104"/>
      <c r="AG3101" s="1109"/>
      <c r="AI3101" s="1110"/>
      <c r="AL3101" s="933"/>
      <c r="AM3101" s="933"/>
      <c r="AN3101" s="1100"/>
      <c r="AO3101" s="1100"/>
      <c r="AP3101" s="934"/>
      <c r="AQ3101" s="934"/>
      <c r="AR3101" s="934"/>
      <c r="AS3101" s="936"/>
      <c r="AT3101" s="936"/>
      <c r="AU3101" s="936"/>
      <c r="AV3101" s="937"/>
      <c r="AW3101" s="938"/>
      <c r="AX3101" s="939"/>
      <c r="AY3101" s="933"/>
      <c r="AZ3101" s="936"/>
      <c r="BA3101" s="936"/>
      <c r="BB3101" s="1112"/>
      <c r="BC3101" s="940"/>
      <c r="BD3101" s="941"/>
      <c r="BE3101" s="942"/>
      <c r="BF3101" s="943"/>
      <c r="BG3101" s="943"/>
      <c r="BH3101" s="943"/>
      <c r="BI3101" s="943"/>
      <c r="BJ3101" s="943"/>
      <c r="BK3101" s="943"/>
      <c r="BL3101" s="943"/>
      <c r="BM3101" s="943"/>
      <c r="BN3101" s="943"/>
      <c r="BO3101" s="1059"/>
      <c r="BP3101" s="1059"/>
      <c r="BQ3101" s="1059"/>
      <c r="BR3101" s="1059"/>
      <c r="BS3101" s="1059"/>
      <c r="BT3101" s="1059"/>
      <c r="BU3101" s="1059"/>
      <c r="BV3101" s="944"/>
      <c r="BW3101" s="944"/>
      <c r="BX3101" s="1147"/>
      <c r="BY3101" s="944"/>
      <c r="BZ3101" s="944"/>
      <c r="CA3101" s="944"/>
      <c r="CB3101" s="944"/>
    </row>
    <row r="3102" spans="2:80">
      <c r="B3102" s="1097"/>
      <c r="C3102" s="1097"/>
      <c r="D3102" s="1097"/>
      <c r="E3102" s="1097"/>
      <c r="F3102" s="934"/>
      <c r="G3102" s="1098"/>
      <c r="H3102" s="1099"/>
      <c r="I3102" s="1099"/>
      <c r="J3102" s="934"/>
      <c r="K3102" s="934"/>
      <c r="L3102" s="933"/>
      <c r="M3102" s="1100"/>
      <c r="N3102" s="934"/>
      <c r="O3102" s="936"/>
      <c r="P3102" s="936"/>
      <c r="Q3102" s="933"/>
      <c r="T3102" s="1101"/>
      <c r="U3102" s="1102"/>
      <c r="V3102" s="936"/>
      <c r="W3102" s="1103"/>
      <c r="X3102" s="1104"/>
      <c r="Y3102" s="1105"/>
      <c r="Z3102" s="1103"/>
      <c r="AC3102" s="1106"/>
      <c r="AD3102" s="1107"/>
      <c r="AE3102" s="1104"/>
      <c r="AG3102" s="1109"/>
      <c r="AI3102" s="1110"/>
      <c r="AL3102" s="933"/>
      <c r="AM3102" s="933"/>
      <c r="AN3102" s="1100"/>
      <c r="AO3102" s="1100"/>
      <c r="AP3102" s="934"/>
      <c r="AQ3102" s="934"/>
      <c r="AR3102" s="934"/>
      <c r="AS3102" s="936"/>
      <c r="AT3102" s="936"/>
      <c r="AU3102" s="936"/>
      <c r="AV3102" s="937"/>
      <c r="AW3102" s="938"/>
      <c r="AX3102" s="939"/>
      <c r="AY3102" s="933"/>
      <c r="AZ3102" s="936"/>
      <c r="BA3102" s="936"/>
      <c r="BB3102" s="1112"/>
      <c r="BC3102" s="940"/>
      <c r="BD3102" s="941"/>
      <c r="BE3102" s="942"/>
      <c r="BF3102" s="943"/>
      <c r="BG3102" s="943"/>
      <c r="BH3102" s="943"/>
      <c r="BI3102" s="943"/>
      <c r="BJ3102" s="943"/>
      <c r="BK3102" s="943"/>
      <c r="BL3102" s="943"/>
      <c r="BM3102" s="943"/>
      <c r="BN3102" s="943"/>
      <c r="BO3102" s="1059"/>
      <c r="BP3102" s="1059"/>
      <c r="BQ3102" s="1059"/>
      <c r="BR3102" s="1059"/>
      <c r="BS3102" s="1059"/>
      <c r="BT3102" s="1059"/>
      <c r="BU3102" s="1059"/>
      <c r="BV3102" s="944"/>
      <c r="BW3102" s="944"/>
      <c r="BX3102" s="1147"/>
      <c r="BY3102" s="944"/>
      <c r="BZ3102" s="944"/>
      <c r="CA3102" s="944"/>
      <c r="CB3102" s="944"/>
    </row>
    <row r="3103" spans="2:80">
      <c r="B3103" s="1097"/>
      <c r="C3103" s="1097"/>
      <c r="D3103" s="1097"/>
      <c r="E3103" s="1097"/>
      <c r="F3103" s="934"/>
      <c r="G3103" s="1098"/>
      <c r="H3103" s="1099"/>
      <c r="I3103" s="1099"/>
      <c r="J3103" s="934"/>
      <c r="K3103" s="934"/>
      <c r="L3103" s="933"/>
      <c r="M3103" s="1100"/>
      <c r="N3103" s="934"/>
      <c r="O3103" s="936"/>
      <c r="P3103" s="936"/>
      <c r="Q3103" s="933"/>
      <c r="T3103" s="1101"/>
      <c r="U3103" s="1102"/>
      <c r="V3103" s="936"/>
      <c r="W3103" s="1103"/>
      <c r="X3103" s="1104"/>
      <c r="Y3103" s="1105"/>
      <c r="Z3103" s="1103"/>
      <c r="AC3103" s="1106"/>
      <c r="AD3103" s="1107"/>
      <c r="AE3103" s="1104"/>
      <c r="AG3103" s="1109"/>
      <c r="AI3103" s="1110"/>
      <c r="AL3103" s="933"/>
      <c r="AM3103" s="933"/>
      <c r="AN3103" s="1100"/>
      <c r="AO3103" s="1100"/>
      <c r="AP3103" s="934"/>
      <c r="AQ3103" s="934"/>
      <c r="AR3103" s="934"/>
      <c r="AS3103" s="936"/>
      <c r="AT3103" s="936"/>
      <c r="AU3103" s="936"/>
      <c r="AV3103" s="937"/>
      <c r="AW3103" s="938"/>
      <c r="AX3103" s="939"/>
      <c r="AY3103" s="933"/>
      <c r="AZ3103" s="936"/>
      <c r="BA3103" s="936"/>
      <c r="BB3103" s="1112"/>
      <c r="BC3103" s="940"/>
      <c r="BD3103" s="941"/>
      <c r="BE3103" s="942"/>
      <c r="BF3103" s="943"/>
      <c r="BG3103" s="943"/>
      <c r="BH3103" s="943"/>
      <c r="BI3103" s="943"/>
      <c r="BJ3103" s="943"/>
      <c r="BK3103" s="943"/>
      <c r="BL3103" s="943"/>
      <c r="BM3103" s="943"/>
      <c r="BN3103" s="943"/>
      <c r="BO3103" s="1059"/>
      <c r="BP3103" s="1059"/>
      <c r="BQ3103" s="1059"/>
      <c r="BR3103" s="1059"/>
      <c r="BS3103" s="1059"/>
      <c r="BT3103" s="1059"/>
      <c r="BU3103" s="1059"/>
      <c r="BV3103" s="944"/>
      <c r="BW3103" s="944"/>
      <c r="BX3103" s="1147"/>
      <c r="BY3103" s="944"/>
      <c r="BZ3103" s="944"/>
      <c r="CA3103" s="944"/>
      <c r="CB3103" s="944"/>
    </row>
    <row r="3104" spans="2:80">
      <c r="B3104" s="1097"/>
      <c r="C3104" s="1097"/>
      <c r="D3104" s="1097"/>
      <c r="E3104" s="1097"/>
      <c r="F3104" s="934"/>
      <c r="G3104" s="1098"/>
      <c r="H3104" s="1099"/>
      <c r="I3104" s="1099"/>
      <c r="J3104" s="934"/>
      <c r="K3104" s="934"/>
      <c r="L3104" s="933"/>
      <c r="M3104" s="1100"/>
      <c r="N3104" s="934"/>
      <c r="O3104" s="936"/>
      <c r="P3104" s="936"/>
      <c r="Q3104" s="933"/>
      <c r="T3104" s="1101"/>
      <c r="U3104" s="1102"/>
      <c r="V3104" s="936"/>
      <c r="W3104" s="1103"/>
      <c r="X3104" s="1104"/>
      <c r="Y3104" s="1105"/>
      <c r="Z3104" s="1103"/>
      <c r="AC3104" s="1106"/>
      <c r="AD3104" s="1107"/>
      <c r="AE3104" s="1104"/>
      <c r="AG3104" s="1109"/>
      <c r="AI3104" s="1110"/>
      <c r="AL3104" s="933"/>
      <c r="AM3104" s="933"/>
      <c r="AN3104" s="1100"/>
      <c r="AO3104" s="1100"/>
      <c r="AP3104" s="934"/>
      <c r="AQ3104" s="934"/>
      <c r="AR3104" s="934"/>
      <c r="AS3104" s="936"/>
      <c r="AT3104" s="936"/>
      <c r="AU3104" s="936"/>
      <c r="AV3104" s="937"/>
      <c r="AW3104" s="938"/>
      <c r="AX3104" s="939"/>
      <c r="AY3104" s="933"/>
      <c r="AZ3104" s="936"/>
      <c r="BA3104" s="936"/>
      <c r="BB3104" s="1112"/>
      <c r="BC3104" s="940"/>
      <c r="BD3104" s="941"/>
      <c r="BE3104" s="942"/>
      <c r="BF3104" s="943"/>
      <c r="BG3104" s="943"/>
      <c r="BH3104" s="943"/>
      <c r="BI3104" s="943"/>
      <c r="BJ3104" s="943"/>
      <c r="BK3104" s="943"/>
      <c r="BL3104" s="943"/>
      <c r="BM3104" s="943"/>
      <c r="BN3104" s="943"/>
      <c r="BO3104" s="1059"/>
      <c r="BP3104" s="1059"/>
      <c r="BQ3104" s="1059"/>
      <c r="BR3104" s="1059"/>
      <c r="BS3104" s="1059"/>
      <c r="BT3104" s="1059"/>
      <c r="BU3104" s="1059"/>
      <c r="BV3104" s="944"/>
      <c r="BW3104" s="944"/>
      <c r="BX3104" s="1147"/>
      <c r="BY3104" s="944"/>
      <c r="BZ3104" s="944"/>
      <c r="CA3104" s="944"/>
      <c r="CB3104" s="944"/>
    </row>
    <row r="3105" spans="2:80">
      <c r="B3105" s="1097"/>
      <c r="C3105" s="1097"/>
      <c r="D3105" s="1097"/>
      <c r="E3105" s="1097"/>
      <c r="F3105" s="934"/>
      <c r="G3105" s="1098"/>
      <c r="H3105" s="1099"/>
      <c r="I3105" s="1099"/>
      <c r="J3105" s="934"/>
      <c r="K3105" s="934"/>
      <c r="L3105" s="933"/>
      <c r="M3105" s="1100"/>
      <c r="N3105" s="934"/>
      <c r="O3105" s="936"/>
      <c r="P3105" s="936"/>
      <c r="Q3105" s="933"/>
      <c r="T3105" s="1101"/>
      <c r="U3105" s="1102"/>
      <c r="V3105" s="936"/>
      <c r="W3105" s="1103"/>
      <c r="X3105" s="1104"/>
      <c r="Y3105" s="1105"/>
      <c r="Z3105" s="1103"/>
      <c r="AC3105" s="1106"/>
      <c r="AD3105" s="1107"/>
      <c r="AE3105" s="1104"/>
      <c r="AG3105" s="1109"/>
      <c r="AI3105" s="1110"/>
      <c r="AL3105" s="933"/>
      <c r="AM3105" s="933"/>
      <c r="AN3105" s="1100"/>
      <c r="AO3105" s="1100"/>
      <c r="AP3105" s="934"/>
      <c r="AQ3105" s="934"/>
      <c r="AR3105" s="934"/>
      <c r="AS3105" s="936"/>
      <c r="AT3105" s="936"/>
      <c r="AU3105" s="936"/>
      <c r="AV3105" s="937"/>
      <c r="AW3105" s="938"/>
      <c r="AX3105" s="939"/>
      <c r="AY3105" s="933"/>
      <c r="AZ3105" s="936"/>
      <c r="BA3105" s="936"/>
      <c r="BB3105" s="1112"/>
      <c r="BC3105" s="940"/>
      <c r="BD3105" s="941"/>
      <c r="BE3105" s="942"/>
      <c r="BF3105" s="943"/>
      <c r="BG3105" s="943"/>
      <c r="BH3105" s="943"/>
      <c r="BI3105" s="943"/>
      <c r="BJ3105" s="943"/>
      <c r="BK3105" s="943"/>
      <c r="BL3105" s="943"/>
      <c r="BM3105" s="943"/>
      <c r="BN3105" s="943"/>
      <c r="BO3105" s="1059"/>
      <c r="BP3105" s="1059"/>
      <c r="BQ3105" s="1059"/>
      <c r="BR3105" s="1059"/>
      <c r="BS3105" s="1059"/>
      <c r="BT3105" s="1059"/>
      <c r="BU3105" s="1059"/>
      <c r="BV3105" s="944"/>
      <c r="BW3105" s="944"/>
      <c r="BX3105" s="1147"/>
      <c r="BY3105" s="944"/>
      <c r="BZ3105" s="944"/>
      <c r="CA3105" s="944"/>
      <c r="CB3105" s="944"/>
    </row>
    <row r="3106" spans="2:80">
      <c r="B3106" s="1097"/>
      <c r="C3106" s="1097"/>
      <c r="D3106" s="1097"/>
      <c r="E3106" s="1097"/>
      <c r="F3106" s="934"/>
      <c r="G3106" s="1098"/>
      <c r="H3106" s="1099"/>
      <c r="I3106" s="1099"/>
      <c r="J3106" s="934"/>
      <c r="K3106" s="934"/>
      <c r="L3106" s="933"/>
      <c r="M3106" s="1100"/>
      <c r="N3106" s="934"/>
      <c r="O3106" s="936"/>
      <c r="P3106" s="936"/>
      <c r="Q3106" s="933"/>
      <c r="T3106" s="1101"/>
      <c r="U3106" s="1102"/>
      <c r="V3106" s="936"/>
      <c r="W3106" s="1103"/>
      <c r="X3106" s="1104"/>
      <c r="Y3106" s="1105"/>
      <c r="Z3106" s="1103"/>
      <c r="AC3106" s="1106"/>
      <c r="AD3106" s="1107"/>
      <c r="AE3106" s="1104"/>
      <c r="AG3106" s="1109"/>
      <c r="AI3106" s="1110"/>
      <c r="AL3106" s="933"/>
      <c r="AM3106" s="933"/>
      <c r="AN3106" s="1100"/>
      <c r="AO3106" s="1100"/>
      <c r="AP3106" s="934"/>
      <c r="AQ3106" s="934"/>
      <c r="AR3106" s="934"/>
      <c r="AS3106" s="936"/>
      <c r="AT3106" s="936"/>
      <c r="AU3106" s="936"/>
      <c r="AV3106" s="937"/>
      <c r="AW3106" s="938"/>
      <c r="AX3106" s="939"/>
      <c r="AY3106" s="933"/>
      <c r="AZ3106" s="936"/>
      <c r="BA3106" s="936"/>
      <c r="BB3106" s="1112"/>
      <c r="BC3106" s="940"/>
      <c r="BD3106" s="941"/>
      <c r="BE3106" s="942"/>
      <c r="BF3106" s="943"/>
      <c r="BG3106" s="943"/>
      <c r="BH3106" s="943"/>
      <c r="BI3106" s="943"/>
      <c r="BJ3106" s="943"/>
      <c r="BK3106" s="943"/>
      <c r="BL3106" s="943"/>
      <c r="BM3106" s="943"/>
      <c r="BN3106" s="943"/>
      <c r="BO3106" s="1059"/>
      <c r="BP3106" s="1059"/>
      <c r="BQ3106" s="1059"/>
      <c r="BR3106" s="1059"/>
      <c r="BS3106" s="1059"/>
      <c r="BT3106" s="1059"/>
      <c r="BU3106" s="1059"/>
      <c r="BV3106" s="944"/>
      <c r="BW3106" s="944"/>
      <c r="BX3106" s="1147"/>
      <c r="BY3106" s="944"/>
      <c r="BZ3106" s="944"/>
      <c r="CA3106" s="944"/>
      <c r="CB3106" s="944"/>
    </row>
    <row r="3107" spans="2:80">
      <c r="B3107" s="1097"/>
      <c r="C3107" s="1097"/>
      <c r="D3107" s="1097"/>
      <c r="E3107" s="1097"/>
      <c r="F3107" s="934"/>
      <c r="G3107" s="1098"/>
      <c r="H3107" s="1099"/>
      <c r="I3107" s="1099"/>
      <c r="J3107" s="934"/>
      <c r="K3107" s="934"/>
      <c r="L3107" s="933"/>
      <c r="M3107" s="1100"/>
      <c r="N3107" s="934"/>
      <c r="O3107" s="936"/>
      <c r="P3107" s="936"/>
      <c r="Q3107" s="933"/>
      <c r="T3107" s="1101"/>
      <c r="U3107" s="1102"/>
      <c r="V3107" s="936"/>
      <c r="W3107" s="1103"/>
      <c r="X3107" s="1104"/>
      <c r="Y3107" s="1105"/>
      <c r="Z3107" s="1103"/>
      <c r="AC3107" s="1106"/>
      <c r="AD3107" s="1107"/>
      <c r="AE3107" s="1104"/>
      <c r="AG3107" s="1109"/>
      <c r="AI3107" s="1110"/>
      <c r="AL3107" s="933"/>
      <c r="AM3107" s="933"/>
      <c r="AN3107" s="1100"/>
      <c r="AO3107" s="1100"/>
      <c r="AP3107" s="934"/>
      <c r="AQ3107" s="934"/>
      <c r="AR3107" s="934"/>
      <c r="AS3107" s="936"/>
      <c r="AT3107" s="936"/>
      <c r="AU3107" s="936"/>
      <c r="AV3107" s="937"/>
      <c r="AW3107" s="938"/>
      <c r="AX3107" s="939"/>
      <c r="AY3107" s="933"/>
      <c r="AZ3107" s="936"/>
      <c r="BA3107" s="936"/>
      <c r="BB3107" s="1112"/>
      <c r="BC3107" s="940"/>
      <c r="BD3107" s="941"/>
      <c r="BE3107" s="942"/>
      <c r="BF3107" s="943"/>
      <c r="BG3107" s="943"/>
      <c r="BH3107" s="943"/>
      <c r="BI3107" s="943"/>
      <c r="BJ3107" s="943"/>
      <c r="BK3107" s="943"/>
      <c r="BL3107" s="943"/>
      <c r="BM3107" s="943"/>
      <c r="BN3107" s="943"/>
      <c r="BO3107" s="1059"/>
      <c r="BP3107" s="1059"/>
      <c r="BQ3107" s="1059"/>
      <c r="BR3107" s="1059"/>
      <c r="BS3107" s="1059"/>
      <c r="BT3107" s="1059"/>
      <c r="BU3107" s="1059"/>
      <c r="BV3107" s="944"/>
      <c r="BW3107" s="944"/>
      <c r="BX3107" s="1147"/>
      <c r="BY3107" s="944"/>
      <c r="BZ3107" s="944"/>
      <c r="CA3107" s="944"/>
      <c r="CB3107" s="944"/>
    </row>
    <row r="3108" spans="2:80">
      <c r="B3108" s="1097"/>
      <c r="C3108" s="1097"/>
      <c r="D3108" s="1097"/>
      <c r="E3108" s="1097"/>
      <c r="F3108" s="934"/>
      <c r="G3108" s="1098"/>
      <c r="H3108" s="1099"/>
      <c r="I3108" s="1099"/>
      <c r="J3108" s="934"/>
      <c r="K3108" s="934"/>
      <c r="L3108" s="933"/>
      <c r="M3108" s="1100"/>
      <c r="N3108" s="934"/>
      <c r="O3108" s="936"/>
      <c r="P3108" s="936"/>
      <c r="Q3108" s="933"/>
      <c r="T3108" s="1101"/>
      <c r="U3108" s="1102"/>
      <c r="V3108" s="936"/>
      <c r="W3108" s="1103"/>
      <c r="X3108" s="1104"/>
      <c r="Y3108" s="1105"/>
      <c r="Z3108" s="1103"/>
      <c r="AC3108" s="1106"/>
      <c r="AD3108" s="1107"/>
      <c r="AE3108" s="1104"/>
      <c r="AG3108" s="1109"/>
      <c r="AI3108" s="1110"/>
      <c r="AL3108" s="933"/>
      <c r="AM3108" s="933"/>
      <c r="AN3108" s="1100"/>
      <c r="AO3108" s="1100"/>
      <c r="AP3108" s="934"/>
      <c r="AQ3108" s="934"/>
      <c r="AR3108" s="934"/>
      <c r="AS3108" s="936"/>
      <c r="AT3108" s="936"/>
      <c r="AU3108" s="936"/>
      <c r="AV3108" s="937"/>
      <c r="AW3108" s="938"/>
      <c r="AX3108" s="939"/>
      <c r="AY3108" s="933"/>
      <c r="AZ3108" s="936"/>
      <c r="BA3108" s="936"/>
      <c r="BB3108" s="1112"/>
      <c r="BC3108" s="940"/>
      <c r="BD3108" s="941"/>
      <c r="BE3108" s="942"/>
      <c r="BF3108" s="943"/>
      <c r="BG3108" s="943"/>
      <c r="BH3108" s="943"/>
      <c r="BI3108" s="943"/>
      <c r="BJ3108" s="943"/>
      <c r="BK3108" s="943"/>
      <c r="BL3108" s="943"/>
      <c r="BM3108" s="943"/>
      <c r="BN3108" s="943"/>
      <c r="BO3108" s="1059"/>
      <c r="BP3108" s="1059"/>
      <c r="BQ3108" s="1059"/>
      <c r="BR3108" s="1059"/>
      <c r="BS3108" s="1059"/>
      <c r="BT3108" s="1059"/>
      <c r="BU3108" s="1059"/>
      <c r="BV3108" s="944"/>
      <c r="BW3108" s="944"/>
      <c r="BX3108" s="1147"/>
      <c r="BY3108" s="944"/>
      <c r="BZ3108" s="944"/>
      <c r="CA3108" s="944"/>
      <c r="CB3108" s="944"/>
    </row>
    <row r="3109" spans="2:80">
      <c r="B3109" s="1097"/>
      <c r="C3109" s="1097"/>
      <c r="D3109" s="1097"/>
      <c r="E3109" s="1097"/>
      <c r="F3109" s="934"/>
      <c r="G3109" s="1098"/>
      <c r="H3109" s="1099"/>
      <c r="I3109" s="1099"/>
      <c r="J3109" s="934"/>
      <c r="K3109" s="934"/>
      <c r="L3109" s="933"/>
      <c r="M3109" s="1100"/>
      <c r="N3109" s="934"/>
      <c r="O3109" s="936"/>
      <c r="P3109" s="936"/>
      <c r="Q3109" s="933"/>
      <c r="T3109" s="1101"/>
      <c r="U3109" s="1102"/>
      <c r="V3109" s="936"/>
      <c r="W3109" s="1103"/>
      <c r="X3109" s="1104"/>
      <c r="Y3109" s="1105"/>
      <c r="Z3109" s="1103"/>
      <c r="AC3109" s="1106"/>
      <c r="AD3109" s="1107"/>
      <c r="AE3109" s="1104"/>
      <c r="AG3109" s="1109"/>
      <c r="AI3109" s="1110"/>
      <c r="AL3109" s="933"/>
      <c r="AM3109" s="933"/>
      <c r="AN3109" s="1100"/>
      <c r="AO3109" s="1100"/>
      <c r="AP3109" s="934"/>
      <c r="AQ3109" s="934"/>
      <c r="AR3109" s="934"/>
      <c r="AS3109" s="936"/>
      <c r="AT3109" s="936"/>
      <c r="AU3109" s="936"/>
      <c r="AV3109" s="937"/>
      <c r="AW3109" s="938"/>
      <c r="AX3109" s="939"/>
      <c r="AY3109" s="933"/>
      <c r="AZ3109" s="936"/>
      <c r="BA3109" s="936"/>
      <c r="BB3109" s="1112"/>
      <c r="BC3109" s="940"/>
      <c r="BD3109" s="941"/>
      <c r="BE3109" s="942"/>
      <c r="BF3109" s="943"/>
      <c r="BG3109" s="943"/>
      <c r="BH3109" s="943"/>
      <c r="BI3109" s="943"/>
      <c r="BJ3109" s="943"/>
      <c r="BK3109" s="943"/>
      <c r="BL3109" s="943"/>
      <c r="BM3109" s="943"/>
      <c r="BN3109" s="943"/>
      <c r="BO3109" s="1059"/>
      <c r="BP3109" s="1059"/>
      <c r="BQ3109" s="1059"/>
      <c r="BR3109" s="1059"/>
      <c r="BS3109" s="1059"/>
      <c r="BT3109" s="1059"/>
      <c r="BU3109" s="1059"/>
      <c r="BV3109" s="944"/>
      <c r="BW3109" s="944"/>
      <c r="BX3109" s="1147"/>
      <c r="BY3109" s="944"/>
      <c r="BZ3109" s="944"/>
      <c r="CA3109" s="944"/>
      <c r="CB3109" s="944"/>
    </row>
    <row r="3110" spans="2:80">
      <c r="B3110" s="1097"/>
      <c r="C3110" s="1097"/>
      <c r="D3110" s="1097"/>
      <c r="E3110" s="1097"/>
      <c r="F3110" s="934"/>
      <c r="G3110" s="1098"/>
      <c r="H3110" s="1099"/>
      <c r="I3110" s="1099"/>
      <c r="J3110" s="934"/>
      <c r="K3110" s="934"/>
      <c r="L3110" s="933"/>
      <c r="M3110" s="1100"/>
      <c r="N3110" s="934"/>
      <c r="O3110" s="936"/>
      <c r="P3110" s="936"/>
      <c r="Q3110" s="933"/>
      <c r="T3110" s="1101"/>
      <c r="U3110" s="1102"/>
      <c r="V3110" s="936"/>
      <c r="W3110" s="1103"/>
      <c r="X3110" s="1104"/>
      <c r="Y3110" s="1105"/>
      <c r="Z3110" s="1103"/>
      <c r="AC3110" s="1106"/>
      <c r="AD3110" s="1107"/>
      <c r="AE3110" s="1104"/>
      <c r="AG3110" s="1109"/>
      <c r="AI3110" s="1110"/>
      <c r="AL3110" s="933"/>
      <c r="AM3110" s="933"/>
      <c r="AN3110" s="1100"/>
      <c r="AO3110" s="1100"/>
      <c r="AP3110" s="934"/>
      <c r="AQ3110" s="934"/>
      <c r="AR3110" s="934"/>
      <c r="AS3110" s="936"/>
      <c r="AT3110" s="936"/>
      <c r="AU3110" s="936"/>
      <c r="AV3110" s="937"/>
      <c r="AW3110" s="938"/>
      <c r="AX3110" s="939"/>
      <c r="AY3110" s="933"/>
      <c r="AZ3110" s="936"/>
      <c r="BA3110" s="936"/>
      <c r="BB3110" s="1112"/>
      <c r="BC3110" s="940"/>
      <c r="BD3110" s="941"/>
      <c r="BE3110" s="942"/>
      <c r="BF3110" s="943"/>
      <c r="BG3110" s="943"/>
      <c r="BH3110" s="943"/>
      <c r="BI3110" s="943"/>
      <c r="BJ3110" s="943"/>
      <c r="BK3110" s="943"/>
      <c r="BL3110" s="943"/>
      <c r="BM3110" s="943"/>
      <c r="BN3110" s="943"/>
      <c r="BO3110" s="1059"/>
      <c r="BP3110" s="1059"/>
      <c r="BQ3110" s="1059"/>
      <c r="BR3110" s="1059"/>
      <c r="BS3110" s="1059"/>
      <c r="BT3110" s="1059"/>
      <c r="BU3110" s="1059"/>
      <c r="BV3110" s="944"/>
      <c r="BW3110" s="944"/>
      <c r="BX3110" s="1147"/>
      <c r="BY3110" s="944"/>
      <c r="BZ3110" s="944"/>
      <c r="CA3110" s="944"/>
      <c r="CB3110" s="944"/>
    </row>
    <row r="3111" spans="2:80">
      <c r="B3111" s="1097"/>
      <c r="C3111" s="1097"/>
      <c r="D3111" s="1097"/>
      <c r="E3111" s="1097"/>
      <c r="F3111" s="934"/>
      <c r="G3111" s="1098"/>
      <c r="H3111" s="1099"/>
      <c r="I3111" s="1099"/>
      <c r="J3111" s="934"/>
      <c r="K3111" s="934"/>
      <c r="L3111" s="933"/>
      <c r="M3111" s="1100"/>
      <c r="N3111" s="934"/>
      <c r="O3111" s="936"/>
      <c r="P3111" s="936"/>
      <c r="Q3111" s="933"/>
      <c r="T3111" s="1101"/>
      <c r="U3111" s="1102"/>
      <c r="V3111" s="936"/>
      <c r="W3111" s="1103"/>
      <c r="X3111" s="1104"/>
      <c r="Y3111" s="1105"/>
      <c r="Z3111" s="1103"/>
      <c r="AC3111" s="1106"/>
      <c r="AD3111" s="1107"/>
      <c r="AE3111" s="1104"/>
      <c r="AG3111" s="1109"/>
      <c r="AI3111" s="1110"/>
      <c r="AL3111" s="933"/>
      <c r="AM3111" s="933"/>
      <c r="AN3111" s="1100"/>
      <c r="AO3111" s="1100"/>
      <c r="AP3111" s="934"/>
      <c r="AQ3111" s="934"/>
      <c r="AR3111" s="934"/>
      <c r="AS3111" s="936"/>
      <c r="AT3111" s="936"/>
      <c r="AU3111" s="936"/>
      <c r="AV3111" s="937"/>
      <c r="AW3111" s="938"/>
      <c r="AX3111" s="939"/>
      <c r="AY3111" s="933"/>
      <c r="AZ3111" s="936"/>
      <c r="BA3111" s="936"/>
      <c r="BB3111" s="1112"/>
      <c r="BC3111" s="940"/>
      <c r="BD3111" s="941"/>
      <c r="BE3111" s="942"/>
      <c r="BF3111" s="943"/>
      <c r="BG3111" s="943"/>
      <c r="BH3111" s="943"/>
      <c r="BI3111" s="943"/>
      <c r="BJ3111" s="943"/>
      <c r="BK3111" s="943"/>
      <c r="BL3111" s="943"/>
      <c r="BM3111" s="943"/>
      <c r="BN3111" s="943"/>
      <c r="BO3111" s="1059"/>
      <c r="BP3111" s="1059"/>
      <c r="BQ3111" s="1059"/>
      <c r="BR3111" s="1059"/>
      <c r="BS3111" s="1059"/>
      <c r="BT3111" s="1059"/>
      <c r="BU3111" s="1059"/>
      <c r="BV3111" s="944"/>
      <c r="BW3111" s="944"/>
      <c r="BX3111" s="1147"/>
      <c r="BY3111" s="944"/>
      <c r="BZ3111" s="944"/>
      <c r="CA3111" s="944"/>
      <c r="CB3111" s="944"/>
    </row>
    <row r="3112" spans="2:80">
      <c r="B3112" s="1097"/>
      <c r="C3112" s="1097"/>
      <c r="D3112" s="1097"/>
      <c r="E3112" s="1097"/>
      <c r="F3112" s="934"/>
      <c r="G3112" s="1098"/>
      <c r="H3112" s="1099"/>
      <c r="I3112" s="1099"/>
      <c r="J3112" s="934"/>
      <c r="K3112" s="934"/>
      <c r="L3112" s="933"/>
      <c r="M3112" s="1100"/>
      <c r="N3112" s="934"/>
      <c r="O3112" s="936"/>
      <c r="P3112" s="936"/>
      <c r="Q3112" s="933"/>
      <c r="T3112" s="1101"/>
      <c r="U3112" s="1102"/>
      <c r="V3112" s="936"/>
      <c r="W3112" s="1103"/>
      <c r="X3112" s="1104"/>
      <c r="Y3112" s="1105"/>
      <c r="Z3112" s="1103"/>
      <c r="AC3112" s="1106"/>
      <c r="AD3112" s="1107"/>
      <c r="AE3112" s="1104"/>
      <c r="AG3112" s="1109"/>
      <c r="AI3112" s="1110"/>
      <c r="AL3112" s="933"/>
      <c r="AM3112" s="933"/>
      <c r="AN3112" s="1100"/>
      <c r="AO3112" s="1100"/>
      <c r="AP3112" s="934"/>
      <c r="AQ3112" s="934"/>
      <c r="AR3112" s="934"/>
      <c r="AS3112" s="936"/>
      <c r="AT3112" s="936"/>
      <c r="AU3112" s="936"/>
      <c r="AV3112" s="937"/>
      <c r="AW3112" s="938"/>
      <c r="AX3112" s="939"/>
      <c r="AY3112" s="933"/>
      <c r="AZ3112" s="936"/>
      <c r="BA3112" s="936"/>
      <c r="BB3112" s="1112"/>
      <c r="BC3112" s="940"/>
      <c r="BD3112" s="941"/>
      <c r="BE3112" s="942"/>
      <c r="BF3112" s="943"/>
      <c r="BG3112" s="943"/>
      <c r="BH3112" s="943"/>
      <c r="BI3112" s="943"/>
      <c r="BJ3112" s="943"/>
      <c r="BK3112" s="943"/>
      <c r="BL3112" s="943"/>
      <c r="BM3112" s="943"/>
      <c r="BN3112" s="943"/>
      <c r="BO3112" s="1059"/>
      <c r="BP3112" s="1059"/>
      <c r="BQ3112" s="1059"/>
      <c r="BR3112" s="1059"/>
      <c r="BS3112" s="1059"/>
      <c r="BT3112" s="1059"/>
      <c r="BU3112" s="1059"/>
      <c r="BV3112" s="944"/>
      <c r="BW3112" s="944"/>
      <c r="BX3112" s="1147"/>
      <c r="BY3112" s="944"/>
      <c r="BZ3112" s="944"/>
      <c r="CA3112" s="944"/>
      <c r="CB3112" s="944"/>
    </row>
    <row r="3113" spans="2:80">
      <c r="B3113" s="1097"/>
      <c r="C3113" s="1097"/>
      <c r="D3113" s="1097"/>
      <c r="E3113" s="1097"/>
      <c r="F3113" s="934"/>
      <c r="G3113" s="1098"/>
      <c r="H3113" s="1099"/>
      <c r="I3113" s="1099"/>
      <c r="J3113" s="934"/>
      <c r="K3113" s="934"/>
      <c r="L3113" s="933"/>
      <c r="M3113" s="1100"/>
      <c r="N3113" s="934"/>
      <c r="O3113" s="936"/>
      <c r="P3113" s="936"/>
      <c r="Q3113" s="933"/>
      <c r="T3113" s="1101"/>
      <c r="U3113" s="1102"/>
      <c r="V3113" s="936"/>
      <c r="W3113" s="1103"/>
      <c r="X3113" s="1104"/>
      <c r="Y3113" s="1105"/>
      <c r="Z3113" s="1103"/>
      <c r="AC3113" s="1106"/>
      <c r="AD3113" s="1107"/>
      <c r="AE3113" s="1104"/>
      <c r="AG3113" s="1109"/>
      <c r="AI3113" s="1110"/>
      <c r="AL3113" s="933"/>
      <c r="AM3113" s="933"/>
      <c r="AN3113" s="1100"/>
      <c r="AO3113" s="1100"/>
      <c r="AP3113" s="934"/>
      <c r="AQ3113" s="934"/>
      <c r="AR3113" s="934"/>
      <c r="AS3113" s="936"/>
      <c r="AT3113" s="936"/>
      <c r="AU3113" s="936"/>
      <c r="AV3113" s="937"/>
      <c r="AW3113" s="938"/>
      <c r="AX3113" s="939"/>
      <c r="AY3113" s="933"/>
      <c r="AZ3113" s="936"/>
      <c r="BA3113" s="936"/>
      <c r="BB3113" s="1112"/>
      <c r="BC3113" s="940"/>
      <c r="BD3113" s="941"/>
      <c r="BE3113" s="942"/>
      <c r="BF3113" s="943"/>
      <c r="BG3113" s="943"/>
      <c r="BH3113" s="943"/>
      <c r="BI3113" s="943"/>
      <c r="BJ3113" s="943"/>
      <c r="BK3113" s="943"/>
      <c r="BL3113" s="943"/>
      <c r="BM3113" s="943"/>
      <c r="BN3113" s="943"/>
      <c r="BO3113" s="1059"/>
      <c r="BP3113" s="1059"/>
      <c r="BQ3113" s="1059"/>
      <c r="BR3113" s="1059"/>
      <c r="BS3113" s="1059"/>
      <c r="BT3113" s="1059"/>
      <c r="BU3113" s="1059"/>
      <c r="BV3113" s="944"/>
      <c r="BW3113" s="944"/>
      <c r="BX3113" s="1147"/>
      <c r="BY3113" s="944"/>
      <c r="BZ3113" s="944"/>
      <c r="CA3113" s="944"/>
      <c r="CB3113" s="944"/>
    </row>
    <row r="3114" spans="2:80">
      <c r="B3114" s="1097"/>
      <c r="C3114" s="1097"/>
      <c r="D3114" s="1097"/>
      <c r="E3114" s="1097"/>
      <c r="F3114" s="934"/>
      <c r="G3114" s="1098"/>
      <c r="H3114" s="1099"/>
      <c r="I3114" s="1099"/>
      <c r="J3114" s="934"/>
      <c r="K3114" s="934"/>
      <c r="L3114" s="933"/>
      <c r="M3114" s="1100"/>
      <c r="N3114" s="934"/>
      <c r="O3114" s="936"/>
      <c r="P3114" s="936"/>
      <c r="Q3114" s="933"/>
      <c r="T3114" s="1101"/>
      <c r="U3114" s="1102"/>
      <c r="V3114" s="936"/>
      <c r="W3114" s="1103"/>
      <c r="X3114" s="1104"/>
      <c r="Y3114" s="1105"/>
      <c r="Z3114" s="1103"/>
      <c r="AC3114" s="1106"/>
      <c r="AD3114" s="1107"/>
      <c r="AE3114" s="1104"/>
      <c r="AG3114" s="1109"/>
      <c r="AI3114" s="1110"/>
      <c r="AL3114" s="933"/>
      <c r="AM3114" s="933"/>
      <c r="AN3114" s="1100"/>
      <c r="AO3114" s="1100"/>
      <c r="AP3114" s="934"/>
      <c r="AQ3114" s="934"/>
      <c r="AR3114" s="934"/>
      <c r="AS3114" s="936"/>
      <c r="AT3114" s="936"/>
      <c r="AU3114" s="936"/>
      <c r="AV3114" s="937"/>
      <c r="AW3114" s="938"/>
      <c r="AX3114" s="939"/>
      <c r="AY3114" s="933"/>
      <c r="AZ3114" s="936"/>
      <c r="BA3114" s="936"/>
      <c r="BB3114" s="1112"/>
      <c r="BC3114" s="940"/>
      <c r="BD3114" s="941"/>
      <c r="BE3114" s="942"/>
      <c r="BF3114" s="943"/>
      <c r="BG3114" s="943"/>
      <c r="BH3114" s="943"/>
      <c r="BI3114" s="943"/>
      <c r="BJ3114" s="943"/>
      <c r="BK3114" s="943"/>
      <c r="BL3114" s="943"/>
      <c r="BM3114" s="943"/>
      <c r="BN3114" s="943"/>
      <c r="BO3114" s="1059"/>
      <c r="BP3114" s="1059"/>
      <c r="BQ3114" s="1059"/>
      <c r="BR3114" s="1059"/>
      <c r="BS3114" s="1059"/>
      <c r="BT3114" s="1059"/>
      <c r="BU3114" s="1059"/>
      <c r="BV3114" s="944"/>
      <c r="BW3114" s="944"/>
      <c r="BX3114" s="1147"/>
      <c r="BY3114" s="944"/>
      <c r="BZ3114" s="944"/>
      <c r="CA3114" s="944"/>
      <c r="CB3114" s="944"/>
    </row>
    <row r="3115" spans="2:80">
      <c r="B3115" s="1097"/>
      <c r="C3115" s="1097"/>
      <c r="D3115" s="1097"/>
      <c r="E3115" s="1097"/>
      <c r="F3115" s="934"/>
      <c r="G3115" s="1098"/>
      <c r="H3115" s="1099"/>
      <c r="I3115" s="1099"/>
      <c r="J3115" s="934"/>
      <c r="K3115" s="934"/>
      <c r="L3115" s="933"/>
      <c r="M3115" s="1100"/>
      <c r="N3115" s="934"/>
      <c r="O3115" s="936"/>
      <c r="P3115" s="936"/>
      <c r="Q3115" s="933"/>
      <c r="T3115" s="1101"/>
      <c r="U3115" s="1102"/>
      <c r="V3115" s="936"/>
      <c r="W3115" s="1103"/>
      <c r="X3115" s="1104"/>
      <c r="Y3115" s="1105"/>
      <c r="Z3115" s="1103"/>
      <c r="AC3115" s="1106"/>
      <c r="AD3115" s="1107"/>
      <c r="AE3115" s="1104"/>
      <c r="AG3115" s="1109"/>
      <c r="AI3115" s="1110"/>
      <c r="AL3115" s="933"/>
      <c r="AM3115" s="933"/>
      <c r="AN3115" s="1100"/>
      <c r="AO3115" s="1100"/>
      <c r="AP3115" s="934"/>
      <c r="AQ3115" s="934"/>
      <c r="AR3115" s="934"/>
      <c r="AS3115" s="936"/>
      <c r="AT3115" s="936"/>
      <c r="AU3115" s="936"/>
      <c r="AV3115" s="937"/>
      <c r="AW3115" s="938"/>
      <c r="AX3115" s="939"/>
      <c r="AY3115" s="933"/>
      <c r="AZ3115" s="936"/>
      <c r="BA3115" s="936"/>
      <c r="BB3115" s="1112"/>
      <c r="BC3115" s="940"/>
      <c r="BD3115" s="941"/>
      <c r="BE3115" s="942"/>
      <c r="BF3115" s="943"/>
      <c r="BG3115" s="943"/>
      <c r="BH3115" s="943"/>
      <c r="BI3115" s="943"/>
      <c r="BJ3115" s="943"/>
      <c r="BK3115" s="943"/>
      <c r="BL3115" s="943"/>
      <c r="BM3115" s="943"/>
      <c r="BN3115" s="943"/>
      <c r="BO3115" s="1059"/>
      <c r="BP3115" s="1059"/>
      <c r="BQ3115" s="1059"/>
      <c r="BR3115" s="1059"/>
      <c r="BS3115" s="1059"/>
      <c r="BT3115" s="1059"/>
      <c r="BU3115" s="1059"/>
      <c r="BV3115" s="944"/>
      <c r="BW3115" s="944"/>
      <c r="BX3115" s="1147"/>
      <c r="BY3115" s="944"/>
      <c r="BZ3115" s="944"/>
      <c r="CA3115" s="944"/>
      <c r="CB3115" s="944"/>
    </row>
    <row r="3116" spans="2:80">
      <c r="B3116" s="1097"/>
      <c r="C3116" s="1097"/>
      <c r="D3116" s="1097"/>
      <c r="E3116" s="1097"/>
      <c r="F3116" s="934"/>
      <c r="G3116" s="1098"/>
      <c r="H3116" s="1099"/>
      <c r="I3116" s="1099"/>
      <c r="J3116" s="934"/>
      <c r="K3116" s="934"/>
      <c r="L3116" s="933"/>
      <c r="M3116" s="1100"/>
      <c r="N3116" s="934"/>
      <c r="O3116" s="936"/>
      <c r="P3116" s="936"/>
      <c r="Q3116" s="933"/>
      <c r="T3116" s="1101"/>
      <c r="U3116" s="1102"/>
      <c r="V3116" s="936"/>
      <c r="W3116" s="1103"/>
      <c r="X3116" s="1104"/>
      <c r="Y3116" s="1105"/>
      <c r="Z3116" s="1103"/>
      <c r="AC3116" s="1106"/>
      <c r="AD3116" s="1107"/>
      <c r="AE3116" s="1104"/>
      <c r="AG3116" s="1109"/>
      <c r="AI3116" s="1110"/>
      <c r="AL3116" s="933"/>
      <c r="AM3116" s="933"/>
      <c r="AN3116" s="1100"/>
      <c r="AO3116" s="1100"/>
      <c r="AP3116" s="934"/>
      <c r="AQ3116" s="934"/>
      <c r="AR3116" s="934"/>
      <c r="AS3116" s="936"/>
      <c r="AT3116" s="936"/>
      <c r="AU3116" s="936"/>
      <c r="AV3116" s="937"/>
      <c r="AW3116" s="938"/>
      <c r="AX3116" s="939"/>
      <c r="AY3116" s="933"/>
      <c r="AZ3116" s="936"/>
      <c r="BA3116" s="936"/>
      <c r="BB3116" s="1112"/>
      <c r="BC3116" s="940"/>
      <c r="BD3116" s="941"/>
      <c r="BE3116" s="942"/>
      <c r="BF3116" s="943"/>
      <c r="BG3116" s="943"/>
      <c r="BH3116" s="943"/>
      <c r="BI3116" s="943"/>
      <c r="BJ3116" s="943"/>
      <c r="BK3116" s="943"/>
      <c r="BL3116" s="943"/>
      <c r="BM3116" s="943"/>
      <c r="BN3116" s="943"/>
      <c r="BO3116" s="1059"/>
      <c r="BP3116" s="1059"/>
      <c r="BQ3116" s="1059"/>
      <c r="BR3116" s="1059"/>
      <c r="BS3116" s="1059"/>
      <c r="BT3116" s="1059"/>
      <c r="BU3116" s="1059"/>
      <c r="BV3116" s="944"/>
      <c r="BW3116" s="944"/>
      <c r="BX3116" s="1147"/>
      <c r="BY3116" s="944"/>
      <c r="BZ3116" s="944"/>
      <c r="CA3116" s="944"/>
      <c r="CB3116" s="944"/>
    </row>
    <row r="3117" spans="2:80">
      <c r="B3117" s="1097"/>
      <c r="C3117" s="1097"/>
      <c r="D3117" s="1097"/>
      <c r="E3117" s="1097"/>
      <c r="F3117" s="934"/>
      <c r="G3117" s="1098"/>
      <c r="H3117" s="1099"/>
      <c r="I3117" s="1099"/>
      <c r="J3117" s="934"/>
      <c r="K3117" s="934"/>
      <c r="L3117" s="933"/>
      <c r="M3117" s="1100"/>
      <c r="N3117" s="934"/>
      <c r="O3117" s="936"/>
      <c r="P3117" s="936"/>
      <c r="Q3117" s="933"/>
      <c r="T3117" s="1101"/>
      <c r="U3117" s="1102"/>
      <c r="V3117" s="936"/>
      <c r="W3117" s="1103"/>
      <c r="X3117" s="1104"/>
      <c r="Y3117" s="1105"/>
      <c r="Z3117" s="1103"/>
      <c r="AC3117" s="1106"/>
      <c r="AD3117" s="1107"/>
      <c r="AE3117" s="1104"/>
      <c r="AG3117" s="1109"/>
      <c r="AI3117" s="1110"/>
      <c r="AL3117" s="933"/>
      <c r="AM3117" s="933"/>
      <c r="AN3117" s="1100"/>
      <c r="AO3117" s="1100"/>
      <c r="AP3117" s="934"/>
      <c r="AQ3117" s="934"/>
      <c r="AR3117" s="934"/>
      <c r="AS3117" s="936"/>
      <c r="AT3117" s="936"/>
      <c r="AU3117" s="936"/>
      <c r="AV3117" s="937"/>
      <c r="AW3117" s="938"/>
      <c r="AX3117" s="939"/>
      <c r="AY3117" s="933"/>
      <c r="AZ3117" s="936"/>
      <c r="BA3117" s="936"/>
      <c r="BB3117" s="1112"/>
      <c r="BC3117" s="940"/>
      <c r="BD3117" s="941"/>
      <c r="BE3117" s="942"/>
      <c r="BF3117" s="943"/>
      <c r="BG3117" s="943"/>
      <c r="BH3117" s="943"/>
      <c r="BI3117" s="943"/>
      <c r="BJ3117" s="943"/>
      <c r="BK3117" s="943"/>
      <c r="BL3117" s="943"/>
      <c r="BM3117" s="943"/>
      <c r="BN3117" s="943"/>
      <c r="BO3117" s="1059"/>
      <c r="BP3117" s="1059"/>
      <c r="BQ3117" s="1059"/>
      <c r="BR3117" s="1059"/>
      <c r="BS3117" s="1059"/>
      <c r="BT3117" s="1059"/>
      <c r="BU3117" s="1059"/>
      <c r="BV3117" s="944"/>
      <c r="BW3117" s="944"/>
      <c r="BX3117" s="1147"/>
      <c r="BY3117" s="944"/>
      <c r="BZ3117" s="944"/>
      <c r="CA3117" s="944"/>
      <c r="CB3117" s="944"/>
    </row>
    <row r="3118" spans="2:80">
      <c r="B3118" s="1097"/>
      <c r="C3118" s="1097"/>
      <c r="D3118" s="1097"/>
      <c r="E3118" s="1097"/>
      <c r="F3118" s="934"/>
      <c r="G3118" s="1098"/>
      <c r="H3118" s="1099"/>
      <c r="I3118" s="1099"/>
      <c r="J3118" s="934"/>
      <c r="K3118" s="934"/>
      <c r="L3118" s="933"/>
      <c r="M3118" s="1100"/>
      <c r="N3118" s="934"/>
      <c r="O3118" s="936"/>
      <c r="P3118" s="936"/>
      <c r="Q3118" s="933"/>
      <c r="T3118" s="1101"/>
      <c r="U3118" s="1102"/>
      <c r="V3118" s="936"/>
      <c r="W3118" s="1103"/>
      <c r="X3118" s="1104"/>
      <c r="Y3118" s="1105"/>
      <c r="Z3118" s="1103"/>
      <c r="AC3118" s="1106"/>
      <c r="AD3118" s="1107"/>
      <c r="AE3118" s="1104"/>
      <c r="AG3118" s="1109"/>
      <c r="AI3118" s="1110"/>
      <c r="AL3118" s="933"/>
      <c r="AM3118" s="933"/>
      <c r="AN3118" s="1100"/>
      <c r="AO3118" s="1100"/>
      <c r="AP3118" s="934"/>
      <c r="AQ3118" s="934"/>
      <c r="AR3118" s="934"/>
      <c r="AS3118" s="936"/>
      <c r="AT3118" s="936"/>
      <c r="AU3118" s="936"/>
      <c r="AV3118" s="937"/>
      <c r="AW3118" s="938"/>
      <c r="AX3118" s="939"/>
      <c r="AY3118" s="933"/>
      <c r="AZ3118" s="936"/>
      <c r="BA3118" s="936"/>
      <c r="BB3118" s="1112"/>
      <c r="BC3118" s="940"/>
      <c r="BD3118" s="941"/>
      <c r="BE3118" s="942"/>
      <c r="BF3118" s="943"/>
      <c r="BG3118" s="943"/>
      <c r="BH3118" s="943"/>
      <c r="BI3118" s="943"/>
      <c r="BJ3118" s="943"/>
      <c r="BK3118" s="943"/>
      <c r="BL3118" s="943"/>
      <c r="BM3118" s="943"/>
      <c r="BN3118" s="943"/>
      <c r="BO3118" s="1059"/>
      <c r="BP3118" s="1059"/>
      <c r="BQ3118" s="1059"/>
      <c r="BR3118" s="1059"/>
      <c r="BS3118" s="1059"/>
      <c r="BT3118" s="1059"/>
      <c r="BU3118" s="1059"/>
      <c r="BV3118" s="944"/>
      <c r="BW3118" s="944"/>
      <c r="BX3118" s="1147"/>
      <c r="BY3118" s="944"/>
      <c r="BZ3118" s="944"/>
      <c r="CA3118" s="944"/>
      <c r="CB3118" s="944"/>
    </row>
    <row r="3119" spans="2:80">
      <c r="B3119" s="1097"/>
      <c r="C3119" s="1097"/>
      <c r="D3119" s="1097"/>
      <c r="E3119" s="1097"/>
      <c r="F3119" s="934"/>
      <c r="G3119" s="1098"/>
      <c r="H3119" s="1099"/>
      <c r="I3119" s="1099"/>
      <c r="J3119" s="934"/>
      <c r="K3119" s="934"/>
      <c r="L3119" s="933"/>
      <c r="M3119" s="1100"/>
      <c r="N3119" s="934"/>
      <c r="O3119" s="936"/>
      <c r="P3119" s="936"/>
      <c r="Q3119" s="933"/>
      <c r="T3119" s="1101"/>
      <c r="U3119" s="1102"/>
      <c r="V3119" s="936"/>
      <c r="W3119" s="1103"/>
      <c r="X3119" s="1104"/>
      <c r="Y3119" s="1105"/>
      <c r="Z3119" s="1103"/>
      <c r="AC3119" s="1106"/>
      <c r="AD3119" s="1107"/>
      <c r="AE3119" s="1104"/>
      <c r="AG3119" s="1109"/>
      <c r="AI3119" s="1110"/>
      <c r="AL3119" s="933"/>
      <c r="AM3119" s="933"/>
      <c r="AN3119" s="1100"/>
      <c r="AO3119" s="1100"/>
      <c r="AP3119" s="934"/>
      <c r="AQ3119" s="934"/>
      <c r="AR3119" s="934"/>
      <c r="AS3119" s="936"/>
      <c r="AT3119" s="936"/>
      <c r="AU3119" s="936"/>
      <c r="AV3119" s="937"/>
      <c r="AW3119" s="938"/>
      <c r="AX3119" s="939"/>
      <c r="AY3119" s="933"/>
      <c r="AZ3119" s="936"/>
      <c r="BA3119" s="936"/>
      <c r="BB3119" s="1112"/>
      <c r="BC3119" s="940"/>
      <c r="BD3119" s="941"/>
      <c r="BE3119" s="942"/>
      <c r="BF3119" s="943"/>
      <c r="BG3119" s="943"/>
      <c r="BH3119" s="943"/>
      <c r="BI3119" s="943"/>
      <c r="BJ3119" s="943"/>
      <c r="BK3119" s="943"/>
      <c r="BL3119" s="943"/>
      <c r="BM3119" s="943"/>
      <c r="BN3119" s="943"/>
      <c r="BO3119" s="1059"/>
      <c r="BP3119" s="1059"/>
      <c r="BQ3119" s="1059"/>
      <c r="BR3119" s="1059"/>
      <c r="BS3119" s="1059"/>
      <c r="BT3119" s="1059"/>
      <c r="BU3119" s="1059"/>
      <c r="BV3119" s="944"/>
      <c r="BW3119" s="944"/>
      <c r="BX3119" s="1147"/>
      <c r="BY3119" s="944"/>
      <c r="BZ3119" s="944"/>
      <c r="CA3119" s="944"/>
      <c r="CB3119" s="944"/>
    </row>
    <row r="3120" spans="2:80">
      <c r="B3120" s="1097"/>
      <c r="C3120" s="1097"/>
      <c r="D3120" s="1097"/>
      <c r="E3120" s="1097"/>
      <c r="F3120" s="934"/>
      <c r="G3120" s="1098"/>
      <c r="H3120" s="1099"/>
      <c r="I3120" s="1099"/>
      <c r="J3120" s="934"/>
      <c r="K3120" s="934"/>
      <c r="L3120" s="933"/>
      <c r="M3120" s="1100"/>
      <c r="N3120" s="934"/>
      <c r="O3120" s="936"/>
      <c r="P3120" s="936"/>
      <c r="Q3120" s="933"/>
      <c r="T3120" s="1101"/>
      <c r="U3120" s="1102"/>
      <c r="V3120" s="936"/>
      <c r="W3120" s="1103"/>
      <c r="X3120" s="1104"/>
      <c r="Y3120" s="1105"/>
      <c r="Z3120" s="1103"/>
      <c r="AC3120" s="1106"/>
      <c r="AD3120" s="1107"/>
      <c r="AE3120" s="1104"/>
      <c r="AG3120" s="1109"/>
      <c r="AI3120" s="1110"/>
      <c r="AL3120" s="933"/>
      <c r="AM3120" s="933"/>
      <c r="AN3120" s="1100"/>
      <c r="AO3120" s="1100"/>
      <c r="AP3120" s="934"/>
      <c r="AQ3120" s="934"/>
      <c r="AR3120" s="934"/>
      <c r="AS3120" s="936"/>
      <c r="AT3120" s="936"/>
      <c r="AU3120" s="936"/>
      <c r="AV3120" s="937"/>
      <c r="AW3120" s="938"/>
      <c r="AX3120" s="939"/>
      <c r="AY3120" s="933"/>
      <c r="AZ3120" s="936"/>
      <c r="BA3120" s="936"/>
      <c r="BB3120" s="1112"/>
      <c r="BC3120" s="940"/>
      <c r="BD3120" s="941"/>
      <c r="BE3120" s="942"/>
      <c r="BF3120" s="943"/>
      <c r="BG3120" s="943"/>
      <c r="BH3120" s="943"/>
      <c r="BI3120" s="943"/>
      <c r="BJ3120" s="943"/>
      <c r="BK3120" s="943"/>
      <c r="BL3120" s="943"/>
      <c r="BM3120" s="943"/>
      <c r="BN3120" s="943"/>
      <c r="BO3120" s="1059"/>
      <c r="BP3120" s="1059"/>
      <c r="BQ3120" s="1059"/>
      <c r="BR3120" s="1059"/>
      <c r="BS3120" s="1059"/>
      <c r="BT3120" s="1059"/>
      <c r="BU3120" s="1059"/>
      <c r="BV3120" s="944"/>
      <c r="BW3120" s="944"/>
      <c r="BX3120" s="1147"/>
      <c r="BY3120" s="944"/>
      <c r="BZ3120" s="944"/>
      <c r="CA3120" s="944"/>
      <c r="CB3120" s="944"/>
    </row>
    <row r="3121" spans="2:80">
      <c r="B3121" s="1097"/>
      <c r="C3121" s="1097"/>
      <c r="D3121" s="1097"/>
      <c r="E3121" s="1097"/>
      <c r="F3121" s="934"/>
      <c r="G3121" s="1098"/>
      <c r="H3121" s="1099"/>
      <c r="I3121" s="1099"/>
      <c r="J3121" s="934"/>
      <c r="K3121" s="934"/>
      <c r="L3121" s="933"/>
      <c r="M3121" s="1100"/>
      <c r="N3121" s="934"/>
      <c r="O3121" s="936"/>
      <c r="P3121" s="936"/>
      <c r="Q3121" s="933"/>
      <c r="T3121" s="1101"/>
      <c r="U3121" s="1102"/>
      <c r="V3121" s="936"/>
      <c r="W3121" s="1103"/>
      <c r="X3121" s="1104"/>
      <c r="Y3121" s="1105"/>
      <c r="Z3121" s="1103"/>
      <c r="AC3121" s="1106"/>
      <c r="AD3121" s="1107"/>
      <c r="AE3121" s="1104"/>
      <c r="AG3121" s="1109"/>
      <c r="AI3121" s="1110"/>
      <c r="AL3121" s="933"/>
      <c r="AM3121" s="933"/>
      <c r="AN3121" s="1100"/>
      <c r="AO3121" s="1100"/>
      <c r="AP3121" s="934"/>
      <c r="AQ3121" s="934"/>
      <c r="AR3121" s="934"/>
      <c r="AS3121" s="936"/>
      <c r="AT3121" s="936"/>
      <c r="AU3121" s="936"/>
      <c r="AV3121" s="937"/>
      <c r="AW3121" s="938"/>
      <c r="AX3121" s="939"/>
      <c r="AY3121" s="933"/>
      <c r="AZ3121" s="936"/>
      <c r="BA3121" s="936"/>
      <c r="BB3121" s="1112"/>
      <c r="BC3121" s="940"/>
      <c r="BD3121" s="941"/>
      <c r="BE3121" s="942"/>
      <c r="BF3121" s="943"/>
      <c r="BG3121" s="943"/>
      <c r="BH3121" s="943"/>
      <c r="BI3121" s="943"/>
      <c r="BJ3121" s="943"/>
      <c r="BK3121" s="943"/>
      <c r="BL3121" s="943"/>
      <c r="BM3121" s="943"/>
      <c r="BN3121" s="943"/>
      <c r="BO3121" s="1059"/>
      <c r="BP3121" s="1059"/>
      <c r="BQ3121" s="1059"/>
      <c r="BR3121" s="1059"/>
      <c r="BS3121" s="1059"/>
      <c r="BT3121" s="1059"/>
      <c r="BU3121" s="1059"/>
      <c r="BV3121" s="944"/>
      <c r="BW3121" s="944"/>
      <c r="BX3121" s="1147"/>
      <c r="BY3121" s="944"/>
      <c r="BZ3121" s="944"/>
      <c r="CA3121" s="944"/>
      <c r="CB3121" s="944"/>
    </row>
    <row r="3122" spans="2:80">
      <c r="B3122" s="1097"/>
      <c r="C3122" s="1097"/>
      <c r="D3122" s="1097"/>
      <c r="E3122" s="1097"/>
      <c r="F3122" s="934"/>
      <c r="G3122" s="1098"/>
      <c r="H3122" s="1099"/>
      <c r="I3122" s="1099"/>
      <c r="J3122" s="934"/>
      <c r="K3122" s="934"/>
      <c r="L3122" s="933"/>
      <c r="M3122" s="1100"/>
      <c r="N3122" s="934"/>
      <c r="O3122" s="936"/>
      <c r="P3122" s="936"/>
      <c r="Q3122" s="933"/>
      <c r="T3122" s="1101"/>
      <c r="U3122" s="1102"/>
      <c r="V3122" s="936"/>
      <c r="W3122" s="1103"/>
      <c r="X3122" s="1104"/>
      <c r="Y3122" s="1105"/>
      <c r="Z3122" s="1103"/>
      <c r="AC3122" s="1106"/>
      <c r="AD3122" s="1107"/>
      <c r="AE3122" s="1104"/>
      <c r="AG3122" s="1109"/>
      <c r="AI3122" s="1110"/>
      <c r="AL3122" s="933"/>
      <c r="AM3122" s="933"/>
      <c r="AN3122" s="1100"/>
      <c r="AO3122" s="1100"/>
      <c r="AP3122" s="934"/>
      <c r="AQ3122" s="934"/>
      <c r="AR3122" s="934"/>
      <c r="AS3122" s="936"/>
      <c r="AT3122" s="936"/>
      <c r="AU3122" s="936"/>
      <c r="AV3122" s="937"/>
      <c r="AW3122" s="938"/>
      <c r="AX3122" s="939"/>
      <c r="AY3122" s="933"/>
      <c r="AZ3122" s="936"/>
      <c r="BA3122" s="936"/>
      <c r="BB3122" s="1112"/>
      <c r="BC3122" s="940"/>
      <c r="BD3122" s="941"/>
      <c r="BE3122" s="942"/>
      <c r="BF3122" s="943"/>
      <c r="BG3122" s="943"/>
      <c r="BH3122" s="943"/>
      <c r="BI3122" s="943"/>
      <c r="BJ3122" s="943"/>
      <c r="BK3122" s="943"/>
      <c r="BL3122" s="943"/>
      <c r="BM3122" s="943"/>
      <c r="BN3122" s="943"/>
      <c r="BO3122" s="1059"/>
      <c r="BP3122" s="1059"/>
      <c r="BQ3122" s="1059"/>
      <c r="BR3122" s="1059"/>
      <c r="BS3122" s="1059"/>
      <c r="BT3122" s="1059"/>
      <c r="BU3122" s="1059"/>
      <c r="BV3122" s="944"/>
      <c r="BW3122" s="944"/>
      <c r="BX3122" s="1147"/>
      <c r="BY3122" s="944"/>
      <c r="BZ3122" s="944"/>
      <c r="CA3122" s="944"/>
      <c r="CB3122" s="944"/>
    </row>
    <row r="3123" spans="2:80">
      <c r="B3123" s="1097"/>
      <c r="C3123" s="1097"/>
      <c r="D3123" s="1097"/>
      <c r="E3123" s="1097"/>
      <c r="F3123" s="934"/>
      <c r="G3123" s="1098"/>
      <c r="H3123" s="1099"/>
      <c r="I3123" s="1099"/>
      <c r="J3123" s="934"/>
      <c r="K3123" s="934"/>
      <c r="L3123" s="933"/>
      <c r="M3123" s="1100"/>
      <c r="N3123" s="934"/>
      <c r="O3123" s="936"/>
      <c r="P3123" s="936"/>
      <c r="Q3123" s="933"/>
      <c r="T3123" s="1101"/>
      <c r="U3123" s="1102"/>
      <c r="V3123" s="936"/>
      <c r="W3123" s="1103"/>
      <c r="X3123" s="1104"/>
      <c r="Y3123" s="1105"/>
      <c r="Z3123" s="1103"/>
      <c r="AC3123" s="1106"/>
      <c r="AD3123" s="1107"/>
      <c r="AE3123" s="1104"/>
      <c r="AG3123" s="1109"/>
      <c r="AI3123" s="1110"/>
      <c r="AL3123" s="933"/>
      <c r="AM3123" s="933"/>
      <c r="AN3123" s="1100"/>
      <c r="AO3123" s="1100"/>
      <c r="AP3123" s="934"/>
      <c r="AQ3123" s="934"/>
      <c r="AR3123" s="934"/>
      <c r="AS3123" s="936"/>
      <c r="AT3123" s="936"/>
      <c r="AU3123" s="936"/>
      <c r="AV3123" s="937"/>
      <c r="AW3123" s="938"/>
      <c r="AX3123" s="939"/>
      <c r="AY3123" s="933"/>
      <c r="AZ3123" s="936"/>
      <c r="BA3123" s="936"/>
      <c r="BB3123" s="1112"/>
      <c r="BC3123" s="940"/>
      <c r="BD3123" s="941"/>
      <c r="BE3123" s="942"/>
      <c r="BF3123" s="943"/>
      <c r="BG3123" s="943"/>
      <c r="BH3123" s="943"/>
      <c r="BI3123" s="943"/>
      <c r="BJ3123" s="943"/>
      <c r="BK3123" s="943"/>
      <c r="BL3123" s="943"/>
      <c r="BM3123" s="943"/>
      <c r="BN3123" s="943"/>
      <c r="BO3123" s="1059"/>
      <c r="BP3123" s="1059"/>
      <c r="BQ3123" s="1059"/>
      <c r="BR3123" s="1059"/>
      <c r="BS3123" s="1059"/>
      <c r="BT3123" s="1059"/>
      <c r="BU3123" s="1059"/>
      <c r="BV3123" s="944"/>
      <c r="BW3123" s="944"/>
      <c r="BX3123" s="1147"/>
      <c r="BY3123" s="944"/>
      <c r="BZ3123" s="944"/>
      <c r="CA3123" s="944"/>
      <c r="CB3123" s="944"/>
    </row>
    <row r="3124" spans="2:80">
      <c r="B3124" s="1097"/>
      <c r="C3124" s="1097"/>
      <c r="D3124" s="1097"/>
      <c r="E3124" s="1097"/>
      <c r="F3124" s="934"/>
      <c r="G3124" s="1098"/>
      <c r="H3124" s="1099"/>
      <c r="I3124" s="1099"/>
      <c r="J3124" s="934"/>
      <c r="K3124" s="934"/>
      <c r="L3124" s="933"/>
      <c r="M3124" s="1100"/>
      <c r="N3124" s="934"/>
      <c r="O3124" s="936"/>
      <c r="P3124" s="936"/>
      <c r="Q3124" s="933"/>
      <c r="T3124" s="1101"/>
      <c r="U3124" s="1102"/>
      <c r="V3124" s="936"/>
      <c r="W3124" s="1103"/>
      <c r="X3124" s="1104"/>
      <c r="Y3124" s="1105"/>
      <c r="Z3124" s="1103"/>
      <c r="AC3124" s="1106"/>
      <c r="AD3124" s="1107"/>
      <c r="AE3124" s="1104"/>
      <c r="AG3124" s="1109"/>
      <c r="AI3124" s="1110"/>
      <c r="AL3124" s="933"/>
      <c r="AM3124" s="933"/>
      <c r="AN3124" s="1100"/>
      <c r="AO3124" s="1100"/>
      <c r="AP3124" s="934"/>
      <c r="AQ3124" s="934"/>
      <c r="AR3124" s="934"/>
      <c r="AS3124" s="936"/>
      <c r="AT3124" s="936"/>
      <c r="AU3124" s="936"/>
      <c r="AV3124" s="937"/>
      <c r="AW3124" s="938"/>
      <c r="AX3124" s="939"/>
      <c r="AY3124" s="933"/>
      <c r="AZ3124" s="936"/>
      <c r="BA3124" s="936"/>
      <c r="BB3124" s="1112"/>
      <c r="BC3124" s="940"/>
      <c r="BD3124" s="941"/>
      <c r="BE3124" s="942"/>
      <c r="BF3124" s="943"/>
      <c r="BG3124" s="943"/>
      <c r="BH3124" s="943"/>
      <c r="BI3124" s="943"/>
      <c r="BJ3124" s="943"/>
      <c r="BK3124" s="943"/>
      <c r="BL3124" s="943"/>
      <c r="BM3124" s="943"/>
      <c r="BN3124" s="943"/>
      <c r="BO3124" s="1059"/>
      <c r="BP3124" s="1059"/>
      <c r="BQ3124" s="1059"/>
      <c r="BR3124" s="1059"/>
      <c r="BS3124" s="1059"/>
      <c r="BT3124" s="1059"/>
      <c r="BU3124" s="1059"/>
      <c r="BV3124" s="944"/>
      <c r="BW3124" s="944"/>
      <c r="BX3124" s="1147"/>
      <c r="BY3124" s="944"/>
      <c r="BZ3124" s="944"/>
      <c r="CA3124" s="944"/>
      <c r="CB3124" s="944"/>
    </row>
    <row r="3125" spans="2:80">
      <c r="B3125" s="1097"/>
      <c r="C3125" s="1097"/>
      <c r="D3125" s="1097"/>
      <c r="E3125" s="1097"/>
      <c r="F3125" s="934"/>
      <c r="G3125" s="1098"/>
      <c r="H3125" s="1099"/>
      <c r="I3125" s="1099"/>
      <c r="J3125" s="934"/>
      <c r="K3125" s="934"/>
      <c r="L3125" s="933"/>
      <c r="M3125" s="1100"/>
      <c r="N3125" s="934"/>
      <c r="O3125" s="936"/>
      <c r="P3125" s="936"/>
      <c r="Q3125" s="933"/>
      <c r="T3125" s="1101"/>
      <c r="U3125" s="1102"/>
      <c r="V3125" s="936"/>
      <c r="W3125" s="1103"/>
      <c r="X3125" s="1104"/>
      <c r="Y3125" s="1105"/>
      <c r="Z3125" s="1103"/>
      <c r="AC3125" s="1106"/>
      <c r="AD3125" s="1107"/>
      <c r="AE3125" s="1104"/>
      <c r="AG3125" s="1109"/>
      <c r="AI3125" s="1110"/>
      <c r="AL3125" s="933"/>
      <c r="AM3125" s="933"/>
      <c r="AN3125" s="1100"/>
      <c r="AO3125" s="1100"/>
      <c r="AP3125" s="934"/>
      <c r="AQ3125" s="934"/>
      <c r="AR3125" s="934"/>
      <c r="AS3125" s="936"/>
      <c r="AT3125" s="936"/>
      <c r="AU3125" s="936"/>
      <c r="AV3125" s="937"/>
      <c r="AW3125" s="938"/>
      <c r="AX3125" s="939"/>
      <c r="AY3125" s="933"/>
      <c r="AZ3125" s="936"/>
      <c r="BA3125" s="936"/>
      <c r="BB3125" s="1112"/>
      <c r="BC3125" s="940"/>
      <c r="BD3125" s="941"/>
      <c r="BE3125" s="942"/>
      <c r="BF3125" s="943"/>
      <c r="BG3125" s="943"/>
      <c r="BH3125" s="943"/>
      <c r="BI3125" s="943"/>
      <c r="BJ3125" s="943"/>
      <c r="BK3125" s="943"/>
      <c r="BL3125" s="943"/>
      <c r="BM3125" s="943"/>
      <c r="BN3125" s="943"/>
      <c r="BO3125" s="1059"/>
      <c r="BP3125" s="1059"/>
      <c r="BQ3125" s="1059"/>
      <c r="BR3125" s="1059"/>
      <c r="BS3125" s="1059"/>
      <c r="BT3125" s="1059"/>
      <c r="BU3125" s="1059"/>
      <c r="BV3125" s="944"/>
      <c r="BW3125" s="944"/>
      <c r="BX3125" s="1147"/>
      <c r="BY3125" s="944"/>
      <c r="BZ3125" s="944"/>
      <c r="CA3125" s="944"/>
      <c r="CB3125" s="944"/>
    </row>
    <row r="3126" spans="2:80">
      <c r="B3126" s="1097"/>
      <c r="C3126" s="1097"/>
      <c r="D3126" s="1097"/>
      <c r="E3126" s="1097"/>
      <c r="F3126" s="934"/>
      <c r="G3126" s="1098"/>
      <c r="H3126" s="1099"/>
      <c r="I3126" s="1099"/>
      <c r="J3126" s="934"/>
      <c r="K3126" s="934"/>
      <c r="L3126" s="933"/>
      <c r="M3126" s="1100"/>
      <c r="N3126" s="934"/>
      <c r="O3126" s="936"/>
      <c r="P3126" s="936"/>
      <c r="Q3126" s="933"/>
      <c r="T3126" s="1101"/>
      <c r="U3126" s="1102"/>
      <c r="V3126" s="936"/>
      <c r="W3126" s="1103"/>
      <c r="X3126" s="1104"/>
      <c r="Y3126" s="1105"/>
      <c r="Z3126" s="1103"/>
      <c r="AC3126" s="1106"/>
      <c r="AD3126" s="1107"/>
      <c r="AE3126" s="1104"/>
      <c r="AG3126" s="1109"/>
      <c r="AI3126" s="1110"/>
      <c r="AL3126" s="933"/>
      <c r="AM3126" s="933"/>
      <c r="AN3126" s="1100"/>
      <c r="AO3126" s="1100"/>
      <c r="AP3126" s="934"/>
      <c r="AQ3126" s="934"/>
      <c r="AR3126" s="934"/>
      <c r="AS3126" s="936"/>
      <c r="AT3126" s="936"/>
      <c r="AU3126" s="936"/>
      <c r="AV3126" s="937"/>
      <c r="AW3126" s="938"/>
      <c r="AX3126" s="939"/>
      <c r="AY3126" s="933"/>
      <c r="AZ3126" s="936"/>
      <c r="BA3126" s="936"/>
      <c r="BB3126" s="1112"/>
      <c r="BC3126" s="940"/>
      <c r="BD3126" s="941"/>
      <c r="BE3126" s="942"/>
      <c r="BF3126" s="943"/>
      <c r="BG3126" s="943"/>
      <c r="BH3126" s="943"/>
      <c r="BI3126" s="943"/>
      <c r="BJ3126" s="943"/>
      <c r="BK3126" s="943"/>
      <c r="BL3126" s="943"/>
      <c r="BM3126" s="943"/>
      <c r="BN3126" s="943"/>
      <c r="BO3126" s="1059"/>
      <c r="BP3126" s="1059"/>
      <c r="BQ3126" s="1059"/>
      <c r="BR3126" s="1059"/>
      <c r="BS3126" s="1059"/>
      <c r="BT3126" s="1059"/>
      <c r="BU3126" s="1059"/>
      <c r="BV3126" s="944"/>
      <c r="BW3126" s="944"/>
      <c r="BX3126" s="1147"/>
      <c r="BY3126" s="944"/>
      <c r="BZ3126" s="944"/>
      <c r="CA3126" s="944"/>
      <c r="CB3126" s="944"/>
    </row>
    <row r="3127" spans="2:80">
      <c r="B3127" s="1097"/>
      <c r="C3127" s="1097"/>
      <c r="D3127" s="1097"/>
      <c r="E3127" s="1097"/>
      <c r="F3127" s="934"/>
      <c r="G3127" s="1098"/>
      <c r="H3127" s="1099"/>
      <c r="I3127" s="1099"/>
      <c r="J3127" s="934"/>
      <c r="K3127" s="934"/>
      <c r="L3127" s="933"/>
      <c r="M3127" s="1100"/>
      <c r="N3127" s="934"/>
      <c r="O3127" s="936"/>
      <c r="P3127" s="936"/>
      <c r="Q3127" s="933"/>
      <c r="T3127" s="1101"/>
      <c r="U3127" s="1102"/>
      <c r="V3127" s="936"/>
      <c r="W3127" s="1103"/>
      <c r="X3127" s="1104"/>
      <c r="Y3127" s="1105"/>
      <c r="Z3127" s="1103"/>
      <c r="AC3127" s="1106"/>
      <c r="AD3127" s="1107"/>
      <c r="AE3127" s="1104"/>
      <c r="AG3127" s="1109"/>
      <c r="AI3127" s="1110"/>
      <c r="AL3127" s="933"/>
      <c r="AM3127" s="933"/>
      <c r="AN3127" s="1100"/>
      <c r="AO3127" s="1100"/>
      <c r="AP3127" s="934"/>
      <c r="AQ3127" s="934"/>
      <c r="AR3127" s="934"/>
      <c r="AS3127" s="936"/>
      <c r="AT3127" s="936"/>
      <c r="AU3127" s="936"/>
      <c r="AV3127" s="937"/>
      <c r="AW3127" s="938"/>
      <c r="AX3127" s="939"/>
      <c r="AY3127" s="933"/>
      <c r="AZ3127" s="936"/>
      <c r="BA3127" s="936"/>
      <c r="BB3127" s="1112"/>
      <c r="BC3127" s="940"/>
      <c r="BD3127" s="941"/>
      <c r="BE3127" s="942"/>
      <c r="BF3127" s="943"/>
      <c r="BG3127" s="943"/>
      <c r="BH3127" s="943"/>
      <c r="BI3127" s="943"/>
      <c r="BJ3127" s="943"/>
      <c r="BK3127" s="943"/>
      <c r="BL3127" s="943"/>
      <c r="BM3127" s="943"/>
      <c r="BN3127" s="943"/>
      <c r="BO3127" s="1059"/>
      <c r="BP3127" s="1059"/>
      <c r="BQ3127" s="1059"/>
      <c r="BR3127" s="1059"/>
      <c r="BS3127" s="1059"/>
      <c r="BT3127" s="1059"/>
      <c r="BU3127" s="1059"/>
      <c r="BV3127" s="944"/>
      <c r="BW3127" s="944"/>
      <c r="BX3127" s="1147"/>
      <c r="BY3127" s="944"/>
      <c r="BZ3127" s="944"/>
      <c r="CA3127" s="944"/>
      <c r="CB3127" s="944"/>
    </row>
    <row r="3128" spans="2:80">
      <c r="B3128" s="1097"/>
      <c r="C3128" s="1097"/>
      <c r="D3128" s="1097"/>
      <c r="E3128" s="1097"/>
      <c r="F3128" s="934"/>
      <c r="G3128" s="1098"/>
      <c r="H3128" s="1099"/>
      <c r="I3128" s="1099"/>
      <c r="J3128" s="934"/>
      <c r="K3128" s="934"/>
      <c r="L3128" s="933"/>
      <c r="M3128" s="1100"/>
      <c r="N3128" s="934"/>
      <c r="O3128" s="936"/>
      <c r="P3128" s="936"/>
      <c r="Q3128" s="933"/>
      <c r="T3128" s="1101"/>
      <c r="U3128" s="1102"/>
      <c r="V3128" s="936"/>
      <c r="W3128" s="1103"/>
      <c r="X3128" s="1104"/>
      <c r="Y3128" s="1105"/>
      <c r="Z3128" s="1103"/>
      <c r="AC3128" s="1106"/>
      <c r="AD3128" s="1107"/>
      <c r="AE3128" s="1104"/>
      <c r="AG3128" s="1109"/>
      <c r="AI3128" s="1110"/>
      <c r="AL3128" s="933"/>
      <c r="AM3128" s="933"/>
      <c r="AN3128" s="1100"/>
      <c r="AO3128" s="1100"/>
      <c r="AP3128" s="934"/>
      <c r="AQ3128" s="934"/>
      <c r="AR3128" s="934"/>
      <c r="AS3128" s="936"/>
      <c r="AT3128" s="936"/>
      <c r="AU3128" s="936"/>
      <c r="AV3128" s="937"/>
      <c r="AW3128" s="938"/>
      <c r="AX3128" s="939"/>
      <c r="AY3128" s="933"/>
      <c r="AZ3128" s="936"/>
      <c r="BA3128" s="936"/>
      <c r="BB3128" s="1112"/>
      <c r="BC3128" s="940"/>
      <c r="BD3128" s="941"/>
      <c r="BE3128" s="942"/>
      <c r="BF3128" s="943"/>
      <c r="BG3128" s="943"/>
      <c r="BH3128" s="943"/>
      <c r="BI3128" s="943"/>
      <c r="BJ3128" s="943"/>
      <c r="BK3128" s="943"/>
      <c r="BL3128" s="943"/>
      <c r="BM3128" s="943"/>
      <c r="BN3128" s="943"/>
      <c r="BO3128" s="1059"/>
      <c r="BP3128" s="1059"/>
      <c r="BQ3128" s="1059"/>
      <c r="BR3128" s="1059"/>
      <c r="BS3128" s="1059"/>
      <c r="BT3128" s="1059"/>
      <c r="BU3128" s="1059"/>
      <c r="BV3128" s="944"/>
      <c r="BW3128" s="944"/>
      <c r="BX3128" s="1147"/>
      <c r="BY3128" s="944"/>
      <c r="BZ3128" s="944"/>
      <c r="CA3128" s="944"/>
      <c r="CB3128" s="944"/>
    </row>
    <row r="3129" spans="2:80">
      <c r="B3129" s="1097"/>
      <c r="C3129" s="1097"/>
      <c r="D3129" s="1097"/>
      <c r="E3129" s="1097"/>
      <c r="F3129" s="934"/>
      <c r="G3129" s="1098"/>
      <c r="H3129" s="1099"/>
      <c r="I3129" s="1099"/>
      <c r="J3129" s="934"/>
      <c r="K3129" s="934"/>
      <c r="L3129" s="933"/>
      <c r="M3129" s="1100"/>
      <c r="N3129" s="934"/>
      <c r="O3129" s="936"/>
      <c r="P3129" s="936"/>
      <c r="Q3129" s="933"/>
      <c r="T3129" s="1101"/>
      <c r="U3129" s="1102"/>
      <c r="V3129" s="936"/>
      <c r="W3129" s="1103"/>
      <c r="X3129" s="1104"/>
      <c r="Y3129" s="1105"/>
      <c r="Z3129" s="1103"/>
      <c r="AC3129" s="1106"/>
      <c r="AD3129" s="1107"/>
      <c r="AE3129" s="1104"/>
      <c r="AG3129" s="1109"/>
      <c r="AI3129" s="1110"/>
      <c r="AL3129" s="933"/>
      <c r="AM3129" s="933"/>
      <c r="AN3129" s="1100"/>
      <c r="AO3129" s="1100"/>
      <c r="AP3129" s="934"/>
      <c r="AQ3129" s="934"/>
      <c r="AR3129" s="934"/>
      <c r="AS3129" s="936"/>
      <c r="AT3129" s="936"/>
      <c r="AU3129" s="936"/>
      <c r="AV3129" s="937"/>
      <c r="AW3129" s="938"/>
      <c r="AX3129" s="939"/>
      <c r="AY3129" s="933"/>
      <c r="AZ3129" s="936"/>
      <c r="BA3129" s="936"/>
      <c r="BB3129" s="1112"/>
      <c r="BC3129" s="940"/>
      <c r="BD3129" s="941"/>
      <c r="BE3129" s="942"/>
      <c r="BF3129" s="943"/>
      <c r="BG3129" s="943"/>
      <c r="BH3129" s="943"/>
      <c r="BI3129" s="943"/>
      <c r="BJ3129" s="943"/>
      <c r="BK3129" s="943"/>
      <c r="BL3129" s="943"/>
      <c r="BM3129" s="943"/>
      <c r="BN3129" s="943"/>
      <c r="BO3129" s="1059"/>
      <c r="BP3129" s="1059"/>
      <c r="BQ3129" s="1059"/>
      <c r="BR3129" s="1059"/>
      <c r="BS3129" s="1059"/>
      <c r="BT3129" s="1059"/>
      <c r="BU3129" s="1059"/>
      <c r="BV3129" s="944"/>
      <c r="BW3129" s="944"/>
      <c r="BX3129" s="1147"/>
      <c r="BY3129" s="944"/>
      <c r="BZ3129" s="944"/>
      <c r="CA3129" s="944"/>
      <c r="CB3129" s="944"/>
    </row>
    <row r="3130" spans="2:80">
      <c r="B3130" s="1097"/>
      <c r="C3130" s="1097"/>
      <c r="D3130" s="1097"/>
      <c r="E3130" s="1097"/>
      <c r="F3130" s="934"/>
      <c r="G3130" s="1098"/>
      <c r="H3130" s="1099"/>
      <c r="I3130" s="1099"/>
      <c r="J3130" s="934"/>
      <c r="K3130" s="934"/>
      <c r="L3130" s="933"/>
      <c r="M3130" s="1100"/>
      <c r="N3130" s="934"/>
      <c r="O3130" s="936"/>
      <c r="P3130" s="936"/>
      <c r="Q3130" s="933"/>
      <c r="T3130" s="1101"/>
      <c r="U3130" s="1102"/>
      <c r="V3130" s="936"/>
      <c r="W3130" s="1103"/>
      <c r="X3130" s="1104"/>
      <c r="Y3130" s="1105"/>
      <c r="Z3130" s="1103"/>
      <c r="AC3130" s="1106"/>
      <c r="AD3130" s="1107"/>
      <c r="AE3130" s="1104"/>
      <c r="AG3130" s="1109"/>
      <c r="AI3130" s="1110"/>
      <c r="AL3130" s="933"/>
      <c r="AM3130" s="933"/>
      <c r="AN3130" s="1100"/>
      <c r="AO3130" s="1100"/>
      <c r="AP3130" s="934"/>
      <c r="AQ3130" s="934"/>
      <c r="AR3130" s="934"/>
      <c r="AS3130" s="936"/>
      <c r="AT3130" s="936"/>
      <c r="AU3130" s="936"/>
      <c r="AV3130" s="937"/>
      <c r="AW3130" s="938"/>
      <c r="AX3130" s="939"/>
      <c r="AY3130" s="933"/>
      <c r="AZ3130" s="936"/>
      <c r="BA3130" s="936"/>
      <c r="BB3130" s="1112"/>
      <c r="BC3130" s="940"/>
      <c r="BD3130" s="941"/>
      <c r="BE3130" s="942"/>
      <c r="BF3130" s="943"/>
      <c r="BG3130" s="943"/>
      <c r="BH3130" s="943"/>
      <c r="BI3130" s="943"/>
      <c r="BJ3130" s="943"/>
      <c r="BK3130" s="943"/>
      <c r="BL3130" s="943"/>
      <c r="BM3130" s="943"/>
      <c r="BN3130" s="943"/>
      <c r="BO3130" s="1059"/>
      <c r="BP3130" s="1059"/>
      <c r="BQ3130" s="1059"/>
      <c r="BR3130" s="1059"/>
      <c r="BS3130" s="1059"/>
      <c r="BT3130" s="1059"/>
      <c r="BU3130" s="1059"/>
      <c r="BV3130" s="944"/>
      <c r="BW3130" s="944"/>
      <c r="BX3130" s="1147"/>
      <c r="BY3130" s="944"/>
      <c r="BZ3130" s="944"/>
      <c r="CA3130" s="944"/>
      <c r="CB3130" s="944"/>
    </row>
    <row r="3131" spans="2:80">
      <c r="B3131" s="1097"/>
      <c r="C3131" s="1097"/>
      <c r="D3131" s="1097"/>
      <c r="E3131" s="1097"/>
      <c r="F3131" s="934"/>
      <c r="G3131" s="1098"/>
      <c r="H3131" s="1099"/>
      <c r="I3131" s="1099"/>
      <c r="J3131" s="934"/>
      <c r="K3131" s="934"/>
      <c r="L3131" s="933"/>
      <c r="M3131" s="1100"/>
      <c r="N3131" s="934"/>
      <c r="O3131" s="936"/>
      <c r="P3131" s="936"/>
      <c r="Q3131" s="933"/>
      <c r="T3131" s="1101"/>
      <c r="U3131" s="1102"/>
      <c r="V3131" s="936"/>
      <c r="W3131" s="1103"/>
      <c r="X3131" s="1104"/>
      <c r="Y3131" s="1105"/>
      <c r="Z3131" s="1103"/>
      <c r="AC3131" s="1106"/>
      <c r="AD3131" s="1107"/>
      <c r="AE3131" s="1104"/>
      <c r="AG3131" s="1109"/>
      <c r="AI3131" s="1110"/>
      <c r="AL3131" s="933"/>
      <c r="AM3131" s="933"/>
      <c r="AN3131" s="1100"/>
      <c r="AO3131" s="1100"/>
      <c r="AP3131" s="934"/>
      <c r="AQ3131" s="934"/>
      <c r="AR3131" s="934"/>
      <c r="AS3131" s="936"/>
      <c r="AT3131" s="936"/>
      <c r="AU3131" s="936"/>
      <c r="AV3131" s="937"/>
      <c r="AW3131" s="938"/>
      <c r="AX3131" s="939"/>
      <c r="AY3131" s="933"/>
      <c r="AZ3131" s="936"/>
      <c r="BA3131" s="936"/>
      <c r="BB3131" s="1112"/>
      <c r="BC3131" s="940"/>
      <c r="BD3131" s="941"/>
      <c r="BE3131" s="942"/>
      <c r="BF3131" s="943"/>
      <c r="BG3131" s="943"/>
      <c r="BH3131" s="943"/>
      <c r="BI3131" s="943"/>
      <c r="BJ3131" s="943"/>
      <c r="BK3131" s="943"/>
      <c r="BL3131" s="943"/>
      <c r="BM3131" s="943"/>
      <c r="BN3131" s="943"/>
      <c r="BO3131" s="1059"/>
      <c r="BP3131" s="1059"/>
      <c r="BQ3131" s="1059"/>
      <c r="BR3131" s="1059"/>
      <c r="BS3131" s="1059"/>
      <c r="BT3131" s="1059"/>
      <c r="BU3131" s="1059"/>
      <c r="BV3131" s="944"/>
      <c r="BW3131" s="944"/>
      <c r="BX3131" s="1147"/>
      <c r="BY3131" s="944"/>
      <c r="BZ3131" s="944"/>
      <c r="CA3131" s="944"/>
      <c r="CB3131" s="944"/>
    </row>
    <row r="3132" spans="2:80">
      <c r="B3132" s="1097"/>
      <c r="C3132" s="1097"/>
      <c r="D3132" s="1097"/>
      <c r="E3132" s="1097"/>
      <c r="F3132" s="934"/>
      <c r="G3132" s="1098"/>
      <c r="H3132" s="1099"/>
      <c r="I3132" s="1099"/>
      <c r="J3132" s="934"/>
      <c r="K3132" s="934"/>
      <c r="L3132" s="933"/>
      <c r="M3132" s="1100"/>
      <c r="N3132" s="934"/>
      <c r="O3132" s="936"/>
      <c r="P3132" s="936"/>
      <c r="Q3132" s="933"/>
      <c r="T3132" s="1101"/>
      <c r="U3132" s="1102"/>
      <c r="V3132" s="936"/>
      <c r="W3132" s="1103"/>
      <c r="X3132" s="1104"/>
      <c r="Y3132" s="1105"/>
      <c r="Z3132" s="1103"/>
      <c r="AC3132" s="1106"/>
      <c r="AD3132" s="1107"/>
      <c r="AE3132" s="1104"/>
      <c r="AG3132" s="1109"/>
      <c r="AI3132" s="1110"/>
      <c r="AL3132" s="933"/>
      <c r="AM3132" s="933"/>
      <c r="AN3132" s="1100"/>
      <c r="AO3132" s="1100"/>
      <c r="AP3132" s="934"/>
      <c r="AQ3132" s="934"/>
      <c r="AR3132" s="934"/>
      <c r="AS3132" s="936"/>
      <c r="AT3132" s="936"/>
      <c r="AU3132" s="936"/>
      <c r="AV3132" s="937"/>
      <c r="AW3132" s="938"/>
      <c r="AX3132" s="939"/>
      <c r="AY3132" s="933"/>
      <c r="AZ3132" s="936"/>
      <c r="BA3132" s="936"/>
      <c r="BB3132" s="1112"/>
      <c r="BC3132" s="940"/>
      <c r="BD3132" s="941"/>
      <c r="BE3132" s="942"/>
      <c r="BF3132" s="943"/>
      <c r="BG3132" s="943"/>
      <c r="BH3132" s="943"/>
      <c r="BI3132" s="943"/>
      <c r="BJ3132" s="943"/>
      <c r="BK3132" s="943"/>
      <c r="BL3132" s="943"/>
      <c r="BM3132" s="943"/>
      <c r="BN3132" s="943"/>
      <c r="BO3132" s="1059"/>
      <c r="BP3132" s="1059"/>
      <c r="BQ3132" s="1059"/>
      <c r="BR3132" s="1059"/>
      <c r="BS3132" s="1059"/>
      <c r="BT3132" s="1059"/>
      <c r="BU3132" s="1059"/>
      <c r="BV3132" s="944"/>
      <c r="BW3132" s="944"/>
      <c r="BX3132" s="1147"/>
      <c r="BY3132" s="944"/>
      <c r="BZ3132" s="944"/>
      <c r="CA3132" s="944"/>
      <c r="CB3132" s="944"/>
    </row>
    <row r="3133" spans="2:80">
      <c r="B3133" s="1097"/>
      <c r="C3133" s="1097"/>
      <c r="D3133" s="1097"/>
      <c r="E3133" s="1097"/>
      <c r="F3133" s="934"/>
      <c r="G3133" s="1098"/>
      <c r="H3133" s="1099"/>
      <c r="I3133" s="1099"/>
      <c r="J3133" s="934"/>
      <c r="K3133" s="934"/>
      <c r="L3133" s="933"/>
      <c r="M3133" s="1100"/>
      <c r="N3133" s="934"/>
      <c r="O3133" s="936"/>
      <c r="P3133" s="936"/>
      <c r="Q3133" s="933"/>
      <c r="T3133" s="1101"/>
      <c r="U3133" s="1102"/>
      <c r="V3133" s="936"/>
      <c r="W3133" s="1103"/>
      <c r="X3133" s="1104"/>
      <c r="Y3133" s="1105"/>
      <c r="Z3133" s="1103"/>
      <c r="AC3133" s="1106"/>
      <c r="AD3133" s="1107"/>
      <c r="AE3133" s="1104"/>
      <c r="AG3133" s="1109"/>
      <c r="AI3133" s="1110"/>
      <c r="AL3133" s="933"/>
      <c r="AM3133" s="933"/>
      <c r="AN3133" s="1100"/>
      <c r="AO3133" s="1100"/>
      <c r="AP3133" s="934"/>
      <c r="AQ3133" s="934"/>
      <c r="AR3133" s="934"/>
      <c r="AS3133" s="936"/>
      <c r="AT3133" s="936"/>
      <c r="AU3133" s="936"/>
      <c r="AV3133" s="937"/>
      <c r="AW3133" s="938"/>
      <c r="AX3133" s="939"/>
      <c r="AY3133" s="933"/>
      <c r="AZ3133" s="936"/>
      <c r="BA3133" s="936"/>
      <c r="BB3133" s="1112"/>
      <c r="BC3133" s="940"/>
      <c r="BD3133" s="941"/>
      <c r="BE3133" s="942"/>
      <c r="BF3133" s="943"/>
      <c r="BG3133" s="943"/>
      <c r="BH3133" s="943"/>
      <c r="BI3133" s="943"/>
      <c r="BJ3133" s="943"/>
      <c r="BK3133" s="943"/>
      <c r="BL3133" s="943"/>
      <c r="BM3133" s="943"/>
      <c r="BN3133" s="943"/>
      <c r="BO3133" s="1059"/>
      <c r="BP3133" s="1059"/>
      <c r="BQ3133" s="1059"/>
      <c r="BR3133" s="1059"/>
      <c r="BS3133" s="1059"/>
      <c r="BT3133" s="1059"/>
      <c r="BU3133" s="1059"/>
      <c r="BV3133" s="944"/>
      <c r="BW3133" s="944"/>
      <c r="BX3133" s="1147"/>
      <c r="BY3133" s="944"/>
      <c r="BZ3133" s="944"/>
      <c r="CA3133" s="944"/>
      <c r="CB3133" s="944"/>
    </row>
    <row r="3134" spans="2:80">
      <c r="B3134" s="1097"/>
      <c r="C3134" s="1097"/>
      <c r="D3134" s="1097"/>
      <c r="E3134" s="1097"/>
      <c r="F3134" s="934"/>
      <c r="G3134" s="1098"/>
      <c r="H3134" s="1099"/>
      <c r="I3134" s="1099"/>
      <c r="J3134" s="934"/>
      <c r="K3134" s="934"/>
      <c r="L3134" s="933"/>
      <c r="M3134" s="1100"/>
      <c r="N3134" s="934"/>
      <c r="O3134" s="936"/>
      <c r="P3134" s="936"/>
      <c r="Q3134" s="933"/>
      <c r="T3134" s="1101"/>
      <c r="U3134" s="1102"/>
      <c r="V3134" s="936"/>
      <c r="W3134" s="1103"/>
      <c r="X3134" s="1104"/>
      <c r="Y3134" s="1105"/>
      <c r="Z3134" s="1103"/>
      <c r="AC3134" s="1106"/>
      <c r="AD3134" s="1107"/>
      <c r="AE3134" s="1104"/>
      <c r="AG3134" s="1109"/>
      <c r="AI3134" s="1110"/>
      <c r="AL3134" s="933"/>
      <c r="AM3134" s="933"/>
      <c r="AN3134" s="1100"/>
      <c r="AO3134" s="1100"/>
      <c r="AP3134" s="934"/>
      <c r="AQ3134" s="934"/>
      <c r="AR3134" s="934"/>
      <c r="AS3134" s="936"/>
      <c r="AT3134" s="936"/>
      <c r="AU3134" s="936"/>
      <c r="AV3134" s="937"/>
      <c r="AW3134" s="938"/>
      <c r="AX3134" s="939"/>
      <c r="AY3134" s="933"/>
      <c r="AZ3134" s="936"/>
      <c r="BA3134" s="936"/>
      <c r="BB3134" s="1112"/>
      <c r="BC3134" s="940"/>
      <c r="BD3134" s="941"/>
      <c r="BE3134" s="942"/>
      <c r="BF3134" s="943"/>
      <c r="BG3134" s="943"/>
      <c r="BH3134" s="943"/>
      <c r="BI3134" s="943"/>
      <c r="BJ3134" s="943"/>
      <c r="BK3134" s="943"/>
      <c r="BL3134" s="943"/>
      <c r="BM3134" s="943"/>
      <c r="BN3134" s="943"/>
      <c r="BO3134" s="1059"/>
      <c r="BP3134" s="1059"/>
      <c r="BQ3134" s="1059"/>
      <c r="BR3134" s="1059"/>
      <c r="BS3134" s="1059"/>
      <c r="BT3134" s="1059"/>
      <c r="BU3134" s="1059"/>
      <c r="BV3134" s="944"/>
      <c r="BW3134" s="944"/>
      <c r="BX3134" s="1147"/>
      <c r="BY3134" s="944"/>
      <c r="BZ3134" s="944"/>
      <c r="CA3134" s="944"/>
      <c r="CB3134" s="944"/>
    </row>
    <row r="3135" spans="2:80">
      <c r="B3135" s="1097"/>
      <c r="C3135" s="1097"/>
      <c r="D3135" s="1097"/>
      <c r="E3135" s="1097"/>
      <c r="F3135" s="934"/>
      <c r="G3135" s="1098"/>
      <c r="H3135" s="1099"/>
      <c r="I3135" s="1099"/>
      <c r="J3135" s="934"/>
      <c r="K3135" s="934"/>
      <c r="L3135" s="933"/>
      <c r="M3135" s="1100"/>
      <c r="N3135" s="934"/>
      <c r="O3135" s="936"/>
      <c r="P3135" s="936"/>
      <c r="Q3135" s="933"/>
      <c r="T3135" s="1101"/>
      <c r="U3135" s="1102"/>
      <c r="V3135" s="936"/>
      <c r="W3135" s="1103"/>
      <c r="X3135" s="1104"/>
      <c r="Y3135" s="1105"/>
      <c r="Z3135" s="1103"/>
      <c r="AC3135" s="1106"/>
      <c r="AD3135" s="1107"/>
      <c r="AE3135" s="1104"/>
      <c r="AG3135" s="1109"/>
      <c r="AI3135" s="1110"/>
      <c r="AL3135" s="933"/>
      <c r="AM3135" s="933"/>
      <c r="AN3135" s="1100"/>
      <c r="AO3135" s="1100"/>
      <c r="AP3135" s="934"/>
      <c r="AQ3135" s="934"/>
      <c r="AR3135" s="934"/>
      <c r="AS3135" s="936"/>
      <c r="AT3135" s="936"/>
      <c r="AU3135" s="936"/>
      <c r="AV3135" s="937"/>
      <c r="AW3135" s="938"/>
      <c r="AX3135" s="939"/>
      <c r="AY3135" s="933"/>
      <c r="AZ3135" s="936"/>
      <c r="BA3135" s="936"/>
      <c r="BB3135" s="1112"/>
      <c r="BC3135" s="940"/>
      <c r="BD3135" s="941"/>
      <c r="BE3135" s="942"/>
      <c r="BF3135" s="943"/>
      <c r="BG3135" s="943"/>
      <c r="BH3135" s="943"/>
      <c r="BI3135" s="943"/>
      <c r="BJ3135" s="943"/>
      <c r="BK3135" s="943"/>
      <c r="BL3135" s="943"/>
      <c r="BM3135" s="943"/>
      <c r="BN3135" s="943"/>
      <c r="BO3135" s="1059"/>
      <c r="BP3135" s="1059"/>
      <c r="BQ3135" s="1059"/>
      <c r="BR3135" s="1059"/>
      <c r="BS3135" s="1059"/>
      <c r="BT3135" s="1059"/>
      <c r="BU3135" s="1059"/>
      <c r="BV3135" s="944"/>
      <c r="BW3135" s="944"/>
      <c r="BX3135" s="1147"/>
      <c r="BY3135" s="944"/>
      <c r="BZ3135" s="944"/>
      <c r="CA3135" s="944"/>
      <c r="CB3135" s="944"/>
    </row>
    <row r="3136" spans="2:80">
      <c r="B3136" s="1097"/>
      <c r="C3136" s="1097"/>
      <c r="D3136" s="1097"/>
      <c r="E3136" s="1097"/>
      <c r="F3136" s="934"/>
      <c r="G3136" s="1098"/>
      <c r="H3136" s="1099"/>
      <c r="I3136" s="1099"/>
      <c r="J3136" s="934"/>
      <c r="K3136" s="934"/>
      <c r="L3136" s="933"/>
      <c r="M3136" s="1100"/>
      <c r="N3136" s="934"/>
      <c r="O3136" s="936"/>
      <c r="P3136" s="936"/>
      <c r="Q3136" s="933"/>
      <c r="T3136" s="1101"/>
      <c r="U3136" s="1102"/>
      <c r="V3136" s="936"/>
      <c r="W3136" s="1103"/>
      <c r="X3136" s="1104"/>
      <c r="Y3136" s="1105"/>
      <c r="Z3136" s="1103"/>
      <c r="AC3136" s="1106"/>
      <c r="AD3136" s="1107"/>
      <c r="AE3136" s="1104"/>
      <c r="AG3136" s="1109"/>
      <c r="AI3136" s="1110"/>
      <c r="AL3136" s="933"/>
      <c r="AM3136" s="933"/>
      <c r="AN3136" s="1100"/>
      <c r="AO3136" s="1100"/>
      <c r="AP3136" s="934"/>
      <c r="AQ3136" s="934"/>
      <c r="AR3136" s="934"/>
      <c r="AS3136" s="936"/>
      <c r="AT3136" s="936"/>
      <c r="AU3136" s="936"/>
      <c r="AV3136" s="937"/>
      <c r="AW3136" s="938"/>
      <c r="AX3136" s="939"/>
      <c r="AY3136" s="933"/>
      <c r="AZ3136" s="936"/>
      <c r="BA3136" s="936"/>
      <c r="BB3136" s="1112"/>
      <c r="BC3136" s="940"/>
      <c r="BD3136" s="941"/>
      <c r="BE3136" s="942"/>
      <c r="BF3136" s="943"/>
      <c r="BG3136" s="943"/>
      <c r="BH3136" s="943"/>
      <c r="BI3136" s="943"/>
      <c r="BJ3136" s="943"/>
      <c r="BK3136" s="943"/>
      <c r="BL3136" s="943"/>
      <c r="BM3136" s="943"/>
      <c r="BN3136" s="943"/>
      <c r="BO3136" s="1059"/>
      <c r="BP3136" s="1059"/>
      <c r="BQ3136" s="1059"/>
      <c r="BR3136" s="1059"/>
      <c r="BS3136" s="1059"/>
      <c r="BT3136" s="1059"/>
      <c r="BU3136" s="1059"/>
      <c r="BV3136" s="944"/>
      <c r="BW3136" s="944"/>
      <c r="BX3136" s="1147"/>
      <c r="BY3136" s="944"/>
      <c r="BZ3136" s="944"/>
      <c r="CA3136" s="944"/>
      <c r="CB3136" s="944"/>
    </row>
    <row r="3137" spans="2:80">
      <c r="B3137" s="1097"/>
      <c r="C3137" s="1097"/>
      <c r="D3137" s="1097"/>
      <c r="E3137" s="1097"/>
      <c r="F3137" s="934"/>
      <c r="G3137" s="1098"/>
      <c r="H3137" s="1099"/>
      <c r="I3137" s="1099"/>
      <c r="J3137" s="934"/>
      <c r="K3137" s="934"/>
      <c r="L3137" s="933"/>
      <c r="M3137" s="1100"/>
      <c r="N3137" s="934"/>
      <c r="O3137" s="936"/>
      <c r="P3137" s="936"/>
      <c r="Q3137" s="933"/>
      <c r="T3137" s="1101"/>
      <c r="U3137" s="1102"/>
      <c r="V3137" s="936"/>
      <c r="W3137" s="1103"/>
      <c r="X3137" s="1104"/>
      <c r="Y3137" s="1105"/>
      <c r="Z3137" s="1103"/>
      <c r="AC3137" s="1106"/>
      <c r="AD3137" s="1107"/>
      <c r="AE3137" s="1104"/>
      <c r="AG3137" s="1109"/>
      <c r="AI3137" s="1110"/>
      <c r="AL3137" s="933"/>
      <c r="AM3137" s="933"/>
      <c r="AN3137" s="1100"/>
      <c r="AO3137" s="1100"/>
      <c r="AP3137" s="934"/>
      <c r="AQ3137" s="934"/>
      <c r="AR3137" s="934"/>
      <c r="AS3137" s="936"/>
      <c r="AT3137" s="936"/>
      <c r="AU3137" s="936"/>
      <c r="AV3137" s="937"/>
      <c r="AW3137" s="938"/>
      <c r="AX3137" s="939"/>
      <c r="AY3137" s="933"/>
      <c r="AZ3137" s="936"/>
      <c r="BA3137" s="936"/>
      <c r="BB3137" s="1112"/>
      <c r="BC3137" s="940"/>
      <c r="BD3137" s="941"/>
      <c r="BE3137" s="942"/>
      <c r="BF3137" s="943"/>
      <c r="BG3137" s="943"/>
      <c r="BH3137" s="943"/>
      <c r="BI3137" s="943"/>
      <c r="BJ3137" s="943"/>
      <c r="BK3137" s="943"/>
      <c r="BL3137" s="943"/>
      <c r="BM3137" s="943"/>
      <c r="BN3137" s="943"/>
      <c r="BO3137" s="1059"/>
      <c r="BP3137" s="1059"/>
      <c r="BQ3137" s="1059"/>
      <c r="BR3137" s="1059"/>
      <c r="BS3137" s="1059"/>
      <c r="BT3137" s="1059"/>
      <c r="BU3137" s="1059"/>
      <c r="BV3137" s="944"/>
      <c r="BW3137" s="944"/>
      <c r="BX3137" s="1147"/>
      <c r="BY3137" s="944"/>
      <c r="BZ3137" s="944"/>
      <c r="CA3137" s="944"/>
      <c r="CB3137" s="944"/>
    </row>
    <row r="3138" spans="2:80">
      <c r="B3138" s="1097"/>
      <c r="C3138" s="1097"/>
      <c r="D3138" s="1097"/>
      <c r="E3138" s="1097"/>
      <c r="F3138" s="934"/>
      <c r="G3138" s="1098"/>
      <c r="H3138" s="1099"/>
      <c r="I3138" s="1099"/>
      <c r="J3138" s="934"/>
      <c r="K3138" s="934"/>
      <c r="L3138" s="933"/>
      <c r="M3138" s="1100"/>
      <c r="N3138" s="934"/>
      <c r="O3138" s="936"/>
      <c r="P3138" s="936"/>
      <c r="Q3138" s="933"/>
      <c r="T3138" s="1101"/>
      <c r="U3138" s="1102"/>
      <c r="V3138" s="936"/>
      <c r="W3138" s="1103"/>
      <c r="X3138" s="1104"/>
      <c r="Y3138" s="1105"/>
      <c r="Z3138" s="1103"/>
      <c r="AC3138" s="1106"/>
      <c r="AD3138" s="1107"/>
      <c r="AE3138" s="1104"/>
      <c r="AG3138" s="1109"/>
      <c r="AI3138" s="1110"/>
      <c r="AL3138" s="933"/>
      <c r="AM3138" s="933"/>
      <c r="AN3138" s="1100"/>
      <c r="AO3138" s="1100"/>
      <c r="AP3138" s="934"/>
      <c r="AQ3138" s="934"/>
      <c r="AR3138" s="934"/>
      <c r="AS3138" s="936"/>
      <c r="AT3138" s="936"/>
      <c r="AU3138" s="936"/>
      <c r="AV3138" s="937"/>
      <c r="AW3138" s="938"/>
      <c r="AX3138" s="939"/>
      <c r="AY3138" s="933"/>
      <c r="AZ3138" s="936"/>
      <c r="BA3138" s="936"/>
      <c r="BB3138" s="1112"/>
      <c r="BC3138" s="940"/>
      <c r="BD3138" s="941"/>
      <c r="BE3138" s="942"/>
      <c r="BF3138" s="943"/>
      <c r="BG3138" s="943"/>
      <c r="BH3138" s="943"/>
      <c r="BI3138" s="943"/>
      <c r="BJ3138" s="943"/>
      <c r="BK3138" s="943"/>
      <c r="BL3138" s="943"/>
      <c r="BM3138" s="943"/>
      <c r="BN3138" s="943"/>
      <c r="BO3138" s="1059"/>
      <c r="BP3138" s="1059"/>
      <c r="BQ3138" s="1059"/>
      <c r="BR3138" s="1059"/>
      <c r="BS3138" s="1059"/>
      <c r="BT3138" s="1059"/>
      <c r="BU3138" s="1059"/>
      <c r="BV3138" s="944"/>
      <c r="BW3138" s="944"/>
      <c r="BX3138" s="1147"/>
      <c r="BY3138" s="944"/>
      <c r="BZ3138" s="944"/>
      <c r="CA3138" s="944"/>
      <c r="CB3138" s="944"/>
    </row>
    <row r="3139" spans="2:80">
      <c r="B3139" s="1097"/>
      <c r="C3139" s="1097"/>
      <c r="D3139" s="1097"/>
      <c r="E3139" s="1097"/>
      <c r="F3139" s="934"/>
      <c r="G3139" s="1098"/>
      <c r="H3139" s="1099"/>
      <c r="I3139" s="1099"/>
      <c r="J3139" s="934"/>
      <c r="K3139" s="934"/>
      <c r="L3139" s="933"/>
      <c r="M3139" s="1100"/>
      <c r="N3139" s="934"/>
      <c r="O3139" s="936"/>
      <c r="P3139" s="936"/>
      <c r="Q3139" s="933"/>
      <c r="T3139" s="1101"/>
      <c r="U3139" s="1102"/>
      <c r="V3139" s="936"/>
      <c r="W3139" s="1103"/>
      <c r="X3139" s="1104"/>
      <c r="Y3139" s="1105"/>
      <c r="Z3139" s="1103"/>
      <c r="AC3139" s="1106"/>
      <c r="AD3139" s="1107"/>
      <c r="AE3139" s="1104"/>
      <c r="AG3139" s="1109"/>
      <c r="AI3139" s="1110"/>
      <c r="AL3139" s="933"/>
      <c r="AM3139" s="933"/>
      <c r="AN3139" s="1100"/>
      <c r="AO3139" s="1100"/>
      <c r="AP3139" s="934"/>
      <c r="AQ3139" s="934"/>
      <c r="AR3139" s="934"/>
      <c r="AS3139" s="936"/>
      <c r="AT3139" s="936"/>
      <c r="AU3139" s="936"/>
      <c r="AV3139" s="937"/>
      <c r="AW3139" s="938"/>
      <c r="AX3139" s="939"/>
      <c r="AY3139" s="933"/>
      <c r="AZ3139" s="936"/>
      <c r="BA3139" s="936"/>
      <c r="BB3139" s="1112"/>
      <c r="BC3139" s="940"/>
      <c r="BD3139" s="941"/>
      <c r="BE3139" s="942"/>
      <c r="BF3139" s="943"/>
      <c r="BG3139" s="943"/>
      <c r="BH3139" s="943"/>
      <c r="BI3139" s="943"/>
      <c r="BJ3139" s="943"/>
      <c r="BK3139" s="943"/>
      <c r="BL3139" s="943"/>
      <c r="BM3139" s="943"/>
      <c r="BN3139" s="943"/>
      <c r="BO3139" s="1059"/>
      <c r="BP3139" s="1059"/>
      <c r="BQ3139" s="1059"/>
      <c r="BR3139" s="1059"/>
      <c r="BS3139" s="1059"/>
      <c r="BT3139" s="1059"/>
      <c r="BU3139" s="1059"/>
      <c r="BV3139" s="944"/>
      <c r="BW3139" s="944"/>
      <c r="BX3139" s="1147"/>
      <c r="BY3139" s="944"/>
      <c r="BZ3139" s="944"/>
      <c r="CA3139" s="944"/>
      <c r="CB3139" s="944"/>
    </row>
    <row r="3140" spans="2:80">
      <c r="B3140" s="1097"/>
      <c r="C3140" s="1097"/>
      <c r="D3140" s="1097"/>
      <c r="E3140" s="1097"/>
      <c r="F3140" s="934"/>
      <c r="G3140" s="1098"/>
      <c r="H3140" s="1099"/>
      <c r="I3140" s="1099"/>
      <c r="J3140" s="934"/>
      <c r="K3140" s="934"/>
      <c r="L3140" s="933"/>
      <c r="M3140" s="1100"/>
      <c r="N3140" s="934"/>
      <c r="O3140" s="936"/>
      <c r="P3140" s="936"/>
      <c r="Q3140" s="933"/>
      <c r="T3140" s="1101"/>
      <c r="U3140" s="1102"/>
      <c r="V3140" s="936"/>
      <c r="W3140" s="1103"/>
      <c r="X3140" s="1104"/>
      <c r="Y3140" s="1105"/>
      <c r="Z3140" s="1103"/>
      <c r="AC3140" s="1106"/>
      <c r="AD3140" s="1107"/>
      <c r="AE3140" s="1104"/>
      <c r="AG3140" s="1109"/>
      <c r="AI3140" s="1110"/>
      <c r="AL3140" s="933"/>
      <c r="AM3140" s="933"/>
      <c r="AN3140" s="1100"/>
      <c r="AO3140" s="1100"/>
      <c r="AP3140" s="934"/>
      <c r="AQ3140" s="934"/>
      <c r="AR3140" s="934"/>
      <c r="AS3140" s="936"/>
      <c r="AT3140" s="936"/>
      <c r="AU3140" s="936"/>
      <c r="AV3140" s="937"/>
      <c r="AW3140" s="938"/>
      <c r="AX3140" s="939"/>
      <c r="AY3140" s="933"/>
      <c r="AZ3140" s="936"/>
      <c r="BA3140" s="936"/>
      <c r="BB3140" s="1112"/>
      <c r="BC3140" s="940"/>
      <c r="BD3140" s="941"/>
      <c r="BE3140" s="942"/>
      <c r="BF3140" s="943"/>
      <c r="BG3140" s="943"/>
      <c r="BH3140" s="943"/>
      <c r="BI3140" s="943"/>
      <c r="BJ3140" s="943"/>
      <c r="BK3140" s="943"/>
      <c r="BL3140" s="943"/>
      <c r="BM3140" s="943"/>
      <c r="BN3140" s="943"/>
      <c r="BO3140" s="1059"/>
      <c r="BP3140" s="1059"/>
      <c r="BQ3140" s="1059"/>
      <c r="BR3140" s="1059"/>
      <c r="BS3140" s="1059"/>
      <c r="BT3140" s="1059"/>
      <c r="BU3140" s="1059"/>
      <c r="BV3140" s="944"/>
      <c r="BW3140" s="944"/>
      <c r="BX3140" s="1147"/>
      <c r="BY3140" s="944"/>
      <c r="BZ3140" s="944"/>
      <c r="CA3140" s="944"/>
      <c r="CB3140" s="944"/>
    </row>
    <row r="3141" spans="2:80">
      <c r="B3141" s="1097"/>
      <c r="C3141" s="1097"/>
      <c r="D3141" s="1097"/>
      <c r="E3141" s="1097"/>
      <c r="F3141" s="934"/>
      <c r="G3141" s="1098"/>
      <c r="H3141" s="1099"/>
      <c r="I3141" s="1099"/>
      <c r="J3141" s="934"/>
      <c r="K3141" s="934"/>
      <c r="L3141" s="933"/>
      <c r="M3141" s="1100"/>
      <c r="N3141" s="934"/>
      <c r="O3141" s="936"/>
      <c r="P3141" s="936"/>
      <c r="Q3141" s="933"/>
      <c r="T3141" s="1101"/>
      <c r="U3141" s="1102"/>
      <c r="V3141" s="936"/>
      <c r="W3141" s="1103"/>
      <c r="X3141" s="1104"/>
      <c r="Y3141" s="1105"/>
      <c r="Z3141" s="1103"/>
      <c r="AC3141" s="1106"/>
      <c r="AD3141" s="1107"/>
      <c r="AE3141" s="1104"/>
      <c r="AG3141" s="1109"/>
      <c r="AI3141" s="1110"/>
      <c r="AL3141" s="933"/>
      <c r="AM3141" s="933"/>
      <c r="AN3141" s="1100"/>
      <c r="AO3141" s="1100"/>
      <c r="AP3141" s="934"/>
      <c r="AQ3141" s="934"/>
      <c r="AR3141" s="934"/>
      <c r="AS3141" s="936"/>
      <c r="AT3141" s="936"/>
      <c r="AU3141" s="936"/>
      <c r="AV3141" s="937"/>
      <c r="AW3141" s="938"/>
      <c r="AX3141" s="939"/>
      <c r="AY3141" s="933"/>
      <c r="AZ3141" s="936"/>
      <c r="BA3141" s="936"/>
      <c r="BB3141" s="1112"/>
      <c r="BC3141" s="940"/>
      <c r="BD3141" s="941"/>
      <c r="BE3141" s="942"/>
      <c r="BF3141" s="943"/>
      <c r="BG3141" s="943"/>
      <c r="BH3141" s="943"/>
      <c r="BI3141" s="943"/>
      <c r="BJ3141" s="943"/>
      <c r="BK3141" s="943"/>
      <c r="BL3141" s="943"/>
      <c r="BM3141" s="943"/>
      <c r="BN3141" s="943"/>
      <c r="BO3141" s="1059"/>
      <c r="BP3141" s="1059"/>
      <c r="BQ3141" s="1059"/>
      <c r="BR3141" s="1059"/>
      <c r="BS3141" s="1059"/>
      <c r="BT3141" s="1059"/>
      <c r="BU3141" s="1059"/>
      <c r="BV3141" s="944"/>
      <c r="BW3141" s="944"/>
      <c r="BX3141" s="1147"/>
      <c r="BY3141" s="944"/>
      <c r="BZ3141" s="944"/>
      <c r="CA3141" s="944"/>
      <c r="CB3141" s="944"/>
    </row>
    <row r="3142" spans="2:80">
      <c r="B3142" s="1097"/>
      <c r="C3142" s="1097"/>
      <c r="D3142" s="1097"/>
      <c r="E3142" s="1097"/>
      <c r="F3142" s="934"/>
      <c r="G3142" s="1098"/>
      <c r="H3142" s="1099"/>
      <c r="I3142" s="1099"/>
      <c r="J3142" s="934"/>
      <c r="K3142" s="934"/>
      <c r="L3142" s="933"/>
      <c r="M3142" s="1100"/>
      <c r="N3142" s="934"/>
      <c r="O3142" s="936"/>
      <c r="P3142" s="936"/>
      <c r="Q3142" s="933"/>
      <c r="T3142" s="1101"/>
      <c r="U3142" s="1102"/>
      <c r="V3142" s="936"/>
      <c r="W3142" s="1103"/>
      <c r="X3142" s="1104"/>
      <c r="Y3142" s="1105"/>
      <c r="Z3142" s="1103"/>
      <c r="AC3142" s="1106"/>
      <c r="AD3142" s="1107"/>
      <c r="AE3142" s="1104"/>
      <c r="AG3142" s="1109"/>
      <c r="AI3142" s="1110"/>
      <c r="AL3142" s="933"/>
      <c r="AM3142" s="933"/>
      <c r="AN3142" s="1100"/>
      <c r="AO3142" s="1100"/>
      <c r="AP3142" s="934"/>
      <c r="AQ3142" s="934"/>
      <c r="AR3142" s="934"/>
      <c r="AS3142" s="936"/>
      <c r="AT3142" s="936"/>
      <c r="AU3142" s="936"/>
      <c r="AV3142" s="937"/>
      <c r="AW3142" s="938"/>
      <c r="AX3142" s="939"/>
      <c r="AY3142" s="933"/>
      <c r="AZ3142" s="936"/>
      <c r="BA3142" s="936"/>
      <c r="BB3142" s="1112"/>
      <c r="BC3142" s="940"/>
      <c r="BD3142" s="941"/>
      <c r="BE3142" s="942"/>
      <c r="BF3142" s="943"/>
      <c r="BG3142" s="943"/>
      <c r="BH3142" s="943"/>
      <c r="BI3142" s="943"/>
      <c r="BJ3142" s="943"/>
      <c r="BK3142" s="943"/>
      <c r="BL3142" s="943"/>
      <c r="BM3142" s="943"/>
      <c r="BN3142" s="943"/>
      <c r="BO3142" s="1059"/>
      <c r="BP3142" s="1059"/>
      <c r="BQ3142" s="1059"/>
      <c r="BR3142" s="1059"/>
      <c r="BS3142" s="1059"/>
      <c r="BT3142" s="1059"/>
      <c r="BU3142" s="1059"/>
      <c r="BV3142" s="944"/>
      <c r="BW3142" s="944"/>
      <c r="BX3142" s="1147"/>
      <c r="BY3142" s="944"/>
      <c r="BZ3142" s="944"/>
      <c r="CA3142" s="944"/>
      <c r="CB3142" s="944"/>
    </row>
    <row r="3143" spans="2:80">
      <c r="B3143" s="1097"/>
      <c r="C3143" s="1097"/>
      <c r="D3143" s="1097"/>
      <c r="E3143" s="1097"/>
      <c r="F3143" s="934"/>
      <c r="G3143" s="1098"/>
      <c r="H3143" s="1099"/>
      <c r="I3143" s="1099"/>
      <c r="J3143" s="934"/>
      <c r="K3143" s="934"/>
      <c r="L3143" s="933"/>
      <c r="M3143" s="1100"/>
      <c r="N3143" s="934"/>
      <c r="O3143" s="936"/>
      <c r="P3143" s="936"/>
      <c r="Q3143" s="933"/>
      <c r="T3143" s="1101"/>
      <c r="U3143" s="1102"/>
      <c r="V3143" s="936"/>
      <c r="W3143" s="1103"/>
      <c r="X3143" s="1104"/>
      <c r="Y3143" s="1105"/>
      <c r="Z3143" s="1103"/>
      <c r="AC3143" s="1106"/>
      <c r="AD3143" s="1107"/>
      <c r="AE3143" s="1104"/>
      <c r="AG3143" s="1109"/>
      <c r="AI3143" s="1110"/>
      <c r="AL3143" s="933"/>
      <c r="AM3143" s="933"/>
      <c r="AN3143" s="1100"/>
      <c r="AO3143" s="1100"/>
      <c r="AP3143" s="934"/>
      <c r="AQ3143" s="934"/>
      <c r="AR3143" s="934"/>
      <c r="AS3143" s="936"/>
      <c r="AT3143" s="936"/>
      <c r="AU3143" s="936"/>
      <c r="AV3143" s="937"/>
      <c r="AW3143" s="938"/>
      <c r="AX3143" s="939"/>
      <c r="AY3143" s="933"/>
      <c r="AZ3143" s="936"/>
      <c r="BA3143" s="936"/>
      <c r="BB3143" s="1112"/>
      <c r="BC3143" s="940"/>
      <c r="BD3143" s="941"/>
      <c r="BE3143" s="942"/>
      <c r="BF3143" s="943"/>
      <c r="BG3143" s="943"/>
      <c r="BH3143" s="943"/>
      <c r="BI3143" s="943"/>
      <c r="BJ3143" s="943"/>
      <c r="BK3143" s="943"/>
      <c r="BL3143" s="943"/>
      <c r="BM3143" s="943"/>
      <c r="BN3143" s="943"/>
      <c r="BO3143" s="1059"/>
      <c r="BP3143" s="1059"/>
      <c r="BQ3143" s="1059"/>
      <c r="BR3143" s="1059"/>
      <c r="BS3143" s="1059"/>
      <c r="BT3143" s="1059"/>
      <c r="BU3143" s="1059"/>
      <c r="BV3143" s="944"/>
      <c r="BW3143" s="944"/>
      <c r="BX3143" s="1147"/>
      <c r="BY3143" s="944"/>
      <c r="BZ3143" s="944"/>
      <c r="CA3143" s="944"/>
      <c r="CB3143" s="944"/>
    </row>
    <row r="3144" spans="2:80">
      <c r="B3144" s="1097"/>
      <c r="C3144" s="1097"/>
      <c r="D3144" s="1097"/>
      <c r="E3144" s="1097"/>
      <c r="F3144" s="934"/>
      <c r="G3144" s="1098"/>
      <c r="H3144" s="1099"/>
      <c r="I3144" s="1099"/>
      <c r="J3144" s="934"/>
      <c r="K3144" s="934"/>
      <c r="L3144" s="933"/>
      <c r="M3144" s="1100"/>
      <c r="N3144" s="934"/>
      <c r="O3144" s="936"/>
      <c r="P3144" s="936"/>
      <c r="Q3144" s="933"/>
      <c r="T3144" s="1101"/>
      <c r="U3144" s="1102"/>
      <c r="V3144" s="936"/>
      <c r="W3144" s="1103"/>
      <c r="X3144" s="1104"/>
      <c r="Y3144" s="1105"/>
      <c r="Z3144" s="1103"/>
      <c r="AC3144" s="1106"/>
      <c r="AD3144" s="1107"/>
      <c r="AE3144" s="1104"/>
      <c r="AG3144" s="1109"/>
      <c r="AI3144" s="1110"/>
      <c r="AL3144" s="933"/>
      <c r="AM3144" s="933"/>
      <c r="AN3144" s="1100"/>
      <c r="AO3144" s="1100"/>
      <c r="AP3144" s="934"/>
      <c r="AQ3144" s="934"/>
      <c r="AR3144" s="934"/>
      <c r="AS3144" s="936"/>
      <c r="AT3144" s="936"/>
      <c r="AU3144" s="936"/>
      <c r="AV3144" s="937"/>
      <c r="AW3144" s="938"/>
      <c r="AX3144" s="939"/>
      <c r="AY3144" s="933"/>
      <c r="AZ3144" s="936"/>
      <c r="BA3144" s="936"/>
      <c r="BB3144" s="1112"/>
      <c r="BC3144" s="940"/>
      <c r="BD3144" s="941"/>
      <c r="BE3144" s="942"/>
      <c r="BF3144" s="943"/>
      <c r="BG3144" s="943"/>
      <c r="BH3144" s="943"/>
      <c r="BI3144" s="943"/>
      <c r="BJ3144" s="943"/>
      <c r="BK3144" s="943"/>
      <c r="BL3144" s="943"/>
      <c r="BM3144" s="943"/>
      <c r="BN3144" s="943"/>
      <c r="BO3144" s="1059"/>
      <c r="BP3144" s="1059"/>
      <c r="BQ3144" s="1059"/>
      <c r="BR3144" s="1059"/>
      <c r="BS3144" s="1059"/>
      <c r="BT3144" s="1059"/>
      <c r="BU3144" s="1059"/>
      <c r="BV3144" s="944"/>
      <c r="BW3144" s="944"/>
      <c r="BX3144" s="1147"/>
      <c r="BY3144" s="944"/>
      <c r="BZ3144" s="944"/>
      <c r="CA3144" s="944"/>
      <c r="CB3144" s="944"/>
    </row>
    <row r="3145" spans="2:80">
      <c r="B3145" s="1097"/>
      <c r="C3145" s="1097"/>
      <c r="D3145" s="1097"/>
      <c r="E3145" s="1097"/>
      <c r="F3145" s="934"/>
      <c r="G3145" s="1098"/>
      <c r="H3145" s="1099"/>
      <c r="I3145" s="1099"/>
      <c r="J3145" s="934"/>
      <c r="K3145" s="934"/>
      <c r="L3145" s="933"/>
      <c r="M3145" s="1100"/>
      <c r="N3145" s="934"/>
      <c r="O3145" s="936"/>
      <c r="P3145" s="936"/>
      <c r="Q3145" s="933"/>
      <c r="T3145" s="1101"/>
      <c r="U3145" s="1102"/>
      <c r="V3145" s="936"/>
      <c r="W3145" s="1103"/>
      <c r="X3145" s="1104"/>
      <c r="Y3145" s="1105"/>
      <c r="Z3145" s="1103"/>
      <c r="AC3145" s="1106"/>
      <c r="AD3145" s="1107"/>
      <c r="AE3145" s="1104"/>
      <c r="AG3145" s="1109"/>
      <c r="AI3145" s="1110"/>
      <c r="AL3145" s="933"/>
      <c r="AM3145" s="933"/>
      <c r="AN3145" s="1100"/>
      <c r="AO3145" s="1100"/>
      <c r="AP3145" s="934"/>
      <c r="AQ3145" s="934"/>
      <c r="AR3145" s="934"/>
      <c r="AS3145" s="936"/>
      <c r="AT3145" s="936"/>
      <c r="AU3145" s="936"/>
      <c r="AV3145" s="937"/>
      <c r="AW3145" s="938"/>
      <c r="AX3145" s="939"/>
      <c r="AY3145" s="933"/>
      <c r="AZ3145" s="936"/>
      <c r="BA3145" s="936"/>
      <c r="BB3145" s="1112"/>
      <c r="BC3145" s="940"/>
      <c r="BD3145" s="941"/>
      <c r="BE3145" s="942"/>
      <c r="BF3145" s="943"/>
      <c r="BG3145" s="943"/>
      <c r="BH3145" s="943"/>
      <c r="BI3145" s="943"/>
      <c r="BJ3145" s="943"/>
      <c r="BK3145" s="943"/>
      <c r="BL3145" s="943"/>
      <c r="BM3145" s="943"/>
      <c r="BN3145" s="943"/>
      <c r="BO3145" s="1059"/>
      <c r="BP3145" s="1059"/>
      <c r="BQ3145" s="1059"/>
      <c r="BR3145" s="1059"/>
      <c r="BS3145" s="1059"/>
      <c r="BT3145" s="1059"/>
      <c r="BU3145" s="1059"/>
      <c r="BV3145" s="944"/>
      <c r="BW3145" s="944"/>
      <c r="BX3145" s="1147"/>
      <c r="BY3145" s="944"/>
      <c r="BZ3145" s="944"/>
      <c r="CA3145" s="944"/>
      <c r="CB3145" s="944"/>
    </row>
    <row r="3146" spans="2:80">
      <c r="B3146" s="1097"/>
      <c r="C3146" s="1097"/>
      <c r="D3146" s="1097"/>
      <c r="E3146" s="1097"/>
      <c r="F3146" s="934"/>
      <c r="G3146" s="1098"/>
      <c r="H3146" s="1099"/>
      <c r="I3146" s="1099"/>
      <c r="J3146" s="934"/>
      <c r="K3146" s="934"/>
      <c r="L3146" s="933"/>
      <c r="M3146" s="1100"/>
      <c r="N3146" s="934"/>
      <c r="O3146" s="936"/>
      <c r="P3146" s="936"/>
      <c r="Q3146" s="933"/>
      <c r="T3146" s="1101"/>
      <c r="U3146" s="1102"/>
      <c r="V3146" s="936"/>
      <c r="W3146" s="1103"/>
      <c r="X3146" s="1104"/>
      <c r="Y3146" s="1105"/>
      <c r="Z3146" s="1103"/>
      <c r="AC3146" s="1106"/>
      <c r="AD3146" s="1107"/>
      <c r="AE3146" s="1104"/>
      <c r="AG3146" s="1109"/>
      <c r="AI3146" s="1110"/>
      <c r="AL3146" s="933"/>
      <c r="AM3146" s="933"/>
      <c r="AN3146" s="1100"/>
      <c r="AO3146" s="1100"/>
      <c r="AP3146" s="934"/>
      <c r="AQ3146" s="934"/>
      <c r="AR3146" s="934"/>
      <c r="AS3146" s="936"/>
      <c r="AT3146" s="936"/>
      <c r="AU3146" s="936"/>
      <c r="AV3146" s="937"/>
      <c r="AW3146" s="938"/>
      <c r="AX3146" s="939"/>
      <c r="AY3146" s="933"/>
      <c r="AZ3146" s="936"/>
      <c r="BA3146" s="936"/>
      <c r="BB3146" s="1112"/>
      <c r="BC3146" s="940"/>
      <c r="BD3146" s="941"/>
      <c r="BE3146" s="942"/>
      <c r="BF3146" s="943"/>
      <c r="BG3146" s="943"/>
      <c r="BH3146" s="943"/>
      <c r="BI3146" s="943"/>
      <c r="BJ3146" s="943"/>
      <c r="BK3146" s="943"/>
      <c r="BL3146" s="943"/>
      <c r="BM3146" s="943"/>
      <c r="BN3146" s="943"/>
      <c r="BO3146" s="1059"/>
      <c r="BP3146" s="1059"/>
      <c r="BQ3146" s="1059"/>
      <c r="BR3146" s="1059"/>
      <c r="BS3146" s="1059"/>
      <c r="BT3146" s="1059"/>
      <c r="BU3146" s="1059"/>
      <c r="BV3146" s="944"/>
      <c r="BW3146" s="944"/>
      <c r="BX3146" s="1147"/>
      <c r="BY3146" s="944"/>
      <c r="BZ3146" s="944"/>
      <c r="CA3146" s="944"/>
      <c r="CB3146" s="944"/>
    </row>
    <row r="3147" spans="2:80">
      <c r="B3147" s="1097"/>
      <c r="C3147" s="1097"/>
      <c r="D3147" s="1097"/>
      <c r="E3147" s="1097"/>
      <c r="F3147" s="934"/>
      <c r="G3147" s="1098"/>
      <c r="H3147" s="1099"/>
      <c r="I3147" s="1099"/>
      <c r="J3147" s="934"/>
      <c r="K3147" s="934"/>
      <c r="L3147" s="933"/>
      <c r="M3147" s="1100"/>
      <c r="N3147" s="934"/>
      <c r="O3147" s="936"/>
      <c r="P3147" s="936"/>
      <c r="Q3147" s="933"/>
      <c r="T3147" s="1101"/>
      <c r="U3147" s="1102"/>
      <c r="V3147" s="936"/>
      <c r="W3147" s="1103"/>
      <c r="X3147" s="1104"/>
      <c r="Y3147" s="1105"/>
      <c r="Z3147" s="1103"/>
      <c r="AC3147" s="1106"/>
      <c r="AD3147" s="1107"/>
      <c r="AE3147" s="1104"/>
      <c r="AG3147" s="1109"/>
      <c r="AI3147" s="1110"/>
      <c r="AL3147" s="933"/>
      <c r="AM3147" s="933"/>
      <c r="AN3147" s="1100"/>
      <c r="AO3147" s="1100"/>
      <c r="AP3147" s="934"/>
      <c r="AQ3147" s="934"/>
      <c r="AR3147" s="934"/>
      <c r="AS3147" s="936"/>
      <c r="AT3147" s="936"/>
      <c r="AU3147" s="936"/>
      <c r="AV3147" s="937"/>
      <c r="AW3147" s="938"/>
      <c r="AX3147" s="939"/>
      <c r="AY3147" s="933"/>
      <c r="AZ3147" s="936"/>
      <c r="BA3147" s="936"/>
      <c r="BB3147" s="1112"/>
      <c r="BC3147" s="940"/>
      <c r="BD3147" s="941"/>
      <c r="BE3147" s="942"/>
      <c r="BF3147" s="943"/>
      <c r="BG3147" s="943"/>
      <c r="BH3147" s="943"/>
      <c r="BI3147" s="943"/>
      <c r="BJ3147" s="943"/>
      <c r="BK3147" s="943"/>
      <c r="BL3147" s="943"/>
      <c r="BM3147" s="943"/>
      <c r="BN3147" s="943"/>
      <c r="BO3147" s="1059"/>
      <c r="BP3147" s="1059"/>
      <c r="BQ3147" s="1059"/>
      <c r="BR3147" s="1059"/>
      <c r="BS3147" s="1059"/>
      <c r="BT3147" s="1059"/>
      <c r="BU3147" s="1059"/>
      <c r="BV3147" s="944"/>
      <c r="BW3147" s="944"/>
      <c r="BX3147" s="1147"/>
      <c r="BY3147" s="944"/>
      <c r="BZ3147" s="944"/>
      <c r="CA3147" s="944"/>
      <c r="CB3147" s="944"/>
    </row>
    <row r="3148" spans="2:80">
      <c r="B3148" s="1097"/>
      <c r="C3148" s="1097"/>
      <c r="D3148" s="1097"/>
      <c r="E3148" s="1097"/>
      <c r="F3148" s="934"/>
      <c r="G3148" s="1098"/>
      <c r="H3148" s="1099"/>
      <c r="I3148" s="1099"/>
      <c r="J3148" s="934"/>
      <c r="K3148" s="934"/>
      <c r="L3148" s="933"/>
      <c r="M3148" s="1100"/>
      <c r="N3148" s="934"/>
      <c r="O3148" s="936"/>
      <c r="P3148" s="936"/>
      <c r="Q3148" s="933"/>
      <c r="T3148" s="1101"/>
      <c r="U3148" s="1102"/>
      <c r="V3148" s="936"/>
      <c r="W3148" s="1103"/>
      <c r="X3148" s="1104"/>
      <c r="Y3148" s="1105"/>
      <c r="Z3148" s="1103"/>
      <c r="AC3148" s="1106"/>
      <c r="AD3148" s="1107"/>
      <c r="AE3148" s="1104"/>
      <c r="AG3148" s="1109"/>
      <c r="AI3148" s="1110"/>
      <c r="AL3148" s="933"/>
      <c r="AM3148" s="933"/>
      <c r="AN3148" s="1100"/>
      <c r="AO3148" s="1100"/>
      <c r="AP3148" s="934"/>
      <c r="AQ3148" s="934"/>
      <c r="AR3148" s="934"/>
      <c r="AS3148" s="936"/>
      <c r="AT3148" s="936"/>
      <c r="AU3148" s="936"/>
      <c r="AV3148" s="937"/>
      <c r="AW3148" s="938"/>
      <c r="AX3148" s="939"/>
      <c r="AY3148" s="933"/>
      <c r="AZ3148" s="936"/>
      <c r="BA3148" s="936"/>
      <c r="BB3148" s="1112"/>
      <c r="BC3148" s="940"/>
      <c r="BD3148" s="941"/>
      <c r="BE3148" s="942"/>
      <c r="BF3148" s="943"/>
      <c r="BG3148" s="943"/>
      <c r="BH3148" s="943"/>
      <c r="BI3148" s="943"/>
      <c r="BJ3148" s="943"/>
      <c r="BK3148" s="943"/>
      <c r="BL3148" s="943"/>
      <c r="BM3148" s="943"/>
      <c r="BN3148" s="943"/>
      <c r="BO3148" s="1059"/>
      <c r="BP3148" s="1059"/>
      <c r="BQ3148" s="1059"/>
      <c r="BR3148" s="1059"/>
      <c r="BS3148" s="1059"/>
      <c r="BT3148" s="1059"/>
      <c r="BU3148" s="1059"/>
      <c r="BV3148" s="944"/>
      <c r="BW3148" s="944"/>
      <c r="BX3148" s="1147"/>
      <c r="BY3148" s="944"/>
      <c r="BZ3148" s="944"/>
      <c r="CA3148" s="944"/>
      <c r="CB3148" s="944"/>
    </row>
    <row r="3149" spans="2:80">
      <c r="B3149" s="1097"/>
      <c r="C3149" s="1097"/>
      <c r="D3149" s="1097"/>
      <c r="E3149" s="1097"/>
      <c r="F3149" s="934"/>
      <c r="G3149" s="1098"/>
      <c r="H3149" s="1099"/>
      <c r="I3149" s="1099"/>
      <c r="J3149" s="934"/>
      <c r="K3149" s="934"/>
      <c r="L3149" s="933"/>
      <c r="M3149" s="1100"/>
      <c r="N3149" s="934"/>
      <c r="O3149" s="936"/>
      <c r="P3149" s="936"/>
      <c r="Q3149" s="933"/>
      <c r="T3149" s="1101"/>
      <c r="U3149" s="1102"/>
      <c r="V3149" s="936"/>
      <c r="W3149" s="1103"/>
      <c r="X3149" s="1104"/>
      <c r="Y3149" s="1105"/>
      <c r="Z3149" s="1103"/>
      <c r="AC3149" s="1106"/>
      <c r="AD3149" s="1107"/>
      <c r="AE3149" s="1104"/>
      <c r="AG3149" s="1109"/>
      <c r="AI3149" s="1110"/>
      <c r="AL3149" s="933"/>
      <c r="AM3149" s="933"/>
      <c r="AN3149" s="1100"/>
      <c r="AO3149" s="1100"/>
      <c r="AP3149" s="934"/>
      <c r="AQ3149" s="934"/>
      <c r="AR3149" s="934"/>
      <c r="AS3149" s="936"/>
      <c r="AT3149" s="936"/>
      <c r="AU3149" s="936"/>
      <c r="AV3149" s="937"/>
      <c r="AW3149" s="938"/>
      <c r="AX3149" s="939"/>
      <c r="AY3149" s="933"/>
      <c r="AZ3149" s="936"/>
      <c r="BA3149" s="936"/>
      <c r="BB3149" s="1112"/>
      <c r="BC3149" s="940"/>
      <c r="BD3149" s="941"/>
      <c r="BE3149" s="942"/>
      <c r="BF3149" s="943"/>
      <c r="BG3149" s="943"/>
      <c r="BH3149" s="943"/>
      <c r="BI3149" s="943"/>
      <c r="BJ3149" s="943"/>
      <c r="BK3149" s="943"/>
      <c r="BL3149" s="943"/>
      <c r="BM3149" s="943"/>
      <c r="BN3149" s="943"/>
      <c r="BO3149" s="1059"/>
      <c r="BP3149" s="1059"/>
      <c r="BQ3149" s="1059"/>
      <c r="BR3149" s="1059"/>
      <c r="BS3149" s="1059"/>
      <c r="BT3149" s="1059"/>
      <c r="BU3149" s="1059"/>
      <c r="BV3149" s="944"/>
      <c r="BW3149" s="944"/>
      <c r="BX3149" s="1147"/>
      <c r="BY3149" s="944"/>
      <c r="BZ3149" s="944"/>
      <c r="CA3149" s="944"/>
      <c r="CB3149" s="944"/>
    </row>
    <row r="3150" spans="2:80">
      <c r="B3150" s="1097"/>
      <c r="C3150" s="1097"/>
      <c r="D3150" s="1097"/>
      <c r="E3150" s="1097"/>
      <c r="F3150" s="934"/>
      <c r="G3150" s="1098"/>
      <c r="H3150" s="1099"/>
      <c r="I3150" s="1099"/>
      <c r="J3150" s="934"/>
      <c r="K3150" s="934"/>
      <c r="L3150" s="933"/>
      <c r="M3150" s="1100"/>
      <c r="N3150" s="934"/>
      <c r="O3150" s="936"/>
      <c r="P3150" s="936"/>
      <c r="Q3150" s="933"/>
      <c r="T3150" s="1101"/>
      <c r="U3150" s="1102"/>
      <c r="V3150" s="936"/>
      <c r="W3150" s="1103"/>
      <c r="X3150" s="1104"/>
      <c r="Y3150" s="1105"/>
      <c r="Z3150" s="1103"/>
      <c r="AC3150" s="1106"/>
      <c r="AD3150" s="1107"/>
      <c r="AE3150" s="1104"/>
      <c r="AG3150" s="1109"/>
      <c r="AI3150" s="1110"/>
      <c r="AL3150" s="933"/>
      <c r="AM3150" s="933"/>
      <c r="AN3150" s="1100"/>
      <c r="AO3150" s="1100"/>
      <c r="AP3150" s="934"/>
      <c r="AQ3150" s="934"/>
      <c r="AR3150" s="934"/>
      <c r="AS3150" s="936"/>
      <c r="AT3150" s="936"/>
      <c r="AU3150" s="936"/>
      <c r="AV3150" s="937"/>
      <c r="AW3150" s="938"/>
      <c r="AX3150" s="939"/>
      <c r="AY3150" s="933"/>
      <c r="AZ3150" s="936"/>
      <c r="BA3150" s="936"/>
      <c r="BB3150" s="1112"/>
      <c r="BC3150" s="940"/>
      <c r="BD3150" s="941"/>
      <c r="BE3150" s="942"/>
      <c r="BF3150" s="943"/>
      <c r="BG3150" s="943"/>
      <c r="BH3150" s="943"/>
      <c r="BI3150" s="943"/>
      <c r="BJ3150" s="943"/>
      <c r="BK3150" s="943"/>
      <c r="BL3150" s="943"/>
      <c r="BM3150" s="943"/>
      <c r="BN3150" s="943"/>
      <c r="BO3150" s="1059"/>
      <c r="BP3150" s="1059"/>
      <c r="BQ3150" s="1059"/>
      <c r="BR3150" s="1059"/>
      <c r="BS3150" s="1059"/>
      <c r="BT3150" s="1059"/>
      <c r="BU3150" s="1059"/>
      <c r="BV3150" s="944"/>
      <c r="BW3150" s="944"/>
      <c r="BX3150" s="1147"/>
      <c r="BY3150" s="944"/>
      <c r="BZ3150" s="944"/>
      <c r="CA3150" s="944"/>
      <c r="CB3150" s="944"/>
    </row>
    <row r="3151" spans="2:80">
      <c r="B3151" s="1097"/>
      <c r="C3151" s="1097"/>
      <c r="D3151" s="1097"/>
      <c r="E3151" s="1097"/>
      <c r="F3151" s="934"/>
      <c r="G3151" s="1098"/>
      <c r="H3151" s="1099"/>
      <c r="I3151" s="1099"/>
      <c r="J3151" s="934"/>
      <c r="K3151" s="934"/>
      <c r="L3151" s="933"/>
      <c r="M3151" s="1100"/>
      <c r="N3151" s="934"/>
      <c r="O3151" s="936"/>
      <c r="P3151" s="936"/>
      <c r="Q3151" s="933"/>
      <c r="T3151" s="1101"/>
      <c r="U3151" s="1102"/>
      <c r="V3151" s="936"/>
      <c r="W3151" s="1103"/>
      <c r="X3151" s="1104"/>
      <c r="Y3151" s="1105"/>
      <c r="Z3151" s="1103"/>
      <c r="AC3151" s="1106"/>
      <c r="AD3151" s="1107"/>
      <c r="AE3151" s="1104"/>
      <c r="AG3151" s="1109"/>
      <c r="AI3151" s="1110"/>
      <c r="AL3151" s="933"/>
      <c r="AM3151" s="933"/>
      <c r="AN3151" s="1100"/>
      <c r="AO3151" s="1100"/>
      <c r="AP3151" s="934"/>
      <c r="AQ3151" s="934"/>
      <c r="AR3151" s="934"/>
      <c r="AS3151" s="936"/>
      <c r="AT3151" s="936"/>
      <c r="AU3151" s="936"/>
      <c r="AV3151" s="937"/>
      <c r="AW3151" s="938"/>
      <c r="AX3151" s="939"/>
      <c r="AY3151" s="933"/>
      <c r="AZ3151" s="936"/>
      <c r="BA3151" s="936"/>
      <c r="BB3151" s="1112"/>
      <c r="BC3151" s="940"/>
      <c r="BD3151" s="941"/>
      <c r="BE3151" s="942"/>
      <c r="BF3151" s="943"/>
      <c r="BG3151" s="943"/>
      <c r="BH3151" s="943"/>
      <c r="BI3151" s="943"/>
      <c r="BJ3151" s="943"/>
      <c r="BK3151" s="943"/>
      <c r="BL3151" s="943"/>
      <c r="BM3151" s="943"/>
      <c r="BN3151" s="943"/>
      <c r="BO3151" s="1059"/>
      <c r="BP3151" s="1059"/>
      <c r="BQ3151" s="1059"/>
      <c r="BR3151" s="1059"/>
      <c r="BS3151" s="1059"/>
      <c r="BT3151" s="1059"/>
      <c r="BU3151" s="1059"/>
      <c r="BV3151" s="944"/>
      <c r="BW3151" s="944"/>
      <c r="BX3151" s="1147"/>
      <c r="BY3151" s="944"/>
      <c r="BZ3151" s="944"/>
      <c r="CA3151" s="944"/>
      <c r="CB3151" s="944"/>
    </row>
    <row r="3152" spans="2:80">
      <c r="B3152" s="1097"/>
      <c r="C3152" s="1097"/>
      <c r="D3152" s="1097"/>
      <c r="E3152" s="1097"/>
      <c r="F3152" s="934"/>
      <c r="G3152" s="1098"/>
      <c r="H3152" s="1099"/>
      <c r="I3152" s="1099"/>
      <c r="J3152" s="934"/>
      <c r="K3152" s="934"/>
      <c r="L3152" s="933"/>
      <c r="M3152" s="1100"/>
      <c r="N3152" s="934"/>
      <c r="O3152" s="936"/>
      <c r="P3152" s="936"/>
      <c r="Q3152" s="933"/>
      <c r="T3152" s="1101"/>
      <c r="U3152" s="1102"/>
      <c r="V3152" s="936"/>
      <c r="W3152" s="1103"/>
      <c r="X3152" s="1104"/>
      <c r="Y3152" s="1105"/>
      <c r="Z3152" s="1103"/>
      <c r="AC3152" s="1106"/>
      <c r="AD3152" s="1107"/>
      <c r="AE3152" s="1104"/>
      <c r="AG3152" s="1109"/>
      <c r="AI3152" s="1110"/>
      <c r="AL3152" s="933"/>
      <c r="AM3152" s="933"/>
      <c r="AN3152" s="1100"/>
      <c r="AO3152" s="1100"/>
      <c r="AP3152" s="934"/>
      <c r="AQ3152" s="934"/>
      <c r="AR3152" s="934"/>
      <c r="AS3152" s="936"/>
      <c r="AT3152" s="936"/>
      <c r="AU3152" s="936"/>
      <c r="AV3152" s="937"/>
      <c r="AW3152" s="938"/>
      <c r="AX3152" s="939"/>
      <c r="AY3152" s="933"/>
      <c r="AZ3152" s="936"/>
      <c r="BA3152" s="936"/>
      <c r="BB3152" s="1112"/>
      <c r="BC3152" s="940"/>
      <c r="BD3152" s="941"/>
      <c r="BE3152" s="942"/>
      <c r="BF3152" s="943"/>
      <c r="BG3152" s="943"/>
      <c r="BH3152" s="943"/>
      <c r="BI3152" s="943"/>
      <c r="BJ3152" s="943"/>
      <c r="BK3152" s="943"/>
      <c r="BL3152" s="943"/>
      <c r="BM3152" s="943"/>
      <c r="BN3152" s="943"/>
      <c r="BO3152" s="1059"/>
      <c r="BP3152" s="1059"/>
      <c r="BQ3152" s="1059"/>
      <c r="BR3152" s="1059"/>
      <c r="BS3152" s="1059"/>
      <c r="BT3152" s="1059"/>
      <c r="BU3152" s="1059"/>
      <c r="BV3152" s="944"/>
      <c r="BW3152" s="944"/>
      <c r="BX3152" s="1147"/>
      <c r="BY3152" s="944"/>
      <c r="BZ3152" s="944"/>
      <c r="CA3152" s="944"/>
      <c r="CB3152" s="944"/>
    </row>
    <row r="3153" spans="2:80">
      <c r="B3153" s="1097"/>
      <c r="C3153" s="1097"/>
      <c r="D3153" s="1097"/>
      <c r="E3153" s="1097"/>
      <c r="F3153" s="934"/>
      <c r="G3153" s="1098"/>
      <c r="H3153" s="1099"/>
      <c r="I3153" s="1099"/>
      <c r="J3153" s="934"/>
      <c r="K3153" s="934"/>
      <c r="L3153" s="933"/>
      <c r="M3153" s="1100"/>
      <c r="N3153" s="934"/>
      <c r="O3153" s="936"/>
      <c r="P3153" s="936"/>
      <c r="Q3153" s="933"/>
      <c r="T3153" s="1101"/>
      <c r="U3153" s="1102"/>
      <c r="V3153" s="936"/>
      <c r="W3153" s="1103"/>
      <c r="X3153" s="1104"/>
      <c r="Y3153" s="1105"/>
      <c r="Z3153" s="1103"/>
      <c r="AC3153" s="1106"/>
      <c r="AD3153" s="1107"/>
      <c r="AE3153" s="1104"/>
      <c r="AG3153" s="1109"/>
      <c r="AI3153" s="1110"/>
      <c r="AL3153" s="933"/>
      <c r="AM3153" s="933"/>
      <c r="AN3153" s="1100"/>
      <c r="AO3153" s="1100"/>
      <c r="AP3153" s="934"/>
      <c r="AQ3153" s="934"/>
      <c r="AR3153" s="934"/>
      <c r="AS3153" s="936"/>
      <c r="AT3153" s="936"/>
      <c r="AU3153" s="936"/>
      <c r="AV3153" s="937"/>
      <c r="AW3153" s="938"/>
      <c r="AX3153" s="939"/>
      <c r="AY3153" s="933"/>
      <c r="AZ3153" s="936"/>
      <c r="BA3153" s="936"/>
      <c r="BB3153" s="1112"/>
      <c r="BC3153" s="940"/>
      <c r="BD3153" s="941"/>
      <c r="BE3153" s="942"/>
      <c r="BF3153" s="943"/>
      <c r="BG3153" s="943"/>
      <c r="BH3153" s="943"/>
      <c r="BI3153" s="943"/>
      <c r="BJ3153" s="943"/>
      <c r="BK3153" s="943"/>
      <c r="BL3153" s="943"/>
      <c r="BM3153" s="943"/>
      <c r="BN3153" s="943"/>
      <c r="BO3153" s="1059"/>
      <c r="BP3153" s="1059"/>
      <c r="BQ3153" s="1059"/>
      <c r="BR3153" s="1059"/>
      <c r="BS3153" s="1059"/>
      <c r="BT3153" s="1059"/>
      <c r="BU3153" s="1059"/>
      <c r="BV3153" s="944"/>
      <c r="BW3153" s="944"/>
      <c r="BX3153" s="1147"/>
      <c r="BY3153" s="944"/>
      <c r="BZ3153" s="944"/>
      <c r="CA3153" s="944"/>
      <c r="CB3153" s="944"/>
    </row>
    <row r="3154" spans="2:80">
      <c r="B3154" s="1097"/>
      <c r="C3154" s="1097"/>
      <c r="D3154" s="1097"/>
      <c r="E3154" s="1097"/>
      <c r="F3154" s="934"/>
      <c r="G3154" s="1098"/>
      <c r="H3154" s="1099"/>
      <c r="I3154" s="1099"/>
      <c r="J3154" s="934"/>
      <c r="K3154" s="934"/>
      <c r="L3154" s="933"/>
      <c r="M3154" s="1100"/>
      <c r="N3154" s="934"/>
      <c r="O3154" s="936"/>
      <c r="P3154" s="936"/>
      <c r="Q3154" s="933"/>
      <c r="T3154" s="1101"/>
      <c r="U3154" s="1102"/>
      <c r="V3154" s="936"/>
      <c r="W3154" s="1103"/>
      <c r="X3154" s="1104"/>
      <c r="Y3154" s="1105"/>
      <c r="Z3154" s="1103"/>
      <c r="AC3154" s="1106"/>
      <c r="AD3154" s="1107"/>
      <c r="AE3154" s="1104"/>
      <c r="AG3154" s="1109"/>
      <c r="AI3154" s="1110"/>
      <c r="AL3154" s="933"/>
      <c r="AM3154" s="933"/>
      <c r="AN3154" s="1100"/>
      <c r="AO3154" s="1100"/>
      <c r="AP3154" s="934"/>
      <c r="AQ3154" s="934"/>
      <c r="AR3154" s="934"/>
      <c r="AS3154" s="936"/>
      <c r="AT3154" s="936"/>
      <c r="AU3154" s="936"/>
      <c r="AV3154" s="937"/>
      <c r="AW3154" s="938"/>
      <c r="AX3154" s="939"/>
      <c r="AY3154" s="933"/>
      <c r="AZ3154" s="936"/>
      <c r="BA3154" s="936"/>
      <c r="BB3154" s="1112"/>
      <c r="BC3154" s="940"/>
      <c r="BD3154" s="941"/>
      <c r="BE3154" s="942"/>
      <c r="BF3154" s="943"/>
      <c r="BG3154" s="943"/>
      <c r="BH3154" s="943"/>
      <c r="BI3154" s="943"/>
      <c r="BJ3154" s="943"/>
      <c r="BK3154" s="943"/>
      <c r="BL3154" s="943"/>
      <c r="BM3154" s="943"/>
      <c r="BN3154" s="943"/>
      <c r="BO3154" s="1059"/>
      <c r="BP3154" s="1059"/>
      <c r="BQ3154" s="1059"/>
      <c r="BR3154" s="1059"/>
      <c r="BS3154" s="1059"/>
      <c r="BT3154" s="1059"/>
      <c r="BU3154" s="1059"/>
      <c r="BV3154" s="944"/>
      <c r="BW3154" s="944"/>
      <c r="BX3154" s="1147"/>
      <c r="BY3154" s="944"/>
      <c r="BZ3154" s="944"/>
      <c r="CA3154" s="944"/>
      <c r="CB3154" s="944"/>
    </row>
    <row r="3155" spans="2:80">
      <c r="B3155" s="1097"/>
      <c r="C3155" s="1097"/>
      <c r="D3155" s="1097"/>
      <c r="E3155" s="1097"/>
      <c r="F3155" s="934"/>
      <c r="G3155" s="1098"/>
      <c r="H3155" s="1099"/>
      <c r="I3155" s="1099"/>
      <c r="J3155" s="934"/>
      <c r="K3155" s="934"/>
      <c r="L3155" s="933"/>
      <c r="M3155" s="1100"/>
      <c r="N3155" s="934"/>
      <c r="O3155" s="936"/>
      <c r="P3155" s="936"/>
      <c r="Q3155" s="933"/>
      <c r="T3155" s="1101"/>
      <c r="U3155" s="1102"/>
      <c r="V3155" s="936"/>
      <c r="W3155" s="1103"/>
      <c r="X3155" s="1104"/>
      <c r="Y3155" s="1105"/>
      <c r="Z3155" s="1103"/>
      <c r="AC3155" s="1106"/>
      <c r="AD3155" s="1107"/>
      <c r="AE3155" s="1104"/>
      <c r="AG3155" s="1109"/>
      <c r="AI3155" s="1110"/>
      <c r="AL3155" s="933"/>
      <c r="AM3155" s="933"/>
      <c r="AN3155" s="1100"/>
      <c r="AO3155" s="1100"/>
      <c r="AP3155" s="934"/>
      <c r="AQ3155" s="934"/>
      <c r="AR3155" s="934"/>
      <c r="AS3155" s="936"/>
      <c r="AT3155" s="936"/>
      <c r="AU3155" s="936"/>
      <c r="AV3155" s="937"/>
      <c r="AW3155" s="938"/>
      <c r="AX3155" s="939"/>
      <c r="AY3155" s="933"/>
      <c r="AZ3155" s="936"/>
      <c r="BA3155" s="936"/>
      <c r="BB3155" s="1112"/>
      <c r="BC3155" s="940"/>
      <c r="BD3155" s="941"/>
      <c r="BE3155" s="942"/>
      <c r="BF3155" s="943"/>
      <c r="BG3155" s="943"/>
      <c r="BH3155" s="943"/>
      <c r="BI3155" s="943"/>
      <c r="BJ3155" s="943"/>
      <c r="BK3155" s="943"/>
      <c r="BL3155" s="943"/>
      <c r="BM3155" s="943"/>
      <c r="BN3155" s="943"/>
      <c r="BO3155" s="1059"/>
      <c r="BP3155" s="1059"/>
      <c r="BQ3155" s="1059"/>
      <c r="BR3155" s="1059"/>
      <c r="BS3155" s="1059"/>
      <c r="BT3155" s="1059"/>
      <c r="BU3155" s="1059"/>
      <c r="BV3155" s="944"/>
      <c r="BW3155" s="944"/>
      <c r="BX3155" s="1147"/>
      <c r="BY3155" s="944"/>
      <c r="BZ3155" s="944"/>
      <c r="CA3155" s="944"/>
      <c r="CB3155" s="944"/>
    </row>
    <row r="3156" spans="2:80">
      <c r="B3156" s="1097"/>
      <c r="C3156" s="1097"/>
      <c r="D3156" s="1097"/>
      <c r="E3156" s="1097"/>
      <c r="F3156" s="934"/>
      <c r="G3156" s="1098"/>
      <c r="H3156" s="1099"/>
      <c r="I3156" s="1099"/>
      <c r="J3156" s="934"/>
      <c r="K3156" s="934"/>
      <c r="L3156" s="933"/>
      <c r="M3156" s="1100"/>
      <c r="N3156" s="934"/>
      <c r="O3156" s="936"/>
      <c r="P3156" s="936"/>
      <c r="Q3156" s="933"/>
      <c r="T3156" s="1101"/>
      <c r="U3156" s="1102"/>
      <c r="V3156" s="936"/>
      <c r="W3156" s="1103"/>
      <c r="X3156" s="1104"/>
      <c r="Y3156" s="1105"/>
      <c r="Z3156" s="1103"/>
      <c r="AC3156" s="1106"/>
      <c r="AD3156" s="1107"/>
      <c r="AE3156" s="1104"/>
      <c r="AG3156" s="1109"/>
      <c r="AI3156" s="1110"/>
      <c r="AL3156" s="933"/>
      <c r="AM3156" s="933"/>
      <c r="AN3156" s="1100"/>
      <c r="AO3156" s="1100"/>
      <c r="AP3156" s="934"/>
      <c r="AQ3156" s="934"/>
      <c r="AR3156" s="934"/>
      <c r="AS3156" s="936"/>
      <c r="AT3156" s="936"/>
      <c r="AU3156" s="936"/>
      <c r="AV3156" s="937"/>
      <c r="AW3156" s="938"/>
      <c r="AX3156" s="939"/>
      <c r="AY3156" s="933"/>
      <c r="AZ3156" s="936"/>
      <c r="BA3156" s="936"/>
      <c r="BB3156" s="1112"/>
      <c r="BC3156" s="940"/>
      <c r="BD3156" s="941"/>
      <c r="BE3156" s="942"/>
      <c r="BF3156" s="943"/>
      <c r="BG3156" s="943"/>
      <c r="BH3156" s="943"/>
      <c r="BI3156" s="943"/>
      <c r="BJ3156" s="943"/>
      <c r="BK3156" s="943"/>
      <c r="BL3156" s="943"/>
      <c r="BM3156" s="943"/>
      <c r="BN3156" s="943"/>
      <c r="BO3156" s="1059"/>
      <c r="BP3156" s="1059"/>
      <c r="BQ3156" s="1059"/>
      <c r="BR3156" s="1059"/>
      <c r="BS3156" s="1059"/>
      <c r="BT3156" s="1059"/>
      <c r="BU3156" s="1059"/>
      <c r="BV3156" s="944"/>
      <c r="BW3156" s="944"/>
      <c r="BX3156" s="1147"/>
      <c r="BY3156" s="944"/>
      <c r="BZ3156" s="944"/>
      <c r="CA3156" s="944"/>
      <c r="CB3156" s="944"/>
    </row>
    <row r="3157" spans="2:80">
      <c r="B3157" s="1097"/>
      <c r="C3157" s="1097"/>
      <c r="D3157" s="1097"/>
      <c r="E3157" s="1097"/>
      <c r="F3157" s="934"/>
      <c r="G3157" s="1098"/>
      <c r="H3157" s="1099"/>
      <c r="I3157" s="1099"/>
      <c r="J3157" s="934"/>
      <c r="K3157" s="934"/>
      <c r="L3157" s="933"/>
      <c r="M3157" s="1100"/>
      <c r="N3157" s="934"/>
      <c r="O3157" s="936"/>
      <c r="P3157" s="936"/>
      <c r="Q3157" s="933"/>
      <c r="T3157" s="1101"/>
      <c r="U3157" s="1102"/>
      <c r="V3157" s="936"/>
      <c r="W3157" s="1103"/>
      <c r="X3157" s="1104"/>
      <c r="Y3157" s="1105"/>
      <c r="Z3157" s="1103"/>
      <c r="AC3157" s="1106"/>
      <c r="AD3157" s="1107"/>
      <c r="AE3157" s="1104"/>
      <c r="AG3157" s="1109"/>
      <c r="AI3157" s="1110"/>
      <c r="AL3157" s="933"/>
      <c r="AM3157" s="933"/>
      <c r="AN3157" s="1100"/>
      <c r="AO3157" s="1100"/>
      <c r="AP3157" s="934"/>
      <c r="AQ3157" s="934"/>
      <c r="AR3157" s="934"/>
      <c r="AS3157" s="936"/>
      <c r="AT3157" s="936"/>
      <c r="AU3157" s="936"/>
      <c r="AV3157" s="937"/>
      <c r="AW3157" s="938"/>
      <c r="AX3157" s="939"/>
      <c r="AY3157" s="933"/>
      <c r="AZ3157" s="936"/>
      <c r="BA3157" s="936"/>
      <c r="BB3157" s="1112"/>
      <c r="BC3157" s="940"/>
      <c r="BD3157" s="941"/>
      <c r="BE3157" s="942"/>
      <c r="BF3157" s="943"/>
      <c r="BG3157" s="943"/>
      <c r="BH3157" s="943"/>
      <c r="BI3157" s="943"/>
      <c r="BJ3157" s="943"/>
      <c r="BK3157" s="943"/>
      <c r="BL3157" s="943"/>
      <c r="BM3157" s="943"/>
      <c r="BN3157" s="943"/>
      <c r="BO3157" s="1059"/>
      <c r="BP3157" s="1059"/>
      <c r="BQ3157" s="1059"/>
      <c r="BR3157" s="1059"/>
      <c r="BS3157" s="1059"/>
      <c r="BT3157" s="1059"/>
      <c r="BU3157" s="1059"/>
      <c r="BV3157" s="944"/>
      <c r="BW3157" s="944"/>
      <c r="BX3157" s="1147"/>
      <c r="BY3157" s="944"/>
      <c r="BZ3157" s="944"/>
      <c r="CA3157" s="944"/>
      <c r="CB3157" s="944"/>
    </row>
    <row r="3158" spans="2:80">
      <c r="B3158" s="1097"/>
      <c r="C3158" s="1097"/>
      <c r="D3158" s="1097"/>
      <c r="E3158" s="1097"/>
      <c r="F3158" s="934"/>
      <c r="G3158" s="1098"/>
      <c r="H3158" s="1099"/>
      <c r="I3158" s="1099"/>
      <c r="J3158" s="934"/>
      <c r="K3158" s="934"/>
      <c r="L3158" s="933"/>
      <c r="M3158" s="1100"/>
      <c r="N3158" s="934"/>
      <c r="O3158" s="936"/>
      <c r="P3158" s="936"/>
      <c r="Q3158" s="933"/>
      <c r="T3158" s="1101"/>
      <c r="U3158" s="1102"/>
      <c r="V3158" s="936"/>
      <c r="W3158" s="1103"/>
      <c r="X3158" s="1104"/>
      <c r="Y3158" s="1105"/>
      <c r="Z3158" s="1103"/>
      <c r="AC3158" s="1106"/>
      <c r="AD3158" s="1107"/>
      <c r="AE3158" s="1104"/>
      <c r="AG3158" s="1109"/>
      <c r="AI3158" s="1110"/>
      <c r="AL3158" s="933"/>
      <c r="AM3158" s="933"/>
      <c r="AN3158" s="1100"/>
      <c r="AO3158" s="1100"/>
      <c r="AP3158" s="934"/>
      <c r="AQ3158" s="934"/>
      <c r="AR3158" s="934"/>
      <c r="AS3158" s="936"/>
      <c r="AT3158" s="936"/>
      <c r="AU3158" s="936"/>
      <c r="AV3158" s="937"/>
      <c r="AW3158" s="938"/>
      <c r="AX3158" s="939"/>
      <c r="AY3158" s="933"/>
      <c r="AZ3158" s="936"/>
      <c r="BA3158" s="936"/>
      <c r="BB3158" s="1112"/>
      <c r="BC3158" s="940"/>
      <c r="BD3158" s="941"/>
      <c r="BE3158" s="942"/>
      <c r="BF3158" s="943"/>
      <c r="BG3158" s="943"/>
      <c r="BH3158" s="943"/>
      <c r="BI3158" s="943"/>
      <c r="BJ3158" s="943"/>
      <c r="BK3158" s="943"/>
      <c r="BL3158" s="943"/>
      <c r="BM3158" s="943"/>
      <c r="BN3158" s="943"/>
      <c r="BO3158" s="1059"/>
      <c r="BP3158" s="1059"/>
      <c r="BQ3158" s="1059"/>
      <c r="BR3158" s="1059"/>
      <c r="BS3158" s="1059"/>
      <c r="BT3158" s="1059"/>
      <c r="BU3158" s="1059"/>
      <c r="BV3158" s="944"/>
      <c r="BW3158" s="944"/>
      <c r="BX3158" s="1147"/>
      <c r="BY3158" s="944"/>
      <c r="BZ3158" s="944"/>
      <c r="CA3158" s="944"/>
      <c r="CB3158" s="944"/>
    </row>
    <row r="3159" spans="2:80">
      <c r="B3159" s="1097"/>
      <c r="C3159" s="1097"/>
      <c r="D3159" s="1097"/>
      <c r="E3159" s="1097"/>
      <c r="F3159" s="934"/>
      <c r="G3159" s="1098"/>
      <c r="H3159" s="1099"/>
      <c r="I3159" s="1099"/>
      <c r="J3159" s="934"/>
      <c r="K3159" s="934"/>
      <c r="L3159" s="933"/>
      <c r="M3159" s="1100"/>
      <c r="N3159" s="934"/>
      <c r="O3159" s="936"/>
      <c r="P3159" s="936"/>
      <c r="Q3159" s="933"/>
      <c r="T3159" s="1101"/>
      <c r="U3159" s="1102"/>
      <c r="V3159" s="936"/>
      <c r="W3159" s="1103"/>
      <c r="X3159" s="1104"/>
      <c r="Y3159" s="1105"/>
      <c r="Z3159" s="1103"/>
      <c r="AC3159" s="1106"/>
      <c r="AD3159" s="1107"/>
      <c r="AE3159" s="1104"/>
      <c r="AG3159" s="1109"/>
      <c r="AI3159" s="1110"/>
      <c r="AL3159" s="933"/>
      <c r="AM3159" s="933"/>
      <c r="AN3159" s="1100"/>
      <c r="AO3159" s="1100"/>
      <c r="AP3159" s="934"/>
      <c r="AQ3159" s="934"/>
      <c r="AR3159" s="934"/>
      <c r="AS3159" s="936"/>
      <c r="AT3159" s="936"/>
      <c r="AU3159" s="936"/>
      <c r="AV3159" s="937"/>
      <c r="AW3159" s="938"/>
      <c r="AX3159" s="939"/>
      <c r="AY3159" s="933"/>
      <c r="AZ3159" s="936"/>
      <c r="BA3159" s="936"/>
      <c r="BB3159" s="1112"/>
      <c r="BC3159" s="940"/>
      <c r="BD3159" s="941"/>
      <c r="BE3159" s="942"/>
      <c r="BF3159" s="943"/>
      <c r="BG3159" s="943"/>
      <c r="BH3159" s="943"/>
      <c r="BI3159" s="943"/>
      <c r="BJ3159" s="943"/>
      <c r="BK3159" s="943"/>
      <c r="BL3159" s="943"/>
      <c r="BM3159" s="943"/>
      <c r="BN3159" s="943"/>
      <c r="BO3159" s="1059"/>
      <c r="BP3159" s="1059"/>
      <c r="BQ3159" s="1059"/>
      <c r="BR3159" s="1059"/>
      <c r="BS3159" s="1059"/>
      <c r="BT3159" s="1059"/>
      <c r="BU3159" s="1059"/>
      <c r="BV3159" s="944"/>
      <c r="BW3159" s="944"/>
      <c r="BX3159" s="1147"/>
      <c r="BY3159" s="944"/>
      <c r="BZ3159" s="944"/>
      <c r="CA3159" s="944"/>
      <c r="CB3159" s="944"/>
    </row>
    <row r="3160" spans="2:80">
      <c r="B3160" s="1097"/>
      <c r="C3160" s="1097"/>
      <c r="D3160" s="1097"/>
      <c r="E3160" s="1097"/>
      <c r="F3160" s="934"/>
      <c r="G3160" s="1098"/>
      <c r="H3160" s="1099"/>
      <c r="I3160" s="1099"/>
      <c r="J3160" s="934"/>
      <c r="K3160" s="934"/>
      <c r="L3160" s="933"/>
      <c r="M3160" s="1100"/>
      <c r="N3160" s="934"/>
      <c r="O3160" s="936"/>
      <c r="P3160" s="936"/>
      <c r="Q3160" s="933"/>
      <c r="T3160" s="1101"/>
      <c r="U3160" s="1102"/>
      <c r="V3160" s="936"/>
      <c r="W3160" s="1103"/>
      <c r="X3160" s="1104"/>
      <c r="Y3160" s="1105"/>
      <c r="Z3160" s="1103"/>
      <c r="AC3160" s="1106"/>
      <c r="AD3160" s="1107"/>
      <c r="AE3160" s="1104"/>
      <c r="AG3160" s="1109"/>
      <c r="AI3160" s="1110"/>
      <c r="AL3160" s="933"/>
      <c r="AM3160" s="933"/>
      <c r="AN3160" s="1100"/>
      <c r="AO3160" s="1100"/>
      <c r="AP3160" s="934"/>
      <c r="AQ3160" s="934"/>
      <c r="AR3160" s="934"/>
      <c r="AS3160" s="936"/>
      <c r="AT3160" s="936"/>
      <c r="AU3160" s="936"/>
      <c r="AV3160" s="937"/>
      <c r="AW3160" s="938"/>
      <c r="AX3160" s="939"/>
      <c r="AY3160" s="933"/>
      <c r="AZ3160" s="936"/>
      <c r="BA3160" s="936"/>
      <c r="BB3160" s="1112"/>
      <c r="BC3160" s="940"/>
      <c r="BD3160" s="941"/>
      <c r="BE3160" s="942"/>
      <c r="BF3160" s="943"/>
      <c r="BG3160" s="943"/>
      <c r="BH3160" s="943"/>
      <c r="BI3160" s="943"/>
      <c r="BJ3160" s="943"/>
      <c r="BK3160" s="943"/>
      <c r="BL3160" s="943"/>
      <c r="BM3160" s="943"/>
      <c r="BN3160" s="943"/>
      <c r="BO3160" s="1059"/>
      <c r="BP3160" s="1059"/>
      <c r="BQ3160" s="1059"/>
      <c r="BR3160" s="1059"/>
      <c r="BS3160" s="1059"/>
      <c r="BT3160" s="1059"/>
      <c r="BU3160" s="1059"/>
      <c r="BV3160" s="944"/>
      <c r="BW3160" s="944"/>
      <c r="BX3160" s="1147"/>
      <c r="BY3160" s="944"/>
      <c r="BZ3160" s="944"/>
      <c r="CA3160" s="944"/>
      <c r="CB3160" s="944"/>
    </row>
    <row r="3161" spans="2:80">
      <c r="B3161" s="1097"/>
      <c r="C3161" s="1097"/>
      <c r="D3161" s="1097"/>
      <c r="E3161" s="1097"/>
      <c r="F3161" s="934"/>
      <c r="G3161" s="1098"/>
      <c r="H3161" s="1099"/>
      <c r="I3161" s="1099"/>
      <c r="J3161" s="934"/>
      <c r="K3161" s="934"/>
      <c r="L3161" s="933"/>
      <c r="M3161" s="1100"/>
      <c r="N3161" s="934"/>
      <c r="O3161" s="936"/>
      <c r="P3161" s="936"/>
      <c r="Q3161" s="933"/>
      <c r="T3161" s="1101"/>
      <c r="U3161" s="1102"/>
      <c r="V3161" s="936"/>
      <c r="W3161" s="1103"/>
      <c r="X3161" s="1104"/>
      <c r="Y3161" s="1105"/>
      <c r="Z3161" s="1103"/>
      <c r="AC3161" s="1106"/>
      <c r="AD3161" s="1107"/>
      <c r="AE3161" s="1104"/>
      <c r="AG3161" s="1109"/>
      <c r="AI3161" s="1110"/>
      <c r="AL3161" s="933"/>
      <c r="AM3161" s="933"/>
      <c r="AN3161" s="1100"/>
      <c r="AO3161" s="1100"/>
      <c r="AP3161" s="934"/>
      <c r="AQ3161" s="934"/>
      <c r="AR3161" s="934"/>
      <c r="AS3161" s="936"/>
      <c r="AT3161" s="936"/>
      <c r="AU3161" s="936"/>
      <c r="AV3161" s="937"/>
      <c r="AW3161" s="938"/>
      <c r="AX3161" s="939"/>
      <c r="AY3161" s="933"/>
      <c r="AZ3161" s="936"/>
      <c r="BA3161" s="936"/>
      <c r="BB3161" s="1112"/>
      <c r="BC3161" s="940"/>
      <c r="BD3161" s="941"/>
      <c r="BE3161" s="942"/>
      <c r="BF3161" s="943"/>
      <c r="BG3161" s="943"/>
      <c r="BH3161" s="943"/>
      <c r="BI3161" s="943"/>
      <c r="BJ3161" s="943"/>
      <c r="BK3161" s="943"/>
      <c r="BL3161" s="943"/>
      <c r="BM3161" s="943"/>
      <c r="BN3161" s="943"/>
      <c r="BO3161" s="1059"/>
      <c r="BP3161" s="1059"/>
      <c r="BQ3161" s="1059"/>
      <c r="BR3161" s="1059"/>
      <c r="BS3161" s="1059"/>
      <c r="BT3161" s="1059"/>
      <c r="BU3161" s="1059"/>
      <c r="BV3161" s="944"/>
      <c r="BW3161" s="944"/>
      <c r="BX3161" s="1147"/>
      <c r="BY3161" s="944"/>
      <c r="BZ3161" s="944"/>
      <c r="CA3161" s="944"/>
      <c r="CB3161" s="944"/>
    </row>
    <row r="3162" spans="2:80">
      <c r="B3162" s="1097"/>
      <c r="C3162" s="1097"/>
      <c r="D3162" s="1097"/>
      <c r="E3162" s="1097"/>
      <c r="F3162" s="934"/>
      <c r="G3162" s="1098"/>
      <c r="H3162" s="1099"/>
      <c r="I3162" s="1099"/>
      <c r="J3162" s="934"/>
      <c r="K3162" s="934"/>
      <c r="L3162" s="933"/>
      <c r="M3162" s="1100"/>
      <c r="N3162" s="934"/>
      <c r="O3162" s="936"/>
      <c r="P3162" s="936"/>
      <c r="Q3162" s="933"/>
      <c r="T3162" s="1101"/>
      <c r="U3162" s="1102"/>
      <c r="V3162" s="936"/>
      <c r="W3162" s="1103"/>
      <c r="X3162" s="1104"/>
      <c r="Y3162" s="1105"/>
      <c r="Z3162" s="1103"/>
      <c r="AC3162" s="1106"/>
      <c r="AD3162" s="1107"/>
      <c r="AE3162" s="1104"/>
      <c r="AG3162" s="1109"/>
      <c r="AI3162" s="1110"/>
      <c r="AL3162" s="933"/>
      <c r="AM3162" s="933"/>
      <c r="AN3162" s="1100"/>
      <c r="AO3162" s="1100"/>
      <c r="AP3162" s="934"/>
      <c r="AQ3162" s="934"/>
      <c r="AR3162" s="934"/>
      <c r="AS3162" s="936"/>
      <c r="AT3162" s="936"/>
      <c r="AU3162" s="936"/>
      <c r="AV3162" s="937"/>
      <c r="AW3162" s="938"/>
      <c r="AX3162" s="939"/>
      <c r="AY3162" s="933"/>
      <c r="AZ3162" s="936"/>
      <c r="BA3162" s="936"/>
      <c r="BB3162" s="1112"/>
      <c r="BC3162" s="940"/>
      <c r="BD3162" s="941"/>
      <c r="BE3162" s="942"/>
      <c r="BF3162" s="943"/>
      <c r="BG3162" s="943"/>
      <c r="BH3162" s="943"/>
      <c r="BI3162" s="943"/>
      <c r="BJ3162" s="943"/>
      <c r="BK3162" s="943"/>
      <c r="BL3162" s="943"/>
      <c r="BM3162" s="943"/>
      <c r="BN3162" s="943"/>
      <c r="BO3162" s="1059"/>
      <c r="BP3162" s="1059"/>
      <c r="BQ3162" s="1059"/>
      <c r="BR3162" s="1059"/>
      <c r="BS3162" s="1059"/>
      <c r="BT3162" s="1059"/>
      <c r="BU3162" s="1059"/>
      <c r="BV3162" s="944"/>
      <c r="BW3162" s="944"/>
      <c r="BX3162" s="1147"/>
      <c r="BY3162" s="944"/>
      <c r="BZ3162" s="944"/>
      <c r="CA3162" s="944"/>
      <c r="CB3162" s="944"/>
    </row>
    <row r="3163" spans="2:80">
      <c r="B3163" s="1097"/>
      <c r="C3163" s="1097"/>
      <c r="D3163" s="1097"/>
      <c r="E3163" s="1097"/>
      <c r="F3163" s="934"/>
      <c r="G3163" s="1098"/>
      <c r="H3163" s="1099"/>
      <c r="I3163" s="1099"/>
      <c r="J3163" s="934"/>
      <c r="K3163" s="934"/>
      <c r="L3163" s="933"/>
      <c r="M3163" s="1100"/>
      <c r="N3163" s="934"/>
      <c r="O3163" s="936"/>
      <c r="P3163" s="936"/>
      <c r="Q3163" s="933"/>
      <c r="T3163" s="1101"/>
      <c r="U3163" s="1102"/>
      <c r="V3163" s="936"/>
      <c r="W3163" s="1103"/>
      <c r="X3163" s="1104"/>
      <c r="Y3163" s="1105"/>
      <c r="Z3163" s="1103"/>
      <c r="AC3163" s="1106"/>
      <c r="AD3163" s="1107"/>
      <c r="AE3163" s="1104"/>
      <c r="AG3163" s="1109"/>
      <c r="AI3163" s="1110"/>
      <c r="AL3163" s="933"/>
      <c r="AM3163" s="933"/>
      <c r="AN3163" s="1100"/>
      <c r="AO3163" s="1100"/>
      <c r="AP3163" s="934"/>
      <c r="AQ3163" s="934"/>
      <c r="AR3163" s="934"/>
      <c r="AS3163" s="936"/>
      <c r="AT3163" s="936"/>
      <c r="AU3163" s="936"/>
      <c r="AV3163" s="937"/>
      <c r="AW3163" s="938"/>
      <c r="AX3163" s="939"/>
      <c r="AY3163" s="933"/>
      <c r="AZ3163" s="936"/>
      <c r="BA3163" s="936"/>
      <c r="BB3163" s="1112"/>
      <c r="BC3163" s="940"/>
      <c r="BD3163" s="941"/>
      <c r="BE3163" s="942"/>
      <c r="BF3163" s="943"/>
      <c r="BG3163" s="943"/>
      <c r="BH3163" s="943"/>
      <c r="BI3163" s="943"/>
      <c r="BJ3163" s="943"/>
      <c r="BK3163" s="943"/>
      <c r="BL3163" s="943"/>
      <c r="BM3163" s="943"/>
      <c r="BN3163" s="943"/>
      <c r="BO3163" s="1059"/>
      <c r="BP3163" s="1059"/>
      <c r="BQ3163" s="1059"/>
      <c r="BR3163" s="1059"/>
      <c r="BS3163" s="1059"/>
      <c r="BT3163" s="1059"/>
      <c r="BU3163" s="1059"/>
      <c r="BV3163" s="944"/>
      <c r="BW3163" s="944"/>
      <c r="BX3163" s="1147"/>
      <c r="BY3163" s="944"/>
      <c r="BZ3163" s="944"/>
      <c r="CA3163" s="944"/>
      <c r="CB3163" s="944"/>
    </row>
    <row r="3164" spans="2:80">
      <c r="B3164" s="1097"/>
      <c r="C3164" s="1097"/>
      <c r="D3164" s="1097"/>
      <c r="E3164" s="1097"/>
      <c r="F3164" s="934"/>
      <c r="G3164" s="1098"/>
      <c r="H3164" s="1099"/>
      <c r="I3164" s="1099"/>
      <c r="J3164" s="934"/>
      <c r="K3164" s="934"/>
      <c r="L3164" s="933"/>
      <c r="M3164" s="1100"/>
      <c r="N3164" s="934"/>
      <c r="O3164" s="936"/>
      <c r="P3164" s="936"/>
      <c r="Q3164" s="933"/>
      <c r="T3164" s="1101"/>
      <c r="U3164" s="1102"/>
      <c r="V3164" s="936"/>
      <c r="W3164" s="1103"/>
      <c r="X3164" s="1104"/>
      <c r="Y3164" s="1105"/>
      <c r="Z3164" s="1103"/>
      <c r="AC3164" s="1106"/>
      <c r="AD3164" s="1107"/>
      <c r="AE3164" s="1104"/>
      <c r="AG3164" s="1109"/>
      <c r="AI3164" s="1110"/>
      <c r="AL3164" s="933"/>
      <c r="AM3164" s="933"/>
      <c r="AN3164" s="1100"/>
      <c r="AO3164" s="1100"/>
      <c r="AP3164" s="934"/>
      <c r="AQ3164" s="934"/>
      <c r="AR3164" s="934"/>
      <c r="AS3164" s="936"/>
      <c r="AT3164" s="936"/>
      <c r="AU3164" s="936"/>
      <c r="AV3164" s="937"/>
      <c r="AW3164" s="938"/>
      <c r="AX3164" s="939"/>
      <c r="AY3164" s="933"/>
      <c r="AZ3164" s="936"/>
      <c r="BA3164" s="936"/>
      <c r="BB3164" s="1112"/>
      <c r="BC3164" s="940"/>
      <c r="BD3164" s="941"/>
      <c r="BE3164" s="942"/>
      <c r="BF3164" s="943"/>
      <c r="BG3164" s="943"/>
      <c r="BH3164" s="943"/>
      <c r="BI3164" s="943"/>
      <c r="BJ3164" s="943"/>
      <c r="BK3164" s="943"/>
      <c r="BL3164" s="943"/>
      <c r="BM3164" s="943"/>
      <c r="BN3164" s="943"/>
      <c r="BO3164" s="1059"/>
      <c r="BP3164" s="1059"/>
      <c r="BQ3164" s="1059"/>
      <c r="BR3164" s="1059"/>
      <c r="BS3164" s="1059"/>
      <c r="BT3164" s="1059"/>
      <c r="BU3164" s="1059"/>
      <c r="BV3164" s="944"/>
      <c r="BW3164" s="944"/>
      <c r="BX3164" s="1147"/>
      <c r="BY3164" s="944"/>
      <c r="BZ3164" s="944"/>
      <c r="CA3164" s="944"/>
      <c r="CB3164" s="944"/>
    </row>
    <row r="3165" spans="2:80">
      <c r="B3165" s="1097"/>
      <c r="C3165" s="1097"/>
      <c r="D3165" s="1097"/>
      <c r="E3165" s="1097"/>
      <c r="F3165" s="934"/>
      <c r="G3165" s="1098"/>
      <c r="H3165" s="1099"/>
      <c r="I3165" s="1099"/>
      <c r="J3165" s="934"/>
      <c r="K3165" s="934"/>
      <c r="L3165" s="933"/>
      <c r="M3165" s="1100"/>
      <c r="N3165" s="934"/>
      <c r="O3165" s="936"/>
      <c r="P3165" s="936"/>
      <c r="Q3165" s="933"/>
      <c r="T3165" s="1101"/>
      <c r="U3165" s="1102"/>
      <c r="V3165" s="936"/>
      <c r="W3165" s="1103"/>
      <c r="X3165" s="1104"/>
      <c r="Y3165" s="1105"/>
      <c r="Z3165" s="1103"/>
      <c r="AC3165" s="1106"/>
      <c r="AD3165" s="1107"/>
      <c r="AE3165" s="1104"/>
      <c r="AG3165" s="1109"/>
      <c r="AI3165" s="1110"/>
      <c r="AL3165" s="933"/>
      <c r="AM3165" s="933"/>
      <c r="AN3165" s="1100"/>
      <c r="AO3165" s="1100"/>
      <c r="AP3165" s="934"/>
      <c r="AQ3165" s="934"/>
      <c r="AR3165" s="934"/>
      <c r="AS3165" s="936"/>
      <c r="AT3165" s="936"/>
      <c r="AU3165" s="936"/>
      <c r="AV3165" s="937"/>
      <c r="AW3165" s="938"/>
      <c r="AX3165" s="939"/>
      <c r="AY3165" s="933"/>
      <c r="AZ3165" s="936"/>
      <c r="BA3165" s="936"/>
      <c r="BB3165" s="1112"/>
      <c r="BC3165" s="940"/>
      <c r="BD3165" s="941"/>
      <c r="BE3165" s="942"/>
      <c r="BF3165" s="943"/>
      <c r="BG3165" s="943"/>
      <c r="BH3165" s="943"/>
      <c r="BI3165" s="943"/>
      <c r="BJ3165" s="943"/>
      <c r="BK3165" s="943"/>
      <c r="BL3165" s="943"/>
      <c r="BM3165" s="943"/>
      <c r="BN3165" s="943"/>
      <c r="BO3165" s="1059"/>
      <c r="BP3165" s="1059"/>
      <c r="BQ3165" s="1059"/>
      <c r="BR3165" s="1059"/>
      <c r="BS3165" s="1059"/>
      <c r="BT3165" s="1059"/>
      <c r="BU3165" s="1059"/>
      <c r="BV3165" s="944"/>
      <c r="BW3165" s="944"/>
      <c r="BX3165" s="1147"/>
      <c r="BY3165" s="944"/>
      <c r="BZ3165" s="944"/>
      <c r="CA3165" s="944"/>
      <c r="CB3165" s="944"/>
    </row>
    <row r="3166" spans="2:80">
      <c r="B3166" s="1097"/>
      <c r="C3166" s="1097"/>
      <c r="D3166" s="1097"/>
      <c r="E3166" s="1097"/>
      <c r="F3166" s="934"/>
      <c r="G3166" s="1098"/>
      <c r="H3166" s="1099"/>
      <c r="I3166" s="1099"/>
      <c r="J3166" s="934"/>
      <c r="K3166" s="934"/>
      <c r="L3166" s="933"/>
      <c r="M3166" s="1100"/>
      <c r="N3166" s="934"/>
      <c r="O3166" s="936"/>
      <c r="P3166" s="936"/>
      <c r="Q3166" s="933"/>
      <c r="T3166" s="1101"/>
      <c r="U3166" s="1102"/>
      <c r="V3166" s="936"/>
      <c r="W3166" s="1103"/>
      <c r="X3166" s="1104"/>
      <c r="Y3166" s="1105"/>
      <c r="Z3166" s="1103"/>
      <c r="AC3166" s="1106"/>
      <c r="AD3166" s="1107"/>
      <c r="AE3166" s="1104"/>
      <c r="AG3166" s="1109"/>
      <c r="AI3166" s="1110"/>
      <c r="AL3166" s="933"/>
      <c r="AM3166" s="933"/>
      <c r="AN3166" s="1100"/>
      <c r="AO3166" s="1100"/>
      <c r="AP3166" s="934"/>
      <c r="AQ3166" s="934"/>
      <c r="AR3166" s="934"/>
      <c r="AS3166" s="936"/>
      <c r="AT3166" s="936"/>
      <c r="AU3166" s="936"/>
      <c r="AV3166" s="937"/>
      <c r="AW3166" s="938"/>
      <c r="AX3166" s="939"/>
      <c r="AY3166" s="933"/>
      <c r="AZ3166" s="936"/>
      <c r="BA3166" s="936"/>
      <c r="BB3166" s="1112"/>
      <c r="BC3166" s="940"/>
      <c r="BD3166" s="941"/>
      <c r="BE3166" s="942"/>
      <c r="BF3166" s="943"/>
      <c r="BG3166" s="943"/>
      <c r="BH3166" s="943"/>
      <c r="BI3166" s="943"/>
      <c r="BJ3166" s="943"/>
      <c r="BK3166" s="943"/>
      <c r="BL3166" s="943"/>
      <c r="BM3166" s="943"/>
      <c r="BN3166" s="943"/>
      <c r="BO3166" s="1059"/>
      <c r="BP3166" s="1059"/>
      <c r="BQ3166" s="1059"/>
      <c r="BR3166" s="1059"/>
      <c r="BS3166" s="1059"/>
      <c r="BT3166" s="1059"/>
      <c r="BU3166" s="1059"/>
      <c r="BV3166" s="944"/>
      <c r="BW3166" s="944"/>
      <c r="BX3166" s="1147"/>
      <c r="BY3166" s="944"/>
      <c r="BZ3166" s="944"/>
      <c r="CA3166" s="944"/>
      <c r="CB3166" s="944"/>
    </row>
    <row r="3167" spans="2:80">
      <c r="B3167" s="1097"/>
      <c r="C3167" s="1097"/>
      <c r="D3167" s="1097"/>
      <c r="E3167" s="1097"/>
      <c r="F3167" s="934"/>
      <c r="G3167" s="1098"/>
      <c r="H3167" s="1099"/>
      <c r="I3167" s="1099"/>
      <c r="J3167" s="934"/>
      <c r="K3167" s="934"/>
      <c r="L3167" s="933"/>
      <c r="M3167" s="1100"/>
      <c r="N3167" s="934"/>
      <c r="O3167" s="936"/>
      <c r="P3167" s="936"/>
      <c r="Q3167" s="933"/>
      <c r="T3167" s="1101"/>
      <c r="U3167" s="1102"/>
      <c r="V3167" s="936"/>
      <c r="W3167" s="1103"/>
      <c r="X3167" s="1104"/>
      <c r="Y3167" s="1105"/>
      <c r="Z3167" s="1103"/>
      <c r="AC3167" s="1106"/>
      <c r="AD3167" s="1107"/>
      <c r="AE3167" s="1104"/>
      <c r="AG3167" s="1109"/>
      <c r="AI3167" s="1110"/>
      <c r="AL3167" s="933"/>
      <c r="AM3167" s="933"/>
      <c r="AN3167" s="1100"/>
      <c r="AO3167" s="1100"/>
      <c r="AP3167" s="934"/>
      <c r="AQ3167" s="934"/>
      <c r="AR3167" s="934"/>
      <c r="AS3167" s="936"/>
      <c r="AT3167" s="936"/>
      <c r="AU3167" s="936"/>
      <c r="AV3167" s="937"/>
      <c r="AW3167" s="938"/>
      <c r="AX3167" s="939"/>
      <c r="AY3167" s="933"/>
      <c r="AZ3167" s="936"/>
      <c r="BA3167" s="936"/>
      <c r="BB3167" s="1112"/>
      <c r="BC3167" s="940"/>
      <c r="BD3167" s="941"/>
      <c r="BE3167" s="942"/>
      <c r="BF3167" s="943"/>
      <c r="BG3167" s="943"/>
      <c r="BH3167" s="943"/>
      <c r="BI3167" s="943"/>
      <c r="BJ3167" s="943"/>
      <c r="BK3167" s="943"/>
      <c r="BL3167" s="943"/>
      <c r="BM3167" s="943"/>
      <c r="BN3167" s="943"/>
      <c r="BO3167" s="1059"/>
      <c r="BP3167" s="1059"/>
      <c r="BQ3167" s="1059"/>
      <c r="BR3167" s="1059"/>
      <c r="BS3167" s="1059"/>
      <c r="BT3167" s="1059"/>
      <c r="BU3167" s="1059"/>
      <c r="BV3167" s="944"/>
      <c r="BW3167" s="944"/>
      <c r="BX3167" s="1147"/>
      <c r="BY3167" s="944"/>
      <c r="BZ3167" s="944"/>
      <c r="CA3167" s="944"/>
      <c r="CB3167" s="944"/>
    </row>
    <row r="3168" spans="2:80">
      <c r="B3168" s="1097"/>
      <c r="C3168" s="1097"/>
      <c r="D3168" s="1097"/>
      <c r="E3168" s="1097"/>
      <c r="F3168" s="934"/>
      <c r="G3168" s="1098"/>
      <c r="H3168" s="1099"/>
      <c r="I3168" s="1099"/>
      <c r="J3168" s="934"/>
      <c r="K3168" s="934"/>
      <c r="L3168" s="933"/>
      <c r="M3168" s="1100"/>
      <c r="N3168" s="934"/>
      <c r="O3168" s="936"/>
      <c r="P3168" s="936"/>
      <c r="Q3168" s="933"/>
      <c r="T3168" s="1101"/>
      <c r="U3168" s="1102"/>
      <c r="V3168" s="936"/>
      <c r="W3168" s="1103"/>
      <c r="X3168" s="1104"/>
      <c r="Y3168" s="1105"/>
      <c r="Z3168" s="1103"/>
      <c r="AC3168" s="1106"/>
      <c r="AD3168" s="1107"/>
      <c r="AE3168" s="1104"/>
      <c r="AG3168" s="1109"/>
      <c r="AI3168" s="1110"/>
      <c r="AL3168" s="933"/>
      <c r="AM3168" s="933"/>
      <c r="AN3168" s="1100"/>
      <c r="AO3168" s="1100"/>
      <c r="AP3168" s="934"/>
      <c r="AQ3168" s="934"/>
      <c r="AR3168" s="934"/>
      <c r="AS3168" s="936"/>
      <c r="AT3168" s="936"/>
      <c r="AU3168" s="936"/>
      <c r="AV3168" s="937"/>
      <c r="AW3168" s="938"/>
      <c r="AX3168" s="939"/>
      <c r="AY3168" s="933"/>
      <c r="AZ3168" s="936"/>
      <c r="BA3168" s="936"/>
      <c r="BB3168" s="1112"/>
      <c r="BC3168" s="940"/>
      <c r="BD3168" s="941"/>
      <c r="BE3168" s="942"/>
      <c r="BF3168" s="943"/>
      <c r="BG3168" s="943"/>
      <c r="BH3168" s="943"/>
      <c r="BI3168" s="943"/>
      <c r="BJ3168" s="943"/>
      <c r="BK3168" s="943"/>
      <c r="BL3168" s="943"/>
      <c r="BM3168" s="943"/>
      <c r="BN3168" s="943"/>
      <c r="BO3168" s="1059"/>
      <c r="BP3168" s="1059"/>
      <c r="BQ3168" s="1059"/>
      <c r="BR3168" s="1059"/>
      <c r="BS3168" s="1059"/>
      <c r="BT3168" s="1059"/>
      <c r="BU3168" s="1059"/>
      <c r="BV3168" s="944"/>
      <c r="BW3168" s="944"/>
      <c r="BX3168" s="1147"/>
      <c r="BY3168" s="944"/>
      <c r="BZ3168" s="944"/>
      <c r="CA3168" s="944"/>
      <c r="CB3168" s="944"/>
    </row>
    <row r="3169" spans="2:80">
      <c r="B3169" s="1097"/>
      <c r="C3169" s="1097"/>
      <c r="D3169" s="1097"/>
      <c r="E3169" s="1097"/>
      <c r="F3169" s="934"/>
      <c r="G3169" s="1098"/>
      <c r="H3169" s="1099"/>
      <c r="I3169" s="1099"/>
      <c r="J3169" s="934"/>
      <c r="K3169" s="934"/>
      <c r="L3169" s="933"/>
      <c r="M3169" s="1100"/>
      <c r="N3169" s="934"/>
      <c r="O3169" s="936"/>
      <c r="P3169" s="936"/>
      <c r="Q3169" s="933"/>
      <c r="T3169" s="1101"/>
      <c r="U3169" s="1102"/>
      <c r="V3169" s="936"/>
      <c r="W3169" s="1103"/>
      <c r="X3169" s="1104"/>
      <c r="Y3169" s="1105"/>
      <c r="Z3169" s="1103"/>
      <c r="AC3169" s="1106"/>
      <c r="AD3169" s="1107"/>
      <c r="AE3169" s="1104"/>
      <c r="AG3169" s="1109"/>
      <c r="AI3169" s="1110"/>
      <c r="AL3169" s="933"/>
      <c r="AM3169" s="933"/>
      <c r="AN3169" s="1100"/>
      <c r="AO3169" s="1100"/>
      <c r="AP3169" s="934"/>
      <c r="AQ3169" s="934"/>
      <c r="AR3169" s="934"/>
      <c r="AS3169" s="936"/>
      <c r="AT3169" s="936"/>
      <c r="AU3169" s="936"/>
      <c r="AV3169" s="937"/>
      <c r="AW3169" s="938"/>
      <c r="AX3169" s="939"/>
      <c r="AY3169" s="933"/>
      <c r="AZ3169" s="936"/>
      <c r="BA3169" s="936"/>
      <c r="BB3169" s="1112"/>
      <c r="BC3169" s="940"/>
      <c r="BD3169" s="941"/>
      <c r="BE3169" s="942"/>
      <c r="BF3169" s="943"/>
      <c r="BG3169" s="943"/>
      <c r="BH3169" s="943"/>
      <c r="BI3169" s="943"/>
      <c r="BJ3169" s="943"/>
      <c r="BK3169" s="943"/>
      <c r="BL3169" s="943"/>
      <c r="BM3169" s="943"/>
      <c r="BN3169" s="943"/>
      <c r="BO3169" s="1059"/>
      <c r="BP3169" s="1059"/>
      <c r="BQ3169" s="1059"/>
      <c r="BR3169" s="1059"/>
      <c r="BS3169" s="1059"/>
      <c r="BT3169" s="1059"/>
      <c r="BU3169" s="1059"/>
      <c r="BV3169" s="944"/>
      <c r="BW3169" s="944"/>
      <c r="BX3169" s="1147"/>
      <c r="BY3169" s="944"/>
      <c r="BZ3169" s="944"/>
      <c r="CA3169" s="944"/>
      <c r="CB3169" s="944"/>
    </row>
    <row r="3170" spans="2:80">
      <c r="B3170" s="1097"/>
      <c r="C3170" s="1097"/>
      <c r="D3170" s="1097"/>
      <c r="E3170" s="1097"/>
      <c r="F3170" s="934"/>
      <c r="G3170" s="1098"/>
      <c r="H3170" s="1099"/>
      <c r="I3170" s="1099"/>
      <c r="J3170" s="934"/>
      <c r="K3170" s="934"/>
      <c r="L3170" s="933"/>
      <c r="M3170" s="1100"/>
      <c r="N3170" s="934"/>
      <c r="O3170" s="936"/>
      <c r="P3170" s="936"/>
      <c r="Q3170" s="933"/>
      <c r="T3170" s="1101"/>
      <c r="U3170" s="1102"/>
      <c r="V3170" s="936"/>
      <c r="W3170" s="1103"/>
      <c r="X3170" s="1104"/>
      <c r="Y3170" s="1105"/>
      <c r="Z3170" s="1103"/>
      <c r="AC3170" s="1106"/>
      <c r="AD3170" s="1107"/>
      <c r="AE3170" s="1104"/>
      <c r="AG3170" s="1109"/>
      <c r="AI3170" s="1110"/>
      <c r="AL3170" s="933"/>
      <c r="AM3170" s="933"/>
      <c r="AN3170" s="1100"/>
      <c r="AO3170" s="1100"/>
      <c r="AP3170" s="934"/>
      <c r="AQ3170" s="934"/>
      <c r="AR3170" s="934"/>
      <c r="AS3170" s="936"/>
      <c r="AT3170" s="936"/>
      <c r="AU3170" s="936"/>
      <c r="AV3170" s="937"/>
      <c r="AW3170" s="938"/>
      <c r="AX3170" s="939"/>
      <c r="AY3170" s="933"/>
      <c r="AZ3170" s="936"/>
      <c r="BA3170" s="936"/>
      <c r="BB3170" s="1112"/>
      <c r="BC3170" s="940"/>
      <c r="BD3170" s="941"/>
      <c r="BE3170" s="942"/>
      <c r="BF3170" s="943"/>
      <c r="BG3170" s="943"/>
      <c r="BH3170" s="943"/>
      <c r="BI3170" s="943"/>
      <c r="BJ3170" s="943"/>
      <c r="BK3170" s="943"/>
      <c r="BL3170" s="943"/>
      <c r="BM3170" s="943"/>
      <c r="BN3170" s="943"/>
      <c r="BO3170" s="1059"/>
      <c r="BP3170" s="1059"/>
      <c r="BQ3170" s="1059"/>
      <c r="BR3170" s="1059"/>
      <c r="BS3170" s="1059"/>
      <c r="BT3170" s="1059"/>
      <c r="BU3170" s="1059"/>
      <c r="BV3170" s="944"/>
      <c r="BW3170" s="944"/>
      <c r="BX3170" s="1147"/>
      <c r="BY3170" s="944"/>
      <c r="BZ3170" s="944"/>
      <c r="CA3170" s="944"/>
      <c r="CB3170" s="944"/>
    </row>
    <row r="3171" spans="2:80">
      <c r="B3171" s="1097"/>
      <c r="C3171" s="1097"/>
      <c r="D3171" s="1097"/>
      <c r="E3171" s="1097"/>
      <c r="F3171" s="934"/>
      <c r="G3171" s="1098"/>
      <c r="H3171" s="1099"/>
      <c r="I3171" s="1099"/>
      <c r="J3171" s="934"/>
      <c r="K3171" s="934"/>
      <c r="L3171" s="933"/>
      <c r="M3171" s="1100"/>
      <c r="N3171" s="934"/>
      <c r="O3171" s="936"/>
      <c r="P3171" s="936"/>
      <c r="Q3171" s="933"/>
      <c r="T3171" s="1101"/>
      <c r="U3171" s="1102"/>
      <c r="V3171" s="936"/>
      <c r="W3171" s="1103"/>
      <c r="X3171" s="1104"/>
      <c r="Y3171" s="1105"/>
      <c r="Z3171" s="1103"/>
      <c r="AC3171" s="1106"/>
      <c r="AD3171" s="1107"/>
      <c r="AE3171" s="1104"/>
      <c r="AG3171" s="1109"/>
      <c r="AI3171" s="1110"/>
      <c r="AL3171" s="933"/>
      <c r="AM3171" s="933"/>
      <c r="AN3171" s="1100"/>
      <c r="AO3171" s="1100"/>
      <c r="AP3171" s="934"/>
      <c r="AQ3171" s="934"/>
      <c r="AR3171" s="934"/>
      <c r="AS3171" s="936"/>
      <c r="AT3171" s="936"/>
      <c r="AU3171" s="936"/>
      <c r="AV3171" s="937"/>
      <c r="AW3171" s="938"/>
      <c r="AX3171" s="939"/>
      <c r="AY3171" s="933"/>
      <c r="AZ3171" s="936"/>
      <c r="BA3171" s="936"/>
      <c r="BB3171" s="1112"/>
      <c r="BC3171" s="940"/>
      <c r="BD3171" s="941"/>
      <c r="BE3171" s="942"/>
      <c r="BF3171" s="943"/>
      <c r="BG3171" s="943"/>
      <c r="BH3171" s="943"/>
      <c r="BI3171" s="943"/>
      <c r="BJ3171" s="943"/>
      <c r="BK3171" s="943"/>
      <c r="BL3171" s="943"/>
      <c r="BM3171" s="943"/>
      <c r="BN3171" s="943"/>
      <c r="BO3171" s="1059"/>
      <c r="BP3171" s="1059"/>
      <c r="BQ3171" s="1059"/>
      <c r="BR3171" s="1059"/>
      <c r="BS3171" s="1059"/>
      <c r="BT3171" s="1059"/>
      <c r="BU3171" s="1059"/>
      <c r="BV3171" s="944"/>
      <c r="BW3171" s="944"/>
      <c r="BX3171" s="1147"/>
      <c r="BY3171" s="944"/>
      <c r="BZ3171" s="944"/>
      <c r="CA3171" s="944"/>
      <c r="CB3171" s="944"/>
    </row>
    <row r="3172" spans="2:80">
      <c r="B3172" s="1097"/>
      <c r="C3172" s="1097"/>
      <c r="D3172" s="1097"/>
      <c r="E3172" s="1097"/>
      <c r="F3172" s="934"/>
      <c r="G3172" s="1098"/>
      <c r="H3172" s="1099"/>
      <c r="I3172" s="1099"/>
      <c r="J3172" s="934"/>
      <c r="K3172" s="934"/>
      <c r="L3172" s="933"/>
      <c r="M3172" s="1100"/>
      <c r="N3172" s="934"/>
      <c r="O3172" s="936"/>
      <c r="P3172" s="936"/>
      <c r="Q3172" s="933"/>
      <c r="T3172" s="1101"/>
      <c r="U3172" s="1102"/>
      <c r="V3172" s="936"/>
      <c r="W3172" s="1103"/>
      <c r="X3172" s="1104"/>
      <c r="Y3172" s="1105"/>
      <c r="Z3172" s="1103"/>
      <c r="AC3172" s="1106"/>
      <c r="AD3172" s="1107"/>
      <c r="AE3172" s="1104"/>
      <c r="AG3172" s="1109"/>
      <c r="AI3172" s="1110"/>
      <c r="AL3172" s="933"/>
      <c r="AM3172" s="933"/>
      <c r="AN3172" s="1100"/>
      <c r="AO3172" s="1100"/>
      <c r="AP3172" s="934"/>
      <c r="AQ3172" s="934"/>
      <c r="AR3172" s="934"/>
      <c r="AS3172" s="936"/>
      <c r="AT3172" s="936"/>
      <c r="AU3172" s="936"/>
      <c r="AV3172" s="937"/>
      <c r="AW3172" s="938"/>
      <c r="AX3172" s="939"/>
      <c r="AY3172" s="933"/>
      <c r="AZ3172" s="936"/>
      <c r="BA3172" s="936"/>
      <c r="BB3172" s="1112"/>
      <c r="BC3172" s="940"/>
      <c r="BD3172" s="941"/>
      <c r="BE3172" s="942"/>
      <c r="BF3172" s="943"/>
      <c r="BG3172" s="943"/>
      <c r="BH3172" s="943"/>
      <c r="BI3172" s="943"/>
      <c r="BJ3172" s="943"/>
      <c r="BK3172" s="943"/>
      <c r="BL3172" s="943"/>
      <c r="BM3172" s="943"/>
      <c r="BN3172" s="943"/>
      <c r="BO3172" s="1059"/>
      <c r="BP3172" s="1059"/>
      <c r="BQ3172" s="1059"/>
      <c r="BR3172" s="1059"/>
      <c r="BS3172" s="1059"/>
      <c r="BT3172" s="1059"/>
      <c r="BU3172" s="1059"/>
      <c r="BV3172" s="944"/>
      <c r="BW3172" s="944"/>
      <c r="BX3172" s="1147"/>
      <c r="BY3172" s="944"/>
      <c r="BZ3172" s="944"/>
      <c r="CA3172" s="944"/>
      <c r="CB3172" s="944"/>
    </row>
    <row r="3173" spans="2:80">
      <c r="B3173" s="1097"/>
      <c r="C3173" s="1097"/>
      <c r="D3173" s="1097"/>
      <c r="E3173" s="1097"/>
      <c r="F3173" s="934"/>
      <c r="G3173" s="1098"/>
      <c r="H3173" s="1099"/>
      <c r="I3173" s="1099"/>
      <c r="J3173" s="934"/>
      <c r="K3173" s="934"/>
      <c r="L3173" s="933"/>
      <c r="M3173" s="1100"/>
      <c r="N3173" s="934"/>
      <c r="O3173" s="936"/>
      <c r="P3173" s="936"/>
      <c r="Q3173" s="933"/>
      <c r="T3173" s="1101"/>
      <c r="U3173" s="1102"/>
      <c r="V3173" s="936"/>
      <c r="W3173" s="1103"/>
      <c r="X3173" s="1104"/>
      <c r="Y3173" s="1105"/>
      <c r="Z3173" s="1103"/>
      <c r="AC3173" s="1106"/>
      <c r="AD3173" s="1107"/>
      <c r="AE3173" s="1104"/>
      <c r="AG3173" s="1109"/>
      <c r="AI3173" s="1110"/>
      <c r="AL3173" s="933"/>
      <c r="AM3173" s="933"/>
      <c r="AN3173" s="1100"/>
      <c r="AO3173" s="1100"/>
      <c r="AP3173" s="934"/>
      <c r="AQ3173" s="934"/>
      <c r="AR3173" s="934"/>
      <c r="AS3173" s="936"/>
      <c r="AT3173" s="936"/>
      <c r="AU3173" s="936"/>
      <c r="AV3173" s="937"/>
      <c r="AW3173" s="938"/>
      <c r="AX3173" s="939"/>
      <c r="AY3173" s="933"/>
      <c r="AZ3173" s="936"/>
      <c r="BA3173" s="936"/>
      <c r="BB3173" s="1112"/>
      <c r="BC3173" s="940"/>
      <c r="BD3173" s="941"/>
      <c r="BE3173" s="942"/>
      <c r="BF3173" s="943"/>
      <c r="BG3173" s="943"/>
      <c r="BH3173" s="943"/>
      <c r="BI3173" s="943"/>
      <c r="BJ3173" s="943"/>
      <c r="BK3173" s="943"/>
      <c r="BL3173" s="943"/>
      <c r="BM3173" s="943"/>
      <c r="BN3173" s="943"/>
      <c r="BO3173" s="1059"/>
      <c r="BP3173" s="1059"/>
      <c r="BQ3173" s="1059"/>
      <c r="BR3173" s="1059"/>
      <c r="BS3173" s="1059"/>
      <c r="BT3173" s="1059"/>
      <c r="BU3173" s="1059"/>
      <c r="BV3173" s="944"/>
      <c r="BW3173" s="944"/>
      <c r="BX3173" s="1147"/>
      <c r="BY3173" s="944"/>
      <c r="BZ3173" s="944"/>
      <c r="CA3173" s="944"/>
      <c r="CB3173" s="944"/>
    </row>
    <row r="3174" spans="2:80">
      <c r="B3174" s="1097"/>
      <c r="C3174" s="1097"/>
      <c r="D3174" s="1097"/>
      <c r="E3174" s="1097"/>
      <c r="F3174" s="934"/>
      <c r="G3174" s="1098"/>
      <c r="H3174" s="1099"/>
      <c r="I3174" s="1099"/>
      <c r="J3174" s="934"/>
      <c r="K3174" s="934"/>
      <c r="L3174" s="933"/>
      <c r="M3174" s="1100"/>
      <c r="N3174" s="934"/>
      <c r="O3174" s="936"/>
      <c r="P3174" s="936"/>
      <c r="Q3174" s="933"/>
      <c r="T3174" s="1101"/>
      <c r="U3174" s="1102"/>
      <c r="V3174" s="936"/>
      <c r="W3174" s="1103"/>
      <c r="X3174" s="1104"/>
      <c r="Y3174" s="1105"/>
      <c r="Z3174" s="1103"/>
      <c r="AC3174" s="1106"/>
      <c r="AD3174" s="1107"/>
      <c r="AE3174" s="1104"/>
      <c r="AG3174" s="1109"/>
      <c r="AI3174" s="1110"/>
      <c r="AL3174" s="933"/>
      <c r="AM3174" s="933"/>
      <c r="AN3174" s="1100"/>
      <c r="AO3174" s="1100"/>
      <c r="AP3174" s="934"/>
      <c r="AQ3174" s="934"/>
      <c r="AR3174" s="934"/>
      <c r="AS3174" s="936"/>
      <c r="AT3174" s="936"/>
      <c r="AU3174" s="936"/>
      <c r="AV3174" s="937"/>
      <c r="AW3174" s="938"/>
      <c r="AX3174" s="939"/>
      <c r="AY3174" s="933"/>
      <c r="AZ3174" s="936"/>
      <c r="BA3174" s="936"/>
      <c r="BB3174" s="1112"/>
      <c r="BC3174" s="940"/>
      <c r="BD3174" s="941"/>
      <c r="BE3174" s="942"/>
      <c r="BF3174" s="943"/>
      <c r="BG3174" s="943"/>
      <c r="BH3174" s="943"/>
      <c r="BI3174" s="943"/>
      <c r="BJ3174" s="943"/>
      <c r="BK3174" s="943"/>
      <c r="BL3174" s="943"/>
      <c r="BM3174" s="943"/>
      <c r="BN3174" s="943"/>
      <c r="BO3174" s="1059"/>
      <c r="BP3174" s="1059"/>
      <c r="BQ3174" s="1059"/>
      <c r="BR3174" s="1059"/>
      <c r="BS3174" s="1059"/>
      <c r="BT3174" s="1059"/>
      <c r="BU3174" s="1059"/>
      <c r="BV3174" s="944"/>
      <c r="BW3174" s="944"/>
      <c r="BX3174" s="1147"/>
      <c r="BY3174" s="944"/>
      <c r="BZ3174" s="944"/>
      <c r="CA3174" s="944"/>
      <c r="CB3174" s="944"/>
    </row>
    <row r="3175" spans="2:80">
      <c r="B3175" s="1097"/>
      <c r="C3175" s="1097"/>
      <c r="D3175" s="1097"/>
      <c r="E3175" s="1097"/>
      <c r="F3175" s="934"/>
      <c r="G3175" s="1098"/>
      <c r="H3175" s="1099"/>
      <c r="I3175" s="1099"/>
      <c r="J3175" s="934"/>
      <c r="K3175" s="934"/>
      <c r="L3175" s="933"/>
      <c r="M3175" s="1100"/>
      <c r="N3175" s="934"/>
      <c r="O3175" s="936"/>
      <c r="P3175" s="936"/>
      <c r="Q3175" s="933"/>
      <c r="T3175" s="1101"/>
      <c r="U3175" s="1102"/>
      <c r="V3175" s="936"/>
      <c r="W3175" s="1103"/>
      <c r="X3175" s="1104"/>
      <c r="Y3175" s="1105"/>
      <c r="Z3175" s="1103"/>
      <c r="AC3175" s="1106"/>
      <c r="AD3175" s="1107"/>
      <c r="AE3175" s="1104"/>
      <c r="AG3175" s="1109"/>
      <c r="AI3175" s="1110"/>
      <c r="AL3175" s="933"/>
      <c r="AM3175" s="933"/>
      <c r="AN3175" s="1100"/>
      <c r="AO3175" s="1100"/>
      <c r="AP3175" s="934"/>
      <c r="AQ3175" s="934"/>
      <c r="AR3175" s="934"/>
      <c r="AS3175" s="936"/>
      <c r="AT3175" s="936"/>
      <c r="AU3175" s="936"/>
      <c r="AV3175" s="937"/>
      <c r="AW3175" s="938"/>
      <c r="AX3175" s="939"/>
      <c r="AY3175" s="933"/>
      <c r="AZ3175" s="936"/>
      <c r="BA3175" s="936"/>
      <c r="BB3175" s="1112"/>
      <c r="BC3175" s="940"/>
      <c r="BD3175" s="941"/>
      <c r="BE3175" s="942"/>
      <c r="BF3175" s="943"/>
      <c r="BG3175" s="943"/>
      <c r="BH3175" s="943"/>
      <c r="BI3175" s="943"/>
      <c r="BJ3175" s="943"/>
      <c r="BK3175" s="943"/>
      <c r="BL3175" s="943"/>
      <c r="BM3175" s="943"/>
      <c r="BN3175" s="943"/>
      <c r="BO3175" s="1059"/>
      <c r="BP3175" s="1059"/>
      <c r="BQ3175" s="1059"/>
      <c r="BR3175" s="1059"/>
      <c r="BS3175" s="1059"/>
      <c r="BT3175" s="1059"/>
      <c r="BU3175" s="1059"/>
      <c r="BV3175" s="944"/>
      <c r="BW3175" s="944"/>
      <c r="BX3175" s="1147"/>
      <c r="BY3175" s="944"/>
      <c r="BZ3175" s="944"/>
      <c r="CA3175" s="944"/>
      <c r="CB3175" s="944"/>
    </row>
    <row r="3176" spans="2:80">
      <c r="B3176" s="1097"/>
      <c r="C3176" s="1097"/>
      <c r="D3176" s="1097"/>
      <c r="E3176" s="1097"/>
      <c r="F3176" s="934"/>
      <c r="G3176" s="1098"/>
      <c r="H3176" s="1099"/>
      <c r="I3176" s="1099"/>
      <c r="J3176" s="934"/>
      <c r="K3176" s="934"/>
      <c r="L3176" s="933"/>
      <c r="M3176" s="1100"/>
      <c r="N3176" s="934"/>
      <c r="O3176" s="936"/>
      <c r="P3176" s="936"/>
      <c r="Q3176" s="933"/>
      <c r="T3176" s="1101"/>
      <c r="U3176" s="1102"/>
      <c r="V3176" s="936"/>
      <c r="W3176" s="1103"/>
      <c r="X3176" s="1104"/>
      <c r="Y3176" s="1105"/>
      <c r="Z3176" s="1103"/>
      <c r="AC3176" s="1106"/>
      <c r="AD3176" s="1107"/>
      <c r="AE3176" s="1104"/>
      <c r="AG3176" s="1109"/>
      <c r="AI3176" s="1110"/>
      <c r="AL3176" s="933"/>
      <c r="AM3176" s="933"/>
      <c r="AN3176" s="1100"/>
      <c r="AO3176" s="1100"/>
      <c r="AP3176" s="934"/>
      <c r="AQ3176" s="934"/>
      <c r="AR3176" s="934"/>
      <c r="AS3176" s="936"/>
      <c r="AT3176" s="936"/>
      <c r="AU3176" s="936"/>
      <c r="AV3176" s="937"/>
      <c r="AW3176" s="938"/>
      <c r="AX3176" s="939"/>
      <c r="AY3176" s="933"/>
      <c r="AZ3176" s="936"/>
      <c r="BA3176" s="936"/>
      <c r="BB3176" s="1112"/>
      <c r="BC3176" s="940"/>
      <c r="BD3176" s="941"/>
      <c r="BE3176" s="942"/>
      <c r="BF3176" s="943"/>
      <c r="BG3176" s="943"/>
      <c r="BH3176" s="943"/>
      <c r="BI3176" s="943"/>
      <c r="BJ3176" s="943"/>
      <c r="BK3176" s="943"/>
      <c r="BL3176" s="943"/>
      <c r="BM3176" s="943"/>
      <c r="BN3176" s="943"/>
      <c r="BO3176" s="1059"/>
      <c r="BP3176" s="1059"/>
      <c r="BQ3176" s="1059"/>
      <c r="BR3176" s="1059"/>
      <c r="BS3176" s="1059"/>
      <c r="BT3176" s="1059"/>
      <c r="BU3176" s="1059"/>
      <c r="BV3176" s="944"/>
      <c r="BW3176" s="944"/>
      <c r="BX3176" s="1147"/>
      <c r="BY3176" s="944"/>
      <c r="BZ3176" s="944"/>
      <c r="CA3176" s="944"/>
      <c r="CB3176" s="944"/>
    </row>
    <row r="3177" spans="2:80">
      <c r="B3177" s="1097"/>
      <c r="C3177" s="1097"/>
      <c r="D3177" s="1097"/>
      <c r="E3177" s="1097"/>
      <c r="F3177" s="934"/>
      <c r="G3177" s="1098"/>
      <c r="H3177" s="1099"/>
      <c r="I3177" s="1099"/>
      <c r="J3177" s="934"/>
      <c r="K3177" s="934"/>
      <c r="L3177" s="933"/>
      <c r="M3177" s="1100"/>
      <c r="N3177" s="934"/>
      <c r="O3177" s="936"/>
      <c r="P3177" s="936"/>
      <c r="Q3177" s="933"/>
      <c r="T3177" s="1101"/>
      <c r="U3177" s="1102"/>
      <c r="V3177" s="936"/>
      <c r="W3177" s="1103"/>
      <c r="X3177" s="1104"/>
      <c r="Y3177" s="1105"/>
      <c r="Z3177" s="1103"/>
      <c r="AC3177" s="1106"/>
      <c r="AD3177" s="1107"/>
      <c r="AE3177" s="1104"/>
      <c r="AG3177" s="1109"/>
      <c r="AI3177" s="1110"/>
      <c r="AL3177" s="933"/>
      <c r="AM3177" s="933"/>
      <c r="AN3177" s="1100"/>
      <c r="AO3177" s="1100"/>
      <c r="AP3177" s="934"/>
      <c r="AQ3177" s="934"/>
      <c r="AR3177" s="934"/>
      <c r="AS3177" s="936"/>
      <c r="AT3177" s="936"/>
      <c r="AU3177" s="936"/>
      <c r="AV3177" s="937"/>
      <c r="AW3177" s="938"/>
      <c r="AX3177" s="939"/>
      <c r="AY3177" s="933"/>
      <c r="AZ3177" s="936"/>
      <c r="BA3177" s="936"/>
      <c r="BB3177" s="1112"/>
      <c r="BC3177" s="940"/>
      <c r="BD3177" s="941"/>
      <c r="BE3177" s="942"/>
      <c r="BF3177" s="943"/>
      <c r="BG3177" s="943"/>
      <c r="BH3177" s="943"/>
      <c r="BI3177" s="943"/>
      <c r="BJ3177" s="943"/>
      <c r="BK3177" s="943"/>
      <c r="BL3177" s="943"/>
      <c r="BM3177" s="943"/>
      <c r="BN3177" s="943"/>
      <c r="BO3177" s="1059"/>
      <c r="BP3177" s="1059"/>
      <c r="BQ3177" s="1059"/>
      <c r="BR3177" s="1059"/>
      <c r="BS3177" s="1059"/>
      <c r="BT3177" s="1059"/>
      <c r="BU3177" s="1059"/>
      <c r="BV3177" s="944"/>
      <c r="BW3177" s="944"/>
      <c r="BX3177" s="1147"/>
      <c r="BY3177" s="944"/>
      <c r="BZ3177" s="944"/>
      <c r="CA3177" s="944"/>
      <c r="CB3177" s="944"/>
    </row>
    <row r="3178" spans="2:80">
      <c r="B3178" s="1097"/>
      <c r="C3178" s="1097"/>
      <c r="D3178" s="1097"/>
      <c r="E3178" s="1097"/>
      <c r="F3178" s="934"/>
      <c r="G3178" s="1098"/>
      <c r="H3178" s="1099"/>
      <c r="I3178" s="1099"/>
      <c r="J3178" s="934"/>
      <c r="K3178" s="934"/>
      <c r="L3178" s="933"/>
      <c r="M3178" s="1100"/>
      <c r="N3178" s="934"/>
      <c r="O3178" s="936"/>
      <c r="P3178" s="936"/>
      <c r="Q3178" s="933"/>
      <c r="T3178" s="1101"/>
      <c r="U3178" s="1102"/>
      <c r="V3178" s="936"/>
      <c r="W3178" s="1103"/>
      <c r="X3178" s="1104"/>
      <c r="Y3178" s="1105"/>
      <c r="Z3178" s="1103"/>
      <c r="AC3178" s="1106"/>
      <c r="AD3178" s="1107"/>
      <c r="AE3178" s="1104"/>
      <c r="AG3178" s="1109"/>
      <c r="AI3178" s="1110"/>
      <c r="AL3178" s="933"/>
      <c r="AM3178" s="933"/>
      <c r="AN3178" s="1100"/>
      <c r="AO3178" s="1100"/>
      <c r="AP3178" s="934"/>
      <c r="AQ3178" s="934"/>
      <c r="AR3178" s="934"/>
      <c r="AS3178" s="936"/>
      <c r="AT3178" s="936"/>
      <c r="AU3178" s="936"/>
      <c r="AV3178" s="937"/>
      <c r="AW3178" s="938"/>
      <c r="AX3178" s="939"/>
      <c r="AY3178" s="933"/>
      <c r="AZ3178" s="936"/>
      <c r="BA3178" s="936"/>
      <c r="BB3178" s="1112"/>
      <c r="BC3178" s="940"/>
      <c r="BD3178" s="941"/>
      <c r="BE3178" s="942"/>
      <c r="BF3178" s="943"/>
      <c r="BG3178" s="943"/>
      <c r="BH3178" s="943"/>
      <c r="BI3178" s="943"/>
      <c r="BJ3178" s="943"/>
      <c r="BK3178" s="943"/>
      <c r="BL3178" s="943"/>
      <c r="BM3178" s="943"/>
      <c r="BN3178" s="943"/>
      <c r="BO3178" s="1059"/>
      <c r="BP3178" s="1059"/>
      <c r="BQ3178" s="1059"/>
      <c r="BR3178" s="1059"/>
      <c r="BS3178" s="1059"/>
      <c r="BT3178" s="1059"/>
      <c r="BU3178" s="1059"/>
      <c r="BV3178" s="944"/>
      <c r="BW3178" s="944"/>
      <c r="BX3178" s="1147"/>
      <c r="BY3178" s="944"/>
      <c r="BZ3178" s="944"/>
      <c r="CA3178" s="944"/>
      <c r="CB3178" s="944"/>
    </row>
    <row r="3179" spans="2:80">
      <c r="B3179" s="1097"/>
      <c r="C3179" s="1097"/>
      <c r="D3179" s="1097"/>
      <c r="E3179" s="1097"/>
      <c r="F3179" s="934"/>
      <c r="G3179" s="1098"/>
      <c r="H3179" s="1099"/>
      <c r="I3179" s="1099"/>
      <c r="J3179" s="934"/>
      <c r="K3179" s="934"/>
      <c r="L3179" s="933"/>
      <c r="M3179" s="1100"/>
      <c r="N3179" s="934"/>
      <c r="O3179" s="936"/>
      <c r="P3179" s="936"/>
      <c r="Q3179" s="933"/>
      <c r="T3179" s="1101"/>
      <c r="U3179" s="1102"/>
      <c r="V3179" s="936"/>
      <c r="W3179" s="1103"/>
      <c r="X3179" s="1104"/>
      <c r="Y3179" s="1105"/>
      <c r="Z3179" s="1103"/>
      <c r="AC3179" s="1106"/>
      <c r="AD3179" s="1107"/>
      <c r="AE3179" s="1104"/>
      <c r="AG3179" s="1109"/>
      <c r="AI3179" s="1110"/>
      <c r="AL3179" s="933"/>
      <c r="AM3179" s="933"/>
      <c r="AN3179" s="1100"/>
      <c r="AO3179" s="1100"/>
      <c r="AP3179" s="934"/>
      <c r="AQ3179" s="934"/>
      <c r="AR3179" s="934"/>
      <c r="AS3179" s="936"/>
      <c r="AT3179" s="936"/>
      <c r="AU3179" s="936"/>
      <c r="AV3179" s="937"/>
      <c r="AW3179" s="938"/>
      <c r="AX3179" s="939"/>
      <c r="AY3179" s="933"/>
      <c r="AZ3179" s="936"/>
      <c r="BA3179" s="936"/>
      <c r="BB3179" s="1112"/>
      <c r="BC3179" s="940"/>
      <c r="BD3179" s="941"/>
      <c r="BE3179" s="942"/>
      <c r="BF3179" s="943"/>
      <c r="BG3179" s="943"/>
      <c r="BH3179" s="943"/>
      <c r="BI3179" s="943"/>
      <c r="BJ3179" s="943"/>
      <c r="BK3179" s="943"/>
      <c r="BL3179" s="943"/>
      <c r="BM3179" s="943"/>
      <c r="BN3179" s="943"/>
      <c r="BO3179" s="1059"/>
      <c r="BP3179" s="1059"/>
      <c r="BQ3179" s="1059"/>
      <c r="BR3179" s="1059"/>
      <c r="BS3179" s="1059"/>
      <c r="BT3179" s="1059"/>
      <c r="BU3179" s="1059"/>
      <c r="BV3179" s="944"/>
      <c r="BW3179" s="944"/>
      <c r="BX3179" s="1147"/>
      <c r="BY3179" s="944"/>
      <c r="BZ3179" s="944"/>
      <c r="CA3179" s="944"/>
      <c r="CB3179" s="944"/>
    </row>
    <row r="3180" spans="2:80">
      <c r="B3180" s="1097"/>
      <c r="C3180" s="1097"/>
      <c r="D3180" s="1097"/>
      <c r="E3180" s="1097"/>
      <c r="F3180" s="934"/>
      <c r="G3180" s="1098"/>
      <c r="H3180" s="1099"/>
      <c r="I3180" s="1099"/>
      <c r="J3180" s="934"/>
      <c r="K3180" s="934"/>
      <c r="L3180" s="933"/>
      <c r="M3180" s="1100"/>
      <c r="N3180" s="934"/>
      <c r="O3180" s="936"/>
      <c r="P3180" s="936"/>
      <c r="Q3180" s="933"/>
      <c r="T3180" s="1101"/>
      <c r="U3180" s="1102"/>
      <c r="V3180" s="936"/>
      <c r="W3180" s="1103"/>
      <c r="X3180" s="1104"/>
      <c r="Y3180" s="1105"/>
      <c r="Z3180" s="1103"/>
      <c r="AC3180" s="1106"/>
      <c r="AD3180" s="1107"/>
      <c r="AE3180" s="1104"/>
      <c r="AG3180" s="1109"/>
      <c r="AI3180" s="1110"/>
      <c r="AL3180" s="933"/>
      <c r="AM3180" s="933"/>
      <c r="AN3180" s="1100"/>
      <c r="AO3180" s="1100"/>
      <c r="AP3180" s="934"/>
      <c r="AQ3180" s="934"/>
      <c r="AR3180" s="934"/>
      <c r="AS3180" s="936"/>
      <c r="AT3180" s="936"/>
      <c r="AU3180" s="936"/>
      <c r="AV3180" s="937"/>
      <c r="AW3180" s="938"/>
      <c r="AX3180" s="939"/>
      <c r="AY3180" s="933"/>
      <c r="AZ3180" s="936"/>
      <c r="BA3180" s="936"/>
      <c r="BB3180" s="1112"/>
      <c r="BC3180" s="940"/>
      <c r="BD3180" s="941"/>
      <c r="BE3180" s="942"/>
      <c r="BF3180" s="943"/>
      <c r="BG3180" s="943"/>
      <c r="BH3180" s="943"/>
      <c r="BI3180" s="943"/>
      <c r="BJ3180" s="943"/>
      <c r="BK3180" s="943"/>
      <c r="BL3180" s="943"/>
      <c r="BM3180" s="943"/>
      <c r="BN3180" s="943"/>
      <c r="BO3180" s="1059"/>
      <c r="BP3180" s="1059"/>
      <c r="BQ3180" s="1059"/>
      <c r="BR3180" s="1059"/>
      <c r="BS3180" s="1059"/>
      <c r="BT3180" s="1059"/>
      <c r="BU3180" s="1059"/>
      <c r="BV3180" s="944"/>
      <c r="BW3180" s="944"/>
      <c r="BX3180" s="1147"/>
      <c r="BY3180" s="944"/>
      <c r="BZ3180" s="944"/>
      <c r="CA3180" s="944"/>
      <c r="CB3180" s="944"/>
    </row>
    <row r="3181" spans="2:80">
      <c r="B3181" s="1097"/>
      <c r="C3181" s="1097"/>
      <c r="D3181" s="1097"/>
      <c r="E3181" s="1097"/>
      <c r="F3181" s="934"/>
      <c r="G3181" s="1098"/>
      <c r="H3181" s="1099"/>
      <c r="I3181" s="1099"/>
      <c r="J3181" s="934"/>
      <c r="K3181" s="934"/>
      <c r="L3181" s="933"/>
      <c r="M3181" s="1100"/>
      <c r="N3181" s="934"/>
      <c r="O3181" s="936"/>
      <c r="P3181" s="936"/>
      <c r="Q3181" s="933"/>
      <c r="T3181" s="1101"/>
      <c r="U3181" s="1102"/>
      <c r="V3181" s="936"/>
      <c r="W3181" s="1103"/>
      <c r="X3181" s="1104"/>
      <c r="Y3181" s="1105"/>
      <c r="Z3181" s="1103"/>
      <c r="AC3181" s="1106"/>
      <c r="AD3181" s="1107"/>
      <c r="AE3181" s="1104"/>
      <c r="AG3181" s="1109"/>
      <c r="AI3181" s="1110"/>
      <c r="AL3181" s="933"/>
      <c r="AM3181" s="933"/>
      <c r="AN3181" s="1100"/>
      <c r="AO3181" s="1100"/>
      <c r="AP3181" s="934"/>
      <c r="AQ3181" s="934"/>
      <c r="AR3181" s="934"/>
      <c r="AS3181" s="936"/>
      <c r="AT3181" s="936"/>
      <c r="AU3181" s="936"/>
      <c r="AV3181" s="937"/>
      <c r="AW3181" s="938"/>
      <c r="AX3181" s="939"/>
      <c r="AY3181" s="933"/>
      <c r="AZ3181" s="936"/>
      <c r="BA3181" s="936"/>
      <c r="BB3181" s="1112"/>
      <c r="BC3181" s="940"/>
      <c r="BD3181" s="941"/>
      <c r="BE3181" s="942"/>
      <c r="BF3181" s="943"/>
      <c r="BG3181" s="943"/>
      <c r="BH3181" s="943"/>
      <c r="BI3181" s="943"/>
      <c r="BJ3181" s="943"/>
      <c r="BK3181" s="943"/>
      <c r="BL3181" s="943"/>
      <c r="BM3181" s="943"/>
      <c r="BN3181" s="943"/>
      <c r="BO3181" s="1059"/>
      <c r="BP3181" s="1059"/>
      <c r="BQ3181" s="1059"/>
      <c r="BR3181" s="1059"/>
      <c r="BS3181" s="1059"/>
      <c r="BT3181" s="1059"/>
      <c r="BU3181" s="1059"/>
      <c r="BV3181" s="944"/>
      <c r="BW3181" s="944"/>
      <c r="BX3181" s="1147"/>
      <c r="BY3181" s="944"/>
      <c r="BZ3181" s="944"/>
      <c r="CA3181" s="944"/>
      <c r="CB3181" s="944"/>
    </row>
    <row r="3182" spans="2:80">
      <c r="B3182" s="1097"/>
      <c r="C3182" s="1097"/>
      <c r="D3182" s="1097"/>
      <c r="E3182" s="1097"/>
      <c r="F3182" s="934"/>
      <c r="G3182" s="1098"/>
      <c r="H3182" s="1099"/>
      <c r="I3182" s="1099"/>
      <c r="J3182" s="934"/>
      <c r="K3182" s="934"/>
      <c r="L3182" s="933"/>
      <c r="M3182" s="1100"/>
      <c r="N3182" s="934"/>
      <c r="O3182" s="936"/>
      <c r="P3182" s="936"/>
      <c r="Q3182" s="933"/>
      <c r="T3182" s="1101"/>
      <c r="U3182" s="1102"/>
      <c r="V3182" s="936"/>
      <c r="W3182" s="1103"/>
      <c r="X3182" s="1104"/>
      <c r="Y3182" s="1105"/>
      <c r="Z3182" s="1103"/>
      <c r="AC3182" s="1106"/>
      <c r="AD3182" s="1107"/>
      <c r="AE3182" s="1104"/>
      <c r="AG3182" s="1109"/>
      <c r="AI3182" s="1110"/>
      <c r="AL3182" s="933"/>
      <c r="AM3182" s="933"/>
      <c r="AN3182" s="1100"/>
      <c r="AO3182" s="1100"/>
      <c r="AP3182" s="934"/>
      <c r="AQ3182" s="934"/>
      <c r="AR3182" s="934"/>
      <c r="AS3182" s="936"/>
      <c r="AT3182" s="936"/>
      <c r="AU3182" s="936"/>
      <c r="AV3182" s="937"/>
      <c r="AW3182" s="938"/>
      <c r="AX3182" s="939"/>
      <c r="AY3182" s="933"/>
      <c r="AZ3182" s="936"/>
      <c r="BA3182" s="936"/>
      <c r="BB3182" s="1112"/>
      <c r="BC3182" s="940"/>
      <c r="BD3182" s="941"/>
      <c r="BE3182" s="942"/>
      <c r="BF3182" s="943"/>
      <c r="BG3182" s="943"/>
      <c r="BH3182" s="943"/>
      <c r="BI3182" s="943"/>
      <c r="BJ3182" s="943"/>
      <c r="BK3182" s="943"/>
      <c r="BL3182" s="943"/>
      <c r="BM3182" s="943"/>
      <c r="BN3182" s="943"/>
      <c r="BO3182" s="1059"/>
      <c r="BP3182" s="1059"/>
      <c r="BQ3182" s="1059"/>
      <c r="BR3182" s="1059"/>
      <c r="BS3182" s="1059"/>
      <c r="BT3182" s="1059"/>
      <c r="BU3182" s="1059"/>
      <c r="BV3182" s="944"/>
      <c r="BW3182" s="944"/>
      <c r="BX3182" s="1147"/>
      <c r="BY3182" s="944"/>
      <c r="BZ3182" s="944"/>
      <c r="CA3182" s="944"/>
      <c r="CB3182" s="944"/>
    </row>
    <row r="3183" spans="2:80">
      <c r="B3183" s="1097"/>
      <c r="C3183" s="1097"/>
      <c r="D3183" s="1097"/>
      <c r="E3183" s="1097"/>
      <c r="F3183" s="934"/>
      <c r="G3183" s="1098"/>
      <c r="H3183" s="1099"/>
      <c r="I3183" s="1099"/>
      <c r="J3183" s="934"/>
      <c r="K3183" s="934"/>
      <c r="L3183" s="933"/>
      <c r="M3183" s="1100"/>
      <c r="N3183" s="934"/>
      <c r="O3183" s="936"/>
      <c r="P3183" s="936"/>
      <c r="Q3183" s="933"/>
      <c r="T3183" s="1101"/>
      <c r="U3183" s="1102"/>
      <c r="V3183" s="936"/>
      <c r="W3183" s="1103"/>
      <c r="X3183" s="1104"/>
      <c r="Y3183" s="1105"/>
      <c r="Z3183" s="1103"/>
      <c r="AC3183" s="1106"/>
      <c r="AD3183" s="1107"/>
      <c r="AE3183" s="1104"/>
      <c r="AG3183" s="1109"/>
      <c r="AI3183" s="1110"/>
      <c r="AL3183" s="933"/>
      <c r="AM3183" s="933"/>
      <c r="AN3183" s="1100"/>
      <c r="AO3183" s="1100"/>
      <c r="AP3183" s="934"/>
      <c r="AQ3183" s="934"/>
      <c r="AR3183" s="934"/>
      <c r="AS3183" s="936"/>
      <c r="AT3183" s="936"/>
      <c r="AU3183" s="936"/>
      <c r="AV3183" s="937"/>
      <c r="AW3183" s="938"/>
      <c r="AX3183" s="939"/>
      <c r="AY3183" s="933"/>
      <c r="AZ3183" s="936"/>
      <c r="BA3183" s="936"/>
      <c r="BB3183" s="1112"/>
      <c r="BC3183" s="940"/>
      <c r="BD3183" s="941"/>
      <c r="BE3183" s="942"/>
      <c r="BF3183" s="943"/>
      <c r="BG3183" s="943"/>
      <c r="BH3183" s="943"/>
      <c r="BI3183" s="943"/>
      <c r="BJ3183" s="943"/>
      <c r="BK3183" s="943"/>
      <c r="BL3183" s="943"/>
      <c r="BM3183" s="943"/>
      <c r="BN3183" s="943"/>
      <c r="BO3183" s="1059"/>
      <c r="BP3183" s="1059"/>
      <c r="BQ3183" s="1059"/>
      <c r="BR3183" s="1059"/>
      <c r="BS3183" s="1059"/>
      <c r="BT3183" s="1059"/>
      <c r="BU3183" s="1059"/>
      <c r="BV3183" s="944"/>
      <c r="BW3183" s="944"/>
      <c r="BX3183" s="1147"/>
      <c r="BY3183" s="944"/>
      <c r="BZ3183" s="944"/>
      <c r="CA3183" s="944"/>
      <c r="CB3183" s="944"/>
    </row>
    <row r="3184" spans="2:80">
      <c r="B3184" s="1097"/>
      <c r="C3184" s="1097"/>
      <c r="D3184" s="1097"/>
      <c r="E3184" s="1097"/>
      <c r="F3184" s="934"/>
      <c r="G3184" s="1098"/>
      <c r="H3184" s="1099"/>
      <c r="I3184" s="1099"/>
      <c r="J3184" s="934"/>
      <c r="K3184" s="934"/>
      <c r="L3184" s="933"/>
      <c r="M3184" s="1100"/>
      <c r="N3184" s="934"/>
      <c r="O3184" s="936"/>
      <c r="P3184" s="936"/>
      <c r="Q3184" s="933"/>
      <c r="T3184" s="1101"/>
      <c r="U3184" s="1102"/>
      <c r="V3184" s="936"/>
      <c r="W3184" s="1103"/>
      <c r="X3184" s="1104"/>
      <c r="Y3184" s="1105"/>
      <c r="Z3184" s="1103"/>
      <c r="AC3184" s="1106"/>
      <c r="AD3184" s="1107"/>
      <c r="AE3184" s="1104"/>
      <c r="AG3184" s="1109"/>
      <c r="AI3184" s="1110"/>
      <c r="AL3184" s="933"/>
      <c r="AM3184" s="933"/>
      <c r="AN3184" s="1100"/>
      <c r="AO3184" s="1100"/>
      <c r="AP3184" s="934"/>
      <c r="AQ3184" s="934"/>
      <c r="AR3184" s="934"/>
      <c r="AS3184" s="936"/>
      <c r="AT3184" s="936"/>
      <c r="AU3184" s="936"/>
      <c r="AV3184" s="937"/>
      <c r="AW3184" s="938"/>
      <c r="AX3184" s="939"/>
      <c r="AY3184" s="933"/>
      <c r="AZ3184" s="936"/>
      <c r="BA3184" s="936"/>
      <c r="BB3184" s="1112"/>
      <c r="BC3184" s="940"/>
      <c r="BD3184" s="941"/>
      <c r="BE3184" s="942"/>
      <c r="BF3184" s="943"/>
      <c r="BG3184" s="943"/>
      <c r="BH3184" s="943"/>
      <c r="BI3184" s="943"/>
      <c r="BJ3184" s="943"/>
      <c r="BK3184" s="943"/>
      <c r="BL3184" s="943"/>
      <c r="BM3184" s="943"/>
      <c r="BN3184" s="943"/>
      <c r="BO3184" s="1059"/>
      <c r="BP3184" s="1059"/>
      <c r="BQ3184" s="1059"/>
      <c r="BR3184" s="1059"/>
      <c r="BS3184" s="1059"/>
      <c r="BT3184" s="1059"/>
      <c r="BU3184" s="1059"/>
      <c r="BV3184" s="944"/>
      <c r="BW3184" s="944"/>
      <c r="BX3184" s="1147"/>
      <c r="BY3184" s="944"/>
      <c r="BZ3184" s="944"/>
      <c r="CA3184" s="944"/>
      <c r="CB3184" s="944"/>
    </row>
    <row r="3185" spans="2:80">
      <c r="B3185" s="1097"/>
      <c r="C3185" s="1097"/>
      <c r="D3185" s="1097"/>
      <c r="E3185" s="1097"/>
      <c r="F3185" s="934"/>
      <c r="G3185" s="1098"/>
      <c r="H3185" s="1099"/>
      <c r="I3185" s="1099"/>
      <c r="J3185" s="934"/>
      <c r="K3185" s="934"/>
      <c r="L3185" s="933"/>
      <c r="M3185" s="1100"/>
      <c r="N3185" s="934"/>
      <c r="O3185" s="936"/>
      <c r="P3185" s="936"/>
      <c r="Q3185" s="933"/>
      <c r="T3185" s="1101"/>
      <c r="U3185" s="1102"/>
      <c r="V3185" s="936"/>
      <c r="W3185" s="1103"/>
      <c r="X3185" s="1104"/>
      <c r="Y3185" s="1105"/>
      <c r="Z3185" s="1103"/>
      <c r="AC3185" s="1106"/>
      <c r="AD3185" s="1107"/>
      <c r="AE3185" s="1104"/>
      <c r="AG3185" s="1109"/>
      <c r="AI3185" s="1110"/>
      <c r="AL3185" s="933"/>
      <c r="AM3185" s="933"/>
      <c r="AN3185" s="1100"/>
      <c r="AO3185" s="1100"/>
      <c r="AP3185" s="934"/>
      <c r="AQ3185" s="934"/>
      <c r="AR3185" s="934"/>
      <c r="AS3185" s="936"/>
      <c r="AT3185" s="936"/>
      <c r="AU3185" s="936"/>
      <c r="AV3185" s="937"/>
      <c r="AW3185" s="938"/>
      <c r="AX3185" s="939"/>
      <c r="AY3185" s="933"/>
      <c r="AZ3185" s="936"/>
      <c r="BA3185" s="936"/>
      <c r="BB3185" s="1112"/>
      <c r="BC3185" s="940"/>
      <c r="BD3185" s="941"/>
      <c r="BE3185" s="942"/>
      <c r="BF3185" s="943"/>
      <c r="BG3185" s="943"/>
      <c r="BH3185" s="943"/>
      <c r="BI3185" s="943"/>
      <c r="BJ3185" s="943"/>
      <c r="BK3185" s="943"/>
      <c r="BL3185" s="943"/>
      <c r="BM3185" s="943"/>
      <c r="BN3185" s="943"/>
      <c r="BO3185" s="1059"/>
      <c r="BP3185" s="1059"/>
      <c r="BQ3185" s="1059"/>
      <c r="BR3185" s="1059"/>
      <c r="BS3185" s="1059"/>
      <c r="BT3185" s="1059"/>
      <c r="BU3185" s="1059"/>
      <c r="BV3185" s="944"/>
      <c r="BW3185" s="944"/>
      <c r="BX3185" s="1147"/>
      <c r="BY3185" s="944"/>
      <c r="BZ3185" s="944"/>
      <c r="CA3185" s="944"/>
      <c r="CB3185" s="944"/>
    </row>
    <row r="3186" spans="2:80">
      <c r="B3186" s="1097"/>
      <c r="C3186" s="1097"/>
      <c r="D3186" s="1097"/>
      <c r="E3186" s="1097"/>
      <c r="F3186" s="934"/>
      <c r="G3186" s="1098"/>
      <c r="H3186" s="1099"/>
      <c r="I3186" s="1099"/>
      <c r="J3186" s="934"/>
      <c r="K3186" s="934"/>
      <c r="L3186" s="933"/>
      <c r="M3186" s="1100"/>
      <c r="N3186" s="934"/>
      <c r="O3186" s="936"/>
      <c r="P3186" s="936"/>
      <c r="Q3186" s="933"/>
      <c r="T3186" s="1101"/>
      <c r="U3186" s="1102"/>
      <c r="V3186" s="936"/>
      <c r="W3186" s="1103"/>
      <c r="X3186" s="1104"/>
      <c r="Y3186" s="1105"/>
      <c r="Z3186" s="1103"/>
      <c r="AC3186" s="1106"/>
      <c r="AD3186" s="1107"/>
      <c r="AE3186" s="1104"/>
      <c r="AG3186" s="1109"/>
      <c r="AI3186" s="1110"/>
      <c r="AL3186" s="933"/>
      <c r="AM3186" s="933"/>
      <c r="AN3186" s="1100"/>
      <c r="AO3186" s="1100"/>
      <c r="AP3186" s="934"/>
      <c r="AQ3186" s="934"/>
      <c r="AR3186" s="934"/>
      <c r="AS3186" s="936"/>
      <c r="AT3186" s="936"/>
      <c r="AU3186" s="936"/>
      <c r="AV3186" s="937"/>
      <c r="AW3186" s="938"/>
      <c r="AX3186" s="939"/>
      <c r="AY3186" s="933"/>
      <c r="AZ3186" s="936"/>
      <c r="BA3186" s="936"/>
      <c r="BB3186" s="1112"/>
      <c r="BC3186" s="940"/>
      <c r="BD3186" s="941"/>
      <c r="BE3186" s="942"/>
      <c r="BF3186" s="943"/>
      <c r="BG3186" s="943"/>
      <c r="BH3186" s="943"/>
      <c r="BI3186" s="943"/>
      <c r="BJ3186" s="943"/>
      <c r="BK3186" s="943"/>
      <c r="BL3186" s="943"/>
      <c r="BM3186" s="943"/>
      <c r="BN3186" s="943"/>
      <c r="BO3186" s="1059"/>
      <c r="BP3186" s="1059"/>
      <c r="BQ3186" s="1059"/>
      <c r="BR3186" s="1059"/>
      <c r="BS3186" s="1059"/>
      <c r="BT3186" s="1059"/>
      <c r="BU3186" s="1059"/>
      <c r="BV3186" s="944"/>
      <c r="BW3186" s="944"/>
      <c r="BX3186" s="1147"/>
      <c r="BY3186" s="944"/>
      <c r="BZ3186" s="944"/>
      <c r="CA3186" s="944"/>
      <c r="CB3186" s="944"/>
    </row>
    <row r="3187" spans="2:80">
      <c r="B3187" s="1097"/>
      <c r="C3187" s="1097"/>
      <c r="D3187" s="1097"/>
      <c r="E3187" s="1097"/>
      <c r="F3187" s="934"/>
      <c r="G3187" s="1098"/>
      <c r="H3187" s="1099"/>
      <c r="I3187" s="1099"/>
      <c r="J3187" s="934"/>
      <c r="K3187" s="934"/>
      <c r="L3187" s="933"/>
      <c r="M3187" s="1100"/>
      <c r="N3187" s="934"/>
      <c r="O3187" s="936"/>
      <c r="P3187" s="936"/>
      <c r="Q3187" s="933"/>
      <c r="T3187" s="1101"/>
      <c r="U3187" s="1102"/>
      <c r="V3187" s="936"/>
      <c r="W3187" s="1103"/>
      <c r="X3187" s="1104"/>
      <c r="Y3187" s="1105"/>
      <c r="Z3187" s="1103"/>
      <c r="AC3187" s="1106"/>
      <c r="AD3187" s="1107"/>
      <c r="AE3187" s="1104"/>
      <c r="AG3187" s="1109"/>
      <c r="AI3187" s="1110"/>
      <c r="AL3187" s="933"/>
      <c r="AM3187" s="933"/>
      <c r="AN3187" s="1100"/>
      <c r="AO3187" s="1100"/>
      <c r="AP3187" s="934"/>
      <c r="AQ3187" s="934"/>
      <c r="AR3187" s="934"/>
      <c r="AS3187" s="936"/>
      <c r="AT3187" s="936"/>
      <c r="AU3187" s="936"/>
      <c r="AV3187" s="937"/>
      <c r="AW3187" s="938"/>
      <c r="AX3187" s="939"/>
      <c r="AY3187" s="933"/>
      <c r="AZ3187" s="936"/>
      <c r="BA3187" s="936"/>
      <c r="BB3187" s="1112"/>
      <c r="BC3187" s="940"/>
      <c r="BD3187" s="941"/>
      <c r="BE3187" s="942"/>
      <c r="BF3187" s="943"/>
      <c r="BG3187" s="943"/>
      <c r="BH3187" s="943"/>
      <c r="BI3187" s="943"/>
      <c r="BJ3187" s="943"/>
      <c r="BK3187" s="943"/>
      <c r="BL3187" s="943"/>
      <c r="BM3187" s="943"/>
      <c r="BN3187" s="943"/>
      <c r="BO3187" s="1059"/>
      <c r="BP3187" s="1059"/>
      <c r="BQ3187" s="1059"/>
      <c r="BR3187" s="1059"/>
      <c r="BS3187" s="1059"/>
      <c r="BT3187" s="1059"/>
      <c r="BU3187" s="1059"/>
      <c r="BV3187" s="944"/>
      <c r="BW3187" s="944"/>
      <c r="BX3187" s="1147"/>
      <c r="BY3187" s="944"/>
      <c r="BZ3187" s="944"/>
      <c r="CA3187" s="944"/>
      <c r="CB3187" s="944"/>
    </row>
    <row r="3188" spans="2:80">
      <c r="B3188" s="1097"/>
      <c r="C3188" s="1097"/>
      <c r="D3188" s="1097"/>
      <c r="E3188" s="1097"/>
      <c r="F3188" s="934"/>
      <c r="G3188" s="1098"/>
      <c r="H3188" s="1099"/>
      <c r="I3188" s="1099"/>
      <c r="J3188" s="934"/>
      <c r="K3188" s="934"/>
      <c r="L3188" s="933"/>
      <c r="M3188" s="1100"/>
      <c r="N3188" s="934"/>
      <c r="O3188" s="936"/>
      <c r="P3188" s="936"/>
      <c r="Q3188" s="933"/>
      <c r="T3188" s="1101"/>
      <c r="U3188" s="1102"/>
      <c r="V3188" s="936"/>
      <c r="W3188" s="1103"/>
      <c r="X3188" s="1104"/>
      <c r="Y3188" s="1105"/>
      <c r="Z3188" s="1103"/>
      <c r="AC3188" s="1106"/>
      <c r="AD3188" s="1107"/>
      <c r="AE3188" s="1104"/>
      <c r="AG3188" s="1109"/>
      <c r="AI3188" s="1110"/>
      <c r="AL3188" s="933"/>
      <c r="AM3188" s="933"/>
      <c r="AN3188" s="1100"/>
      <c r="AO3188" s="1100"/>
      <c r="AP3188" s="934"/>
      <c r="AQ3188" s="934"/>
      <c r="AR3188" s="934"/>
      <c r="AS3188" s="936"/>
      <c r="AT3188" s="936"/>
      <c r="AU3188" s="936"/>
      <c r="AV3188" s="937"/>
      <c r="AW3188" s="938"/>
      <c r="AX3188" s="939"/>
      <c r="AY3188" s="933"/>
      <c r="AZ3188" s="936"/>
      <c r="BA3188" s="936"/>
      <c r="BB3188" s="1112"/>
      <c r="BC3188" s="940"/>
      <c r="BD3188" s="941"/>
      <c r="BE3188" s="942"/>
      <c r="BF3188" s="943"/>
      <c r="BG3188" s="943"/>
      <c r="BH3188" s="943"/>
      <c r="BI3188" s="943"/>
      <c r="BJ3188" s="943"/>
      <c r="BK3188" s="943"/>
      <c r="BL3188" s="943"/>
      <c r="BM3188" s="943"/>
      <c r="BN3188" s="943"/>
      <c r="BO3188" s="1059"/>
      <c r="BP3188" s="1059"/>
      <c r="BQ3188" s="1059"/>
      <c r="BR3188" s="1059"/>
      <c r="BS3188" s="1059"/>
      <c r="BT3188" s="1059"/>
      <c r="BU3188" s="1059"/>
      <c r="BV3188" s="944"/>
      <c r="BW3188" s="944"/>
      <c r="BX3188" s="1147"/>
      <c r="BY3188" s="944"/>
      <c r="BZ3188" s="944"/>
      <c r="CA3188" s="944"/>
      <c r="CB3188" s="944"/>
    </row>
    <row r="3189" spans="2:80">
      <c r="B3189" s="1097"/>
      <c r="C3189" s="1097"/>
      <c r="D3189" s="1097"/>
      <c r="E3189" s="1097"/>
      <c r="F3189" s="934"/>
      <c r="G3189" s="1098"/>
      <c r="H3189" s="1099"/>
      <c r="I3189" s="1099"/>
      <c r="J3189" s="934"/>
      <c r="K3189" s="934"/>
      <c r="L3189" s="933"/>
      <c r="M3189" s="1100"/>
      <c r="N3189" s="934"/>
      <c r="O3189" s="936"/>
      <c r="P3189" s="936"/>
      <c r="Q3189" s="933"/>
      <c r="T3189" s="1101"/>
      <c r="U3189" s="1102"/>
      <c r="V3189" s="936"/>
      <c r="W3189" s="1103"/>
      <c r="X3189" s="1104"/>
      <c r="Y3189" s="1105"/>
      <c r="Z3189" s="1103"/>
      <c r="AC3189" s="1106"/>
      <c r="AD3189" s="1107"/>
      <c r="AE3189" s="1104"/>
      <c r="AG3189" s="1109"/>
      <c r="AI3189" s="1110"/>
      <c r="AL3189" s="933"/>
      <c r="AM3189" s="933"/>
      <c r="AN3189" s="1100"/>
      <c r="AO3189" s="1100"/>
      <c r="AP3189" s="934"/>
      <c r="AQ3189" s="934"/>
      <c r="AR3189" s="934"/>
      <c r="AS3189" s="936"/>
      <c r="AT3189" s="936"/>
      <c r="AU3189" s="936"/>
      <c r="AV3189" s="937"/>
      <c r="AW3189" s="938"/>
      <c r="AX3189" s="939"/>
      <c r="AY3189" s="933"/>
      <c r="AZ3189" s="936"/>
      <c r="BA3189" s="936"/>
      <c r="BB3189" s="1112"/>
      <c r="BC3189" s="940"/>
      <c r="BD3189" s="941"/>
      <c r="BE3189" s="942"/>
      <c r="BF3189" s="943"/>
      <c r="BG3189" s="943"/>
      <c r="BH3189" s="943"/>
      <c r="BI3189" s="943"/>
      <c r="BJ3189" s="943"/>
      <c r="BK3189" s="943"/>
      <c r="BL3189" s="943"/>
      <c r="BM3189" s="943"/>
      <c r="BN3189" s="943"/>
      <c r="BO3189" s="1059"/>
      <c r="BP3189" s="1059"/>
      <c r="BQ3189" s="1059"/>
      <c r="BR3189" s="1059"/>
      <c r="BS3189" s="1059"/>
      <c r="BT3189" s="1059"/>
      <c r="BU3189" s="1059"/>
      <c r="BV3189" s="944"/>
      <c r="BW3189" s="944"/>
      <c r="BX3189" s="1147"/>
      <c r="BY3189" s="944"/>
      <c r="BZ3189" s="944"/>
      <c r="CA3189" s="944"/>
      <c r="CB3189" s="944"/>
    </row>
    <row r="3190" spans="2:80">
      <c r="B3190" s="1097"/>
      <c r="C3190" s="1097"/>
      <c r="D3190" s="1097"/>
      <c r="E3190" s="1097"/>
      <c r="F3190" s="934"/>
      <c r="G3190" s="1098"/>
      <c r="H3190" s="1099"/>
      <c r="I3190" s="1099"/>
      <c r="J3190" s="934"/>
      <c r="K3190" s="934"/>
      <c r="L3190" s="933"/>
      <c r="M3190" s="1100"/>
      <c r="N3190" s="934"/>
      <c r="O3190" s="936"/>
      <c r="P3190" s="936"/>
      <c r="Q3190" s="933"/>
      <c r="T3190" s="1101"/>
      <c r="U3190" s="1102"/>
      <c r="V3190" s="936"/>
      <c r="W3190" s="1103"/>
      <c r="X3190" s="1104"/>
      <c r="Y3190" s="1105"/>
      <c r="Z3190" s="1103"/>
      <c r="AC3190" s="1106"/>
      <c r="AD3190" s="1107"/>
      <c r="AE3190" s="1104"/>
      <c r="AG3190" s="1109"/>
      <c r="AI3190" s="1110"/>
      <c r="AL3190" s="933"/>
      <c r="AM3190" s="933"/>
      <c r="AN3190" s="1100"/>
      <c r="AO3190" s="1100"/>
      <c r="AP3190" s="934"/>
      <c r="AQ3190" s="934"/>
      <c r="AR3190" s="934"/>
      <c r="AS3190" s="936"/>
      <c r="AT3190" s="936"/>
      <c r="AU3190" s="936"/>
      <c r="AV3190" s="937"/>
      <c r="AW3190" s="938"/>
      <c r="AX3190" s="939"/>
      <c r="AY3190" s="933"/>
      <c r="AZ3190" s="936"/>
      <c r="BA3190" s="936"/>
      <c r="BB3190" s="1112"/>
      <c r="BC3190" s="940"/>
      <c r="BD3190" s="941"/>
      <c r="BE3190" s="942"/>
      <c r="BF3190" s="943"/>
      <c r="BG3190" s="943"/>
      <c r="BH3190" s="943"/>
      <c r="BI3190" s="943"/>
      <c r="BJ3190" s="943"/>
      <c r="BK3190" s="943"/>
      <c r="BL3190" s="943"/>
      <c r="BM3190" s="943"/>
      <c r="BN3190" s="943"/>
      <c r="BO3190" s="1059"/>
      <c r="BP3190" s="1059"/>
      <c r="BQ3190" s="1059"/>
      <c r="BR3190" s="1059"/>
      <c r="BS3190" s="1059"/>
      <c r="BT3190" s="1059"/>
      <c r="BU3190" s="1059"/>
      <c r="BV3190" s="944"/>
      <c r="BW3190" s="944"/>
      <c r="BX3190" s="1147"/>
      <c r="BY3190" s="944"/>
      <c r="BZ3190" s="944"/>
      <c r="CA3190" s="944"/>
      <c r="CB3190" s="944"/>
    </row>
    <row r="3191" spans="2:80">
      <c r="B3191" s="1097"/>
      <c r="C3191" s="1097"/>
      <c r="D3191" s="1097"/>
      <c r="E3191" s="1097"/>
      <c r="F3191" s="934"/>
      <c r="G3191" s="1098"/>
      <c r="H3191" s="1099"/>
      <c r="I3191" s="1099"/>
      <c r="J3191" s="934"/>
      <c r="K3191" s="934"/>
      <c r="L3191" s="933"/>
      <c r="M3191" s="1100"/>
      <c r="N3191" s="934"/>
      <c r="O3191" s="936"/>
      <c r="P3191" s="936"/>
      <c r="Q3191" s="933"/>
      <c r="T3191" s="1101"/>
      <c r="U3191" s="1102"/>
      <c r="V3191" s="936"/>
      <c r="W3191" s="1103"/>
      <c r="X3191" s="1104"/>
      <c r="Y3191" s="1105"/>
      <c r="Z3191" s="1103"/>
      <c r="AC3191" s="1106"/>
      <c r="AD3191" s="1107"/>
      <c r="AE3191" s="1104"/>
      <c r="AG3191" s="1109"/>
      <c r="AI3191" s="1110"/>
      <c r="AL3191" s="933"/>
      <c r="AM3191" s="933"/>
      <c r="AN3191" s="1100"/>
      <c r="AO3191" s="1100"/>
      <c r="AP3191" s="934"/>
      <c r="AQ3191" s="934"/>
      <c r="AR3191" s="934"/>
      <c r="AS3191" s="936"/>
      <c r="AT3191" s="936"/>
      <c r="AU3191" s="936"/>
      <c r="AV3191" s="937"/>
      <c r="AW3191" s="938"/>
      <c r="AX3191" s="939"/>
      <c r="AY3191" s="933"/>
      <c r="AZ3191" s="936"/>
      <c r="BA3191" s="936"/>
      <c r="BB3191" s="1112"/>
      <c r="BC3191" s="940"/>
      <c r="BD3191" s="941"/>
      <c r="BE3191" s="942"/>
      <c r="BF3191" s="943"/>
      <c r="BG3191" s="943"/>
      <c r="BH3191" s="943"/>
      <c r="BI3191" s="943"/>
      <c r="BJ3191" s="943"/>
      <c r="BK3191" s="943"/>
      <c r="BL3191" s="943"/>
      <c r="BM3191" s="943"/>
      <c r="BN3191" s="943"/>
      <c r="BO3191" s="1059"/>
      <c r="BP3191" s="1059"/>
      <c r="BQ3191" s="1059"/>
      <c r="BR3191" s="1059"/>
      <c r="BS3191" s="1059"/>
      <c r="BT3191" s="1059"/>
      <c r="BU3191" s="1059"/>
      <c r="BV3191" s="944"/>
      <c r="BW3191" s="944"/>
      <c r="BX3191" s="1147"/>
      <c r="BY3191" s="944"/>
      <c r="BZ3191" s="944"/>
      <c r="CA3191" s="944"/>
      <c r="CB3191" s="944"/>
    </row>
    <row r="3192" spans="2:80">
      <c r="B3192" s="1097"/>
      <c r="C3192" s="1097"/>
      <c r="D3192" s="1097"/>
      <c r="E3192" s="1097"/>
      <c r="F3192" s="934"/>
      <c r="G3192" s="1098"/>
      <c r="H3192" s="1099"/>
      <c r="I3192" s="1099"/>
      <c r="J3192" s="934"/>
      <c r="K3192" s="934"/>
      <c r="L3192" s="933"/>
      <c r="M3192" s="1100"/>
      <c r="N3192" s="934"/>
      <c r="O3192" s="936"/>
      <c r="P3192" s="936"/>
      <c r="Q3192" s="933"/>
      <c r="T3192" s="1101"/>
      <c r="U3192" s="1102"/>
      <c r="V3192" s="936"/>
      <c r="W3192" s="1103"/>
      <c r="X3192" s="1104"/>
      <c r="Y3192" s="1105"/>
      <c r="Z3192" s="1103"/>
      <c r="AC3192" s="1106"/>
      <c r="AD3192" s="1107"/>
      <c r="AE3192" s="1104"/>
      <c r="AG3192" s="1109"/>
      <c r="AI3192" s="1110"/>
      <c r="AL3192" s="933"/>
      <c r="AM3192" s="933"/>
      <c r="AN3192" s="1100"/>
      <c r="AO3192" s="1100"/>
      <c r="AP3192" s="934"/>
      <c r="AQ3192" s="934"/>
      <c r="AR3192" s="934"/>
      <c r="AS3192" s="936"/>
      <c r="AT3192" s="936"/>
      <c r="AU3192" s="936"/>
      <c r="AV3192" s="937"/>
      <c r="AW3192" s="938"/>
      <c r="AX3192" s="939"/>
      <c r="AY3192" s="933"/>
      <c r="AZ3192" s="936"/>
      <c r="BA3192" s="936"/>
      <c r="BB3192" s="1112"/>
      <c r="BC3192" s="940"/>
      <c r="BD3192" s="941"/>
      <c r="BE3192" s="942"/>
      <c r="BF3192" s="943"/>
      <c r="BG3192" s="943"/>
      <c r="BH3192" s="943"/>
      <c r="BI3192" s="943"/>
      <c r="BJ3192" s="943"/>
      <c r="BK3192" s="943"/>
      <c r="BL3192" s="943"/>
      <c r="BM3192" s="943"/>
      <c r="BN3192" s="943"/>
      <c r="BO3192" s="1059"/>
      <c r="BP3192" s="1059"/>
      <c r="BQ3192" s="1059"/>
      <c r="BR3192" s="1059"/>
      <c r="BS3192" s="1059"/>
      <c r="BT3192" s="1059"/>
      <c r="BU3192" s="1059"/>
      <c r="BV3192" s="944"/>
      <c r="BW3192" s="944"/>
      <c r="BX3192" s="1147"/>
      <c r="BY3192" s="944"/>
      <c r="BZ3192" s="944"/>
      <c r="CA3192" s="944"/>
      <c r="CB3192" s="944"/>
    </row>
    <row r="3193" spans="2:80">
      <c r="B3193" s="1097"/>
      <c r="C3193" s="1097"/>
      <c r="D3193" s="1097"/>
      <c r="E3193" s="1097"/>
      <c r="F3193" s="934"/>
      <c r="G3193" s="1098"/>
      <c r="H3193" s="1099"/>
      <c r="I3193" s="1099"/>
      <c r="J3193" s="934"/>
      <c r="K3193" s="934"/>
      <c r="L3193" s="933"/>
      <c r="M3193" s="1100"/>
      <c r="N3193" s="934"/>
      <c r="O3193" s="936"/>
      <c r="P3193" s="936"/>
      <c r="Q3193" s="933"/>
      <c r="T3193" s="1101"/>
      <c r="U3193" s="1102"/>
      <c r="V3193" s="936"/>
      <c r="W3193" s="1103"/>
      <c r="X3193" s="1104"/>
      <c r="Y3193" s="1105"/>
      <c r="Z3193" s="1103"/>
      <c r="AC3193" s="1106"/>
      <c r="AD3193" s="1107"/>
      <c r="AE3193" s="1104"/>
      <c r="AG3193" s="1109"/>
      <c r="AI3193" s="1110"/>
      <c r="AL3193" s="933"/>
      <c r="AM3193" s="933"/>
      <c r="AN3193" s="1100"/>
      <c r="AO3193" s="1100"/>
      <c r="AP3193" s="934"/>
      <c r="AQ3193" s="934"/>
      <c r="AR3193" s="934"/>
      <c r="AS3193" s="936"/>
      <c r="AT3193" s="936"/>
      <c r="AU3193" s="936"/>
      <c r="AV3193" s="937"/>
      <c r="AW3193" s="938"/>
      <c r="AX3193" s="939"/>
      <c r="AY3193" s="933"/>
      <c r="AZ3193" s="936"/>
      <c r="BA3193" s="936"/>
      <c r="BB3193" s="1112"/>
      <c r="BC3193" s="940"/>
      <c r="BD3193" s="941"/>
      <c r="BE3193" s="942"/>
      <c r="BF3193" s="943"/>
      <c r="BG3193" s="943"/>
      <c r="BH3193" s="943"/>
      <c r="BI3193" s="943"/>
      <c r="BJ3193" s="943"/>
      <c r="BK3193" s="943"/>
      <c r="BL3193" s="943"/>
      <c r="BM3193" s="943"/>
      <c r="BN3193" s="943"/>
      <c r="BO3193" s="1059"/>
      <c r="BP3193" s="1059"/>
      <c r="BQ3193" s="1059"/>
      <c r="BR3193" s="1059"/>
      <c r="BS3193" s="1059"/>
      <c r="BT3193" s="1059"/>
      <c r="BU3193" s="1059"/>
      <c r="BV3193" s="944"/>
      <c r="BW3193" s="944"/>
      <c r="BX3193" s="1147"/>
      <c r="BY3193" s="944"/>
      <c r="BZ3193" s="944"/>
      <c r="CA3193" s="944"/>
      <c r="CB3193" s="944"/>
    </row>
    <row r="3194" spans="2:80">
      <c r="B3194" s="1097"/>
      <c r="C3194" s="1097"/>
      <c r="D3194" s="1097"/>
      <c r="E3194" s="1097"/>
      <c r="F3194" s="934"/>
      <c r="G3194" s="1098"/>
      <c r="H3194" s="1099"/>
      <c r="I3194" s="1099"/>
      <c r="J3194" s="934"/>
      <c r="K3194" s="934"/>
      <c r="L3194" s="933"/>
      <c r="M3194" s="1100"/>
      <c r="N3194" s="934"/>
      <c r="O3194" s="936"/>
      <c r="P3194" s="936"/>
      <c r="Q3194" s="933"/>
      <c r="T3194" s="1101"/>
      <c r="U3194" s="1102"/>
      <c r="V3194" s="936"/>
      <c r="W3194" s="1103"/>
      <c r="X3194" s="1104"/>
      <c r="Y3194" s="1105"/>
      <c r="Z3194" s="1103"/>
      <c r="AC3194" s="1106"/>
      <c r="AD3194" s="1107"/>
      <c r="AE3194" s="1104"/>
      <c r="AG3194" s="1109"/>
      <c r="AI3194" s="1110"/>
      <c r="AL3194" s="933"/>
      <c r="AM3194" s="933"/>
      <c r="AN3194" s="1100"/>
      <c r="AO3194" s="1100"/>
      <c r="AP3194" s="934"/>
      <c r="AQ3194" s="934"/>
      <c r="AR3194" s="934"/>
      <c r="AS3194" s="936"/>
      <c r="AT3194" s="936"/>
      <c r="AU3194" s="936"/>
      <c r="AV3194" s="937"/>
      <c r="AW3194" s="938"/>
      <c r="AX3194" s="939"/>
      <c r="AY3194" s="933"/>
      <c r="AZ3194" s="936"/>
      <c r="BA3194" s="936"/>
      <c r="BB3194" s="1112"/>
      <c r="BC3194" s="940"/>
      <c r="BD3194" s="941"/>
      <c r="BE3194" s="942"/>
      <c r="BF3194" s="943"/>
      <c r="BG3194" s="943"/>
      <c r="BH3194" s="943"/>
      <c r="BI3194" s="943"/>
      <c r="BJ3194" s="943"/>
      <c r="BK3194" s="943"/>
      <c r="BL3194" s="943"/>
      <c r="BM3194" s="943"/>
      <c r="BN3194" s="943"/>
      <c r="BO3194" s="1059"/>
      <c r="BP3194" s="1059"/>
      <c r="BQ3194" s="1059"/>
      <c r="BR3194" s="1059"/>
      <c r="BS3194" s="1059"/>
      <c r="BT3194" s="1059"/>
      <c r="BU3194" s="1059"/>
      <c r="BV3194" s="944"/>
      <c r="BW3194" s="944"/>
      <c r="BX3194" s="1147"/>
      <c r="BY3194" s="944"/>
      <c r="BZ3194" s="944"/>
      <c r="CA3194" s="944"/>
      <c r="CB3194" s="944"/>
    </row>
    <row r="3195" spans="2:80">
      <c r="B3195" s="1097"/>
      <c r="C3195" s="1097"/>
      <c r="D3195" s="1097"/>
      <c r="E3195" s="1097"/>
      <c r="F3195" s="934"/>
      <c r="G3195" s="1098"/>
      <c r="H3195" s="1099"/>
      <c r="I3195" s="1099"/>
      <c r="J3195" s="934"/>
      <c r="K3195" s="934"/>
      <c r="L3195" s="933"/>
      <c r="M3195" s="1100"/>
      <c r="N3195" s="934"/>
      <c r="O3195" s="936"/>
      <c r="P3195" s="936"/>
      <c r="Q3195" s="933"/>
      <c r="T3195" s="1101"/>
      <c r="U3195" s="1102"/>
      <c r="V3195" s="936"/>
      <c r="W3195" s="1103"/>
      <c r="X3195" s="1104"/>
      <c r="Y3195" s="1105"/>
      <c r="Z3195" s="1103"/>
      <c r="AC3195" s="1106"/>
      <c r="AD3195" s="1107"/>
      <c r="AE3195" s="1104"/>
      <c r="AG3195" s="1109"/>
      <c r="AI3195" s="1110"/>
      <c r="AL3195" s="933"/>
      <c r="AM3195" s="933"/>
      <c r="AN3195" s="1100"/>
      <c r="AO3195" s="1100"/>
      <c r="AP3195" s="934"/>
      <c r="AQ3195" s="934"/>
      <c r="AR3195" s="934"/>
      <c r="AS3195" s="936"/>
      <c r="AT3195" s="936"/>
      <c r="AU3195" s="936"/>
      <c r="AV3195" s="937"/>
      <c r="AW3195" s="938"/>
      <c r="AX3195" s="939"/>
      <c r="AY3195" s="933"/>
      <c r="AZ3195" s="936"/>
      <c r="BA3195" s="936"/>
      <c r="BB3195" s="1112"/>
      <c r="BC3195" s="940"/>
      <c r="BD3195" s="941"/>
      <c r="BE3195" s="942"/>
      <c r="BF3195" s="943"/>
      <c r="BG3195" s="943"/>
      <c r="BH3195" s="943"/>
      <c r="BI3195" s="943"/>
      <c r="BJ3195" s="943"/>
      <c r="BK3195" s="943"/>
      <c r="BL3195" s="943"/>
      <c r="BM3195" s="943"/>
      <c r="BN3195" s="943"/>
      <c r="BO3195" s="1059"/>
      <c r="BP3195" s="1059"/>
      <c r="BQ3195" s="1059"/>
      <c r="BR3195" s="1059"/>
      <c r="BS3195" s="1059"/>
      <c r="BT3195" s="1059"/>
      <c r="BU3195" s="1059"/>
      <c r="BV3195" s="944"/>
      <c r="BW3195" s="944"/>
      <c r="BX3195" s="1147"/>
      <c r="BY3195" s="944"/>
      <c r="BZ3195" s="944"/>
      <c r="CA3195" s="944"/>
      <c r="CB3195" s="944"/>
    </row>
    <row r="3196" spans="2:80">
      <c r="B3196" s="1097"/>
      <c r="C3196" s="1097"/>
      <c r="D3196" s="1097"/>
      <c r="E3196" s="1097"/>
      <c r="F3196" s="934"/>
      <c r="G3196" s="1098"/>
      <c r="H3196" s="1099"/>
      <c r="I3196" s="1099"/>
      <c r="J3196" s="934"/>
      <c r="K3196" s="934"/>
      <c r="L3196" s="933"/>
      <c r="M3196" s="1100"/>
      <c r="N3196" s="934"/>
      <c r="O3196" s="936"/>
      <c r="P3196" s="936"/>
      <c r="Q3196" s="933"/>
      <c r="T3196" s="1101"/>
      <c r="U3196" s="1102"/>
      <c r="V3196" s="936"/>
      <c r="W3196" s="1103"/>
      <c r="X3196" s="1104"/>
      <c r="Y3196" s="1105"/>
      <c r="Z3196" s="1103"/>
      <c r="AC3196" s="1106"/>
      <c r="AD3196" s="1107"/>
      <c r="AE3196" s="1104"/>
      <c r="AG3196" s="1109"/>
      <c r="AI3196" s="1110"/>
      <c r="AL3196" s="933"/>
      <c r="AM3196" s="933"/>
      <c r="AN3196" s="1100"/>
      <c r="AO3196" s="1100"/>
      <c r="AP3196" s="934"/>
      <c r="AQ3196" s="934"/>
      <c r="AR3196" s="934"/>
      <c r="AS3196" s="936"/>
      <c r="AT3196" s="936"/>
      <c r="AU3196" s="936"/>
      <c r="AV3196" s="937"/>
      <c r="AW3196" s="938"/>
      <c r="AX3196" s="939"/>
      <c r="AY3196" s="933"/>
      <c r="AZ3196" s="936"/>
      <c r="BA3196" s="936"/>
      <c r="BB3196" s="1112"/>
      <c r="BC3196" s="940"/>
      <c r="BD3196" s="941"/>
      <c r="BE3196" s="942"/>
      <c r="BF3196" s="943"/>
      <c r="BG3196" s="943"/>
      <c r="BH3196" s="943"/>
      <c r="BI3196" s="943"/>
      <c r="BJ3196" s="943"/>
      <c r="BK3196" s="943"/>
      <c r="BL3196" s="943"/>
      <c r="BM3196" s="943"/>
      <c r="BN3196" s="943"/>
      <c r="BO3196" s="1059"/>
      <c r="BP3196" s="1059"/>
      <c r="BQ3196" s="1059"/>
      <c r="BR3196" s="1059"/>
      <c r="BS3196" s="1059"/>
      <c r="BT3196" s="1059"/>
      <c r="BU3196" s="1059"/>
      <c r="BV3196" s="944"/>
      <c r="BW3196" s="944"/>
      <c r="BX3196" s="1147"/>
      <c r="BY3196" s="944"/>
      <c r="BZ3196" s="944"/>
      <c r="CA3196" s="944"/>
      <c r="CB3196" s="944"/>
    </row>
    <row r="3197" spans="2:80">
      <c r="B3197" s="1097"/>
      <c r="C3197" s="1097"/>
      <c r="D3197" s="1097"/>
      <c r="E3197" s="1097"/>
      <c r="F3197" s="934"/>
      <c r="G3197" s="1098"/>
      <c r="H3197" s="1099"/>
      <c r="I3197" s="1099"/>
      <c r="J3197" s="934"/>
      <c r="K3197" s="934"/>
      <c r="L3197" s="933"/>
      <c r="M3197" s="1100"/>
      <c r="N3197" s="934"/>
      <c r="O3197" s="936"/>
      <c r="P3197" s="936"/>
      <c r="Q3197" s="933"/>
      <c r="T3197" s="1101"/>
      <c r="U3197" s="1102"/>
      <c r="V3197" s="936"/>
      <c r="W3197" s="1103"/>
      <c r="X3197" s="1104"/>
      <c r="Y3197" s="1105"/>
      <c r="Z3197" s="1103"/>
      <c r="AC3197" s="1106"/>
      <c r="AD3197" s="1107"/>
      <c r="AE3197" s="1104"/>
      <c r="AG3197" s="1109"/>
      <c r="AI3197" s="1110"/>
      <c r="AL3197" s="933"/>
      <c r="AM3197" s="933"/>
      <c r="AN3197" s="1100"/>
      <c r="AO3197" s="1100"/>
      <c r="AP3197" s="934"/>
      <c r="AQ3197" s="934"/>
      <c r="AR3197" s="934"/>
      <c r="AS3197" s="936"/>
      <c r="AT3197" s="936"/>
      <c r="AU3197" s="936"/>
      <c r="AV3197" s="937"/>
      <c r="AW3197" s="938"/>
      <c r="AX3197" s="939"/>
      <c r="AY3197" s="933"/>
      <c r="AZ3197" s="936"/>
      <c r="BA3197" s="936"/>
      <c r="BB3197" s="1112"/>
      <c r="BC3197" s="940"/>
      <c r="BD3197" s="941"/>
      <c r="BE3197" s="942"/>
      <c r="BF3197" s="943"/>
      <c r="BG3197" s="943"/>
      <c r="BH3197" s="943"/>
      <c r="BI3197" s="943"/>
      <c r="BJ3197" s="943"/>
      <c r="BK3197" s="943"/>
      <c r="BL3197" s="943"/>
      <c r="BM3197" s="943"/>
      <c r="BN3197" s="943"/>
      <c r="BO3197" s="1059"/>
      <c r="BP3197" s="1059"/>
      <c r="BQ3197" s="1059"/>
      <c r="BR3197" s="1059"/>
      <c r="BS3197" s="1059"/>
      <c r="BT3197" s="1059"/>
      <c r="BU3197" s="1059"/>
      <c r="BV3197" s="944"/>
      <c r="BW3197" s="944"/>
      <c r="BX3197" s="1147"/>
      <c r="BY3197" s="944"/>
      <c r="BZ3197" s="944"/>
      <c r="CA3197" s="944"/>
      <c r="CB3197" s="944"/>
    </row>
    <row r="3198" spans="2:80">
      <c r="B3198" s="1097"/>
      <c r="C3198" s="1097"/>
      <c r="D3198" s="1097"/>
      <c r="E3198" s="1097"/>
      <c r="F3198" s="934"/>
      <c r="G3198" s="1098"/>
      <c r="H3198" s="1099"/>
      <c r="I3198" s="1099"/>
      <c r="J3198" s="934"/>
      <c r="K3198" s="934"/>
      <c r="L3198" s="933"/>
      <c r="M3198" s="1100"/>
      <c r="N3198" s="934"/>
      <c r="O3198" s="936"/>
      <c r="P3198" s="936"/>
      <c r="Q3198" s="933"/>
      <c r="T3198" s="1101"/>
      <c r="U3198" s="1102"/>
      <c r="V3198" s="936"/>
      <c r="W3198" s="1103"/>
      <c r="X3198" s="1104"/>
      <c r="Y3198" s="1105"/>
      <c r="Z3198" s="1103"/>
      <c r="AC3198" s="1106"/>
      <c r="AD3198" s="1107"/>
      <c r="AE3198" s="1104"/>
      <c r="AG3198" s="1109"/>
      <c r="AI3198" s="1110"/>
      <c r="AL3198" s="933"/>
      <c r="AM3198" s="933"/>
      <c r="AN3198" s="1100"/>
      <c r="AO3198" s="1100"/>
      <c r="AP3198" s="934"/>
      <c r="AQ3198" s="934"/>
      <c r="AR3198" s="934"/>
      <c r="AS3198" s="936"/>
      <c r="AT3198" s="936"/>
      <c r="AU3198" s="936"/>
      <c r="AV3198" s="937"/>
      <c r="AW3198" s="938"/>
      <c r="AX3198" s="939"/>
      <c r="AY3198" s="933"/>
      <c r="AZ3198" s="936"/>
      <c r="BA3198" s="936"/>
      <c r="BB3198" s="1112"/>
      <c r="BC3198" s="940"/>
      <c r="BD3198" s="941"/>
      <c r="BE3198" s="942"/>
      <c r="BF3198" s="943"/>
      <c r="BG3198" s="943"/>
      <c r="BH3198" s="943"/>
      <c r="BI3198" s="943"/>
      <c r="BJ3198" s="943"/>
      <c r="BK3198" s="943"/>
      <c r="BL3198" s="943"/>
      <c r="BM3198" s="943"/>
      <c r="BN3198" s="943"/>
      <c r="BO3198" s="1059"/>
      <c r="BP3198" s="1059"/>
      <c r="BQ3198" s="1059"/>
      <c r="BR3198" s="1059"/>
      <c r="BS3198" s="1059"/>
      <c r="BT3198" s="1059"/>
      <c r="BU3198" s="1059"/>
      <c r="BV3198" s="944"/>
      <c r="BW3198" s="944"/>
      <c r="BX3198" s="1147"/>
      <c r="BY3198" s="944"/>
      <c r="BZ3198" s="944"/>
      <c r="CA3198" s="944"/>
      <c r="CB3198" s="944"/>
    </row>
    <row r="3199" spans="2:80">
      <c r="B3199" s="1097"/>
      <c r="C3199" s="1097"/>
      <c r="D3199" s="1097"/>
      <c r="E3199" s="1097"/>
      <c r="F3199" s="934"/>
      <c r="G3199" s="1098"/>
      <c r="H3199" s="1099"/>
      <c r="I3199" s="1099"/>
      <c r="J3199" s="934"/>
      <c r="K3199" s="934"/>
      <c r="L3199" s="933"/>
      <c r="M3199" s="1100"/>
      <c r="N3199" s="934"/>
      <c r="O3199" s="936"/>
      <c r="P3199" s="936"/>
      <c r="Q3199" s="933"/>
      <c r="T3199" s="1101"/>
      <c r="U3199" s="1102"/>
      <c r="V3199" s="936"/>
      <c r="W3199" s="1103"/>
      <c r="X3199" s="1104"/>
      <c r="Y3199" s="1105"/>
      <c r="Z3199" s="1103"/>
      <c r="AC3199" s="1106"/>
      <c r="AD3199" s="1107"/>
      <c r="AE3199" s="1104"/>
      <c r="AG3199" s="1109"/>
      <c r="AI3199" s="1110"/>
      <c r="AL3199" s="933"/>
      <c r="AM3199" s="933"/>
      <c r="AN3199" s="1100"/>
      <c r="AO3199" s="1100"/>
      <c r="AP3199" s="934"/>
      <c r="AQ3199" s="934"/>
      <c r="AR3199" s="934"/>
      <c r="AS3199" s="936"/>
      <c r="AT3199" s="936"/>
      <c r="AU3199" s="936"/>
      <c r="AV3199" s="937"/>
      <c r="AW3199" s="938"/>
      <c r="AX3199" s="939"/>
      <c r="AY3199" s="933"/>
      <c r="AZ3199" s="936"/>
      <c r="BA3199" s="936"/>
      <c r="BB3199" s="1112"/>
      <c r="BC3199" s="940"/>
      <c r="BD3199" s="941"/>
      <c r="BE3199" s="942"/>
      <c r="BF3199" s="943"/>
      <c r="BG3199" s="943"/>
      <c r="BH3199" s="943"/>
      <c r="BI3199" s="943"/>
      <c r="BJ3199" s="943"/>
      <c r="BK3199" s="943"/>
      <c r="BL3199" s="943"/>
      <c r="BM3199" s="943"/>
      <c r="BN3199" s="943"/>
      <c r="BO3199" s="1059"/>
      <c r="BP3199" s="1059"/>
      <c r="BQ3199" s="1059"/>
      <c r="BR3199" s="1059"/>
      <c r="BS3199" s="1059"/>
      <c r="BT3199" s="1059"/>
      <c r="BU3199" s="1059"/>
      <c r="BV3199" s="944"/>
      <c r="BW3199" s="944"/>
      <c r="BX3199" s="1147"/>
      <c r="BY3199" s="944"/>
      <c r="BZ3199" s="944"/>
      <c r="CA3199" s="944"/>
      <c r="CB3199" s="944"/>
    </row>
    <row r="3200" spans="2:80">
      <c r="B3200" s="1097"/>
      <c r="C3200" s="1097"/>
      <c r="D3200" s="1097"/>
      <c r="E3200" s="1097"/>
      <c r="F3200" s="934"/>
      <c r="G3200" s="1098"/>
      <c r="H3200" s="1099"/>
      <c r="I3200" s="1099"/>
      <c r="J3200" s="934"/>
      <c r="K3200" s="934"/>
      <c r="L3200" s="933"/>
      <c r="M3200" s="1100"/>
      <c r="N3200" s="934"/>
      <c r="O3200" s="936"/>
      <c r="P3200" s="936"/>
      <c r="Q3200" s="933"/>
      <c r="T3200" s="1101"/>
      <c r="U3200" s="1102"/>
      <c r="V3200" s="936"/>
      <c r="W3200" s="1103"/>
      <c r="X3200" s="1104"/>
      <c r="Y3200" s="1105"/>
      <c r="Z3200" s="1103"/>
      <c r="AC3200" s="1106"/>
      <c r="AD3200" s="1107"/>
      <c r="AE3200" s="1104"/>
      <c r="AG3200" s="1109"/>
      <c r="AI3200" s="1110"/>
      <c r="AL3200" s="933"/>
      <c r="AM3200" s="933"/>
      <c r="AN3200" s="1100"/>
      <c r="AO3200" s="1100"/>
      <c r="AP3200" s="934"/>
      <c r="AQ3200" s="934"/>
      <c r="AR3200" s="934"/>
      <c r="AS3200" s="936"/>
      <c r="AT3200" s="936"/>
      <c r="AU3200" s="936"/>
      <c r="AV3200" s="937"/>
      <c r="AW3200" s="938"/>
      <c r="AX3200" s="939"/>
      <c r="AY3200" s="933"/>
      <c r="AZ3200" s="936"/>
      <c r="BA3200" s="936"/>
      <c r="BB3200" s="1112"/>
      <c r="BC3200" s="940"/>
      <c r="BD3200" s="941"/>
      <c r="BE3200" s="942"/>
      <c r="BF3200" s="943"/>
      <c r="BG3200" s="943"/>
      <c r="BH3200" s="943"/>
      <c r="BI3200" s="943"/>
      <c r="BJ3200" s="943"/>
      <c r="BK3200" s="943"/>
      <c r="BL3200" s="943"/>
      <c r="BM3200" s="943"/>
      <c r="BN3200" s="943"/>
      <c r="BO3200" s="1059"/>
      <c r="BP3200" s="1059"/>
      <c r="BQ3200" s="1059"/>
      <c r="BR3200" s="1059"/>
      <c r="BS3200" s="1059"/>
      <c r="BT3200" s="1059"/>
      <c r="BU3200" s="1059"/>
      <c r="BV3200" s="944"/>
      <c r="BW3200" s="944"/>
      <c r="BX3200" s="1147"/>
      <c r="BY3200" s="944"/>
      <c r="BZ3200" s="944"/>
      <c r="CA3200" s="944"/>
      <c r="CB3200" s="944"/>
    </row>
    <row r="3201" spans="2:80">
      <c r="B3201" s="1097"/>
      <c r="C3201" s="1097"/>
      <c r="D3201" s="1097"/>
      <c r="E3201" s="1097"/>
      <c r="F3201" s="934"/>
      <c r="G3201" s="1098"/>
      <c r="H3201" s="1099"/>
      <c r="I3201" s="1099"/>
      <c r="J3201" s="934"/>
      <c r="K3201" s="934"/>
      <c r="L3201" s="933"/>
      <c r="M3201" s="1100"/>
      <c r="N3201" s="934"/>
      <c r="O3201" s="936"/>
      <c r="P3201" s="936"/>
      <c r="Q3201" s="933"/>
      <c r="T3201" s="1101"/>
      <c r="U3201" s="1102"/>
      <c r="V3201" s="936"/>
      <c r="W3201" s="1103"/>
      <c r="X3201" s="1104"/>
      <c r="Y3201" s="1105"/>
      <c r="Z3201" s="1103"/>
      <c r="AC3201" s="1106"/>
      <c r="AD3201" s="1107"/>
      <c r="AE3201" s="1104"/>
      <c r="AG3201" s="1109"/>
      <c r="AI3201" s="1110"/>
      <c r="AL3201" s="933"/>
      <c r="AM3201" s="933"/>
      <c r="AN3201" s="1100"/>
      <c r="AO3201" s="1100"/>
      <c r="AP3201" s="934"/>
      <c r="AQ3201" s="934"/>
      <c r="AR3201" s="934"/>
      <c r="AS3201" s="936"/>
      <c r="AT3201" s="936"/>
      <c r="AU3201" s="936"/>
      <c r="AV3201" s="937"/>
      <c r="AW3201" s="938"/>
      <c r="AX3201" s="939"/>
      <c r="AY3201" s="933"/>
      <c r="AZ3201" s="936"/>
      <c r="BA3201" s="936"/>
      <c r="BB3201" s="1112"/>
      <c r="BC3201" s="940"/>
      <c r="BD3201" s="941"/>
      <c r="BE3201" s="942"/>
      <c r="BF3201" s="943"/>
      <c r="BG3201" s="943"/>
      <c r="BH3201" s="943"/>
      <c r="BI3201" s="943"/>
      <c r="BJ3201" s="943"/>
      <c r="BK3201" s="943"/>
      <c r="BL3201" s="943"/>
      <c r="BM3201" s="943"/>
      <c r="BN3201" s="943"/>
      <c r="BO3201" s="1059"/>
      <c r="BP3201" s="1059"/>
      <c r="BQ3201" s="1059"/>
      <c r="BR3201" s="1059"/>
      <c r="BS3201" s="1059"/>
      <c r="BT3201" s="1059"/>
      <c r="BU3201" s="1059"/>
      <c r="BV3201" s="944"/>
      <c r="BW3201" s="944"/>
      <c r="BX3201" s="1147"/>
      <c r="BY3201" s="944"/>
      <c r="BZ3201" s="944"/>
      <c r="CA3201" s="944"/>
      <c r="CB3201" s="944"/>
    </row>
    <row r="3202" spans="2:80">
      <c r="B3202" s="1097"/>
      <c r="C3202" s="1097"/>
      <c r="D3202" s="1097"/>
      <c r="E3202" s="1097"/>
      <c r="F3202" s="934"/>
      <c r="G3202" s="1098"/>
      <c r="H3202" s="1099"/>
      <c r="I3202" s="1099"/>
      <c r="J3202" s="934"/>
      <c r="K3202" s="934"/>
      <c r="L3202" s="933"/>
      <c r="M3202" s="1100"/>
      <c r="N3202" s="934"/>
      <c r="O3202" s="936"/>
      <c r="P3202" s="936"/>
      <c r="Q3202" s="933"/>
      <c r="T3202" s="1101"/>
      <c r="U3202" s="1102"/>
      <c r="V3202" s="936"/>
      <c r="W3202" s="1103"/>
      <c r="X3202" s="1104"/>
      <c r="Y3202" s="1105"/>
      <c r="Z3202" s="1103"/>
      <c r="AC3202" s="1106"/>
      <c r="AD3202" s="1107"/>
      <c r="AE3202" s="1104"/>
      <c r="AG3202" s="1109"/>
      <c r="AI3202" s="1110"/>
      <c r="AL3202" s="933"/>
      <c r="AM3202" s="933"/>
      <c r="AN3202" s="1100"/>
      <c r="AO3202" s="1100"/>
      <c r="AP3202" s="934"/>
      <c r="AQ3202" s="934"/>
      <c r="AR3202" s="934"/>
      <c r="AS3202" s="936"/>
      <c r="AT3202" s="936"/>
      <c r="AU3202" s="936"/>
      <c r="AV3202" s="937"/>
      <c r="AW3202" s="938"/>
      <c r="AX3202" s="939"/>
      <c r="AY3202" s="933"/>
      <c r="AZ3202" s="936"/>
      <c r="BA3202" s="936"/>
      <c r="BB3202" s="1112"/>
      <c r="BC3202" s="940"/>
      <c r="BD3202" s="941"/>
      <c r="BE3202" s="942"/>
      <c r="BF3202" s="943"/>
      <c r="BG3202" s="943"/>
      <c r="BH3202" s="943"/>
      <c r="BI3202" s="943"/>
      <c r="BJ3202" s="943"/>
      <c r="BK3202" s="943"/>
      <c r="BL3202" s="943"/>
      <c r="BM3202" s="943"/>
      <c r="BN3202" s="943"/>
      <c r="BO3202" s="1059"/>
      <c r="BP3202" s="1059"/>
      <c r="BQ3202" s="1059"/>
      <c r="BR3202" s="1059"/>
      <c r="BS3202" s="1059"/>
      <c r="BT3202" s="1059"/>
      <c r="BU3202" s="1059"/>
      <c r="BV3202" s="944"/>
      <c r="BW3202" s="944"/>
      <c r="BX3202" s="1147"/>
      <c r="BY3202" s="944"/>
      <c r="BZ3202" s="944"/>
      <c r="CA3202" s="944"/>
      <c r="CB3202" s="944"/>
    </row>
    <row r="3203" spans="2:80">
      <c r="B3203" s="1097"/>
      <c r="C3203" s="1097"/>
      <c r="D3203" s="1097"/>
      <c r="E3203" s="1097"/>
      <c r="F3203" s="934"/>
      <c r="G3203" s="1098"/>
      <c r="H3203" s="1099"/>
      <c r="I3203" s="1099"/>
      <c r="J3203" s="934"/>
      <c r="K3203" s="934"/>
      <c r="L3203" s="933"/>
      <c r="M3203" s="1100"/>
      <c r="N3203" s="934"/>
      <c r="O3203" s="936"/>
      <c r="P3203" s="936"/>
      <c r="Q3203" s="933"/>
      <c r="T3203" s="1101"/>
      <c r="U3203" s="1102"/>
      <c r="V3203" s="936"/>
      <c r="W3203" s="1103"/>
      <c r="X3203" s="1104"/>
      <c r="Y3203" s="1105"/>
      <c r="Z3203" s="1103"/>
      <c r="AC3203" s="1106"/>
      <c r="AD3203" s="1107"/>
      <c r="AE3203" s="1104"/>
      <c r="AG3203" s="1109"/>
      <c r="AI3203" s="1110"/>
      <c r="AL3203" s="933"/>
      <c r="AM3203" s="933"/>
      <c r="AN3203" s="1100"/>
      <c r="AO3203" s="1100"/>
      <c r="AP3203" s="934"/>
      <c r="AQ3203" s="934"/>
      <c r="AR3203" s="934"/>
      <c r="AS3203" s="936"/>
      <c r="AT3203" s="936"/>
      <c r="AU3203" s="936"/>
      <c r="AV3203" s="937"/>
      <c r="AW3203" s="938"/>
      <c r="AX3203" s="939"/>
      <c r="AY3203" s="933"/>
      <c r="AZ3203" s="936"/>
      <c r="BA3203" s="936"/>
      <c r="BB3203" s="1112"/>
      <c r="BC3203" s="940"/>
      <c r="BD3203" s="941"/>
      <c r="BE3203" s="942"/>
      <c r="BF3203" s="943"/>
      <c r="BG3203" s="943"/>
      <c r="BH3203" s="943"/>
      <c r="BI3203" s="943"/>
      <c r="BJ3203" s="943"/>
      <c r="BK3203" s="943"/>
      <c r="BL3203" s="943"/>
      <c r="BM3203" s="943"/>
      <c r="BN3203" s="943"/>
      <c r="BO3203" s="1059"/>
      <c r="BP3203" s="1059"/>
      <c r="BQ3203" s="1059"/>
      <c r="BR3203" s="1059"/>
      <c r="BS3203" s="1059"/>
      <c r="BT3203" s="1059"/>
      <c r="BU3203" s="1059"/>
      <c r="BV3203" s="944"/>
      <c r="BW3203" s="944"/>
      <c r="BX3203" s="1147"/>
      <c r="BY3203" s="944"/>
      <c r="BZ3203" s="944"/>
      <c r="CA3203" s="944"/>
      <c r="CB3203" s="944"/>
    </row>
    <row r="3204" spans="2:80">
      <c r="B3204" s="1097"/>
      <c r="C3204" s="1097"/>
      <c r="D3204" s="1097"/>
      <c r="E3204" s="1097"/>
      <c r="F3204" s="934"/>
      <c r="G3204" s="1098"/>
      <c r="H3204" s="1099"/>
      <c r="I3204" s="1099"/>
      <c r="J3204" s="934"/>
      <c r="K3204" s="934"/>
      <c r="L3204" s="933"/>
      <c r="M3204" s="1100"/>
      <c r="N3204" s="934"/>
      <c r="O3204" s="936"/>
      <c r="P3204" s="936"/>
      <c r="Q3204" s="933"/>
      <c r="T3204" s="1101"/>
      <c r="U3204" s="1102"/>
      <c r="V3204" s="936"/>
      <c r="W3204" s="1103"/>
      <c r="X3204" s="1104"/>
      <c r="Y3204" s="1105"/>
      <c r="Z3204" s="1103"/>
      <c r="AC3204" s="1106"/>
      <c r="AD3204" s="1107"/>
      <c r="AE3204" s="1104"/>
      <c r="AG3204" s="1109"/>
      <c r="AI3204" s="1110"/>
      <c r="AL3204" s="933"/>
      <c r="AM3204" s="933"/>
      <c r="AN3204" s="1100"/>
      <c r="AO3204" s="1100"/>
      <c r="AP3204" s="934"/>
      <c r="AQ3204" s="934"/>
      <c r="AR3204" s="934"/>
      <c r="AS3204" s="936"/>
      <c r="AT3204" s="936"/>
      <c r="AU3204" s="936"/>
      <c r="AV3204" s="937"/>
      <c r="AW3204" s="938"/>
      <c r="AX3204" s="939"/>
      <c r="AY3204" s="933"/>
      <c r="AZ3204" s="936"/>
      <c r="BA3204" s="936"/>
      <c r="BB3204" s="1112"/>
      <c r="BC3204" s="940"/>
      <c r="BD3204" s="941"/>
      <c r="BE3204" s="942"/>
      <c r="BF3204" s="943"/>
      <c r="BG3204" s="943"/>
      <c r="BH3204" s="943"/>
      <c r="BI3204" s="943"/>
      <c r="BJ3204" s="943"/>
      <c r="BK3204" s="943"/>
      <c r="BL3204" s="943"/>
      <c r="BM3204" s="943"/>
      <c r="BN3204" s="943"/>
      <c r="BO3204" s="1059"/>
      <c r="BP3204" s="1059"/>
      <c r="BQ3204" s="1059"/>
      <c r="BR3204" s="1059"/>
      <c r="BS3204" s="1059"/>
      <c r="BT3204" s="1059"/>
      <c r="BU3204" s="1059"/>
      <c r="BV3204" s="944"/>
      <c r="BW3204" s="944"/>
      <c r="BX3204" s="1147"/>
      <c r="BY3204" s="944"/>
      <c r="BZ3204" s="944"/>
      <c r="CA3204" s="944"/>
      <c r="CB3204" s="944"/>
    </row>
    <row r="3205" spans="2:80">
      <c r="B3205" s="1097"/>
      <c r="C3205" s="1097"/>
      <c r="D3205" s="1097"/>
      <c r="E3205" s="1097"/>
      <c r="F3205" s="934"/>
      <c r="G3205" s="1098"/>
      <c r="H3205" s="1099"/>
      <c r="I3205" s="1099"/>
      <c r="J3205" s="934"/>
      <c r="K3205" s="934"/>
      <c r="L3205" s="933"/>
      <c r="M3205" s="1100"/>
      <c r="N3205" s="934"/>
      <c r="O3205" s="936"/>
      <c r="P3205" s="936"/>
      <c r="Q3205" s="933"/>
      <c r="T3205" s="1101"/>
      <c r="U3205" s="1102"/>
      <c r="V3205" s="936"/>
      <c r="W3205" s="1103"/>
      <c r="X3205" s="1104"/>
      <c r="Y3205" s="1105"/>
      <c r="Z3205" s="1103"/>
      <c r="AC3205" s="1106"/>
      <c r="AD3205" s="1107"/>
      <c r="AE3205" s="1104"/>
      <c r="AG3205" s="1109"/>
      <c r="AI3205" s="1110"/>
      <c r="AL3205" s="933"/>
      <c r="AM3205" s="933"/>
      <c r="AN3205" s="1100"/>
      <c r="AO3205" s="1100"/>
      <c r="AP3205" s="934"/>
      <c r="AQ3205" s="934"/>
      <c r="AR3205" s="934"/>
      <c r="AS3205" s="936"/>
      <c r="AT3205" s="936"/>
      <c r="AU3205" s="936"/>
      <c r="AV3205" s="937"/>
      <c r="AW3205" s="938"/>
      <c r="AX3205" s="939"/>
      <c r="AY3205" s="933"/>
      <c r="AZ3205" s="936"/>
      <c r="BA3205" s="936"/>
      <c r="BB3205" s="1112"/>
      <c r="BC3205" s="940"/>
      <c r="BD3205" s="941"/>
      <c r="BE3205" s="942"/>
      <c r="BF3205" s="943"/>
      <c r="BG3205" s="943"/>
      <c r="BH3205" s="943"/>
      <c r="BI3205" s="943"/>
      <c r="BJ3205" s="943"/>
      <c r="BK3205" s="943"/>
      <c r="BL3205" s="943"/>
      <c r="BM3205" s="943"/>
      <c r="BN3205" s="943"/>
      <c r="BO3205" s="1059"/>
      <c r="BP3205" s="1059"/>
      <c r="BQ3205" s="1059"/>
      <c r="BR3205" s="1059"/>
      <c r="BS3205" s="1059"/>
      <c r="BT3205" s="1059"/>
      <c r="BU3205" s="1059"/>
      <c r="BV3205" s="944"/>
      <c r="BW3205" s="944"/>
      <c r="BX3205" s="1147"/>
      <c r="BY3205" s="944"/>
      <c r="BZ3205" s="944"/>
      <c r="CA3205" s="944"/>
      <c r="CB3205" s="944"/>
    </row>
    <row r="3206" spans="2:80">
      <c r="B3206" s="1097"/>
      <c r="C3206" s="1097"/>
      <c r="D3206" s="1097"/>
      <c r="E3206" s="1097"/>
      <c r="F3206" s="934"/>
      <c r="G3206" s="1098"/>
      <c r="H3206" s="1099"/>
      <c r="I3206" s="1099"/>
      <c r="J3206" s="934"/>
      <c r="K3206" s="934"/>
      <c r="L3206" s="933"/>
      <c r="M3206" s="1100"/>
      <c r="N3206" s="934"/>
      <c r="O3206" s="936"/>
      <c r="P3206" s="936"/>
      <c r="Q3206" s="933"/>
      <c r="T3206" s="1101"/>
      <c r="U3206" s="1102"/>
      <c r="V3206" s="936"/>
      <c r="W3206" s="1103"/>
      <c r="X3206" s="1104"/>
      <c r="Y3206" s="1105"/>
      <c r="Z3206" s="1103"/>
      <c r="AC3206" s="1106"/>
      <c r="AD3206" s="1107"/>
      <c r="AE3206" s="1104"/>
      <c r="AG3206" s="1109"/>
      <c r="AI3206" s="1110"/>
      <c r="AL3206" s="933"/>
      <c r="AM3206" s="933"/>
      <c r="AN3206" s="1100"/>
      <c r="AO3206" s="1100"/>
      <c r="AP3206" s="934"/>
      <c r="AQ3206" s="934"/>
      <c r="AR3206" s="934"/>
      <c r="AS3206" s="936"/>
      <c r="AT3206" s="936"/>
      <c r="AU3206" s="936"/>
      <c r="AV3206" s="937"/>
      <c r="AW3206" s="938"/>
      <c r="AX3206" s="939"/>
      <c r="AY3206" s="933"/>
      <c r="AZ3206" s="936"/>
      <c r="BA3206" s="936"/>
      <c r="BB3206" s="1112"/>
      <c r="BC3206" s="940"/>
      <c r="BD3206" s="941"/>
      <c r="BE3206" s="942"/>
      <c r="BF3206" s="943"/>
      <c r="BG3206" s="943"/>
      <c r="BH3206" s="943"/>
      <c r="BI3206" s="943"/>
      <c r="BJ3206" s="943"/>
      <c r="BK3206" s="943"/>
      <c r="BL3206" s="943"/>
      <c r="BM3206" s="943"/>
      <c r="BN3206" s="943"/>
      <c r="BO3206" s="1059"/>
      <c r="BP3206" s="1059"/>
      <c r="BQ3206" s="1059"/>
      <c r="BR3206" s="1059"/>
      <c r="BS3206" s="1059"/>
      <c r="BT3206" s="1059"/>
      <c r="BU3206" s="1059"/>
      <c r="BV3206" s="944"/>
      <c r="BW3206" s="944"/>
      <c r="BX3206" s="1147"/>
      <c r="BY3206" s="944"/>
      <c r="BZ3206" s="944"/>
      <c r="CA3206" s="944"/>
      <c r="CB3206" s="944"/>
    </row>
    <row r="3207" spans="2:80">
      <c r="B3207" s="1097"/>
      <c r="C3207" s="1097"/>
      <c r="D3207" s="1097"/>
      <c r="E3207" s="1097"/>
      <c r="F3207" s="934"/>
      <c r="G3207" s="1098"/>
      <c r="H3207" s="1099"/>
      <c r="I3207" s="1099"/>
      <c r="J3207" s="934"/>
      <c r="K3207" s="934"/>
      <c r="L3207" s="933"/>
      <c r="M3207" s="1100"/>
      <c r="N3207" s="934"/>
      <c r="O3207" s="936"/>
      <c r="P3207" s="936"/>
      <c r="Q3207" s="933"/>
      <c r="T3207" s="1101"/>
      <c r="U3207" s="1102"/>
      <c r="V3207" s="936"/>
      <c r="W3207" s="1103"/>
      <c r="X3207" s="1104"/>
      <c r="Y3207" s="1105"/>
      <c r="Z3207" s="1103"/>
      <c r="AC3207" s="1106"/>
      <c r="AD3207" s="1107"/>
      <c r="AE3207" s="1104"/>
      <c r="AG3207" s="1109"/>
      <c r="AI3207" s="1110"/>
      <c r="AL3207" s="933"/>
      <c r="AM3207" s="933"/>
      <c r="AN3207" s="1100"/>
      <c r="AO3207" s="1100"/>
      <c r="AP3207" s="934"/>
      <c r="AQ3207" s="934"/>
      <c r="AR3207" s="934"/>
      <c r="AS3207" s="936"/>
      <c r="AT3207" s="936"/>
      <c r="AU3207" s="936"/>
      <c r="AV3207" s="937"/>
      <c r="AW3207" s="938"/>
      <c r="AX3207" s="939"/>
      <c r="AY3207" s="933"/>
      <c r="AZ3207" s="936"/>
      <c r="BA3207" s="936"/>
      <c r="BB3207" s="1112"/>
      <c r="BC3207" s="940"/>
      <c r="BD3207" s="941"/>
      <c r="BE3207" s="942"/>
      <c r="BF3207" s="943"/>
      <c r="BG3207" s="943"/>
      <c r="BH3207" s="943"/>
      <c r="BI3207" s="943"/>
      <c r="BJ3207" s="943"/>
      <c r="BK3207" s="943"/>
      <c r="BL3207" s="943"/>
      <c r="BM3207" s="943"/>
      <c r="BN3207" s="943"/>
      <c r="BO3207" s="1059"/>
      <c r="BP3207" s="1059"/>
      <c r="BQ3207" s="1059"/>
      <c r="BR3207" s="1059"/>
      <c r="BS3207" s="1059"/>
      <c r="BT3207" s="1059"/>
      <c r="BU3207" s="1059"/>
      <c r="BV3207" s="944"/>
      <c r="BW3207" s="944"/>
      <c r="BX3207" s="1147"/>
      <c r="BY3207" s="944"/>
      <c r="BZ3207" s="944"/>
      <c r="CA3207" s="944"/>
      <c r="CB3207" s="944"/>
    </row>
    <row r="3208" spans="2:80">
      <c r="B3208" s="1097"/>
      <c r="C3208" s="1097"/>
      <c r="D3208" s="1097"/>
      <c r="E3208" s="1097"/>
      <c r="F3208" s="934"/>
      <c r="G3208" s="1098"/>
      <c r="H3208" s="1099"/>
      <c r="I3208" s="1099"/>
      <c r="J3208" s="934"/>
      <c r="K3208" s="934"/>
      <c r="L3208" s="933"/>
      <c r="M3208" s="1100"/>
      <c r="N3208" s="934"/>
      <c r="O3208" s="936"/>
      <c r="P3208" s="936"/>
      <c r="Q3208" s="933"/>
      <c r="T3208" s="1101"/>
      <c r="U3208" s="1102"/>
      <c r="V3208" s="936"/>
      <c r="W3208" s="1103"/>
      <c r="X3208" s="1104"/>
      <c r="Y3208" s="1105"/>
      <c r="Z3208" s="1103"/>
      <c r="AC3208" s="1106"/>
      <c r="AD3208" s="1107"/>
      <c r="AE3208" s="1104"/>
      <c r="AG3208" s="1109"/>
      <c r="AI3208" s="1110"/>
      <c r="AL3208" s="933"/>
      <c r="AM3208" s="933"/>
      <c r="AN3208" s="1100"/>
      <c r="AO3208" s="1100"/>
      <c r="AP3208" s="934"/>
      <c r="AQ3208" s="934"/>
      <c r="AR3208" s="934"/>
      <c r="AS3208" s="936"/>
      <c r="AT3208" s="936"/>
      <c r="AU3208" s="936"/>
      <c r="AV3208" s="937"/>
      <c r="AW3208" s="938"/>
      <c r="AX3208" s="939"/>
      <c r="AY3208" s="933"/>
      <c r="AZ3208" s="936"/>
      <c r="BA3208" s="936"/>
      <c r="BB3208" s="1112"/>
      <c r="BC3208" s="940"/>
      <c r="BD3208" s="941"/>
      <c r="BE3208" s="942"/>
      <c r="BF3208" s="943"/>
      <c r="BG3208" s="943"/>
      <c r="BH3208" s="943"/>
      <c r="BI3208" s="943"/>
      <c r="BJ3208" s="943"/>
      <c r="BK3208" s="943"/>
      <c r="BL3208" s="943"/>
      <c r="BM3208" s="943"/>
      <c r="BN3208" s="943"/>
      <c r="BO3208" s="1059"/>
      <c r="BP3208" s="1059"/>
      <c r="BQ3208" s="1059"/>
      <c r="BR3208" s="1059"/>
      <c r="BS3208" s="1059"/>
      <c r="BT3208" s="1059"/>
      <c r="BU3208" s="1059"/>
      <c r="BV3208" s="944"/>
      <c r="BW3208" s="944"/>
      <c r="BX3208" s="1147"/>
      <c r="BY3208" s="944"/>
      <c r="BZ3208" s="944"/>
      <c r="CA3208" s="944"/>
      <c r="CB3208" s="944"/>
    </row>
    <row r="3209" spans="2:80">
      <c r="B3209" s="1097"/>
      <c r="C3209" s="1097"/>
      <c r="D3209" s="1097"/>
      <c r="E3209" s="1097"/>
      <c r="F3209" s="934"/>
      <c r="G3209" s="1098"/>
      <c r="H3209" s="1099"/>
      <c r="I3209" s="1099"/>
      <c r="J3209" s="934"/>
      <c r="K3209" s="934"/>
      <c r="L3209" s="933"/>
      <c r="M3209" s="1100"/>
      <c r="N3209" s="934"/>
      <c r="O3209" s="936"/>
      <c r="P3209" s="936"/>
      <c r="Q3209" s="933"/>
      <c r="T3209" s="1101"/>
      <c r="U3209" s="1102"/>
      <c r="V3209" s="936"/>
      <c r="W3209" s="1103"/>
      <c r="X3209" s="1104"/>
      <c r="Y3209" s="1105"/>
      <c r="Z3209" s="1103"/>
      <c r="AC3209" s="1106"/>
      <c r="AD3209" s="1107"/>
      <c r="AE3209" s="1104"/>
      <c r="AG3209" s="1109"/>
      <c r="AI3209" s="1110"/>
      <c r="AL3209" s="933"/>
      <c r="AM3209" s="933"/>
      <c r="AN3209" s="1100"/>
      <c r="AO3209" s="1100"/>
      <c r="AP3209" s="934"/>
      <c r="AQ3209" s="934"/>
      <c r="AR3209" s="934"/>
      <c r="AS3209" s="936"/>
      <c r="AT3209" s="936"/>
      <c r="AU3209" s="936"/>
      <c r="AV3209" s="937"/>
      <c r="AW3209" s="938"/>
      <c r="AX3209" s="939"/>
      <c r="AY3209" s="933"/>
      <c r="AZ3209" s="936"/>
      <c r="BA3209" s="936"/>
      <c r="BB3209" s="1112"/>
      <c r="BC3209" s="940"/>
      <c r="BD3209" s="941"/>
      <c r="BE3209" s="942"/>
      <c r="BF3209" s="943"/>
      <c r="BG3209" s="943"/>
      <c r="BH3209" s="943"/>
      <c r="BI3209" s="943"/>
      <c r="BJ3209" s="943"/>
      <c r="BK3209" s="943"/>
      <c r="BL3209" s="943"/>
      <c r="BM3209" s="943"/>
      <c r="BN3209" s="943"/>
      <c r="BO3209" s="1059"/>
      <c r="BP3209" s="1059"/>
      <c r="BQ3209" s="1059"/>
      <c r="BR3209" s="1059"/>
      <c r="BS3209" s="1059"/>
      <c r="BT3209" s="1059"/>
      <c r="BU3209" s="1059"/>
      <c r="BV3209" s="944"/>
      <c r="BW3209" s="944"/>
      <c r="BX3209" s="1147"/>
      <c r="BY3209" s="944"/>
      <c r="BZ3209" s="944"/>
      <c r="CA3209" s="944"/>
      <c r="CB3209" s="944"/>
    </row>
    <row r="3210" spans="2:80">
      <c r="B3210" s="1097"/>
      <c r="C3210" s="1097"/>
      <c r="D3210" s="1097"/>
      <c r="E3210" s="1097"/>
      <c r="F3210" s="934"/>
      <c r="G3210" s="1098"/>
      <c r="H3210" s="1099"/>
      <c r="I3210" s="1099"/>
      <c r="J3210" s="934"/>
      <c r="K3210" s="934"/>
      <c r="L3210" s="933"/>
      <c r="M3210" s="1100"/>
      <c r="N3210" s="934"/>
      <c r="O3210" s="936"/>
      <c r="P3210" s="936"/>
      <c r="Q3210" s="933"/>
      <c r="T3210" s="1101"/>
      <c r="U3210" s="1102"/>
      <c r="V3210" s="936"/>
      <c r="W3210" s="1103"/>
      <c r="X3210" s="1104"/>
      <c r="Y3210" s="1105"/>
      <c r="Z3210" s="1103"/>
      <c r="AC3210" s="1106"/>
      <c r="AD3210" s="1107"/>
      <c r="AE3210" s="1104"/>
      <c r="AG3210" s="1109"/>
      <c r="AI3210" s="1110"/>
      <c r="AL3210" s="933"/>
      <c r="AM3210" s="933"/>
      <c r="AN3210" s="1100"/>
      <c r="AO3210" s="1100"/>
      <c r="AP3210" s="934"/>
      <c r="AQ3210" s="934"/>
      <c r="AR3210" s="934"/>
      <c r="AS3210" s="936"/>
      <c r="AT3210" s="936"/>
      <c r="AU3210" s="936"/>
      <c r="AV3210" s="937"/>
      <c r="AW3210" s="938"/>
      <c r="AX3210" s="939"/>
      <c r="AY3210" s="933"/>
      <c r="AZ3210" s="936"/>
      <c r="BA3210" s="936"/>
      <c r="BB3210" s="1112"/>
      <c r="BC3210" s="940"/>
      <c r="BD3210" s="941"/>
      <c r="BE3210" s="942"/>
      <c r="BF3210" s="943"/>
      <c r="BG3210" s="943"/>
      <c r="BH3210" s="943"/>
      <c r="BI3210" s="943"/>
      <c r="BJ3210" s="943"/>
      <c r="BK3210" s="943"/>
      <c r="BL3210" s="943"/>
      <c r="BM3210" s="943"/>
      <c r="BN3210" s="943"/>
      <c r="BO3210" s="1059"/>
      <c r="BP3210" s="1059"/>
      <c r="BQ3210" s="1059"/>
      <c r="BR3210" s="1059"/>
      <c r="BS3210" s="1059"/>
      <c r="BT3210" s="1059"/>
      <c r="BU3210" s="1059"/>
      <c r="BV3210" s="944"/>
      <c r="BW3210" s="944"/>
      <c r="BX3210" s="1147"/>
      <c r="BY3210" s="944"/>
      <c r="BZ3210" s="944"/>
      <c r="CA3210" s="944"/>
      <c r="CB3210" s="944"/>
    </row>
    <row r="3211" spans="2:80">
      <c r="B3211" s="1097"/>
      <c r="C3211" s="1097"/>
      <c r="D3211" s="1097"/>
      <c r="E3211" s="1097"/>
      <c r="F3211" s="934"/>
      <c r="G3211" s="1098"/>
      <c r="H3211" s="1099"/>
      <c r="I3211" s="1099"/>
      <c r="J3211" s="934"/>
      <c r="K3211" s="934"/>
      <c r="L3211" s="933"/>
      <c r="M3211" s="1100"/>
      <c r="N3211" s="934"/>
      <c r="O3211" s="936"/>
      <c r="P3211" s="936"/>
      <c r="Q3211" s="933"/>
      <c r="T3211" s="1101"/>
      <c r="U3211" s="1102"/>
      <c r="V3211" s="936"/>
      <c r="W3211" s="1103"/>
      <c r="X3211" s="1104"/>
      <c r="Y3211" s="1105"/>
      <c r="Z3211" s="1103"/>
      <c r="AC3211" s="1106"/>
      <c r="AD3211" s="1107"/>
      <c r="AE3211" s="1104"/>
      <c r="AG3211" s="1109"/>
      <c r="AI3211" s="1110"/>
      <c r="AL3211" s="933"/>
      <c r="AM3211" s="933"/>
      <c r="AN3211" s="1100"/>
      <c r="AO3211" s="1100"/>
      <c r="AP3211" s="934"/>
      <c r="AQ3211" s="934"/>
      <c r="AR3211" s="934"/>
      <c r="AS3211" s="936"/>
      <c r="AT3211" s="936"/>
      <c r="AU3211" s="936"/>
      <c r="AV3211" s="937"/>
      <c r="AW3211" s="938"/>
      <c r="AX3211" s="939"/>
      <c r="AY3211" s="933"/>
      <c r="AZ3211" s="936"/>
      <c r="BA3211" s="936"/>
      <c r="BB3211" s="1112"/>
      <c r="BC3211" s="940"/>
      <c r="BD3211" s="941"/>
      <c r="BE3211" s="942"/>
      <c r="BF3211" s="943"/>
      <c r="BG3211" s="943"/>
      <c r="BH3211" s="943"/>
      <c r="BI3211" s="943"/>
      <c r="BJ3211" s="943"/>
      <c r="BK3211" s="943"/>
      <c r="BL3211" s="943"/>
      <c r="BM3211" s="943"/>
      <c r="BN3211" s="943"/>
      <c r="BO3211" s="1059"/>
      <c r="BP3211" s="1059"/>
      <c r="BQ3211" s="1059"/>
      <c r="BR3211" s="1059"/>
      <c r="BS3211" s="1059"/>
      <c r="BT3211" s="1059"/>
      <c r="BU3211" s="1059"/>
      <c r="BV3211" s="944"/>
      <c r="BW3211" s="944"/>
      <c r="BX3211" s="1147"/>
      <c r="BY3211" s="944"/>
      <c r="BZ3211" s="944"/>
      <c r="CA3211" s="944"/>
      <c r="CB3211" s="944"/>
    </row>
    <row r="3212" spans="2:80">
      <c r="B3212" s="1097"/>
      <c r="C3212" s="1097"/>
      <c r="D3212" s="1097"/>
      <c r="E3212" s="1097"/>
      <c r="F3212" s="934"/>
      <c r="G3212" s="1098"/>
      <c r="H3212" s="1099"/>
      <c r="I3212" s="1099"/>
      <c r="J3212" s="934"/>
      <c r="K3212" s="934"/>
      <c r="L3212" s="933"/>
      <c r="M3212" s="1100"/>
      <c r="N3212" s="934"/>
      <c r="O3212" s="936"/>
      <c r="P3212" s="936"/>
      <c r="Q3212" s="933"/>
      <c r="T3212" s="1101"/>
      <c r="U3212" s="1102"/>
      <c r="V3212" s="936"/>
      <c r="W3212" s="1103"/>
      <c r="X3212" s="1104"/>
      <c r="Y3212" s="1105"/>
      <c r="Z3212" s="1103"/>
      <c r="AC3212" s="1106"/>
      <c r="AD3212" s="1107"/>
      <c r="AE3212" s="1104"/>
      <c r="AG3212" s="1109"/>
      <c r="AI3212" s="1110"/>
      <c r="AL3212" s="933"/>
      <c r="AM3212" s="933"/>
      <c r="AN3212" s="1100"/>
      <c r="AO3212" s="1100"/>
      <c r="AP3212" s="934"/>
      <c r="AQ3212" s="934"/>
      <c r="AR3212" s="934"/>
      <c r="AS3212" s="936"/>
      <c r="AT3212" s="936"/>
      <c r="AU3212" s="936"/>
      <c r="AV3212" s="937"/>
      <c r="AW3212" s="938"/>
      <c r="AX3212" s="939"/>
      <c r="AY3212" s="933"/>
      <c r="AZ3212" s="936"/>
      <c r="BA3212" s="936"/>
      <c r="BB3212" s="1112"/>
      <c r="BC3212" s="940"/>
      <c r="BD3212" s="941"/>
      <c r="BE3212" s="942"/>
      <c r="BF3212" s="943"/>
      <c r="BG3212" s="943"/>
      <c r="BH3212" s="943"/>
      <c r="BI3212" s="943"/>
      <c r="BJ3212" s="943"/>
      <c r="BK3212" s="943"/>
      <c r="BL3212" s="943"/>
      <c r="BM3212" s="943"/>
      <c r="BN3212" s="943"/>
      <c r="BO3212" s="1059"/>
      <c r="BP3212" s="1059"/>
      <c r="BQ3212" s="1059"/>
      <c r="BR3212" s="1059"/>
      <c r="BS3212" s="1059"/>
      <c r="BT3212" s="1059"/>
      <c r="BU3212" s="1059"/>
      <c r="BV3212" s="944"/>
      <c r="BW3212" s="944"/>
      <c r="BX3212" s="1147"/>
      <c r="BY3212" s="944"/>
      <c r="BZ3212" s="944"/>
      <c r="CA3212" s="944"/>
      <c r="CB3212" s="944"/>
    </row>
    <row r="3213" spans="2:80">
      <c r="B3213" s="1097"/>
      <c r="C3213" s="1097"/>
      <c r="D3213" s="1097"/>
      <c r="E3213" s="1097"/>
      <c r="F3213" s="934"/>
      <c r="G3213" s="1098"/>
      <c r="H3213" s="1099"/>
      <c r="I3213" s="1099"/>
      <c r="J3213" s="934"/>
      <c r="K3213" s="934"/>
      <c r="L3213" s="933"/>
      <c r="M3213" s="1100"/>
      <c r="N3213" s="934"/>
      <c r="O3213" s="936"/>
      <c r="P3213" s="936"/>
      <c r="Q3213" s="933"/>
      <c r="T3213" s="1101"/>
      <c r="U3213" s="1102"/>
      <c r="V3213" s="936"/>
      <c r="W3213" s="1103"/>
      <c r="X3213" s="1104"/>
      <c r="Y3213" s="1105"/>
      <c r="Z3213" s="1103"/>
      <c r="AC3213" s="1106"/>
      <c r="AD3213" s="1107"/>
      <c r="AE3213" s="1104"/>
      <c r="AG3213" s="1109"/>
      <c r="AI3213" s="1110"/>
      <c r="AL3213" s="933"/>
      <c r="AM3213" s="933"/>
      <c r="AN3213" s="1100"/>
      <c r="AO3213" s="1100"/>
      <c r="AP3213" s="934"/>
      <c r="AQ3213" s="934"/>
      <c r="AR3213" s="934"/>
      <c r="AS3213" s="936"/>
      <c r="AT3213" s="936"/>
      <c r="AU3213" s="936"/>
      <c r="AV3213" s="937"/>
      <c r="AW3213" s="938"/>
      <c r="AX3213" s="939"/>
      <c r="AY3213" s="933"/>
      <c r="AZ3213" s="936"/>
      <c r="BA3213" s="936"/>
      <c r="BB3213" s="1112"/>
      <c r="BC3213" s="940"/>
      <c r="BD3213" s="941"/>
      <c r="BE3213" s="942"/>
      <c r="BF3213" s="943"/>
      <c r="BG3213" s="943"/>
      <c r="BH3213" s="943"/>
      <c r="BI3213" s="943"/>
      <c r="BJ3213" s="943"/>
      <c r="BK3213" s="943"/>
      <c r="BL3213" s="943"/>
      <c r="BM3213" s="943"/>
      <c r="BN3213" s="943"/>
      <c r="BO3213" s="1059"/>
      <c r="BP3213" s="1059"/>
      <c r="BQ3213" s="1059"/>
      <c r="BR3213" s="1059"/>
      <c r="BS3213" s="1059"/>
      <c r="BT3213" s="1059"/>
      <c r="BU3213" s="1059"/>
      <c r="BV3213" s="944"/>
      <c r="BW3213" s="944"/>
      <c r="BX3213" s="1147"/>
      <c r="BY3213" s="944"/>
      <c r="BZ3213" s="944"/>
      <c r="CA3213" s="944"/>
      <c r="CB3213" s="944"/>
    </row>
    <row r="3214" spans="2:80">
      <c r="B3214" s="1097"/>
      <c r="C3214" s="1097"/>
      <c r="D3214" s="1097"/>
      <c r="E3214" s="1097"/>
      <c r="F3214" s="934"/>
      <c r="G3214" s="1098"/>
      <c r="H3214" s="1099"/>
      <c r="I3214" s="1099"/>
      <c r="J3214" s="934"/>
      <c r="K3214" s="934"/>
      <c r="L3214" s="933"/>
      <c r="M3214" s="1100"/>
      <c r="N3214" s="934"/>
      <c r="O3214" s="936"/>
      <c r="P3214" s="936"/>
      <c r="Q3214" s="933"/>
      <c r="T3214" s="1101"/>
      <c r="U3214" s="1102"/>
      <c r="V3214" s="936"/>
      <c r="W3214" s="1103"/>
      <c r="X3214" s="1104"/>
      <c r="Y3214" s="1105"/>
      <c r="Z3214" s="1103"/>
      <c r="AC3214" s="1106"/>
      <c r="AD3214" s="1107"/>
      <c r="AE3214" s="1104"/>
      <c r="AG3214" s="1109"/>
      <c r="AI3214" s="1110"/>
      <c r="AL3214" s="933"/>
      <c r="AM3214" s="933"/>
      <c r="AN3214" s="1100"/>
      <c r="AO3214" s="1100"/>
      <c r="AP3214" s="934"/>
      <c r="AQ3214" s="934"/>
      <c r="AR3214" s="934"/>
      <c r="AS3214" s="936"/>
      <c r="AT3214" s="936"/>
      <c r="AU3214" s="936"/>
      <c r="AV3214" s="937"/>
      <c r="AW3214" s="938"/>
      <c r="AX3214" s="939"/>
      <c r="AY3214" s="933"/>
      <c r="AZ3214" s="936"/>
      <c r="BA3214" s="936"/>
      <c r="BB3214" s="1112"/>
      <c r="BC3214" s="940"/>
      <c r="BD3214" s="941"/>
      <c r="BE3214" s="942"/>
      <c r="BF3214" s="943"/>
      <c r="BG3214" s="943"/>
      <c r="BH3214" s="943"/>
      <c r="BI3214" s="943"/>
      <c r="BJ3214" s="943"/>
      <c r="BK3214" s="943"/>
      <c r="BL3214" s="943"/>
      <c r="BM3214" s="943"/>
      <c r="BN3214" s="943"/>
      <c r="BO3214" s="1059"/>
      <c r="BP3214" s="1059"/>
      <c r="BQ3214" s="1059"/>
      <c r="BR3214" s="1059"/>
      <c r="BS3214" s="1059"/>
      <c r="BT3214" s="1059"/>
      <c r="BU3214" s="1059"/>
      <c r="BV3214" s="944"/>
      <c r="BW3214" s="944"/>
      <c r="BX3214" s="1147"/>
      <c r="BY3214" s="944"/>
      <c r="BZ3214" s="944"/>
      <c r="CA3214" s="944"/>
      <c r="CB3214" s="944"/>
    </row>
    <row r="3215" spans="2:80">
      <c r="B3215" s="1097"/>
      <c r="C3215" s="1097"/>
      <c r="D3215" s="1097"/>
      <c r="E3215" s="1097"/>
      <c r="F3215" s="934"/>
      <c r="G3215" s="1098"/>
      <c r="H3215" s="1099"/>
      <c r="I3215" s="1099"/>
      <c r="J3215" s="934"/>
      <c r="K3215" s="934"/>
      <c r="L3215" s="933"/>
      <c r="M3215" s="1100"/>
      <c r="N3215" s="934"/>
      <c r="O3215" s="936"/>
      <c r="P3215" s="936"/>
      <c r="Q3215" s="933"/>
      <c r="T3215" s="1101"/>
      <c r="U3215" s="1102"/>
      <c r="V3215" s="936"/>
      <c r="W3215" s="1103"/>
      <c r="X3215" s="1104"/>
      <c r="Y3215" s="1105"/>
      <c r="Z3215" s="1103"/>
      <c r="AC3215" s="1106"/>
      <c r="AD3215" s="1107"/>
      <c r="AE3215" s="1104"/>
      <c r="AG3215" s="1109"/>
      <c r="AI3215" s="1110"/>
      <c r="AL3215" s="933"/>
      <c r="AM3215" s="933"/>
      <c r="AN3215" s="1100"/>
      <c r="AO3215" s="1100"/>
      <c r="AP3215" s="934"/>
      <c r="AQ3215" s="934"/>
      <c r="AR3215" s="934"/>
      <c r="AS3215" s="936"/>
      <c r="AT3215" s="936"/>
      <c r="AU3215" s="936"/>
      <c r="AV3215" s="937"/>
      <c r="AW3215" s="938"/>
      <c r="AX3215" s="939"/>
      <c r="AY3215" s="933"/>
      <c r="AZ3215" s="936"/>
      <c r="BA3215" s="936"/>
      <c r="BB3215" s="1112"/>
      <c r="BC3215" s="940"/>
      <c r="BD3215" s="941"/>
      <c r="BE3215" s="942"/>
      <c r="BF3215" s="943"/>
      <c r="BG3215" s="943"/>
      <c r="BH3215" s="943"/>
      <c r="BI3215" s="943"/>
      <c r="BJ3215" s="943"/>
      <c r="BK3215" s="943"/>
      <c r="BL3215" s="943"/>
      <c r="BM3215" s="943"/>
      <c r="BN3215" s="943"/>
      <c r="BO3215" s="1059"/>
      <c r="BP3215" s="1059"/>
      <c r="BQ3215" s="1059"/>
      <c r="BR3215" s="1059"/>
      <c r="BS3215" s="1059"/>
      <c r="BT3215" s="1059"/>
      <c r="BU3215" s="1059"/>
      <c r="BV3215" s="944"/>
      <c r="BW3215" s="944"/>
      <c r="BX3215" s="1147"/>
      <c r="BY3215" s="944"/>
      <c r="BZ3215" s="944"/>
      <c r="CA3215" s="944"/>
      <c r="CB3215" s="944"/>
    </row>
    <row r="3216" spans="2:80">
      <c r="B3216" s="1097"/>
      <c r="C3216" s="1097"/>
      <c r="D3216" s="1097"/>
      <c r="E3216" s="1097"/>
      <c r="F3216" s="934"/>
      <c r="G3216" s="1098"/>
      <c r="H3216" s="1099"/>
      <c r="I3216" s="1099"/>
      <c r="J3216" s="934"/>
      <c r="K3216" s="934"/>
      <c r="L3216" s="933"/>
      <c r="M3216" s="1100"/>
      <c r="N3216" s="934"/>
      <c r="O3216" s="936"/>
      <c r="P3216" s="936"/>
      <c r="Q3216" s="933"/>
      <c r="T3216" s="1101"/>
      <c r="U3216" s="1102"/>
      <c r="V3216" s="936"/>
      <c r="W3216" s="1103"/>
      <c r="X3216" s="1104"/>
      <c r="Y3216" s="1105"/>
      <c r="Z3216" s="1103"/>
      <c r="AC3216" s="1106"/>
      <c r="AD3216" s="1107"/>
      <c r="AE3216" s="1104"/>
      <c r="AG3216" s="1109"/>
      <c r="AI3216" s="1110"/>
      <c r="AL3216" s="933"/>
      <c r="AM3216" s="933"/>
      <c r="AN3216" s="1100"/>
      <c r="AO3216" s="1100"/>
      <c r="AP3216" s="934"/>
      <c r="AQ3216" s="934"/>
      <c r="AR3216" s="934"/>
      <c r="AS3216" s="936"/>
      <c r="AT3216" s="936"/>
      <c r="AU3216" s="936"/>
      <c r="AV3216" s="937"/>
      <c r="AW3216" s="938"/>
      <c r="AX3216" s="939"/>
      <c r="AY3216" s="933"/>
      <c r="AZ3216" s="936"/>
      <c r="BA3216" s="936"/>
      <c r="BB3216" s="1112"/>
      <c r="BC3216" s="940"/>
      <c r="BD3216" s="941"/>
      <c r="BE3216" s="942"/>
      <c r="BF3216" s="943"/>
      <c r="BG3216" s="943"/>
      <c r="BH3216" s="943"/>
      <c r="BI3216" s="943"/>
      <c r="BJ3216" s="943"/>
      <c r="BK3216" s="943"/>
      <c r="BL3216" s="943"/>
      <c r="BM3216" s="943"/>
      <c r="BN3216" s="943"/>
      <c r="BO3216" s="1059"/>
      <c r="BP3216" s="1059"/>
      <c r="BQ3216" s="1059"/>
      <c r="BR3216" s="1059"/>
      <c r="BS3216" s="1059"/>
      <c r="BT3216" s="1059"/>
      <c r="BU3216" s="1059"/>
      <c r="BV3216" s="944"/>
      <c r="BW3216" s="944"/>
      <c r="BX3216" s="1147"/>
      <c r="BY3216" s="944"/>
      <c r="BZ3216" s="944"/>
      <c r="CA3216" s="944"/>
      <c r="CB3216" s="944"/>
    </row>
    <row r="3217" spans="2:80">
      <c r="B3217" s="1097"/>
      <c r="C3217" s="1097"/>
      <c r="D3217" s="1097"/>
      <c r="E3217" s="1097"/>
      <c r="F3217" s="934"/>
      <c r="G3217" s="1098"/>
      <c r="H3217" s="1099"/>
      <c r="I3217" s="1099"/>
      <c r="J3217" s="934"/>
      <c r="K3217" s="934"/>
      <c r="L3217" s="933"/>
      <c r="M3217" s="1100"/>
      <c r="N3217" s="934"/>
      <c r="O3217" s="936"/>
      <c r="P3217" s="936"/>
      <c r="Q3217" s="933"/>
      <c r="T3217" s="1101"/>
      <c r="U3217" s="1102"/>
      <c r="V3217" s="936"/>
      <c r="W3217" s="1103"/>
      <c r="X3217" s="1104"/>
      <c r="Y3217" s="1105"/>
      <c r="Z3217" s="1103"/>
      <c r="AC3217" s="1106"/>
      <c r="AD3217" s="1107"/>
      <c r="AE3217" s="1104"/>
      <c r="AG3217" s="1109"/>
      <c r="AI3217" s="1110"/>
      <c r="AL3217" s="933"/>
      <c r="AM3217" s="933"/>
      <c r="AN3217" s="1100"/>
      <c r="AO3217" s="1100"/>
      <c r="AP3217" s="934"/>
      <c r="AQ3217" s="934"/>
      <c r="AR3217" s="934"/>
      <c r="AS3217" s="936"/>
      <c r="AT3217" s="936"/>
      <c r="AU3217" s="936"/>
      <c r="AV3217" s="937"/>
      <c r="AW3217" s="938"/>
      <c r="AX3217" s="939"/>
      <c r="AY3217" s="933"/>
      <c r="AZ3217" s="936"/>
      <c r="BA3217" s="936"/>
      <c r="BB3217" s="1112"/>
      <c r="BC3217" s="940"/>
      <c r="BD3217" s="941"/>
      <c r="BE3217" s="942"/>
      <c r="BF3217" s="943"/>
      <c r="BG3217" s="943"/>
      <c r="BH3217" s="943"/>
      <c r="BI3217" s="943"/>
      <c r="BJ3217" s="943"/>
      <c r="BK3217" s="943"/>
      <c r="BL3217" s="943"/>
      <c r="BM3217" s="943"/>
      <c r="BN3217" s="943"/>
      <c r="BO3217" s="1059"/>
      <c r="BP3217" s="1059"/>
      <c r="BQ3217" s="1059"/>
      <c r="BR3217" s="1059"/>
      <c r="BS3217" s="1059"/>
      <c r="BT3217" s="1059"/>
      <c r="BU3217" s="1059"/>
      <c r="BV3217" s="944"/>
      <c r="BW3217" s="944"/>
      <c r="BX3217" s="1147"/>
      <c r="BY3217" s="944"/>
      <c r="BZ3217" s="944"/>
      <c r="CA3217" s="944"/>
      <c r="CB3217" s="944"/>
    </row>
    <row r="3218" spans="2:80">
      <c r="B3218" s="1097"/>
      <c r="C3218" s="1097"/>
      <c r="D3218" s="1097"/>
      <c r="E3218" s="1097"/>
      <c r="F3218" s="934"/>
      <c r="G3218" s="1098"/>
      <c r="H3218" s="1099"/>
      <c r="I3218" s="1099"/>
      <c r="J3218" s="934"/>
      <c r="K3218" s="934"/>
      <c r="L3218" s="933"/>
      <c r="M3218" s="1100"/>
      <c r="N3218" s="934"/>
      <c r="O3218" s="936"/>
      <c r="P3218" s="936"/>
      <c r="Q3218" s="933"/>
      <c r="T3218" s="1101"/>
      <c r="U3218" s="1102"/>
      <c r="V3218" s="936"/>
      <c r="W3218" s="1103"/>
      <c r="X3218" s="1104"/>
      <c r="Y3218" s="1105"/>
      <c r="Z3218" s="1103"/>
      <c r="AC3218" s="1106"/>
      <c r="AD3218" s="1107"/>
      <c r="AE3218" s="1104"/>
      <c r="AG3218" s="1109"/>
      <c r="AI3218" s="1110"/>
      <c r="AL3218" s="933"/>
      <c r="AM3218" s="933"/>
      <c r="AN3218" s="1100"/>
      <c r="AO3218" s="1100"/>
      <c r="AP3218" s="934"/>
      <c r="AQ3218" s="934"/>
      <c r="AR3218" s="934"/>
      <c r="AS3218" s="936"/>
      <c r="AT3218" s="936"/>
      <c r="AU3218" s="936"/>
      <c r="AV3218" s="937"/>
      <c r="AW3218" s="938"/>
      <c r="AX3218" s="939"/>
      <c r="AY3218" s="933"/>
      <c r="AZ3218" s="936"/>
      <c r="BA3218" s="936"/>
      <c r="BB3218" s="1112"/>
      <c r="BC3218" s="940"/>
      <c r="BD3218" s="941"/>
      <c r="BE3218" s="942"/>
      <c r="BF3218" s="943"/>
      <c r="BG3218" s="943"/>
      <c r="BH3218" s="943"/>
      <c r="BI3218" s="943"/>
      <c r="BJ3218" s="943"/>
      <c r="BK3218" s="943"/>
      <c r="BL3218" s="943"/>
      <c r="BM3218" s="943"/>
      <c r="BN3218" s="943"/>
      <c r="BO3218" s="1059"/>
      <c r="BP3218" s="1059"/>
      <c r="BQ3218" s="1059"/>
      <c r="BR3218" s="1059"/>
      <c r="BS3218" s="1059"/>
      <c r="BT3218" s="1059"/>
      <c r="BU3218" s="1059"/>
      <c r="BV3218" s="944"/>
      <c r="BW3218" s="944"/>
      <c r="BX3218" s="1147"/>
      <c r="BY3218" s="944"/>
      <c r="BZ3218" s="944"/>
      <c r="CA3218" s="944"/>
      <c r="CB3218" s="944"/>
    </row>
    <row r="3219" spans="2:80">
      <c r="B3219" s="1097"/>
      <c r="C3219" s="1097"/>
      <c r="D3219" s="1097"/>
      <c r="E3219" s="1097"/>
      <c r="F3219" s="934"/>
      <c r="G3219" s="1098"/>
      <c r="H3219" s="1099"/>
      <c r="I3219" s="1099"/>
      <c r="J3219" s="934"/>
      <c r="K3219" s="934"/>
      <c r="L3219" s="933"/>
      <c r="M3219" s="1100"/>
      <c r="N3219" s="934"/>
      <c r="O3219" s="936"/>
      <c r="P3219" s="936"/>
      <c r="Q3219" s="933"/>
      <c r="T3219" s="1101"/>
      <c r="U3219" s="1102"/>
      <c r="V3219" s="936"/>
      <c r="W3219" s="1103"/>
      <c r="X3219" s="1104"/>
      <c r="Y3219" s="1105"/>
      <c r="Z3219" s="1103"/>
      <c r="AC3219" s="1106"/>
      <c r="AD3219" s="1107"/>
      <c r="AE3219" s="1104"/>
      <c r="AG3219" s="1109"/>
      <c r="AI3219" s="1110"/>
      <c r="AL3219" s="933"/>
      <c r="AM3219" s="933"/>
      <c r="AN3219" s="1100"/>
      <c r="AO3219" s="1100"/>
      <c r="AP3219" s="934"/>
      <c r="AQ3219" s="934"/>
      <c r="AR3219" s="934"/>
      <c r="AS3219" s="936"/>
      <c r="AT3219" s="936"/>
      <c r="AU3219" s="936"/>
      <c r="AV3219" s="937"/>
      <c r="AW3219" s="938"/>
      <c r="AX3219" s="939"/>
      <c r="AY3219" s="933"/>
      <c r="AZ3219" s="936"/>
      <c r="BA3219" s="936"/>
      <c r="BB3219" s="1112"/>
      <c r="BC3219" s="940"/>
      <c r="BD3219" s="941"/>
      <c r="BE3219" s="942"/>
      <c r="BF3219" s="943"/>
      <c r="BG3219" s="943"/>
      <c r="BH3219" s="943"/>
      <c r="BI3219" s="943"/>
      <c r="BJ3219" s="943"/>
      <c r="BK3219" s="943"/>
      <c r="BL3219" s="943"/>
      <c r="BM3219" s="943"/>
      <c r="BN3219" s="943"/>
      <c r="BO3219" s="1059"/>
      <c r="BP3219" s="1059"/>
      <c r="BQ3219" s="1059"/>
      <c r="BR3219" s="1059"/>
      <c r="BS3219" s="1059"/>
      <c r="BT3219" s="1059"/>
      <c r="BU3219" s="1059"/>
      <c r="BV3219" s="944"/>
      <c r="BW3219" s="944"/>
      <c r="BX3219" s="1147"/>
      <c r="BY3219" s="944"/>
      <c r="BZ3219" s="944"/>
      <c r="CA3219" s="944"/>
      <c r="CB3219" s="944"/>
    </row>
    <row r="3220" spans="2:80">
      <c r="B3220" s="1097"/>
      <c r="C3220" s="1097"/>
      <c r="D3220" s="1097"/>
      <c r="E3220" s="1097"/>
      <c r="F3220" s="934"/>
      <c r="G3220" s="1098"/>
      <c r="H3220" s="1099"/>
      <c r="I3220" s="1099"/>
      <c r="J3220" s="934"/>
      <c r="K3220" s="934"/>
      <c r="L3220" s="933"/>
      <c r="M3220" s="1100"/>
      <c r="N3220" s="934"/>
      <c r="O3220" s="936"/>
      <c r="P3220" s="936"/>
      <c r="Q3220" s="933"/>
      <c r="T3220" s="1101"/>
      <c r="U3220" s="1102"/>
      <c r="V3220" s="936"/>
      <c r="W3220" s="1103"/>
      <c r="X3220" s="1104"/>
      <c r="Y3220" s="1105"/>
      <c r="Z3220" s="1103"/>
      <c r="AC3220" s="1106"/>
      <c r="AD3220" s="1107"/>
      <c r="AE3220" s="1104"/>
      <c r="AG3220" s="1109"/>
      <c r="AI3220" s="1110"/>
      <c r="AL3220" s="933"/>
      <c r="AM3220" s="933"/>
      <c r="AN3220" s="1100"/>
      <c r="AO3220" s="1100"/>
      <c r="AP3220" s="934"/>
      <c r="AQ3220" s="934"/>
      <c r="AR3220" s="934"/>
      <c r="AS3220" s="936"/>
      <c r="AT3220" s="936"/>
      <c r="AU3220" s="936"/>
      <c r="AV3220" s="937"/>
      <c r="AW3220" s="938"/>
      <c r="AX3220" s="939"/>
      <c r="AY3220" s="933"/>
      <c r="AZ3220" s="936"/>
      <c r="BA3220" s="936"/>
      <c r="BB3220" s="1112"/>
      <c r="BC3220" s="940"/>
      <c r="BD3220" s="941"/>
      <c r="BE3220" s="942"/>
      <c r="BF3220" s="943"/>
      <c r="BG3220" s="943"/>
      <c r="BH3220" s="943"/>
      <c r="BI3220" s="943"/>
      <c r="BJ3220" s="943"/>
      <c r="BK3220" s="943"/>
      <c r="BL3220" s="943"/>
      <c r="BM3220" s="943"/>
      <c r="BN3220" s="943"/>
      <c r="BO3220" s="1059"/>
      <c r="BP3220" s="1059"/>
      <c r="BQ3220" s="1059"/>
      <c r="BR3220" s="1059"/>
      <c r="BS3220" s="1059"/>
      <c r="BT3220" s="1059"/>
      <c r="BU3220" s="1059"/>
      <c r="BV3220" s="944"/>
      <c r="BW3220" s="944"/>
      <c r="BX3220" s="1147"/>
      <c r="BY3220" s="944"/>
      <c r="BZ3220" s="944"/>
      <c r="CA3220" s="944"/>
      <c r="CB3220" s="944"/>
    </row>
    <row r="3221" spans="2:80">
      <c r="B3221" s="1097"/>
      <c r="C3221" s="1097"/>
      <c r="D3221" s="1097"/>
      <c r="E3221" s="1097"/>
      <c r="F3221" s="934"/>
      <c r="G3221" s="1098"/>
      <c r="H3221" s="1099"/>
      <c r="I3221" s="1099"/>
      <c r="J3221" s="934"/>
      <c r="K3221" s="934"/>
      <c r="L3221" s="933"/>
      <c r="M3221" s="1100"/>
      <c r="N3221" s="934"/>
      <c r="O3221" s="936"/>
      <c r="P3221" s="936"/>
      <c r="Q3221" s="933"/>
      <c r="T3221" s="1101"/>
      <c r="U3221" s="1102"/>
      <c r="V3221" s="936"/>
      <c r="W3221" s="1103"/>
      <c r="X3221" s="1104"/>
      <c r="Y3221" s="1105"/>
      <c r="Z3221" s="1103"/>
      <c r="AC3221" s="1106"/>
      <c r="AD3221" s="1107"/>
      <c r="AE3221" s="1104"/>
      <c r="AG3221" s="1109"/>
      <c r="AI3221" s="1110"/>
      <c r="AL3221" s="933"/>
      <c r="AM3221" s="933"/>
      <c r="AN3221" s="1100"/>
      <c r="AO3221" s="1100"/>
      <c r="AP3221" s="934"/>
      <c r="AQ3221" s="934"/>
      <c r="AR3221" s="934"/>
      <c r="AS3221" s="936"/>
      <c r="AT3221" s="936"/>
      <c r="AU3221" s="936"/>
      <c r="AV3221" s="937"/>
      <c r="AW3221" s="938"/>
      <c r="AX3221" s="939"/>
      <c r="AY3221" s="933"/>
      <c r="AZ3221" s="936"/>
      <c r="BA3221" s="936"/>
      <c r="BB3221" s="1112"/>
      <c r="BC3221" s="940"/>
      <c r="BD3221" s="941"/>
      <c r="BE3221" s="942"/>
      <c r="BF3221" s="943"/>
      <c r="BG3221" s="943"/>
      <c r="BH3221" s="943"/>
      <c r="BI3221" s="943"/>
      <c r="BJ3221" s="943"/>
      <c r="BK3221" s="943"/>
      <c r="BL3221" s="943"/>
      <c r="BM3221" s="943"/>
      <c r="BN3221" s="943"/>
      <c r="BO3221" s="1059"/>
      <c r="BP3221" s="1059"/>
      <c r="BQ3221" s="1059"/>
      <c r="BR3221" s="1059"/>
      <c r="BS3221" s="1059"/>
      <c r="BT3221" s="1059"/>
      <c r="BU3221" s="1059"/>
      <c r="BV3221" s="944"/>
      <c r="BW3221" s="944"/>
      <c r="BX3221" s="1147"/>
      <c r="BY3221" s="944"/>
      <c r="BZ3221" s="944"/>
      <c r="CA3221" s="944"/>
      <c r="CB3221" s="944"/>
    </row>
    <row r="3222" spans="2:80">
      <c r="B3222" s="1097"/>
      <c r="C3222" s="1097"/>
      <c r="D3222" s="1097"/>
      <c r="E3222" s="1097"/>
      <c r="F3222" s="934"/>
      <c r="G3222" s="1098"/>
      <c r="H3222" s="1099"/>
      <c r="I3222" s="1099"/>
      <c r="J3222" s="934"/>
      <c r="K3222" s="934"/>
      <c r="L3222" s="933"/>
      <c r="M3222" s="1100"/>
      <c r="N3222" s="934"/>
      <c r="O3222" s="936"/>
      <c r="P3222" s="936"/>
      <c r="Q3222" s="933"/>
      <c r="T3222" s="1101"/>
      <c r="U3222" s="1102"/>
      <c r="V3222" s="936"/>
      <c r="W3222" s="1103"/>
      <c r="X3222" s="1104"/>
      <c r="Y3222" s="1105"/>
      <c r="Z3222" s="1103"/>
      <c r="AC3222" s="1106"/>
      <c r="AD3222" s="1107"/>
      <c r="AE3222" s="1104"/>
      <c r="AG3222" s="1109"/>
      <c r="AI3222" s="1110"/>
      <c r="AL3222" s="933"/>
      <c r="AM3222" s="933"/>
      <c r="AN3222" s="1100"/>
      <c r="AO3222" s="1100"/>
      <c r="AP3222" s="934"/>
      <c r="AQ3222" s="934"/>
      <c r="AR3222" s="934"/>
      <c r="AS3222" s="936"/>
      <c r="AT3222" s="936"/>
      <c r="AU3222" s="936"/>
      <c r="AV3222" s="937"/>
      <c r="AW3222" s="938"/>
      <c r="AX3222" s="939"/>
      <c r="AY3222" s="933"/>
      <c r="AZ3222" s="936"/>
      <c r="BA3222" s="936"/>
      <c r="BB3222" s="1112"/>
      <c r="BC3222" s="940"/>
      <c r="BD3222" s="941"/>
      <c r="BE3222" s="942"/>
      <c r="BF3222" s="943"/>
      <c r="BG3222" s="943"/>
      <c r="BH3222" s="943"/>
      <c r="BI3222" s="943"/>
      <c r="BJ3222" s="943"/>
      <c r="BK3222" s="943"/>
      <c r="BL3222" s="943"/>
      <c r="BM3222" s="943"/>
      <c r="BN3222" s="943"/>
      <c r="BO3222" s="1059"/>
      <c r="BP3222" s="1059"/>
      <c r="BQ3222" s="1059"/>
      <c r="BR3222" s="1059"/>
      <c r="BS3222" s="1059"/>
      <c r="BT3222" s="1059"/>
      <c r="BU3222" s="1059"/>
      <c r="BV3222" s="944"/>
      <c r="BW3222" s="944"/>
      <c r="BX3222" s="1147"/>
      <c r="BY3222" s="944"/>
      <c r="BZ3222" s="944"/>
      <c r="CA3222" s="944"/>
      <c r="CB3222" s="944"/>
    </row>
    <row r="3223" spans="2:80">
      <c r="B3223" s="1097"/>
      <c r="C3223" s="1097"/>
      <c r="D3223" s="1097"/>
      <c r="E3223" s="1097"/>
      <c r="F3223" s="934"/>
      <c r="G3223" s="1098"/>
      <c r="H3223" s="1099"/>
      <c r="I3223" s="1099"/>
      <c r="J3223" s="934"/>
      <c r="K3223" s="934"/>
      <c r="L3223" s="933"/>
      <c r="M3223" s="1100"/>
      <c r="N3223" s="934"/>
      <c r="O3223" s="936"/>
      <c r="P3223" s="936"/>
      <c r="Q3223" s="933"/>
      <c r="T3223" s="1101"/>
      <c r="U3223" s="1102"/>
      <c r="V3223" s="936"/>
      <c r="W3223" s="1103"/>
      <c r="X3223" s="1104"/>
      <c r="Y3223" s="1105"/>
      <c r="Z3223" s="1103"/>
      <c r="AC3223" s="1106"/>
      <c r="AD3223" s="1107"/>
      <c r="AE3223" s="1104"/>
      <c r="AG3223" s="1109"/>
      <c r="AI3223" s="1110"/>
      <c r="AL3223" s="933"/>
      <c r="AM3223" s="933"/>
      <c r="AN3223" s="1100"/>
      <c r="AO3223" s="1100"/>
      <c r="AP3223" s="934"/>
      <c r="AQ3223" s="934"/>
      <c r="AR3223" s="934"/>
      <c r="AS3223" s="936"/>
      <c r="AT3223" s="936"/>
      <c r="AU3223" s="936"/>
      <c r="AV3223" s="937"/>
      <c r="AW3223" s="938"/>
      <c r="AX3223" s="939"/>
      <c r="AY3223" s="933"/>
      <c r="AZ3223" s="936"/>
      <c r="BA3223" s="936"/>
      <c r="BB3223" s="1112"/>
      <c r="BC3223" s="940"/>
      <c r="BD3223" s="941"/>
      <c r="BE3223" s="942"/>
      <c r="BF3223" s="943"/>
      <c r="BG3223" s="943"/>
      <c r="BH3223" s="943"/>
      <c r="BI3223" s="943"/>
      <c r="BJ3223" s="943"/>
      <c r="BK3223" s="943"/>
      <c r="BL3223" s="943"/>
      <c r="BM3223" s="943"/>
      <c r="BN3223" s="943"/>
      <c r="BO3223" s="1059"/>
      <c r="BP3223" s="1059"/>
      <c r="BQ3223" s="1059"/>
      <c r="BR3223" s="1059"/>
      <c r="BS3223" s="1059"/>
      <c r="BT3223" s="1059"/>
      <c r="BU3223" s="1059"/>
      <c r="BV3223" s="944"/>
      <c r="BW3223" s="944"/>
      <c r="BX3223" s="1147"/>
      <c r="BY3223" s="944"/>
      <c r="BZ3223" s="944"/>
      <c r="CA3223" s="944"/>
      <c r="CB3223" s="944"/>
    </row>
    <row r="3224" spans="2:80">
      <c r="B3224" s="1097"/>
      <c r="C3224" s="1097"/>
      <c r="D3224" s="1097"/>
      <c r="E3224" s="1097"/>
      <c r="F3224" s="934"/>
      <c r="G3224" s="1098"/>
      <c r="H3224" s="1099"/>
      <c r="I3224" s="1099"/>
      <c r="J3224" s="934"/>
      <c r="K3224" s="934"/>
      <c r="L3224" s="933"/>
      <c r="M3224" s="1100"/>
      <c r="N3224" s="934"/>
      <c r="O3224" s="936"/>
      <c r="P3224" s="936"/>
      <c r="Q3224" s="933"/>
      <c r="T3224" s="1101"/>
      <c r="U3224" s="1102"/>
      <c r="V3224" s="936"/>
      <c r="W3224" s="1103"/>
      <c r="X3224" s="1104"/>
      <c r="Y3224" s="1105"/>
      <c r="Z3224" s="1103"/>
      <c r="AC3224" s="1106"/>
      <c r="AD3224" s="1107"/>
      <c r="AE3224" s="1104"/>
      <c r="AG3224" s="1109"/>
      <c r="AI3224" s="1110"/>
      <c r="AL3224" s="933"/>
      <c r="AM3224" s="933"/>
      <c r="AN3224" s="1100"/>
      <c r="AO3224" s="1100"/>
      <c r="AP3224" s="934"/>
      <c r="AQ3224" s="934"/>
      <c r="AR3224" s="934"/>
      <c r="AS3224" s="936"/>
      <c r="AT3224" s="936"/>
      <c r="AU3224" s="936"/>
      <c r="AV3224" s="937"/>
      <c r="AW3224" s="938"/>
      <c r="AX3224" s="939"/>
      <c r="AY3224" s="933"/>
      <c r="AZ3224" s="936"/>
      <c r="BA3224" s="936"/>
      <c r="BB3224" s="1112"/>
      <c r="BC3224" s="940"/>
      <c r="BD3224" s="941"/>
      <c r="BE3224" s="942"/>
      <c r="BF3224" s="943"/>
      <c r="BG3224" s="943"/>
      <c r="BH3224" s="943"/>
      <c r="BI3224" s="943"/>
      <c r="BJ3224" s="943"/>
      <c r="BK3224" s="943"/>
      <c r="BL3224" s="943"/>
      <c r="BM3224" s="943"/>
      <c r="BN3224" s="943"/>
      <c r="BO3224" s="1059"/>
      <c r="BP3224" s="1059"/>
      <c r="BQ3224" s="1059"/>
      <c r="BR3224" s="1059"/>
      <c r="BS3224" s="1059"/>
      <c r="BT3224" s="1059"/>
      <c r="BU3224" s="1059"/>
      <c r="BV3224" s="944"/>
      <c r="BW3224" s="944"/>
      <c r="BX3224" s="1147"/>
      <c r="BY3224" s="944"/>
      <c r="BZ3224" s="944"/>
      <c r="CA3224" s="944"/>
      <c r="CB3224" s="944"/>
    </row>
    <row r="3225" spans="2:80">
      <c r="B3225" s="1097"/>
      <c r="C3225" s="1097"/>
      <c r="D3225" s="1097"/>
      <c r="E3225" s="1097"/>
      <c r="F3225" s="934"/>
      <c r="G3225" s="1098"/>
      <c r="H3225" s="1099"/>
      <c r="I3225" s="1099"/>
      <c r="J3225" s="934"/>
      <c r="K3225" s="934"/>
      <c r="L3225" s="933"/>
      <c r="M3225" s="1100"/>
      <c r="N3225" s="934"/>
      <c r="O3225" s="936"/>
      <c r="P3225" s="936"/>
      <c r="Q3225" s="933"/>
      <c r="T3225" s="1101"/>
      <c r="U3225" s="1102"/>
      <c r="V3225" s="936"/>
      <c r="W3225" s="1103"/>
      <c r="X3225" s="1104"/>
      <c r="Y3225" s="1105"/>
      <c r="Z3225" s="1103"/>
      <c r="AC3225" s="1106"/>
      <c r="AD3225" s="1107"/>
      <c r="AE3225" s="1104"/>
      <c r="AG3225" s="1109"/>
      <c r="AI3225" s="1110"/>
      <c r="AL3225" s="933"/>
      <c r="AM3225" s="933"/>
      <c r="AN3225" s="1100"/>
      <c r="AO3225" s="1100"/>
      <c r="AP3225" s="934"/>
      <c r="AQ3225" s="934"/>
      <c r="AR3225" s="934"/>
      <c r="AS3225" s="936"/>
      <c r="AT3225" s="936"/>
      <c r="AU3225" s="936"/>
      <c r="AV3225" s="937"/>
      <c r="AW3225" s="938"/>
      <c r="AX3225" s="939"/>
      <c r="AY3225" s="933"/>
      <c r="AZ3225" s="936"/>
      <c r="BA3225" s="936"/>
      <c r="BB3225" s="1112"/>
      <c r="BC3225" s="940"/>
      <c r="BD3225" s="941"/>
      <c r="BE3225" s="942"/>
      <c r="BF3225" s="943"/>
      <c r="BG3225" s="943"/>
      <c r="BH3225" s="943"/>
      <c r="BI3225" s="943"/>
      <c r="BJ3225" s="943"/>
      <c r="BK3225" s="943"/>
      <c r="BL3225" s="943"/>
      <c r="BM3225" s="943"/>
      <c r="BN3225" s="943"/>
      <c r="BO3225" s="1059"/>
      <c r="BP3225" s="1059"/>
      <c r="BQ3225" s="1059"/>
      <c r="BR3225" s="1059"/>
      <c r="BS3225" s="1059"/>
      <c r="BT3225" s="1059"/>
      <c r="BU3225" s="1059"/>
      <c r="BV3225" s="944"/>
      <c r="BW3225" s="944"/>
      <c r="BX3225" s="1147"/>
      <c r="BY3225" s="944"/>
      <c r="BZ3225" s="944"/>
      <c r="CA3225" s="944"/>
      <c r="CB3225" s="944"/>
    </row>
    <row r="3226" spans="2:80">
      <c r="B3226" s="1097"/>
      <c r="C3226" s="1097"/>
      <c r="D3226" s="1097"/>
      <c r="E3226" s="1097"/>
      <c r="F3226" s="934"/>
      <c r="G3226" s="1098"/>
      <c r="H3226" s="1099"/>
      <c r="I3226" s="1099"/>
      <c r="J3226" s="934"/>
      <c r="K3226" s="934"/>
      <c r="L3226" s="933"/>
      <c r="M3226" s="1100"/>
      <c r="N3226" s="934"/>
      <c r="O3226" s="936"/>
      <c r="P3226" s="936"/>
      <c r="Q3226" s="933"/>
      <c r="T3226" s="1101"/>
      <c r="U3226" s="1102"/>
      <c r="V3226" s="936"/>
      <c r="W3226" s="1103"/>
      <c r="X3226" s="1104"/>
      <c r="Y3226" s="1105"/>
      <c r="Z3226" s="1103"/>
      <c r="AC3226" s="1106"/>
      <c r="AD3226" s="1107"/>
      <c r="AE3226" s="1104"/>
      <c r="AG3226" s="1109"/>
      <c r="AI3226" s="1110"/>
      <c r="AL3226" s="933"/>
      <c r="AM3226" s="933"/>
      <c r="AN3226" s="1100"/>
      <c r="AO3226" s="1100"/>
      <c r="AP3226" s="934"/>
      <c r="AQ3226" s="934"/>
      <c r="AR3226" s="934"/>
      <c r="AS3226" s="936"/>
      <c r="AT3226" s="936"/>
      <c r="AU3226" s="936"/>
      <c r="AV3226" s="937"/>
      <c r="AW3226" s="938"/>
      <c r="AX3226" s="939"/>
      <c r="AY3226" s="933"/>
      <c r="AZ3226" s="936"/>
      <c r="BA3226" s="936"/>
      <c r="BB3226" s="1112"/>
      <c r="BC3226" s="940"/>
      <c r="BD3226" s="941"/>
      <c r="BE3226" s="942"/>
      <c r="BF3226" s="943"/>
      <c r="BG3226" s="943"/>
      <c r="BH3226" s="943"/>
      <c r="BI3226" s="943"/>
      <c r="BJ3226" s="943"/>
      <c r="BK3226" s="943"/>
      <c r="BL3226" s="943"/>
      <c r="BM3226" s="943"/>
      <c r="BN3226" s="943"/>
      <c r="BO3226" s="1059"/>
      <c r="BP3226" s="1059"/>
      <c r="BQ3226" s="1059"/>
      <c r="BR3226" s="1059"/>
      <c r="BS3226" s="1059"/>
      <c r="BT3226" s="1059"/>
      <c r="BU3226" s="1059"/>
      <c r="BV3226" s="944"/>
      <c r="BW3226" s="944"/>
      <c r="BX3226" s="1147"/>
      <c r="BY3226" s="944"/>
      <c r="BZ3226" s="944"/>
      <c r="CA3226" s="944"/>
      <c r="CB3226" s="944"/>
    </row>
    <row r="3227" spans="2:80">
      <c r="B3227" s="1097"/>
      <c r="C3227" s="1097"/>
      <c r="D3227" s="1097"/>
      <c r="E3227" s="1097"/>
      <c r="F3227" s="934"/>
      <c r="G3227" s="1098"/>
      <c r="H3227" s="1099"/>
      <c r="I3227" s="1099"/>
      <c r="J3227" s="934"/>
      <c r="K3227" s="934"/>
      <c r="L3227" s="933"/>
      <c r="M3227" s="1100"/>
      <c r="N3227" s="934"/>
      <c r="O3227" s="936"/>
      <c r="P3227" s="936"/>
      <c r="Q3227" s="933"/>
      <c r="T3227" s="1101"/>
      <c r="U3227" s="1102"/>
      <c r="V3227" s="936"/>
      <c r="W3227" s="1103"/>
      <c r="X3227" s="1104"/>
      <c r="Y3227" s="1105"/>
      <c r="Z3227" s="1103"/>
      <c r="AC3227" s="1106"/>
      <c r="AD3227" s="1107"/>
      <c r="AE3227" s="1104"/>
      <c r="AG3227" s="1109"/>
      <c r="AI3227" s="1110"/>
      <c r="AL3227" s="933"/>
      <c r="AM3227" s="933"/>
      <c r="AN3227" s="1100"/>
      <c r="AO3227" s="1100"/>
      <c r="AP3227" s="934"/>
      <c r="AQ3227" s="934"/>
      <c r="AR3227" s="934"/>
      <c r="AS3227" s="936"/>
      <c r="AT3227" s="936"/>
      <c r="AU3227" s="936"/>
      <c r="AV3227" s="937"/>
      <c r="AW3227" s="938"/>
      <c r="AX3227" s="939"/>
      <c r="AY3227" s="933"/>
      <c r="AZ3227" s="936"/>
      <c r="BA3227" s="936"/>
      <c r="BB3227" s="1112"/>
      <c r="BC3227" s="940"/>
      <c r="BD3227" s="941"/>
      <c r="BE3227" s="942"/>
      <c r="BF3227" s="943"/>
      <c r="BG3227" s="943"/>
      <c r="BH3227" s="943"/>
      <c r="BI3227" s="943"/>
      <c r="BJ3227" s="943"/>
      <c r="BK3227" s="943"/>
      <c r="BL3227" s="943"/>
      <c r="BM3227" s="943"/>
      <c r="BN3227" s="943"/>
      <c r="BO3227" s="1059"/>
      <c r="BP3227" s="1059"/>
      <c r="BQ3227" s="1059"/>
      <c r="BR3227" s="1059"/>
      <c r="BS3227" s="1059"/>
      <c r="BT3227" s="1059"/>
      <c r="BU3227" s="1059"/>
      <c r="BV3227" s="944"/>
      <c r="BW3227" s="944"/>
      <c r="BX3227" s="1147"/>
      <c r="BY3227" s="944"/>
      <c r="BZ3227" s="944"/>
      <c r="CA3227" s="944"/>
      <c r="CB3227" s="944"/>
    </row>
    <row r="3228" spans="2:80">
      <c r="B3228" s="1097"/>
      <c r="C3228" s="1097"/>
      <c r="D3228" s="1097"/>
      <c r="E3228" s="1097"/>
      <c r="F3228" s="934"/>
      <c r="G3228" s="1098"/>
      <c r="H3228" s="1099"/>
      <c r="I3228" s="1099"/>
      <c r="J3228" s="934"/>
      <c r="K3228" s="934"/>
      <c r="L3228" s="933"/>
      <c r="M3228" s="1100"/>
      <c r="N3228" s="934"/>
      <c r="O3228" s="936"/>
      <c r="P3228" s="936"/>
      <c r="Q3228" s="933"/>
      <c r="T3228" s="1101"/>
      <c r="U3228" s="1102"/>
      <c r="V3228" s="936"/>
      <c r="W3228" s="1103"/>
      <c r="X3228" s="1104"/>
      <c r="Y3228" s="1105"/>
      <c r="Z3228" s="1103"/>
      <c r="AC3228" s="1106"/>
      <c r="AD3228" s="1107"/>
      <c r="AE3228" s="1104"/>
      <c r="AG3228" s="1109"/>
      <c r="AI3228" s="1110"/>
      <c r="AL3228" s="933"/>
      <c r="AM3228" s="933"/>
      <c r="AN3228" s="1100"/>
      <c r="AO3228" s="1100"/>
      <c r="AP3228" s="934"/>
      <c r="AQ3228" s="934"/>
      <c r="AR3228" s="934"/>
      <c r="AS3228" s="936"/>
      <c r="AT3228" s="936"/>
      <c r="AU3228" s="936"/>
      <c r="AV3228" s="937"/>
      <c r="AW3228" s="938"/>
      <c r="AX3228" s="939"/>
      <c r="AY3228" s="933"/>
      <c r="AZ3228" s="936"/>
      <c r="BA3228" s="936"/>
      <c r="BB3228" s="1112"/>
      <c r="BC3228" s="940"/>
      <c r="BD3228" s="941"/>
      <c r="BE3228" s="942"/>
      <c r="BF3228" s="943"/>
      <c r="BG3228" s="943"/>
      <c r="BH3228" s="943"/>
      <c r="BI3228" s="943"/>
      <c r="BJ3228" s="943"/>
      <c r="BK3228" s="943"/>
      <c r="BL3228" s="943"/>
      <c r="BM3228" s="943"/>
      <c r="BN3228" s="943"/>
      <c r="BO3228" s="1059"/>
      <c r="BP3228" s="1059"/>
      <c r="BQ3228" s="1059"/>
      <c r="BR3228" s="1059"/>
      <c r="BS3228" s="1059"/>
      <c r="BT3228" s="1059"/>
      <c r="BU3228" s="1059"/>
      <c r="BV3228" s="944"/>
      <c r="BW3228" s="944"/>
      <c r="BX3228" s="1147"/>
      <c r="BY3228" s="944"/>
      <c r="BZ3228" s="944"/>
      <c r="CA3228" s="944"/>
      <c r="CB3228" s="944"/>
    </row>
    <row r="3229" spans="2:80">
      <c r="B3229" s="1097"/>
      <c r="C3229" s="1097"/>
      <c r="D3229" s="1097"/>
      <c r="E3229" s="1097"/>
      <c r="F3229" s="934"/>
      <c r="G3229" s="1098"/>
      <c r="H3229" s="1099"/>
      <c r="I3229" s="1099"/>
      <c r="J3229" s="934"/>
      <c r="K3229" s="934"/>
      <c r="L3229" s="933"/>
      <c r="M3229" s="1100"/>
      <c r="N3229" s="934"/>
      <c r="O3229" s="936"/>
      <c r="P3229" s="936"/>
      <c r="Q3229" s="933"/>
      <c r="T3229" s="1101"/>
      <c r="U3229" s="1102"/>
      <c r="V3229" s="936"/>
      <c r="W3229" s="1103"/>
      <c r="X3229" s="1104"/>
      <c r="Y3229" s="1105"/>
      <c r="Z3229" s="1103"/>
      <c r="AC3229" s="1106"/>
      <c r="AD3229" s="1107"/>
      <c r="AE3229" s="1104"/>
      <c r="AG3229" s="1109"/>
      <c r="AI3229" s="1110"/>
      <c r="AL3229" s="933"/>
      <c r="AM3229" s="933"/>
      <c r="AN3229" s="1100"/>
      <c r="AO3229" s="1100"/>
      <c r="AP3229" s="934"/>
      <c r="AQ3229" s="934"/>
      <c r="AR3229" s="934"/>
      <c r="AS3229" s="936"/>
      <c r="AT3229" s="936"/>
      <c r="AU3229" s="936"/>
      <c r="AV3229" s="937"/>
      <c r="AW3229" s="938"/>
      <c r="AX3229" s="939"/>
      <c r="AY3229" s="933"/>
      <c r="AZ3229" s="936"/>
      <c r="BA3229" s="936"/>
      <c r="BB3229" s="1112"/>
      <c r="BC3229" s="940"/>
      <c r="BD3229" s="941"/>
      <c r="BE3229" s="942"/>
      <c r="BF3229" s="943"/>
      <c r="BG3229" s="943"/>
      <c r="BH3229" s="943"/>
      <c r="BI3229" s="943"/>
      <c r="BJ3229" s="943"/>
      <c r="BK3229" s="943"/>
      <c r="BL3229" s="943"/>
      <c r="BM3229" s="943"/>
      <c r="BN3229" s="943"/>
      <c r="BO3229" s="1059"/>
      <c r="BP3229" s="1059"/>
      <c r="BQ3229" s="1059"/>
      <c r="BR3229" s="1059"/>
      <c r="BS3229" s="1059"/>
      <c r="BT3229" s="1059"/>
      <c r="BU3229" s="1059"/>
      <c r="BV3229" s="944"/>
      <c r="BW3229" s="944"/>
      <c r="BX3229" s="1147"/>
      <c r="BY3229" s="944"/>
      <c r="BZ3229" s="944"/>
      <c r="CA3229" s="944"/>
      <c r="CB3229" s="944"/>
    </row>
    <row r="3230" spans="2:80">
      <c r="B3230" s="1097"/>
      <c r="C3230" s="1097"/>
      <c r="D3230" s="1097"/>
      <c r="E3230" s="1097"/>
      <c r="F3230" s="934"/>
      <c r="G3230" s="1098"/>
      <c r="H3230" s="1099"/>
      <c r="I3230" s="1099"/>
      <c r="J3230" s="934"/>
      <c r="K3230" s="934"/>
      <c r="L3230" s="933"/>
      <c r="M3230" s="1100"/>
      <c r="N3230" s="934"/>
      <c r="O3230" s="936"/>
      <c r="P3230" s="936"/>
      <c r="Q3230" s="933"/>
      <c r="T3230" s="1101"/>
      <c r="U3230" s="1102"/>
      <c r="V3230" s="936"/>
      <c r="W3230" s="1103"/>
      <c r="X3230" s="1104"/>
      <c r="Y3230" s="1105"/>
      <c r="Z3230" s="1103"/>
      <c r="AC3230" s="1106"/>
      <c r="AD3230" s="1107"/>
      <c r="AE3230" s="1104"/>
      <c r="AG3230" s="1109"/>
      <c r="AI3230" s="1110"/>
      <c r="AL3230" s="933"/>
      <c r="AM3230" s="933"/>
      <c r="AN3230" s="1100"/>
      <c r="AO3230" s="1100"/>
      <c r="AP3230" s="934"/>
      <c r="AQ3230" s="934"/>
      <c r="AR3230" s="934"/>
      <c r="AS3230" s="936"/>
      <c r="AT3230" s="936"/>
      <c r="AU3230" s="936"/>
      <c r="AV3230" s="937"/>
      <c r="AW3230" s="938"/>
      <c r="AX3230" s="939"/>
      <c r="AY3230" s="933"/>
      <c r="AZ3230" s="936"/>
      <c r="BA3230" s="936"/>
      <c r="BB3230" s="1112"/>
      <c r="BC3230" s="940"/>
      <c r="BD3230" s="941"/>
      <c r="BE3230" s="942"/>
      <c r="BF3230" s="943"/>
      <c r="BG3230" s="943"/>
      <c r="BH3230" s="943"/>
      <c r="BI3230" s="943"/>
      <c r="BJ3230" s="943"/>
      <c r="BK3230" s="943"/>
      <c r="BL3230" s="943"/>
      <c r="BM3230" s="943"/>
      <c r="BN3230" s="943"/>
      <c r="BO3230" s="1059"/>
      <c r="BP3230" s="1059"/>
      <c r="BQ3230" s="1059"/>
      <c r="BR3230" s="1059"/>
      <c r="BS3230" s="1059"/>
      <c r="BT3230" s="1059"/>
      <c r="BU3230" s="1059"/>
      <c r="BV3230" s="944"/>
      <c r="BW3230" s="944"/>
      <c r="BX3230" s="1147"/>
      <c r="BY3230" s="944"/>
      <c r="BZ3230" s="944"/>
      <c r="CA3230" s="944"/>
      <c r="CB3230" s="944"/>
    </row>
    <row r="3231" spans="2:80">
      <c r="B3231" s="1097"/>
      <c r="C3231" s="1097"/>
      <c r="D3231" s="1097"/>
      <c r="E3231" s="1097"/>
      <c r="F3231" s="934"/>
      <c r="G3231" s="1098"/>
      <c r="H3231" s="1099"/>
      <c r="I3231" s="1099"/>
      <c r="J3231" s="934"/>
      <c r="K3231" s="934"/>
      <c r="L3231" s="933"/>
      <c r="M3231" s="1100"/>
      <c r="N3231" s="934"/>
      <c r="O3231" s="936"/>
      <c r="P3231" s="936"/>
      <c r="Q3231" s="933"/>
      <c r="T3231" s="1101"/>
      <c r="U3231" s="1102"/>
      <c r="V3231" s="936"/>
      <c r="W3231" s="1103"/>
      <c r="X3231" s="1104"/>
      <c r="Y3231" s="1105"/>
      <c r="Z3231" s="1103"/>
      <c r="AC3231" s="1106"/>
      <c r="AD3231" s="1107"/>
      <c r="AE3231" s="1104"/>
      <c r="AG3231" s="1109"/>
      <c r="AI3231" s="1110"/>
      <c r="AL3231" s="933"/>
      <c r="AM3231" s="933"/>
      <c r="AN3231" s="1100"/>
      <c r="AO3231" s="1100"/>
      <c r="AP3231" s="934"/>
      <c r="AQ3231" s="934"/>
      <c r="AR3231" s="934"/>
      <c r="AS3231" s="936"/>
      <c r="AT3231" s="936"/>
      <c r="AU3231" s="936"/>
      <c r="AV3231" s="937"/>
      <c r="AW3231" s="938"/>
      <c r="AX3231" s="939"/>
      <c r="AY3231" s="933"/>
      <c r="AZ3231" s="936"/>
      <c r="BA3231" s="936"/>
      <c r="BB3231" s="1112"/>
      <c r="BC3231" s="940"/>
      <c r="BD3231" s="941"/>
      <c r="BE3231" s="942"/>
      <c r="BF3231" s="943"/>
      <c r="BG3231" s="943"/>
      <c r="BH3231" s="943"/>
      <c r="BI3231" s="943"/>
      <c r="BJ3231" s="943"/>
      <c r="BK3231" s="943"/>
      <c r="BL3231" s="943"/>
      <c r="BM3231" s="943"/>
      <c r="BN3231" s="943"/>
      <c r="BO3231" s="1059"/>
      <c r="BP3231" s="1059"/>
      <c r="BQ3231" s="1059"/>
      <c r="BR3231" s="1059"/>
      <c r="BS3231" s="1059"/>
      <c r="BT3231" s="1059"/>
      <c r="BU3231" s="1059"/>
      <c r="BV3231" s="944"/>
      <c r="BW3231" s="944"/>
      <c r="BX3231" s="1147"/>
      <c r="BY3231" s="944"/>
      <c r="BZ3231" s="944"/>
      <c r="CA3231" s="944"/>
      <c r="CB3231" s="944"/>
    </row>
    <row r="3232" spans="2:80">
      <c r="B3232" s="1097"/>
      <c r="C3232" s="1097"/>
      <c r="D3232" s="1097"/>
      <c r="E3232" s="1097"/>
      <c r="F3232" s="934"/>
      <c r="G3232" s="1098"/>
      <c r="H3232" s="1099"/>
      <c r="I3232" s="1099"/>
      <c r="J3232" s="934"/>
      <c r="K3232" s="934"/>
      <c r="L3232" s="933"/>
      <c r="M3232" s="1100"/>
      <c r="N3232" s="934"/>
      <c r="O3232" s="936"/>
      <c r="P3232" s="936"/>
      <c r="Q3232" s="933"/>
      <c r="T3232" s="1101"/>
      <c r="U3232" s="1102"/>
      <c r="V3232" s="936"/>
      <c r="W3232" s="1103"/>
      <c r="X3232" s="1104"/>
      <c r="Y3232" s="1105"/>
      <c r="Z3232" s="1103"/>
      <c r="AC3232" s="1106"/>
      <c r="AD3232" s="1107"/>
      <c r="AE3232" s="1104"/>
      <c r="AG3232" s="1109"/>
      <c r="AI3232" s="1110"/>
      <c r="AL3232" s="933"/>
      <c r="AM3232" s="933"/>
      <c r="AN3232" s="1100"/>
      <c r="AO3232" s="1100"/>
      <c r="AP3232" s="934"/>
      <c r="AQ3232" s="934"/>
      <c r="AR3232" s="934"/>
      <c r="AS3232" s="936"/>
      <c r="AT3232" s="936"/>
      <c r="AU3232" s="936"/>
      <c r="AV3232" s="937"/>
      <c r="AW3232" s="938"/>
      <c r="AX3232" s="939"/>
      <c r="AY3232" s="933"/>
      <c r="AZ3232" s="936"/>
      <c r="BA3232" s="936"/>
      <c r="BB3232" s="1112"/>
      <c r="BC3232" s="940"/>
      <c r="BD3232" s="941"/>
      <c r="BE3232" s="942"/>
      <c r="BF3232" s="943"/>
      <c r="BG3232" s="943"/>
      <c r="BH3232" s="943"/>
      <c r="BI3232" s="943"/>
      <c r="BJ3232" s="943"/>
      <c r="BK3232" s="943"/>
      <c r="BL3232" s="943"/>
      <c r="BM3232" s="943"/>
      <c r="BN3232" s="943"/>
      <c r="BO3232" s="1059"/>
      <c r="BP3232" s="1059"/>
      <c r="BQ3232" s="1059"/>
      <c r="BR3232" s="1059"/>
      <c r="BS3232" s="1059"/>
      <c r="BT3232" s="1059"/>
      <c r="BU3232" s="1059"/>
      <c r="BV3232" s="944"/>
      <c r="BW3232" s="944"/>
      <c r="BX3232" s="1147"/>
      <c r="BY3232" s="944"/>
      <c r="BZ3232" s="944"/>
      <c r="CA3232" s="944"/>
      <c r="CB3232" s="944"/>
    </row>
    <row r="3233" spans="2:80">
      <c r="B3233" s="1097"/>
      <c r="C3233" s="1097"/>
      <c r="D3233" s="1097"/>
      <c r="E3233" s="1097"/>
      <c r="F3233" s="934"/>
      <c r="G3233" s="1098"/>
      <c r="H3233" s="1099"/>
      <c r="I3233" s="1099"/>
      <c r="J3233" s="934"/>
      <c r="K3233" s="934"/>
      <c r="L3233" s="933"/>
      <c r="M3233" s="1100"/>
      <c r="N3233" s="934"/>
      <c r="O3233" s="936"/>
      <c r="P3233" s="936"/>
      <c r="Q3233" s="933"/>
      <c r="T3233" s="1101"/>
      <c r="U3233" s="1102"/>
      <c r="V3233" s="936"/>
      <c r="W3233" s="1103"/>
      <c r="X3233" s="1104"/>
      <c r="Y3233" s="1105"/>
      <c r="Z3233" s="1103"/>
      <c r="AC3233" s="1106"/>
      <c r="AD3233" s="1107"/>
      <c r="AE3233" s="1104"/>
      <c r="AG3233" s="1109"/>
      <c r="AI3233" s="1110"/>
      <c r="AL3233" s="933"/>
      <c r="AM3233" s="933"/>
      <c r="AN3233" s="1100"/>
      <c r="AO3233" s="1100"/>
      <c r="AP3233" s="934"/>
      <c r="AQ3233" s="934"/>
      <c r="AR3233" s="934"/>
      <c r="AS3233" s="936"/>
      <c r="AT3233" s="936"/>
      <c r="AU3233" s="936"/>
      <c r="AV3233" s="937"/>
      <c r="AW3233" s="938"/>
      <c r="AX3233" s="939"/>
      <c r="AY3233" s="933"/>
      <c r="AZ3233" s="936"/>
      <c r="BA3233" s="936"/>
      <c r="BB3233" s="1112"/>
      <c r="BC3233" s="940"/>
      <c r="BD3233" s="941"/>
      <c r="BE3233" s="942"/>
      <c r="BF3233" s="943"/>
      <c r="BG3233" s="943"/>
      <c r="BH3233" s="943"/>
      <c r="BI3233" s="943"/>
      <c r="BJ3233" s="943"/>
      <c r="BK3233" s="943"/>
      <c r="BL3233" s="943"/>
      <c r="BM3233" s="943"/>
      <c r="BN3233" s="943"/>
      <c r="BO3233" s="1059"/>
      <c r="BP3233" s="1059"/>
      <c r="BQ3233" s="1059"/>
      <c r="BR3233" s="1059"/>
      <c r="BS3233" s="1059"/>
      <c r="BT3233" s="1059"/>
      <c r="BU3233" s="1059"/>
      <c r="BV3233" s="944"/>
      <c r="BW3233" s="944"/>
      <c r="BX3233" s="1147"/>
      <c r="BY3233" s="944"/>
      <c r="BZ3233" s="944"/>
      <c r="CA3233" s="944"/>
      <c r="CB3233" s="944"/>
    </row>
    <row r="3234" spans="2:80">
      <c r="B3234" s="1097"/>
      <c r="C3234" s="1097"/>
      <c r="D3234" s="1097"/>
      <c r="E3234" s="1097"/>
      <c r="F3234" s="934"/>
      <c r="G3234" s="1098"/>
      <c r="H3234" s="1099"/>
      <c r="I3234" s="1099"/>
      <c r="J3234" s="934"/>
      <c r="K3234" s="934"/>
      <c r="L3234" s="933"/>
      <c r="M3234" s="1100"/>
      <c r="N3234" s="934"/>
      <c r="O3234" s="936"/>
      <c r="P3234" s="936"/>
      <c r="Q3234" s="933"/>
      <c r="T3234" s="1101"/>
      <c r="U3234" s="1102"/>
      <c r="V3234" s="936"/>
      <c r="W3234" s="1103"/>
      <c r="X3234" s="1104"/>
      <c r="Y3234" s="1105"/>
      <c r="Z3234" s="1103"/>
      <c r="AC3234" s="1106"/>
      <c r="AD3234" s="1107"/>
      <c r="AE3234" s="1104"/>
      <c r="AG3234" s="1109"/>
      <c r="AI3234" s="1110"/>
      <c r="AL3234" s="933"/>
      <c r="AM3234" s="933"/>
      <c r="AN3234" s="1100"/>
      <c r="AO3234" s="1100"/>
      <c r="AP3234" s="934"/>
      <c r="AQ3234" s="934"/>
      <c r="AR3234" s="934"/>
      <c r="AS3234" s="936"/>
      <c r="AT3234" s="936"/>
      <c r="AU3234" s="936"/>
      <c r="AV3234" s="937"/>
      <c r="AW3234" s="938"/>
      <c r="AX3234" s="939"/>
      <c r="AY3234" s="933"/>
      <c r="AZ3234" s="936"/>
      <c r="BA3234" s="936"/>
      <c r="BB3234" s="1112"/>
      <c r="BC3234" s="940"/>
      <c r="BD3234" s="941"/>
      <c r="BE3234" s="942"/>
      <c r="BF3234" s="943"/>
      <c r="BG3234" s="943"/>
      <c r="BH3234" s="943"/>
      <c r="BI3234" s="943"/>
      <c r="BJ3234" s="943"/>
      <c r="BK3234" s="943"/>
      <c r="BL3234" s="943"/>
      <c r="BM3234" s="943"/>
      <c r="BN3234" s="943"/>
      <c r="BO3234" s="1059"/>
      <c r="BP3234" s="1059"/>
      <c r="BQ3234" s="1059"/>
      <c r="BR3234" s="1059"/>
      <c r="BS3234" s="1059"/>
      <c r="BT3234" s="1059"/>
      <c r="BU3234" s="1059"/>
      <c r="BV3234" s="944"/>
      <c r="BW3234" s="944"/>
      <c r="BX3234" s="1147"/>
      <c r="BY3234" s="944"/>
      <c r="BZ3234" s="944"/>
      <c r="CA3234" s="944"/>
      <c r="CB3234" s="944"/>
    </row>
    <row r="3235" spans="2:80">
      <c r="B3235" s="1097"/>
      <c r="C3235" s="1097"/>
      <c r="D3235" s="1097"/>
      <c r="E3235" s="1097"/>
      <c r="F3235" s="934"/>
      <c r="G3235" s="1098"/>
      <c r="H3235" s="1099"/>
      <c r="I3235" s="1099"/>
      <c r="J3235" s="934"/>
      <c r="K3235" s="934"/>
      <c r="L3235" s="933"/>
      <c r="M3235" s="1100"/>
      <c r="N3235" s="934"/>
      <c r="O3235" s="936"/>
      <c r="P3235" s="936"/>
      <c r="Q3235" s="933"/>
      <c r="T3235" s="1101"/>
      <c r="U3235" s="1102"/>
      <c r="V3235" s="936"/>
      <c r="W3235" s="1103"/>
      <c r="X3235" s="1104"/>
      <c r="Y3235" s="1105"/>
      <c r="Z3235" s="1103"/>
      <c r="AC3235" s="1106"/>
      <c r="AD3235" s="1107"/>
      <c r="AE3235" s="1104"/>
      <c r="AG3235" s="1109"/>
      <c r="AI3235" s="1110"/>
      <c r="AL3235" s="933"/>
      <c r="AM3235" s="933"/>
      <c r="AN3235" s="1100"/>
      <c r="AO3235" s="1100"/>
      <c r="AP3235" s="934"/>
      <c r="AQ3235" s="934"/>
      <c r="AR3235" s="934"/>
      <c r="AS3235" s="936"/>
      <c r="AT3235" s="936"/>
      <c r="AU3235" s="936"/>
      <c r="AV3235" s="937"/>
      <c r="AW3235" s="938"/>
      <c r="AX3235" s="939"/>
      <c r="AY3235" s="933"/>
      <c r="AZ3235" s="936"/>
      <c r="BA3235" s="936"/>
      <c r="BB3235" s="1112"/>
      <c r="BC3235" s="940"/>
      <c r="BD3235" s="941"/>
      <c r="BE3235" s="942"/>
      <c r="BF3235" s="943"/>
      <c r="BG3235" s="943"/>
      <c r="BH3235" s="943"/>
      <c r="BI3235" s="943"/>
      <c r="BJ3235" s="943"/>
      <c r="BK3235" s="943"/>
      <c r="BL3235" s="943"/>
      <c r="BM3235" s="943"/>
      <c r="BN3235" s="943"/>
      <c r="BO3235" s="1059"/>
      <c r="BP3235" s="1059"/>
      <c r="BQ3235" s="1059"/>
      <c r="BR3235" s="1059"/>
      <c r="BS3235" s="1059"/>
      <c r="BT3235" s="1059"/>
      <c r="BU3235" s="1059"/>
      <c r="BV3235" s="944"/>
      <c r="BW3235" s="944"/>
      <c r="BX3235" s="1147"/>
      <c r="BY3235" s="944"/>
      <c r="BZ3235" s="944"/>
      <c r="CA3235" s="944"/>
      <c r="CB3235" s="944"/>
    </row>
    <row r="3236" spans="2:80">
      <c r="B3236" s="1097"/>
      <c r="C3236" s="1097"/>
      <c r="D3236" s="1097"/>
      <c r="E3236" s="1097"/>
      <c r="F3236" s="934"/>
      <c r="G3236" s="1098"/>
      <c r="H3236" s="1099"/>
      <c r="I3236" s="1099"/>
      <c r="J3236" s="934"/>
      <c r="K3236" s="934"/>
      <c r="L3236" s="933"/>
      <c r="M3236" s="1100"/>
      <c r="N3236" s="934"/>
      <c r="O3236" s="936"/>
      <c r="P3236" s="936"/>
      <c r="Q3236" s="933"/>
      <c r="T3236" s="1101"/>
      <c r="U3236" s="1102"/>
      <c r="V3236" s="936"/>
      <c r="W3236" s="1103"/>
      <c r="X3236" s="1104"/>
      <c r="Y3236" s="1105"/>
      <c r="Z3236" s="1103"/>
      <c r="AC3236" s="1106"/>
      <c r="AD3236" s="1107"/>
      <c r="AE3236" s="1104"/>
      <c r="AG3236" s="1109"/>
      <c r="AI3236" s="1110"/>
      <c r="AL3236" s="933"/>
      <c r="AM3236" s="933"/>
      <c r="AN3236" s="1100"/>
      <c r="AO3236" s="1100"/>
      <c r="AP3236" s="934"/>
      <c r="AQ3236" s="934"/>
      <c r="AR3236" s="934"/>
      <c r="AS3236" s="936"/>
      <c r="AT3236" s="936"/>
      <c r="AU3236" s="936"/>
      <c r="AV3236" s="937"/>
      <c r="AW3236" s="938"/>
      <c r="AX3236" s="939"/>
      <c r="AY3236" s="933"/>
      <c r="AZ3236" s="936"/>
      <c r="BA3236" s="936"/>
      <c r="BB3236" s="1112"/>
      <c r="BC3236" s="940"/>
      <c r="BD3236" s="941"/>
      <c r="BE3236" s="942"/>
      <c r="BF3236" s="943"/>
      <c r="BG3236" s="943"/>
      <c r="BH3236" s="943"/>
      <c r="BI3236" s="943"/>
      <c r="BJ3236" s="943"/>
      <c r="BK3236" s="943"/>
      <c r="BL3236" s="943"/>
      <c r="BM3236" s="943"/>
      <c r="BN3236" s="943"/>
      <c r="BO3236" s="1059"/>
      <c r="BP3236" s="1059"/>
      <c r="BQ3236" s="1059"/>
      <c r="BR3236" s="1059"/>
      <c r="BS3236" s="1059"/>
      <c r="BT3236" s="1059"/>
      <c r="BU3236" s="1059"/>
      <c r="BV3236" s="944"/>
      <c r="BW3236" s="944"/>
      <c r="BX3236" s="1147"/>
      <c r="BY3236" s="944"/>
      <c r="BZ3236" s="944"/>
      <c r="CA3236" s="944"/>
      <c r="CB3236" s="944"/>
    </row>
    <row r="3237" spans="2:80">
      <c r="B3237" s="1097"/>
      <c r="C3237" s="1097"/>
      <c r="D3237" s="1097"/>
      <c r="E3237" s="1097"/>
      <c r="F3237" s="934"/>
      <c r="G3237" s="1098"/>
      <c r="H3237" s="1099"/>
      <c r="I3237" s="1099"/>
      <c r="J3237" s="934"/>
      <c r="K3237" s="934"/>
      <c r="L3237" s="933"/>
      <c r="M3237" s="1100"/>
      <c r="N3237" s="934"/>
      <c r="O3237" s="936"/>
      <c r="P3237" s="936"/>
      <c r="Q3237" s="933"/>
      <c r="T3237" s="1101"/>
      <c r="U3237" s="1102"/>
      <c r="V3237" s="936"/>
      <c r="W3237" s="1103"/>
      <c r="X3237" s="1104"/>
      <c r="Y3237" s="1105"/>
      <c r="Z3237" s="1103"/>
      <c r="AC3237" s="1106"/>
      <c r="AD3237" s="1107"/>
      <c r="AE3237" s="1104"/>
      <c r="AG3237" s="1109"/>
      <c r="AI3237" s="1110"/>
      <c r="AL3237" s="933"/>
      <c r="AM3237" s="933"/>
      <c r="AN3237" s="1100"/>
      <c r="AO3237" s="1100"/>
      <c r="AP3237" s="934"/>
      <c r="AQ3237" s="934"/>
      <c r="AR3237" s="934"/>
      <c r="AS3237" s="936"/>
      <c r="AT3237" s="936"/>
      <c r="AU3237" s="936"/>
      <c r="AV3237" s="937"/>
      <c r="AW3237" s="938"/>
      <c r="AX3237" s="939"/>
      <c r="AY3237" s="933"/>
      <c r="AZ3237" s="936"/>
      <c r="BA3237" s="936"/>
      <c r="BB3237" s="1112"/>
      <c r="BC3237" s="940"/>
      <c r="BD3237" s="941"/>
      <c r="BE3237" s="942"/>
      <c r="BF3237" s="943"/>
      <c r="BG3237" s="943"/>
      <c r="BH3237" s="943"/>
      <c r="BI3237" s="943"/>
      <c r="BJ3237" s="943"/>
      <c r="BK3237" s="943"/>
      <c r="BL3237" s="943"/>
      <c r="BM3237" s="943"/>
      <c r="BN3237" s="943"/>
      <c r="BO3237" s="1059"/>
      <c r="BP3237" s="1059"/>
      <c r="BQ3237" s="1059"/>
      <c r="BR3237" s="1059"/>
      <c r="BS3237" s="1059"/>
      <c r="BT3237" s="1059"/>
      <c r="BU3237" s="1059"/>
      <c r="BV3237" s="944"/>
      <c r="BW3237" s="944"/>
      <c r="BX3237" s="1147"/>
      <c r="BY3237" s="944"/>
      <c r="BZ3237" s="944"/>
      <c r="CA3237" s="944"/>
      <c r="CB3237" s="944"/>
    </row>
    <row r="3238" spans="2:80">
      <c r="B3238" s="1097"/>
      <c r="C3238" s="1097"/>
      <c r="D3238" s="1097"/>
      <c r="E3238" s="1097"/>
      <c r="F3238" s="934"/>
      <c r="G3238" s="1098"/>
      <c r="H3238" s="1099"/>
      <c r="I3238" s="1099"/>
      <c r="J3238" s="934"/>
      <c r="K3238" s="934"/>
      <c r="L3238" s="933"/>
      <c r="M3238" s="1100"/>
      <c r="N3238" s="934"/>
      <c r="O3238" s="936"/>
      <c r="P3238" s="936"/>
      <c r="Q3238" s="933"/>
      <c r="T3238" s="1101"/>
      <c r="U3238" s="1102"/>
      <c r="V3238" s="936"/>
      <c r="W3238" s="1103"/>
      <c r="X3238" s="1104"/>
      <c r="Y3238" s="1105"/>
      <c r="Z3238" s="1103"/>
      <c r="AC3238" s="1106"/>
      <c r="AD3238" s="1107"/>
      <c r="AE3238" s="1104"/>
      <c r="AG3238" s="1109"/>
      <c r="AI3238" s="1110"/>
      <c r="AL3238" s="933"/>
      <c r="AM3238" s="933"/>
      <c r="AN3238" s="1100"/>
      <c r="AO3238" s="1100"/>
      <c r="AP3238" s="934"/>
      <c r="AQ3238" s="934"/>
      <c r="AR3238" s="934"/>
      <c r="AS3238" s="936"/>
      <c r="AT3238" s="936"/>
      <c r="AU3238" s="936"/>
      <c r="AV3238" s="937"/>
      <c r="AW3238" s="938"/>
      <c r="AX3238" s="939"/>
      <c r="AY3238" s="933"/>
      <c r="AZ3238" s="936"/>
      <c r="BA3238" s="936"/>
      <c r="BB3238" s="1112"/>
      <c r="BC3238" s="940"/>
      <c r="BD3238" s="941"/>
      <c r="BE3238" s="942"/>
      <c r="BF3238" s="943"/>
      <c r="BG3238" s="943"/>
      <c r="BH3238" s="943"/>
      <c r="BI3238" s="943"/>
      <c r="BJ3238" s="943"/>
      <c r="BK3238" s="943"/>
      <c r="BL3238" s="943"/>
      <c r="BM3238" s="943"/>
      <c r="BN3238" s="943"/>
      <c r="BO3238" s="1059"/>
      <c r="BP3238" s="1059"/>
      <c r="BQ3238" s="1059"/>
      <c r="BR3238" s="1059"/>
      <c r="BS3238" s="1059"/>
      <c r="BT3238" s="1059"/>
      <c r="BU3238" s="1059"/>
      <c r="BV3238" s="944"/>
      <c r="BW3238" s="944"/>
      <c r="BX3238" s="1147"/>
      <c r="BY3238" s="944"/>
      <c r="BZ3238" s="944"/>
      <c r="CA3238" s="944"/>
      <c r="CB3238" s="944"/>
    </row>
    <row r="3239" spans="2:80">
      <c r="B3239" s="1097"/>
      <c r="C3239" s="1097"/>
      <c r="D3239" s="1097"/>
      <c r="E3239" s="1097"/>
      <c r="F3239" s="934"/>
      <c r="G3239" s="1098"/>
      <c r="H3239" s="1099"/>
      <c r="I3239" s="1099"/>
      <c r="J3239" s="934"/>
      <c r="K3239" s="934"/>
      <c r="L3239" s="933"/>
      <c r="M3239" s="1100"/>
      <c r="N3239" s="934"/>
      <c r="O3239" s="936"/>
      <c r="P3239" s="936"/>
      <c r="Q3239" s="933"/>
      <c r="T3239" s="1101"/>
      <c r="U3239" s="1102"/>
      <c r="V3239" s="936"/>
      <c r="W3239" s="1103"/>
      <c r="X3239" s="1104"/>
      <c r="Y3239" s="1105"/>
      <c r="Z3239" s="1103"/>
      <c r="AC3239" s="1106"/>
      <c r="AD3239" s="1107"/>
      <c r="AE3239" s="1104"/>
      <c r="AG3239" s="1109"/>
      <c r="AI3239" s="1110"/>
      <c r="AL3239" s="933"/>
      <c r="AM3239" s="933"/>
      <c r="AN3239" s="1100"/>
      <c r="AO3239" s="1100"/>
      <c r="AP3239" s="934"/>
      <c r="AQ3239" s="934"/>
      <c r="AR3239" s="934"/>
      <c r="AS3239" s="936"/>
      <c r="AT3239" s="936"/>
      <c r="AU3239" s="936"/>
      <c r="AV3239" s="937"/>
      <c r="AW3239" s="938"/>
      <c r="AX3239" s="939"/>
      <c r="AY3239" s="933"/>
      <c r="AZ3239" s="936"/>
      <c r="BA3239" s="936"/>
      <c r="BB3239" s="1112"/>
      <c r="BC3239" s="940"/>
      <c r="BD3239" s="941"/>
      <c r="BE3239" s="942"/>
      <c r="BF3239" s="943"/>
      <c r="BG3239" s="943"/>
      <c r="BH3239" s="943"/>
      <c r="BI3239" s="943"/>
      <c r="BJ3239" s="943"/>
      <c r="BK3239" s="943"/>
      <c r="BL3239" s="943"/>
      <c r="BM3239" s="943"/>
      <c r="BN3239" s="943"/>
      <c r="BO3239" s="1059"/>
      <c r="BP3239" s="1059"/>
      <c r="BQ3239" s="1059"/>
      <c r="BR3239" s="1059"/>
      <c r="BS3239" s="1059"/>
      <c r="BT3239" s="1059"/>
      <c r="BU3239" s="1059"/>
      <c r="BV3239" s="944"/>
      <c r="BW3239" s="944"/>
      <c r="BX3239" s="1147"/>
      <c r="BY3239" s="944"/>
      <c r="BZ3239" s="944"/>
      <c r="CA3239" s="944"/>
      <c r="CB3239" s="944"/>
    </row>
    <row r="3240" spans="2:80">
      <c r="B3240" s="1097"/>
      <c r="C3240" s="1097"/>
      <c r="D3240" s="1097"/>
      <c r="E3240" s="1097"/>
      <c r="F3240" s="934"/>
      <c r="G3240" s="1098"/>
      <c r="H3240" s="1099"/>
      <c r="I3240" s="1099"/>
      <c r="J3240" s="934"/>
      <c r="K3240" s="934"/>
      <c r="L3240" s="933"/>
      <c r="M3240" s="1100"/>
      <c r="N3240" s="934"/>
      <c r="O3240" s="936"/>
      <c r="P3240" s="936"/>
      <c r="Q3240" s="933"/>
      <c r="T3240" s="1101"/>
      <c r="U3240" s="1102"/>
      <c r="V3240" s="936"/>
      <c r="W3240" s="1103"/>
      <c r="X3240" s="1104"/>
      <c r="Y3240" s="1105"/>
      <c r="Z3240" s="1103"/>
      <c r="AC3240" s="1106"/>
      <c r="AD3240" s="1107"/>
      <c r="AE3240" s="1104"/>
      <c r="AG3240" s="1109"/>
      <c r="AI3240" s="1110"/>
      <c r="AL3240" s="933"/>
      <c r="AM3240" s="933"/>
      <c r="AN3240" s="1100"/>
      <c r="AO3240" s="1100"/>
      <c r="AP3240" s="934"/>
      <c r="AQ3240" s="934"/>
      <c r="AR3240" s="934"/>
      <c r="AS3240" s="936"/>
      <c r="AT3240" s="936"/>
      <c r="AU3240" s="936"/>
      <c r="AV3240" s="937"/>
      <c r="AW3240" s="938"/>
      <c r="AX3240" s="939"/>
      <c r="AY3240" s="933"/>
      <c r="AZ3240" s="936"/>
      <c r="BA3240" s="936"/>
      <c r="BB3240" s="1112"/>
      <c r="BC3240" s="940"/>
      <c r="BD3240" s="941"/>
      <c r="BE3240" s="942"/>
      <c r="BF3240" s="943"/>
      <c r="BG3240" s="943"/>
      <c r="BH3240" s="943"/>
      <c r="BI3240" s="943"/>
      <c r="BJ3240" s="943"/>
      <c r="BK3240" s="943"/>
      <c r="BL3240" s="943"/>
      <c r="BM3240" s="943"/>
      <c r="BN3240" s="943"/>
      <c r="BO3240" s="1059"/>
      <c r="BP3240" s="1059"/>
      <c r="BQ3240" s="1059"/>
      <c r="BR3240" s="1059"/>
      <c r="BS3240" s="1059"/>
      <c r="BT3240" s="1059"/>
      <c r="BU3240" s="1059"/>
      <c r="BV3240" s="944"/>
      <c r="BW3240" s="944"/>
      <c r="BX3240" s="1147"/>
      <c r="BY3240" s="944"/>
      <c r="BZ3240" s="944"/>
      <c r="CA3240" s="944"/>
      <c r="CB3240" s="944"/>
    </row>
    <row r="3241" spans="2:80">
      <c r="B3241" s="1097"/>
      <c r="C3241" s="1097"/>
      <c r="D3241" s="1097"/>
      <c r="E3241" s="1097"/>
      <c r="F3241" s="934"/>
      <c r="G3241" s="1098"/>
      <c r="H3241" s="1099"/>
      <c r="I3241" s="1099"/>
      <c r="J3241" s="934"/>
      <c r="K3241" s="934"/>
      <c r="L3241" s="933"/>
      <c r="M3241" s="1100"/>
      <c r="N3241" s="934"/>
      <c r="O3241" s="936"/>
      <c r="P3241" s="936"/>
      <c r="Q3241" s="933"/>
      <c r="T3241" s="1101"/>
      <c r="U3241" s="1102"/>
      <c r="V3241" s="936"/>
      <c r="W3241" s="1103"/>
      <c r="X3241" s="1104"/>
      <c r="Y3241" s="1105"/>
      <c r="Z3241" s="1103"/>
      <c r="AC3241" s="1106"/>
      <c r="AD3241" s="1107"/>
      <c r="AE3241" s="1104"/>
      <c r="AG3241" s="1109"/>
      <c r="AI3241" s="1110"/>
      <c r="AL3241" s="933"/>
      <c r="AM3241" s="933"/>
      <c r="AN3241" s="1100"/>
      <c r="AO3241" s="1100"/>
      <c r="AP3241" s="934"/>
      <c r="AQ3241" s="934"/>
      <c r="AR3241" s="934"/>
      <c r="AS3241" s="936"/>
      <c r="AT3241" s="936"/>
      <c r="AU3241" s="936"/>
      <c r="AV3241" s="937"/>
      <c r="AW3241" s="938"/>
      <c r="AX3241" s="939"/>
      <c r="AY3241" s="933"/>
      <c r="AZ3241" s="936"/>
      <c r="BA3241" s="936"/>
      <c r="BB3241" s="1112"/>
      <c r="BC3241" s="940"/>
      <c r="BD3241" s="941"/>
      <c r="BE3241" s="942"/>
      <c r="BF3241" s="943"/>
      <c r="BG3241" s="943"/>
      <c r="BH3241" s="943"/>
      <c r="BI3241" s="943"/>
      <c r="BJ3241" s="943"/>
      <c r="BK3241" s="943"/>
      <c r="BL3241" s="943"/>
      <c r="BM3241" s="943"/>
      <c r="BN3241" s="943"/>
      <c r="BO3241" s="1059"/>
      <c r="BP3241" s="1059"/>
      <c r="BQ3241" s="1059"/>
      <c r="BR3241" s="1059"/>
      <c r="BS3241" s="1059"/>
      <c r="BT3241" s="1059"/>
      <c r="BU3241" s="1059"/>
      <c r="BV3241" s="944"/>
      <c r="BW3241" s="944"/>
      <c r="BX3241" s="1147"/>
      <c r="BY3241" s="944"/>
      <c r="BZ3241" s="944"/>
      <c r="CA3241" s="944"/>
      <c r="CB3241" s="944"/>
    </row>
    <row r="3242" spans="2:80">
      <c r="B3242" s="1097"/>
      <c r="C3242" s="1097"/>
      <c r="D3242" s="1097"/>
      <c r="E3242" s="1097"/>
      <c r="F3242" s="934"/>
      <c r="G3242" s="1098"/>
      <c r="H3242" s="1099"/>
      <c r="I3242" s="1099"/>
      <c r="J3242" s="934"/>
      <c r="K3242" s="934"/>
      <c r="L3242" s="933"/>
      <c r="M3242" s="1100"/>
      <c r="N3242" s="934"/>
      <c r="O3242" s="936"/>
      <c r="P3242" s="936"/>
      <c r="Q3242" s="933"/>
      <c r="T3242" s="1101"/>
      <c r="U3242" s="1102"/>
      <c r="V3242" s="936"/>
      <c r="W3242" s="1103"/>
      <c r="X3242" s="1104"/>
      <c r="Y3242" s="1105"/>
      <c r="Z3242" s="1103"/>
      <c r="AC3242" s="1106"/>
      <c r="AD3242" s="1107"/>
      <c r="AE3242" s="1104"/>
      <c r="AG3242" s="1109"/>
      <c r="AI3242" s="1110"/>
      <c r="AL3242" s="933"/>
      <c r="AM3242" s="933"/>
      <c r="AN3242" s="1100"/>
      <c r="AO3242" s="1100"/>
      <c r="AP3242" s="934"/>
      <c r="AQ3242" s="934"/>
      <c r="AR3242" s="934"/>
      <c r="AS3242" s="936"/>
      <c r="AT3242" s="936"/>
      <c r="AU3242" s="936"/>
      <c r="AV3242" s="937"/>
      <c r="AW3242" s="938"/>
      <c r="AX3242" s="939"/>
      <c r="AY3242" s="933"/>
      <c r="AZ3242" s="936"/>
      <c r="BA3242" s="936"/>
      <c r="BB3242" s="1112"/>
      <c r="BC3242" s="940"/>
      <c r="BD3242" s="941"/>
      <c r="BE3242" s="942"/>
      <c r="BF3242" s="943"/>
      <c r="BG3242" s="943"/>
      <c r="BH3242" s="943"/>
      <c r="BI3242" s="943"/>
      <c r="BJ3242" s="943"/>
      <c r="BK3242" s="943"/>
      <c r="BL3242" s="943"/>
      <c r="BM3242" s="943"/>
      <c r="BN3242" s="943"/>
      <c r="BO3242" s="1059"/>
      <c r="BP3242" s="1059"/>
      <c r="BQ3242" s="1059"/>
      <c r="BR3242" s="1059"/>
      <c r="BS3242" s="1059"/>
      <c r="BT3242" s="1059"/>
      <c r="BU3242" s="1059"/>
      <c r="BV3242" s="944"/>
      <c r="BW3242" s="944"/>
      <c r="BX3242" s="1147"/>
      <c r="BY3242" s="944"/>
      <c r="BZ3242" s="944"/>
      <c r="CA3242" s="944"/>
      <c r="CB3242" s="944"/>
    </row>
    <row r="3243" spans="2:80">
      <c r="B3243" s="1097"/>
      <c r="C3243" s="1097"/>
      <c r="D3243" s="1097"/>
      <c r="E3243" s="1097"/>
      <c r="F3243" s="934"/>
      <c r="G3243" s="1098"/>
      <c r="H3243" s="1099"/>
      <c r="I3243" s="1099"/>
      <c r="J3243" s="934"/>
      <c r="K3243" s="934"/>
      <c r="L3243" s="933"/>
      <c r="M3243" s="1100"/>
      <c r="N3243" s="934"/>
      <c r="O3243" s="936"/>
      <c r="P3243" s="936"/>
      <c r="Q3243" s="933"/>
      <c r="T3243" s="1101"/>
      <c r="U3243" s="1102"/>
      <c r="V3243" s="936"/>
      <c r="W3243" s="1103"/>
      <c r="X3243" s="1104"/>
      <c r="Y3243" s="1105"/>
      <c r="Z3243" s="1103"/>
      <c r="AC3243" s="1106"/>
      <c r="AD3243" s="1107"/>
      <c r="AE3243" s="1104"/>
      <c r="AG3243" s="1109"/>
      <c r="AI3243" s="1110"/>
      <c r="AL3243" s="933"/>
      <c r="AM3243" s="933"/>
      <c r="AN3243" s="1100"/>
      <c r="AO3243" s="1100"/>
      <c r="AP3243" s="934"/>
      <c r="AQ3243" s="934"/>
      <c r="AR3243" s="934"/>
      <c r="AS3243" s="936"/>
      <c r="AT3243" s="936"/>
      <c r="AU3243" s="936"/>
      <c r="AV3243" s="937"/>
      <c r="AW3243" s="938"/>
      <c r="AX3243" s="939"/>
      <c r="AY3243" s="933"/>
      <c r="AZ3243" s="936"/>
      <c r="BA3243" s="936"/>
      <c r="BB3243" s="1112"/>
      <c r="BC3243" s="940"/>
      <c r="BD3243" s="941"/>
      <c r="BE3243" s="942"/>
      <c r="BF3243" s="943"/>
      <c r="BG3243" s="943"/>
      <c r="BH3243" s="943"/>
      <c r="BI3243" s="943"/>
      <c r="BJ3243" s="943"/>
      <c r="BK3243" s="943"/>
      <c r="BL3243" s="943"/>
      <c r="BM3243" s="943"/>
      <c r="BN3243" s="943"/>
      <c r="BO3243" s="1059"/>
      <c r="BP3243" s="1059"/>
      <c r="BQ3243" s="1059"/>
      <c r="BR3243" s="1059"/>
      <c r="BS3243" s="1059"/>
      <c r="BT3243" s="1059"/>
      <c r="BU3243" s="1059"/>
      <c r="BV3243" s="944"/>
      <c r="BW3243" s="944"/>
      <c r="BX3243" s="1147"/>
      <c r="BY3243" s="944"/>
      <c r="BZ3243" s="944"/>
      <c r="CA3243" s="944"/>
      <c r="CB3243" s="944"/>
    </row>
    <row r="3244" spans="2:80">
      <c r="B3244" s="1097"/>
      <c r="C3244" s="1097"/>
      <c r="D3244" s="1097"/>
      <c r="E3244" s="1097"/>
      <c r="F3244" s="934"/>
      <c r="G3244" s="1098"/>
      <c r="H3244" s="1099"/>
      <c r="I3244" s="1099"/>
      <c r="J3244" s="934"/>
      <c r="K3244" s="934"/>
      <c r="L3244" s="933"/>
      <c r="M3244" s="1100"/>
      <c r="N3244" s="934"/>
      <c r="O3244" s="936"/>
      <c r="P3244" s="936"/>
      <c r="Q3244" s="933"/>
      <c r="T3244" s="1101"/>
      <c r="U3244" s="1102"/>
      <c r="V3244" s="936"/>
      <c r="W3244" s="1103"/>
      <c r="X3244" s="1104"/>
      <c r="Y3244" s="1105"/>
      <c r="Z3244" s="1103"/>
      <c r="AC3244" s="1106"/>
      <c r="AD3244" s="1107"/>
      <c r="AE3244" s="1104"/>
      <c r="AG3244" s="1109"/>
      <c r="AI3244" s="1110"/>
      <c r="AL3244" s="933"/>
      <c r="AM3244" s="933"/>
      <c r="AN3244" s="1100"/>
      <c r="AO3244" s="1100"/>
      <c r="AP3244" s="934"/>
      <c r="AQ3244" s="934"/>
      <c r="AR3244" s="934"/>
      <c r="AS3244" s="936"/>
      <c r="AT3244" s="936"/>
      <c r="AU3244" s="936"/>
      <c r="AV3244" s="937"/>
      <c r="AW3244" s="938"/>
      <c r="AX3244" s="939"/>
      <c r="AY3244" s="933"/>
      <c r="AZ3244" s="936"/>
      <c r="BA3244" s="936"/>
      <c r="BB3244" s="1112"/>
      <c r="BC3244" s="940"/>
      <c r="BD3244" s="941"/>
      <c r="BE3244" s="942"/>
      <c r="BF3244" s="943"/>
      <c r="BG3244" s="943"/>
      <c r="BH3244" s="943"/>
      <c r="BI3244" s="943"/>
      <c r="BJ3244" s="943"/>
      <c r="BK3244" s="943"/>
      <c r="BL3244" s="943"/>
      <c r="BM3244" s="943"/>
      <c r="BN3244" s="943"/>
      <c r="BO3244" s="1059"/>
      <c r="BP3244" s="1059"/>
      <c r="BQ3244" s="1059"/>
      <c r="BR3244" s="1059"/>
      <c r="BS3244" s="1059"/>
      <c r="BT3244" s="1059"/>
      <c r="BU3244" s="1059"/>
      <c r="BV3244" s="944"/>
      <c r="BW3244" s="944"/>
      <c r="BX3244" s="1147"/>
      <c r="BY3244" s="944"/>
      <c r="BZ3244" s="944"/>
      <c r="CA3244" s="944"/>
      <c r="CB3244" s="944"/>
    </row>
    <row r="3245" spans="2:80">
      <c r="B3245" s="1097"/>
      <c r="C3245" s="1097"/>
      <c r="D3245" s="1097"/>
      <c r="E3245" s="1097"/>
      <c r="F3245" s="934"/>
      <c r="G3245" s="1098"/>
      <c r="H3245" s="1099"/>
      <c r="I3245" s="1099"/>
      <c r="J3245" s="934"/>
      <c r="K3245" s="934"/>
      <c r="L3245" s="933"/>
      <c r="M3245" s="1100"/>
      <c r="N3245" s="934"/>
      <c r="O3245" s="936"/>
      <c r="P3245" s="936"/>
      <c r="Q3245" s="933"/>
      <c r="T3245" s="1101"/>
      <c r="U3245" s="1102"/>
      <c r="V3245" s="936"/>
      <c r="W3245" s="1103"/>
      <c r="X3245" s="1104"/>
      <c r="Y3245" s="1105"/>
      <c r="Z3245" s="1103"/>
      <c r="AC3245" s="1106"/>
      <c r="AD3245" s="1107"/>
      <c r="AE3245" s="1104"/>
      <c r="AG3245" s="1109"/>
      <c r="AI3245" s="1110"/>
      <c r="AL3245" s="933"/>
      <c r="AM3245" s="933"/>
      <c r="AN3245" s="1100"/>
      <c r="AO3245" s="1100"/>
      <c r="AP3245" s="934"/>
      <c r="AQ3245" s="934"/>
      <c r="AR3245" s="934"/>
      <c r="AS3245" s="936"/>
      <c r="AT3245" s="936"/>
      <c r="AU3245" s="936"/>
      <c r="AV3245" s="937"/>
      <c r="AW3245" s="938"/>
      <c r="AX3245" s="939"/>
      <c r="AY3245" s="933"/>
      <c r="AZ3245" s="936"/>
      <c r="BA3245" s="936"/>
      <c r="BB3245" s="1112"/>
      <c r="BC3245" s="940"/>
      <c r="BD3245" s="941"/>
      <c r="BE3245" s="942"/>
      <c r="BF3245" s="943"/>
      <c r="BG3245" s="943"/>
      <c r="BH3245" s="943"/>
      <c r="BI3245" s="943"/>
      <c r="BJ3245" s="943"/>
      <c r="BK3245" s="943"/>
      <c r="BL3245" s="943"/>
      <c r="BM3245" s="943"/>
      <c r="BN3245" s="943"/>
      <c r="BO3245" s="1059"/>
      <c r="BP3245" s="1059"/>
      <c r="BQ3245" s="1059"/>
      <c r="BR3245" s="1059"/>
      <c r="BS3245" s="1059"/>
      <c r="BT3245" s="1059"/>
      <c r="BU3245" s="1059"/>
      <c r="BV3245" s="944"/>
      <c r="BW3245" s="944"/>
      <c r="BX3245" s="1147"/>
      <c r="BY3245" s="944"/>
      <c r="BZ3245" s="944"/>
      <c r="CA3245" s="944"/>
      <c r="CB3245" s="944"/>
    </row>
    <row r="3246" spans="2:80">
      <c r="B3246" s="1097"/>
      <c r="C3246" s="1097"/>
      <c r="D3246" s="1097"/>
      <c r="E3246" s="1097"/>
      <c r="F3246" s="934"/>
      <c r="G3246" s="1098"/>
      <c r="H3246" s="1099"/>
      <c r="I3246" s="1099"/>
      <c r="J3246" s="934"/>
      <c r="K3246" s="934"/>
      <c r="L3246" s="933"/>
      <c r="M3246" s="1100"/>
      <c r="N3246" s="934"/>
      <c r="O3246" s="936"/>
      <c r="P3246" s="936"/>
      <c r="Q3246" s="933"/>
      <c r="T3246" s="1101"/>
      <c r="U3246" s="1102"/>
      <c r="V3246" s="936"/>
      <c r="W3246" s="1103"/>
      <c r="X3246" s="1104"/>
      <c r="Y3246" s="1105"/>
      <c r="Z3246" s="1103"/>
      <c r="AC3246" s="1106"/>
      <c r="AD3246" s="1107"/>
      <c r="AE3246" s="1104"/>
      <c r="AG3246" s="1109"/>
      <c r="AI3246" s="1110"/>
      <c r="AL3246" s="933"/>
      <c r="AM3246" s="933"/>
      <c r="AN3246" s="1100"/>
      <c r="AO3246" s="1100"/>
      <c r="AP3246" s="934"/>
      <c r="AQ3246" s="934"/>
      <c r="AR3246" s="934"/>
      <c r="AS3246" s="936"/>
      <c r="AT3246" s="936"/>
      <c r="AU3246" s="936"/>
      <c r="AV3246" s="937"/>
      <c r="AW3246" s="938"/>
      <c r="AX3246" s="939"/>
      <c r="AY3246" s="933"/>
      <c r="AZ3246" s="936"/>
      <c r="BA3246" s="936"/>
      <c r="BB3246" s="1112"/>
      <c r="BC3246" s="940"/>
      <c r="BD3246" s="941"/>
      <c r="BE3246" s="942"/>
      <c r="BF3246" s="943"/>
      <c r="BG3246" s="943"/>
      <c r="BH3246" s="943"/>
      <c r="BI3246" s="943"/>
      <c r="BJ3246" s="943"/>
      <c r="BK3246" s="943"/>
      <c r="BL3246" s="943"/>
      <c r="BM3246" s="943"/>
      <c r="BN3246" s="943"/>
      <c r="BO3246" s="1059"/>
      <c r="BP3246" s="1059"/>
      <c r="BQ3246" s="1059"/>
      <c r="BR3246" s="1059"/>
      <c r="BS3246" s="1059"/>
      <c r="BT3246" s="1059"/>
      <c r="BU3246" s="1059"/>
      <c r="BV3246" s="944"/>
      <c r="BW3246" s="944"/>
      <c r="BX3246" s="1147"/>
      <c r="BY3246" s="944"/>
      <c r="BZ3246" s="944"/>
      <c r="CA3246" s="944"/>
      <c r="CB3246" s="944"/>
    </row>
    <row r="3247" spans="2:80">
      <c r="B3247" s="1097"/>
      <c r="C3247" s="1097"/>
      <c r="D3247" s="1097"/>
      <c r="E3247" s="1097"/>
      <c r="F3247" s="934"/>
      <c r="G3247" s="1098"/>
      <c r="H3247" s="1099"/>
      <c r="I3247" s="1099"/>
      <c r="J3247" s="934"/>
      <c r="K3247" s="934"/>
      <c r="L3247" s="933"/>
      <c r="M3247" s="1100"/>
      <c r="N3247" s="934"/>
      <c r="O3247" s="936"/>
      <c r="P3247" s="936"/>
      <c r="Q3247" s="933"/>
      <c r="T3247" s="1101"/>
      <c r="U3247" s="1102"/>
      <c r="V3247" s="936"/>
      <c r="W3247" s="1103"/>
      <c r="X3247" s="1104"/>
      <c r="Y3247" s="1105"/>
      <c r="Z3247" s="1103"/>
      <c r="AC3247" s="1106"/>
      <c r="AD3247" s="1107"/>
      <c r="AE3247" s="1104"/>
      <c r="AG3247" s="1109"/>
      <c r="AI3247" s="1110"/>
      <c r="AL3247" s="933"/>
      <c r="AM3247" s="933"/>
      <c r="AN3247" s="1100"/>
      <c r="AO3247" s="1100"/>
      <c r="AP3247" s="934"/>
      <c r="AQ3247" s="934"/>
      <c r="AR3247" s="934"/>
      <c r="AS3247" s="936"/>
      <c r="AT3247" s="936"/>
      <c r="AU3247" s="936"/>
      <c r="AV3247" s="937"/>
      <c r="AW3247" s="938"/>
      <c r="AX3247" s="939"/>
      <c r="AY3247" s="933"/>
      <c r="AZ3247" s="936"/>
      <c r="BA3247" s="936"/>
      <c r="BB3247" s="1112"/>
      <c r="BC3247" s="940"/>
      <c r="BD3247" s="941"/>
      <c r="BE3247" s="942"/>
      <c r="BF3247" s="943"/>
      <c r="BG3247" s="943"/>
      <c r="BH3247" s="943"/>
      <c r="BI3247" s="943"/>
      <c r="BJ3247" s="943"/>
      <c r="BK3247" s="943"/>
      <c r="BL3247" s="943"/>
      <c r="BM3247" s="943"/>
      <c r="BN3247" s="943"/>
      <c r="BO3247" s="1059"/>
      <c r="BP3247" s="1059"/>
      <c r="BQ3247" s="1059"/>
      <c r="BR3247" s="1059"/>
      <c r="BS3247" s="1059"/>
      <c r="BT3247" s="1059"/>
      <c r="BU3247" s="1059"/>
      <c r="BV3247" s="944"/>
      <c r="BW3247" s="944"/>
      <c r="BX3247" s="1147"/>
      <c r="BY3247" s="944"/>
      <c r="BZ3247" s="944"/>
      <c r="CA3247" s="944"/>
      <c r="CB3247" s="944"/>
    </row>
    <row r="3248" spans="2:80">
      <c r="B3248" s="1097"/>
      <c r="C3248" s="1097"/>
      <c r="D3248" s="1097"/>
      <c r="E3248" s="1097"/>
      <c r="F3248" s="934"/>
      <c r="G3248" s="1098"/>
      <c r="H3248" s="1099"/>
      <c r="I3248" s="1099"/>
      <c r="J3248" s="934"/>
      <c r="K3248" s="934"/>
      <c r="L3248" s="933"/>
      <c r="M3248" s="1100"/>
      <c r="N3248" s="934"/>
      <c r="O3248" s="936"/>
      <c r="P3248" s="936"/>
      <c r="Q3248" s="933"/>
      <c r="T3248" s="1101"/>
      <c r="U3248" s="1102"/>
      <c r="V3248" s="936"/>
      <c r="W3248" s="1103"/>
      <c r="X3248" s="1104"/>
      <c r="Y3248" s="1105"/>
      <c r="Z3248" s="1103"/>
      <c r="AC3248" s="1106"/>
      <c r="AD3248" s="1107"/>
      <c r="AE3248" s="1104"/>
      <c r="AG3248" s="1109"/>
      <c r="AI3248" s="1110"/>
      <c r="AL3248" s="933"/>
      <c r="AM3248" s="933"/>
      <c r="AN3248" s="1100"/>
      <c r="AO3248" s="1100"/>
      <c r="AP3248" s="934"/>
      <c r="AQ3248" s="934"/>
      <c r="AR3248" s="934"/>
      <c r="AS3248" s="936"/>
      <c r="AT3248" s="936"/>
      <c r="AU3248" s="936"/>
      <c r="AV3248" s="937"/>
      <c r="AW3248" s="938"/>
      <c r="AX3248" s="939"/>
      <c r="AY3248" s="933"/>
      <c r="AZ3248" s="936"/>
      <c r="BA3248" s="936"/>
      <c r="BB3248" s="1112"/>
      <c r="BC3248" s="940"/>
      <c r="BD3248" s="941"/>
      <c r="BE3248" s="942"/>
      <c r="BF3248" s="943"/>
      <c r="BG3248" s="943"/>
      <c r="BH3248" s="943"/>
      <c r="BI3248" s="943"/>
      <c r="BJ3248" s="943"/>
      <c r="BK3248" s="943"/>
      <c r="BL3248" s="943"/>
      <c r="BM3248" s="943"/>
      <c r="BN3248" s="943"/>
      <c r="BO3248" s="1059"/>
      <c r="BP3248" s="1059"/>
      <c r="BQ3248" s="1059"/>
      <c r="BR3248" s="1059"/>
      <c r="BS3248" s="1059"/>
      <c r="BT3248" s="1059"/>
      <c r="BU3248" s="1059"/>
      <c r="BV3248" s="944"/>
      <c r="BW3248" s="944"/>
      <c r="BX3248" s="1147"/>
      <c r="BY3248" s="944"/>
      <c r="BZ3248" s="944"/>
      <c r="CA3248" s="944"/>
      <c r="CB3248" s="944"/>
    </row>
    <row r="3249" spans="2:80">
      <c r="B3249" s="1097"/>
      <c r="C3249" s="1097"/>
      <c r="D3249" s="1097"/>
      <c r="E3249" s="1097"/>
      <c r="F3249" s="934"/>
      <c r="G3249" s="1098"/>
      <c r="H3249" s="1099"/>
      <c r="I3249" s="1099"/>
      <c r="J3249" s="934"/>
      <c r="K3249" s="934"/>
      <c r="L3249" s="933"/>
      <c r="M3249" s="1100"/>
      <c r="N3249" s="934"/>
      <c r="O3249" s="936"/>
      <c r="P3249" s="936"/>
      <c r="Q3249" s="933"/>
      <c r="T3249" s="1101"/>
      <c r="U3249" s="1102"/>
      <c r="V3249" s="936"/>
      <c r="W3249" s="1103"/>
      <c r="X3249" s="1104"/>
      <c r="Y3249" s="1105"/>
      <c r="Z3249" s="1103"/>
      <c r="AC3249" s="1106"/>
      <c r="AD3249" s="1107"/>
      <c r="AE3249" s="1104"/>
      <c r="AG3249" s="1109"/>
      <c r="AI3249" s="1110"/>
      <c r="AL3249" s="933"/>
      <c r="AM3249" s="933"/>
      <c r="AN3249" s="1100"/>
      <c r="AO3249" s="1100"/>
      <c r="AP3249" s="934"/>
      <c r="AQ3249" s="934"/>
      <c r="AR3249" s="934"/>
      <c r="AS3249" s="936"/>
      <c r="AT3249" s="936"/>
      <c r="AU3249" s="936"/>
      <c r="AV3249" s="937"/>
      <c r="AW3249" s="938"/>
      <c r="AX3249" s="939"/>
      <c r="AY3249" s="933"/>
      <c r="AZ3249" s="936"/>
      <c r="BA3249" s="936"/>
      <c r="BB3249" s="1112"/>
      <c r="BC3249" s="940"/>
      <c r="BD3249" s="941"/>
      <c r="BE3249" s="942"/>
      <c r="BF3249" s="943"/>
      <c r="BG3249" s="943"/>
      <c r="BH3249" s="943"/>
      <c r="BI3249" s="943"/>
      <c r="BJ3249" s="943"/>
      <c r="BK3249" s="943"/>
      <c r="BL3249" s="943"/>
      <c r="BM3249" s="943"/>
      <c r="BN3249" s="943"/>
      <c r="BO3249" s="1059"/>
      <c r="BP3249" s="1059"/>
      <c r="BQ3249" s="1059"/>
      <c r="BR3249" s="1059"/>
      <c r="BS3249" s="1059"/>
      <c r="BT3249" s="1059"/>
      <c r="BU3249" s="1059"/>
      <c r="BV3249" s="944"/>
      <c r="BW3249" s="944"/>
      <c r="BX3249" s="1147"/>
      <c r="BY3249" s="944"/>
      <c r="BZ3249" s="944"/>
      <c r="CA3249" s="944"/>
      <c r="CB3249" s="944"/>
    </row>
    <row r="3250" spans="2:80">
      <c r="B3250" s="1097"/>
      <c r="C3250" s="1097"/>
      <c r="D3250" s="1097"/>
      <c r="E3250" s="1097"/>
      <c r="F3250" s="934"/>
      <c r="G3250" s="1098"/>
      <c r="H3250" s="1099"/>
      <c r="I3250" s="1099"/>
      <c r="J3250" s="934"/>
      <c r="K3250" s="934"/>
      <c r="L3250" s="933"/>
      <c r="M3250" s="1100"/>
      <c r="N3250" s="934"/>
      <c r="O3250" s="936"/>
      <c r="P3250" s="936"/>
      <c r="Q3250" s="933"/>
      <c r="T3250" s="1101"/>
      <c r="U3250" s="1102"/>
      <c r="V3250" s="936"/>
      <c r="W3250" s="1103"/>
      <c r="X3250" s="1104"/>
      <c r="Y3250" s="1105"/>
      <c r="Z3250" s="1103"/>
      <c r="AC3250" s="1106"/>
      <c r="AD3250" s="1107"/>
      <c r="AE3250" s="1104"/>
      <c r="AG3250" s="1109"/>
      <c r="AI3250" s="1110"/>
      <c r="AL3250" s="933"/>
      <c r="AM3250" s="933"/>
      <c r="AN3250" s="1100"/>
      <c r="AO3250" s="1100"/>
      <c r="AP3250" s="934"/>
      <c r="AQ3250" s="934"/>
      <c r="AR3250" s="934"/>
      <c r="AS3250" s="936"/>
      <c r="AT3250" s="936"/>
      <c r="AU3250" s="936"/>
      <c r="AV3250" s="937"/>
      <c r="AW3250" s="938"/>
      <c r="AX3250" s="939"/>
      <c r="AY3250" s="933"/>
      <c r="AZ3250" s="936"/>
      <c r="BA3250" s="936"/>
      <c r="BB3250" s="1112"/>
      <c r="BC3250" s="940"/>
      <c r="BD3250" s="941"/>
      <c r="BE3250" s="942"/>
      <c r="BF3250" s="943"/>
      <c r="BG3250" s="943"/>
      <c r="BH3250" s="943"/>
      <c r="BI3250" s="943"/>
      <c r="BJ3250" s="943"/>
      <c r="BK3250" s="943"/>
      <c r="BL3250" s="943"/>
      <c r="BM3250" s="943"/>
      <c r="BN3250" s="943"/>
      <c r="BO3250" s="1059"/>
      <c r="BP3250" s="1059"/>
      <c r="BQ3250" s="1059"/>
      <c r="BR3250" s="1059"/>
      <c r="BS3250" s="1059"/>
      <c r="BT3250" s="1059"/>
      <c r="BU3250" s="1059"/>
      <c r="BV3250" s="944"/>
      <c r="BW3250" s="944"/>
      <c r="BX3250" s="1147"/>
      <c r="BY3250" s="944"/>
      <c r="BZ3250" s="944"/>
      <c r="CA3250" s="944"/>
      <c r="CB3250" s="944"/>
    </row>
    <row r="3251" spans="2:80">
      <c r="B3251" s="1097"/>
      <c r="C3251" s="1097"/>
      <c r="D3251" s="1097"/>
      <c r="E3251" s="1097"/>
      <c r="F3251" s="934"/>
      <c r="G3251" s="1098"/>
      <c r="H3251" s="1099"/>
      <c r="I3251" s="1099"/>
      <c r="J3251" s="934"/>
      <c r="K3251" s="934"/>
      <c r="L3251" s="933"/>
      <c r="M3251" s="1100"/>
      <c r="N3251" s="934"/>
      <c r="O3251" s="936"/>
      <c r="P3251" s="936"/>
      <c r="Q3251" s="933"/>
      <c r="T3251" s="1101"/>
      <c r="U3251" s="1102"/>
      <c r="V3251" s="936"/>
      <c r="W3251" s="1103"/>
      <c r="X3251" s="1104"/>
      <c r="Y3251" s="1105"/>
      <c r="Z3251" s="1103"/>
      <c r="AC3251" s="1106"/>
      <c r="AD3251" s="1107"/>
      <c r="AE3251" s="1104"/>
      <c r="AG3251" s="1109"/>
      <c r="AI3251" s="1110"/>
      <c r="AL3251" s="933"/>
      <c r="AM3251" s="933"/>
      <c r="AN3251" s="1100"/>
      <c r="AO3251" s="1100"/>
      <c r="AP3251" s="934"/>
      <c r="AQ3251" s="934"/>
      <c r="AR3251" s="934"/>
      <c r="AS3251" s="936"/>
      <c r="AT3251" s="936"/>
      <c r="AU3251" s="936"/>
      <c r="AV3251" s="937"/>
      <c r="AW3251" s="938"/>
      <c r="AX3251" s="939"/>
      <c r="AY3251" s="933"/>
      <c r="AZ3251" s="936"/>
      <c r="BA3251" s="936"/>
      <c r="BB3251" s="1112"/>
      <c r="BC3251" s="940"/>
      <c r="BD3251" s="941"/>
      <c r="BE3251" s="942"/>
      <c r="BF3251" s="943"/>
      <c r="BG3251" s="943"/>
      <c r="BH3251" s="943"/>
      <c r="BI3251" s="943"/>
      <c r="BJ3251" s="943"/>
      <c r="BK3251" s="943"/>
      <c r="BL3251" s="943"/>
      <c r="BM3251" s="943"/>
      <c r="BN3251" s="943"/>
      <c r="BO3251" s="1059"/>
      <c r="BP3251" s="1059"/>
      <c r="BQ3251" s="1059"/>
      <c r="BR3251" s="1059"/>
      <c r="BS3251" s="1059"/>
      <c r="BT3251" s="1059"/>
      <c r="BU3251" s="1059"/>
      <c r="BV3251" s="944"/>
      <c r="BW3251" s="944"/>
      <c r="BX3251" s="1147"/>
      <c r="BY3251" s="944"/>
      <c r="BZ3251" s="944"/>
      <c r="CA3251" s="944"/>
      <c r="CB3251" s="944"/>
    </row>
    <row r="3252" spans="2:80">
      <c r="B3252" s="1097"/>
      <c r="C3252" s="1097"/>
      <c r="D3252" s="1097"/>
      <c r="E3252" s="1097"/>
      <c r="F3252" s="934"/>
      <c r="G3252" s="1098"/>
      <c r="H3252" s="1099"/>
      <c r="I3252" s="1099"/>
      <c r="J3252" s="934"/>
      <c r="K3252" s="934"/>
      <c r="L3252" s="933"/>
      <c r="M3252" s="1100"/>
      <c r="N3252" s="934"/>
      <c r="O3252" s="936"/>
      <c r="P3252" s="936"/>
      <c r="Q3252" s="933"/>
      <c r="T3252" s="1101"/>
      <c r="U3252" s="1102"/>
      <c r="V3252" s="936"/>
      <c r="W3252" s="1103"/>
      <c r="X3252" s="1104"/>
      <c r="Y3252" s="1105"/>
      <c r="Z3252" s="1103"/>
      <c r="AC3252" s="1106"/>
      <c r="AD3252" s="1107"/>
      <c r="AE3252" s="1104"/>
      <c r="AG3252" s="1109"/>
      <c r="AI3252" s="1110"/>
      <c r="AL3252" s="933"/>
      <c r="AM3252" s="933"/>
      <c r="AN3252" s="1100"/>
      <c r="AO3252" s="1100"/>
      <c r="AP3252" s="934"/>
      <c r="AQ3252" s="934"/>
      <c r="AR3252" s="934"/>
      <c r="AS3252" s="936"/>
      <c r="AT3252" s="936"/>
      <c r="AU3252" s="936"/>
      <c r="AV3252" s="937"/>
      <c r="AW3252" s="938"/>
      <c r="AX3252" s="939"/>
      <c r="AY3252" s="933"/>
      <c r="AZ3252" s="936"/>
      <c r="BA3252" s="936"/>
      <c r="BB3252" s="1112"/>
      <c r="BC3252" s="940"/>
      <c r="BD3252" s="941"/>
      <c r="BE3252" s="942"/>
      <c r="BF3252" s="943"/>
      <c r="BG3252" s="943"/>
      <c r="BH3252" s="943"/>
      <c r="BI3252" s="943"/>
      <c r="BJ3252" s="943"/>
      <c r="BK3252" s="943"/>
      <c r="BL3252" s="943"/>
      <c r="BM3252" s="943"/>
      <c r="BN3252" s="943"/>
      <c r="BO3252" s="1059"/>
      <c r="BP3252" s="1059"/>
      <c r="BQ3252" s="1059"/>
      <c r="BR3252" s="1059"/>
      <c r="BS3252" s="1059"/>
      <c r="BT3252" s="1059"/>
      <c r="BU3252" s="1059"/>
      <c r="BV3252" s="944"/>
      <c r="BW3252" s="944"/>
      <c r="BX3252" s="1147"/>
      <c r="BY3252" s="944"/>
      <c r="BZ3252" s="944"/>
      <c r="CA3252" s="944"/>
      <c r="CB3252" s="944"/>
    </row>
    <row r="3253" spans="2:80">
      <c r="B3253" s="1097"/>
      <c r="C3253" s="1097"/>
      <c r="D3253" s="1097"/>
      <c r="E3253" s="1097"/>
      <c r="F3253" s="934"/>
      <c r="G3253" s="1098"/>
      <c r="H3253" s="1099"/>
      <c r="I3253" s="1099"/>
      <c r="J3253" s="934"/>
      <c r="K3253" s="934"/>
      <c r="L3253" s="933"/>
      <c r="M3253" s="1100"/>
      <c r="N3253" s="934"/>
      <c r="O3253" s="936"/>
      <c r="P3253" s="936"/>
      <c r="Q3253" s="933"/>
      <c r="T3253" s="1101"/>
      <c r="U3253" s="1102"/>
      <c r="V3253" s="936"/>
      <c r="W3253" s="1103"/>
      <c r="X3253" s="1104"/>
      <c r="Y3253" s="1105"/>
      <c r="Z3253" s="1103"/>
      <c r="AC3253" s="1106"/>
      <c r="AD3253" s="1107"/>
      <c r="AE3253" s="1104"/>
      <c r="AG3253" s="1109"/>
      <c r="AI3253" s="1110"/>
      <c r="AL3253" s="933"/>
      <c r="AM3253" s="933"/>
      <c r="AN3253" s="1100"/>
      <c r="AO3253" s="1100"/>
      <c r="AP3253" s="934"/>
      <c r="AQ3253" s="934"/>
      <c r="AR3253" s="934"/>
      <c r="AS3253" s="936"/>
      <c r="AT3253" s="936"/>
      <c r="AU3253" s="936"/>
      <c r="AV3253" s="937"/>
      <c r="AW3253" s="938"/>
      <c r="AX3253" s="939"/>
      <c r="AY3253" s="933"/>
      <c r="AZ3253" s="936"/>
      <c r="BA3253" s="936"/>
      <c r="BB3253" s="1112"/>
      <c r="BC3253" s="940"/>
      <c r="BD3253" s="941"/>
      <c r="BE3253" s="942"/>
      <c r="BF3253" s="943"/>
      <c r="BG3253" s="943"/>
      <c r="BH3253" s="943"/>
      <c r="BI3253" s="943"/>
      <c r="BJ3253" s="943"/>
      <c r="BK3253" s="943"/>
      <c r="BL3253" s="943"/>
      <c r="BM3253" s="943"/>
      <c r="BN3253" s="943"/>
      <c r="BO3253" s="1059"/>
      <c r="BP3253" s="1059"/>
      <c r="BQ3253" s="1059"/>
      <c r="BR3253" s="1059"/>
      <c r="BS3253" s="1059"/>
      <c r="BT3253" s="1059"/>
      <c r="BU3253" s="1059"/>
      <c r="BV3253" s="944"/>
      <c r="BW3253" s="944"/>
      <c r="BX3253" s="1147"/>
      <c r="BY3253" s="944"/>
      <c r="BZ3253" s="944"/>
      <c r="CA3253" s="944"/>
      <c r="CB3253" s="944"/>
    </row>
    <row r="3254" spans="2:80">
      <c r="B3254" s="1097"/>
      <c r="C3254" s="1097"/>
      <c r="D3254" s="1097"/>
      <c r="E3254" s="1097"/>
      <c r="F3254" s="934"/>
      <c r="G3254" s="1098"/>
      <c r="H3254" s="1099"/>
      <c r="I3254" s="1099"/>
      <c r="J3254" s="934"/>
      <c r="K3254" s="934"/>
      <c r="L3254" s="933"/>
      <c r="M3254" s="1100"/>
      <c r="N3254" s="934"/>
      <c r="O3254" s="936"/>
      <c r="P3254" s="936"/>
      <c r="Q3254" s="933"/>
      <c r="T3254" s="1101"/>
      <c r="U3254" s="1102"/>
      <c r="V3254" s="936"/>
      <c r="W3254" s="1103"/>
      <c r="X3254" s="1104"/>
      <c r="Y3254" s="1105"/>
      <c r="Z3254" s="1103"/>
      <c r="AC3254" s="1106"/>
      <c r="AD3254" s="1107"/>
      <c r="AE3254" s="1104"/>
      <c r="AG3254" s="1109"/>
      <c r="AI3254" s="1110"/>
      <c r="AL3254" s="933"/>
      <c r="AM3254" s="933"/>
      <c r="AN3254" s="1100"/>
      <c r="AO3254" s="1100"/>
      <c r="AP3254" s="934"/>
      <c r="AQ3254" s="934"/>
      <c r="AR3254" s="934"/>
      <c r="AS3254" s="936"/>
      <c r="AT3254" s="936"/>
      <c r="AU3254" s="936"/>
      <c r="AV3254" s="937"/>
      <c r="AW3254" s="938"/>
      <c r="AX3254" s="939"/>
      <c r="AY3254" s="933"/>
      <c r="AZ3254" s="936"/>
      <c r="BA3254" s="936"/>
      <c r="BB3254" s="1112"/>
      <c r="BC3254" s="940"/>
      <c r="BD3254" s="941"/>
      <c r="BE3254" s="942"/>
      <c r="BF3254" s="943"/>
      <c r="BG3254" s="943"/>
      <c r="BH3254" s="943"/>
      <c r="BI3254" s="943"/>
      <c r="BJ3254" s="943"/>
      <c r="BK3254" s="943"/>
      <c r="BL3254" s="943"/>
      <c r="BM3254" s="943"/>
      <c r="BN3254" s="943"/>
      <c r="BO3254" s="1059"/>
      <c r="BP3254" s="1059"/>
      <c r="BQ3254" s="1059"/>
      <c r="BR3254" s="1059"/>
      <c r="BS3254" s="1059"/>
      <c r="BT3254" s="1059"/>
      <c r="BU3254" s="1059"/>
      <c r="BV3254" s="944"/>
      <c r="BW3254" s="944"/>
      <c r="BX3254" s="1147"/>
      <c r="BY3254" s="944"/>
      <c r="BZ3254" s="944"/>
      <c r="CA3254" s="944"/>
      <c r="CB3254" s="944"/>
    </row>
    <row r="3255" spans="2:80">
      <c r="B3255" s="1097"/>
      <c r="C3255" s="1097"/>
      <c r="D3255" s="1097"/>
      <c r="E3255" s="1097"/>
      <c r="F3255" s="934"/>
      <c r="G3255" s="1098"/>
      <c r="H3255" s="1099"/>
      <c r="I3255" s="1099"/>
      <c r="J3255" s="934"/>
      <c r="K3255" s="934"/>
      <c r="L3255" s="933"/>
      <c r="M3255" s="1100"/>
      <c r="N3255" s="934"/>
      <c r="O3255" s="936"/>
      <c r="P3255" s="936"/>
      <c r="Q3255" s="933"/>
      <c r="T3255" s="1101"/>
      <c r="U3255" s="1102"/>
      <c r="V3255" s="936"/>
      <c r="W3255" s="1103"/>
      <c r="X3255" s="1104"/>
      <c r="Y3255" s="1105"/>
      <c r="Z3255" s="1103"/>
      <c r="AC3255" s="1106"/>
      <c r="AD3255" s="1107"/>
      <c r="AE3255" s="1104"/>
      <c r="AG3255" s="1109"/>
      <c r="AI3255" s="1110"/>
      <c r="AL3255" s="933"/>
      <c r="AM3255" s="933"/>
      <c r="AN3255" s="1100"/>
      <c r="AO3255" s="1100"/>
      <c r="AP3255" s="934"/>
      <c r="AQ3255" s="934"/>
      <c r="AR3255" s="934"/>
      <c r="AS3255" s="936"/>
      <c r="AT3255" s="936"/>
      <c r="AU3255" s="936"/>
      <c r="AV3255" s="937"/>
      <c r="AW3255" s="938"/>
      <c r="AX3255" s="939"/>
      <c r="AY3255" s="933"/>
      <c r="AZ3255" s="936"/>
      <c r="BA3255" s="936"/>
      <c r="BB3255" s="1112"/>
      <c r="BC3255" s="940"/>
      <c r="BD3255" s="941"/>
      <c r="BE3255" s="942"/>
      <c r="BF3255" s="943"/>
      <c r="BG3255" s="943"/>
      <c r="BH3255" s="943"/>
      <c r="BI3255" s="943"/>
      <c r="BJ3255" s="943"/>
      <c r="BK3255" s="943"/>
      <c r="BL3255" s="943"/>
      <c r="BM3255" s="943"/>
      <c r="BN3255" s="943"/>
      <c r="BO3255" s="1059"/>
      <c r="BP3255" s="1059"/>
      <c r="BQ3255" s="1059"/>
      <c r="BR3255" s="1059"/>
      <c r="BS3255" s="1059"/>
      <c r="BT3255" s="1059"/>
      <c r="BU3255" s="1059"/>
      <c r="BV3255" s="944"/>
      <c r="BW3255" s="944"/>
      <c r="BX3255" s="1147"/>
      <c r="BY3255" s="944"/>
      <c r="BZ3255" s="944"/>
      <c r="CA3255" s="944"/>
      <c r="CB3255" s="944"/>
    </row>
    <row r="3256" spans="2:80">
      <c r="B3256" s="1097"/>
      <c r="C3256" s="1097"/>
      <c r="D3256" s="1097"/>
      <c r="E3256" s="1097"/>
      <c r="F3256" s="934"/>
      <c r="G3256" s="1098"/>
      <c r="H3256" s="1099"/>
      <c r="I3256" s="1099"/>
      <c r="J3256" s="934"/>
      <c r="K3256" s="934"/>
      <c r="L3256" s="933"/>
      <c r="M3256" s="1100"/>
      <c r="N3256" s="934"/>
      <c r="O3256" s="936"/>
      <c r="P3256" s="936"/>
      <c r="Q3256" s="933"/>
      <c r="T3256" s="1101"/>
      <c r="U3256" s="1102"/>
      <c r="V3256" s="936"/>
      <c r="W3256" s="1103"/>
      <c r="X3256" s="1104"/>
      <c r="Y3256" s="1105"/>
      <c r="Z3256" s="1103"/>
      <c r="AC3256" s="1106"/>
      <c r="AD3256" s="1107"/>
      <c r="AE3256" s="1104"/>
      <c r="AG3256" s="1109"/>
      <c r="AI3256" s="1110"/>
      <c r="AL3256" s="933"/>
      <c r="AM3256" s="933"/>
      <c r="AN3256" s="1100"/>
      <c r="AO3256" s="1100"/>
      <c r="AP3256" s="934"/>
      <c r="AQ3256" s="934"/>
      <c r="AR3256" s="934"/>
      <c r="AS3256" s="936"/>
      <c r="AT3256" s="936"/>
      <c r="AU3256" s="936"/>
      <c r="AV3256" s="937"/>
      <c r="AW3256" s="938"/>
      <c r="AX3256" s="939"/>
      <c r="AY3256" s="933"/>
      <c r="AZ3256" s="936"/>
      <c r="BA3256" s="936"/>
      <c r="BB3256" s="1112"/>
      <c r="BC3256" s="940"/>
      <c r="BD3256" s="941"/>
      <c r="BE3256" s="942"/>
      <c r="BF3256" s="943"/>
      <c r="BG3256" s="943"/>
      <c r="BH3256" s="943"/>
      <c r="BI3256" s="943"/>
      <c r="BJ3256" s="943"/>
      <c r="BK3256" s="943"/>
      <c r="BL3256" s="943"/>
      <c r="BM3256" s="943"/>
      <c r="BN3256" s="943"/>
      <c r="BO3256" s="1059"/>
      <c r="BP3256" s="1059"/>
      <c r="BQ3256" s="1059"/>
      <c r="BR3256" s="1059"/>
      <c r="BS3256" s="1059"/>
      <c r="BT3256" s="1059"/>
      <c r="BU3256" s="1059"/>
      <c r="BV3256" s="944"/>
      <c r="BW3256" s="944"/>
      <c r="BX3256" s="1147"/>
      <c r="BY3256" s="944"/>
      <c r="BZ3256" s="944"/>
      <c r="CA3256" s="944"/>
      <c r="CB3256" s="944"/>
    </row>
    <row r="3257" spans="2:80">
      <c r="B3257" s="1097"/>
      <c r="C3257" s="1097"/>
      <c r="D3257" s="1097"/>
      <c r="E3257" s="1097"/>
      <c r="F3257" s="934"/>
      <c r="G3257" s="1098"/>
      <c r="H3257" s="1099"/>
      <c r="I3257" s="1099"/>
      <c r="J3257" s="934"/>
      <c r="K3257" s="934"/>
      <c r="L3257" s="933"/>
      <c r="M3257" s="1100"/>
      <c r="N3257" s="934"/>
      <c r="O3257" s="936"/>
      <c r="P3257" s="936"/>
      <c r="Q3257" s="933"/>
      <c r="T3257" s="1101"/>
      <c r="U3257" s="1102"/>
      <c r="V3257" s="936"/>
      <c r="W3257" s="1103"/>
      <c r="X3257" s="1104"/>
      <c r="Y3257" s="1105"/>
      <c r="Z3257" s="1103"/>
      <c r="AC3257" s="1106"/>
      <c r="AD3257" s="1107"/>
      <c r="AE3257" s="1104"/>
      <c r="AG3257" s="1109"/>
      <c r="AI3257" s="1110"/>
      <c r="AL3257" s="933"/>
      <c r="AM3257" s="933"/>
      <c r="AN3257" s="1100"/>
      <c r="AO3257" s="1100"/>
      <c r="AP3257" s="934"/>
      <c r="AQ3257" s="934"/>
      <c r="AR3257" s="934"/>
      <c r="AS3257" s="936"/>
      <c r="AT3257" s="936"/>
      <c r="AU3257" s="936"/>
      <c r="AV3257" s="937"/>
      <c r="AW3257" s="938"/>
      <c r="AX3257" s="939"/>
      <c r="AY3257" s="933"/>
      <c r="AZ3257" s="936"/>
      <c r="BA3257" s="936"/>
      <c r="BB3257" s="1112"/>
      <c r="BC3257" s="940"/>
      <c r="BD3257" s="941"/>
      <c r="BE3257" s="942"/>
      <c r="BF3257" s="943"/>
      <c r="BG3257" s="943"/>
      <c r="BH3257" s="943"/>
      <c r="BI3257" s="943"/>
      <c r="BJ3257" s="943"/>
      <c r="BK3257" s="943"/>
      <c r="BL3257" s="943"/>
      <c r="BM3257" s="943"/>
      <c r="BN3257" s="943"/>
      <c r="BO3257" s="1059"/>
      <c r="BP3257" s="1059"/>
      <c r="BQ3257" s="1059"/>
      <c r="BR3257" s="1059"/>
      <c r="BS3257" s="1059"/>
      <c r="BT3257" s="1059"/>
      <c r="BU3257" s="1059"/>
      <c r="BV3257" s="944"/>
      <c r="BW3257" s="944"/>
      <c r="BX3257" s="1147"/>
      <c r="BY3257" s="944"/>
      <c r="BZ3257" s="944"/>
      <c r="CA3257" s="944"/>
      <c r="CB3257" s="944"/>
    </row>
    <row r="3258" spans="2:80">
      <c r="B3258" s="1097"/>
      <c r="C3258" s="1097"/>
      <c r="D3258" s="1097"/>
      <c r="E3258" s="1097"/>
      <c r="F3258" s="934"/>
      <c r="G3258" s="1098"/>
      <c r="H3258" s="1099"/>
      <c r="I3258" s="1099"/>
      <c r="J3258" s="934"/>
      <c r="K3258" s="934"/>
      <c r="L3258" s="933"/>
      <c r="M3258" s="1100"/>
      <c r="N3258" s="934"/>
      <c r="O3258" s="936"/>
      <c r="P3258" s="936"/>
      <c r="Q3258" s="933"/>
      <c r="T3258" s="1101"/>
      <c r="U3258" s="1102"/>
      <c r="V3258" s="936"/>
      <c r="W3258" s="1103"/>
      <c r="X3258" s="1104"/>
      <c r="Y3258" s="1105"/>
      <c r="Z3258" s="1103"/>
      <c r="AC3258" s="1106"/>
      <c r="AD3258" s="1107"/>
      <c r="AE3258" s="1104"/>
      <c r="AG3258" s="1109"/>
      <c r="AI3258" s="1110"/>
      <c r="AL3258" s="933"/>
      <c r="AM3258" s="933"/>
      <c r="AN3258" s="1100"/>
      <c r="AO3258" s="1100"/>
      <c r="AP3258" s="934"/>
      <c r="AQ3258" s="934"/>
      <c r="AR3258" s="934"/>
      <c r="AS3258" s="936"/>
      <c r="AT3258" s="936"/>
      <c r="AU3258" s="936"/>
      <c r="AV3258" s="937"/>
      <c r="AW3258" s="938"/>
      <c r="AX3258" s="939"/>
      <c r="AY3258" s="933"/>
      <c r="AZ3258" s="936"/>
      <c r="BA3258" s="936"/>
      <c r="BB3258" s="1112"/>
      <c r="BC3258" s="940"/>
      <c r="BD3258" s="941"/>
      <c r="BE3258" s="942"/>
      <c r="BF3258" s="943"/>
      <c r="BG3258" s="943"/>
      <c r="BH3258" s="943"/>
      <c r="BI3258" s="943"/>
      <c r="BJ3258" s="943"/>
      <c r="BK3258" s="943"/>
      <c r="BL3258" s="943"/>
      <c r="BM3258" s="943"/>
      <c r="BN3258" s="943"/>
      <c r="BO3258" s="1059"/>
      <c r="BP3258" s="1059"/>
      <c r="BQ3258" s="1059"/>
      <c r="BR3258" s="1059"/>
      <c r="BS3258" s="1059"/>
      <c r="BT3258" s="1059"/>
      <c r="BU3258" s="1059"/>
      <c r="BV3258" s="944"/>
      <c r="BW3258" s="944"/>
      <c r="BX3258" s="1147"/>
      <c r="BY3258" s="944"/>
      <c r="BZ3258" s="944"/>
      <c r="CA3258" s="944"/>
      <c r="CB3258" s="944"/>
    </row>
    <row r="3259" spans="2:80">
      <c r="B3259" s="1097"/>
      <c r="C3259" s="1097"/>
      <c r="D3259" s="1097"/>
      <c r="E3259" s="1097"/>
      <c r="F3259" s="934"/>
      <c r="G3259" s="1098"/>
      <c r="H3259" s="1099"/>
      <c r="I3259" s="1099"/>
      <c r="J3259" s="934"/>
      <c r="K3259" s="934"/>
      <c r="L3259" s="933"/>
      <c r="M3259" s="1100"/>
      <c r="N3259" s="934"/>
      <c r="O3259" s="936"/>
      <c r="P3259" s="936"/>
      <c r="Q3259" s="933"/>
      <c r="T3259" s="1101"/>
      <c r="U3259" s="1102"/>
      <c r="V3259" s="936"/>
      <c r="W3259" s="1103"/>
      <c r="X3259" s="1104"/>
      <c r="Y3259" s="1105"/>
      <c r="Z3259" s="1103"/>
      <c r="AC3259" s="1106"/>
      <c r="AD3259" s="1107"/>
      <c r="AE3259" s="1104"/>
      <c r="AG3259" s="1109"/>
      <c r="AI3259" s="1110"/>
      <c r="AL3259" s="933"/>
      <c r="AM3259" s="933"/>
      <c r="AN3259" s="1100"/>
      <c r="AO3259" s="1100"/>
      <c r="AP3259" s="934"/>
      <c r="AQ3259" s="934"/>
      <c r="AR3259" s="934"/>
      <c r="AS3259" s="936"/>
      <c r="AT3259" s="936"/>
      <c r="AU3259" s="936"/>
      <c r="AV3259" s="937"/>
      <c r="AW3259" s="938"/>
      <c r="AX3259" s="939"/>
      <c r="AY3259" s="933"/>
      <c r="AZ3259" s="936"/>
      <c r="BA3259" s="936"/>
      <c r="BB3259" s="1112"/>
      <c r="BC3259" s="940"/>
      <c r="BD3259" s="941"/>
      <c r="BE3259" s="942"/>
      <c r="BF3259" s="943"/>
      <c r="BG3259" s="943"/>
      <c r="BH3259" s="943"/>
      <c r="BI3259" s="943"/>
      <c r="BJ3259" s="943"/>
      <c r="BK3259" s="943"/>
      <c r="BL3259" s="943"/>
      <c r="BM3259" s="943"/>
      <c r="BN3259" s="943"/>
      <c r="BO3259" s="1059"/>
      <c r="BP3259" s="1059"/>
      <c r="BQ3259" s="1059"/>
      <c r="BR3259" s="1059"/>
      <c r="BS3259" s="1059"/>
      <c r="BT3259" s="1059"/>
      <c r="BU3259" s="1059"/>
      <c r="BV3259" s="944"/>
      <c r="BW3259" s="944"/>
      <c r="BX3259" s="1147"/>
      <c r="BY3259" s="944"/>
      <c r="BZ3259" s="944"/>
      <c r="CA3259" s="944"/>
      <c r="CB3259" s="944"/>
    </row>
    <row r="3260" spans="2:80">
      <c r="B3260" s="1097"/>
      <c r="C3260" s="1097"/>
      <c r="D3260" s="1097"/>
      <c r="E3260" s="1097"/>
      <c r="F3260" s="934"/>
      <c r="G3260" s="1098"/>
      <c r="H3260" s="1099"/>
      <c r="I3260" s="1099"/>
      <c r="J3260" s="934"/>
      <c r="K3260" s="934"/>
      <c r="L3260" s="933"/>
      <c r="M3260" s="1100"/>
      <c r="N3260" s="934"/>
      <c r="O3260" s="936"/>
      <c r="P3260" s="936"/>
      <c r="Q3260" s="933"/>
      <c r="T3260" s="1101"/>
      <c r="U3260" s="1102"/>
      <c r="V3260" s="936"/>
      <c r="W3260" s="1103"/>
      <c r="X3260" s="1104"/>
      <c r="Y3260" s="1105"/>
      <c r="Z3260" s="1103"/>
      <c r="AC3260" s="1106"/>
      <c r="AD3260" s="1107"/>
      <c r="AE3260" s="1104"/>
      <c r="AG3260" s="1109"/>
      <c r="AI3260" s="1110"/>
      <c r="AL3260" s="933"/>
      <c r="AM3260" s="933"/>
      <c r="AN3260" s="1100"/>
      <c r="AO3260" s="1100"/>
      <c r="AP3260" s="934"/>
      <c r="AQ3260" s="934"/>
      <c r="AR3260" s="934"/>
      <c r="AS3260" s="936"/>
      <c r="AT3260" s="936"/>
      <c r="AU3260" s="936"/>
      <c r="AV3260" s="937"/>
      <c r="AW3260" s="938"/>
      <c r="AX3260" s="939"/>
      <c r="AY3260" s="933"/>
      <c r="AZ3260" s="936"/>
      <c r="BA3260" s="936"/>
      <c r="BB3260" s="1112"/>
      <c r="BC3260" s="940"/>
      <c r="BD3260" s="941"/>
      <c r="BE3260" s="942"/>
      <c r="BF3260" s="943"/>
      <c r="BG3260" s="943"/>
      <c r="BH3260" s="943"/>
      <c r="BI3260" s="943"/>
      <c r="BJ3260" s="943"/>
      <c r="BK3260" s="943"/>
      <c r="BL3260" s="943"/>
      <c r="BM3260" s="943"/>
      <c r="BN3260" s="943"/>
      <c r="BO3260" s="1059"/>
      <c r="BP3260" s="1059"/>
      <c r="BQ3260" s="1059"/>
      <c r="BR3260" s="1059"/>
      <c r="BS3260" s="1059"/>
      <c r="BT3260" s="1059"/>
      <c r="BU3260" s="1059"/>
      <c r="BV3260" s="944"/>
      <c r="BW3260" s="944"/>
      <c r="BX3260" s="1147"/>
      <c r="BY3260" s="944"/>
      <c r="BZ3260" s="944"/>
      <c r="CA3260" s="944"/>
      <c r="CB3260" s="944"/>
    </row>
    <row r="3261" spans="2:80">
      <c r="B3261" s="1097"/>
      <c r="C3261" s="1097"/>
      <c r="D3261" s="1097"/>
      <c r="E3261" s="1097"/>
      <c r="F3261" s="934"/>
      <c r="G3261" s="1098"/>
      <c r="H3261" s="1099"/>
      <c r="I3261" s="1099"/>
      <c r="J3261" s="934"/>
      <c r="K3261" s="934"/>
      <c r="L3261" s="933"/>
      <c r="M3261" s="1100"/>
      <c r="N3261" s="934"/>
      <c r="O3261" s="936"/>
      <c r="P3261" s="936"/>
      <c r="Q3261" s="933"/>
      <c r="T3261" s="1101"/>
      <c r="U3261" s="1102"/>
      <c r="V3261" s="936"/>
      <c r="W3261" s="1103"/>
      <c r="X3261" s="1104"/>
      <c r="Y3261" s="1105"/>
      <c r="Z3261" s="1103"/>
      <c r="AC3261" s="1106"/>
      <c r="AD3261" s="1107"/>
      <c r="AE3261" s="1104"/>
      <c r="AG3261" s="1109"/>
      <c r="AI3261" s="1110"/>
      <c r="AL3261" s="933"/>
      <c r="AM3261" s="933"/>
      <c r="AN3261" s="1100"/>
      <c r="AO3261" s="1100"/>
      <c r="AP3261" s="934"/>
      <c r="AQ3261" s="934"/>
      <c r="AR3261" s="934"/>
      <c r="AS3261" s="936"/>
      <c r="AT3261" s="936"/>
      <c r="AU3261" s="936"/>
      <c r="AV3261" s="937"/>
      <c r="AW3261" s="938"/>
      <c r="AX3261" s="939"/>
      <c r="AY3261" s="933"/>
      <c r="AZ3261" s="936"/>
      <c r="BA3261" s="936"/>
      <c r="BB3261" s="1112"/>
      <c r="BC3261" s="940"/>
      <c r="BD3261" s="941"/>
      <c r="BE3261" s="942"/>
      <c r="BF3261" s="943"/>
      <c r="BG3261" s="943"/>
      <c r="BH3261" s="943"/>
      <c r="BI3261" s="943"/>
      <c r="BJ3261" s="943"/>
      <c r="BK3261" s="943"/>
      <c r="BL3261" s="943"/>
      <c r="BM3261" s="943"/>
      <c r="BN3261" s="943"/>
      <c r="BO3261" s="1059"/>
      <c r="BP3261" s="1059"/>
      <c r="BQ3261" s="1059"/>
      <c r="BR3261" s="1059"/>
      <c r="BS3261" s="1059"/>
      <c r="BT3261" s="1059"/>
      <c r="BU3261" s="1059"/>
      <c r="BV3261" s="944"/>
      <c r="BW3261" s="944"/>
      <c r="BX3261" s="1147"/>
      <c r="BY3261" s="944"/>
      <c r="BZ3261" s="944"/>
      <c r="CA3261" s="944"/>
      <c r="CB3261" s="944"/>
    </row>
    <row r="3262" spans="2:80">
      <c r="B3262" s="1097"/>
      <c r="C3262" s="1097"/>
      <c r="D3262" s="1097"/>
      <c r="E3262" s="1097"/>
      <c r="F3262" s="934"/>
      <c r="G3262" s="1098"/>
      <c r="H3262" s="1099"/>
      <c r="I3262" s="1099"/>
      <c r="J3262" s="934"/>
      <c r="K3262" s="934"/>
      <c r="L3262" s="933"/>
      <c r="M3262" s="1100"/>
      <c r="N3262" s="934"/>
      <c r="O3262" s="936"/>
      <c r="P3262" s="936"/>
      <c r="Q3262" s="933"/>
      <c r="T3262" s="1101"/>
      <c r="U3262" s="1102"/>
      <c r="V3262" s="936"/>
      <c r="W3262" s="1103"/>
      <c r="X3262" s="1104"/>
      <c r="Y3262" s="1105"/>
      <c r="Z3262" s="1103"/>
      <c r="AC3262" s="1106"/>
      <c r="AD3262" s="1107"/>
      <c r="AE3262" s="1104"/>
      <c r="AG3262" s="1109"/>
      <c r="AI3262" s="1110"/>
      <c r="AL3262" s="933"/>
      <c r="AM3262" s="933"/>
      <c r="AN3262" s="1100"/>
      <c r="AO3262" s="1100"/>
      <c r="AP3262" s="934"/>
      <c r="AQ3262" s="934"/>
      <c r="AR3262" s="934"/>
      <c r="AS3262" s="936"/>
      <c r="AT3262" s="936"/>
      <c r="AU3262" s="936"/>
      <c r="AV3262" s="937"/>
      <c r="AW3262" s="938"/>
      <c r="AX3262" s="939"/>
      <c r="AY3262" s="933"/>
      <c r="AZ3262" s="936"/>
      <c r="BA3262" s="936"/>
      <c r="BB3262" s="1112"/>
      <c r="BC3262" s="940"/>
      <c r="BD3262" s="941"/>
      <c r="BE3262" s="942"/>
      <c r="BF3262" s="943"/>
      <c r="BG3262" s="943"/>
      <c r="BH3262" s="943"/>
      <c r="BI3262" s="943"/>
      <c r="BJ3262" s="943"/>
      <c r="BK3262" s="943"/>
      <c r="BL3262" s="943"/>
      <c r="BM3262" s="943"/>
      <c r="BN3262" s="943"/>
      <c r="BO3262" s="1059"/>
      <c r="BP3262" s="1059"/>
      <c r="BQ3262" s="1059"/>
      <c r="BR3262" s="1059"/>
      <c r="BS3262" s="1059"/>
      <c r="BT3262" s="1059"/>
      <c r="BU3262" s="1059"/>
      <c r="BV3262" s="944"/>
      <c r="BW3262" s="944"/>
      <c r="BX3262" s="1147"/>
      <c r="BY3262" s="944"/>
      <c r="BZ3262" s="944"/>
      <c r="CA3262" s="944"/>
      <c r="CB3262" s="944"/>
    </row>
    <row r="3263" spans="2:80">
      <c r="B3263" s="1097"/>
      <c r="C3263" s="1097"/>
      <c r="D3263" s="1097"/>
      <c r="E3263" s="1097"/>
      <c r="F3263" s="934"/>
      <c r="G3263" s="1098"/>
      <c r="H3263" s="1099"/>
      <c r="I3263" s="1099"/>
      <c r="J3263" s="934"/>
      <c r="K3263" s="934"/>
      <c r="L3263" s="933"/>
      <c r="M3263" s="1100"/>
      <c r="N3263" s="934"/>
      <c r="O3263" s="936"/>
      <c r="P3263" s="936"/>
      <c r="Q3263" s="933"/>
      <c r="T3263" s="1101"/>
      <c r="U3263" s="1102"/>
      <c r="V3263" s="936"/>
      <c r="W3263" s="1103"/>
      <c r="X3263" s="1104"/>
      <c r="Y3263" s="1105"/>
      <c r="Z3263" s="1103"/>
      <c r="AC3263" s="1106"/>
      <c r="AD3263" s="1107"/>
      <c r="AE3263" s="1104"/>
      <c r="AG3263" s="1109"/>
      <c r="AI3263" s="1110"/>
      <c r="AL3263" s="933"/>
      <c r="AM3263" s="933"/>
      <c r="AN3263" s="1100"/>
      <c r="AO3263" s="1100"/>
      <c r="AP3263" s="934"/>
      <c r="AQ3263" s="934"/>
      <c r="AR3263" s="934"/>
      <c r="AS3263" s="936"/>
      <c r="AT3263" s="936"/>
      <c r="AU3263" s="936"/>
      <c r="AV3263" s="937"/>
      <c r="AW3263" s="938"/>
      <c r="AX3263" s="939"/>
      <c r="AY3263" s="933"/>
      <c r="AZ3263" s="936"/>
      <c r="BA3263" s="936"/>
      <c r="BB3263" s="1112"/>
      <c r="BC3263" s="940"/>
      <c r="BD3263" s="941"/>
      <c r="BE3263" s="942"/>
      <c r="BF3263" s="943"/>
      <c r="BG3263" s="943"/>
      <c r="BH3263" s="943"/>
      <c r="BI3263" s="943"/>
      <c r="BJ3263" s="943"/>
      <c r="BK3263" s="943"/>
      <c r="BL3263" s="943"/>
      <c r="BM3263" s="943"/>
      <c r="BN3263" s="943"/>
      <c r="BO3263" s="1059"/>
      <c r="BP3263" s="1059"/>
      <c r="BQ3263" s="1059"/>
      <c r="BR3263" s="1059"/>
      <c r="BS3263" s="1059"/>
      <c r="BT3263" s="1059"/>
      <c r="BU3263" s="1059"/>
      <c r="BV3263" s="944"/>
      <c r="BW3263" s="944"/>
      <c r="BX3263" s="1147"/>
      <c r="BY3263" s="944"/>
      <c r="BZ3263" s="944"/>
      <c r="CA3263" s="944"/>
      <c r="CB3263" s="944"/>
    </row>
    <row r="3264" spans="2:80">
      <c r="B3264" s="1097"/>
      <c r="C3264" s="1097"/>
      <c r="D3264" s="1097"/>
      <c r="E3264" s="1097"/>
      <c r="F3264" s="934"/>
      <c r="G3264" s="1098"/>
      <c r="H3264" s="1099"/>
      <c r="I3264" s="1099"/>
      <c r="J3264" s="934"/>
      <c r="K3264" s="934"/>
      <c r="L3264" s="933"/>
      <c r="M3264" s="1100"/>
      <c r="N3264" s="934"/>
      <c r="O3264" s="936"/>
      <c r="P3264" s="936"/>
      <c r="Q3264" s="933"/>
      <c r="T3264" s="1101"/>
      <c r="U3264" s="1102"/>
      <c r="V3264" s="936"/>
      <c r="W3264" s="1103"/>
      <c r="X3264" s="1104"/>
      <c r="Y3264" s="1105"/>
      <c r="Z3264" s="1103"/>
      <c r="AC3264" s="1106"/>
      <c r="AD3264" s="1107"/>
      <c r="AE3264" s="1104"/>
      <c r="AG3264" s="1109"/>
      <c r="AI3264" s="1110"/>
      <c r="AL3264" s="933"/>
      <c r="AM3264" s="933"/>
      <c r="AN3264" s="1100"/>
      <c r="AO3264" s="1100"/>
      <c r="AP3264" s="934"/>
      <c r="AQ3264" s="934"/>
      <c r="AR3264" s="934"/>
      <c r="AS3264" s="936"/>
      <c r="AT3264" s="936"/>
      <c r="AU3264" s="936"/>
      <c r="AV3264" s="937"/>
      <c r="AW3264" s="938"/>
      <c r="AX3264" s="939"/>
      <c r="AY3264" s="933"/>
      <c r="AZ3264" s="936"/>
      <c r="BA3264" s="936"/>
      <c r="BB3264" s="1112"/>
      <c r="BC3264" s="940"/>
      <c r="BD3264" s="941"/>
      <c r="BE3264" s="942"/>
      <c r="BF3264" s="943"/>
      <c r="BG3264" s="943"/>
      <c r="BH3264" s="943"/>
      <c r="BI3264" s="943"/>
      <c r="BJ3264" s="943"/>
      <c r="BK3264" s="943"/>
      <c r="BL3264" s="943"/>
      <c r="BM3264" s="943"/>
      <c r="BN3264" s="943"/>
      <c r="BO3264" s="1059"/>
      <c r="BP3264" s="1059"/>
      <c r="BQ3264" s="1059"/>
      <c r="BR3264" s="1059"/>
      <c r="BS3264" s="1059"/>
      <c r="BT3264" s="1059"/>
      <c r="BU3264" s="1059"/>
      <c r="BV3264" s="944"/>
      <c r="BW3264" s="944"/>
      <c r="BX3264" s="1147"/>
      <c r="BY3264" s="944"/>
      <c r="BZ3264" s="944"/>
      <c r="CA3264" s="944"/>
      <c r="CB3264" s="944"/>
    </row>
    <row r="3265" spans="2:80">
      <c r="B3265" s="1097"/>
      <c r="C3265" s="1097"/>
      <c r="D3265" s="1097"/>
      <c r="E3265" s="1097"/>
      <c r="F3265" s="934"/>
      <c r="G3265" s="1098"/>
      <c r="H3265" s="1099"/>
      <c r="I3265" s="1099"/>
      <c r="J3265" s="934"/>
      <c r="K3265" s="934"/>
      <c r="L3265" s="933"/>
      <c r="M3265" s="1100"/>
      <c r="N3265" s="934"/>
      <c r="O3265" s="936"/>
      <c r="P3265" s="936"/>
      <c r="Q3265" s="933"/>
      <c r="T3265" s="1101"/>
      <c r="U3265" s="1102"/>
      <c r="V3265" s="936"/>
      <c r="W3265" s="1103"/>
      <c r="X3265" s="1104"/>
      <c r="Y3265" s="1105"/>
      <c r="Z3265" s="1103"/>
      <c r="AC3265" s="1106"/>
      <c r="AD3265" s="1107"/>
      <c r="AE3265" s="1104"/>
      <c r="AG3265" s="1109"/>
      <c r="AI3265" s="1110"/>
      <c r="AL3265" s="933"/>
      <c r="AM3265" s="933"/>
      <c r="AN3265" s="1100"/>
      <c r="AO3265" s="1100"/>
      <c r="AP3265" s="934"/>
      <c r="AQ3265" s="934"/>
      <c r="AR3265" s="934"/>
      <c r="AS3265" s="936"/>
      <c r="AT3265" s="936"/>
      <c r="AU3265" s="936"/>
      <c r="AV3265" s="937"/>
      <c r="AW3265" s="938"/>
      <c r="AX3265" s="939"/>
      <c r="AY3265" s="933"/>
      <c r="AZ3265" s="936"/>
      <c r="BA3265" s="936"/>
      <c r="BB3265" s="1112"/>
      <c r="BC3265" s="940"/>
      <c r="BD3265" s="941"/>
      <c r="BE3265" s="942"/>
      <c r="BF3265" s="943"/>
      <c r="BG3265" s="943"/>
      <c r="BH3265" s="943"/>
      <c r="BI3265" s="943"/>
      <c r="BJ3265" s="943"/>
      <c r="BK3265" s="943"/>
      <c r="BL3265" s="943"/>
      <c r="BM3265" s="943"/>
      <c r="BN3265" s="943"/>
      <c r="BO3265" s="1059"/>
      <c r="BP3265" s="1059"/>
      <c r="BQ3265" s="1059"/>
      <c r="BR3265" s="1059"/>
      <c r="BS3265" s="1059"/>
      <c r="BT3265" s="1059"/>
      <c r="BU3265" s="1059"/>
      <c r="BV3265" s="944"/>
      <c r="BW3265" s="944"/>
      <c r="BX3265" s="1147"/>
      <c r="BY3265" s="944"/>
      <c r="BZ3265" s="944"/>
      <c r="CA3265" s="944"/>
      <c r="CB3265" s="944"/>
    </row>
    <row r="3266" spans="2:80">
      <c r="B3266" s="1097"/>
      <c r="C3266" s="1097"/>
      <c r="D3266" s="1097"/>
      <c r="E3266" s="1097"/>
      <c r="F3266" s="934"/>
      <c r="G3266" s="1098"/>
      <c r="H3266" s="1099"/>
      <c r="I3266" s="1099"/>
      <c r="J3266" s="934"/>
      <c r="K3266" s="934"/>
      <c r="L3266" s="933"/>
      <c r="M3266" s="1100"/>
      <c r="N3266" s="934"/>
      <c r="O3266" s="936"/>
      <c r="P3266" s="936"/>
      <c r="Q3266" s="933"/>
      <c r="T3266" s="1101"/>
      <c r="U3266" s="1102"/>
      <c r="V3266" s="936"/>
      <c r="W3266" s="1103"/>
      <c r="X3266" s="1104"/>
      <c r="Y3266" s="1105"/>
      <c r="Z3266" s="1103"/>
      <c r="AC3266" s="1106"/>
      <c r="AD3266" s="1107"/>
      <c r="AE3266" s="1104"/>
      <c r="AG3266" s="1109"/>
      <c r="AI3266" s="1110"/>
      <c r="AL3266" s="933"/>
      <c r="AM3266" s="933"/>
      <c r="AN3266" s="1100"/>
      <c r="AO3266" s="1100"/>
      <c r="AP3266" s="934"/>
      <c r="AQ3266" s="934"/>
      <c r="AR3266" s="934"/>
      <c r="AS3266" s="936"/>
      <c r="AT3266" s="936"/>
      <c r="AU3266" s="936"/>
      <c r="AV3266" s="937"/>
      <c r="AW3266" s="938"/>
      <c r="AX3266" s="939"/>
      <c r="AY3266" s="933"/>
      <c r="AZ3266" s="936"/>
      <c r="BA3266" s="936"/>
      <c r="BB3266" s="1112"/>
      <c r="BC3266" s="940"/>
      <c r="BD3266" s="941"/>
      <c r="BE3266" s="942"/>
      <c r="BF3266" s="943"/>
      <c r="BG3266" s="943"/>
      <c r="BH3266" s="943"/>
      <c r="BI3266" s="943"/>
      <c r="BJ3266" s="943"/>
      <c r="BK3266" s="943"/>
      <c r="BL3266" s="943"/>
      <c r="BM3266" s="943"/>
      <c r="BN3266" s="943"/>
      <c r="BO3266" s="1059"/>
      <c r="BP3266" s="1059"/>
      <c r="BQ3266" s="1059"/>
      <c r="BR3266" s="1059"/>
      <c r="BS3266" s="1059"/>
      <c r="BT3266" s="1059"/>
      <c r="BU3266" s="1059"/>
      <c r="BV3266" s="944"/>
      <c r="BW3266" s="944"/>
      <c r="BX3266" s="1147"/>
      <c r="BY3266" s="944"/>
      <c r="BZ3266" s="944"/>
      <c r="CA3266" s="944"/>
      <c r="CB3266" s="944"/>
    </row>
    <row r="3267" spans="2:80">
      <c r="B3267" s="1097"/>
      <c r="C3267" s="1097"/>
      <c r="D3267" s="1097"/>
      <c r="E3267" s="1097"/>
      <c r="F3267" s="934"/>
      <c r="G3267" s="1098"/>
      <c r="H3267" s="1099"/>
      <c r="I3267" s="1099"/>
      <c r="J3267" s="934"/>
      <c r="K3267" s="934"/>
      <c r="L3267" s="933"/>
      <c r="M3267" s="1100"/>
      <c r="N3267" s="934"/>
      <c r="O3267" s="936"/>
      <c r="P3267" s="936"/>
      <c r="Q3267" s="933"/>
      <c r="T3267" s="1101"/>
      <c r="U3267" s="1102"/>
      <c r="V3267" s="936"/>
      <c r="W3267" s="1103"/>
      <c r="X3267" s="1104"/>
      <c r="Y3267" s="1105"/>
      <c r="Z3267" s="1103"/>
      <c r="AC3267" s="1106"/>
      <c r="AD3267" s="1107"/>
      <c r="AE3267" s="1104"/>
      <c r="AG3267" s="1109"/>
      <c r="AI3267" s="1110"/>
      <c r="AL3267" s="933"/>
      <c r="AM3267" s="933"/>
      <c r="AN3267" s="1100"/>
      <c r="AO3267" s="1100"/>
      <c r="AP3267" s="934"/>
      <c r="AQ3267" s="934"/>
      <c r="AR3267" s="934"/>
      <c r="AS3267" s="936"/>
      <c r="AT3267" s="936"/>
      <c r="AU3267" s="936"/>
      <c r="AV3267" s="937"/>
      <c r="AW3267" s="938"/>
      <c r="AX3267" s="939"/>
      <c r="AY3267" s="933"/>
      <c r="AZ3267" s="936"/>
      <c r="BA3267" s="936"/>
      <c r="BB3267" s="1112"/>
      <c r="BC3267" s="940"/>
      <c r="BD3267" s="941"/>
      <c r="BE3267" s="942"/>
      <c r="BF3267" s="943"/>
      <c r="BG3267" s="943"/>
      <c r="BH3267" s="943"/>
      <c r="BI3267" s="943"/>
      <c r="BJ3267" s="943"/>
      <c r="BK3267" s="943"/>
      <c r="BL3267" s="943"/>
      <c r="BM3267" s="943"/>
      <c r="BN3267" s="943"/>
      <c r="BO3267" s="1059"/>
      <c r="BP3267" s="1059"/>
      <c r="BQ3267" s="1059"/>
      <c r="BR3267" s="1059"/>
      <c r="BS3267" s="1059"/>
      <c r="BT3267" s="1059"/>
      <c r="BU3267" s="1059"/>
      <c r="BV3267" s="944"/>
      <c r="BW3267" s="944"/>
      <c r="BX3267" s="1147"/>
      <c r="BY3267" s="944"/>
      <c r="BZ3267" s="944"/>
      <c r="CA3267" s="944"/>
      <c r="CB3267" s="944"/>
    </row>
    <row r="3268" spans="2:80">
      <c r="B3268" s="1097"/>
      <c r="C3268" s="1097"/>
      <c r="D3268" s="1097"/>
      <c r="E3268" s="1097"/>
      <c r="F3268" s="934"/>
      <c r="G3268" s="1098"/>
      <c r="H3268" s="1099"/>
      <c r="I3268" s="1099"/>
      <c r="J3268" s="934"/>
      <c r="K3268" s="934"/>
      <c r="L3268" s="933"/>
      <c r="M3268" s="1100"/>
      <c r="N3268" s="934"/>
      <c r="O3268" s="936"/>
      <c r="P3268" s="936"/>
      <c r="Q3268" s="933"/>
      <c r="T3268" s="1101"/>
      <c r="U3268" s="1102"/>
      <c r="V3268" s="936"/>
      <c r="W3268" s="1103"/>
      <c r="X3268" s="1104"/>
      <c r="Y3268" s="1105"/>
      <c r="Z3268" s="1103"/>
      <c r="AC3268" s="1106"/>
      <c r="AD3268" s="1107"/>
      <c r="AE3268" s="1104"/>
      <c r="AG3268" s="1109"/>
      <c r="AI3268" s="1110"/>
      <c r="AL3268" s="933"/>
      <c r="AM3268" s="933"/>
      <c r="AN3268" s="1100"/>
      <c r="AO3268" s="1100"/>
      <c r="AP3268" s="934"/>
      <c r="AQ3268" s="934"/>
      <c r="AR3268" s="934"/>
      <c r="AS3268" s="936"/>
      <c r="AT3268" s="936"/>
      <c r="AU3268" s="936"/>
      <c r="AV3268" s="937"/>
      <c r="AW3268" s="938"/>
      <c r="AX3268" s="939"/>
      <c r="AY3268" s="933"/>
      <c r="AZ3268" s="936"/>
      <c r="BA3268" s="936"/>
      <c r="BB3268" s="1112"/>
      <c r="BC3268" s="940"/>
      <c r="BD3268" s="941"/>
      <c r="BE3268" s="942"/>
      <c r="BF3268" s="943"/>
      <c r="BG3268" s="943"/>
      <c r="BH3268" s="943"/>
      <c r="BI3268" s="943"/>
      <c r="BJ3268" s="943"/>
      <c r="BK3268" s="943"/>
      <c r="BL3268" s="943"/>
      <c r="BM3268" s="943"/>
      <c r="BN3268" s="943"/>
      <c r="BO3268" s="1059"/>
      <c r="BP3268" s="1059"/>
      <c r="BQ3268" s="1059"/>
      <c r="BR3268" s="1059"/>
      <c r="BS3268" s="1059"/>
      <c r="BT3268" s="1059"/>
      <c r="BU3268" s="1059"/>
      <c r="BV3268" s="944"/>
      <c r="BW3268" s="944"/>
      <c r="BX3268" s="1147"/>
      <c r="BY3268" s="944"/>
      <c r="BZ3268" s="944"/>
      <c r="CA3268" s="944"/>
      <c r="CB3268" s="944"/>
    </row>
    <row r="3269" spans="2:80">
      <c r="B3269" s="1097"/>
      <c r="C3269" s="1097"/>
      <c r="D3269" s="1097"/>
      <c r="E3269" s="1097"/>
      <c r="F3269" s="934"/>
      <c r="G3269" s="1098"/>
      <c r="H3269" s="1099"/>
      <c r="I3269" s="1099"/>
      <c r="J3269" s="934"/>
      <c r="K3269" s="934"/>
      <c r="L3269" s="933"/>
      <c r="M3269" s="1100"/>
      <c r="N3269" s="934"/>
      <c r="O3269" s="936"/>
      <c r="P3269" s="936"/>
      <c r="Q3269" s="933"/>
      <c r="T3269" s="1101"/>
      <c r="U3269" s="1102"/>
      <c r="V3269" s="936"/>
      <c r="W3269" s="1103"/>
      <c r="X3269" s="1104"/>
      <c r="Y3269" s="1105"/>
      <c r="Z3269" s="1103"/>
      <c r="AC3269" s="1106"/>
      <c r="AD3269" s="1107"/>
      <c r="AE3269" s="1104"/>
      <c r="AG3269" s="1109"/>
      <c r="AI3269" s="1110"/>
      <c r="AL3269" s="933"/>
      <c r="AM3269" s="933"/>
      <c r="AN3269" s="1100"/>
      <c r="AO3269" s="1100"/>
      <c r="AP3269" s="934"/>
      <c r="AQ3269" s="934"/>
      <c r="AR3269" s="934"/>
      <c r="AS3269" s="936"/>
      <c r="AT3269" s="936"/>
      <c r="AU3269" s="936"/>
      <c r="AV3269" s="937"/>
      <c r="AW3269" s="938"/>
      <c r="AX3269" s="939"/>
      <c r="AY3269" s="933"/>
      <c r="AZ3269" s="936"/>
      <c r="BA3269" s="936"/>
      <c r="BB3269" s="1112"/>
      <c r="BC3269" s="940"/>
      <c r="BD3269" s="941"/>
      <c r="BE3269" s="942"/>
      <c r="BF3269" s="943"/>
      <c r="BG3269" s="943"/>
      <c r="BH3269" s="943"/>
      <c r="BI3269" s="943"/>
      <c r="BJ3269" s="943"/>
      <c r="BK3269" s="943"/>
      <c r="BL3269" s="943"/>
      <c r="BM3269" s="943"/>
      <c r="BN3269" s="943"/>
      <c r="BO3269" s="1059"/>
      <c r="BP3269" s="1059"/>
      <c r="BQ3269" s="1059"/>
      <c r="BR3269" s="1059"/>
      <c r="BS3269" s="1059"/>
      <c r="BT3269" s="1059"/>
      <c r="BU3269" s="1059"/>
      <c r="BV3269" s="944"/>
      <c r="BW3269" s="944"/>
      <c r="BX3269" s="1147"/>
      <c r="BY3269" s="944"/>
      <c r="BZ3269" s="944"/>
      <c r="CA3269" s="944"/>
      <c r="CB3269" s="944"/>
    </row>
    <row r="3270" spans="2:80">
      <c r="B3270" s="1097"/>
      <c r="C3270" s="1097"/>
      <c r="D3270" s="1097"/>
      <c r="E3270" s="1097"/>
      <c r="F3270" s="934"/>
      <c r="G3270" s="1098"/>
      <c r="H3270" s="1099"/>
      <c r="I3270" s="1099"/>
      <c r="J3270" s="934"/>
      <c r="K3270" s="934"/>
      <c r="L3270" s="933"/>
      <c r="M3270" s="1100"/>
      <c r="N3270" s="934"/>
      <c r="O3270" s="936"/>
      <c r="P3270" s="936"/>
      <c r="Q3270" s="933"/>
      <c r="T3270" s="1101"/>
      <c r="U3270" s="1102"/>
      <c r="V3270" s="936"/>
      <c r="W3270" s="1103"/>
      <c r="X3270" s="1104"/>
      <c r="Y3270" s="1105"/>
      <c r="Z3270" s="1103"/>
      <c r="AC3270" s="1106"/>
      <c r="AD3270" s="1107"/>
      <c r="AE3270" s="1104"/>
      <c r="AG3270" s="1109"/>
      <c r="AI3270" s="1110"/>
      <c r="AL3270" s="933"/>
      <c r="AM3270" s="933"/>
      <c r="AN3270" s="1100"/>
      <c r="AO3270" s="1100"/>
      <c r="AP3270" s="934"/>
      <c r="AQ3270" s="934"/>
      <c r="AR3270" s="934"/>
      <c r="AS3270" s="936"/>
      <c r="AT3270" s="936"/>
      <c r="AU3270" s="936"/>
      <c r="AV3270" s="937"/>
      <c r="AW3270" s="938"/>
      <c r="AX3270" s="939"/>
      <c r="AY3270" s="933"/>
      <c r="AZ3270" s="936"/>
      <c r="BA3270" s="936"/>
      <c r="BB3270" s="1112"/>
      <c r="BC3270" s="940"/>
      <c r="BD3270" s="941"/>
      <c r="BE3270" s="942"/>
      <c r="BF3270" s="943"/>
      <c r="BG3270" s="943"/>
      <c r="BH3270" s="943"/>
      <c r="BI3270" s="943"/>
      <c r="BJ3270" s="943"/>
      <c r="BK3270" s="943"/>
      <c r="BL3270" s="943"/>
      <c r="BM3270" s="943"/>
      <c r="BN3270" s="943"/>
      <c r="BO3270" s="1059"/>
      <c r="BP3270" s="1059"/>
      <c r="BQ3270" s="1059"/>
      <c r="BR3270" s="1059"/>
      <c r="BS3270" s="1059"/>
      <c r="BT3270" s="1059"/>
      <c r="BU3270" s="1059"/>
      <c r="BV3270" s="944"/>
      <c r="BW3270" s="944"/>
      <c r="BX3270" s="1147"/>
      <c r="BY3270" s="944"/>
      <c r="BZ3270" s="944"/>
      <c r="CA3270" s="944"/>
      <c r="CB3270" s="944"/>
    </row>
    <row r="3271" spans="2:80">
      <c r="B3271" s="1097"/>
      <c r="C3271" s="1097"/>
      <c r="D3271" s="1097"/>
      <c r="E3271" s="1097"/>
      <c r="F3271" s="934"/>
      <c r="G3271" s="1098"/>
      <c r="H3271" s="1099"/>
      <c r="I3271" s="1099"/>
      <c r="J3271" s="934"/>
      <c r="K3271" s="934"/>
      <c r="L3271" s="933"/>
      <c r="M3271" s="1100"/>
      <c r="N3271" s="934"/>
      <c r="O3271" s="936"/>
      <c r="P3271" s="936"/>
      <c r="Q3271" s="933"/>
      <c r="T3271" s="1101"/>
      <c r="U3271" s="1102"/>
      <c r="V3271" s="936"/>
      <c r="W3271" s="1103"/>
      <c r="X3271" s="1104"/>
      <c r="Y3271" s="1105"/>
      <c r="Z3271" s="1103"/>
      <c r="AC3271" s="1106"/>
      <c r="AD3271" s="1107"/>
      <c r="AE3271" s="1104"/>
      <c r="AG3271" s="1109"/>
      <c r="AI3271" s="1110"/>
      <c r="AL3271" s="933"/>
      <c r="AM3271" s="933"/>
      <c r="AN3271" s="1100"/>
      <c r="AO3271" s="1100"/>
      <c r="AP3271" s="934"/>
      <c r="AQ3271" s="934"/>
      <c r="AR3271" s="934"/>
      <c r="AS3271" s="936"/>
      <c r="AT3271" s="936"/>
      <c r="AU3271" s="936"/>
      <c r="AV3271" s="937"/>
      <c r="AW3271" s="938"/>
      <c r="AX3271" s="939"/>
      <c r="AY3271" s="933"/>
      <c r="AZ3271" s="936"/>
      <c r="BA3271" s="936"/>
      <c r="BB3271" s="1112"/>
      <c r="BC3271" s="940"/>
      <c r="BD3271" s="941"/>
      <c r="BE3271" s="942"/>
      <c r="BF3271" s="943"/>
      <c r="BG3271" s="943"/>
      <c r="BH3271" s="943"/>
      <c r="BI3271" s="943"/>
      <c r="BJ3271" s="943"/>
      <c r="BK3271" s="943"/>
      <c r="BL3271" s="943"/>
      <c r="BM3271" s="943"/>
      <c r="BN3271" s="943"/>
      <c r="BO3271" s="1059"/>
      <c r="BP3271" s="1059"/>
      <c r="BQ3271" s="1059"/>
      <c r="BR3271" s="1059"/>
      <c r="BS3271" s="1059"/>
      <c r="BT3271" s="1059"/>
      <c r="BU3271" s="1059"/>
      <c r="BV3271" s="944"/>
      <c r="BW3271" s="944"/>
      <c r="BX3271" s="1147"/>
      <c r="BY3271" s="944"/>
      <c r="BZ3271" s="944"/>
      <c r="CA3271" s="944"/>
      <c r="CB3271" s="944"/>
    </row>
    <row r="3272" spans="2:80">
      <c r="B3272" s="1097"/>
      <c r="C3272" s="1097"/>
      <c r="D3272" s="1097"/>
      <c r="E3272" s="1097"/>
      <c r="F3272" s="934"/>
      <c r="G3272" s="1098"/>
      <c r="H3272" s="1099"/>
      <c r="I3272" s="1099"/>
      <c r="J3272" s="934"/>
      <c r="K3272" s="934"/>
      <c r="L3272" s="933"/>
      <c r="M3272" s="1100"/>
      <c r="N3272" s="934"/>
      <c r="O3272" s="936"/>
      <c r="P3272" s="936"/>
      <c r="Q3272" s="933"/>
      <c r="T3272" s="1101"/>
      <c r="U3272" s="1102"/>
      <c r="V3272" s="936"/>
      <c r="W3272" s="1103"/>
      <c r="X3272" s="1104"/>
      <c r="Y3272" s="1105"/>
      <c r="Z3272" s="1103"/>
      <c r="AC3272" s="1106"/>
      <c r="AD3272" s="1107"/>
      <c r="AE3272" s="1104"/>
      <c r="AG3272" s="1109"/>
      <c r="AI3272" s="1110"/>
      <c r="AL3272" s="933"/>
      <c r="AM3272" s="933"/>
      <c r="AN3272" s="1100"/>
      <c r="AO3272" s="1100"/>
      <c r="AP3272" s="934"/>
      <c r="AQ3272" s="934"/>
      <c r="AR3272" s="934"/>
      <c r="AS3272" s="936"/>
      <c r="AT3272" s="936"/>
      <c r="AU3272" s="936"/>
      <c r="AV3272" s="937"/>
      <c r="AW3272" s="938"/>
      <c r="AX3272" s="939"/>
      <c r="AY3272" s="933"/>
      <c r="AZ3272" s="936"/>
      <c r="BA3272" s="936"/>
      <c r="BB3272" s="1112"/>
      <c r="BC3272" s="940"/>
      <c r="BD3272" s="941"/>
      <c r="BE3272" s="942"/>
      <c r="BF3272" s="943"/>
      <c r="BG3272" s="943"/>
      <c r="BH3272" s="943"/>
      <c r="BI3272" s="943"/>
      <c r="BJ3272" s="943"/>
      <c r="BK3272" s="943"/>
      <c r="BL3272" s="943"/>
      <c r="BM3272" s="943"/>
      <c r="BN3272" s="943"/>
      <c r="BO3272" s="1059"/>
      <c r="BP3272" s="1059"/>
      <c r="BQ3272" s="1059"/>
      <c r="BR3272" s="1059"/>
      <c r="BS3272" s="1059"/>
      <c r="BT3272" s="1059"/>
      <c r="BU3272" s="1059"/>
      <c r="BV3272" s="944"/>
      <c r="BW3272" s="944"/>
      <c r="BX3272" s="1147"/>
      <c r="BY3272" s="944"/>
      <c r="BZ3272" s="944"/>
      <c r="CA3272" s="944"/>
      <c r="CB3272" s="944"/>
    </row>
    <row r="3273" spans="2:80">
      <c r="B3273" s="1097"/>
      <c r="C3273" s="1097"/>
      <c r="D3273" s="1097"/>
      <c r="E3273" s="1097"/>
      <c r="F3273" s="934"/>
      <c r="G3273" s="1098"/>
      <c r="H3273" s="1099"/>
      <c r="I3273" s="1099"/>
      <c r="J3273" s="934"/>
      <c r="K3273" s="934"/>
      <c r="L3273" s="933"/>
      <c r="M3273" s="1100"/>
      <c r="N3273" s="934"/>
      <c r="O3273" s="936"/>
      <c r="P3273" s="936"/>
      <c r="Q3273" s="933"/>
      <c r="T3273" s="1101"/>
      <c r="U3273" s="1102"/>
      <c r="V3273" s="936"/>
      <c r="W3273" s="1103"/>
      <c r="X3273" s="1104"/>
      <c r="Y3273" s="1105"/>
      <c r="Z3273" s="1103"/>
      <c r="AC3273" s="1106"/>
      <c r="AD3273" s="1107"/>
      <c r="AE3273" s="1104"/>
      <c r="AG3273" s="1109"/>
      <c r="AI3273" s="1110"/>
      <c r="AL3273" s="933"/>
      <c r="AM3273" s="933"/>
      <c r="AN3273" s="1100"/>
      <c r="AO3273" s="1100"/>
      <c r="AP3273" s="934"/>
      <c r="AQ3273" s="934"/>
      <c r="AR3273" s="934"/>
      <c r="AS3273" s="936"/>
      <c r="AT3273" s="936"/>
      <c r="AU3273" s="936"/>
      <c r="AV3273" s="937"/>
      <c r="AW3273" s="938"/>
      <c r="AX3273" s="939"/>
      <c r="AY3273" s="933"/>
      <c r="AZ3273" s="936"/>
      <c r="BA3273" s="936"/>
      <c r="BB3273" s="1112"/>
      <c r="BC3273" s="940"/>
      <c r="BD3273" s="941"/>
      <c r="BE3273" s="942"/>
      <c r="BF3273" s="943"/>
      <c r="BG3273" s="943"/>
      <c r="BH3273" s="943"/>
      <c r="BI3273" s="943"/>
      <c r="BJ3273" s="943"/>
      <c r="BK3273" s="943"/>
      <c r="BL3273" s="943"/>
      <c r="BM3273" s="943"/>
      <c r="BN3273" s="943"/>
      <c r="BO3273" s="1059"/>
      <c r="BP3273" s="1059"/>
      <c r="BQ3273" s="1059"/>
      <c r="BR3273" s="1059"/>
      <c r="BS3273" s="1059"/>
      <c r="BT3273" s="1059"/>
      <c r="BU3273" s="1059"/>
      <c r="BV3273" s="944"/>
      <c r="BW3273" s="944"/>
      <c r="BX3273" s="1147"/>
      <c r="BY3273" s="944"/>
      <c r="BZ3273" s="944"/>
      <c r="CA3273" s="944"/>
      <c r="CB3273" s="944"/>
    </row>
    <row r="3274" spans="2:80">
      <c r="B3274" s="1097"/>
      <c r="C3274" s="1097"/>
      <c r="D3274" s="1097"/>
      <c r="E3274" s="1097"/>
      <c r="F3274" s="934"/>
      <c r="G3274" s="1098"/>
      <c r="H3274" s="1099"/>
      <c r="I3274" s="1099"/>
      <c r="J3274" s="934"/>
      <c r="K3274" s="934"/>
      <c r="L3274" s="933"/>
      <c r="M3274" s="1100"/>
      <c r="N3274" s="934"/>
      <c r="O3274" s="936"/>
      <c r="P3274" s="936"/>
      <c r="Q3274" s="933"/>
      <c r="T3274" s="1101"/>
      <c r="U3274" s="1102"/>
      <c r="V3274" s="936"/>
      <c r="W3274" s="1103"/>
      <c r="X3274" s="1104"/>
      <c r="Y3274" s="1105"/>
      <c r="Z3274" s="1103"/>
      <c r="AC3274" s="1106"/>
      <c r="AD3274" s="1107"/>
      <c r="AE3274" s="1104"/>
      <c r="AG3274" s="1109"/>
      <c r="AI3274" s="1110"/>
      <c r="AL3274" s="933"/>
      <c r="AM3274" s="933"/>
      <c r="AN3274" s="1100"/>
      <c r="AO3274" s="1100"/>
      <c r="AP3274" s="934"/>
      <c r="AQ3274" s="934"/>
      <c r="AR3274" s="934"/>
      <c r="AS3274" s="936"/>
      <c r="AT3274" s="936"/>
      <c r="AU3274" s="936"/>
      <c r="AV3274" s="937"/>
      <c r="AW3274" s="938"/>
      <c r="AX3274" s="939"/>
      <c r="AY3274" s="933"/>
      <c r="AZ3274" s="936"/>
      <c r="BA3274" s="936"/>
      <c r="BB3274" s="1112"/>
      <c r="BC3274" s="940"/>
      <c r="BD3274" s="941"/>
      <c r="BE3274" s="942"/>
      <c r="BF3274" s="943"/>
      <c r="BG3274" s="943"/>
      <c r="BH3274" s="943"/>
      <c r="BI3274" s="943"/>
      <c r="BJ3274" s="943"/>
      <c r="BK3274" s="943"/>
      <c r="BL3274" s="943"/>
      <c r="BM3274" s="943"/>
      <c r="BN3274" s="943"/>
      <c r="BO3274" s="1059"/>
      <c r="BP3274" s="1059"/>
      <c r="BQ3274" s="1059"/>
      <c r="BR3274" s="1059"/>
      <c r="BS3274" s="1059"/>
      <c r="BT3274" s="1059"/>
      <c r="BU3274" s="1059"/>
      <c r="BV3274" s="944"/>
      <c r="BW3274" s="944"/>
      <c r="BX3274" s="1147"/>
      <c r="BY3274" s="944"/>
      <c r="BZ3274" s="944"/>
      <c r="CA3274" s="944"/>
      <c r="CB3274" s="944"/>
    </row>
    <row r="3275" spans="2:80">
      <c r="B3275" s="1097"/>
      <c r="C3275" s="1097"/>
      <c r="D3275" s="1097"/>
      <c r="E3275" s="1097"/>
      <c r="F3275" s="934"/>
      <c r="G3275" s="1098"/>
      <c r="H3275" s="1099"/>
      <c r="I3275" s="1099"/>
      <c r="J3275" s="934"/>
      <c r="K3275" s="934"/>
      <c r="L3275" s="933"/>
      <c r="M3275" s="1100"/>
      <c r="N3275" s="934"/>
      <c r="O3275" s="936"/>
      <c r="P3275" s="936"/>
      <c r="Q3275" s="933"/>
      <c r="T3275" s="1101"/>
      <c r="U3275" s="1102"/>
      <c r="V3275" s="936"/>
      <c r="W3275" s="1103"/>
      <c r="X3275" s="1104"/>
      <c r="Y3275" s="1105"/>
      <c r="Z3275" s="1103"/>
      <c r="AC3275" s="1106"/>
      <c r="AD3275" s="1107"/>
      <c r="AE3275" s="1104"/>
      <c r="AG3275" s="1109"/>
      <c r="AI3275" s="1110"/>
      <c r="AL3275" s="933"/>
      <c r="AM3275" s="933"/>
      <c r="AN3275" s="1100"/>
      <c r="AO3275" s="1100"/>
      <c r="AP3275" s="934"/>
      <c r="AQ3275" s="934"/>
      <c r="AR3275" s="934"/>
      <c r="AS3275" s="936"/>
      <c r="AT3275" s="936"/>
      <c r="AU3275" s="936"/>
      <c r="AV3275" s="937"/>
      <c r="AW3275" s="938"/>
      <c r="AX3275" s="939"/>
      <c r="AY3275" s="933"/>
      <c r="AZ3275" s="936"/>
      <c r="BA3275" s="936"/>
      <c r="BB3275" s="1112"/>
      <c r="BC3275" s="940"/>
      <c r="BD3275" s="941"/>
      <c r="BE3275" s="942"/>
      <c r="BF3275" s="943"/>
      <c r="BG3275" s="943"/>
      <c r="BH3275" s="943"/>
      <c r="BI3275" s="943"/>
      <c r="BJ3275" s="943"/>
      <c r="BK3275" s="943"/>
      <c r="BL3275" s="943"/>
      <c r="BM3275" s="943"/>
      <c r="BN3275" s="943"/>
      <c r="BO3275" s="1059"/>
      <c r="BP3275" s="1059"/>
      <c r="BQ3275" s="1059"/>
      <c r="BR3275" s="1059"/>
      <c r="BS3275" s="1059"/>
      <c r="BT3275" s="1059"/>
      <c r="BU3275" s="1059"/>
      <c r="BV3275" s="944"/>
      <c r="BW3275" s="944"/>
      <c r="BX3275" s="1147"/>
      <c r="BY3275" s="944"/>
      <c r="BZ3275" s="944"/>
      <c r="CA3275" s="944"/>
      <c r="CB3275" s="944"/>
    </row>
    <row r="3276" spans="2:80">
      <c r="B3276" s="1097"/>
      <c r="C3276" s="1097"/>
      <c r="D3276" s="1097"/>
      <c r="E3276" s="1097"/>
      <c r="F3276" s="934"/>
      <c r="G3276" s="1098"/>
      <c r="H3276" s="1099"/>
      <c r="I3276" s="1099"/>
      <c r="J3276" s="934"/>
      <c r="K3276" s="934"/>
      <c r="L3276" s="933"/>
      <c r="M3276" s="1100"/>
      <c r="N3276" s="934"/>
      <c r="O3276" s="936"/>
      <c r="P3276" s="936"/>
      <c r="Q3276" s="933"/>
      <c r="T3276" s="1101"/>
      <c r="U3276" s="1102"/>
      <c r="V3276" s="936"/>
      <c r="W3276" s="1103"/>
      <c r="X3276" s="1104"/>
      <c r="Y3276" s="1105"/>
      <c r="Z3276" s="1103"/>
      <c r="AC3276" s="1106"/>
      <c r="AD3276" s="1107"/>
      <c r="AE3276" s="1104"/>
      <c r="AG3276" s="1109"/>
      <c r="AI3276" s="1110"/>
      <c r="AL3276" s="933"/>
      <c r="AM3276" s="933"/>
      <c r="AN3276" s="1100"/>
      <c r="AO3276" s="1100"/>
      <c r="AP3276" s="934"/>
      <c r="AQ3276" s="934"/>
      <c r="AR3276" s="934"/>
      <c r="AS3276" s="936"/>
      <c r="AT3276" s="936"/>
      <c r="AU3276" s="936"/>
      <c r="AV3276" s="937"/>
      <c r="AW3276" s="938"/>
      <c r="AX3276" s="939"/>
      <c r="AY3276" s="933"/>
      <c r="AZ3276" s="936"/>
      <c r="BA3276" s="936"/>
      <c r="BB3276" s="1112"/>
      <c r="BC3276" s="940"/>
      <c r="BD3276" s="941"/>
      <c r="BE3276" s="942"/>
      <c r="BF3276" s="943"/>
      <c r="BG3276" s="943"/>
      <c r="BH3276" s="943"/>
      <c r="BI3276" s="943"/>
      <c r="BJ3276" s="943"/>
      <c r="BK3276" s="943"/>
      <c r="BL3276" s="943"/>
      <c r="BM3276" s="943"/>
      <c r="BN3276" s="943"/>
      <c r="BO3276" s="1059"/>
      <c r="BP3276" s="1059"/>
      <c r="BQ3276" s="1059"/>
      <c r="BR3276" s="1059"/>
      <c r="BS3276" s="1059"/>
      <c r="BT3276" s="1059"/>
      <c r="BU3276" s="1059"/>
      <c r="BV3276" s="944"/>
      <c r="BW3276" s="944"/>
      <c r="BX3276" s="1147"/>
      <c r="BY3276" s="944"/>
      <c r="BZ3276" s="944"/>
      <c r="CA3276" s="944"/>
      <c r="CB3276" s="944"/>
    </row>
    <row r="3277" spans="2:80">
      <c r="B3277" s="1097"/>
      <c r="C3277" s="1097"/>
      <c r="D3277" s="1097"/>
      <c r="E3277" s="1097"/>
      <c r="F3277" s="934"/>
      <c r="G3277" s="1098"/>
      <c r="H3277" s="1099"/>
      <c r="I3277" s="1099"/>
      <c r="J3277" s="934"/>
      <c r="K3277" s="934"/>
      <c r="L3277" s="933"/>
      <c r="M3277" s="1100"/>
      <c r="N3277" s="934"/>
      <c r="O3277" s="936"/>
      <c r="P3277" s="936"/>
      <c r="Q3277" s="933"/>
      <c r="T3277" s="1101"/>
      <c r="U3277" s="1102"/>
      <c r="V3277" s="936"/>
      <c r="W3277" s="1103"/>
      <c r="X3277" s="1104"/>
      <c r="Y3277" s="1105"/>
      <c r="Z3277" s="1103"/>
      <c r="AC3277" s="1106"/>
      <c r="AD3277" s="1107"/>
      <c r="AE3277" s="1104"/>
      <c r="AG3277" s="1109"/>
      <c r="AI3277" s="1110"/>
      <c r="AL3277" s="933"/>
      <c r="AM3277" s="933"/>
      <c r="AN3277" s="1100"/>
      <c r="AO3277" s="1100"/>
      <c r="AP3277" s="934"/>
      <c r="AQ3277" s="934"/>
      <c r="AR3277" s="934"/>
      <c r="AS3277" s="936"/>
      <c r="AT3277" s="936"/>
      <c r="AU3277" s="936"/>
      <c r="AV3277" s="937"/>
      <c r="AW3277" s="938"/>
      <c r="AX3277" s="939"/>
      <c r="AY3277" s="933"/>
      <c r="AZ3277" s="936"/>
      <c r="BA3277" s="936"/>
      <c r="BB3277" s="1112"/>
      <c r="BC3277" s="940"/>
      <c r="BD3277" s="941"/>
      <c r="BE3277" s="942"/>
      <c r="BF3277" s="943"/>
      <c r="BG3277" s="943"/>
      <c r="BH3277" s="943"/>
      <c r="BI3277" s="943"/>
      <c r="BJ3277" s="943"/>
      <c r="BK3277" s="943"/>
      <c r="BL3277" s="943"/>
      <c r="BM3277" s="943"/>
      <c r="BN3277" s="943"/>
      <c r="BO3277" s="1059"/>
      <c r="BP3277" s="1059"/>
      <c r="BQ3277" s="1059"/>
      <c r="BR3277" s="1059"/>
      <c r="BS3277" s="1059"/>
      <c r="BT3277" s="1059"/>
      <c r="BU3277" s="1059"/>
      <c r="BV3277" s="944"/>
      <c r="BW3277" s="944"/>
      <c r="BX3277" s="1147"/>
      <c r="BY3277" s="944"/>
      <c r="BZ3277" s="944"/>
      <c r="CA3277" s="944"/>
      <c r="CB3277" s="944"/>
    </row>
    <row r="3278" spans="2:80">
      <c r="B3278" s="1097"/>
      <c r="C3278" s="1097"/>
      <c r="D3278" s="1097"/>
      <c r="E3278" s="1097"/>
      <c r="F3278" s="934"/>
      <c r="G3278" s="1098"/>
      <c r="H3278" s="1099"/>
      <c r="I3278" s="1099"/>
      <c r="J3278" s="934"/>
      <c r="K3278" s="934"/>
      <c r="L3278" s="933"/>
      <c r="M3278" s="1100"/>
      <c r="N3278" s="934"/>
      <c r="O3278" s="936"/>
      <c r="P3278" s="936"/>
      <c r="Q3278" s="933"/>
      <c r="T3278" s="1101"/>
      <c r="U3278" s="1102"/>
      <c r="V3278" s="936"/>
      <c r="W3278" s="1103"/>
      <c r="X3278" s="1104"/>
      <c r="Y3278" s="1105"/>
      <c r="Z3278" s="1103"/>
      <c r="AC3278" s="1106"/>
      <c r="AD3278" s="1107"/>
      <c r="AE3278" s="1104"/>
      <c r="AG3278" s="1109"/>
      <c r="AI3278" s="1110"/>
      <c r="AL3278" s="933"/>
      <c r="AM3278" s="933"/>
      <c r="AN3278" s="1100"/>
      <c r="AO3278" s="1100"/>
      <c r="AP3278" s="934"/>
      <c r="AQ3278" s="934"/>
      <c r="AR3278" s="934"/>
      <c r="AS3278" s="936"/>
      <c r="AT3278" s="936"/>
      <c r="AU3278" s="936"/>
      <c r="AV3278" s="937"/>
      <c r="AW3278" s="938"/>
      <c r="AX3278" s="939"/>
      <c r="AY3278" s="933"/>
      <c r="AZ3278" s="936"/>
      <c r="BA3278" s="936"/>
      <c r="BB3278" s="1112"/>
      <c r="BC3278" s="940"/>
      <c r="BD3278" s="941"/>
      <c r="BE3278" s="942"/>
      <c r="BF3278" s="943"/>
      <c r="BG3278" s="943"/>
      <c r="BH3278" s="943"/>
      <c r="BI3278" s="943"/>
      <c r="BJ3278" s="943"/>
      <c r="BK3278" s="943"/>
      <c r="BL3278" s="943"/>
      <c r="BM3278" s="943"/>
      <c r="BN3278" s="943"/>
      <c r="BO3278" s="1059"/>
      <c r="BP3278" s="1059"/>
      <c r="BQ3278" s="1059"/>
      <c r="BR3278" s="1059"/>
      <c r="BS3278" s="1059"/>
      <c r="BT3278" s="1059"/>
      <c r="BU3278" s="1059"/>
      <c r="BV3278" s="944"/>
      <c r="BW3278" s="944"/>
      <c r="BX3278" s="1147"/>
      <c r="BY3278" s="944"/>
      <c r="BZ3278" s="944"/>
      <c r="CA3278" s="944"/>
      <c r="CB3278" s="944"/>
    </row>
    <row r="3279" spans="2:80">
      <c r="B3279" s="1097"/>
      <c r="C3279" s="1097"/>
      <c r="D3279" s="1097"/>
      <c r="E3279" s="1097"/>
      <c r="F3279" s="934"/>
      <c r="G3279" s="1098"/>
      <c r="H3279" s="1099"/>
      <c r="I3279" s="1099"/>
      <c r="J3279" s="934"/>
      <c r="K3279" s="934"/>
      <c r="L3279" s="933"/>
      <c r="M3279" s="1100"/>
      <c r="N3279" s="934"/>
      <c r="O3279" s="936"/>
      <c r="P3279" s="936"/>
      <c r="Q3279" s="933"/>
      <c r="T3279" s="1101"/>
      <c r="U3279" s="1102"/>
      <c r="V3279" s="936"/>
      <c r="W3279" s="1103"/>
      <c r="X3279" s="1104"/>
      <c r="Y3279" s="1105"/>
      <c r="Z3279" s="1103"/>
      <c r="AC3279" s="1106"/>
      <c r="AD3279" s="1107"/>
      <c r="AE3279" s="1104"/>
      <c r="AG3279" s="1109"/>
      <c r="AI3279" s="1110"/>
      <c r="AL3279" s="933"/>
      <c r="AM3279" s="933"/>
      <c r="AN3279" s="1100"/>
      <c r="AO3279" s="1100"/>
      <c r="AP3279" s="934"/>
      <c r="AQ3279" s="934"/>
      <c r="AR3279" s="934"/>
      <c r="AS3279" s="936"/>
      <c r="AT3279" s="936"/>
      <c r="AU3279" s="936"/>
      <c r="AV3279" s="937"/>
      <c r="AW3279" s="938"/>
      <c r="AX3279" s="939"/>
      <c r="AY3279" s="933"/>
      <c r="AZ3279" s="936"/>
      <c r="BA3279" s="936"/>
      <c r="BB3279" s="1112"/>
      <c r="BC3279" s="940"/>
      <c r="BD3279" s="941"/>
      <c r="BE3279" s="942"/>
      <c r="BF3279" s="943"/>
      <c r="BG3279" s="943"/>
      <c r="BH3279" s="943"/>
      <c r="BI3279" s="943"/>
      <c r="BJ3279" s="943"/>
      <c r="BK3279" s="943"/>
      <c r="BL3279" s="943"/>
      <c r="BM3279" s="943"/>
      <c r="BN3279" s="943"/>
      <c r="BO3279" s="1059"/>
      <c r="BP3279" s="1059"/>
      <c r="BQ3279" s="1059"/>
      <c r="BR3279" s="1059"/>
      <c r="BS3279" s="1059"/>
      <c r="BT3279" s="1059"/>
      <c r="BU3279" s="1059"/>
      <c r="BV3279" s="944"/>
      <c r="BW3279" s="944"/>
      <c r="BX3279" s="1147"/>
      <c r="BY3279" s="944"/>
      <c r="BZ3279" s="944"/>
      <c r="CA3279" s="944"/>
      <c r="CB3279" s="944"/>
    </row>
    <row r="3280" spans="2:80">
      <c r="B3280" s="1097"/>
      <c r="C3280" s="1097"/>
      <c r="D3280" s="1097"/>
      <c r="E3280" s="1097"/>
      <c r="F3280" s="934"/>
      <c r="G3280" s="1098"/>
      <c r="H3280" s="1099"/>
      <c r="I3280" s="1099"/>
      <c r="J3280" s="934"/>
      <c r="K3280" s="934"/>
      <c r="L3280" s="933"/>
      <c r="M3280" s="1100"/>
      <c r="N3280" s="934"/>
      <c r="O3280" s="936"/>
      <c r="P3280" s="936"/>
      <c r="Q3280" s="933"/>
      <c r="T3280" s="1101"/>
      <c r="U3280" s="1102"/>
      <c r="V3280" s="936"/>
      <c r="W3280" s="1103"/>
      <c r="X3280" s="1104"/>
      <c r="Y3280" s="1105"/>
      <c r="Z3280" s="1103"/>
      <c r="AC3280" s="1106"/>
      <c r="AD3280" s="1107"/>
      <c r="AE3280" s="1104"/>
      <c r="AG3280" s="1109"/>
      <c r="AI3280" s="1110"/>
      <c r="AL3280" s="933"/>
      <c r="AM3280" s="933"/>
      <c r="AN3280" s="1100"/>
      <c r="AO3280" s="1100"/>
      <c r="AP3280" s="934"/>
      <c r="AQ3280" s="934"/>
      <c r="AR3280" s="934"/>
      <c r="AS3280" s="936"/>
      <c r="AT3280" s="936"/>
      <c r="AU3280" s="936"/>
      <c r="AV3280" s="937"/>
      <c r="AW3280" s="938"/>
      <c r="AX3280" s="939"/>
      <c r="AY3280" s="933"/>
      <c r="AZ3280" s="936"/>
      <c r="BA3280" s="936"/>
      <c r="BB3280" s="1112"/>
      <c r="BC3280" s="940"/>
      <c r="BD3280" s="941"/>
      <c r="BE3280" s="942"/>
      <c r="BF3280" s="943"/>
      <c r="BG3280" s="943"/>
      <c r="BH3280" s="943"/>
      <c r="BI3280" s="943"/>
      <c r="BJ3280" s="943"/>
      <c r="BK3280" s="943"/>
      <c r="BL3280" s="943"/>
      <c r="BM3280" s="943"/>
      <c r="BN3280" s="943"/>
      <c r="BO3280" s="1059"/>
      <c r="BP3280" s="1059"/>
      <c r="BQ3280" s="1059"/>
      <c r="BR3280" s="1059"/>
      <c r="BS3280" s="1059"/>
      <c r="BT3280" s="1059"/>
      <c r="BU3280" s="1059"/>
      <c r="BV3280" s="944"/>
      <c r="BW3280" s="944"/>
      <c r="BX3280" s="1147"/>
      <c r="BY3280" s="944"/>
      <c r="BZ3280" s="944"/>
      <c r="CA3280" s="944"/>
      <c r="CB3280" s="944"/>
    </row>
    <row r="3281" spans="2:80">
      <c r="B3281" s="1097"/>
      <c r="C3281" s="1097"/>
      <c r="D3281" s="1097"/>
      <c r="E3281" s="1097"/>
      <c r="F3281" s="934"/>
      <c r="G3281" s="1098"/>
      <c r="H3281" s="1099"/>
      <c r="I3281" s="1099"/>
      <c r="J3281" s="934"/>
      <c r="K3281" s="934"/>
      <c r="L3281" s="933"/>
      <c r="M3281" s="1100"/>
      <c r="N3281" s="934"/>
      <c r="O3281" s="936"/>
      <c r="P3281" s="936"/>
      <c r="Q3281" s="933"/>
      <c r="T3281" s="1101"/>
      <c r="U3281" s="1102"/>
      <c r="V3281" s="936"/>
      <c r="W3281" s="1103"/>
      <c r="X3281" s="1104"/>
      <c r="Y3281" s="1105"/>
      <c r="Z3281" s="1103"/>
      <c r="AC3281" s="1106"/>
      <c r="AD3281" s="1107"/>
      <c r="AE3281" s="1104"/>
      <c r="AG3281" s="1109"/>
      <c r="AI3281" s="1110"/>
      <c r="AL3281" s="933"/>
      <c r="AM3281" s="933"/>
      <c r="AN3281" s="1100"/>
      <c r="AO3281" s="1100"/>
      <c r="AP3281" s="934"/>
      <c r="AQ3281" s="934"/>
      <c r="AR3281" s="934"/>
      <c r="AS3281" s="936"/>
      <c r="AT3281" s="936"/>
      <c r="AU3281" s="936"/>
      <c r="AV3281" s="937"/>
      <c r="AW3281" s="938"/>
      <c r="AX3281" s="939"/>
      <c r="AY3281" s="933"/>
      <c r="AZ3281" s="936"/>
      <c r="BA3281" s="936"/>
      <c r="BB3281" s="1112"/>
      <c r="BC3281" s="940"/>
      <c r="BD3281" s="941"/>
      <c r="BE3281" s="942"/>
      <c r="BF3281" s="943"/>
      <c r="BG3281" s="943"/>
      <c r="BH3281" s="943"/>
      <c r="BI3281" s="943"/>
      <c r="BJ3281" s="943"/>
      <c r="BK3281" s="943"/>
      <c r="BL3281" s="943"/>
      <c r="BM3281" s="943"/>
      <c r="BN3281" s="943"/>
      <c r="BO3281" s="1059"/>
      <c r="BP3281" s="1059"/>
      <c r="BQ3281" s="1059"/>
      <c r="BR3281" s="1059"/>
      <c r="BS3281" s="1059"/>
      <c r="BT3281" s="1059"/>
      <c r="BU3281" s="1059"/>
      <c r="BV3281" s="944"/>
      <c r="BW3281" s="944"/>
      <c r="BX3281" s="1147"/>
      <c r="BY3281" s="944"/>
      <c r="BZ3281" s="944"/>
      <c r="CA3281" s="944"/>
      <c r="CB3281" s="944"/>
    </row>
    <row r="3282" spans="2:80">
      <c r="B3282" s="1097"/>
      <c r="C3282" s="1097"/>
      <c r="D3282" s="1097"/>
      <c r="E3282" s="1097"/>
      <c r="F3282" s="934"/>
      <c r="G3282" s="1098"/>
      <c r="H3282" s="1099"/>
      <c r="I3282" s="1099"/>
      <c r="J3282" s="934"/>
      <c r="K3282" s="934"/>
      <c r="L3282" s="933"/>
      <c r="M3282" s="1100"/>
      <c r="N3282" s="934"/>
      <c r="O3282" s="936"/>
      <c r="P3282" s="936"/>
      <c r="Q3282" s="933"/>
      <c r="T3282" s="1101"/>
      <c r="U3282" s="1102"/>
      <c r="V3282" s="936"/>
      <c r="W3282" s="1103"/>
      <c r="X3282" s="1104"/>
      <c r="Y3282" s="1105"/>
      <c r="Z3282" s="1103"/>
      <c r="AC3282" s="1106"/>
      <c r="AD3282" s="1107"/>
      <c r="AE3282" s="1104"/>
      <c r="AG3282" s="1109"/>
      <c r="AI3282" s="1110"/>
      <c r="AL3282" s="933"/>
      <c r="AM3282" s="933"/>
      <c r="AN3282" s="1100"/>
      <c r="AO3282" s="1100"/>
      <c r="AP3282" s="934"/>
      <c r="AQ3282" s="934"/>
      <c r="AR3282" s="934"/>
      <c r="AS3282" s="936"/>
      <c r="AT3282" s="936"/>
      <c r="AU3282" s="936"/>
      <c r="AV3282" s="937"/>
      <c r="AW3282" s="938"/>
      <c r="AX3282" s="939"/>
      <c r="AY3282" s="933"/>
      <c r="AZ3282" s="936"/>
      <c r="BA3282" s="936"/>
      <c r="BB3282" s="1112"/>
      <c r="BC3282" s="940"/>
      <c r="BD3282" s="941"/>
      <c r="BE3282" s="942"/>
      <c r="BF3282" s="943"/>
      <c r="BG3282" s="943"/>
      <c r="BH3282" s="943"/>
      <c r="BI3282" s="943"/>
      <c r="BJ3282" s="943"/>
      <c r="BK3282" s="943"/>
      <c r="BL3282" s="943"/>
      <c r="BM3282" s="943"/>
      <c r="BN3282" s="943"/>
      <c r="BO3282" s="1059"/>
      <c r="BP3282" s="1059"/>
      <c r="BQ3282" s="1059"/>
      <c r="BR3282" s="1059"/>
      <c r="BS3282" s="1059"/>
      <c r="BT3282" s="1059"/>
      <c r="BU3282" s="1059"/>
      <c r="BV3282" s="944"/>
      <c r="BW3282" s="944"/>
      <c r="BX3282" s="1147"/>
      <c r="BY3282" s="944"/>
      <c r="BZ3282" s="944"/>
      <c r="CA3282" s="944"/>
      <c r="CB3282" s="944"/>
    </row>
    <row r="3283" spans="2:80">
      <c r="B3283" s="1097"/>
      <c r="C3283" s="1097"/>
      <c r="D3283" s="1097"/>
      <c r="E3283" s="1097"/>
      <c r="F3283" s="934"/>
      <c r="G3283" s="1098"/>
      <c r="H3283" s="1099"/>
      <c r="I3283" s="1099"/>
      <c r="J3283" s="934"/>
      <c r="K3283" s="934"/>
      <c r="L3283" s="933"/>
      <c r="M3283" s="1100"/>
      <c r="N3283" s="934"/>
      <c r="O3283" s="936"/>
      <c r="P3283" s="936"/>
      <c r="Q3283" s="933"/>
      <c r="T3283" s="1101"/>
      <c r="U3283" s="1102"/>
      <c r="V3283" s="936"/>
      <c r="W3283" s="1103"/>
      <c r="X3283" s="1104"/>
      <c r="Y3283" s="1105"/>
      <c r="Z3283" s="1103"/>
      <c r="AC3283" s="1106"/>
      <c r="AD3283" s="1107"/>
      <c r="AE3283" s="1104"/>
      <c r="AG3283" s="1109"/>
      <c r="AI3283" s="1110"/>
      <c r="AL3283" s="933"/>
      <c r="AM3283" s="933"/>
      <c r="AN3283" s="1100"/>
      <c r="AO3283" s="1100"/>
      <c r="AP3283" s="934"/>
      <c r="AQ3283" s="934"/>
      <c r="AR3283" s="934"/>
      <c r="AS3283" s="936"/>
      <c r="AT3283" s="936"/>
      <c r="AU3283" s="936"/>
      <c r="AV3283" s="937"/>
      <c r="AW3283" s="938"/>
      <c r="AX3283" s="939"/>
      <c r="AY3283" s="933"/>
      <c r="AZ3283" s="936"/>
      <c r="BA3283" s="936"/>
      <c r="BB3283" s="1112"/>
      <c r="BC3283" s="940"/>
      <c r="BD3283" s="941"/>
      <c r="BE3283" s="942"/>
      <c r="BF3283" s="943"/>
      <c r="BG3283" s="943"/>
      <c r="BH3283" s="943"/>
      <c r="BI3283" s="943"/>
      <c r="BJ3283" s="943"/>
      <c r="BK3283" s="943"/>
      <c r="BL3283" s="943"/>
      <c r="BM3283" s="943"/>
      <c r="BN3283" s="943"/>
      <c r="BO3283" s="1059"/>
      <c r="BP3283" s="1059"/>
      <c r="BQ3283" s="1059"/>
      <c r="BR3283" s="1059"/>
      <c r="BS3283" s="1059"/>
      <c r="BT3283" s="1059"/>
      <c r="BU3283" s="1059"/>
      <c r="BV3283" s="944"/>
      <c r="BW3283" s="944"/>
      <c r="BX3283" s="1147"/>
      <c r="BY3283" s="944"/>
      <c r="BZ3283" s="944"/>
      <c r="CA3283" s="944"/>
      <c r="CB3283" s="944"/>
    </row>
    <row r="3284" spans="2:80">
      <c r="B3284" s="1097"/>
      <c r="C3284" s="1097"/>
      <c r="D3284" s="1097"/>
      <c r="E3284" s="1097"/>
      <c r="F3284" s="934"/>
      <c r="G3284" s="1098"/>
      <c r="H3284" s="1099"/>
      <c r="I3284" s="1099"/>
      <c r="J3284" s="934"/>
      <c r="K3284" s="934"/>
      <c r="L3284" s="933"/>
      <c r="M3284" s="1100"/>
      <c r="N3284" s="934"/>
      <c r="O3284" s="936"/>
      <c r="P3284" s="936"/>
      <c r="Q3284" s="933"/>
      <c r="T3284" s="1101"/>
      <c r="U3284" s="1102"/>
      <c r="V3284" s="936"/>
      <c r="W3284" s="1103"/>
      <c r="X3284" s="1104"/>
      <c r="Y3284" s="1105"/>
      <c r="Z3284" s="1103"/>
      <c r="AC3284" s="1106"/>
      <c r="AD3284" s="1107"/>
      <c r="AE3284" s="1104"/>
      <c r="AG3284" s="1109"/>
      <c r="AI3284" s="1110"/>
      <c r="AL3284" s="933"/>
      <c r="AM3284" s="933"/>
      <c r="AN3284" s="1100"/>
      <c r="AO3284" s="1100"/>
      <c r="AP3284" s="934"/>
      <c r="AQ3284" s="934"/>
      <c r="AR3284" s="934"/>
      <c r="AS3284" s="936"/>
      <c r="AT3284" s="936"/>
      <c r="AU3284" s="936"/>
      <c r="AV3284" s="937"/>
      <c r="AW3284" s="938"/>
      <c r="AX3284" s="939"/>
      <c r="AY3284" s="933"/>
      <c r="AZ3284" s="936"/>
      <c r="BA3284" s="936"/>
      <c r="BB3284" s="1112"/>
      <c r="BC3284" s="940"/>
      <c r="BD3284" s="941"/>
      <c r="BE3284" s="942"/>
      <c r="BF3284" s="943"/>
      <c r="BG3284" s="943"/>
      <c r="BH3284" s="943"/>
      <c r="BI3284" s="943"/>
      <c r="BJ3284" s="943"/>
      <c r="BK3284" s="943"/>
      <c r="BL3284" s="943"/>
      <c r="BM3284" s="943"/>
      <c r="BN3284" s="943"/>
      <c r="BO3284" s="1059"/>
      <c r="BP3284" s="1059"/>
      <c r="BQ3284" s="1059"/>
      <c r="BR3284" s="1059"/>
      <c r="BS3284" s="1059"/>
      <c r="BT3284" s="1059"/>
      <c r="BU3284" s="1059"/>
      <c r="BV3284" s="944"/>
      <c r="BW3284" s="944"/>
      <c r="BX3284" s="1147"/>
      <c r="BY3284" s="944"/>
      <c r="BZ3284" s="944"/>
      <c r="CA3284" s="944"/>
      <c r="CB3284" s="944"/>
    </row>
    <row r="3285" spans="2:80">
      <c r="B3285" s="1097"/>
      <c r="C3285" s="1097"/>
      <c r="D3285" s="1097"/>
      <c r="E3285" s="1097"/>
      <c r="F3285" s="934"/>
      <c r="G3285" s="1098"/>
      <c r="H3285" s="1099"/>
      <c r="I3285" s="1099"/>
      <c r="J3285" s="934"/>
      <c r="K3285" s="934"/>
      <c r="L3285" s="933"/>
      <c r="M3285" s="1100"/>
      <c r="N3285" s="934"/>
      <c r="O3285" s="936"/>
      <c r="P3285" s="936"/>
      <c r="Q3285" s="933"/>
      <c r="T3285" s="1101"/>
      <c r="U3285" s="1102"/>
      <c r="V3285" s="936"/>
      <c r="W3285" s="1103"/>
      <c r="X3285" s="1104"/>
      <c r="Y3285" s="1105"/>
      <c r="Z3285" s="1103"/>
      <c r="AC3285" s="1106"/>
      <c r="AD3285" s="1107"/>
      <c r="AE3285" s="1104"/>
      <c r="AG3285" s="1109"/>
      <c r="AI3285" s="1110"/>
      <c r="AL3285" s="933"/>
      <c r="AM3285" s="933"/>
      <c r="AN3285" s="1100"/>
      <c r="AO3285" s="1100"/>
      <c r="AP3285" s="934"/>
      <c r="AQ3285" s="934"/>
      <c r="AR3285" s="934"/>
      <c r="AS3285" s="936"/>
      <c r="AT3285" s="936"/>
      <c r="AU3285" s="936"/>
      <c r="AV3285" s="937"/>
      <c r="AW3285" s="938"/>
      <c r="AX3285" s="939"/>
      <c r="AY3285" s="933"/>
      <c r="AZ3285" s="936"/>
      <c r="BA3285" s="936"/>
      <c r="BB3285" s="1112"/>
      <c r="BC3285" s="940"/>
      <c r="BD3285" s="941"/>
      <c r="BE3285" s="942"/>
      <c r="BF3285" s="943"/>
      <c r="BG3285" s="943"/>
      <c r="BH3285" s="943"/>
      <c r="BI3285" s="943"/>
      <c r="BJ3285" s="943"/>
      <c r="BK3285" s="943"/>
      <c r="BL3285" s="943"/>
      <c r="BM3285" s="943"/>
      <c r="BN3285" s="943"/>
      <c r="BO3285" s="1059"/>
      <c r="BP3285" s="1059"/>
      <c r="BQ3285" s="1059"/>
      <c r="BR3285" s="1059"/>
      <c r="BS3285" s="1059"/>
      <c r="BT3285" s="1059"/>
      <c r="BU3285" s="1059"/>
      <c r="BV3285" s="944"/>
      <c r="BW3285" s="944"/>
      <c r="BX3285" s="1147"/>
      <c r="BY3285" s="944"/>
      <c r="BZ3285" s="944"/>
      <c r="CA3285" s="944"/>
      <c r="CB3285" s="944"/>
    </row>
    <row r="3286" spans="2:80">
      <c r="B3286" s="1097"/>
      <c r="C3286" s="1097"/>
      <c r="D3286" s="1097"/>
      <c r="E3286" s="1097"/>
      <c r="F3286" s="934"/>
      <c r="G3286" s="1098"/>
      <c r="H3286" s="1099"/>
      <c r="I3286" s="1099"/>
      <c r="J3286" s="934"/>
      <c r="K3286" s="934"/>
      <c r="L3286" s="933"/>
      <c r="M3286" s="1100"/>
      <c r="N3286" s="934"/>
      <c r="O3286" s="936"/>
      <c r="P3286" s="936"/>
      <c r="Q3286" s="933"/>
      <c r="T3286" s="1101"/>
      <c r="U3286" s="1102"/>
      <c r="V3286" s="936"/>
      <c r="W3286" s="1103"/>
      <c r="X3286" s="1104"/>
      <c r="Y3286" s="1105"/>
      <c r="Z3286" s="1103"/>
      <c r="AC3286" s="1106"/>
      <c r="AD3286" s="1107"/>
      <c r="AE3286" s="1104"/>
      <c r="AG3286" s="1109"/>
      <c r="AI3286" s="1110"/>
      <c r="AL3286" s="933"/>
      <c r="AM3286" s="933"/>
      <c r="AN3286" s="1100"/>
      <c r="AO3286" s="1100"/>
      <c r="AP3286" s="934"/>
      <c r="AQ3286" s="934"/>
      <c r="AR3286" s="934"/>
      <c r="AS3286" s="936"/>
      <c r="AT3286" s="936"/>
      <c r="AU3286" s="936"/>
      <c r="AV3286" s="937"/>
      <c r="AW3286" s="938"/>
      <c r="AX3286" s="939"/>
      <c r="AY3286" s="933"/>
      <c r="AZ3286" s="936"/>
      <c r="BA3286" s="936"/>
      <c r="BB3286" s="1112"/>
      <c r="BC3286" s="940"/>
      <c r="BD3286" s="941"/>
      <c r="BE3286" s="942"/>
      <c r="BF3286" s="943"/>
      <c r="BG3286" s="943"/>
      <c r="BH3286" s="943"/>
      <c r="BI3286" s="943"/>
      <c r="BJ3286" s="943"/>
      <c r="BK3286" s="943"/>
      <c r="BL3286" s="943"/>
      <c r="BM3286" s="943"/>
      <c r="BN3286" s="943"/>
      <c r="BO3286" s="1059"/>
      <c r="BP3286" s="1059"/>
      <c r="BQ3286" s="1059"/>
      <c r="BR3286" s="1059"/>
      <c r="BS3286" s="1059"/>
      <c r="BT3286" s="1059"/>
      <c r="BU3286" s="1059"/>
      <c r="BV3286" s="944"/>
      <c r="BW3286" s="944"/>
      <c r="BX3286" s="1147"/>
      <c r="BY3286" s="944"/>
      <c r="BZ3286" s="944"/>
      <c r="CA3286" s="944"/>
      <c r="CB3286" s="944"/>
    </row>
    <row r="3287" spans="2:80">
      <c r="B3287" s="1097"/>
      <c r="C3287" s="1097"/>
      <c r="D3287" s="1097"/>
      <c r="E3287" s="1097"/>
      <c r="F3287" s="934"/>
      <c r="G3287" s="1098"/>
      <c r="H3287" s="1099"/>
      <c r="I3287" s="1099"/>
      <c r="J3287" s="934"/>
      <c r="K3287" s="934"/>
      <c r="L3287" s="933"/>
      <c r="M3287" s="1100"/>
      <c r="N3287" s="934"/>
      <c r="O3287" s="936"/>
      <c r="P3287" s="936"/>
      <c r="Q3287" s="933"/>
      <c r="T3287" s="1101"/>
      <c r="U3287" s="1102"/>
      <c r="V3287" s="936"/>
      <c r="W3287" s="1103"/>
      <c r="X3287" s="1104"/>
      <c r="Y3287" s="1105"/>
      <c r="Z3287" s="1103"/>
      <c r="AC3287" s="1106"/>
      <c r="AD3287" s="1107"/>
      <c r="AE3287" s="1104"/>
      <c r="AG3287" s="1109"/>
      <c r="AI3287" s="1110"/>
      <c r="AL3287" s="933"/>
      <c r="AM3287" s="933"/>
      <c r="AN3287" s="1100"/>
      <c r="AO3287" s="1100"/>
      <c r="AP3287" s="934"/>
      <c r="AQ3287" s="934"/>
      <c r="AR3287" s="934"/>
      <c r="AS3287" s="936"/>
      <c r="AT3287" s="936"/>
      <c r="AU3287" s="936"/>
      <c r="AV3287" s="937"/>
      <c r="AW3287" s="938"/>
      <c r="AX3287" s="939"/>
      <c r="AY3287" s="933"/>
      <c r="AZ3287" s="936"/>
      <c r="BA3287" s="936"/>
      <c r="BB3287" s="1112"/>
      <c r="BC3287" s="940"/>
      <c r="BD3287" s="941"/>
      <c r="BE3287" s="942"/>
      <c r="BF3287" s="943"/>
      <c r="BG3287" s="943"/>
      <c r="BH3287" s="943"/>
      <c r="BI3287" s="943"/>
      <c r="BJ3287" s="943"/>
      <c r="BK3287" s="943"/>
      <c r="BL3287" s="943"/>
      <c r="BM3287" s="943"/>
      <c r="BN3287" s="943"/>
      <c r="BO3287" s="1059"/>
      <c r="BP3287" s="1059"/>
      <c r="BQ3287" s="1059"/>
      <c r="BR3287" s="1059"/>
      <c r="BS3287" s="1059"/>
      <c r="BT3287" s="1059"/>
      <c r="BU3287" s="1059"/>
      <c r="BV3287" s="944"/>
      <c r="BW3287" s="944"/>
      <c r="BX3287" s="1147"/>
      <c r="BY3287" s="944"/>
      <c r="BZ3287" s="944"/>
      <c r="CA3287" s="944"/>
      <c r="CB3287" s="944"/>
    </row>
    <row r="3288" spans="2:80">
      <c r="B3288" s="1097"/>
      <c r="C3288" s="1097"/>
      <c r="D3288" s="1097"/>
      <c r="E3288" s="1097"/>
      <c r="F3288" s="934"/>
      <c r="G3288" s="1098"/>
      <c r="H3288" s="1099"/>
      <c r="I3288" s="1099"/>
      <c r="J3288" s="934"/>
      <c r="K3288" s="934"/>
      <c r="L3288" s="933"/>
      <c r="M3288" s="1100"/>
      <c r="N3288" s="934"/>
      <c r="O3288" s="936"/>
      <c r="P3288" s="936"/>
      <c r="Q3288" s="933"/>
      <c r="T3288" s="1101"/>
      <c r="U3288" s="1102"/>
      <c r="V3288" s="936"/>
      <c r="W3288" s="1103"/>
      <c r="X3288" s="1104"/>
      <c r="Y3288" s="1105"/>
      <c r="Z3288" s="1103"/>
      <c r="AC3288" s="1106"/>
      <c r="AD3288" s="1107"/>
      <c r="AE3288" s="1104"/>
      <c r="AG3288" s="1109"/>
      <c r="AI3288" s="1110"/>
      <c r="AL3288" s="933"/>
      <c r="AM3288" s="933"/>
      <c r="AN3288" s="1100"/>
      <c r="AO3288" s="1100"/>
      <c r="AP3288" s="934"/>
      <c r="AQ3288" s="934"/>
      <c r="AR3288" s="934"/>
      <c r="AS3288" s="936"/>
      <c r="AT3288" s="936"/>
      <c r="AU3288" s="936"/>
      <c r="AV3288" s="937"/>
      <c r="AW3288" s="938"/>
      <c r="AX3288" s="939"/>
      <c r="AY3288" s="933"/>
      <c r="AZ3288" s="936"/>
      <c r="BA3288" s="936"/>
      <c r="BB3288" s="1112"/>
      <c r="BC3288" s="940"/>
      <c r="BD3288" s="941"/>
      <c r="BE3288" s="942"/>
      <c r="BF3288" s="943"/>
      <c r="BG3288" s="943"/>
      <c r="BH3288" s="943"/>
      <c r="BI3288" s="943"/>
      <c r="BJ3288" s="943"/>
      <c r="BK3288" s="943"/>
      <c r="BL3288" s="943"/>
      <c r="BM3288" s="943"/>
      <c r="BN3288" s="943"/>
      <c r="BO3288" s="1059"/>
      <c r="BP3288" s="1059"/>
      <c r="BQ3288" s="1059"/>
      <c r="BR3288" s="1059"/>
      <c r="BS3288" s="1059"/>
      <c r="BT3288" s="1059"/>
      <c r="BU3288" s="1059"/>
      <c r="BV3288" s="944"/>
      <c r="BW3288" s="944"/>
      <c r="BX3288" s="1147"/>
      <c r="BY3288" s="944"/>
      <c r="BZ3288" s="944"/>
      <c r="CA3288" s="944"/>
      <c r="CB3288" s="944"/>
    </row>
    <row r="3289" spans="2:80">
      <c r="B3289" s="1097"/>
      <c r="C3289" s="1097"/>
      <c r="D3289" s="1097"/>
      <c r="E3289" s="1097"/>
      <c r="F3289" s="934"/>
      <c r="G3289" s="1098"/>
      <c r="H3289" s="1099"/>
      <c r="I3289" s="1099"/>
      <c r="J3289" s="934"/>
      <c r="K3289" s="934"/>
      <c r="L3289" s="933"/>
      <c r="M3289" s="1100"/>
      <c r="N3289" s="934"/>
      <c r="O3289" s="936"/>
      <c r="P3289" s="936"/>
      <c r="Q3289" s="933"/>
      <c r="T3289" s="1101"/>
      <c r="U3289" s="1102"/>
      <c r="V3289" s="936"/>
      <c r="W3289" s="1103"/>
      <c r="X3289" s="1104"/>
      <c r="Y3289" s="1105"/>
      <c r="Z3289" s="1103"/>
      <c r="AC3289" s="1106"/>
      <c r="AD3289" s="1107"/>
      <c r="AE3289" s="1104"/>
      <c r="AG3289" s="1109"/>
      <c r="AI3289" s="1110"/>
      <c r="AL3289" s="933"/>
      <c r="AM3289" s="933"/>
      <c r="AN3289" s="1100"/>
      <c r="AO3289" s="1100"/>
      <c r="AP3289" s="934"/>
      <c r="AQ3289" s="934"/>
      <c r="AR3289" s="934"/>
      <c r="AS3289" s="936"/>
      <c r="AT3289" s="936"/>
      <c r="AU3289" s="936"/>
      <c r="AV3289" s="937"/>
      <c r="AW3289" s="938"/>
      <c r="AX3289" s="939"/>
      <c r="AY3289" s="933"/>
      <c r="AZ3289" s="936"/>
      <c r="BA3289" s="936"/>
      <c r="BB3289" s="1112"/>
      <c r="BC3289" s="940"/>
      <c r="BD3289" s="941"/>
      <c r="BE3289" s="942"/>
      <c r="BF3289" s="943"/>
      <c r="BG3289" s="943"/>
      <c r="BH3289" s="943"/>
      <c r="BI3289" s="943"/>
      <c r="BJ3289" s="943"/>
      <c r="BK3289" s="943"/>
      <c r="BL3289" s="943"/>
      <c r="BM3289" s="943"/>
      <c r="BN3289" s="943"/>
      <c r="BO3289" s="1059"/>
      <c r="BP3289" s="1059"/>
      <c r="BQ3289" s="1059"/>
      <c r="BR3289" s="1059"/>
      <c r="BS3289" s="1059"/>
      <c r="BT3289" s="1059"/>
      <c r="BU3289" s="1059"/>
      <c r="BV3289" s="944"/>
      <c r="BW3289" s="944"/>
      <c r="BX3289" s="1147"/>
      <c r="BY3289" s="944"/>
      <c r="BZ3289" s="944"/>
      <c r="CA3289" s="944"/>
      <c r="CB3289" s="944"/>
    </row>
    <row r="3290" spans="2:80">
      <c r="B3290" s="1097"/>
      <c r="C3290" s="1097"/>
      <c r="D3290" s="1097"/>
      <c r="E3290" s="1097"/>
      <c r="F3290" s="934"/>
      <c r="G3290" s="1098"/>
      <c r="H3290" s="1099"/>
      <c r="I3290" s="1099"/>
      <c r="J3290" s="934"/>
      <c r="K3290" s="934"/>
      <c r="L3290" s="933"/>
      <c r="M3290" s="1100"/>
      <c r="N3290" s="934"/>
      <c r="O3290" s="936"/>
      <c r="P3290" s="936"/>
      <c r="Q3290" s="933"/>
      <c r="T3290" s="1101"/>
      <c r="U3290" s="1102"/>
      <c r="V3290" s="936"/>
      <c r="W3290" s="1103"/>
      <c r="X3290" s="1104"/>
      <c r="Y3290" s="1105"/>
      <c r="Z3290" s="1103"/>
      <c r="AC3290" s="1106"/>
      <c r="AD3290" s="1107"/>
      <c r="AE3290" s="1104"/>
      <c r="AG3290" s="1109"/>
      <c r="AI3290" s="1110"/>
      <c r="AL3290" s="933"/>
      <c r="AM3290" s="933"/>
      <c r="AN3290" s="1100"/>
      <c r="AO3290" s="1100"/>
      <c r="AP3290" s="934"/>
      <c r="AQ3290" s="934"/>
      <c r="AR3290" s="934"/>
      <c r="AS3290" s="936"/>
      <c r="AT3290" s="936"/>
      <c r="AU3290" s="936"/>
      <c r="AV3290" s="937"/>
      <c r="AW3290" s="938"/>
      <c r="AX3290" s="939"/>
      <c r="AY3290" s="933"/>
      <c r="AZ3290" s="936"/>
      <c r="BA3290" s="936"/>
      <c r="BB3290" s="1112"/>
      <c r="BC3290" s="940"/>
      <c r="BD3290" s="941"/>
      <c r="BE3290" s="942"/>
      <c r="BF3290" s="943"/>
      <c r="BG3290" s="943"/>
      <c r="BH3290" s="943"/>
      <c r="BI3290" s="943"/>
      <c r="BJ3290" s="943"/>
      <c r="BK3290" s="943"/>
      <c r="BL3290" s="943"/>
      <c r="BM3290" s="943"/>
      <c r="BN3290" s="943"/>
      <c r="BO3290" s="1059"/>
      <c r="BP3290" s="1059"/>
      <c r="BQ3290" s="1059"/>
      <c r="BR3290" s="1059"/>
      <c r="BS3290" s="1059"/>
      <c r="BT3290" s="1059"/>
      <c r="BU3290" s="1059"/>
      <c r="BV3290" s="944"/>
      <c r="BW3290" s="944"/>
      <c r="BX3290" s="1147"/>
      <c r="BY3290" s="944"/>
      <c r="BZ3290" s="944"/>
      <c r="CA3290" s="944"/>
      <c r="CB3290" s="944"/>
    </row>
    <row r="3291" spans="2:80">
      <c r="B3291" s="1097"/>
      <c r="C3291" s="1097"/>
      <c r="D3291" s="1097"/>
      <c r="E3291" s="1097"/>
      <c r="F3291" s="934"/>
      <c r="G3291" s="1098"/>
      <c r="H3291" s="1099"/>
      <c r="I3291" s="1099"/>
      <c r="J3291" s="934"/>
      <c r="K3291" s="934"/>
      <c r="L3291" s="933"/>
      <c r="M3291" s="1100"/>
      <c r="N3291" s="934"/>
      <c r="O3291" s="936"/>
      <c r="P3291" s="936"/>
      <c r="Q3291" s="933"/>
      <c r="T3291" s="1101"/>
      <c r="U3291" s="1102"/>
      <c r="V3291" s="936"/>
      <c r="W3291" s="1103"/>
      <c r="X3291" s="1104"/>
      <c r="Y3291" s="1105"/>
      <c r="Z3291" s="1103"/>
      <c r="AC3291" s="1106"/>
      <c r="AD3291" s="1107"/>
      <c r="AE3291" s="1104"/>
      <c r="AG3291" s="1109"/>
      <c r="AI3291" s="1110"/>
      <c r="AL3291" s="933"/>
      <c r="AM3291" s="933"/>
      <c r="AN3291" s="1100"/>
      <c r="AO3291" s="1100"/>
      <c r="AP3291" s="934"/>
      <c r="AQ3291" s="934"/>
      <c r="AR3291" s="934"/>
      <c r="AS3291" s="936"/>
      <c r="AT3291" s="936"/>
      <c r="AU3291" s="936"/>
      <c r="AV3291" s="937"/>
      <c r="AW3291" s="938"/>
      <c r="AX3291" s="939"/>
      <c r="AY3291" s="933"/>
      <c r="AZ3291" s="936"/>
      <c r="BA3291" s="936"/>
      <c r="BB3291" s="1112"/>
      <c r="BC3291" s="940"/>
      <c r="BD3291" s="941"/>
      <c r="BE3291" s="942"/>
      <c r="BF3291" s="943"/>
      <c r="BG3291" s="943"/>
      <c r="BH3291" s="943"/>
      <c r="BI3291" s="943"/>
      <c r="BJ3291" s="943"/>
      <c r="BK3291" s="943"/>
      <c r="BL3291" s="943"/>
      <c r="BM3291" s="943"/>
      <c r="BN3291" s="943"/>
      <c r="BO3291" s="1059"/>
      <c r="BP3291" s="1059"/>
      <c r="BQ3291" s="1059"/>
      <c r="BR3291" s="1059"/>
      <c r="BS3291" s="1059"/>
      <c r="BT3291" s="1059"/>
      <c r="BU3291" s="1059"/>
      <c r="BV3291" s="944"/>
      <c r="BW3291" s="944"/>
      <c r="BX3291" s="1147"/>
      <c r="BY3291" s="944"/>
      <c r="BZ3291" s="944"/>
      <c r="CA3291" s="944"/>
      <c r="CB3291" s="944"/>
    </row>
    <row r="3292" spans="2:80">
      <c r="B3292" s="1097"/>
      <c r="C3292" s="1097"/>
      <c r="D3292" s="1097"/>
      <c r="E3292" s="1097"/>
      <c r="F3292" s="934"/>
      <c r="G3292" s="1098"/>
      <c r="H3292" s="1099"/>
      <c r="I3292" s="1099"/>
      <c r="J3292" s="934"/>
      <c r="K3292" s="934"/>
      <c r="L3292" s="933"/>
      <c r="M3292" s="1100"/>
      <c r="N3292" s="934"/>
      <c r="O3292" s="936"/>
      <c r="P3292" s="936"/>
      <c r="Q3292" s="933"/>
      <c r="T3292" s="1101"/>
      <c r="U3292" s="1102"/>
      <c r="V3292" s="936"/>
      <c r="W3292" s="1103"/>
      <c r="X3292" s="1104"/>
      <c r="Y3292" s="1105"/>
      <c r="Z3292" s="1103"/>
      <c r="AC3292" s="1106"/>
      <c r="AD3292" s="1107"/>
      <c r="AE3292" s="1104"/>
      <c r="AG3292" s="1109"/>
      <c r="AI3292" s="1110"/>
      <c r="AL3292" s="933"/>
      <c r="AM3292" s="933"/>
      <c r="AN3292" s="1100"/>
      <c r="AO3292" s="1100"/>
      <c r="AP3292" s="934"/>
      <c r="AQ3292" s="934"/>
      <c r="AR3292" s="934"/>
      <c r="AS3292" s="936"/>
      <c r="AT3292" s="936"/>
      <c r="AU3292" s="936"/>
      <c r="AV3292" s="937"/>
      <c r="AW3292" s="938"/>
      <c r="AX3292" s="939"/>
      <c r="AY3292" s="933"/>
      <c r="AZ3292" s="936"/>
      <c r="BA3292" s="936"/>
      <c r="BB3292" s="1112"/>
      <c r="BC3292" s="940"/>
      <c r="BD3292" s="941"/>
      <c r="BE3292" s="942"/>
      <c r="BF3292" s="943"/>
      <c r="BG3292" s="943"/>
      <c r="BH3292" s="943"/>
      <c r="BI3292" s="943"/>
      <c r="BJ3292" s="943"/>
      <c r="BK3292" s="943"/>
      <c r="BL3292" s="943"/>
      <c r="BM3292" s="943"/>
      <c r="BN3292" s="943"/>
      <c r="BO3292" s="1059"/>
      <c r="BP3292" s="1059"/>
      <c r="BQ3292" s="1059"/>
      <c r="BR3292" s="1059"/>
      <c r="BS3292" s="1059"/>
      <c r="BT3292" s="1059"/>
      <c r="BU3292" s="1059"/>
      <c r="BV3292" s="944"/>
      <c r="BW3292" s="944"/>
      <c r="BX3292" s="1147"/>
      <c r="BY3292" s="944"/>
      <c r="BZ3292" s="944"/>
      <c r="CA3292" s="944"/>
      <c r="CB3292" s="944"/>
    </row>
    <row r="3293" spans="2:80">
      <c r="B3293" s="1097"/>
      <c r="C3293" s="1097"/>
      <c r="D3293" s="1097"/>
      <c r="E3293" s="1097"/>
      <c r="F3293" s="934"/>
      <c r="G3293" s="1098"/>
      <c r="H3293" s="1099"/>
      <c r="I3293" s="1099"/>
      <c r="J3293" s="934"/>
      <c r="K3293" s="934"/>
      <c r="L3293" s="933"/>
      <c r="M3293" s="1100"/>
      <c r="N3293" s="934"/>
      <c r="O3293" s="936"/>
      <c r="P3293" s="936"/>
      <c r="Q3293" s="933"/>
      <c r="T3293" s="1101"/>
      <c r="U3293" s="1102"/>
      <c r="V3293" s="936"/>
      <c r="W3293" s="1103"/>
      <c r="X3293" s="1104"/>
      <c r="Y3293" s="1105"/>
      <c r="Z3293" s="1103"/>
      <c r="AC3293" s="1106"/>
      <c r="AD3293" s="1107"/>
      <c r="AE3293" s="1104"/>
      <c r="AG3293" s="1109"/>
      <c r="AI3293" s="1110"/>
      <c r="AL3293" s="933"/>
      <c r="AM3293" s="933"/>
      <c r="AN3293" s="1100"/>
      <c r="AO3293" s="1100"/>
      <c r="AP3293" s="934"/>
      <c r="AQ3293" s="934"/>
      <c r="AR3293" s="934"/>
      <c r="AS3293" s="936"/>
      <c r="AT3293" s="936"/>
      <c r="AU3293" s="936"/>
      <c r="AV3293" s="937"/>
      <c r="AW3293" s="938"/>
      <c r="AX3293" s="939"/>
      <c r="AY3293" s="933"/>
      <c r="AZ3293" s="936"/>
      <c r="BA3293" s="936"/>
      <c r="BB3293" s="1112"/>
      <c r="BC3293" s="940"/>
      <c r="BD3293" s="941"/>
      <c r="BE3293" s="942"/>
      <c r="BF3293" s="943"/>
      <c r="BG3293" s="943"/>
      <c r="BH3293" s="943"/>
      <c r="BI3293" s="943"/>
      <c r="BJ3293" s="943"/>
      <c r="BK3293" s="943"/>
      <c r="BL3293" s="943"/>
      <c r="BM3293" s="943"/>
      <c r="BN3293" s="943"/>
      <c r="BO3293" s="1059"/>
      <c r="BP3293" s="1059"/>
      <c r="BQ3293" s="1059"/>
      <c r="BR3293" s="1059"/>
      <c r="BS3293" s="1059"/>
      <c r="BT3293" s="1059"/>
      <c r="BU3293" s="1059"/>
      <c r="BV3293" s="944"/>
      <c r="BW3293" s="944"/>
      <c r="BX3293" s="1147"/>
      <c r="BY3293" s="944"/>
      <c r="BZ3293" s="944"/>
      <c r="CA3293" s="944"/>
      <c r="CB3293" s="944"/>
    </row>
    <row r="3294" spans="2:80">
      <c r="B3294" s="1097"/>
      <c r="C3294" s="1097"/>
      <c r="D3294" s="1097"/>
      <c r="E3294" s="1097"/>
      <c r="F3294" s="934"/>
      <c r="G3294" s="1098"/>
      <c r="H3294" s="1099"/>
      <c r="I3294" s="1099"/>
      <c r="J3294" s="934"/>
      <c r="K3294" s="934"/>
      <c r="L3294" s="933"/>
      <c r="M3294" s="1100"/>
      <c r="N3294" s="934"/>
      <c r="O3294" s="936"/>
      <c r="P3294" s="936"/>
      <c r="Q3294" s="933"/>
      <c r="T3294" s="1101"/>
      <c r="U3294" s="1102"/>
      <c r="V3294" s="936"/>
      <c r="W3294" s="1103"/>
      <c r="X3294" s="1104"/>
      <c r="Y3294" s="1105"/>
      <c r="Z3294" s="1103"/>
      <c r="AC3294" s="1106"/>
      <c r="AD3294" s="1107"/>
      <c r="AE3294" s="1104"/>
      <c r="AG3294" s="1109"/>
      <c r="AI3294" s="1110"/>
      <c r="AL3294" s="933"/>
      <c r="AM3294" s="933"/>
      <c r="AN3294" s="1100"/>
      <c r="AO3294" s="1100"/>
      <c r="AP3294" s="934"/>
      <c r="AQ3294" s="934"/>
      <c r="AR3294" s="934"/>
      <c r="AS3294" s="936"/>
      <c r="AT3294" s="936"/>
      <c r="AU3294" s="936"/>
      <c r="AV3294" s="937"/>
      <c r="AW3294" s="938"/>
      <c r="AX3294" s="939"/>
      <c r="AY3294" s="933"/>
      <c r="AZ3294" s="936"/>
      <c r="BA3294" s="936"/>
      <c r="BB3294" s="1112"/>
      <c r="BC3294" s="940"/>
      <c r="BD3294" s="941"/>
      <c r="BE3294" s="942"/>
      <c r="BF3294" s="943"/>
      <c r="BG3294" s="943"/>
      <c r="BH3294" s="943"/>
      <c r="BI3294" s="943"/>
      <c r="BJ3294" s="943"/>
      <c r="BK3294" s="943"/>
      <c r="BL3294" s="943"/>
      <c r="BM3294" s="943"/>
      <c r="BN3294" s="943"/>
      <c r="BO3294" s="1059"/>
      <c r="BP3294" s="1059"/>
      <c r="BQ3294" s="1059"/>
      <c r="BR3294" s="1059"/>
      <c r="BS3294" s="1059"/>
      <c r="BT3294" s="1059"/>
      <c r="BU3294" s="1059"/>
      <c r="BV3294" s="944"/>
      <c r="BW3294" s="944"/>
      <c r="BX3294" s="1147"/>
      <c r="BY3294" s="944"/>
      <c r="BZ3294" s="944"/>
      <c r="CA3294" s="944"/>
      <c r="CB3294" s="944"/>
    </row>
    <row r="3295" spans="2:80">
      <c r="B3295" s="1097"/>
      <c r="C3295" s="1097"/>
      <c r="D3295" s="1097"/>
      <c r="E3295" s="1097"/>
      <c r="F3295" s="934"/>
      <c r="G3295" s="1098"/>
      <c r="H3295" s="1099"/>
      <c r="I3295" s="1099"/>
      <c r="J3295" s="934"/>
      <c r="K3295" s="934"/>
      <c r="L3295" s="933"/>
      <c r="M3295" s="1100"/>
      <c r="N3295" s="934"/>
      <c r="O3295" s="936"/>
      <c r="P3295" s="936"/>
      <c r="Q3295" s="933"/>
      <c r="T3295" s="1101"/>
      <c r="U3295" s="1102"/>
      <c r="V3295" s="936"/>
      <c r="W3295" s="1103"/>
      <c r="X3295" s="1104"/>
      <c r="Y3295" s="1105"/>
      <c r="Z3295" s="1103"/>
      <c r="AC3295" s="1106"/>
      <c r="AD3295" s="1107"/>
      <c r="AE3295" s="1104"/>
      <c r="AG3295" s="1109"/>
      <c r="AI3295" s="1110"/>
      <c r="AL3295" s="933"/>
      <c r="AM3295" s="933"/>
      <c r="AN3295" s="1100"/>
      <c r="AO3295" s="1100"/>
      <c r="AP3295" s="934"/>
      <c r="AQ3295" s="934"/>
      <c r="AR3295" s="934"/>
      <c r="AS3295" s="936"/>
      <c r="AT3295" s="936"/>
      <c r="AU3295" s="936"/>
      <c r="AV3295" s="937"/>
      <c r="AW3295" s="938"/>
      <c r="AX3295" s="939"/>
      <c r="AY3295" s="933"/>
      <c r="AZ3295" s="936"/>
      <c r="BA3295" s="936"/>
      <c r="BB3295" s="1112"/>
      <c r="BC3295" s="940"/>
      <c r="BD3295" s="941"/>
      <c r="BE3295" s="942"/>
      <c r="BF3295" s="943"/>
      <c r="BG3295" s="943"/>
      <c r="BH3295" s="943"/>
      <c r="BI3295" s="943"/>
      <c r="BJ3295" s="943"/>
      <c r="BK3295" s="943"/>
      <c r="BL3295" s="943"/>
      <c r="BM3295" s="943"/>
      <c r="BN3295" s="943"/>
      <c r="BO3295" s="1059"/>
      <c r="BP3295" s="1059"/>
      <c r="BQ3295" s="1059"/>
      <c r="BR3295" s="1059"/>
      <c r="BS3295" s="1059"/>
      <c r="BT3295" s="1059"/>
      <c r="BU3295" s="1059"/>
      <c r="BV3295" s="944"/>
      <c r="BW3295" s="944"/>
      <c r="BX3295" s="1147"/>
      <c r="BY3295" s="944"/>
      <c r="BZ3295" s="944"/>
      <c r="CA3295" s="944"/>
      <c r="CB3295" s="944"/>
    </row>
    <row r="3296" spans="2:80">
      <c r="B3296" s="1097"/>
      <c r="C3296" s="1097"/>
      <c r="D3296" s="1097"/>
      <c r="E3296" s="1097"/>
      <c r="F3296" s="934"/>
      <c r="G3296" s="1098"/>
      <c r="H3296" s="1099"/>
      <c r="I3296" s="1099"/>
      <c r="J3296" s="934"/>
      <c r="K3296" s="934"/>
      <c r="L3296" s="933"/>
      <c r="M3296" s="1100"/>
      <c r="N3296" s="934"/>
      <c r="O3296" s="936"/>
      <c r="P3296" s="936"/>
      <c r="Q3296" s="933"/>
      <c r="T3296" s="1101"/>
      <c r="U3296" s="1102"/>
      <c r="V3296" s="936"/>
      <c r="W3296" s="1103"/>
      <c r="X3296" s="1104"/>
      <c r="Y3296" s="1105"/>
      <c r="Z3296" s="1103"/>
      <c r="AC3296" s="1106"/>
      <c r="AD3296" s="1107"/>
      <c r="AE3296" s="1104"/>
      <c r="AG3296" s="1109"/>
      <c r="AI3296" s="1110"/>
      <c r="AL3296" s="933"/>
      <c r="AM3296" s="933"/>
      <c r="AN3296" s="1100"/>
      <c r="AO3296" s="1100"/>
      <c r="AP3296" s="934"/>
      <c r="AQ3296" s="934"/>
      <c r="AR3296" s="934"/>
      <c r="AS3296" s="936"/>
      <c r="AT3296" s="936"/>
      <c r="AU3296" s="936"/>
      <c r="AV3296" s="937"/>
      <c r="AW3296" s="938"/>
      <c r="AX3296" s="939"/>
      <c r="AY3296" s="933"/>
      <c r="AZ3296" s="936"/>
      <c r="BA3296" s="936"/>
      <c r="BB3296" s="1112"/>
      <c r="BC3296" s="940"/>
      <c r="BD3296" s="941"/>
      <c r="BE3296" s="942"/>
      <c r="BF3296" s="943"/>
      <c r="BG3296" s="943"/>
      <c r="BH3296" s="943"/>
      <c r="BI3296" s="943"/>
      <c r="BJ3296" s="943"/>
      <c r="BK3296" s="943"/>
      <c r="BL3296" s="943"/>
      <c r="BM3296" s="943"/>
      <c r="BN3296" s="943"/>
      <c r="BO3296" s="1059"/>
      <c r="BP3296" s="1059"/>
      <c r="BQ3296" s="1059"/>
      <c r="BR3296" s="1059"/>
      <c r="BS3296" s="1059"/>
      <c r="BT3296" s="1059"/>
      <c r="BU3296" s="1059"/>
      <c r="BV3296" s="944"/>
      <c r="BW3296" s="944"/>
      <c r="BX3296" s="1147"/>
      <c r="BY3296" s="944"/>
      <c r="BZ3296" s="944"/>
      <c r="CA3296" s="944"/>
      <c r="CB3296" s="944"/>
    </row>
    <row r="3297" spans="2:80">
      <c r="B3297" s="1097"/>
      <c r="C3297" s="1097"/>
      <c r="D3297" s="1097"/>
      <c r="E3297" s="1097"/>
      <c r="F3297" s="934"/>
      <c r="G3297" s="1098"/>
      <c r="H3297" s="1099"/>
      <c r="I3297" s="1099"/>
      <c r="J3297" s="934"/>
      <c r="K3297" s="934"/>
      <c r="L3297" s="933"/>
      <c r="M3297" s="1100"/>
      <c r="N3297" s="934"/>
      <c r="O3297" s="936"/>
      <c r="P3297" s="936"/>
      <c r="Q3297" s="933"/>
      <c r="T3297" s="1101"/>
      <c r="U3297" s="1102"/>
      <c r="V3297" s="936"/>
      <c r="W3297" s="1103"/>
      <c r="X3297" s="1104"/>
      <c r="Y3297" s="1105"/>
      <c r="Z3297" s="1103"/>
      <c r="AC3297" s="1106"/>
      <c r="AD3297" s="1107"/>
      <c r="AE3297" s="1104"/>
      <c r="AG3297" s="1109"/>
      <c r="AI3297" s="1110"/>
      <c r="AL3297" s="933"/>
      <c r="AM3297" s="933"/>
      <c r="AN3297" s="1100"/>
      <c r="AO3297" s="1100"/>
      <c r="AP3297" s="934"/>
      <c r="AQ3297" s="934"/>
      <c r="AR3297" s="934"/>
      <c r="AS3297" s="936"/>
      <c r="AT3297" s="936"/>
      <c r="AU3297" s="936"/>
      <c r="AV3297" s="937"/>
      <c r="AW3297" s="938"/>
      <c r="AX3297" s="939"/>
      <c r="AY3297" s="933"/>
      <c r="AZ3297" s="936"/>
      <c r="BA3297" s="936"/>
      <c r="BB3297" s="1112"/>
      <c r="BC3297" s="940"/>
      <c r="BD3297" s="941"/>
      <c r="BE3297" s="942"/>
      <c r="BF3297" s="943"/>
      <c r="BG3297" s="943"/>
      <c r="BH3297" s="943"/>
      <c r="BI3297" s="943"/>
      <c r="BJ3297" s="943"/>
      <c r="BK3297" s="943"/>
      <c r="BL3297" s="943"/>
      <c r="BM3297" s="943"/>
      <c r="BN3297" s="943"/>
      <c r="BO3297" s="1059"/>
      <c r="BP3297" s="1059"/>
      <c r="BQ3297" s="1059"/>
      <c r="BR3297" s="1059"/>
      <c r="BS3297" s="1059"/>
      <c r="BT3297" s="1059"/>
      <c r="BU3297" s="1059"/>
      <c r="BV3297" s="944"/>
      <c r="BW3297" s="944"/>
      <c r="BX3297" s="1147"/>
      <c r="BY3297" s="944"/>
      <c r="BZ3297" s="944"/>
      <c r="CA3297" s="944"/>
      <c r="CB3297" s="944"/>
    </row>
    <row r="3298" spans="2:80">
      <c r="B3298" s="1097"/>
      <c r="C3298" s="1097"/>
      <c r="D3298" s="1097"/>
      <c r="E3298" s="1097"/>
      <c r="F3298" s="934"/>
      <c r="G3298" s="1098"/>
      <c r="H3298" s="1099"/>
      <c r="I3298" s="1099"/>
      <c r="J3298" s="934"/>
      <c r="K3298" s="934"/>
      <c r="L3298" s="933"/>
      <c r="M3298" s="1100"/>
      <c r="N3298" s="934"/>
      <c r="O3298" s="936"/>
      <c r="P3298" s="936"/>
      <c r="Q3298" s="933"/>
      <c r="T3298" s="1101"/>
      <c r="U3298" s="1102"/>
      <c r="V3298" s="936"/>
      <c r="W3298" s="1103"/>
      <c r="X3298" s="1104"/>
      <c r="Y3298" s="1105"/>
      <c r="Z3298" s="1103"/>
      <c r="AC3298" s="1106"/>
      <c r="AD3298" s="1107"/>
      <c r="AE3298" s="1104"/>
      <c r="AG3298" s="1109"/>
      <c r="AI3298" s="1110"/>
      <c r="AL3298" s="933"/>
      <c r="AM3298" s="933"/>
      <c r="AN3298" s="1100"/>
      <c r="AO3298" s="1100"/>
      <c r="AP3298" s="934"/>
      <c r="AQ3298" s="934"/>
      <c r="AR3298" s="934"/>
      <c r="AS3298" s="936"/>
      <c r="AT3298" s="936"/>
      <c r="AU3298" s="936"/>
      <c r="AV3298" s="937"/>
      <c r="AW3298" s="938"/>
      <c r="AX3298" s="939"/>
      <c r="AY3298" s="933"/>
      <c r="AZ3298" s="936"/>
      <c r="BA3298" s="936"/>
      <c r="BB3298" s="1112"/>
      <c r="BC3298" s="940"/>
      <c r="BD3298" s="941"/>
      <c r="BE3298" s="942"/>
      <c r="BF3298" s="943"/>
      <c r="BG3298" s="943"/>
      <c r="BH3298" s="943"/>
      <c r="BI3298" s="943"/>
      <c r="BJ3298" s="943"/>
      <c r="BK3298" s="943"/>
      <c r="BL3298" s="943"/>
      <c r="BM3298" s="943"/>
      <c r="BN3298" s="943"/>
      <c r="BO3298" s="1059"/>
      <c r="BP3298" s="1059"/>
      <c r="BQ3298" s="1059"/>
      <c r="BR3298" s="1059"/>
      <c r="BS3298" s="1059"/>
      <c r="BT3298" s="1059"/>
      <c r="BU3298" s="1059"/>
      <c r="BV3298" s="944"/>
      <c r="BW3298" s="944"/>
      <c r="BX3298" s="1147"/>
      <c r="BY3298" s="944"/>
      <c r="BZ3298" s="944"/>
      <c r="CA3298" s="944"/>
      <c r="CB3298" s="944"/>
    </row>
    <row r="3299" spans="2:80">
      <c r="B3299" s="1097"/>
      <c r="C3299" s="1097"/>
      <c r="D3299" s="1097"/>
      <c r="E3299" s="1097"/>
      <c r="F3299" s="934"/>
      <c r="G3299" s="1098"/>
      <c r="H3299" s="1099"/>
      <c r="I3299" s="1099"/>
      <c r="J3299" s="934"/>
      <c r="K3299" s="934"/>
      <c r="L3299" s="933"/>
      <c r="M3299" s="1100"/>
      <c r="N3299" s="934"/>
      <c r="O3299" s="936"/>
      <c r="P3299" s="936"/>
      <c r="Q3299" s="933"/>
      <c r="T3299" s="1101"/>
      <c r="U3299" s="1102"/>
      <c r="V3299" s="936"/>
      <c r="W3299" s="1103"/>
      <c r="X3299" s="1104"/>
      <c r="Y3299" s="1105"/>
      <c r="Z3299" s="1103"/>
      <c r="AC3299" s="1106"/>
      <c r="AD3299" s="1107"/>
      <c r="AE3299" s="1104"/>
      <c r="AG3299" s="1109"/>
      <c r="AI3299" s="1110"/>
      <c r="AL3299" s="933"/>
      <c r="AM3299" s="933"/>
      <c r="AN3299" s="1100"/>
      <c r="AO3299" s="1100"/>
      <c r="AP3299" s="934"/>
      <c r="AQ3299" s="934"/>
      <c r="AR3299" s="934"/>
      <c r="AS3299" s="936"/>
      <c r="AT3299" s="936"/>
      <c r="AU3299" s="936"/>
      <c r="AV3299" s="937"/>
      <c r="AW3299" s="938"/>
      <c r="AX3299" s="939"/>
      <c r="AY3299" s="933"/>
      <c r="AZ3299" s="936"/>
      <c r="BA3299" s="936"/>
      <c r="BB3299" s="1112"/>
      <c r="BC3299" s="940"/>
      <c r="BD3299" s="941"/>
      <c r="BE3299" s="942"/>
      <c r="BF3299" s="943"/>
      <c r="BG3299" s="943"/>
      <c r="BH3299" s="943"/>
      <c r="BI3299" s="943"/>
      <c r="BJ3299" s="943"/>
      <c r="BK3299" s="943"/>
      <c r="BL3299" s="943"/>
      <c r="BM3299" s="943"/>
      <c r="BN3299" s="943"/>
      <c r="BO3299" s="1059"/>
      <c r="BP3299" s="1059"/>
      <c r="BQ3299" s="1059"/>
      <c r="BR3299" s="1059"/>
      <c r="BS3299" s="1059"/>
      <c r="BT3299" s="1059"/>
      <c r="BU3299" s="1059"/>
      <c r="BV3299" s="944"/>
      <c r="BW3299" s="944"/>
      <c r="BX3299" s="1147"/>
      <c r="BY3299" s="944"/>
      <c r="BZ3299" s="944"/>
      <c r="CA3299" s="944"/>
      <c r="CB3299" s="944"/>
    </row>
    <row r="3300" spans="2:80">
      <c r="B3300" s="1097"/>
      <c r="C3300" s="1097"/>
      <c r="D3300" s="1097"/>
      <c r="E3300" s="1097"/>
      <c r="F3300" s="934"/>
      <c r="G3300" s="1098"/>
      <c r="H3300" s="1099"/>
      <c r="I3300" s="1099"/>
      <c r="J3300" s="934"/>
      <c r="K3300" s="934"/>
      <c r="L3300" s="933"/>
      <c r="M3300" s="1100"/>
      <c r="N3300" s="934"/>
      <c r="O3300" s="936"/>
      <c r="P3300" s="936"/>
      <c r="Q3300" s="933"/>
      <c r="T3300" s="1101"/>
      <c r="U3300" s="1102"/>
      <c r="V3300" s="936"/>
      <c r="W3300" s="1103"/>
      <c r="X3300" s="1104"/>
      <c r="Y3300" s="1105"/>
      <c r="Z3300" s="1103"/>
      <c r="AC3300" s="1106"/>
      <c r="AD3300" s="1107"/>
      <c r="AE3300" s="1104"/>
      <c r="AG3300" s="1109"/>
      <c r="AI3300" s="1110"/>
      <c r="AL3300" s="933"/>
      <c r="AM3300" s="933"/>
      <c r="AN3300" s="1100"/>
      <c r="AO3300" s="1100"/>
      <c r="AP3300" s="934"/>
      <c r="AQ3300" s="934"/>
      <c r="AR3300" s="934"/>
      <c r="AS3300" s="936"/>
      <c r="AT3300" s="936"/>
      <c r="AU3300" s="936"/>
      <c r="AV3300" s="937"/>
      <c r="AW3300" s="938"/>
      <c r="AX3300" s="939"/>
      <c r="AY3300" s="933"/>
      <c r="AZ3300" s="936"/>
      <c r="BA3300" s="936"/>
      <c r="BB3300" s="1112"/>
      <c r="BC3300" s="940"/>
      <c r="BD3300" s="941"/>
      <c r="BE3300" s="942"/>
      <c r="BF3300" s="943"/>
      <c r="BG3300" s="943"/>
      <c r="BH3300" s="943"/>
      <c r="BI3300" s="943"/>
      <c r="BJ3300" s="943"/>
      <c r="BK3300" s="943"/>
      <c r="BL3300" s="943"/>
      <c r="BM3300" s="943"/>
      <c r="BN3300" s="943"/>
      <c r="BO3300" s="1059"/>
      <c r="BP3300" s="1059"/>
      <c r="BQ3300" s="1059"/>
      <c r="BR3300" s="1059"/>
      <c r="BS3300" s="1059"/>
      <c r="BT3300" s="1059"/>
      <c r="BU3300" s="1059"/>
      <c r="BV3300" s="944"/>
      <c r="BW3300" s="944"/>
      <c r="BX3300" s="1147"/>
      <c r="BY3300" s="944"/>
      <c r="BZ3300" s="944"/>
      <c r="CA3300" s="944"/>
      <c r="CB3300" s="944"/>
    </row>
    <row r="3301" spans="2:80">
      <c r="B3301" s="1097"/>
      <c r="C3301" s="1097"/>
      <c r="D3301" s="1097"/>
      <c r="E3301" s="1097"/>
      <c r="F3301" s="934"/>
      <c r="G3301" s="1098"/>
      <c r="H3301" s="1099"/>
      <c r="I3301" s="1099"/>
      <c r="J3301" s="934"/>
      <c r="K3301" s="934"/>
      <c r="L3301" s="933"/>
      <c r="M3301" s="1100"/>
      <c r="N3301" s="934"/>
      <c r="O3301" s="936"/>
      <c r="P3301" s="936"/>
      <c r="Q3301" s="933"/>
      <c r="T3301" s="1101"/>
      <c r="U3301" s="1102"/>
      <c r="V3301" s="936"/>
      <c r="W3301" s="1103"/>
      <c r="X3301" s="1104"/>
      <c r="Y3301" s="1105"/>
      <c r="Z3301" s="1103"/>
      <c r="AC3301" s="1106"/>
      <c r="AD3301" s="1107"/>
      <c r="AE3301" s="1104"/>
      <c r="AG3301" s="1109"/>
      <c r="AI3301" s="1110"/>
      <c r="AL3301" s="933"/>
      <c r="AM3301" s="933"/>
      <c r="AN3301" s="1100"/>
      <c r="AO3301" s="1100"/>
      <c r="AP3301" s="934"/>
      <c r="AQ3301" s="934"/>
      <c r="AR3301" s="934"/>
      <c r="AS3301" s="936"/>
      <c r="AT3301" s="936"/>
      <c r="AU3301" s="936"/>
      <c r="AV3301" s="937"/>
      <c r="AW3301" s="938"/>
      <c r="AX3301" s="939"/>
      <c r="AY3301" s="933"/>
      <c r="AZ3301" s="936"/>
      <c r="BA3301" s="936"/>
      <c r="BB3301" s="1112"/>
      <c r="BC3301" s="940"/>
      <c r="BD3301" s="941"/>
      <c r="BE3301" s="942"/>
      <c r="BF3301" s="943"/>
      <c r="BG3301" s="943"/>
      <c r="BH3301" s="943"/>
      <c r="BI3301" s="943"/>
      <c r="BJ3301" s="943"/>
      <c r="BK3301" s="943"/>
      <c r="BL3301" s="943"/>
      <c r="BM3301" s="943"/>
      <c r="BN3301" s="943"/>
      <c r="BO3301" s="1059"/>
      <c r="BP3301" s="1059"/>
      <c r="BQ3301" s="1059"/>
      <c r="BR3301" s="1059"/>
      <c r="BS3301" s="1059"/>
      <c r="BT3301" s="1059"/>
      <c r="BU3301" s="1059"/>
      <c r="BV3301" s="944"/>
      <c r="BW3301" s="944"/>
      <c r="BX3301" s="1147"/>
      <c r="BY3301" s="944"/>
      <c r="BZ3301" s="944"/>
      <c r="CA3301" s="944"/>
      <c r="CB3301" s="944"/>
    </row>
    <row r="3302" spans="2:80">
      <c r="B3302" s="1097"/>
      <c r="C3302" s="1097"/>
      <c r="D3302" s="1097"/>
      <c r="E3302" s="1097"/>
      <c r="F3302" s="934"/>
      <c r="G3302" s="1098"/>
      <c r="H3302" s="1099"/>
      <c r="I3302" s="1099"/>
      <c r="J3302" s="934"/>
      <c r="K3302" s="934"/>
      <c r="L3302" s="933"/>
      <c r="M3302" s="1100"/>
      <c r="N3302" s="934"/>
      <c r="O3302" s="936"/>
      <c r="P3302" s="936"/>
      <c r="Q3302" s="933"/>
      <c r="T3302" s="1101"/>
      <c r="U3302" s="1102"/>
      <c r="V3302" s="936"/>
      <c r="W3302" s="1103"/>
      <c r="X3302" s="1104"/>
      <c r="Y3302" s="1105"/>
      <c r="Z3302" s="1103"/>
      <c r="AC3302" s="1106"/>
      <c r="AD3302" s="1107"/>
      <c r="AE3302" s="1104"/>
      <c r="AG3302" s="1109"/>
      <c r="AI3302" s="1110"/>
      <c r="AL3302" s="933"/>
      <c r="AM3302" s="933"/>
      <c r="AN3302" s="1100"/>
      <c r="AO3302" s="1100"/>
      <c r="AP3302" s="934"/>
      <c r="AQ3302" s="934"/>
      <c r="AR3302" s="934"/>
      <c r="AS3302" s="936"/>
      <c r="AT3302" s="936"/>
      <c r="AU3302" s="936"/>
      <c r="AV3302" s="937"/>
      <c r="AW3302" s="938"/>
      <c r="AX3302" s="939"/>
      <c r="AY3302" s="933"/>
      <c r="AZ3302" s="936"/>
      <c r="BA3302" s="936"/>
      <c r="BB3302" s="1112"/>
      <c r="BC3302" s="940"/>
      <c r="BD3302" s="941"/>
      <c r="BE3302" s="942"/>
      <c r="BF3302" s="943"/>
      <c r="BG3302" s="943"/>
      <c r="BH3302" s="943"/>
      <c r="BI3302" s="943"/>
      <c r="BJ3302" s="943"/>
      <c r="BK3302" s="943"/>
      <c r="BL3302" s="943"/>
      <c r="BM3302" s="943"/>
      <c r="BN3302" s="943"/>
      <c r="BO3302" s="1059"/>
      <c r="BP3302" s="1059"/>
      <c r="BQ3302" s="1059"/>
      <c r="BR3302" s="1059"/>
      <c r="BS3302" s="1059"/>
      <c r="BT3302" s="1059"/>
      <c r="BU3302" s="1059"/>
      <c r="BV3302" s="944"/>
      <c r="BW3302" s="944"/>
      <c r="BX3302" s="1147"/>
      <c r="BY3302" s="944"/>
      <c r="BZ3302" s="944"/>
      <c r="CA3302" s="944"/>
      <c r="CB3302" s="944"/>
    </row>
    <row r="3303" spans="2:80">
      <c r="B3303" s="1097"/>
      <c r="C3303" s="1097"/>
      <c r="D3303" s="1097"/>
      <c r="E3303" s="1097"/>
      <c r="F3303" s="934"/>
      <c r="G3303" s="1098"/>
      <c r="H3303" s="1099"/>
      <c r="I3303" s="1099"/>
      <c r="J3303" s="934"/>
      <c r="K3303" s="934"/>
      <c r="L3303" s="933"/>
      <c r="M3303" s="1100"/>
      <c r="N3303" s="934"/>
      <c r="O3303" s="936"/>
      <c r="P3303" s="936"/>
      <c r="Q3303" s="933"/>
      <c r="T3303" s="1101"/>
      <c r="U3303" s="1102"/>
      <c r="V3303" s="936"/>
      <c r="W3303" s="1103"/>
      <c r="X3303" s="1104"/>
      <c r="Y3303" s="1105"/>
      <c r="Z3303" s="1103"/>
      <c r="AC3303" s="1106"/>
      <c r="AD3303" s="1107"/>
      <c r="AE3303" s="1104"/>
      <c r="AG3303" s="1109"/>
      <c r="AI3303" s="1110"/>
      <c r="AL3303" s="933"/>
      <c r="AM3303" s="933"/>
      <c r="AN3303" s="1100"/>
      <c r="AO3303" s="1100"/>
      <c r="AP3303" s="934"/>
      <c r="AQ3303" s="934"/>
      <c r="AR3303" s="934"/>
      <c r="AS3303" s="936"/>
      <c r="AT3303" s="936"/>
      <c r="AU3303" s="936"/>
      <c r="AV3303" s="937"/>
      <c r="AW3303" s="938"/>
      <c r="AX3303" s="939"/>
      <c r="AY3303" s="933"/>
      <c r="AZ3303" s="936"/>
      <c r="BA3303" s="936"/>
      <c r="BB3303" s="1112"/>
      <c r="BC3303" s="940"/>
      <c r="BD3303" s="941"/>
      <c r="BE3303" s="942"/>
      <c r="BF3303" s="943"/>
      <c r="BG3303" s="943"/>
      <c r="BH3303" s="943"/>
      <c r="BI3303" s="943"/>
      <c r="BJ3303" s="943"/>
      <c r="BK3303" s="943"/>
      <c r="BL3303" s="943"/>
      <c r="BM3303" s="943"/>
      <c r="BN3303" s="943"/>
      <c r="BO3303" s="1059"/>
      <c r="BP3303" s="1059"/>
      <c r="BQ3303" s="1059"/>
      <c r="BR3303" s="1059"/>
      <c r="BS3303" s="1059"/>
      <c r="BT3303" s="1059"/>
      <c r="BU3303" s="1059"/>
      <c r="BV3303" s="944"/>
      <c r="BW3303" s="944"/>
      <c r="BX3303" s="1147"/>
      <c r="BY3303" s="944"/>
      <c r="BZ3303" s="944"/>
      <c r="CA3303" s="944"/>
      <c r="CB3303" s="944"/>
    </row>
    <row r="3304" spans="2:80">
      <c r="B3304" s="1097"/>
      <c r="C3304" s="1097"/>
      <c r="D3304" s="1097"/>
      <c r="E3304" s="1097"/>
      <c r="F3304" s="934"/>
      <c r="G3304" s="1098"/>
      <c r="H3304" s="1099"/>
      <c r="I3304" s="1099"/>
      <c r="J3304" s="934"/>
      <c r="K3304" s="934"/>
      <c r="L3304" s="933"/>
      <c r="M3304" s="1100"/>
      <c r="N3304" s="934"/>
      <c r="O3304" s="936"/>
      <c r="P3304" s="936"/>
      <c r="Q3304" s="933"/>
      <c r="T3304" s="1101"/>
      <c r="U3304" s="1102"/>
      <c r="V3304" s="936"/>
      <c r="W3304" s="1103"/>
      <c r="X3304" s="1104"/>
      <c r="Y3304" s="1105"/>
      <c r="Z3304" s="1103"/>
      <c r="AC3304" s="1106"/>
      <c r="AD3304" s="1107"/>
      <c r="AE3304" s="1104"/>
      <c r="AG3304" s="1109"/>
      <c r="AI3304" s="1110"/>
      <c r="AL3304" s="933"/>
      <c r="AM3304" s="933"/>
      <c r="AN3304" s="1100"/>
      <c r="AO3304" s="1100"/>
      <c r="AP3304" s="934"/>
      <c r="AQ3304" s="934"/>
      <c r="AR3304" s="934"/>
      <c r="AS3304" s="936"/>
      <c r="AT3304" s="936"/>
      <c r="AU3304" s="936"/>
      <c r="AV3304" s="937"/>
      <c r="AW3304" s="938"/>
      <c r="AX3304" s="939"/>
      <c r="AY3304" s="933"/>
      <c r="AZ3304" s="936"/>
      <c r="BA3304" s="936"/>
      <c r="BB3304" s="1112"/>
      <c r="BC3304" s="940"/>
      <c r="BD3304" s="941"/>
      <c r="BE3304" s="942"/>
      <c r="BF3304" s="943"/>
      <c r="BG3304" s="943"/>
      <c r="BH3304" s="943"/>
      <c r="BI3304" s="943"/>
      <c r="BJ3304" s="943"/>
      <c r="BK3304" s="943"/>
      <c r="BL3304" s="943"/>
      <c r="BM3304" s="943"/>
      <c r="BN3304" s="943"/>
      <c r="BO3304" s="1059"/>
      <c r="BP3304" s="1059"/>
      <c r="BQ3304" s="1059"/>
      <c r="BR3304" s="1059"/>
      <c r="BS3304" s="1059"/>
      <c r="BT3304" s="1059"/>
      <c r="BU3304" s="1059"/>
      <c r="BV3304" s="944"/>
      <c r="BW3304" s="944"/>
      <c r="BX3304" s="1147"/>
      <c r="BY3304" s="944"/>
      <c r="BZ3304" s="944"/>
      <c r="CA3304" s="944"/>
      <c r="CB3304" s="944"/>
    </row>
    <row r="3305" spans="2:80">
      <c r="B3305" s="1097"/>
      <c r="C3305" s="1097"/>
      <c r="D3305" s="1097"/>
      <c r="E3305" s="1097"/>
      <c r="F3305" s="934"/>
      <c r="G3305" s="1098"/>
      <c r="H3305" s="1099"/>
      <c r="I3305" s="1099"/>
      <c r="J3305" s="934"/>
      <c r="K3305" s="934"/>
      <c r="L3305" s="933"/>
      <c r="M3305" s="1100"/>
      <c r="N3305" s="934"/>
      <c r="O3305" s="936"/>
      <c r="P3305" s="936"/>
      <c r="Q3305" s="933"/>
      <c r="T3305" s="1101"/>
      <c r="U3305" s="1102"/>
      <c r="V3305" s="936"/>
      <c r="W3305" s="1103"/>
      <c r="X3305" s="1104"/>
      <c r="Y3305" s="1105"/>
      <c r="Z3305" s="1103"/>
      <c r="AC3305" s="1106"/>
      <c r="AD3305" s="1107"/>
      <c r="AE3305" s="1104"/>
      <c r="AG3305" s="1109"/>
      <c r="AI3305" s="1110"/>
      <c r="AL3305" s="933"/>
      <c r="AM3305" s="933"/>
      <c r="AN3305" s="1100"/>
      <c r="AO3305" s="1100"/>
      <c r="AP3305" s="934"/>
      <c r="AQ3305" s="934"/>
      <c r="AR3305" s="934"/>
      <c r="AS3305" s="936"/>
      <c r="AT3305" s="936"/>
      <c r="AU3305" s="936"/>
      <c r="AV3305" s="937"/>
      <c r="AW3305" s="938"/>
      <c r="AX3305" s="939"/>
      <c r="AY3305" s="933"/>
      <c r="AZ3305" s="936"/>
      <c r="BA3305" s="936"/>
      <c r="BB3305" s="1112"/>
      <c r="BC3305" s="940"/>
      <c r="BD3305" s="941"/>
      <c r="BE3305" s="942"/>
      <c r="BF3305" s="943"/>
      <c r="BG3305" s="943"/>
      <c r="BH3305" s="943"/>
      <c r="BI3305" s="943"/>
      <c r="BJ3305" s="943"/>
      <c r="BK3305" s="943"/>
      <c r="BL3305" s="943"/>
      <c r="BM3305" s="943"/>
      <c r="BN3305" s="943"/>
      <c r="BO3305" s="1059"/>
      <c r="BP3305" s="1059"/>
      <c r="BQ3305" s="1059"/>
      <c r="BR3305" s="1059"/>
      <c r="BS3305" s="1059"/>
      <c r="BT3305" s="1059"/>
      <c r="BU3305" s="1059"/>
      <c r="BV3305" s="944"/>
      <c r="BW3305" s="944"/>
      <c r="BX3305" s="1147"/>
      <c r="BY3305" s="944"/>
      <c r="BZ3305" s="944"/>
      <c r="CA3305" s="944"/>
      <c r="CB3305" s="944"/>
    </row>
    <row r="3306" spans="2:80">
      <c r="B3306" s="1097"/>
      <c r="C3306" s="1097"/>
      <c r="D3306" s="1097"/>
      <c r="E3306" s="1097"/>
      <c r="F3306" s="934"/>
      <c r="G3306" s="1098"/>
      <c r="H3306" s="1099"/>
      <c r="I3306" s="1099"/>
      <c r="J3306" s="934"/>
      <c r="K3306" s="934"/>
      <c r="L3306" s="933"/>
      <c r="M3306" s="1100"/>
      <c r="N3306" s="934"/>
      <c r="O3306" s="936"/>
      <c r="P3306" s="936"/>
      <c r="Q3306" s="933"/>
      <c r="T3306" s="1101"/>
      <c r="U3306" s="1102"/>
      <c r="V3306" s="936"/>
      <c r="W3306" s="1103"/>
      <c r="X3306" s="1104"/>
      <c r="Y3306" s="1105"/>
      <c r="Z3306" s="1103"/>
      <c r="AC3306" s="1106"/>
      <c r="AD3306" s="1107"/>
      <c r="AE3306" s="1104"/>
      <c r="AG3306" s="1109"/>
      <c r="AI3306" s="1110"/>
      <c r="AL3306" s="933"/>
      <c r="AM3306" s="933"/>
      <c r="AN3306" s="1100"/>
      <c r="AO3306" s="1100"/>
      <c r="AP3306" s="934"/>
      <c r="AQ3306" s="934"/>
      <c r="AR3306" s="934"/>
      <c r="AS3306" s="936"/>
      <c r="AT3306" s="936"/>
      <c r="AU3306" s="936"/>
      <c r="AV3306" s="937"/>
      <c r="AW3306" s="938"/>
      <c r="AX3306" s="939"/>
      <c r="AY3306" s="933"/>
      <c r="AZ3306" s="936"/>
      <c r="BA3306" s="936"/>
      <c r="BB3306" s="1112"/>
      <c r="BC3306" s="940"/>
      <c r="BD3306" s="941"/>
      <c r="BE3306" s="942"/>
      <c r="BF3306" s="943"/>
      <c r="BG3306" s="943"/>
      <c r="BH3306" s="943"/>
      <c r="BI3306" s="943"/>
      <c r="BJ3306" s="943"/>
      <c r="BK3306" s="943"/>
      <c r="BL3306" s="943"/>
      <c r="BM3306" s="943"/>
      <c r="BN3306" s="943"/>
      <c r="BO3306" s="1059"/>
      <c r="BP3306" s="1059"/>
      <c r="BQ3306" s="1059"/>
      <c r="BR3306" s="1059"/>
      <c r="BS3306" s="1059"/>
      <c r="BT3306" s="1059"/>
      <c r="BU3306" s="1059"/>
      <c r="BV3306" s="944"/>
      <c r="BW3306" s="944"/>
      <c r="BX3306" s="1147"/>
      <c r="BY3306" s="944"/>
      <c r="BZ3306" s="944"/>
      <c r="CA3306" s="944"/>
      <c r="CB3306" s="944"/>
    </row>
    <row r="3307" spans="2:80">
      <c r="B3307" s="1097"/>
      <c r="C3307" s="1097"/>
      <c r="D3307" s="1097"/>
      <c r="E3307" s="1097"/>
      <c r="F3307" s="934"/>
      <c r="G3307" s="1098"/>
      <c r="H3307" s="1099"/>
      <c r="I3307" s="1099"/>
      <c r="J3307" s="934"/>
      <c r="K3307" s="934"/>
      <c r="L3307" s="933"/>
      <c r="M3307" s="1100"/>
      <c r="N3307" s="934"/>
      <c r="O3307" s="936"/>
      <c r="P3307" s="936"/>
      <c r="Q3307" s="933"/>
      <c r="T3307" s="1101"/>
      <c r="U3307" s="1102"/>
      <c r="V3307" s="936"/>
      <c r="W3307" s="1103"/>
      <c r="X3307" s="1104"/>
      <c r="Y3307" s="1105"/>
      <c r="Z3307" s="1103"/>
      <c r="AC3307" s="1106"/>
      <c r="AD3307" s="1107"/>
      <c r="AE3307" s="1104"/>
      <c r="AG3307" s="1109"/>
      <c r="AI3307" s="1110"/>
      <c r="AL3307" s="933"/>
      <c r="AM3307" s="933"/>
      <c r="AN3307" s="1100"/>
      <c r="AO3307" s="1100"/>
      <c r="AP3307" s="934"/>
      <c r="AQ3307" s="934"/>
      <c r="AR3307" s="934"/>
      <c r="AS3307" s="936"/>
      <c r="AT3307" s="936"/>
      <c r="AU3307" s="936"/>
      <c r="AV3307" s="937"/>
      <c r="AW3307" s="938"/>
      <c r="AX3307" s="939"/>
      <c r="AY3307" s="933"/>
      <c r="AZ3307" s="936"/>
      <c r="BA3307" s="936"/>
      <c r="BB3307" s="1112"/>
      <c r="BC3307" s="940"/>
      <c r="BD3307" s="941"/>
      <c r="BE3307" s="942"/>
      <c r="BF3307" s="943"/>
      <c r="BG3307" s="943"/>
      <c r="BH3307" s="943"/>
      <c r="BI3307" s="943"/>
      <c r="BJ3307" s="943"/>
      <c r="BK3307" s="943"/>
      <c r="BL3307" s="943"/>
      <c r="BM3307" s="943"/>
      <c r="BN3307" s="943"/>
      <c r="BO3307" s="1059"/>
      <c r="BP3307" s="1059"/>
      <c r="BQ3307" s="1059"/>
      <c r="BR3307" s="1059"/>
      <c r="BS3307" s="1059"/>
      <c r="BT3307" s="1059"/>
      <c r="BU3307" s="1059"/>
      <c r="BV3307" s="944"/>
      <c r="BW3307" s="944"/>
      <c r="BX3307" s="1147"/>
      <c r="BY3307" s="944"/>
      <c r="BZ3307" s="944"/>
      <c r="CA3307" s="944"/>
      <c r="CB3307" s="944"/>
    </row>
    <row r="3308" spans="2:80">
      <c r="B3308" s="1097"/>
      <c r="C3308" s="1097"/>
      <c r="D3308" s="1097"/>
      <c r="E3308" s="1097"/>
      <c r="F3308" s="934"/>
      <c r="G3308" s="1098"/>
      <c r="H3308" s="1099"/>
      <c r="I3308" s="1099"/>
      <c r="J3308" s="934"/>
      <c r="K3308" s="934"/>
      <c r="L3308" s="933"/>
      <c r="M3308" s="1100"/>
      <c r="N3308" s="934"/>
      <c r="O3308" s="936"/>
      <c r="P3308" s="936"/>
      <c r="Q3308" s="933"/>
      <c r="T3308" s="1101"/>
      <c r="U3308" s="1102"/>
      <c r="V3308" s="936"/>
      <c r="W3308" s="1103"/>
      <c r="X3308" s="1104"/>
      <c r="Y3308" s="1105"/>
      <c r="Z3308" s="1103"/>
      <c r="AC3308" s="1106"/>
      <c r="AD3308" s="1107"/>
      <c r="AE3308" s="1104"/>
      <c r="AG3308" s="1109"/>
      <c r="AI3308" s="1110"/>
      <c r="AL3308" s="933"/>
      <c r="AM3308" s="933"/>
      <c r="AN3308" s="1100"/>
      <c r="AO3308" s="1100"/>
      <c r="AP3308" s="934"/>
      <c r="AQ3308" s="934"/>
      <c r="AR3308" s="934"/>
      <c r="AS3308" s="936"/>
      <c r="AT3308" s="936"/>
      <c r="AU3308" s="936"/>
      <c r="AV3308" s="937"/>
      <c r="AW3308" s="938"/>
      <c r="AX3308" s="939"/>
      <c r="AY3308" s="933"/>
      <c r="AZ3308" s="936"/>
      <c r="BA3308" s="936"/>
      <c r="BB3308" s="1112"/>
      <c r="BC3308" s="940"/>
      <c r="BD3308" s="941"/>
      <c r="BE3308" s="942"/>
      <c r="BF3308" s="943"/>
      <c r="BG3308" s="943"/>
      <c r="BH3308" s="943"/>
      <c r="BI3308" s="943"/>
      <c r="BJ3308" s="943"/>
      <c r="BK3308" s="943"/>
      <c r="BL3308" s="943"/>
      <c r="BM3308" s="943"/>
      <c r="BN3308" s="943"/>
      <c r="BO3308" s="1059"/>
      <c r="BP3308" s="1059"/>
      <c r="BQ3308" s="1059"/>
      <c r="BR3308" s="1059"/>
      <c r="BS3308" s="1059"/>
      <c r="BT3308" s="1059"/>
      <c r="BU3308" s="1059"/>
      <c r="BV3308" s="944"/>
      <c r="BW3308" s="944"/>
      <c r="BX3308" s="1147"/>
      <c r="BY3308" s="944"/>
      <c r="BZ3308" s="944"/>
      <c r="CA3308" s="944"/>
      <c r="CB3308" s="944"/>
    </row>
    <row r="3309" spans="2:80">
      <c r="B3309" s="1097"/>
      <c r="C3309" s="1097"/>
      <c r="D3309" s="1097"/>
      <c r="E3309" s="1097"/>
      <c r="F3309" s="934"/>
      <c r="G3309" s="1098"/>
      <c r="H3309" s="1099"/>
      <c r="I3309" s="1099"/>
      <c r="J3309" s="934"/>
      <c r="K3309" s="934"/>
      <c r="L3309" s="933"/>
      <c r="M3309" s="1100"/>
      <c r="N3309" s="934"/>
      <c r="O3309" s="936"/>
      <c r="P3309" s="936"/>
      <c r="Q3309" s="933"/>
      <c r="T3309" s="1101"/>
      <c r="U3309" s="1102"/>
      <c r="V3309" s="936"/>
      <c r="W3309" s="1103"/>
      <c r="X3309" s="1104"/>
      <c r="Y3309" s="1105"/>
      <c r="Z3309" s="1103"/>
      <c r="AC3309" s="1106"/>
      <c r="AD3309" s="1107"/>
      <c r="AE3309" s="1104"/>
      <c r="AG3309" s="1109"/>
      <c r="AI3309" s="1110"/>
      <c r="AL3309" s="933"/>
      <c r="AM3309" s="933"/>
      <c r="AN3309" s="1100"/>
      <c r="AO3309" s="1100"/>
      <c r="AP3309" s="934"/>
      <c r="AQ3309" s="934"/>
      <c r="AR3309" s="934"/>
      <c r="AS3309" s="936"/>
      <c r="AT3309" s="936"/>
      <c r="AU3309" s="936"/>
      <c r="AV3309" s="937"/>
      <c r="AW3309" s="938"/>
      <c r="AX3309" s="939"/>
      <c r="AY3309" s="933"/>
      <c r="AZ3309" s="936"/>
      <c r="BA3309" s="936"/>
      <c r="BB3309" s="1112"/>
      <c r="BC3309" s="940"/>
      <c r="BD3309" s="941"/>
      <c r="BE3309" s="942"/>
      <c r="BF3309" s="943"/>
      <c r="BG3309" s="943"/>
      <c r="BH3309" s="943"/>
      <c r="BI3309" s="943"/>
      <c r="BJ3309" s="943"/>
      <c r="BK3309" s="943"/>
      <c r="BL3309" s="943"/>
      <c r="BM3309" s="943"/>
      <c r="BN3309" s="943"/>
      <c r="BO3309" s="1059"/>
      <c r="BP3309" s="1059"/>
      <c r="BQ3309" s="1059"/>
      <c r="BR3309" s="1059"/>
      <c r="BS3309" s="1059"/>
      <c r="BT3309" s="1059"/>
      <c r="BU3309" s="1059"/>
      <c r="BV3309" s="944"/>
      <c r="BW3309" s="944"/>
      <c r="BX3309" s="1147"/>
      <c r="BY3309" s="944"/>
      <c r="BZ3309" s="944"/>
      <c r="CA3309" s="944"/>
      <c r="CB3309" s="944"/>
    </row>
    <row r="3310" spans="2:80">
      <c r="B3310" s="1097"/>
      <c r="C3310" s="1097"/>
      <c r="D3310" s="1097"/>
      <c r="E3310" s="1097"/>
      <c r="F3310" s="934"/>
      <c r="G3310" s="1098"/>
      <c r="H3310" s="1099"/>
      <c r="I3310" s="1099"/>
      <c r="J3310" s="934"/>
      <c r="K3310" s="934"/>
      <c r="L3310" s="933"/>
      <c r="M3310" s="1100"/>
      <c r="N3310" s="934"/>
      <c r="O3310" s="936"/>
      <c r="P3310" s="936"/>
      <c r="Q3310" s="933"/>
      <c r="T3310" s="1101"/>
      <c r="U3310" s="1102"/>
      <c r="V3310" s="936"/>
      <c r="W3310" s="1103"/>
      <c r="X3310" s="1104"/>
      <c r="Y3310" s="1105"/>
      <c r="Z3310" s="1103"/>
      <c r="AC3310" s="1106"/>
      <c r="AD3310" s="1107"/>
      <c r="AE3310" s="1104"/>
      <c r="AG3310" s="1109"/>
      <c r="AI3310" s="1110"/>
      <c r="AL3310" s="933"/>
      <c r="AM3310" s="933"/>
      <c r="AN3310" s="1100"/>
      <c r="AO3310" s="1100"/>
      <c r="AP3310" s="934"/>
      <c r="AQ3310" s="934"/>
      <c r="AR3310" s="934"/>
      <c r="AS3310" s="936"/>
      <c r="AT3310" s="936"/>
      <c r="AU3310" s="936"/>
      <c r="AV3310" s="937"/>
      <c r="AW3310" s="938"/>
      <c r="AX3310" s="939"/>
      <c r="AY3310" s="933"/>
      <c r="AZ3310" s="936"/>
      <c r="BA3310" s="936"/>
      <c r="BB3310" s="1112"/>
      <c r="BC3310" s="940"/>
      <c r="BD3310" s="941"/>
      <c r="BE3310" s="942"/>
      <c r="BF3310" s="943"/>
      <c r="BG3310" s="943"/>
      <c r="BH3310" s="943"/>
      <c r="BI3310" s="943"/>
      <c r="BJ3310" s="943"/>
      <c r="BK3310" s="943"/>
      <c r="BL3310" s="943"/>
      <c r="BM3310" s="943"/>
      <c r="BN3310" s="943"/>
      <c r="BO3310" s="1059"/>
      <c r="BP3310" s="1059"/>
      <c r="BQ3310" s="1059"/>
      <c r="BR3310" s="1059"/>
      <c r="BS3310" s="1059"/>
      <c r="BT3310" s="1059"/>
      <c r="BU3310" s="1059"/>
      <c r="BV3310" s="944"/>
      <c r="BW3310" s="944"/>
      <c r="BX3310" s="1147"/>
      <c r="BY3310" s="944"/>
      <c r="BZ3310" s="944"/>
      <c r="CA3310" s="944"/>
      <c r="CB3310" s="944"/>
    </row>
    <row r="3311" spans="2:80">
      <c r="B3311" s="1097"/>
      <c r="C3311" s="1097"/>
      <c r="D3311" s="1097"/>
      <c r="E3311" s="1097"/>
      <c r="F3311" s="934"/>
      <c r="G3311" s="1098"/>
      <c r="H3311" s="1099"/>
      <c r="I3311" s="1099"/>
      <c r="J3311" s="934"/>
      <c r="K3311" s="934"/>
      <c r="L3311" s="933"/>
      <c r="M3311" s="1100"/>
      <c r="N3311" s="934"/>
      <c r="O3311" s="936"/>
      <c r="P3311" s="936"/>
      <c r="Q3311" s="933"/>
      <c r="T3311" s="1101"/>
      <c r="U3311" s="1102"/>
      <c r="V3311" s="936"/>
      <c r="W3311" s="1103"/>
      <c r="X3311" s="1104"/>
      <c r="Y3311" s="1105"/>
      <c r="Z3311" s="1103"/>
      <c r="AC3311" s="1106"/>
      <c r="AD3311" s="1107"/>
      <c r="AE3311" s="1104"/>
      <c r="AG3311" s="1109"/>
      <c r="AI3311" s="1110"/>
      <c r="AL3311" s="933"/>
      <c r="AM3311" s="933"/>
      <c r="AN3311" s="1100"/>
      <c r="AO3311" s="1100"/>
      <c r="AP3311" s="934"/>
      <c r="AQ3311" s="934"/>
      <c r="AR3311" s="934"/>
      <c r="AS3311" s="936"/>
      <c r="AT3311" s="936"/>
      <c r="AU3311" s="936"/>
      <c r="AV3311" s="937"/>
      <c r="AW3311" s="938"/>
      <c r="AX3311" s="939"/>
      <c r="AY3311" s="933"/>
      <c r="AZ3311" s="936"/>
      <c r="BA3311" s="936"/>
      <c r="BB3311" s="1112"/>
      <c r="BC3311" s="940"/>
      <c r="BD3311" s="941"/>
      <c r="BE3311" s="942"/>
      <c r="BF3311" s="943"/>
      <c r="BG3311" s="943"/>
      <c r="BH3311" s="943"/>
      <c r="BI3311" s="943"/>
      <c r="BJ3311" s="943"/>
      <c r="BK3311" s="943"/>
      <c r="BL3311" s="943"/>
      <c r="BM3311" s="943"/>
      <c r="BN3311" s="943"/>
      <c r="BO3311" s="1059"/>
      <c r="BP3311" s="1059"/>
      <c r="BQ3311" s="1059"/>
      <c r="BR3311" s="1059"/>
      <c r="BS3311" s="1059"/>
      <c r="BT3311" s="1059"/>
      <c r="BU3311" s="1059"/>
      <c r="BV3311" s="944"/>
      <c r="BW3311" s="944"/>
      <c r="BX3311" s="1147"/>
      <c r="BY3311" s="944"/>
      <c r="BZ3311" s="944"/>
      <c r="CA3311" s="944"/>
      <c r="CB3311" s="944"/>
    </row>
    <row r="3312" spans="2:80">
      <c r="B3312" s="1097"/>
      <c r="C3312" s="1097"/>
      <c r="D3312" s="1097"/>
      <c r="E3312" s="1097"/>
      <c r="F3312" s="934"/>
      <c r="G3312" s="1098"/>
      <c r="H3312" s="1099"/>
      <c r="I3312" s="1099"/>
      <c r="J3312" s="934"/>
      <c r="K3312" s="934"/>
      <c r="L3312" s="933"/>
      <c r="M3312" s="1100"/>
      <c r="N3312" s="934"/>
      <c r="O3312" s="936"/>
      <c r="P3312" s="936"/>
      <c r="Q3312" s="933"/>
      <c r="T3312" s="1101"/>
      <c r="U3312" s="1102"/>
      <c r="V3312" s="936"/>
      <c r="W3312" s="1103"/>
      <c r="X3312" s="1104"/>
      <c r="Y3312" s="1105"/>
      <c r="Z3312" s="1103"/>
      <c r="AC3312" s="1106"/>
      <c r="AD3312" s="1107"/>
      <c r="AE3312" s="1104"/>
      <c r="AG3312" s="1109"/>
      <c r="AI3312" s="1110"/>
      <c r="AL3312" s="933"/>
      <c r="AM3312" s="933"/>
      <c r="AN3312" s="1100"/>
      <c r="AO3312" s="1100"/>
      <c r="AP3312" s="934"/>
      <c r="AQ3312" s="934"/>
      <c r="AR3312" s="934"/>
      <c r="AS3312" s="936"/>
      <c r="AT3312" s="936"/>
      <c r="AU3312" s="936"/>
      <c r="AV3312" s="937"/>
      <c r="AW3312" s="938"/>
      <c r="AX3312" s="939"/>
      <c r="AY3312" s="933"/>
      <c r="AZ3312" s="936"/>
      <c r="BA3312" s="936"/>
      <c r="BB3312" s="1112"/>
      <c r="BC3312" s="940"/>
      <c r="BD3312" s="941"/>
      <c r="BE3312" s="942"/>
      <c r="BF3312" s="943"/>
      <c r="BG3312" s="943"/>
      <c r="BH3312" s="943"/>
      <c r="BI3312" s="943"/>
      <c r="BJ3312" s="943"/>
      <c r="BK3312" s="943"/>
      <c r="BL3312" s="943"/>
      <c r="BM3312" s="943"/>
      <c r="BN3312" s="943"/>
      <c r="BO3312" s="1059"/>
      <c r="BP3312" s="1059"/>
      <c r="BQ3312" s="1059"/>
      <c r="BR3312" s="1059"/>
      <c r="BS3312" s="1059"/>
      <c r="BT3312" s="1059"/>
      <c r="BU3312" s="1059"/>
      <c r="BV3312" s="944"/>
      <c r="BW3312" s="944"/>
      <c r="BX3312" s="1147"/>
      <c r="BY3312" s="944"/>
      <c r="BZ3312" s="944"/>
      <c r="CA3312" s="944"/>
      <c r="CB3312" s="944"/>
    </row>
    <row r="3313" spans="2:80">
      <c r="B3313" s="1097"/>
      <c r="C3313" s="1097"/>
      <c r="D3313" s="1097"/>
      <c r="E3313" s="1097"/>
      <c r="F3313" s="934"/>
      <c r="G3313" s="1098"/>
      <c r="H3313" s="1099"/>
      <c r="I3313" s="1099"/>
      <c r="J3313" s="934"/>
      <c r="K3313" s="934"/>
      <c r="L3313" s="933"/>
      <c r="M3313" s="1100"/>
      <c r="N3313" s="934"/>
      <c r="O3313" s="936"/>
      <c r="P3313" s="936"/>
      <c r="Q3313" s="933"/>
      <c r="T3313" s="1101"/>
      <c r="U3313" s="1102"/>
      <c r="V3313" s="936"/>
      <c r="W3313" s="1103"/>
      <c r="X3313" s="1104"/>
      <c r="Y3313" s="1105"/>
      <c r="Z3313" s="1103"/>
      <c r="AC3313" s="1106"/>
      <c r="AD3313" s="1107"/>
      <c r="AE3313" s="1104"/>
      <c r="AG3313" s="1109"/>
      <c r="AI3313" s="1110"/>
      <c r="AL3313" s="933"/>
      <c r="AM3313" s="933"/>
      <c r="AN3313" s="1100"/>
      <c r="AO3313" s="1100"/>
      <c r="AP3313" s="934"/>
      <c r="AQ3313" s="934"/>
      <c r="AR3313" s="934"/>
      <c r="AS3313" s="936"/>
      <c r="AT3313" s="936"/>
      <c r="AU3313" s="936"/>
      <c r="AV3313" s="937"/>
      <c r="AW3313" s="938"/>
      <c r="AX3313" s="939"/>
      <c r="AY3313" s="933"/>
      <c r="AZ3313" s="936"/>
      <c r="BA3313" s="936"/>
      <c r="BB3313" s="1112"/>
      <c r="BC3313" s="940"/>
      <c r="BD3313" s="941"/>
      <c r="BE3313" s="942"/>
      <c r="BF3313" s="943"/>
      <c r="BG3313" s="943"/>
      <c r="BH3313" s="943"/>
      <c r="BI3313" s="943"/>
      <c r="BJ3313" s="943"/>
      <c r="BK3313" s="943"/>
      <c r="BL3313" s="943"/>
      <c r="BM3313" s="943"/>
      <c r="BN3313" s="943"/>
      <c r="BO3313" s="1059"/>
      <c r="BP3313" s="1059"/>
      <c r="BQ3313" s="1059"/>
      <c r="BR3313" s="1059"/>
      <c r="BS3313" s="1059"/>
      <c r="BT3313" s="1059"/>
      <c r="BU3313" s="1059"/>
      <c r="BV3313" s="944"/>
      <c r="BW3313" s="944"/>
      <c r="BX3313" s="1147"/>
      <c r="BY3313" s="944"/>
      <c r="BZ3313" s="944"/>
      <c r="CA3313" s="944"/>
      <c r="CB3313" s="944"/>
    </row>
    <row r="3314" spans="2:80">
      <c r="B3314" s="1097"/>
      <c r="C3314" s="1097"/>
      <c r="D3314" s="1097"/>
      <c r="E3314" s="1097"/>
      <c r="F3314" s="934"/>
      <c r="G3314" s="1098"/>
      <c r="H3314" s="1099"/>
      <c r="I3314" s="1099"/>
      <c r="J3314" s="934"/>
      <c r="K3314" s="934"/>
      <c r="L3314" s="933"/>
      <c r="M3314" s="1100"/>
      <c r="N3314" s="934"/>
      <c r="O3314" s="936"/>
      <c r="P3314" s="936"/>
      <c r="Q3314" s="933"/>
      <c r="T3314" s="1101"/>
      <c r="U3314" s="1102"/>
      <c r="V3314" s="936"/>
      <c r="W3314" s="1103"/>
      <c r="X3314" s="1104"/>
      <c r="Y3314" s="1105"/>
      <c r="Z3314" s="1103"/>
      <c r="AC3314" s="1106"/>
      <c r="AD3314" s="1107"/>
      <c r="AE3314" s="1104"/>
      <c r="AG3314" s="1109"/>
      <c r="AI3314" s="1110"/>
      <c r="AL3314" s="933"/>
      <c r="AM3314" s="933"/>
      <c r="AN3314" s="1100"/>
      <c r="AO3314" s="1100"/>
      <c r="AP3314" s="934"/>
      <c r="AQ3314" s="934"/>
      <c r="AR3314" s="934"/>
      <c r="AS3314" s="936"/>
      <c r="AT3314" s="936"/>
      <c r="AU3314" s="936"/>
      <c r="AV3314" s="937"/>
      <c r="AW3314" s="938"/>
      <c r="AX3314" s="939"/>
      <c r="AY3314" s="933"/>
      <c r="AZ3314" s="936"/>
      <c r="BA3314" s="936"/>
      <c r="BB3314" s="1112"/>
      <c r="BC3314" s="940"/>
      <c r="BD3314" s="941"/>
      <c r="BE3314" s="942"/>
      <c r="BF3314" s="943"/>
      <c r="BG3314" s="943"/>
      <c r="BH3314" s="943"/>
      <c r="BI3314" s="943"/>
      <c r="BJ3314" s="943"/>
      <c r="BK3314" s="943"/>
      <c r="BL3314" s="943"/>
      <c r="BM3314" s="943"/>
      <c r="BN3314" s="943"/>
      <c r="BO3314" s="1059"/>
      <c r="BP3314" s="1059"/>
      <c r="BQ3314" s="1059"/>
      <c r="BR3314" s="1059"/>
      <c r="BS3314" s="1059"/>
      <c r="BT3314" s="1059"/>
      <c r="BU3314" s="1059"/>
      <c r="BV3314" s="944"/>
      <c r="BW3314" s="944"/>
      <c r="BX3314" s="1147"/>
      <c r="BY3314" s="944"/>
      <c r="BZ3314" s="944"/>
      <c r="CA3314" s="944"/>
      <c r="CB3314" s="944"/>
    </row>
    <row r="3315" spans="2:80">
      <c r="B3315" s="1097"/>
      <c r="C3315" s="1097"/>
      <c r="D3315" s="1097"/>
      <c r="E3315" s="1097"/>
      <c r="F3315" s="934"/>
      <c r="G3315" s="1098"/>
      <c r="H3315" s="1099"/>
      <c r="I3315" s="1099"/>
      <c r="J3315" s="934"/>
      <c r="K3315" s="934"/>
      <c r="L3315" s="933"/>
      <c r="M3315" s="1100"/>
      <c r="N3315" s="934"/>
      <c r="O3315" s="936"/>
      <c r="P3315" s="936"/>
      <c r="Q3315" s="933"/>
      <c r="T3315" s="1101"/>
      <c r="U3315" s="1102"/>
      <c r="V3315" s="936"/>
      <c r="W3315" s="1103"/>
      <c r="X3315" s="1104"/>
      <c r="Y3315" s="1105"/>
      <c r="Z3315" s="1103"/>
      <c r="AC3315" s="1106"/>
      <c r="AD3315" s="1107"/>
      <c r="AE3315" s="1104"/>
      <c r="AG3315" s="1109"/>
      <c r="AI3315" s="1110"/>
      <c r="AL3315" s="933"/>
      <c r="AM3315" s="933"/>
      <c r="AN3315" s="1100"/>
      <c r="AO3315" s="1100"/>
      <c r="AP3315" s="934"/>
      <c r="AQ3315" s="934"/>
      <c r="AR3315" s="934"/>
      <c r="AS3315" s="936"/>
      <c r="AT3315" s="936"/>
      <c r="AU3315" s="936"/>
      <c r="AV3315" s="937"/>
      <c r="AW3315" s="938"/>
      <c r="AX3315" s="939"/>
      <c r="AY3315" s="933"/>
      <c r="AZ3315" s="936"/>
      <c r="BA3315" s="936"/>
      <c r="BB3315" s="1112"/>
      <c r="BC3315" s="940"/>
      <c r="BD3315" s="941"/>
      <c r="BE3315" s="942"/>
      <c r="BF3315" s="943"/>
      <c r="BG3315" s="943"/>
      <c r="BH3315" s="943"/>
      <c r="BI3315" s="943"/>
      <c r="BJ3315" s="943"/>
      <c r="BK3315" s="943"/>
      <c r="BL3315" s="943"/>
      <c r="BM3315" s="943"/>
      <c r="BN3315" s="943"/>
      <c r="BO3315" s="1059"/>
      <c r="BP3315" s="1059"/>
      <c r="BQ3315" s="1059"/>
      <c r="BR3315" s="1059"/>
      <c r="BS3315" s="1059"/>
      <c r="BT3315" s="1059"/>
      <c r="BU3315" s="1059"/>
      <c r="BV3315" s="944"/>
      <c r="BW3315" s="944"/>
      <c r="BX3315" s="1147"/>
      <c r="BY3315" s="944"/>
      <c r="BZ3315" s="944"/>
      <c r="CA3315" s="944"/>
      <c r="CB3315" s="944"/>
    </row>
    <row r="3316" spans="2:80">
      <c r="B3316" s="1097"/>
      <c r="C3316" s="1097"/>
      <c r="D3316" s="1097"/>
      <c r="E3316" s="1097"/>
      <c r="F3316" s="934"/>
      <c r="G3316" s="1098"/>
      <c r="H3316" s="1099"/>
      <c r="I3316" s="1099"/>
      <c r="J3316" s="934"/>
      <c r="K3316" s="934"/>
      <c r="L3316" s="933"/>
      <c r="M3316" s="1100"/>
      <c r="N3316" s="934"/>
      <c r="O3316" s="936"/>
      <c r="P3316" s="936"/>
      <c r="Q3316" s="933"/>
      <c r="T3316" s="1101"/>
      <c r="U3316" s="1102"/>
      <c r="V3316" s="936"/>
      <c r="W3316" s="1103"/>
      <c r="X3316" s="1104"/>
      <c r="Y3316" s="1105"/>
      <c r="Z3316" s="1103"/>
      <c r="AC3316" s="1106"/>
      <c r="AD3316" s="1107"/>
      <c r="AE3316" s="1104"/>
      <c r="AG3316" s="1109"/>
      <c r="AI3316" s="1110"/>
      <c r="AL3316" s="933"/>
      <c r="AM3316" s="933"/>
      <c r="AN3316" s="1100"/>
      <c r="AO3316" s="1100"/>
      <c r="AP3316" s="934"/>
      <c r="AQ3316" s="934"/>
      <c r="AR3316" s="934"/>
      <c r="AS3316" s="936"/>
      <c r="AT3316" s="936"/>
      <c r="AU3316" s="936"/>
      <c r="AV3316" s="937"/>
      <c r="AW3316" s="938"/>
      <c r="AX3316" s="939"/>
      <c r="AY3316" s="933"/>
      <c r="AZ3316" s="936"/>
      <c r="BA3316" s="936"/>
      <c r="BB3316" s="1112"/>
      <c r="BC3316" s="940"/>
      <c r="BD3316" s="941"/>
      <c r="BE3316" s="942"/>
      <c r="BF3316" s="943"/>
      <c r="BG3316" s="943"/>
      <c r="BH3316" s="943"/>
      <c r="BI3316" s="943"/>
      <c r="BJ3316" s="943"/>
      <c r="BK3316" s="943"/>
      <c r="BL3316" s="943"/>
      <c r="BM3316" s="943"/>
      <c r="BN3316" s="943"/>
      <c r="BO3316" s="1059"/>
      <c r="BP3316" s="1059"/>
      <c r="BQ3316" s="1059"/>
      <c r="BR3316" s="1059"/>
      <c r="BS3316" s="1059"/>
      <c r="BT3316" s="1059"/>
      <c r="BU3316" s="1059"/>
      <c r="BV3316" s="944"/>
      <c r="BW3316" s="944"/>
      <c r="BX3316" s="1147"/>
      <c r="BY3316" s="944"/>
      <c r="BZ3316" s="944"/>
      <c r="CA3316" s="944"/>
      <c r="CB3316" s="944"/>
    </row>
    <row r="3317" spans="2:80">
      <c r="B3317" s="1097"/>
      <c r="C3317" s="1097"/>
      <c r="D3317" s="1097"/>
      <c r="E3317" s="1097"/>
      <c r="F3317" s="934"/>
      <c r="G3317" s="1098"/>
      <c r="H3317" s="1099"/>
      <c r="I3317" s="1099"/>
      <c r="J3317" s="934"/>
      <c r="K3317" s="934"/>
      <c r="L3317" s="933"/>
      <c r="M3317" s="1100"/>
      <c r="N3317" s="934"/>
      <c r="O3317" s="936"/>
      <c r="P3317" s="936"/>
      <c r="Q3317" s="933"/>
      <c r="T3317" s="1101"/>
      <c r="U3317" s="1102"/>
      <c r="V3317" s="936"/>
      <c r="W3317" s="1103"/>
      <c r="X3317" s="1104"/>
      <c r="Y3317" s="1105"/>
      <c r="Z3317" s="1103"/>
      <c r="AC3317" s="1106"/>
      <c r="AD3317" s="1107"/>
      <c r="AE3317" s="1104"/>
      <c r="AG3317" s="1109"/>
      <c r="AI3317" s="1110"/>
      <c r="AL3317" s="933"/>
      <c r="AM3317" s="933"/>
      <c r="AN3317" s="1100"/>
      <c r="AO3317" s="1100"/>
      <c r="AP3317" s="934"/>
      <c r="AQ3317" s="934"/>
      <c r="AR3317" s="934"/>
      <c r="AS3317" s="936"/>
      <c r="AT3317" s="936"/>
      <c r="AU3317" s="936"/>
      <c r="AV3317" s="937"/>
      <c r="AW3317" s="938"/>
      <c r="AX3317" s="939"/>
      <c r="AY3317" s="933"/>
      <c r="AZ3317" s="936"/>
      <c r="BA3317" s="936"/>
      <c r="BB3317" s="1112"/>
      <c r="BC3317" s="940"/>
      <c r="BD3317" s="941"/>
      <c r="BE3317" s="942"/>
      <c r="BF3317" s="943"/>
      <c r="BG3317" s="943"/>
      <c r="BH3317" s="943"/>
      <c r="BI3317" s="943"/>
      <c r="BJ3317" s="943"/>
      <c r="BK3317" s="943"/>
      <c r="BL3317" s="943"/>
      <c r="BM3317" s="943"/>
      <c r="BN3317" s="943"/>
      <c r="BO3317" s="1059"/>
      <c r="BP3317" s="1059"/>
      <c r="BQ3317" s="1059"/>
      <c r="BR3317" s="1059"/>
      <c r="BS3317" s="1059"/>
      <c r="BT3317" s="1059"/>
      <c r="BU3317" s="1059"/>
      <c r="BV3317" s="944"/>
      <c r="BW3317" s="944"/>
      <c r="BX3317" s="1147"/>
      <c r="BY3317" s="944"/>
      <c r="BZ3317" s="944"/>
      <c r="CA3317" s="944"/>
      <c r="CB3317" s="944"/>
    </row>
    <row r="3318" spans="2:80">
      <c r="B3318" s="1097"/>
      <c r="C3318" s="1097"/>
      <c r="D3318" s="1097"/>
      <c r="E3318" s="1097"/>
      <c r="F3318" s="934"/>
      <c r="G3318" s="1098"/>
      <c r="H3318" s="1099"/>
      <c r="I3318" s="1099"/>
      <c r="J3318" s="934"/>
      <c r="K3318" s="934"/>
      <c r="L3318" s="933"/>
      <c r="M3318" s="1100"/>
      <c r="N3318" s="934"/>
      <c r="O3318" s="936"/>
      <c r="P3318" s="936"/>
      <c r="Q3318" s="933"/>
      <c r="T3318" s="1101"/>
      <c r="U3318" s="1102"/>
      <c r="V3318" s="936"/>
      <c r="W3318" s="1103"/>
      <c r="X3318" s="1104"/>
      <c r="Y3318" s="1105"/>
      <c r="Z3318" s="1103"/>
      <c r="AC3318" s="1106"/>
      <c r="AD3318" s="1107"/>
      <c r="AE3318" s="1104"/>
      <c r="AG3318" s="1109"/>
      <c r="AI3318" s="1110"/>
      <c r="AL3318" s="933"/>
      <c r="AM3318" s="933"/>
      <c r="AN3318" s="1100"/>
      <c r="AO3318" s="1100"/>
      <c r="AP3318" s="934"/>
      <c r="AQ3318" s="934"/>
      <c r="AR3318" s="934"/>
      <c r="AS3318" s="936"/>
      <c r="AT3318" s="936"/>
      <c r="AU3318" s="936"/>
      <c r="AV3318" s="937"/>
      <c r="AW3318" s="938"/>
      <c r="AX3318" s="939"/>
      <c r="AY3318" s="933"/>
      <c r="AZ3318" s="936"/>
      <c r="BA3318" s="936"/>
      <c r="BB3318" s="1112"/>
      <c r="BC3318" s="940"/>
      <c r="BD3318" s="941"/>
      <c r="BE3318" s="942"/>
      <c r="BF3318" s="943"/>
      <c r="BG3318" s="943"/>
      <c r="BH3318" s="943"/>
      <c r="BI3318" s="943"/>
      <c r="BJ3318" s="943"/>
      <c r="BK3318" s="943"/>
      <c r="BL3318" s="943"/>
      <c r="BM3318" s="943"/>
      <c r="BN3318" s="943"/>
      <c r="BO3318" s="1059"/>
      <c r="BP3318" s="1059"/>
      <c r="BQ3318" s="1059"/>
      <c r="BR3318" s="1059"/>
      <c r="BS3318" s="1059"/>
      <c r="BT3318" s="1059"/>
      <c r="BU3318" s="1059"/>
      <c r="BV3318" s="944"/>
      <c r="BW3318" s="944"/>
      <c r="BX3318" s="1147"/>
      <c r="BY3318" s="944"/>
      <c r="BZ3318" s="944"/>
      <c r="CA3318" s="944"/>
      <c r="CB3318" s="944"/>
    </row>
    <row r="3319" spans="2:80">
      <c r="B3319" s="1097"/>
      <c r="C3319" s="1097"/>
      <c r="D3319" s="1097"/>
      <c r="E3319" s="1097"/>
      <c r="F3319" s="934"/>
      <c r="G3319" s="1098"/>
      <c r="H3319" s="1099"/>
      <c r="I3319" s="1099"/>
      <c r="J3319" s="934"/>
      <c r="K3319" s="934"/>
      <c r="L3319" s="933"/>
      <c r="M3319" s="1100"/>
      <c r="N3319" s="934"/>
      <c r="O3319" s="936"/>
      <c r="P3319" s="936"/>
      <c r="Q3319" s="933"/>
      <c r="T3319" s="1101"/>
      <c r="U3319" s="1102"/>
      <c r="V3319" s="936"/>
      <c r="W3319" s="1103"/>
      <c r="X3319" s="1104"/>
      <c r="Y3319" s="1105"/>
      <c r="Z3319" s="1103"/>
      <c r="AC3319" s="1106"/>
      <c r="AD3319" s="1107"/>
      <c r="AE3319" s="1104"/>
      <c r="AG3319" s="1109"/>
      <c r="AI3319" s="1110"/>
      <c r="AL3319" s="933"/>
      <c r="AM3319" s="933"/>
      <c r="AN3319" s="1100"/>
      <c r="AO3319" s="1100"/>
      <c r="AP3319" s="934"/>
      <c r="AQ3319" s="934"/>
      <c r="AR3319" s="934"/>
      <c r="AS3319" s="936"/>
      <c r="AT3319" s="936"/>
      <c r="AU3319" s="936"/>
      <c r="AV3319" s="937"/>
      <c r="AW3319" s="938"/>
      <c r="AX3319" s="939"/>
      <c r="AY3319" s="933"/>
      <c r="AZ3319" s="936"/>
      <c r="BA3319" s="936"/>
      <c r="BB3319" s="1112"/>
      <c r="BC3319" s="940"/>
      <c r="BD3319" s="941"/>
      <c r="BE3319" s="942"/>
      <c r="BF3319" s="943"/>
      <c r="BG3319" s="943"/>
      <c r="BH3319" s="943"/>
      <c r="BI3319" s="943"/>
      <c r="BJ3319" s="943"/>
      <c r="BK3319" s="943"/>
      <c r="BL3319" s="943"/>
      <c r="BM3319" s="943"/>
      <c r="BN3319" s="943"/>
      <c r="BO3319" s="1059"/>
      <c r="BP3319" s="1059"/>
      <c r="BQ3319" s="1059"/>
      <c r="BR3319" s="1059"/>
      <c r="BS3319" s="1059"/>
      <c r="BT3319" s="1059"/>
      <c r="BU3319" s="1059"/>
      <c r="BV3319" s="944"/>
      <c r="BW3319" s="944"/>
      <c r="BX3319" s="1147"/>
      <c r="BY3319" s="944"/>
      <c r="BZ3319" s="944"/>
      <c r="CA3319" s="944"/>
      <c r="CB3319" s="944"/>
    </row>
    <row r="3320" spans="2:80">
      <c r="B3320" s="1097"/>
      <c r="C3320" s="1097"/>
      <c r="D3320" s="1097"/>
      <c r="E3320" s="1097"/>
      <c r="F3320" s="934"/>
      <c r="G3320" s="1098"/>
      <c r="H3320" s="1099"/>
      <c r="I3320" s="1099"/>
      <c r="J3320" s="934"/>
      <c r="K3320" s="934"/>
      <c r="L3320" s="933"/>
      <c r="M3320" s="1100"/>
      <c r="N3320" s="934"/>
      <c r="O3320" s="936"/>
      <c r="P3320" s="936"/>
      <c r="Q3320" s="933"/>
      <c r="T3320" s="1101"/>
      <c r="U3320" s="1102"/>
      <c r="V3320" s="936"/>
      <c r="W3320" s="1103"/>
      <c r="X3320" s="1104"/>
      <c r="Y3320" s="1105"/>
      <c r="Z3320" s="1103"/>
      <c r="AC3320" s="1106"/>
      <c r="AD3320" s="1107"/>
      <c r="AE3320" s="1104"/>
      <c r="AG3320" s="1109"/>
      <c r="AI3320" s="1110"/>
      <c r="AL3320" s="933"/>
      <c r="AM3320" s="933"/>
      <c r="AN3320" s="1100"/>
      <c r="AO3320" s="1100"/>
      <c r="AP3320" s="934"/>
      <c r="AQ3320" s="934"/>
      <c r="AR3320" s="934"/>
      <c r="AS3320" s="936"/>
      <c r="AT3320" s="936"/>
      <c r="AU3320" s="936"/>
      <c r="AV3320" s="937"/>
      <c r="AW3320" s="938"/>
      <c r="AX3320" s="939"/>
      <c r="AY3320" s="933"/>
      <c r="AZ3320" s="936"/>
      <c r="BA3320" s="936"/>
      <c r="BB3320" s="1112"/>
      <c r="BC3320" s="940"/>
      <c r="BD3320" s="941"/>
      <c r="BE3320" s="942"/>
      <c r="BF3320" s="943"/>
      <c r="BG3320" s="943"/>
      <c r="BH3320" s="943"/>
      <c r="BI3320" s="943"/>
      <c r="BJ3320" s="943"/>
      <c r="BK3320" s="943"/>
      <c r="BL3320" s="943"/>
      <c r="BM3320" s="943"/>
      <c r="BN3320" s="943"/>
      <c r="BO3320" s="1059"/>
      <c r="BP3320" s="1059"/>
      <c r="BQ3320" s="1059"/>
      <c r="BR3320" s="1059"/>
      <c r="BS3320" s="1059"/>
      <c r="BT3320" s="1059"/>
      <c r="BU3320" s="1059"/>
      <c r="BV3320" s="944"/>
      <c r="BW3320" s="944"/>
      <c r="BX3320" s="1147"/>
      <c r="BY3320" s="944"/>
      <c r="BZ3320" s="944"/>
      <c r="CA3320" s="944"/>
      <c r="CB3320" s="944"/>
    </row>
    <row r="3321" spans="2:80">
      <c r="B3321" s="1097"/>
      <c r="C3321" s="1097"/>
      <c r="D3321" s="1097"/>
      <c r="E3321" s="1097"/>
      <c r="F3321" s="934"/>
      <c r="G3321" s="1098"/>
      <c r="H3321" s="1099"/>
      <c r="I3321" s="1099"/>
      <c r="J3321" s="934"/>
      <c r="K3321" s="934"/>
      <c r="L3321" s="933"/>
      <c r="M3321" s="1100"/>
      <c r="N3321" s="934"/>
      <c r="O3321" s="936"/>
      <c r="P3321" s="936"/>
      <c r="Q3321" s="933"/>
      <c r="T3321" s="1101"/>
      <c r="U3321" s="1102"/>
      <c r="V3321" s="936"/>
      <c r="W3321" s="1103"/>
      <c r="X3321" s="1104"/>
      <c r="Y3321" s="1105"/>
      <c r="Z3321" s="1103"/>
      <c r="AC3321" s="1106"/>
      <c r="AD3321" s="1107"/>
      <c r="AE3321" s="1104"/>
      <c r="AG3321" s="1109"/>
      <c r="AI3321" s="1110"/>
      <c r="AL3321" s="933"/>
      <c r="AM3321" s="933"/>
      <c r="AN3321" s="1100"/>
      <c r="AO3321" s="1100"/>
      <c r="AP3321" s="934"/>
      <c r="AQ3321" s="934"/>
      <c r="AR3321" s="934"/>
      <c r="AS3321" s="936"/>
      <c r="AT3321" s="936"/>
      <c r="AU3321" s="936"/>
      <c r="AV3321" s="937"/>
      <c r="AW3321" s="938"/>
      <c r="AX3321" s="939"/>
      <c r="AY3321" s="933"/>
      <c r="AZ3321" s="936"/>
      <c r="BA3321" s="936"/>
      <c r="BB3321" s="1112"/>
      <c r="BC3321" s="940"/>
      <c r="BD3321" s="941"/>
      <c r="BE3321" s="942"/>
      <c r="BF3321" s="943"/>
      <c r="BG3321" s="943"/>
      <c r="BH3321" s="943"/>
      <c r="BI3321" s="943"/>
      <c r="BJ3321" s="943"/>
      <c r="BK3321" s="943"/>
      <c r="BL3321" s="943"/>
      <c r="BM3321" s="943"/>
      <c r="BN3321" s="943"/>
      <c r="BO3321" s="1059"/>
      <c r="BP3321" s="1059"/>
      <c r="BQ3321" s="1059"/>
      <c r="BR3321" s="1059"/>
      <c r="BS3321" s="1059"/>
      <c r="BT3321" s="1059"/>
      <c r="BU3321" s="1059"/>
      <c r="BV3321" s="944"/>
      <c r="BW3321" s="944"/>
      <c r="BX3321" s="1147"/>
      <c r="BY3321" s="944"/>
      <c r="BZ3321" s="944"/>
      <c r="CA3321" s="944"/>
      <c r="CB3321" s="944"/>
    </row>
    <row r="3322" spans="2:80">
      <c r="B3322" s="1097"/>
      <c r="C3322" s="1097"/>
      <c r="D3322" s="1097"/>
      <c r="E3322" s="1097"/>
      <c r="F3322" s="934"/>
      <c r="G3322" s="1098"/>
      <c r="H3322" s="1099"/>
      <c r="I3322" s="1099"/>
      <c r="J3322" s="934"/>
      <c r="K3322" s="934"/>
      <c r="L3322" s="933"/>
      <c r="M3322" s="1100"/>
      <c r="N3322" s="934"/>
      <c r="O3322" s="936"/>
      <c r="P3322" s="936"/>
      <c r="Q3322" s="933"/>
      <c r="T3322" s="1101"/>
      <c r="U3322" s="1102"/>
      <c r="V3322" s="936"/>
      <c r="W3322" s="1103"/>
      <c r="X3322" s="1104"/>
      <c r="Y3322" s="1105"/>
      <c r="Z3322" s="1103"/>
      <c r="AC3322" s="1106"/>
      <c r="AD3322" s="1107"/>
      <c r="AE3322" s="1104"/>
      <c r="AG3322" s="1109"/>
      <c r="AI3322" s="1110"/>
      <c r="AL3322" s="933"/>
      <c r="AM3322" s="933"/>
      <c r="AN3322" s="1100"/>
      <c r="AO3322" s="1100"/>
      <c r="AP3322" s="934"/>
      <c r="AQ3322" s="934"/>
      <c r="AR3322" s="934"/>
      <c r="AS3322" s="936"/>
      <c r="AT3322" s="936"/>
      <c r="AU3322" s="936"/>
      <c r="AV3322" s="937"/>
      <c r="AW3322" s="938"/>
      <c r="AX3322" s="939"/>
      <c r="AY3322" s="933"/>
      <c r="AZ3322" s="936"/>
      <c r="BA3322" s="936"/>
      <c r="BB3322" s="1112"/>
      <c r="BC3322" s="940"/>
      <c r="BD3322" s="941"/>
      <c r="BE3322" s="942"/>
      <c r="BF3322" s="943"/>
      <c r="BG3322" s="943"/>
      <c r="BH3322" s="943"/>
      <c r="BI3322" s="943"/>
      <c r="BJ3322" s="943"/>
      <c r="BK3322" s="943"/>
      <c r="BL3322" s="943"/>
      <c r="BM3322" s="943"/>
      <c r="BN3322" s="943"/>
      <c r="BO3322" s="1059"/>
      <c r="BP3322" s="1059"/>
      <c r="BQ3322" s="1059"/>
      <c r="BR3322" s="1059"/>
      <c r="BS3322" s="1059"/>
      <c r="BT3322" s="1059"/>
      <c r="BU3322" s="1059"/>
      <c r="BV3322" s="944"/>
      <c r="BW3322" s="944"/>
      <c r="BX3322" s="1147"/>
      <c r="BY3322" s="944"/>
      <c r="BZ3322" s="944"/>
      <c r="CA3322" s="944"/>
      <c r="CB3322" s="944"/>
    </row>
    <row r="3323" spans="2:80">
      <c r="B3323" s="1097"/>
      <c r="C3323" s="1097"/>
      <c r="D3323" s="1097"/>
      <c r="E3323" s="1097"/>
      <c r="F3323" s="934"/>
      <c r="G3323" s="1098"/>
      <c r="H3323" s="1099"/>
      <c r="I3323" s="1099"/>
      <c r="J3323" s="934"/>
      <c r="K3323" s="934"/>
      <c r="L3323" s="933"/>
      <c r="M3323" s="1100"/>
      <c r="N3323" s="934"/>
      <c r="O3323" s="936"/>
      <c r="P3323" s="936"/>
      <c r="Q3323" s="933"/>
      <c r="T3323" s="1101"/>
      <c r="U3323" s="1102"/>
      <c r="V3323" s="936"/>
      <c r="W3323" s="1103"/>
      <c r="X3323" s="1104"/>
      <c r="Y3323" s="1105"/>
      <c r="Z3323" s="1103"/>
      <c r="AC3323" s="1106"/>
      <c r="AD3323" s="1107"/>
      <c r="AE3323" s="1104"/>
      <c r="AG3323" s="1109"/>
      <c r="AI3323" s="1110"/>
      <c r="AL3323" s="933"/>
      <c r="AM3323" s="933"/>
      <c r="AN3323" s="1100"/>
      <c r="AO3323" s="1100"/>
      <c r="AP3323" s="934"/>
      <c r="AQ3323" s="934"/>
      <c r="AR3323" s="934"/>
      <c r="AS3323" s="936"/>
      <c r="AT3323" s="936"/>
      <c r="AU3323" s="936"/>
      <c r="AV3323" s="937"/>
      <c r="AW3323" s="938"/>
      <c r="AX3323" s="939"/>
      <c r="AY3323" s="933"/>
      <c r="AZ3323" s="936"/>
      <c r="BA3323" s="936"/>
      <c r="BB3323" s="1112"/>
      <c r="BC3323" s="940"/>
      <c r="BD3323" s="941"/>
      <c r="BE3323" s="942"/>
      <c r="BF3323" s="943"/>
      <c r="BG3323" s="943"/>
      <c r="BH3323" s="943"/>
      <c r="BI3323" s="943"/>
      <c r="BJ3323" s="943"/>
      <c r="BK3323" s="943"/>
      <c r="BL3323" s="943"/>
      <c r="BM3323" s="943"/>
      <c r="BN3323" s="943"/>
      <c r="BO3323" s="1059"/>
      <c r="BP3323" s="1059"/>
      <c r="BQ3323" s="1059"/>
      <c r="BR3323" s="1059"/>
      <c r="BS3323" s="1059"/>
      <c r="BT3323" s="1059"/>
      <c r="BU3323" s="1059"/>
      <c r="BV3323" s="944"/>
      <c r="BW3323" s="944"/>
      <c r="BX3323" s="1147"/>
      <c r="BY3323" s="944"/>
      <c r="BZ3323" s="944"/>
      <c r="CA3323" s="944"/>
      <c r="CB3323" s="944"/>
    </row>
    <row r="3324" spans="2:80">
      <c r="B3324" s="1097"/>
      <c r="C3324" s="1097"/>
      <c r="D3324" s="1097"/>
      <c r="E3324" s="1097"/>
      <c r="F3324" s="934"/>
      <c r="G3324" s="1098"/>
      <c r="H3324" s="1099"/>
      <c r="I3324" s="1099"/>
      <c r="J3324" s="934"/>
      <c r="K3324" s="934"/>
      <c r="L3324" s="933"/>
      <c r="M3324" s="1100"/>
      <c r="N3324" s="934"/>
      <c r="O3324" s="936"/>
      <c r="P3324" s="936"/>
      <c r="Q3324" s="933"/>
      <c r="T3324" s="1101"/>
      <c r="U3324" s="1102"/>
      <c r="V3324" s="936"/>
      <c r="W3324" s="1103"/>
      <c r="X3324" s="1104"/>
      <c r="Y3324" s="1105"/>
      <c r="Z3324" s="1103"/>
      <c r="AC3324" s="1106"/>
      <c r="AD3324" s="1107"/>
      <c r="AE3324" s="1104"/>
      <c r="AG3324" s="1109"/>
      <c r="AI3324" s="1110"/>
      <c r="AL3324" s="933"/>
      <c r="AM3324" s="933"/>
      <c r="AN3324" s="1100"/>
      <c r="AO3324" s="1100"/>
      <c r="AP3324" s="934"/>
      <c r="AQ3324" s="934"/>
      <c r="AR3324" s="934"/>
      <c r="AS3324" s="936"/>
      <c r="AT3324" s="936"/>
      <c r="AU3324" s="936"/>
      <c r="AV3324" s="937"/>
      <c r="AW3324" s="938"/>
      <c r="AX3324" s="939"/>
      <c r="AY3324" s="933"/>
      <c r="AZ3324" s="936"/>
      <c r="BA3324" s="936"/>
      <c r="BB3324" s="1112"/>
      <c r="BC3324" s="940"/>
      <c r="BD3324" s="941"/>
      <c r="BE3324" s="942"/>
      <c r="BF3324" s="943"/>
      <c r="BG3324" s="943"/>
      <c r="BH3324" s="943"/>
      <c r="BI3324" s="943"/>
      <c r="BJ3324" s="943"/>
      <c r="BK3324" s="943"/>
      <c r="BL3324" s="943"/>
      <c r="BM3324" s="943"/>
      <c r="BN3324" s="943"/>
      <c r="BO3324" s="1059"/>
      <c r="BP3324" s="1059"/>
      <c r="BQ3324" s="1059"/>
      <c r="BR3324" s="1059"/>
      <c r="BS3324" s="1059"/>
      <c r="BT3324" s="1059"/>
      <c r="BU3324" s="1059"/>
      <c r="BV3324" s="944"/>
      <c r="BW3324" s="944"/>
      <c r="BX3324" s="1147"/>
      <c r="BY3324" s="944"/>
      <c r="BZ3324" s="944"/>
      <c r="CA3324" s="944"/>
      <c r="CB3324" s="944"/>
    </row>
    <row r="3325" spans="2:80">
      <c r="B3325" s="1097"/>
      <c r="C3325" s="1097"/>
      <c r="D3325" s="1097"/>
      <c r="E3325" s="1097"/>
      <c r="F3325" s="934"/>
      <c r="G3325" s="1098"/>
      <c r="H3325" s="1099"/>
      <c r="I3325" s="1099"/>
      <c r="J3325" s="934"/>
      <c r="K3325" s="934"/>
      <c r="L3325" s="933"/>
      <c r="M3325" s="1100"/>
      <c r="N3325" s="934"/>
      <c r="O3325" s="936"/>
      <c r="P3325" s="936"/>
      <c r="Q3325" s="933"/>
      <c r="T3325" s="1101"/>
      <c r="U3325" s="1102"/>
      <c r="V3325" s="936"/>
      <c r="W3325" s="1103"/>
      <c r="X3325" s="1104"/>
      <c r="Y3325" s="1105"/>
      <c r="Z3325" s="1103"/>
      <c r="AC3325" s="1106"/>
      <c r="AD3325" s="1107"/>
      <c r="AE3325" s="1104"/>
      <c r="AG3325" s="1109"/>
      <c r="AI3325" s="1110"/>
      <c r="AL3325" s="933"/>
      <c r="AM3325" s="933"/>
      <c r="AN3325" s="1100"/>
      <c r="AO3325" s="1100"/>
      <c r="AP3325" s="934"/>
      <c r="AQ3325" s="934"/>
      <c r="AR3325" s="934"/>
      <c r="AS3325" s="936"/>
      <c r="AT3325" s="936"/>
      <c r="AU3325" s="936"/>
      <c r="AV3325" s="937"/>
      <c r="AW3325" s="938"/>
      <c r="AX3325" s="939"/>
      <c r="AY3325" s="933"/>
      <c r="AZ3325" s="936"/>
      <c r="BA3325" s="936"/>
      <c r="BB3325" s="1112"/>
      <c r="BC3325" s="940"/>
      <c r="BD3325" s="941"/>
      <c r="BE3325" s="942"/>
      <c r="BF3325" s="943"/>
      <c r="BG3325" s="943"/>
      <c r="BH3325" s="943"/>
      <c r="BI3325" s="943"/>
      <c r="BJ3325" s="943"/>
      <c r="BK3325" s="943"/>
      <c r="BL3325" s="943"/>
      <c r="BM3325" s="943"/>
      <c r="BN3325" s="943"/>
      <c r="BO3325" s="1059"/>
      <c r="BP3325" s="1059"/>
      <c r="BQ3325" s="1059"/>
      <c r="BR3325" s="1059"/>
      <c r="BS3325" s="1059"/>
      <c r="BT3325" s="1059"/>
      <c r="BU3325" s="1059"/>
      <c r="BV3325" s="944"/>
      <c r="BW3325" s="944"/>
      <c r="BX3325" s="1147"/>
      <c r="BY3325" s="944"/>
      <c r="BZ3325" s="944"/>
      <c r="CA3325" s="944"/>
      <c r="CB3325" s="944"/>
    </row>
    <row r="3326" spans="2:80">
      <c r="B3326" s="1097"/>
      <c r="C3326" s="1097"/>
      <c r="D3326" s="1097"/>
      <c r="E3326" s="1097"/>
      <c r="F3326" s="934"/>
      <c r="G3326" s="1098"/>
      <c r="H3326" s="1099"/>
      <c r="I3326" s="1099"/>
      <c r="J3326" s="934"/>
      <c r="K3326" s="934"/>
      <c r="L3326" s="933"/>
      <c r="M3326" s="1100"/>
      <c r="N3326" s="934"/>
      <c r="O3326" s="936"/>
      <c r="P3326" s="936"/>
      <c r="Q3326" s="933"/>
      <c r="T3326" s="1101"/>
      <c r="U3326" s="1102"/>
      <c r="V3326" s="936"/>
      <c r="W3326" s="1103"/>
      <c r="X3326" s="1104"/>
      <c r="Y3326" s="1105"/>
      <c r="Z3326" s="1103"/>
      <c r="AC3326" s="1106"/>
      <c r="AD3326" s="1107"/>
      <c r="AE3326" s="1104"/>
      <c r="AG3326" s="1109"/>
      <c r="AI3326" s="1110"/>
      <c r="AL3326" s="933"/>
      <c r="AM3326" s="933"/>
      <c r="AN3326" s="1100"/>
      <c r="AO3326" s="1100"/>
      <c r="AP3326" s="934"/>
      <c r="AQ3326" s="934"/>
      <c r="AR3326" s="934"/>
      <c r="AS3326" s="936"/>
      <c r="AT3326" s="936"/>
      <c r="AU3326" s="936"/>
      <c r="AV3326" s="937"/>
      <c r="AW3326" s="938"/>
      <c r="AX3326" s="939"/>
      <c r="AY3326" s="933"/>
      <c r="AZ3326" s="936"/>
      <c r="BA3326" s="936"/>
      <c r="BB3326" s="1112"/>
      <c r="BC3326" s="940"/>
      <c r="BD3326" s="941"/>
      <c r="BE3326" s="942"/>
      <c r="BF3326" s="943"/>
      <c r="BG3326" s="943"/>
      <c r="BH3326" s="943"/>
      <c r="BI3326" s="943"/>
      <c r="BJ3326" s="943"/>
      <c r="BK3326" s="943"/>
      <c r="BL3326" s="943"/>
      <c r="BM3326" s="943"/>
      <c r="BN3326" s="943"/>
      <c r="BO3326" s="1059"/>
      <c r="BP3326" s="1059"/>
      <c r="BQ3326" s="1059"/>
      <c r="BR3326" s="1059"/>
      <c r="BS3326" s="1059"/>
      <c r="BT3326" s="1059"/>
      <c r="BU3326" s="1059"/>
      <c r="BV3326" s="944"/>
      <c r="BW3326" s="944"/>
      <c r="BX3326" s="1147"/>
      <c r="BY3326" s="944"/>
      <c r="BZ3326" s="944"/>
      <c r="CA3326" s="944"/>
      <c r="CB3326" s="944"/>
    </row>
    <row r="3327" spans="2:80">
      <c r="B3327" s="1097"/>
      <c r="C3327" s="1097"/>
      <c r="D3327" s="1097"/>
      <c r="E3327" s="1097"/>
      <c r="F3327" s="934"/>
      <c r="G3327" s="1098"/>
      <c r="H3327" s="1099"/>
      <c r="I3327" s="1099"/>
      <c r="J3327" s="934"/>
      <c r="K3327" s="934"/>
      <c r="L3327" s="933"/>
      <c r="M3327" s="1100"/>
      <c r="N3327" s="934"/>
      <c r="O3327" s="936"/>
      <c r="P3327" s="936"/>
      <c r="Q3327" s="933"/>
      <c r="T3327" s="1101"/>
      <c r="U3327" s="1102"/>
      <c r="V3327" s="936"/>
      <c r="W3327" s="1103"/>
      <c r="X3327" s="1104"/>
      <c r="Y3327" s="1105"/>
      <c r="Z3327" s="1103"/>
      <c r="AC3327" s="1106"/>
      <c r="AD3327" s="1107"/>
      <c r="AE3327" s="1104"/>
      <c r="AG3327" s="1109"/>
      <c r="AI3327" s="1110"/>
      <c r="AL3327" s="933"/>
      <c r="AM3327" s="933"/>
      <c r="AN3327" s="1100"/>
      <c r="AO3327" s="1100"/>
      <c r="AP3327" s="934"/>
      <c r="AQ3327" s="934"/>
      <c r="AR3327" s="934"/>
      <c r="AS3327" s="936"/>
      <c r="AT3327" s="936"/>
      <c r="AU3327" s="936"/>
      <c r="AV3327" s="937"/>
      <c r="AW3327" s="938"/>
      <c r="AX3327" s="939"/>
      <c r="AY3327" s="933"/>
      <c r="AZ3327" s="936"/>
      <c r="BA3327" s="936"/>
      <c r="BB3327" s="1112"/>
      <c r="BC3327" s="940"/>
      <c r="BD3327" s="941"/>
      <c r="BE3327" s="942"/>
      <c r="BF3327" s="943"/>
      <c r="BG3327" s="943"/>
      <c r="BH3327" s="943"/>
      <c r="BI3327" s="943"/>
      <c r="BJ3327" s="943"/>
      <c r="BK3327" s="943"/>
      <c r="BL3327" s="943"/>
      <c r="BM3327" s="943"/>
      <c r="BN3327" s="943"/>
      <c r="BO3327" s="1059"/>
      <c r="BP3327" s="1059"/>
      <c r="BQ3327" s="1059"/>
      <c r="BR3327" s="1059"/>
      <c r="BS3327" s="1059"/>
      <c r="BT3327" s="1059"/>
      <c r="BU3327" s="1059"/>
      <c r="BV3327" s="944"/>
      <c r="BW3327" s="944"/>
      <c r="BX3327" s="1147"/>
      <c r="BY3327" s="944"/>
      <c r="BZ3327" s="944"/>
      <c r="CA3327" s="944"/>
      <c r="CB3327" s="944"/>
    </row>
    <row r="3328" spans="2:80">
      <c r="B3328" s="1097"/>
      <c r="C3328" s="1097"/>
      <c r="D3328" s="1097"/>
      <c r="E3328" s="1097"/>
      <c r="F3328" s="934"/>
      <c r="G3328" s="1098"/>
      <c r="H3328" s="1099"/>
      <c r="I3328" s="1099"/>
      <c r="J3328" s="934"/>
      <c r="K3328" s="934"/>
      <c r="L3328" s="933"/>
      <c r="M3328" s="1100"/>
      <c r="N3328" s="934"/>
      <c r="O3328" s="936"/>
      <c r="P3328" s="936"/>
      <c r="Q3328" s="933"/>
      <c r="T3328" s="1101"/>
      <c r="U3328" s="1102"/>
      <c r="V3328" s="936"/>
      <c r="W3328" s="1103"/>
      <c r="X3328" s="1104"/>
      <c r="Y3328" s="1105"/>
      <c r="Z3328" s="1103"/>
      <c r="AC3328" s="1106"/>
      <c r="AD3328" s="1107"/>
      <c r="AE3328" s="1104"/>
      <c r="AG3328" s="1109"/>
      <c r="AI3328" s="1110"/>
      <c r="AL3328" s="933"/>
      <c r="AM3328" s="933"/>
      <c r="AN3328" s="1100"/>
      <c r="AO3328" s="1100"/>
      <c r="AP3328" s="934"/>
      <c r="AQ3328" s="934"/>
      <c r="AR3328" s="934"/>
      <c r="AS3328" s="936"/>
      <c r="AT3328" s="936"/>
      <c r="AU3328" s="936"/>
      <c r="AV3328" s="937"/>
      <c r="AW3328" s="938"/>
      <c r="AX3328" s="939"/>
      <c r="AY3328" s="933"/>
      <c r="AZ3328" s="936"/>
      <c r="BA3328" s="936"/>
      <c r="BB3328" s="1112"/>
      <c r="BC3328" s="940"/>
      <c r="BD3328" s="941"/>
      <c r="BE3328" s="942"/>
      <c r="BF3328" s="943"/>
      <c r="BG3328" s="943"/>
      <c r="BH3328" s="943"/>
      <c r="BI3328" s="943"/>
      <c r="BJ3328" s="943"/>
      <c r="BK3328" s="943"/>
      <c r="BL3328" s="943"/>
      <c r="BM3328" s="943"/>
      <c r="BN3328" s="943"/>
      <c r="BO3328" s="1059"/>
      <c r="BP3328" s="1059"/>
      <c r="BQ3328" s="1059"/>
      <c r="BR3328" s="1059"/>
      <c r="BS3328" s="1059"/>
      <c r="BT3328" s="1059"/>
      <c r="BU3328" s="1059"/>
      <c r="BV3328" s="944"/>
      <c r="BW3328" s="944"/>
      <c r="BX3328" s="1147"/>
      <c r="BY3328" s="944"/>
      <c r="BZ3328" s="944"/>
      <c r="CA3328" s="944"/>
      <c r="CB3328" s="944"/>
    </row>
    <row r="3329" spans="2:80">
      <c r="B3329" s="1097"/>
      <c r="C3329" s="1097"/>
      <c r="D3329" s="1097"/>
      <c r="E3329" s="1097"/>
      <c r="F3329" s="934"/>
      <c r="G3329" s="1098"/>
      <c r="H3329" s="1099"/>
      <c r="I3329" s="1099"/>
      <c r="J3329" s="934"/>
      <c r="K3329" s="934"/>
      <c r="L3329" s="933"/>
      <c r="M3329" s="1100"/>
      <c r="N3329" s="934"/>
      <c r="O3329" s="936"/>
      <c r="P3329" s="936"/>
      <c r="Q3329" s="933"/>
      <c r="T3329" s="1101"/>
      <c r="U3329" s="1102"/>
      <c r="V3329" s="936"/>
      <c r="W3329" s="1103"/>
      <c r="X3329" s="1104"/>
      <c r="Y3329" s="1105"/>
      <c r="Z3329" s="1103"/>
      <c r="AC3329" s="1106"/>
      <c r="AD3329" s="1107"/>
      <c r="AE3329" s="1104"/>
      <c r="AG3329" s="1109"/>
      <c r="AI3329" s="1110"/>
      <c r="AL3329" s="933"/>
      <c r="AM3329" s="933"/>
      <c r="AN3329" s="1100"/>
      <c r="AO3329" s="1100"/>
      <c r="AP3329" s="934"/>
      <c r="AQ3329" s="934"/>
      <c r="AR3329" s="934"/>
      <c r="AS3329" s="936"/>
      <c r="AT3329" s="936"/>
      <c r="AU3329" s="936"/>
      <c r="AV3329" s="937"/>
      <c r="AW3329" s="938"/>
      <c r="AX3329" s="939"/>
      <c r="AY3329" s="933"/>
      <c r="AZ3329" s="936"/>
      <c r="BA3329" s="936"/>
      <c r="BB3329" s="1112"/>
      <c r="BC3329" s="940"/>
      <c r="BD3329" s="941"/>
      <c r="BE3329" s="942"/>
      <c r="BF3329" s="943"/>
      <c r="BG3329" s="943"/>
      <c r="BH3329" s="943"/>
      <c r="BI3329" s="943"/>
      <c r="BJ3329" s="943"/>
      <c r="BK3329" s="943"/>
      <c r="BL3329" s="943"/>
      <c r="BM3329" s="943"/>
      <c r="BN3329" s="943"/>
      <c r="BO3329" s="1059"/>
      <c r="BP3329" s="1059"/>
      <c r="BQ3329" s="1059"/>
      <c r="BR3329" s="1059"/>
      <c r="BS3329" s="1059"/>
      <c r="BT3329" s="1059"/>
      <c r="BU3329" s="1059"/>
      <c r="BV3329" s="944"/>
      <c r="BW3329" s="944"/>
      <c r="BX3329" s="1147"/>
      <c r="BY3329" s="944"/>
      <c r="BZ3329" s="944"/>
      <c r="CA3329" s="944"/>
      <c r="CB3329" s="944"/>
    </row>
    <row r="3330" spans="2:80">
      <c r="B3330" s="1097"/>
      <c r="C3330" s="1097"/>
      <c r="D3330" s="1097"/>
      <c r="E3330" s="1097"/>
      <c r="F3330" s="934"/>
      <c r="G3330" s="1098"/>
      <c r="H3330" s="1099"/>
      <c r="I3330" s="1099"/>
      <c r="J3330" s="934"/>
      <c r="K3330" s="934"/>
      <c r="L3330" s="933"/>
      <c r="M3330" s="1100"/>
      <c r="N3330" s="934"/>
      <c r="O3330" s="936"/>
      <c r="P3330" s="936"/>
      <c r="Q3330" s="933"/>
      <c r="T3330" s="1101"/>
      <c r="U3330" s="1102"/>
      <c r="V3330" s="936"/>
      <c r="W3330" s="1103"/>
      <c r="X3330" s="1104"/>
      <c r="Y3330" s="1105"/>
      <c r="Z3330" s="1103"/>
      <c r="AC3330" s="1106"/>
      <c r="AD3330" s="1107"/>
      <c r="AE3330" s="1104"/>
      <c r="AG3330" s="1109"/>
      <c r="AI3330" s="1110"/>
      <c r="AL3330" s="933"/>
      <c r="AM3330" s="933"/>
      <c r="AN3330" s="1100"/>
      <c r="AO3330" s="1100"/>
      <c r="AP3330" s="934"/>
      <c r="AQ3330" s="934"/>
      <c r="AR3330" s="934"/>
      <c r="AS3330" s="936"/>
      <c r="AT3330" s="936"/>
      <c r="AU3330" s="936"/>
      <c r="AV3330" s="937"/>
      <c r="AW3330" s="938"/>
      <c r="AX3330" s="939"/>
      <c r="AY3330" s="933"/>
      <c r="AZ3330" s="936"/>
      <c r="BA3330" s="936"/>
      <c r="BB3330" s="1112"/>
      <c r="BC3330" s="940"/>
      <c r="BD3330" s="941"/>
      <c r="BE3330" s="942"/>
      <c r="BF3330" s="943"/>
      <c r="BG3330" s="943"/>
      <c r="BH3330" s="943"/>
      <c r="BI3330" s="943"/>
      <c r="BJ3330" s="943"/>
      <c r="BK3330" s="943"/>
      <c r="BL3330" s="943"/>
      <c r="BM3330" s="943"/>
      <c r="BN3330" s="943"/>
      <c r="BO3330" s="1059"/>
      <c r="BP3330" s="1059"/>
      <c r="BQ3330" s="1059"/>
      <c r="BR3330" s="1059"/>
      <c r="BS3330" s="1059"/>
      <c r="BT3330" s="1059"/>
      <c r="BU3330" s="1059"/>
      <c r="BV3330" s="944"/>
      <c r="BW3330" s="944"/>
      <c r="BX3330" s="1147"/>
      <c r="BY3330" s="944"/>
      <c r="BZ3330" s="944"/>
      <c r="CA3330" s="944"/>
      <c r="CB3330" s="944"/>
    </row>
    <row r="3331" spans="2:80">
      <c r="B3331" s="1097"/>
      <c r="C3331" s="1097"/>
      <c r="D3331" s="1097"/>
      <c r="E3331" s="1097"/>
      <c r="F3331" s="934"/>
      <c r="G3331" s="1098"/>
      <c r="H3331" s="1099"/>
      <c r="I3331" s="1099"/>
      <c r="J3331" s="934"/>
      <c r="K3331" s="934"/>
      <c r="L3331" s="933"/>
      <c r="M3331" s="1100"/>
      <c r="N3331" s="934"/>
      <c r="O3331" s="936"/>
      <c r="P3331" s="936"/>
      <c r="Q3331" s="933"/>
      <c r="T3331" s="1101"/>
      <c r="U3331" s="1102"/>
      <c r="V3331" s="936"/>
      <c r="W3331" s="1103"/>
      <c r="X3331" s="1104"/>
      <c r="Y3331" s="1105"/>
      <c r="Z3331" s="1103"/>
      <c r="AC3331" s="1106"/>
      <c r="AD3331" s="1107"/>
      <c r="AE3331" s="1104"/>
      <c r="AG3331" s="1109"/>
      <c r="AI3331" s="1110"/>
      <c r="AL3331" s="933"/>
      <c r="AM3331" s="933"/>
      <c r="AN3331" s="1100"/>
      <c r="AO3331" s="1100"/>
      <c r="AP3331" s="934"/>
      <c r="AQ3331" s="934"/>
      <c r="AR3331" s="934"/>
      <c r="AS3331" s="936"/>
      <c r="AT3331" s="936"/>
      <c r="AU3331" s="936"/>
      <c r="AV3331" s="937"/>
      <c r="AW3331" s="938"/>
      <c r="AX3331" s="939"/>
      <c r="AY3331" s="933"/>
      <c r="AZ3331" s="936"/>
      <c r="BA3331" s="936"/>
      <c r="BB3331" s="1112"/>
      <c r="BC3331" s="940"/>
      <c r="BD3331" s="941"/>
      <c r="BE3331" s="942"/>
      <c r="BF3331" s="943"/>
      <c r="BG3331" s="943"/>
      <c r="BH3331" s="943"/>
      <c r="BI3331" s="943"/>
      <c r="BJ3331" s="943"/>
      <c r="BK3331" s="943"/>
      <c r="BL3331" s="943"/>
      <c r="BM3331" s="943"/>
      <c r="BN3331" s="943"/>
      <c r="BO3331" s="1059"/>
      <c r="BP3331" s="1059"/>
      <c r="BQ3331" s="1059"/>
      <c r="BR3331" s="1059"/>
      <c r="BS3331" s="1059"/>
      <c r="BT3331" s="1059"/>
      <c r="BU3331" s="1059"/>
      <c r="BV3331" s="944"/>
      <c r="BW3331" s="944"/>
      <c r="BX3331" s="1147"/>
      <c r="BY3331" s="944"/>
      <c r="BZ3331" s="944"/>
      <c r="CA3331" s="944"/>
      <c r="CB3331" s="944"/>
    </row>
    <row r="3332" spans="2:80">
      <c r="B3332" s="1097"/>
      <c r="C3332" s="1097"/>
      <c r="D3332" s="1097"/>
      <c r="E3332" s="1097"/>
      <c r="F3332" s="934"/>
      <c r="G3332" s="1098"/>
      <c r="H3332" s="1099"/>
      <c r="I3332" s="1099"/>
      <c r="J3332" s="934"/>
      <c r="K3332" s="934"/>
      <c r="L3332" s="933"/>
      <c r="M3332" s="1100"/>
      <c r="N3332" s="934"/>
      <c r="O3332" s="936"/>
      <c r="P3332" s="936"/>
      <c r="Q3332" s="933"/>
      <c r="T3332" s="1101"/>
      <c r="U3332" s="1102"/>
      <c r="V3332" s="936"/>
      <c r="W3332" s="1103"/>
      <c r="X3332" s="1104"/>
      <c r="Y3332" s="1105"/>
      <c r="Z3332" s="1103"/>
      <c r="AC3332" s="1106"/>
      <c r="AD3332" s="1107"/>
      <c r="AE3332" s="1104"/>
      <c r="AG3332" s="1109"/>
      <c r="AI3332" s="1110"/>
      <c r="AL3332" s="933"/>
      <c r="AM3332" s="933"/>
      <c r="AN3332" s="1100"/>
      <c r="AO3332" s="1100"/>
      <c r="AP3332" s="934"/>
      <c r="AQ3332" s="934"/>
      <c r="AR3332" s="934"/>
      <c r="AS3332" s="936"/>
      <c r="AT3332" s="936"/>
      <c r="AU3332" s="936"/>
      <c r="AV3332" s="937"/>
      <c r="AW3332" s="938"/>
      <c r="AX3332" s="939"/>
      <c r="AY3332" s="933"/>
      <c r="AZ3332" s="936"/>
      <c r="BA3332" s="936"/>
      <c r="BB3332" s="1112"/>
      <c r="BC3332" s="940"/>
      <c r="BD3332" s="941"/>
      <c r="BE3332" s="942"/>
      <c r="BF3332" s="943"/>
      <c r="BG3332" s="943"/>
      <c r="BH3332" s="943"/>
      <c r="BI3332" s="943"/>
      <c r="BJ3332" s="943"/>
      <c r="BK3332" s="943"/>
      <c r="BL3332" s="943"/>
      <c r="BM3332" s="943"/>
      <c r="BN3332" s="943"/>
      <c r="BO3332" s="1059"/>
      <c r="BP3332" s="1059"/>
      <c r="BQ3332" s="1059"/>
      <c r="BR3332" s="1059"/>
      <c r="BS3332" s="1059"/>
      <c r="BT3332" s="1059"/>
      <c r="BU3332" s="1059"/>
      <c r="BV3332" s="944"/>
      <c r="BW3332" s="944"/>
      <c r="BX3332" s="1147"/>
      <c r="BY3332" s="944"/>
      <c r="BZ3332" s="944"/>
      <c r="CA3332" s="944"/>
      <c r="CB3332" s="944"/>
    </row>
    <row r="3333" spans="2:80">
      <c r="B3333" s="1097"/>
      <c r="C3333" s="1097"/>
      <c r="D3333" s="1097"/>
      <c r="E3333" s="1097"/>
      <c r="F3333" s="934"/>
      <c r="G3333" s="1098"/>
      <c r="H3333" s="1099"/>
      <c r="I3333" s="1099"/>
      <c r="J3333" s="934"/>
      <c r="K3333" s="934"/>
      <c r="L3333" s="933"/>
      <c r="M3333" s="1100"/>
      <c r="N3333" s="934"/>
      <c r="O3333" s="936"/>
      <c r="P3333" s="936"/>
      <c r="Q3333" s="933"/>
      <c r="T3333" s="1101"/>
      <c r="U3333" s="1102"/>
      <c r="V3333" s="936"/>
      <c r="W3333" s="1103"/>
      <c r="X3333" s="1104"/>
      <c r="Y3333" s="1105"/>
      <c r="Z3333" s="1103"/>
      <c r="AC3333" s="1106"/>
      <c r="AD3333" s="1107"/>
      <c r="AE3333" s="1104"/>
      <c r="AG3333" s="1109"/>
      <c r="AI3333" s="1110"/>
      <c r="AL3333" s="933"/>
      <c r="AM3333" s="933"/>
      <c r="AN3333" s="1100"/>
      <c r="AO3333" s="1100"/>
      <c r="AP3333" s="934"/>
      <c r="AQ3333" s="934"/>
      <c r="AR3333" s="934"/>
      <c r="AS3333" s="936"/>
      <c r="AT3333" s="936"/>
      <c r="AU3333" s="936"/>
      <c r="AV3333" s="937"/>
      <c r="AW3333" s="938"/>
      <c r="AX3333" s="939"/>
      <c r="AY3333" s="933"/>
      <c r="AZ3333" s="936"/>
      <c r="BA3333" s="936"/>
      <c r="BB3333" s="1112"/>
      <c r="BC3333" s="940"/>
      <c r="BD3333" s="941"/>
      <c r="BE3333" s="942"/>
      <c r="BF3333" s="943"/>
      <c r="BG3333" s="943"/>
      <c r="BH3333" s="943"/>
      <c r="BI3333" s="943"/>
      <c r="BJ3333" s="943"/>
      <c r="BK3333" s="943"/>
      <c r="BL3333" s="943"/>
      <c r="BM3333" s="943"/>
      <c r="BN3333" s="943"/>
      <c r="BO3333" s="1059"/>
      <c r="BP3333" s="1059"/>
      <c r="BQ3333" s="1059"/>
      <c r="BR3333" s="1059"/>
      <c r="BS3333" s="1059"/>
      <c r="BT3333" s="1059"/>
      <c r="BU3333" s="1059"/>
      <c r="BV3333" s="944"/>
      <c r="BW3333" s="944"/>
      <c r="BX3333" s="1147"/>
      <c r="BY3333" s="944"/>
      <c r="BZ3333" s="944"/>
      <c r="CA3333" s="944"/>
      <c r="CB3333" s="944"/>
    </row>
    <row r="3334" spans="2:80">
      <c r="B3334" s="1097"/>
      <c r="C3334" s="1097"/>
      <c r="D3334" s="1097"/>
      <c r="E3334" s="1097"/>
      <c r="F3334" s="934"/>
      <c r="G3334" s="1098"/>
      <c r="H3334" s="1099"/>
      <c r="I3334" s="1099"/>
      <c r="J3334" s="934"/>
      <c r="K3334" s="934"/>
      <c r="L3334" s="933"/>
      <c r="M3334" s="1100"/>
      <c r="N3334" s="934"/>
      <c r="O3334" s="936"/>
      <c r="P3334" s="936"/>
      <c r="Q3334" s="933"/>
      <c r="T3334" s="1101"/>
      <c r="U3334" s="1102"/>
      <c r="V3334" s="936"/>
      <c r="W3334" s="1103"/>
      <c r="X3334" s="1104"/>
      <c r="Y3334" s="1105"/>
      <c r="Z3334" s="1103"/>
      <c r="AC3334" s="1106"/>
      <c r="AD3334" s="1107"/>
      <c r="AE3334" s="1104"/>
      <c r="AG3334" s="1109"/>
      <c r="AI3334" s="1110"/>
      <c r="AL3334" s="933"/>
      <c r="AM3334" s="933"/>
      <c r="AN3334" s="1100"/>
      <c r="AO3334" s="1100"/>
      <c r="AP3334" s="934"/>
      <c r="AQ3334" s="934"/>
      <c r="AR3334" s="934"/>
      <c r="AS3334" s="936"/>
      <c r="AT3334" s="936"/>
      <c r="AU3334" s="936"/>
      <c r="AV3334" s="937"/>
      <c r="AW3334" s="938"/>
      <c r="AX3334" s="939"/>
      <c r="AY3334" s="933"/>
      <c r="AZ3334" s="936"/>
      <c r="BA3334" s="936"/>
      <c r="BB3334" s="1112"/>
      <c r="BC3334" s="940"/>
      <c r="BD3334" s="941"/>
      <c r="BE3334" s="942"/>
      <c r="BF3334" s="943"/>
      <c r="BG3334" s="943"/>
      <c r="BH3334" s="943"/>
      <c r="BI3334" s="943"/>
      <c r="BJ3334" s="943"/>
      <c r="BK3334" s="943"/>
      <c r="BL3334" s="943"/>
      <c r="BM3334" s="943"/>
      <c r="BN3334" s="943"/>
      <c r="BO3334" s="1059"/>
      <c r="BP3334" s="1059"/>
      <c r="BQ3334" s="1059"/>
      <c r="BR3334" s="1059"/>
      <c r="BS3334" s="1059"/>
      <c r="BT3334" s="1059"/>
      <c r="BU3334" s="1059"/>
      <c r="BV3334" s="944"/>
      <c r="BW3334" s="944"/>
      <c r="BX3334" s="1147"/>
      <c r="BY3334" s="944"/>
      <c r="BZ3334" s="944"/>
      <c r="CA3334" s="944"/>
      <c r="CB3334" s="944"/>
    </row>
    <row r="3335" spans="2:80">
      <c r="B3335" s="1097"/>
      <c r="C3335" s="1097"/>
      <c r="D3335" s="1097"/>
      <c r="E3335" s="1097"/>
      <c r="F3335" s="934"/>
      <c r="G3335" s="1098"/>
      <c r="H3335" s="1099"/>
      <c r="I3335" s="1099"/>
      <c r="J3335" s="934"/>
      <c r="K3335" s="934"/>
      <c r="L3335" s="933"/>
      <c r="M3335" s="1100"/>
      <c r="N3335" s="934"/>
      <c r="O3335" s="936"/>
      <c r="P3335" s="936"/>
      <c r="Q3335" s="933"/>
      <c r="T3335" s="1101"/>
      <c r="U3335" s="1102"/>
      <c r="V3335" s="936"/>
      <c r="W3335" s="1103"/>
      <c r="X3335" s="1104"/>
      <c r="Y3335" s="1105"/>
      <c r="Z3335" s="1103"/>
      <c r="AC3335" s="1106"/>
      <c r="AD3335" s="1107"/>
      <c r="AE3335" s="1104"/>
      <c r="AG3335" s="1109"/>
      <c r="AI3335" s="1110"/>
      <c r="AL3335" s="933"/>
      <c r="AM3335" s="933"/>
      <c r="AN3335" s="1100"/>
      <c r="AO3335" s="1100"/>
      <c r="AP3335" s="934"/>
      <c r="AQ3335" s="934"/>
      <c r="AR3335" s="934"/>
      <c r="AS3335" s="936"/>
      <c r="AT3335" s="936"/>
      <c r="AU3335" s="936"/>
      <c r="AV3335" s="937"/>
      <c r="AW3335" s="938"/>
      <c r="AX3335" s="939"/>
      <c r="AY3335" s="933"/>
      <c r="AZ3335" s="936"/>
      <c r="BA3335" s="936"/>
      <c r="BB3335" s="1112"/>
      <c r="BC3335" s="940"/>
      <c r="BD3335" s="941"/>
      <c r="BE3335" s="942"/>
      <c r="BF3335" s="943"/>
      <c r="BG3335" s="943"/>
      <c r="BH3335" s="943"/>
      <c r="BI3335" s="943"/>
      <c r="BJ3335" s="943"/>
      <c r="BK3335" s="943"/>
      <c r="BL3335" s="943"/>
      <c r="BM3335" s="943"/>
      <c r="BN3335" s="943"/>
      <c r="BO3335" s="1059"/>
      <c r="BP3335" s="1059"/>
      <c r="BQ3335" s="1059"/>
      <c r="BR3335" s="1059"/>
      <c r="BS3335" s="1059"/>
      <c r="BT3335" s="1059"/>
      <c r="BU3335" s="1059"/>
      <c r="BV3335" s="944"/>
      <c r="BW3335" s="944"/>
      <c r="BX3335" s="1147"/>
      <c r="BY3335" s="944"/>
      <c r="BZ3335" s="944"/>
      <c r="CA3335" s="944"/>
      <c r="CB3335" s="944"/>
    </row>
    <row r="3336" spans="2:80">
      <c r="B3336" s="1097"/>
      <c r="C3336" s="1097"/>
      <c r="D3336" s="1097"/>
      <c r="E3336" s="1097"/>
      <c r="F3336" s="934"/>
      <c r="G3336" s="1098"/>
      <c r="H3336" s="1099"/>
      <c r="I3336" s="1099"/>
      <c r="J3336" s="934"/>
      <c r="K3336" s="934"/>
      <c r="L3336" s="933"/>
      <c r="M3336" s="1100"/>
      <c r="N3336" s="934"/>
      <c r="O3336" s="936"/>
      <c r="P3336" s="936"/>
      <c r="Q3336" s="933"/>
      <c r="T3336" s="1101"/>
      <c r="U3336" s="1102"/>
      <c r="V3336" s="936"/>
      <c r="W3336" s="1103"/>
      <c r="X3336" s="1104"/>
      <c r="Y3336" s="1105"/>
      <c r="Z3336" s="1103"/>
      <c r="AC3336" s="1106"/>
      <c r="AD3336" s="1107"/>
      <c r="AE3336" s="1104"/>
      <c r="AG3336" s="1109"/>
      <c r="AI3336" s="1110"/>
      <c r="AL3336" s="933"/>
      <c r="AM3336" s="933"/>
      <c r="AN3336" s="1100"/>
      <c r="AO3336" s="1100"/>
      <c r="AP3336" s="934"/>
      <c r="AQ3336" s="934"/>
      <c r="AR3336" s="934"/>
      <c r="AS3336" s="936"/>
      <c r="AT3336" s="936"/>
      <c r="AU3336" s="936"/>
      <c r="AV3336" s="937"/>
      <c r="AW3336" s="938"/>
      <c r="AX3336" s="939"/>
      <c r="AY3336" s="933"/>
      <c r="AZ3336" s="936"/>
      <c r="BA3336" s="936"/>
      <c r="BB3336" s="1112"/>
      <c r="BC3336" s="940"/>
      <c r="BD3336" s="941"/>
      <c r="BE3336" s="942"/>
      <c r="BF3336" s="943"/>
      <c r="BG3336" s="943"/>
      <c r="BH3336" s="943"/>
      <c r="BI3336" s="943"/>
      <c r="BJ3336" s="943"/>
      <c r="BK3336" s="943"/>
      <c r="BL3336" s="943"/>
      <c r="BM3336" s="943"/>
      <c r="BN3336" s="943"/>
      <c r="BO3336" s="1059"/>
      <c r="BP3336" s="1059"/>
      <c r="BQ3336" s="1059"/>
      <c r="BR3336" s="1059"/>
      <c r="BS3336" s="1059"/>
      <c r="BT3336" s="1059"/>
      <c r="BU3336" s="1059"/>
      <c r="BV3336" s="944"/>
      <c r="BW3336" s="944"/>
      <c r="BX3336" s="1147"/>
      <c r="BY3336" s="944"/>
      <c r="BZ3336" s="944"/>
      <c r="CA3336" s="944"/>
      <c r="CB3336" s="944"/>
    </row>
    <row r="3337" spans="2:80">
      <c r="B3337" s="1097"/>
      <c r="C3337" s="1097"/>
      <c r="D3337" s="1097"/>
      <c r="E3337" s="1097"/>
      <c r="F3337" s="934"/>
      <c r="G3337" s="1098"/>
      <c r="H3337" s="1099"/>
      <c r="I3337" s="1099"/>
      <c r="J3337" s="934"/>
      <c r="K3337" s="934"/>
      <c r="L3337" s="933"/>
      <c r="M3337" s="1100"/>
      <c r="N3337" s="934"/>
      <c r="O3337" s="936"/>
      <c r="P3337" s="936"/>
      <c r="Q3337" s="933"/>
      <c r="T3337" s="1101"/>
      <c r="U3337" s="1102"/>
      <c r="V3337" s="936"/>
      <c r="W3337" s="1103"/>
      <c r="X3337" s="1104"/>
      <c r="Y3337" s="1105"/>
      <c r="Z3337" s="1103"/>
      <c r="AC3337" s="1106"/>
      <c r="AD3337" s="1107"/>
      <c r="AE3337" s="1104"/>
      <c r="AG3337" s="1109"/>
      <c r="AI3337" s="1110"/>
      <c r="AL3337" s="933"/>
      <c r="AM3337" s="933"/>
      <c r="AN3337" s="1100"/>
      <c r="AO3337" s="1100"/>
      <c r="AP3337" s="934"/>
      <c r="AQ3337" s="934"/>
      <c r="AR3337" s="934"/>
      <c r="AS3337" s="936"/>
      <c r="AT3337" s="936"/>
      <c r="AU3337" s="936"/>
      <c r="AV3337" s="937"/>
      <c r="AW3337" s="938"/>
      <c r="AX3337" s="939"/>
      <c r="AY3337" s="933"/>
      <c r="AZ3337" s="936"/>
      <c r="BA3337" s="936"/>
      <c r="BB3337" s="1112"/>
      <c r="BC3337" s="940"/>
      <c r="BD3337" s="941"/>
      <c r="BE3337" s="942"/>
      <c r="BF3337" s="943"/>
      <c r="BG3337" s="943"/>
      <c r="BH3337" s="943"/>
      <c r="BI3337" s="943"/>
      <c r="BJ3337" s="943"/>
      <c r="BK3337" s="943"/>
      <c r="BL3337" s="943"/>
      <c r="BM3337" s="943"/>
      <c r="BN3337" s="943"/>
      <c r="BO3337" s="1059"/>
      <c r="BP3337" s="1059"/>
      <c r="BQ3337" s="1059"/>
      <c r="BR3337" s="1059"/>
      <c r="BS3337" s="1059"/>
      <c r="BT3337" s="1059"/>
      <c r="BU3337" s="1059"/>
      <c r="BV3337" s="944"/>
      <c r="BW3337" s="944"/>
      <c r="BX3337" s="1147"/>
      <c r="BY3337" s="944"/>
      <c r="BZ3337" s="944"/>
      <c r="CA3337" s="944"/>
      <c r="CB3337" s="944"/>
    </row>
    <row r="3338" spans="2:80">
      <c r="B3338" s="1097"/>
      <c r="C3338" s="1097"/>
      <c r="D3338" s="1097"/>
      <c r="E3338" s="1097"/>
      <c r="F3338" s="934"/>
      <c r="G3338" s="1098"/>
      <c r="H3338" s="1099"/>
      <c r="I3338" s="1099"/>
      <c r="J3338" s="934"/>
      <c r="K3338" s="934"/>
      <c r="L3338" s="933"/>
      <c r="M3338" s="1100"/>
      <c r="N3338" s="934"/>
      <c r="O3338" s="936"/>
      <c r="P3338" s="936"/>
      <c r="Q3338" s="933"/>
      <c r="T3338" s="1101"/>
      <c r="U3338" s="1102"/>
      <c r="V3338" s="936"/>
      <c r="W3338" s="1103"/>
      <c r="X3338" s="1104"/>
      <c r="Y3338" s="1105"/>
      <c r="Z3338" s="1103"/>
      <c r="AC3338" s="1106"/>
      <c r="AD3338" s="1107"/>
      <c r="AE3338" s="1104"/>
      <c r="AG3338" s="1109"/>
      <c r="AI3338" s="1110"/>
      <c r="AL3338" s="933"/>
      <c r="AM3338" s="933"/>
      <c r="AN3338" s="1100"/>
      <c r="AO3338" s="1100"/>
      <c r="AP3338" s="934"/>
      <c r="AQ3338" s="934"/>
      <c r="AR3338" s="934"/>
      <c r="AS3338" s="936"/>
      <c r="AT3338" s="936"/>
      <c r="AU3338" s="936"/>
      <c r="AV3338" s="937"/>
      <c r="AW3338" s="938"/>
      <c r="AX3338" s="939"/>
      <c r="AY3338" s="933"/>
      <c r="AZ3338" s="936"/>
      <c r="BA3338" s="936"/>
      <c r="BB3338" s="1112"/>
      <c r="BC3338" s="940"/>
      <c r="BD3338" s="941"/>
      <c r="BE3338" s="942"/>
      <c r="BF3338" s="943"/>
      <c r="BG3338" s="943"/>
      <c r="BH3338" s="943"/>
      <c r="BI3338" s="943"/>
      <c r="BJ3338" s="943"/>
      <c r="BK3338" s="943"/>
      <c r="BL3338" s="943"/>
      <c r="BM3338" s="943"/>
      <c r="BN3338" s="943"/>
      <c r="BO3338" s="1059"/>
      <c r="BP3338" s="1059"/>
      <c r="BQ3338" s="1059"/>
      <c r="BR3338" s="1059"/>
      <c r="BS3338" s="1059"/>
      <c r="BT3338" s="1059"/>
      <c r="BU3338" s="1059"/>
      <c r="BV3338" s="944"/>
      <c r="BW3338" s="944"/>
      <c r="BX3338" s="1147"/>
      <c r="BY3338" s="944"/>
      <c r="BZ3338" s="944"/>
      <c r="CA3338" s="944"/>
      <c r="CB3338" s="944"/>
    </row>
    <row r="3339" spans="2:80">
      <c r="B3339" s="1097"/>
      <c r="C3339" s="1097"/>
      <c r="D3339" s="1097"/>
      <c r="E3339" s="1097"/>
      <c r="F3339" s="934"/>
      <c r="G3339" s="1098"/>
      <c r="H3339" s="1099"/>
      <c r="I3339" s="1099"/>
      <c r="J3339" s="934"/>
      <c r="K3339" s="934"/>
      <c r="L3339" s="933"/>
      <c r="M3339" s="1100"/>
      <c r="N3339" s="934"/>
      <c r="O3339" s="936"/>
      <c r="P3339" s="936"/>
      <c r="Q3339" s="933"/>
      <c r="T3339" s="1101"/>
      <c r="U3339" s="1102"/>
      <c r="V3339" s="936"/>
      <c r="W3339" s="1103"/>
      <c r="X3339" s="1104"/>
      <c r="Y3339" s="1105"/>
      <c r="Z3339" s="1103"/>
      <c r="AC3339" s="1106"/>
      <c r="AD3339" s="1107"/>
      <c r="AE3339" s="1104"/>
      <c r="AG3339" s="1109"/>
      <c r="AI3339" s="1110"/>
      <c r="AL3339" s="933"/>
      <c r="AM3339" s="933"/>
      <c r="AN3339" s="1100"/>
      <c r="AO3339" s="1100"/>
      <c r="AP3339" s="934"/>
      <c r="AQ3339" s="934"/>
      <c r="AR3339" s="934"/>
      <c r="AS3339" s="936"/>
      <c r="AT3339" s="936"/>
      <c r="AU3339" s="936"/>
      <c r="AV3339" s="937"/>
      <c r="AW3339" s="938"/>
      <c r="AX3339" s="939"/>
      <c r="AY3339" s="933"/>
      <c r="AZ3339" s="936"/>
      <c r="BA3339" s="936"/>
      <c r="BB3339" s="1112"/>
      <c r="BC3339" s="940"/>
      <c r="BD3339" s="941"/>
      <c r="BE3339" s="942"/>
      <c r="BF3339" s="943"/>
      <c r="BG3339" s="943"/>
      <c r="BH3339" s="943"/>
      <c r="BI3339" s="943"/>
      <c r="BJ3339" s="943"/>
      <c r="BK3339" s="943"/>
      <c r="BL3339" s="943"/>
      <c r="BM3339" s="943"/>
      <c r="BN3339" s="943"/>
      <c r="BO3339" s="1059"/>
      <c r="BP3339" s="1059"/>
      <c r="BQ3339" s="1059"/>
      <c r="BR3339" s="1059"/>
      <c r="BS3339" s="1059"/>
      <c r="BT3339" s="1059"/>
      <c r="BU3339" s="1059"/>
      <c r="BV3339" s="944"/>
      <c r="BW3339" s="944"/>
      <c r="BX3339" s="1147"/>
      <c r="BY3339" s="944"/>
      <c r="BZ3339" s="944"/>
      <c r="CA3339" s="944"/>
      <c r="CB3339" s="944"/>
    </row>
    <row r="3340" spans="2:80">
      <c r="B3340" s="1097"/>
      <c r="C3340" s="1097"/>
      <c r="D3340" s="1097"/>
      <c r="E3340" s="1097"/>
      <c r="F3340" s="934"/>
      <c r="G3340" s="1098"/>
      <c r="H3340" s="1099"/>
      <c r="I3340" s="1099"/>
      <c r="J3340" s="934"/>
      <c r="K3340" s="934"/>
      <c r="L3340" s="933"/>
      <c r="M3340" s="1100"/>
      <c r="N3340" s="934"/>
      <c r="O3340" s="936"/>
      <c r="P3340" s="936"/>
      <c r="Q3340" s="933"/>
      <c r="T3340" s="1101"/>
      <c r="U3340" s="1102"/>
      <c r="V3340" s="936"/>
      <c r="W3340" s="1103"/>
      <c r="X3340" s="1104"/>
      <c r="Y3340" s="1105"/>
      <c r="Z3340" s="1103"/>
      <c r="AC3340" s="1106"/>
      <c r="AD3340" s="1107"/>
      <c r="AE3340" s="1104"/>
      <c r="AG3340" s="1109"/>
      <c r="AI3340" s="1110"/>
      <c r="AL3340" s="933"/>
      <c r="AM3340" s="933"/>
      <c r="AN3340" s="1100"/>
      <c r="AO3340" s="1100"/>
      <c r="AP3340" s="934"/>
      <c r="AQ3340" s="934"/>
      <c r="AR3340" s="934"/>
      <c r="AS3340" s="936"/>
      <c r="AT3340" s="936"/>
      <c r="AU3340" s="936"/>
      <c r="AV3340" s="937"/>
      <c r="AW3340" s="938"/>
      <c r="AX3340" s="939"/>
      <c r="AY3340" s="933"/>
      <c r="AZ3340" s="936"/>
      <c r="BA3340" s="936"/>
      <c r="BB3340" s="1112"/>
      <c r="BC3340" s="940"/>
      <c r="BD3340" s="941"/>
      <c r="BE3340" s="942"/>
      <c r="BF3340" s="943"/>
      <c r="BG3340" s="943"/>
      <c r="BH3340" s="943"/>
      <c r="BI3340" s="943"/>
      <c r="BJ3340" s="943"/>
      <c r="BK3340" s="943"/>
      <c r="BL3340" s="943"/>
      <c r="BM3340" s="943"/>
      <c r="BN3340" s="943"/>
      <c r="BO3340" s="1059"/>
      <c r="BP3340" s="1059"/>
      <c r="BQ3340" s="1059"/>
      <c r="BR3340" s="1059"/>
      <c r="BS3340" s="1059"/>
      <c r="BT3340" s="1059"/>
      <c r="BU3340" s="1059"/>
      <c r="BV3340" s="944"/>
      <c r="BW3340" s="944"/>
      <c r="BX3340" s="1147"/>
      <c r="BY3340" s="944"/>
      <c r="BZ3340" s="944"/>
      <c r="CA3340" s="944"/>
      <c r="CB3340" s="944"/>
    </row>
    <row r="3341" spans="2:80">
      <c r="B3341" s="1097"/>
      <c r="C3341" s="1097"/>
      <c r="D3341" s="1097"/>
      <c r="E3341" s="1097"/>
      <c r="F3341" s="934"/>
      <c r="G3341" s="1098"/>
      <c r="H3341" s="1099"/>
      <c r="I3341" s="1099"/>
      <c r="J3341" s="934"/>
      <c r="K3341" s="934"/>
      <c r="L3341" s="933"/>
      <c r="M3341" s="1100"/>
      <c r="N3341" s="934"/>
      <c r="O3341" s="936"/>
      <c r="P3341" s="936"/>
      <c r="Q3341" s="933"/>
      <c r="T3341" s="1101"/>
      <c r="U3341" s="1102"/>
      <c r="V3341" s="936"/>
      <c r="W3341" s="1103"/>
      <c r="X3341" s="1104"/>
      <c r="Y3341" s="1105"/>
      <c r="Z3341" s="1103"/>
      <c r="AC3341" s="1106"/>
      <c r="AD3341" s="1107"/>
      <c r="AE3341" s="1104"/>
      <c r="AG3341" s="1109"/>
      <c r="AI3341" s="1110"/>
      <c r="AL3341" s="933"/>
      <c r="AM3341" s="933"/>
      <c r="AN3341" s="1100"/>
      <c r="AO3341" s="1100"/>
      <c r="AP3341" s="934"/>
      <c r="AQ3341" s="934"/>
      <c r="AR3341" s="934"/>
      <c r="AS3341" s="936"/>
      <c r="AT3341" s="936"/>
      <c r="AU3341" s="936"/>
      <c r="AV3341" s="937"/>
      <c r="AW3341" s="938"/>
      <c r="AX3341" s="939"/>
      <c r="AY3341" s="933"/>
      <c r="AZ3341" s="936"/>
      <c r="BA3341" s="936"/>
      <c r="BB3341" s="1112"/>
      <c r="BC3341" s="940"/>
      <c r="BD3341" s="941"/>
      <c r="BE3341" s="942"/>
      <c r="BF3341" s="943"/>
      <c r="BG3341" s="943"/>
      <c r="BH3341" s="943"/>
      <c r="BI3341" s="943"/>
      <c r="BJ3341" s="943"/>
      <c r="BK3341" s="943"/>
      <c r="BL3341" s="943"/>
      <c r="BM3341" s="943"/>
      <c r="BN3341" s="943"/>
      <c r="BO3341" s="1059"/>
      <c r="BP3341" s="1059"/>
      <c r="BQ3341" s="1059"/>
      <c r="BR3341" s="1059"/>
      <c r="BS3341" s="1059"/>
      <c r="BT3341" s="1059"/>
      <c r="BU3341" s="1059"/>
      <c r="BV3341" s="944"/>
      <c r="BW3341" s="944"/>
      <c r="BX3341" s="1147"/>
      <c r="BY3341" s="944"/>
      <c r="BZ3341" s="944"/>
      <c r="CA3341" s="944"/>
      <c r="CB3341" s="944"/>
    </row>
    <row r="3342" spans="2:80">
      <c r="B3342" s="1097"/>
      <c r="C3342" s="1097"/>
      <c r="D3342" s="1097"/>
      <c r="E3342" s="1097"/>
      <c r="F3342" s="934"/>
      <c r="G3342" s="1098"/>
      <c r="H3342" s="1099"/>
      <c r="I3342" s="1099"/>
      <c r="J3342" s="934"/>
      <c r="K3342" s="934"/>
      <c r="L3342" s="933"/>
      <c r="M3342" s="1100"/>
      <c r="N3342" s="934"/>
      <c r="O3342" s="936"/>
      <c r="P3342" s="936"/>
      <c r="Q3342" s="933"/>
      <c r="T3342" s="1101"/>
      <c r="U3342" s="1102"/>
      <c r="V3342" s="936"/>
      <c r="W3342" s="1103"/>
      <c r="X3342" s="1104"/>
      <c r="Y3342" s="1105"/>
      <c r="Z3342" s="1103"/>
      <c r="AC3342" s="1106"/>
      <c r="AD3342" s="1107"/>
      <c r="AE3342" s="1104"/>
      <c r="AG3342" s="1109"/>
      <c r="AI3342" s="1110"/>
      <c r="AL3342" s="933"/>
      <c r="AM3342" s="933"/>
      <c r="AN3342" s="1100"/>
      <c r="AO3342" s="1100"/>
      <c r="AP3342" s="934"/>
      <c r="AQ3342" s="934"/>
      <c r="AR3342" s="934"/>
      <c r="AS3342" s="936"/>
      <c r="AT3342" s="936"/>
      <c r="AU3342" s="936"/>
      <c r="AV3342" s="937"/>
      <c r="AW3342" s="938"/>
      <c r="AX3342" s="939"/>
      <c r="AY3342" s="933"/>
      <c r="AZ3342" s="936"/>
      <c r="BA3342" s="936"/>
      <c r="BB3342" s="1112"/>
      <c r="BC3342" s="940"/>
      <c r="BD3342" s="941"/>
      <c r="BE3342" s="942"/>
      <c r="BF3342" s="943"/>
      <c r="BG3342" s="943"/>
      <c r="BH3342" s="943"/>
      <c r="BI3342" s="943"/>
      <c r="BJ3342" s="943"/>
      <c r="BK3342" s="943"/>
      <c r="BL3342" s="943"/>
      <c r="BM3342" s="943"/>
      <c r="BN3342" s="943"/>
      <c r="BO3342" s="1059"/>
      <c r="BP3342" s="1059"/>
      <c r="BQ3342" s="1059"/>
      <c r="BR3342" s="1059"/>
      <c r="BS3342" s="1059"/>
      <c r="BT3342" s="1059"/>
      <c r="BU3342" s="1059"/>
      <c r="BV3342" s="944"/>
      <c r="BW3342" s="944"/>
      <c r="BX3342" s="1147"/>
      <c r="BY3342" s="944"/>
      <c r="BZ3342" s="944"/>
      <c r="CA3342" s="944"/>
      <c r="CB3342" s="944"/>
    </row>
    <row r="3343" spans="2:80">
      <c r="B3343" s="1097"/>
      <c r="C3343" s="1097"/>
      <c r="D3343" s="1097"/>
      <c r="E3343" s="1097"/>
      <c r="F3343" s="934"/>
      <c r="G3343" s="1098"/>
      <c r="H3343" s="1099"/>
      <c r="I3343" s="1099"/>
      <c r="J3343" s="934"/>
      <c r="K3343" s="934"/>
      <c r="L3343" s="933"/>
      <c r="M3343" s="1100"/>
      <c r="N3343" s="934"/>
      <c r="O3343" s="936"/>
      <c r="P3343" s="936"/>
      <c r="Q3343" s="933"/>
      <c r="T3343" s="1101"/>
      <c r="U3343" s="1102"/>
      <c r="V3343" s="936"/>
      <c r="W3343" s="1103"/>
      <c r="X3343" s="1104"/>
      <c r="Y3343" s="1105"/>
      <c r="Z3343" s="1103"/>
      <c r="AC3343" s="1106"/>
      <c r="AD3343" s="1107"/>
      <c r="AE3343" s="1104"/>
      <c r="AG3343" s="1109"/>
      <c r="AI3343" s="1110"/>
      <c r="AL3343" s="933"/>
      <c r="AM3343" s="933"/>
      <c r="AN3343" s="1100"/>
      <c r="AO3343" s="1100"/>
      <c r="AP3343" s="934"/>
      <c r="AQ3343" s="934"/>
      <c r="AR3343" s="934"/>
      <c r="AS3343" s="936"/>
      <c r="AT3343" s="936"/>
      <c r="AU3343" s="936"/>
      <c r="AV3343" s="937"/>
      <c r="AW3343" s="938"/>
      <c r="AX3343" s="939"/>
      <c r="AY3343" s="933"/>
      <c r="AZ3343" s="936"/>
      <c r="BA3343" s="936"/>
      <c r="BB3343" s="1112"/>
      <c r="BC3343" s="940"/>
      <c r="BD3343" s="941"/>
      <c r="BE3343" s="942"/>
      <c r="BF3343" s="943"/>
      <c r="BG3343" s="943"/>
      <c r="BH3343" s="943"/>
      <c r="BI3343" s="943"/>
      <c r="BJ3343" s="943"/>
      <c r="BK3343" s="943"/>
      <c r="BL3343" s="943"/>
      <c r="BM3343" s="943"/>
      <c r="BN3343" s="943"/>
      <c r="BO3343" s="1059"/>
      <c r="BP3343" s="1059"/>
      <c r="BQ3343" s="1059"/>
      <c r="BR3343" s="1059"/>
      <c r="BS3343" s="1059"/>
      <c r="BT3343" s="1059"/>
      <c r="BU3343" s="1059"/>
      <c r="BV3343" s="944"/>
      <c r="BW3343" s="944"/>
      <c r="BX3343" s="1147"/>
      <c r="BY3343" s="944"/>
      <c r="BZ3343" s="944"/>
      <c r="CA3343" s="944"/>
      <c r="CB3343" s="944"/>
    </row>
    <row r="3344" spans="2:80">
      <c r="B3344" s="1097"/>
      <c r="C3344" s="1097"/>
      <c r="D3344" s="1097"/>
      <c r="E3344" s="1097"/>
      <c r="F3344" s="934"/>
      <c r="G3344" s="1098"/>
      <c r="H3344" s="1099"/>
      <c r="I3344" s="1099"/>
      <c r="J3344" s="934"/>
      <c r="K3344" s="934"/>
      <c r="L3344" s="933"/>
      <c r="M3344" s="1100"/>
      <c r="N3344" s="934"/>
      <c r="O3344" s="936"/>
      <c r="P3344" s="936"/>
      <c r="Q3344" s="933"/>
      <c r="T3344" s="1101"/>
      <c r="U3344" s="1102"/>
      <c r="V3344" s="936"/>
      <c r="W3344" s="1103"/>
      <c r="X3344" s="1104"/>
      <c r="Y3344" s="1105"/>
      <c r="Z3344" s="1103"/>
      <c r="AC3344" s="1106"/>
      <c r="AD3344" s="1107"/>
      <c r="AE3344" s="1104"/>
      <c r="AG3344" s="1109"/>
      <c r="AI3344" s="1110"/>
      <c r="AL3344" s="933"/>
      <c r="AM3344" s="933"/>
      <c r="AN3344" s="1100"/>
      <c r="AO3344" s="1100"/>
      <c r="AP3344" s="934"/>
      <c r="AQ3344" s="934"/>
      <c r="AR3344" s="934"/>
      <c r="AS3344" s="936"/>
      <c r="AT3344" s="936"/>
      <c r="AU3344" s="936"/>
      <c r="AV3344" s="937"/>
      <c r="AW3344" s="938"/>
      <c r="AX3344" s="939"/>
      <c r="AY3344" s="933"/>
      <c r="AZ3344" s="936"/>
      <c r="BA3344" s="936"/>
      <c r="BB3344" s="1112"/>
      <c r="BC3344" s="940"/>
      <c r="BD3344" s="941"/>
      <c r="BE3344" s="942"/>
      <c r="BF3344" s="943"/>
      <c r="BG3344" s="943"/>
      <c r="BH3344" s="943"/>
      <c r="BI3344" s="943"/>
      <c r="BJ3344" s="943"/>
      <c r="BK3344" s="943"/>
      <c r="BL3344" s="943"/>
      <c r="BM3344" s="943"/>
      <c r="BN3344" s="943"/>
      <c r="BO3344" s="1059"/>
      <c r="BP3344" s="1059"/>
      <c r="BQ3344" s="1059"/>
      <c r="BR3344" s="1059"/>
      <c r="BS3344" s="1059"/>
      <c r="BT3344" s="1059"/>
      <c r="BU3344" s="1059"/>
      <c r="BV3344" s="944"/>
      <c r="BW3344" s="944"/>
      <c r="BX3344" s="1147"/>
      <c r="BY3344" s="944"/>
      <c r="BZ3344" s="944"/>
      <c r="CA3344" s="944"/>
      <c r="CB3344" s="944"/>
    </row>
    <row r="3345" spans="2:80">
      <c r="B3345" s="1097"/>
      <c r="C3345" s="1097"/>
      <c r="D3345" s="1097"/>
      <c r="E3345" s="1097"/>
      <c r="F3345" s="934"/>
      <c r="G3345" s="1098"/>
      <c r="H3345" s="1099"/>
      <c r="I3345" s="1099"/>
      <c r="J3345" s="934"/>
      <c r="K3345" s="934"/>
      <c r="L3345" s="933"/>
      <c r="M3345" s="1100"/>
      <c r="N3345" s="934"/>
      <c r="O3345" s="936"/>
      <c r="P3345" s="936"/>
      <c r="Q3345" s="933"/>
      <c r="T3345" s="1101"/>
      <c r="U3345" s="1102"/>
      <c r="V3345" s="936"/>
      <c r="W3345" s="1103"/>
      <c r="X3345" s="1104"/>
      <c r="Y3345" s="1105"/>
      <c r="Z3345" s="1103"/>
      <c r="AC3345" s="1106"/>
      <c r="AD3345" s="1107"/>
      <c r="AE3345" s="1104"/>
      <c r="AG3345" s="1109"/>
      <c r="AI3345" s="1110"/>
      <c r="AL3345" s="933"/>
      <c r="AM3345" s="933"/>
      <c r="AN3345" s="1100"/>
      <c r="AO3345" s="1100"/>
      <c r="AP3345" s="934"/>
      <c r="AQ3345" s="934"/>
      <c r="AR3345" s="934"/>
      <c r="AS3345" s="936"/>
      <c r="AT3345" s="936"/>
      <c r="AU3345" s="936"/>
      <c r="AV3345" s="937"/>
      <c r="AW3345" s="938"/>
      <c r="AX3345" s="939"/>
      <c r="AY3345" s="933"/>
      <c r="AZ3345" s="936"/>
      <c r="BA3345" s="936"/>
      <c r="BB3345" s="1112"/>
      <c r="BC3345" s="940"/>
      <c r="BD3345" s="941"/>
      <c r="BE3345" s="942"/>
      <c r="BF3345" s="943"/>
      <c r="BG3345" s="943"/>
      <c r="BH3345" s="943"/>
      <c r="BI3345" s="943"/>
      <c r="BJ3345" s="943"/>
      <c r="BK3345" s="943"/>
      <c r="BL3345" s="943"/>
      <c r="BM3345" s="943"/>
      <c r="BN3345" s="943"/>
      <c r="BO3345" s="1059"/>
      <c r="BP3345" s="1059"/>
      <c r="BQ3345" s="1059"/>
      <c r="BR3345" s="1059"/>
      <c r="BS3345" s="1059"/>
      <c r="BT3345" s="1059"/>
      <c r="BU3345" s="1059"/>
      <c r="BV3345" s="944"/>
      <c r="BW3345" s="944"/>
      <c r="BX3345" s="1147"/>
      <c r="BY3345" s="944"/>
      <c r="BZ3345" s="944"/>
      <c r="CA3345" s="944"/>
      <c r="CB3345" s="944"/>
    </row>
    <row r="3346" spans="2:80">
      <c r="B3346" s="1097"/>
      <c r="C3346" s="1097"/>
      <c r="D3346" s="1097"/>
      <c r="E3346" s="1097"/>
      <c r="F3346" s="934"/>
      <c r="G3346" s="1098"/>
      <c r="H3346" s="1099"/>
      <c r="I3346" s="1099"/>
      <c r="J3346" s="934"/>
      <c r="K3346" s="934"/>
      <c r="L3346" s="933"/>
      <c r="M3346" s="1100"/>
      <c r="N3346" s="934"/>
      <c r="O3346" s="936"/>
      <c r="P3346" s="936"/>
      <c r="Q3346" s="933"/>
      <c r="T3346" s="1101"/>
      <c r="U3346" s="1102"/>
      <c r="V3346" s="936"/>
      <c r="W3346" s="1103"/>
      <c r="X3346" s="1104"/>
      <c r="Y3346" s="1105"/>
      <c r="Z3346" s="1103"/>
      <c r="AC3346" s="1106"/>
      <c r="AD3346" s="1107"/>
      <c r="AE3346" s="1104"/>
      <c r="AG3346" s="1109"/>
      <c r="AI3346" s="1110"/>
      <c r="AL3346" s="933"/>
      <c r="AM3346" s="933"/>
      <c r="AN3346" s="1100"/>
      <c r="AO3346" s="1100"/>
      <c r="AP3346" s="934"/>
      <c r="AQ3346" s="934"/>
      <c r="AR3346" s="934"/>
      <c r="AS3346" s="936"/>
      <c r="AT3346" s="936"/>
      <c r="AU3346" s="936"/>
      <c r="AV3346" s="937"/>
      <c r="AW3346" s="938"/>
      <c r="AX3346" s="939"/>
      <c r="AY3346" s="933"/>
      <c r="AZ3346" s="936"/>
      <c r="BA3346" s="936"/>
      <c r="BB3346" s="1112"/>
      <c r="BC3346" s="940"/>
      <c r="BD3346" s="941"/>
      <c r="BE3346" s="942"/>
      <c r="BF3346" s="943"/>
      <c r="BG3346" s="943"/>
      <c r="BH3346" s="943"/>
      <c r="BI3346" s="943"/>
      <c r="BJ3346" s="943"/>
      <c r="BK3346" s="943"/>
      <c r="BL3346" s="943"/>
      <c r="BM3346" s="943"/>
      <c r="BN3346" s="943"/>
      <c r="BO3346" s="1059"/>
      <c r="BP3346" s="1059"/>
      <c r="BQ3346" s="1059"/>
      <c r="BR3346" s="1059"/>
      <c r="BS3346" s="1059"/>
      <c r="BT3346" s="1059"/>
      <c r="BU3346" s="1059"/>
      <c r="BV3346" s="944"/>
      <c r="BW3346" s="944"/>
      <c r="BX3346" s="1147"/>
      <c r="BY3346" s="944"/>
      <c r="BZ3346" s="944"/>
      <c r="CA3346" s="944"/>
      <c r="CB3346" s="944"/>
    </row>
    <row r="3347" spans="2:80">
      <c r="B3347" s="1097"/>
      <c r="C3347" s="1097"/>
      <c r="D3347" s="1097"/>
      <c r="E3347" s="1097"/>
      <c r="F3347" s="934"/>
      <c r="G3347" s="1098"/>
      <c r="H3347" s="1099"/>
      <c r="I3347" s="1099"/>
      <c r="J3347" s="934"/>
      <c r="K3347" s="934"/>
      <c r="L3347" s="933"/>
      <c r="M3347" s="1100"/>
      <c r="N3347" s="934"/>
      <c r="O3347" s="936"/>
      <c r="P3347" s="936"/>
      <c r="Q3347" s="933"/>
      <c r="T3347" s="1101"/>
      <c r="U3347" s="1102"/>
      <c r="V3347" s="936"/>
      <c r="W3347" s="1103"/>
      <c r="X3347" s="1104"/>
      <c r="Y3347" s="1105"/>
      <c r="Z3347" s="1103"/>
      <c r="AC3347" s="1106"/>
      <c r="AD3347" s="1107"/>
      <c r="AE3347" s="1104"/>
      <c r="AG3347" s="1109"/>
      <c r="AI3347" s="1110"/>
      <c r="AL3347" s="933"/>
      <c r="AM3347" s="933"/>
      <c r="AN3347" s="1100"/>
      <c r="AO3347" s="1100"/>
      <c r="AP3347" s="934"/>
      <c r="AQ3347" s="934"/>
      <c r="AR3347" s="934"/>
      <c r="AS3347" s="936"/>
      <c r="AT3347" s="936"/>
      <c r="AU3347" s="936"/>
      <c r="AV3347" s="937"/>
      <c r="AW3347" s="938"/>
      <c r="AX3347" s="939"/>
      <c r="AY3347" s="933"/>
      <c r="AZ3347" s="936"/>
      <c r="BA3347" s="936"/>
      <c r="BB3347" s="1112"/>
      <c r="BC3347" s="940"/>
      <c r="BD3347" s="941"/>
      <c r="BE3347" s="942"/>
      <c r="BF3347" s="943"/>
      <c r="BG3347" s="943"/>
      <c r="BH3347" s="943"/>
      <c r="BI3347" s="943"/>
      <c r="BJ3347" s="943"/>
      <c r="BK3347" s="943"/>
      <c r="BL3347" s="943"/>
      <c r="BM3347" s="943"/>
      <c r="BN3347" s="943"/>
      <c r="BO3347" s="1059"/>
      <c r="BP3347" s="1059"/>
      <c r="BQ3347" s="1059"/>
      <c r="BR3347" s="1059"/>
      <c r="BS3347" s="1059"/>
      <c r="BT3347" s="1059"/>
      <c r="BU3347" s="1059"/>
      <c r="BV3347" s="944"/>
      <c r="BW3347" s="944"/>
      <c r="BX3347" s="1147"/>
      <c r="BY3347" s="944"/>
      <c r="BZ3347" s="944"/>
      <c r="CA3347" s="944"/>
      <c r="CB3347" s="944"/>
    </row>
    <row r="3348" spans="2:80">
      <c r="B3348" s="1097"/>
      <c r="C3348" s="1097"/>
      <c r="D3348" s="1097"/>
      <c r="E3348" s="1097"/>
      <c r="F3348" s="934"/>
      <c r="G3348" s="1098"/>
      <c r="H3348" s="1099"/>
      <c r="I3348" s="1099"/>
      <c r="J3348" s="934"/>
      <c r="K3348" s="934"/>
      <c r="L3348" s="933"/>
      <c r="M3348" s="1100"/>
      <c r="N3348" s="934"/>
      <c r="O3348" s="936"/>
      <c r="P3348" s="936"/>
      <c r="Q3348" s="933"/>
      <c r="T3348" s="1101"/>
      <c r="U3348" s="1102"/>
      <c r="V3348" s="936"/>
      <c r="W3348" s="1103"/>
      <c r="X3348" s="1104"/>
      <c r="Y3348" s="1105"/>
      <c r="Z3348" s="1103"/>
      <c r="AC3348" s="1106"/>
      <c r="AD3348" s="1107"/>
      <c r="AE3348" s="1104"/>
      <c r="AG3348" s="1109"/>
      <c r="AI3348" s="1110"/>
      <c r="AL3348" s="933"/>
      <c r="AM3348" s="933"/>
      <c r="AN3348" s="1100"/>
      <c r="AO3348" s="1100"/>
      <c r="AP3348" s="934"/>
      <c r="AQ3348" s="934"/>
      <c r="AR3348" s="934"/>
      <c r="AS3348" s="936"/>
      <c r="AT3348" s="936"/>
      <c r="AU3348" s="936"/>
      <c r="AV3348" s="937"/>
      <c r="AW3348" s="938"/>
      <c r="AX3348" s="939"/>
      <c r="AY3348" s="933"/>
      <c r="AZ3348" s="936"/>
      <c r="BA3348" s="936"/>
      <c r="BB3348" s="1112"/>
      <c r="BC3348" s="940"/>
      <c r="BD3348" s="941"/>
      <c r="BE3348" s="942"/>
      <c r="BF3348" s="943"/>
      <c r="BG3348" s="943"/>
      <c r="BH3348" s="943"/>
      <c r="BI3348" s="943"/>
      <c r="BJ3348" s="943"/>
      <c r="BK3348" s="943"/>
      <c r="BL3348" s="943"/>
      <c r="BM3348" s="943"/>
      <c r="BN3348" s="943"/>
      <c r="BO3348" s="1059"/>
      <c r="BP3348" s="1059"/>
      <c r="BQ3348" s="1059"/>
      <c r="BR3348" s="1059"/>
      <c r="BS3348" s="1059"/>
      <c r="BT3348" s="1059"/>
      <c r="BU3348" s="1059"/>
      <c r="BV3348" s="944"/>
      <c r="BW3348" s="944"/>
      <c r="BX3348" s="1147"/>
      <c r="BY3348" s="944"/>
      <c r="BZ3348" s="944"/>
      <c r="CA3348" s="944"/>
      <c r="CB3348" s="944"/>
    </row>
    <row r="3349" spans="2:80">
      <c r="B3349" s="1097"/>
      <c r="C3349" s="1097"/>
      <c r="D3349" s="1097"/>
      <c r="E3349" s="1097"/>
      <c r="F3349" s="934"/>
      <c r="G3349" s="1098"/>
      <c r="H3349" s="1099"/>
      <c r="I3349" s="1099"/>
      <c r="J3349" s="934"/>
      <c r="K3349" s="934"/>
      <c r="L3349" s="933"/>
      <c r="M3349" s="1100"/>
      <c r="N3349" s="934"/>
      <c r="O3349" s="936"/>
      <c r="P3349" s="936"/>
      <c r="Q3349" s="933"/>
      <c r="T3349" s="1101"/>
      <c r="U3349" s="1102"/>
      <c r="V3349" s="936"/>
      <c r="W3349" s="1103"/>
      <c r="X3349" s="1104"/>
      <c r="Y3349" s="1105"/>
      <c r="Z3349" s="1103"/>
      <c r="AC3349" s="1106"/>
      <c r="AD3349" s="1107"/>
      <c r="AE3349" s="1104"/>
      <c r="AG3349" s="1109"/>
      <c r="AI3349" s="1110"/>
      <c r="AL3349" s="933"/>
      <c r="AM3349" s="933"/>
      <c r="AN3349" s="1100"/>
      <c r="AO3349" s="1100"/>
      <c r="AP3349" s="934"/>
      <c r="AQ3349" s="934"/>
      <c r="AR3349" s="934"/>
      <c r="AS3349" s="936"/>
      <c r="AT3349" s="936"/>
      <c r="AU3349" s="936"/>
      <c r="AV3349" s="937"/>
      <c r="AW3349" s="938"/>
      <c r="AX3349" s="939"/>
      <c r="AY3349" s="933"/>
      <c r="AZ3349" s="936"/>
      <c r="BA3349" s="936"/>
      <c r="BB3349" s="1112"/>
      <c r="BC3349" s="940"/>
      <c r="BD3349" s="941"/>
      <c r="BE3349" s="942"/>
      <c r="BF3349" s="943"/>
      <c r="BG3349" s="943"/>
      <c r="BH3349" s="943"/>
      <c r="BI3349" s="943"/>
      <c r="BJ3349" s="943"/>
      <c r="BK3349" s="943"/>
      <c r="BL3349" s="943"/>
      <c r="BM3349" s="943"/>
      <c r="BN3349" s="943"/>
      <c r="BO3349" s="1059"/>
      <c r="BP3349" s="1059"/>
      <c r="BQ3349" s="1059"/>
      <c r="BR3349" s="1059"/>
      <c r="BS3349" s="1059"/>
      <c r="BT3349" s="1059"/>
      <c r="BU3349" s="1059"/>
      <c r="BV3349" s="944"/>
      <c r="BW3349" s="944"/>
      <c r="BX3349" s="1147"/>
      <c r="BY3349" s="944"/>
      <c r="BZ3349" s="944"/>
      <c r="CA3349" s="944"/>
      <c r="CB3349" s="944"/>
    </row>
    <row r="3350" spans="2:80">
      <c r="B3350" s="1097"/>
      <c r="C3350" s="1097"/>
      <c r="D3350" s="1097"/>
      <c r="E3350" s="1097"/>
      <c r="F3350" s="934"/>
      <c r="G3350" s="1098"/>
      <c r="H3350" s="1099"/>
      <c r="I3350" s="1099"/>
      <c r="J3350" s="934"/>
      <c r="K3350" s="934"/>
      <c r="L3350" s="933"/>
      <c r="M3350" s="1100"/>
      <c r="N3350" s="934"/>
      <c r="O3350" s="936"/>
      <c r="P3350" s="936"/>
      <c r="Q3350" s="933"/>
      <c r="T3350" s="1101"/>
      <c r="U3350" s="1102"/>
      <c r="V3350" s="936"/>
      <c r="W3350" s="1103"/>
      <c r="X3350" s="1104"/>
      <c r="Y3350" s="1105"/>
      <c r="Z3350" s="1103"/>
      <c r="AC3350" s="1106"/>
      <c r="AD3350" s="1107"/>
      <c r="AE3350" s="1104"/>
      <c r="AG3350" s="1109"/>
      <c r="AI3350" s="1110"/>
      <c r="AL3350" s="933"/>
      <c r="AM3350" s="933"/>
      <c r="AN3350" s="1100"/>
      <c r="AO3350" s="1100"/>
      <c r="AP3350" s="934"/>
      <c r="AQ3350" s="934"/>
      <c r="AR3350" s="934"/>
      <c r="AS3350" s="936"/>
      <c r="AT3350" s="936"/>
      <c r="AU3350" s="936"/>
      <c r="AV3350" s="937"/>
      <c r="AW3350" s="938"/>
      <c r="AX3350" s="939"/>
      <c r="AY3350" s="933"/>
      <c r="AZ3350" s="936"/>
      <c r="BA3350" s="936"/>
      <c r="BB3350" s="1112"/>
      <c r="BC3350" s="940"/>
      <c r="BD3350" s="941"/>
      <c r="BE3350" s="942"/>
      <c r="BF3350" s="943"/>
      <c r="BG3350" s="943"/>
      <c r="BH3350" s="943"/>
      <c r="BI3350" s="943"/>
      <c r="BJ3350" s="943"/>
      <c r="BK3350" s="943"/>
      <c r="BL3350" s="943"/>
      <c r="BM3350" s="943"/>
      <c r="BN3350" s="943"/>
      <c r="BO3350" s="1059"/>
      <c r="BP3350" s="1059"/>
      <c r="BQ3350" s="1059"/>
      <c r="BR3350" s="1059"/>
      <c r="BS3350" s="1059"/>
      <c r="BT3350" s="1059"/>
      <c r="BU3350" s="1059"/>
      <c r="BV3350" s="944"/>
      <c r="BW3350" s="944"/>
      <c r="BX3350" s="1147"/>
      <c r="BY3350" s="944"/>
      <c r="BZ3350" s="944"/>
      <c r="CA3350" s="944"/>
      <c r="CB3350" s="944"/>
    </row>
    <row r="3351" spans="2:80">
      <c r="B3351" s="1097"/>
      <c r="C3351" s="1097"/>
      <c r="D3351" s="1097"/>
      <c r="E3351" s="1097"/>
      <c r="F3351" s="934"/>
      <c r="G3351" s="1098"/>
      <c r="H3351" s="1099"/>
      <c r="I3351" s="1099"/>
      <c r="J3351" s="934"/>
      <c r="K3351" s="934"/>
      <c r="L3351" s="933"/>
      <c r="M3351" s="1100"/>
      <c r="N3351" s="934"/>
      <c r="O3351" s="936"/>
      <c r="P3351" s="936"/>
      <c r="Q3351" s="933"/>
      <c r="T3351" s="1101"/>
      <c r="U3351" s="1102"/>
      <c r="V3351" s="936"/>
      <c r="W3351" s="1103"/>
      <c r="X3351" s="1104"/>
      <c r="Y3351" s="1105"/>
      <c r="Z3351" s="1103"/>
      <c r="AC3351" s="1106"/>
      <c r="AD3351" s="1107"/>
      <c r="AE3351" s="1104"/>
      <c r="AG3351" s="1109"/>
      <c r="AI3351" s="1110"/>
      <c r="AL3351" s="933"/>
      <c r="AM3351" s="933"/>
      <c r="AN3351" s="1100"/>
      <c r="AO3351" s="1100"/>
      <c r="AP3351" s="934"/>
      <c r="AQ3351" s="934"/>
      <c r="AR3351" s="934"/>
      <c r="AS3351" s="936"/>
      <c r="AT3351" s="936"/>
      <c r="AU3351" s="936"/>
      <c r="AV3351" s="937"/>
      <c r="AW3351" s="938"/>
      <c r="AX3351" s="939"/>
      <c r="AY3351" s="933"/>
      <c r="AZ3351" s="936"/>
      <c r="BA3351" s="936"/>
      <c r="BB3351" s="1112"/>
      <c r="BC3351" s="940"/>
      <c r="BD3351" s="941"/>
      <c r="BE3351" s="942"/>
      <c r="BF3351" s="943"/>
      <c r="BG3351" s="943"/>
      <c r="BH3351" s="943"/>
      <c r="BI3351" s="943"/>
      <c r="BJ3351" s="943"/>
      <c r="BK3351" s="943"/>
      <c r="BL3351" s="943"/>
      <c r="BM3351" s="943"/>
      <c r="BN3351" s="943"/>
      <c r="BO3351" s="1059"/>
      <c r="BP3351" s="1059"/>
      <c r="BQ3351" s="1059"/>
      <c r="BR3351" s="1059"/>
      <c r="BS3351" s="1059"/>
      <c r="BT3351" s="1059"/>
      <c r="BU3351" s="1059"/>
      <c r="BV3351" s="944"/>
      <c r="BW3351" s="944"/>
      <c r="BX3351" s="1147"/>
      <c r="BY3351" s="944"/>
      <c r="BZ3351" s="944"/>
      <c r="CA3351" s="944"/>
      <c r="CB3351" s="944"/>
    </row>
    <row r="3352" spans="2:80">
      <c r="B3352" s="1097"/>
      <c r="C3352" s="1097"/>
      <c r="D3352" s="1097"/>
      <c r="E3352" s="1097"/>
      <c r="F3352" s="934"/>
      <c r="G3352" s="1098"/>
      <c r="H3352" s="1099"/>
      <c r="I3352" s="1099"/>
      <c r="J3352" s="934"/>
      <c r="K3352" s="934"/>
      <c r="L3352" s="933"/>
      <c r="M3352" s="1100"/>
      <c r="N3352" s="934"/>
      <c r="O3352" s="936"/>
      <c r="P3352" s="936"/>
      <c r="Q3352" s="933"/>
      <c r="T3352" s="1101"/>
      <c r="U3352" s="1102"/>
      <c r="V3352" s="936"/>
      <c r="W3352" s="1103"/>
      <c r="X3352" s="1104"/>
      <c r="Y3352" s="1105"/>
      <c r="Z3352" s="1103"/>
      <c r="AC3352" s="1106"/>
      <c r="AD3352" s="1107"/>
      <c r="AE3352" s="1104"/>
      <c r="AG3352" s="1109"/>
      <c r="AI3352" s="1110"/>
      <c r="AL3352" s="933"/>
      <c r="AM3352" s="933"/>
      <c r="AN3352" s="1100"/>
      <c r="AO3352" s="1100"/>
      <c r="AP3352" s="934"/>
      <c r="AQ3352" s="934"/>
      <c r="AR3352" s="934"/>
      <c r="AS3352" s="936"/>
      <c r="AT3352" s="936"/>
      <c r="AU3352" s="936"/>
      <c r="AV3352" s="937"/>
      <c r="AW3352" s="938"/>
      <c r="AX3352" s="939"/>
      <c r="AY3352" s="933"/>
      <c r="AZ3352" s="936"/>
      <c r="BA3352" s="936"/>
      <c r="BB3352" s="1112"/>
      <c r="BC3352" s="940"/>
      <c r="BD3352" s="941"/>
      <c r="BE3352" s="942"/>
      <c r="BF3352" s="943"/>
      <c r="BG3352" s="943"/>
      <c r="BH3352" s="943"/>
      <c r="BI3352" s="943"/>
      <c r="BJ3352" s="943"/>
      <c r="BK3352" s="943"/>
      <c r="BL3352" s="943"/>
      <c r="BM3352" s="943"/>
      <c r="BN3352" s="943"/>
      <c r="BO3352" s="1059"/>
      <c r="BP3352" s="1059"/>
      <c r="BQ3352" s="1059"/>
      <c r="BR3352" s="1059"/>
      <c r="BS3352" s="1059"/>
      <c r="BT3352" s="1059"/>
      <c r="BU3352" s="1059"/>
      <c r="BV3352" s="944"/>
      <c r="BW3352" s="944"/>
      <c r="BX3352" s="1147"/>
      <c r="BY3352" s="944"/>
      <c r="BZ3352" s="944"/>
      <c r="CA3352" s="944"/>
      <c r="CB3352" s="944"/>
    </row>
    <row r="3353" spans="2:80">
      <c r="B3353" s="1097"/>
      <c r="C3353" s="1097"/>
      <c r="D3353" s="1097"/>
      <c r="E3353" s="1097"/>
      <c r="F3353" s="934"/>
      <c r="G3353" s="1098"/>
      <c r="H3353" s="1099"/>
      <c r="I3353" s="1099"/>
      <c r="J3353" s="934"/>
      <c r="K3353" s="934"/>
      <c r="L3353" s="933"/>
      <c r="M3353" s="1100"/>
      <c r="N3353" s="934"/>
      <c r="O3353" s="936"/>
      <c r="P3353" s="936"/>
      <c r="Q3353" s="933"/>
      <c r="T3353" s="1101"/>
      <c r="U3353" s="1102"/>
      <c r="V3353" s="936"/>
      <c r="W3353" s="1103"/>
      <c r="X3353" s="1104"/>
      <c r="Y3353" s="1105"/>
      <c r="Z3353" s="1103"/>
      <c r="AC3353" s="1106"/>
      <c r="AD3353" s="1107"/>
      <c r="AE3353" s="1104"/>
      <c r="AG3353" s="1109"/>
      <c r="AI3353" s="1110"/>
      <c r="AL3353" s="933"/>
      <c r="AM3353" s="933"/>
      <c r="AN3353" s="1100"/>
      <c r="AO3353" s="1100"/>
      <c r="AP3353" s="934"/>
      <c r="AQ3353" s="934"/>
      <c r="AR3353" s="934"/>
      <c r="AS3353" s="936"/>
      <c r="AT3353" s="936"/>
      <c r="AU3353" s="936"/>
      <c r="AV3353" s="937"/>
      <c r="AW3353" s="938"/>
      <c r="AX3353" s="939"/>
      <c r="AY3353" s="933"/>
      <c r="AZ3353" s="936"/>
      <c r="BA3353" s="936"/>
      <c r="BB3353" s="1112"/>
      <c r="BC3353" s="940"/>
      <c r="BD3353" s="941"/>
      <c r="BE3353" s="942"/>
      <c r="BF3353" s="943"/>
      <c r="BG3353" s="943"/>
      <c r="BH3353" s="943"/>
      <c r="BI3353" s="943"/>
      <c r="BJ3353" s="943"/>
      <c r="BK3353" s="943"/>
      <c r="BL3353" s="943"/>
      <c r="BM3353" s="943"/>
      <c r="BN3353" s="943"/>
      <c r="BO3353" s="1059"/>
      <c r="BP3353" s="1059"/>
      <c r="BQ3353" s="1059"/>
      <c r="BR3353" s="1059"/>
      <c r="BS3353" s="1059"/>
      <c r="BT3353" s="1059"/>
      <c r="BU3353" s="1059"/>
      <c r="BV3353" s="944"/>
      <c r="BW3353" s="944"/>
      <c r="BX3353" s="1147"/>
      <c r="BY3353" s="944"/>
      <c r="BZ3353" s="944"/>
      <c r="CA3353" s="944"/>
      <c r="CB3353" s="944"/>
    </row>
    <row r="3354" spans="2:80">
      <c r="B3354" s="1097"/>
      <c r="C3354" s="1097"/>
      <c r="D3354" s="1097"/>
      <c r="E3354" s="1097"/>
      <c r="F3354" s="934"/>
      <c r="G3354" s="1098"/>
      <c r="H3354" s="1099"/>
      <c r="I3354" s="1099"/>
      <c r="J3354" s="934"/>
      <c r="K3354" s="934"/>
      <c r="L3354" s="933"/>
      <c r="M3354" s="1100"/>
      <c r="N3354" s="934"/>
      <c r="O3354" s="936"/>
      <c r="P3354" s="936"/>
      <c r="Q3354" s="933"/>
      <c r="T3354" s="1101"/>
      <c r="U3354" s="1102"/>
      <c r="V3354" s="936"/>
      <c r="W3354" s="1103"/>
      <c r="X3354" s="1104"/>
      <c r="Y3354" s="1105"/>
      <c r="Z3354" s="1103"/>
      <c r="AC3354" s="1106"/>
      <c r="AD3354" s="1107"/>
      <c r="AE3354" s="1104"/>
      <c r="AG3354" s="1109"/>
      <c r="AI3354" s="1110"/>
      <c r="AL3354" s="933"/>
      <c r="AM3354" s="933"/>
      <c r="AN3354" s="1100"/>
      <c r="AO3354" s="1100"/>
      <c r="AP3354" s="934"/>
      <c r="AQ3354" s="934"/>
      <c r="AR3354" s="934"/>
      <c r="AS3354" s="936"/>
      <c r="AT3354" s="936"/>
      <c r="AU3354" s="936"/>
      <c r="AV3354" s="937"/>
      <c r="AW3354" s="938"/>
      <c r="AX3354" s="939"/>
      <c r="AY3354" s="933"/>
      <c r="AZ3354" s="936"/>
      <c r="BA3354" s="936"/>
      <c r="BB3354" s="1112"/>
      <c r="BC3354" s="940"/>
      <c r="BD3354" s="941"/>
      <c r="BE3354" s="942"/>
      <c r="BF3354" s="943"/>
      <c r="BG3354" s="943"/>
      <c r="BH3354" s="943"/>
      <c r="BI3354" s="943"/>
      <c r="BJ3354" s="943"/>
      <c r="BK3354" s="943"/>
      <c r="BL3354" s="943"/>
      <c r="BM3354" s="943"/>
      <c r="BN3354" s="943"/>
      <c r="BO3354" s="1059"/>
      <c r="BP3354" s="1059"/>
      <c r="BQ3354" s="1059"/>
      <c r="BR3354" s="1059"/>
      <c r="BS3354" s="1059"/>
      <c r="BT3354" s="1059"/>
      <c r="BU3354" s="1059"/>
      <c r="BV3354" s="944"/>
      <c r="BW3354" s="944"/>
      <c r="BX3354" s="1147"/>
      <c r="BY3354" s="944"/>
      <c r="BZ3354" s="944"/>
      <c r="CA3354" s="944"/>
      <c r="CB3354" s="944"/>
    </row>
    <row r="3355" spans="2:80">
      <c r="B3355" s="1097"/>
      <c r="C3355" s="1097"/>
      <c r="D3355" s="1097"/>
      <c r="E3355" s="1097"/>
      <c r="F3355" s="934"/>
      <c r="G3355" s="1098"/>
      <c r="H3355" s="1099"/>
      <c r="I3355" s="1099"/>
      <c r="J3355" s="934"/>
      <c r="K3355" s="934"/>
      <c r="L3355" s="933"/>
      <c r="M3355" s="1100"/>
      <c r="N3355" s="934"/>
      <c r="O3355" s="936"/>
      <c r="P3355" s="936"/>
      <c r="Q3355" s="933"/>
      <c r="T3355" s="1101"/>
      <c r="U3355" s="1102"/>
      <c r="V3355" s="936"/>
      <c r="W3355" s="1103"/>
      <c r="X3355" s="1104"/>
      <c r="Y3355" s="1105"/>
      <c r="Z3355" s="1103"/>
      <c r="AC3355" s="1106"/>
      <c r="AD3355" s="1107"/>
      <c r="AE3355" s="1104"/>
      <c r="AG3355" s="1109"/>
      <c r="AI3355" s="1110"/>
      <c r="AL3355" s="933"/>
      <c r="AM3355" s="933"/>
      <c r="AN3355" s="1100"/>
      <c r="AO3355" s="1100"/>
      <c r="AP3355" s="934"/>
      <c r="AQ3355" s="934"/>
      <c r="AR3355" s="934"/>
      <c r="AS3355" s="936"/>
      <c r="AT3355" s="936"/>
      <c r="AU3355" s="936"/>
      <c r="AV3355" s="937"/>
      <c r="AW3355" s="938"/>
      <c r="AX3355" s="939"/>
      <c r="AY3355" s="933"/>
      <c r="AZ3355" s="936"/>
      <c r="BA3355" s="936"/>
      <c r="BB3355" s="1112"/>
      <c r="BC3355" s="940"/>
      <c r="BD3355" s="941"/>
      <c r="BE3355" s="942"/>
      <c r="BF3355" s="943"/>
      <c r="BG3355" s="943"/>
      <c r="BH3355" s="943"/>
      <c r="BI3355" s="943"/>
      <c r="BJ3355" s="943"/>
      <c r="BK3355" s="943"/>
      <c r="BL3355" s="943"/>
      <c r="BM3355" s="943"/>
      <c r="BN3355" s="943"/>
      <c r="BO3355" s="1059"/>
      <c r="BP3355" s="1059"/>
      <c r="BQ3355" s="1059"/>
      <c r="BR3355" s="1059"/>
      <c r="BS3355" s="1059"/>
      <c r="BT3355" s="1059"/>
      <c r="BU3355" s="1059"/>
      <c r="BV3355" s="944"/>
      <c r="BW3355" s="944"/>
      <c r="BX3355" s="1147"/>
      <c r="BY3355" s="944"/>
      <c r="BZ3355" s="944"/>
      <c r="CA3355" s="944"/>
      <c r="CB3355" s="944"/>
    </row>
    <row r="3356" spans="2:80">
      <c r="B3356" s="1097"/>
      <c r="C3356" s="1097"/>
      <c r="D3356" s="1097"/>
      <c r="E3356" s="1097"/>
      <c r="F3356" s="934"/>
      <c r="G3356" s="1098"/>
      <c r="H3356" s="1099"/>
      <c r="I3356" s="1099"/>
      <c r="J3356" s="934"/>
      <c r="K3356" s="934"/>
      <c r="L3356" s="933"/>
      <c r="M3356" s="1100"/>
      <c r="N3356" s="934"/>
      <c r="O3356" s="936"/>
      <c r="P3356" s="936"/>
      <c r="Q3356" s="933"/>
      <c r="T3356" s="1101"/>
      <c r="U3356" s="1102"/>
      <c r="V3356" s="936"/>
      <c r="W3356" s="1103"/>
      <c r="X3356" s="1104"/>
      <c r="Y3356" s="1105"/>
      <c r="Z3356" s="1103"/>
      <c r="AC3356" s="1106"/>
      <c r="AD3356" s="1107"/>
      <c r="AE3356" s="1104"/>
      <c r="AG3356" s="1109"/>
      <c r="AI3356" s="1110"/>
      <c r="AL3356" s="933"/>
      <c r="AM3356" s="933"/>
      <c r="AN3356" s="1100"/>
      <c r="AO3356" s="1100"/>
      <c r="AP3356" s="934"/>
      <c r="AQ3356" s="934"/>
      <c r="AR3356" s="934"/>
      <c r="AS3356" s="936"/>
      <c r="AT3356" s="936"/>
      <c r="AU3356" s="936"/>
      <c r="AV3356" s="937"/>
      <c r="AW3356" s="938"/>
      <c r="AX3356" s="939"/>
      <c r="AY3356" s="933"/>
      <c r="AZ3356" s="936"/>
      <c r="BA3356" s="936"/>
      <c r="BB3356" s="1112"/>
      <c r="BC3356" s="940"/>
      <c r="BD3356" s="941"/>
      <c r="BE3356" s="942"/>
      <c r="BF3356" s="943"/>
      <c r="BG3356" s="943"/>
      <c r="BH3356" s="943"/>
      <c r="BI3356" s="943"/>
      <c r="BJ3356" s="943"/>
      <c r="BK3356" s="943"/>
      <c r="BL3356" s="943"/>
      <c r="BM3356" s="943"/>
      <c r="BN3356" s="943"/>
      <c r="BO3356" s="1059"/>
      <c r="BP3356" s="1059"/>
      <c r="BQ3356" s="1059"/>
      <c r="BR3356" s="1059"/>
      <c r="BS3356" s="1059"/>
      <c r="BT3356" s="1059"/>
      <c r="BU3356" s="1059"/>
      <c r="BV3356" s="944"/>
      <c r="BW3356" s="944"/>
      <c r="BX3356" s="1147"/>
      <c r="BY3356" s="944"/>
      <c r="BZ3356" s="944"/>
      <c r="CA3356" s="944"/>
      <c r="CB3356" s="944"/>
    </row>
    <row r="3357" spans="2:80">
      <c r="B3357" s="1097"/>
      <c r="C3357" s="1097"/>
      <c r="D3357" s="1097"/>
      <c r="E3357" s="1097"/>
      <c r="F3357" s="934"/>
      <c r="G3357" s="1098"/>
      <c r="H3357" s="1099"/>
      <c r="I3357" s="1099"/>
      <c r="J3357" s="934"/>
      <c r="K3357" s="934"/>
      <c r="L3357" s="933"/>
      <c r="M3357" s="1100"/>
      <c r="N3357" s="934"/>
      <c r="O3357" s="936"/>
      <c r="P3357" s="936"/>
      <c r="Q3357" s="933"/>
      <c r="T3357" s="1101"/>
      <c r="U3357" s="1102"/>
      <c r="V3357" s="936"/>
      <c r="W3357" s="1103"/>
      <c r="X3357" s="1104"/>
      <c r="Y3357" s="1105"/>
      <c r="Z3357" s="1103"/>
      <c r="AC3357" s="1106"/>
      <c r="AD3357" s="1107"/>
      <c r="AE3357" s="1104"/>
      <c r="AG3357" s="1109"/>
      <c r="AI3357" s="1110"/>
      <c r="AL3357" s="933"/>
      <c r="AM3357" s="933"/>
      <c r="AN3357" s="1100"/>
      <c r="AO3357" s="1100"/>
      <c r="AP3357" s="934"/>
      <c r="AQ3357" s="934"/>
      <c r="AR3357" s="934"/>
      <c r="AS3357" s="936"/>
      <c r="AT3357" s="936"/>
      <c r="AU3357" s="936"/>
      <c r="AV3357" s="937"/>
      <c r="AW3357" s="938"/>
      <c r="AX3357" s="939"/>
      <c r="AY3357" s="933"/>
      <c r="AZ3357" s="936"/>
      <c r="BA3357" s="936"/>
      <c r="BB3357" s="1112"/>
      <c r="BC3357" s="940"/>
      <c r="BD3357" s="941"/>
      <c r="BE3357" s="942"/>
      <c r="BF3357" s="943"/>
      <c r="BG3357" s="943"/>
      <c r="BH3357" s="943"/>
      <c r="BI3357" s="943"/>
      <c r="BJ3357" s="943"/>
      <c r="BK3357" s="943"/>
      <c r="BL3357" s="943"/>
      <c r="BM3357" s="943"/>
      <c r="BN3357" s="943"/>
      <c r="BO3357" s="1059"/>
      <c r="BP3357" s="1059"/>
      <c r="BQ3357" s="1059"/>
      <c r="BR3357" s="1059"/>
      <c r="BS3357" s="1059"/>
      <c r="BT3357" s="1059"/>
      <c r="BU3357" s="1059"/>
      <c r="BV3357" s="944"/>
      <c r="BW3357" s="944"/>
      <c r="BX3357" s="1147"/>
      <c r="BY3357" s="944"/>
      <c r="BZ3357" s="944"/>
      <c r="CA3357" s="944"/>
      <c r="CB3357" s="944"/>
    </row>
    <row r="3358" spans="2:80">
      <c r="B3358" s="1097"/>
      <c r="C3358" s="1097"/>
      <c r="D3358" s="1097"/>
      <c r="E3358" s="1097"/>
      <c r="F3358" s="934"/>
      <c r="G3358" s="1098"/>
      <c r="H3358" s="1099"/>
      <c r="I3358" s="1099"/>
      <c r="J3358" s="934"/>
      <c r="K3358" s="934"/>
      <c r="L3358" s="933"/>
      <c r="M3358" s="1100"/>
      <c r="N3358" s="934"/>
      <c r="O3358" s="936"/>
      <c r="P3358" s="936"/>
      <c r="Q3358" s="933"/>
      <c r="T3358" s="1101"/>
      <c r="U3358" s="1102"/>
      <c r="V3358" s="936"/>
      <c r="W3358" s="1103"/>
      <c r="X3358" s="1104"/>
      <c r="Y3358" s="1105"/>
      <c r="Z3358" s="1103"/>
      <c r="AC3358" s="1106"/>
      <c r="AD3358" s="1107"/>
      <c r="AE3358" s="1104"/>
      <c r="AG3358" s="1109"/>
      <c r="AI3358" s="1110"/>
      <c r="AL3358" s="933"/>
      <c r="AM3358" s="933"/>
      <c r="AN3358" s="1100"/>
      <c r="AO3358" s="1100"/>
      <c r="AP3358" s="934"/>
      <c r="AQ3358" s="934"/>
      <c r="AR3358" s="934"/>
      <c r="AS3358" s="936"/>
      <c r="AT3358" s="936"/>
      <c r="AU3358" s="936"/>
      <c r="AV3358" s="937"/>
      <c r="AW3358" s="938"/>
      <c r="AX3358" s="939"/>
      <c r="AY3358" s="933"/>
      <c r="AZ3358" s="936"/>
      <c r="BA3358" s="936"/>
      <c r="BB3358" s="1112"/>
      <c r="BC3358" s="940"/>
      <c r="BD3358" s="941"/>
      <c r="BE3358" s="942"/>
      <c r="BF3358" s="943"/>
      <c r="BG3358" s="943"/>
      <c r="BH3358" s="943"/>
      <c r="BI3358" s="943"/>
      <c r="BJ3358" s="943"/>
      <c r="BK3358" s="943"/>
      <c r="BL3358" s="943"/>
      <c r="BM3358" s="943"/>
      <c r="BN3358" s="943"/>
      <c r="BO3358" s="1059"/>
      <c r="BP3358" s="1059"/>
      <c r="BQ3358" s="1059"/>
      <c r="BR3358" s="1059"/>
      <c r="BS3358" s="1059"/>
      <c r="BT3358" s="1059"/>
      <c r="BU3358" s="1059"/>
      <c r="BV3358" s="944"/>
      <c r="BW3358" s="944"/>
      <c r="BX3358" s="1147"/>
      <c r="BY3358" s="944"/>
      <c r="BZ3358" s="944"/>
      <c r="CA3358" s="944"/>
      <c r="CB3358" s="944"/>
    </row>
    <row r="3359" spans="2:80">
      <c r="B3359" s="1097"/>
      <c r="C3359" s="1097"/>
      <c r="D3359" s="1097"/>
      <c r="E3359" s="1097"/>
      <c r="F3359" s="934"/>
      <c r="G3359" s="1098"/>
      <c r="H3359" s="1099"/>
      <c r="I3359" s="1099"/>
      <c r="J3359" s="934"/>
      <c r="K3359" s="934"/>
      <c r="L3359" s="933"/>
      <c r="M3359" s="1100"/>
      <c r="N3359" s="934"/>
      <c r="O3359" s="936"/>
      <c r="P3359" s="936"/>
      <c r="Q3359" s="933"/>
      <c r="T3359" s="1101"/>
      <c r="U3359" s="1102"/>
      <c r="V3359" s="936"/>
      <c r="W3359" s="1103"/>
      <c r="X3359" s="1104"/>
      <c r="Y3359" s="1105"/>
      <c r="Z3359" s="1103"/>
      <c r="AC3359" s="1106"/>
      <c r="AD3359" s="1107"/>
      <c r="AE3359" s="1104"/>
      <c r="AG3359" s="1109"/>
      <c r="AI3359" s="1110"/>
      <c r="AL3359" s="933"/>
      <c r="AM3359" s="933"/>
      <c r="AN3359" s="1100"/>
      <c r="AO3359" s="1100"/>
      <c r="AP3359" s="934"/>
      <c r="AQ3359" s="934"/>
      <c r="AR3359" s="934"/>
      <c r="AS3359" s="936"/>
      <c r="AT3359" s="936"/>
      <c r="AU3359" s="936"/>
      <c r="AV3359" s="937"/>
      <c r="AW3359" s="938"/>
      <c r="AX3359" s="939"/>
      <c r="AY3359" s="933"/>
      <c r="AZ3359" s="936"/>
      <c r="BA3359" s="936"/>
      <c r="BB3359" s="1112"/>
      <c r="BC3359" s="940"/>
      <c r="BD3359" s="941"/>
      <c r="BE3359" s="942"/>
      <c r="BF3359" s="943"/>
      <c r="BG3359" s="943"/>
      <c r="BH3359" s="943"/>
      <c r="BI3359" s="943"/>
      <c r="BJ3359" s="943"/>
      <c r="BK3359" s="943"/>
      <c r="BL3359" s="943"/>
      <c r="BM3359" s="943"/>
      <c r="BN3359" s="943"/>
      <c r="BO3359" s="1059"/>
      <c r="BP3359" s="1059"/>
      <c r="BQ3359" s="1059"/>
      <c r="BR3359" s="1059"/>
      <c r="BS3359" s="1059"/>
      <c r="BT3359" s="1059"/>
      <c r="BU3359" s="1059"/>
      <c r="BV3359" s="944"/>
      <c r="BW3359" s="944"/>
      <c r="BX3359" s="1147"/>
      <c r="BY3359" s="944"/>
      <c r="BZ3359" s="944"/>
      <c r="CA3359" s="944"/>
      <c r="CB3359" s="944"/>
    </row>
    <row r="3360" spans="2:80">
      <c r="B3360" s="1097"/>
      <c r="C3360" s="1097"/>
      <c r="D3360" s="1097"/>
      <c r="E3360" s="1097"/>
      <c r="F3360" s="934"/>
      <c r="G3360" s="1098"/>
      <c r="H3360" s="1099"/>
      <c r="I3360" s="1099"/>
      <c r="J3360" s="934"/>
      <c r="K3360" s="934"/>
      <c r="L3360" s="933"/>
      <c r="M3360" s="1100"/>
      <c r="N3360" s="934"/>
      <c r="O3360" s="936"/>
      <c r="P3360" s="936"/>
      <c r="Q3360" s="933"/>
      <c r="T3360" s="1101"/>
      <c r="U3360" s="1102"/>
      <c r="V3360" s="936"/>
      <c r="W3360" s="1103"/>
      <c r="X3360" s="1104"/>
      <c r="Y3360" s="1105"/>
      <c r="Z3360" s="1103"/>
      <c r="AC3360" s="1106"/>
      <c r="AD3360" s="1107"/>
      <c r="AE3360" s="1104"/>
      <c r="AG3360" s="1109"/>
      <c r="AI3360" s="1110"/>
      <c r="AL3360" s="933"/>
      <c r="AM3360" s="933"/>
      <c r="AN3360" s="1100"/>
      <c r="AO3360" s="1100"/>
      <c r="AP3360" s="934"/>
      <c r="AQ3360" s="934"/>
      <c r="AR3360" s="934"/>
      <c r="AS3360" s="936"/>
      <c r="AT3360" s="936"/>
      <c r="AU3360" s="936"/>
      <c r="AV3360" s="937"/>
      <c r="AW3360" s="938"/>
      <c r="AX3360" s="939"/>
      <c r="AY3360" s="933"/>
      <c r="AZ3360" s="936"/>
      <c r="BA3360" s="936"/>
      <c r="BB3360" s="1112"/>
      <c r="BC3360" s="940"/>
      <c r="BD3360" s="941"/>
      <c r="BE3360" s="942"/>
      <c r="BF3360" s="943"/>
      <c r="BG3360" s="943"/>
      <c r="BH3360" s="943"/>
      <c r="BI3360" s="943"/>
      <c r="BJ3360" s="943"/>
      <c r="BK3360" s="943"/>
      <c r="BL3360" s="943"/>
      <c r="BM3360" s="943"/>
      <c r="BN3360" s="943"/>
      <c r="BO3360" s="1059"/>
      <c r="BP3360" s="1059"/>
      <c r="BQ3360" s="1059"/>
      <c r="BR3360" s="1059"/>
      <c r="BS3360" s="1059"/>
      <c r="BT3360" s="1059"/>
      <c r="BU3360" s="1059"/>
      <c r="BV3360" s="944"/>
      <c r="BW3360" s="944"/>
      <c r="BX3360" s="1147"/>
      <c r="BY3360" s="944"/>
      <c r="BZ3360" s="944"/>
      <c r="CA3360" s="944"/>
      <c r="CB3360" s="944"/>
    </row>
    <row r="3361" spans="2:80">
      <c r="B3361" s="1097"/>
      <c r="C3361" s="1097"/>
      <c r="D3361" s="1097"/>
      <c r="E3361" s="1097"/>
      <c r="F3361" s="934"/>
      <c r="G3361" s="1098"/>
      <c r="H3361" s="1099"/>
      <c r="I3361" s="1099"/>
      <c r="J3361" s="934"/>
      <c r="K3361" s="934"/>
      <c r="L3361" s="933"/>
      <c r="M3361" s="1100"/>
      <c r="N3361" s="934"/>
      <c r="O3361" s="936"/>
      <c r="P3361" s="936"/>
      <c r="Q3361" s="933"/>
      <c r="T3361" s="1101"/>
      <c r="U3361" s="1102"/>
      <c r="V3361" s="936"/>
      <c r="W3361" s="1103"/>
      <c r="X3361" s="1104"/>
      <c r="Y3361" s="1105"/>
      <c r="Z3361" s="1103"/>
      <c r="AC3361" s="1106"/>
      <c r="AD3361" s="1107"/>
      <c r="AE3361" s="1104"/>
      <c r="AG3361" s="1109"/>
      <c r="AI3361" s="1110"/>
      <c r="AL3361" s="933"/>
      <c r="AM3361" s="933"/>
      <c r="AN3361" s="1100"/>
      <c r="AO3361" s="1100"/>
      <c r="AP3361" s="934"/>
      <c r="AQ3361" s="934"/>
      <c r="AR3361" s="934"/>
      <c r="AS3361" s="936"/>
      <c r="AT3361" s="936"/>
      <c r="AU3361" s="936"/>
      <c r="AV3361" s="937"/>
      <c r="AW3361" s="938"/>
      <c r="AX3361" s="939"/>
      <c r="AY3361" s="933"/>
      <c r="AZ3361" s="936"/>
      <c r="BA3361" s="936"/>
      <c r="BB3361" s="1112"/>
      <c r="BC3361" s="940"/>
      <c r="BD3361" s="941"/>
      <c r="BE3361" s="942"/>
      <c r="BF3361" s="943"/>
      <c r="BG3361" s="943"/>
      <c r="BH3361" s="943"/>
      <c r="BI3361" s="943"/>
      <c r="BJ3361" s="943"/>
      <c r="BK3361" s="943"/>
      <c r="BL3361" s="943"/>
      <c r="BM3361" s="943"/>
      <c r="BN3361" s="943"/>
      <c r="BO3361" s="1059"/>
      <c r="BP3361" s="1059"/>
      <c r="BQ3361" s="1059"/>
      <c r="BR3361" s="1059"/>
      <c r="BS3361" s="1059"/>
      <c r="BT3361" s="1059"/>
      <c r="BU3361" s="1059"/>
      <c r="BV3361" s="944"/>
      <c r="BW3361" s="944"/>
      <c r="BX3361" s="1147"/>
      <c r="BY3361" s="944"/>
      <c r="BZ3361" s="944"/>
      <c r="CA3361" s="944"/>
      <c r="CB3361" s="944"/>
    </row>
    <row r="3362" spans="2:80">
      <c r="B3362" s="1097"/>
      <c r="C3362" s="1097"/>
      <c r="D3362" s="1097"/>
      <c r="E3362" s="1097"/>
      <c r="F3362" s="934"/>
      <c r="G3362" s="1098"/>
      <c r="H3362" s="1099"/>
      <c r="I3362" s="1099"/>
      <c r="J3362" s="934"/>
      <c r="K3362" s="934"/>
      <c r="L3362" s="933"/>
      <c r="M3362" s="1100"/>
      <c r="N3362" s="934"/>
      <c r="O3362" s="936"/>
      <c r="P3362" s="936"/>
      <c r="Q3362" s="933"/>
      <c r="T3362" s="1101"/>
      <c r="U3362" s="1102"/>
      <c r="V3362" s="936"/>
      <c r="W3362" s="1103"/>
      <c r="X3362" s="1104"/>
      <c r="Y3362" s="1105"/>
      <c r="Z3362" s="1103"/>
      <c r="AC3362" s="1106"/>
      <c r="AD3362" s="1107"/>
      <c r="AE3362" s="1104"/>
      <c r="AG3362" s="1109"/>
      <c r="AI3362" s="1110"/>
      <c r="AL3362" s="933"/>
      <c r="AM3362" s="933"/>
      <c r="AN3362" s="1100"/>
      <c r="AO3362" s="1100"/>
      <c r="AP3362" s="934"/>
      <c r="AQ3362" s="934"/>
      <c r="AR3362" s="934"/>
      <c r="AS3362" s="936"/>
      <c r="AT3362" s="936"/>
      <c r="AU3362" s="936"/>
      <c r="AV3362" s="937"/>
      <c r="AW3362" s="938"/>
      <c r="AX3362" s="939"/>
      <c r="AY3362" s="933"/>
      <c r="AZ3362" s="936"/>
      <c r="BA3362" s="936"/>
      <c r="BB3362" s="1112"/>
      <c r="BC3362" s="940"/>
      <c r="BD3362" s="941"/>
      <c r="BE3362" s="942"/>
      <c r="BF3362" s="943"/>
      <c r="BG3362" s="943"/>
      <c r="BH3362" s="943"/>
      <c r="BI3362" s="943"/>
      <c r="BJ3362" s="943"/>
      <c r="BK3362" s="943"/>
      <c r="BL3362" s="943"/>
      <c r="BM3362" s="943"/>
      <c r="BN3362" s="943"/>
      <c r="BO3362" s="1059"/>
      <c r="BP3362" s="1059"/>
      <c r="BQ3362" s="1059"/>
      <c r="BR3362" s="1059"/>
      <c r="BS3362" s="1059"/>
      <c r="BT3362" s="1059"/>
      <c r="BU3362" s="1059"/>
      <c r="BV3362" s="944"/>
      <c r="BW3362" s="944"/>
      <c r="BX3362" s="1147"/>
      <c r="BY3362" s="944"/>
      <c r="BZ3362" s="944"/>
      <c r="CA3362" s="944"/>
      <c r="CB3362" s="944"/>
    </row>
    <row r="3363" spans="2:80">
      <c r="B3363" s="1097"/>
      <c r="C3363" s="1097"/>
      <c r="D3363" s="1097"/>
      <c r="E3363" s="1097"/>
      <c r="F3363" s="934"/>
      <c r="G3363" s="1098"/>
      <c r="H3363" s="1099"/>
      <c r="I3363" s="1099"/>
      <c r="J3363" s="934"/>
      <c r="K3363" s="934"/>
      <c r="L3363" s="933"/>
      <c r="M3363" s="1100"/>
      <c r="N3363" s="934"/>
      <c r="O3363" s="936"/>
      <c r="P3363" s="936"/>
      <c r="Q3363" s="933"/>
      <c r="T3363" s="1101"/>
      <c r="U3363" s="1102"/>
      <c r="V3363" s="936"/>
      <c r="W3363" s="1103"/>
      <c r="X3363" s="1104"/>
      <c r="Y3363" s="1105"/>
      <c r="Z3363" s="1103"/>
      <c r="AC3363" s="1106"/>
      <c r="AD3363" s="1107"/>
      <c r="AE3363" s="1104"/>
      <c r="AG3363" s="1109"/>
      <c r="AI3363" s="1110"/>
      <c r="AL3363" s="933"/>
      <c r="AM3363" s="933"/>
      <c r="AN3363" s="1100"/>
      <c r="AO3363" s="1100"/>
      <c r="AP3363" s="934"/>
      <c r="AQ3363" s="934"/>
      <c r="AR3363" s="934"/>
      <c r="AS3363" s="936"/>
      <c r="AT3363" s="936"/>
      <c r="AU3363" s="936"/>
      <c r="AV3363" s="937"/>
      <c r="AW3363" s="938"/>
      <c r="AX3363" s="939"/>
      <c r="AY3363" s="933"/>
      <c r="AZ3363" s="936"/>
      <c r="BA3363" s="936"/>
      <c r="BB3363" s="1112"/>
      <c r="BC3363" s="940"/>
      <c r="BD3363" s="941"/>
      <c r="BE3363" s="942"/>
      <c r="BF3363" s="943"/>
      <c r="BG3363" s="943"/>
      <c r="BH3363" s="943"/>
      <c r="BI3363" s="943"/>
      <c r="BJ3363" s="943"/>
      <c r="BK3363" s="943"/>
      <c r="BL3363" s="943"/>
      <c r="BM3363" s="943"/>
      <c r="BN3363" s="943"/>
      <c r="BO3363" s="1059"/>
      <c r="BP3363" s="1059"/>
      <c r="BQ3363" s="1059"/>
      <c r="BR3363" s="1059"/>
      <c r="BS3363" s="1059"/>
      <c r="BT3363" s="1059"/>
      <c r="BU3363" s="1059"/>
      <c r="BV3363" s="944"/>
      <c r="BW3363" s="944"/>
      <c r="BX3363" s="1147"/>
      <c r="BY3363" s="944"/>
      <c r="BZ3363" s="944"/>
      <c r="CA3363" s="944"/>
      <c r="CB3363" s="944"/>
    </row>
    <row r="3364" spans="2:80">
      <c r="B3364" s="1097"/>
      <c r="C3364" s="1097"/>
      <c r="D3364" s="1097"/>
      <c r="E3364" s="1097"/>
      <c r="F3364" s="934"/>
      <c r="G3364" s="1098"/>
      <c r="H3364" s="1099"/>
      <c r="I3364" s="1099"/>
      <c r="J3364" s="934"/>
      <c r="K3364" s="934"/>
      <c r="L3364" s="933"/>
      <c r="M3364" s="1100"/>
      <c r="N3364" s="934"/>
      <c r="O3364" s="936"/>
      <c r="P3364" s="936"/>
      <c r="Q3364" s="933"/>
      <c r="T3364" s="1101"/>
      <c r="U3364" s="1102"/>
      <c r="V3364" s="936"/>
      <c r="W3364" s="1103"/>
      <c r="X3364" s="1104"/>
      <c r="Y3364" s="1105"/>
      <c r="Z3364" s="1103"/>
      <c r="AC3364" s="1106"/>
      <c r="AD3364" s="1107"/>
      <c r="AE3364" s="1104"/>
      <c r="AG3364" s="1109"/>
      <c r="AI3364" s="1110"/>
      <c r="AL3364" s="933"/>
      <c r="AM3364" s="933"/>
      <c r="AN3364" s="1100"/>
      <c r="AO3364" s="1100"/>
      <c r="AP3364" s="934"/>
      <c r="AQ3364" s="934"/>
      <c r="AR3364" s="934"/>
      <c r="AS3364" s="936"/>
      <c r="AT3364" s="936"/>
      <c r="AU3364" s="936"/>
      <c r="AV3364" s="937"/>
      <c r="AW3364" s="938"/>
      <c r="AX3364" s="939"/>
      <c r="AY3364" s="933"/>
      <c r="AZ3364" s="936"/>
      <c r="BA3364" s="936"/>
      <c r="BB3364" s="1112"/>
      <c r="BC3364" s="940"/>
      <c r="BD3364" s="941"/>
      <c r="BE3364" s="942"/>
      <c r="BF3364" s="943"/>
      <c r="BG3364" s="943"/>
      <c r="BH3364" s="943"/>
      <c r="BI3364" s="943"/>
      <c r="BJ3364" s="943"/>
      <c r="BK3364" s="943"/>
      <c r="BL3364" s="943"/>
      <c r="BM3364" s="943"/>
      <c r="BN3364" s="943"/>
      <c r="BO3364" s="1059"/>
      <c r="BP3364" s="1059"/>
      <c r="BQ3364" s="1059"/>
      <c r="BR3364" s="1059"/>
      <c r="BS3364" s="1059"/>
      <c r="BT3364" s="1059"/>
      <c r="BU3364" s="1059"/>
      <c r="BV3364" s="944"/>
      <c r="BW3364" s="944"/>
      <c r="BX3364" s="1147"/>
      <c r="BY3364" s="944"/>
      <c r="BZ3364" s="944"/>
      <c r="CA3364" s="944"/>
      <c r="CB3364" s="944"/>
    </row>
    <row r="3365" spans="2:80">
      <c r="B3365" s="1097"/>
      <c r="C3365" s="1097"/>
      <c r="D3365" s="1097"/>
      <c r="E3365" s="1097"/>
      <c r="F3365" s="934"/>
      <c r="G3365" s="1098"/>
      <c r="H3365" s="1099"/>
      <c r="I3365" s="1099"/>
      <c r="J3365" s="934"/>
      <c r="K3365" s="934"/>
      <c r="L3365" s="933"/>
      <c r="M3365" s="1100"/>
      <c r="N3365" s="934"/>
      <c r="O3365" s="936"/>
      <c r="P3365" s="936"/>
      <c r="Q3365" s="933"/>
      <c r="T3365" s="1101"/>
      <c r="U3365" s="1102"/>
      <c r="V3365" s="936"/>
      <c r="W3365" s="1103"/>
      <c r="X3365" s="1104"/>
      <c r="Y3365" s="1105"/>
      <c r="Z3365" s="1103"/>
      <c r="AC3365" s="1106"/>
      <c r="AD3365" s="1107"/>
      <c r="AE3365" s="1104"/>
      <c r="AG3365" s="1109"/>
      <c r="AI3365" s="1110"/>
      <c r="AL3365" s="933"/>
      <c r="AM3365" s="933"/>
      <c r="AN3365" s="1100"/>
      <c r="AO3365" s="1100"/>
      <c r="AP3365" s="934"/>
      <c r="AQ3365" s="934"/>
      <c r="AR3365" s="934"/>
      <c r="AS3365" s="936"/>
      <c r="AT3365" s="936"/>
      <c r="AU3365" s="936"/>
      <c r="AV3365" s="937"/>
      <c r="AW3365" s="938"/>
      <c r="AX3365" s="939"/>
      <c r="AY3365" s="933"/>
      <c r="AZ3365" s="936"/>
      <c r="BA3365" s="936"/>
      <c r="BB3365" s="1112"/>
      <c r="BC3365" s="940"/>
      <c r="BD3365" s="941"/>
      <c r="BE3365" s="942"/>
      <c r="BF3365" s="943"/>
      <c r="BG3365" s="943"/>
      <c r="BH3365" s="943"/>
      <c r="BI3365" s="943"/>
      <c r="BJ3365" s="943"/>
      <c r="BK3365" s="943"/>
      <c r="BL3365" s="943"/>
      <c r="BM3365" s="943"/>
      <c r="BN3365" s="943"/>
      <c r="BO3365" s="1059"/>
      <c r="BP3365" s="1059"/>
      <c r="BQ3365" s="1059"/>
      <c r="BR3365" s="1059"/>
      <c r="BS3365" s="1059"/>
      <c r="BT3365" s="1059"/>
      <c r="BU3365" s="1059"/>
      <c r="BV3365" s="944"/>
      <c r="BW3365" s="944"/>
      <c r="BX3365" s="1147"/>
      <c r="BY3365" s="944"/>
      <c r="BZ3365" s="944"/>
      <c r="CA3365" s="944"/>
      <c r="CB3365" s="944"/>
    </row>
    <row r="3366" spans="2:80">
      <c r="B3366" s="1097"/>
      <c r="C3366" s="1097"/>
      <c r="D3366" s="1097"/>
      <c r="E3366" s="1097"/>
      <c r="F3366" s="934"/>
      <c r="G3366" s="1098"/>
      <c r="H3366" s="1099"/>
      <c r="I3366" s="1099"/>
      <c r="J3366" s="934"/>
      <c r="K3366" s="934"/>
      <c r="L3366" s="933"/>
      <c r="M3366" s="1100"/>
      <c r="N3366" s="934"/>
      <c r="O3366" s="936"/>
      <c r="P3366" s="936"/>
      <c r="Q3366" s="933"/>
      <c r="T3366" s="1101"/>
      <c r="U3366" s="1102"/>
      <c r="V3366" s="936"/>
      <c r="W3366" s="1103"/>
      <c r="X3366" s="1104"/>
      <c r="Y3366" s="1105"/>
      <c r="Z3366" s="1103"/>
      <c r="AC3366" s="1106"/>
      <c r="AD3366" s="1107"/>
      <c r="AE3366" s="1104"/>
      <c r="AG3366" s="1109"/>
      <c r="AI3366" s="1110"/>
      <c r="AL3366" s="933"/>
      <c r="AM3366" s="933"/>
      <c r="AN3366" s="1100"/>
      <c r="AO3366" s="1100"/>
      <c r="AP3366" s="934"/>
      <c r="AQ3366" s="934"/>
      <c r="AR3366" s="934"/>
      <c r="AS3366" s="936"/>
      <c r="AT3366" s="936"/>
      <c r="AU3366" s="936"/>
      <c r="AV3366" s="937"/>
      <c r="AW3366" s="938"/>
      <c r="AX3366" s="939"/>
      <c r="AY3366" s="933"/>
      <c r="AZ3366" s="936"/>
      <c r="BA3366" s="936"/>
      <c r="BB3366" s="1112"/>
      <c r="BC3366" s="940"/>
      <c r="BD3366" s="941"/>
      <c r="BE3366" s="942"/>
      <c r="BF3366" s="943"/>
      <c r="BG3366" s="943"/>
      <c r="BH3366" s="943"/>
      <c r="BI3366" s="943"/>
      <c r="BJ3366" s="943"/>
      <c r="BK3366" s="943"/>
      <c r="BL3366" s="943"/>
      <c r="BM3366" s="943"/>
      <c r="BN3366" s="943"/>
      <c r="BO3366" s="1059"/>
      <c r="BP3366" s="1059"/>
      <c r="BQ3366" s="1059"/>
      <c r="BR3366" s="1059"/>
      <c r="BS3366" s="1059"/>
      <c r="BT3366" s="1059"/>
      <c r="BU3366" s="1059"/>
      <c r="BV3366" s="944"/>
      <c r="BW3366" s="944"/>
      <c r="BX3366" s="1147"/>
      <c r="BY3366" s="944"/>
      <c r="BZ3366" s="944"/>
      <c r="CA3366" s="944"/>
      <c r="CB3366" s="944"/>
    </row>
    <row r="3367" spans="2:80">
      <c r="B3367" s="1097"/>
      <c r="C3367" s="1097"/>
      <c r="D3367" s="1097"/>
      <c r="E3367" s="1097"/>
      <c r="F3367" s="934"/>
      <c r="G3367" s="1098"/>
      <c r="H3367" s="1099"/>
      <c r="I3367" s="1099"/>
      <c r="J3367" s="934"/>
      <c r="K3367" s="934"/>
      <c r="L3367" s="933"/>
      <c r="M3367" s="1100"/>
      <c r="N3367" s="934"/>
      <c r="O3367" s="936"/>
      <c r="P3367" s="936"/>
      <c r="Q3367" s="933"/>
      <c r="T3367" s="1101"/>
      <c r="U3367" s="1102"/>
      <c r="V3367" s="936"/>
      <c r="W3367" s="1103"/>
      <c r="X3367" s="1104"/>
      <c r="Y3367" s="1105"/>
      <c r="Z3367" s="1103"/>
      <c r="AC3367" s="1106"/>
      <c r="AD3367" s="1107"/>
      <c r="AE3367" s="1104"/>
      <c r="AG3367" s="1109"/>
      <c r="AI3367" s="1110"/>
      <c r="AL3367" s="933"/>
      <c r="AM3367" s="933"/>
      <c r="AN3367" s="1100"/>
      <c r="AO3367" s="1100"/>
      <c r="AP3367" s="934"/>
      <c r="AQ3367" s="934"/>
      <c r="AR3367" s="934"/>
      <c r="AS3367" s="936"/>
      <c r="AT3367" s="936"/>
      <c r="AU3367" s="936"/>
      <c r="AV3367" s="937"/>
      <c r="AW3367" s="938"/>
      <c r="AX3367" s="939"/>
      <c r="AY3367" s="933"/>
      <c r="AZ3367" s="936"/>
      <c r="BA3367" s="936"/>
      <c r="BB3367" s="1112"/>
      <c r="BC3367" s="940"/>
      <c r="BD3367" s="941"/>
      <c r="BE3367" s="942"/>
      <c r="BF3367" s="943"/>
      <c r="BG3367" s="943"/>
      <c r="BH3367" s="943"/>
      <c r="BI3367" s="943"/>
      <c r="BJ3367" s="943"/>
      <c r="BK3367" s="943"/>
      <c r="BL3367" s="943"/>
      <c r="BM3367" s="943"/>
      <c r="BN3367" s="943"/>
      <c r="BO3367" s="1059"/>
      <c r="BP3367" s="1059"/>
      <c r="BQ3367" s="1059"/>
      <c r="BR3367" s="1059"/>
      <c r="BS3367" s="1059"/>
      <c r="BT3367" s="1059"/>
      <c r="BU3367" s="1059"/>
      <c r="BV3367" s="944"/>
      <c r="BW3367" s="944"/>
      <c r="BX3367" s="1147"/>
      <c r="BY3367" s="944"/>
      <c r="BZ3367" s="944"/>
      <c r="CA3367" s="944"/>
      <c r="CB3367" s="944"/>
    </row>
    <row r="3368" spans="2:80">
      <c r="B3368" s="1097"/>
      <c r="C3368" s="1097"/>
      <c r="D3368" s="1097"/>
      <c r="E3368" s="1097"/>
      <c r="F3368" s="934"/>
      <c r="G3368" s="1098"/>
      <c r="H3368" s="1099"/>
      <c r="I3368" s="1099"/>
      <c r="J3368" s="934"/>
      <c r="K3368" s="934"/>
      <c r="L3368" s="933"/>
      <c r="M3368" s="1100"/>
      <c r="N3368" s="934"/>
      <c r="O3368" s="936"/>
      <c r="P3368" s="936"/>
      <c r="Q3368" s="933"/>
      <c r="T3368" s="1101"/>
      <c r="U3368" s="1102"/>
      <c r="V3368" s="936"/>
      <c r="W3368" s="1103"/>
      <c r="X3368" s="1104"/>
      <c r="Y3368" s="1105"/>
      <c r="Z3368" s="1103"/>
      <c r="AC3368" s="1106"/>
      <c r="AD3368" s="1107"/>
      <c r="AE3368" s="1104"/>
      <c r="AG3368" s="1109"/>
      <c r="AI3368" s="1110"/>
      <c r="AL3368" s="933"/>
      <c r="AM3368" s="933"/>
      <c r="AN3368" s="1100"/>
      <c r="AO3368" s="1100"/>
      <c r="AP3368" s="934"/>
      <c r="AQ3368" s="934"/>
      <c r="AR3368" s="934"/>
      <c r="AS3368" s="936"/>
      <c r="AT3368" s="936"/>
      <c r="AU3368" s="936"/>
      <c r="AV3368" s="937"/>
      <c r="AW3368" s="938"/>
      <c r="AX3368" s="939"/>
      <c r="AY3368" s="933"/>
      <c r="AZ3368" s="936"/>
      <c r="BA3368" s="936"/>
      <c r="BB3368" s="1112"/>
      <c r="BC3368" s="940"/>
      <c r="BD3368" s="941"/>
      <c r="BE3368" s="942"/>
      <c r="BF3368" s="943"/>
      <c r="BG3368" s="943"/>
      <c r="BH3368" s="943"/>
      <c r="BI3368" s="943"/>
      <c r="BJ3368" s="943"/>
      <c r="BK3368" s="943"/>
      <c r="BL3368" s="943"/>
      <c r="BM3368" s="943"/>
      <c r="BN3368" s="943"/>
      <c r="BO3368" s="1059"/>
      <c r="BP3368" s="1059"/>
      <c r="BQ3368" s="1059"/>
      <c r="BR3368" s="1059"/>
      <c r="BS3368" s="1059"/>
      <c r="BT3368" s="1059"/>
      <c r="BU3368" s="1059"/>
      <c r="BV3368" s="944"/>
      <c r="BW3368" s="944"/>
      <c r="BX3368" s="1147"/>
      <c r="BY3368" s="944"/>
      <c r="BZ3368" s="944"/>
      <c r="CA3368" s="944"/>
      <c r="CB3368" s="944"/>
    </row>
    <row r="3369" spans="2:80">
      <c r="B3369" s="1097"/>
      <c r="C3369" s="1097"/>
      <c r="D3369" s="1097"/>
      <c r="E3369" s="1097"/>
      <c r="F3369" s="934"/>
      <c r="G3369" s="1098"/>
      <c r="H3369" s="1099"/>
      <c r="I3369" s="1099"/>
      <c r="J3369" s="934"/>
      <c r="K3369" s="934"/>
      <c r="L3369" s="933"/>
      <c r="M3369" s="1100"/>
      <c r="N3369" s="934"/>
      <c r="O3369" s="936"/>
      <c r="P3369" s="936"/>
      <c r="Q3369" s="933"/>
      <c r="T3369" s="1101"/>
      <c r="U3369" s="1102"/>
      <c r="V3369" s="936"/>
      <c r="W3369" s="1103"/>
      <c r="X3369" s="1104"/>
      <c r="Y3369" s="1105"/>
      <c r="Z3369" s="1103"/>
      <c r="AC3369" s="1106"/>
      <c r="AD3369" s="1107"/>
      <c r="AE3369" s="1104"/>
      <c r="AG3369" s="1109"/>
      <c r="AI3369" s="1110"/>
      <c r="AL3369" s="933"/>
      <c r="AM3369" s="933"/>
      <c r="AN3369" s="1100"/>
      <c r="AO3369" s="1100"/>
      <c r="AP3369" s="934"/>
      <c r="AQ3369" s="934"/>
      <c r="AR3369" s="934"/>
      <c r="AS3369" s="936"/>
      <c r="AT3369" s="936"/>
      <c r="AU3369" s="936"/>
      <c r="AV3369" s="937"/>
      <c r="AW3369" s="938"/>
      <c r="AX3369" s="939"/>
      <c r="AY3369" s="933"/>
      <c r="AZ3369" s="936"/>
      <c r="BA3369" s="936"/>
      <c r="BB3369" s="1112"/>
      <c r="BC3369" s="940"/>
      <c r="BD3369" s="941"/>
      <c r="BE3369" s="942"/>
      <c r="BF3369" s="943"/>
      <c r="BG3369" s="943"/>
      <c r="BH3369" s="943"/>
      <c r="BI3369" s="943"/>
      <c r="BJ3369" s="943"/>
      <c r="BK3369" s="943"/>
      <c r="BL3369" s="943"/>
      <c r="BM3369" s="943"/>
      <c r="BN3369" s="943"/>
      <c r="BO3369" s="1059"/>
      <c r="BP3369" s="1059"/>
      <c r="BQ3369" s="1059"/>
      <c r="BR3369" s="1059"/>
      <c r="BS3369" s="1059"/>
      <c r="BT3369" s="1059"/>
      <c r="BU3369" s="1059"/>
      <c r="BV3369" s="944"/>
      <c r="BW3369" s="944"/>
      <c r="BX3369" s="1147"/>
      <c r="BY3369" s="944"/>
      <c r="BZ3369" s="944"/>
      <c r="CA3369" s="944"/>
      <c r="CB3369" s="944"/>
    </row>
    <row r="3370" spans="2:80">
      <c r="B3370" s="1097"/>
      <c r="C3370" s="1097"/>
      <c r="D3370" s="1097"/>
      <c r="E3370" s="1097"/>
      <c r="F3370" s="934"/>
      <c r="G3370" s="1098"/>
      <c r="H3370" s="1099"/>
      <c r="I3370" s="1099"/>
      <c r="J3370" s="934"/>
      <c r="K3370" s="934"/>
      <c r="L3370" s="933"/>
      <c r="M3370" s="1100"/>
      <c r="N3370" s="934"/>
      <c r="O3370" s="936"/>
      <c r="P3370" s="936"/>
      <c r="Q3370" s="933"/>
      <c r="T3370" s="1101"/>
      <c r="U3370" s="1102"/>
      <c r="V3370" s="936"/>
      <c r="W3370" s="1103"/>
      <c r="X3370" s="1104"/>
      <c r="Y3370" s="1105"/>
      <c r="Z3370" s="1103"/>
      <c r="AC3370" s="1106"/>
      <c r="AD3370" s="1107"/>
      <c r="AE3370" s="1104"/>
      <c r="AG3370" s="1109"/>
      <c r="AI3370" s="1110"/>
      <c r="AL3370" s="933"/>
      <c r="AM3370" s="933"/>
      <c r="AN3370" s="1100"/>
      <c r="AO3370" s="1100"/>
      <c r="AP3370" s="934"/>
      <c r="AQ3370" s="934"/>
      <c r="AR3370" s="934"/>
      <c r="AS3370" s="936"/>
      <c r="AT3370" s="936"/>
      <c r="AU3370" s="936"/>
      <c r="AV3370" s="937"/>
      <c r="AW3370" s="938"/>
      <c r="AX3370" s="939"/>
      <c r="AY3370" s="933"/>
      <c r="AZ3370" s="936"/>
      <c r="BA3370" s="936"/>
      <c r="BB3370" s="1112"/>
      <c r="BC3370" s="940"/>
      <c r="BD3370" s="941"/>
      <c r="BE3370" s="942"/>
      <c r="BF3370" s="943"/>
      <c r="BG3370" s="943"/>
      <c r="BH3370" s="943"/>
      <c r="BI3370" s="943"/>
      <c r="BJ3370" s="943"/>
      <c r="BK3370" s="943"/>
      <c r="BL3370" s="943"/>
      <c r="BM3370" s="943"/>
      <c r="BN3370" s="943"/>
      <c r="BO3370" s="1059"/>
      <c r="BP3370" s="1059"/>
      <c r="BQ3370" s="1059"/>
      <c r="BR3370" s="1059"/>
      <c r="BS3370" s="1059"/>
      <c r="BT3370" s="1059"/>
      <c r="BU3370" s="1059"/>
      <c r="BV3370" s="944"/>
      <c r="BW3370" s="944"/>
      <c r="BX3370" s="1147"/>
      <c r="BY3370" s="944"/>
      <c r="BZ3370" s="944"/>
      <c r="CA3370" s="944"/>
      <c r="CB3370" s="944"/>
    </row>
    <row r="3371" spans="2:80">
      <c r="B3371" s="1097"/>
      <c r="C3371" s="1097"/>
      <c r="D3371" s="1097"/>
      <c r="E3371" s="1097"/>
      <c r="F3371" s="934"/>
      <c r="G3371" s="1098"/>
      <c r="H3371" s="1099"/>
      <c r="I3371" s="1099"/>
      <c r="J3371" s="934"/>
      <c r="K3371" s="934"/>
      <c r="L3371" s="933"/>
      <c r="M3371" s="1100"/>
      <c r="N3371" s="934"/>
      <c r="O3371" s="936"/>
      <c r="P3371" s="936"/>
      <c r="Q3371" s="933"/>
      <c r="T3371" s="1101"/>
      <c r="U3371" s="1102"/>
      <c r="V3371" s="936"/>
      <c r="W3371" s="1103"/>
      <c r="X3371" s="1104"/>
      <c r="Y3371" s="1105"/>
      <c r="Z3371" s="1103"/>
      <c r="AC3371" s="1106"/>
      <c r="AD3371" s="1107"/>
      <c r="AE3371" s="1104"/>
      <c r="AG3371" s="1109"/>
      <c r="AI3371" s="1110"/>
      <c r="AL3371" s="933"/>
      <c r="AM3371" s="933"/>
      <c r="AN3371" s="1100"/>
      <c r="AO3371" s="1100"/>
      <c r="AP3371" s="934"/>
      <c r="AQ3371" s="934"/>
      <c r="AR3371" s="934"/>
      <c r="AS3371" s="936"/>
      <c r="AT3371" s="936"/>
      <c r="AU3371" s="936"/>
      <c r="AV3371" s="937"/>
      <c r="AW3371" s="938"/>
      <c r="AX3371" s="939"/>
      <c r="AY3371" s="933"/>
      <c r="AZ3371" s="936"/>
      <c r="BA3371" s="936"/>
      <c r="BB3371" s="1112"/>
      <c r="BC3371" s="940"/>
      <c r="BD3371" s="941"/>
      <c r="BE3371" s="942"/>
      <c r="BF3371" s="943"/>
      <c r="BG3371" s="943"/>
      <c r="BH3371" s="943"/>
      <c r="BI3371" s="943"/>
      <c r="BJ3371" s="943"/>
      <c r="BK3371" s="943"/>
      <c r="BL3371" s="943"/>
      <c r="BM3371" s="943"/>
      <c r="BN3371" s="943"/>
      <c r="BO3371" s="1059"/>
      <c r="BP3371" s="1059"/>
      <c r="BQ3371" s="1059"/>
      <c r="BR3371" s="1059"/>
      <c r="BS3371" s="1059"/>
      <c r="BT3371" s="1059"/>
      <c r="BU3371" s="1059"/>
      <c r="BV3371" s="944"/>
      <c r="BW3371" s="944"/>
      <c r="BX3371" s="1147"/>
      <c r="BY3371" s="944"/>
      <c r="BZ3371" s="944"/>
      <c r="CA3371" s="944"/>
      <c r="CB3371" s="944"/>
    </row>
    <row r="3372" spans="2:80">
      <c r="B3372" s="1097"/>
      <c r="C3372" s="1097"/>
      <c r="D3372" s="1097"/>
      <c r="E3372" s="1097"/>
      <c r="F3372" s="934"/>
      <c r="G3372" s="1098"/>
      <c r="H3372" s="1099"/>
      <c r="I3372" s="1099"/>
      <c r="J3372" s="934"/>
      <c r="K3372" s="934"/>
      <c r="L3372" s="933"/>
      <c r="M3372" s="1100"/>
      <c r="N3372" s="934"/>
      <c r="O3372" s="936"/>
      <c r="P3372" s="936"/>
      <c r="Q3372" s="933"/>
      <c r="T3372" s="1101"/>
      <c r="U3372" s="1102"/>
      <c r="V3372" s="936"/>
      <c r="W3372" s="1103"/>
      <c r="X3372" s="1104"/>
      <c r="Y3372" s="1105"/>
      <c r="Z3372" s="1103"/>
      <c r="AC3372" s="1106"/>
      <c r="AD3372" s="1107"/>
      <c r="AE3372" s="1104"/>
      <c r="AG3372" s="1109"/>
      <c r="AI3372" s="1110"/>
      <c r="AL3372" s="933"/>
      <c r="AM3372" s="933"/>
      <c r="AN3372" s="1100"/>
      <c r="AO3372" s="1100"/>
      <c r="AP3372" s="934"/>
      <c r="AQ3372" s="934"/>
      <c r="AR3372" s="934"/>
      <c r="AS3372" s="936"/>
      <c r="AT3372" s="936"/>
      <c r="AU3372" s="936"/>
      <c r="AV3372" s="937"/>
      <c r="AW3372" s="938"/>
      <c r="AX3372" s="939"/>
      <c r="AY3372" s="933"/>
      <c r="AZ3372" s="936"/>
      <c r="BA3372" s="936"/>
      <c r="BB3372" s="1112"/>
      <c r="BC3372" s="940"/>
      <c r="BD3372" s="941"/>
      <c r="BE3372" s="942"/>
      <c r="BF3372" s="943"/>
      <c r="BG3372" s="943"/>
      <c r="BH3372" s="943"/>
      <c r="BI3372" s="943"/>
      <c r="BJ3372" s="943"/>
      <c r="BK3372" s="943"/>
      <c r="BL3372" s="943"/>
      <c r="BM3372" s="943"/>
      <c r="BN3372" s="943"/>
      <c r="BO3372" s="1059"/>
      <c r="BP3372" s="1059"/>
      <c r="BQ3372" s="1059"/>
      <c r="BR3372" s="1059"/>
      <c r="BS3372" s="1059"/>
      <c r="BT3372" s="1059"/>
      <c r="BU3372" s="1059"/>
      <c r="BV3372" s="944"/>
      <c r="BW3372" s="944"/>
      <c r="BX3372" s="1147"/>
      <c r="BY3372" s="944"/>
      <c r="BZ3372" s="944"/>
      <c r="CA3372" s="944"/>
      <c r="CB3372" s="944"/>
    </row>
    <row r="3373" spans="2:80">
      <c r="B3373" s="1097"/>
      <c r="C3373" s="1097"/>
      <c r="D3373" s="1097"/>
      <c r="E3373" s="1097"/>
      <c r="F3373" s="934"/>
      <c r="G3373" s="1098"/>
      <c r="H3373" s="1099"/>
      <c r="I3373" s="1099"/>
      <c r="J3373" s="934"/>
      <c r="K3373" s="934"/>
      <c r="L3373" s="933"/>
      <c r="M3373" s="1100"/>
      <c r="N3373" s="934"/>
      <c r="O3373" s="936"/>
      <c r="P3373" s="936"/>
      <c r="Q3373" s="933"/>
      <c r="T3373" s="1101"/>
      <c r="U3373" s="1102"/>
      <c r="V3373" s="936"/>
      <c r="W3373" s="1103"/>
      <c r="X3373" s="1104"/>
      <c r="Y3373" s="1105"/>
      <c r="Z3373" s="1103"/>
      <c r="AC3373" s="1106"/>
      <c r="AD3373" s="1107"/>
      <c r="AE3373" s="1104"/>
      <c r="AG3373" s="1109"/>
      <c r="AI3373" s="1110"/>
      <c r="AL3373" s="933"/>
      <c r="AM3373" s="933"/>
      <c r="AN3373" s="1100"/>
      <c r="AO3373" s="1100"/>
      <c r="AP3373" s="934"/>
      <c r="AQ3373" s="934"/>
      <c r="AR3373" s="934"/>
      <c r="AS3373" s="936"/>
      <c r="AT3373" s="936"/>
      <c r="AU3373" s="936"/>
      <c r="AV3373" s="937"/>
      <c r="AW3373" s="938"/>
      <c r="AX3373" s="939"/>
      <c r="AY3373" s="933"/>
      <c r="AZ3373" s="936"/>
      <c r="BA3373" s="936"/>
      <c r="BB3373" s="1112"/>
      <c r="BC3373" s="940"/>
      <c r="BD3373" s="941"/>
      <c r="BE3373" s="942"/>
      <c r="BF3373" s="943"/>
      <c r="BG3373" s="943"/>
      <c r="BH3373" s="943"/>
      <c r="BI3373" s="943"/>
      <c r="BJ3373" s="943"/>
      <c r="BK3373" s="943"/>
      <c r="BL3373" s="943"/>
      <c r="BM3373" s="943"/>
      <c r="BN3373" s="943"/>
      <c r="BO3373" s="1059"/>
      <c r="BP3373" s="1059"/>
      <c r="BQ3373" s="1059"/>
      <c r="BR3373" s="1059"/>
      <c r="BS3373" s="1059"/>
      <c r="BT3373" s="1059"/>
      <c r="BU3373" s="1059"/>
      <c r="BV3373" s="944"/>
      <c r="BW3373" s="944"/>
      <c r="BX3373" s="1147"/>
      <c r="BY3373" s="944"/>
      <c r="BZ3373" s="944"/>
      <c r="CA3373" s="944"/>
      <c r="CB3373" s="944"/>
    </row>
    <row r="3374" spans="2:80">
      <c r="B3374" s="1097"/>
      <c r="C3374" s="1097"/>
      <c r="D3374" s="1097"/>
      <c r="E3374" s="1097"/>
      <c r="F3374" s="934"/>
      <c r="G3374" s="1098"/>
      <c r="H3374" s="1099"/>
      <c r="I3374" s="1099"/>
      <c r="J3374" s="934"/>
      <c r="K3374" s="934"/>
      <c r="L3374" s="933"/>
      <c r="M3374" s="1100"/>
      <c r="N3374" s="934"/>
      <c r="O3374" s="936"/>
      <c r="P3374" s="936"/>
      <c r="Q3374" s="933"/>
      <c r="T3374" s="1101"/>
      <c r="U3374" s="1102"/>
      <c r="V3374" s="936"/>
      <c r="W3374" s="1103"/>
      <c r="X3374" s="1104"/>
      <c r="Y3374" s="1105"/>
      <c r="Z3374" s="1103"/>
      <c r="AC3374" s="1106"/>
      <c r="AD3374" s="1107"/>
      <c r="AE3374" s="1104"/>
      <c r="AG3374" s="1109"/>
      <c r="AI3374" s="1110"/>
      <c r="AL3374" s="933"/>
      <c r="AM3374" s="933"/>
      <c r="AN3374" s="1100"/>
      <c r="AO3374" s="1100"/>
      <c r="AP3374" s="934"/>
      <c r="AQ3374" s="934"/>
      <c r="AR3374" s="934"/>
      <c r="AS3374" s="936"/>
      <c r="AT3374" s="936"/>
      <c r="AU3374" s="936"/>
      <c r="AV3374" s="937"/>
      <c r="AW3374" s="938"/>
      <c r="AX3374" s="939"/>
      <c r="AY3374" s="933"/>
      <c r="AZ3374" s="936"/>
      <c r="BA3374" s="936"/>
      <c r="BB3374" s="1112"/>
      <c r="BC3374" s="940"/>
      <c r="BD3374" s="941"/>
      <c r="BE3374" s="942"/>
      <c r="BF3374" s="943"/>
      <c r="BG3374" s="943"/>
      <c r="BH3374" s="943"/>
      <c r="BI3374" s="943"/>
      <c r="BJ3374" s="943"/>
      <c r="BK3374" s="943"/>
      <c r="BL3374" s="943"/>
      <c r="BM3374" s="943"/>
      <c r="BN3374" s="943"/>
      <c r="BO3374" s="1059"/>
      <c r="BP3374" s="1059"/>
      <c r="BQ3374" s="1059"/>
      <c r="BR3374" s="1059"/>
      <c r="BS3374" s="1059"/>
      <c r="BT3374" s="1059"/>
      <c r="BU3374" s="1059"/>
      <c r="BV3374" s="944"/>
      <c r="BW3374" s="944"/>
      <c r="BX3374" s="1147"/>
      <c r="BY3374" s="944"/>
      <c r="BZ3374" s="944"/>
      <c r="CA3374" s="944"/>
      <c r="CB3374" s="944"/>
    </row>
    <row r="3375" spans="2:80">
      <c r="B3375" s="1097"/>
      <c r="C3375" s="1097"/>
      <c r="D3375" s="1097"/>
      <c r="E3375" s="1097"/>
      <c r="F3375" s="934"/>
      <c r="G3375" s="1098"/>
      <c r="H3375" s="1099"/>
      <c r="I3375" s="1099"/>
      <c r="J3375" s="934"/>
      <c r="K3375" s="934"/>
      <c r="L3375" s="933"/>
      <c r="M3375" s="1100"/>
      <c r="N3375" s="934"/>
      <c r="O3375" s="936"/>
      <c r="P3375" s="936"/>
      <c r="Q3375" s="933"/>
      <c r="T3375" s="1101"/>
      <c r="U3375" s="1102"/>
      <c r="V3375" s="936"/>
      <c r="W3375" s="1103"/>
      <c r="X3375" s="1104"/>
      <c r="Y3375" s="1105"/>
      <c r="Z3375" s="1103"/>
      <c r="AC3375" s="1106"/>
      <c r="AD3375" s="1107"/>
      <c r="AE3375" s="1104"/>
      <c r="AG3375" s="1109"/>
      <c r="AI3375" s="1110"/>
      <c r="AL3375" s="933"/>
      <c r="AM3375" s="933"/>
      <c r="AN3375" s="1100"/>
      <c r="AO3375" s="1100"/>
      <c r="AP3375" s="934"/>
      <c r="AQ3375" s="934"/>
      <c r="AR3375" s="934"/>
      <c r="AS3375" s="936"/>
      <c r="AT3375" s="936"/>
      <c r="AU3375" s="936"/>
      <c r="AV3375" s="937"/>
      <c r="AW3375" s="938"/>
      <c r="AX3375" s="939"/>
      <c r="AY3375" s="933"/>
      <c r="AZ3375" s="936"/>
      <c r="BA3375" s="936"/>
      <c r="BB3375" s="1112"/>
      <c r="BC3375" s="940"/>
      <c r="BD3375" s="941"/>
      <c r="BE3375" s="942"/>
      <c r="BF3375" s="943"/>
      <c r="BG3375" s="943"/>
      <c r="BH3375" s="943"/>
      <c r="BI3375" s="943"/>
      <c r="BJ3375" s="943"/>
      <c r="BK3375" s="943"/>
      <c r="BL3375" s="943"/>
      <c r="BM3375" s="943"/>
      <c r="BN3375" s="943"/>
      <c r="BO3375" s="1059"/>
      <c r="BP3375" s="1059"/>
      <c r="BQ3375" s="1059"/>
      <c r="BR3375" s="1059"/>
      <c r="BS3375" s="1059"/>
      <c r="BT3375" s="1059"/>
      <c r="BU3375" s="1059"/>
      <c r="BV3375" s="944"/>
      <c r="BW3375" s="944"/>
      <c r="BX3375" s="1147"/>
      <c r="BY3375" s="944"/>
      <c r="BZ3375" s="944"/>
      <c r="CA3375" s="944"/>
      <c r="CB3375" s="944"/>
    </row>
    <row r="3376" spans="2:80">
      <c r="B3376" s="1097"/>
      <c r="C3376" s="1097"/>
      <c r="D3376" s="1097"/>
      <c r="E3376" s="1097"/>
      <c r="F3376" s="934"/>
      <c r="G3376" s="1098"/>
      <c r="H3376" s="1099"/>
      <c r="I3376" s="1099"/>
      <c r="J3376" s="934"/>
      <c r="K3376" s="934"/>
      <c r="L3376" s="933"/>
      <c r="M3376" s="1100"/>
      <c r="N3376" s="934"/>
      <c r="O3376" s="936"/>
      <c r="P3376" s="936"/>
      <c r="Q3376" s="933"/>
      <c r="T3376" s="1101"/>
      <c r="U3376" s="1102"/>
      <c r="V3376" s="936"/>
      <c r="W3376" s="1103"/>
      <c r="X3376" s="1104"/>
      <c r="Y3376" s="1105"/>
      <c r="Z3376" s="1103"/>
      <c r="AC3376" s="1106"/>
      <c r="AD3376" s="1107"/>
      <c r="AE3376" s="1104"/>
      <c r="AG3376" s="1109"/>
      <c r="AI3376" s="1110"/>
      <c r="AL3376" s="933"/>
      <c r="AM3376" s="933"/>
      <c r="AN3376" s="1100"/>
      <c r="AO3376" s="1100"/>
      <c r="AP3376" s="934"/>
      <c r="AQ3376" s="934"/>
      <c r="AR3376" s="934"/>
      <c r="AS3376" s="936"/>
      <c r="AT3376" s="936"/>
      <c r="AU3376" s="936"/>
      <c r="AV3376" s="937"/>
      <c r="AW3376" s="938"/>
      <c r="AX3376" s="939"/>
      <c r="AY3376" s="933"/>
      <c r="AZ3376" s="936"/>
      <c r="BA3376" s="936"/>
      <c r="BB3376" s="1112"/>
      <c r="BC3376" s="940"/>
      <c r="BD3376" s="941"/>
      <c r="BE3376" s="942"/>
      <c r="BF3376" s="943"/>
      <c r="BG3376" s="943"/>
      <c r="BH3376" s="943"/>
      <c r="BI3376" s="943"/>
      <c r="BJ3376" s="943"/>
      <c r="BK3376" s="943"/>
      <c r="BL3376" s="943"/>
      <c r="BM3376" s="943"/>
      <c r="BN3376" s="943"/>
      <c r="BO3376" s="1059"/>
      <c r="BP3376" s="1059"/>
      <c r="BQ3376" s="1059"/>
      <c r="BR3376" s="1059"/>
      <c r="BS3376" s="1059"/>
      <c r="BT3376" s="1059"/>
      <c r="BU3376" s="1059"/>
      <c r="BV3376" s="944"/>
      <c r="BW3376" s="944"/>
      <c r="BX3376" s="1147"/>
      <c r="BY3376" s="944"/>
      <c r="BZ3376" s="944"/>
      <c r="CA3376" s="944"/>
      <c r="CB3376" s="944"/>
    </row>
    <row r="3377" spans="2:80">
      <c r="B3377" s="1097"/>
      <c r="C3377" s="1097"/>
      <c r="D3377" s="1097"/>
      <c r="E3377" s="1097"/>
      <c r="F3377" s="934"/>
      <c r="G3377" s="1098"/>
      <c r="H3377" s="1099"/>
      <c r="I3377" s="1099"/>
      <c r="J3377" s="934"/>
      <c r="K3377" s="934"/>
      <c r="L3377" s="933"/>
      <c r="M3377" s="1100"/>
      <c r="N3377" s="934"/>
      <c r="O3377" s="936"/>
      <c r="P3377" s="936"/>
      <c r="Q3377" s="933"/>
      <c r="T3377" s="1101"/>
      <c r="U3377" s="1102"/>
      <c r="V3377" s="936"/>
      <c r="W3377" s="1103"/>
      <c r="X3377" s="1104"/>
      <c r="Y3377" s="1105"/>
      <c r="Z3377" s="1103"/>
      <c r="AC3377" s="1106"/>
      <c r="AD3377" s="1107"/>
      <c r="AE3377" s="1104"/>
      <c r="AG3377" s="1109"/>
      <c r="AI3377" s="1110"/>
      <c r="AL3377" s="933"/>
      <c r="AM3377" s="933"/>
      <c r="AN3377" s="1100"/>
      <c r="AO3377" s="1100"/>
      <c r="AP3377" s="934"/>
      <c r="AQ3377" s="934"/>
      <c r="AR3377" s="934"/>
      <c r="AS3377" s="936"/>
      <c r="AT3377" s="936"/>
      <c r="AU3377" s="936"/>
      <c r="AV3377" s="937"/>
      <c r="AW3377" s="938"/>
      <c r="AX3377" s="939"/>
      <c r="AY3377" s="933"/>
      <c r="AZ3377" s="936"/>
      <c r="BA3377" s="936"/>
      <c r="BB3377" s="1112"/>
      <c r="BC3377" s="940"/>
      <c r="BD3377" s="941"/>
      <c r="BE3377" s="942"/>
      <c r="BF3377" s="943"/>
      <c r="BG3377" s="943"/>
      <c r="BH3377" s="943"/>
      <c r="BI3377" s="943"/>
      <c r="BJ3377" s="943"/>
      <c r="BK3377" s="943"/>
      <c r="BL3377" s="943"/>
      <c r="BM3377" s="943"/>
      <c r="BN3377" s="943"/>
      <c r="BO3377" s="1059"/>
      <c r="BP3377" s="1059"/>
      <c r="BQ3377" s="1059"/>
      <c r="BR3377" s="1059"/>
      <c r="BS3377" s="1059"/>
      <c r="BT3377" s="1059"/>
      <c r="BU3377" s="1059"/>
      <c r="BV3377" s="944"/>
      <c r="BW3377" s="944"/>
      <c r="BX3377" s="1147"/>
      <c r="BY3377" s="944"/>
      <c r="BZ3377" s="944"/>
      <c r="CA3377" s="944"/>
      <c r="CB3377" s="944"/>
    </row>
    <row r="3378" spans="2:80">
      <c r="B3378" s="1097"/>
      <c r="C3378" s="1097"/>
      <c r="D3378" s="1097"/>
      <c r="E3378" s="1097"/>
      <c r="F3378" s="934"/>
      <c r="G3378" s="1098"/>
      <c r="H3378" s="1099"/>
      <c r="I3378" s="1099"/>
      <c r="J3378" s="934"/>
      <c r="K3378" s="934"/>
      <c r="L3378" s="933"/>
      <c r="M3378" s="1100"/>
      <c r="N3378" s="934"/>
      <c r="O3378" s="936"/>
      <c r="P3378" s="936"/>
      <c r="Q3378" s="933"/>
      <c r="T3378" s="1101"/>
      <c r="U3378" s="1102"/>
      <c r="V3378" s="936"/>
      <c r="W3378" s="1103"/>
      <c r="X3378" s="1104"/>
      <c r="Y3378" s="1105"/>
      <c r="Z3378" s="1103"/>
      <c r="AC3378" s="1106"/>
      <c r="AD3378" s="1107"/>
      <c r="AE3378" s="1104"/>
      <c r="AG3378" s="1109"/>
      <c r="AI3378" s="1110"/>
      <c r="AL3378" s="933"/>
      <c r="AM3378" s="933"/>
      <c r="AN3378" s="1100"/>
      <c r="AO3378" s="1100"/>
      <c r="AP3378" s="934"/>
      <c r="AQ3378" s="934"/>
      <c r="AR3378" s="934"/>
      <c r="AS3378" s="936"/>
      <c r="AT3378" s="936"/>
      <c r="AU3378" s="936"/>
      <c r="AV3378" s="937"/>
      <c r="AW3378" s="938"/>
      <c r="AX3378" s="939"/>
      <c r="AY3378" s="933"/>
      <c r="AZ3378" s="936"/>
      <c r="BA3378" s="936"/>
      <c r="BB3378" s="1112"/>
      <c r="BC3378" s="940"/>
      <c r="BD3378" s="941"/>
      <c r="BE3378" s="942"/>
      <c r="BF3378" s="943"/>
      <c r="BG3378" s="943"/>
      <c r="BH3378" s="943"/>
      <c r="BI3378" s="943"/>
      <c r="BJ3378" s="943"/>
      <c r="BK3378" s="943"/>
      <c r="BL3378" s="943"/>
      <c r="BM3378" s="943"/>
      <c r="BN3378" s="943"/>
      <c r="BO3378" s="1059"/>
      <c r="BP3378" s="1059"/>
      <c r="BQ3378" s="1059"/>
      <c r="BR3378" s="1059"/>
      <c r="BS3378" s="1059"/>
      <c r="BT3378" s="1059"/>
      <c r="BU3378" s="1059"/>
      <c r="BV3378" s="944"/>
      <c r="BW3378" s="944"/>
      <c r="BX3378" s="1147"/>
      <c r="BY3378" s="944"/>
      <c r="BZ3378" s="944"/>
      <c r="CA3378" s="944"/>
      <c r="CB3378" s="944"/>
    </row>
    <row r="3379" spans="2:80">
      <c r="B3379" s="1097"/>
      <c r="C3379" s="1097"/>
      <c r="D3379" s="1097"/>
      <c r="E3379" s="1097"/>
      <c r="F3379" s="934"/>
      <c r="G3379" s="1098"/>
      <c r="H3379" s="1099"/>
      <c r="I3379" s="1099"/>
      <c r="J3379" s="934"/>
      <c r="K3379" s="934"/>
      <c r="L3379" s="933"/>
      <c r="M3379" s="1100"/>
      <c r="N3379" s="934"/>
      <c r="O3379" s="936"/>
      <c r="P3379" s="936"/>
      <c r="Q3379" s="933"/>
      <c r="T3379" s="1101"/>
      <c r="U3379" s="1102"/>
      <c r="V3379" s="936"/>
      <c r="W3379" s="1103"/>
      <c r="X3379" s="1104"/>
      <c r="Y3379" s="1105"/>
      <c r="Z3379" s="1103"/>
      <c r="AC3379" s="1106"/>
      <c r="AD3379" s="1107"/>
      <c r="AE3379" s="1104"/>
      <c r="AG3379" s="1109"/>
      <c r="AI3379" s="1110"/>
      <c r="AL3379" s="933"/>
      <c r="AM3379" s="933"/>
      <c r="AN3379" s="1100"/>
      <c r="AO3379" s="1100"/>
      <c r="AP3379" s="934"/>
      <c r="AQ3379" s="934"/>
      <c r="AR3379" s="934"/>
      <c r="AS3379" s="936"/>
      <c r="AT3379" s="936"/>
      <c r="AU3379" s="936"/>
      <c r="AV3379" s="937"/>
      <c r="AW3379" s="938"/>
      <c r="AX3379" s="939"/>
      <c r="AY3379" s="933"/>
      <c r="AZ3379" s="936"/>
      <c r="BA3379" s="936"/>
      <c r="BB3379" s="1112"/>
      <c r="BC3379" s="940"/>
      <c r="BD3379" s="941"/>
      <c r="BE3379" s="942"/>
      <c r="BF3379" s="943"/>
      <c r="BG3379" s="943"/>
      <c r="BH3379" s="943"/>
      <c r="BI3379" s="943"/>
      <c r="BJ3379" s="943"/>
      <c r="BK3379" s="943"/>
      <c r="BL3379" s="943"/>
      <c r="BM3379" s="943"/>
      <c r="BN3379" s="943"/>
      <c r="BO3379" s="1059"/>
      <c r="BP3379" s="1059"/>
      <c r="BQ3379" s="1059"/>
      <c r="BR3379" s="1059"/>
      <c r="BS3379" s="1059"/>
      <c r="BT3379" s="1059"/>
      <c r="BU3379" s="1059"/>
      <c r="BV3379" s="944"/>
      <c r="BW3379" s="944"/>
      <c r="BX3379" s="1147"/>
      <c r="BY3379" s="944"/>
      <c r="BZ3379" s="944"/>
      <c r="CA3379" s="944"/>
      <c r="CB3379" s="944"/>
    </row>
    <row r="3380" spans="2:80">
      <c r="B3380" s="1097"/>
      <c r="C3380" s="1097"/>
      <c r="D3380" s="1097"/>
      <c r="E3380" s="1097"/>
      <c r="F3380" s="934"/>
      <c r="G3380" s="1098"/>
      <c r="H3380" s="1099"/>
      <c r="I3380" s="1099"/>
      <c r="J3380" s="934"/>
      <c r="K3380" s="934"/>
      <c r="L3380" s="933"/>
      <c r="M3380" s="1100"/>
      <c r="N3380" s="934"/>
      <c r="O3380" s="936"/>
      <c r="P3380" s="936"/>
      <c r="Q3380" s="933"/>
      <c r="T3380" s="1101"/>
      <c r="U3380" s="1102"/>
      <c r="V3380" s="936"/>
      <c r="W3380" s="1103"/>
      <c r="X3380" s="1104"/>
      <c r="Y3380" s="1105"/>
      <c r="Z3380" s="1103"/>
      <c r="AC3380" s="1106"/>
      <c r="AD3380" s="1107"/>
      <c r="AE3380" s="1104"/>
      <c r="AG3380" s="1109"/>
      <c r="AI3380" s="1110"/>
      <c r="AL3380" s="933"/>
      <c r="AM3380" s="933"/>
      <c r="AN3380" s="1100"/>
      <c r="AO3380" s="1100"/>
      <c r="AP3380" s="934"/>
      <c r="AQ3380" s="934"/>
      <c r="AR3380" s="934"/>
      <c r="AS3380" s="936"/>
      <c r="AT3380" s="936"/>
      <c r="AU3380" s="936"/>
      <c r="AV3380" s="937"/>
      <c r="AW3380" s="938"/>
      <c r="AX3380" s="939"/>
      <c r="AY3380" s="933"/>
      <c r="AZ3380" s="936"/>
      <c r="BA3380" s="936"/>
      <c r="BB3380" s="1112"/>
      <c r="BC3380" s="940"/>
      <c r="BD3380" s="941"/>
      <c r="BE3380" s="942"/>
      <c r="BF3380" s="943"/>
      <c r="BG3380" s="943"/>
      <c r="BH3380" s="943"/>
      <c r="BI3380" s="943"/>
      <c r="BJ3380" s="943"/>
      <c r="BK3380" s="943"/>
      <c r="BL3380" s="943"/>
      <c r="BM3380" s="943"/>
      <c r="BN3380" s="943"/>
      <c r="BO3380" s="1059"/>
      <c r="BP3380" s="1059"/>
      <c r="BQ3380" s="1059"/>
      <c r="BR3380" s="1059"/>
      <c r="BS3380" s="1059"/>
      <c r="BT3380" s="1059"/>
      <c r="BU3380" s="1059"/>
      <c r="BV3380" s="944"/>
      <c r="BW3380" s="944"/>
      <c r="BX3380" s="1147"/>
      <c r="BY3380" s="944"/>
      <c r="BZ3380" s="944"/>
      <c r="CA3380" s="944"/>
      <c r="CB3380" s="944"/>
    </row>
    <row r="3381" spans="2:80">
      <c r="B3381" s="1097"/>
      <c r="C3381" s="1097"/>
      <c r="D3381" s="1097"/>
      <c r="E3381" s="1097"/>
      <c r="F3381" s="934"/>
      <c r="G3381" s="1098"/>
      <c r="H3381" s="1099"/>
      <c r="I3381" s="1099"/>
      <c r="J3381" s="934"/>
      <c r="K3381" s="934"/>
      <c r="L3381" s="933"/>
      <c r="M3381" s="1100"/>
      <c r="N3381" s="934"/>
      <c r="O3381" s="936"/>
      <c r="P3381" s="936"/>
      <c r="Q3381" s="933"/>
      <c r="T3381" s="1101"/>
      <c r="U3381" s="1102"/>
      <c r="V3381" s="936"/>
      <c r="W3381" s="1103"/>
      <c r="X3381" s="1104"/>
      <c r="Y3381" s="1105"/>
      <c r="Z3381" s="1103"/>
      <c r="AC3381" s="1106"/>
      <c r="AD3381" s="1107"/>
      <c r="AE3381" s="1104"/>
      <c r="AG3381" s="1109"/>
      <c r="AI3381" s="1110"/>
      <c r="AL3381" s="933"/>
      <c r="AM3381" s="933"/>
      <c r="AN3381" s="1100"/>
      <c r="AO3381" s="1100"/>
      <c r="AP3381" s="934"/>
      <c r="AQ3381" s="934"/>
      <c r="AR3381" s="934"/>
      <c r="AS3381" s="936"/>
      <c r="AT3381" s="936"/>
      <c r="AU3381" s="936"/>
      <c r="AV3381" s="937"/>
      <c r="AW3381" s="938"/>
      <c r="AX3381" s="939"/>
      <c r="AY3381" s="933"/>
      <c r="AZ3381" s="936"/>
      <c r="BA3381" s="936"/>
      <c r="BB3381" s="1112"/>
      <c r="BC3381" s="940"/>
      <c r="BD3381" s="941"/>
      <c r="BE3381" s="942"/>
      <c r="BF3381" s="943"/>
      <c r="BG3381" s="943"/>
      <c r="BH3381" s="943"/>
      <c r="BI3381" s="943"/>
      <c r="BJ3381" s="943"/>
      <c r="BK3381" s="943"/>
      <c r="BL3381" s="943"/>
      <c r="BM3381" s="943"/>
      <c r="BN3381" s="943"/>
      <c r="BO3381" s="1059"/>
      <c r="BP3381" s="1059"/>
      <c r="BQ3381" s="1059"/>
      <c r="BR3381" s="1059"/>
      <c r="BS3381" s="1059"/>
      <c r="BT3381" s="1059"/>
      <c r="BU3381" s="1059"/>
      <c r="BV3381" s="944"/>
      <c r="BW3381" s="944"/>
      <c r="BX3381" s="1147"/>
      <c r="BY3381" s="944"/>
      <c r="BZ3381" s="944"/>
      <c r="CA3381" s="944"/>
      <c r="CB3381" s="944"/>
    </row>
    <row r="3382" spans="2:80">
      <c r="B3382" s="1097"/>
      <c r="C3382" s="1097"/>
      <c r="D3382" s="1097"/>
      <c r="E3382" s="1097"/>
      <c r="F3382" s="934"/>
      <c r="G3382" s="1098"/>
      <c r="H3382" s="1099"/>
      <c r="I3382" s="1099"/>
      <c r="J3382" s="934"/>
      <c r="K3382" s="934"/>
      <c r="L3382" s="933"/>
      <c r="M3382" s="1100"/>
      <c r="N3382" s="934"/>
      <c r="O3382" s="936"/>
      <c r="P3382" s="936"/>
      <c r="Q3382" s="933"/>
      <c r="T3382" s="1101"/>
      <c r="U3382" s="1102"/>
      <c r="V3382" s="936"/>
      <c r="W3382" s="1103"/>
      <c r="X3382" s="1104"/>
      <c r="Y3382" s="1105"/>
      <c r="Z3382" s="1103"/>
      <c r="AC3382" s="1106"/>
      <c r="AD3382" s="1107"/>
      <c r="AE3382" s="1104"/>
      <c r="AG3382" s="1109"/>
      <c r="AI3382" s="1110"/>
      <c r="AL3382" s="933"/>
      <c r="AM3382" s="933"/>
      <c r="AN3382" s="1100"/>
      <c r="AO3382" s="1100"/>
      <c r="AP3382" s="934"/>
      <c r="AQ3382" s="934"/>
      <c r="AR3382" s="934"/>
      <c r="AS3382" s="936"/>
      <c r="AT3382" s="936"/>
      <c r="AU3382" s="936"/>
      <c r="AV3382" s="937"/>
      <c r="AW3382" s="938"/>
      <c r="AX3382" s="939"/>
      <c r="AY3382" s="933"/>
      <c r="AZ3382" s="936"/>
      <c r="BA3382" s="936"/>
      <c r="BB3382" s="1112"/>
      <c r="BC3382" s="940"/>
      <c r="BD3382" s="941"/>
      <c r="BE3382" s="942"/>
      <c r="BF3382" s="943"/>
      <c r="BG3382" s="943"/>
      <c r="BH3382" s="943"/>
      <c r="BI3382" s="943"/>
      <c r="BJ3382" s="943"/>
      <c r="BK3382" s="943"/>
      <c r="BL3382" s="943"/>
      <c r="BM3382" s="943"/>
      <c r="BN3382" s="943"/>
      <c r="BO3382" s="1059"/>
      <c r="BP3382" s="1059"/>
      <c r="BQ3382" s="1059"/>
      <c r="BR3382" s="1059"/>
      <c r="BS3382" s="1059"/>
      <c r="BT3382" s="1059"/>
      <c r="BU3382" s="1059"/>
      <c r="BV3382" s="944"/>
      <c r="BW3382" s="944"/>
      <c r="BX3382" s="1147"/>
      <c r="BY3382" s="944"/>
      <c r="BZ3382" s="944"/>
      <c r="CA3382" s="944"/>
      <c r="CB3382" s="944"/>
    </row>
    <row r="3383" spans="2:80">
      <c r="B3383" s="1097"/>
      <c r="C3383" s="1097"/>
      <c r="D3383" s="1097"/>
      <c r="E3383" s="1097"/>
      <c r="F3383" s="934"/>
      <c r="G3383" s="1098"/>
      <c r="H3383" s="1099"/>
      <c r="I3383" s="1099"/>
      <c r="J3383" s="934"/>
      <c r="K3383" s="934"/>
      <c r="L3383" s="933"/>
      <c r="M3383" s="1100"/>
      <c r="N3383" s="934"/>
      <c r="O3383" s="936"/>
      <c r="P3383" s="936"/>
      <c r="Q3383" s="933"/>
      <c r="T3383" s="1101"/>
      <c r="U3383" s="1102"/>
      <c r="V3383" s="936"/>
      <c r="W3383" s="1103"/>
      <c r="X3383" s="1104"/>
      <c r="Y3383" s="1105"/>
      <c r="Z3383" s="1103"/>
      <c r="AC3383" s="1106"/>
      <c r="AD3383" s="1107"/>
      <c r="AE3383" s="1104"/>
      <c r="AG3383" s="1109"/>
      <c r="AI3383" s="1110"/>
      <c r="AL3383" s="933"/>
      <c r="AM3383" s="933"/>
      <c r="AN3383" s="1100"/>
      <c r="AO3383" s="1100"/>
      <c r="AP3383" s="934"/>
      <c r="AQ3383" s="934"/>
      <c r="AR3383" s="934"/>
      <c r="AS3383" s="936"/>
      <c r="AT3383" s="936"/>
      <c r="AU3383" s="936"/>
      <c r="AV3383" s="937"/>
      <c r="AW3383" s="938"/>
      <c r="AX3383" s="939"/>
      <c r="AY3383" s="933"/>
      <c r="AZ3383" s="936"/>
      <c r="BA3383" s="936"/>
      <c r="BB3383" s="1112"/>
      <c r="BC3383" s="940"/>
      <c r="BD3383" s="941"/>
      <c r="BE3383" s="942"/>
      <c r="BF3383" s="943"/>
      <c r="BG3383" s="943"/>
      <c r="BH3383" s="943"/>
      <c r="BI3383" s="943"/>
      <c r="BJ3383" s="943"/>
      <c r="BK3383" s="943"/>
      <c r="BL3383" s="943"/>
      <c r="BM3383" s="943"/>
      <c r="BN3383" s="943"/>
      <c r="BO3383" s="1059"/>
      <c r="BP3383" s="1059"/>
      <c r="BQ3383" s="1059"/>
      <c r="BR3383" s="1059"/>
      <c r="BS3383" s="1059"/>
      <c r="BT3383" s="1059"/>
      <c r="BU3383" s="1059"/>
      <c r="BV3383" s="944"/>
      <c r="BW3383" s="944"/>
      <c r="BX3383" s="1147"/>
      <c r="BY3383" s="944"/>
      <c r="BZ3383" s="944"/>
      <c r="CA3383" s="944"/>
      <c r="CB3383" s="944"/>
    </row>
    <row r="3384" spans="2:80">
      <c r="B3384" s="1097"/>
      <c r="C3384" s="1097"/>
      <c r="D3384" s="1097"/>
      <c r="E3384" s="1097"/>
      <c r="F3384" s="934"/>
      <c r="G3384" s="1098"/>
      <c r="H3384" s="1099"/>
      <c r="I3384" s="1099"/>
      <c r="J3384" s="934"/>
      <c r="K3384" s="934"/>
      <c r="L3384" s="933"/>
      <c r="M3384" s="1100"/>
      <c r="N3384" s="934"/>
      <c r="O3384" s="936"/>
      <c r="P3384" s="936"/>
      <c r="Q3384" s="933"/>
      <c r="T3384" s="1101"/>
      <c r="U3384" s="1102"/>
      <c r="V3384" s="936"/>
      <c r="W3384" s="1103"/>
      <c r="X3384" s="1104"/>
      <c r="Y3384" s="1105"/>
      <c r="Z3384" s="1103"/>
      <c r="AC3384" s="1106"/>
      <c r="AD3384" s="1107"/>
      <c r="AE3384" s="1104"/>
      <c r="AG3384" s="1109"/>
      <c r="AI3384" s="1110"/>
      <c r="AL3384" s="933"/>
      <c r="AM3384" s="933"/>
      <c r="AN3384" s="1100"/>
      <c r="AO3384" s="1100"/>
      <c r="AP3384" s="934"/>
      <c r="AQ3384" s="934"/>
      <c r="AR3384" s="934"/>
      <c r="AS3384" s="936"/>
      <c r="AT3384" s="936"/>
      <c r="AU3384" s="936"/>
      <c r="AV3384" s="937"/>
      <c r="AW3384" s="938"/>
      <c r="AX3384" s="939"/>
      <c r="AY3384" s="933"/>
      <c r="AZ3384" s="936"/>
      <c r="BA3384" s="936"/>
      <c r="BB3384" s="1112"/>
      <c r="BC3384" s="940"/>
      <c r="BD3384" s="941"/>
      <c r="BE3384" s="942"/>
      <c r="BF3384" s="943"/>
      <c r="BG3384" s="943"/>
      <c r="BH3384" s="943"/>
      <c r="BI3384" s="943"/>
      <c r="BJ3384" s="943"/>
      <c r="BK3384" s="943"/>
      <c r="BL3384" s="943"/>
      <c r="BM3384" s="943"/>
      <c r="BN3384" s="943"/>
      <c r="BO3384" s="1059"/>
      <c r="BP3384" s="1059"/>
      <c r="BQ3384" s="1059"/>
      <c r="BR3384" s="1059"/>
      <c r="BS3384" s="1059"/>
      <c r="BT3384" s="1059"/>
      <c r="BU3384" s="1059"/>
      <c r="BV3384" s="944"/>
      <c r="BW3384" s="944"/>
      <c r="BX3384" s="1147"/>
      <c r="BY3384" s="944"/>
      <c r="BZ3384" s="944"/>
      <c r="CA3384" s="944"/>
      <c r="CB3384" s="944"/>
    </row>
    <row r="3385" spans="2:80">
      <c r="B3385" s="1097"/>
      <c r="C3385" s="1097"/>
      <c r="D3385" s="1097"/>
      <c r="E3385" s="1097"/>
      <c r="F3385" s="934"/>
      <c r="G3385" s="1098"/>
      <c r="H3385" s="1099"/>
      <c r="I3385" s="1099"/>
      <c r="J3385" s="934"/>
      <c r="K3385" s="934"/>
      <c r="L3385" s="933"/>
      <c r="M3385" s="1100"/>
      <c r="N3385" s="934"/>
      <c r="O3385" s="936"/>
      <c r="P3385" s="936"/>
      <c r="Q3385" s="933"/>
      <c r="T3385" s="1101"/>
      <c r="U3385" s="1102"/>
      <c r="V3385" s="936"/>
      <c r="W3385" s="1103"/>
      <c r="X3385" s="1104"/>
      <c r="Y3385" s="1105"/>
      <c r="Z3385" s="1103"/>
      <c r="AC3385" s="1106"/>
      <c r="AD3385" s="1107"/>
      <c r="AE3385" s="1104"/>
      <c r="AG3385" s="1109"/>
      <c r="AI3385" s="1110"/>
      <c r="AL3385" s="933"/>
      <c r="AM3385" s="933"/>
      <c r="AN3385" s="1100"/>
      <c r="AO3385" s="1100"/>
      <c r="AP3385" s="934"/>
      <c r="AQ3385" s="934"/>
      <c r="AR3385" s="934"/>
      <c r="AS3385" s="936"/>
      <c r="AT3385" s="936"/>
      <c r="AU3385" s="936"/>
      <c r="AV3385" s="937"/>
      <c r="AW3385" s="938"/>
      <c r="AX3385" s="939"/>
      <c r="AY3385" s="933"/>
      <c r="AZ3385" s="936"/>
      <c r="BA3385" s="936"/>
      <c r="BB3385" s="1112"/>
      <c r="BC3385" s="940"/>
      <c r="BD3385" s="941"/>
      <c r="BE3385" s="942"/>
      <c r="BF3385" s="943"/>
      <c r="BG3385" s="943"/>
      <c r="BH3385" s="943"/>
      <c r="BI3385" s="943"/>
      <c r="BJ3385" s="943"/>
      <c r="BK3385" s="943"/>
      <c r="BL3385" s="943"/>
      <c r="BM3385" s="943"/>
      <c r="BN3385" s="943"/>
      <c r="BO3385" s="1059"/>
      <c r="BP3385" s="1059"/>
      <c r="BQ3385" s="1059"/>
      <c r="BR3385" s="1059"/>
      <c r="BS3385" s="1059"/>
      <c r="BT3385" s="1059"/>
      <c r="BU3385" s="1059"/>
      <c r="BV3385" s="944"/>
      <c r="BW3385" s="944"/>
      <c r="BX3385" s="1147"/>
      <c r="BY3385" s="944"/>
      <c r="BZ3385" s="944"/>
      <c r="CA3385" s="944"/>
      <c r="CB3385" s="944"/>
    </row>
    <row r="3386" spans="2:80">
      <c r="B3386" s="1097"/>
      <c r="C3386" s="1097"/>
      <c r="D3386" s="1097"/>
      <c r="E3386" s="1097"/>
      <c r="F3386" s="934"/>
      <c r="G3386" s="1098"/>
      <c r="H3386" s="1099"/>
      <c r="I3386" s="1099"/>
      <c r="J3386" s="934"/>
      <c r="K3386" s="934"/>
      <c r="L3386" s="933"/>
      <c r="M3386" s="1100"/>
      <c r="N3386" s="934"/>
      <c r="O3386" s="936"/>
      <c r="P3386" s="936"/>
      <c r="Q3386" s="933"/>
      <c r="T3386" s="1101"/>
      <c r="U3386" s="1102"/>
      <c r="V3386" s="936"/>
      <c r="W3386" s="1103"/>
      <c r="X3386" s="1104"/>
      <c r="Y3386" s="1105"/>
      <c r="Z3386" s="1103"/>
      <c r="AC3386" s="1106"/>
      <c r="AD3386" s="1107"/>
      <c r="AE3386" s="1104"/>
      <c r="AG3386" s="1109"/>
      <c r="AI3386" s="1110"/>
      <c r="AL3386" s="933"/>
      <c r="AM3386" s="933"/>
      <c r="AN3386" s="1100"/>
      <c r="AO3386" s="1100"/>
      <c r="AP3386" s="934"/>
      <c r="AQ3386" s="934"/>
      <c r="AR3386" s="934"/>
      <c r="AS3386" s="936"/>
      <c r="AT3386" s="936"/>
      <c r="AU3386" s="936"/>
      <c r="AV3386" s="937"/>
      <c r="AW3386" s="938"/>
      <c r="AX3386" s="939"/>
      <c r="AY3386" s="933"/>
      <c r="AZ3386" s="936"/>
      <c r="BA3386" s="936"/>
      <c r="BB3386" s="1112"/>
      <c r="BC3386" s="940"/>
      <c r="BD3386" s="941"/>
      <c r="BE3386" s="942"/>
      <c r="BF3386" s="943"/>
      <c r="BG3386" s="943"/>
      <c r="BH3386" s="943"/>
      <c r="BI3386" s="943"/>
      <c r="BJ3386" s="943"/>
      <c r="BK3386" s="943"/>
      <c r="BL3386" s="943"/>
      <c r="BM3386" s="943"/>
      <c r="BN3386" s="943"/>
      <c r="BO3386" s="1059"/>
      <c r="BP3386" s="1059"/>
      <c r="BQ3386" s="1059"/>
      <c r="BR3386" s="1059"/>
      <c r="BS3386" s="1059"/>
      <c r="BT3386" s="1059"/>
      <c r="BU3386" s="1059"/>
      <c r="BV3386" s="944"/>
      <c r="BW3386" s="944"/>
      <c r="BX3386" s="1147"/>
      <c r="BY3386" s="944"/>
      <c r="BZ3386" s="944"/>
      <c r="CA3386" s="944"/>
      <c r="CB3386" s="944"/>
    </row>
    <row r="3387" spans="2:80">
      <c r="B3387" s="1097"/>
      <c r="C3387" s="1097"/>
      <c r="D3387" s="1097"/>
      <c r="E3387" s="1097"/>
      <c r="F3387" s="934"/>
      <c r="G3387" s="1098"/>
      <c r="H3387" s="1099"/>
      <c r="I3387" s="1099"/>
      <c r="J3387" s="934"/>
      <c r="K3387" s="934"/>
      <c r="L3387" s="933"/>
      <c r="M3387" s="1100"/>
      <c r="N3387" s="934"/>
      <c r="O3387" s="936"/>
      <c r="P3387" s="936"/>
      <c r="Q3387" s="933"/>
      <c r="T3387" s="1101"/>
      <c r="U3387" s="1102"/>
      <c r="V3387" s="936"/>
      <c r="W3387" s="1103"/>
      <c r="X3387" s="1104"/>
      <c r="Y3387" s="1105"/>
      <c r="Z3387" s="1103"/>
      <c r="AC3387" s="1106"/>
      <c r="AD3387" s="1107"/>
      <c r="AE3387" s="1104"/>
      <c r="AG3387" s="1109"/>
      <c r="AI3387" s="1110"/>
      <c r="AL3387" s="933"/>
      <c r="AM3387" s="933"/>
      <c r="AN3387" s="1100"/>
      <c r="AO3387" s="1100"/>
      <c r="AP3387" s="934"/>
      <c r="AQ3387" s="934"/>
      <c r="AR3387" s="934"/>
      <c r="AS3387" s="936"/>
      <c r="AT3387" s="936"/>
      <c r="AU3387" s="936"/>
      <c r="AV3387" s="937"/>
      <c r="AW3387" s="938"/>
      <c r="AX3387" s="939"/>
      <c r="AY3387" s="933"/>
      <c r="AZ3387" s="936"/>
      <c r="BA3387" s="936"/>
      <c r="BB3387" s="1112"/>
      <c r="BC3387" s="940"/>
      <c r="BD3387" s="941"/>
      <c r="BE3387" s="942"/>
      <c r="BF3387" s="943"/>
      <c r="BG3387" s="943"/>
      <c r="BH3387" s="943"/>
      <c r="BI3387" s="943"/>
      <c r="BJ3387" s="943"/>
      <c r="BK3387" s="943"/>
      <c r="BL3387" s="943"/>
      <c r="BM3387" s="943"/>
      <c r="BN3387" s="943"/>
      <c r="BO3387" s="1059"/>
      <c r="BP3387" s="1059"/>
      <c r="BQ3387" s="1059"/>
      <c r="BR3387" s="1059"/>
      <c r="BS3387" s="1059"/>
      <c r="BT3387" s="1059"/>
      <c r="BU3387" s="1059"/>
      <c r="BV3387" s="944"/>
      <c r="BW3387" s="944"/>
      <c r="BX3387" s="1147"/>
      <c r="BY3387" s="944"/>
      <c r="BZ3387" s="944"/>
      <c r="CA3387" s="944"/>
      <c r="CB3387" s="944"/>
    </row>
    <row r="3388" spans="2:80">
      <c r="B3388" s="1097"/>
      <c r="C3388" s="1097"/>
      <c r="D3388" s="1097"/>
      <c r="E3388" s="1097"/>
      <c r="F3388" s="934"/>
      <c r="G3388" s="1098"/>
      <c r="H3388" s="1099"/>
      <c r="I3388" s="1099"/>
      <c r="J3388" s="934"/>
      <c r="K3388" s="934"/>
      <c r="L3388" s="933"/>
      <c r="M3388" s="1100"/>
      <c r="N3388" s="934"/>
      <c r="O3388" s="936"/>
      <c r="P3388" s="936"/>
      <c r="Q3388" s="933"/>
      <c r="T3388" s="1101"/>
      <c r="U3388" s="1102"/>
      <c r="V3388" s="936"/>
      <c r="W3388" s="1103"/>
      <c r="X3388" s="1104"/>
      <c r="Y3388" s="1105"/>
      <c r="Z3388" s="1103"/>
      <c r="AC3388" s="1106"/>
      <c r="AD3388" s="1107"/>
      <c r="AE3388" s="1104"/>
      <c r="AG3388" s="1109"/>
      <c r="AI3388" s="1110"/>
      <c r="AL3388" s="933"/>
      <c r="AM3388" s="933"/>
      <c r="AN3388" s="1100"/>
      <c r="AO3388" s="1100"/>
      <c r="AP3388" s="934"/>
      <c r="AQ3388" s="934"/>
      <c r="AR3388" s="934"/>
      <c r="AS3388" s="936"/>
      <c r="AT3388" s="936"/>
      <c r="AU3388" s="936"/>
      <c r="AV3388" s="937"/>
      <c r="AW3388" s="938"/>
      <c r="AX3388" s="939"/>
      <c r="AY3388" s="933"/>
      <c r="AZ3388" s="936"/>
      <c r="BA3388" s="936"/>
      <c r="BB3388" s="1112"/>
      <c r="BC3388" s="940"/>
      <c r="BD3388" s="941"/>
      <c r="BE3388" s="942"/>
      <c r="BF3388" s="943"/>
      <c r="BG3388" s="943"/>
      <c r="BH3388" s="943"/>
      <c r="BI3388" s="943"/>
      <c r="BJ3388" s="943"/>
      <c r="BK3388" s="943"/>
      <c r="BL3388" s="943"/>
      <c r="BM3388" s="943"/>
      <c r="BN3388" s="943"/>
      <c r="BO3388" s="1059"/>
      <c r="BP3388" s="1059"/>
      <c r="BQ3388" s="1059"/>
      <c r="BR3388" s="1059"/>
      <c r="BS3388" s="1059"/>
      <c r="BT3388" s="1059"/>
      <c r="BU3388" s="1059"/>
      <c r="BV3388" s="944"/>
      <c r="BW3388" s="944"/>
      <c r="BX3388" s="1147"/>
      <c r="BY3388" s="944"/>
      <c r="BZ3388" s="944"/>
      <c r="CA3388" s="944"/>
      <c r="CB3388" s="944"/>
    </row>
    <row r="3389" spans="2:80">
      <c r="B3389" s="1097"/>
      <c r="C3389" s="1097"/>
      <c r="D3389" s="1097"/>
      <c r="E3389" s="1097"/>
      <c r="F3389" s="934"/>
      <c r="G3389" s="1098"/>
      <c r="H3389" s="1099"/>
      <c r="I3389" s="1099"/>
      <c r="J3389" s="934"/>
      <c r="K3389" s="934"/>
      <c r="L3389" s="933"/>
      <c r="M3389" s="1100"/>
      <c r="N3389" s="934"/>
      <c r="O3389" s="936"/>
      <c r="P3389" s="936"/>
      <c r="Q3389" s="933"/>
      <c r="T3389" s="1101"/>
      <c r="U3389" s="1102"/>
      <c r="V3389" s="936"/>
      <c r="W3389" s="1103"/>
      <c r="X3389" s="1104"/>
      <c r="Y3389" s="1105"/>
      <c r="Z3389" s="1103"/>
      <c r="AC3389" s="1106"/>
      <c r="AD3389" s="1107"/>
      <c r="AE3389" s="1104"/>
      <c r="AG3389" s="1109"/>
      <c r="AI3389" s="1110"/>
      <c r="AL3389" s="933"/>
      <c r="AM3389" s="933"/>
      <c r="AN3389" s="1100"/>
      <c r="AO3389" s="1100"/>
      <c r="AP3389" s="934"/>
      <c r="AQ3389" s="934"/>
      <c r="AR3389" s="934"/>
      <c r="AS3389" s="936"/>
      <c r="AT3389" s="936"/>
      <c r="AU3389" s="936"/>
      <c r="AV3389" s="937"/>
      <c r="AW3389" s="938"/>
      <c r="AX3389" s="939"/>
      <c r="AY3389" s="933"/>
      <c r="AZ3389" s="936"/>
      <c r="BA3389" s="936"/>
      <c r="BB3389" s="1112"/>
      <c r="BC3389" s="940"/>
      <c r="BD3389" s="941"/>
      <c r="BE3389" s="942"/>
      <c r="BF3389" s="943"/>
      <c r="BG3389" s="943"/>
      <c r="BH3389" s="943"/>
      <c r="BI3389" s="943"/>
      <c r="BJ3389" s="943"/>
      <c r="BK3389" s="943"/>
      <c r="BL3389" s="943"/>
      <c r="BM3389" s="943"/>
      <c r="BN3389" s="943"/>
      <c r="BO3389" s="1059"/>
      <c r="BP3389" s="1059"/>
      <c r="BQ3389" s="1059"/>
      <c r="BR3389" s="1059"/>
      <c r="BS3389" s="1059"/>
      <c r="BT3389" s="1059"/>
      <c r="BU3389" s="1059"/>
      <c r="BV3389" s="944"/>
      <c r="BW3389" s="944"/>
      <c r="BX3389" s="1147"/>
      <c r="BY3389" s="944"/>
      <c r="BZ3389" s="944"/>
      <c r="CA3389" s="944"/>
      <c r="CB3389" s="944"/>
    </row>
    <row r="3390" spans="2:80">
      <c r="B3390" s="1097"/>
      <c r="C3390" s="1097"/>
      <c r="D3390" s="1097"/>
      <c r="E3390" s="1097"/>
      <c r="F3390" s="934"/>
      <c r="G3390" s="1098"/>
      <c r="H3390" s="1099"/>
      <c r="I3390" s="1099"/>
      <c r="J3390" s="934"/>
      <c r="K3390" s="934"/>
      <c r="L3390" s="933"/>
      <c r="M3390" s="1100"/>
      <c r="N3390" s="934"/>
      <c r="O3390" s="936"/>
      <c r="P3390" s="936"/>
      <c r="Q3390" s="933"/>
      <c r="T3390" s="1101"/>
      <c r="U3390" s="1102"/>
      <c r="V3390" s="936"/>
      <c r="W3390" s="1103"/>
      <c r="X3390" s="1104"/>
      <c r="Y3390" s="1105"/>
      <c r="Z3390" s="1103"/>
      <c r="AC3390" s="1106"/>
      <c r="AD3390" s="1107"/>
      <c r="AE3390" s="1104"/>
      <c r="AG3390" s="1109"/>
      <c r="AI3390" s="1110"/>
      <c r="AL3390" s="933"/>
      <c r="AM3390" s="933"/>
      <c r="AN3390" s="1100"/>
      <c r="AO3390" s="1100"/>
      <c r="AP3390" s="934"/>
      <c r="AQ3390" s="934"/>
      <c r="AR3390" s="934"/>
      <c r="AS3390" s="936"/>
      <c r="AT3390" s="936"/>
      <c r="AU3390" s="936"/>
      <c r="AV3390" s="937"/>
      <c r="AW3390" s="938"/>
      <c r="AX3390" s="939"/>
      <c r="AY3390" s="933"/>
      <c r="AZ3390" s="936"/>
      <c r="BA3390" s="936"/>
      <c r="BB3390" s="1112"/>
      <c r="BC3390" s="940"/>
      <c r="BD3390" s="941"/>
      <c r="BE3390" s="942"/>
      <c r="BF3390" s="943"/>
      <c r="BG3390" s="943"/>
      <c r="BH3390" s="943"/>
      <c r="BI3390" s="943"/>
      <c r="BJ3390" s="943"/>
      <c r="BK3390" s="943"/>
      <c r="BL3390" s="943"/>
      <c r="BM3390" s="943"/>
      <c r="BN3390" s="943"/>
      <c r="BO3390" s="1059"/>
      <c r="BP3390" s="1059"/>
      <c r="BQ3390" s="1059"/>
      <c r="BR3390" s="1059"/>
      <c r="BS3390" s="1059"/>
      <c r="BT3390" s="1059"/>
      <c r="BU3390" s="1059"/>
      <c r="BV3390" s="944"/>
      <c r="BW3390" s="944"/>
      <c r="BX3390" s="1147"/>
      <c r="BY3390" s="944"/>
      <c r="BZ3390" s="944"/>
      <c r="CA3390" s="944"/>
      <c r="CB3390" s="944"/>
    </row>
    <row r="3391" spans="2:80">
      <c r="B3391" s="1097"/>
      <c r="C3391" s="1097"/>
      <c r="D3391" s="1097"/>
      <c r="E3391" s="1097"/>
      <c r="F3391" s="934"/>
      <c r="G3391" s="1098"/>
      <c r="H3391" s="1099"/>
      <c r="I3391" s="1099"/>
      <c r="J3391" s="934"/>
      <c r="K3391" s="934"/>
      <c r="L3391" s="933"/>
      <c r="M3391" s="1100"/>
      <c r="N3391" s="934"/>
      <c r="O3391" s="936"/>
      <c r="P3391" s="936"/>
      <c r="Q3391" s="933"/>
      <c r="T3391" s="1101"/>
      <c r="U3391" s="1102"/>
      <c r="V3391" s="936"/>
      <c r="W3391" s="1103"/>
      <c r="X3391" s="1104"/>
      <c r="Y3391" s="1105"/>
      <c r="Z3391" s="1103"/>
      <c r="AC3391" s="1106"/>
      <c r="AD3391" s="1107"/>
      <c r="AE3391" s="1104"/>
      <c r="AG3391" s="1109"/>
      <c r="AI3391" s="1110"/>
      <c r="AL3391" s="933"/>
      <c r="AM3391" s="933"/>
      <c r="AN3391" s="1100"/>
      <c r="AO3391" s="1100"/>
      <c r="AP3391" s="934"/>
      <c r="AQ3391" s="934"/>
      <c r="AR3391" s="934"/>
      <c r="AS3391" s="936"/>
      <c r="AT3391" s="936"/>
      <c r="AU3391" s="936"/>
      <c r="AV3391" s="937"/>
      <c r="AW3391" s="938"/>
      <c r="AX3391" s="939"/>
      <c r="AY3391" s="933"/>
      <c r="AZ3391" s="936"/>
      <c r="BA3391" s="936"/>
      <c r="BB3391" s="1112"/>
      <c r="BC3391" s="940"/>
      <c r="BD3391" s="941"/>
      <c r="BE3391" s="942"/>
      <c r="BF3391" s="943"/>
      <c r="BG3391" s="943"/>
      <c r="BH3391" s="943"/>
      <c r="BI3391" s="943"/>
      <c r="BJ3391" s="943"/>
      <c r="BK3391" s="943"/>
      <c r="BL3391" s="943"/>
      <c r="BM3391" s="943"/>
      <c r="BN3391" s="943"/>
      <c r="BO3391" s="1059"/>
      <c r="BP3391" s="1059"/>
      <c r="BQ3391" s="1059"/>
      <c r="BR3391" s="1059"/>
      <c r="BS3391" s="1059"/>
      <c r="BT3391" s="1059"/>
      <c r="BU3391" s="1059"/>
      <c r="BV3391" s="944"/>
      <c r="BW3391" s="944"/>
      <c r="BX3391" s="1147"/>
      <c r="BY3391" s="944"/>
      <c r="BZ3391" s="944"/>
      <c r="CA3391" s="944"/>
      <c r="CB3391" s="944"/>
    </row>
    <row r="3392" spans="2:80">
      <c r="B3392" s="1097"/>
      <c r="C3392" s="1097"/>
      <c r="D3392" s="1097"/>
      <c r="E3392" s="1097"/>
      <c r="F3392" s="934"/>
      <c r="G3392" s="1098"/>
      <c r="H3392" s="1099"/>
      <c r="I3392" s="1099"/>
      <c r="J3392" s="934"/>
      <c r="K3392" s="934"/>
      <c r="L3392" s="933"/>
      <c r="M3392" s="1100"/>
      <c r="N3392" s="934"/>
      <c r="O3392" s="936"/>
      <c r="P3392" s="936"/>
      <c r="Q3392" s="933"/>
      <c r="T3392" s="1101"/>
      <c r="U3392" s="1102"/>
      <c r="V3392" s="936"/>
      <c r="W3392" s="1103"/>
      <c r="X3392" s="1104"/>
      <c r="Y3392" s="1105"/>
      <c r="Z3392" s="1103"/>
      <c r="AC3392" s="1106"/>
      <c r="AD3392" s="1107"/>
      <c r="AE3392" s="1104"/>
      <c r="AG3392" s="1109"/>
      <c r="AI3392" s="1110"/>
      <c r="AL3392" s="933"/>
      <c r="AM3392" s="933"/>
      <c r="AN3392" s="1100"/>
      <c r="AO3392" s="1100"/>
      <c r="AP3392" s="934"/>
      <c r="AQ3392" s="934"/>
      <c r="AR3392" s="934"/>
      <c r="AS3392" s="936"/>
      <c r="AT3392" s="936"/>
      <c r="AU3392" s="936"/>
      <c r="AV3392" s="937"/>
      <c r="AW3392" s="938"/>
      <c r="AX3392" s="939"/>
      <c r="AY3392" s="933"/>
      <c r="AZ3392" s="936"/>
      <c r="BA3392" s="936"/>
      <c r="BB3392" s="1112"/>
      <c r="BC3392" s="940"/>
      <c r="BD3392" s="941"/>
      <c r="BE3392" s="942"/>
      <c r="BF3392" s="943"/>
      <c r="BG3392" s="943"/>
      <c r="BH3392" s="943"/>
      <c r="BI3392" s="943"/>
      <c r="BJ3392" s="943"/>
      <c r="BK3392" s="943"/>
      <c r="BL3392" s="943"/>
      <c r="BM3392" s="943"/>
      <c r="BN3392" s="943"/>
      <c r="BO3392" s="1059"/>
      <c r="BP3392" s="1059"/>
      <c r="BQ3392" s="1059"/>
      <c r="BR3392" s="1059"/>
      <c r="BS3392" s="1059"/>
      <c r="BT3392" s="1059"/>
      <c r="BU3392" s="1059"/>
      <c r="BV3392" s="944"/>
      <c r="BW3392" s="944"/>
      <c r="BX3392" s="1147"/>
      <c r="BY3392" s="944"/>
      <c r="BZ3392" s="944"/>
      <c r="CA3392" s="944"/>
      <c r="CB3392" s="944"/>
    </row>
    <row r="3393" spans="2:80">
      <c r="B3393" s="1097"/>
      <c r="C3393" s="1097"/>
      <c r="D3393" s="1097"/>
      <c r="E3393" s="1097"/>
      <c r="F3393" s="934"/>
      <c r="G3393" s="1098"/>
      <c r="H3393" s="1099"/>
      <c r="I3393" s="1099"/>
      <c r="J3393" s="934"/>
      <c r="K3393" s="934"/>
      <c r="L3393" s="933"/>
      <c r="M3393" s="1100"/>
      <c r="N3393" s="934"/>
      <c r="O3393" s="936"/>
      <c r="P3393" s="936"/>
      <c r="Q3393" s="933"/>
      <c r="T3393" s="1101"/>
      <c r="U3393" s="1102"/>
      <c r="V3393" s="936"/>
      <c r="W3393" s="1103"/>
      <c r="X3393" s="1104"/>
      <c r="Y3393" s="1105"/>
      <c r="Z3393" s="1103"/>
      <c r="AC3393" s="1106"/>
      <c r="AD3393" s="1107"/>
      <c r="AE3393" s="1104"/>
      <c r="AG3393" s="1109"/>
      <c r="AI3393" s="1110"/>
      <c r="AL3393" s="933"/>
      <c r="AM3393" s="933"/>
      <c r="AN3393" s="1100"/>
      <c r="AO3393" s="1100"/>
      <c r="AP3393" s="934"/>
      <c r="AQ3393" s="934"/>
      <c r="AR3393" s="934"/>
      <c r="AS3393" s="936"/>
      <c r="AT3393" s="936"/>
      <c r="AU3393" s="936"/>
      <c r="AV3393" s="937"/>
      <c r="AW3393" s="938"/>
      <c r="AX3393" s="939"/>
      <c r="AY3393" s="933"/>
      <c r="AZ3393" s="936"/>
      <c r="BA3393" s="936"/>
      <c r="BB3393" s="1112"/>
      <c r="BC3393" s="940"/>
      <c r="BD3393" s="941"/>
      <c r="BE3393" s="942"/>
      <c r="BF3393" s="943"/>
      <c r="BG3393" s="943"/>
      <c r="BH3393" s="943"/>
      <c r="BI3393" s="943"/>
      <c r="BJ3393" s="943"/>
      <c r="BK3393" s="943"/>
      <c r="BL3393" s="943"/>
      <c r="BM3393" s="943"/>
      <c r="BN3393" s="943"/>
      <c r="BO3393" s="1059"/>
      <c r="BP3393" s="1059"/>
      <c r="BQ3393" s="1059"/>
      <c r="BR3393" s="1059"/>
      <c r="BS3393" s="1059"/>
      <c r="BT3393" s="1059"/>
      <c r="BU3393" s="1059"/>
      <c r="BV3393" s="944"/>
      <c r="BW3393" s="944"/>
      <c r="BX3393" s="1147"/>
      <c r="BY3393" s="944"/>
      <c r="BZ3393" s="944"/>
      <c r="CA3393" s="944"/>
      <c r="CB3393" s="944"/>
    </row>
    <row r="3394" spans="2:80">
      <c r="B3394" s="1097"/>
      <c r="C3394" s="1097"/>
      <c r="D3394" s="1097"/>
      <c r="E3394" s="1097"/>
      <c r="F3394" s="934"/>
      <c r="G3394" s="1098"/>
      <c r="H3394" s="1099"/>
      <c r="I3394" s="1099"/>
      <c r="J3394" s="934"/>
      <c r="K3394" s="934"/>
      <c r="L3394" s="933"/>
      <c r="M3394" s="1100"/>
      <c r="N3394" s="934"/>
      <c r="O3394" s="936"/>
      <c r="P3394" s="936"/>
      <c r="Q3394" s="933"/>
      <c r="T3394" s="1101"/>
      <c r="U3394" s="1102"/>
      <c r="V3394" s="936"/>
      <c r="W3394" s="1103"/>
      <c r="X3394" s="1104"/>
      <c r="Y3394" s="1105"/>
      <c r="Z3394" s="1103"/>
      <c r="AC3394" s="1106"/>
      <c r="AD3394" s="1107"/>
      <c r="AE3394" s="1104"/>
      <c r="AG3394" s="1109"/>
      <c r="AI3394" s="1110"/>
      <c r="AL3394" s="933"/>
      <c r="AM3394" s="933"/>
      <c r="AN3394" s="1100"/>
      <c r="AO3394" s="1100"/>
      <c r="AP3394" s="934"/>
      <c r="AQ3394" s="934"/>
      <c r="AR3394" s="934"/>
      <c r="AS3394" s="936"/>
      <c r="AT3394" s="936"/>
      <c r="AU3394" s="936"/>
      <c r="AV3394" s="937"/>
      <c r="AW3394" s="938"/>
      <c r="AX3394" s="939"/>
      <c r="AY3394" s="933"/>
      <c r="AZ3394" s="936"/>
      <c r="BA3394" s="936"/>
      <c r="BB3394" s="1112"/>
      <c r="BC3394" s="940"/>
      <c r="BD3394" s="941"/>
      <c r="BE3394" s="942"/>
      <c r="BF3394" s="943"/>
      <c r="BG3394" s="943"/>
      <c r="BH3394" s="943"/>
      <c r="BI3394" s="943"/>
      <c r="BJ3394" s="943"/>
      <c r="BK3394" s="943"/>
      <c r="BL3394" s="943"/>
      <c r="BM3394" s="943"/>
      <c r="BN3394" s="943"/>
      <c r="BO3394" s="1059"/>
      <c r="BP3394" s="1059"/>
      <c r="BQ3394" s="1059"/>
      <c r="BR3394" s="1059"/>
      <c r="BS3394" s="1059"/>
      <c r="BT3394" s="1059"/>
      <c r="BU3394" s="1059"/>
      <c r="BV3394" s="944"/>
      <c r="BW3394" s="944"/>
      <c r="BX3394" s="1147"/>
      <c r="BY3394" s="944"/>
      <c r="BZ3394" s="944"/>
      <c r="CA3394" s="944"/>
      <c r="CB3394" s="944"/>
    </row>
    <row r="3395" spans="2:80">
      <c r="CB3395" s="944"/>
    </row>
    <row r="3396" spans="2:80">
      <c r="CB3396" s="944"/>
    </row>
  </sheetData>
  <sheetProtection sort="0" autoFilter="0" pivotTables="0"/>
  <autoFilter ref="B4:CH2661" xr:uid="{5ACBC378-92F0-4BDF-8A47-0418EDB631EB}"/>
  <dataConsolidate/>
  <phoneticPr fontId="26" type="noConversion"/>
  <conditionalFormatting sqref="B4:CA2661">
    <cfRule type="expression" dxfId="147" priority="82">
      <formula>$B4="Focus"</formula>
    </cfRule>
    <cfRule type="expression" dxfId="146" priority="84">
      <formula>$B4="Chưa pick up"</formula>
    </cfRule>
    <cfRule type="expression" dxfId="145" priority="85">
      <formula>$B4="Đang vận chuyển"</formula>
    </cfRule>
    <cfRule type="expression" dxfId="144" priority="86">
      <formula>$B4="Done"</formula>
    </cfRule>
  </conditionalFormatting>
  <conditionalFormatting sqref="D2589:E2593 D2595:E2597 D2599:E2614 D2642:E2650 D2652:E3084 D2482:E2587 D2436:E2457 E2429:E2479 D2429:E2434 D2459:E2480 D2351:E2427 D2616:E2618 D2620:E2640 D2330:E2349 D5:E2328">
    <cfRule type="expression" dxfId="143" priority="5">
      <formula>D5&lt;&gt;D4</formula>
    </cfRule>
  </conditionalFormatting>
  <conditionalFormatting sqref="D2588:E2588">
    <cfRule type="expression" dxfId="142" priority="102">
      <formula>D2588&lt;&gt;D2597</formula>
    </cfRule>
  </conditionalFormatting>
  <conditionalFormatting sqref="D2594:E2594">
    <cfRule type="expression" dxfId="141" priority="101">
      <formula>D2594&lt;&gt;#REF!</formula>
    </cfRule>
  </conditionalFormatting>
  <conditionalFormatting sqref="D2598:E2598">
    <cfRule type="expression" dxfId="140" priority="88">
      <formula>D2598&lt;&gt;D2593</formula>
    </cfRule>
  </conditionalFormatting>
  <conditionalFormatting sqref="D2615:E2615 D2428:E2428">
    <cfRule type="expression" dxfId="139" priority="191">
      <formula>D2428&lt;&gt;D2426</formula>
    </cfRule>
  </conditionalFormatting>
  <conditionalFormatting sqref="D2641:E2641">
    <cfRule type="expression" dxfId="138" priority="186">
      <formula>D2641&lt;&gt;D2620</formula>
    </cfRule>
  </conditionalFormatting>
  <conditionalFormatting sqref="D2651:E2651">
    <cfRule type="expression" dxfId="137" priority="181">
      <formula>D2651&lt;&gt;D2620</formula>
    </cfRule>
  </conditionalFormatting>
  <conditionalFormatting sqref="BD2589:BD2593 BD2595:BD2597 BD2599:BD2614 BD2642:BD2650 BD2652:BD3084 BD2482:BD2587 BD2436:BD2457 BD2429:BD2434 BD2459:BD2480 BD2351:BD2427 BD2616:BD2618 BD2620:BD2640 BD2330:BD2349 BD5:BD2328">
    <cfRule type="expression" dxfId="136" priority="57">
      <formula>BD5=BD4</formula>
    </cfRule>
  </conditionalFormatting>
  <conditionalFormatting sqref="BD2588">
    <cfRule type="expression" dxfId="135" priority="106">
      <formula>BD2588=BD2597</formula>
    </cfRule>
  </conditionalFormatting>
  <conditionalFormatting sqref="BD2594">
    <cfRule type="expression" dxfId="134" priority="105">
      <formula>BD2594=#REF!</formula>
    </cfRule>
  </conditionalFormatting>
  <conditionalFormatting sqref="BD2598">
    <cfRule type="expression" dxfId="133" priority="91">
      <formula>BD2598=BD2593</formula>
    </cfRule>
  </conditionalFormatting>
  <conditionalFormatting sqref="BD2615 BD2428">
    <cfRule type="expression" dxfId="132" priority="194">
      <formula>BD2428=BD2426</formula>
    </cfRule>
  </conditionalFormatting>
  <conditionalFormatting sqref="BD2641">
    <cfRule type="expression" dxfId="131" priority="189">
      <formula>BD2641=BD2620</formula>
    </cfRule>
  </conditionalFormatting>
  <conditionalFormatting sqref="BD2651">
    <cfRule type="expression" dxfId="130" priority="184">
      <formula>BD2651=BD2620</formula>
    </cfRule>
  </conditionalFormatting>
  <conditionalFormatting sqref="D2481:E2481">
    <cfRule type="expression" dxfId="129" priority="196">
      <formula>D2481&lt;&gt;D2428</formula>
    </cfRule>
  </conditionalFormatting>
  <conditionalFormatting sqref="BD2481">
    <cfRule type="expression" dxfId="128" priority="199">
      <formula>BD2481=BD2428</formula>
    </cfRule>
  </conditionalFormatting>
  <conditionalFormatting sqref="D2458:E2458">
    <cfRule type="expression" dxfId="127" priority="201">
      <formula>D2458&lt;&gt;D2428</formula>
    </cfRule>
  </conditionalFormatting>
  <conditionalFormatting sqref="BD2458">
    <cfRule type="expression" dxfId="126" priority="204">
      <formula>BD2458=BD2428</formula>
    </cfRule>
  </conditionalFormatting>
  <conditionalFormatting sqref="D2435:E2435">
    <cfRule type="expression" dxfId="125" priority="206">
      <formula>D2435&lt;&gt;D2429</formula>
    </cfRule>
  </conditionalFormatting>
  <conditionalFormatting sqref="BD2435">
    <cfRule type="expression" dxfId="124" priority="209">
      <formula>BD2435=BD2429</formula>
    </cfRule>
  </conditionalFormatting>
  <conditionalFormatting sqref="D2329:E2329">
    <cfRule type="expression" dxfId="123" priority="219">
      <formula>D2329&lt;&gt;D2618</formula>
    </cfRule>
  </conditionalFormatting>
  <conditionalFormatting sqref="D2619:E2619">
    <cfRule type="expression" dxfId="122" priority="220">
      <formula>D2619&lt;&gt;D2348</formula>
    </cfRule>
  </conditionalFormatting>
  <conditionalFormatting sqref="BD2329">
    <cfRule type="expression" dxfId="121" priority="224">
      <formula>BD2329=BD2618</formula>
    </cfRule>
  </conditionalFormatting>
  <conditionalFormatting sqref="BD2619">
    <cfRule type="expression" dxfId="120" priority="225">
      <formula>BD2619=BD2348</formula>
    </cfRule>
  </conditionalFormatting>
  <conditionalFormatting sqref="D2350:E2350">
    <cfRule type="expression" dxfId="119" priority="226">
      <formula>D2350&lt;&gt;D2328</formula>
    </cfRule>
  </conditionalFormatting>
  <conditionalFormatting sqref="BD2350">
    <cfRule type="expression" dxfId="118" priority="227">
      <formula>BD2350=BD2328</formula>
    </cfRule>
  </conditionalFormatting>
  <dataValidations count="1">
    <dataValidation allowBlank="1" showInputMessage="1" showErrorMessage="1" prompt="Đi chung 1 lô, để split tiền vận chuyển" sqref="BD4" xr:uid="{087109C8-26B4-429D-83A0-949C51D172F9}"/>
  </dataValidations>
  <hyperlinks>
    <hyperlink ref="S692" r:id="rId1" display="https://amisapp.misa.vn/crm/product/view/36522/45" xr:uid="{1C9E9EE7-D934-466D-83D3-75D06041D263}"/>
    <hyperlink ref="I745" r:id="rId2" xr:uid="{5B119E3D-544F-42DA-AEC5-7D511440B7C4}"/>
    <hyperlink ref="I743" r:id="rId3" xr:uid="{25291069-2F04-46F6-86FD-64F95F25773A}"/>
    <hyperlink ref="S20" r:id="rId4" xr:uid="{D1DB5FE6-4FE3-4F7A-A1D7-E8B2001617B0}"/>
  </hyperlinks>
  <pageMargins left="0.70000000000000007" right="0.70000000000000007" top="0.75000000000000011" bottom="0.75000000000000011" header="0" footer="0"/>
  <pageSetup fitToWidth="0" fitToHeight="0" orientation="portrait"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1AD2-B8D3-4826-B88A-0D0499F773D3}">
  <sheetPr codeName="Sheet3">
    <tabColor theme="3" tint="0.249977111117893"/>
    <pageSetUpPr fitToPage="1"/>
  </sheetPr>
  <dimension ref="B1:AV82"/>
  <sheetViews>
    <sheetView showGridLines="0" zoomScale="85" zoomScaleNormal="85" workbookViewId="0">
      <pane xSplit="7" ySplit="4" topLeftCell="H41" activePane="bottomRight" state="frozen"/>
      <selection pane="bottomRight" activeCell="A58" sqref="A58:XFD58"/>
      <selection pane="bottomLeft" activeCell="I25" sqref="I25"/>
      <selection pane="topRight" activeCell="I25" sqref="I25"/>
    </sheetView>
  </sheetViews>
  <sheetFormatPr defaultColWidth="8.5703125" defaultRowHeight="13.9"/>
  <cols>
    <col min="1" max="1" width="1.5703125" style="38" customWidth="1"/>
    <col min="2" max="2" width="16.28515625" style="38" customWidth="1"/>
    <col min="3" max="3" width="14.42578125" style="38" customWidth="1"/>
    <col min="4" max="4" width="24.5703125" style="38" customWidth="1"/>
    <col min="5" max="5" width="15.7109375" style="89" customWidth="1"/>
    <col min="6" max="6" width="7.42578125" style="89" customWidth="1"/>
    <col min="7" max="7" width="1.5703125" style="89" customWidth="1"/>
    <col min="8" max="8" width="8.7109375" style="90" customWidth="1"/>
    <col min="9" max="9" width="10.5703125" style="91" customWidth="1"/>
    <col min="10" max="10" width="9" style="47" customWidth="1"/>
    <col min="11" max="11" width="2.140625" style="47" customWidth="1"/>
    <col min="12" max="12" width="11.42578125" style="92" customWidth="1"/>
    <col min="13" max="13" width="11.5703125" style="92" customWidth="1"/>
    <col min="14" max="14" width="1.5703125" style="84" customWidth="1"/>
    <col min="15" max="15" width="10.42578125" style="47" customWidth="1"/>
    <col min="16" max="16" width="13.7109375" style="94" customWidth="1"/>
    <col min="17" max="17" width="12" style="95" customWidth="1"/>
    <col min="18" max="18" width="13.28515625" style="94" customWidth="1"/>
    <col min="19" max="19" width="11.140625" style="95" customWidth="1"/>
    <col min="20" max="20" width="14.28515625" style="94" customWidth="1"/>
    <col min="21" max="21" width="10" style="95" customWidth="1"/>
    <col min="22" max="22" width="13.85546875" style="94" customWidth="1"/>
    <col min="23" max="23" width="10.5703125" style="95" customWidth="1"/>
    <col min="24" max="24" width="13.5703125" style="89" customWidth="1"/>
    <col min="25" max="25" width="3" style="38" customWidth="1"/>
    <col min="26" max="26" width="6.42578125" style="96" customWidth="1"/>
    <col min="27" max="28" width="10" style="92" customWidth="1"/>
    <col min="29" max="29" width="9.42578125" style="96" customWidth="1"/>
    <col min="30" max="30" width="10.140625" style="91" customWidth="1"/>
    <col min="31" max="31" width="10.85546875" style="96" customWidth="1"/>
    <col min="32" max="32" width="10.42578125" style="92" customWidth="1"/>
    <col min="33" max="33" width="10.42578125" style="96" customWidth="1"/>
    <col min="34" max="34" width="8" style="92" customWidth="1"/>
    <col min="35" max="35" width="8" style="96" customWidth="1"/>
    <col min="36" max="36" width="9.5703125" style="92" customWidth="1"/>
    <col min="37" max="37" width="8.85546875" style="96" customWidth="1"/>
    <col min="38" max="38" width="10.140625" style="92" customWidth="1"/>
    <col min="39" max="39" width="8.85546875" style="96" customWidth="1"/>
    <col min="40" max="40" width="10.7109375" style="92" customWidth="1"/>
    <col min="41" max="41" width="8.85546875" style="96" customWidth="1"/>
    <col min="42" max="42" width="10.42578125" style="92" customWidth="1"/>
    <col min="43" max="43" width="11.42578125" style="89" customWidth="1"/>
    <col min="44" max="44" width="2.5703125" style="38" customWidth="1"/>
    <col min="45" max="45" width="8.85546875" style="96" customWidth="1"/>
    <col min="46" max="46" width="13.140625" style="92" customWidth="1"/>
    <col min="47" max="47" width="3.85546875" style="38" customWidth="1"/>
    <col min="48" max="48" width="11.42578125" style="296" customWidth="1"/>
    <col min="49" max="16384" width="8.5703125" style="38"/>
  </cols>
  <sheetData>
    <row r="1" spans="2:48" ht="23.45" customHeight="1">
      <c r="B1" s="1158" t="s">
        <v>8485</v>
      </c>
      <c r="C1" s="1158"/>
      <c r="D1" s="1158"/>
      <c r="E1" s="1158"/>
      <c r="F1" s="1158"/>
      <c r="G1" s="43"/>
      <c r="H1" s="1152" t="s">
        <v>8486</v>
      </c>
      <c r="I1" s="1152"/>
      <c r="J1" s="1152"/>
      <c r="K1" s="44"/>
      <c r="L1" s="1155" t="s">
        <v>8487</v>
      </c>
      <c r="M1" s="1156"/>
      <c r="N1" s="45"/>
      <c r="O1" s="1159" t="s">
        <v>8488</v>
      </c>
      <c r="P1" s="1159"/>
      <c r="Q1" s="1159"/>
      <c r="R1" s="1159"/>
      <c r="S1" s="1159"/>
      <c r="T1" s="1159"/>
      <c r="U1" s="1159"/>
      <c r="V1" s="1159"/>
      <c r="W1" s="1159"/>
      <c r="X1" s="1159"/>
      <c r="Z1" s="1151" t="s">
        <v>8489</v>
      </c>
      <c r="AA1" s="1151"/>
      <c r="AB1" s="1151"/>
      <c r="AC1" s="1151"/>
      <c r="AD1" s="1151"/>
      <c r="AE1" s="1151"/>
      <c r="AF1" s="1151"/>
      <c r="AG1" s="1151"/>
      <c r="AH1" s="1151"/>
      <c r="AI1" s="1151"/>
      <c r="AJ1" s="1151"/>
      <c r="AK1" s="1151"/>
      <c r="AL1" s="1151"/>
      <c r="AM1" s="1151"/>
      <c r="AN1" s="1151"/>
      <c r="AO1" s="1151"/>
      <c r="AP1" s="1151"/>
      <c r="AQ1" s="1151"/>
      <c r="AR1" s="43"/>
      <c r="AS1" s="43"/>
      <c r="AT1" s="43"/>
      <c r="AU1" s="43"/>
    </row>
    <row r="2" spans="2:48" s="47" customFormat="1" ht="27.6">
      <c r="B2" s="1135" t="s">
        <v>8490</v>
      </c>
      <c r="C2" s="1135" t="s">
        <v>8491</v>
      </c>
      <c r="D2" s="1135" t="s">
        <v>8492</v>
      </c>
      <c r="E2" s="1135" t="s">
        <v>8493</v>
      </c>
      <c r="F2" s="1135" t="s">
        <v>69</v>
      </c>
      <c r="G2" s="42"/>
      <c r="H2" s="1152" t="s">
        <v>8494</v>
      </c>
      <c r="I2" s="1152"/>
      <c r="J2" s="1136" t="s">
        <v>8495</v>
      </c>
      <c r="K2" s="45"/>
      <c r="L2" s="46" t="s">
        <v>8496</v>
      </c>
      <c r="M2" s="46" t="s">
        <v>8497</v>
      </c>
      <c r="N2" s="45"/>
      <c r="O2" s="1133" t="s">
        <v>60</v>
      </c>
      <c r="P2" s="1153" t="s">
        <v>8498</v>
      </c>
      <c r="Q2" s="1153"/>
      <c r="R2" s="1153" t="s">
        <v>8499</v>
      </c>
      <c r="S2" s="1153"/>
      <c r="T2" s="1153" t="s">
        <v>8500</v>
      </c>
      <c r="U2" s="1153"/>
      <c r="V2" s="1153" t="s">
        <v>8501</v>
      </c>
      <c r="W2" s="1153"/>
      <c r="X2" s="1133" t="s">
        <v>8495</v>
      </c>
      <c r="Z2" s="1154" t="s">
        <v>8502</v>
      </c>
      <c r="AA2" s="1154"/>
      <c r="AB2" s="1134" t="s">
        <v>8503</v>
      </c>
      <c r="AC2" s="1154" t="s">
        <v>8504</v>
      </c>
      <c r="AD2" s="1154"/>
      <c r="AE2" s="1154" t="s">
        <v>8505</v>
      </c>
      <c r="AF2" s="1154"/>
      <c r="AG2" s="1154" t="s">
        <v>8506</v>
      </c>
      <c r="AH2" s="1154"/>
      <c r="AI2" s="1154" t="s">
        <v>8507</v>
      </c>
      <c r="AJ2" s="1154"/>
      <c r="AK2" s="1154" t="s">
        <v>8508</v>
      </c>
      <c r="AL2" s="1154"/>
      <c r="AM2" s="1154" t="s">
        <v>8509</v>
      </c>
      <c r="AN2" s="1154"/>
      <c r="AO2" s="1154" t="s">
        <v>8510</v>
      </c>
      <c r="AP2" s="1154"/>
      <c r="AQ2" s="1134" t="s">
        <v>8495</v>
      </c>
      <c r="AR2" s="45"/>
      <c r="AS2" s="1160" t="s">
        <v>8511</v>
      </c>
      <c r="AT2" s="1161"/>
      <c r="AU2" s="45"/>
      <c r="AV2" s="300" t="s">
        <v>8512</v>
      </c>
    </row>
    <row r="3" spans="2:48" s="101" customFormat="1" ht="14.45" customHeight="1">
      <c r="B3" s="98"/>
      <c r="C3" s="98"/>
      <c r="D3" s="98"/>
      <c r="E3" s="98"/>
      <c r="F3" s="98"/>
      <c r="G3" s="99"/>
      <c r="H3" s="100"/>
      <c r="I3" s="101" t="s">
        <v>11</v>
      </c>
      <c r="J3" s="102"/>
      <c r="L3" s="103"/>
      <c r="M3" s="104"/>
      <c r="O3" s="100"/>
      <c r="P3" s="100"/>
      <c r="Q3" s="102" t="s">
        <v>9</v>
      </c>
      <c r="R3" s="100"/>
      <c r="S3" s="102" t="s">
        <v>10</v>
      </c>
      <c r="T3" s="100"/>
      <c r="U3" s="102" t="s">
        <v>10</v>
      </c>
      <c r="V3" s="100"/>
      <c r="W3" s="102" t="s">
        <v>10</v>
      </c>
      <c r="X3" s="105"/>
      <c r="Z3" s="100"/>
      <c r="AA3" s="595" t="s">
        <v>13</v>
      </c>
      <c r="AB3" s="101" t="s">
        <v>12</v>
      </c>
      <c r="AC3" s="100"/>
      <c r="AD3" s="595" t="s">
        <v>12</v>
      </c>
      <c r="AE3" s="100"/>
      <c r="AF3" s="595" t="s">
        <v>13</v>
      </c>
      <c r="AG3" s="100"/>
      <c r="AH3" s="595" t="s">
        <v>13</v>
      </c>
      <c r="AI3" s="100"/>
      <c r="AJ3" s="595" t="s">
        <v>13</v>
      </c>
      <c r="AK3" s="100"/>
      <c r="AL3" s="595" t="s">
        <v>13</v>
      </c>
      <c r="AM3" s="100"/>
      <c r="AN3" s="595" t="s">
        <v>13</v>
      </c>
      <c r="AO3" s="100"/>
      <c r="AP3" s="595" t="s">
        <v>13</v>
      </c>
      <c r="AQ3" s="100"/>
      <c r="AS3" s="100"/>
      <c r="AT3" s="102" t="s">
        <v>8513</v>
      </c>
      <c r="AV3" s="297"/>
    </row>
    <row r="4" spans="2:48" s="1144" customFormat="1" ht="12">
      <c r="B4" s="48"/>
      <c r="C4" s="48"/>
      <c r="D4" s="48"/>
      <c r="E4" s="48"/>
      <c r="F4" s="48"/>
      <c r="G4" s="49"/>
      <c r="H4" s="56" t="s">
        <v>8514</v>
      </c>
      <c r="I4" s="50" t="s">
        <v>8515</v>
      </c>
      <c r="J4" s="51"/>
      <c r="K4" s="52"/>
      <c r="L4" s="53"/>
      <c r="M4" s="54"/>
      <c r="N4" s="52"/>
      <c r="O4" s="55"/>
      <c r="P4" s="56" t="s">
        <v>8514</v>
      </c>
      <c r="Q4" s="57" t="s">
        <v>8515</v>
      </c>
      <c r="R4" s="56" t="s">
        <v>8514</v>
      </c>
      <c r="S4" s="58" t="s">
        <v>8515</v>
      </c>
      <c r="T4" s="56" t="s">
        <v>8514</v>
      </c>
      <c r="U4" s="58" t="s">
        <v>8515</v>
      </c>
      <c r="V4" s="56" t="s">
        <v>8514</v>
      </c>
      <c r="W4" s="58" t="s">
        <v>8515</v>
      </c>
      <c r="X4" s="1142"/>
      <c r="Z4" s="56" t="s">
        <v>8514</v>
      </c>
      <c r="AA4" s="58" t="s">
        <v>8515</v>
      </c>
      <c r="AB4" s="58"/>
      <c r="AC4" s="56" t="s">
        <v>8514</v>
      </c>
      <c r="AD4" s="58" t="s">
        <v>8515</v>
      </c>
      <c r="AE4" s="56" t="s">
        <v>8514</v>
      </c>
      <c r="AF4" s="58" t="s">
        <v>8515</v>
      </c>
      <c r="AG4" s="56" t="s">
        <v>8514</v>
      </c>
      <c r="AH4" s="58" t="s">
        <v>8515</v>
      </c>
      <c r="AI4" s="56" t="s">
        <v>8514</v>
      </c>
      <c r="AJ4" s="58" t="s">
        <v>8515</v>
      </c>
      <c r="AK4" s="56" t="s">
        <v>8514</v>
      </c>
      <c r="AL4" s="58" t="s">
        <v>8515</v>
      </c>
      <c r="AM4" s="56" t="s">
        <v>8514</v>
      </c>
      <c r="AN4" s="58" t="s">
        <v>8515</v>
      </c>
      <c r="AO4" s="56" t="s">
        <v>8514</v>
      </c>
      <c r="AP4" s="58" t="s">
        <v>8515</v>
      </c>
      <c r="AQ4" s="1143"/>
      <c r="AR4" s="52"/>
      <c r="AS4" s="56" t="s">
        <v>8514</v>
      </c>
      <c r="AT4" s="58" t="s">
        <v>8515</v>
      </c>
      <c r="AU4" s="52"/>
      <c r="AV4" s="1143"/>
    </row>
    <row r="5" spans="2:48">
      <c r="B5" s="59" t="s">
        <v>4177</v>
      </c>
      <c r="C5" s="59" t="s">
        <v>8516</v>
      </c>
      <c r="D5" s="59" t="s">
        <v>4176</v>
      </c>
      <c r="E5" s="454" t="s">
        <v>4176</v>
      </c>
      <c r="F5" s="97" t="s">
        <v>4186</v>
      </c>
      <c r="G5" s="60"/>
      <c r="H5" s="86" t="s">
        <v>8517</v>
      </c>
      <c r="I5" s="80">
        <v>546197</v>
      </c>
      <c r="J5" s="107" t="s">
        <v>8518</v>
      </c>
      <c r="K5" s="64"/>
      <c r="L5" s="65">
        <v>47492627</v>
      </c>
      <c r="M5" s="66">
        <v>47492627</v>
      </c>
      <c r="N5" s="67"/>
      <c r="O5" s="68" t="s">
        <v>1210</v>
      </c>
      <c r="P5" s="71" t="s">
        <v>8519</v>
      </c>
      <c r="Q5" s="70">
        <v>11967068</v>
      </c>
      <c r="R5" s="71" t="s">
        <v>8520</v>
      </c>
      <c r="S5" s="70">
        <f>7161281-W5</f>
        <v>4461281</v>
      </c>
      <c r="T5" s="71" t="s">
        <v>6247</v>
      </c>
      <c r="U5" s="70">
        <v>0</v>
      </c>
      <c r="V5" s="1139" t="s">
        <v>8520</v>
      </c>
      <c r="W5" s="70">
        <v>2700000</v>
      </c>
      <c r="X5" s="107" t="s">
        <v>8518</v>
      </c>
      <c r="Z5" s="72" t="s">
        <v>8521</v>
      </c>
      <c r="AA5" s="73">
        <v>648000</v>
      </c>
      <c r="AB5" s="74">
        <v>20000</v>
      </c>
      <c r="AC5" s="69" t="s">
        <v>8522</v>
      </c>
      <c r="AD5" s="593">
        <v>3585</v>
      </c>
      <c r="AE5" s="75" t="s">
        <v>6247</v>
      </c>
      <c r="AF5" s="76">
        <v>0</v>
      </c>
      <c r="AG5" s="75" t="s">
        <v>6247</v>
      </c>
      <c r="AH5" s="76">
        <v>0</v>
      </c>
      <c r="AI5" s="75" t="s">
        <v>6247</v>
      </c>
      <c r="AJ5" s="76">
        <v>0</v>
      </c>
      <c r="AK5" s="75" t="s">
        <v>6247</v>
      </c>
      <c r="AL5" s="76">
        <v>0</v>
      </c>
      <c r="AM5" s="75" t="s">
        <v>6247</v>
      </c>
      <c r="AN5" s="76">
        <v>0</v>
      </c>
      <c r="AO5" s="75" t="s">
        <v>6247</v>
      </c>
      <c r="AP5" s="76">
        <v>0</v>
      </c>
      <c r="AQ5" s="755" t="s">
        <v>8518</v>
      </c>
      <c r="AR5" s="294"/>
      <c r="AS5" s="75"/>
      <c r="AT5" s="76"/>
      <c r="AU5" s="294"/>
      <c r="AV5" s="298" t="s">
        <v>8523</v>
      </c>
    </row>
    <row r="6" spans="2:48">
      <c r="B6" s="59" t="s">
        <v>8524</v>
      </c>
      <c r="C6" s="59" t="s">
        <v>8525</v>
      </c>
      <c r="D6" s="59" t="s">
        <v>4239</v>
      </c>
      <c r="E6" s="453" t="s">
        <v>4244</v>
      </c>
      <c r="F6" s="97" t="s">
        <v>4251</v>
      </c>
      <c r="G6" s="60"/>
      <c r="H6" s="61" t="s">
        <v>6247</v>
      </c>
      <c r="I6" s="62">
        <v>0</v>
      </c>
      <c r="J6" s="63" t="s">
        <v>3320</v>
      </c>
      <c r="K6" s="64"/>
      <c r="L6" s="65">
        <v>0</v>
      </c>
      <c r="M6" s="66">
        <v>10584585</v>
      </c>
      <c r="N6" s="67"/>
      <c r="O6" s="68" t="s">
        <v>1210</v>
      </c>
      <c r="P6" s="71" t="s">
        <v>8526</v>
      </c>
      <c r="Q6" s="70">
        <v>16471563</v>
      </c>
      <c r="R6" s="71" t="s">
        <v>8527</v>
      </c>
      <c r="S6" s="70">
        <f>1774947-W6</f>
        <v>1133427</v>
      </c>
      <c r="T6" s="71" t="s">
        <v>8528</v>
      </c>
      <c r="U6" s="70">
        <f>656003+1245548</f>
        <v>1901551</v>
      </c>
      <c r="V6" s="1139" t="s">
        <v>8527</v>
      </c>
      <c r="W6" s="70">
        <f>594000*1.08</f>
        <v>641520</v>
      </c>
      <c r="X6" s="107" t="s">
        <v>8518</v>
      </c>
      <c r="Z6" s="72" t="s">
        <v>8529</v>
      </c>
      <c r="AA6" s="73">
        <v>1188000</v>
      </c>
      <c r="AB6" s="74">
        <v>20000</v>
      </c>
      <c r="AC6" s="75" t="s">
        <v>6247</v>
      </c>
      <c r="AD6" s="593">
        <v>0</v>
      </c>
      <c r="AE6" s="75" t="s">
        <v>6247</v>
      </c>
      <c r="AF6" s="76">
        <v>0</v>
      </c>
      <c r="AG6" s="75" t="s">
        <v>6247</v>
      </c>
      <c r="AH6" s="76">
        <v>0</v>
      </c>
      <c r="AI6" s="75" t="s">
        <v>6247</v>
      </c>
      <c r="AJ6" s="76">
        <v>0</v>
      </c>
      <c r="AK6" s="75" t="s">
        <v>6247</v>
      </c>
      <c r="AL6" s="76">
        <v>0</v>
      </c>
      <c r="AM6" s="75" t="s">
        <v>6247</v>
      </c>
      <c r="AN6" s="76">
        <v>0</v>
      </c>
      <c r="AO6" s="75" t="s">
        <v>6247</v>
      </c>
      <c r="AP6" s="76">
        <v>0</v>
      </c>
      <c r="AQ6" s="755" t="s">
        <v>8518</v>
      </c>
      <c r="AR6" s="294"/>
      <c r="AS6" s="75"/>
      <c r="AT6" s="76"/>
      <c r="AU6" s="294"/>
      <c r="AV6" s="298" t="s">
        <v>8523</v>
      </c>
    </row>
    <row r="7" spans="2:48">
      <c r="B7" s="77" t="s">
        <v>8524</v>
      </c>
      <c r="C7" s="77" t="s">
        <v>4263</v>
      </c>
      <c r="D7" s="77" t="s">
        <v>8530</v>
      </c>
      <c r="E7" s="454" t="s">
        <v>3318</v>
      </c>
      <c r="F7" s="78" t="s">
        <v>4270</v>
      </c>
      <c r="G7" s="79"/>
      <c r="H7" s="86" t="s">
        <v>8531</v>
      </c>
      <c r="I7" s="80">
        <v>1350952</v>
      </c>
      <c r="J7" s="107" t="s">
        <v>8518</v>
      </c>
      <c r="L7" s="82">
        <f>4507715+1139719</f>
        <v>5647434</v>
      </c>
      <c r="M7" s="83">
        <f>102642190+18228001</f>
        <v>120870191</v>
      </c>
      <c r="O7" s="85" t="s">
        <v>3602</v>
      </c>
      <c r="P7" s="71" t="s">
        <v>8532</v>
      </c>
      <c r="Q7" s="76">
        <v>35874160</v>
      </c>
      <c r="R7" s="71" t="s">
        <v>8533</v>
      </c>
      <c r="S7" s="76">
        <v>7817040</v>
      </c>
      <c r="T7" s="71" t="s">
        <v>8534</v>
      </c>
      <c r="U7" s="76">
        <v>3797963</v>
      </c>
      <c r="V7" s="71" t="s">
        <v>8535</v>
      </c>
      <c r="W7" s="76">
        <v>5702400</v>
      </c>
      <c r="X7" s="107" t="s">
        <v>8518</v>
      </c>
      <c r="Z7" s="72" t="s">
        <v>8536</v>
      </c>
      <c r="AA7" s="436">
        <v>1188000</v>
      </c>
      <c r="AB7" s="437">
        <v>40000</v>
      </c>
      <c r="AC7" s="72" t="s">
        <v>8537</v>
      </c>
      <c r="AD7" s="593">
        <v>500000</v>
      </c>
      <c r="AE7" s="72" t="s">
        <v>8536</v>
      </c>
      <c r="AF7" s="436">
        <v>2592000</v>
      </c>
      <c r="AG7" s="75" t="s">
        <v>6247</v>
      </c>
      <c r="AH7" s="168">
        <v>0</v>
      </c>
      <c r="AI7" s="72" t="s">
        <v>8538</v>
      </c>
      <c r="AJ7" s="436">
        <v>559000</v>
      </c>
      <c r="AK7" s="72" t="s">
        <v>8539</v>
      </c>
      <c r="AL7" s="436">
        <v>1745000</v>
      </c>
      <c r="AM7" s="438" t="s">
        <v>8540</v>
      </c>
      <c r="AN7" s="436">
        <v>2068000</v>
      </c>
      <c r="AO7" s="438" t="s">
        <v>8541</v>
      </c>
      <c r="AP7" s="436">
        <v>1500000</v>
      </c>
      <c r="AQ7" s="755" t="s">
        <v>8518</v>
      </c>
      <c r="AR7" s="295"/>
      <c r="AS7" s="438"/>
      <c r="AT7" s="436"/>
      <c r="AU7" s="295"/>
      <c r="AV7" s="298" t="s">
        <v>8523</v>
      </c>
    </row>
    <row r="8" spans="2:48">
      <c r="B8" s="77" t="s">
        <v>273</v>
      </c>
      <c r="C8" s="77" t="s">
        <v>4464</v>
      </c>
      <c r="D8" s="77" t="s">
        <v>8542</v>
      </c>
      <c r="E8" s="454" t="s">
        <v>4463</v>
      </c>
      <c r="F8" s="78" t="s">
        <v>4468</v>
      </c>
      <c r="G8" s="79"/>
      <c r="H8" s="61" t="s">
        <v>6247</v>
      </c>
      <c r="I8" s="80">
        <v>0</v>
      </c>
      <c r="J8" s="81" t="s">
        <v>3320</v>
      </c>
      <c r="L8" s="446">
        <v>12567148</v>
      </c>
      <c r="M8" s="73">
        <v>11059090</v>
      </c>
      <c r="O8" s="85" t="s">
        <v>1565</v>
      </c>
      <c r="P8" s="71" t="s">
        <v>8543</v>
      </c>
      <c r="Q8" s="76">
        <v>18953694</v>
      </c>
      <c r="R8" s="754" t="s">
        <v>8544</v>
      </c>
      <c r="S8" s="76">
        <f>244200*1.08</f>
        <v>263736</v>
      </c>
      <c r="T8" s="71" t="s">
        <v>8544</v>
      </c>
      <c r="U8" s="76">
        <f>246050*1.08</f>
        <v>265734</v>
      </c>
      <c r="V8" s="71" t="s">
        <v>8545</v>
      </c>
      <c r="W8" s="76">
        <v>323568</v>
      </c>
      <c r="X8" s="107" t="s">
        <v>8518</v>
      </c>
      <c r="Z8" s="75" t="s">
        <v>6247</v>
      </c>
      <c r="AA8" s="168">
        <v>0</v>
      </c>
      <c r="AB8" s="437">
        <v>20000</v>
      </c>
      <c r="AC8" s="75" t="s">
        <v>6247</v>
      </c>
      <c r="AD8" s="593">
        <v>0</v>
      </c>
      <c r="AE8" s="75" t="s">
        <v>6247</v>
      </c>
      <c r="AF8" s="168">
        <v>0</v>
      </c>
      <c r="AG8" s="75" t="s">
        <v>6247</v>
      </c>
      <c r="AH8" s="168">
        <v>0</v>
      </c>
      <c r="AI8" s="75" t="s">
        <v>6247</v>
      </c>
      <c r="AJ8" s="168">
        <v>0</v>
      </c>
      <c r="AK8" s="75" t="s">
        <v>6247</v>
      </c>
      <c r="AL8" s="168">
        <v>0</v>
      </c>
      <c r="AM8" s="75" t="s">
        <v>6247</v>
      </c>
      <c r="AN8" s="168">
        <v>0</v>
      </c>
      <c r="AO8" s="75" t="s">
        <v>6247</v>
      </c>
      <c r="AP8" s="168">
        <v>0</v>
      </c>
      <c r="AQ8" s="755" t="s">
        <v>8518</v>
      </c>
      <c r="AR8" s="295"/>
      <c r="AS8" s="75"/>
      <c r="AT8" s="168"/>
      <c r="AU8" s="295"/>
      <c r="AV8" s="298" t="s">
        <v>8523</v>
      </c>
    </row>
    <row r="9" spans="2:48">
      <c r="B9" s="77" t="s">
        <v>8546</v>
      </c>
      <c r="C9" s="77" t="s">
        <v>4593</v>
      </c>
      <c r="D9" s="77" t="s">
        <v>8547</v>
      </c>
      <c r="E9" s="454" t="s">
        <v>4591</v>
      </c>
      <c r="F9" s="78" t="s">
        <v>4598</v>
      </c>
      <c r="G9" s="79"/>
      <c r="H9" s="61" t="s">
        <v>6247</v>
      </c>
      <c r="I9" s="80">
        <v>0</v>
      </c>
      <c r="J9" s="81" t="s">
        <v>3320</v>
      </c>
      <c r="L9" s="446">
        <v>0</v>
      </c>
      <c r="M9" s="73">
        <v>63355129</v>
      </c>
      <c r="O9" s="85" t="s">
        <v>7253</v>
      </c>
      <c r="P9" s="71" t="s">
        <v>8548</v>
      </c>
      <c r="Q9" s="76">
        <v>23221422</v>
      </c>
      <c r="R9" s="71" t="s">
        <v>8549</v>
      </c>
      <c r="S9" s="76">
        <v>370235</v>
      </c>
      <c r="T9" s="71" t="s">
        <v>8550</v>
      </c>
      <c r="U9" s="76">
        <f>690814*1.08</f>
        <v>746079.12</v>
      </c>
      <c r="V9" s="71" t="s">
        <v>8550</v>
      </c>
      <c r="W9" s="76">
        <v>1127792</v>
      </c>
      <c r="X9" s="107" t="s">
        <v>8518</v>
      </c>
      <c r="Z9" s="439" t="s">
        <v>8551</v>
      </c>
      <c r="AA9" s="436">
        <f>1100000*1.08</f>
        <v>1188000</v>
      </c>
      <c r="AB9" s="437">
        <v>20000</v>
      </c>
      <c r="AC9" s="75" t="s">
        <v>6247</v>
      </c>
      <c r="AD9" s="593">
        <v>0</v>
      </c>
      <c r="AE9" s="439" t="s">
        <v>8551</v>
      </c>
      <c r="AF9" s="436">
        <v>5184000</v>
      </c>
      <c r="AG9" s="439" t="s">
        <v>8552</v>
      </c>
      <c r="AH9" s="436">
        <v>176796</v>
      </c>
      <c r="AI9" s="75" t="s">
        <v>6247</v>
      </c>
      <c r="AJ9" s="168">
        <v>0</v>
      </c>
      <c r="AK9" s="75" t="s">
        <v>6247</v>
      </c>
      <c r="AL9" s="168">
        <v>0</v>
      </c>
      <c r="AM9" s="75" t="s">
        <v>6247</v>
      </c>
      <c r="AN9" s="168">
        <v>0</v>
      </c>
      <c r="AO9" s="75" t="s">
        <v>6247</v>
      </c>
      <c r="AP9" s="168">
        <v>0</v>
      </c>
      <c r="AQ9" s="755" t="s">
        <v>8518</v>
      </c>
      <c r="AR9" s="295"/>
      <c r="AS9" s="75"/>
      <c r="AT9" s="168"/>
      <c r="AU9" s="295"/>
      <c r="AV9" s="298" t="s">
        <v>8523</v>
      </c>
    </row>
    <row r="10" spans="2:48">
      <c r="B10" s="77" t="s">
        <v>273</v>
      </c>
      <c r="C10" s="77" t="s">
        <v>4642</v>
      </c>
      <c r="D10" s="77" t="s">
        <v>4041</v>
      </c>
      <c r="E10" s="454" t="s">
        <v>4641</v>
      </c>
      <c r="F10" s="78" t="s">
        <v>4645</v>
      </c>
      <c r="G10" s="79"/>
      <c r="H10" s="61" t="s">
        <v>8553</v>
      </c>
      <c r="I10" s="87">
        <v>337385</v>
      </c>
      <c r="J10" s="107" t="s">
        <v>8518</v>
      </c>
      <c r="L10" s="446">
        <v>36246334</v>
      </c>
      <c r="M10" s="73">
        <v>31896774</v>
      </c>
      <c r="O10" s="85" t="s">
        <v>1210</v>
      </c>
      <c r="P10" s="71" t="s">
        <v>8554</v>
      </c>
      <c r="Q10" s="168">
        <v>13757654</v>
      </c>
      <c r="R10" s="71" t="s">
        <v>8555</v>
      </c>
      <c r="S10" s="168">
        <f>4447749-W10</f>
        <v>3691749</v>
      </c>
      <c r="T10" s="754" t="s">
        <v>6247</v>
      </c>
      <c r="U10" s="168">
        <v>0</v>
      </c>
      <c r="V10" s="71" t="s">
        <v>8555</v>
      </c>
      <c r="W10" s="168">
        <f>756000</f>
        <v>756000</v>
      </c>
      <c r="X10" s="107" t="s">
        <v>8518</v>
      </c>
      <c r="Z10" s="88" t="s">
        <v>6247</v>
      </c>
      <c r="AA10" s="436">
        <v>0</v>
      </c>
      <c r="AB10" s="437">
        <v>20000</v>
      </c>
      <c r="AC10" s="88">
        <v>1630441</v>
      </c>
      <c r="AD10" s="593">
        <v>12195</v>
      </c>
      <c r="AE10" s="75" t="s">
        <v>6247</v>
      </c>
      <c r="AF10" s="168">
        <v>0</v>
      </c>
      <c r="AG10" s="75" t="s">
        <v>6247</v>
      </c>
      <c r="AH10" s="168">
        <v>0</v>
      </c>
      <c r="AI10" s="75" t="s">
        <v>6247</v>
      </c>
      <c r="AJ10" s="168">
        <v>0</v>
      </c>
      <c r="AK10" s="75" t="s">
        <v>6247</v>
      </c>
      <c r="AL10" s="168">
        <v>0</v>
      </c>
      <c r="AM10" s="75" t="s">
        <v>6247</v>
      </c>
      <c r="AN10" s="168">
        <v>0</v>
      </c>
      <c r="AO10" s="75" t="s">
        <v>6247</v>
      </c>
      <c r="AP10" s="168">
        <v>0</v>
      </c>
      <c r="AQ10" s="755" t="s">
        <v>8518</v>
      </c>
      <c r="AR10" s="295"/>
      <c r="AS10" s="75"/>
      <c r="AT10" s="168"/>
      <c r="AU10" s="295"/>
      <c r="AV10" s="298" t="s">
        <v>8523</v>
      </c>
    </row>
    <row r="11" spans="2:48">
      <c r="B11" s="77" t="s">
        <v>383</v>
      </c>
      <c r="C11" s="77" t="s">
        <v>4695</v>
      </c>
      <c r="D11" s="77" t="s">
        <v>4688</v>
      </c>
      <c r="E11" s="453" t="s">
        <v>4694</v>
      </c>
      <c r="F11" s="78" t="s">
        <v>4701</v>
      </c>
      <c r="G11" s="79"/>
      <c r="H11" s="61" t="s">
        <v>8556</v>
      </c>
      <c r="I11" s="80">
        <v>250000</v>
      </c>
      <c r="J11" s="107" t="s">
        <v>8518</v>
      </c>
      <c r="L11" s="446">
        <v>0</v>
      </c>
      <c r="M11" s="73">
        <v>20681841</v>
      </c>
      <c r="O11" s="85" t="s">
        <v>1147</v>
      </c>
      <c r="P11" s="754" t="s">
        <v>8557</v>
      </c>
      <c r="Q11" s="168">
        <v>8061150</v>
      </c>
      <c r="R11" s="754" t="s">
        <v>8558</v>
      </c>
      <c r="S11" s="168">
        <v>2919521</v>
      </c>
      <c r="T11" s="754" t="s">
        <v>6247</v>
      </c>
      <c r="U11" s="168">
        <v>0</v>
      </c>
      <c r="V11" s="754" t="s">
        <v>8559</v>
      </c>
      <c r="W11" s="168">
        <v>941965</v>
      </c>
      <c r="X11" s="107" t="s">
        <v>8518</v>
      </c>
      <c r="Z11" s="72" t="s">
        <v>8560</v>
      </c>
      <c r="AA11" s="436">
        <v>648000</v>
      </c>
      <c r="AB11" s="437">
        <v>20000</v>
      </c>
      <c r="AC11" s="72" t="s">
        <v>8561</v>
      </c>
      <c r="AD11" s="593">
        <v>3675</v>
      </c>
      <c r="AE11" s="75" t="s">
        <v>6247</v>
      </c>
      <c r="AF11" s="168">
        <v>0</v>
      </c>
      <c r="AG11" s="75" t="s">
        <v>6247</v>
      </c>
      <c r="AH11" s="168">
        <v>0</v>
      </c>
      <c r="AI11" s="75" t="s">
        <v>6247</v>
      </c>
      <c r="AJ11" s="168">
        <v>0</v>
      </c>
      <c r="AK11" s="75" t="s">
        <v>6247</v>
      </c>
      <c r="AL11" s="168">
        <v>0</v>
      </c>
      <c r="AM11" s="75" t="s">
        <v>6247</v>
      </c>
      <c r="AN11" s="168">
        <v>0</v>
      </c>
      <c r="AO11" s="75" t="s">
        <v>6247</v>
      </c>
      <c r="AP11" s="168">
        <v>0</v>
      </c>
      <c r="AQ11" s="755" t="s">
        <v>8518</v>
      </c>
      <c r="AR11" s="295"/>
      <c r="AS11" s="75"/>
      <c r="AT11" s="168"/>
      <c r="AU11" s="295"/>
      <c r="AV11" s="298" t="s">
        <v>8523</v>
      </c>
    </row>
    <row r="12" spans="2:48">
      <c r="B12" s="77" t="s">
        <v>3786</v>
      </c>
      <c r="C12" s="77" t="s">
        <v>4708</v>
      </c>
      <c r="D12" s="77" t="s">
        <v>8562</v>
      </c>
      <c r="E12" s="454" t="s">
        <v>4707</v>
      </c>
      <c r="F12" s="78" t="s">
        <v>4712</v>
      </c>
      <c r="G12" s="79"/>
      <c r="H12" s="61" t="s">
        <v>8563</v>
      </c>
      <c r="I12" s="87">
        <v>250000</v>
      </c>
      <c r="J12" s="107" t="s">
        <v>8518</v>
      </c>
      <c r="L12" s="446">
        <v>31796442</v>
      </c>
      <c r="M12" s="73">
        <v>14826155</v>
      </c>
      <c r="O12" s="85" t="s">
        <v>7253</v>
      </c>
      <c r="P12" s="71" t="s">
        <v>8564</v>
      </c>
      <c r="Q12" s="168">
        <v>6163875</v>
      </c>
      <c r="R12" s="71" t="s">
        <v>8565</v>
      </c>
      <c r="S12" s="168">
        <v>5441070</v>
      </c>
      <c r="T12" s="754" t="s">
        <v>6247</v>
      </c>
      <c r="U12" s="168">
        <v>0</v>
      </c>
      <c r="V12" s="754" t="s">
        <v>8566</v>
      </c>
      <c r="W12" s="168">
        <f>996773</f>
        <v>996773</v>
      </c>
      <c r="X12" s="107" t="s">
        <v>8518</v>
      </c>
      <c r="Z12" s="72" t="s">
        <v>8567</v>
      </c>
      <c r="AA12" s="436">
        <v>648000</v>
      </c>
      <c r="AB12" s="437">
        <v>20000</v>
      </c>
      <c r="AC12" s="88"/>
      <c r="AD12" s="593">
        <v>1350</v>
      </c>
      <c r="AE12" s="75" t="s">
        <v>6247</v>
      </c>
      <c r="AF12" s="168">
        <v>0</v>
      </c>
      <c r="AG12" s="75" t="s">
        <v>6247</v>
      </c>
      <c r="AH12" s="168">
        <v>0</v>
      </c>
      <c r="AI12" s="75" t="s">
        <v>6247</v>
      </c>
      <c r="AJ12" s="168">
        <v>0</v>
      </c>
      <c r="AK12" s="75" t="s">
        <v>6247</v>
      </c>
      <c r="AL12" s="168">
        <v>0</v>
      </c>
      <c r="AM12" s="75" t="s">
        <v>6247</v>
      </c>
      <c r="AN12" s="168">
        <v>0</v>
      </c>
      <c r="AO12" s="75" t="s">
        <v>6247</v>
      </c>
      <c r="AP12" s="168">
        <v>0</v>
      </c>
      <c r="AQ12" s="755" t="s">
        <v>8518</v>
      </c>
      <c r="AR12" s="295"/>
      <c r="AS12" s="75"/>
      <c r="AT12" s="168"/>
      <c r="AU12" s="295"/>
      <c r="AV12" s="298" t="s">
        <v>8523</v>
      </c>
    </row>
    <row r="13" spans="2:48">
      <c r="B13" s="77" t="s">
        <v>101</v>
      </c>
      <c r="C13" s="77" t="s">
        <v>8568</v>
      </c>
      <c r="D13" s="77" t="s">
        <v>4745</v>
      </c>
      <c r="E13" s="454" t="s">
        <v>4707</v>
      </c>
      <c r="F13" s="78" t="s">
        <v>4756</v>
      </c>
      <c r="G13" s="79"/>
      <c r="H13" s="61" t="s">
        <v>6247</v>
      </c>
      <c r="I13" s="87">
        <v>0</v>
      </c>
      <c r="J13" s="81" t="s">
        <v>3320</v>
      </c>
      <c r="L13" s="446">
        <v>0</v>
      </c>
      <c r="M13" s="73">
        <v>3967869</v>
      </c>
      <c r="O13" s="85" t="s">
        <v>1565</v>
      </c>
      <c r="P13" s="71" t="s">
        <v>8569</v>
      </c>
      <c r="Q13" s="168">
        <v>11386400</v>
      </c>
      <c r="R13" s="71" t="s">
        <v>6247</v>
      </c>
      <c r="S13" s="435">
        <v>0</v>
      </c>
      <c r="T13" s="71" t="s">
        <v>8570</v>
      </c>
      <c r="U13" s="76">
        <v>486000</v>
      </c>
      <c r="V13" s="754" t="s">
        <v>8571</v>
      </c>
      <c r="W13" s="168">
        <v>571968</v>
      </c>
      <c r="X13" s="107" t="s">
        <v>8518</v>
      </c>
      <c r="Z13" s="72" t="s">
        <v>8572</v>
      </c>
      <c r="AA13" s="436">
        <v>648000</v>
      </c>
      <c r="AB13" s="437">
        <v>20000</v>
      </c>
      <c r="AC13" s="88" t="s">
        <v>6247</v>
      </c>
      <c r="AD13" s="593">
        <v>0</v>
      </c>
      <c r="AE13" s="75" t="s">
        <v>6247</v>
      </c>
      <c r="AF13" s="168">
        <v>0</v>
      </c>
      <c r="AG13" s="75" t="s">
        <v>6247</v>
      </c>
      <c r="AH13" s="168">
        <v>0</v>
      </c>
      <c r="AI13" s="75" t="s">
        <v>6247</v>
      </c>
      <c r="AJ13" s="168">
        <v>0</v>
      </c>
      <c r="AK13" s="75" t="s">
        <v>6247</v>
      </c>
      <c r="AL13" s="168">
        <v>0</v>
      </c>
      <c r="AM13" s="75" t="s">
        <v>6247</v>
      </c>
      <c r="AN13" s="168">
        <v>0</v>
      </c>
      <c r="AO13" s="75" t="s">
        <v>6247</v>
      </c>
      <c r="AP13" s="168">
        <v>0</v>
      </c>
      <c r="AQ13" s="755" t="s">
        <v>8518</v>
      </c>
      <c r="AR13" s="295"/>
      <c r="AS13" s="75"/>
      <c r="AT13" s="76"/>
      <c r="AU13" s="295"/>
      <c r="AV13" s="298" t="s">
        <v>8523</v>
      </c>
    </row>
    <row r="14" spans="2:48">
      <c r="B14" s="77" t="s">
        <v>8573</v>
      </c>
      <c r="C14" s="77" t="s">
        <v>4729</v>
      </c>
      <c r="D14" s="77" t="s">
        <v>4176</v>
      </c>
      <c r="E14" s="454" t="s">
        <v>4728</v>
      </c>
      <c r="F14" s="78" t="s">
        <v>4736</v>
      </c>
      <c r="G14" s="79"/>
      <c r="H14" s="61" t="s">
        <v>6247</v>
      </c>
      <c r="I14" s="87">
        <v>0</v>
      </c>
      <c r="J14" s="81" t="s">
        <v>3320</v>
      </c>
      <c r="L14" s="446">
        <v>0</v>
      </c>
      <c r="M14" s="73">
        <v>7063086.0011999998</v>
      </c>
      <c r="O14" s="85" t="s">
        <v>8574</v>
      </c>
      <c r="P14" s="754" t="s">
        <v>6247</v>
      </c>
      <c r="Q14" s="168">
        <v>0</v>
      </c>
      <c r="R14" s="754" t="s">
        <v>6247</v>
      </c>
      <c r="S14" s="168">
        <v>0</v>
      </c>
      <c r="T14" s="71" t="s">
        <v>6247</v>
      </c>
      <c r="U14" s="168">
        <v>0</v>
      </c>
      <c r="V14" s="754" t="s">
        <v>6247</v>
      </c>
      <c r="W14" s="168">
        <v>0</v>
      </c>
      <c r="X14" s="78" t="s">
        <v>3320</v>
      </c>
      <c r="Z14" s="72" t="s">
        <v>6247</v>
      </c>
      <c r="AA14" s="436">
        <v>0</v>
      </c>
      <c r="AB14" s="437" t="s">
        <v>8575</v>
      </c>
      <c r="AC14" s="88" t="s">
        <v>6247</v>
      </c>
      <c r="AD14" s="593">
        <v>0</v>
      </c>
      <c r="AE14" s="75" t="s">
        <v>6247</v>
      </c>
      <c r="AF14" s="168">
        <v>0</v>
      </c>
      <c r="AG14" s="75" t="s">
        <v>6247</v>
      </c>
      <c r="AH14" s="168">
        <v>0</v>
      </c>
      <c r="AI14" s="75" t="s">
        <v>6247</v>
      </c>
      <c r="AJ14" s="168">
        <v>0</v>
      </c>
      <c r="AK14" s="75" t="s">
        <v>6247</v>
      </c>
      <c r="AL14" s="168">
        <v>0</v>
      </c>
      <c r="AM14" s="75" t="s">
        <v>6247</v>
      </c>
      <c r="AN14" s="168">
        <v>0</v>
      </c>
      <c r="AO14" s="75" t="s">
        <v>6247</v>
      </c>
      <c r="AP14" s="168">
        <v>0</v>
      </c>
      <c r="AQ14" s="755" t="s">
        <v>8518</v>
      </c>
      <c r="AR14" s="295"/>
      <c r="AS14" s="75"/>
      <c r="AT14" s="168"/>
      <c r="AU14" s="295"/>
      <c r="AV14" s="298" t="s">
        <v>8523</v>
      </c>
    </row>
    <row r="15" spans="2:48">
      <c r="B15" s="77" t="s">
        <v>4757</v>
      </c>
      <c r="C15" s="77"/>
      <c r="D15" s="77" t="s">
        <v>4758</v>
      </c>
      <c r="E15" s="454"/>
      <c r="F15" s="78" t="s">
        <v>4766</v>
      </c>
      <c r="G15" s="79"/>
      <c r="H15" s="61" t="s">
        <v>6247</v>
      </c>
      <c r="I15" s="87">
        <v>0</v>
      </c>
      <c r="J15" s="81" t="s">
        <v>3320</v>
      </c>
      <c r="L15" s="446">
        <v>0</v>
      </c>
      <c r="M15" s="73">
        <v>254015</v>
      </c>
      <c r="O15" s="85" t="s">
        <v>2388</v>
      </c>
      <c r="P15" s="754" t="s">
        <v>6247</v>
      </c>
      <c r="Q15" s="168">
        <v>0</v>
      </c>
      <c r="R15" s="754" t="s">
        <v>6247</v>
      </c>
      <c r="S15" s="168">
        <v>0</v>
      </c>
      <c r="T15" s="754" t="s">
        <v>6247</v>
      </c>
      <c r="U15" s="168">
        <v>0</v>
      </c>
      <c r="V15" s="754" t="s">
        <v>6247</v>
      </c>
      <c r="W15" s="168">
        <v>0</v>
      </c>
      <c r="X15" s="78" t="s">
        <v>3320</v>
      </c>
      <c r="Z15" s="72" t="s">
        <v>6247</v>
      </c>
      <c r="AA15" s="436">
        <v>0</v>
      </c>
      <c r="AB15" s="437" t="s">
        <v>8575</v>
      </c>
      <c r="AC15" s="88" t="s">
        <v>6247</v>
      </c>
      <c r="AD15" s="593">
        <v>0</v>
      </c>
      <c r="AE15" s="75" t="s">
        <v>6247</v>
      </c>
      <c r="AF15" s="168">
        <v>0</v>
      </c>
      <c r="AG15" s="75" t="s">
        <v>6247</v>
      </c>
      <c r="AH15" s="168">
        <v>0</v>
      </c>
      <c r="AI15" s="75" t="s">
        <v>6247</v>
      </c>
      <c r="AJ15" s="168">
        <v>0</v>
      </c>
      <c r="AK15" s="75" t="s">
        <v>6247</v>
      </c>
      <c r="AL15" s="168">
        <v>0</v>
      </c>
      <c r="AM15" s="75" t="s">
        <v>6247</v>
      </c>
      <c r="AN15" s="168">
        <v>0</v>
      </c>
      <c r="AO15" s="75" t="s">
        <v>6247</v>
      </c>
      <c r="AP15" s="168">
        <v>0</v>
      </c>
      <c r="AQ15" s="755" t="s">
        <v>8518</v>
      </c>
      <c r="AR15" s="295"/>
      <c r="AS15" s="75"/>
      <c r="AT15" s="168"/>
      <c r="AU15" s="295"/>
      <c r="AV15" s="298" t="s">
        <v>8523</v>
      </c>
    </row>
    <row r="16" spans="2:48">
      <c r="B16" s="77" t="s">
        <v>8576</v>
      </c>
      <c r="C16" s="452" t="s">
        <v>4780</v>
      </c>
      <c r="D16" s="77" t="s">
        <v>4584</v>
      </c>
      <c r="E16" s="454" t="s">
        <v>4779</v>
      </c>
      <c r="F16" s="78" t="s">
        <v>4783</v>
      </c>
      <c r="G16" s="79"/>
      <c r="H16" s="61" t="s">
        <v>6247</v>
      </c>
      <c r="I16" s="80">
        <v>0</v>
      </c>
      <c r="J16" s="81" t="s">
        <v>3320</v>
      </c>
      <c r="L16" s="446">
        <v>0</v>
      </c>
      <c r="M16" s="73">
        <v>7082444.5975000001</v>
      </c>
      <c r="O16" s="85" t="s">
        <v>7253</v>
      </c>
      <c r="P16" s="71" t="s">
        <v>8577</v>
      </c>
      <c r="Q16" s="168">
        <v>13476109</v>
      </c>
      <c r="R16" s="754" t="s">
        <v>6247</v>
      </c>
      <c r="S16" s="168">
        <v>0</v>
      </c>
      <c r="T16" s="754" t="s">
        <v>6247</v>
      </c>
      <c r="U16" s="168">
        <v>0</v>
      </c>
      <c r="V16" s="754" t="s">
        <v>6247</v>
      </c>
      <c r="W16" s="168">
        <v>0</v>
      </c>
      <c r="X16" s="107" t="s">
        <v>8518</v>
      </c>
      <c r="Z16" s="72" t="s">
        <v>6247</v>
      </c>
      <c r="AA16" s="436">
        <v>0</v>
      </c>
      <c r="AB16" s="437">
        <v>20000</v>
      </c>
      <c r="AC16" s="88" t="s">
        <v>6247</v>
      </c>
      <c r="AD16" s="593">
        <v>0</v>
      </c>
      <c r="AE16" s="75" t="s">
        <v>6247</v>
      </c>
      <c r="AF16" s="168">
        <v>0</v>
      </c>
      <c r="AG16" s="75" t="s">
        <v>6247</v>
      </c>
      <c r="AH16" s="168">
        <v>0</v>
      </c>
      <c r="AI16" s="75" t="s">
        <v>6247</v>
      </c>
      <c r="AJ16" s="168">
        <v>0</v>
      </c>
      <c r="AK16" s="75" t="s">
        <v>6247</v>
      </c>
      <c r="AL16" s="168">
        <v>0</v>
      </c>
      <c r="AM16" s="75" t="s">
        <v>6247</v>
      </c>
      <c r="AN16" s="168">
        <v>0</v>
      </c>
      <c r="AO16" s="75" t="s">
        <v>6247</v>
      </c>
      <c r="AP16" s="168">
        <v>0</v>
      </c>
      <c r="AQ16" s="755" t="s">
        <v>8518</v>
      </c>
      <c r="AR16" s="295"/>
      <c r="AS16" s="75"/>
      <c r="AT16" s="168"/>
      <c r="AU16" s="295"/>
      <c r="AV16" s="298" t="s">
        <v>8523</v>
      </c>
    </row>
    <row r="17" spans="2:48">
      <c r="B17" s="77" t="s">
        <v>8578</v>
      </c>
      <c r="C17" s="77" t="s">
        <v>4771</v>
      </c>
      <c r="D17" s="77" t="s">
        <v>4767</v>
      </c>
      <c r="E17" s="293">
        <v>2503005586</v>
      </c>
      <c r="F17" s="78" t="s">
        <v>4776</v>
      </c>
      <c r="G17" s="79"/>
      <c r="H17" s="61" t="s">
        <v>6247</v>
      </c>
      <c r="I17" s="80">
        <v>0</v>
      </c>
      <c r="J17" s="81" t="s">
        <v>3320</v>
      </c>
      <c r="L17" s="446">
        <v>0</v>
      </c>
      <c r="M17" s="73">
        <v>2471859</v>
      </c>
      <c r="O17" s="85" t="s">
        <v>1311</v>
      </c>
      <c r="P17" s="71" t="s">
        <v>8579</v>
      </c>
      <c r="Q17" s="168">
        <v>8479040</v>
      </c>
      <c r="R17" s="754" t="s">
        <v>8580</v>
      </c>
      <c r="S17" s="168">
        <v>162000</v>
      </c>
      <c r="T17" s="754" t="s">
        <v>8580</v>
      </c>
      <c r="U17" s="168">
        <v>287280</v>
      </c>
      <c r="V17" s="754" t="s">
        <v>8581</v>
      </c>
      <c r="W17" s="168">
        <v>572335</v>
      </c>
      <c r="X17" s="107" t="s">
        <v>8518</v>
      </c>
      <c r="Z17" s="72">
        <v>2454</v>
      </c>
      <c r="AA17" s="436">
        <v>648000</v>
      </c>
      <c r="AB17" s="437">
        <v>20000</v>
      </c>
      <c r="AC17" s="88" t="s">
        <v>6247</v>
      </c>
      <c r="AD17" s="593">
        <v>0</v>
      </c>
      <c r="AE17" s="75" t="s">
        <v>6247</v>
      </c>
      <c r="AF17" s="168">
        <v>0</v>
      </c>
      <c r="AG17" s="75" t="s">
        <v>6247</v>
      </c>
      <c r="AH17" s="168">
        <v>0</v>
      </c>
      <c r="AI17" s="75" t="s">
        <v>6247</v>
      </c>
      <c r="AJ17" s="168">
        <v>0</v>
      </c>
      <c r="AK17" s="75" t="s">
        <v>6247</v>
      </c>
      <c r="AL17" s="168">
        <v>0</v>
      </c>
      <c r="AM17" s="75" t="s">
        <v>6247</v>
      </c>
      <c r="AN17" s="168">
        <v>0</v>
      </c>
      <c r="AO17" s="75" t="s">
        <v>6247</v>
      </c>
      <c r="AP17" s="168">
        <v>0</v>
      </c>
      <c r="AQ17" s="755" t="s">
        <v>8518</v>
      </c>
      <c r="AR17" s="295"/>
      <c r="AS17" s="75"/>
      <c r="AT17" s="168"/>
      <c r="AU17" s="295"/>
      <c r="AV17" s="298" t="s">
        <v>8523</v>
      </c>
    </row>
    <row r="18" spans="2:48">
      <c r="B18" s="77" t="s">
        <v>8582</v>
      </c>
      <c r="C18" s="77" t="s">
        <v>4909</v>
      </c>
      <c r="D18" s="59" t="s">
        <v>4904</v>
      </c>
      <c r="E18" s="454">
        <v>289375</v>
      </c>
      <c r="F18" s="78" t="s">
        <v>4912</v>
      </c>
      <c r="G18" s="79"/>
      <c r="H18" s="86" t="s">
        <v>8583</v>
      </c>
      <c r="I18" s="106">
        <f>250000/1.1</f>
        <v>227272.72727272726</v>
      </c>
      <c r="J18" s="107" t="s">
        <v>8518</v>
      </c>
      <c r="K18" s="64"/>
      <c r="L18" s="65">
        <v>62262732</v>
      </c>
      <c r="M18" s="66">
        <v>25432665</v>
      </c>
      <c r="N18" s="67"/>
      <c r="O18" s="1157" t="s">
        <v>1311</v>
      </c>
      <c r="P18" s="71" t="s">
        <v>8584</v>
      </c>
      <c r="Q18" s="168">
        <v>16131450</v>
      </c>
      <c r="R18" s="754" t="s">
        <v>6247</v>
      </c>
      <c r="S18" s="168">
        <v>0</v>
      </c>
      <c r="T18" s="754" t="s">
        <v>6247</v>
      </c>
      <c r="U18" s="168">
        <v>0</v>
      </c>
      <c r="V18" s="754" t="s">
        <v>8585</v>
      </c>
      <c r="W18" s="168">
        <v>428409</v>
      </c>
      <c r="X18" s="107" t="s">
        <v>8518</v>
      </c>
      <c r="Z18" s="72" t="s">
        <v>6247</v>
      </c>
      <c r="AA18" s="436">
        <v>0</v>
      </c>
      <c r="AB18" s="437">
        <v>20000</v>
      </c>
      <c r="AC18" s="88">
        <v>1931672</v>
      </c>
      <c r="AD18" s="593">
        <v>2625</v>
      </c>
      <c r="AE18" s="75" t="s">
        <v>6247</v>
      </c>
      <c r="AF18" s="168">
        <v>0</v>
      </c>
      <c r="AG18" s="75" t="s">
        <v>6247</v>
      </c>
      <c r="AH18" s="168">
        <v>0</v>
      </c>
      <c r="AI18" s="75" t="s">
        <v>6247</v>
      </c>
      <c r="AJ18" s="168">
        <v>0</v>
      </c>
      <c r="AK18" s="75" t="s">
        <v>6247</v>
      </c>
      <c r="AL18" s="168">
        <v>0</v>
      </c>
      <c r="AM18" s="75" t="s">
        <v>6247</v>
      </c>
      <c r="AN18" s="168">
        <v>0</v>
      </c>
      <c r="AO18" s="75" t="s">
        <v>6247</v>
      </c>
      <c r="AP18" s="168">
        <v>0</v>
      </c>
      <c r="AQ18" s="755" t="s">
        <v>8518</v>
      </c>
      <c r="AR18" s="295"/>
      <c r="AS18" s="75"/>
      <c r="AT18" s="168"/>
      <c r="AU18" s="295"/>
      <c r="AV18" s="298" t="s">
        <v>8523</v>
      </c>
    </row>
    <row r="19" spans="2:48">
      <c r="B19" s="77" t="s">
        <v>101</v>
      </c>
      <c r="C19" s="77" t="s">
        <v>4794</v>
      </c>
      <c r="D19" s="59" t="s">
        <v>4784</v>
      </c>
      <c r="E19" s="454" t="s">
        <v>4793</v>
      </c>
      <c r="F19" s="78" t="s">
        <v>4799</v>
      </c>
      <c r="G19" s="79"/>
      <c r="H19" s="86" t="s">
        <v>8586</v>
      </c>
      <c r="I19" s="106">
        <f>797715/1.1</f>
        <v>725195.45454545447</v>
      </c>
      <c r="J19" s="107" t="s">
        <v>8518</v>
      </c>
      <c r="K19" s="64"/>
      <c r="L19" s="65">
        <v>109593283</v>
      </c>
      <c r="M19" s="66">
        <v>76322736</v>
      </c>
      <c r="N19" s="67"/>
      <c r="O19" s="1157"/>
      <c r="P19" s="71" t="s">
        <v>8587</v>
      </c>
      <c r="Q19" s="168">
        <v>22478250</v>
      </c>
      <c r="R19" s="754" t="s">
        <v>6247</v>
      </c>
      <c r="S19" s="168"/>
      <c r="T19" s="754" t="s">
        <v>8588</v>
      </c>
      <c r="U19" s="168">
        <v>277757</v>
      </c>
      <c r="V19" s="754" t="s">
        <v>8589</v>
      </c>
      <c r="W19" s="168">
        <v>1285227</v>
      </c>
      <c r="X19" s="107" t="s">
        <v>8518</v>
      </c>
      <c r="Z19" s="72">
        <v>2621</v>
      </c>
      <c r="AA19" s="436">
        <v>648000</v>
      </c>
      <c r="AB19" s="437">
        <v>20000</v>
      </c>
      <c r="AC19" s="88" t="s">
        <v>8590</v>
      </c>
      <c r="AD19" s="593">
        <v>6119</v>
      </c>
      <c r="AE19" s="75" t="s">
        <v>8591</v>
      </c>
      <c r="AF19" s="168">
        <v>1500000</v>
      </c>
      <c r="AG19" s="75" t="s">
        <v>6247</v>
      </c>
      <c r="AH19" s="168">
        <v>0</v>
      </c>
      <c r="AI19" s="75" t="s">
        <v>6247</v>
      </c>
      <c r="AJ19" s="168">
        <v>0</v>
      </c>
      <c r="AK19" s="75" t="s">
        <v>6247</v>
      </c>
      <c r="AL19" s="168">
        <v>0</v>
      </c>
      <c r="AM19" s="75" t="s">
        <v>6247</v>
      </c>
      <c r="AN19" s="168">
        <v>0</v>
      </c>
      <c r="AO19" s="75" t="s">
        <v>6247</v>
      </c>
      <c r="AP19" s="168">
        <v>0</v>
      </c>
      <c r="AQ19" s="755" t="s">
        <v>8518</v>
      </c>
      <c r="AR19" s="295"/>
      <c r="AS19" s="493" t="s">
        <v>8592</v>
      </c>
      <c r="AT19" s="486">
        <v>26250000</v>
      </c>
      <c r="AU19" s="295"/>
      <c r="AV19" s="298" t="s">
        <v>8523</v>
      </c>
    </row>
    <row r="20" spans="2:48">
      <c r="B20" s="174" t="s">
        <v>8593</v>
      </c>
      <c r="C20" s="440" t="s">
        <v>8594</v>
      </c>
      <c r="D20" s="174" t="s">
        <v>4950</v>
      </c>
      <c r="E20" s="455" t="s">
        <v>4950</v>
      </c>
      <c r="F20" s="175" t="s">
        <v>4962</v>
      </c>
      <c r="G20" s="79"/>
      <c r="H20" s="444" t="s">
        <v>8595</v>
      </c>
      <c r="I20" s="177">
        <f>655372/1.1</f>
        <v>595792.72727272718</v>
      </c>
      <c r="J20" s="107" t="s">
        <v>8518</v>
      </c>
      <c r="L20" s="447">
        <v>37840502</v>
      </c>
      <c r="M20" s="448">
        <v>54832196</v>
      </c>
      <c r="O20" s="181" t="s">
        <v>3320</v>
      </c>
      <c r="P20" s="754" t="s">
        <v>6247</v>
      </c>
      <c r="Q20" s="182"/>
      <c r="R20" s="71" t="s">
        <v>8596</v>
      </c>
      <c r="S20" s="70">
        <v>5443400</v>
      </c>
      <c r="T20" s="71" t="s">
        <v>8597</v>
      </c>
      <c r="U20" s="451">
        <v>220000</v>
      </c>
      <c r="V20" s="754" t="s">
        <v>8598</v>
      </c>
      <c r="W20" s="168">
        <v>3456000</v>
      </c>
      <c r="X20" s="107" t="s">
        <v>8518</v>
      </c>
      <c r="Z20" s="72">
        <v>2675</v>
      </c>
      <c r="AA20" s="436">
        <v>1188000</v>
      </c>
      <c r="AB20" s="437">
        <v>20000</v>
      </c>
      <c r="AC20" s="88">
        <v>1915261</v>
      </c>
      <c r="AD20" s="593">
        <v>250000</v>
      </c>
      <c r="AE20" s="75" t="s">
        <v>6247</v>
      </c>
      <c r="AF20" s="168">
        <v>0</v>
      </c>
      <c r="AG20" s="75" t="s">
        <v>6247</v>
      </c>
      <c r="AH20" s="168">
        <v>0</v>
      </c>
      <c r="AI20" s="75" t="s">
        <v>8599</v>
      </c>
      <c r="AJ20" s="168">
        <v>794000</v>
      </c>
      <c r="AK20" s="75">
        <v>1288529</v>
      </c>
      <c r="AL20" s="168">
        <v>1248000</v>
      </c>
      <c r="AM20" s="75" t="s">
        <v>8600</v>
      </c>
      <c r="AN20" s="168">
        <v>1410000</v>
      </c>
      <c r="AO20" s="75" t="s">
        <v>8601</v>
      </c>
      <c r="AP20" s="168">
        <v>999000</v>
      </c>
      <c r="AQ20" s="755" t="s">
        <v>8518</v>
      </c>
      <c r="AR20" s="295"/>
      <c r="AS20" s="183"/>
      <c r="AT20" s="180"/>
      <c r="AU20" s="295"/>
      <c r="AV20" s="298" t="s">
        <v>8523</v>
      </c>
    </row>
    <row r="21" spans="2:48">
      <c r="B21" s="174" t="s">
        <v>8602</v>
      </c>
      <c r="C21" s="174" t="s">
        <v>5262</v>
      </c>
      <c r="D21" s="174" t="s">
        <v>5256</v>
      </c>
      <c r="E21" s="455" t="s">
        <v>5261</v>
      </c>
      <c r="F21" s="175" t="s">
        <v>5266</v>
      </c>
      <c r="G21" s="79"/>
      <c r="H21" s="487" t="s">
        <v>8603</v>
      </c>
      <c r="I21" s="488">
        <f>1357013/1.1</f>
        <v>1233648.1818181816</v>
      </c>
      <c r="J21" s="107" t="s">
        <v>8518</v>
      </c>
      <c r="K21" s="89"/>
      <c r="L21" s="489">
        <v>0</v>
      </c>
      <c r="M21" s="182">
        <v>68195985</v>
      </c>
      <c r="N21" s="490"/>
      <c r="O21" s="491" t="s">
        <v>1311</v>
      </c>
      <c r="P21" s="71" t="s">
        <v>8604</v>
      </c>
      <c r="Q21" s="168">
        <v>26435</v>
      </c>
      <c r="R21" s="754" t="s">
        <v>6247</v>
      </c>
      <c r="S21" s="168">
        <v>0</v>
      </c>
      <c r="T21" s="754" t="s">
        <v>6247</v>
      </c>
      <c r="U21" s="168">
        <v>0</v>
      </c>
      <c r="V21" s="754" t="s">
        <v>8605</v>
      </c>
      <c r="W21" s="168">
        <v>970693</v>
      </c>
      <c r="X21" s="107" t="s">
        <v>8518</v>
      </c>
      <c r="Z21" s="517" t="s">
        <v>8606</v>
      </c>
      <c r="AA21" s="451">
        <v>648000</v>
      </c>
      <c r="AB21" s="492">
        <v>20000</v>
      </c>
      <c r="AC21" s="493">
        <v>2031178</v>
      </c>
      <c r="AD21" s="593">
        <v>25718</v>
      </c>
      <c r="AE21" s="75" t="s">
        <v>6247</v>
      </c>
      <c r="AF21" s="168">
        <v>0</v>
      </c>
      <c r="AG21" s="75" t="s">
        <v>6247</v>
      </c>
      <c r="AH21" s="168">
        <v>0</v>
      </c>
      <c r="AI21" s="75" t="s">
        <v>6247</v>
      </c>
      <c r="AJ21" s="168">
        <v>0</v>
      </c>
      <c r="AK21" s="75" t="s">
        <v>6247</v>
      </c>
      <c r="AL21" s="168">
        <v>0</v>
      </c>
      <c r="AM21" s="75" t="s">
        <v>6247</v>
      </c>
      <c r="AN21" s="168">
        <v>0</v>
      </c>
      <c r="AO21" s="75" t="s">
        <v>6247</v>
      </c>
      <c r="AP21" s="168">
        <v>0</v>
      </c>
      <c r="AQ21" s="755" t="s">
        <v>8518</v>
      </c>
      <c r="AR21" s="494"/>
      <c r="AS21" s="493"/>
      <c r="AT21" s="182"/>
      <c r="AU21" s="494"/>
      <c r="AV21" s="298" t="s">
        <v>8523</v>
      </c>
    </row>
    <row r="22" spans="2:48">
      <c r="B22" s="174" t="s">
        <v>8607</v>
      </c>
      <c r="C22" s="174" t="s">
        <v>5370</v>
      </c>
      <c r="D22" s="174" t="s">
        <v>8608</v>
      </c>
      <c r="E22" s="455" t="s">
        <v>5369</v>
      </c>
      <c r="F22" s="175" t="s">
        <v>5374</v>
      </c>
      <c r="G22" s="79"/>
      <c r="H22" s="495" t="s">
        <v>8609</v>
      </c>
      <c r="I22" s="488">
        <f>713879/1.1</f>
        <v>648980.90909090906</v>
      </c>
      <c r="J22" s="107" t="s">
        <v>8518</v>
      </c>
      <c r="K22" s="89"/>
      <c r="L22" s="489">
        <v>0</v>
      </c>
      <c r="M22" s="182">
        <v>52532981</v>
      </c>
      <c r="N22" s="490"/>
      <c r="O22" s="491" t="s">
        <v>1311</v>
      </c>
      <c r="P22" s="71" t="s">
        <v>8610</v>
      </c>
      <c r="Q22" s="168">
        <v>26420</v>
      </c>
      <c r="R22" s="754" t="s">
        <v>6247</v>
      </c>
      <c r="S22" s="168">
        <v>0</v>
      </c>
      <c r="T22" s="754" t="s">
        <v>6247</v>
      </c>
      <c r="U22" s="168">
        <v>0</v>
      </c>
      <c r="V22" s="754" t="s">
        <v>6247</v>
      </c>
      <c r="W22" s="168">
        <v>0</v>
      </c>
      <c r="X22" s="107" t="s">
        <v>8518</v>
      </c>
      <c r="Z22" s="517">
        <v>2747</v>
      </c>
      <c r="AA22" s="451">
        <v>648000</v>
      </c>
      <c r="AB22" s="496">
        <v>20000</v>
      </c>
      <c r="AC22" s="493">
        <v>2043528</v>
      </c>
      <c r="AD22" s="593">
        <v>11768</v>
      </c>
      <c r="AE22" s="75" t="s">
        <v>6247</v>
      </c>
      <c r="AF22" s="168">
        <v>0</v>
      </c>
      <c r="AG22" s="75" t="s">
        <v>6247</v>
      </c>
      <c r="AH22" s="168">
        <v>0</v>
      </c>
      <c r="AI22" s="75" t="s">
        <v>6247</v>
      </c>
      <c r="AJ22" s="168">
        <v>0</v>
      </c>
      <c r="AK22" s="75" t="s">
        <v>6247</v>
      </c>
      <c r="AL22" s="168">
        <v>0</v>
      </c>
      <c r="AM22" s="75" t="s">
        <v>6247</v>
      </c>
      <c r="AN22" s="168">
        <v>0</v>
      </c>
      <c r="AO22" s="75" t="s">
        <v>6247</v>
      </c>
      <c r="AP22" s="168">
        <v>0</v>
      </c>
      <c r="AQ22" s="755" t="s">
        <v>8518</v>
      </c>
      <c r="AR22" s="494"/>
      <c r="AS22" s="493"/>
      <c r="AT22" s="182"/>
      <c r="AU22" s="494"/>
      <c r="AV22" s="298" t="s">
        <v>8523</v>
      </c>
    </row>
    <row r="23" spans="2:48">
      <c r="B23" s="174" t="s">
        <v>8611</v>
      </c>
      <c r="C23" s="174" t="s">
        <v>5468</v>
      </c>
      <c r="D23" s="174" t="s">
        <v>5462</v>
      </c>
      <c r="E23" s="455" t="s">
        <v>5467</v>
      </c>
      <c r="F23" s="175" t="s">
        <v>5473</v>
      </c>
      <c r="G23" s="79"/>
      <c r="H23" s="497" t="s">
        <v>6247</v>
      </c>
      <c r="I23" s="492">
        <v>0</v>
      </c>
      <c r="J23" s="498" t="s">
        <v>3320</v>
      </c>
      <c r="L23" s="489">
        <v>0</v>
      </c>
      <c r="M23" s="180">
        <v>7580631</v>
      </c>
      <c r="O23" s="181" t="s">
        <v>8612</v>
      </c>
      <c r="P23" s="71" t="s">
        <v>8613</v>
      </c>
      <c r="Q23" s="168">
        <v>26347</v>
      </c>
      <c r="R23" s="1132" t="s">
        <v>6247</v>
      </c>
      <c r="S23" s="168">
        <v>0</v>
      </c>
      <c r="T23" s="1132" t="s">
        <v>6247</v>
      </c>
      <c r="U23" s="168">
        <v>0</v>
      </c>
      <c r="V23" s="1132" t="s">
        <v>6247</v>
      </c>
      <c r="W23" s="168">
        <v>0</v>
      </c>
      <c r="X23" s="107" t="s">
        <v>8518</v>
      </c>
      <c r="Z23" s="517">
        <v>3099</v>
      </c>
      <c r="AA23" s="451">
        <v>648000</v>
      </c>
      <c r="AB23" s="496">
        <v>20000</v>
      </c>
      <c r="AC23" s="493"/>
      <c r="AD23" s="593">
        <v>2108</v>
      </c>
      <c r="AE23" s="75" t="s">
        <v>6247</v>
      </c>
      <c r="AF23" s="168"/>
      <c r="AG23" s="183" t="s">
        <v>6247</v>
      </c>
      <c r="AH23" s="168">
        <v>0</v>
      </c>
      <c r="AI23" s="183" t="s">
        <v>6247</v>
      </c>
      <c r="AJ23" s="168">
        <v>0</v>
      </c>
      <c r="AK23" s="183" t="s">
        <v>6247</v>
      </c>
      <c r="AL23" s="168">
        <v>0</v>
      </c>
      <c r="AM23" s="183" t="s">
        <v>6247</v>
      </c>
      <c r="AN23" s="180"/>
      <c r="AO23" s="183" t="s">
        <v>6247</v>
      </c>
      <c r="AP23" s="180"/>
      <c r="AQ23" s="755" t="s">
        <v>8518</v>
      </c>
      <c r="AR23" s="295"/>
      <c r="AS23" s="183"/>
      <c r="AT23" s="180"/>
      <c r="AU23" s="295"/>
      <c r="AV23" s="298" t="s">
        <v>8523</v>
      </c>
    </row>
    <row r="24" spans="2:48">
      <c r="B24" s="174" t="s">
        <v>8614</v>
      </c>
      <c r="C24" s="440" t="s">
        <v>8615</v>
      </c>
      <c r="D24" s="174" t="s">
        <v>5486</v>
      </c>
      <c r="E24" s="456" t="s">
        <v>5491</v>
      </c>
      <c r="F24" s="175" t="s">
        <v>5496</v>
      </c>
      <c r="G24" s="79"/>
      <c r="H24" s="444" t="s">
        <v>8616</v>
      </c>
      <c r="I24" s="445">
        <f>4815029/1.1</f>
        <v>4377299.0909090908</v>
      </c>
      <c r="J24" s="107" t="s">
        <v>8518</v>
      </c>
      <c r="L24" s="489">
        <v>0</v>
      </c>
      <c r="M24" s="448">
        <v>354564477</v>
      </c>
      <c r="O24" s="181" t="s">
        <v>1565</v>
      </c>
      <c r="P24" s="71" t="s">
        <v>8617</v>
      </c>
      <c r="Q24" s="168">
        <v>29769850</v>
      </c>
      <c r="R24" s="71" t="s">
        <v>8618</v>
      </c>
      <c r="S24" s="168">
        <v>7397676</v>
      </c>
      <c r="T24" s="1132" t="s">
        <v>6247</v>
      </c>
      <c r="U24" s="168">
        <v>0</v>
      </c>
      <c r="V24" s="754" t="s">
        <v>8618</v>
      </c>
      <c r="W24" s="168">
        <v>5690520</v>
      </c>
      <c r="X24" s="107" t="s">
        <v>8518</v>
      </c>
      <c r="Z24" s="517">
        <v>3067</v>
      </c>
      <c r="AA24" s="451">
        <v>648000</v>
      </c>
      <c r="AB24" s="496">
        <v>20000</v>
      </c>
      <c r="AC24" s="493">
        <v>2291769</v>
      </c>
      <c r="AD24" s="593">
        <v>500000</v>
      </c>
      <c r="AE24" s="75" t="s">
        <v>8591</v>
      </c>
      <c r="AF24" s="168">
        <v>1800000</v>
      </c>
      <c r="AG24" s="183" t="s">
        <v>6247</v>
      </c>
      <c r="AH24" s="168">
        <v>0</v>
      </c>
      <c r="AI24" s="183" t="s">
        <v>6247</v>
      </c>
      <c r="AJ24" s="168">
        <v>0</v>
      </c>
      <c r="AK24" s="183" t="s">
        <v>6247</v>
      </c>
      <c r="AL24" s="168">
        <v>0</v>
      </c>
      <c r="AM24" s="75" t="s">
        <v>8619</v>
      </c>
      <c r="AN24" s="168">
        <v>1103000</v>
      </c>
      <c r="AO24" s="75" t="s">
        <v>8620</v>
      </c>
      <c r="AP24" s="168">
        <v>1500000</v>
      </c>
      <c r="AQ24" s="755" t="s">
        <v>8518</v>
      </c>
      <c r="AR24" s="295"/>
      <c r="AS24" s="183"/>
      <c r="AT24" s="180"/>
      <c r="AU24" s="295"/>
      <c r="AV24" s="298" t="s">
        <v>8523</v>
      </c>
    </row>
    <row r="25" spans="2:48">
      <c r="B25" s="77" t="s">
        <v>8621</v>
      </c>
      <c r="C25" s="77" t="s">
        <v>5640</v>
      </c>
      <c r="D25" s="77" t="s">
        <v>5634</v>
      </c>
      <c r="E25" s="293" t="s">
        <v>5639</v>
      </c>
      <c r="F25" s="78" t="s">
        <v>5645</v>
      </c>
      <c r="G25" s="79"/>
      <c r="H25" s="61" t="s">
        <v>8622</v>
      </c>
      <c r="I25" s="87">
        <f>345096/1.1</f>
        <v>313723.63636363635</v>
      </c>
      <c r="J25" s="107" t="s">
        <v>8518</v>
      </c>
      <c r="L25" s="446">
        <v>8927886</v>
      </c>
      <c r="M25" s="73">
        <v>34411273</v>
      </c>
      <c r="O25" s="85" t="s">
        <v>8623</v>
      </c>
      <c r="P25" s="71" t="s">
        <v>8624</v>
      </c>
      <c r="Q25" s="76">
        <v>4514532</v>
      </c>
      <c r="R25" s="71" t="s">
        <v>8625</v>
      </c>
      <c r="S25" s="451">
        <v>886283</v>
      </c>
      <c r="T25" s="1132" t="s">
        <v>6247</v>
      </c>
      <c r="U25" s="168">
        <v>0</v>
      </c>
      <c r="V25" s="754" t="s">
        <v>6247</v>
      </c>
      <c r="W25" s="168">
        <v>0</v>
      </c>
      <c r="X25" s="107" t="s">
        <v>8518</v>
      </c>
      <c r="Z25" s="517">
        <v>3066</v>
      </c>
      <c r="AA25" s="451">
        <v>648000</v>
      </c>
      <c r="AB25" s="496">
        <v>20000</v>
      </c>
      <c r="AC25" s="88" t="s">
        <v>6247</v>
      </c>
      <c r="AD25" s="593">
        <v>0</v>
      </c>
      <c r="AE25" s="75" t="s">
        <v>6247</v>
      </c>
      <c r="AF25" s="168">
        <v>0</v>
      </c>
      <c r="AG25" s="183" t="s">
        <v>6247</v>
      </c>
      <c r="AH25" s="168">
        <v>0</v>
      </c>
      <c r="AI25" s="183" t="s">
        <v>6247</v>
      </c>
      <c r="AJ25" s="168">
        <v>0</v>
      </c>
      <c r="AK25" s="183" t="s">
        <v>6247</v>
      </c>
      <c r="AL25" s="168">
        <v>0</v>
      </c>
      <c r="AM25" s="88"/>
      <c r="AN25" s="83"/>
      <c r="AO25" s="88"/>
      <c r="AP25" s="83"/>
      <c r="AQ25" s="755" t="s">
        <v>8518</v>
      </c>
      <c r="AR25" s="295"/>
      <c r="AS25" s="88"/>
      <c r="AT25" s="83"/>
      <c r="AU25" s="295"/>
      <c r="AV25" s="298" t="s">
        <v>8523</v>
      </c>
    </row>
    <row r="26" spans="2:48">
      <c r="B26" s="77" t="s">
        <v>8626</v>
      </c>
      <c r="C26" s="77" t="s">
        <v>5705</v>
      </c>
      <c r="D26" s="77" t="s">
        <v>8627</v>
      </c>
      <c r="E26" s="293" t="s">
        <v>5704</v>
      </c>
      <c r="F26" s="78" t="s">
        <v>5708</v>
      </c>
      <c r="G26" s="79"/>
      <c r="H26" s="61" t="s">
        <v>8628</v>
      </c>
      <c r="I26" s="87">
        <f>7657089/1.1</f>
        <v>6960989.9999999991</v>
      </c>
      <c r="J26" s="107" t="s">
        <v>8518</v>
      </c>
      <c r="L26" s="446">
        <f>74027345+42692470+79864961</f>
        <v>196584776</v>
      </c>
      <c r="M26" s="73">
        <f>217363830+293807946+70942766</f>
        <v>582114542</v>
      </c>
      <c r="O26" s="85" t="s">
        <v>8623</v>
      </c>
      <c r="P26" s="71" t="s">
        <v>8629</v>
      </c>
      <c r="Q26" s="76">
        <v>42314749</v>
      </c>
      <c r="R26" s="71" t="s">
        <v>8630</v>
      </c>
      <c r="S26" s="451">
        <f>8306698 +90000</f>
        <v>8396698</v>
      </c>
      <c r="T26" s="1132" t="s">
        <v>8631</v>
      </c>
      <c r="U26" s="168">
        <f>225000</f>
        <v>225000</v>
      </c>
      <c r="V26" s="754" t="s">
        <v>6247</v>
      </c>
      <c r="W26" s="168">
        <v>0</v>
      </c>
      <c r="X26" s="107" t="s">
        <v>8518</v>
      </c>
      <c r="Z26" s="517">
        <v>3068</v>
      </c>
      <c r="AA26" s="451">
        <f>1728000</f>
        <v>1728000</v>
      </c>
      <c r="AB26" s="496">
        <v>60000</v>
      </c>
      <c r="AC26" s="493">
        <v>2277589</v>
      </c>
      <c r="AD26" s="593">
        <v>500000</v>
      </c>
      <c r="AE26" s="75" t="s">
        <v>6247</v>
      </c>
      <c r="AF26" s="168">
        <v>0</v>
      </c>
      <c r="AG26" s="183" t="s">
        <v>6247</v>
      </c>
      <c r="AH26" s="168">
        <v>0</v>
      </c>
      <c r="AI26" s="183" t="s">
        <v>6247</v>
      </c>
      <c r="AJ26" s="168">
        <v>0</v>
      </c>
      <c r="AK26" s="183" t="s">
        <v>6247</v>
      </c>
      <c r="AL26" s="168">
        <v>0</v>
      </c>
      <c r="AM26" s="503" t="s">
        <v>8632</v>
      </c>
      <c r="AN26" s="180">
        <v>2182000</v>
      </c>
      <c r="AO26" s="504" t="s">
        <v>8633</v>
      </c>
      <c r="AP26" s="83">
        <v>1512000</v>
      </c>
      <c r="AQ26" s="755" t="s">
        <v>8518</v>
      </c>
      <c r="AR26" s="295"/>
      <c r="AS26" s="88"/>
      <c r="AT26" s="83"/>
      <c r="AU26" s="295"/>
      <c r="AV26" s="298" t="s">
        <v>8523</v>
      </c>
    </row>
    <row r="27" spans="2:48">
      <c r="B27" s="174" t="s">
        <v>8634</v>
      </c>
      <c r="C27" s="440" t="s">
        <v>6257</v>
      </c>
      <c r="D27" s="174" t="s">
        <v>6252</v>
      </c>
      <c r="E27" s="455">
        <v>102089408</v>
      </c>
      <c r="F27" s="78" t="s">
        <v>6262</v>
      </c>
      <c r="G27" s="79"/>
      <c r="H27" s="497" t="s">
        <v>6247</v>
      </c>
      <c r="I27" s="492">
        <v>0</v>
      </c>
      <c r="J27" s="498" t="s">
        <v>3320</v>
      </c>
      <c r="L27" s="446">
        <v>1115995</v>
      </c>
      <c r="M27" s="180">
        <v>982076</v>
      </c>
      <c r="O27" s="181" t="s">
        <v>6258</v>
      </c>
      <c r="P27" s="71" t="s">
        <v>8635</v>
      </c>
      <c r="Q27" s="76">
        <v>4714934</v>
      </c>
      <c r="R27" s="754" t="s">
        <v>6247</v>
      </c>
      <c r="S27" s="168">
        <v>0</v>
      </c>
      <c r="T27" s="754" t="s">
        <v>6247</v>
      </c>
      <c r="U27" s="168">
        <v>0</v>
      </c>
      <c r="V27" s="754" t="s">
        <v>6247</v>
      </c>
      <c r="W27" s="168">
        <v>0</v>
      </c>
      <c r="X27" s="107" t="s">
        <v>8518</v>
      </c>
      <c r="Z27" s="517" t="s">
        <v>6247</v>
      </c>
      <c r="AA27" s="451">
        <v>0</v>
      </c>
      <c r="AB27" s="496" t="s">
        <v>8575</v>
      </c>
      <c r="AC27" s="493" t="s">
        <v>6247</v>
      </c>
      <c r="AD27" s="593">
        <v>0</v>
      </c>
      <c r="AE27" s="75" t="s">
        <v>6247</v>
      </c>
      <c r="AF27" s="168">
        <v>0</v>
      </c>
      <c r="AG27" s="75" t="s">
        <v>6247</v>
      </c>
      <c r="AH27" s="168">
        <v>0</v>
      </c>
      <c r="AI27" s="75" t="s">
        <v>6247</v>
      </c>
      <c r="AJ27" s="168">
        <v>0</v>
      </c>
      <c r="AK27" s="75" t="s">
        <v>6247</v>
      </c>
      <c r="AL27" s="168">
        <v>0</v>
      </c>
      <c r="AM27" s="75" t="s">
        <v>6247</v>
      </c>
      <c r="AN27" s="168">
        <v>0</v>
      </c>
      <c r="AO27" s="75" t="s">
        <v>6247</v>
      </c>
      <c r="AP27" s="168">
        <v>0</v>
      </c>
      <c r="AQ27" s="755" t="s">
        <v>8518</v>
      </c>
      <c r="AR27" s="295"/>
      <c r="AS27" s="183"/>
      <c r="AT27" s="180"/>
      <c r="AU27" s="295"/>
      <c r="AV27" s="298" t="s">
        <v>8523</v>
      </c>
    </row>
    <row r="28" spans="2:48">
      <c r="B28" s="174" t="s">
        <v>8636</v>
      </c>
      <c r="C28" s="174" t="s">
        <v>6270</v>
      </c>
      <c r="D28" s="174" t="s">
        <v>6265</v>
      </c>
      <c r="E28" s="455" t="s">
        <v>6269</v>
      </c>
      <c r="F28" s="78" t="s">
        <v>6274</v>
      </c>
      <c r="G28" s="79"/>
      <c r="H28" s="497" t="s">
        <v>6247</v>
      </c>
      <c r="I28" s="492">
        <v>0</v>
      </c>
      <c r="J28" s="498" t="s">
        <v>3320</v>
      </c>
      <c r="K28" s="89"/>
      <c r="L28" s="489">
        <v>0</v>
      </c>
      <c r="M28" s="182">
        <v>4522871</v>
      </c>
      <c r="N28" s="490"/>
      <c r="O28" s="181" t="s">
        <v>1565</v>
      </c>
      <c r="P28" s="71" t="s">
        <v>8637</v>
      </c>
      <c r="Q28" s="76">
        <v>3955950</v>
      </c>
      <c r="R28" s="71" t="s">
        <v>8638</v>
      </c>
      <c r="S28" s="451">
        <v>1424142</v>
      </c>
      <c r="T28" s="754" t="s">
        <v>6247</v>
      </c>
      <c r="U28" s="168">
        <v>0</v>
      </c>
      <c r="V28" s="754" t="s">
        <v>8638</v>
      </c>
      <c r="W28" s="168">
        <v>712071</v>
      </c>
      <c r="X28" s="107" t="s">
        <v>8518</v>
      </c>
      <c r="Z28" s="517" t="s">
        <v>8639</v>
      </c>
      <c r="AA28" s="451">
        <v>1296000</v>
      </c>
      <c r="AB28" s="496">
        <v>20000</v>
      </c>
      <c r="AC28" s="493">
        <v>2344766</v>
      </c>
      <c r="AD28" s="593">
        <v>1785</v>
      </c>
      <c r="AE28" s="75" t="s">
        <v>6247</v>
      </c>
      <c r="AF28" s="168">
        <v>0</v>
      </c>
      <c r="AG28" s="75" t="s">
        <v>6247</v>
      </c>
      <c r="AH28" s="168">
        <v>0</v>
      </c>
      <c r="AI28" s="75" t="s">
        <v>6247</v>
      </c>
      <c r="AJ28" s="168">
        <v>0</v>
      </c>
      <c r="AK28" s="75" t="s">
        <v>6247</v>
      </c>
      <c r="AL28" s="168">
        <v>0</v>
      </c>
      <c r="AM28" s="75" t="s">
        <v>6247</v>
      </c>
      <c r="AN28" s="168">
        <v>0</v>
      </c>
      <c r="AO28" s="75" t="s">
        <v>6247</v>
      </c>
      <c r="AP28" s="168">
        <v>0</v>
      </c>
      <c r="AQ28" s="755" t="s">
        <v>8518</v>
      </c>
      <c r="AR28" s="494"/>
      <c r="AS28" s="493"/>
      <c r="AT28" s="182"/>
      <c r="AU28" s="494"/>
      <c r="AV28" s="298" t="s">
        <v>8523</v>
      </c>
    </row>
    <row r="29" spans="2:48">
      <c r="B29" s="174" t="s">
        <v>8640</v>
      </c>
      <c r="C29" s="174" t="s">
        <v>6293</v>
      </c>
      <c r="D29" s="174" t="s">
        <v>6289</v>
      </c>
      <c r="E29" s="456" t="s">
        <v>6292</v>
      </c>
      <c r="F29" s="175" t="s">
        <v>6297</v>
      </c>
      <c r="G29" s="79"/>
      <c r="H29" s="176" t="s">
        <v>8641</v>
      </c>
      <c r="I29" s="445">
        <f>3433287/1.1</f>
        <v>3121169.9999999995</v>
      </c>
      <c r="J29" s="107" t="s">
        <v>8518</v>
      </c>
      <c r="L29" s="447">
        <v>313833301</v>
      </c>
      <c r="M29" s="448">
        <v>276173305</v>
      </c>
      <c r="O29" s="181" t="s">
        <v>6295</v>
      </c>
      <c r="P29" s="71" t="s">
        <v>8642</v>
      </c>
      <c r="Q29" s="76">
        <v>38558073</v>
      </c>
      <c r="R29" s="71" t="s">
        <v>8643</v>
      </c>
      <c r="S29" s="76">
        <v>14326352</v>
      </c>
      <c r="T29" s="754" t="s">
        <v>6247</v>
      </c>
      <c r="U29" s="168">
        <v>0</v>
      </c>
      <c r="V29" s="71" t="s">
        <v>8644</v>
      </c>
      <c r="W29" s="76">
        <v>3414830</v>
      </c>
      <c r="X29" s="107" t="s">
        <v>8518</v>
      </c>
      <c r="Z29" s="518" t="s">
        <v>6247</v>
      </c>
      <c r="AA29" s="436">
        <v>0</v>
      </c>
      <c r="AB29" s="80">
        <v>20000</v>
      </c>
      <c r="AC29" s="183">
        <v>2459987</v>
      </c>
      <c r="AD29" s="593">
        <v>101115</v>
      </c>
      <c r="AE29" s="75" t="s">
        <v>6247</v>
      </c>
      <c r="AF29" s="168">
        <v>0</v>
      </c>
      <c r="AG29" s="75" t="s">
        <v>6247</v>
      </c>
      <c r="AH29" s="168">
        <v>0</v>
      </c>
      <c r="AI29" s="75" t="s">
        <v>6247</v>
      </c>
      <c r="AJ29" s="168">
        <v>0</v>
      </c>
      <c r="AK29" s="75" t="s">
        <v>6247</v>
      </c>
      <c r="AL29" s="168">
        <v>0</v>
      </c>
      <c r="AM29" s="75" t="s">
        <v>6247</v>
      </c>
      <c r="AN29" s="168">
        <v>0</v>
      </c>
      <c r="AO29" s="75" t="s">
        <v>6247</v>
      </c>
      <c r="AP29" s="168">
        <v>0</v>
      </c>
      <c r="AQ29" s="755" t="s">
        <v>8518</v>
      </c>
      <c r="AR29" s="295"/>
      <c r="AS29" s="183"/>
      <c r="AT29" s="180"/>
      <c r="AU29" s="295"/>
      <c r="AV29" s="298" t="s">
        <v>8523</v>
      </c>
    </row>
    <row r="30" spans="2:48">
      <c r="B30" s="174" t="s">
        <v>8645</v>
      </c>
      <c r="C30" s="440" t="s">
        <v>8646</v>
      </c>
      <c r="D30" s="174" t="s">
        <v>6569</v>
      </c>
      <c r="E30" s="455" t="s">
        <v>6569</v>
      </c>
      <c r="F30" s="175" t="s">
        <v>6578</v>
      </c>
      <c r="G30" s="79"/>
      <c r="H30" s="176" t="s">
        <v>8647</v>
      </c>
      <c r="I30" s="445">
        <f>965674/1.1</f>
        <v>877885.45454545447</v>
      </c>
      <c r="J30" s="107" t="s">
        <v>8518</v>
      </c>
      <c r="L30" s="179">
        <v>22497760</v>
      </c>
      <c r="M30" s="180">
        <v>74729194</v>
      </c>
      <c r="O30" s="181" t="s">
        <v>8648</v>
      </c>
      <c r="P30" s="71" t="s">
        <v>8649</v>
      </c>
      <c r="Q30" s="76">
        <v>21841070</v>
      </c>
      <c r="R30" s="71" t="s">
        <v>8650</v>
      </c>
      <c r="S30" s="76">
        <v>5704560</v>
      </c>
      <c r="T30" s="754" t="s">
        <v>6247</v>
      </c>
      <c r="U30" s="168">
        <v>0</v>
      </c>
      <c r="V30" s="71" t="s">
        <v>8651</v>
      </c>
      <c r="W30" s="76">
        <v>6026296</v>
      </c>
      <c r="X30" s="107" t="s">
        <v>8518</v>
      </c>
      <c r="Z30" s="519">
        <v>3451</v>
      </c>
      <c r="AA30" s="66">
        <v>648000</v>
      </c>
      <c r="AB30" s="80">
        <v>20000</v>
      </c>
      <c r="AC30" s="183">
        <v>2539756</v>
      </c>
      <c r="AD30" s="593">
        <v>250000</v>
      </c>
      <c r="AE30" s="75" t="s">
        <v>6247</v>
      </c>
      <c r="AF30" s="168">
        <v>0</v>
      </c>
      <c r="AG30" s="75" t="s">
        <v>6247</v>
      </c>
      <c r="AH30" s="168">
        <v>0</v>
      </c>
      <c r="AI30" s="75" t="s">
        <v>6247</v>
      </c>
      <c r="AJ30" s="168">
        <v>0</v>
      </c>
      <c r="AK30" s="75" t="s">
        <v>6247</v>
      </c>
      <c r="AL30" s="168">
        <v>0</v>
      </c>
      <c r="AM30" s="503" t="s">
        <v>8652</v>
      </c>
      <c r="AN30" s="180">
        <v>631000</v>
      </c>
      <c r="AO30" s="504" t="s">
        <v>8653</v>
      </c>
      <c r="AP30" s="83">
        <v>382000</v>
      </c>
      <c r="AQ30" s="755" t="s">
        <v>8518</v>
      </c>
      <c r="AR30" s="295"/>
      <c r="AS30" s="183"/>
      <c r="AT30" s="180"/>
      <c r="AU30" s="295"/>
      <c r="AV30" s="298" t="s">
        <v>8523</v>
      </c>
    </row>
    <row r="31" spans="2:48">
      <c r="B31" s="174" t="s">
        <v>8654</v>
      </c>
      <c r="C31" s="174" t="s">
        <v>6638</v>
      </c>
      <c r="D31" s="174" t="s">
        <v>6632</v>
      </c>
      <c r="E31" s="455" t="s">
        <v>6637</v>
      </c>
      <c r="F31" s="175" t="s">
        <v>6643</v>
      </c>
      <c r="G31" s="79"/>
      <c r="H31" s="497" t="s">
        <v>6247</v>
      </c>
      <c r="I31" s="492">
        <v>0</v>
      </c>
      <c r="J31" s="498" t="s">
        <v>3320</v>
      </c>
      <c r="L31" s="489">
        <v>0</v>
      </c>
      <c r="M31" s="180">
        <v>13232740</v>
      </c>
      <c r="O31" s="181" t="s">
        <v>1311</v>
      </c>
      <c r="P31" s="71" t="s">
        <v>8655</v>
      </c>
      <c r="Q31" s="70">
        <v>26409</v>
      </c>
      <c r="R31" s="754" t="s">
        <v>6247</v>
      </c>
      <c r="S31" s="168">
        <v>0</v>
      </c>
      <c r="T31" s="754" t="s">
        <v>6247</v>
      </c>
      <c r="U31" s="168">
        <v>0</v>
      </c>
      <c r="V31" s="754" t="s">
        <v>6247</v>
      </c>
      <c r="W31" s="168">
        <v>0</v>
      </c>
      <c r="X31" s="107" t="s">
        <v>8518</v>
      </c>
      <c r="Z31" s="519">
        <v>3466</v>
      </c>
      <c r="AA31" s="66">
        <v>648000</v>
      </c>
      <c r="AB31" s="184">
        <v>20000</v>
      </c>
      <c r="AC31" s="183">
        <v>2580057</v>
      </c>
      <c r="AD31" s="593">
        <v>4275</v>
      </c>
      <c r="AE31" s="75" t="s">
        <v>6247</v>
      </c>
      <c r="AF31" s="168">
        <v>0</v>
      </c>
      <c r="AG31" s="75" t="s">
        <v>6247</v>
      </c>
      <c r="AH31" s="168">
        <v>0</v>
      </c>
      <c r="AI31" s="75" t="s">
        <v>6247</v>
      </c>
      <c r="AJ31" s="168">
        <v>0</v>
      </c>
      <c r="AK31" s="75" t="s">
        <v>6247</v>
      </c>
      <c r="AL31" s="168">
        <v>0</v>
      </c>
      <c r="AM31" s="75" t="s">
        <v>6247</v>
      </c>
      <c r="AN31" s="168">
        <v>0</v>
      </c>
      <c r="AO31" s="75" t="s">
        <v>6247</v>
      </c>
      <c r="AP31" s="168">
        <v>0</v>
      </c>
      <c r="AQ31" s="755" t="s">
        <v>8518</v>
      </c>
      <c r="AR31" s="295"/>
      <c r="AS31" s="183"/>
      <c r="AT31" s="180"/>
      <c r="AU31" s="295"/>
      <c r="AV31" s="298" t="s">
        <v>8523</v>
      </c>
    </row>
    <row r="32" spans="2:48">
      <c r="B32" s="77" t="s">
        <v>8656</v>
      </c>
      <c r="C32" s="174" t="s">
        <v>6734</v>
      </c>
      <c r="D32" s="174" t="s">
        <v>8657</v>
      </c>
      <c r="E32" s="455" t="s">
        <v>6733</v>
      </c>
      <c r="F32" s="175" t="s">
        <v>6740</v>
      </c>
      <c r="G32" s="79"/>
      <c r="H32" s="176" t="s">
        <v>8658</v>
      </c>
      <c r="I32" s="445">
        <f>2094918/1.1</f>
        <v>1904470.9090909089</v>
      </c>
      <c r="J32" s="107" t="s">
        <v>8518</v>
      </c>
      <c r="L32" s="179">
        <v>29771420</v>
      </c>
      <c r="M32" s="180">
        <v>161367678</v>
      </c>
      <c r="O32" s="181" t="s">
        <v>1565</v>
      </c>
      <c r="P32" s="71" t="s">
        <v>8659</v>
      </c>
      <c r="Q32" s="76">
        <v>33006250</v>
      </c>
      <c r="R32" s="71" t="s">
        <v>8660</v>
      </c>
      <c r="S32" s="76">
        <f>1140696+3422088+570348</f>
        <v>5133132</v>
      </c>
      <c r="T32" s="754" t="s">
        <v>6247</v>
      </c>
      <c r="U32" s="168">
        <v>0</v>
      </c>
      <c r="V32" s="71" t="s">
        <v>8660</v>
      </c>
      <c r="W32" s="76">
        <v>4277610</v>
      </c>
      <c r="X32" s="107" t="s">
        <v>8518</v>
      </c>
      <c r="Z32" s="519">
        <v>3545</v>
      </c>
      <c r="AA32" s="66">
        <v>648000</v>
      </c>
      <c r="AB32" s="184">
        <v>20000</v>
      </c>
      <c r="AC32" s="183">
        <v>2624063</v>
      </c>
      <c r="AD32" s="593">
        <v>250000</v>
      </c>
      <c r="AE32" s="75" t="s">
        <v>6247</v>
      </c>
      <c r="AF32" s="168">
        <v>0</v>
      </c>
      <c r="AG32" s="75" t="s">
        <v>6247</v>
      </c>
      <c r="AH32" s="168">
        <v>0</v>
      </c>
      <c r="AI32" s="75" t="s">
        <v>6247</v>
      </c>
      <c r="AJ32" s="168">
        <v>0</v>
      </c>
      <c r="AK32" s="75" t="s">
        <v>6247</v>
      </c>
      <c r="AL32" s="168">
        <v>0</v>
      </c>
      <c r="AM32" s="503" t="s">
        <v>8661</v>
      </c>
      <c r="AN32" s="180">
        <v>999000</v>
      </c>
      <c r="AO32" s="504" t="s">
        <v>8662</v>
      </c>
      <c r="AP32" s="83">
        <v>497000</v>
      </c>
      <c r="AQ32" s="755" t="s">
        <v>8518</v>
      </c>
      <c r="AR32" s="295"/>
      <c r="AS32" s="183"/>
      <c r="AT32" s="180"/>
      <c r="AU32" s="295"/>
      <c r="AV32" s="298" t="s">
        <v>8523</v>
      </c>
    </row>
    <row r="33" spans="2:48" ht="12.95" customHeight="1">
      <c r="B33" s="174" t="s">
        <v>6807</v>
      </c>
      <c r="C33" s="440" t="s">
        <v>6813</v>
      </c>
      <c r="D33" s="174" t="s">
        <v>6808</v>
      </c>
      <c r="E33" s="456" t="s">
        <v>6812</v>
      </c>
      <c r="F33" s="175" t="s">
        <v>6818</v>
      </c>
      <c r="G33" s="79"/>
      <c r="H33" s="176" t="s">
        <v>8663</v>
      </c>
      <c r="I33" s="445">
        <v>250000</v>
      </c>
      <c r="J33" s="107" t="s">
        <v>8518</v>
      </c>
      <c r="L33" s="447">
        <v>0</v>
      </c>
      <c r="M33" s="448">
        <v>6675432</v>
      </c>
      <c r="O33" s="181" t="s">
        <v>6815</v>
      </c>
      <c r="P33" s="71" t="s">
        <v>8664</v>
      </c>
      <c r="Q33" s="76">
        <v>14541407</v>
      </c>
      <c r="R33" s="71" t="s">
        <v>8665</v>
      </c>
      <c r="S33" s="76">
        <v>1080000</v>
      </c>
      <c r="T33" s="71" t="s">
        <v>8666</v>
      </c>
      <c r="U33" s="70">
        <v>487971</v>
      </c>
      <c r="V33" s="71" t="s">
        <v>8667</v>
      </c>
      <c r="W33" s="70">
        <v>864000</v>
      </c>
      <c r="X33" s="107" t="s">
        <v>8518</v>
      </c>
      <c r="Z33" s="519">
        <v>3541</v>
      </c>
      <c r="AA33" s="66">
        <v>648000</v>
      </c>
      <c r="AB33" s="80">
        <v>20000</v>
      </c>
      <c r="AC33" s="183" t="s">
        <v>6247</v>
      </c>
      <c r="AD33" s="593">
        <v>0</v>
      </c>
      <c r="AE33" s="75" t="s">
        <v>6247</v>
      </c>
      <c r="AF33" s="168">
        <v>0</v>
      </c>
      <c r="AG33" s="75" t="s">
        <v>6247</v>
      </c>
      <c r="AH33" s="168">
        <v>0</v>
      </c>
      <c r="AI33" s="75" t="s">
        <v>6247</v>
      </c>
      <c r="AJ33" s="168">
        <v>0</v>
      </c>
      <c r="AK33" s="75" t="s">
        <v>6247</v>
      </c>
      <c r="AL33" s="168">
        <v>0</v>
      </c>
      <c r="AM33" s="75" t="s">
        <v>6247</v>
      </c>
      <c r="AN33" s="168">
        <v>0</v>
      </c>
      <c r="AO33" s="75" t="s">
        <v>6247</v>
      </c>
      <c r="AP33" s="168">
        <v>0</v>
      </c>
      <c r="AQ33" s="755" t="s">
        <v>8518</v>
      </c>
      <c r="AR33" s="295"/>
      <c r="AS33" s="183"/>
      <c r="AT33" s="180"/>
      <c r="AU33" s="295"/>
      <c r="AV33" s="298" t="s">
        <v>8523</v>
      </c>
    </row>
    <row r="34" spans="2:48">
      <c r="B34" s="174" t="s">
        <v>8668</v>
      </c>
      <c r="C34" s="440" t="s">
        <v>6826</v>
      </c>
      <c r="D34" s="174" t="s">
        <v>6819</v>
      </c>
      <c r="E34" s="455" t="s">
        <v>6825</v>
      </c>
      <c r="F34" s="175" t="s">
        <v>6831</v>
      </c>
      <c r="G34" s="79"/>
      <c r="H34" s="176" t="s">
        <v>8669</v>
      </c>
      <c r="I34" s="445">
        <f>327291/1.1</f>
        <v>297537.27272727271</v>
      </c>
      <c r="J34" s="107" t="s">
        <v>8518</v>
      </c>
      <c r="L34" s="179">
        <v>0</v>
      </c>
      <c r="M34" s="180">
        <v>25692561</v>
      </c>
      <c r="O34" s="181" t="s">
        <v>6828</v>
      </c>
      <c r="P34" s="1132" t="s">
        <v>8670</v>
      </c>
      <c r="Q34" s="182">
        <v>17906658</v>
      </c>
      <c r="R34" s="71" t="s">
        <v>8671</v>
      </c>
      <c r="S34" s="182">
        <v>5582580</v>
      </c>
      <c r="T34" s="754" t="s">
        <v>6247</v>
      </c>
      <c r="U34" s="168">
        <v>0</v>
      </c>
      <c r="V34" s="71" t="s">
        <v>8671</v>
      </c>
      <c r="W34" s="76">
        <v>1605438</v>
      </c>
      <c r="X34" s="107" t="s">
        <v>8518</v>
      </c>
      <c r="Z34" s="519">
        <v>3531</v>
      </c>
      <c r="AA34" s="66">
        <v>648000</v>
      </c>
      <c r="AB34" s="80">
        <v>20000</v>
      </c>
      <c r="AC34" s="183">
        <v>2625295</v>
      </c>
      <c r="AD34" s="593">
        <v>7755</v>
      </c>
      <c r="AE34" s="75" t="s">
        <v>6247</v>
      </c>
      <c r="AF34" s="168">
        <v>0</v>
      </c>
      <c r="AG34" s="75" t="s">
        <v>6247</v>
      </c>
      <c r="AH34" s="168">
        <v>0</v>
      </c>
      <c r="AI34" s="75" t="s">
        <v>6247</v>
      </c>
      <c r="AJ34" s="168">
        <v>0</v>
      </c>
      <c r="AK34" s="75" t="s">
        <v>6247</v>
      </c>
      <c r="AL34" s="168">
        <v>0</v>
      </c>
      <c r="AM34" s="75" t="s">
        <v>6247</v>
      </c>
      <c r="AN34" s="168">
        <v>0</v>
      </c>
      <c r="AO34" s="75" t="s">
        <v>6247</v>
      </c>
      <c r="AP34" s="168">
        <v>0</v>
      </c>
      <c r="AQ34" s="755" t="s">
        <v>8518</v>
      </c>
      <c r="AR34" s="295"/>
      <c r="AS34" s="183"/>
      <c r="AT34" s="180"/>
      <c r="AU34" s="295"/>
      <c r="AV34" s="298" t="s">
        <v>8523</v>
      </c>
    </row>
    <row r="35" spans="2:48">
      <c r="B35" s="174" t="s">
        <v>3918</v>
      </c>
      <c r="C35" s="746" t="s">
        <v>3320</v>
      </c>
      <c r="D35" s="174" t="s">
        <v>6832</v>
      </c>
      <c r="E35" s="175" t="s">
        <v>3320</v>
      </c>
      <c r="F35" s="175" t="s">
        <v>6838</v>
      </c>
      <c r="G35" s="79"/>
      <c r="H35" s="497" t="s">
        <v>6247</v>
      </c>
      <c r="I35" s="492">
        <v>0</v>
      </c>
      <c r="J35" s="498" t="s">
        <v>3320</v>
      </c>
      <c r="L35" s="179"/>
      <c r="M35" s="180"/>
      <c r="O35" s="181" t="s">
        <v>7188</v>
      </c>
      <c r="P35" s="754" t="s">
        <v>6247</v>
      </c>
      <c r="Q35" s="168">
        <v>0</v>
      </c>
      <c r="R35" s="754" t="s">
        <v>6247</v>
      </c>
      <c r="S35" s="168">
        <v>0</v>
      </c>
      <c r="T35" s="754" t="s">
        <v>6247</v>
      </c>
      <c r="U35" s="168">
        <v>0</v>
      </c>
      <c r="V35" s="754" t="s">
        <v>6247</v>
      </c>
      <c r="W35" s="168">
        <v>0</v>
      </c>
      <c r="X35" s="78" t="s">
        <v>3320</v>
      </c>
      <c r="Z35" s="517" t="s">
        <v>6247</v>
      </c>
      <c r="AA35" s="451">
        <v>0</v>
      </c>
      <c r="AB35" s="496" t="s">
        <v>8575</v>
      </c>
      <c r="AC35" s="493" t="s">
        <v>6247</v>
      </c>
      <c r="AD35" s="593">
        <v>0</v>
      </c>
      <c r="AE35" s="75" t="s">
        <v>6247</v>
      </c>
      <c r="AF35" s="168">
        <v>0</v>
      </c>
      <c r="AG35" s="75" t="s">
        <v>6247</v>
      </c>
      <c r="AH35" s="168">
        <v>0</v>
      </c>
      <c r="AI35" s="75" t="s">
        <v>6247</v>
      </c>
      <c r="AJ35" s="168">
        <v>0</v>
      </c>
      <c r="AK35" s="75" t="s">
        <v>6247</v>
      </c>
      <c r="AL35" s="168">
        <v>0</v>
      </c>
      <c r="AM35" s="75" t="s">
        <v>6247</v>
      </c>
      <c r="AN35" s="168">
        <v>0</v>
      </c>
      <c r="AO35" s="75" t="s">
        <v>6247</v>
      </c>
      <c r="AP35" s="168">
        <v>0</v>
      </c>
      <c r="AQ35" s="755" t="s">
        <v>8518</v>
      </c>
      <c r="AR35" s="295"/>
      <c r="AS35" s="183"/>
      <c r="AT35" s="180"/>
      <c r="AU35" s="295"/>
      <c r="AV35" s="298" t="s">
        <v>8523</v>
      </c>
    </row>
    <row r="36" spans="2:48">
      <c r="B36" s="174" t="s">
        <v>273</v>
      </c>
      <c r="C36" s="440" t="s">
        <v>6868</v>
      </c>
      <c r="D36" s="174" t="s">
        <v>8672</v>
      </c>
      <c r="E36" s="456" t="s">
        <v>6867</v>
      </c>
      <c r="F36" s="175" t="s">
        <v>6871</v>
      </c>
      <c r="G36" s="79"/>
      <c r="H36" s="497" t="s">
        <v>6247</v>
      </c>
      <c r="I36" s="492">
        <v>0</v>
      </c>
      <c r="J36" s="498" t="s">
        <v>3320</v>
      </c>
      <c r="L36" s="179">
        <v>13525041</v>
      </c>
      <c r="M36" s="180">
        <v>11902036</v>
      </c>
      <c r="O36" s="181" t="s">
        <v>3602</v>
      </c>
      <c r="P36" s="754" t="s">
        <v>6247</v>
      </c>
      <c r="Q36" s="168">
        <v>0</v>
      </c>
      <c r="R36" s="71" t="s">
        <v>8673</v>
      </c>
      <c r="S36" s="182">
        <v>12831858</v>
      </c>
      <c r="T36" s="754" t="s">
        <v>6247</v>
      </c>
      <c r="U36" s="168">
        <v>0</v>
      </c>
      <c r="V36" s="754" t="s">
        <v>6247</v>
      </c>
      <c r="W36" s="168">
        <v>0</v>
      </c>
      <c r="X36" s="107" t="s">
        <v>8518</v>
      </c>
      <c r="Z36" s="72" t="s">
        <v>6247</v>
      </c>
      <c r="AA36" s="436">
        <v>0</v>
      </c>
      <c r="AB36" s="80">
        <v>20000</v>
      </c>
      <c r="AC36" s="183" t="s">
        <v>6247</v>
      </c>
      <c r="AD36" s="593">
        <v>0</v>
      </c>
      <c r="AE36" s="75" t="s">
        <v>6247</v>
      </c>
      <c r="AF36" s="168">
        <v>0</v>
      </c>
      <c r="AG36" s="75" t="s">
        <v>6247</v>
      </c>
      <c r="AH36" s="168">
        <v>0</v>
      </c>
      <c r="AI36" s="75" t="s">
        <v>6247</v>
      </c>
      <c r="AJ36" s="168">
        <v>0</v>
      </c>
      <c r="AK36" s="75" t="s">
        <v>6247</v>
      </c>
      <c r="AL36" s="168">
        <v>0</v>
      </c>
      <c r="AM36" s="75" t="s">
        <v>6247</v>
      </c>
      <c r="AN36" s="168">
        <v>0</v>
      </c>
      <c r="AO36" s="75" t="s">
        <v>6247</v>
      </c>
      <c r="AP36" s="168">
        <v>0</v>
      </c>
      <c r="AQ36" s="755" t="s">
        <v>8518</v>
      </c>
      <c r="AR36" s="295"/>
      <c r="AS36" s="183"/>
      <c r="AT36" s="180"/>
      <c r="AU36" s="295"/>
      <c r="AV36" s="298" t="s">
        <v>8523</v>
      </c>
    </row>
    <row r="37" spans="2:48">
      <c r="B37" s="174" t="s">
        <v>8674</v>
      </c>
      <c r="C37" s="174" t="s">
        <v>6913</v>
      </c>
      <c r="D37" s="174" t="s">
        <v>8675</v>
      </c>
      <c r="E37" s="455" t="s">
        <v>6912</v>
      </c>
      <c r="F37" s="175" t="s">
        <v>6916</v>
      </c>
      <c r="G37" s="79"/>
      <c r="H37" s="176" t="s">
        <v>8676</v>
      </c>
      <c r="I37" s="177">
        <f>699333/1.1</f>
        <v>635757.27272727271</v>
      </c>
      <c r="J37" s="107" t="s">
        <v>8518</v>
      </c>
      <c r="L37" s="179">
        <v>1987226</v>
      </c>
      <c r="M37" s="180">
        <v>54504469</v>
      </c>
      <c r="O37" s="181" t="s">
        <v>1565</v>
      </c>
      <c r="P37" s="71" t="s">
        <v>8677</v>
      </c>
      <c r="Q37" s="182">
        <v>11473995</v>
      </c>
      <c r="R37" s="71" t="s">
        <v>8678</v>
      </c>
      <c r="S37" s="182">
        <v>4928279</v>
      </c>
      <c r="T37" s="754" t="s">
        <v>6247</v>
      </c>
      <c r="U37" s="168">
        <v>0</v>
      </c>
      <c r="V37" s="71" t="s">
        <v>8678</v>
      </c>
      <c r="W37" s="182">
        <v>3190562</v>
      </c>
      <c r="X37" s="107" t="s">
        <v>8518</v>
      </c>
      <c r="Z37" s="519">
        <v>17</v>
      </c>
      <c r="AA37" s="66">
        <v>648000</v>
      </c>
      <c r="AB37" s="80">
        <v>20000</v>
      </c>
      <c r="AC37" s="183">
        <v>2821326</v>
      </c>
      <c r="AD37" s="593">
        <v>5420</v>
      </c>
      <c r="AE37" s="75" t="s">
        <v>6247</v>
      </c>
      <c r="AF37" s="168">
        <v>0</v>
      </c>
      <c r="AG37" s="75" t="s">
        <v>6247</v>
      </c>
      <c r="AH37" s="168">
        <v>0</v>
      </c>
      <c r="AI37" s="75" t="s">
        <v>6247</v>
      </c>
      <c r="AJ37" s="168">
        <v>0</v>
      </c>
      <c r="AK37" s="75" t="s">
        <v>6247</v>
      </c>
      <c r="AL37" s="168">
        <v>0</v>
      </c>
      <c r="AM37" s="75" t="s">
        <v>6247</v>
      </c>
      <c r="AN37" s="168">
        <v>0</v>
      </c>
      <c r="AO37" s="75" t="s">
        <v>6247</v>
      </c>
      <c r="AP37" s="168">
        <v>0</v>
      </c>
      <c r="AQ37" s="755" t="s">
        <v>8518</v>
      </c>
      <c r="AR37" s="295"/>
      <c r="AS37" s="183"/>
      <c r="AT37" s="180"/>
      <c r="AU37" s="295"/>
      <c r="AV37" s="298" t="s">
        <v>8523</v>
      </c>
    </row>
    <row r="38" spans="2:48">
      <c r="B38" s="174" t="s">
        <v>101</v>
      </c>
      <c r="C38" s="440" t="s">
        <v>6981</v>
      </c>
      <c r="D38" s="174" t="s">
        <v>6977</v>
      </c>
      <c r="E38" s="455" t="s">
        <v>6977</v>
      </c>
      <c r="F38" s="175" t="s">
        <v>6984</v>
      </c>
      <c r="G38" s="79"/>
      <c r="H38" s="176" t="s">
        <v>8679</v>
      </c>
      <c r="I38" s="177">
        <f>797220/1.1</f>
        <v>724745.45454545447</v>
      </c>
      <c r="J38" s="107" t="s">
        <v>8518</v>
      </c>
      <c r="L38" s="179">
        <v>0</v>
      </c>
      <c r="M38" s="180">
        <v>60097224</v>
      </c>
      <c r="O38" s="181" t="s">
        <v>8648</v>
      </c>
      <c r="P38" s="71" t="s">
        <v>8680</v>
      </c>
      <c r="Q38" s="182">
        <v>12613578</v>
      </c>
      <c r="R38" s="71" t="s">
        <v>8681</v>
      </c>
      <c r="S38" s="182">
        <v>3958968</v>
      </c>
      <c r="T38" s="754" t="s">
        <v>8682</v>
      </c>
      <c r="U38" s="168">
        <v>270579</v>
      </c>
      <c r="V38" s="71" t="s">
        <v>8683</v>
      </c>
      <c r="W38" s="182">
        <v>945000</v>
      </c>
      <c r="X38" s="107" t="s">
        <v>8518</v>
      </c>
      <c r="Z38" s="519">
        <v>88</v>
      </c>
      <c r="AA38" s="66">
        <v>648000</v>
      </c>
      <c r="AB38" s="80">
        <v>20000</v>
      </c>
      <c r="AC38" s="183" t="s">
        <v>6247</v>
      </c>
      <c r="AD38" s="593">
        <v>0</v>
      </c>
      <c r="AE38" s="75" t="s">
        <v>6247</v>
      </c>
      <c r="AF38" s="168">
        <v>0</v>
      </c>
      <c r="AG38" s="75" t="s">
        <v>6247</v>
      </c>
      <c r="AH38" s="168">
        <v>0</v>
      </c>
      <c r="AI38" s="75" t="s">
        <v>6247</v>
      </c>
      <c r="AJ38" s="168">
        <v>0</v>
      </c>
      <c r="AK38" s="75" t="s">
        <v>6247</v>
      </c>
      <c r="AL38" s="168">
        <v>0</v>
      </c>
      <c r="AM38" s="75" t="s">
        <v>6247</v>
      </c>
      <c r="AN38" s="168">
        <v>0</v>
      </c>
      <c r="AO38" s="75" t="s">
        <v>6247</v>
      </c>
      <c r="AP38" s="168">
        <v>0</v>
      </c>
      <c r="AQ38" s="755" t="s">
        <v>8518</v>
      </c>
      <c r="AR38" s="295"/>
      <c r="AS38" s="183"/>
      <c r="AT38" s="180"/>
      <c r="AU38" s="295"/>
      <c r="AV38" s="298" t="s">
        <v>8523</v>
      </c>
    </row>
    <row r="39" spans="2:48">
      <c r="B39" s="174" t="s">
        <v>8684</v>
      </c>
      <c r="C39" s="440" t="s">
        <v>7020</v>
      </c>
      <c r="D39" s="455" t="s">
        <v>8685</v>
      </c>
      <c r="E39" s="455" t="s">
        <v>7019</v>
      </c>
      <c r="F39" s="175" t="s">
        <v>7024</v>
      </c>
      <c r="G39" s="79"/>
      <c r="H39" s="497" t="s">
        <v>6247</v>
      </c>
      <c r="I39" s="492">
        <v>0</v>
      </c>
      <c r="J39" s="498" t="s">
        <v>3320</v>
      </c>
      <c r="L39" s="179">
        <v>0</v>
      </c>
      <c r="M39" s="180">
        <v>4459430</v>
      </c>
      <c r="O39" s="181" t="s">
        <v>3320</v>
      </c>
      <c r="P39" s="754" t="s">
        <v>6247</v>
      </c>
      <c r="Q39" s="168">
        <v>0</v>
      </c>
      <c r="R39" s="754" t="s">
        <v>6247</v>
      </c>
      <c r="S39" s="168">
        <v>0</v>
      </c>
      <c r="T39" s="754" t="s">
        <v>6247</v>
      </c>
      <c r="U39" s="168">
        <v>0</v>
      </c>
      <c r="V39" s="754" t="s">
        <v>6247</v>
      </c>
      <c r="W39" s="168">
        <v>0</v>
      </c>
      <c r="X39" s="107" t="s">
        <v>8518</v>
      </c>
      <c r="Z39" s="519">
        <v>3560</v>
      </c>
      <c r="AA39" s="66">
        <v>648000</v>
      </c>
      <c r="AB39" s="80">
        <v>20000</v>
      </c>
      <c r="AC39" s="72" t="s">
        <v>6247</v>
      </c>
      <c r="AD39" s="593">
        <v>0</v>
      </c>
      <c r="AE39" s="72" t="s">
        <v>6247</v>
      </c>
      <c r="AF39" s="168">
        <v>0</v>
      </c>
      <c r="AG39" s="72" t="s">
        <v>6247</v>
      </c>
      <c r="AH39" s="168">
        <v>0</v>
      </c>
      <c r="AI39" s="72" t="s">
        <v>6247</v>
      </c>
      <c r="AJ39" s="168">
        <v>0</v>
      </c>
      <c r="AK39" s="72" t="s">
        <v>6247</v>
      </c>
      <c r="AL39" s="168">
        <v>0</v>
      </c>
      <c r="AM39" s="72" t="s">
        <v>6247</v>
      </c>
      <c r="AN39" s="168">
        <v>0</v>
      </c>
      <c r="AO39" s="72" t="s">
        <v>6247</v>
      </c>
      <c r="AP39" s="168">
        <v>0</v>
      </c>
      <c r="AQ39" s="755" t="s">
        <v>8518</v>
      </c>
      <c r="AR39" s="295"/>
      <c r="AS39" s="183"/>
      <c r="AT39" s="180"/>
      <c r="AU39" s="295"/>
      <c r="AV39" s="298" t="s">
        <v>8523</v>
      </c>
    </row>
    <row r="40" spans="2:48">
      <c r="B40" s="174" t="s">
        <v>101</v>
      </c>
      <c r="C40" s="440" t="s">
        <v>7047</v>
      </c>
      <c r="D40" s="455" t="s">
        <v>7041</v>
      </c>
      <c r="E40" s="455" t="s">
        <v>7046</v>
      </c>
      <c r="F40" s="175" t="s">
        <v>7050</v>
      </c>
      <c r="G40" s="79"/>
      <c r="H40" s="487" t="s">
        <v>8686</v>
      </c>
      <c r="I40" s="496">
        <f>275000/1.1</f>
        <v>249999.99999999997</v>
      </c>
      <c r="J40" s="107" t="s">
        <v>8518</v>
      </c>
      <c r="L40" s="179">
        <v>0</v>
      </c>
      <c r="M40" s="180">
        <v>14853193.4</v>
      </c>
      <c r="O40" s="181" t="s">
        <v>1565</v>
      </c>
      <c r="P40" s="754" t="s">
        <v>8687</v>
      </c>
      <c r="Q40" s="168">
        <v>15321348</v>
      </c>
      <c r="R40" s="754" t="s">
        <v>8688</v>
      </c>
      <c r="S40" s="168">
        <f>522200*2*1.08</f>
        <v>1127952</v>
      </c>
      <c r="T40" s="754"/>
      <c r="U40" s="168">
        <f>201168*1.08</f>
        <v>217261.44</v>
      </c>
      <c r="V40" s="754" t="s">
        <v>8689</v>
      </c>
      <c r="W40" s="168">
        <f>783300*1.08</f>
        <v>845964</v>
      </c>
      <c r="X40" s="107" t="s">
        <v>8518</v>
      </c>
      <c r="Z40" s="519">
        <v>220</v>
      </c>
      <c r="AA40" s="66">
        <v>648000</v>
      </c>
      <c r="AB40" s="80">
        <v>20000</v>
      </c>
      <c r="AC40" s="72" t="s">
        <v>6247</v>
      </c>
      <c r="AD40" s="593">
        <v>0</v>
      </c>
      <c r="AE40" s="72" t="s">
        <v>6247</v>
      </c>
      <c r="AF40" s="168">
        <v>0</v>
      </c>
      <c r="AG40" s="72" t="s">
        <v>6247</v>
      </c>
      <c r="AH40" s="168">
        <v>0</v>
      </c>
      <c r="AI40" s="72" t="s">
        <v>6247</v>
      </c>
      <c r="AJ40" s="168">
        <v>0</v>
      </c>
      <c r="AK40" s="72" t="s">
        <v>6247</v>
      </c>
      <c r="AL40" s="168">
        <v>0</v>
      </c>
      <c r="AM40" s="72" t="s">
        <v>6247</v>
      </c>
      <c r="AN40" s="168">
        <v>0</v>
      </c>
      <c r="AO40" s="72" t="s">
        <v>6247</v>
      </c>
      <c r="AP40" s="168">
        <v>0</v>
      </c>
      <c r="AQ40" s="755" t="s">
        <v>8518</v>
      </c>
      <c r="AR40" s="295"/>
      <c r="AS40" s="183"/>
      <c r="AT40" s="180"/>
      <c r="AU40" s="295"/>
      <c r="AV40" s="298" t="s">
        <v>8523</v>
      </c>
    </row>
    <row r="41" spans="2:48">
      <c r="B41" s="174" t="s">
        <v>3918</v>
      </c>
      <c r="C41" s="440" t="s">
        <v>7056</v>
      </c>
      <c r="D41" s="455" t="s">
        <v>7051</v>
      </c>
      <c r="E41" s="455" t="s">
        <v>7051</v>
      </c>
      <c r="F41" s="175" t="s">
        <v>7059</v>
      </c>
      <c r="G41" s="79"/>
      <c r="H41" s="497" t="s">
        <v>6247</v>
      </c>
      <c r="I41" s="492">
        <v>0</v>
      </c>
      <c r="J41" s="498" t="s">
        <v>3320</v>
      </c>
      <c r="L41" s="179">
        <v>741824</v>
      </c>
      <c r="M41" s="180">
        <v>11847657</v>
      </c>
      <c r="O41" s="181" t="s">
        <v>8612</v>
      </c>
      <c r="P41" s="71" t="s">
        <v>8690</v>
      </c>
      <c r="Q41" s="182">
        <v>3481940</v>
      </c>
      <c r="R41" s="71" t="s">
        <v>8691</v>
      </c>
      <c r="S41" s="182">
        <v>2120580</v>
      </c>
      <c r="T41" s="754" t="s">
        <v>8692</v>
      </c>
      <c r="U41" s="168">
        <v>11782</v>
      </c>
      <c r="V41" s="71" t="s">
        <v>6247</v>
      </c>
      <c r="W41" s="182">
        <v>0</v>
      </c>
      <c r="X41" s="107" t="s">
        <v>8518</v>
      </c>
      <c r="Z41" s="519">
        <v>242</v>
      </c>
      <c r="AA41" s="66">
        <v>648000</v>
      </c>
      <c r="AB41" s="80">
        <v>20000</v>
      </c>
      <c r="AC41" s="72" t="s">
        <v>6247</v>
      </c>
      <c r="AD41" s="593">
        <v>0</v>
      </c>
      <c r="AE41" s="72" t="s">
        <v>6247</v>
      </c>
      <c r="AF41" s="168">
        <v>0</v>
      </c>
      <c r="AG41" s="72" t="s">
        <v>6247</v>
      </c>
      <c r="AH41" s="168">
        <v>0</v>
      </c>
      <c r="AI41" s="72" t="s">
        <v>6247</v>
      </c>
      <c r="AJ41" s="168">
        <v>0</v>
      </c>
      <c r="AK41" s="72" t="s">
        <v>6247</v>
      </c>
      <c r="AL41" s="168">
        <v>0</v>
      </c>
      <c r="AM41" s="72" t="s">
        <v>6247</v>
      </c>
      <c r="AN41" s="168">
        <v>0</v>
      </c>
      <c r="AO41" s="72" t="s">
        <v>6247</v>
      </c>
      <c r="AP41" s="168">
        <v>0</v>
      </c>
      <c r="AQ41" s="755" t="s">
        <v>8518</v>
      </c>
      <c r="AR41" s="295"/>
      <c r="AS41" s="183"/>
      <c r="AT41" s="180"/>
      <c r="AU41" s="295"/>
      <c r="AV41" s="298" t="s">
        <v>8523</v>
      </c>
    </row>
    <row r="42" spans="2:48">
      <c r="B42" s="174" t="s">
        <v>8693</v>
      </c>
      <c r="C42" s="440" t="s">
        <v>7149</v>
      </c>
      <c r="D42" s="455" t="s">
        <v>7143</v>
      </c>
      <c r="E42" s="455" t="s">
        <v>8694</v>
      </c>
      <c r="F42" s="175" t="s">
        <v>7153</v>
      </c>
      <c r="G42" s="79"/>
      <c r="H42" s="487" t="s">
        <v>8695</v>
      </c>
      <c r="I42" s="496">
        <f>275000/1.1</f>
        <v>249999.99999999997</v>
      </c>
      <c r="J42" s="107" t="s">
        <v>8518</v>
      </c>
      <c r="L42" s="179">
        <v>0</v>
      </c>
      <c r="M42" s="180">
        <v>3210779</v>
      </c>
      <c r="O42" s="181" t="s">
        <v>1188</v>
      </c>
      <c r="P42" s="71" t="s">
        <v>8696</v>
      </c>
      <c r="Q42" s="182">
        <v>10183470</v>
      </c>
      <c r="R42" s="71" t="s">
        <v>8697</v>
      </c>
      <c r="S42" s="182">
        <v>569354</v>
      </c>
      <c r="T42" s="754" t="s">
        <v>8698</v>
      </c>
      <c r="U42" s="168">
        <v>340200</v>
      </c>
      <c r="V42" s="71" t="s">
        <v>8699</v>
      </c>
      <c r="W42" s="182">
        <v>1138709</v>
      </c>
      <c r="X42" s="107" t="s">
        <v>8518</v>
      </c>
      <c r="Z42" s="519">
        <v>511</v>
      </c>
      <c r="AA42" s="66">
        <v>648000</v>
      </c>
      <c r="AB42" s="80">
        <v>20000</v>
      </c>
      <c r="AC42" s="72" t="s">
        <v>6247</v>
      </c>
      <c r="AD42" s="593">
        <v>0</v>
      </c>
      <c r="AE42" s="592" t="s">
        <v>8700</v>
      </c>
      <c r="AF42" s="168">
        <v>1000000</v>
      </c>
      <c r="AG42" s="72" t="s">
        <v>6247</v>
      </c>
      <c r="AH42" s="168">
        <v>0</v>
      </c>
      <c r="AI42" s="72" t="s">
        <v>6247</v>
      </c>
      <c r="AJ42" s="168">
        <v>0</v>
      </c>
      <c r="AK42" s="72" t="s">
        <v>6247</v>
      </c>
      <c r="AL42" s="168">
        <v>0</v>
      </c>
      <c r="AM42" s="72" t="s">
        <v>6247</v>
      </c>
      <c r="AN42" s="168">
        <v>0</v>
      </c>
      <c r="AO42" s="72" t="s">
        <v>6247</v>
      </c>
      <c r="AP42" s="168">
        <v>0</v>
      </c>
      <c r="AQ42" s="755" t="s">
        <v>8518</v>
      </c>
      <c r="AR42" s="295"/>
      <c r="AS42" s="183"/>
      <c r="AT42" s="180"/>
      <c r="AU42" s="295"/>
      <c r="AV42" s="298" t="s">
        <v>8523</v>
      </c>
    </row>
    <row r="43" spans="2:48">
      <c r="B43" s="174" t="s">
        <v>5635</v>
      </c>
      <c r="C43" s="440" t="s">
        <v>8701</v>
      </c>
      <c r="D43" s="455" t="s">
        <v>8702</v>
      </c>
      <c r="E43" s="455" t="s">
        <v>7157</v>
      </c>
      <c r="F43" s="175" t="s">
        <v>7162</v>
      </c>
      <c r="G43" s="79"/>
      <c r="H43" s="487" t="s">
        <v>8703</v>
      </c>
      <c r="I43" s="496">
        <f>275000/1.1</f>
        <v>249999.99999999997</v>
      </c>
      <c r="J43" s="107" t="s">
        <v>8518</v>
      </c>
      <c r="L43" s="179">
        <v>0</v>
      </c>
      <c r="M43" s="180">
        <v>12294132</v>
      </c>
      <c r="O43" s="181" t="s">
        <v>6575</v>
      </c>
      <c r="P43" s="71" t="s">
        <v>8704</v>
      </c>
      <c r="Q43" s="182">
        <v>37199653</v>
      </c>
      <c r="R43" s="71" t="s">
        <v>8705</v>
      </c>
      <c r="S43" s="182">
        <f xml:space="preserve"> 658000+52640</f>
        <v>710640</v>
      </c>
      <c r="T43" s="754" t="s">
        <v>8706</v>
      </c>
      <c r="U43" s="168">
        <v>1539198</v>
      </c>
      <c r="V43" s="71" t="s">
        <v>8707</v>
      </c>
      <c r="W43" s="182">
        <f>756000</f>
        <v>756000</v>
      </c>
      <c r="X43" s="107" t="s">
        <v>8518</v>
      </c>
      <c r="Z43" s="519">
        <v>537</v>
      </c>
      <c r="AA43" s="66">
        <v>648000</v>
      </c>
      <c r="AB43" s="80">
        <v>20000</v>
      </c>
      <c r="AC43" s="72" t="s">
        <v>6247</v>
      </c>
      <c r="AD43" s="593">
        <v>0</v>
      </c>
      <c r="AE43" s="72" t="s">
        <v>6247</v>
      </c>
      <c r="AF43" s="168">
        <v>0</v>
      </c>
      <c r="AG43" s="72" t="s">
        <v>6247</v>
      </c>
      <c r="AH43" s="168">
        <v>0</v>
      </c>
      <c r="AI43" s="72" t="s">
        <v>6247</v>
      </c>
      <c r="AJ43" s="168">
        <v>0</v>
      </c>
      <c r="AK43" s="72" t="s">
        <v>6247</v>
      </c>
      <c r="AL43" s="168">
        <v>0</v>
      </c>
      <c r="AM43" s="72" t="s">
        <v>6247</v>
      </c>
      <c r="AN43" s="168">
        <v>0</v>
      </c>
      <c r="AO43" s="72" t="s">
        <v>6247</v>
      </c>
      <c r="AP43" s="168">
        <v>0</v>
      </c>
      <c r="AQ43" s="755" t="s">
        <v>8518</v>
      </c>
      <c r="AR43" s="295"/>
      <c r="AS43" s="183"/>
      <c r="AT43" s="180"/>
      <c r="AU43" s="295"/>
      <c r="AV43" s="298" t="s">
        <v>8523</v>
      </c>
    </row>
    <row r="44" spans="2:48">
      <c r="B44" s="174" t="s">
        <v>8708</v>
      </c>
      <c r="C44" s="440" t="s">
        <v>7176</v>
      </c>
      <c r="D44" s="455" t="s">
        <v>7171</v>
      </c>
      <c r="E44" s="455" t="s">
        <v>8709</v>
      </c>
      <c r="F44" s="175" t="s">
        <v>7179</v>
      </c>
      <c r="G44" s="79"/>
      <c r="H44" s="497" t="s">
        <v>6247</v>
      </c>
      <c r="I44" s="492">
        <v>0</v>
      </c>
      <c r="J44" s="498" t="s">
        <v>3320</v>
      </c>
      <c r="L44" s="179">
        <v>0</v>
      </c>
      <c r="M44" s="179">
        <v>944732</v>
      </c>
      <c r="O44" s="181" t="s">
        <v>2388</v>
      </c>
      <c r="P44" s="71" t="s">
        <v>8710</v>
      </c>
      <c r="Q44" s="182">
        <v>7893879</v>
      </c>
      <c r="R44" s="754" t="s">
        <v>6247</v>
      </c>
      <c r="S44" s="168">
        <v>0</v>
      </c>
      <c r="T44" s="754" t="s">
        <v>6247</v>
      </c>
      <c r="U44" s="168">
        <v>0</v>
      </c>
      <c r="V44" s="754" t="s">
        <v>6247</v>
      </c>
      <c r="W44" s="168">
        <v>0</v>
      </c>
      <c r="X44" s="107" t="s">
        <v>8518</v>
      </c>
      <c r="Z44" s="519">
        <v>501</v>
      </c>
      <c r="AA44" s="66">
        <v>648000</v>
      </c>
      <c r="AB44" s="80">
        <v>20000</v>
      </c>
      <c r="AC44" s="72" t="s">
        <v>6247</v>
      </c>
      <c r="AD44" s="593">
        <v>0</v>
      </c>
      <c r="AE44" s="72" t="s">
        <v>6247</v>
      </c>
      <c r="AF44" s="168">
        <v>0</v>
      </c>
      <c r="AG44" s="72" t="s">
        <v>6247</v>
      </c>
      <c r="AH44" s="168">
        <v>0</v>
      </c>
      <c r="AI44" s="72" t="s">
        <v>6247</v>
      </c>
      <c r="AJ44" s="168">
        <v>0</v>
      </c>
      <c r="AK44" s="72" t="s">
        <v>6247</v>
      </c>
      <c r="AL44" s="168">
        <v>0</v>
      </c>
      <c r="AM44" s="72" t="s">
        <v>6247</v>
      </c>
      <c r="AN44" s="168">
        <v>0</v>
      </c>
      <c r="AO44" s="72" t="s">
        <v>6247</v>
      </c>
      <c r="AP44" s="168">
        <v>0</v>
      </c>
      <c r="AQ44" s="755" t="s">
        <v>8518</v>
      </c>
      <c r="AR44" s="295"/>
      <c r="AS44" s="183"/>
      <c r="AT44" s="180"/>
      <c r="AU44" s="295"/>
      <c r="AV44" s="298" t="s">
        <v>8523</v>
      </c>
    </row>
    <row r="45" spans="2:48">
      <c r="B45" s="174" t="s">
        <v>3918</v>
      </c>
      <c r="C45" s="746" t="s">
        <v>3320</v>
      </c>
      <c r="D45" s="455" t="s">
        <v>7184</v>
      </c>
      <c r="E45" s="175" t="s">
        <v>3320</v>
      </c>
      <c r="F45" s="175" t="s">
        <v>7190</v>
      </c>
      <c r="G45" s="79"/>
      <c r="H45" s="497" t="s">
        <v>6247</v>
      </c>
      <c r="I45" s="492">
        <v>0</v>
      </c>
      <c r="J45" s="498" t="s">
        <v>3320</v>
      </c>
      <c r="L45" s="179">
        <v>0</v>
      </c>
      <c r="M45" s="180">
        <v>0</v>
      </c>
      <c r="O45" s="181" t="s">
        <v>7188</v>
      </c>
      <c r="P45" s="1132" t="s">
        <v>8711</v>
      </c>
      <c r="Q45" s="515">
        <v>1135420</v>
      </c>
      <c r="R45" s="754" t="s">
        <v>6247</v>
      </c>
      <c r="S45" s="168">
        <v>0</v>
      </c>
      <c r="T45" s="754" t="s">
        <v>6247</v>
      </c>
      <c r="U45" s="168">
        <v>0</v>
      </c>
      <c r="V45" s="754" t="s">
        <v>6247</v>
      </c>
      <c r="W45" s="168">
        <v>0</v>
      </c>
      <c r="X45" s="107" t="s">
        <v>8518</v>
      </c>
      <c r="Z45" s="72" t="s">
        <v>6247</v>
      </c>
      <c r="AA45" s="436">
        <v>0</v>
      </c>
      <c r="AB45" s="184" t="s">
        <v>6247</v>
      </c>
      <c r="AC45" s="72" t="s">
        <v>6247</v>
      </c>
      <c r="AD45" s="593">
        <v>0</v>
      </c>
      <c r="AE45" s="72" t="s">
        <v>6247</v>
      </c>
      <c r="AF45" s="168">
        <v>0</v>
      </c>
      <c r="AG45" s="72" t="s">
        <v>6247</v>
      </c>
      <c r="AH45" s="168">
        <v>0</v>
      </c>
      <c r="AI45" s="72" t="s">
        <v>6247</v>
      </c>
      <c r="AJ45" s="168">
        <v>0</v>
      </c>
      <c r="AK45" s="72" t="s">
        <v>6247</v>
      </c>
      <c r="AL45" s="168">
        <v>0</v>
      </c>
      <c r="AM45" s="72" t="s">
        <v>6247</v>
      </c>
      <c r="AN45" s="168">
        <v>0</v>
      </c>
      <c r="AO45" s="72" t="s">
        <v>6247</v>
      </c>
      <c r="AP45" s="168">
        <v>0</v>
      </c>
      <c r="AQ45" s="755" t="s">
        <v>8518</v>
      </c>
      <c r="AR45" s="295"/>
      <c r="AS45" s="183"/>
      <c r="AT45" s="180"/>
      <c r="AU45" s="295"/>
      <c r="AV45" s="298" t="s">
        <v>8523</v>
      </c>
    </row>
    <row r="46" spans="2:48">
      <c r="B46" s="174" t="s">
        <v>3918</v>
      </c>
      <c r="C46" s="746" t="s">
        <v>3320</v>
      </c>
      <c r="D46" s="455" t="s">
        <v>7184</v>
      </c>
      <c r="E46" s="175" t="s">
        <v>3320</v>
      </c>
      <c r="F46" s="175" t="s">
        <v>7198</v>
      </c>
      <c r="G46" s="79"/>
      <c r="H46" s="497" t="s">
        <v>6247</v>
      </c>
      <c r="I46" s="492">
        <v>0</v>
      </c>
      <c r="J46" s="498" t="s">
        <v>3320</v>
      </c>
      <c r="L46" s="179">
        <v>0</v>
      </c>
      <c r="M46" s="180">
        <v>0</v>
      </c>
      <c r="O46" s="181" t="s">
        <v>7188</v>
      </c>
      <c r="P46" s="1132" t="s">
        <v>8711</v>
      </c>
      <c r="Q46" s="515">
        <v>316000</v>
      </c>
      <c r="R46" s="754" t="s">
        <v>6247</v>
      </c>
      <c r="S46" s="168">
        <v>0</v>
      </c>
      <c r="T46" s="754" t="s">
        <v>6247</v>
      </c>
      <c r="U46" s="168">
        <v>0</v>
      </c>
      <c r="V46" s="754" t="s">
        <v>6247</v>
      </c>
      <c r="W46" s="168">
        <v>0</v>
      </c>
      <c r="X46" s="107" t="s">
        <v>8518</v>
      </c>
      <c r="Z46" s="72" t="s">
        <v>6247</v>
      </c>
      <c r="AA46" s="436">
        <v>0</v>
      </c>
      <c r="AB46" s="184" t="s">
        <v>6247</v>
      </c>
      <c r="AC46" s="72" t="s">
        <v>6247</v>
      </c>
      <c r="AD46" s="593">
        <v>0</v>
      </c>
      <c r="AE46" s="72" t="s">
        <v>6247</v>
      </c>
      <c r="AF46" s="168">
        <v>0</v>
      </c>
      <c r="AG46" s="72" t="s">
        <v>6247</v>
      </c>
      <c r="AH46" s="168">
        <v>0</v>
      </c>
      <c r="AI46" s="72" t="s">
        <v>6247</v>
      </c>
      <c r="AJ46" s="168">
        <v>0</v>
      </c>
      <c r="AK46" s="72" t="s">
        <v>6247</v>
      </c>
      <c r="AL46" s="168">
        <v>0</v>
      </c>
      <c r="AM46" s="72" t="s">
        <v>6247</v>
      </c>
      <c r="AN46" s="168">
        <v>0</v>
      </c>
      <c r="AO46" s="72" t="s">
        <v>6247</v>
      </c>
      <c r="AP46" s="168">
        <v>0</v>
      </c>
      <c r="AQ46" s="755" t="s">
        <v>8518</v>
      </c>
      <c r="AR46" s="295"/>
      <c r="AS46" s="183"/>
      <c r="AT46" s="180"/>
      <c r="AU46" s="295"/>
      <c r="AV46" s="298" t="s">
        <v>8523</v>
      </c>
    </row>
    <row r="47" spans="2:48">
      <c r="B47" s="174" t="s">
        <v>101</v>
      </c>
      <c r="C47" s="440" t="s">
        <v>8712</v>
      </c>
      <c r="D47" s="455" t="s">
        <v>6977</v>
      </c>
      <c r="E47" s="456" t="s">
        <v>7205</v>
      </c>
      <c r="F47" s="175" t="s">
        <v>7210</v>
      </c>
      <c r="G47" s="79"/>
      <c r="H47" s="497" t="s">
        <v>6247</v>
      </c>
      <c r="I47" s="492">
        <v>0</v>
      </c>
      <c r="J47" s="498" t="s">
        <v>3320</v>
      </c>
      <c r="L47" s="179">
        <v>0</v>
      </c>
      <c r="M47" s="180">
        <v>3743798</v>
      </c>
      <c r="O47" s="181" t="s">
        <v>8713</v>
      </c>
      <c r="P47" s="754" t="s">
        <v>6247</v>
      </c>
      <c r="Q47" s="168">
        <v>0</v>
      </c>
      <c r="R47" s="754" t="s">
        <v>6247</v>
      </c>
      <c r="S47" s="168">
        <v>0</v>
      </c>
      <c r="T47" s="754" t="s">
        <v>6247</v>
      </c>
      <c r="U47" s="168">
        <v>0</v>
      </c>
      <c r="V47" s="754" t="s">
        <v>6247</v>
      </c>
      <c r="W47" s="168">
        <v>0</v>
      </c>
      <c r="X47" s="78" t="s">
        <v>3320</v>
      </c>
      <c r="Z47" s="519">
        <v>551</v>
      </c>
      <c r="AA47" s="66">
        <v>648000</v>
      </c>
      <c r="AB47" s="184">
        <v>20000</v>
      </c>
      <c r="AC47" s="72" t="s">
        <v>6247</v>
      </c>
      <c r="AD47" s="593">
        <v>0</v>
      </c>
      <c r="AE47" s="72" t="s">
        <v>6247</v>
      </c>
      <c r="AF47" s="168">
        <v>0</v>
      </c>
      <c r="AG47" s="72" t="s">
        <v>6247</v>
      </c>
      <c r="AH47" s="168">
        <v>0</v>
      </c>
      <c r="AI47" s="72" t="s">
        <v>6247</v>
      </c>
      <c r="AJ47" s="168">
        <v>0</v>
      </c>
      <c r="AK47" s="72" t="s">
        <v>6247</v>
      </c>
      <c r="AL47" s="168">
        <v>0</v>
      </c>
      <c r="AM47" s="72" t="s">
        <v>6247</v>
      </c>
      <c r="AN47" s="168">
        <v>0</v>
      </c>
      <c r="AO47" s="72" t="s">
        <v>6247</v>
      </c>
      <c r="AP47" s="168">
        <v>0</v>
      </c>
      <c r="AQ47" s="755" t="s">
        <v>8518</v>
      </c>
      <c r="AR47" s="295"/>
      <c r="AS47" s="183"/>
      <c r="AT47" s="180"/>
      <c r="AU47" s="295"/>
      <c r="AV47" s="298" t="s">
        <v>8523</v>
      </c>
    </row>
    <row r="48" spans="2:48">
      <c r="B48" s="174" t="s">
        <v>381</v>
      </c>
      <c r="C48" s="440" t="s">
        <v>7216</v>
      </c>
      <c r="D48" s="455" t="s">
        <v>7211</v>
      </c>
      <c r="E48" s="456" t="s">
        <v>7215</v>
      </c>
      <c r="F48" s="175" t="s">
        <v>7220</v>
      </c>
      <c r="G48" s="79"/>
      <c r="H48" s="497" t="s">
        <v>6247</v>
      </c>
      <c r="I48" s="492">
        <v>0</v>
      </c>
      <c r="J48" s="498" t="s">
        <v>3320</v>
      </c>
      <c r="L48" s="179">
        <v>0</v>
      </c>
      <c r="M48" s="180">
        <v>264406</v>
      </c>
      <c r="O48" s="181" t="s">
        <v>3349</v>
      </c>
      <c r="P48" s="754" t="s">
        <v>6247</v>
      </c>
      <c r="Q48" s="168">
        <v>0</v>
      </c>
      <c r="R48" s="754" t="s">
        <v>6247</v>
      </c>
      <c r="S48" s="168">
        <v>0</v>
      </c>
      <c r="T48" s="754" t="s">
        <v>6247</v>
      </c>
      <c r="U48" s="168">
        <v>0</v>
      </c>
      <c r="V48" s="754" t="s">
        <v>6247</v>
      </c>
      <c r="W48" s="168">
        <v>0</v>
      </c>
      <c r="X48" s="78" t="s">
        <v>3320</v>
      </c>
      <c r="Z48" s="519">
        <v>487</v>
      </c>
      <c r="AA48" s="66">
        <v>648000</v>
      </c>
      <c r="AB48" s="184">
        <v>20000</v>
      </c>
      <c r="AC48" s="72" t="s">
        <v>6247</v>
      </c>
      <c r="AD48" s="593">
        <v>0</v>
      </c>
      <c r="AE48" s="72" t="s">
        <v>6247</v>
      </c>
      <c r="AF48" s="168">
        <v>0</v>
      </c>
      <c r="AG48" s="72" t="s">
        <v>6247</v>
      </c>
      <c r="AH48" s="168">
        <v>0</v>
      </c>
      <c r="AI48" s="72" t="s">
        <v>6247</v>
      </c>
      <c r="AJ48" s="168">
        <v>0</v>
      </c>
      <c r="AK48" s="72" t="s">
        <v>6247</v>
      </c>
      <c r="AL48" s="168">
        <v>0</v>
      </c>
      <c r="AM48" s="72" t="s">
        <v>6247</v>
      </c>
      <c r="AN48" s="168">
        <v>0</v>
      </c>
      <c r="AO48" s="72" t="s">
        <v>6247</v>
      </c>
      <c r="AP48" s="168">
        <v>0</v>
      </c>
      <c r="AQ48" s="755" t="s">
        <v>8518</v>
      </c>
      <c r="AR48" s="295"/>
      <c r="AS48" s="183"/>
      <c r="AT48" s="180"/>
      <c r="AU48" s="295"/>
      <c r="AV48" s="298" t="s">
        <v>8523</v>
      </c>
    </row>
    <row r="49" spans="2:48">
      <c r="B49" s="174" t="s">
        <v>4585</v>
      </c>
      <c r="C49" s="440" t="s">
        <v>8714</v>
      </c>
      <c r="D49" s="455" t="s">
        <v>7221</v>
      </c>
      <c r="E49" s="455" t="s">
        <v>7226</v>
      </c>
      <c r="F49" s="175" t="s">
        <v>7229</v>
      </c>
      <c r="G49" s="79"/>
      <c r="H49" s="487" t="s">
        <v>8715</v>
      </c>
      <c r="I49" s="496">
        <f>275000/1.1</f>
        <v>249999.99999999997</v>
      </c>
      <c r="J49" s="741" t="s">
        <v>8518</v>
      </c>
      <c r="K49" s="89"/>
      <c r="L49" s="489">
        <v>0</v>
      </c>
      <c r="M49" s="182">
        <v>7487087</v>
      </c>
      <c r="N49" s="490"/>
      <c r="O49" s="491" t="s">
        <v>1565</v>
      </c>
      <c r="P49" s="71" t="s">
        <v>8716</v>
      </c>
      <c r="Q49" s="182">
        <v>8961380</v>
      </c>
      <c r="R49" s="71" t="s">
        <v>8717</v>
      </c>
      <c r="S49" s="182">
        <v>1138622</v>
      </c>
      <c r="T49" s="754" t="s">
        <v>8718</v>
      </c>
      <c r="U49" s="168">
        <v>464308</v>
      </c>
      <c r="V49" s="71" t="s">
        <v>8719</v>
      </c>
      <c r="W49" s="182">
        <v>1366347</v>
      </c>
      <c r="X49" s="107" t="s">
        <v>8518</v>
      </c>
      <c r="Z49" s="742">
        <v>736</v>
      </c>
      <c r="AA49" s="70">
        <v>648000</v>
      </c>
      <c r="AB49" s="496">
        <v>20000</v>
      </c>
      <c r="AC49" s="592" t="s">
        <v>6247</v>
      </c>
      <c r="AD49" s="743">
        <v>0</v>
      </c>
      <c r="AE49" s="592" t="s">
        <v>8700</v>
      </c>
      <c r="AF49" s="168">
        <v>500000</v>
      </c>
      <c r="AG49" s="592" t="s">
        <v>6247</v>
      </c>
      <c r="AH49" s="168">
        <v>0</v>
      </c>
      <c r="AI49" s="592" t="s">
        <v>6247</v>
      </c>
      <c r="AJ49" s="168">
        <v>0</v>
      </c>
      <c r="AK49" s="592" t="s">
        <v>6247</v>
      </c>
      <c r="AL49" s="168">
        <v>0</v>
      </c>
      <c r="AM49" s="592" t="s">
        <v>6247</v>
      </c>
      <c r="AN49" s="168">
        <v>0</v>
      </c>
      <c r="AO49" s="592" t="s">
        <v>6247</v>
      </c>
      <c r="AP49" s="168">
        <v>0</v>
      </c>
      <c r="AQ49" s="755" t="s">
        <v>8518</v>
      </c>
      <c r="AR49" s="494"/>
      <c r="AS49" s="493"/>
      <c r="AT49" s="182"/>
      <c r="AU49" s="494"/>
      <c r="AV49" s="97" t="s">
        <v>8523</v>
      </c>
    </row>
    <row r="50" spans="2:48">
      <c r="B50" s="174" t="s">
        <v>3786</v>
      </c>
      <c r="C50" s="455">
        <v>126303674</v>
      </c>
      <c r="D50" s="455" t="s">
        <v>7230</v>
      </c>
      <c r="E50" s="455" t="s">
        <v>7234</v>
      </c>
      <c r="F50" s="175" t="s">
        <v>7241</v>
      </c>
      <c r="G50" s="79"/>
      <c r="H50" s="487" t="s">
        <v>8720</v>
      </c>
      <c r="I50" s="496">
        <f>290321/1.1</f>
        <v>263928.18181818182</v>
      </c>
      <c r="J50" s="107" t="s">
        <v>8518</v>
      </c>
      <c r="L50" s="179">
        <v>0</v>
      </c>
      <c r="M50" s="180">
        <v>22033534</v>
      </c>
      <c r="O50" s="181" t="s">
        <v>6295</v>
      </c>
      <c r="P50" s="1132" t="s">
        <v>8721</v>
      </c>
      <c r="Q50" s="515">
        <v>7290752</v>
      </c>
      <c r="R50" s="1132" t="s">
        <v>8722</v>
      </c>
      <c r="S50" s="515">
        <v>4550695</v>
      </c>
      <c r="T50" s="754" t="s">
        <v>6247</v>
      </c>
      <c r="U50" s="168">
        <v>0</v>
      </c>
      <c r="V50" s="1132" t="s">
        <v>8723</v>
      </c>
      <c r="W50" s="515">
        <v>854323</v>
      </c>
      <c r="X50" s="107" t="s">
        <v>8518</v>
      </c>
      <c r="Z50" s="742">
        <v>1076</v>
      </c>
      <c r="AA50" s="70">
        <v>648000</v>
      </c>
      <c r="AB50" s="496">
        <v>20000</v>
      </c>
      <c r="AC50" s="592" t="s">
        <v>6247</v>
      </c>
      <c r="AD50" s="743">
        <v>0</v>
      </c>
      <c r="AE50" s="592" t="s">
        <v>6247</v>
      </c>
      <c r="AF50" s="168">
        <v>0</v>
      </c>
      <c r="AG50" s="72" t="s">
        <v>6247</v>
      </c>
      <c r="AH50" s="168">
        <v>0</v>
      </c>
      <c r="AI50" s="72" t="s">
        <v>6247</v>
      </c>
      <c r="AJ50" s="168">
        <v>0</v>
      </c>
      <c r="AK50" s="72" t="s">
        <v>6247</v>
      </c>
      <c r="AL50" s="168">
        <v>0</v>
      </c>
      <c r="AM50" s="72" t="s">
        <v>6247</v>
      </c>
      <c r="AN50" s="168">
        <v>0</v>
      </c>
      <c r="AO50" s="72" t="s">
        <v>6247</v>
      </c>
      <c r="AP50" s="168">
        <v>0</v>
      </c>
      <c r="AQ50" s="755" t="s">
        <v>8518</v>
      </c>
      <c r="AR50" s="295"/>
      <c r="AS50" s="183"/>
      <c r="AT50" s="180"/>
      <c r="AU50" s="295"/>
      <c r="AV50" s="298" t="s">
        <v>8523</v>
      </c>
    </row>
    <row r="51" spans="2:48">
      <c r="B51" s="174" t="s">
        <v>8724</v>
      </c>
      <c r="C51" s="440" t="s">
        <v>7251</v>
      </c>
      <c r="D51" s="455" t="s">
        <v>7245</v>
      </c>
      <c r="E51" s="455" t="s">
        <v>7245</v>
      </c>
      <c r="F51" s="175" t="s">
        <v>7256</v>
      </c>
      <c r="G51" s="79"/>
      <c r="H51" s="487" t="s">
        <v>8725</v>
      </c>
      <c r="I51" s="739">
        <f>275000/1.1</f>
        <v>249999.99999999997</v>
      </c>
      <c r="J51" s="107" t="s">
        <v>8518</v>
      </c>
      <c r="L51" s="740">
        <v>6972323</v>
      </c>
      <c r="M51" s="486">
        <v>16988147</v>
      </c>
      <c r="O51" s="181" t="s">
        <v>7253</v>
      </c>
      <c r="P51" s="1132" t="s">
        <v>8726</v>
      </c>
      <c r="Q51" s="515">
        <v>12194738</v>
      </c>
      <c r="R51" s="1132" t="s">
        <v>8727</v>
      </c>
      <c r="S51" s="515">
        <v>8357812</v>
      </c>
      <c r="T51" s="1132" t="s">
        <v>8728</v>
      </c>
      <c r="U51" s="515">
        <v>193768</v>
      </c>
      <c r="V51" s="754" t="s">
        <v>6247</v>
      </c>
      <c r="W51" s="168">
        <v>0</v>
      </c>
      <c r="X51" s="107" t="s">
        <v>8518</v>
      </c>
      <c r="Z51" s="742">
        <v>1077</v>
      </c>
      <c r="AA51" s="70">
        <v>648000</v>
      </c>
      <c r="AB51" s="496">
        <v>20000</v>
      </c>
      <c r="AC51" s="592" t="s">
        <v>6247</v>
      </c>
      <c r="AD51" s="743">
        <v>0</v>
      </c>
      <c r="AE51" s="592" t="s">
        <v>8700</v>
      </c>
      <c r="AF51" s="168">
        <v>800000</v>
      </c>
      <c r="AG51" s="72" t="s">
        <v>6247</v>
      </c>
      <c r="AH51" s="168">
        <v>0</v>
      </c>
      <c r="AI51" s="72" t="s">
        <v>6247</v>
      </c>
      <c r="AJ51" s="168">
        <v>0</v>
      </c>
      <c r="AK51" s="72" t="s">
        <v>6247</v>
      </c>
      <c r="AL51" s="168">
        <v>0</v>
      </c>
      <c r="AM51" s="72" t="s">
        <v>6247</v>
      </c>
      <c r="AN51" s="168">
        <v>0</v>
      </c>
      <c r="AO51" s="72" t="s">
        <v>6247</v>
      </c>
      <c r="AP51" s="168">
        <v>0</v>
      </c>
      <c r="AQ51" s="755" t="s">
        <v>8518</v>
      </c>
      <c r="AR51" s="295"/>
      <c r="AS51" s="183"/>
      <c r="AT51" s="486"/>
      <c r="AU51" s="295"/>
      <c r="AV51" s="298" t="s">
        <v>8523</v>
      </c>
    </row>
    <row r="52" spans="2:48">
      <c r="B52" s="174" t="s">
        <v>4177</v>
      </c>
      <c r="C52" s="440" t="s">
        <v>8729</v>
      </c>
      <c r="D52" s="175" t="s">
        <v>3320</v>
      </c>
      <c r="E52" s="455" t="s">
        <v>7293</v>
      </c>
      <c r="F52" s="175" t="s">
        <v>7296</v>
      </c>
      <c r="G52" s="79"/>
      <c r="H52" s="497" t="s">
        <v>6247</v>
      </c>
      <c r="I52" s="492">
        <v>0</v>
      </c>
      <c r="J52" s="498" t="s">
        <v>3320</v>
      </c>
      <c r="L52" s="179">
        <v>0</v>
      </c>
      <c r="M52" s="180">
        <v>59163</v>
      </c>
      <c r="O52" s="181" t="s">
        <v>1612</v>
      </c>
      <c r="P52" s="1132" t="s">
        <v>8730</v>
      </c>
      <c r="Q52" s="515">
        <v>4314872</v>
      </c>
      <c r="R52" s="754" t="s">
        <v>6247</v>
      </c>
      <c r="S52" s="168">
        <v>10000</v>
      </c>
      <c r="T52" s="754" t="s">
        <v>6247</v>
      </c>
      <c r="U52" s="168">
        <v>0</v>
      </c>
      <c r="V52" s="754" t="s">
        <v>6247</v>
      </c>
      <c r="W52" s="168">
        <v>0</v>
      </c>
      <c r="X52" s="107" t="s">
        <v>8518</v>
      </c>
      <c r="Z52" s="742" t="s">
        <v>6247</v>
      </c>
      <c r="AA52" s="70">
        <v>0</v>
      </c>
      <c r="AB52" s="496" t="s">
        <v>6247</v>
      </c>
      <c r="AC52" s="592" t="s">
        <v>6247</v>
      </c>
      <c r="AD52" s="743">
        <v>0</v>
      </c>
      <c r="AE52" s="592" t="s">
        <v>6247</v>
      </c>
      <c r="AF52" s="168">
        <v>0</v>
      </c>
      <c r="AG52" s="72" t="s">
        <v>6247</v>
      </c>
      <c r="AH52" s="168">
        <v>0</v>
      </c>
      <c r="AI52" s="72" t="s">
        <v>6247</v>
      </c>
      <c r="AJ52" s="168">
        <v>0</v>
      </c>
      <c r="AK52" s="72" t="s">
        <v>6247</v>
      </c>
      <c r="AL52" s="168">
        <v>0</v>
      </c>
      <c r="AM52" s="72" t="s">
        <v>6247</v>
      </c>
      <c r="AN52" s="168">
        <v>0</v>
      </c>
      <c r="AO52" s="72" t="s">
        <v>6247</v>
      </c>
      <c r="AP52" s="168">
        <v>0</v>
      </c>
      <c r="AQ52" s="755" t="s">
        <v>8518</v>
      </c>
      <c r="AR52" s="295"/>
      <c r="AS52" s="183"/>
      <c r="AT52" s="180"/>
      <c r="AU52" s="295"/>
      <c r="AV52" s="298" t="s">
        <v>8523</v>
      </c>
    </row>
    <row r="53" spans="2:48">
      <c r="B53" s="174" t="s">
        <v>381</v>
      </c>
      <c r="C53" s="440" t="s">
        <v>8731</v>
      </c>
      <c r="D53" s="455" t="s">
        <v>7297</v>
      </c>
      <c r="E53" s="455">
        <v>100179013</v>
      </c>
      <c r="F53" s="175" t="s">
        <v>7308</v>
      </c>
      <c r="G53" s="79"/>
      <c r="H53" s="487" t="s">
        <v>8732</v>
      </c>
      <c r="I53" s="496">
        <f>275000/1.1</f>
        <v>249999.99999999997</v>
      </c>
      <c r="J53" s="107" t="s">
        <v>8518</v>
      </c>
      <c r="L53" s="179">
        <v>0</v>
      </c>
      <c r="M53" s="180">
        <v>6491553</v>
      </c>
      <c r="O53" s="181" t="s">
        <v>1565</v>
      </c>
      <c r="P53" s="1132" t="s">
        <v>8733</v>
      </c>
      <c r="Q53" s="515">
        <v>8048645</v>
      </c>
      <c r="R53" s="1132" t="s">
        <v>8734</v>
      </c>
      <c r="S53" s="515">
        <v>3420014</v>
      </c>
      <c r="T53" s="754" t="s">
        <v>6247</v>
      </c>
      <c r="U53" s="168">
        <v>0</v>
      </c>
      <c r="V53" s="754" t="s">
        <v>6247</v>
      </c>
      <c r="W53" s="168">
        <v>0</v>
      </c>
      <c r="X53" s="107" t="s">
        <v>8518</v>
      </c>
      <c r="Z53" s="742">
        <v>1164</v>
      </c>
      <c r="AA53" s="70">
        <v>648000</v>
      </c>
      <c r="AB53" s="496">
        <v>20000</v>
      </c>
      <c r="AC53" s="592" t="s">
        <v>6247</v>
      </c>
      <c r="AD53" s="743">
        <v>0</v>
      </c>
      <c r="AE53" s="592" t="s">
        <v>6247</v>
      </c>
      <c r="AF53" s="168">
        <v>0</v>
      </c>
      <c r="AG53" s="72" t="s">
        <v>6247</v>
      </c>
      <c r="AH53" s="168">
        <v>0</v>
      </c>
      <c r="AI53" s="72" t="s">
        <v>6247</v>
      </c>
      <c r="AJ53" s="168">
        <v>0</v>
      </c>
      <c r="AK53" s="72" t="s">
        <v>6247</v>
      </c>
      <c r="AL53" s="168">
        <v>0</v>
      </c>
      <c r="AM53" s="72" t="s">
        <v>6247</v>
      </c>
      <c r="AN53" s="168">
        <v>0</v>
      </c>
      <c r="AO53" s="72" t="s">
        <v>6247</v>
      </c>
      <c r="AP53" s="168">
        <v>0</v>
      </c>
      <c r="AQ53" s="755" t="s">
        <v>8518</v>
      </c>
      <c r="AR53" s="295"/>
      <c r="AS53" s="183"/>
      <c r="AT53" s="180"/>
      <c r="AU53" s="295"/>
      <c r="AV53" s="298" t="s">
        <v>8523</v>
      </c>
    </row>
    <row r="54" spans="2:48">
      <c r="B54" s="174" t="s">
        <v>5697</v>
      </c>
      <c r="C54" s="440" t="s">
        <v>7323</v>
      </c>
      <c r="D54" s="455" t="s">
        <v>8735</v>
      </c>
      <c r="E54" s="455" t="s">
        <v>7322</v>
      </c>
      <c r="F54" s="175" t="s">
        <v>7326</v>
      </c>
      <c r="G54" s="79"/>
      <c r="H54" s="487" t="s">
        <v>8736</v>
      </c>
      <c r="I54" s="496">
        <f>431771/1.1</f>
        <v>392519.09090909088</v>
      </c>
      <c r="J54" s="107" t="s">
        <v>8518</v>
      </c>
      <c r="L54" s="179">
        <v>4428381</v>
      </c>
      <c r="M54" s="180">
        <v>36826314</v>
      </c>
      <c r="O54" s="181" t="s">
        <v>7253</v>
      </c>
      <c r="P54" s="1132" t="s">
        <v>8737</v>
      </c>
      <c r="Q54" s="515">
        <v>4441223</v>
      </c>
      <c r="R54" s="1132" t="s">
        <v>8738</v>
      </c>
      <c r="S54" s="515">
        <v>6374076</v>
      </c>
      <c r="T54" s="754" t="s">
        <v>8739</v>
      </c>
      <c r="U54" s="168">
        <v>47531</v>
      </c>
      <c r="V54" s="754" t="s">
        <v>8740</v>
      </c>
      <c r="W54" s="168">
        <v>1510850</v>
      </c>
      <c r="X54" s="107" t="s">
        <v>8518</v>
      </c>
      <c r="Z54" s="742">
        <v>1350</v>
      </c>
      <c r="AA54" s="70">
        <v>648000</v>
      </c>
      <c r="AB54" s="496">
        <v>20000</v>
      </c>
      <c r="AC54" s="592" t="s">
        <v>6247</v>
      </c>
      <c r="AD54" s="743">
        <v>0</v>
      </c>
      <c r="AE54" s="592" t="s">
        <v>8700</v>
      </c>
      <c r="AF54" s="168">
        <v>1500000</v>
      </c>
      <c r="AG54" s="72" t="s">
        <v>6247</v>
      </c>
      <c r="AH54" s="168">
        <v>0</v>
      </c>
      <c r="AI54" s="72" t="s">
        <v>6247</v>
      </c>
      <c r="AJ54" s="168">
        <v>0</v>
      </c>
      <c r="AK54" s="72" t="s">
        <v>6247</v>
      </c>
      <c r="AL54" s="168">
        <v>0</v>
      </c>
      <c r="AM54" s="72" t="s">
        <v>6247</v>
      </c>
      <c r="AN54" s="168">
        <v>0</v>
      </c>
      <c r="AO54" s="72" t="s">
        <v>6247</v>
      </c>
      <c r="AP54" s="168">
        <v>0</v>
      </c>
      <c r="AQ54" s="755" t="s">
        <v>8518</v>
      </c>
      <c r="AR54" s="295"/>
      <c r="AS54" s="183"/>
      <c r="AT54" s="180"/>
      <c r="AU54" s="295"/>
      <c r="AV54" s="298" t="s">
        <v>8523</v>
      </c>
    </row>
    <row r="55" spans="2:48">
      <c r="B55" s="174" t="s">
        <v>4757</v>
      </c>
      <c r="C55" s="440" t="s">
        <v>8741</v>
      </c>
      <c r="D55" s="455" t="s">
        <v>7367</v>
      </c>
      <c r="E55" s="455" t="s">
        <v>7371</v>
      </c>
      <c r="F55" s="175" t="s">
        <v>7374</v>
      </c>
      <c r="G55" s="79"/>
      <c r="H55" s="497" t="s">
        <v>6247</v>
      </c>
      <c r="I55" s="492">
        <v>0</v>
      </c>
      <c r="J55" s="498" t="s">
        <v>3320</v>
      </c>
      <c r="L55" s="179">
        <v>0</v>
      </c>
      <c r="M55" s="180">
        <v>1198821</v>
      </c>
      <c r="O55" s="181" t="s">
        <v>1612</v>
      </c>
      <c r="P55" s="1132" t="s">
        <v>8742</v>
      </c>
      <c r="Q55" s="515">
        <v>6150992</v>
      </c>
      <c r="R55" s="1132" t="s">
        <v>8711</v>
      </c>
      <c r="S55" s="168">
        <v>10000</v>
      </c>
      <c r="T55" s="1132" t="s">
        <v>8743</v>
      </c>
      <c r="U55" s="515">
        <v>226800</v>
      </c>
      <c r="V55" s="754" t="s">
        <v>6247</v>
      </c>
      <c r="W55" s="168">
        <v>0</v>
      </c>
      <c r="X55" s="107" t="s">
        <v>8518</v>
      </c>
      <c r="Z55" s="742">
        <v>1243</v>
      </c>
      <c r="AA55" s="70">
        <v>648000</v>
      </c>
      <c r="AB55" s="496">
        <v>20000</v>
      </c>
      <c r="AC55" s="592" t="s">
        <v>6247</v>
      </c>
      <c r="AD55" s="743">
        <v>0</v>
      </c>
      <c r="AE55" s="592" t="s">
        <v>6247</v>
      </c>
      <c r="AF55" s="168">
        <v>0</v>
      </c>
      <c r="AG55" s="72" t="s">
        <v>6247</v>
      </c>
      <c r="AH55" s="168">
        <v>0</v>
      </c>
      <c r="AI55" s="72" t="s">
        <v>6247</v>
      </c>
      <c r="AJ55" s="168">
        <v>0</v>
      </c>
      <c r="AK55" s="72" t="s">
        <v>6247</v>
      </c>
      <c r="AL55" s="168">
        <v>0</v>
      </c>
      <c r="AM55" s="72" t="s">
        <v>6247</v>
      </c>
      <c r="AN55" s="168">
        <v>0</v>
      </c>
      <c r="AO55" s="72" t="s">
        <v>6247</v>
      </c>
      <c r="AP55" s="168">
        <v>0</v>
      </c>
      <c r="AQ55" s="755" t="s">
        <v>8518</v>
      </c>
      <c r="AR55" s="295"/>
      <c r="AS55" s="183"/>
      <c r="AT55" s="180"/>
      <c r="AU55" s="295"/>
      <c r="AV55" s="298" t="s">
        <v>8523</v>
      </c>
    </row>
    <row r="56" spans="2:48">
      <c r="B56" s="174" t="s">
        <v>3454</v>
      </c>
      <c r="C56" s="175" t="s">
        <v>3320</v>
      </c>
      <c r="D56" s="174" t="s">
        <v>8744</v>
      </c>
      <c r="E56" s="175" t="s">
        <v>3320</v>
      </c>
      <c r="F56" s="175" t="s">
        <v>7378</v>
      </c>
      <c r="G56" s="79"/>
      <c r="H56" s="497" t="s">
        <v>6247</v>
      </c>
      <c r="I56" s="492">
        <v>0</v>
      </c>
      <c r="J56" s="498" t="s">
        <v>3320</v>
      </c>
      <c r="L56" s="179">
        <v>0</v>
      </c>
      <c r="M56" s="180">
        <v>0</v>
      </c>
      <c r="O56" s="181" t="s">
        <v>8745</v>
      </c>
      <c r="P56" s="1132" t="s">
        <v>8711</v>
      </c>
      <c r="Q56" s="515">
        <v>5016960</v>
      </c>
      <c r="R56" s="754" t="s">
        <v>6247</v>
      </c>
      <c r="S56" s="168">
        <v>0</v>
      </c>
      <c r="T56" s="754" t="s">
        <v>6247</v>
      </c>
      <c r="U56" s="168">
        <v>0</v>
      </c>
      <c r="V56" s="754" t="s">
        <v>6247</v>
      </c>
      <c r="W56" s="168">
        <v>0</v>
      </c>
      <c r="X56" s="78" t="s">
        <v>3320</v>
      </c>
      <c r="Z56" s="742" t="s">
        <v>6247</v>
      </c>
      <c r="AA56" s="70">
        <v>0</v>
      </c>
      <c r="AB56" s="496" t="s">
        <v>6247</v>
      </c>
      <c r="AC56" s="592" t="s">
        <v>6247</v>
      </c>
      <c r="AD56" s="743">
        <v>0</v>
      </c>
      <c r="AE56" s="592" t="s">
        <v>6247</v>
      </c>
      <c r="AF56" s="168">
        <v>0</v>
      </c>
      <c r="AG56" s="72" t="s">
        <v>6247</v>
      </c>
      <c r="AH56" s="168">
        <v>0</v>
      </c>
      <c r="AI56" s="72" t="s">
        <v>6247</v>
      </c>
      <c r="AJ56" s="168">
        <v>0</v>
      </c>
      <c r="AK56" s="72" t="s">
        <v>6247</v>
      </c>
      <c r="AL56" s="168">
        <v>0</v>
      </c>
      <c r="AM56" s="72" t="s">
        <v>6247</v>
      </c>
      <c r="AN56" s="168">
        <v>0</v>
      </c>
      <c r="AO56" s="72" t="s">
        <v>6247</v>
      </c>
      <c r="AP56" s="168">
        <v>0</v>
      </c>
      <c r="AQ56" s="755" t="s">
        <v>8518</v>
      </c>
      <c r="AR56" s="295"/>
      <c r="AS56" s="183"/>
      <c r="AT56" s="180"/>
      <c r="AU56" s="295"/>
      <c r="AV56" s="298" t="s">
        <v>8523</v>
      </c>
    </row>
    <row r="57" spans="2:48">
      <c r="B57" s="174" t="s">
        <v>273</v>
      </c>
      <c r="C57" s="174" t="s">
        <v>7407</v>
      </c>
      <c r="D57" s="174" t="s">
        <v>8746</v>
      </c>
      <c r="E57" s="455">
        <v>102091049</v>
      </c>
      <c r="F57" s="175" t="s">
        <v>7410</v>
      </c>
      <c r="G57" s="79"/>
      <c r="H57" s="487" t="s">
        <v>8747</v>
      </c>
      <c r="I57" s="739">
        <f>275000/1.1</f>
        <v>249999.99999999997</v>
      </c>
      <c r="J57" s="107" t="s">
        <v>8518</v>
      </c>
      <c r="K57" s="89"/>
      <c r="L57" s="489">
        <v>8513547</v>
      </c>
      <c r="M57" s="182">
        <v>7491921</v>
      </c>
      <c r="N57" s="490"/>
      <c r="O57" s="491" t="s">
        <v>7253</v>
      </c>
      <c r="P57" s="1132" t="s">
        <v>8748</v>
      </c>
      <c r="Q57" s="515">
        <v>17829576</v>
      </c>
      <c r="R57" s="1132" t="s">
        <v>8749</v>
      </c>
      <c r="S57" s="515">
        <v>428360</v>
      </c>
      <c r="T57" s="1132" t="s">
        <v>8750</v>
      </c>
      <c r="U57" s="515">
        <v>807104</v>
      </c>
      <c r="V57" s="1132" t="s">
        <v>8751</v>
      </c>
      <c r="W57" s="515">
        <v>2162078</v>
      </c>
      <c r="X57" s="107" t="s">
        <v>8518</v>
      </c>
      <c r="Z57" s="742" t="s">
        <v>6247</v>
      </c>
      <c r="AA57" s="70">
        <v>0</v>
      </c>
      <c r="AB57" s="496">
        <v>20000</v>
      </c>
      <c r="AC57" s="592" t="s">
        <v>6247</v>
      </c>
      <c r="AD57" s="743">
        <v>0</v>
      </c>
      <c r="AE57" s="592" t="s">
        <v>6247</v>
      </c>
      <c r="AF57" s="168">
        <v>0</v>
      </c>
      <c r="AG57" s="592" t="s">
        <v>6247</v>
      </c>
      <c r="AH57" s="168">
        <v>0</v>
      </c>
      <c r="AI57" s="592" t="s">
        <v>6247</v>
      </c>
      <c r="AJ57" s="168">
        <v>0</v>
      </c>
      <c r="AK57" s="592" t="s">
        <v>6247</v>
      </c>
      <c r="AL57" s="168">
        <v>0</v>
      </c>
      <c r="AM57" s="592" t="s">
        <v>6247</v>
      </c>
      <c r="AN57" s="168">
        <v>0</v>
      </c>
      <c r="AO57" s="592" t="s">
        <v>6247</v>
      </c>
      <c r="AP57" s="168">
        <v>0</v>
      </c>
      <c r="AQ57" s="755" t="s">
        <v>8518</v>
      </c>
      <c r="AR57" s="494"/>
      <c r="AS57" s="493"/>
      <c r="AT57" s="182"/>
      <c r="AU57" s="494"/>
      <c r="AV57" s="298" t="s">
        <v>8523</v>
      </c>
    </row>
    <row r="58" spans="2:48">
      <c r="B58" s="174" t="s">
        <v>8752</v>
      </c>
      <c r="C58" s="440" t="s">
        <v>7462</v>
      </c>
      <c r="D58" s="455" t="s">
        <v>8753</v>
      </c>
      <c r="E58" s="455" t="s">
        <v>7461</v>
      </c>
      <c r="F58" s="175" t="s">
        <v>7466</v>
      </c>
      <c r="G58" s="79"/>
      <c r="H58" s="487" t="s">
        <v>8754</v>
      </c>
      <c r="I58" s="496">
        <f>5287911/1.1</f>
        <v>4807191.8181818174</v>
      </c>
      <c r="J58" s="107" t="s">
        <v>8518</v>
      </c>
      <c r="L58" s="179">
        <f>7023981+5064718</f>
        <v>12088699</v>
      </c>
      <c r="M58" s="180">
        <f>341657603+48903258</f>
        <v>390560861</v>
      </c>
      <c r="O58" s="181" t="s">
        <v>1565</v>
      </c>
      <c r="P58" s="1132" t="s">
        <v>8755</v>
      </c>
      <c r="Q58" s="515">
        <v>62001800</v>
      </c>
      <c r="R58" s="1132" t="s">
        <v>8756</v>
      </c>
      <c r="S58" s="515">
        <v>15277032</v>
      </c>
      <c r="T58" s="754" t="s">
        <v>8757</v>
      </c>
      <c r="U58" s="168"/>
      <c r="V58" s="1132" t="s">
        <v>8758</v>
      </c>
      <c r="W58" s="515">
        <v>15683237</v>
      </c>
      <c r="X58" s="107" t="s">
        <v>8518</v>
      </c>
      <c r="Z58" s="742">
        <v>1477</v>
      </c>
      <c r="AA58" s="70">
        <v>1620000</v>
      </c>
      <c r="AB58" s="496">
        <v>40000</v>
      </c>
      <c r="AC58" s="592">
        <v>710800</v>
      </c>
      <c r="AD58" s="743">
        <v>750000</v>
      </c>
      <c r="AE58" s="592" t="s">
        <v>6247</v>
      </c>
      <c r="AF58" s="168">
        <v>0</v>
      </c>
      <c r="AG58" s="72" t="s">
        <v>6247</v>
      </c>
      <c r="AH58" s="168">
        <v>0</v>
      </c>
      <c r="AI58" s="72" t="s">
        <v>6247</v>
      </c>
      <c r="AJ58" s="168">
        <v>0</v>
      </c>
      <c r="AK58" s="72" t="s">
        <v>6247</v>
      </c>
      <c r="AL58" s="168">
        <v>0</v>
      </c>
      <c r="AM58" s="592" t="s">
        <v>8759</v>
      </c>
      <c r="AN58" s="168">
        <v>3586000</v>
      </c>
      <c r="AO58" s="592" t="s">
        <v>8760</v>
      </c>
      <c r="AP58" s="168">
        <v>1225000</v>
      </c>
      <c r="AQ58" s="755" t="s">
        <v>8518</v>
      </c>
      <c r="AR58" s="295"/>
      <c r="AS58" s="183"/>
      <c r="AT58" s="180"/>
      <c r="AU58" s="295"/>
      <c r="AV58" s="298" t="s">
        <v>8523</v>
      </c>
    </row>
    <row r="59" spans="2:48">
      <c r="B59" s="174" t="s">
        <v>8761</v>
      </c>
      <c r="C59" s="440" t="s">
        <v>8762</v>
      </c>
      <c r="D59" s="455" t="s">
        <v>7774</v>
      </c>
      <c r="E59" s="455" t="s">
        <v>8763</v>
      </c>
      <c r="F59" s="175" t="s">
        <v>8764</v>
      </c>
      <c r="G59" s="79"/>
      <c r="H59" s="747" t="s">
        <v>8765</v>
      </c>
      <c r="I59" s="496">
        <v>3164840</v>
      </c>
      <c r="J59" s="107" t="s">
        <v>8518</v>
      </c>
      <c r="L59" s="179"/>
      <c r="M59" s="180"/>
      <c r="O59" s="181" t="s">
        <v>1565</v>
      </c>
      <c r="P59" s="1132"/>
      <c r="Q59" s="515"/>
      <c r="R59" s="1132"/>
      <c r="S59" s="515"/>
      <c r="T59" s="1132"/>
      <c r="U59" s="515"/>
      <c r="V59" s="1132"/>
      <c r="W59" s="515">
        <f>W56/26395</f>
        <v>0</v>
      </c>
      <c r="X59" s="516"/>
      <c r="Z59" s="519"/>
      <c r="AA59" s="542"/>
      <c r="AB59" s="184"/>
      <c r="AC59" s="543"/>
      <c r="AD59" s="593"/>
      <c r="AE59" s="543"/>
      <c r="AF59" s="515"/>
      <c r="AG59" s="543"/>
      <c r="AH59" s="515"/>
      <c r="AI59" s="543"/>
      <c r="AJ59" s="515"/>
      <c r="AK59" s="543"/>
      <c r="AL59" s="515"/>
      <c r="AM59" s="543"/>
      <c r="AN59" s="515"/>
      <c r="AO59" s="543"/>
      <c r="AP59" s="515"/>
      <c r="AQ59" s="1137"/>
      <c r="AR59" s="295"/>
      <c r="AS59" s="183"/>
      <c r="AT59" s="180"/>
      <c r="AU59" s="295"/>
      <c r="AV59" s="299"/>
    </row>
    <row r="60" spans="2:48">
      <c r="B60" s="174" t="s">
        <v>8766</v>
      </c>
      <c r="C60" s="440"/>
      <c r="D60" s="455"/>
      <c r="E60" s="455"/>
      <c r="F60" s="175" t="s">
        <v>8767</v>
      </c>
      <c r="G60" s="79"/>
      <c r="H60" s="748"/>
      <c r="I60" s="745"/>
      <c r="J60" s="749"/>
      <c r="L60" s="179"/>
      <c r="M60" s="180"/>
      <c r="O60" s="181" t="s">
        <v>6295</v>
      </c>
      <c r="P60" s="1132"/>
      <c r="Q60" s="515"/>
      <c r="R60" s="1132"/>
      <c r="S60" s="515"/>
      <c r="T60" s="1132"/>
      <c r="U60" s="515"/>
      <c r="V60" s="1132"/>
      <c r="W60" s="515"/>
      <c r="X60" s="516"/>
      <c r="Z60" s="519"/>
      <c r="AA60" s="542"/>
      <c r="AB60" s="184"/>
      <c r="AC60" s="543"/>
      <c r="AD60" s="593"/>
      <c r="AE60" s="543"/>
      <c r="AF60" s="515"/>
      <c r="AG60" s="543"/>
      <c r="AH60" s="515"/>
      <c r="AI60" s="543"/>
      <c r="AJ60" s="515"/>
      <c r="AK60" s="543"/>
      <c r="AL60" s="515"/>
      <c r="AM60" s="543"/>
      <c r="AN60" s="515"/>
      <c r="AO60" s="543"/>
      <c r="AP60" s="515"/>
      <c r="AQ60" s="1137"/>
      <c r="AR60" s="295"/>
      <c r="AS60" s="183"/>
      <c r="AT60" s="180"/>
      <c r="AU60" s="295"/>
      <c r="AV60" s="299"/>
    </row>
    <row r="61" spans="2:48">
      <c r="B61" s="174" t="s">
        <v>254</v>
      </c>
      <c r="C61" s="174"/>
      <c r="D61" s="174"/>
      <c r="E61" s="455"/>
      <c r="F61" s="175" t="s">
        <v>8768</v>
      </c>
      <c r="G61" s="79"/>
      <c r="H61" s="750"/>
      <c r="I61" s="751"/>
      <c r="J61" s="752"/>
      <c r="L61" s="179"/>
      <c r="M61" s="180"/>
      <c r="O61" s="181" t="s">
        <v>1565</v>
      </c>
      <c r="P61" s="1132"/>
      <c r="Q61" s="182"/>
      <c r="R61" s="1132"/>
      <c r="S61" s="182"/>
      <c r="T61" s="1132"/>
      <c r="U61" s="182"/>
      <c r="V61" s="1132"/>
      <c r="W61" s="182"/>
      <c r="X61" s="175"/>
      <c r="Z61" s="183"/>
      <c r="AA61" s="180"/>
      <c r="AB61" s="184"/>
      <c r="AC61" s="183"/>
      <c r="AD61" s="593"/>
      <c r="AE61" s="183"/>
      <c r="AF61" s="180"/>
      <c r="AG61" s="183"/>
      <c r="AH61" s="180"/>
      <c r="AI61" s="183"/>
      <c r="AJ61" s="180"/>
      <c r="AK61" s="183"/>
      <c r="AL61" s="180"/>
      <c r="AM61" s="183"/>
      <c r="AN61" s="180"/>
      <c r="AO61" s="183"/>
      <c r="AP61" s="180"/>
      <c r="AQ61" s="1137"/>
      <c r="AR61" s="295"/>
      <c r="AS61" s="183"/>
      <c r="AT61" s="180"/>
      <c r="AU61" s="295"/>
      <c r="AV61" s="299"/>
    </row>
    <row r="62" spans="2:48">
      <c r="B62" s="174" t="s">
        <v>2689</v>
      </c>
      <c r="C62" s="440"/>
      <c r="D62" s="455"/>
      <c r="E62" s="455"/>
      <c r="F62" s="175" t="s">
        <v>8769</v>
      </c>
      <c r="G62" s="79"/>
      <c r="H62" s="747" t="s">
        <v>8770</v>
      </c>
      <c r="I62" s="739">
        <f>275000/1.1</f>
        <v>249999.99999999997</v>
      </c>
      <c r="J62" s="107" t="s">
        <v>8518</v>
      </c>
      <c r="L62" s="179"/>
      <c r="M62" s="180"/>
      <c r="O62" s="181" t="s">
        <v>1602</v>
      </c>
      <c r="P62" s="1132"/>
      <c r="Q62" s="515"/>
      <c r="R62" s="1132"/>
      <c r="S62" s="515"/>
      <c r="T62" s="1132"/>
      <c r="U62" s="515"/>
      <c r="V62" s="1132"/>
      <c r="W62" s="515"/>
      <c r="X62" s="516"/>
      <c r="Z62" s="519"/>
      <c r="AA62" s="542"/>
      <c r="AB62" s="184"/>
      <c r="AC62" s="543"/>
      <c r="AD62" s="593"/>
      <c r="AE62" s="543"/>
      <c r="AF62" s="515"/>
      <c r="AG62" s="543"/>
      <c r="AH62" s="515"/>
      <c r="AI62" s="543"/>
      <c r="AJ62" s="515"/>
      <c r="AK62" s="543"/>
      <c r="AL62" s="515"/>
      <c r="AM62" s="543"/>
      <c r="AN62" s="515"/>
      <c r="AO62" s="543"/>
      <c r="AP62" s="515"/>
      <c r="AQ62" s="1137"/>
      <c r="AR62" s="295"/>
      <c r="AS62" s="183"/>
      <c r="AT62" s="180"/>
      <c r="AU62" s="295"/>
      <c r="AV62" s="299"/>
    </row>
    <row r="63" spans="2:48">
      <c r="B63" s="174" t="s">
        <v>8771</v>
      </c>
      <c r="C63" s="440" t="s">
        <v>8772</v>
      </c>
      <c r="D63" s="455" t="s">
        <v>8773</v>
      </c>
      <c r="E63" s="455" t="s">
        <v>8774</v>
      </c>
      <c r="F63" s="175" t="s">
        <v>8775</v>
      </c>
      <c r="G63" s="79"/>
      <c r="H63" s="747" t="s">
        <v>8776</v>
      </c>
      <c r="I63" s="739">
        <f>1199351/1.1</f>
        <v>1090319.0909090908</v>
      </c>
      <c r="J63" s="107" t="s">
        <v>8518</v>
      </c>
      <c r="L63" s="179"/>
      <c r="M63" s="180"/>
      <c r="O63" s="181" t="s">
        <v>1565</v>
      </c>
      <c r="P63" s="1141"/>
      <c r="Q63" s="515"/>
      <c r="R63" s="1132"/>
      <c r="S63" s="515"/>
      <c r="T63" s="1132"/>
      <c r="U63" s="515"/>
      <c r="V63" s="1132"/>
      <c r="W63" s="515"/>
      <c r="X63" s="516"/>
      <c r="Z63" s="519"/>
      <c r="AA63" s="542"/>
      <c r="AB63" s="184"/>
      <c r="AC63" s="543"/>
      <c r="AD63" s="593"/>
      <c r="AE63" s="543"/>
      <c r="AF63" s="515"/>
      <c r="AG63" s="543"/>
      <c r="AH63" s="515"/>
      <c r="AI63" s="543"/>
      <c r="AJ63" s="515"/>
      <c r="AK63" s="543"/>
      <c r="AL63" s="515"/>
      <c r="AM63" s="543"/>
      <c r="AN63" s="515"/>
      <c r="AO63" s="543"/>
      <c r="AP63" s="515"/>
      <c r="AQ63" s="1137"/>
      <c r="AR63" s="295"/>
      <c r="AS63" s="183"/>
      <c r="AT63" s="180"/>
      <c r="AU63" s="295"/>
      <c r="AV63" s="299"/>
    </row>
    <row r="64" spans="2:48">
      <c r="B64" s="174" t="s">
        <v>8777</v>
      </c>
      <c r="C64" s="440" t="s">
        <v>8778</v>
      </c>
      <c r="D64" s="455" t="s">
        <v>8779</v>
      </c>
      <c r="E64" s="455" t="s">
        <v>8780</v>
      </c>
      <c r="F64" s="175" t="s">
        <v>8781</v>
      </c>
      <c r="G64" s="79"/>
      <c r="H64" s="748" t="s">
        <v>8782</v>
      </c>
      <c r="I64" s="745">
        <f>2600566/1.1</f>
        <v>2364150.9090909087</v>
      </c>
      <c r="J64" s="541" t="s">
        <v>8783</v>
      </c>
      <c r="L64" s="179"/>
      <c r="M64" s="180"/>
      <c r="O64" s="181" t="s">
        <v>1565</v>
      </c>
      <c r="P64" s="1141"/>
      <c r="Q64" s="515"/>
      <c r="R64" s="1132"/>
      <c r="S64" s="515"/>
      <c r="T64" s="1132"/>
      <c r="U64" s="515"/>
      <c r="V64" s="1132"/>
      <c r="W64" s="515"/>
      <c r="X64" s="516"/>
      <c r="Z64" s="519"/>
      <c r="AA64" s="542"/>
      <c r="AB64" s="184"/>
      <c r="AC64" s="543"/>
      <c r="AD64" s="593"/>
      <c r="AE64" s="543"/>
      <c r="AF64" s="515"/>
      <c r="AG64" s="543"/>
      <c r="AH64" s="515"/>
      <c r="AI64" s="543"/>
      <c r="AJ64" s="515"/>
      <c r="AK64" s="543"/>
      <c r="AL64" s="515"/>
      <c r="AM64" s="543"/>
      <c r="AN64" s="515"/>
      <c r="AO64" s="543"/>
      <c r="AP64" s="515"/>
      <c r="AQ64" s="1137"/>
      <c r="AR64" s="295"/>
      <c r="AS64" s="183"/>
      <c r="AT64" s="180"/>
      <c r="AU64" s="295"/>
      <c r="AV64" s="299"/>
    </row>
    <row r="65" spans="2:48">
      <c r="B65" s="174" t="s">
        <v>5697</v>
      </c>
      <c r="C65" s="174"/>
      <c r="D65" s="174"/>
      <c r="E65" s="455"/>
      <c r="F65" s="175" t="s">
        <v>8784</v>
      </c>
      <c r="G65" s="79"/>
      <c r="H65" s="176"/>
      <c r="I65" s="177"/>
      <c r="J65" s="178"/>
      <c r="L65" s="179"/>
      <c r="M65" s="180"/>
      <c r="O65" s="181" t="s">
        <v>1565</v>
      </c>
      <c r="P65" s="1132"/>
      <c r="Q65" s="182"/>
      <c r="R65" s="1132"/>
      <c r="S65" s="182"/>
      <c r="T65" s="1132"/>
      <c r="U65" s="182"/>
      <c r="V65" s="1132"/>
      <c r="W65" s="182"/>
      <c r="X65" s="175"/>
      <c r="Z65" s="183"/>
      <c r="AA65" s="180"/>
      <c r="AB65" s="184"/>
      <c r="AC65" s="183"/>
      <c r="AD65" s="593"/>
      <c r="AE65" s="183"/>
      <c r="AF65" s="180"/>
      <c r="AG65" s="183"/>
      <c r="AH65" s="180"/>
      <c r="AI65" s="183"/>
      <c r="AJ65" s="180"/>
      <c r="AK65" s="183"/>
      <c r="AL65" s="180"/>
      <c r="AM65" s="183"/>
      <c r="AN65" s="180"/>
      <c r="AO65" s="183"/>
      <c r="AP65" s="180"/>
      <c r="AQ65" s="1137"/>
      <c r="AR65" s="295"/>
      <c r="AS65" s="183"/>
      <c r="AT65" s="180"/>
      <c r="AU65" s="295"/>
      <c r="AV65" s="299"/>
    </row>
    <row r="66" spans="2:48">
      <c r="B66" s="174" t="s">
        <v>8785</v>
      </c>
      <c r="C66" s="440"/>
      <c r="D66" s="455"/>
      <c r="E66" s="455"/>
      <c r="F66" s="175" t="s">
        <v>8786</v>
      </c>
      <c r="G66" s="79"/>
      <c r="H66" s="744"/>
      <c r="I66" s="745"/>
      <c r="J66" s="753"/>
      <c r="L66" s="179"/>
      <c r="M66" s="180"/>
      <c r="O66" s="181" t="s">
        <v>1311</v>
      </c>
      <c r="P66" s="1141"/>
      <c r="Q66" s="515"/>
      <c r="R66" s="1132"/>
      <c r="S66" s="515"/>
      <c r="T66" s="1132"/>
      <c r="U66" s="515"/>
      <c r="V66" s="1132"/>
      <c r="W66" s="515"/>
      <c r="X66" s="516"/>
      <c r="Z66" s="519"/>
      <c r="AA66" s="542"/>
      <c r="AB66" s="184"/>
      <c r="AC66" s="543"/>
      <c r="AD66" s="593"/>
      <c r="AE66" s="543"/>
      <c r="AF66" s="515"/>
      <c r="AG66" s="543"/>
      <c r="AH66" s="515"/>
      <c r="AI66" s="543"/>
      <c r="AJ66" s="515"/>
      <c r="AK66" s="543"/>
      <c r="AL66" s="515"/>
      <c r="AM66" s="543"/>
      <c r="AN66" s="515"/>
      <c r="AO66" s="543"/>
      <c r="AP66" s="515"/>
      <c r="AQ66" s="1137"/>
      <c r="AR66" s="295"/>
      <c r="AS66" s="183"/>
      <c r="AT66" s="180"/>
      <c r="AU66" s="295"/>
      <c r="AV66" s="299"/>
    </row>
    <row r="67" spans="2:48">
      <c r="B67" s="174"/>
      <c r="C67" s="174"/>
      <c r="D67" s="174"/>
      <c r="E67" s="455"/>
      <c r="F67" s="175"/>
      <c r="G67" s="79"/>
      <c r="H67" s="176"/>
      <c r="I67" s="177"/>
      <c r="J67" s="178"/>
      <c r="L67" s="179"/>
      <c r="M67" s="180"/>
      <c r="O67" s="181"/>
      <c r="P67" s="1132"/>
      <c r="Q67" s="182"/>
      <c r="R67" s="1132"/>
      <c r="S67" s="182"/>
      <c r="T67" s="1132"/>
      <c r="U67" s="182"/>
      <c r="V67" s="1132"/>
      <c r="W67" s="182"/>
      <c r="X67" s="175"/>
      <c r="Z67" s="183"/>
      <c r="AA67" s="180"/>
      <c r="AB67" s="184"/>
      <c r="AC67" s="183"/>
      <c r="AD67" s="593"/>
      <c r="AE67" s="183"/>
      <c r="AF67" s="180"/>
      <c r="AG67" s="183"/>
      <c r="AH67" s="180"/>
      <c r="AI67" s="183"/>
      <c r="AJ67" s="180"/>
      <c r="AK67" s="183"/>
      <c r="AL67" s="180"/>
      <c r="AM67" s="183"/>
      <c r="AN67" s="180"/>
      <c r="AO67" s="183"/>
      <c r="AP67" s="180"/>
      <c r="AQ67" s="1137"/>
      <c r="AR67" s="295"/>
      <c r="AS67" s="183"/>
      <c r="AT67" s="180"/>
      <c r="AU67" s="295"/>
      <c r="AV67" s="299"/>
    </row>
    <row r="68" spans="2:48">
      <c r="B68" s="174"/>
      <c r="C68" s="174"/>
      <c r="D68" s="174"/>
      <c r="E68" s="455"/>
      <c r="F68" s="175"/>
      <c r="G68" s="79"/>
      <c r="H68" s="176"/>
      <c r="I68" s="177"/>
      <c r="J68" s="178"/>
      <c r="L68" s="179"/>
      <c r="M68" s="180"/>
      <c r="O68" s="181"/>
      <c r="P68" s="1132"/>
      <c r="Q68" s="182"/>
      <c r="R68" s="1132"/>
      <c r="S68" s="182"/>
      <c r="T68" s="1132"/>
      <c r="U68" s="182"/>
      <c r="V68" s="1132"/>
      <c r="W68" s="182"/>
      <c r="X68" s="175"/>
      <c r="Z68" s="183"/>
      <c r="AA68" s="180"/>
      <c r="AB68" s="184"/>
      <c r="AC68" s="183"/>
      <c r="AD68" s="593"/>
      <c r="AE68" s="183"/>
      <c r="AF68" s="180"/>
      <c r="AG68" s="183"/>
      <c r="AH68" s="180"/>
      <c r="AI68" s="183"/>
      <c r="AJ68" s="180"/>
      <c r="AK68" s="183"/>
      <c r="AL68" s="180"/>
      <c r="AM68" s="183"/>
      <c r="AN68" s="180"/>
      <c r="AO68" s="183"/>
      <c r="AP68" s="180"/>
      <c r="AQ68" s="1137"/>
      <c r="AR68" s="295"/>
      <c r="AS68" s="183"/>
      <c r="AT68" s="180"/>
      <c r="AU68" s="295"/>
      <c r="AV68" s="299"/>
    </row>
    <row r="69" spans="2:48">
      <c r="B69" s="174"/>
      <c r="C69" s="174"/>
      <c r="D69" s="174"/>
      <c r="E69" s="455"/>
      <c r="F69" s="175"/>
      <c r="G69" s="79"/>
      <c r="H69" s="176"/>
      <c r="I69" s="177"/>
      <c r="J69" s="178"/>
      <c r="L69" s="179"/>
      <c r="M69" s="180"/>
      <c r="O69" s="181"/>
      <c r="P69" s="1132"/>
      <c r="Q69" s="182"/>
      <c r="R69" s="1132"/>
      <c r="S69" s="182"/>
      <c r="T69" s="1132"/>
      <c r="U69" s="182"/>
      <c r="V69" s="1132"/>
      <c r="W69" s="182"/>
      <c r="X69" s="175"/>
      <c r="Z69" s="183"/>
      <c r="AA69" s="180"/>
      <c r="AB69" s="184"/>
      <c r="AC69" s="183"/>
      <c r="AD69" s="593"/>
      <c r="AE69" s="183"/>
      <c r="AF69" s="180"/>
      <c r="AG69" s="183"/>
      <c r="AH69" s="180"/>
      <c r="AI69" s="183"/>
      <c r="AJ69" s="180"/>
      <c r="AK69" s="183"/>
      <c r="AL69" s="180"/>
      <c r="AM69" s="183"/>
      <c r="AN69" s="180"/>
      <c r="AO69" s="183"/>
      <c r="AP69" s="180"/>
      <c r="AQ69" s="1137"/>
      <c r="AR69" s="295"/>
      <c r="AS69" s="183"/>
      <c r="AT69" s="180"/>
      <c r="AU69" s="295"/>
      <c r="AV69" s="299"/>
    </row>
    <row r="70" spans="2:48">
      <c r="B70" s="174"/>
      <c r="C70" s="174"/>
      <c r="D70" s="174"/>
      <c r="E70" s="455"/>
      <c r="F70" s="175"/>
      <c r="G70" s="79"/>
      <c r="H70" s="176"/>
      <c r="I70" s="177"/>
      <c r="J70" s="178"/>
      <c r="L70" s="179"/>
      <c r="M70" s="180"/>
      <c r="O70" s="181"/>
      <c r="P70" s="1132"/>
      <c r="Q70" s="182"/>
      <c r="R70" s="1132"/>
      <c r="S70" s="182"/>
      <c r="T70" s="1132"/>
      <c r="U70" s="182"/>
      <c r="V70" s="1132"/>
      <c r="W70" s="182"/>
      <c r="X70" s="175"/>
      <c r="Z70" s="183"/>
      <c r="AA70" s="180"/>
      <c r="AB70" s="184"/>
      <c r="AC70" s="183"/>
      <c r="AD70" s="593"/>
      <c r="AE70" s="183"/>
      <c r="AF70" s="180"/>
      <c r="AG70" s="183"/>
      <c r="AH70" s="180"/>
      <c r="AI70" s="183"/>
      <c r="AJ70" s="180"/>
      <c r="AK70" s="183"/>
      <c r="AL70" s="180"/>
      <c r="AM70" s="183"/>
      <c r="AN70" s="180"/>
      <c r="AO70" s="183"/>
      <c r="AP70" s="180"/>
      <c r="AQ70" s="1137"/>
      <c r="AR70" s="295"/>
      <c r="AS70" s="183"/>
      <c r="AT70" s="180"/>
      <c r="AU70" s="295"/>
      <c r="AV70" s="299"/>
    </row>
    <row r="71" spans="2:48">
      <c r="B71" s="174"/>
      <c r="C71" s="174"/>
      <c r="D71" s="174"/>
      <c r="E71" s="455"/>
      <c r="F71" s="175"/>
      <c r="G71" s="79"/>
      <c r="H71" s="176"/>
      <c r="I71" s="177"/>
      <c r="J71" s="178"/>
      <c r="L71" s="179"/>
      <c r="M71" s="180"/>
      <c r="O71" s="181"/>
      <c r="P71" s="1132"/>
      <c r="Q71" s="182"/>
      <c r="R71" s="1132"/>
      <c r="S71" s="182"/>
      <c r="T71" s="1132"/>
      <c r="U71" s="182"/>
      <c r="V71" s="1132"/>
      <c r="W71" s="182"/>
      <c r="X71" s="175"/>
      <c r="Z71" s="183"/>
      <c r="AA71" s="180"/>
      <c r="AB71" s="184"/>
      <c r="AC71" s="183"/>
      <c r="AD71" s="593"/>
      <c r="AE71" s="183"/>
      <c r="AF71" s="180"/>
      <c r="AG71" s="183"/>
      <c r="AH71" s="180"/>
      <c r="AI71" s="183"/>
      <c r="AJ71" s="180"/>
      <c r="AK71" s="183"/>
      <c r="AL71" s="180"/>
      <c r="AM71" s="183"/>
      <c r="AN71" s="180"/>
      <c r="AO71" s="183"/>
      <c r="AP71" s="180"/>
      <c r="AQ71" s="1137"/>
      <c r="AR71" s="295"/>
      <c r="AS71" s="183"/>
      <c r="AT71" s="180"/>
      <c r="AU71" s="295"/>
      <c r="AV71" s="299"/>
    </row>
    <row r="72" spans="2:48">
      <c r="B72" s="174"/>
      <c r="C72" s="174"/>
      <c r="D72" s="174"/>
      <c r="E72" s="455"/>
      <c r="F72" s="175"/>
      <c r="G72" s="79"/>
      <c r="H72" s="176"/>
      <c r="I72" s="177"/>
      <c r="J72" s="178"/>
      <c r="L72" s="179"/>
      <c r="M72" s="180"/>
      <c r="O72" s="181"/>
      <c r="P72" s="1132"/>
      <c r="Q72" s="182"/>
      <c r="R72" s="1132"/>
      <c r="S72" s="182"/>
      <c r="T72" s="1132"/>
      <c r="U72" s="182"/>
      <c r="V72" s="1132"/>
      <c r="W72" s="182"/>
      <c r="X72" s="175"/>
      <c r="Z72" s="183"/>
      <c r="AA72" s="180"/>
      <c r="AB72" s="184"/>
      <c r="AC72" s="183"/>
      <c r="AD72" s="593"/>
      <c r="AE72" s="183"/>
      <c r="AF72" s="180"/>
      <c r="AG72" s="183"/>
      <c r="AH72" s="180"/>
      <c r="AI72" s="183"/>
      <c r="AJ72" s="180"/>
      <c r="AK72" s="183"/>
      <c r="AL72" s="180"/>
      <c r="AM72" s="183"/>
      <c r="AN72" s="180"/>
      <c r="AO72" s="183"/>
      <c r="AP72" s="180"/>
      <c r="AQ72" s="1137"/>
      <c r="AR72" s="295"/>
      <c r="AS72" s="183"/>
      <c r="AT72" s="180"/>
      <c r="AU72" s="295"/>
      <c r="AV72" s="299"/>
    </row>
    <row r="73" spans="2:48">
      <c r="B73" s="174"/>
      <c r="C73" s="174"/>
      <c r="D73" s="174"/>
      <c r="E73" s="455"/>
      <c r="F73" s="175"/>
      <c r="G73" s="79"/>
      <c r="H73" s="176"/>
      <c r="I73" s="177"/>
      <c r="J73" s="178"/>
      <c r="L73" s="179"/>
      <c r="M73" s="180"/>
      <c r="O73" s="181"/>
      <c r="P73" s="1132"/>
      <c r="Q73" s="182"/>
      <c r="R73" s="1132"/>
      <c r="S73" s="182"/>
      <c r="T73" s="1132"/>
      <c r="U73" s="182"/>
      <c r="V73" s="1132"/>
      <c r="W73" s="182"/>
      <c r="X73" s="175"/>
      <c r="Z73" s="183"/>
      <c r="AA73" s="180"/>
      <c r="AB73" s="184"/>
      <c r="AC73" s="183"/>
      <c r="AD73" s="593"/>
      <c r="AE73" s="183"/>
      <c r="AF73" s="180"/>
      <c r="AG73" s="183"/>
      <c r="AH73" s="180"/>
      <c r="AI73" s="183"/>
      <c r="AJ73" s="180"/>
      <c r="AK73" s="183"/>
      <c r="AL73" s="180"/>
      <c r="AM73" s="183"/>
      <c r="AN73" s="180"/>
      <c r="AO73" s="183"/>
      <c r="AP73" s="180"/>
      <c r="AQ73" s="1137"/>
      <c r="AR73" s="295"/>
      <c r="AS73" s="183"/>
      <c r="AT73" s="180"/>
      <c r="AU73" s="295"/>
      <c r="AV73" s="299"/>
    </row>
    <row r="74" spans="2:48">
      <c r="B74" s="174"/>
      <c r="C74" s="174"/>
      <c r="D74" s="174"/>
      <c r="E74" s="455"/>
      <c r="F74" s="175"/>
      <c r="G74" s="79"/>
      <c r="H74" s="176"/>
      <c r="I74" s="177"/>
      <c r="J74" s="178"/>
      <c r="L74" s="179"/>
      <c r="M74" s="180"/>
      <c r="O74" s="181"/>
      <c r="P74" s="1132"/>
      <c r="Q74" s="182"/>
      <c r="R74" s="1132"/>
      <c r="S74" s="182"/>
      <c r="T74" s="1132"/>
      <c r="U74" s="182"/>
      <c r="V74" s="1132"/>
      <c r="W74" s="182"/>
      <c r="X74" s="175"/>
      <c r="Z74" s="183"/>
      <c r="AA74" s="180"/>
      <c r="AB74" s="184"/>
      <c r="AC74" s="183"/>
      <c r="AD74" s="593"/>
      <c r="AE74" s="183"/>
      <c r="AF74" s="180"/>
      <c r="AG74" s="183"/>
      <c r="AH74" s="180"/>
      <c r="AI74" s="183"/>
      <c r="AJ74" s="180"/>
      <c r="AK74" s="183"/>
      <c r="AL74" s="180"/>
      <c r="AM74" s="183"/>
      <c r="AN74" s="180"/>
      <c r="AO74" s="183"/>
      <c r="AP74" s="180"/>
      <c r="AQ74" s="1137"/>
      <c r="AR74" s="295"/>
      <c r="AS74" s="183"/>
      <c r="AT74" s="180"/>
      <c r="AU74" s="295"/>
      <c r="AV74" s="299"/>
    </row>
    <row r="75" spans="2:48">
      <c r="B75" s="174"/>
      <c r="C75" s="174"/>
      <c r="D75" s="174"/>
      <c r="E75" s="455"/>
      <c r="F75" s="175"/>
      <c r="G75" s="79"/>
      <c r="H75" s="176"/>
      <c r="I75" s="177"/>
      <c r="J75" s="178"/>
      <c r="L75" s="179"/>
      <c r="M75" s="180"/>
      <c r="O75" s="181"/>
      <c r="P75" s="1132"/>
      <c r="Q75" s="182"/>
      <c r="R75" s="1132"/>
      <c r="S75" s="182"/>
      <c r="T75" s="1132"/>
      <c r="U75" s="182"/>
      <c r="V75" s="1132"/>
      <c r="W75" s="182"/>
      <c r="X75" s="175"/>
      <c r="Z75" s="183"/>
      <c r="AA75" s="180"/>
      <c r="AB75" s="184"/>
      <c r="AC75" s="183"/>
      <c r="AD75" s="593"/>
      <c r="AE75" s="183"/>
      <c r="AF75" s="180"/>
      <c r="AG75" s="183"/>
      <c r="AH75" s="180"/>
      <c r="AI75" s="183"/>
      <c r="AJ75" s="180"/>
      <c r="AK75" s="183"/>
      <c r="AL75" s="180"/>
      <c r="AM75" s="183"/>
      <c r="AN75" s="180"/>
      <c r="AO75" s="183"/>
      <c r="AP75" s="180"/>
      <c r="AQ75" s="1137"/>
      <c r="AR75" s="295"/>
      <c r="AS75" s="183"/>
      <c r="AT75" s="180"/>
      <c r="AU75" s="295"/>
      <c r="AV75" s="299"/>
    </row>
    <row r="76" spans="2:48">
      <c r="B76" s="174"/>
      <c r="C76" s="174"/>
      <c r="D76" s="174"/>
      <c r="E76" s="455"/>
      <c r="F76" s="175"/>
      <c r="G76" s="79"/>
      <c r="H76" s="176"/>
      <c r="I76" s="177"/>
      <c r="J76" s="178"/>
      <c r="L76" s="179"/>
      <c r="M76" s="180"/>
      <c r="O76" s="181"/>
      <c r="P76" s="1132"/>
      <c r="Q76" s="182"/>
      <c r="R76" s="1132"/>
      <c r="S76" s="182"/>
      <c r="T76" s="1132"/>
      <c r="U76" s="182"/>
      <c r="V76" s="1132"/>
      <c r="W76" s="182"/>
      <c r="X76" s="175"/>
      <c r="Z76" s="183"/>
      <c r="AA76" s="180"/>
      <c r="AB76" s="184"/>
      <c r="AC76" s="183"/>
      <c r="AD76" s="593"/>
      <c r="AE76" s="183"/>
      <c r="AF76" s="180"/>
      <c r="AG76" s="183"/>
      <c r="AH76" s="180"/>
      <c r="AI76" s="183"/>
      <c r="AJ76" s="180"/>
      <c r="AK76" s="183"/>
      <c r="AL76" s="180"/>
      <c r="AM76" s="183"/>
      <c r="AN76" s="180"/>
      <c r="AO76" s="183"/>
      <c r="AP76" s="180"/>
      <c r="AQ76" s="1137"/>
      <c r="AR76" s="295"/>
      <c r="AS76" s="183"/>
      <c r="AT76" s="180"/>
      <c r="AU76" s="295"/>
      <c r="AV76" s="299"/>
    </row>
    <row r="77" spans="2:48">
      <c r="B77" s="423"/>
      <c r="C77" s="423"/>
      <c r="D77" s="423"/>
      <c r="E77" s="457"/>
      <c r="F77" s="424"/>
      <c r="G77" s="418"/>
      <c r="H77" s="425"/>
      <c r="I77" s="426"/>
      <c r="J77" s="427"/>
      <c r="K77" s="419"/>
      <c r="L77" s="428"/>
      <c r="M77" s="429"/>
      <c r="N77" s="420"/>
      <c r="O77" s="430"/>
      <c r="P77" s="1140"/>
      <c r="Q77" s="431"/>
      <c r="R77" s="1140"/>
      <c r="S77" s="431"/>
      <c r="T77" s="1140"/>
      <c r="U77" s="431"/>
      <c r="V77" s="1140"/>
      <c r="W77" s="431"/>
      <c r="X77" s="424"/>
      <c r="Y77" s="421"/>
      <c r="Z77" s="432"/>
      <c r="AA77" s="429"/>
      <c r="AB77" s="433"/>
      <c r="AC77" s="432"/>
      <c r="AD77" s="594"/>
      <c r="AE77" s="432"/>
      <c r="AF77" s="429"/>
      <c r="AG77" s="432"/>
      <c r="AH77" s="429"/>
      <c r="AI77" s="432"/>
      <c r="AJ77" s="429"/>
      <c r="AK77" s="432"/>
      <c r="AL77" s="429"/>
      <c r="AM77" s="432"/>
      <c r="AN77" s="429"/>
      <c r="AO77" s="432"/>
      <c r="AP77" s="429"/>
      <c r="AQ77" s="1138"/>
      <c r="AR77" s="422"/>
      <c r="AS77" s="432"/>
      <c r="AT77" s="429"/>
      <c r="AU77" s="422"/>
      <c r="AV77" s="434"/>
    </row>
    <row r="79" spans="2:48">
      <c r="O79" s="93"/>
    </row>
    <row r="80" spans="2:48">
      <c r="P80" s="499"/>
    </row>
    <row r="81" spans="18:20">
      <c r="R81" s="589"/>
    </row>
    <row r="82" spans="18:20">
      <c r="R82" s="589"/>
      <c r="T82" s="589"/>
    </row>
  </sheetData>
  <autoFilter ref="B4:AL77" xr:uid="{3F8A1145-C227-405A-BFD7-75EBE00284E9}"/>
  <mergeCells count="20">
    <mergeCell ref="AS2:AT2"/>
    <mergeCell ref="AO2:AP2"/>
    <mergeCell ref="O18:O19"/>
    <mergeCell ref="B1:F1"/>
    <mergeCell ref="H1:J1"/>
    <mergeCell ref="O1:X1"/>
    <mergeCell ref="AG2:AH2"/>
    <mergeCell ref="Z1:AQ1"/>
    <mergeCell ref="H2:I2"/>
    <mergeCell ref="P2:Q2"/>
    <mergeCell ref="R2:S2"/>
    <mergeCell ref="T2:U2"/>
    <mergeCell ref="V2:W2"/>
    <mergeCell ref="Z2:AA2"/>
    <mergeCell ref="AC2:AD2"/>
    <mergeCell ref="AE2:AF2"/>
    <mergeCell ref="L1:M1"/>
    <mergeCell ref="AI2:AJ2"/>
    <mergeCell ref="AK2:AL2"/>
    <mergeCell ref="AM2:AN2"/>
  </mergeCells>
  <phoneticPr fontId="26" type="noConversion"/>
  <pageMargins left="0.7" right="0.7" top="0.75" bottom="0.75" header="0.3" footer="0.3"/>
  <pageSetup scale="2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9466-F168-48B6-89A1-F55A369FEEE0}">
  <sheetPr codeName="Sheet4">
    <tabColor rgb="FFFF0000"/>
  </sheetPr>
  <dimension ref="B1:AG127"/>
  <sheetViews>
    <sheetView showGridLines="0" zoomScaleNormal="100" workbookViewId="0">
      <pane ySplit="82" topLeftCell="A83" activePane="bottomLeft" state="frozen"/>
      <selection pane="bottomLeft" activeCell="B102" sqref="B102"/>
    </sheetView>
  </sheetViews>
  <sheetFormatPr defaultColWidth="8.5703125" defaultRowHeight="10.15"/>
  <cols>
    <col min="1" max="1" width="1.5703125" style="2" customWidth="1"/>
    <col min="2" max="2" width="14.42578125" style="111" customWidth="1"/>
    <col min="3" max="3" width="28.42578125" style="3" customWidth="1"/>
    <col min="4" max="4" width="25.42578125" style="21" customWidth="1"/>
    <col min="5" max="5" width="13.42578125" style="21" customWidth="1"/>
    <col min="6" max="6" width="13.42578125" style="2" customWidth="1"/>
    <col min="7" max="7" width="11.5703125" style="2" hidden="1" customWidth="1"/>
    <col min="8" max="8" width="7.140625" style="28" customWidth="1"/>
    <col min="9" max="9" width="3" style="28" customWidth="1"/>
    <col min="10" max="10" width="16.5703125" style="28" customWidth="1"/>
    <col min="11" max="11" width="20.85546875" style="21" customWidth="1"/>
    <col min="12" max="12" width="10.85546875" style="111" customWidth="1"/>
    <col min="13" max="13" width="12.140625" style="28" customWidth="1"/>
    <col min="14" max="14" width="16.42578125" style="131" customWidth="1"/>
    <col min="15" max="15" width="15.28515625" style="131" customWidth="1"/>
    <col min="16" max="16" width="24" style="3" customWidth="1"/>
    <col min="17" max="17" width="2" style="3" hidden="1" customWidth="1"/>
    <col min="18" max="18" width="5.42578125" style="2" hidden="1" customWidth="1"/>
    <col min="19" max="19" width="9.42578125" style="2" hidden="1" customWidth="1"/>
    <col min="20" max="20" width="8.42578125" style="2" hidden="1" customWidth="1"/>
    <col min="21" max="21" width="9.42578125" style="2" hidden="1" customWidth="1"/>
    <col min="22" max="22" width="2.42578125" style="2" hidden="1" customWidth="1"/>
    <col min="23" max="23" width="7.42578125" style="244" hidden="1" customWidth="1"/>
    <col min="24" max="24" width="15.5703125" style="28" hidden="1" customWidth="1"/>
    <col min="25" max="25" width="10.85546875" style="2" hidden="1" customWidth="1"/>
    <col min="26" max="27" width="11.42578125" style="2" hidden="1" customWidth="1"/>
    <col min="28" max="28" width="10.42578125" style="114" hidden="1" customWidth="1"/>
    <col min="29" max="29" width="9.5703125" style="111" hidden="1" customWidth="1"/>
    <col min="30" max="30" width="8.5703125" style="209" hidden="1" customWidth="1"/>
    <col min="31" max="31" width="8.42578125" style="2" customWidth="1"/>
    <col min="32" max="32" width="7.5703125" style="2" customWidth="1"/>
    <col min="33" max="16384" width="8.5703125" style="2"/>
  </cols>
  <sheetData>
    <row r="1" spans="2:33">
      <c r="F1" s="39">
        <f>SUBTOTAL(109,F3:F84)</f>
        <v>8831.7000000000007</v>
      </c>
      <c r="H1" s="27"/>
      <c r="I1" s="696"/>
      <c r="N1" s="110"/>
      <c r="O1" s="110"/>
      <c r="R1" s="112" t="s">
        <v>8787</v>
      </c>
      <c r="S1" s="112"/>
      <c r="T1" s="113"/>
      <c r="U1" s="112"/>
      <c r="V1" s="220"/>
      <c r="W1" s="233"/>
    </row>
    <row r="2" spans="2:33" ht="40.9">
      <c r="B2" s="1" t="s">
        <v>16</v>
      </c>
      <c r="C2" s="4" t="s">
        <v>8788</v>
      </c>
      <c r="D2" s="4" t="s">
        <v>8789</v>
      </c>
      <c r="E2" s="4" t="s">
        <v>8790</v>
      </c>
      <c r="F2" s="4" t="s">
        <v>8791</v>
      </c>
      <c r="G2" s="4" t="s">
        <v>8792</v>
      </c>
      <c r="H2" s="4" t="s">
        <v>35</v>
      </c>
      <c r="I2" s="696"/>
      <c r="J2" s="157" t="s">
        <v>8793</v>
      </c>
      <c r="K2" s="269" t="s">
        <v>8794</v>
      </c>
      <c r="L2" s="158" t="s">
        <v>60</v>
      </c>
      <c r="M2" s="158" t="s">
        <v>8795</v>
      </c>
      <c r="N2" s="159" t="s">
        <v>8796</v>
      </c>
      <c r="O2" s="159" t="s">
        <v>8797</v>
      </c>
      <c r="P2" s="158" t="s">
        <v>8798</v>
      </c>
      <c r="Q2" s="224"/>
      <c r="R2" s="160" t="s">
        <v>8799</v>
      </c>
      <c r="S2" s="161" t="s">
        <v>8800</v>
      </c>
      <c r="T2" s="162" t="s">
        <v>8801</v>
      </c>
      <c r="U2" s="163" t="s">
        <v>8802</v>
      </c>
      <c r="V2" s="221"/>
      <c r="W2" s="234" t="s">
        <v>8788</v>
      </c>
      <c r="X2" s="164" t="s">
        <v>8803</v>
      </c>
      <c r="Y2" s="165" t="s">
        <v>8804</v>
      </c>
      <c r="Z2" s="166" t="s">
        <v>8805</v>
      </c>
      <c r="AA2" s="166" t="s">
        <v>8806</v>
      </c>
      <c r="AB2" s="166" t="s">
        <v>8807</v>
      </c>
      <c r="AC2" s="167" t="s">
        <v>27</v>
      </c>
      <c r="AD2" s="166" t="s">
        <v>8808</v>
      </c>
    </row>
    <row r="3" spans="2:33" s="108" customFormat="1" ht="25.5" hidden="1" customHeight="1" thickTop="1">
      <c r="B3" s="262" t="s">
        <v>2689</v>
      </c>
      <c r="C3" s="266" t="s">
        <v>4258</v>
      </c>
      <c r="D3" s="265" t="s">
        <v>4258</v>
      </c>
      <c r="E3" s="265"/>
      <c r="F3" s="117">
        <v>1499.4</v>
      </c>
      <c r="G3" s="117"/>
      <c r="H3" s="216" t="s">
        <v>3</v>
      </c>
      <c r="I3" s="698"/>
      <c r="J3" s="284" t="s">
        <v>8809</v>
      </c>
      <c r="K3" s="285" t="s">
        <v>98</v>
      </c>
      <c r="L3" s="462" t="s">
        <v>3602</v>
      </c>
      <c r="M3" s="286" t="s">
        <v>8810</v>
      </c>
      <c r="N3" s="287">
        <v>45821</v>
      </c>
      <c r="O3" s="288">
        <v>45865</v>
      </c>
      <c r="P3" s="1251" t="s">
        <v>8811</v>
      </c>
      <c r="Q3" s="225"/>
      <c r="R3" s="115"/>
      <c r="S3" s="115"/>
      <c r="T3" s="116"/>
      <c r="U3" s="117">
        <f>IF(F3="","",F3-S3)</f>
        <v>1499.4</v>
      </c>
      <c r="V3" s="222"/>
      <c r="W3" s="235" t="s">
        <v>4258</v>
      </c>
      <c r="X3" s="216" t="s">
        <v>3318</v>
      </c>
      <c r="Y3" s="118"/>
      <c r="Z3" s="117">
        <v>1499.4</v>
      </c>
      <c r="AA3" s="117" t="e" cm="1">
        <f t="array" ref="AA3">IF(X3="","",SUMPRODUCT(--(#REF!=#REF!),--(X3=#REF!),#REF!))</f>
        <v>#REF!</v>
      </c>
      <c r="AB3" s="117">
        <v>1499.4</v>
      </c>
      <c r="AC3" s="247"/>
      <c r="AD3" s="210" t="e" cm="1">
        <f t="array" ref="AD3">IF(C3=0,"",U3-SUMPRODUCT(--(#REF!=#REF!),$AB$2:$AB$121))</f>
        <v>#REF!</v>
      </c>
    </row>
    <row r="4" spans="2:33" s="108" customFormat="1" ht="21" hidden="1" customHeight="1" thickBot="1">
      <c r="B4" s="262" t="s">
        <v>2689</v>
      </c>
      <c r="C4" s="266" t="s">
        <v>4271</v>
      </c>
      <c r="D4" s="265" t="s">
        <v>4272</v>
      </c>
      <c r="E4" s="265"/>
      <c r="F4" s="117">
        <v>43069.8</v>
      </c>
      <c r="G4" s="117"/>
      <c r="H4" s="216" t="s">
        <v>3</v>
      </c>
      <c r="I4" s="698"/>
      <c r="J4" s="289" t="s">
        <v>8809</v>
      </c>
      <c r="K4" s="290" t="s">
        <v>98</v>
      </c>
      <c r="L4" s="463" t="s">
        <v>3602</v>
      </c>
      <c r="M4" s="291" t="s">
        <v>8810</v>
      </c>
      <c r="N4" s="287">
        <v>45821</v>
      </c>
      <c r="O4" s="288">
        <v>45865</v>
      </c>
      <c r="P4" s="1252"/>
      <c r="Q4" s="225"/>
      <c r="R4" s="115"/>
      <c r="S4" s="115"/>
      <c r="T4" s="116"/>
      <c r="U4" s="117">
        <f>IF(F4="","",F4-S4)</f>
        <v>43069.8</v>
      </c>
      <c r="V4" s="222"/>
      <c r="W4" s="235" t="s">
        <v>4271</v>
      </c>
      <c r="X4" s="216" t="s">
        <v>3318</v>
      </c>
      <c r="Y4" s="118"/>
      <c r="Z4" s="117">
        <v>43069.63</v>
      </c>
      <c r="AA4" s="117" t="e" cm="1">
        <f t="array" ref="AA4">IF(X4="","",SUMPRODUCT(--(#REF!=#REF!),--(X4=#REF!),#REF!))</f>
        <v>#REF!</v>
      </c>
      <c r="AB4" s="117">
        <v>43069.63</v>
      </c>
      <c r="AC4" s="247"/>
      <c r="AD4" s="210" t="e" cm="1">
        <f t="array" ref="AD4">IF(C4=0,"",U4-SUMPRODUCT(--(#REF!=#REF!),$AB$2:$AB$121))</f>
        <v>#REF!</v>
      </c>
    </row>
    <row r="5" spans="2:33" ht="31.35" hidden="1" customHeight="1" thickTop="1" thickBot="1">
      <c r="B5" s="257" t="s">
        <v>2689</v>
      </c>
      <c r="C5" s="6" t="s">
        <v>4239</v>
      </c>
      <c r="D5" s="23" t="s">
        <v>4239</v>
      </c>
      <c r="E5" s="23"/>
      <c r="F5" s="8">
        <v>3880.8</v>
      </c>
      <c r="G5" s="8"/>
      <c r="H5" s="30" t="s">
        <v>3</v>
      </c>
      <c r="I5" s="25"/>
      <c r="J5" s="29" t="s">
        <v>8809</v>
      </c>
      <c r="K5" s="292" t="s">
        <v>98</v>
      </c>
      <c r="L5" s="464" t="s">
        <v>4248</v>
      </c>
      <c r="M5" s="30" t="s">
        <v>116</v>
      </c>
      <c r="N5" s="119"/>
      <c r="O5" s="119">
        <v>45856</v>
      </c>
      <c r="P5" s="214" t="s">
        <v>8812</v>
      </c>
      <c r="Q5" s="226"/>
      <c r="R5" s="7"/>
      <c r="S5" s="7"/>
      <c r="T5" s="120"/>
      <c r="U5" s="8">
        <f>IF(F5="","",F5-S5)</f>
        <v>3880.8</v>
      </c>
      <c r="V5" s="192"/>
      <c r="W5" s="235" t="s">
        <v>4239</v>
      </c>
      <c r="X5" s="217" t="s">
        <v>4244</v>
      </c>
      <c r="Y5" s="121"/>
      <c r="Z5" s="8">
        <v>3880.7999999999997</v>
      </c>
      <c r="AA5" s="8" t="e" cm="1">
        <f t="array" ref="AA5">IF(X5="","",SUMPRODUCT(--(#REF!=#REF!),--(X5=#REF!),#REF!))</f>
        <v>#REF!</v>
      </c>
      <c r="AB5" s="8">
        <v>3880.8</v>
      </c>
      <c r="AC5" s="248"/>
      <c r="AD5" s="154" t="e" cm="1">
        <f t="array" ref="AD5">IF(C5=0,"",U5-SUMPRODUCT(--(#REF!=#REF!),$AB$2:$AB$121))</f>
        <v>#REF!</v>
      </c>
    </row>
    <row r="6" spans="2:33" ht="20.100000000000001" hidden="1" customHeight="1" thickTop="1">
      <c r="B6" s="1205" t="s">
        <v>273</v>
      </c>
      <c r="C6" s="1221" t="s">
        <v>4041</v>
      </c>
      <c r="D6" s="1215" t="s">
        <v>4041</v>
      </c>
      <c r="E6" s="40"/>
      <c r="F6" s="1217">
        <v>12489.369000000001</v>
      </c>
      <c r="G6" s="1217" cm="1">
        <f t="array" ref="G6">IF(C6="",SUMPRODUCT(--(D6=LDL!$E$4:$E$2661),LDL!$AC$4:$AC$2661),SUMPRODUCT(--(C6=LDL!$D$4:$D$2661),LDL!$AC$4:$AC$2661))</f>
        <v>12489.449000000001</v>
      </c>
      <c r="H6" s="1224" t="s">
        <v>3</v>
      </c>
      <c r="I6" s="25"/>
      <c r="J6" s="125" t="s">
        <v>8813</v>
      </c>
      <c r="K6" s="124" t="s">
        <v>98</v>
      </c>
      <c r="L6" s="127"/>
      <c r="M6" s="125"/>
      <c r="N6" s="126"/>
      <c r="O6" s="126"/>
      <c r="P6" s="127" t="s">
        <v>3320</v>
      </c>
      <c r="Q6" s="187"/>
      <c r="R6" s="123"/>
      <c r="S6" s="123"/>
      <c r="T6" s="128"/>
      <c r="U6" s="129"/>
      <c r="V6" s="192"/>
      <c r="W6" s="236" t="s">
        <v>4041</v>
      </c>
      <c r="X6" s="125" t="s">
        <v>3949</v>
      </c>
      <c r="Y6" s="130">
        <v>45768</v>
      </c>
      <c r="Z6" s="129">
        <v>907.23</v>
      </c>
      <c r="AA6" s="129" cm="1">
        <f t="array" ref="AA6">IF(X6="","",SUMPRODUCT(--(W6=LDL!$D$4:$D$1641),--(X6=LDL!$AJ$4:$AJ$1641),LDL!$AC$4:$AC$1641))</f>
        <v>907.23</v>
      </c>
      <c r="AB6" s="129"/>
      <c r="AC6" s="249"/>
      <c r="AD6" s="211"/>
      <c r="AF6" s="2" t="s">
        <v>8814</v>
      </c>
    </row>
    <row r="7" spans="2:33" s="34" customFormat="1" ht="20.100000000000001" hidden="1" customHeight="1" thickBot="1">
      <c r="B7" s="1207"/>
      <c r="C7" s="1223"/>
      <c r="D7" s="1216"/>
      <c r="E7" s="41"/>
      <c r="F7" s="1220"/>
      <c r="G7" s="1220"/>
      <c r="H7" s="1225"/>
      <c r="I7" s="25"/>
      <c r="J7" s="134" t="s">
        <v>8815</v>
      </c>
      <c r="K7" s="270" t="s">
        <v>98</v>
      </c>
      <c r="L7" s="465" t="s">
        <v>4248</v>
      </c>
      <c r="M7" s="134" t="s">
        <v>3951</v>
      </c>
      <c r="N7" s="135">
        <v>45832</v>
      </c>
      <c r="O7" s="136">
        <v>45885</v>
      </c>
      <c r="P7" s="133" t="s">
        <v>8816</v>
      </c>
      <c r="Q7" s="227"/>
      <c r="R7" s="132"/>
      <c r="S7" s="132"/>
      <c r="T7" s="137"/>
      <c r="U7" s="138" t="str">
        <f>IF(F7="","",F7-S7)</f>
        <v/>
      </c>
      <c r="V7" s="222"/>
      <c r="W7" s="237" t="s">
        <v>4041</v>
      </c>
      <c r="X7" s="218" t="s">
        <v>4641</v>
      </c>
      <c r="Y7" s="139">
        <v>45820</v>
      </c>
      <c r="Z7" s="138">
        <v>11582.350000000004</v>
      </c>
      <c r="AA7" s="138" cm="1">
        <f t="array" ref="AA7">IF(X7="","",SUMPRODUCT(--(W7=LDL!$D$4:$D$1641),--(X7=LDL!$AJ$4:$AJ$1641),LDL!$AC$4:$AC$1641))</f>
        <v>11582.219000000001</v>
      </c>
      <c r="AB7" s="138"/>
      <c r="AC7" s="250"/>
      <c r="AD7" s="212" t="str" cm="1">
        <f t="array" ref="AD7">IF(C7=0,"",U7-SUMPRODUCT(--(#REF!=#REF!),$AB$2:$AB$121))</f>
        <v/>
      </c>
      <c r="AF7" s="34">
        <v>102088866</v>
      </c>
    </row>
    <row r="8" spans="2:33" ht="86.1" hidden="1" customHeight="1" thickTop="1">
      <c r="B8" s="173" t="s">
        <v>273</v>
      </c>
      <c r="C8" s="37" t="s">
        <v>4457</v>
      </c>
      <c r="D8" s="22" t="s">
        <v>8817</v>
      </c>
      <c r="E8" s="22"/>
      <c r="F8" s="11">
        <v>3525.92</v>
      </c>
      <c r="G8" s="109" cm="1">
        <f t="array" ref="G8">IF(C8="",SUMPRODUCT(--(D8=LDL!$E$4:$E$2661),LDL!$AC$4:$AC$2661),SUMPRODUCT(--(C8=LDL!$D$4:$D$2661),LDL!$AC$4:$AC$2661))</f>
        <v>3525.92</v>
      </c>
      <c r="H8" s="29" t="s">
        <v>3</v>
      </c>
      <c r="I8" s="25"/>
      <c r="J8" s="25" t="s">
        <v>8809</v>
      </c>
      <c r="K8" s="271" t="s">
        <v>98</v>
      </c>
      <c r="L8" s="187" t="s">
        <v>1565</v>
      </c>
      <c r="M8" s="25" t="s">
        <v>116</v>
      </c>
      <c r="N8" s="185" t="s">
        <v>8818</v>
      </c>
      <c r="O8" s="185" t="s">
        <v>8819</v>
      </c>
      <c r="P8" s="190" t="s">
        <v>8820</v>
      </c>
      <c r="Q8" s="190"/>
      <c r="R8" s="26"/>
      <c r="S8" s="26"/>
      <c r="T8" s="191"/>
      <c r="U8" s="192">
        <f>IF(F8="","",F8-S8)</f>
        <v>3525.92</v>
      </c>
      <c r="V8" s="192"/>
      <c r="W8" s="238" t="s">
        <v>4457</v>
      </c>
      <c r="X8" s="25" t="s">
        <v>8821</v>
      </c>
      <c r="Y8" s="193"/>
      <c r="Z8" s="192"/>
      <c r="AA8" s="192" cm="1">
        <f t="array" ref="AA8">IF(X8="","",SUMPRODUCT(--(W8=LDL!$D$4:$D$1641),--(X8=LDL!$AJ$4:$AJ$1641),LDL!$AC$4:$AC$1641))</f>
        <v>0</v>
      </c>
      <c r="AB8" s="192">
        <v>3525.92</v>
      </c>
      <c r="AC8" s="245"/>
      <c r="AD8" s="186"/>
      <c r="AE8" s="18" t="s">
        <v>8822</v>
      </c>
      <c r="AF8" s="19" t="s">
        <v>8823</v>
      </c>
      <c r="AG8" s="142" t="s">
        <v>8824</v>
      </c>
    </row>
    <row r="9" spans="2:33" s="108" customFormat="1" ht="31.15" hidden="1">
      <c r="B9" s="262" t="s">
        <v>383</v>
      </c>
      <c r="C9" s="263" t="s">
        <v>4688</v>
      </c>
      <c r="D9" s="264" t="s">
        <v>4688</v>
      </c>
      <c r="E9" s="265"/>
      <c r="F9" s="117">
        <v>8318.75</v>
      </c>
      <c r="G9" s="117" cm="1">
        <f t="array" ref="G9">IF(C9="",SUMPRODUCT(--(D9=LDL!$E$4:$E$2661),LDL!$AC$4:$AC$2661),SUMPRODUCT(--(C9=LDL!$D$4:$D$2661),LDL!$AC$4:$AC$2661))</f>
        <v>8318.75</v>
      </c>
      <c r="H9" s="216" t="s">
        <v>3</v>
      </c>
      <c r="I9" s="699"/>
      <c r="J9" s="283" t="s">
        <v>8809</v>
      </c>
      <c r="K9" s="264" t="s">
        <v>98</v>
      </c>
      <c r="L9" s="262" t="s">
        <v>8825</v>
      </c>
      <c r="M9" s="216" t="s">
        <v>3951</v>
      </c>
      <c r="N9" s="267">
        <v>45827</v>
      </c>
      <c r="O9" s="267">
        <v>45882</v>
      </c>
      <c r="P9" s="266" t="s">
        <v>8812</v>
      </c>
      <c r="Q9" s="227"/>
      <c r="R9" s="115"/>
      <c r="S9" s="115"/>
      <c r="T9" s="116"/>
      <c r="U9" s="117"/>
      <c r="V9" s="222"/>
      <c r="W9" s="235" t="s">
        <v>4688</v>
      </c>
      <c r="X9" s="268" t="s">
        <v>4694</v>
      </c>
      <c r="Y9" s="118">
        <v>45818</v>
      </c>
      <c r="Z9" s="117">
        <v>8318.75</v>
      </c>
      <c r="AA9" s="117" cm="1">
        <f t="array" ref="AA9">IF(X9="","",SUMPRODUCT(--(W9=LDL!$D$4:$D$1641),--(X9=LDL!$AJ$4:$AJ$1641),LDL!$AC$4:$AC$1641))</f>
        <v>8318.75</v>
      </c>
      <c r="AB9" s="117">
        <v>8318.75</v>
      </c>
      <c r="AC9" s="247">
        <v>45783</v>
      </c>
      <c r="AD9" s="210" t="s">
        <v>98</v>
      </c>
    </row>
    <row r="10" spans="2:33" ht="23.1" hidden="1" customHeight="1" thickTop="1">
      <c r="B10" s="1205" t="s">
        <v>4177</v>
      </c>
      <c r="C10" s="1221" t="s">
        <v>4176</v>
      </c>
      <c r="D10" s="1215" t="s">
        <v>4176</v>
      </c>
      <c r="E10" s="40"/>
      <c r="F10" s="1217">
        <v>21678.53</v>
      </c>
      <c r="G10" s="1217" cm="1">
        <f t="array" ref="G10">IF(C10="",SUMPRODUCT(--(D10=LDL!$E$4:$E$2661),LDL!$AC$4:$AC$2661),SUMPRODUCT(--(C10=LDL!$D$4:$D$2661),LDL!$AC$4:$AC$2661))</f>
        <v>21678.6</v>
      </c>
      <c r="H10" s="1224" t="s">
        <v>3</v>
      </c>
      <c r="I10" s="590"/>
      <c r="J10" s="277" t="s">
        <v>8813</v>
      </c>
      <c r="K10" s="194" t="s">
        <v>98</v>
      </c>
      <c r="L10" s="197"/>
      <c r="M10" s="195" t="s">
        <v>141</v>
      </c>
      <c r="N10" s="196"/>
      <c r="O10" s="196"/>
      <c r="P10" s="197" t="s">
        <v>3320</v>
      </c>
      <c r="Q10" s="187"/>
      <c r="R10" s="198"/>
      <c r="S10" s="198"/>
      <c r="T10" s="199"/>
      <c r="U10" s="200"/>
      <c r="V10" s="192"/>
      <c r="W10" s="239" t="s">
        <v>4176</v>
      </c>
      <c r="X10" s="195" t="s">
        <v>4176</v>
      </c>
      <c r="Y10" s="201" t="s">
        <v>8826</v>
      </c>
      <c r="Z10" s="200">
        <v>21678.6</v>
      </c>
      <c r="AA10" s="200" cm="1">
        <f t="array" ref="AA10">IF(X10="","",SUMPRODUCT(--(W10=LDL!$D$4:$D$1641),--(X10=LDL!$AJ$4:$AJ$1641),LDL!$AC$4:$AC$1641))</f>
        <v>19349.59</v>
      </c>
      <c r="AB10" s="200"/>
      <c r="AC10" s="251"/>
      <c r="AD10" s="195" t="s">
        <v>98</v>
      </c>
    </row>
    <row r="11" spans="2:33" ht="23.1" hidden="1" customHeight="1" thickBot="1">
      <c r="B11" s="1206"/>
      <c r="C11" s="1222"/>
      <c r="D11" s="1219"/>
      <c r="E11" s="189"/>
      <c r="F11" s="1218"/>
      <c r="G11" s="1218"/>
      <c r="H11" s="1238"/>
      <c r="I11" s="590"/>
      <c r="J11" s="278" t="s">
        <v>8815</v>
      </c>
      <c r="K11" s="272" t="s">
        <v>98</v>
      </c>
      <c r="L11" s="466" t="s">
        <v>8827</v>
      </c>
      <c r="M11" s="203" t="s">
        <v>141</v>
      </c>
      <c r="N11" s="204">
        <v>45825</v>
      </c>
      <c r="O11" s="204" t="s">
        <v>8828</v>
      </c>
      <c r="P11" s="202" t="s">
        <v>8829</v>
      </c>
      <c r="Q11" s="37"/>
      <c r="R11" s="205"/>
      <c r="S11" s="205"/>
      <c r="T11" s="206"/>
      <c r="U11" s="207" t="str">
        <f>IF(F11="","",F11-S11)</f>
        <v/>
      </c>
      <c r="V11" s="192"/>
      <c r="W11" s="240" t="s">
        <v>4176</v>
      </c>
      <c r="X11" s="203" t="s">
        <v>4728</v>
      </c>
      <c r="Y11" s="208">
        <v>45754</v>
      </c>
      <c r="Z11" s="207">
        <v>2328975</v>
      </c>
      <c r="AA11" s="207" cm="1">
        <f t="array" ref="AA11">IF(X11="","",SUMPRODUCT(--(W11=LDL!$D$4:$D$1641),--(X11=LDL!$AJ$4:$AJ$1641),LDL!$AC$4:$AC$1641))</f>
        <v>2329.0099999999998</v>
      </c>
      <c r="AB11" s="207"/>
      <c r="AC11" s="252"/>
      <c r="AD11" s="203" t="s">
        <v>98</v>
      </c>
    </row>
    <row r="12" spans="2:33" ht="25.5" hidden="1" customHeight="1" thickTop="1">
      <c r="B12" s="257" t="s">
        <v>3786</v>
      </c>
      <c r="C12" s="6" t="s">
        <v>4702</v>
      </c>
      <c r="D12" s="23" t="s">
        <v>4702</v>
      </c>
      <c r="E12" s="23"/>
      <c r="F12" s="8">
        <v>2033</v>
      </c>
      <c r="G12" s="8" cm="1">
        <f t="array" ref="G12">IF(C12="",SUMPRODUCT(--(D12=LDL!$E$4:$E$2661),LDL!$AC$4:$AC$2661),SUMPRODUCT(--(C12=LDL!$D$4:$D$2661),LDL!$AC$4:$AC$2661))</f>
        <v>2033</v>
      </c>
      <c r="H12" s="30" t="s">
        <v>3</v>
      </c>
      <c r="I12" s="590"/>
      <c r="J12" s="279" t="s">
        <v>8809</v>
      </c>
      <c r="K12" s="273" t="s">
        <v>98</v>
      </c>
      <c r="L12" s="1239" t="s">
        <v>4595</v>
      </c>
      <c r="M12" s="1246" t="s">
        <v>141</v>
      </c>
      <c r="N12" s="1241">
        <v>45842</v>
      </c>
      <c r="O12" s="1241">
        <v>45890</v>
      </c>
      <c r="P12" s="1253"/>
      <c r="Q12" s="230"/>
      <c r="R12" s="150">
        <v>0.5</v>
      </c>
      <c r="S12" s="8">
        <v>1016.5</v>
      </c>
      <c r="T12" s="120"/>
      <c r="U12" s="8">
        <f>IF(F12="","",F12-S12)</f>
        <v>1016.5</v>
      </c>
      <c r="V12" s="192"/>
      <c r="W12" s="235" t="s">
        <v>4702</v>
      </c>
      <c r="X12" s="30" t="s">
        <v>4707</v>
      </c>
      <c r="Y12" s="121">
        <v>45821</v>
      </c>
      <c r="Z12" s="8">
        <v>2033</v>
      </c>
      <c r="AA12" s="8" cm="1">
        <f t="array" ref="AA12">IF(X12="","",SUMPRODUCT(--(W12=LDL!$D$4:$D$1641),--(X12=LDL!$AJ$4:$AJ$1641),LDL!$AC$4:$AC$1641))</f>
        <v>2033</v>
      </c>
      <c r="AB12" s="8">
        <v>1016.5</v>
      </c>
      <c r="AC12" s="248"/>
      <c r="AD12" s="154" t="s">
        <v>98</v>
      </c>
    </row>
    <row r="13" spans="2:33" ht="25.5" hidden="1" customHeight="1" thickBot="1">
      <c r="B13" s="257" t="s">
        <v>3786</v>
      </c>
      <c r="C13" s="6" t="s">
        <v>4722</v>
      </c>
      <c r="D13" s="23" t="s">
        <v>4722</v>
      </c>
      <c r="E13" s="23"/>
      <c r="F13" s="8">
        <v>2839</v>
      </c>
      <c r="G13" s="8" cm="1">
        <f t="array" ref="G13">IF(C13="",SUMPRODUCT(--(D13=LDL!$E$4:$E$2661),LDL!$AC$4:$AC$2661),SUMPRODUCT(--(C13=LDL!$D$4:$D$2661),LDL!$AC$4:$AC$2661))</f>
        <v>2839</v>
      </c>
      <c r="H13" s="30" t="s">
        <v>3</v>
      </c>
      <c r="I13" s="590"/>
      <c r="J13" s="280" t="s">
        <v>8809</v>
      </c>
      <c r="K13" s="274" t="s">
        <v>98</v>
      </c>
      <c r="L13" s="1240"/>
      <c r="M13" s="1247"/>
      <c r="N13" s="1242"/>
      <c r="O13" s="1242"/>
      <c r="P13" s="1254"/>
      <c r="Q13" s="230"/>
      <c r="R13" s="150">
        <v>0.5</v>
      </c>
      <c r="S13" s="8">
        <v>1419.5</v>
      </c>
      <c r="T13" s="120"/>
      <c r="U13" s="8">
        <f>IF(F13="","",F13-S13)</f>
        <v>1419.5</v>
      </c>
      <c r="V13" s="192"/>
      <c r="W13" s="235" t="s">
        <v>4722</v>
      </c>
      <c r="X13" s="30" t="s">
        <v>4707</v>
      </c>
      <c r="Y13" s="121">
        <v>45821</v>
      </c>
      <c r="Z13" s="8">
        <v>2839</v>
      </c>
      <c r="AA13" s="8" cm="1">
        <f t="array" ref="AA13">IF(X13="","",SUMPRODUCT(--(W13=LDL!$D$4:$D$1641),--(X13=LDL!$AJ$4:$AJ$1641),LDL!$AC$4:$AC$1641))</f>
        <v>2839</v>
      </c>
      <c r="AB13" s="8">
        <v>1419.5</v>
      </c>
      <c r="AC13" s="248"/>
      <c r="AD13" s="154" t="s">
        <v>98</v>
      </c>
    </row>
    <row r="14" spans="2:33" ht="33" hidden="1" customHeight="1" thickTop="1">
      <c r="B14" s="257" t="s">
        <v>4583</v>
      </c>
      <c r="C14" s="6" t="s">
        <v>4584</v>
      </c>
      <c r="D14" s="23" t="s">
        <v>4584</v>
      </c>
      <c r="E14" s="23"/>
      <c r="F14" s="8">
        <v>28531.1</v>
      </c>
      <c r="G14" s="8" cm="1">
        <f t="array" ref="G14">IF(C14="",SUMPRODUCT(--(D14=LDL!$E$4:$E$2661),LDL!$AC$4:$AC$2661),SUMPRODUCT(--(C14=LDL!$D$4:$D$2661),LDL!$AC$4:$AC$2661))</f>
        <v>28531.099999999995</v>
      </c>
      <c r="H14" s="30" t="s">
        <v>3</v>
      </c>
      <c r="I14" s="25"/>
      <c r="J14" s="30" t="s">
        <v>8809</v>
      </c>
      <c r="K14" s="23" t="s">
        <v>98</v>
      </c>
      <c r="L14" s="257" t="s">
        <v>4595</v>
      </c>
      <c r="M14" s="30" t="s">
        <v>116</v>
      </c>
      <c r="N14" s="119">
        <v>45849</v>
      </c>
      <c r="O14" s="119"/>
      <c r="P14" s="122" t="s">
        <v>8830</v>
      </c>
      <c r="Q14" s="190"/>
      <c r="R14" s="150">
        <v>0.5</v>
      </c>
      <c r="S14" s="151">
        <f>R14*F14</f>
        <v>14265.55</v>
      </c>
      <c r="T14" s="120"/>
      <c r="U14" s="8">
        <f>IF(F14="","",F14-S14)</f>
        <v>14265.55</v>
      </c>
      <c r="V14" s="192"/>
      <c r="W14" s="235" t="s">
        <v>4584</v>
      </c>
      <c r="X14" s="30" t="s">
        <v>4591</v>
      </c>
      <c r="Y14" s="121">
        <v>45838</v>
      </c>
      <c r="Z14" s="8"/>
      <c r="AA14" s="8" cm="1">
        <f t="array" ref="AA14">IF(X14="","",SUMPRODUCT(--(W14=LDL!$D$4:$D$1641),--(X14=LDL!$AJ$4:$AJ$1641),LDL!$AC$4:$AC$1641))</f>
        <v>26050.799999999996</v>
      </c>
      <c r="AB14" s="8"/>
      <c r="AC14" s="248"/>
      <c r="AD14" s="154"/>
    </row>
    <row r="15" spans="2:33" ht="47.1" hidden="1" customHeight="1">
      <c r="B15" s="257" t="s">
        <v>5635</v>
      </c>
      <c r="C15" s="6" t="s">
        <v>4767</v>
      </c>
      <c r="D15" s="23" t="s">
        <v>4767</v>
      </c>
      <c r="E15" s="23"/>
      <c r="F15" s="8">
        <v>740.88</v>
      </c>
      <c r="G15" s="8" cm="1">
        <f t="array" ref="G15">IF(C15="",SUMPRODUCT(--(D15=LDL!$E$4:$E$2661),LDL!$AC$4:$AC$2661),SUMPRODUCT(--(C15=LDL!$D$4:$D$2661),LDL!$AC$4:$AC$2661))</f>
        <v>740.88</v>
      </c>
      <c r="H15" s="30" t="s">
        <v>3</v>
      </c>
      <c r="I15" s="590"/>
      <c r="J15" s="281" t="s">
        <v>8809</v>
      </c>
      <c r="K15" s="275" t="s">
        <v>98</v>
      </c>
      <c r="L15" s="467" t="s">
        <v>1311</v>
      </c>
      <c r="M15" s="30" t="s">
        <v>116</v>
      </c>
      <c r="N15" s="119">
        <v>45902</v>
      </c>
      <c r="O15" s="119"/>
      <c r="P15" s="153" t="s">
        <v>8831</v>
      </c>
      <c r="Q15" s="228"/>
      <c r="R15" s="7"/>
      <c r="S15" s="7"/>
      <c r="T15" s="120"/>
      <c r="U15" s="8"/>
      <c r="V15" s="192"/>
      <c r="W15" s="235" t="s">
        <v>4767</v>
      </c>
      <c r="X15" s="30" t="s">
        <v>8832</v>
      </c>
      <c r="Y15" s="121"/>
      <c r="Z15" s="8"/>
      <c r="AA15" s="8"/>
      <c r="AB15" s="8">
        <v>740.88</v>
      </c>
      <c r="AC15" s="248" t="s">
        <v>8833</v>
      </c>
      <c r="AD15" s="154" t="s">
        <v>98</v>
      </c>
    </row>
    <row r="16" spans="2:33" ht="33" hidden="1" customHeight="1">
      <c r="B16" s="173" t="s">
        <v>101</v>
      </c>
      <c r="C16" s="6" t="s">
        <v>4745</v>
      </c>
      <c r="D16" s="23" t="s">
        <v>4745</v>
      </c>
      <c r="E16" s="23">
        <v>927088</v>
      </c>
      <c r="F16" s="8">
        <v>1260</v>
      </c>
      <c r="G16" s="8" cm="1">
        <f t="array" ref="G16">IF(C16="",SUMPRODUCT(--(D16=LDL!$E$4:$E$2661),LDL!$AC$4:$AC$2661),SUMPRODUCT(--(C16=LDL!$D$4:$D$2661),LDL!$AC$4:$AC$2661))</f>
        <v>1260</v>
      </c>
      <c r="H16" s="30" t="s">
        <v>3</v>
      </c>
      <c r="I16" s="25"/>
      <c r="J16" s="30" t="s">
        <v>8809</v>
      </c>
      <c r="K16" s="23" t="s">
        <v>98</v>
      </c>
      <c r="L16" s="257" t="s">
        <v>1565</v>
      </c>
      <c r="M16" s="30" t="s">
        <v>116</v>
      </c>
      <c r="N16" s="119">
        <v>45888</v>
      </c>
      <c r="O16" s="119">
        <v>45892</v>
      </c>
      <c r="P16" s="122"/>
      <c r="Q16" s="190"/>
      <c r="R16" s="7"/>
      <c r="S16" s="7"/>
      <c r="T16" s="120"/>
      <c r="U16" s="8"/>
      <c r="V16" s="192"/>
      <c r="W16" s="235" t="s">
        <v>4745</v>
      </c>
      <c r="X16" s="217" t="s">
        <v>4752</v>
      </c>
      <c r="Y16" s="121">
        <v>45882</v>
      </c>
      <c r="Z16" s="8">
        <v>1260</v>
      </c>
      <c r="AA16" s="8" cm="1">
        <f t="array" ref="AA16">IF(X16="","",SUMPRODUCT(--(W16=LDL!$D$4:$D$1641),--(X16=LDL!$AJ$4:$AJ$1641),LDL!$AC$4:$AC$1641))</f>
        <v>1260</v>
      </c>
      <c r="AB16" s="33" t="s">
        <v>8834</v>
      </c>
      <c r="AC16" s="248"/>
      <c r="AD16" s="154"/>
    </row>
    <row r="17" spans="2:30" ht="25.35" hidden="1" customHeight="1">
      <c r="B17" s="257" t="s">
        <v>4757</v>
      </c>
      <c r="C17" s="6" t="s">
        <v>4758</v>
      </c>
      <c r="D17" s="23" t="s">
        <v>4758</v>
      </c>
      <c r="E17" s="23" t="s">
        <v>8835</v>
      </c>
      <c r="F17" s="8">
        <v>105</v>
      </c>
      <c r="G17" s="8" cm="1">
        <f t="array" ref="G17">IF(C17="",SUMPRODUCT(--(D17=LDL!$E$4:$E$2661),LDL!$AC$4:$AC$2661),SUMPRODUCT(--(C17=LDL!$D$4:$D$2661),LDL!$AC$4:$AC$2661))</f>
        <v>105</v>
      </c>
      <c r="H17" s="30" t="s">
        <v>3</v>
      </c>
      <c r="I17" s="25"/>
      <c r="J17" s="30" t="s">
        <v>8809</v>
      </c>
      <c r="K17" s="23" t="s">
        <v>98</v>
      </c>
      <c r="L17" s="257"/>
      <c r="M17" s="30" t="s">
        <v>116</v>
      </c>
      <c r="N17" s="119"/>
      <c r="O17" s="119"/>
      <c r="P17" s="6"/>
      <c r="Q17" s="37"/>
      <c r="R17" s="7"/>
      <c r="S17" s="7"/>
      <c r="T17" s="120"/>
      <c r="U17" s="8"/>
      <c r="V17" s="192"/>
      <c r="W17" s="235"/>
      <c r="X17" s="30"/>
      <c r="Y17" s="121"/>
      <c r="Z17" s="8"/>
      <c r="AA17" s="8"/>
      <c r="AB17" s="8"/>
      <c r="AC17" s="248"/>
      <c r="AD17" s="154"/>
    </row>
    <row r="18" spans="2:30" ht="25.35" hidden="1" customHeight="1">
      <c r="B18" s="257" t="s">
        <v>3454</v>
      </c>
      <c r="C18" s="6"/>
      <c r="D18" s="23" t="s">
        <v>8836</v>
      </c>
      <c r="E18" s="23"/>
      <c r="F18" s="8">
        <v>101.89999999999999</v>
      </c>
      <c r="G18" s="8" cm="1">
        <f t="array" ref="G18">IF(C18="",SUMPRODUCT(--(D18=LDL!$E$4:$E$2661),LDL!$AC$4:$AC$2661),SUMPRODUCT(--(C18=LDL!$D$4:$D$2661),LDL!$AC$4:$AC$2661))</f>
        <v>0</v>
      </c>
      <c r="H18" s="30" t="s">
        <v>8837</v>
      </c>
      <c r="I18" s="25"/>
      <c r="J18" s="30" t="s">
        <v>8809</v>
      </c>
      <c r="K18" s="23" t="s">
        <v>98</v>
      </c>
      <c r="L18" s="257"/>
      <c r="M18" s="30"/>
      <c r="N18" s="119"/>
      <c r="O18" s="119"/>
      <c r="P18" s="6" t="s">
        <v>7188</v>
      </c>
      <c r="Q18" s="37"/>
      <c r="R18" s="7"/>
      <c r="S18" s="7"/>
      <c r="T18" s="120"/>
      <c r="U18" s="8"/>
      <c r="V18" s="192"/>
      <c r="W18" s="235"/>
      <c r="X18" s="30"/>
      <c r="Y18" s="121"/>
      <c r="Z18" s="8"/>
      <c r="AA18" s="8"/>
      <c r="AB18" s="8"/>
      <c r="AC18" s="248"/>
      <c r="AD18" s="154"/>
    </row>
    <row r="19" spans="2:30" ht="57" hidden="1" customHeight="1">
      <c r="B19" s="583" t="s">
        <v>131</v>
      </c>
      <c r="C19" s="12" t="s">
        <v>4950</v>
      </c>
      <c r="D19" s="23" t="s">
        <v>8838</v>
      </c>
      <c r="E19" s="23"/>
      <c r="F19" s="8"/>
      <c r="G19" s="8" cm="1">
        <f t="array" ref="G19">IF(C19="",SUMPRODUCT(--(D19=LDL!$E$4:$E$2661),LDL!$AC$4:$AC$2661),SUMPRODUCT(--(C19=LDL!$D$4:$D$2661),LDL!$AC$4:$AC$2661))</f>
        <v>24691.479999999992</v>
      </c>
      <c r="H19" s="30" t="s">
        <v>8</v>
      </c>
      <c r="I19" s="25"/>
      <c r="J19" s="172"/>
      <c r="K19" s="12" t="s">
        <v>98</v>
      </c>
      <c r="L19" s="172" t="s">
        <v>3320</v>
      </c>
      <c r="M19" s="172" t="s">
        <v>141</v>
      </c>
      <c r="N19" s="188">
        <v>45914</v>
      </c>
      <c r="O19" s="188" t="s">
        <v>8839</v>
      </c>
      <c r="P19" s="172"/>
      <c r="Q19" s="37"/>
      <c r="R19" s="32"/>
      <c r="S19" s="32"/>
      <c r="T19" s="32"/>
      <c r="U19" s="32"/>
      <c r="V19" s="192"/>
      <c r="W19" s="32"/>
      <c r="X19" s="32"/>
      <c r="Y19" s="32"/>
      <c r="Z19" s="32"/>
      <c r="AA19" s="32" t="str" cm="1">
        <f t="array" ref="AA19">IF(X19="","",SUMPRODUCT(--(W19=LDL!$D$4:$D$1641),--(X19=LDL!$AJ$4:$AJ$1641),LDL!$AC$4:$AC$1641))</f>
        <v/>
      </c>
      <c r="AB19" s="32"/>
      <c r="AC19" s="32"/>
      <c r="AD19" s="32"/>
    </row>
    <row r="20" spans="2:30" ht="25.35" hidden="1" customHeight="1" thickBot="1">
      <c r="B20" s="255" t="s">
        <v>3454</v>
      </c>
      <c r="C20" s="12" t="s">
        <v>5256</v>
      </c>
      <c r="D20" s="23" t="s">
        <v>5256</v>
      </c>
      <c r="E20" s="36"/>
      <c r="F20" s="8">
        <v>32421</v>
      </c>
      <c r="G20" s="8" cm="1">
        <f t="array" ref="G20">IF(C20="",SUMPRODUCT(--(D20=LDL!$E$4:$E$2661),LDL!$AC$4:$AC$2661),SUMPRODUCT(--(C20=LDL!$D$4:$D$2661),LDL!$AC$4:$AC$2661))</f>
        <v>32451</v>
      </c>
      <c r="H20" s="30" t="s">
        <v>8</v>
      </c>
      <c r="I20" s="25"/>
      <c r="J20" s="20"/>
      <c r="K20" s="12" t="s">
        <v>98</v>
      </c>
      <c r="L20" s="172" t="s">
        <v>1311</v>
      </c>
      <c r="M20" s="20"/>
      <c r="N20" s="156"/>
      <c r="O20" s="20"/>
      <c r="P20" s="7"/>
      <c r="Q20" s="37"/>
      <c r="R20" s="20"/>
      <c r="S20" s="20"/>
      <c r="T20" s="20"/>
      <c r="U20" s="20"/>
      <c r="V20" s="192"/>
      <c r="W20" s="30"/>
      <c r="X20" s="30"/>
      <c r="Y20" s="30"/>
      <c r="Z20" s="30"/>
      <c r="AA20" s="30"/>
      <c r="AB20" s="30"/>
      <c r="AC20" s="30"/>
      <c r="AD20" s="30"/>
    </row>
    <row r="21" spans="2:30" ht="25.35" hidden="1" customHeight="1">
      <c r="B21" s="255" t="s">
        <v>3454</v>
      </c>
      <c r="C21" s="441" t="s">
        <v>5365</v>
      </c>
      <c r="D21" s="276" t="s">
        <v>5365</v>
      </c>
      <c r="E21" s="36"/>
      <c r="F21" s="8">
        <v>24693.210000000003</v>
      </c>
      <c r="G21" s="8" cm="1">
        <f t="array" ref="G21">IF(C21="",SUMPRODUCT(--(D21=LDL!$E$4:$E$2661),LDL!$AC$4:$AC$2661),SUMPRODUCT(--(C21=LDL!$D$4:$D$2661),LDL!$AC$4:$AC$2661))</f>
        <v>24693.21</v>
      </c>
      <c r="H21" s="30" t="s">
        <v>8</v>
      </c>
      <c r="I21" s="25"/>
      <c r="J21" s="1167"/>
      <c r="K21" s="1174" t="s">
        <v>98</v>
      </c>
      <c r="L21" s="1167" t="s">
        <v>1311</v>
      </c>
      <c r="M21" s="1167" t="s">
        <v>141</v>
      </c>
      <c r="N21" s="1167">
        <v>45918</v>
      </c>
      <c r="O21" s="1167" t="s">
        <v>8840</v>
      </c>
      <c r="P21" s="1167"/>
      <c r="Q21" s="37"/>
      <c r="R21" s="32"/>
      <c r="S21" s="32"/>
      <c r="T21" s="32"/>
      <c r="U21" s="32"/>
      <c r="V21" s="192"/>
      <c r="W21" s="26"/>
      <c r="X21" s="26"/>
      <c r="Y21" s="26"/>
      <c r="Z21" s="26"/>
      <c r="AA21" s="26"/>
      <c r="AB21" s="26"/>
      <c r="AC21" s="26"/>
      <c r="AD21" s="26"/>
    </row>
    <row r="22" spans="2:30" ht="25.35" hidden="1" customHeight="1" thickBot="1">
      <c r="B22" s="255" t="s">
        <v>3454</v>
      </c>
      <c r="C22" s="442" t="s">
        <v>5424</v>
      </c>
      <c r="D22" s="443" t="s">
        <v>5424</v>
      </c>
      <c r="E22" s="36"/>
      <c r="F22" s="8">
        <v>315.82000000000005</v>
      </c>
      <c r="G22" s="8" cm="1">
        <f t="array" ref="G22">IF(C22="",SUMPRODUCT(--(D22=LDL!$E$4:$E$2661),LDL!$AC$4:$AC$2661),SUMPRODUCT(--(C22=LDL!$D$4:$D$2661),LDL!$AC$4:$AC$2661))</f>
        <v>315.82000000000005</v>
      </c>
      <c r="H22" s="30" t="s">
        <v>8</v>
      </c>
      <c r="I22" s="25"/>
      <c r="J22" s="1169"/>
      <c r="K22" s="1176"/>
      <c r="L22" s="1169"/>
      <c r="M22" s="1169"/>
      <c r="N22" s="1169"/>
      <c r="O22" s="1169"/>
      <c r="P22" s="1169"/>
      <c r="Q22" s="37"/>
      <c r="R22" s="530"/>
      <c r="S22" s="530"/>
      <c r="T22" s="530"/>
      <c r="U22" s="530"/>
      <c r="V22" s="539"/>
      <c r="W22" s="530"/>
      <c r="X22" s="530"/>
      <c r="Y22" s="530"/>
      <c r="Z22" s="530"/>
      <c r="AA22" s="530"/>
      <c r="AB22" s="530"/>
      <c r="AC22" s="530"/>
      <c r="AD22" s="530"/>
    </row>
    <row r="23" spans="2:30" ht="25.35" hidden="1" customHeight="1" thickBot="1">
      <c r="B23" s="257" t="s">
        <v>3454</v>
      </c>
      <c r="C23" s="10"/>
      <c r="D23" s="22" t="s">
        <v>6832</v>
      </c>
      <c r="E23" s="23"/>
      <c r="F23" s="8">
        <v>3284.8</v>
      </c>
      <c r="G23" s="8"/>
      <c r="H23" s="30"/>
      <c r="I23" s="25"/>
      <c r="J23" s="30"/>
      <c r="K23" s="20" t="s">
        <v>98</v>
      </c>
      <c r="L23" s="257" t="s">
        <v>7188</v>
      </c>
      <c r="M23" s="30"/>
      <c r="N23" s="119"/>
      <c r="O23" s="119"/>
      <c r="P23" s="6"/>
      <c r="Q23" s="37"/>
      <c r="R23" s="7"/>
      <c r="S23" s="7"/>
      <c r="T23" s="120"/>
      <c r="U23" s="8"/>
      <c r="V23" s="192"/>
      <c r="W23" s="235"/>
      <c r="X23" s="30"/>
      <c r="Y23" s="121"/>
      <c r="Z23" s="8"/>
      <c r="AA23" s="8"/>
      <c r="AB23" s="8"/>
      <c r="AC23" s="248"/>
      <c r="AD23" s="154"/>
    </row>
    <row r="24" spans="2:30" ht="51" hidden="1" customHeight="1" thickTop="1">
      <c r="B24" s="173" t="s">
        <v>101</v>
      </c>
      <c r="C24" s="10" t="s">
        <v>4784</v>
      </c>
      <c r="D24" s="22" t="s">
        <v>8841</v>
      </c>
      <c r="E24" s="22"/>
      <c r="F24" s="11">
        <v>25178.5</v>
      </c>
      <c r="G24" s="8" cm="1">
        <f t="array" ref="G24">IF(C24="",SUMPRODUCT(--(D24=LDL!$E$4:$E$2661),LDL!$AC$4:$AC$2661),SUMPRODUCT(--(C24=LDL!$D$4:$D$2661),LDL!$AC$4:$AC$2661))</f>
        <v>26785.15</v>
      </c>
      <c r="H24" s="29" t="s">
        <v>3</v>
      </c>
      <c r="I24" s="590"/>
      <c r="J24" s="279" t="s">
        <v>8809</v>
      </c>
      <c r="K24" s="273" t="s">
        <v>98</v>
      </c>
      <c r="L24" s="468" t="s">
        <v>1311</v>
      </c>
      <c r="M24" s="146" t="s">
        <v>141</v>
      </c>
      <c r="N24" s="147" t="s">
        <v>8842</v>
      </c>
      <c r="O24" s="231" t="s">
        <v>8843</v>
      </c>
      <c r="P24" s="148"/>
      <c r="Q24" s="228"/>
      <c r="R24" s="9"/>
      <c r="S24" s="9"/>
      <c r="T24" s="140"/>
      <c r="U24" s="11"/>
      <c r="V24" s="192"/>
      <c r="W24" s="242" t="s">
        <v>4784</v>
      </c>
      <c r="X24" s="219" t="s">
        <v>4793</v>
      </c>
      <c r="Y24" s="141">
        <v>45842</v>
      </c>
      <c r="Z24" s="11">
        <v>25178.5</v>
      </c>
      <c r="AA24" s="11" cm="1">
        <f t="array" ref="AA24">IF(X24="","",SUMPRODUCT(--(W24=LDL!$D$4:$D$1641),--(X24=LDL!$AJ$4:$AJ$1641),LDL!$AC$4:$AC$1641))</f>
        <v>26785.15</v>
      </c>
      <c r="AB24" s="11">
        <v>25178.5</v>
      </c>
      <c r="AC24" s="246" t="s">
        <v>8844</v>
      </c>
      <c r="AD24" s="35" t="s">
        <v>98</v>
      </c>
    </row>
    <row r="25" spans="2:30" ht="42" hidden="1" customHeight="1" thickBot="1">
      <c r="B25" s="257" t="s">
        <v>951</v>
      </c>
      <c r="C25" s="6" t="s">
        <v>4904</v>
      </c>
      <c r="D25" s="23" t="s">
        <v>4904</v>
      </c>
      <c r="E25" s="23"/>
      <c r="F25" s="8">
        <v>7804.44</v>
      </c>
      <c r="G25" s="8" cm="1">
        <f t="array" ref="G25">IF(C25="",SUMPRODUCT(--(D25=LDL!$E$4:$E$2661),LDL!$AC$4:$AC$2661),SUMPRODUCT(--(C25=LDL!$D$4:$D$2661),LDL!$AC$4:$AC$2661))</f>
        <v>7804.44</v>
      </c>
      <c r="H25" s="30" t="s">
        <v>3</v>
      </c>
      <c r="I25" s="590"/>
      <c r="J25" s="280" t="s">
        <v>8809</v>
      </c>
      <c r="K25" s="274" t="s">
        <v>98</v>
      </c>
      <c r="L25" s="469" t="s">
        <v>1311</v>
      </c>
      <c r="M25" s="149" t="s">
        <v>141</v>
      </c>
      <c r="N25" s="147" t="s">
        <v>8842</v>
      </c>
      <c r="O25" s="232" t="s">
        <v>8843</v>
      </c>
      <c r="P25" s="143"/>
      <c r="Q25" s="229"/>
      <c r="R25" s="7"/>
      <c r="S25" s="7"/>
      <c r="T25" s="120"/>
      <c r="U25" s="8"/>
      <c r="V25" s="192"/>
      <c r="W25" s="235" t="s">
        <v>4904</v>
      </c>
      <c r="X25" s="217" t="s">
        <v>4908</v>
      </c>
      <c r="Y25" s="121">
        <v>45862</v>
      </c>
      <c r="Z25" s="8">
        <v>7804.44</v>
      </c>
      <c r="AA25" s="8" cm="1">
        <f t="array" ref="AA25">IF(X25="","",SUMPRODUCT(--(W25=LDL!$D$4:$D$1641),--(X25=LDL!$AJ$4:$AJ$1641),LDL!$AC$4:$AC$1641))</f>
        <v>7804.44</v>
      </c>
      <c r="AB25" s="8">
        <v>7804.44</v>
      </c>
      <c r="AC25" s="246" t="s">
        <v>8845</v>
      </c>
      <c r="AD25" s="154" t="s">
        <v>98</v>
      </c>
    </row>
    <row r="26" spans="2:30" ht="36" hidden="1" customHeight="1" thickTop="1">
      <c r="B26" s="255" t="s">
        <v>273</v>
      </c>
      <c r="C26" s="1179" t="s">
        <v>6252</v>
      </c>
      <c r="D26" s="459" t="s">
        <v>6253</v>
      </c>
      <c r="E26" s="36">
        <v>102089408</v>
      </c>
      <c r="F26" s="8">
        <v>45.51</v>
      </c>
      <c r="G26" s="8" cm="1">
        <f t="array" ref="G26">IF(C26="",SUMPRODUCT(--(D26=LDL!$E$4:$E$2661),LDL!$AC$4:$AC$2661),SUMPRODUCT(--(C26=LDL!$D$4:$D$2661),LDL!$AC$4:$AC$2661))</f>
        <v>224.07999999999998</v>
      </c>
      <c r="H26" s="30" t="s">
        <v>3</v>
      </c>
      <c r="I26" s="590"/>
      <c r="J26" s="1182" t="s">
        <v>8809</v>
      </c>
      <c r="K26" s="1185" t="s">
        <v>98</v>
      </c>
      <c r="L26" s="1231" t="s">
        <v>6258</v>
      </c>
      <c r="M26" s="1167" t="s">
        <v>116</v>
      </c>
      <c r="N26" s="1195">
        <v>45961</v>
      </c>
      <c r="O26" s="1195">
        <v>45964</v>
      </c>
      <c r="P26" s="1256" t="s">
        <v>8846</v>
      </c>
      <c r="Q26" s="25"/>
      <c r="R26" s="7"/>
      <c r="S26" s="7"/>
      <c r="T26" s="120"/>
      <c r="U26" s="8"/>
      <c r="V26" s="192"/>
      <c r="W26" s="235"/>
      <c r="X26" s="30" t="s">
        <v>8834</v>
      </c>
      <c r="Y26" s="121"/>
      <c r="Z26" s="8"/>
      <c r="AA26" s="8" cm="1">
        <f t="array" ref="AA26">IF(X26="","",SUMPRODUCT(--(W26=LDL!$D$4:$D$1641),--(X26=LDL!$AJ$4:$AJ$1641),LDL!$AC$4:$AC$1641))</f>
        <v>0</v>
      </c>
      <c r="AB26" s="8"/>
      <c r="AC26" s="248"/>
      <c r="AD26" s="154"/>
    </row>
    <row r="27" spans="2:30" ht="36" hidden="1" customHeight="1" thickBot="1">
      <c r="B27" s="255" t="s">
        <v>273</v>
      </c>
      <c r="C27" s="1211"/>
      <c r="D27" s="460" t="s">
        <v>6263</v>
      </c>
      <c r="E27" s="36">
        <v>102089682</v>
      </c>
      <c r="F27" s="8">
        <v>178.55</v>
      </c>
      <c r="G27" s="8" cm="1">
        <f t="array" ref="G27">IF(C27="",SUMPRODUCT(--(D27=LDL!$E$4:$E$2661),LDL!$AC$4:$AC$2661),SUMPRODUCT(--(C27=LDL!$D$4:$D$2661),LDL!$AC$4:$AC$2661))</f>
        <v>178.56</v>
      </c>
      <c r="H27" s="30" t="s">
        <v>3</v>
      </c>
      <c r="I27" s="590"/>
      <c r="J27" s="1229"/>
      <c r="K27" s="1230"/>
      <c r="L27" s="1232"/>
      <c r="M27" s="1169"/>
      <c r="N27" s="1169"/>
      <c r="O27" s="1169"/>
      <c r="P27" s="1257"/>
      <c r="Q27" s="25"/>
      <c r="R27" s="531"/>
      <c r="S27" s="531"/>
      <c r="T27" s="532"/>
      <c r="U27" s="533"/>
      <c r="V27" s="539"/>
      <c r="W27" s="534"/>
      <c r="X27" s="535" t="s">
        <v>8834</v>
      </c>
      <c r="Y27" s="536"/>
      <c r="Z27" s="533"/>
      <c r="AA27" s="533"/>
      <c r="AB27" s="533"/>
      <c r="AC27" s="537"/>
      <c r="AD27" s="538"/>
    </row>
    <row r="28" spans="2:30" ht="90" hidden="1" customHeight="1">
      <c r="B28" s="257" t="s">
        <v>5635</v>
      </c>
      <c r="C28" s="10" t="s">
        <v>5634</v>
      </c>
      <c r="D28" s="22" t="s">
        <v>5634</v>
      </c>
      <c r="E28" s="23"/>
      <c r="F28" s="8">
        <v>10710.42</v>
      </c>
      <c r="G28" s="8" cm="1">
        <f t="array" ref="G28">IF(C28="",SUMPRODUCT(--(D28=LDL!$E$4:$E$2661),LDL!$AC$4:$AC$2661),SUMPRODUCT(--(C28=LDL!$D$4:$D$2661),LDL!$AC$4:$AC$2661))</f>
        <v>14099.119999999999</v>
      </c>
      <c r="H28" s="30" t="s">
        <v>3</v>
      </c>
      <c r="I28" s="590"/>
      <c r="J28" s="282" t="s">
        <v>8847</v>
      </c>
      <c r="K28" s="276" t="s">
        <v>98</v>
      </c>
      <c r="L28" s="470" t="s">
        <v>4595</v>
      </c>
      <c r="M28" s="30" t="s">
        <v>141</v>
      </c>
      <c r="N28" s="119">
        <v>45906</v>
      </c>
      <c r="O28" s="119">
        <v>45958</v>
      </c>
      <c r="P28" s="153" t="s">
        <v>8848</v>
      </c>
      <c r="Q28" s="228"/>
      <c r="R28" s="7"/>
      <c r="S28" s="7"/>
      <c r="T28" s="120"/>
      <c r="U28" s="8"/>
      <c r="V28" s="192"/>
      <c r="W28" s="235" t="s">
        <v>5634</v>
      </c>
      <c r="X28" s="30" t="s">
        <v>8832</v>
      </c>
      <c r="Y28" s="121"/>
      <c r="Z28" s="8"/>
      <c r="AA28" s="8" cm="1">
        <f t="array" ref="AA28">IF(X28="","",SUMPRODUCT(--(W28=LDL!$D$4:$D$1641),--(X28=LDL!$AJ$4:$AJ$1641),LDL!$AC$4:$AC$1641))</f>
        <v>0</v>
      </c>
      <c r="AB28" s="8">
        <v>10710.42</v>
      </c>
      <c r="AC28" s="248" t="s">
        <v>8849</v>
      </c>
      <c r="AD28" s="30" t="s">
        <v>98</v>
      </c>
    </row>
    <row r="29" spans="2:30" ht="31.5" hidden="1" customHeight="1">
      <c r="B29" s="257" t="s">
        <v>8684</v>
      </c>
      <c r="C29" s="473" t="s">
        <v>5720</v>
      </c>
      <c r="D29" s="474" t="s">
        <v>5720</v>
      </c>
      <c r="E29" s="474"/>
      <c r="F29" s="475">
        <v>21634.289999999997</v>
      </c>
      <c r="G29" s="475" cm="1">
        <f t="array" ref="G29">IF(C29="",SUMPRODUCT(--(D29=LDL!$E$4:$E$2661),LDL!$AC$4:$AC$2661),SUMPRODUCT(--(C29=LDL!$D$4:$D$2661),LDL!$AC$4:$AC$2661))</f>
        <v>21634.289999999997</v>
      </c>
      <c r="H29" s="476" t="s">
        <v>3</v>
      </c>
      <c r="I29" s="590"/>
      <c r="J29" s="477" t="s">
        <v>8809</v>
      </c>
      <c r="K29" s="1243" t="s">
        <v>98</v>
      </c>
      <c r="L29" s="1244" t="s">
        <v>4595</v>
      </c>
      <c r="M29" s="1172" t="s">
        <v>141</v>
      </c>
      <c r="N29" s="1226">
        <v>45906</v>
      </c>
      <c r="O29" s="1248" t="s">
        <v>8850</v>
      </c>
      <c r="P29" s="1258"/>
      <c r="Q29" s="229"/>
      <c r="R29" s="150">
        <v>0.3</v>
      </c>
      <c r="S29" s="8">
        <v>6490.2869999999994</v>
      </c>
      <c r="T29" s="120">
        <v>45744</v>
      </c>
      <c r="U29" s="155">
        <f>IF(F29="","",F29-S29)</f>
        <v>15144.002999999997</v>
      </c>
      <c r="V29" s="223"/>
      <c r="W29" s="243" t="s">
        <v>5720</v>
      </c>
      <c r="X29" s="30"/>
      <c r="Y29" s="121"/>
      <c r="Z29" s="8"/>
      <c r="AA29" s="8" t="str" cm="1">
        <f t="array" ref="AA29">IF(X29="","",SUMPRODUCT(--(W29=LDL!$D$4:$D$1641),--(X29=LDL!$AJ$4:$AJ$1641),LDL!$AC$4:$AC$1641))</f>
        <v/>
      </c>
      <c r="AB29" s="8">
        <v>15144</v>
      </c>
      <c r="AC29" s="248">
        <v>45907</v>
      </c>
      <c r="AD29" s="30" t="s">
        <v>98</v>
      </c>
    </row>
    <row r="30" spans="2:30" ht="31.5" hidden="1" customHeight="1">
      <c r="B30" s="257" t="s">
        <v>8684</v>
      </c>
      <c r="C30" s="473" t="s">
        <v>5698</v>
      </c>
      <c r="D30" s="474" t="s">
        <v>5698</v>
      </c>
      <c r="E30" s="474"/>
      <c r="F30" s="475">
        <v>8871.39</v>
      </c>
      <c r="G30" s="475" cm="1">
        <f t="array" ref="G30">IF(C30="",SUMPRODUCT(--(D30=LDL!$E$4:$E$2661),LDL!$AC$4:$AC$2661),SUMPRODUCT(--(C30=LDL!$D$4:$D$2661),LDL!$AC$4:$AC$2661))</f>
        <v>8871.39</v>
      </c>
      <c r="H30" s="476" t="s">
        <v>3</v>
      </c>
      <c r="I30" s="590"/>
      <c r="J30" s="500" t="s">
        <v>8809</v>
      </c>
      <c r="K30" s="1186"/>
      <c r="L30" s="1178"/>
      <c r="M30" s="1168"/>
      <c r="N30" s="1227"/>
      <c r="O30" s="1249"/>
      <c r="P30" s="1259"/>
      <c r="Q30" s="229"/>
      <c r="R30" s="540">
        <v>0.3</v>
      </c>
      <c r="S30" s="533">
        <v>2661.4169999999999</v>
      </c>
      <c r="T30" s="532">
        <v>45768</v>
      </c>
      <c r="U30" s="533">
        <f>IF(F30="","",F30-S30)</f>
        <v>6209.973</v>
      </c>
      <c r="V30" s="539"/>
      <c r="W30" s="534" t="s">
        <v>5698</v>
      </c>
      <c r="X30" s="535"/>
      <c r="Y30" s="536"/>
      <c r="Z30" s="533"/>
      <c r="AA30" s="533" t="str" cm="1">
        <f t="array" ref="AA30">IF(X30="","",SUMPRODUCT(--(W30=LDL!$D$4:$D$1641),--(X30=LDL!$AJ$4:$AJ$1641),LDL!$AC$4:$AC$1641))</f>
        <v/>
      </c>
      <c r="AB30" s="533">
        <f>4337.3+1872.67</f>
        <v>6209.97</v>
      </c>
      <c r="AC30" s="537">
        <v>45907</v>
      </c>
      <c r="AD30" s="535" t="s">
        <v>98</v>
      </c>
    </row>
    <row r="31" spans="2:30" ht="43.35" hidden="1" customHeight="1">
      <c r="B31" s="257" t="s">
        <v>8684</v>
      </c>
      <c r="C31" s="473" t="s">
        <v>5754</v>
      </c>
      <c r="D31" s="473" t="s">
        <v>5754</v>
      </c>
      <c r="E31" s="474"/>
      <c r="F31" s="475">
        <v>225025.37</v>
      </c>
      <c r="G31" s="475" cm="1">
        <f t="array" ref="G31">IF(C31="",SUMPRODUCT(--(D31=LDL!$E$4:$E$2661),LDL!$AC$4:$AC$2661),SUMPRODUCT(--(C31=LDL!$D$4:$D$2661),LDL!$AC$4:$AC$2661))</f>
        <v>225035.37000000005</v>
      </c>
      <c r="H31" s="476" t="s">
        <v>3</v>
      </c>
      <c r="I31" s="590"/>
      <c r="J31" s="500" t="s">
        <v>8813</v>
      </c>
      <c r="K31" s="1186"/>
      <c r="L31" s="1178"/>
      <c r="M31" s="1168"/>
      <c r="N31" s="1227"/>
      <c r="O31" s="1249"/>
      <c r="P31" s="1259"/>
      <c r="Q31" s="229"/>
      <c r="R31" s="540">
        <v>0.3</v>
      </c>
      <c r="S31" s="533">
        <v>67507.611000000019</v>
      </c>
      <c r="T31" s="532">
        <v>45820</v>
      </c>
      <c r="U31" s="533">
        <f>IF(F31="","",F31-S31)</f>
        <v>157517.75899999996</v>
      </c>
      <c r="V31" s="539"/>
      <c r="W31" s="534" t="s">
        <v>5754</v>
      </c>
      <c r="X31" s="535"/>
      <c r="Y31" s="536"/>
      <c r="Z31" s="533"/>
      <c r="AA31" s="533" t="str" cm="1">
        <f t="array" ref="AA31">IF(X31="","",SUMPRODUCT(--(W31=LDL!$D$4:$D$1641),--(X31=LDL!$AJ$4:$AJ$1641),LDL!$AC$4:$AC$1641))</f>
        <v/>
      </c>
      <c r="AB31" s="533">
        <v>60714.98</v>
      </c>
      <c r="AC31" s="537">
        <v>45907</v>
      </c>
      <c r="AD31" s="538" t="s">
        <v>98</v>
      </c>
    </row>
    <row r="32" spans="2:30" ht="43.35" hidden="1" customHeight="1" thickBot="1">
      <c r="B32" s="257" t="s">
        <v>8684</v>
      </c>
      <c r="C32" s="473" t="s">
        <v>6207</v>
      </c>
      <c r="D32" s="473" t="s">
        <v>6207</v>
      </c>
      <c r="E32" s="474"/>
      <c r="F32" s="475">
        <v>52380.090000000004</v>
      </c>
      <c r="G32" s="475" cm="1">
        <f t="array" ref="G32">IF(C32="",SUMPRODUCT(--(D32=LDL!$E$4:$E$2661),LDL!$AC$4:$AC$2661),SUMPRODUCT(--(C32=LDL!$D$4:$D$2661),LDL!$AC$4:$AC$2661))</f>
        <v>52380.090000000004</v>
      </c>
      <c r="H32" s="476" t="s">
        <v>3</v>
      </c>
      <c r="I32" s="590"/>
      <c r="J32" s="500" t="s">
        <v>8813</v>
      </c>
      <c r="K32" s="1230"/>
      <c r="L32" s="1245"/>
      <c r="M32" s="1173"/>
      <c r="N32" s="1228"/>
      <c r="O32" s="1250"/>
      <c r="P32" s="1260"/>
      <c r="Q32" s="229"/>
      <c r="R32" s="540"/>
      <c r="S32" s="533">
        <v>15652.95</v>
      </c>
      <c r="T32" s="532">
        <v>45907</v>
      </c>
      <c r="U32" s="533">
        <f>IF(F32="","",F32-S32)</f>
        <v>36727.14</v>
      </c>
      <c r="V32" s="539"/>
      <c r="W32" s="534" t="s">
        <v>6207</v>
      </c>
      <c r="X32" s="535"/>
      <c r="Y32" s="536"/>
      <c r="Z32" s="533"/>
      <c r="AA32" s="533" t="str" cm="1">
        <f t="array" ref="AA32">IF(X32="","",SUMPRODUCT(--(W32=LDL!$D$4:$D$1641),--(X32=LDL!$AJ$4:$AJ$1641),LDL!$AC$4:$AC$1641))</f>
        <v/>
      </c>
      <c r="AB32" s="533"/>
      <c r="AC32" s="537"/>
      <c r="AD32" s="538" t="s">
        <v>98</v>
      </c>
    </row>
    <row r="33" spans="2:30" ht="28.7" hidden="1" customHeight="1">
      <c r="B33" s="255" t="s">
        <v>383</v>
      </c>
      <c r="C33" s="1212" t="s">
        <v>5486</v>
      </c>
      <c r="D33" s="259" t="s">
        <v>5487</v>
      </c>
      <c r="E33" s="254" t="s">
        <v>8851</v>
      </c>
      <c r="F33" s="8">
        <v>135244.14000000001</v>
      </c>
      <c r="G33" s="8" cm="1">
        <f t="array" ref="G33">IF(C33="",SUMPRODUCT(--(D33=LDL!$E$4:$E$2661),LDL!$AC$4:$AC$2661),SUMPRODUCT(--(C33=LDL!$D$4:$D$2661),LDL!$AC$4:$AC$2661))</f>
        <v>146199.59</v>
      </c>
      <c r="H33" s="30" t="s">
        <v>3</v>
      </c>
      <c r="I33" s="25"/>
      <c r="J33" s="1167" t="s">
        <v>8809</v>
      </c>
      <c r="K33" s="1174" t="s">
        <v>98</v>
      </c>
      <c r="L33" s="1167" t="s">
        <v>1565</v>
      </c>
      <c r="M33" s="1167" t="s">
        <v>141</v>
      </c>
      <c r="N33" s="1195">
        <v>45917</v>
      </c>
      <c r="O33" s="1195">
        <v>45960</v>
      </c>
      <c r="P33" s="1167"/>
      <c r="Q33" s="37"/>
      <c r="R33" s="1167"/>
      <c r="S33" s="1167"/>
      <c r="T33" s="1167"/>
      <c r="U33" s="1167"/>
      <c r="V33" s="192"/>
      <c r="W33" s="1263" t="s">
        <v>5486</v>
      </c>
      <c r="X33" s="1263" t="s">
        <v>8832</v>
      </c>
      <c r="Y33" s="1263"/>
      <c r="Z33" s="1263"/>
      <c r="AA33" s="1263" cm="1">
        <f t="array" ref="AA33">IF(X33="","",SUMPRODUCT(--(W33=LDL!$D$4:$D$1641),--(X33=LDL!$AJ$4:$AJ$1641),LDL!$AC$4:$AC$1641))</f>
        <v>0</v>
      </c>
      <c r="AB33" s="1263"/>
      <c r="AC33" s="1263"/>
      <c r="AD33" s="1263" t="s">
        <v>98</v>
      </c>
    </row>
    <row r="34" spans="2:30" ht="26.1" hidden="1" customHeight="1">
      <c r="B34" s="255" t="s">
        <v>383</v>
      </c>
      <c r="C34" s="1213"/>
      <c r="D34" s="260" t="s">
        <v>5595</v>
      </c>
      <c r="E34" s="36">
        <v>80167383</v>
      </c>
      <c r="F34" s="8">
        <v>474.65</v>
      </c>
      <c r="G34" s="8" cm="1">
        <f t="array" ref="G34">IF(C34="",SUMPRODUCT(--(D34=LDL!$E$4:$E$2661),LDL!$AC$4:$AC$2661),SUMPRODUCT(--(C34=LDL!$D$4:$D$2661),LDL!$AC$4:$AC$2661))</f>
        <v>474.65</v>
      </c>
      <c r="H34" s="30" t="s">
        <v>3</v>
      </c>
      <c r="I34" s="25"/>
      <c r="J34" s="1168"/>
      <c r="K34" s="1175"/>
      <c r="L34" s="1168"/>
      <c r="M34" s="1168"/>
      <c r="N34" s="1168"/>
      <c r="O34" s="1168"/>
      <c r="P34" s="1168"/>
      <c r="Q34" s="37"/>
      <c r="R34" s="1168"/>
      <c r="S34" s="1168"/>
      <c r="T34" s="1168"/>
      <c r="U34" s="1168"/>
      <c r="V34" s="192"/>
      <c r="W34" s="1264"/>
      <c r="X34" s="1264"/>
      <c r="Y34" s="1264"/>
      <c r="Z34" s="1264"/>
      <c r="AA34" s="1264" t="str" cm="1">
        <f t="array" ref="AA34">IF(X34="","",SUMPRODUCT(--(W34=LDL!$D$4:$D$1641),--(X34=LDL!$AJ$4:$AJ$1641),LDL!$AC$4:$AC$1641))</f>
        <v/>
      </c>
      <c r="AB34" s="1264"/>
      <c r="AC34" s="1264"/>
      <c r="AD34" s="1264"/>
    </row>
    <row r="35" spans="2:30" ht="25.35" hidden="1" customHeight="1">
      <c r="B35" s="255" t="s">
        <v>383</v>
      </c>
      <c r="C35" s="1213"/>
      <c r="D35" s="260" t="s">
        <v>5539</v>
      </c>
      <c r="E35" s="36">
        <v>80171011</v>
      </c>
      <c r="F35" s="8">
        <v>7536.1</v>
      </c>
      <c r="G35" s="8" cm="1">
        <f t="array" ref="G35">IF(C35="",SUMPRODUCT(--(D35=LDL!$E$4:$E$2661),LDL!$AC$4:$AC$2661),SUMPRODUCT(--(C35=LDL!$D$4:$D$2661),LDL!$AC$4:$AC$2661))</f>
        <v>7536.1</v>
      </c>
      <c r="H35" s="30" t="s">
        <v>3</v>
      </c>
      <c r="I35" s="25"/>
      <c r="J35" s="1168"/>
      <c r="K35" s="1175"/>
      <c r="L35" s="1168"/>
      <c r="M35" s="1168"/>
      <c r="N35" s="1168"/>
      <c r="O35" s="1168"/>
      <c r="P35" s="1168"/>
      <c r="Q35" s="37"/>
      <c r="R35" s="1168"/>
      <c r="S35" s="1168"/>
      <c r="T35" s="1168"/>
      <c r="U35" s="1168"/>
      <c r="V35" s="192"/>
      <c r="W35" s="1264"/>
      <c r="X35" s="1264"/>
      <c r="Y35" s="1264"/>
      <c r="Z35" s="1264"/>
      <c r="AA35" s="1264" t="str" cm="1">
        <f t="array" ref="AA35">IF(X35="","",SUMPRODUCT(--(W35=LDL!$D$4:$D$1641),--(X35=LDL!$AJ$4:$AJ$1641),LDL!$AC$4:$AC$1641))</f>
        <v/>
      </c>
      <c r="AB35" s="1264"/>
      <c r="AC35" s="1264"/>
      <c r="AD35" s="1264" t="str" cm="1">
        <f t="array" ref="AD35">IF(C35=0,"",U35-SUMPRODUCT(--(#REF!=#REF!),$AB$2:$AB$121))</f>
        <v/>
      </c>
    </row>
    <row r="36" spans="2:30" ht="25.35" hidden="1" customHeight="1">
      <c r="B36" s="255" t="s">
        <v>383</v>
      </c>
      <c r="C36" s="1213"/>
      <c r="D36" s="260" t="s">
        <v>5609</v>
      </c>
      <c r="E36" s="36">
        <v>80171150</v>
      </c>
      <c r="F36" s="8">
        <v>1153.9000000000001</v>
      </c>
      <c r="G36" s="8" cm="1">
        <f t="array" ref="G36">IF(C36="",SUMPRODUCT(--(D36=LDL!$E$4:$E$2661),LDL!$AC$4:$AC$2661),SUMPRODUCT(--(C36=LDL!$D$4:$D$2661),LDL!$AC$4:$AC$2661))</f>
        <v>1153.9000000000001</v>
      </c>
      <c r="H36" s="30" t="s">
        <v>3</v>
      </c>
      <c r="I36" s="25"/>
      <c r="J36" s="1168"/>
      <c r="K36" s="1175"/>
      <c r="L36" s="1168"/>
      <c r="M36" s="1168"/>
      <c r="N36" s="1168"/>
      <c r="O36" s="1168"/>
      <c r="P36" s="1168"/>
      <c r="Q36" s="37"/>
      <c r="R36" s="1168"/>
      <c r="S36" s="1168"/>
      <c r="T36" s="1168"/>
      <c r="U36" s="1168"/>
      <c r="V36" s="192"/>
      <c r="W36" s="1264"/>
      <c r="X36" s="1264"/>
      <c r="Y36" s="1264"/>
      <c r="Z36" s="1264"/>
      <c r="AA36" s="1264" t="str" cm="1">
        <f t="array" ref="AA36">IF(X36="","",SUMPRODUCT(--(W36=LDL!$D$4:$D$1641),--(X36=LDL!$AJ$4:$AJ$1641),LDL!$AC$4:$AC$1641))</f>
        <v/>
      </c>
      <c r="AB36" s="1264"/>
      <c r="AC36" s="1264"/>
      <c r="AD36" s="1264" t="str" cm="1">
        <f t="array" ref="AD36">IF(C36=0,"",U36-SUMPRODUCT(--(#REF!=#REF!),$AB$2:$AB$121))</f>
        <v/>
      </c>
    </row>
    <row r="37" spans="2:30" ht="22.5" hidden="1" customHeight="1">
      <c r="B37" s="255" t="s">
        <v>383</v>
      </c>
      <c r="C37" s="1213"/>
      <c r="D37" s="260" t="s">
        <v>5615</v>
      </c>
      <c r="E37" s="36">
        <v>80175372</v>
      </c>
      <c r="F37" s="8">
        <v>312.39999999999998</v>
      </c>
      <c r="G37" s="8" cm="1">
        <f t="array" ref="G37">IF(C37="",SUMPRODUCT(--(D37=LDL!$E$4:$E$2661),LDL!$AC$4:$AC$2661),SUMPRODUCT(--(C37=LDL!$D$4:$D$2661),LDL!$AC$4:$AC$2661))</f>
        <v>312.39999999999998</v>
      </c>
      <c r="H37" s="30" t="s">
        <v>3</v>
      </c>
      <c r="I37" s="25"/>
      <c r="J37" s="1168"/>
      <c r="K37" s="1175"/>
      <c r="L37" s="1168"/>
      <c r="M37" s="1168"/>
      <c r="N37" s="1168"/>
      <c r="O37" s="1168"/>
      <c r="P37" s="1168"/>
      <c r="Q37" s="37"/>
      <c r="R37" s="1168"/>
      <c r="S37" s="1168"/>
      <c r="T37" s="1168"/>
      <c r="U37" s="1168"/>
      <c r="V37" s="192"/>
      <c r="W37" s="1264"/>
      <c r="X37" s="1264"/>
      <c r="Y37" s="1264"/>
      <c r="Z37" s="1264"/>
      <c r="AA37" s="1264" t="str" cm="1">
        <f t="array" ref="AA37">IF(X37="","",SUMPRODUCT(--(W37=LDL!$D$4:$D$1641),--(X37=LDL!$AJ$4:$AJ$1641),LDL!$AC$4:$AC$1641))</f>
        <v/>
      </c>
      <c r="AB37" s="1264"/>
      <c r="AC37" s="1264"/>
      <c r="AD37" s="1264"/>
    </row>
    <row r="38" spans="2:30" ht="22.5" hidden="1" customHeight="1" thickBot="1">
      <c r="B38" s="255" t="s">
        <v>383</v>
      </c>
      <c r="C38" s="1214"/>
      <c r="D38" s="261" t="s">
        <v>5622</v>
      </c>
      <c r="E38" s="36">
        <v>80175966</v>
      </c>
      <c r="F38" s="8">
        <v>1478.4</v>
      </c>
      <c r="G38" s="8" cm="1">
        <f t="array" ref="G38">IF(C38="",SUMPRODUCT(--(D38=LDL!$E$4:$E$2661),LDL!$AC$4:$AC$2661),SUMPRODUCT(--(C38=LDL!$D$4:$D$2661),LDL!$AC$4:$AC$2661))</f>
        <v>1478.4</v>
      </c>
      <c r="H38" s="30" t="s">
        <v>3</v>
      </c>
      <c r="I38" s="25"/>
      <c r="J38" s="1169"/>
      <c r="K38" s="1176"/>
      <c r="L38" s="1169"/>
      <c r="M38" s="1169"/>
      <c r="N38" s="1169"/>
      <c r="O38" s="1169"/>
      <c r="P38" s="1169"/>
      <c r="Q38" s="37"/>
      <c r="R38" s="1169"/>
      <c r="S38" s="1169"/>
      <c r="T38" s="1169"/>
      <c r="U38" s="1169"/>
      <c r="V38" s="192"/>
      <c r="W38" s="1265"/>
      <c r="X38" s="1265"/>
      <c r="Y38" s="1265"/>
      <c r="Z38" s="1265"/>
      <c r="AA38" s="1265" t="str" cm="1">
        <f t="array" ref="AA38">IF(X38="","",SUMPRODUCT(--(W38=LDL!$D$4:$D$1641),--(X38=LDL!$AJ$4:$AJ$1641),LDL!$AC$4:$AC$1641))</f>
        <v/>
      </c>
      <c r="AB38" s="1265"/>
      <c r="AC38" s="1265"/>
      <c r="AD38" s="1265"/>
    </row>
    <row r="39" spans="2:30" ht="25.35" hidden="1" customHeight="1">
      <c r="B39" s="257" t="s">
        <v>3454</v>
      </c>
      <c r="C39" s="6"/>
      <c r="D39" s="23" t="s">
        <v>6832</v>
      </c>
      <c r="E39" s="23"/>
      <c r="F39" s="8"/>
      <c r="G39" s="8" cm="1">
        <f t="array" ref="G39">IF(C39="",SUMPRODUCT(--(D39=LDL!$E$4:$E$2661),LDL!$AC$4:$AC$2661),SUMPRODUCT(--(C39=LDL!$D$4:$D$2661),LDL!$AC$4:$AC$2661))</f>
        <v>3287.46</v>
      </c>
      <c r="H39" s="30"/>
      <c r="I39" s="25"/>
      <c r="J39" s="30"/>
      <c r="K39" s="9" t="s">
        <v>98</v>
      </c>
      <c r="L39" s="257"/>
      <c r="M39" s="30"/>
      <c r="N39" s="119"/>
      <c r="O39" s="119"/>
      <c r="P39" s="6"/>
      <c r="Q39" s="37"/>
      <c r="R39" s="7"/>
      <c r="S39" s="7"/>
      <c r="T39" s="120"/>
      <c r="U39" s="8"/>
      <c r="V39" s="192"/>
      <c r="W39" s="235"/>
      <c r="X39" s="30"/>
      <c r="Y39" s="121"/>
      <c r="Z39" s="8"/>
      <c r="AA39" s="8"/>
      <c r="AB39" s="8"/>
      <c r="AC39" s="248"/>
      <c r="AD39" s="154"/>
    </row>
    <row r="40" spans="2:30" ht="25.35" hidden="1" customHeight="1">
      <c r="B40" s="257" t="s">
        <v>3454</v>
      </c>
      <c r="C40" s="6"/>
      <c r="D40" s="23" t="s">
        <v>6265</v>
      </c>
      <c r="E40" s="23"/>
      <c r="F40" s="8"/>
      <c r="G40" s="8" cm="1">
        <f t="array" ref="G40">IF(C40="",SUMPRODUCT(--(D40=LDL!$E$4:$E$2661),LDL!$AC$4:$AC$2661),SUMPRODUCT(--(C40=LDL!$D$4:$D$2661),LDL!$AC$4:$AC$2661))</f>
        <v>2013.4</v>
      </c>
      <c r="H40" s="30"/>
      <c r="I40" s="25"/>
      <c r="J40" s="30"/>
      <c r="K40" s="9" t="s">
        <v>98</v>
      </c>
      <c r="L40" s="257"/>
      <c r="M40" s="30"/>
      <c r="N40" s="119"/>
      <c r="O40" s="119"/>
      <c r="P40" s="6"/>
      <c r="Q40" s="37"/>
      <c r="R40" s="7"/>
      <c r="S40" s="7"/>
      <c r="T40" s="120"/>
      <c r="U40" s="8"/>
      <c r="V40" s="192"/>
      <c r="W40" s="235"/>
      <c r="X40" s="30"/>
      <c r="Y40" s="121"/>
      <c r="Z40" s="8"/>
      <c r="AA40" s="8"/>
      <c r="AB40" s="8"/>
      <c r="AC40" s="248"/>
      <c r="AD40" s="154"/>
    </row>
    <row r="41" spans="2:30" ht="25.35" hidden="1" customHeight="1">
      <c r="B41" s="257" t="s">
        <v>3454</v>
      </c>
      <c r="C41" s="6"/>
      <c r="D41" s="23" t="s">
        <v>5462</v>
      </c>
      <c r="E41" s="23" t="s">
        <v>8852</v>
      </c>
      <c r="F41" s="8">
        <v>3474.3</v>
      </c>
      <c r="G41" s="8" cm="1">
        <f t="array" ref="G41">IF(C41="",SUMPRODUCT(--(D41=LDL!$E$4:$E$2661),LDL!$AC$4:$AC$2661),SUMPRODUCT(--(C41=LDL!$D$4:$D$2661),LDL!$AC$4:$AC$2661))</f>
        <v>3624.7</v>
      </c>
      <c r="H41" s="30"/>
      <c r="I41" s="25"/>
      <c r="J41" s="30"/>
      <c r="K41" s="9" t="s">
        <v>98</v>
      </c>
      <c r="L41" s="257"/>
      <c r="M41" s="30"/>
      <c r="N41" s="119"/>
      <c r="O41" s="119"/>
      <c r="P41" s="6"/>
      <c r="Q41" s="37"/>
      <c r="R41" s="7"/>
      <c r="S41" s="7"/>
      <c r="T41" s="120"/>
      <c r="U41" s="8"/>
      <c r="V41" s="192"/>
      <c r="W41" s="235"/>
      <c r="X41" s="30"/>
      <c r="Y41" s="121"/>
      <c r="Z41" s="8"/>
      <c r="AA41" s="8"/>
      <c r="AB41" s="8"/>
      <c r="AC41" s="248"/>
      <c r="AD41" s="154"/>
    </row>
    <row r="42" spans="2:30" ht="25.35" hidden="1" customHeight="1" thickBot="1">
      <c r="B42" s="257" t="s">
        <v>3454</v>
      </c>
      <c r="C42" s="6"/>
      <c r="D42" s="23" t="s">
        <v>8853</v>
      </c>
      <c r="E42" s="23" t="s">
        <v>8854</v>
      </c>
      <c r="F42" s="8">
        <v>480.05</v>
      </c>
      <c r="G42" s="8"/>
      <c r="H42" s="30" t="s">
        <v>8</v>
      </c>
      <c r="I42" s="25"/>
      <c r="J42" s="30"/>
      <c r="K42" s="9" t="s">
        <v>98</v>
      </c>
      <c r="L42" s="257" t="s">
        <v>7188</v>
      </c>
      <c r="M42" s="30"/>
      <c r="N42" s="119"/>
      <c r="O42" s="119"/>
      <c r="P42" s="6" t="s">
        <v>8855</v>
      </c>
      <c r="Q42" s="37"/>
      <c r="R42" s="7"/>
      <c r="S42" s="7"/>
      <c r="T42" s="120"/>
      <c r="U42" s="8"/>
      <c r="V42" s="192"/>
      <c r="W42" s="235"/>
      <c r="X42" s="30"/>
      <c r="Y42" s="121"/>
      <c r="Z42" s="8"/>
      <c r="AA42" s="8"/>
      <c r="AB42" s="8"/>
      <c r="AC42" s="248"/>
      <c r="AD42" s="154"/>
    </row>
    <row r="43" spans="2:30" ht="25.5" hidden="1" customHeight="1">
      <c r="B43" s="255" t="s">
        <v>273</v>
      </c>
      <c r="C43" s="1208" t="s">
        <v>6289</v>
      </c>
      <c r="D43" s="169" t="s">
        <v>6290</v>
      </c>
      <c r="E43" s="36">
        <v>102089058</v>
      </c>
      <c r="F43" s="8">
        <v>83549.931999999957</v>
      </c>
      <c r="G43" s="8" cm="1">
        <f t="array" ref="G43">IF(C43="",SUMPRODUCT(--(D43=LDL!$E$4:$E$2661),LDL!$AC$4:$AC$2661),SUMPRODUCT(--(C43=LDL!$D$4:$D$2661),LDL!$AC$4:$AC$2661))-SUM(G44:G48)</f>
        <v>83549.931999999957</v>
      </c>
      <c r="H43" s="30" t="s">
        <v>3</v>
      </c>
      <c r="I43" s="590"/>
      <c r="J43" s="1165" t="s">
        <v>8809</v>
      </c>
      <c r="K43" s="1233" t="s">
        <v>98</v>
      </c>
      <c r="L43" s="1235" t="s">
        <v>6295</v>
      </c>
      <c r="M43" s="1167" t="s">
        <v>141</v>
      </c>
      <c r="N43" s="1195" t="s">
        <v>8856</v>
      </c>
      <c r="O43" s="1255" t="s">
        <v>8857</v>
      </c>
      <c r="P43" s="1261" t="s">
        <v>8846</v>
      </c>
      <c r="Q43" s="187"/>
      <c r="R43" s="1167"/>
      <c r="S43" s="1167"/>
      <c r="T43" s="1195"/>
      <c r="U43" s="1268"/>
      <c r="V43" s="186"/>
      <c r="W43" s="1263" t="s">
        <v>6289</v>
      </c>
      <c r="X43" s="1277" t="s">
        <v>6292</v>
      </c>
      <c r="Y43" s="1195">
        <v>45911</v>
      </c>
      <c r="Z43" s="1271">
        <v>103441.74400000001</v>
      </c>
      <c r="AA43" s="1274" cm="1">
        <f t="array" ref="AA43">IF(X43="","",SUMPRODUCT(--(W43=LDL!$D$4:$D$1641),--(X43=LDL!$AJ$4:$AJ$1641),LDL!$AC$4:$AC$1641))</f>
        <v>0</v>
      </c>
      <c r="AB43" s="1268">
        <v>103441.74</v>
      </c>
      <c r="AC43" s="1255" t="s">
        <v>8858</v>
      </c>
      <c r="AD43" s="1268" t="s">
        <v>98</v>
      </c>
    </row>
    <row r="44" spans="2:30" ht="25.5" hidden="1" customHeight="1">
      <c r="B44" s="255" t="s">
        <v>273</v>
      </c>
      <c r="C44" s="1209"/>
      <c r="D44" s="170" t="s">
        <v>6501</v>
      </c>
      <c r="E44" s="36" t="s">
        <v>8859</v>
      </c>
      <c r="F44" s="8">
        <v>15323.468000000001</v>
      </c>
      <c r="G44" s="8" cm="1">
        <f t="array" ref="G44">IF(C44="",SUMPRODUCT(--(D44=LDL!$E$4:$E$2661),LDL!$AC$4:$AC$2661),SUMPRODUCT(--(C44=LDL!$D$4:$D$2661),LDL!$AC$4:$AC$2661))</f>
        <v>15323.468000000001</v>
      </c>
      <c r="H44" s="30" t="s">
        <v>3</v>
      </c>
      <c r="I44" s="590"/>
      <c r="J44" s="1166"/>
      <c r="K44" s="1234"/>
      <c r="L44" s="1236"/>
      <c r="M44" s="1168"/>
      <c r="N44" s="1196"/>
      <c r="O44" s="1196"/>
      <c r="P44" s="1259"/>
      <c r="Q44" s="187"/>
      <c r="R44" s="1168"/>
      <c r="S44" s="1168"/>
      <c r="T44" s="1196"/>
      <c r="U44" s="1269"/>
      <c r="V44" s="186"/>
      <c r="W44" s="1264"/>
      <c r="X44" s="1168"/>
      <c r="Y44" s="1168"/>
      <c r="Z44" s="1272"/>
      <c r="AA44" s="1275" t="str" cm="1">
        <f t="array" ref="AA44">IF(X44="","",SUMPRODUCT(--(W44=LDL!$D$4:$D$1641),--(X44=LDL!$AJ$4:$AJ$1641),LDL!$AC$4:$AC$1641))</f>
        <v/>
      </c>
      <c r="AB44" s="1269"/>
      <c r="AC44" s="1266"/>
      <c r="AD44" s="1269"/>
    </row>
    <row r="45" spans="2:30" ht="29.1" hidden="1" customHeight="1">
      <c r="B45" s="255" t="s">
        <v>273</v>
      </c>
      <c r="C45" s="1209"/>
      <c r="D45" s="170" t="s">
        <v>6519</v>
      </c>
      <c r="E45" s="36">
        <v>102089248</v>
      </c>
      <c r="F45" s="8">
        <v>321.73500000000007</v>
      </c>
      <c r="G45" s="8" cm="1">
        <f t="array" ref="G45">IF(C45="",SUMPRODUCT(--(D45=LDL!$E$4:$E$2661),LDL!$AC$4:$AC$2661),SUMPRODUCT(--(C45=LDL!$D$4:$D$2661),LDL!$AC$4:$AC$2661))</f>
        <v>321.73500000000007</v>
      </c>
      <c r="H45" s="30" t="s">
        <v>3</v>
      </c>
      <c r="I45" s="590"/>
      <c r="J45" s="1166"/>
      <c r="K45" s="1234"/>
      <c r="L45" s="1236"/>
      <c r="M45" s="1168"/>
      <c r="N45" s="1196"/>
      <c r="O45" s="1196"/>
      <c r="P45" s="1259"/>
      <c r="Q45" s="187"/>
      <c r="R45" s="1168"/>
      <c r="S45" s="1168"/>
      <c r="T45" s="1196"/>
      <c r="U45" s="1269"/>
      <c r="V45" s="186"/>
      <c r="W45" s="1264"/>
      <c r="X45" s="1168"/>
      <c r="Y45" s="1168"/>
      <c r="Z45" s="1272"/>
      <c r="AA45" s="1275" t="str" cm="1">
        <f t="array" ref="AA45">IF(X45="","",SUMPRODUCT(--(W45=LDL!$D$4:$D$1641),--(X45=LDL!$AJ$4:$AJ$1641),LDL!$AC$4:$AC$1641))</f>
        <v/>
      </c>
      <c r="AB45" s="1269"/>
      <c r="AC45" s="1266"/>
      <c r="AD45" s="1269"/>
    </row>
    <row r="46" spans="2:30" ht="36" hidden="1" customHeight="1">
      <c r="B46" s="255" t="s">
        <v>273</v>
      </c>
      <c r="C46" s="1209"/>
      <c r="D46" s="170" t="s">
        <v>6539</v>
      </c>
      <c r="E46" s="36">
        <v>102089249</v>
      </c>
      <c r="F46" s="8">
        <v>346.33000000000004</v>
      </c>
      <c r="G46" s="8" cm="1">
        <f t="array" ref="G46">IF(C46="",SUMPRODUCT(--(D46=LDL!$E$4:$E$2661),LDL!$AC$4:$AC$2661),SUMPRODUCT(--(C46=LDL!$D$4:$D$2661),LDL!$AC$4:$AC$2661))</f>
        <v>346.33000000000004</v>
      </c>
      <c r="H46" s="30" t="s">
        <v>3</v>
      </c>
      <c r="I46" s="590"/>
      <c r="J46" s="1166"/>
      <c r="K46" s="1234"/>
      <c r="L46" s="1236"/>
      <c r="M46" s="1168"/>
      <c r="N46" s="1196"/>
      <c r="O46" s="1196"/>
      <c r="P46" s="1259"/>
      <c r="Q46" s="187"/>
      <c r="R46" s="1168"/>
      <c r="S46" s="1168"/>
      <c r="T46" s="1196"/>
      <c r="U46" s="1269"/>
      <c r="V46" s="186"/>
      <c r="W46" s="1264"/>
      <c r="X46" s="1168"/>
      <c r="Y46" s="1168"/>
      <c r="Z46" s="1272"/>
      <c r="AA46" s="1275" t="str" cm="1">
        <f t="array" ref="AA46">IF(X46="","",SUMPRODUCT(--(W46=LDL!$D$4:$D$1641),--(X46=LDL!$AJ$4:$AJ$1641),LDL!$AC$4:$AC$1641))</f>
        <v/>
      </c>
      <c r="AB46" s="1269"/>
      <c r="AC46" s="1266"/>
      <c r="AD46" s="1269"/>
    </row>
    <row r="47" spans="2:30" ht="36.6" hidden="1" customHeight="1">
      <c r="B47" s="255" t="s">
        <v>273</v>
      </c>
      <c r="C47" s="1209"/>
      <c r="D47" s="170" t="s">
        <v>6553</v>
      </c>
      <c r="E47" s="36" t="s">
        <v>8860</v>
      </c>
      <c r="F47" s="8">
        <v>3732.7550000000001</v>
      </c>
      <c r="G47" s="8" cm="1">
        <f t="array" ref="G47">IF(C47="",SUMPRODUCT(--(D47=LDL!$E$4:$E$2661),LDL!$AC$4:$AC$2661),SUMPRODUCT(--(C47=LDL!$D$4:$D$2661),LDL!$AC$4:$AC$2661))</f>
        <v>3732.7550000000001</v>
      </c>
      <c r="H47" s="30" t="s">
        <v>3</v>
      </c>
      <c r="I47" s="590"/>
      <c r="J47" s="1166"/>
      <c r="K47" s="1234"/>
      <c r="L47" s="1236"/>
      <c r="M47" s="1168"/>
      <c r="N47" s="1196"/>
      <c r="O47" s="1196"/>
      <c r="P47" s="1259"/>
      <c r="Q47" s="187"/>
      <c r="R47" s="1168"/>
      <c r="S47" s="1168"/>
      <c r="T47" s="1196"/>
      <c r="U47" s="1269"/>
      <c r="V47" s="186"/>
      <c r="W47" s="1264"/>
      <c r="X47" s="1168"/>
      <c r="Y47" s="1168"/>
      <c r="Z47" s="1272"/>
      <c r="AA47" s="1275"/>
      <c r="AB47" s="1269"/>
      <c r="AC47" s="1266"/>
      <c r="AD47" s="1269"/>
    </row>
    <row r="48" spans="2:30" ht="36" hidden="1" customHeight="1" thickBot="1">
      <c r="B48" s="255" t="s">
        <v>273</v>
      </c>
      <c r="C48" s="1210"/>
      <c r="D48" s="171" t="s">
        <v>6564</v>
      </c>
      <c r="E48" s="36">
        <v>102089409</v>
      </c>
      <c r="F48" s="8">
        <v>167.52</v>
      </c>
      <c r="G48" s="8" cm="1">
        <f t="array" ref="G48">IF(C48="",SUMPRODUCT(--(D48=LDL!$E$4:$E$2661),LDL!$AC$4:$AC$2661),SUMPRODUCT(--(C48=LDL!$D$4:$D$2661),LDL!$AC$4:$AC$2661))</f>
        <v>167.52</v>
      </c>
      <c r="H48" s="30" t="s">
        <v>3</v>
      </c>
      <c r="I48" s="590"/>
      <c r="J48" s="1166"/>
      <c r="K48" s="1234"/>
      <c r="L48" s="1237"/>
      <c r="M48" s="1169"/>
      <c r="N48" s="1197"/>
      <c r="O48" s="1197"/>
      <c r="P48" s="1262"/>
      <c r="Q48" s="187"/>
      <c r="R48" s="1169"/>
      <c r="S48" s="1169"/>
      <c r="T48" s="1197"/>
      <c r="U48" s="1270"/>
      <c r="V48" s="186"/>
      <c r="W48" s="1265"/>
      <c r="X48" s="1169"/>
      <c r="Y48" s="1169"/>
      <c r="Z48" s="1273"/>
      <c r="AA48" s="1276"/>
      <c r="AB48" s="1270"/>
      <c r="AC48" s="1267"/>
      <c r="AD48" s="1270"/>
    </row>
    <row r="49" spans="2:30" ht="35.450000000000003" hidden="1" customHeight="1">
      <c r="B49" s="257" t="s">
        <v>383</v>
      </c>
      <c r="C49" s="22" t="s">
        <v>6569</v>
      </c>
      <c r="D49" s="22" t="s">
        <v>8861</v>
      </c>
      <c r="E49" s="23" t="s">
        <v>8862</v>
      </c>
      <c r="F49" s="8">
        <v>29505.300000000003</v>
      </c>
      <c r="G49" s="8" cm="1">
        <f t="array" ref="G49">IF(C49="",SUMPRODUCT(--(D49=LDL!$E$4:$E$2661),LDL!$AC$4:$AC$2661),SUMPRODUCT(--(C49=LDL!$D$4:$D$2661),LDL!$AC$4:$AC$2661))</f>
        <v>29505.300000000003</v>
      </c>
      <c r="H49" s="30" t="s">
        <v>3</v>
      </c>
      <c r="I49" s="25"/>
      <c r="J49" s="30" t="s">
        <v>8809</v>
      </c>
      <c r="K49" s="23" t="s">
        <v>98</v>
      </c>
      <c r="L49" s="257" t="s">
        <v>6575</v>
      </c>
      <c r="M49" s="30" t="s">
        <v>141</v>
      </c>
      <c r="N49" s="119">
        <v>45950</v>
      </c>
      <c r="O49" s="119" t="s">
        <v>8863</v>
      </c>
      <c r="P49" s="6"/>
      <c r="Q49" s="37"/>
      <c r="R49" s="7"/>
      <c r="S49" s="7"/>
      <c r="T49" s="120"/>
      <c r="U49" s="8"/>
      <c r="V49" s="192"/>
      <c r="W49" s="235"/>
      <c r="X49" s="30"/>
      <c r="Y49" s="121"/>
      <c r="Z49" s="8"/>
      <c r="AA49" s="8" t="str" cm="1">
        <f t="array" ref="AA49">IF(X49="","",SUMPRODUCT(--(W49=LDL!$D$4:$D$1641),--(X49=LDL!$AJ$4:$AJ$1641),LDL!$AC$4:$AC$1641))</f>
        <v/>
      </c>
      <c r="AB49" s="8"/>
      <c r="AC49" s="248"/>
      <c r="AD49" s="154"/>
    </row>
    <row r="50" spans="2:30" ht="25.35" hidden="1" customHeight="1">
      <c r="B50" s="257" t="s">
        <v>3454</v>
      </c>
      <c r="C50" s="6"/>
      <c r="D50" s="23" t="s">
        <v>8864</v>
      </c>
      <c r="E50" s="23"/>
      <c r="F50" s="8">
        <v>6319.8</v>
      </c>
      <c r="G50" s="8">
        <v>6319.8</v>
      </c>
      <c r="H50" s="30" t="s">
        <v>8</v>
      </c>
      <c r="I50" s="25"/>
      <c r="J50" s="30"/>
      <c r="K50" s="23" t="s">
        <v>98</v>
      </c>
      <c r="L50" s="257" t="s">
        <v>1311</v>
      </c>
      <c r="M50" s="30" t="s">
        <v>141</v>
      </c>
      <c r="N50" s="119"/>
      <c r="O50" s="119"/>
      <c r="P50" s="6" t="s">
        <v>8865</v>
      </c>
      <c r="Q50" s="37"/>
      <c r="R50" s="7"/>
      <c r="S50" s="7"/>
      <c r="T50" s="120"/>
      <c r="U50" s="8"/>
      <c r="V50" s="192"/>
      <c r="W50" s="235"/>
      <c r="X50" s="30"/>
      <c r="Y50" s="121"/>
      <c r="Z50" s="8"/>
      <c r="AA50" s="8"/>
      <c r="AB50" s="8"/>
      <c r="AC50" s="248"/>
      <c r="AD50" s="154"/>
    </row>
    <row r="51" spans="2:30" ht="31.35" hidden="1" customHeight="1" thickBot="1">
      <c r="B51" s="257" t="s">
        <v>2689</v>
      </c>
      <c r="C51" s="16" t="s">
        <v>6819</v>
      </c>
      <c r="D51" s="36" t="s">
        <v>6820</v>
      </c>
      <c r="E51" s="478" t="s">
        <v>8866</v>
      </c>
      <c r="F51" s="8">
        <v>10000.08</v>
      </c>
      <c r="G51" s="8" cm="1">
        <f t="array" ref="G51">IF(C51="",SUMPRODUCT(--(D51=LDL!$E$4:$E$2661),LDL!$AC$4:$AC$2661),SUMPRODUCT(--(C51=LDL!$D$4:$D$2661),LDL!$AC$4:$AC$2661))</f>
        <v>10000.08</v>
      </c>
      <c r="H51" s="30" t="s">
        <v>3</v>
      </c>
      <c r="I51" s="25"/>
      <c r="J51" s="30" t="s">
        <v>8809</v>
      </c>
      <c r="K51" s="23" t="s">
        <v>98</v>
      </c>
      <c r="L51" s="257" t="s">
        <v>6828</v>
      </c>
      <c r="M51" s="30" t="s">
        <v>141</v>
      </c>
      <c r="N51" s="472">
        <v>45962</v>
      </c>
      <c r="O51" s="119" t="s">
        <v>8867</v>
      </c>
      <c r="P51" s="6" t="s">
        <v>8868</v>
      </c>
      <c r="Q51" s="37"/>
      <c r="R51" s="7"/>
      <c r="S51" s="7"/>
      <c r="T51" s="120"/>
      <c r="U51" s="8"/>
      <c r="V51" s="192"/>
      <c r="W51" s="235"/>
      <c r="X51" s="30" t="s">
        <v>8834</v>
      </c>
      <c r="Y51" s="121"/>
      <c r="Z51" s="8"/>
      <c r="AA51" s="8" cm="1">
        <f t="array" ref="AA51">IF(X51="","",SUMPRODUCT(--(W51=LDL!$D$4:$D$1641),--(X51=LDL!$AJ$4:$AJ$1641),LDL!$AC$4:$AC$1641))</f>
        <v>0</v>
      </c>
      <c r="AB51" s="8"/>
      <c r="AC51" s="248"/>
      <c r="AD51" s="154" t="s">
        <v>98</v>
      </c>
    </row>
    <row r="52" spans="2:30" ht="25.35" hidden="1" customHeight="1">
      <c r="B52" s="257" t="s">
        <v>8684</v>
      </c>
      <c r="C52" s="473" t="s">
        <v>5754</v>
      </c>
      <c r="D52" s="473" t="s">
        <v>5754</v>
      </c>
      <c r="E52" s="474"/>
      <c r="F52" s="475"/>
      <c r="G52" s="475" cm="1">
        <f t="array" ref="G52">IF(C52="",SUMPRODUCT(--(D52=LDL!$E$4:$E$2661),LDL!$AC$4:$AC$2661),SUMPRODUCT(--(C52=LDL!$D$4:$D$2661),LDL!$AC$4:$AC$2661))</f>
        <v>225035.37000000005</v>
      </c>
      <c r="H52" s="476"/>
      <c r="I52" s="590"/>
      <c r="J52" s="501" t="s">
        <v>8869</v>
      </c>
      <c r="K52" s="1170" t="s">
        <v>98</v>
      </c>
      <c r="L52" s="1200" t="s">
        <v>1565</v>
      </c>
      <c r="M52" s="1198" t="s">
        <v>141</v>
      </c>
      <c r="N52" s="1286" t="s">
        <v>8870</v>
      </c>
      <c r="O52" s="1284" t="s">
        <v>8871</v>
      </c>
      <c r="P52" s="1258"/>
      <c r="Q52" s="37"/>
      <c r="R52" s="150"/>
      <c r="S52" s="8"/>
      <c r="T52" s="120"/>
      <c r="U52" s="8"/>
      <c r="V52" s="192"/>
      <c r="W52" s="235"/>
      <c r="X52" s="30"/>
      <c r="Y52" s="121"/>
      <c r="Z52" s="8"/>
      <c r="AA52" s="8" t="str" cm="1">
        <f t="array" ref="AA52">IF(X52="","",SUMPRODUCT(--(W52=LDL!$D$4:$D$1641),--(X52=LDL!$AJ$4:$AJ$1641),LDL!$AC$4:$AC$1641))</f>
        <v/>
      </c>
      <c r="AB52" s="8">
        <v>96802.777000000002</v>
      </c>
      <c r="AC52" s="248">
        <v>45867</v>
      </c>
      <c r="AD52" s="154" t="s">
        <v>98</v>
      </c>
    </row>
    <row r="53" spans="2:30" ht="25.35" hidden="1" customHeight="1" thickBot="1">
      <c r="B53" s="257" t="s">
        <v>8684</v>
      </c>
      <c r="C53" s="473" t="s">
        <v>6207</v>
      </c>
      <c r="D53" s="473" t="s">
        <v>6207</v>
      </c>
      <c r="E53" s="474"/>
      <c r="F53" s="475">
        <v>52380.090000000004</v>
      </c>
      <c r="G53" s="475" cm="1">
        <f t="array" ref="G53">IF(C53="",SUMPRODUCT(--(D53=LDL!$E$4:$E$2661),LDL!$AC$4:$AC$2661),SUMPRODUCT(--(C53=LDL!$D$4:$D$2661),LDL!$AC$4:$AC$2661))</f>
        <v>52380.090000000004</v>
      </c>
      <c r="H53" s="476" t="s">
        <v>3</v>
      </c>
      <c r="I53" s="590"/>
      <c r="J53" s="514" t="s">
        <v>8869</v>
      </c>
      <c r="K53" s="1171"/>
      <c r="L53" s="1201"/>
      <c r="M53" s="1199"/>
      <c r="N53" s="1287"/>
      <c r="O53" s="1285"/>
      <c r="P53" s="1260"/>
      <c r="Q53" s="37"/>
      <c r="R53" s="540"/>
      <c r="S53" s="533"/>
      <c r="T53" s="532"/>
      <c r="U53" s="533"/>
      <c r="V53" s="539"/>
      <c r="W53" s="534"/>
      <c r="X53" s="535"/>
      <c r="Y53" s="536"/>
      <c r="Z53" s="533"/>
      <c r="AA53" s="533"/>
      <c r="AB53" s="533"/>
      <c r="AC53" s="537"/>
      <c r="AD53" s="538" t="s">
        <v>98</v>
      </c>
    </row>
    <row r="54" spans="2:30" ht="25.35" hidden="1" customHeight="1">
      <c r="B54" s="257" t="s">
        <v>6807</v>
      </c>
      <c r="C54" s="6"/>
      <c r="D54" s="23" t="s">
        <v>6808</v>
      </c>
      <c r="E54" s="23"/>
      <c r="F54" s="8">
        <v>2626.2</v>
      </c>
      <c r="G54" s="8">
        <v>2626.2</v>
      </c>
      <c r="H54" s="30" t="s">
        <v>8</v>
      </c>
      <c r="I54" s="25"/>
      <c r="J54" s="30" t="s">
        <v>8809</v>
      </c>
      <c r="K54" s="23" t="s">
        <v>98</v>
      </c>
      <c r="L54" s="257" t="s">
        <v>8872</v>
      </c>
      <c r="M54" s="30" t="s">
        <v>1184</v>
      </c>
      <c r="N54" s="119">
        <v>46003</v>
      </c>
      <c r="O54" s="119">
        <v>46004</v>
      </c>
      <c r="P54" s="6" t="s">
        <v>8873</v>
      </c>
      <c r="Q54" s="37"/>
      <c r="R54" s="7"/>
      <c r="S54" s="7"/>
      <c r="T54" s="120"/>
      <c r="U54" s="8"/>
      <c r="V54" s="192"/>
      <c r="W54" s="235"/>
      <c r="X54" s="30"/>
      <c r="Y54" s="121"/>
      <c r="Z54" s="8"/>
      <c r="AA54" s="8"/>
      <c r="AB54" s="8"/>
      <c r="AC54" s="248"/>
      <c r="AD54" s="154"/>
    </row>
    <row r="55" spans="2:30" ht="28.5" hidden="1" customHeight="1" thickBot="1">
      <c r="B55" s="257" t="s">
        <v>8684</v>
      </c>
      <c r="C55" s="6"/>
      <c r="D55" s="23" t="s">
        <v>8685</v>
      </c>
      <c r="E55" s="23"/>
      <c r="F55" s="8">
        <v>1840</v>
      </c>
      <c r="G55" s="8">
        <v>1840</v>
      </c>
      <c r="H55" s="30" t="s">
        <v>3</v>
      </c>
      <c r="I55" s="25"/>
      <c r="J55" s="30"/>
      <c r="K55" s="23" t="s">
        <v>98</v>
      </c>
      <c r="L55" s="257"/>
      <c r="M55" s="30"/>
      <c r="N55" s="119"/>
      <c r="O55" s="119"/>
      <c r="P55" s="6" t="s">
        <v>8874</v>
      </c>
      <c r="Q55" s="37"/>
      <c r="R55" s="7"/>
      <c r="S55" s="7"/>
      <c r="T55" s="120"/>
      <c r="U55" s="8"/>
      <c r="V55" s="192"/>
      <c r="W55" s="235"/>
      <c r="X55" s="30"/>
      <c r="Y55" s="121"/>
      <c r="Z55" s="8"/>
      <c r="AA55" s="8"/>
      <c r="AB55" s="8"/>
      <c r="AC55" s="248"/>
      <c r="AD55" s="154"/>
    </row>
    <row r="56" spans="2:30" ht="36" hidden="1" customHeight="1">
      <c r="B56" s="255" t="s">
        <v>273</v>
      </c>
      <c r="C56" s="1179" t="s">
        <v>6862</v>
      </c>
      <c r="D56" s="459" t="s">
        <v>6863</v>
      </c>
      <c r="E56" s="36">
        <v>102089607</v>
      </c>
      <c r="F56" s="8">
        <v>30.95</v>
      </c>
      <c r="G56" s="8" cm="1">
        <f t="array" ref="G56">IF(C56="",SUMPRODUCT(--(D56=LDL!$E$4:$E$2661),LDL!$AC$4:$AC$2661),SUMPRODUCT(--(C56=LDL!$D$4:$D$2661),LDL!$AC$4:$AC$2661))</f>
        <v>551.15000000000009</v>
      </c>
      <c r="H56" s="30" t="s">
        <v>3</v>
      </c>
      <c r="I56" s="590"/>
      <c r="J56" s="1182"/>
      <c r="K56" s="1185" t="s">
        <v>98</v>
      </c>
      <c r="L56" s="1192" t="s">
        <v>3602</v>
      </c>
      <c r="M56" s="1195" t="s">
        <v>8875</v>
      </c>
      <c r="N56" s="1195">
        <v>46007</v>
      </c>
      <c r="O56" s="1195">
        <v>46015</v>
      </c>
      <c r="P56" s="1288"/>
      <c r="Q56" s="25"/>
      <c r="R56" s="7"/>
      <c r="S56" s="7"/>
      <c r="T56" s="120"/>
      <c r="U56" s="8"/>
      <c r="V56" s="192"/>
      <c r="W56" s="235"/>
      <c r="X56" s="30"/>
      <c r="Y56" s="121"/>
      <c r="Z56" s="8"/>
      <c r="AA56" s="8"/>
      <c r="AB56" s="8"/>
      <c r="AC56" s="248"/>
      <c r="AD56" s="154"/>
    </row>
    <row r="57" spans="2:30" ht="36" hidden="1" customHeight="1">
      <c r="B57" s="255" t="s">
        <v>273</v>
      </c>
      <c r="C57" s="1180"/>
      <c r="D57" s="461" t="s">
        <v>6872</v>
      </c>
      <c r="E57" s="36">
        <v>102089718</v>
      </c>
      <c r="F57" s="8">
        <v>358.62</v>
      </c>
      <c r="G57" s="8" cm="1">
        <f t="array" ref="G57">IF(C57="",SUMPRODUCT(--(D57=LDL!$E$4:$E$2661),LDL!$AC$4:$AC$2661),SUMPRODUCT(--(C57=LDL!$D$4:$D$2661),LDL!$AC$4:$AC$2661))</f>
        <v>358.62</v>
      </c>
      <c r="H57" s="30" t="s">
        <v>3</v>
      </c>
      <c r="I57" s="590"/>
      <c r="J57" s="1183"/>
      <c r="K57" s="1186"/>
      <c r="L57" s="1193"/>
      <c r="M57" s="1196" t="s">
        <v>141</v>
      </c>
      <c r="N57" s="1196"/>
      <c r="O57" s="1196"/>
      <c r="P57" s="1259"/>
      <c r="Q57" s="25"/>
      <c r="R57" s="531"/>
      <c r="S57" s="531"/>
      <c r="T57" s="532"/>
      <c r="U57" s="533"/>
      <c r="V57" s="539"/>
      <c r="W57" s="534"/>
      <c r="X57" s="535"/>
      <c r="Y57" s="536"/>
      <c r="Z57" s="533"/>
      <c r="AA57" s="533"/>
      <c r="AB57" s="533"/>
      <c r="AC57" s="537"/>
      <c r="AD57" s="538"/>
    </row>
    <row r="58" spans="2:30" ht="36" hidden="1" customHeight="1">
      <c r="B58" s="255" t="s">
        <v>273</v>
      </c>
      <c r="C58" s="1180"/>
      <c r="D58" s="461" t="s">
        <v>6884</v>
      </c>
      <c r="E58" s="36">
        <v>102089773</v>
      </c>
      <c r="F58" s="8">
        <v>111.96</v>
      </c>
      <c r="G58" s="8" cm="1">
        <f t="array" ref="G58">IF(C58="",SUMPRODUCT(--(D58=LDL!$E$4:$E$2661),LDL!$AC$4:$AC$2661),SUMPRODUCT(--(C58=LDL!$D$4:$D$2661),LDL!$AC$4:$AC$2661))</f>
        <v>111.96000000000001</v>
      </c>
      <c r="H58" s="30" t="s">
        <v>3</v>
      </c>
      <c r="I58" s="590"/>
      <c r="J58" s="1183"/>
      <c r="K58" s="1186"/>
      <c r="L58" s="1193"/>
      <c r="M58" s="1196" t="s">
        <v>141</v>
      </c>
      <c r="N58" s="1196"/>
      <c r="O58" s="1196"/>
      <c r="P58" s="1259"/>
      <c r="Q58" s="25"/>
      <c r="R58" s="531"/>
      <c r="S58" s="531"/>
      <c r="T58" s="532"/>
      <c r="U58" s="533"/>
      <c r="V58" s="539"/>
      <c r="W58" s="534"/>
      <c r="X58" s="535"/>
      <c r="Y58" s="536"/>
      <c r="Z58" s="533"/>
      <c r="AA58" s="533"/>
      <c r="AB58" s="533"/>
      <c r="AC58" s="537"/>
      <c r="AD58" s="538"/>
    </row>
    <row r="59" spans="2:30" ht="36" hidden="1" customHeight="1">
      <c r="B59" s="255" t="s">
        <v>273</v>
      </c>
      <c r="C59" s="1181"/>
      <c r="D59" s="505" t="s">
        <v>6896</v>
      </c>
      <c r="E59" s="36">
        <v>102089855</v>
      </c>
      <c r="F59" s="8">
        <v>49.625</v>
      </c>
      <c r="G59" s="8" cm="1">
        <f t="array" ref="G59">IF(C59="",SUMPRODUCT(--(D59=LDL!$E$4:$E$2661),LDL!$AC$4:$AC$2661),SUMPRODUCT(--(C59=LDL!$D$4:$D$2661),LDL!$AC$4:$AC$2661))</f>
        <v>49.620000000000005</v>
      </c>
      <c r="H59" s="30" t="s">
        <v>3</v>
      </c>
      <c r="I59" s="590"/>
      <c r="J59" s="1184"/>
      <c r="K59" s="1187"/>
      <c r="L59" s="1194"/>
      <c r="M59" s="1197" t="s">
        <v>141</v>
      </c>
      <c r="N59" s="1197"/>
      <c r="O59" s="1197"/>
      <c r="P59" s="1262"/>
      <c r="Q59" s="25"/>
      <c r="R59" s="531"/>
      <c r="S59" s="531"/>
      <c r="T59" s="532"/>
      <c r="U59" s="533"/>
      <c r="V59" s="539"/>
      <c r="W59" s="534"/>
      <c r="X59" s="535"/>
      <c r="Y59" s="536"/>
      <c r="Z59" s="533"/>
      <c r="AA59" s="533"/>
      <c r="AB59" s="533"/>
      <c r="AC59" s="537"/>
      <c r="AD59" s="538"/>
    </row>
    <row r="60" spans="2:30" ht="25.35" hidden="1" customHeight="1">
      <c r="B60" s="255" t="s">
        <v>273</v>
      </c>
      <c r="C60" s="479"/>
      <c r="D60" s="480" t="s">
        <v>6900</v>
      </c>
      <c r="E60" s="36">
        <v>102090400</v>
      </c>
      <c r="F60" s="502" t="s">
        <v>8876</v>
      </c>
      <c r="G60" s="8" cm="1">
        <f t="array" ref="G60">IF(C60="",SUMPRODUCT(--(D60=LDL!$E$4:$E$2661),LDL!$AC$4:$AC$2661),SUMPRODUCT(--(C60=LDL!$D$4:$D$2661),LDL!$AC$4:$AC$2661))</f>
        <v>3479.3999999999996</v>
      </c>
      <c r="H60" s="30" t="s">
        <v>3</v>
      </c>
      <c r="I60" s="590"/>
      <c r="J60" s="513"/>
      <c r="K60" s="23" t="s">
        <v>98</v>
      </c>
      <c r="L60" s="510" t="s">
        <v>3602</v>
      </c>
      <c r="M60" s="30" t="s">
        <v>8875</v>
      </c>
      <c r="N60" s="119">
        <v>46007</v>
      </c>
      <c r="O60" s="119">
        <v>46015</v>
      </c>
      <c r="P60" s="6"/>
      <c r="Q60" s="37"/>
      <c r="R60" s="7"/>
      <c r="S60" s="7"/>
      <c r="T60" s="120"/>
      <c r="U60" s="8"/>
      <c r="V60" s="192"/>
      <c r="W60" s="235"/>
      <c r="X60" s="30"/>
      <c r="Y60" s="121"/>
      <c r="Z60" s="8"/>
      <c r="AA60" s="8"/>
      <c r="AB60" s="8"/>
      <c r="AC60" s="248"/>
      <c r="AD60" s="154"/>
    </row>
    <row r="61" spans="2:30" ht="25.35" hidden="1" customHeight="1">
      <c r="B61" s="255" t="s">
        <v>273</v>
      </c>
      <c r="C61" s="506"/>
      <c r="D61" s="507" t="s">
        <v>6903</v>
      </c>
      <c r="E61" s="36">
        <v>102090636</v>
      </c>
      <c r="F61" s="502" t="s">
        <v>8877</v>
      </c>
      <c r="G61" s="8" cm="1">
        <f t="array" ref="G61">IF(C61="",SUMPRODUCT(--(D61=LDL!$E$4:$E$2661),LDL!$AC$4:$AC$2661),SUMPRODUCT(--(C61=LDL!$D$4:$D$2661),LDL!$AC$4:$AC$2661))</f>
        <v>29.2</v>
      </c>
      <c r="H61" s="30" t="s">
        <v>3</v>
      </c>
      <c r="I61" s="590"/>
      <c r="J61" s="511"/>
      <c r="K61" s="23" t="s">
        <v>98</v>
      </c>
      <c r="L61" s="510" t="s">
        <v>3602</v>
      </c>
      <c r="M61" s="30" t="s">
        <v>8875</v>
      </c>
      <c r="N61" s="119">
        <v>46007</v>
      </c>
      <c r="O61" s="119">
        <v>46015</v>
      </c>
      <c r="P61" s="6"/>
      <c r="Q61" s="37"/>
      <c r="R61" s="7"/>
      <c r="S61" s="7"/>
      <c r="T61" s="120"/>
      <c r="U61" s="8"/>
      <c r="V61" s="192"/>
      <c r="W61" s="235"/>
      <c r="X61" s="30"/>
      <c r="Y61" s="121"/>
      <c r="Z61" s="8"/>
      <c r="AA61" s="8"/>
      <c r="AB61" s="8"/>
      <c r="AC61" s="248"/>
      <c r="AD61" s="154"/>
    </row>
    <row r="62" spans="2:30" ht="25.35" hidden="1" customHeight="1" thickBot="1">
      <c r="B62" s="255" t="s">
        <v>273</v>
      </c>
      <c r="C62" s="509"/>
      <c r="D62" s="508"/>
      <c r="E62" s="36">
        <v>102090637</v>
      </c>
      <c r="F62" s="502"/>
      <c r="G62" s="8"/>
      <c r="H62" s="30" t="s">
        <v>3</v>
      </c>
      <c r="I62" s="590"/>
      <c r="J62" s="512"/>
      <c r="K62" s="23" t="s">
        <v>98</v>
      </c>
      <c r="L62" s="510" t="s">
        <v>3602</v>
      </c>
      <c r="M62" s="30" t="s">
        <v>8875</v>
      </c>
      <c r="N62" s="119">
        <v>46007</v>
      </c>
      <c r="O62" s="119">
        <v>46015</v>
      </c>
      <c r="P62" s="6" t="s">
        <v>8878</v>
      </c>
      <c r="Q62" s="37"/>
      <c r="R62" s="7"/>
      <c r="S62" s="7"/>
      <c r="T62" s="120"/>
      <c r="U62" s="8"/>
      <c r="V62" s="192"/>
      <c r="W62" s="235"/>
      <c r="X62" s="30"/>
      <c r="Y62" s="121"/>
      <c r="Z62" s="8"/>
      <c r="AA62" s="8"/>
      <c r="AB62" s="8"/>
      <c r="AC62" s="248"/>
      <c r="AD62" s="154"/>
    </row>
    <row r="63" spans="2:30" ht="69" hidden="1" customHeight="1">
      <c r="B63" s="255" t="s">
        <v>5635</v>
      </c>
      <c r="C63" s="1177" t="s">
        <v>6907</v>
      </c>
      <c r="D63" s="449" t="s">
        <v>6908</v>
      </c>
      <c r="E63" s="36"/>
      <c r="F63" s="8">
        <v>10928.17</v>
      </c>
      <c r="G63" s="8" cm="1">
        <f t="array" ref="G63">IF(C63="",SUMPRODUCT(--(D63=LDL!$E$4:$E$2661),LDL!$AC$4:$AC$2661),SUMPRODUCT(--(C63=LDL!$D$4:$D$2661),LDL!$AC$4:$AC$2661))-SUM(G64:G66)</f>
        <v>10928.17</v>
      </c>
      <c r="H63" s="30" t="s">
        <v>3</v>
      </c>
      <c r="I63" s="590"/>
      <c r="J63" s="501" t="s">
        <v>8809</v>
      </c>
      <c r="K63" s="1170" t="s">
        <v>98</v>
      </c>
      <c r="L63" s="1189" t="s">
        <v>1565</v>
      </c>
      <c r="M63" s="1167" t="s">
        <v>141</v>
      </c>
      <c r="N63" s="1167" t="s">
        <v>8879</v>
      </c>
      <c r="O63" s="1195">
        <v>46020</v>
      </c>
      <c r="P63" s="1261" t="s">
        <v>8880</v>
      </c>
      <c r="Q63" s="190"/>
      <c r="R63" s="7"/>
      <c r="S63" s="7"/>
      <c r="T63" s="120"/>
      <c r="U63" s="8">
        <f>IF(F63="","",F63-S63)</f>
        <v>10928.17</v>
      </c>
      <c r="V63" s="192"/>
      <c r="W63" s="235" t="s">
        <v>6908</v>
      </c>
      <c r="X63" s="30"/>
      <c r="Y63" s="121"/>
      <c r="Z63" s="8"/>
      <c r="AA63" s="8" t="str" cm="1">
        <f t="array" ref="AA63">IF(X63="","",SUMPRODUCT(--(W63=LDL!$D$4:$D$1641),--(X63=LDL!$AJ$4:$AJ$1641),LDL!$AC$4:$AC$1641))</f>
        <v/>
      </c>
      <c r="AB63" s="154" t="s">
        <v>8832</v>
      </c>
      <c r="AC63" s="248"/>
      <c r="AD63" s="154"/>
    </row>
    <row r="64" spans="2:30" ht="33.6" hidden="1" customHeight="1">
      <c r="B64" s="255" t="s">
        <v>5635</v>
      </c>
      <c r="C64" s="1178"/>
      <c r="D64" s="450" t="s">
        <v>6932</v>
      </c>
      <c r="E64" s="36"/>
      <c r="F64" s="8">
        <v>381.71</v>
      </c>
      <c r="G64" s="8" cm="1">
        <f t="array" ref="G64">IF(C64="",SUMPRODUCT(--(D64=LDL!$E$4:$E$2661),LDL!$AC$4:$AC$2661),SUMPRODUCT(--(C64=LDL!$D$4:$D$2661),LDL!$AC$4:$AC$2661))</f>
        <v>381.71</v>
      </c>
      <c r="H64" s="30" t="s">
        <v>3</v>
      </c>
      <c r="I64" s="590"/>
      <c r="J64" s="500" t="s">
        <v>8809</v>
      </c>
      <c r="K64" s="1188"/>
      <c r="L64" s="1190"/>
      <c r="M64" s="1168"/>
      <c r="N64" s="1168"/>
      <c r="O64" s="1168"/>
      <c r="P64" s="1289"/>
      <c r="Q64" s="228"/>
      <c r="R64" s="531"/>
      <c r="S64" s="531"/>
      <c r="T64" s="532"/>
      <c r="U64" s="533"/>
      <c r="V64" s="539"/>
      <c r="W64" s="534"/>
      <c r="X64" s="535"/>
      <c r="Y64" s="536"/>
      <c r="Z64" s="533"/>
      <c r="AA64" s="533"/>
      <c r="AB64" s="538" t="s">
        <v>8832</v>
      </c>
      <c r="AC64" s="537"/>
      <c r="AD64" s="538"/>
    </row>
    <row r="65" spans="2:30" ht="29.1" hidden="1" customHeight="1">
      <c r="B65" s="255" t="s">
        <v>5635</v>
      </c>
      <c r="C65" s="1178"/>
      <c r="D65" s="450" t="s">
        <v>6938</v>
      </c>
      <c r="E65" s="36"/>
      <c r="F65" s="8">
        <v>301.35000000000002</v>
      </c>
      <c r="G65" s="8" cm="1">
        <f t="array" ref="G65">IF(C65="",SUMPRODUCT(--(D65=LDL!$E$4:$E$2661),LDL!$AC$4:$AC$2661),SUMPRODUCT(--(C65=LDL!$D$4:$D$2661),LDL!$AC$4:$AC$2661))</f>
        <v>301.35000000000002</v>
      </c>
      <c r="H65" s="30" t="s">
        <v>3</v>
      </c>
      <c r="I65" s="590"/>
      <c r="J65" s="500" t="s">
        <v>8809</v>
      </c>
      <c r="K65" s="1188"/>
      <c r="L65" s="1190"/>
      <c r="M65" s="1168"/>
      <c r="N65" s="1168"/>
      <c r="O65" s="1168"/>
      <c r="P65" s="1289"/>
      <c r="Q65" s="228"/>
      <c r="R65" s="531"/>
      <c r="S65" s="531"/>
      <c r="T65" s="532"/>
      <c r="U65" s="533"/>
      <c r="V65" s="539"/>
      <c r="W65" s="534"/>
      <c r="X65" s="535"/>
      <c r="Y65" s="536"/>
      <c r="Z65" s="533"/>
      <c r="AA65" s="533"/>
      <c r="AB65" s="538"/>
      <c r="AC65" s="537"/>
      <c r="AD65" s="538"/>
    </row>
    <row r="66" spans="2:30" ht="33.6" hidden="1" customHeight="1">
      <c r="B66" s="255" t="s">
        <v>5635</v>
      </c>
      <c r="C66" s="1178"/>
      <c r="D66" s="483" t="s">
        <v>6944</v>
      </c>
      <c r="E66" s="36"/>
      <c r="F66" s="8">
        <v>4458.0200000000004</v>
      </c>
      <c r="G66" s="8" cm="1">
        <f t="array" ref="G66">IF(C66="",SUMPRODUCT(--(D66=LDL!$E$4:$E$2661),LDL!$AC$4:$AC$2661),SUMPRODUCT(--(C66=LDL!$D$4:$D$2661),LDL!$AC$4:$AC$2661))</f>
        <v>4458.0200000000004</v>
      </c>
      <c r="H66" s="30" t="s">
        <v>3</v>
      </c>
      <c r="I66" s="590"/>
      <c r="J66" s="500" t="s">
        <v>8809</v>
      </c>
      <c r="K66" s="1188"/>
      <c r="L66" s="1190"/>
      <c r="M66" s="1168"/>
      <c r="N66" s="1168"/>
      <c r="O66" s="1168"/>
      <c r="P66" s="1289"/>
      <c r="Q66" s="228"/>
      <c r="R66" s="531"/>
      <c r="S66" s="531"/>
      <c r="T66" s="532"/>
      <c r="U66" s="533"/>
      <c r="V66" s="539"/>
      <c r="W66" s="534"/>
      <c r="X66" s="535"/>
      <c r="Y66" s="536"/>
      <c r="Z66" s="533"/>
      <c r="AA66" s="533"/>
      <c r="AB66" s="538"/>
      <c r="AC66" s="537"/>
      <c r="AD66" s="538"/>
    </row>
    <row r="67" spans="2:30" ht="25.35" hidden="1" customHeight="1">
      <c r="B67" s="255" t="s">
        <v>5635</v>
      </c>
      <c r="C67" s="484" t="s">
        <v>6947</v>
      </c>
      <c r="D67" s="485" t="s">
        <v>6947</v>
      </c>
      <c r="E67" s="36"/>
      <c r="F67" s="8">
        <v>4458.0200000000004</v>
      </c>
      <c r="G67" s="8" cm="1">
        <f t="array" ref="G67">IF(C67="",SUMPRODUCT(--(D67=LDL!$E$4:$E$2661),LDL!$AC$4:$AC$2661),SUMPRODUCT(--(C67=LDL!$D$4:$D$2661),LDL!$AC$4:$AC$2661))</f>
        <v>4458.0200000000004</v>
      </c>
      <c r="H67" s="30" t="s">
        <v>3</v>
      </c>
      <c r="I67" s="590"/>
      <c r="J67" s="500" t="s">
        <v>8809</v>
      </c>
      <c r="K67" s="1188"/>
      <c r="L67" s="1190"/>
      <c r="M67" s="1168"/>
      <c r="N67" s="1168"/>
      <c r="O67" s="1168"/>
      <c r="P67" s="1289"/>
      <c r="Q67" s="37"/>
      <c r="R67" s="531"/>
      <c r="S67" s="531"/>
      <c r="T67" s="532"/>
      <c r="U67" s="533"/>
      <c r="V67" s="539"/>
      <c r="W67" s="534"/>
      <c r="X67" s="535"/>
      <c r="Y67" s="536"/>
      <c r="Z67" s="533"/>
      <c r="AA67" s="533"/>
      <c r="AB67" s="533"/>
      <c r="AC67" s="537"/>
      <c r="AD67" s="538"/>
    </row>
    <row r="68" spans="2:30" ht="29.45" hidden="1" customHeight="1">
      <c r="B68" s="255" t="s">
        <v>5635</v>
      </c>
      <c r="C68" s="479" t="s">
        <v>6948</v>
      </c>
      <c r="D68" s="480" t="s">
        <v>6948</v>
      </c>
      <c r="E68" s="36"/>
      <c r="F68" s="8">
        <v>723.24</v>
      </c>
      <c r="G68" s="8" cm="1">
        <f t="array" ref="G68">IF(C68="",SUMPRODUCT(--(D68=LDL!$E$4:$E$2661),LDL!$AC$4:$AC$2661),SUMPRODUCT(--(C68=LDL!$D$4:$D$2661),LDL!$AC$4:$AC$2661))</f>
        <v>1200.24</v>
      </c>
      <c r="H68" s="30" t="s">
        <v>3</v>
      </c>
      <c r="I68" s="590"/>
      <c r="J68" s="500" t="s">
        <v>8809</v>
      </c>
      <c r="K68" s="1188"/>
      <c r="L68" s="1190"/>
      <c r="M68" s="1168"/>
      <c r="N68" s="1168"/>
      <c r="O68" s="1168"/>
      <c r="P68" s="1289"/>
      <c r="Q68" s="229"/>
      <c r="R68" s="531"/>
      <c r="S68" s="531"/>
      <c r="T68" s="532"/>
      <c r="U68" s="533"/>
      <c r="V68" s="539"/>
      <c r="W68" s="534"/>
      <c r="X68" s="535"/>
      <c r="Y68" s="536"/>
      <c r="Z68" s="533"/>
      <c r="AA68" s="533"/>
      <c r="AB68" s="533"/>
      <c r="AC68" s="537"/>
      <c r="AD68" s="538"/>
    </row>
    <row r="69" spans="2:30" ht="29.45" hidden="1" customHeight="1" thickBot="1">
      <c r="B69" s="255" t="s">
        <v>5635</v>
      </c>
      <c r="C69" s="481" t="s">
        <v>5634</v>
      </c>
      <c r="D69" s="482" t="s">
        <v>5634</v>
      </c>
      <c r="E69" s="36"/>
      <c r="F69" s="8">
        <v>257.25</v>
      </c>
      <c r="G69" s="8">
        <v>257.25</v>
      </c>
      <c r="H69" s="30" t="s">
        <v>3</v>
      </c>
      <c r="I69" s="590"/>
      <c r="J69" s="500" t="s">
        <v>8869</v>
      </c>
      <c r="K69" s="1171"/>
      <c r="L69" s="1191"/>
      <c r="M69" s="1169"/>
      <c r="N69" s="1169"/>
      <c r="O69" s="1169"/>
      <c r="P69" s="1290"/>
      <c r="Q69" s="229"/>
      <c r="R69" s="531"/>
      <c r="S69" s="531"/>
      <c r="T69" s="532"/>
      <c r="U69" s="533"/>
      <c r="V69" s="539"/>
      <c r="W69" s="534"/>
      <c r="X69" s="535"/>
      <c r="Y69" s="536"/>
      <c r="Z69" s="533"/>
      <c r="AA69" s="533"/>
      <c r="AB69" s="533"/>
      <c r="AC69" s="537"/>
      <c r="AD69" s="538"/>
    </row>
    <row r="70" spans="2:30" ht="25.35" hidden="1" customHeight="1">
      <c r="B70" s="583" t="s">
        <v>99</v>
      </c>
      <c r="C70" s="23" t="s">
        <v>6977</v>
      </c>
      <c r="D70" s="23" t="s">
        <v>6977</v>
      </c>
      <c r="E70" s="23">
        <v>958238</v>
      </c>
      <c r="F70" s="8">
        <v>26016.9</v>
      </c>
      <c r="G70" s="8">
        <v>24441.3</v>
      </c>
      <c r="H70" s="30" t="s">
        <v>3</v>
      </c>
      <c r="I70" s="25"/>
      <c r="J70" s="30" t="s">
        <v>8813</v>
      </c>
      <c r="K70" s="23" t="s">
        <v>98</v>
      </c>
      <c r="L70" s="257" t="s">
        <v>6575</v>
      </c>
      <c r="M70" s="30" t="s">
        <v>141</v>
      </c>
      <c r="N70" s="119">
        <v>46002</v>
      </c>
      <c r="O70" s="119">
        <v>46043</v>
      </c>
      <c r="P70" s="6"/>
      <c r="Q70" s="37"/>
      <c r="R70" s="7"/>
      <c r="S70" s="7"/>
      <c r="T70" s="120"/>
      <c r="U70" s="8"/>
      <c r="V70" s="539"/>
      <c r="W70" s="235"/>
      <c r="X70" s="30"/>
      <c r="Y70" s="121"/>
      <c r="Z70" s="8"/>
      <c r="AA70" s="8"/>
      <c r="AB70" s="8"/>
      <c r="AC70" s="248"/>
      <c r="AD70" s="154"/>
    </row>
    <row r="71" spans="2:30" ht="15.6" hidden="1" customHeight="1">
      <c r="B71" s="256"/>
      <c r="C71" s="14"/>
      <c r="D71" s="24"/>
      <c r="E71" s="24"/>
      <c r="F71" s="17"/>
      <c r="G71" s="17"/>
      <c r="H71" s="31"/>
      <c r="J71" s="31"/>
      <c r="K71" s="24"/>
      <c r="L71" s="256"/>
      <c r="M71" s="31"/>
      <c r="N71" s="152"/>
      <c r="O71" s="152"/>
      <c r="P71" s="14"/>
      <c r="R71" s="15"/>
      <c r="S71" s="15"/>
      <c r="T71" s="144"/>
      <c r="U71" s="17"/>
      <c r="V71" s="13"/>
      <c r="W71" s="241"/>
      <c r="X71" s="31"/>
      <c r="Y71" s="145"/>
      <c r="Z71" s="17"/>
      <c r="AA71" s="17"/>
      <c r="AB71" s="17"/>
      <c r="AC71" s="253"/>
      <c r="AD71" s="213"/>
    </row>
    <row r="72" spans="2:30" ht="28.5" hidden="1" customHeight="1">
      <c r="B72" s="257" t="s">
        <v>3918</v>
      </c>
      <c r="C72" s="6" t="s">
        <v>7051</v>
      </c>
      <c r="D72" s="23" t="s">
        <v>7052</v>
      </c>
      <c r="E72" s="23"/>
      <c r="F72" s="8">
        <v>1357.6</v>
      </c>
      <c r="G72" s="8">
        <v>1357.6</v>
      </c>
      <c r="H72" s="30" t="s">
        <v>8</v>
      </c>
      <c r="I72" s="25"/>
      <c r="J72" s="1162"/>
      <c r="K72" s="1202" t="s">
        <v>98</v>
      </c>
      <c r="L72" s="1202" t="s">
        <v>1311</v>
      </c>
      <c r="M72" s="1162" t="s">
        <v>141</v>
      </c>
      <c r="N72" s="521">
        <v>46045</v>
      </c>
      <c r="O72" s="521"/>
      <c r="P72" s="522" t="s">
        <v>8881</v>
      </c>
      <c r="Q72" s="37"/>
      <c r="R72" s="523"/>
      <c r="S72" s="523"/>
      <c r="T72" s="524"/>
      <c r="U72" s="525"/>
      <c r="V72" s="192"/>
      <c r="W72" s="526"/>
      <c r="X72" s="520"/>
      <c r="Y72" s="527"/>
      <c r="Z72" s="525"/>
      <c r="AA72" s="525"/>
      <c r="AB72" s="525"/>
      <c r="AC72" s="528"/>
      <c r="AD72" s="529"/>
    </row>
    <row r="73" spans="2:30" ht="28.5" hidden="1" customHeight="1">
      <c r="B73" s="257" t="s">
        <v>3918</v>
      </c>
      <c r="C73" s="6" t="s">
        <v>7051</v>
      </c>
      <c r="D73" s="23" t="s">
        <v>7083</v>
      </c>
      <c r="E73" s="23"/>
      <c r="F73" s="8">
        <v>3588.2</v>
      </c>
      <c r="G73" s="8">
        <v>3588.2</v>
      </c>
      <c r="H73" s="30" t="s">
        <v>8</v>
      </c>
      <c r="I73" s="25"/>
      <c r="J73" s="1163"/>
      <c r="K73" s="1203"/>
      <c r="L73" s="1203"/>
      <c r="M73" s="1163"/>
      <c r="N73" s="521">
        <v>46045</v>
      </c>
      <c r="O73" s="521"/>
      <c r="P73" s="522" t="s">
        <v>8882</v>
      </c>
      <c r="Q73" s="37"/>
      <c r="R73" s="523"/>
      <c r="S73" s="523"/>
      <c r="T73" s="524"/>
      <c r="U73" s="525"/>
      <c r="V73" s="192"/>
      <c r="W73" s="526"/>
      <c r="X73" s="520"/>
      <c r="Y73" s="527"/>
      <c r="Z73" s="525"/>
      <c r="AA73" s="525"/>
      <c r="AB73" s="525"/>
      <c r="AC73" s="528"/>
      <c r="AD73" s="529"/>
    </row>
    <row r="74" spans="2:30" ht="25.35" hidden="1" customHeight="1">
      <c r="B74" s="257" t="s">
        <v>3918</v>
      </c>
      <c r="C74" s="6" t="s">
        <v>7051</v>
      </c>
      <c r="D74" s="23" t="s">
        <v>7128</v>
      </c>
      <c r="E74" s="23"/>
      <c r="F74" s="8">
        <v>542</v>
      </c>
      <c r="G74" s="8">
        <v>542</v>
      </c>
      <c r="H74" s="30" t="s">
        <v>8</v>
      </c>
      <c r="I74" s="25"/>
      <c r="J74" s="1164"/>
      <c r="K74" s="1204"/>
      <c r="L74" s="1204"/>
      <c r="M74" s="1164"/>
      <c r="N74" s="521">
        <v>46045</v>
      </c>
      <c r="O74" s="521"/>
      <c r="P74" s="522" t="s">
        <v>8883</v>
      </c>
      <c r="Q74" s="37"/>
      <c r="R74" s="523"/>
      <c r="S74" s="523"/>
      <c r="T74" s="524"/>
      <c r="U74" s="525"/>
      <c r="V74" s="192"/>
      <c r="W74" s="526"/>
      <c r="X74" s="520"/>
      <c r="Y74" s="527"/>
      <c r="Z74" s="525"/>
      <c r="AA74" s="525"/>
      <c r="AB74" s="525"/>
      <c r="AC74" s="528"/>
      <c r="AD74" s="529"/>
    </row>
    <row r="75" spans="2:30" ht="25.35" hidden="1" customHeight="1">
      <c r="B75" s="257" t="s">
        <v>99</v>
      </c>
      <c r="C75" s="6"/>
      <c r="D75" s="23" t="s">
        <v>7041</v>
      </c>
      <c r="E75" s="23">
        <v>989703</v>
      </c>
      <c r="F75" s="8">
        <v>5550</v>
      </c>
      <c r="G75" s="8">
        <v>5550</v>
      </c>
      <c r="H75" s="30" t="s">
        <v>3</v>
      </c>
      <c r="I75" s="25"/>
      <c r="J75" s="30"/>
      <c r="K75" s="23" t="s">
        <v>98</v>
      </c>
      <c r="L75" s="257" t="s">
        <v>1565</v>
      </c>
      <c r="M75" s="30" t="s">
        <v>116</v>
      </c>
      <c r="N75" s="119"/>
      <c r="O75" s="119"/>
      <c r="P75" s="6"/>
      <c r="Q75" s="37"/>
      <c r="R75" s="7"/>
      <c r="S75" s="7"/>
      <c r="T75" s="120"/>
      <c r="U75" s="8"/>
      <c r="V75" s="192"/>
      <c r="W75" s="235"/>
      <c r="X75" s="30"/>
      <c r="Y75" s="121"/>
      <c r="Z75" s="8"/>
      <c r="AA75" s="8"/>
      <c r="AB75" s="8"/>
      <c r="AC75" s="248"/>
      <c r="AD75" s="154"/>
    </row>
    <row r="76" spans="2:30" ht="36.6" hidden="1" customHeight="1">
      <c r="B76" s="583" t="s">
        <v>8884</v>
      </c>
      <c r="C76" s="6" t="s">
        <v>7171</v>
      </c>
      <c r="D76" s="23" t="s">
        <v>7171</v>
      </c>
      <c r="E76" s="23"/>
      <c r="F76" s="8">
        <v>136.5</v>
      </c>
      <c r="G76" s="8">
        <v>136.5</v>
      </c>
      <c r="H76" s="30" t="s">
        <v>3</v>
      </c>
      <c r="I76" s="25"/>
      <c r="J76" s="30" t="s">
        <v>8809</v>
      </c>
      <c r="K76" s="257" t="s">
        <v>98</v>
      </c>
      <c r="L76" s="257" t="s">
        <v>6258</v>
      </c>
      <c r="M76" s="30" t="s">
        <v>116</v>
      </c>
      <c r="N76" s="119" t="s">
        <v>8885</v>
      </c>
      <c r="O76" s="119"/>
      <c r="P76" s="6" t="s">
        <v>8886</v>
      </c>
      <c r="Q76" s="37"/>
      <c r="R76" s="7"/>
      <c r="S76" s="7"/>
      <c r="T76" s="120"/>
      <c r="U76" s="8"/>
      <c r="V76" s="192"/>
      <c r="W76" s="235"/>
      <c r="X76" s="30"/>
      <c r="Y76" s="121"/>
      <c r="Z76" s="8"/>
      <c r="AA76" s="8"/>
      <c r="AB76" s="8"/>
      <c r="AC76" s="248"/>
      <c r="AD76" s="154"/>
    </row>
    <row r="77" spans="2:30" ht="25.35" hidden="1" customHeight="1">
      <c r="B77" s="257" t="s">
        <v>3918</v>
      </c>
      <c r="C77" s="6" t="s">
        <v>7184</v>
      </c>
      <c r="D77" s="23" t="s">
        <v>7184</v>
      </c>
      <c r="E77" s="23"/>
      <c r="F77" s="8">
        <v>314.2</v>
      </c>
      <c r="G77" s="8">
        <v>314.2</v>
      </c>
      <c r="H77" s="30" t="s">
        <v>8</v>
      </c>
      <c r="I77" s="25"/>
      <c r="J77" s="30" t="s">
        <v>8809</v>
      </c>
      <c r="K77" s="257" t="s">
        <v>98</v>
      </c>
      <c r="L77" s="257"/>
      <c r="M77" s="30" t="s">
        <v>8745</v>
      </c>
      <c r="N77" s="119"/>
      <c r="O77" s="119"/>
      <c r="P77" s="6" t="s">
        <v>8887</v>
      </c>
      <c r="Q77" s="37"/>
      <c r="R77" s="7"/>
      <c r="S77" s="7"/>
      <c r="T77" s="120"/>
      <c r="U77" s="8"/>
      <c r="V77" s="192"/>
      <c r="W77" s="235"/>
      <c r="X77" s="30"/>
      <c r="Y77" s="121"/>
      <c r="Z77" s="8"/>
      <c r="AA77" s="8"/>
      <c r="AB77" s="8"/>
      <c r="AC77" s="248"/>
      <c r="AD77" s="154"/>
    </row>
    <row r="78" spans="2:30" ht="45" hidden="1" customHeight="1" thickBot="1">
      <c r="B78" s="257" t="s">
        <v>4177</v>
      </c>
      <c r="C78" s="6" t="s">
        <v>7143</v>
      </c>
      <c r="D78" s="23" t="s">
        <v>7143</v>
      </c>
      <c r="E78" s="23" t="s">
        <v>8888</v>
      </c>
      <c r="F78" s="8">
        <v>995.5</v>
      </c>
      <c r="G78" s="8">
        <v>995.5</v>
      </c>
      <c r="H78" s="30" t="s">
        <v>3</v>
      </c>
      <c r="I78" s="25"/>
      <c r="J78" s="30" t="s">
        <v>8809</v>
      </c>
      <c r="K78" s="257" t="s">
        <v>98</v>
      </c>
      <c r="L78" s="257" t="s">
        <v>1188</v>
      </c>
      <c r="M78" s="30" t="s">
        <v>116</v>
      </c>
      <c r="N78" s="119" t="s">
        <v>8889</v>
      </c>
      <c r="O78" s="119" t="s">
        <v>8890</v>
      </c>
      <c r="P78" s="6" t="s">
        <v>8891</v>
      </c>
      <c r="Q78" s="37"/>
      <c r="R78" s="7"/>
      <c r="S78" s="7"/>
      <c r="T78" s="120"/>
      <c r="U78" s="8"/>
      <c r="V78" s="192"/>
      <c r="W78" s="235"/>
      <c r="X78" s="30"/>
      <c r="Y78" s="121"/>
      <c r="Z78" s="8"/>
      <c r="AA78" s="8"/>
      <c r="AB78" s="8"/>
      <c r="AC78" s="248"/>
      <c r="AD78" s="154"/>
    </row>
    <row r="79" spans="2:30" ht="25.35" hidden="1" customHeight="1" thickTop="1">
      <c r="B79" s="584" t="s">
        <v>5635</v>
      </c>
      <c r="C79" s="585" t="s">
        <v>7163</v>
      </c>
      <c r="D79" s="586" t="s">
        <v>7163</v>
      </c>
      <c r="E79" s="586"/>
      <c r="F79" s="587">
        <v>3433.5279999999998</v>
      </c>
      <c r="G79" s="587"/>
      <c r="H79" s="577" t="s">
        <v>3</v>
      </c>
      <c r="I79" s="25"/>
      <c r="J79" s="577" t="s">
        <v>8809</v>
      </c>
      <c r="K79" s="1280" t="s">
        <v>98</v>
      </c>
      <c r="L79" s="1280" t="s">
        <v>6575</v>
      </c>
      <c r="M79" s="1278" t="s">
        <v>116</v>
      </c>
      <c r="N79" s="1282" t="s">
        <v>8892</v>
      </c>
      <c r="O79" s="1282"/>
      <c r="P79" s="578" t="s">
        <v>8893</v>
      </c>
      <c r="Q79" s="229"/>
      <c r="R79" s="7"/>
      <c r="S79" s="7"/>
      <c r="T79" s="120"/>
      <c r="U79" s="8"/>
      <c r="V79" s="192"/>
      <c r="W79" s="235"/>
      <c r="X79" s="30"/>
      <c r="Y79" s="121"/>
      <c r="Z79" s="8"/>
      <c r="AA79" s="8"/>
      <c r="AB79" s="8"/>
      <c r="AC79" s="248"/>
      <c r="AD79" s="154"/>
    </row>
    <row r="80" spans="2:30" ht="25.35" hidden="1" customHeight="1" thickBot="1">
      <c r="B80" s="588" t="s">
        <v>5635</v>
      </c>
      <c r="C80" s="548" t="s">
        <v>7154</v>
      </c>
      <c r="D80" s="549" t="s">
        <v>7154</v>
      </c>
      <c r="E80" s="549"/>
      <c r="F80" s="550">
        <v>462.07</v>
      </c>
      <c r="G80" s="550">
        <v>462.07</v>
      </c>
      <c r="H80" s="551" t="s">
        <v>3</v>
      </c>
      <c r="I80" s="25"/>
      <c r="J80" s="551" t="s">
        <v>8809</v>
      </c>
      <c r="K80" s="1281"/>
      <c r="L80" s="1281"/>
      <c r="M80" s="1279"/>
      <c r="N80" s="1283"/>
      <c r="O80" s="1283"/>
      <c r="P80" s="579" t="s">
        <v>8894</v>
      </c>
      <c r="Q80" s="229"/>
      <c r="R80" s="7"/>
      <c r="S80" s="7"/>
      <c r="T80" s="120"/>
      <c r="U80" s="8"/>
      <c r="V80" s="192"/>
      <c r="W80" s="235"/>
      <c r="X80" s="30"/>
      <c r="Y80" s="121"/>
      <c r="Z80" s="8"/>
      <c r="AA80" s="8"/>
      <c r="AB80" s="8"/>
      <c r="AC80" s="248"/>
      <c r="AD80" s="154"/>
    </row>
    <row r="81" spans="2:30" ht="25.35" hidden="1" customHeight="1" thickTop="1">
      <c r="B81" s="685" t="s">
        <v>99</v>
      </c>
      <c r="C81" s="544"/>
      <c r="D81" s="545" t="s">
        <v>6977</v>
      </c>
      <c r="E81" s="545">
        <v>958238</v>
      </c>
      <c r="F81" s="546">
        <v>26016.9</v>
      </c>
      <c r="G81" s="546">
        <f>F81-G70</f>
        <v>1575.6000000000022</v>
      </c>
      <c r="H81" s="547" t="s">
        <v>3</v>
      </c>
      <c r="I81" s="25"/>
      <c r="J81" s="547" t="s">
        <v>8869</v>
      </c>
      <c r="K81" s="580" t="s">
        <v>98</v>
      </c>
      <c r="L81" s="580" t="s">
        <v>535</v>
      </c>
      <c r="M81" s="547" t="s">
        <v>116</v>
      </c>
      <c r="N81" s="581"/>
      <c r="O81" s="581"/>
      <c r="P81" s="582" t="s">
        <v>8895</v>
      </c>
      <c r="Q81" s="229"/>
      <c r="R81" s="7"/>
      <c r="S81" s="7"/>
      <c r="T81" s="120"/>
      <c r="U81" s="8"/>
      <c r="V81" s="192"/>
      <c r="W81" s="235"/>
      <c r="X81" s="30"/>
      <c r="Y81" s="121"/>
      <c r="Z81" s="8"/>
      <c r="AA81" s="8"/>
      <c r="AB81" s="8"/>
      <c r="AC81" s="248"/>
      <c r="AD81" s="154"/>
    </row>
    <row r="82" spans="2:30" s="605" customFormat="1" ht="25.35" hidden="1" customHeight="1">
      <c r="B82" s="596" t="s">
        <v>8896</v>
      </c>
      <c r="C82" s="597" t="s">
        <v>7221</v>
      </c>
      <c r="D82" s="598" t="s">
        <v>7221</v>
      </c>
      <c r="E82" s="598"/>
      <c r="F82" s="599">
        <v>2815.92</v>
      </c>
      <c r="G82" s="599">
        <v>2815.92</v>
      </c>
      <c r="H82" s="600" t="s">
        <v>3</v>
      </c>
      <c r="I82" s="25"/>
      <c r="J82" s="600" t="s">
        <v>8809</v>
      </c>
      <c r="K82" s="601" t="s">
        <v>98</v>
      </c>
      <c r="L82" s="601" t="s">
        <v>1565</v>
      </c>
      <c r="M82" s="600" t="s">
        <v>116</v>
      </c>
      <c r="N82" s="602"/>
      <c r="O82" s="602"/>
      <c r="P82" s="597" t="s">
        <v>8897</v>
      </c>
      <c r="Q82" s="603"/>
      <c r="R82" s="531"/>
      <c r="S82" s="531"/>
      <c r="T82" s="532"/>
      <c r="U82" s="533"/>
      <c r="V82" s="604"/>
      <c r="W82" s="534"/>
      <c r="X82" s="535"/>
      <c r="Y82" s="536"/>
      <c r="Z82" s="533"/>
      <c r="AA82" s="533"/>
      <c r="AB82" s="533"/>
      <c r="AC82" s="537"/>
      <c r="AD82" s="538"/>
    </row>
    <row r="83" spans="2:30" ht="11.25" customHeight="1" thickBot="1">
      <c r="B83" s="656"/>
      <c r="C83" s="16"/>
      <c r="D83" s="657"/>
      <c r="E83" s="657"/>
      <c r="F83" s="658"/>
      <c r="G83" s="658"/>
      <c r="H83" s="659"/>
      <c r="J83" s="659"/>
      <c r="K83" s="657"/>
      <c r="L83" s="656"/>
      <c r="M83" s="659"/>
      <c r="N83" s="660"/>
      <c r="O83" s="660"/>
      <c r="P83" s="16"/>
      <c r="R83" s="15"/>
      <c r="S83" s="15"/>
      <c r="T83" s="144"/>
      <c r="U83" s="17"/>
      <c r="V83" s="13"/>
      <c r="W83" s="241"/>
      <c r="X83" s="31"/>
      <c r="Y83" s="145"/>
      <c r="Z83" s="17"/>
      <c r="AA83" s="17"/>
      <c r="AB83" s="17"/>
      <c r="AC83" s="253"/>
      <c r="AD83" s="213"/>
    </row>
    <row r="84" spans="2:30" ht="41.45" customHeight="1" thickTop="1" thickBot="1">
      <c r="B84" s="686" t="s">
        <v>3783</v>
      </c>
      <c r="C84" s="669" t="s">
        <v>8898</v>
      </c>
      <c r="D84" s="670" t="s">
        <v>8898</v>
      </c>
      <c r="E84" s="670" t="s">
        <v>8899</v>
      </c>
      <c r="F84" s="671">
        <v>8831.7000000000007</v>
      </c>
      <c r="G84" s="671"/>
      <c r="H84" s="672" t="s">
        <v>3</v>
      </c>
      <c r="I84" s="25"/>
      <c r="J84" s="661" t="s">
        <v>8809</v>
      </c>
      <c r="K84" s="661" t="s">
        <v>7731</v>
      </c>
      <c r="L84" s="661" t="s">
        <v>6295</v>
      </c>
      <c r="M84" s="662" t="s">
        <v>7236</v>
      </c>
      <c r="N84" s="663" t="s">
        <v>8900</v>
      </c>
      <c r="O84" s="663"/>
      <c r="P84" s="664" t="s">
        <v>8901</v>
      </c>
      <c r="Q84" s="229"/>
      <c r="R84" s="7"/>
      <c r="S84" s="7"/>
      <c r="T84" s="120"/>
      <c r="U84" s="8"/>
      <c r="V84" s="192"/>
      <c r="W84" s="235"/>
      <c r="X84" s="30"/>
      <c r="Y84" s="121"/>
      <c r="Z84" s="8"/>
      <c r="AA84" s="8"/>
      <c r="AB84" s="8"/>
      <c r="AC84" s="248"/>
      <c r="AD84" s="154"/>
    </row>
    <row r="85" spans="2:30" ht="11.45" thickTop="1" thickBot="1">
      <c r="B85" s="687"/>
      <c r="F85" s="13"/>
      <c r="G85" s="13"/>
      <c r="J85" s="111"/>
      <c r="K85" s="111"/>
      <c r="R85" s="15"/>
      <c r="S85" s="15"/>
      <c r="T85" s="144"/>
      <c r="U85" s="17"/>
      <c r="V85" s="13"/>
      <c r="W85" s="241"/>
      <c r="X85" s="31"/>
      <c r="Y85" s="145"/>
      <c r="Z85" s="17"/>
      <c r="AA85" s="17"/>
      <c r="AB85" s="17"/>
      <c r="AC85" s="253"/>
      <c r="AD85" s="213"/>
    </row>
    <row r="86" spans="2:30" ht="25.35" customHeight="1" thickTop="1" thickBot="1">
      <c r="B86" s="673" t="s">
        <v>383</v>
      </c>
      <c r="C86" s="674" t="s">
        <v>7297</v>
      </c>
      <c r="D86" s="675" t="s">
        <v>7297</v>
      </c>
      <c r="E86" s="675"/>
      <c r="F86" s="676">
        <v>2398</v>
      </c>
      <c r="G86" s="676">
        <v>2398</v>
      </c>
      <c r="H86" s="677" t="s">
        <v>3</v>
      </c>
      <c r="I86" s="25"/>
      <c r="J86" s="665" t="s">
        <v>8809</v>
      </c>
      <c r="K86" s="666" t="s">
        <v>7731</v>
      </c>
      <c r="L86" s="666" t="s">
        <v>1565</v>
      </c>
      <c r="M86" s="665" t="s">
        <v>141</v>
      </c>
      <c r="N86" s="667" t="s">
        <v>8902</v>
      </c>
      <c r="O86" s="667"/>
      <c r="P86" s="668" t="s">
        <v>8903</v>
      </c>
      <c r="Q86" s="229"/>
      <c r="R86" s="7"/>
      <c r="S86" s="7"/>
      <c r="T86" s="120"/>
      <c r="U86" s="8"/>
      <c r="V86" s="192"/>
      <c r="W86" s="235"/>
      <c r="X86" s="30"/>
      <c r="Y86" s="121"/>
      <c r="Z86" s="8"/>
      <c r="AA86" s="8"/>
      <c r="AB86" s="8"/>
      <c r="AC86" s="248"/>
      <c r="AD86" s="154"/>
    </row>
    <row r="87" spans="2:30" ht="11.45" thickTop="1" thickBot="1">
      <c r="F87" s="13"/>
      <c r="G87" s="13"/>
      <c r="K87" s="111"/>
      <c r="R87" s="15"/>
      <c r="S87" s="15"/>
      <c r="T87" s="144"/>
      <c r="U87" s="17"/>
      <c r="V87" s="13"/>
      <c r="W87" s="241"/>
      <c r="X87" s="31"/>
      <c r="Y87" s="145"/>
      <c r="Z87" s="17"/>
      <c r="AA87" s="17"/>
      <c r="AB87" s="17"/>
      <c r="AC87" s="253"/>
      <c r="AD87" s="213"/>
    </row>
    <row r="88" spans="2:30" ht="25.35" customHeight="1" thickTop="1">
      <c r="B88" s="1291" t="s">
        <v>8684</v>
      </c>
      <c r="C88" s="678" t="s">
        <v>5754</v>
      </c>
      <c r="D88" s="678" t="s">
        <v>5754</v>
      </c>
      <c r="E88" s="678"/>
      <c r="F88" s="679">
        <v>3092.85</v>
      </c>
      <c r="G88" s="679">
        <v>3092.85</v>
      </c>
      <c r="H88" s="680" t="s">
        <v>3</v>
      </c>
      <c r="I88" s="25"/>
      <c r="J88" s="606" t="s">
        <v>8904</v>
      </c>
      <c r="K88" s="1303" t="s">
        <v>7731</v>
      </c>
      <c r="L88" s="1303" t="s">
        <v>7253</v>
      </c>
      <c r="M88" s="1305" t="s">
        <v>141</v>
      </c>
      <c r="N88" s="1303" t="s">
        <v>8905</v>
      </c>
      <c r="O88" s="1303"/>
      <c r="P88" s="1307" t="s">
        <v>8906</v>
      </c>
      <c r="Q88" s="229"/>
      <c r="R88" s="7"/>
      <c r="S88" s="7"/>
      <c r="T88" s="120"/>
      <c r="U88" s="8"/>
      <c r="V88" s="192"/>
      <c r="W88" s="235"/>
      <c r="X88" s="30"/>
      <c r="Y88" s="121"/>
      <c r="Z88" s="8"/>
      <c r="AA88" s="8"/>
      <c r="AB88" s="8"/>
      <c r="AC88" s="248"/>
      <c r="AD88" s="154"/>
    </row>
    <row r="89" spans="2:30" ht="25.35" customHeight="1">
      <c r="B89" s="1292"/>
      <c r="C89" s="681" t="s">
        <v>6207</v>
      </c>
      <c r="D89" s="681" t="s">
        <v>6207</v>
      </c>
      <c r="E89" s="681"/>
      <c r="F89" s="682">
        <v>1740.87</v>
      </c>
      <c r="G89" s="682">
        <v>1740.87</v>
      </c>
      <c r="H89" s="619" t="s">
        <v>3</v>
      </c>
      <c r="I89" s="25"/>
      <c r="J89" s="619" t="s">
        <v>8904</v>
      </c>
      <c r="K89" s="1304"/>
      <c r="L89" s="1304"/>
      <c r="M89" s="1306"/>
      <c r="N89" s="1304"/>
      <c r="O89" s="1304"/>
      <c r="P89" s="1308"/>
      <c r="Q89" s="229"/>
      <c r="R89" s="7"/>
      <c r="S89" s="7"/>
      <c r="T89" s="120"/>
      <c r="U89" s="8"/>
      <c r="V89" s="192"/>
      <c r="W89" s="235"/>
      <c r="X89" s="30"/>
      <c r="Y89" s="121"/>
      <c r="Z89" s="8"/>
      <c r="AA89" s="8"/>
      <c r="AB89" s="8"/>
      <c r="AC89" s="248"/>
      <c r="AD89" s="154"/>
    </row>
    <row r="90" spans="2:30" ht="28.5" customHeight="1">
      <c r="B90" s="1292"/>
      <c r="C90" s="683" t="s">
        <v>7343</v>
      </c>
      <c r="D90" s="681" t="s">
        <v>7343</v>
      </c>
      <c r="E90" s="681" t="s">
        <v>8907</v>
      </c>
      <c r="F90" s="682">
        <v>3210.3</v>
      </c>
      <c r="G90" s="682">
        <v>3210.3</v>
      </c>
      <c r="H90" s="619" t="s">
        <v>3</v>
      </c>
      <c r="I90" s="25"/>
      <c r="J90" s="619" t="s">
        <v>8809</v>
      </c>
      <c r="K90" s="1304"/>
      <c r="L90" s="1304"/>
      <c r="M90" s="1306"/>
      <c r="N90" s="1304"/>
      <c r="O90" s="1304"/>
      <c r="P90" s="1308"/>
      <c r="Q90" s="229"/>
      <c r="R90" s="7"/>
      <c r="S90" s="7"/>
      <c r="T90" s="120"/>
      <c r="U90" s="8"/>
      <c r="V90" s="192"/>
      <c r="W90" s="235"/>
      <c r="X90" s="30"/>
      <c r="Y90" s="121"/>
      <c r="Z90" s="8"/>
      <c r="AA90" s="8"/>
      <c r="AB90" s="8"/>
      <c r="AC90" s="248"/>
      <c r="AD90" s="154"/>
    </row>
    <row r="91" spans="2:30" ht="29.45" customHeight="1">
      <c r="B91" s="688" t="s">
        <v>8684</v>
      </c>
      <c r="C91" s="607" t="s">
        <v>8159</v>
      </c>
      <c r="D91" s="607" t="s">
        <v>8159</v>
      </c>
      <c r="E91" s="607" t="s">
        <v>8908</v>
      </c>
      <c r="F91" s="608">
        <v>8407.49</v>
      </c>
      <c r="G91" s="608"/>
      <c r="H91" s="609" t="s">
        <v>3</v>
      </c>
      <c r="I91" s="25"/>
      <c r="J91" s="609"/>
      <c r="K91" s="610" t="s">
        <v>8909</v>
      </c>
      <c r="L91" s="610"/>
      <c r="M91" s="609" t="s">
        <v>141</v>
      </c>
      <c r="N91" s="611"/>
      <c r="O91" s="611"/>
      <c r="P91" s="612" t="s">
        <v>8910</v>
      </c>
      <c r="Q91" s="229"/>
      <c r="R91" s="7"/>
      <c r="S91" s="7"/>
      <c r="T91" s="120"/>
      <c r="U91" s="8"/>
      <c r="V91" s="192"/>
      <c r="W91" s="235"/>
      <c r="X91" s="30"/>
      <c r="Y91" s="121"/>
      <c r="Z91" s="8"/>
      <c r="AA91" s="8"/>
      <c r="AB91" s="8"/>
      <c r="AC91" s="248"/>
      <c r="AD91" s="154"/>
    </row>
    <row r="92" spans="2:30" ht="29.45" customHeight="1" thickBot="1">
      <c r="B92" s="689" t="s">
        <v>8684</v>
      </c>
      <c r="C92" s="613" t="s">
        <v>8169</v>
      </c>
      <c r="D92" s="613" t="s">
        <v>8169</v>
      </c>
      <c r="E92" s="613" t="s">
        <v>8911</v>
      </c>
      <c r="F92" s="614">
        <v>3138.96</v>
      </c>
      <c r="G92" s="614"/>
      <c r="H92" s="615" t="s">
        <v>3</v>
      </c>
      <c r="I92" s="25"/>
      <c r="J92" s="615"/>
      <c r="K92" s="616" t="s">
        <v>8184</v>
      </c>
      <c r="L92" s="616"/>
      <c r="M92" s="615" t="s">
        <v>141</v>
      </c>
      <c r="N92" s="617"/>
      <c r="O92" s="617"/>
      <c r="P92" s="618" t="s">
        <v>8912</v>
      </c>
      <c r="Q92" s="229"/>
      <c r="R92" s="7"/>
      <c r="S92" s="7"/>
      <c r="T92" s="120"/>
      <c r="U92" s="8"/>
      <c r="V92" s="192"/>
      <c r="W92" s="235"/>
      <c r="X92" s="30"/>
      <c r="Y92" s="121"/>
      <c r="Z92" s="8"/>
      <c r="AA92" s="8"/>
      <c r="AB92" s="8"/>
      <c r="AC92" s="248"/>
      <c r="AD92" s="154"/>
    </row>
    <row r="93" spans="2:30" ht="11.45" thickTop="1" thickBot="1">
      <c r="B93" s="687"/>
      <c r="C93" s="21"/>
      <c r="F93" s="13"/>
      <c r="G93" s="13"/>
      <c r="K93" s="111"/>
      <c r="R93" s="15"/>
      <c r="S93" s="15"/>
      <c r="T93" s="144"/>
      <c r="U93" s="17"/>
      <c r="V93" s="13"/>
      <c r="W93" s="241"/>
      <c r="X93" s="31"/>
      <c r="Y93" s="145"/>
      <c r="Z93" s="17"/>
      <c r="AA93" s="17"/>
      <c r="AB93" s="17"/>
      <c r="AC93" s="253"/>
      <c r="AD93" s="213"/>
    </row>
    <row r="94" spans="2:30" ht="25.35" customHeight="1" thickTop="1" thickBot="1">
      <c r="B94" s="690" t="s">
        <v>99</v>
      </c>
      <c r="C94" s="620"/>
      <c r="D94" s="621" t="s">
        <v>8358</v>
      </c>
      <c r="E94" s="621" t="s">
        <v>8913</v>
      </c>
      <c r="F94" s="622">
        <v>750</v>
      </c>
      <c r="G94" s="622"/>
      <c r="H94" s="623" t="s">
        <v>3</v>
      </c>
      <c r="I94" s="25"/>
      <c r="J94" s="623" t="s">
        <v>8809</v>
      </c>
      <c r="K94" s="624" t="s">
        <v>8914</v>
      </c>
      <c r="L94" s="624"/>
      <c r="M94" s="623" t="s">
        <v>141</v>
      </c>
      <c r="N94" s="625"/>
      <c r="O94" s="625"/>
      <c r="P94" s="626" t="s">
        <v>8915</v>
      </c>
      <c r="Q94" s="229"/>
      <c r="R94" s="7"/>
      <c r="S94" s="7"/>
      <c r="T94" s="120"/>
      <c r="U94" s="8"/>
      <c r="V94" s="192"/>
      <c r="W94" s="235"/>
      <c r="X94" s="30"/>
      <c r="Y94" s="121"/>
      <c r="Z94" s="8"/>
      <c r="AA94" s="8"/>
      <c r="AB94" s="8"/>
      <c r="AC94" s="248"/>
      <c r="AD94" s="154"/>
    </row>
    <row r="95" spans="2:30" ht="11.45" thickTop="1" thickBot="1">
      <c r="B95" s="687"/>
      <c r="F95" s="13"/>
      <c r="G95" s="13"/>
      <c r="K95" s="111"/>
      <c r="R95" s="15"/>
      <c r="S95" s="15"/>
      <c r="T95" s="144"/>
      <c r="U95" s="17"/>
      <c r="V95" s="13"/>
      <c r="W95" s="241"/>
      <c r="X95" s="31"/>
      <c r="Y95" s="145"/>
      <c r="Z95" s="17"/>
      <c r="AA95" s="17"/>
      <c r="AB95" s="17"/>
      <c r="AC95" s="253"/>
      <c r="AD95" s="213"/>
    </row>
    <row r="96" spans="2:30" ht="25.35" customHeight="1" thickTop="1">
      <c r="B96" s="633" t="s">
        <v>2689</v>
      </c>
      <c r="C96" s="634"/>
      <c r="D96" s="635" t="s">
        <v>8130</v>
      </c>
      <c r="E96" s="635"/>
      <c r="F96" s="636">
        <v>153.38999999999999</v>
      </c>
      <c r="G96" s="636"/>
      <c r="H96" s="637" t="s">
        <v>3</v>
      </c>
      <c r="I96" s="25"/>
      <c r="J96" s="637"/>
      <c r="K96" s="638" t="s">
        <v>8916</v>
      </c>
      <c r="L96" s="638"/>
      <c r="M96" s="637" t="s">
        <v>141</v>
      </c>
      <c r="N96" s="639"/>
      <c r="O96" s="639"/>
      <c r="P96" s="684" t="s">
        <v>8917</v>
      </c>
      <c r="Q96" s="229"/>
      <c r="R96" s="7"/>
      <c r="S96" s="7"/>
      <c r="T96" s="120"/>
      <c r="U96" s="8"/>
      <c r="V96" s="192"/>
      <c r="W96" s="235"/>
      <c r="X96" s="30"/>
      <c r="Y96" s="121"/>
      <c r="Z96" s="8"/>
      <c r="AA96" s="8"/>
      <c r="AB96" s="8"/>
      <c r="AC96" s="248"/>
      <c r="AD96" s="154"/>
    </row>
    <row r="97" spans="2:30" ht="25.35" customHeight="1" thickBot="1">
      <c r="B97" s="648" t="s">
        <v>2689</v>
      </c>
      <c r="C97" s="649"/>
      <c r="D97" s="650" t="s">
        <v>8918</v>
      </c>
      <c r="E97" s="650"/>
      <c r="F97" s="651">
        <v>1789.59</v>
      </c>
      <c r="G97" s="651"/>
      <c r="H97" s="652" t="s">
        <v>3</v>
      </c>
      <c r="I97" s="25"/>
      <c r="J97" s="652"/>
      <c r="K97" s="653" t="s">
        <v>8916</v>
      </c>
      <c r="L97" s="653"/>
      <c r="M97" s="652" t="s">
        <v>141</v>
      </c>
      <c r="N97" s="654"/>
      <c r="O97" s="654"/>
      <c r="P97" s="655" t="s">
        <v>8919</v>
      </c>
      <c r="Q97" s="229"/>
      <c r="R97" s="7"/>
      <c r="S97" s="7"/>
      <c r="T97" s="120"/>
      <c r="U97" s="8"/>
      <c r="V97" s="192"/>
      <c r="W97" s="235"/>
      <c r="X97" s="30"/>
      <c r="Y97" s="121"/>
      <c r="Z97" s="8"/>
      <c r="AA97" s="8"/>
      <c r="AB97" s="8"/>
      <c r="AC97" s="248"/>
      <c r="AD97" s="154"/>
    </row>
    <row r="98" spans="2:30" ht="11.45" thickTop="1" thickBot="1">
      <c r="F98" s="13"/>
      <c r="G98" s="13"/>
      <c r="K98" s="111"/>
      <c r="R98" s="15"/>
      <c r="S98" s="15"/>
      <c r="T98" s="144"/>
      <c r="U98" s="17"/>
      <c r="V98" s="13"/>
      <c r="W98" s="241"/>
      <c r="X98" s="31"/>
      <c r="Y98" s="145"/>
      <c r="Z98" s="17"/>
      <c r="AA98" s="17"/>
      <c r="AB98" s="17"/>
      <c r="AC98" s="253"/>
      <c r="AD98" s="213"/>
    </row>
    <row r="99" spans="2:30" ht="37.35" customHeight="1" thickTop="1">
      <c r="B99" s="560" t="s">
        <v>273</v>
      </c>
      <c r="C99" s="561"/>
      <c r="D99" s="562" t="s">
        <v>7402</v>
      </c>
      <c r="E99" s="562"/>
      <c r="F99" s="563">
        <v>189.34</v>
      </c>
      <c r="G99" s="564"/>
      <c r="H99" s="565" t="s">
        <v>3</v>
      </c>
      <c r="I99" s="591"/>
      <c r="J99" s="565"/>
      <c r="K99" s="566" t="s">
        <v>8920</v>
      </c>
      <c r="L99" s="566"/>
      <c r="M99" s="1293" t="s">
        <v>116</v>
      </c>
      <c r="N99" s="567"/>
      <c r="O99" s="567"/>
      <c r="P99" s="568" t="s">
        <v>8921</v>
      </c>
      <c r="Q99" s="229"/>
      <c r="R99" s="7"/>
      <c r="S99" s="7"/>
      <c r="T99" s="120"/>
      <c r="U99" s="8"/>
      <c r="V99" s="192"/>
      <c r="W99" s="235"/>
      <c r="X99" s="30"/>
      <c r="Y99" s="121"/>
      <c r="Z99" s="8"/>
      <c r="AA99" s="8"/>
      <c r="AB99" s="8"/>
      <c r="AC99" s="248"/>
      <c r="AD99" s="154"/>
    </row>
    <row r="100" spans="2:30" ht="33.6" customHeight="1">
      <c r="B100" s="569" t="s">
        <v>273</v>
      </c>
      <c r="C100" s="570" t="s">
        <v>8922</v>
      </c>
      <c r="D100" s="571" t="s">
        <v>7421</v>
      </c>
      <c r="E100" s="571"/>
      <c r="F100" s="572"/>
      <c r="G100" s="572"/>
      <c r="H100" s="573" t="s">
        <v>3</v>
      </c>
      <c r="I100" s="25"/>
      <c r="J100" s="573"/>
      <c r="K100" s="574" t="s">
        <v>8922</v>
      </c>
      <c r="L100" s="574"/>
      <c r="M100" s="1294"/>
      <c r="N100" s="575"/>
      <c r="O100" s="575"/>
      <c r="P100" s="576" t="s">
        <v>8923</v>
      </c>
      <c r="Q100" s="229"/>
      <c r="R100" s="7"/>
      <c r="S100" s="7"/>
      <c r="T100" s="120"/>
      <c r="U100" s="8"/>
      <c r="V100" s="192"/>
      <c r="W100" s="235"/>
      <c r="X100" s="30"/>
      <c r="Y100" s="121"/>
      <c r="Z100" s="8"/>
      <c r="AA100" s="8"/>
      <c r="AB100" s="8"/>
      <c r="AC100" s="248"/>
      <c r="AD100" s="154"/>
    </row>
    <row r="101" spans="2:30" ht="33.6" customHeight="1">
      <c r="B101" s="721" t="s">
        <v>273</v>
      </c>
      <c r="C101" s="722"/>
      <c r="D101" s="723" t="s">
        <v>7438</v>
      </c>
      <c r="E101" s="723">
        <v>102091049</v>
      </c>
      <c r="F101" s="724">
        <v>265.85999999999996</v>
      </c>
      <c r="G101" s="724">
        <v>265.85999999999996</v>
      </c>
      <c r="H101" s="725" t="s">
        <v>3</v>
      </c>
      <c r="I101" s="714"/>
      <c r="J101" s="725"/>
      <c r="K101" s="726" t="s">
        <v>8924</v>
      </c>
      <c r="L101" s="726"/>
      <c r="M101" s="1301" t="s">
        <v>141</v>
      </c>
      <c r="N101" s="727"/>
      <c r="O101" s="727"/>
      <c r="P101" s="728" t="s">
        <v>8925</v>
      </c>
      <c r="Q101" s="229"/>
      <c r="R101" s="7"/>
      <c r="S101" s="7"/>
      <c r="T101" s="120"/>
      <c r="U101" s="8"/>
      <c r="V101" s="192"/>
      <c r="W101" s="235"/>
      <c r="X101" s="30"/>
      <c r="Y101" s="121"/>
      <c r="Z101" s="8"/>
      <c r="AA101" s="8"/>
      <c r="AB101" s="8"/>
      <c r="AC101" s="248"/>
      <c r="AD101" s="154"/>
    </row>
    <row r="102" spans="2:30" ht="33.6" customHeight="1">
      <c r="B102" s="729" t="s">
        <v>273</v>
      </c>
      <c r="C102" s="641"/>
      <c r="D102" s="642" t="s">
        <v>7446</v>
      </c>
      <c r="E102" s="642"/>
      <c r="F102" s="643">
        <v>136.96</v>
      </c>
      <c r="G102" s="643"/>
      <c r="H102" s="644" t="s">
        <v>3</v>
      </c>
      <c r="I102" s="644"/>
      <c r="J102" s="644"/>
      <c r="K102" s="645" t="s">
        <v>8926</v>
      </c>
      <c r="L102" s="645"/>
      <c r="M102" s="1168"/>
      <c r="N102" s="646"/>
      <c r="O102" s="646"/>
      <c r="P102" s="730" t="s">
        <v>8927</v>
      </c>
      <c r="Q102" s="229"/>
      <c r="R102" s="7"/>
      <c r="S102" s="7"/>
      <c r="T102" s="120"/>
      <c r="U102" s="8"/>
      <c r="V102" s="192"/>
      <c r="W102" s="235"/>
      <c r="X102" s="30"/>
      <c r="Y102" s="121"/>
      <c r="Z102" s="8"/>
      <c r="AA102" s="8"/>
      <c r="AB102" s="8"/>
      <c r="AC102" s="248"/>
      <c r="AD102" s="154"/>
    </row>
    <row r="103" spans="2:30" ht="33.6" customHeight="1">
      <c r="B103" s="729" t="s">
        <v>273</v>
      </c>
      <c r="C103" s="641"/>
      <c r="D103" s="642" t="s">
        <v>7450</v>
      </c>
      <c r="E103" s="642"/>
      <c r="F103" s="643">
        <v>114.22</v>
      </c>
      <c r="G103" s="643"/>
      <c r="H103" s="644" t="s">
        <v>3</v>
      </c>
      <c r="I103" s="644"/>
      <c r="J103" s="644"/>
      <c r="K103" s="645" t="s">
        <v>8926</v>
      </c>
      <c r="L103" s="645"/>
      <c r="M103" s="1168"/>
      <c r="N103" s="646"/>
      <c r="O103" s="646"/>
      <c r="P103" s="730" t="s">
        <v>8928</v>
      </c>
      <c r="Q103" s="229"/>
      <c r="R103" s="7"/>
      <c r="S103" s="7"/>
      <c r="T103" s="120"/>
      <c r="U103" s="8"/>
      <c r="V103" s="192"/>
      <c r="W103" s="235"/>
      <c r="X103" s="30"/>
      <c r="Y103" s="121"/>
      <c r="Z103" s="8"/>
      <c r="AA103" s="8"/>
      <c r="AB103" s="8"/>
      <c r="AC103" s="248"/>
      <c r="AD103" s="154"/>
    </row>
    <row r="104" spans="2:30" ht="33.6" customHeight="1" thickBot="1">
      <c r="B104" s="731" t="s">
        <v>273</v>
      </c>
      <c r="C104" s="732"/>
      <c r="D104" s="733" t="s">
        <v>8929</v>
      </c>
      <c r="E104" s="733">
        <v>102091812</v>
      </c>
      <c r="F104" s="734">
        <v>39.93</v>
      </c>
      <c r="G104" s="734"/>
      <c r="H104" s="735" t="s">
        <v>3</v>
      </c>
      <c r="I104" s="735"/>
      <c r="J104" s="735"/>
      <c r="K104" s="736" t="s">
        <v>8926</v>
      </c>
      <c r="L104" s="736"/>
      <c r="M104" s="1302"/>
      <c r="N104" s="737"/>
      <c r="O104" s="737"/>
      <c r="P104" s="738" t="s">
        <v>8930</v>
      </c>
      <c r="Q104" s="229"/>
      <c r="R104" s="7"/>
      <c r="S104" s="7"/>
      <c r="T104" s="120"/>
      <c r="U104" s="8"/>
      <c r="V104" s="192"/>
      <c r="W104" s="235"/>
      <c r="X104" s="30"/>
      <c r="Y104" s="121"/>
      <c r="Z104" s="8"/>
      <c r="AA104" s="8"/>
      <c r="AB104" s="8"/>
      <c r="AC104" s="248"/>
      <c r="AD104" s="154"/>
    </row>
    <row r="105" spans="2:30" ht="10.9" thickTop="1">
      <c r="F105" s="13"/>
      <c r="G105" s="13"/>
      <c r="K105" s="111"/>
      <c r="R105" s="15"/>
      <c r="S105" s="15"/>
      <c r="T105" s="144"/>
      <c r="U105" s="17"/>
      <c r="V105" s="13"/>
      <c r="W105" s="241"/>
      <c r="X105" s="31"/>
      <c r="Y105" s="145"/>
      <c r="Z105" s="17"/>
      <c r="AA105" s="17"/>
      <c r="AB105" s="17"/>
      <c r="AC105" s="253"/>
      <c r="AD105" s="213"/>
    </row>
    <row r="106" spans="2:30" ht="25.35" customHeight="1">
      <c r="B106" s="700" t="s">
        <v>8931</v>
      </c>
      <c r="C106" s="701" t="s">
        <v>7455</v>
      </c>
      <c r="D106" s="702" t="s">
        <v>7455</v>
      </c>
      <c r="E106" s="702"/>
      <c r="F106" s="703">
        <v>174574.19</v>
      </c>
      <c r="G106" s="703"/>
      <c r="H106" s="704" t="s">
        <v>3</v>
      </c>
      <c r="I106" s="25"/>
      <c r="J106" s="1297" t="s">
        <v>8932</v>
      </c>
      <c r="K106" s="1297" t="s">
        <v>7731</v>
      </c>
      <c r="L106" s="1295"/>
      <c r="M106" s="1295" t="s">
        <v>141</v>
      </c>
      <c r="N106" s="1295"/>
      <c r="O106" s="1295"/>
      <c r="P106" s="1299"/>
      <c r="Q106" s="229"/>
      <c r="R106" s="7"/>
      <c r="S106" s="7"/>
      <c r="T106" s="120"/>
      <c r="U106" s="8"/>
      <c r="V106" s="192"/>
      <c r="W106" s="235"/>
      <c r="X106" s="30"/>
      <c r="Y106" s="121"/>
      <c r="Z106" s="8"/>
      <c r="AA106" s="8"/>
      <c r="AB106" s="8"/>
      <c r="AC106" s="248"/>
      <c r="AD106" s="154"/>
    </row>
    <row r="107" spans="2:30" ht="25.35" customHeight="1">
      <c r="B107" s="705" t="s">
        <v>8931</v>
      </c>
      <c r="C107" s="706" t="s">
        <v>7672</v>
      </c>
      <c r="D107" s="707" t="s">
        <v>7672</v>
      </c>
      <c r="E107" s="707"/>
      <c r="F107" s="708">
        <v>20954.03</v>
      </c>
      <c r="G107" s="708"/>
      <c r="H107" s="709" t="s">
        <v>3</v>
      </c>
      <c r="I107" s="25"/>
      <c r="J107" s="1309" t="s">
        <v>8933</v>
      </c>
      <c r="K107" s="1298" t="s">
        <v>8184</v>
      </c>
      <c r="L107" s="1296"/>
      <c r="M107" s="1296"/>
      <c r="N107" s="1296"/>
      <c r="O107" s="1296"/>
      <c r="P107" s="1300" t="s">
        <v>8934</v>
      </c>
      <c r="Q107" s="229"/>
      <c r="R107" s="7"/>
      <c r="S107" s="7"/>
      <c r="T107" s="120"/>
      <c r="U107" s="8"/>
      <c r="V107" s="192"/>
      <c r="W107" s="235"/>
      <c r="X107" s="30"/>
      <c r="Y107" s="121"/>
      <c r="Z107" s="8"/>
      <c r="AA107" s="8"/>
      <c r="AB107" s="8"/>
      <c r="AC107" s="248"/>
      <c r="AD107" s="154"/>
    </row>
    <row r="108" spans="2:30" ht="25.35" customHeight="1">
      <c r="B108" s="640" t="s">
        <v>8931</v>
      </c>
      <c r="C108" s="641" t="s">
        <v>7774</v>
      </c>
      <c r="D108" s="642" t="s">
        <v>7774</v>
      </c>
      <c r="E108" s="642"/>
      <c r="F108" s="643">
        <v>214627.82</v>
      </c>
      <c r="G108" s="643"/>
      <c r="H108" s="644" t="s">
        <v>3</v>
      </c>
      <c r="I108" s="25"/>
      <c r="J108" s="1295" t="s">
        <v>8935</v>
      </c>
      <c r="K108" s="1297" t="s">
        <v>7731</v>
      </c>
      <c r="L108" s="1295"/>
      <c r="M108" s="1295" t="s">
        <v>141</v>
      </c>
      <c r="N108" s="1295"/>
      <c r="O108" s="1295"/>
      <c r="P108" s="1299"/>
      <c r="Q108" s="229"/>
      <c r="R108" s="7"/>
      <c r="S108" s="7"/>
      <c r="T108" s="120"/>
      <c r="U108" s="8"/>
      <c r="V108" s="192"/>
      <c r="W108" s="235"/>
      <c r="X108" s="30"/>
      <c r="Y108" s="121"/>
      <c r="Z108" s="8"/>
      <c r="AA108" s="8"/>
      <c r="AB108" s="8"/>
      <c r="AC108" s="248"/>
      <c r="AD108" s="154"/>
    </row>
    <row r="109" spans="2:30" ht="25.35" customHeight="1">
      <c r="B109" s="691" t="s">
        <v>8931</v>
      </c>
      <c r="C109" s="692" t="s">
        <v>7956</v>
      </c>
      <c r="D109" s="693" t="s">
        <v>7956</v>
      </c>
      <c r="E109" s="693"/>
      <c r="F109" s="694">
        <v>64181.49</v>
      </c>
      <c r="G109" s="694"/>
      <c r="H109" s="695" t="s">
        <v>3</v>
      </c>
      <c r="I109" s="25"/>
      <c r="J109" s="1296"/>
      <c r="K109" s="1298"/>
      <c r="L109" s="1296"/>
      <c r="M109" s="1296"/>
      <c r="N109" s="1296"/>
      <c r="O109" s="1296"/>
      <c r="P109" s="1300"/>
      <c r="Q109" s="229"/>
      <c r="R109" s="7"/>
      <c r="S109" s="7"/>
      <c r="T109" s="120"/>
      <c r="U109" s="8"/>
      <c r="V109" s="192"/>
      <c r="W109" s="235"/>
      <c r="X109" s="30"/>
      <c r="Y109" s="121"/>
      <c r="Z109" s="8"/>
      <c r="AA109" s="8"/>
      <c r="AB109" s="8"/>
      <c r="AC109" s="248"/>
      <c r="AD109" s="154"/>
    </row>
    <row r="110" spans="2:30" ht="25.35" customHeight="1">
      <c r="B110" s="700" t="s">
        <v>8931</v>
      </c>
      <c r="C110" s="701" t="s">
        <v>7455</v>
      </c>
      <c r="D110" s="702" t="s">
        <v>7455</v>
      </c>
      <c r="E110" s="702"/>
      <c r="F110" s="703">
        <v>174574.19</v>
      </c>
      <c r="G110" s="703"/>
      <c r="H110" s="704" t="s">
        <v>3</v>
      </c>
      <c r="I110" s="25"/>
      <c r="J110" s="1310" t="s">
        <v>8936</v>
      </c>
      <c r="K110" s="1297" t="s">
        <v>8937</v>
      </c>
      <c r="L110" s="1310"/>
      <c r="M110" s="1310" t="s">
        <v>141</v>
      </c>
      <c r="N110" s="1310"/>
      <c r="O110" s="1310"/>
      <c r="P110" s="1310"/>
      <c r="Q110" s="229"/>
      <c r="R110" s="7"/>
      <c r="S110" s="7"/>
      <c r="T110" s="120"/>
      <c r="U110" s="8"/>
      <c r="V110" s="192"/>
      <c r="W110" s="235"/>
      <c r="X110" s="30"/>
      <c r="Y110" s="121"/>
      <c r="Z110" s="8"/>
      <c r="AA110" s="8"/>
      <c r="AB110" s="8"/>
      <c r="AC110" s="248"/>
      <c r="AD110" s="154"/>
    </row>
    <row r="111" spans="2:30" ht="25.35" customHeight="1">
      <c r="B111" s="705" t="s">
        <v>8931</v>
      </c>
      <c r="C111" s="706" t="s">
        <v>7672</v>
      </c>
      <c r="D111" s="707" t="s">
        <v>7672</v>
      </c>
      <c r="E111" s="707"/>
      <c r="F111" s="708">
        <v>20954.03</v>
      </c>
      <c r="G111" s="708"/>
      <c r="H111" s="709" t="s">
        <v>3</v>
      </c>
      <c r="I111" s="25"/>
      <c r="J111" s="1168"/>
      <c r="K111" s="1259"/>
      <c r="L111" s="1168"/>
      <c r="M111" s="1168"/>
      <c r="N111" s="1168"/>
      <c r="O111" s="1168"/>
      <c r="P111" s="1168"/>
      <c r="Q111" s="229"/>
      <c r="R111" s="7"/>
      <c r="S111" s="7"/>
      <c r="T111" s="120"/>
      <c r="U111" s="8"/>
      <c r="V111" s="192"/>
      <c r="W111" s="235"/>
      <c r="X111" s="30"/>
      <c r="Y111" s="121"/>
      <c r="Z111" s="8"/>
      <c r="AA111" s="8"/>
      <c r="AB111" s="8"/>
      <c r="AC111" s="248"/>
      <c r="AD111" s="154"/>
    </row>
    <row r="112" spans="2:30" ht="25.35" customHeight="1">
      <c r="B112" s="705" t="s">
        <v>8931</v>
      </c>
      <c r="C112" s="710" t="s">
        <v>7949</v>
      </c>
      <c r="D112" s="711" t="s">
        <v>7949</v>
      </c>
      <c r="E112" s="711"/>
      <c r="F112" s="712">
        <v>39626.9</v>
      </c>
      <c r="G112" s="712"/>
      <c r="H112" s="713" t="s">
        <v>3</v>
      </c>
      <c r="I112" s="25"/>
      <c r="J112" s="1311"/>
      <c r="K112" s="1298"/>
      <c r="L112" s="1311"/>
      <c r="M112" s="1311"/>
      <c r="N112" s="1311"/>
      <c r="O112" s="1311"/>
      <c r="P112" s="1311"/>
      <c r="Q112" s="229"/>
      <c r="R112" s="7"/>
      <c r="S112" s="7"/>
      <c r="T112" s="120"/>
      <c r="U112" s="8"/>
      <c r="V112" s="192"/>
      <c r="W112" s="235"/>
      <c r="X112" s="30"/>
      <c r="Y112" s="121"/>
      <c r="Z112" s="8"/>
      <c r="AA112" s="8"/>
      <c r="AB112" s="8"/>
      <c r="AC112" s="248"/>
      <c r="AD112" s="154"/>
    </row>
    <row r="113" spans="2:30" ht="25.35" customHeight="1">
      <c r="B113" s="640" t="s">
        <v>8931</v>
      </c>
      <c r="C113" s="641" t="s">
        <v>7774</v>
      </c>
      <c r="D113" s="642" t="s">
        <v>7774</v>
      </c>
      <c r="E113" s="642"/>
      <c r="F113" s="643">
        <v>214627.82</v>
      </c>
      <c r="G113" s="643"/>
      <c r="H113" s="644" t="s">
        <v>3</v>
      </c>
      <c r="I113" s="25"/>
      <c r="J113" s="1295" t="s">
        <v>8938</v>
      </c>
      <c r="K113" s="1297" t="s">
        <v>8937</v>
      </c>
      <c r="L113" s="1295"/>
      <c r="M113" s="1295" t="s">
        <v>141</v>
      </c>
      <c r="N113" s="1295"/>
      <c r="O113" s="1295"/>
      <c r="P113" s="1299"/>
      <c r="Q113" s="229"/>
      <c r="R113" s="7"/>
      <c r="S113" s="7"/>
      <c r="T113" s="120"/>
      <c r="U113" s="8"/>
      <c r="V113" s="192"/>
      <c r="W113" s="235"/>
      <c r="X113" s="30"/>
      <c r="Y113" s="121"/>
      <c r="Z113" s="8"/>
      <c r="AA113" s="8"/>
      <c r="AB113" s="8"/>
      <c r="AC113" s="248"/>
      <c r="AD113" s="154"/>
    </row>
    <row r="114" spans="2:30" ht="25.35" customHeight="1">
      <c r="B114" s="691" t="s">
        <v>8931</v>
      </c>
      <c r="C114" s="692" t="s">
        <v>7956</v>
      </c>
      <c r="D114" s="693" t="s">
        <v>7956</v>
      </c>
      <c r="E114" s="693"/>
      <c r="F114" s="694">
        <v>64181.49</v>
      </c>
      <c r="G114" s="694"/>
      <c r="H114" s="695" t="s">
        <v>3</v>
      </c>
      <c r="I114" s="25"/>
      <c r="J114" s="1296"/>
      <c r="K114" s="1298"/>
      <c r="L114" s="1296"/>
      <c r="M114" s="1296"/>
      <c r="N114" s="1296"/>
      <c r="O114" s="1296"/>
      <c r="P114" s="1300"/>
      <c r="Q114" s="229"/>
      <c r="R114" s="7"/>
      <c r="S114" s="7"/>
      <c r="T114" s="120"/>
      <c r="U114" s="8"/>
      <c r="V114" s="192"/>
      <c r="W114" s="235"/>
      <c r="X114" s="30"/>
      <c r="Y114" s="121"/>
      <c r="Z114" s="8"/>
      <c r="AA114" s="8"/>
      <c r="AB114" s="8"/>
      <c r="AC114" s="248"/>
      <c r="AD114" s="154"/>
    </row>
    <row r="115" spans="2:30" ht="12.75" customHeight="1">
      <c r="B115" s="715"/>
      <c r="C115" s="716"/>
      <c r="D115" s="717"/>
      <c r="E115" s="717"/>
      <c r="F115" s="718"/>
      <c r="G115" s="718"/>
      <c r="H115" s="719"/>
      <c r="K115" s="720"/>
      <c r="L115" s="28"/>
      <c r="N115" s="28"/>
      <c r="O115" s="28"/>
      <c r="P115" s="21"/>
      <c r="R115" s="15"/>
      <c r="S115" s="15"/>
      <c r="T115" s="144"/>
      <c r="U115" s="17"/>
      <c r="V115" s="13"/>
      <c r="W115" s="241"/>
      <c r="X115" s="31"/>
      <c r="Y115" s="145"/>
      <c r="Z115" s="17"/>
      <c r="AA115" s="17"/>
      <c r="AB115" s="17"/>
      <c r="AC115" s="253"/>
      <c r="AD115" s="213"/>
    </row>
    <row r="116" spans="2:30" ht="25.35" customHeight="1">
      <c r="B116" s="640" t="s">
        <v>8931</v>
      </c>
      <c r="C116" s="641" t="s">
        <v>7949</v>
      </c>
      <c r="D116" s="642" t="s">
        <v>7949</v>
      </c>
      <c r="E116" s="642"/>
      <c r="F116" s="643">
        <v>39626.9</v>
      </c>
      <c r="G116" s="643"/>
      <c r="H116" s="644" t="s">
        <v>3</v>
      </c>
      <c r="I116" s="25"/>
      <c r="J116" s="644"/>
      <c r="K116" s="645" t="s">
        <v>8184</v>
      </c>
      <c r="L116" s="645"/>
      <c r="M116" s="644" t="s">
        <v>141</v>
      </c>
      <c r="N116" s="646"/>
      <c r="O116" s="646"/>
      <c r="P116" s="647" t="s">
        <v>8939</v>
      </c>
      <c r="Q116" s="229"/>
      <c r="R116" s="7"/>
      <c r="S116" s="7"/>
      <c r="T116" s="120"/>
      <c r="U116" s="8"/>
      <c r="V116" s="192"/>
      <c r="W116" s="235"/>
      <c r="X116" s="30"/>
      <c r="Y116" s="121"/>
      <c r="Z116" s="8"/>
      <c r="AA116" s="8"/>
      <c r="AB116" s="8"/>
      <c r="AC116" s="248"/>
      <c r="AD116" s="154"/>
    </row>
    <row r="117" spans="2:30" ht="25.35" customHeight="1">
      <c r="B117" s="640" t="s">
        <v>8931</v>
      </c>
      <c r="C117" s="641" t="s">
        <v>7774</v>
      </c>
      <c r="D117" s="642" t="s">
        <v>7774</v>
      </c>
      <c r="E117" s="642"/>
      <c r="F117" s="643">
        <v>214627.82</v>
      </c>
      <c r="G117" s="643"/>
      <c r="H117" s="644" t="s">
        <v>3</v>
      </c>
      <c r="I117" s="25"/>
      <c r="J117" s="644" t="s">
        <v>8933</v>
      </c>
      <c r="K117" s="645" t="s">
        <v>8184</v>
      </c>
      <c r="L117" s="645"/>
      <c r="M117" s="644" t="s">
        <v>141</v>
      </c>
      <c r="N117" s="646"/>
      <c r="O117" s="646"/>
      <c r="P117" s="647" t="s">
        <v>8940</v>
      </c>
      <c r="Q117" s="229"/>
      <c r="R117" s="7"/>
      <c r="S117" s="7"/>
      <c r="T117" s="120"/>
      <c r="U117" s="8"/>
      <c r="V117" s="192"/>
      <c r="W117" s="235"/>
      <c r="X117" s="30"/>
      <c r="Y117" s="121"/>
      <c r="Z117" s="8"/>
      <c r="AA117" s="8"/>
      <c r="AB117" s="8"/>
      <c r="AC117" s="248"/>
      <c r="AD117" s="154"/>
    </row>
    <row r="118" spans="2:30" ht="25.35" customHeight="1" thickBot="1">
      <c r="B118" s="648" t="s">
        <v>8931</v>
      </c>
      <c r="C118" s="649" t="s">
        <v>7956</v>
      </c>
      <c r="D118" s="650" t="s">
        <v>7956</v>
      </c>
      <c r="E118" s="650"/>
      <c r="F118" s="651">
        <v>64181.49</v>
      </c>
      <c r="G118" s="651"/>
      <c r="H118" s="652" t="s">
        <v>3</v>
      </c>
      <c r="I118" s="25"/>
      <c r="J118" s="652"/>
      <c r="K118" s="653" t="s">
        <v>8184</v>
      </c>
      <c r="L118" s="653"/>
      <c r="M118" s="652" t="s">
        <v>141</v>
      </c>
      <c r="N118" s="654"/>
      <c r="O118" s="654"/>
      <c r="P118" s="655" t="s">
        <v>8941</v>
      </c>
      <c r="Q118" s="229"/>
      <c r="R118" s="7"/>
      <c r="S118" s="7"/>
      <c r="T118" s="120"/>
      <c r="U118" s="8"/>
      <c r="V118" s="192"/>
      <c r="W118" s="235"/>
      <c r="X118" s="30"/>
      <c r="Y118" s="121"/>
      <c r="Z118" s="8"/>
      <c r="AA118" s="8"/>
      <c r="AB118" s="8"/>
      <c r="AC118" s="248"/>
      <c r="AD118" s="154"/>
    </row>
    <row r="119" spans="2:30" ht="11.45" thickTop="1" thickBot="1">
      <c r="B119" s="631"/>
      <c r="C119" s="627"/>
      <c r="D119" s="628"/>
      <c r="E119" s="628"/>
      <c r="F119" s="629"/>
      <c r="G119" s="629"/>
      <c r="H119" s="630"/>
      <c r="J119" s="630"/>
      <c r="K119" s="631"/>
      <c r="L119" s="631"/>
      <c r="M119" s="630"/>
      <c r="N119" s="632"/>
      <c r="O119" s="632"/>
      <c r="P119" s="627"/>
      <c r="R119" s="15"/>
      <c r="S119" s="15"/>
      <c r="T119" s="144"/>
      <c r="U119" s="17"/>
      <c r="V119" s="13"/>
      <c r="W119" s="241"/>
      <c r="X119" s="31"/>
      <c r="Y119" s="145"/>
      <c r="Z119" s="17"/>
      <c r="AA119" s="17"/>
      <c r="AB119" s="17"/>
      <c r="AC119" s="253"/>
      <c r="AD119" s="213"/>
    </row>
    <row r="120" spans="2:30" ht="25.35" customHeight="1" thickTop="1" thickBot="1">
      <c r="B120" s="552" t="s">
        <v>3454</v>
      </c>
      <c r="C120" s="553"/>
      <c r="D120" s="554"/>
      <c r="E120" s="554"/>
      <c r="F120" s="555"/>
      <c r="G120" s="555"/>
      <c r="H120" s="556" t="s">
        <v>8</v>
      </c>
      <c r="I120" s="25"/>
      <c r="J120" s="556"/>
      <c r="K120" s="557"/>
      <c r="L120" s="557"/>
      <c r="M120" s="556"/>
      <c r="N120" s="558"/>
      <c r="O120" s="558"/>
      <c r="P120" s="559"/>
      <c r="Q120" s="229"/>
      <c r="R120" s="7"/>
      <c r="S120" s="7"/>
      <c r="T120" s="120"/>
      <c r="U120" s="8"/>
      <c r="V120" s="192"/>
      <c r="W120" s="235"/>
      <c r="X120" s="30"/>
      <c r="Y120" s="121"/>
      <c r="Z120" s="8"/>
      <c r="AA120" s="8"/>
      <c r="AB120" s="8"/>
      <c r="AC120" s="248"/>
      <c r="AD120" s="154"/>
    </row>
    <row r="121" spans="2:30" s="28" customFormat="1" ht="8.1" customHeight="1" thickTop="1">
      <c r="B121" s="258" t="s">
        <v>8942</v>
      </c>
      <c r="C121" s="5" t="s">
        <v>8942</v>
      </c>
      <c r="D121" s="5" t="s">
        <v>8942</v>
      </c>
      <c r="E121" s="5"/>
      <c r="F121" s="5" t="s">
        <v>8942</v>
      </c>
      <c r="G121" s="5" t="s">
        <v>8942</v>
      </c>
      <c r="H121" s="5" t="s">
        <v>8942</v>
      </c>
      <c r="I121" s="697"/>
      <c r="J121" s="471" t="s">
        <v>8942</v>
      </c>
      <c r="K121" s="471" t="s">
        <v>8942</v>
      </c>
      <c r="L121" s="471" t="s">
        <v>8942</v>
      </c>
      <c r="M121" s="471" t="s">
        <v>8942</v>
      </c>
      <c r="N121" s="471" t="s">
        <v>8942</v>
      </c>
      <c r="O121" s="471" t="s">
        <v>8942</v>
      </c>
      <c r="P121" s="471" t="s">
        <v>8942</v>
      </c>
      <c r="Q121" s="471" t="s">
        <v>8942</v>
      </c>
      <c r="R121" s="471" t="s">
        <v>8942</v>
      </c>
      <c r="S121" s="471" t="s">
        <v>8942</v>
      </c>
      <c r="T121" s="471" t="s">
        <v>8942</v>
      </c>
      <c r="U121" s="471" t="s">
        <v>8942</v>
      </c>
      <c r="V121" s="471" t="s">
        <v>8942</v>
      </c>
      <c r="W121" s="471" t="s">
        <v>8942</v>
      </c>
      <c r="X121" s="471" t="s">
        <v>8942</v>
      </c>
      <c r="Y121" s="471" t="s">
        <v>8942</v>
      </c>
      <c r="Z121" s="471" t="s">
        <v>8942</v>
      </c>
      <c r="AA121" s="471" t="s">
        <v>8942</v>
      </c>
      <c r="AB121" s="471" t="s">
        <v>8942</v>
      </c>
      <c r="AC121" s="471" t="s">
        <v>8942</v>
      </c>
      <c r="AD121" s="471" t="s">
        <v>8942</v>
      </c>
    </row>
    <row r="124" spans="2:30">
      <c r="K124" s="215"/>
      <c r="L124" s="28"/>
      <c r="P124" s="2"/>
      <c r="Q124" s="2"/>
    </row>
    <row r="125" spans="2:30">
      <c r="K125" s="215"/>
      <c r="L125" s="28"/>
      <c r="P125" s="2"/>
      <c r="Q125" s="2"/>
    </row>
    <row r="126" spans="2:30">
      <c r="K126" s="215"/>
      <c r="L126" s="28"/>
      <c r="P126" s="2"/>
      <c r="Q126" s="2"/>
    </row>
    <row r="127" spans="2:30">
      <c r="K127" s="215"/>
      <c r="L127" s="28"/>
      <c r="P127" s="2"/>
      <c r="Q127" s="2"/>
    </row>
  </sheetData>
  <autoFilter ref="B2:AD121" xr:uid="{734F9466-F168-48B6-89A1-F55A369FEEE0}"/>
  <mergeCells count="146">
    <mergeCell ref="J113:J114"/>
    <mergeCell ref="K113:K114"/>
    <mergeCell ref="L113:L114"/>
    <mergeCell ref="M113:M114"/>
    <mergeCell ref="N113:N114"/>
    <mergeCell ref="O113:O114"/>
    <mergeCell ref="P113:P114"/>
    <mergeCell ref="J110:J112"/>
    <mergeCell ref="K110:K112"/>
    <mergeCell ref="M110:M112"/>
    <mergeCell ref="N110:N112"/>
    <mergeCell ref="O110:O112"/>
    <mergeCell ref="P110:P112"/>
    <mergeCell ref="L110:L112"/>
    <mergeCell ref="B88:B90"/>
    <mergeCell ref="M99:M100"/>
    <mergeCell ref="M108:M109"/>
    <mergeCell ref="K108:K109"/>
    <mergeCell ref="L108:L109"/>
    <mergeCell ref="N108:N109"/>
    <mergeCell ref="O108:O109"/>
    <mergeCell ref="P108:P109"/>
    <mergeCell ref="J108:J109"/>
    <mergeCell ref="M101:M104"/>
    <mergeCell ref="K88:K90"/>
    <mergeCell ref="M88:M90"/>
    <mergeCell ref="L88:L90"/>
    <mergeCell ref="N88:N90"/>
    <mergeCell ref="O88:O90"/>
    <mergeCell ref="P88:P90"/>
    <mergeCell ref="J106:J107"/>
    <mergeCell ref="K106:K107"/>
    <mergeCell ref="L106:L107"/>
    <mergeCell ref="M106:M107"/>
    <mergeCell ref="N106:N107"/>
    <mergeCell ref="O106:O107"/>
    <mergeCell ref="P106:P107"/>
    <mergeCell ref="T33:T38"/>
    <mergeCell ref="M79:M80"/>
    <mergeCell ref="K79:K80"/>
    <mergeCell ref="L79:L80"/>
    <mergeCell ref="N79:N80"/>
    <mergeCell ref="O79:O80"/>
    <mergeCell ref="O52:O53"/>
    <mergeCell ref="P52:P53"/>
    <mergeCell ref="U43:U48"/>
    <mergeCell ref="R33:R38"/>
    <mergeCell ref="N63:N69"/>
    <mergeCell ref="N56:N59"/>
    <mergeCell ref="N52:N53"/>
    <mergeCell ref="O63:O69"/>
    <mergeCell ref="P56:P59"/>
    <mergeCell ref="O56:O59"/>
    <mergeCell ref="P63:P69"/>
    <mergeCell ref="S33:S38"/>
    <mergeCell ref="AC43:AC48"/>
    <mergeCell ref="AD43:AD48"/>
    <mergeCell ref="Y43:Y48"/>
    <mergeCell ref="Z43:Z48"/>
    <mergeCell ref="AA43:AA48"/>
    <mergeCell ref="AB43:AB48"/>
    <mergeCell ref="R43:R48"/>
    <mergeCell ref="S43:S48"/>
    <mergeCell ref="T43:T48"/>
    <mergeCell ref="X43:X48"/>
    <mergeCell ref="W43:W48"/>
    <mergeCell ref="AD33:AD38"/>
    <mergeCell ref="Y33:Y38"/>
    <mergeCell ref="Z33:Z38"/>
    <mergeCell ref="AA33:AA38"/>
    <mergeCell ref="AB33:AB38"/>
    <mergeCell ref="AC33:AC38"/>
    <mergeCell ref="U33:U38"/>
    <mergeCell ref="W33:W38"/>
    <mergeCell ref="X33:X38"/>
    <mergeCell ref="O12:O13"/>
    <mergeCell ref="M26:M27"/>
    <mergeCell ref="N26:N27"/>
    <mergeCell ref="O29:O32"/>
    <mergeCell ref="P3:P4"/>
    <mergeCell ref="P12:P13"/>
    <mergeCell ref="N43:N48"/>
    <mergeCell ref="N33:N38"/>
    <mergeCell ref="O33:O38"/>
    <mergeCell ref="M33:M38"/>
    <mergeCell ref="O43:O48"/>
    <mergeCell ref="O26:O27"/>
    <mergeCell ref="P21:P22"/>
    <mergeCell ref="P26:P27"/>
    <mergeCell ref="P29:P32"/>
    <mergeCell ref="P43:P48"/>
    <mergeCell ref="P33:P38"/>
    <mergeCell ref="N21:N22"/>
    <mergeCell ref="O21:O22"/>
    <mergeCell ref="G6:G7"/>
    <mergeCell ref="H6:H7"/>
    <mergeCell ref="N29:N32"/>
    <mergeCell ref="G10:G11"/>
    <mergeCell ref="J26:J27"/>
    <mergeCell ref="K26:K27"/>
    <mergeCell ref="L26:L27"/>
    <mergeCell ref="K43:K48"/>
    <mergeCell ref="L43:L48"/>
    <mergeCell ref="H10:H11"/>
    <mergeCell ref="J21:J22"/>
    <mergeCell ref="K21:K22"/>
    <mergeCell ref="L21:L22"/>
    <mergeCell ref="L12:L13"/>
    <mergeCell ref="N12:N13"/>
    <mergeCell ref="K29:K32"/>
    <mergeCell ref="L29:L32"/>
    <mergeCell ref="M12:M13"/>
    <mergeCell ref="M21:M22"/>
    <mergeCell ref="B10:B11"/>
    <mergeCell ref="B6:B7"/>
    <mergeCell ref="C43:C48"/>
    <mergeCell ref="C26:C27"/>
    <mergeCell ref="C33:C38"/>
    <mergeCell ref="D6:D7"/>
    <mergeCell ref="F10:F11"/>
    <mergeCell ref="D10:D11"/>
    <mergeCell ref="F6:F7"/>
    <mergeCell ref="C10:C11"/>
    <mergeCell ref="C6:C7"/>
    <mergeCell ref="J72:J74"/>
    <mergeCell ref="J43:J48"/>
    <mergeCell ref="J33:J38"/>
    <mergeCell ref="K52:K53"/>
    <mergeCell ref="M29:M32"/>
    <mergeCell ref="K33:K38"/>
    <mergeCell ref="L33:L38"/>
    <mergeCell ref="C63:C66"/>
    <mergeCell ref="C56:C59"/>
    <mergeCell ref="J56:J59"/>
    <mergeCell ref="K56:K59"/>
    <mergeCell ref="M63:M69"/>
    <mergeCell ref="K63:K69"/>
    <mergeCell ref="L63:L69"/>
    <mergeCell ref="L56:L59"/>
    <mergeCell ref="M56:M59"/>
    <mergeCell ref="M43:M48"/>
    <mergeCell ref="M52:M53"/>
    <mergeCell ref="L52:L53"/>
    <mergeCell ref="K72:K74"/>
    <mergeCell ref="L72:L74"/>
    <mergeCell ref="M72:M74"/>
  </mergeCells>
  <conditionalFormatting sqref="J2:P26 R2:U121 W2:AD121 J28:P29 J30:J32 J33:P51 K52:P52 J52:J53 J54:P56 J60:P63 J64:J69 J70:P72 N73:P74 J75:P79 J80 P80 J81:P88 J89:J90 J91:P99 J100:L100 N100:P100 J101:P101 J102:L104 N102:P104 J105:P106 J108:P108 J113:P113 J116:P121">
    <cfRule type="expression" dxfId="117" priority="10">
      <formula>$K2="Chờ pick up"</formula>
    </cfRule>
    <cfRule type="expression" dxfId="116" priority="11">
      <formula>$K2="Đang vận chuyển"</formula>
    </cfRule>
    <cfRule type="expression" dxfId="115" priority="12">
      <formula>$K2="Done"</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F34A-3BB5-4E78-8DCB-8D270F37B50C}">
  <sheetPr>
    <outlinePr summaryBelow="0" summaryRight="0"/>
  </sheetPr>
  <dimension ref="A1:AS13624"/>
  <sheetViews>
    <sheetView showGridLines="0" topLeftCell="A25" zoomScale="84" zoomScaleNormal="84" workbookViewId="0">
      <selection activeCell="I39" sqref="I39"/>
    </sheetView>
  </sheetViews>
  <sheetFormatPr defaultColWidth="11.5703125" defaultRowHeight="15.75" customHeight="1"/>
  <cols>
    <col min="1" max="1" width="7.7109375" style="756" customWidth="1"/>
    <col min="2" max="2" width="19" style="756" customWidth="1"/>
    <col min="3" max="3" width="8.28515625" style="756" customWidth="1"/>
    <col min="4" max="4" width="3.7109375" style="756" customWidth="1"/>
    <col min="5" max="5" width="16.7109375" style="756" customWidth="1"/>
    <col min="6" max="6" width="7.5703125" style="756" customWidth="1"/>
    <col min="7" max="7" width="14" style="756" customWidth="1"/>
    <col min="8" max="8" width="14.42578125" style="756" customWidth="1"/>
    <col min="9" max="9" width="27.5703125" style="756" customWidth="1"/>
    <col min="10" max="10" width="11.42578125" style="756" customWidth="1"/>
    <col min="11" max="11" width="9.28515625" style="756" hidden="1" customWidth="1"/>
    <col min="12" max="12" width="4.85546875" style="756" customWidth="1"/>
    <col min="13" max="13" width="3.5703125" style="756" customWidth="1"/>
    <col min="14" max="14" width="17.42578125" style="760" customWidth="1"/>
    <col min="15" max="15" width="33" style="756" customWidth="1"/>
    <col min="16" max="16" width="7.7109375" style="756" customWidth="1"/>
    <col min="17" max="17" width="14.28515625" style="756" customWidth="1"/>
    <col min="18" max="18" width="5.7109375" style="756" customWidth="1"/>
    <col min="19" max="19" width="3.5703125" style="756" customWidth="1"/>
    <col min="20" max="20" width="14.5703125" style="756" customWidth="1"/>
    <col min="21" max="21" width="25.42578125" style="756" customWidth="1"/>
    <col min="22" max="22" width="7.85546875" style="756" customWidth="1"/>
    <col min="23" max="23" width="8.5703125" style="756" customWidth="1"/>
    <col min="24" max="24" width="4" style="756" customWidth="1"/>
    <col min="25" max="25" width="5.7109375" style="756" customWidth="1"/>
    <col min="26" max="26" width="14.28515625" style="756" bestFit="1" customWidth="1"/>
    <col min="27" max="27" width="23.5703125" style="756" customWidth="1"/>
    <col min="28" max="29" width="14.140625" style="756" customWidth="1"/>
    <col min="30" max="30" width="4.140625" style="756" customWidth="1"/>
    <col min="31" max="31" width="19.5703125" style="756" customWidth="1"/>
    <col min="32" max="32" width="12.42578125" style="756" customWidth="1"/>
    <col min="33" max="34" width="10.5703125" style="756" customWidth="1"/>
    <col min="35" max="35" width="14.28515625" style="756" customWidth="1"/>
    <col min="36" max="36" width="19.5703125" style="756" customWidth="1"/>
    <col min="37" max="45" width="11.42578125" style="756" customWidth="1"/>
    <col min="46" max="16384" width="11.5703125" style="756"/>
  </cols>
  <sheetData>
    <row r="1" spans="1:45" ht="13.9"/>
    <row r="2" spans="1:45" ht="13.9">
      <c r="A2" s="757" t="s">
        <v>8943</v>
      </c>
      <c r="B2" s="757" t="s">
        <v>8944</v>
      </c>
      <c r="C2" s="757" t="s">
        <v>8945</v>
      </c>
      <c r="D2" s="761"/>
      <c r="E2" s="775" t="s">
        <v>8944</v>
      </c>
      <c r="F2" s="775" t="s">
        <v>8943</v>
      </c>
      <c r="G2" s="775" t="s">
        <v>8946</v>
      </c>
      <c r="H2" s="775" t="s">
        <v>8947</v>
      </c>
      <c r="I2" s="775" t="s">
        <v>8948</v>
      </c>
      <c r="J2" s="775" t="s">
        <v>8945</v>
      </c>
      <c r="M2" s="1312" t="s">
        <v>8949</v>
      </c>
      <c r="N2" s="1313"/>
      <c r="O2" s="1313"/>
      <c r="P2" s="1313"/>
      <c r="Q2" s="1314"/>
      <c r="S2" s="1312" t="s">
        <v>8950</v>
      </c>
      <c r="T2" s="1313"/>
      <c r="U2" s="1313"/>
      <c r="V2" s="1313"/>
      <c r="W2" s="1314"/>
      <c r="X2" s="792"/>
      <c r="Y2" s="1312" t="s">
        <v>8951</v>
      </c>
      <c r="Z2" s="1313"/>
      <c r="AA2" s="1313"/>
      <c r="AB2" s="1313"/>
      <c r="AC2" s="1314"/>
      <c r="AD2" s="792"/>
      <c r="AE2" s="795" t="s">
        <v>8952</v>
      </c>
      <c r="AF2" s="795" t="s">
        <v>8953</v>
      </c>
      <c r="AG2" s="795" t="s">
        <v>8944</v>
      </c>
      <c r="AH2" s="795" t="s">
        <v>8954</v>
      </c>
      <c r="AI2" s="796" t="s">
        <v>8955</v>
      </c>
      <c r="AJ2" s="795" t="s">
        <v>8948</v>
      </c>
      <c r="AK2" s="796" t="s">
        <v>8956</v>
      </c>
      <c r="AL2" s="762"/>
      <c r="AM2" s="762"/>
      <c r="AN2" s="762"/>
      <c r="AO2" s="762"/>
      <c r="AP2" s="762"/>
      <c r="AQ2" s="762"/>
      <c r="AR2" s="762"/>
      <c r="AS2" s="762"/>
    </row>
    <row r="3" spans="1:45" ht="13.9">
      <c r="A3" s="758">
        <v>1</v>
      </c>
      <c r="B3" s="759" t="s">
        <v>150</v>
      </c>
      <c r="C3" s="758" t="s">
        <v>8957</v>
      </c>
      <c r="D3" s="762"/>
      <c r="E3" s="759" t="s">
        <v>150</v>
      </c>
      <c r="F3" s="758">
        <v>1</v>
      </c>
      <c r="G3" s="759" t="s">
        <v>151</v>
      </c>
      <c r="H3" s="759" t="s">
        <v>8958</v>
      </c>
      <c r="I3" s="759" t="s">
        <v>8959</v>
      </c>
      <c r="J3" s="758" t="s">
        <v>8960</v>
      </c>
      <c r="M3" s="775" t="s">
        <v>8943</v>
      </c>
      <c r="N3" s="775" t="s">
        <v>8961</v>
      </c>
      <c r="O3" s="775" t="s">
        <v>8962</v>
      </c>
      <c r="P3" s="775" t="s">
        <v>8963</v>
      </c>
      <c r="Q3" s="775" t="s">
        <v>8964</v>
      </c>
      <c r="S3" s="775" t="s">
        <v>8943</v>
      </c>
      <c r="T3" s="775" t="s">
        <v>8961</v>
      </c>
      <c r="U3" s="775" t="s">
        <v>8962</v>
      </c>
      <c r="V3" s="775" t="s">
        <v>8965</v>
      </c>
      <c r="W3" s="775" t="s">
        <v>8964</v>
      </c>
      <c r="X3" s="774"/>
      <c r="Y3" s="775" t="s">
        <v>8943</v>
      </c>
      <c r="Z3" s="775" t="s">
        <v>8961</v>
      </c>
      <c r="AA3" s="775" t="s">
        <v>8962</v>
      </c>
      <c r="AB3" s="775" t="s">
        <v>8965</v>
      </c>
      <c r="AC3" s="775" t="s">
        <v>8964</v>
      </c>
      <c r="AD3" s="774"/>
      <c r="AE3" s="778"/>
      <c r="AF3" s="778"/>
      <c r="AG3" s="778"/>
      <c r="AH3" s="778"/>
      <c r="AI3" s="778"/>
      <c r="AJ3" s="759"/>
      <c r="AK3" s="759"/>
      <c r="AL3" s="762"/>
      <c r="AM3" s="762"/>
      <c r="AN3" s="762"/>
      <c r="AO3" s="762"/>
      <c r="AP3" s="762"/>
      <c r="AQ3" s="762"/>
      <c r="AR3" s="762"/>
      <c r="AS3" s="762"/>
    </row>
    <row r="4" spans="1:45" ht="13.9">
      <c r="A4" s="758">
        <v>2</v>
      </c>
      <c r="B4" s="759" t="s">
        <v>108</v>
      </c>
      <c r="C4" s="758" t="s">
        <v>8966</v>
      </c>
      <c r="D4" s="762"/>
      <c r="E4" s="759" t="s">
        <v>150</v>
      </c>
      <c r="F4" s="758">
        <v>2</v>
      </c>
      <c r="G4" s="759" t="s">
        <v>1947</v>
      </c>
      <c r="H4" s="759" t="s">
        <v>8967</v>
      </c>
      <c r="I4" s="759" t="s">
        <v>8968</v>
      </c>
      <c r="J4" s="758" t="s">
        <v>8969</v>
      </c>
      <c r="M4" s="778">
        <v>1</v>
      </c>
      <c r="N4" s="778" t="s">
        <v>8970</v>
      </c>
      <c r="O4" s="778" t="s">
        <v>8970</v>
      </c>
      <c r="P4" s="785" t="s">
        <v>8971</v>
      </c>
      <c r="Q4" s="778" t="s">
        <v>8972</v>
      </c>
      <c r="S4" s="778">
        <v>5</v>
      </c>
      <c r="T4" s="778" t="s">
        <v>7283</v>
      </c>
      <c r="U4" s="778" t="s">
        <v>8973</v>
      </c>
      <c r="V4" s="785" t="s">
        <v>8974</v>
      </c>
      <c r="W4" s="778" t="s">
        <v>8975</v>
      </c>
      <c r="X4" s="774"/>
      <c r="Y4" s="778">
        <v>5</v>
      </c>
      <c r="Z4" s="778" t="s">
        <v>8976</v>
      </c>
      <c r="AA4" s="778" t="s">
        <v>8977</v>
      </c>
      <c r="AB4" s="785" t="s">
        <v>8978</v>
      </c>
      <c r="AC4" s="778" t="s">
        <v>8979</v>
      </c>
      <c r="AD4" s="774"/>
      <c r="AE4" s="778"/>
      <c r="AF4" s="778"/>
      <c r="AG4" s="778"/>
      <c r="AH4" s="778"/>
      <c r="AI4" s="778" t="s">
        <v>8980</v>
      </c>
      <c r="AJ4" s="759"/>
      <c r="AK4" s="759"/>
      <c r="AL4" s="762"/>
      <c r="AM4" s="762"/>
      <c r="AN4" s="762"/>
      <c r="AO4" s="762"/>
      <c r="AP4" s="762"/>
      <c r="AQ4" s="762"/>
      <c r="AR4" s="762"/>
      <c r="AS4" s="762"/>
    </row>
    <row r="5" spans="1:45" ht="13.9">
      <c r="A5" s="758">
        <v>3</v>
      </c>
      <c r="B5" s="759" t="s">
        <v>3459</v>
      </c>
      <c r="C5" s="758" t="s">
        <v>8981</v>
      </c>
      <c r="D5" s="762"/>
      <c r="E5" s="759" t="s">
        <v>150</v>
      </c>
      <c r="F5" s="758">
        <v>3</v>
      </c>
      <c r="G5" s="759" t="s">
        <v>461</v>
      </c>
      <c r="H5" s="759" t="s">
        <v>8982</v>
      </c>
      <c r="I5" s="759" t="s">
        <v>8983</v>
      </c>
      <c r="J5" s="758" t="s">
        <v>8984</v>
      </c>
      <c r="K5" s="775" t="s">
        <v>8985</v>
      </c>
      <c r="L5" s="761"/>
      <c r="M5" s="778">
        <v>2</v>
      </c>
      <c r="N5" s="778" t="s">
        <v>383</v>
      </c>
      <c r="O5" s="778" t="s">
        <v>8986</v>
      </c>
      <c r="P5" s="785" t="s">
        <v>8987</v>
      </c>
      <c r="Q5" s="778" t="s">
        <v>8987</v>
      </c>
      <c r="S5" s="778">
        <v>6</v>
      </c>
      <c r="T5" s="778" t="s">
        <v>133</v>
      </c>
      <c r="U5" s="778" t="s">
        <v>8973</v>
      </c>
      <c r="V5" s="785" t="s">
        <v>8974</v>
      </c>
      <c r="W5" s="778" t="s">
        <v>8988</v>
      </c>
      <c r="X5" s="774"/>
      <c r="Y5" s="778">
        <v>6</v>
      </c>
      <c r="Z5" s="778" t="s">
        <v>8976</v>
      </c>
      <c r="AA5" s="778" t="s">
        <v>8989</v>
      </c>
      <c r="AB5" s="785" t="s">
        <v>8990</v>
      </c>
      <c r="AC5" s="778" t="s">
        <v>8979</v>
      </c>
      <c r="AD5" s="774"/>
      <c r="AE5" s="778" t="s">
        <v>8991</v>
      </c>
      <c r="AF5" s="778" t="s">
        <v>3416</v>
      </c>
      <c r="AG5" s="778" t="s">
        <v>8992</v>
      </c>
      <c r="AH5" s="778" t="s">
        <v>1812</v>
      </c>
      <c r="AI5" s="778" t="s">
        <v>8993</v>
      </c>
      <c r="AJ5" s="759"/>
      <c r="AK5" s="759"/>
      <c r="AL5" s="762"/>
      <c r="AM5" s="762"/>
      <c r="AN5" s="762"/>
      <c r="AO5" s="762"/>
      <c r="AP5" s="762"/>
      <c r="AQ5" s="762"/>
      <c r="AR5" s="762"/>
      <c r="AS5" s="762"/>
    </row>
    <row r="6" spans="1:45" ht="13.9">
      <c r="A6" s="758">
        <v>4</v>
      </c>
      <c r="B6" s="759" t="s">
        <v>135</v>
      </c>
      <c r="C6" s="758" t="s">
        <v>8994</v>
      </c>
      <c r="D6" s="762"/>
      <c r="E6" s="759" t="s">
        <v>150</v>
      </c>
      <c r="F6" s="758">
        <v>4</v>
      </c>
      <c r="G6" s="759" t="s">
        <v>384</v>
      </c>
      <c r="H6" s="759" t="s">
        <v>384</v>
      </c>
      <c r="I6" s="759" t="s">
        <v>8995</v>
      </c>
      <c r="J6" s="758" t="s">
        <v>8996</v>
      </c>
      <c r="K6" s="759" t="s">
        <v>8997</v>
      </c>
      <c r="L6" s="761"/>
      <c r="M6" s="778">
        <v>3</v>
      </c>
      <c r="N6" s="778" t="s">
        <v>5635</v>
      </c>
      <c r="O6" s="778" t="s">
        <v>8998</v>
      </c>
      <c r="P6" s="785" t="s">
        <v>8999</v>
      </c>
      <c r="Q6" s="778" t="s">
        <v>8999</v>
      </c>
      <c r="S6" s="778">
        <v>7</v>
      </c>
      <c r="T6" s="778" t="s">
        <v>9000</v>
      </c>
      <c r="U6" s="778" t="s">
        <v>8973</v>
      </c>
      <c r="V6" s="785" t="s">
        <v>8974</v>
      </c>
      <c r="W6" s="778" t="s">
        <v>9001</v>
      </c>
      <c r="X6" s="774"/>
      <c r="Y6" s="778">
        <v>7</v>
      </c>
      <c r="Z6" s="778" t="s">
        <v>8976</v>
      </c>
      <c r="AA6" s="778" t="s">
        <v>9002</v>
      </c>
      <c r="AB6" s="785" t="s">
        <v>9003</v>
      </c>
      <c r="AC6" s="778" t="s">
        <v>8979</v>
      </c>
      <c r="AD6" s="774"/>
      <c r="AE6" s="778" t="s">
        <v>9004</v>
      </c>
      <c r="AF6" s="778" t="s">
        <v>9005</v>
      </c>
      <c r="AG6" s="778" t="s">
        <v>9006</v>
      </c>
      <c r="AH6" s="778" t="s">
        <v>9007</v>
      </c>
      <c r="AI6" s="778" t="s">
        <v>9008</v>
      </c>
      <c r="AJ6" s="759"/>
      <c r="AK6" s="759"/>
      <c r="AL6" s="762"/>
      <c r="AM6" s="762"/>
      <c r="AN6" s="762"/>
      <c r="AO6" s="762"/>
      <c r="AP6" s="762"/>
      <c r="AQ6" s="762"/>
      <c r="AR6" s="762"/>
      <c r="AS6" s="762"/>
    </row>
    <row r="7" spans="1:45" ht="13.9">
      <c r="A7" s="758">
        <v>5</v>
      </c>
      <c r="B7" s="759" t="s">
        <v>1100</v>
      </c>
      <c r="C7" s="758" t="s">
        <v>9009</v>
      </c>
      <c r="D7" s="765"/>
      <c r="E7" s="759" t="s">
        <v>150</v>
      </c>
      <c r="F7" s="758">
        <v>5</v>
      </c>
      <c r="G7" s="759" t="s">
        <v>868</v>
      </c>
      <c r="H7" s="759" t="s">
        <v>9010</v>
      </c>
      <c r="I7" s="759" t="s">
        <v>9010</v>
      </c>
      <c r="J7" s="758" t="s">
        <v>9011</v>
      </c>
      <c r="K7" s="759" t="s">
        <v>9012</v>
      </c>
      <c r="L7" s="761"/>
      <c r="M7" s="778">
        <v>4</v>
      </c>
      <c r="N7" s="778" t="s">
        <v>101</v>
      </c>
      <c r="O7" s="778" t="s">
        <v>4786</v>
      </c>
      <c r="P7" s="785" t="s">
        <v>9013</v>
      </c>
      <c r="Q7" s="778" t="s">
        <v>9013</v>
      </c>
      <c r="R7" s="764"/>
      <c r="S7" s="778">
        <v>8</v>
      </c>
      <c r="T7" s="778" t="s">
        <v>9014</v>
      </c>
      <c r="U7" s="778" t="s">
        <v>9015</v>
      </c>
      <c r="V7" s="785" t="s">
        <v>9016</v>
      </c>
      <c r="W7" s="778" t="s">
        <v>8971</v>
      </c>
      <c r="X7" s="774"/>
      <c r="AD7" s="774"/>
      <c r="AE7" s="762"/>
      <c r="AF7" s="762"/>
      <c r="AG7" s="762"/>
      <c r="AH7" s="762"/>
      <c r="AI7" s="762"/>
      <c r="AJ7" s="762"/>
      <c r="AK7" s="762"/>
      <c r="AL7" s="762"/>
      <c r="AM7" s="762"/>
      <c r="AN7" s="762"/>
      <c r="AO7" s="762"/>
      <c r="AP7" s="762"/>
      <c r="AQ7" s="762"/>
      <c r="AR7" s="762"/>
      <c r="AS7" s="762"/>
    </row>
    <row r="8" spans="1:45" ht="13.9">
      <c r="A8" s="765"/>
      <c r="B8" s="765"/>
      <c r="C8" s="765"/>
      <c r="D8" s="765"/>
      <c r="E8" s="759" t="s">
        <v>150</v>
      </c>
      <c r="F8" s="758">
        <v>7</v>
      </c>
      <c r="G8" s="759" t="s">
        <v>1812</v>
      </c>
      <c r="H8" s="759" t="s">
        <v>9017</v>
      </c>
      <c r="I8" s="759" t="s">
        <v>9018</v>
      </c>
      <c r="J8" s="758" t="s">
        <v>9019</v>
      </c>
      <c r="K8" s="759" t="s">
        <v>9020</v>
      </c>
      <c r="L8" s="763"/>
      <c r="M8" s="778">
        <v>5</v>
      </c>
      <c r="N8" s="778" t="s">
        <v>532</v>
      </c>
      <c r="O8" s="778" t="s">
        <v>9021</v>
      </c>
      <c r="P8" s="785" t="s">
        <v>8971</v>
      </c>
      <c r="Q8" s="778" t="s">
        <v>9022</v>
      </c>
      <c r="S8" s="778">
        <v>9</v>
      </c>
      <c r="T8" s="778" t="s">
        <v>9023</v>
      </c>
      <c r="U8" s="778" t="s">
        <v>9015</v>
      </c>
      <c r="V8" s="785" t="s">
        <v>9016</v>
      </c>
      <c r="W8" s="778" t="s">
        <v>8971</v>
      </c>
      <c r="X8" s="774"/>
      <c r="AD8" s="774"/>
      <c r="AE8" s="762"/>
      <c r="AF8" s="762"/>
      <c r="AG8" s="762"/>
      <c r="AH8" s="762"/>
      <c r="AI8" s="762"/>
      <c r="AK8" s="762"/>
      <c r="AL8" s="762"/>
      <c r="AM8" s="762"/>
      <c r="AN8" s="762"/>
      <c r="AO8" s="762"/>
      <c r="AP8" s="762"/>
      <c r="AQ8" s="762"/>
      <c r="AR8" s="762"/>
      <c r="AS8" s="762"/>
    </row>
    <row r="9" spans="1:45" ht="13.9">
      <c r="A9" s="765"/>
      <c r="B9" s="765"/>
      <c r="C9" s="765"/>
      <c r="D9" s="765"/>
      <c r="E9" s="759" t="s">
        <v>150</v>
      </c>
      <c r="F9" s="758">
        <v>8</v>
      </c>
      <c r="G9" s="759" t="s">
        <v>276</v>
      </c>
      <c r="H9" s="759" t="s">
        <v>9024</v>
      </c>
      <c r="I9" s="759" t="s">
        <v>9025</v>
      </c>
      <c r="J9" s="758" t="s">
        <v>9026</v>
      </c>
      <c r="K9" s="759" t="s">
        <v>9027</v>
      </c>
      <c r="L9" s="763"/>
      <c r="M9" s="778">
        <v>6</v>
      </c>
      <c r="N9" s="778" t="s">
        <v>273</v>
      </c>
      <c r="O9" s="778" t="s">
        <v>9028</v>
      </c>
      <c r="P9" s="785" t="s">
        <v>9029</v>
      </c>
      <c r="Q9" s="778" t="s">
        <v>9029</v>
      </c>
      <c r="S9" s="778">
        <v>1</v>
      </c>
      <c r="T9" s="778" t="s">
        <v>9030</v>
      </c>
      <c r="U9" s="778" t="s">
        <v>9031</v>
      </c>
      <c r="V9" s="785" t="s">
        <v>9032</v>
      </c>
      <c r="W9" s="778" t="s">
        <v>8971</v>
      </c>
      <c r="X9" s="774"/>
      <c r="Y9" s="774"/>
      <c r="Z9" s="762"/>
      <c r="AA9" s="762"/>
      <c r="AB9" s="762"/>
      <c r="AC9" s="762"/>
      <c r="AD9" s="774"/>
      <c r="AE9" s="762"/>
      <c r="AF9" s="762"/>
      <c r="AG9" s="762"/>
      <c r="AH9" s="762"/>
      <c r="AI9" s="762"/>
      <c r="AJ9" s="762"/>
      <c r="AK9" s="762"/>
      <c r="AL9" s="762"/>
      <c r="AM9" s="762"/>
      <c r="AN9" s="762"/>
      <c r="AO9" s="762"/>
      <c r="AP9" s="762"/>
      <c r="AQ9" s="762"/>
      <c r="AR9" s="762"/>
      <c r="AS9" s="762"/>
    </row>
    <row r="10" spans="1:45" ht="13.9">
      <c r="A10" s="765"/>
      <c r="B10" s="765"/>
      <c r="C10" s="765"/>
      <c r="D10" s="765"/>
      <c r="E10" s="759" t="s">
        <v>150</v>
      </c>
      <c r="F10" s="758">
        <v>9</v>
      </c>
      <c r="G10" s="759" t="s">
        <v>4953</v>
      </c>
      <c r="H10" s="759" t="s">
        <v>9033</v>
      </c>
      <c r="I10" s="759" t="s">
        <v>9034</v>
      </c>
      <c r="J10" s="758" t="s">
        <v>9035</v>
      </c>
      <c r="K10" s="759" t="s">
        <v>9036</v>
      </c>
      <c r="L10" s="763"/>
      <c r="M10" s="778">
        <v>7</v>
      </c>
      <c r="N10" s="778" t="s">
        <v>9037</v>
      </c>
      <c r="O10" s="778" t="s">
        <v>9038</v>
      </c>
      <c r="P10" s="785" t="s">
        <v>9039</v>
      </c>
      <c r="Q10" s="778" t="s">
        <v>9039</v>
      </c>
      <c r="S10" s="778">
        <v>2</v>
      </c>
      <c r="T10" s="778" t="s">
        <v>9040</v>
      </c>
      <c r="U10" s="778" t="s">
        <v>9031</v>
      </c>
      <c r="V10" s="785" t="s">
        <v>9032</v>
      </c>
      <c r="W10" s="778" t="s">
        <v>8971</v>
      </c>
      <c r="X10" s="774"/>
      <c r="Y10" s="762"/>
      <c r="Z10" s="762" t="s">
        <v>9041</v>
      </c>
      <c r="AA10" s="766" t="s">
        <v>9042</v>
      </c>
      <c r="AB10" s="762"/>
      <c r="AC10" s="762"/>
      <c r="AD10" s="762"/>
      <c r="AE10" s="762"/>
      <c r="AF10" s="762"/>
      <c r="AG10" s="762"/>
      <c r="AH10" s="762"/>
      <c r="AI10" s="762"/>
      <c r="AJ10" s="762"/>
      <c r="AK10" s="762"/>
      <c r="AL10" s="762"/>
      <c r="AM10" s="762"/>
      <c r="AN10" s="762"/>
      <c r="AO10" s="762"/>
      <c r="AP10" s="762"/>
      <c r="AQ10" s="762"/>
      <c r="AR10" s="762"/>
      <c r="AS10" s="762"/>
    </row>
    <row r="11" spans="1:45" ht="13.9">
      <c r="A11" s="765"/>
      <c r="B11" s="765"/>
      <c r="C11" s="765"/>
      <c r="D11" s="765"/>
      <c r="E11" s="759" t="s">
        <v>150</v>
      </c>
      <c r="F11" s="758">
        <v>10</v>
      </c>
      <c r="G11" s="759" t="s">
        <v>220</v>
      </c>
      <c r="H11" s="759" t="s">
        <v>9043</v>
      </c>
      <c r="I11" s="759" t="s">
        <v>9044</v>
      </c>
      <c r="J11" s="758" t="s">
        <v>9045</v>
      </c>
      <c r="K11" s="759" t="s">
        <v>9046</v>
      </c>
      <c r="L11" s="763"/>
      <c r="M11" s="778">
        <v>8</v>
      </c>
      <c r="N11" s="778" t="s">
        <v>9047</v>
      </c>
      <c r="O11" s="778" t="s">
        <v>9048</v>
      </c>
      <c r="P11" s="785" t="s">
        <v>9049</v>
      </c>
      <c r="Q11" s="778" t="s">
        <v>9049</v>
      </c>
      <c r="S11" s="778">
        <v>3</v>
      </c>
      <c r="T11" s="778" t="s">
        <v>9050</v>
      </c>
      <c r="U11" s="778" t="s">
        <v>9051</v>
      </c>
      <c r="V11" s="785" t="s">
        <v>9052</v>
      </c>
      <c r="W11" s="778" t="s">
        <v>8971</v>
      </c>
      <c r="X11" s="762"/>
      <c r="Y11" s="762"/>
      <c r="Z11" s="762"/>
      <c r="AA11" s="766" t="s">
        <v>9053</v>
      </c>
      <c r="AB11" s="762"/>
      <c r="AC11" s="762"/>
      <c r="AD11" s="762"/>
      <c r="AE11" s="762"/>
      <c r="AF11" s="762"/>
      <c r="AG11" s="762"/>
      <c r="AH11" s="762"/>
      <c r="AI11" s="762"/>
      <c r="AJ11" s="762"/>
      <c r="AK11" s="762"/>
      <c r="AL11" s="762"/>
      <c r="AM11" s="762"/>
      <c r="AN11" s="762"/>
      <c r="AO11" s="762"/>
      <c r="AP11" s="762"/>
      <c r="AQ11" s="762"/>
      <c r="AR11" s="762"/>
      <c r="AS11" s="762"/>
    </row>
    <row r="12" spans="1:45" ht="13.9">
      <c r="A12" s="765"/>
      <c r="B12" s="765"/>
      <c r="C12" s="765"/>
      <c r="D12" s="765"/>
      <c r="E12" s="779"/>
      <c r="F12" s="779"/>
      <c r="G12" s="779"/>
      <c r="H12" s="779"/>
      <c r="I12" s="779"/>
      <c r="J12" s="779"/>
      <c r="K12" s="759" t="s">
        <v>275</v>
      </c>
      <c r="L12" s="763"/>
      <c r="M12" s="778">
        <v>9</v>
      </c>
      <c r="N12" s="778" t="s">
        <v>9054</v>
      </c>
      <c r="O12" s="778" t="s">
        <v>9055</v>
      </c>
      <c r="P12" s="785" t="s">
        <v>9056</v>
      </c>
      <c r="Q12" s="778" t="s">
        <v>9056</v>
      </c>
      <c r="S12" s="778"/>
      <c r="T12" s="778"/>
      <c r="U12" s="778"/>
      <c r="V12" s="785"/>
      <c r="W12" s="778"/>
      <c r="X12" s="762"/>
      <c r="Y12" s="762"/>
      <c r="Z12" s="762"/>
      <c r="AA12" s="766" t="s">
        <v>9057</v>
      </c>
      <c r="AB12" s="762"/>
      <c r="AC12" s="762"/>
      <c r="AD12" s="762"/>
      <c r="AE12" s="762"/>
      <c r="AF12" s="762"/>
      <c r="AG12" s="762"/>
      <c r="AH12" s="762"/>
      <c r="AI12" s="762"/>
      <c r="AJ12" s="762"/>
      <c r="AK12" s="762"/>
      <c r="AL12" s="762"/>
      <c r="AM12" s="762"/>
      <c r="AN12" s="762"/>
      <c r="AO12" s="762"/>
      <c r="AP12" s="762"/>
      <c r="AQ12" s="762"/>
      <c r="AR12" s="762"/>
      <c r="AS12" s="762"/>
    </row>
    <row r="13" spans="1:45" ht="13.9">
      <c r="A13" s="765"/>
      <c r="B13" s="765"/>
      <c r="C13" s="765"/>
      <c r="D13" s="765"/>
      <c r="E13" s="777" t="s">
        <v>108</v>
      </c>
      <c r="F13" s="758">
        <v>1</v>
      </c>
      <c r="G13" s="759" t="s">
        <v>3622</v>
      </c>
      <c r="H13" s="759" t="s">
        <v>9058</v>
      </c>
      <c r="I13" s="759" t="s">
        <v>9059</v>
      </c>
      <c r="J13" s="758" t="s">
        <v>9060</v>
      </c>
      <c r="K13" s="759" t="s">
        <v>9061</v>
      </c>
      <c r="L13" s="763"/>
      <c r="M13" s="778">
        <v>10</v>
      </c>
      <c r="N13" s="778" t="s">
        <v>9062</v>
      </c>
      <c r="O13" s="778" t="s">
        <v>9063</v>
      </c>
      <c r="P13" s="785" t="s">
        <v>9064</v>
      </c>
      <c r="Q13" s="778" t="s">
        <v>9064</v>
      </c>
      <c r="S13" s="778"/>
      <c r="T13" s="778"/>
      <c r="U13" s="778"/>
      <c r="V13" s="785"/>
      <c r="W13" s="778" t="s">
        <v>8971</v>
      </c>
      <c r="X13" s="762"/>
      <c r="Y13" s="762"/>
      <c r="Z13" s="762"/>
      <c r="AA13" s="766"/>
      <c r="AB13" s="762"/>
      <c r="AC13" s="762"/>
      <c r="AD13" s="762"/>
      <c r="AE13" s="762"/>
      <c r="AF13" s="762"/>
      <c r="AG13" s="762"/>
      <c r="AH13" s="762"/>
      <c r="AI13" s="762"/>
      <c r="AJ13" s="762"/>
      <c r="AK13" s="762"/>
      <c r="AL13" s="762"/>
      <c r="AM13" s="762"/>
      <c r="AN13" s="762"/>
      <c r="AO13" s="762"/>
      <c r="AP13" s="762"/>
      <c r="AQ13" s="762"/>
      <c r="AR13" s="762"/>
      <c r="AS13" s="762"/>
    </row>
    <row r="14" spans="1:45" ht="13.9">
      <c r="A14" s="765"/>
      <c r="B14" s="765"/>
      <c r="C14" s="765"/>
      <c r="D14" s="765"/>
      <c r="E14" s="777" t="s">
        <v>108</v>
      </c>
      <c r="F14" s="758">
        <v>2</v>
      </c>
      <c r="G14" s="759" t="s">
        <v>160</v>
      </c>
      <c r="H14" s="759" t="s">
        <v>9065</v>
      </c>
      <c r="I14" s="759" t="s">
        <v>9066</v>
      </c>
      <c r="J14" s="758" t="s">
        <v>9067</v>
      </c>
      <c r="K14" s="759" t="s">
        <v>9068</v>
      </c>
      <c r="L14" s="763"/>
      <c r="M14" s="778">
        <v>11</v>
      </c>
      <c r="N14" s="778" t="s">
        <v>9069</v>
      </c>
      <c r="O14" s="778" t="s">
        <v>9070</v>
      </c>
      <c r="P14" s="785" t="s">
        <v>8971</v>
      </c>
      <c r="Q14" s="778" t="s">
        <v>9071</v>
      </c>
      <c r="S14" s="778">
        <v>11</v>
      </c>
      <c r="T14" s="778" t="s">
        <v>3482</v>
      </c>
      <c r="U14" s="778" t="s">
        <v>9072</v>
      </c>
      <c r="V14" s="785" t="s">
        <v>9073</v>
      </c>
      <c r="W14" s="778" t="s">
        <v>8971</v>
      </c>
      <c r="X14" s="762"/>
      <c r="Y14" s="762"/>
      <c r="Z14" s="762"/>
      <c r="AA14" s="766"/>
      <c r="AB14" s="762"/>
      <c r="AC14" s="762"/>
      <c r="AD14" s="762"/>
      <c r="AE14" s="762"/>
      <c r="AF14" s="762"/>
      <c r="AG14" s="762"/>
      <c r="AH14" s="762"/>
      <c r="AI14" s="762"/>
      <c r="AJ14" s="762"/>
      <c r="AK14" s="762"/>
      <c r="AL14" s="762"/>
      <c r="AM14" s="762"/>
      <c r="AN14" s="762"/>
      <c r="AO14" s="762"/>
      <c r="AP14" s="762"/>
      <c r="AQ14" s="762"/>
      <c r="AR14" s="762"/>
      <c r="AS14" s="762"/>
    </row>
    <row r="15" spans="1:45" ht="13.9">
      <c r="A15" s="767"/>
      <c r="B15" s="762"/>
      <c r="C15" s="767"/>
      <c r="D15" s="762"/>
      <c r="E15" s="777" t="s">
        <v>108</v>
      </c>
      <c r="F15" s="758">
        <v>3</v>
      </c>
      <c r="G15" s="759" t="s">
        <v>269</v>
      </c>
      <c r="H15" s="759" t="s">
        <v>9074</v>
      </c>
      <c r="I15" s="759" t="s">
        <v>9074</v>
      </c>
      <c r="J15" s="758" t="s">
        <v>9075</v>
      </c>
      <c r="K15" s="779"/>
      <c r="L15" s="763"/>
      <c r="M15" s="778">
        <v>12</v>
      </c>
      <c r="N15" s="778" t="s">
        <v>9076</v>
      </c>
      <c r="O15" s="778" t="s">
        <v>9077</v>
      </c>
      <c r="P15" s="785" t="s">
        <v>8971</v>
      </c>
      <c r="Q15" s="778" t="s">
        <v>9078</v>
      </c>
      <c r="S15" s="778">
        <v>12</v>
      </c>
      <c r="T15" s="778" t="s">
        <v>9079</v>
      </c>
      <c r="U15" s="778" t="s">
        <v>9072</v>
      </c>
      <c r="V15" s="785" t="s">
        <v>9073</v>
      </c>
      <c r="W15" s="778" t="s">
        <v>8971</v>
      </c>
      <c r="X15" s="762"/>
      <c r="Y15" s="762"/>
      <c r="Z15" s="762"/>
      <c r="AA15" s="762"/>
      <c r="AB15" s="762"/>
      <c r="AC15" s="762"/>
      <c r="AD15" s="762"/>
      <c r="AE15" s="762"/>
      <c r="AF15" s="762"/>
      <c r="AG15" s="762"/>
      <c r="AH15" s="762"/>
      <c r="AI15" s="762"/>
      <c r="AJ15" s="762"/>
      <c r="AK15" s="762"/>
      <c r="AL15" s="762"/>
      <c r="AM15" s="762"/>
      <c r="AN15" s="762"/>
      <c r="AO15" s="762"/>
      <c r="AP15" s="762"/>
      <c r="AQ15" s="762"/>
      <c r="AR15" s="762"/>
      <c r="AS15" s="762"/>
    </row>
    <row r="16" spans="1:45" ht="13.9">
      <c r="A16" s="762"/>
      <c r="B16" s="762"/>
      <c r="C16" s="767"/>
      <c r="D16" s="762"/>
      <c r="E16" s="780" t="s">
        <v>108</v>
      </c>
      <c r="F16" s="758">
        <v>4</v>
      </c>
      <c r="G16" s="759" t="s">
        <v>2088</v>
      </c>
      <c r="H16" s="759" t="s">
        <v>9080</v>
      </c>
      <c r="I16" s="759" t="s">
        <v>9081</v>
      </c>
      <c r="J16" s="758" t="s">
        <v>9082</v>
      </c>
      <c r="K16" s="759" t="s">
        <v>9083</v>
      </c>
      <c r="L16" s="763"/>
      <c r="M16" s="778">
        <v>13</v>
      </c>
      <c r="N16" s="778" t="s">
        <v>9084</v>
      </c>
      <c r="O16" s="778" t="s">
        <v>9085</v>
      </c>
      <c r="P16" s="785" t="s">
        <v>9086</v>
      </c>
      <c r="Q16" s="778" t="s">
        <v>9086</v>
      </c>
      <c r="S16" s="778"/>
      <c r="T16" s="778"/>
      <c r="U16" s="778"/>
      <c r="V16" s="785"/>
      <c r="W16" s="778"/>
      <c r="X16" s="762"/>
      <c r="Y16" s="762"/>
      <c r="Z16" s="762"/>
      <c r="AA16" s="762"/>
      <c r="AB16" s="762"/>
      <c r="AC16" s="762"/>
      <c r="AD16" s="762"/>
      <c r="AE16" s="762"/>
      <c r="AF16" s="762"/>
      <c r="AG16" s="762"/>
      <c r="AH16" s="762"/>
      <c r="AI16" s="762"/>
      <c r="AJ16" s="762"/>
      <c r="AK16" s="762"/>
      <c r="AL16" s="762"/>
      <c r="AM16" s="762"/>
      <c r="AN16" s="762"/>
      <c r="AO16" s="762"/>
      <c r="AP16" s="762"/>
      <c r="AQ16" s="762"/>
      <c r="AR16" s="762"/>
      <c r="AS16" s="762"/>
    </row>
    <row r="17" spans="1:45" ht="13.9">
      <c r="A17" s="762"/>
      <c r="B17" s="762"/>
      <c r="C17" s="767"/>
      <c r="D17" s="762"/>
      <c r="E17" s="777" t="s">
        <v>108</v>
      </c>
      <c r="F17" s="758">
        <v>5</v>
      </c>
      <c r="G17" s="759" t="s">
        <v>220</v>
      </c>
      <c r="H17" s="759" t="s">
        <v>9043</v>
      </c>
      <c r="I17" s="759" t="s">
        <v>9087</v>
      </c>
      <c r="J17" s="758" t="s">
        <v>9088</v>
      </c>
      <c r="K17" s="759" t="s">
        <v>9089</v>
      </c>
      <c r="L17" s="763"/>
      <c r="M17" s="778">
        <v>14</v>
      </c>
      <c r="N17" s="778" t="s">
        <v>9090</v>
      </c>
      <c r="O17" s="778" t="s">
        <v>9091</v>
      </c>
      <c r="P17" s="785" t="s">
        <v>9092</v>
      </c>
      <c r="Q17" s="778" t="s">
        <v>9092</v>
      </c>
      <c r="X17" s="762"/>
      <c r="Y17" s="762"/>
      <c r="Z17" s="762"/>
      <c r="AA17" s="762"/>
      <c r="AB17" s="762"/>
      <c r="AC17" s="762"/>
      <c r="AD17" s="762"/>
      <c r="AE17" s="762"/>
      <c r="AF17" s="762"/>
      <c r="AG17" s="762"/>
      <c r="AH17" s="762"/>
      <c r="AI17" s="762"/>
      <c r="AJ17" s="762"/>
      <c r="AK17" s="762"/>
      <c r="AL17" s="762"/>
      <c r="AM17" s="762"/>
      <c r="AN17" s="762"/>
      <c r="AO17" s="762"/>
      <c r="AP17" s="762"/>
      <c r="AQ17" s="762"/>
      <c r="AR17" s="762"/>
      <c r="AS17" s="762"/>
    </row>
    <row r="18" spans="1:45" ht="13.9">
      <c r="A18" s="762"/>
      <c r="B18" s="762"/>
      <c r="C18" s="762"/>
      <c r="D18" s="762"/>
      <c r="K18" s="759" t="s">
        <v>9075</v>
      </c>
      <c r="L18" s="763"/>
      <c r="M18" s="778">
        <v>15</v>
      </c>
      <c r="N18" s="778" t="s">
        <v>9093</v>
      </c>
      <c r="O18" s="778" t="s">
        <v>9094</v>
      </c>
      <c r="P18" s="785" t="s">
        <v>8971</v>
      </c>
      <c r="Q18" s="778" t="s">
        <v>9095</v>
      </c>
      <c r="X18" s="762"/>
      <c r="Y18" s="762"/>
      <c r="Z18" s="762"/>
      <c r="AA18" s="762"/>
      <c r="AB18" s="762"/>
      <c r="AC18" s="762"/>
      <c r="AD18" s="762"/>
      <c r="AE18" s="762"/>
      <c r="AF18" s="762"/>
      <c r="AG18" s="762"/>
      <c r="AH18" s="762"/>
      <c r="AI18" s="762"/>
      <c r="AJ18" s="762"/>
      <c r="AK18" s="762"/>
      <c r="AL18" s="762"/>
      <c r="AM18" s="762"/>
      <c r="AN18" s="762"/>
      <c r="AO18" s="762"/>
      <c r="AP18" s="762"/>
      <c r="AQ18" s="762"/>
      <c r="AR18" s="762"/>
      <c r="AS18" s="762"/>
    </row>
    <row r="19" spans="1:45" ht="13.9">
      <c r="A19" s="762"/>
      <c r="B19" s="764"/>
      <c r="D19" s="768"/>
      <c r="E19" s="759" t="s">
        <v>3459</v>
      </c>
      <c r="F19" s="758">
        <v>1</v>
      </c>
      <c r="G19" s="759" t="s">
        <v>3460</v>
      </c>
      <c r="H19" s="759"/>
      <c r="I19" s="759" t="s">
        <v>3460</v>
      </c>
      <c r="J19" s="758" t="s">
        <v>9096</v>
      </c>
      <c r="K19" s="759" t="s">
        <v>9097</v>
      </c>
      <c r="L19" s="763"/>
      <c r="M19" s="778">
        <v>16</v>
      </c>
      <c r="N19" s="778" t="s">
        <v>9098</v>
      </c>
      <c r="O19" s="778" t="s">
        <v>9099</v>
      </c>
      <c r="P19" s="785" t="s">
        <v>8971</v>
      </c>
      <c r="Q19" s="778" t="s">
        <v>9100</v>
      </c>
      <c r="U19" s="760"/>
      <c r="X19" s="762"/>
      <c r="Y19" s="762"/>
      <c r="Z19" s="762"/>
      <c r="AA19" s="762"/>
      <c r="AB19" s="762"/>
      <c r="AC19" s="762"/>
      <c r="AD19" s="762"/>
      <c r="AE19" s="762"/>
      <c r="AF19" s="762"/>
      <c r="AG19" s="762"/>
      <c r="AH19" s="762"/>
      <c r="AI19" s="762"/>
      <c r="AJ19" s="762"/>
      <c r="AK19" s="762"/>
      <c r="AL19" s="762"/>
      <c r="AM19" s="762"/>
      <c r="AN19" s="762"/>
      <c r="AO19" s="762"/>
      <c r="AP19" s="762"/>
      <c r="AQ19" s="762"/>
      <c r="AR19" s="764"/>
      <c r="AS19" s="764"/>
    </row>
    <row r="20" spans="1:45" ht="13.9">
      <c r="A20" s="762"/>
      <c r="B20" s="764"/>
      <c r="D20" s="768"/>
      <c r="E20" s="759" t="s">
        <v>3459</v>
      </c>
      <c r="F20" s="758">
        <v>2</v>
      </c>
      <c r="G20" s="759" t="s">
        <v>3885</v>
      </c>
      <c r="H20" s="759"/>
      <c r="I20" s="759" t="s">
        <v>3885</v>
      </c>
      <c r="J20" s="758" t="s">
        <v>9101</v>
      </c>
      <c r="K20" s="759" t="s">
        <v>9102</v>
      </c>
      <c r="L20" s="763"/>
      <c r="M20" s="778">
        <v>17</v>
      </c>
      <c r="N20" s="778" t="s">
        <v>9103</v>
      </c>
      <c r="O20" s="778" t="s">
        <v>9103</v>
      </c>
      <c r="P20" s="785" t="s">
        <v>8971</v>
      </c>
      <c r="Q20" s="778" t="s">
        <v>9104</v>
      </c>
      <c r="U20" s="760"/>
      <c r="X20" s="762"/>
      <c r="Y20" s="762"/>
      <c r="Z20" s="762"/>
      <c r="AA20" s="762"/>
      <c r="AB20" s="762"/>
      <c r="AC20" s="762"/>
      <c r="AD20" s="762"/>
      <c r="AE20" s="762"/>
      <c r="AF20" s="762"/>
      <c r="AG20" s="762"/>
      <c r="AH20" s="762"/>
      <c r="AI20" s="762"/>
      <c r="AJ20" s="762"/>
      <c r="AK20" s="762"/>
      <c r="AL20" s="762"/>
      <c r="AM20" s="762"/>
      <c r="AN20" s="762"/>
      <c r="AO20" s="762"/>
      <c r="AP20" s="762"/>
      <c r="AQ20" s="762"/>
      <c r="AR20" s="764"/>
      <c r="AS20" s="764"/>
    </row>
    <row r="21" spans="1:45" ht="13.9">
      <c r="A21" s="762"/>
      <c r="B21" s="764"/>
      <c r="D21" s="768"/>
      <c r="E21" s="759" t="s">
        <v>3459</v>
      </c>
      <c r="F21" s="758">
        <v>3</v>
      </c>
      <c r="G21" s="759" t="s">
        <v>3548</v>
      </c>
      <c r="H21" s="759"/>
      <c r="I21" s="759" t="s">
        <v>3548</v>
      </c>
      <c r="J21" s="758" t="s">
        <v>9105</v>
      </c>
      <c r="L21" s="763"/>
      <c r="M21" s="778">
        <v>18</v>
      </c>
      <c r="N21" s="778" t="s">
        <v>9106</v>
      </c>
      <c r="O21" s="778" t="s">
        <v>9107</v>
      </c>
      <c r="P21" s="785" t="s">
        <v>8971</v>
      </c>
      <c r="Q21" s="778" t="s">
        <v>9108</v>
      </c>
      <c r="U21" s="760"/>
      <c r="X21" s="762"/>
      <c r="Y21" s="762"/>
      <c r="Z21" s="762"/>
      <c r="AA21" s="762"/>
      <c r="AB21" s="762"/>
      <c r="AC21" s="762"/>
      <c r="AD21" s="762"/>
      <c r="AE21" s="762"/>
      <c r="AF21" s="762"/>
      <c r="AG21" s="762"/>
      <c r="AH21" s="762"/>
      <c r="AI21" s="762"/>
      <c r="AJ21" s="762"/>
      <c r="AK21" s="762"/>
      <c r="AL21" s="762"/>
      <c r="AM21" s="762"/>
      <c r="AN21" s="762"/>
      <c r="AO21" s="762"/>
      <c r="AP21" s="762"/>
      <c r="AQ21" s="762"/>
      <c r="AR21" s="762"/>
      <c r="AS21" s="762"/>
    </row>
    <row r="22" spans="1:45" ht="13.9">
      <c r="A22" s="762"/>
      <c r="B22" s="764"/>
      <c r="D22" s="768"/>
      <c r="E22" s="759" t="s">
        <v>3459</v>
      </c>
      <c r="F22" s="758">
        <v>4</v>
      </c>
      <c r="G22" s="759" t="s">
        <v>5342</v>
      </c>
      <c r="H22" s="759"/>
      <c r="I22" s="759" t="s">
        <v>5342</v>
      </c>
      <c r="J22" s="758" t="s">
        <v>9109</v>
      </c>
      <c r="K22" s="759" t="s">
        <v>9110</v>
      </c>
      <c r="L22" s="763"/>
      <c r="M22" s="778">
        <v>19</v>
      </c>
      <c r="N22" s="778" t="s">
        <v>9111</v>
      </c>
      <c r="O22" s="778" t="s">
        <v>9112</v>
      </c>
      <c r="P22" s="785" t="s">
        <v>8971</v>
      </c>
      <c r="Q22" s="778" t="s">
        <v>9113</v>
      </c>
      <c r="T22" s="762"/>
      <c r="U22" s="762"/>
      <c r="X22" s="762"/>
      <c r="Y22" s="762"/>
      <c r="Z22" s="762"/>
      <c r="AA22" s="762"/>
      <c r="AB22" s="762"/>
      <c r="AC22" s="762"/>
      <c r="AD22" s="762"/>
      <c r="AE22" s="762"/>
      <c r="AF22" s="762"/>
      <c r="AG22" s="762"/>
      <c r="AH22" s="762"/>
      <c r="AI22" s="762"/>
      <c r="AJ22" s="762"/>
      <c r="AK22" s="762"/>
      <c r="AL22" s="762"/>
      <c r="AM22" s="762"/>
      <c r="AN22" s="762"/>
      <c r="AO22" s="762"/>
      <c r="AP22" s="762"/>
      <c r="AQ22" s="762"/>
      <c r="AR22" s="762"/>
      <c r="AS22" s="762"/>
    </row>
    <row r="23" spans="1:45" ht="13.9">
      <c r="A23" s="762"/>
      <c r="B23" s="764"/>
      <c r="D23" s="762"/>
      <c r="E23" s="759" t="s">
        <v>3459</v>
      </c>
      <c r="F23" s="758">
        <v>5</v>
      </c>
      <c r="G23" s="759" t="s">
        <v>4953</v>
      </c>
      <c r="H23" s="759"/>
      <c r="I23" s="759" t="s">
        <v>9114</v>
      </c>
      <c r="J23" s="758" t="s">
        <v>9115</v>
      </c>
      <c r="K23" s="759" t="s">
        <v>9116</v>
      </c>
      <c r="L23" s="763"/>
      <c r="M23" s="778">
        <v>21</v>
      </c>
      <c r="N23" s="778" t="s">
        <v>9117</v>
      </c>
      <c r="O23" s="778" t="s">
        <v>9118</v>
      </c>
      <c r="P23" s="785" t="s">
        <v>8971</v>
      </c>
      <c r="Q23" s="778" t="s">
        <v>9119</v>
      </c>
      <c r="T23" s="762"/>
      <c r="U23" s="762"/>
      <c r="X23" s="762"/>
      <c r="Y23" s="762"/>
      <c r="Z23" s="762"/>
      <c r="AA23" s="762"/>
      <c r="AB23" s="762"/>
      <c r="AC23" s="762"/>
      <c r="AD23" s="762"/>
      <c r="AE23" s="762"/>
      <c r="AF23" s="762"/>
      <c r="AG23" s="762"/>
      <c r="AH23" s="762"/>
      <c r="AI23" s="762"/>
      <c r="AJ23" s="762"/>
      <c r="AK23" s="762"/>
      <c r="AL23" s="762"/>
      <c r="AM23" s="762"/>
      <c r="AN23" s="762"/>
      <c r="AO23" s="762"/>
      <c r="AP23" s="762"/>
      <c r="AQ23" s="762"/>
      <c r="AR23" s="762"/>
      <c r="AS23" s="762"/>
    </row>
    <row r="24" spans="1:45" ht="13.9">
      <c r="A24" s="762"/>
      <c r="B24" s="764"/>
      <c r="D24" s="762"/>
      <c r="E24" s="759" t="s">
        <v>3459</v>
      </c>
      <c r="F24" s="758">
        <v>6</v>
      </c>
      <c r="G24" s="759" t="s">
        <v>9120</v>
      </c>
      <c r="H24" s="778"/>
      <c r="I24" s="778" t="s">
        <v>9121</v>
      </c>
      <c r="J24" s="758" t="s">
        <v>9122</v>
      </c>
      <c r="K24" s="759" t="s">
        <v>9123</v>
      </c>
      <c r="L24" s="764"/>
      <c r="M24" s="785">
        <v>22</v>
      </c>
      <c r="N24" s="778" t="s">
        <v>8524</v>
      </c>
      <c r="O24" s="785" t="s">
        <v>9124</v>
      </c>
      <c r="P24" s="785" t="s">
        <v>9125</v>
      </c>
      <c r="Q24" s="785" t="s">
        <v>9125</v>
      </c>
      <c r="X24" s="762"/>
      <c r="Y24" s="762"/>
      <c r="Z24" s="762"/>
      <c r="AA24" s="762"/>
      <c r="AB24" s="762"/>
      <c r="AC24" s="762"/>
      <c r="AD24" s="762"/>
      <c r="AE24" s="762"/>
      <c r="AF24" s="762"/>
      <c r="AG24" s="762"/>
      <c r="AH24" s="762"/>
      <c r="AI24" s="762"/>
      <c r="AJ24" s="762"/>
      <c r="AK24" s="762"/>
      <c r="AL24" s="762"/>
      <c r="AM24" s="762"/>
      <c r="AN24" s="762"/>
      <c r="AO24" s="762"/>
      <c r="AP24" s="762"/>
      <c r="AQ24" s="762"/>
      <c r="AR24" s="762"/>
      <c r="AS24" s="762"/>
    </row>
    <row r="25" spans="1:45" ht="13.9">
      <c r="A25" s="769"/>
      <c r="B25" s="764"/>
      <c r="D25" s="762"/>
      <c r="E25" s="759" t="s">
        <v>3459</v>
      </c>
      <c r="F25" s="758">
        <v>7</v>
      </c>
      <c r="G25" s="759" t="s">
        <v>220</v>
      </c>
      <c r="H25" s="759"/>
      <c r="I25" s="759" t="s">
        <v>9126</v>
      </c>
      <c r="J25" s="758" t="s">
        <v>9127</v>
      </c>
      <c r="K25" s="759" t="s">
        <v>9109</v>
      </c>
      <c r="L25" s="763"/>
      <c r="M25" s="778">
        <v>23</v>
      </c>
      <c r="N25" s="778" t="s">
        <v>9128</v>
      </c>
      <c r="O25" s="785" t="s">
        <v>8884</v>
      </c>
      <c r="P25" s="785" t="s">
        <v>9129</v>
      </c>
      <c r="Q25" s="785" t="s">
        <v>9129</v>
      </c>
      <c r="U25" s="760"/>
      <c r="X25" s="762"/>
      <c r="Y25" s="762"/>
      <c r="Z25" s="762"/>
      <c r="AA25" s="762"/>
      <c r="AB25" s="762"/>
      <c r="AC25" s="762"/>
      <c r="AD25" s="762"/>
      <c r="AE25" s="762"/>
      <c r="AF25" s="762"/>
      <c r="AG25" s="762"/>
      <c r="AH25" s="762"/>
      <c r="AI25" s="762"/>
      <c r="AJ25" s="762"/>
      <c r="AK25" s="762"/>
      <c r="AL25" s="762"/>
      <c r="AM25" s="762"/>
      <c r="AN25" s="762"/>
      <c r="AO25" s="762"/>
      <c r="AP25" s="762"/>
      <c r="AQ25" s="762"/>
      <c r="AR25" s="762"/>
      <c r="AS25" s="762"/>
    </row>
    <row r="26" spans="1:45" ht="13.9">
      <c r="A26" s="770"/>
      <c r="B26" s="764"/>
      <c r="D26" s="762"/>
      <c r="K26" s="759" t="s">
        <v>9130</v>
      </c>
      <c r="L26" s="763"/>
      <c r="M26" s="778">
        <v>24</v>
      </c>
      <c r="N26" s="778" t="s">
        <v>3786</v>
      </c>
      <c r="O26" s="785" t="s">
        <v>9131</v>
      </c>
      <c r="P26" s="785" t="s">
        <v>9132</v>
      </c>
      <c r="Q26" s="785" t="s">
        <v>9132</v>
      </c>
      <c r="U26" s="760"/>
      <c r="X26" s="762"/>
      <c r="Y26" s="762"/>
      <c r="Z26" s="762"/>
      <c r="AA26" s="762"/>
      <c r="AB26" s="762"/>
      <c r="AC26" s="762"/>
      <c r="AD26" s="762"/>
      <c r="AE26" s="762"/>
      <c r="AF26" s="762"/>
      <c r="AG26" s="762"/>
      <c r="AH26" s="762"/>
      <c r="AI26" s="762"/>
      <c r="AJ26" s="762"/>
      <c r="AK26" s="762"/>
      <c r="AL26" s="762"/>
      <c r="AM26" s="762"/>
      <c r="AN26" s="762"/>
      <c r="AO26" s="762"/>
      <c r="AP26" s="762"/>
      <c r="AQ26" s="762"/>
      <c r="AR26" s="762"/>
      <c r="AS26" s="762"/>
    </row>
    <row r="27" spans="1:45" ht="13.9">
      <c r="A27" s="770"/>
      <c r="B27" s="764"/>
      <c r="D27" s="762"/>
      <c r="E27" s="759" t="s">
        <v>135</v>
      </c>
      <c r="F27" s="758">
        <v>1</v>
      </c>
      <c r="G27" s="759" t="s">
        <v>182</v>
      </c>
      <c r="H27" s="759" t="s">
        <v>9133</v>
      </c>
      <c r="I27" s="759" t="s">
        <v>9134</v>
      </c>
      <c r="J27" s="758" t="s">
        <v>9135</v>
      </c>
      <c r="K27" s="759" t="s">
        <v>9136</v>
      </c>
      <c r="L27" s="763"/>
      <c r="M27" s="778">
        <v>25</v>
      </c>
      <c r="N27" s="778" t="s">
        <v>9137</v>
      </c>
      <c r="O27" s="778" t="s">
        <v>9138</v>
      </c>
      <c r="P27" s="785" t="s">
        <v>9139</v>
      </c>
      <c r="Q27" s="785" t="s">
        <v>9139</v>
      </c>
      <c r="U27" s="760"/>
      <c r="X27" s="762"/>
      <c r="Y27" s="762"/>
      <c r="Z27" s="762"/>
      <c r="AA27" s="762"/>
      <c r="AB27" s="762"/>
      <c r="AC27" s="762"/>
      <c r="AD27" s="762"/>
      <c r="AE27" s="762"/>
      <c r="AF27" s="762"/>
      <c r="AG27" s="762"/>
      <c r="AH27" s="762"/>
      <c r="AI27" s="762"/>
      <c r="AJ27" s="762"/>
      <c r="AK27" s="762"/>
      <c r="AL27" s="762"/>
      <c r="AM27" s="762"/>
      <c r="AN27" s="762"/>
      <c r="AO27" s="762"/>
      <c r="AP27" s="762"/>
      <c r="AQ27" s="762"/>
      <c r="AR27" s="762"/>
      <c r="AS27" s="762"/>
    </row>
    <row r="28" spans="1:45" ht="13.9">
      <c r="A28" s="770"/>
      <c r="B28" s="764"/>
      <c r="D28" s="762"/>
      <c r="E28" s="759" t="s">
        <v>135</v>
      </c>
      <c r="F28" s="758">
        <v>2</v>
      </c>
      <c r="G28" s="759" t="s">
        <v>3437</v>
      </c>
      <c r="H28" s="759" t="s">
        <v>9140</v>
      </c>
      <c r="I28" s="759" t="s">
        <v>9141</v>
      </c>
      <c r="J28" s="758" t="s">
        <v>9142</v>
      </c>
      <c r="K28" s="759" t="s">
        <v>9143</v>
      </c>
      <c r="L28" s="763"/>
      <c r="M28" s="778">
        <v>26</v>
      </c>
      <c r="N28" s="778" t="s">
        <v>9144</v>
      </c>
      <c r="O28" s="778" t="s">
        <v>9144</v>
      </c>
      <c r="P28" s="785" t="s">
        <v>8492</v>
      </c>
      <c r="Q28" s="785" t="s">
        <v>8492</v>
      </c>
      <c r="U28" s="760"/>
      <c r="X28" s="762"/>
      <c r="Y28" s="762"/>
      <c r="Z28" s="762"/>
      <c r="AA28" s="762"/>
      <c r="AB28" s="762"/>
      <c r="AC28" s="762"/>
      <c r="AD28" s="762"/>
      <c r="AE28" s="762"/>
      <c r="AF28" s="762"/>
      <c r="AG28" s="762"/>
      <c r="AH28" s="762"/>
      <c r="AI28" s="762"/>
      <c r="AJ28" s="762"/>
      <c r="AK28" s="762"/>
      <c r="AL28" s="762"/>
      <c r="AM28" s="762"/>
      <c r="AN28" s="762"/>
      <c r="AO28" s="762"/>
      <c r="AP28" s="762"/>
      <c r="AQ28" s="762"/>
      <c r="AR28" s="762"/>
      <c r="AS28" s="762"/>
    </row>
    <row r="29" spans="1:45" ht="13.9">
      <c r="A29" s="770"/>
      <c r="B29" s="764"/>
      <c r="D29" s="762"/>
      <c r="E29" s="759" t="s">
        <v>135</v>
      </c>
      <c r="F29" s="758">
        <v>3</v>
      </c>
      <c r="G29" s="759" t="s">
        <v>1251</v>
      </c>
      <c r="H29" s="759" t="s">
        <v>9145</v>
      </c>
      <c r="I29" s="759" t="s">
        <v>9146</v>
      </c>
      <c r="J29" s="758" t="s">
        <v>9147</v>
      </c>
      <c r="L29" s="763"/>
      <c r="M29" s="778">
        <v>27</v>
      </c>
      <c r="N29" s="778" t="s">
        <v>5697</v>
      </c>
      <c r="O29" s="778" t="s">
        <v>9148</v>
      </c>
      <c r="P29" s="785" t="s">
        <v>9149</v>
      </c>
      <c r="Q29" s="785" t="s">
        <v>9149</v>
      </c>
      <c r="U29" s="760"/>
      <c r="X29" s="762"/>
      <c r="Y29" s="762"/>
      <c r="Z29" s="762"/>
      <c r="AA29" s="762"/>
      <c r="AB29" s="762"/>
      <c r="AC29" s="762"/>
      <c r="AD29" s="762"/>
      <c r="AE29" s="762"/>
      <c r="AF29" s="762"/>
      <c r="AG29" s="762"/>
      <c r="AH29" s="762"/>
      <c r="AI29" s="762"/>
      <c r="AJ29" s="762"/>
      <c r="AK29" s="762"/>
      <c r="AL29" s="762"/>
      <c r="AM29" s="762"/>
      <c r="AN29" s="762"/>
      <c r="AO29" s="762"/>
      <c r="AP29" s="762"/>
      <c r="AQ29" s="762"/>
      <c r="AR29" s="762"/>
      <c r="AS29" s="762"/>
    </row>
    <row r="30" spans="1:45" ht="13.9">
      <c r="A30" s="770"/>
      <c r="B30" s="764"/>
      <c r="D30" s="762"/>
      <c r="E30" s="759" t="s">
        <v>135</v>
      </c>
      <c r="F30" s="758">
        <v>4</v>
      </c>
      <c r="G30" s="759" t="s">
        <v>186</v>
      </c>
      <c r="H30" s="759"/>
      <c r="I30" s="759" t="s">
        <v>9150</v>
      </c>
      <c r="J30" s="758" t="s">
        <v>9151</v>
      </c>
      <c r="K30" s="759" t="s">
        <v>9152</v>
      </c>
      <c r="L30" s="763"/>
      <c r="M30" s="778">
        <v>28</v>
      </c>
      <c r="N30" s="778" t="s">
        <v>9153</v>
      </c>
      <c r="O30" s="778" t="s">
        <v>9154</v>
      </c>
      <c r="P30" s="785" t="s">
        <v>9155</v>
      </c>
      <c r="Q30" s="785" t="s">
        <v>9155</v>
      </c>
      <c r="U30" s="760"/>
      <c r="X30" s="762"/>
      <c r="Y30" s="762"/>
      <c r="Z30" s="762"/>
      <c r="AA30" s="762"/>
      <c r="AB30" s="762"/>
      <c r="AC30" s="762"/>
      <c r="AD30" s="762"/>
      <c r="AE30" s="762"/>
      <c r="AF30" s="762"/>
      <c r="AG30" s="762"/>
      <c r="AH30" s="762"/>
      <c r="AI30" s="762"/>
      <c r="AJ30" s="762"/>
      <c r="AK30" s="762"/>
      <c r="AL30" s="762"/>
      <c r="AM30" s="762"/>
      <c r="AN30" s="762"/>
      <c r="AO30" s="762"/>
      <c r="AP30" s="762"/>
      <c r="AQ30" s="762"/>
      <c r="AR30" s="762"/>
      <c r="AS30" s="762"/>
    </row>
    <row r="31" spans="1:45" ht="13.9">
      <c r="A31" s="770"/>
      <c r="B31" s="764"/>
      <c r="D31" s="762"/>
      <c r="E31" s="759" t="s">
        <v>135</v>
      </c>
      <c r="F31" s="758">
        <v>5</v>
      </c>
      <c r="G31" s="759" t="s">
        <v>2021</v>
      </c>
      <c r="H31" s="759" t="s">
        <v>9156</v>
      </c>
      <c r="I31" s="759" t="s">
        <v>9157</v>
      </c>
      <c r="J31" s="758" t="s">
        <v>9158</v>
      </c>
      <c r="K31" s="759" t="s">
        <v>9159</v>
      </c>
      <c r="L31" s="763"/>
      <c r="M31" s="778">
        <v>29</v>
      </c>
      <c r="N31" s="784" t="s">
        <v>9160</v>
      </c>
      <c r="O31" s="784" t="s">
        <v>9160</v>
      </c>
      <c r="P31" s="785" t="s">
        <v>8971</v>
      </c>
      <c r="Q31" s="782" t="s">
        <v>9161</v>
      </c>
      <c r="U31" s="760"/>
      <c r="X31" s="762"/>
      <c r="Y31" s="762"/>
      <c r="Z31" s="762"/>
      <c r="AA31" s="762"/>
      <c r="AB31" s="762"/>
      <c r="AC31" s="762"/>
      <c r="AD31" s="762"/>
      <c r="AE31" s="762"/>
      <c r="AF31" s="762"/>
      <c r="AG31" s="762"/>
      <c r="AH31" s="762"/>
      <c r="AI31" s="762"/>
      <c r="AJ31" s="762"/>
      <c r="AK31" s="762"/>
      <c r="AL31" s="762"/>
      <c r="AM31" s="762"/>
      <c r="AN31" s="762"/>
      <c r="AO31" s="762"/>
      <c r="AP31" s="762"/>
      <c r="AQ31" s="762"/>
      <c r="AR31" s="762"/>
      <c r="AS31" s="762"/>
    </row>
    <row r="32" spans="1:45" ht="13.9">
      <c r="A32" s="770"/>
      <c r="B32" s="764"/>
      <c r="D32" s="762"/>
      <c r="E32" s="759" t="s">
        <v>135</v>
      </c>
      <c r="F32" s="758">
        <v>6</v>
      </c>
      <c r="G32" s="759" t="s">
        <v>3397</v>
      </c>
      <c r="H32" s="759" t="s">
        <v>9162</v>
      </c>
      <c r="I32" s="759" t="s">
        <v>9163</v>
      </c>
      <c r="J32" s="758" t="s">
        <v>9164</v>
      </c>
      <c r="K32" s="759" t="s">
        <v>9147</v>
      </c>
      <c r="L32" s="763"/>
      <c r="M32" s="778">
        <v>30</v>
      </c>
      <c r="N32" s="785" t="s">
        <v>9165</v>
      </c>
      <c r="O32" s="785" t="s">
        <v>9165</v>
      </c>
      <c r="P32" s="785" t="s">
        <v>8971</v>
      </c>
      <c r="Q32" s="782" t="s">
        <v>9166</v>
      </c>
      <c r="U32" s="760"/>
      <c r="X32" s="762"/>
      <c r="Y32" s="762"/>
      <c r="Z32" s="762"/>
      <c r="AA32" s="762"/>
      <c r="AB32" s="762"/>
      <c r="AC32" s="762"/>
      <c r="AD32" s="762"/>
      <c r="AE32" s="762"/>
      <c r="AF32" s="762"/>
      <c r="AG32" s="762"/>
      <c r="AH32" s="762"/>
      <c r="AI32" s="762"/>
      <c r="AJ32" s="762"/>
      <c r="AK32" s="762"/>
      <c r="AL32" s="762"/>
      <c r="AM32" s="762"/>
      <c r="AN32" s="762"/>
      <c r="AO32" s="762"/>
      <c r="AP32" s="762"/>
      <c r="AQ32" s="762"/>
      <c r="AR32" s="762"/>
      <c r="AS32" s="762"/>
    </row>
    <row r="33" spans="1:45" ht="13.9">
      <c r="A33" s="770"/>
      <c r="B33" s="764"/>
      <c r="D33" s="762"/>
      <c r="E33" s="759" t="s">
        <v>135</v>
      </c>
      <c r="F33" s="758">
        <v>7</v>
      </c>
      <c r="G33" s="759" t="s">
        <v>1483</v>
      </c>
      <c r="H33" s="759" t="s">
        <v>9167</v>
      </c>
      <c r="I33" s="759" t="s">
        <v>9168</v>
      </c>
      <c r="J33" s="758" t="s">
        <v>9169</v>
      </c>
      <c r="K33" s="759" t="s">
        <v>9170</v>
      </c>
      <c r="L33" s="763"/>
      <c r="M33" s="785">
        <v>31</v>
      </c>
      <c r="N33" s="785" t="s">
        <v>9171</v>
      </c>
      <c r="O33" s="785" t="s">
        <v>9171</v>
      </c>
      <c r="P33" s="785" t="s">
        <v>8971</v>
      </c>
      <c r="Q33" s="778" t="s">
        <v>9172</v>
      </c>
      <c r="U33" s="760"/>
      <c r="X33" s="762"/>
      <c r="Y33" s="762"/>
      <c r="Z33" s="762"/>
      <c r="AA33" s="762"/>
      <c r="AB33" s="762"/>
      <c r="AC33" s="762"/>
      <c r="AD33" s="762"/>
      <c r="AE33" s="762"/>
      <c r="AF33" s="762"/>
      <c r="AG33" s="762"/>
      <c r="AH33" s="762"/>
      <c r="AI33" s="762"/>
      <c r="AJ33" s="762"/>
      <c r="AK33" s="762"/>
      <c r="AL33" s="762"/>
      <c r="AM33" s="762"/>
      <c r="AN33" s="762"/>
      <c r="AO33" s="762"/>
      <c r="AP33" s="762"/>
      <c r="AQ33" s="762"/>
      <c r="AR33" s="762"/>
      <c r="AS33" s="762"/>
    </row>
    <row r="34" spans="1:45" ht="13.9">
      <c r="A34" s="770"/>
      <c r="B34" s="764"/>
      <c r="D34" s="762"/>
      <c r="E34" s="759" t="s">
        <v>135</v>
      </c>
      <c r="F34" s="758">
        <v>8</v>
      </c>
      <c r="G34" s="759" t="s">
        <v>9173</v>
      </c>
      <c r="H34" s="759" t="s">
        <v>9174</v>
      </c>
      <c r="I34" s="759" t="s">
        <v>9175</v>
      </c>
      <c r="J34" s="758" t="s">
        <v>9169</v>
      </c>
      <c r="K34" s="759" t="s">
        <v>9176</v>
      </c>
      <c r="L34" s="763"/>
      <c r="M34" s="783">
        <v>32</v>
      </c>
      <c r="N34" s="785" t="s">
        <v>9177</v>
      </c>
      <c r="O34" s="785" t="s">
        <v>9177</v>
      </c>
      <c r="P34" s="785" t="s">
        <v>8971</v>
      </c>
      <c r="Q34" s="783" t="s">
        <v>9178</v>
      </c>
      <c r="S34" s="764"/>
      <c r="U34" s="760"/>
      <c r="X34" s="762"/>
      <c r="Y34" s="762"/>
      <c r="Z34" s="762"/>
      <c r="AA34" s="762"/>
      <c r="AB34" s="762"/>
      <c r="AC34" s="762"/>
      <c r="AD34" s="762"/>
      <c r="AE34" s="762"/>
      <c r="AF34" s="762"/>
      <c r="AG34" s="762"/>
      <c r="AH34" s="762"/>
      <c r="AI34" s="762"/>
      <c r="AJ34" s="762"/>
      <c r="AK34" s="762"/>
      <c r="AL34" s="762"/>
      <c r="AM34" s="762"/>
      <c r="AN34" s="762"/>
      <c r="AO34" s="762"/>
      <c r="AP34" s="762"/>
      <c r="AQ34" s="762"/>
      <c r="AR34" s="762"/>
      <c r="AS34" s="762"/>
    </row>
    <row r="35" spans="1:45" ht="13.9">
      <c r="A35" s="770"/>
      <c r="B35" s="764"/>
      <c r="D35" s="762"/>
      <c r="E35" s="759" t="s">
        <v>135</v>
      </c>
      <c r="F35" s="758">
        <v>9</v>
      </c>
      <c r="G35" s="759" t="s">
        <v>1258</v>
      </c>
      <c r="H35" s="759" t="s">
        <v>9179</v>
      </c>
      <c r="I35" s="759" t="s">
        <v>9180</v>
      </c>
      <c r="J35" s="758" t="s">
        <v>9181</v>
      </c>
      <c r="K35" s="759" t="s">
        <v>9164</v>
      </c>
      <c r="L35" s="763"/>
      <c r="M35" s="783">
        <v>33</v>
      </c>
      <c r="N35" s="785" t="s">
        <v>4585</v>
      </c>
      <c r="O35" s="785" t="s">
        <v>4585</v>
      </c>
      <c r="P35" s="785" t="s">
        <v>8971</v>
      </c>
      <c r="Q35" s="776"/>
      <c r="S35" s="764"/>
      <c r="U35" s="760"/>
      <c r="X35" s="762"/>
      <c r="Y35" s="762"/>
      <c r="Z35" s="762"/>
      <c r="AA35" s="762"/>
      <c r="AB35" s="762"/>
      <c r="AC35" s="762"/>
      <c r="AD35" s="793"/>
      <c r="AE35" s="762"/>
      <c r="AF35" s="762"/>
      <c r="AG35" s="762"/>
      <c r="AH35" s="762"/>
      <c r="AI35" s="762"/>
      <c r="AJ35" s="762"/>
      <c r="AK35" s="762"/>
      <c r="AL35" s="762"/>
      <c r="AM35" s="762"/>
      <c r="AN35" s="762"/>
      <c r="AO35" s="762"/>
      <c r="AP35" s="762"/>
      <c r="AQ35" s="762"/>
      <c r="AR35" s="762"/>
      <c r="AS35" s="762"/>
    </row>
    <row r="36" spans="1:45" ht="13.9">
      <c r="A36" s="770"/>
      <c r="B36" s="764"/>
      <c r="C36" s="767"/>
      <c r="D36" s="762"/>
      <c r="E36" s="759" t="s">
        <v>135</v>
      </c>
      <c r="F36" s="758">
        <v>10</v>
      </c>
      <c r="G36" s="759" t="s">
        <v>136</v>
      </c>
      <c r="H36" s="759" t="s">
        <v>9182</v>
      </c>
      <c r="I36" s="759" t="s">
        <v>9183</v>
      </c>
      <c r="J36" s="758" t="s">
        <v>9184</v>
      </c>
      <c r="K36" s="759" t="s">
        <v>9185</v>
      </c>
      <c r="L36" s="763"/>
      <c r="M36" s="776"/>
      <c r="N36" s="781"/>
      <c r="O36" s="776"/>
      <c r="P36" s="776"/>
      <c r="Q36" s="776"/>
      <c r="S36" s="764"/>
      <c r="U36" s="760"/>
      <c r="X36" s="762"/>
      <c r="Y36" s="762"/>
      <c r="Z36" s="762"/>
      <c r="AA36" s="762"/>
      <c r="AB36" s="762"/>
      <c r="AC36" s="762"/>
      <c r="AD36" s="793"/>
      <c r="AE36" s="762"/>
      <c r="AF36" s="762"/>
      <c r="AG36" s="762"/>
      <c r="AH36" s="762"/>
      <c r="AI36" s="762"/>
      <c r="AJ36" s="762"/>
      <c r="AK36" s="762"/>
      <c r="AL36" s="762"/>
      <c r="AM36" s="762"/>
      <c r="AN36" s="762"/>
      <c r="AO36" s="762"/>
      <c r="AP36" s="762"/>
      <c r="AQ36" s="762"/>
      <c r="AR36" s="762"/>
      <c r="AS36" s="762"/>
    </row>
    <row r="37" spans="1:45" ht="13.9">
      <c r="A37" s="770"/>
      <c r="B37" s="764"/>
      <c r="C37" s="767"/>
      <c r="D37" s="762"/>
      <c r="E37" s="759" t="s">
        <v>135</v>
      </c>
      <c r="F37" s="758">
        <v>11</v>
      </c>
      <c r="G37" s="759" t="s">
        <v>5098</v>
      </c>
      <c r="H37" s="759" t="s">
        <v>9186</v>
      </c>
      <c r="I37" s="759" t="s">
        <v>9187</v>
      </c>
      <c r="J37" s="758" t="s">
        <v>9188</v>
      </c>
      <c r="K37" s="759" t="s">
        <v>9189</v>
      </c>
      <c r="L37" s="763"/>
      <c r="M37" s="778">
        <v>1</v>
      </c>
      <c r="N37" s="778" t="s">
        <v>9190</v>
      </c>
      <c r="O37" s="778" t="s">
        <v>9191</v>
      </c>
      <c r="P37" s="785" t="s">
        <v>8971</v>
      </c>
      <c r="Q37" s="778" t="s">
        <v>9192</v>
      </c>
      <c r="S37" s="764"/>
      <c r="U37" s="760"/>
      <c r="X37" s="762"/>
      <c r="Y37" s="762"/>
      <c r="Z37" s="762"/>
      <c r="AA37" s="762"/>
      <c r="AB37" s="762"/>
      <c r="AC37" s="762"/>
      <c r="AD37" s="793"/>
      <c r="AE37" s="762"/>
      <c r="AF37" s="762"/>
      <c r="AG37" s="762"/>
      <c r="AH37" s="762"/>
      <c r="AI37" s="762"/>
      <c r="AJ37" s="762"/>
      <c r="AK37" s="762"/>
      <c r="AL37" s="762"/>
      <c r="AM37" s="762"/>
      <c r="AN37" s="762"/>
      <c r="AO37" s="762"/>
      <c r="AP37" s="762"/>
      <c r="AQ37" s="762"/>
      <c r="AR37" s="762"/>
      <c r="AS37" s="762"/>
    </row>
    <row r="38" spans="1:45" ht="13.9">
      <c r="A38" s="767"/>
      <c r="B38" s="762"/>
      <c r="C38" s="767"/>
      <c r="D38" s="762"/>
      <c r="E38" s="759" t="s">
        <v>135</v>
      </c>
      <c r="F38" s="758">
        <v>12</v>
      </c>
      <c r="G38" s="759" t="s">
        <v>914</v>
      </c>
      <c r="H38" s="759" t="s">
        <v>9193</v>
      </c>
      <c r="I38" s="759" t="s">
        <v>9194</v>
      </c>
      <c r="J38" s="758" t="s">
        <v>9195</v>
      </c>
      <c r="K38" s="759" t="s">
        <v>9196</v>
      </c>
      <c r="L38" s="763"/>
      <c r="M38" s="778">
        <v>2</v>
      </c>
      <c r="N38" s="778" t="s">
        <v>3918</v>
      </c>
      <c r="O38" s="778" t="s">
        <v>8989</v>
      </c>
      <c r="P38" s="785" t="s">
        <v>8971</v>
      </c>
      <c r="Q38" s="778" t="s">
        <v>8990</v>
      </c>
      <c r="S38" s="764"/>
      <c r="U38" s="760"/>
      <c r="X38" s="762"/>
      <c r="Y38" s="762"/>
      <c r="Z38" s="762"/>
      <c r="AA38" s="762"/>
      <c r="AB38" s="762"/>
      <c r="AC38" s="762"/>
      <c r="AD38" s="793"/>
      <c r="AE38" s="762"/>
      <c r="AF38" s="762"/>
      <c r="AG38" s="762"/>
      <c r="AH38" s="762"/>
      <c r="AI38" s="762"/>
      <c r="AJ38" s="762"/>
      <c r="AK38" s="762"/>
      <c r="AL38" s="762"/>
      <c r="AM38" s="762"/>
      <c r="AN38" s="762"/>
      <c r="AO38" s="762"/>
      <c r="AP38" s="762"/>
      <c r="AQ38" s="762"/>
      <c r="AR38" s="762"/>
      <c r="AS38" s="762"/>
    </row>
    <row r="39" spans="1:45" ht="13.9">
      <c r="A39" s="767"/>
      <c r="B39" s="762"/>
      <c r="C39" s="767"/>
      <c r="D39" s="762"/>
      <c r="E39" s="759" t="s">
        <v>135</v>
      </c>
      <c r="F39" s="758">
        <v>13</v>
      </c>
      <c r="G39" s="759" t="s">
        <v>3085</v>
      </c>
      <c r="H39" s="759" t="s">
        <v>9197</v>
      </c>
      <c r="I39" s="759" t="s">
        <v>9198</v>
      </c>
      <c r="J39" s="758" t="s">
        <v>9199</v>
      </c>
      <c r="K39" s="759" t="s">
        <v>9200</v>
      </c>
      <c r="L39" s="763"/>
      <c r="M39" s="778">
        <v>3</v>
      </c>
      <c r="N39" s="778" t="s">
        <v>9201</v>
      </c>
      <c r="O39" s="778" t="s">
        <v>9202</v>
      </c>
      <c r="P39" s="785" t="s">
        <v>8971</v>
      </c>
      <c r="Q39" s="778" t="s">
        <v>9203</v>
      </c>
      <c r="S39" s="764"/>
      <c r="U39" s="760"/>
      <c r="X39" s="762"/>
      <c r="Y39" s="762"/>
      <c r="Z39" s="762"/>
      <c r="AA39" s="762"/>
      <c r="AB39" s="762"/>
      <c r="AC39" s="762"/>
      <c r="AD39" s="793"/>
      <c r="AE39" s="762"/>
      <c r="AF39" s="762"/>
      <c r="AG39" s="762"/>
      <c r="AH39" s="762"/>
      <c r="AI39" s="762"/>
      <c r="AJ39" s="762"/>
      <c r="AK39" s="762"/>
      <c r="AL39" s="762"/>
      <c r="AM39" s="762"/>
      <c r="AN39" s="762"/>
      <c r="AO39" s="762"/>
      <c r="AP39" s="762"/>
      <c r="AQ39" s="762"/>
      <c r="AR39" s="762"/>
      <c r="AS39" s="762"/>
    </row>
    <row r="40" spans="1:45" ht="13.9">
      <c r="A40" s="767"/>
      <c r="B40" s="762"/>
      <c r="C40" s="767"/>
      <c r="D40" s="762"/>
      <c r="E40" s="759" t="s">
        <v>135</v>
      </c>
      <c r="F40" s="758">
        <v>14</v>
      </c>
      <c r="G40" s="759" t="s">
        <v>9204</v>
      </c>
      <c r="H40" s="759" t="s">
        <v>9205</v>
      </c>
      <c r="I40" s="759" t="s">
        <v>9206</v>
      </c>
      <c r="J40" s="758" t="s">
        <v>9207</v>
      </c>
      <c r="K40" s="759" t="s">
        <v>9208</v>
      </c>
      <c r="L40" s="763"/>
      <c r="M40" s="778">
        <v>4</v>
      </c>
      <c r="N40" s="778" t="s">
        <v>9209</v>
      </c>
      <c r="O40" s="778" t="s">
        <v>9210</v>
      </c>
      <c r="P40" s="785" t="s">
        <v>8971</v>
      </c>
      <c r="Q40" s="778" t="s">
        <v>9211</v>
      </c>
      <c r="S40" s="764"/>
      <c r="U40" s="760"/>
      <c r="X40" s="762"/>
      <c r="Y40" s="762"/>
      <c r="Z40" s="762"/>
      <c r="AA40" s="762"/>
      <c r="AB40" s="762"/>
      <c r="AC40" s="762"/>
      <c r="AD40" s="793"/>
      <c r="AE40" s="762"/>
      <c r="AF40" s="762"/>
      <c r="AG40" s="762"/>
      <c r="AH40" s="762"/>
      <c r="AI40" s="762"/>
      <c r="AJ40" s="762"/>
      <c r="AK40" s="762"/>
      <c r="AL40" s="762"/>
      <c r="AM40" s="762"/>
      <c r="AN40" s="762"/>
      <c r="AO40" s="762"/>
      <c r="AP40" s="762"/>
      <c r="AQ40" s="762"/>
      <c r="AR40" s="762"/>
      <c r="AS40" s="762"/>
    </row>
    <row r="41" spans="1:45" ht="13.9">
      <c r="A41" s="767"/>
      <c r="B41" s="762"/>
      <c r="C41" s="767"/>
      <c r="D41" s="762"/>
      <c r="E41" s="759" t="s">
        <v>135</v>
      </c>
      <c r="F41" s="758">
        <v>15</v>
      </c>
      <c r="G41" s="759" t="s">
        <v>9212</v>
      </c>
      <c r="H41" s="759" t="s">
        <v>9213</v>
      </c>
      <c r="I41" s="759" t="s">
        <v>9214</v>
      </c>
      <c r="J41" s="758"/>
      <c r="K41" s="759" t="s">
        <v>9195</v>
      </c>
      <c r="L41" s="762"/>
      <c r="M41" s="778">
        <v>5</v>
      </c>
      <c r="N41" s="778" t="s">
        <v>9215</v>
      </c>
      <c r="O41" s="778" t="s">
        <v>9216</v>
      </c>
      <c r="P41" s="785" t="s">
        <v>8971</v>
      </c>
      <c r="Q41" s="778" t="s">
        <v>9217</v>
      </c>
      <c r="U41" s="760"/>
      <c r="X41" s="762"/>
      <c r="Y41" s="762"/>
      <c r="Z41" s="762"/>
      <c r="AA41" s="762"/>
      <c r="AB41" s="762"/>
      <c r="AC41" s="762"/>
      <c r="AD41" s="793"/>
      <c r="AE41" s="762"/>
      <c r="AF41" s="762"/>
      <c r="AG41" s="762"/>
      <c r="AH41" s="762"/>
      <c r="AI41" s="762"/>
      <c r="AJ41" s="762"/>
      <c r="AK41" s="762"/>
      <c r="AL41" s="762"/>
      <c r="AM41" s="762"/>
      <c r="AN41" s="762"/>
      <c r="AO41" s="762"/>
      <c r="AP41" s="762"/>
      <c r="AQ41" s="762"/>
      <c r="AR41" s="762"/>
      <c r="AS41" s="762"/>
    </row>
    <row r="42" spans="1:45" ht="13.9">
      <c r="A42" s="767"/>
      <c r="B42" s="762"/>
      <c r="C42" s="767"/>
      <c r="D42" s="762"/>
      <c r="E42" s="759" t="s">
        <v>135</v>
      </c>
      <c r="F42" s="758">
        <v>16</v>
      </c>
      <c r="G42" s="759" t="s">
        <v>9218</v>
      </c>
      <c r="H42" s="759" t="s">
        <v>9219</v>
      </c>
      <c r="I42" s="759" t="s">
        <v>9220</v>
      </c>
      <c r="J42" s="758" t="s">
        <v>9221</v>
      </c>
      <c r="K42" s="759" t="s">
        <v>9222</v>
      </c>
      <c r="L42" s="762"/>
      <c r="M42" s="778">
        <v>6</v>
      </c>
      <c r="N42" s="778" t="s">
        <v>9223</v>
      </c>
      <c r="O42" s="778" t="s">
        <v>8977</v>
      </c>
      <c r="P42" s="785" t="s">
        <v>8971</v>
      </c>
      <c r="Q42" s="778" t="s">
        <v>8978</v>
      </c>
      <c r="U42" s="760"/>
      <c r="X42" s="762"/>
      <c r="Y42" s="762"/>
      <c r="Z42" s="762"/>
      <c r="AA42" s="762"/>
      <c r="AB42" s="762"/>
      <c r="AC42" s="762"/>
      <c r="AD42" s="793"/>
      <c r="AE42" s="762"/>
      <c r="AF42" s="762"/>
      <c r="AG42" s="762"/>
      <c r="AH42" s="762"/>
      <c r="AI42" s="762"/>
      <c r="AJ42" s="762"/>
      <c r="AK42" s="762"/>
      <c r="AL42" s="762"/>
      <c r="AM42" s="762"/>
      <c r="AN42" s="762"/>
      <c r="AO42" s="762"/>
      <c r="AP42" s="762"/>
      <c r="AQ42" s="762"/>
      <c r="AR42" s="762"/>
      <c r="AS42" s="762"/>
    </row>
    <row r="43" spans="1:45" ht="13.9">
      <c r="A43" s="767"/>
      <c r="B43" s="762"/>
      <c r="C43" s="767"/>
      <c r="D43" s="762"/>
      <c r="E43" s="759" t="s">
        <v>135</v>
      </c>
      <c r="F43" s="758">
        <v>17</v>
      </c>
      <c r="G43" s="759" t="s">
        <v>9224</v>
      </c>
      <c r="H43" s="759" t="s">
        <v>9225</v>
      </c>
      <c r="I43" s="759" t="s">
        <v>9226</v>
      </c>
      <c r="J43" s="758" t="s">
        <v>9227</v>
      </c>
      <c r="K43" s="759" t="s">
        <v>9207</v>
      </c>
      <c r="L43" s="762"/>
      <c r="M43" s="778">
        <v>7</v>
      </c>
      <c r="N43" s="778" t="s">
        <v>9228</v>
      </c>
      <c r="O43" s="778" t="s">
        <v>9229</v>
      </c>
      <c r="P43" s="785" t="s">
        <v>8971</v>
      </c>
      <c r="Q43" s="778" t="s">
        <v>9230</v>
      </c>
      <c r="U43" s="760"/>
      <c r="X43" s="762"/>
      <c r="Y43" s="762"/>
      <c r="Z43" s="762"/>
      <c r="AA43" s="762"/>
      <c r="AB43" s="762"/>
      <c r="AC43" s="762"/>
      <c r="AD43" s="793"/>
      <c r="AE43" s="762"/>
      <c r="AF43" s="762"/>
      <c r="AG43" s="762"/>
      <c r="AH43" s="762"/>
      <c r="AI43" s="762"/>
      <c r="AJ43" s="762"/>
      <c r="AK43" s="762"/>
      <c r="AL43" s="762"/>
      <c r="AM43" s="762"/>
      <c r="AN43" s="762"/>
      <c r="AO43" s="762"/>
      <c r="AP43" s="762"/>
      <c r="AQ43" s="762"/>
      <c r="AR43" s="762"/>
      <c r="AS43" s="762"/>
    </row>
    <row r="44" spans="1:45" ht="13.9">
      <c r="A44" s="767"/>
      <c r="B44" s="762"/>
      <c r="C44" s="767"/>
      <c r="D44" s="762"/>
      <c r="E44" s="759" t="s">
        <v>135</v>
      </c>
      <c r="F44" s="758">
        <v>18</v>
      </c>
      <c r="G44" s="759" t="s">
        <v>220</v>
      </c>
      <c r="H44" s="759" t="s">
        <v>9043</v>
      </c>
      <c r="I44" s="759" t="s">
        <v>9231</v>
      </c>
      <c r="J44" s="758" t="s">
        <v>9232</v>
      </c>
      <c r="K44" s="759" t="s">
        <v>9233</v>
      </c>
      <c r="L44" s="762"/>
      <c r="M44" s="778">
        <v>8</v>
      </c>
      <c r="N44" s="778" t="s">
        <v>9234</v>
      </c>
      <c r="O44" s="778" t="s">
        <v>9235</v>
      </c>
      <c r="P44" s="785" t="s">
        <v>8971</v>
      </c>
      <c r="Q44" s="778" t="s">
        <v>9236</v>
      </c>
      <c r="U44" s="760"/>
      <c r="X44" s="762"/>
      <c r="Y44" s="762"/>
      <c r="Z44" s="762"/>
      <c r="AA44" s="762"/>
      <c r="AB44" s="762"/>
      <c r="AC44" s="762"/>
      <c r="AD44" s="793"/>
      <c r="AE44" s="762"/>
      <c r="AF44" s="762"/>
      <c r="AG44" s="762"/>
      <c r="AH44" s="762"/>
      <c r="AI44" s="762"/>
      <c r="AJ44" s="762"/>
      <c r="AK44" s="762"/>
      <c r="AL44" s="762"/>
      <c r="AM44" s="762"/>
      <c r="AN44" s="762"/>
      <c r="AO44" s="762"/>
      <c r="AP44" s="762"/>
      <c r="AQ44" s="762"/>
      <c r="AR44" s="762"/>
      <c r="AS44" s="762"/>
    </row>
    <row r="45" spans="1:45" ht="13.9">
      <c r="A45" s="767"/>
      <c r="B45" s="762"/>
      <c r="C45" s="767"/>
      <c r="D45" s="762"/>
      <c r="E45" s="759" t="s">
        <v>135</v>
      </c>
      <c r="F45" s="758">
        <v>19</v>
      </c>
      <c r="G45" s="759" t="s">
        <v>1362</v>
      </c>
      <c r="H45" s="759" t="s">
        <v>9237</v>
      </c>
      <c r="I45" s="759" t="s">
        <v>9238</v>
      </c>
      <c r="J45" s="758" t="s">
        <v>9239</v>
      </c>
      <c r="K45" s="759" t="s">
        <v>9221</v>
      </c>
      <c r="L45" s="762"/>
      <c r="M45" s="785">
        <v>9</v>
      </c>
      <c r="N45" s="785" t="s">
        <v>9002</v>
      </c>
      <c r="O45" s="785"/>
      <c r="P45" s="785" t="s">
        <v>8971</v>
      </c>
      <c r="Q45" s="778" t="s">
        <v>9003</v>
      </c>
      <c r="U45" s="760"/>
      <c r="X45" s="762"/>
      <c r="Y45" s="762"/>
      <c r="Z45" s="762"/>
      <c r="AA45" s="762"/>
      <c r="AB45" s="762"/>
      <c r="AC45" s="762"/>
      <c r="AD45" s="793"/>
      <c r="AE45" s="762"/>
      <c r="AF45" s="762"/>
      <c r="AG45" s="762"/>
      <c r="AH45" s="762"/>
      <c r="AI45" s="762"/>
      <c r="AJ45" s="762"/>
      <c r="AK45" s="762"/>
      <c r="AL45" s="762"/>
      <c r="AM45" s="762"/>
      <c r="AN45" s="762"/>
      <c r="AO45" s="762"/>
      <c r="AP45" s="762"/>
      <c r="AQ45" s="762"/>
      <c r="AR45" s="762"/>
      <c r="AS45" s="762"/>
    </row>
    <row r="46" spans="1:45" ht="13.9">
      <c r="A46" s="767"/>
      <c r="B46" s="762"/>
      <c r="C46" s="767"/>
      <c r="D46" s="762"/>
      <c r="E46" s="759" t="s">
        <v>135</v>
      </c>
      <c r="F46" s="758">
        <v>20</v>
      </c>
      <c r="G46" s="759" t="s">
        <v>1476</v>
      </c>
      <c r="H46" s="759" t="s">
        <v>9240</v>
      </c>
      <c r="I46" s="759" t="s">
        <v>9241</v>
      </c>
      <c r="J46" s="758" t="s">
        <v>9221</v>
      </c>
      <c r="K46" s="759" t="s">
        <v>9242</v>
      </c>
      <c r="L46" s="762"/>
      <c r="M46" s="785"/>
      <c r="N46" s="785" t="s">
        <v>9243</v>
      </c>
      <c r="O46" s="785" t="s">
        <v>9244</v>
      </c>
      <c r="P46" s="785" t="s">
        <v>8971</v>
      </c>
      <c r="Q46" s="782" t="s">
        <v>9245</v>
      </c>
      <c r="U46" s="760"/>
      <c r="X46" s="762"/>
      <c r="Y46" s="762"/>
      <c r="Z46" s="762"/>
      <c r="AA46" s="762"/>
      <c r="AB46" s="762"/>
      <c r="AC46" s="762"/>
      <c r="AD46" s="793"/>
      <c r="AE46" s="762"/>
      <c r="AF46" s="762"/>
      <c r="AG46" s="762"/>
      <c r="AH46" s="762"/>
      <c r="AI46" s="762"/>
      <c r="AJ46" s="762"/>
      <c r="AK46" s="762"/>
      <c r="AL46" s="762"/>
      <c r="AM46" s="762"/>
      <c r="AN46" s="762"/>
      <c r="AO46" s="762"/>
      <c r="AP46" s="762"/>
      <c r="AQ46" s="762"/>
      <c r="AR46" s="762"/>
      <c r="AS46" s="762"/>
    </row>
    <row r="47" spans="1:45" ht="13.9">
      <c r="A47" s="767"/>
      <c r="B47" s="762"/>
      <c r="C47" s="767"/>
      <c r="D47" s="762"/>
      <c r="E47" s="759" t="s">
        <v>135</v>
      </c>
      <c r="F47" s="758">
        <v>21</v>
      </c>
      <c r="G47" s="759" t="s">
        <v>4441</v>
      </c>
      <c r="H47" s="759" t="s">
        <v>9246</v>
      </c>
      <c r="I47" s="759"/>
      <c r="J47" s="758" t="s">
        <v>9247</v>
      </c>
      <c r="K47" s="759" t="s">
        <v>9248</v>
      </c>
      <c r="L47" s="762"/>
      <c r="M47" s="785"/>
      <c r="N47" s="785" t="s">
        <v>9249</v>
      </c>
      <c r="O47" s="785" t="s">
        <v>9250</v>
      </c>
      <c r="P47" s="785" t="s">
        <v>8971</v>
      </c>
      <c r="Q47" s="785" t="s">
        <v>9251</v>
      </c>
      <c r="U47" s="760"/>
      <c r="X47" s="762"/>
      <c r="Y47" s="762"/>
      <c r="Z47" s="762"/>
      <c r="AA47" s="762"/>
      <c r="AB47" s="762"/>
      <c r="AC47" s="762"/>
      <c r="AD47" s="793"/>
      <c r="AE47" s="762"/>
      <c r="AF47" s="762"/>
      <c r="AG47" s="762"/>
      <c r="AH47" s="762"/>
      <c r="AI47" s="762"/>
      <c r="AJ47" s="762"/>
      <c r="AK47" s="762"/>
      <c r="AL47" s="762"/>
      <c r="AM47" s="762"/>
      <c r="AN47" s="762"/>
      <c r="AO47" s="762"/>
      <c r="AP47" s="762"/>
      <c r="AQ47" s="762"/>
      <c r="AR47" s="762"/>
      <c r="AS47" s="762"/>
    </row>
    <row r="48" spans="1:45" ht="13.9">
      <c r="A48" s="767"/>
      <c r="B48" s="762"/>
      <c r="C48" s="767"/>
      <c r="D48" s="762"/>
      <c r="K48" s="759" t="s">
        <v>9239</v>
      </c>
      <c r="L48" s="762"/>
      <c r="M48" s="785"/>
      <c r="N48" s="785" t="s">
        <v>9252</v>
      </c>
      <c r="O48" s="785" t="s">
        <v>9253</v>
      </c>
      <c r="P48" s="785" t="s">
        <v>8971</v>
      </c>
      <c r="Q48" s="785" t="s">
        <v>9254</v>
      </c>
      <c r="U48" s="760"/>
      <c r="X48" s="762"/>
      <c r="Y48" s="762"/>
      <c r="Z48" s="762"/>
      <c r="AA48" s="762"/>
      <c r="AB48" s="762"/>
      <c r="AC48" s="762"/>
      <c r="AD48" s="793"/>
      <c r="AE48" s="762"/>
      <c r="AF48" s="762"/>
      <c r="AG48" s="762"/>
      <c r="AH48" s="762"/>
      <c r="AI48" s="762"/>
      <c r="AJ48" s="762"/>
      <c r="AK48" s="762"/>
      <c r="AL48" s="762"/>
      <c r="AM48" s="762"/>
      <c r="AN48" s="762"/>
      <c r="AO48" s="762"/>
      <c r="AP48" s="762"/>
      <c r="AQ48" s="762"/>
      <c r="AR48" s="762"/>
      <c r="AS48" s="762"/>
    </row>
    <row r="49" spans="1:45" ht="13.9">
      <c r="A49" s="767"/>
      <c r="B49" s="762"/>
      <c r="C49" s="767"/>
      <c r="D49" s="762"/>
      <c r="E49" s="759" t="s">
        <v>1100</v>
      </c>
      <c r="F49" s="758">
        <v>1</v>
      </c>
      <c r="G49" s="759" t="s">
        <v>8874</v>
      </c>
      <c r="H49" s="759"/>
      <c r="I49" s="759" t="s">
        <v>9255</v>
      </c>
      <c r="J49" s="758" t="s">
        <v>9256</v>
      </c>
      <c r="K49" s="759" t="s">
        <v>9257</v>
      </c>
      <c r="L49" s="762"/>
      <c r="M49" s="785"/>
      <c r="N49" s="785" t="s">
        <v>9258</v>
      </c>
      <c r="O49" s="785" t="s">
        <v>9259</v>
      </c>
      <c r="P49" s="785" t="s">
        <v>8971</v>
      </c>
      <c r="Q49" s="785" t="s">
        <v>9260</v>
      </c>
      <c r="U49" s="760"/>
      <c r="X49" s="762"/>
      <c r="Y49" s="762"/>
      <c r="Z49" s="762"/>
      <c r="AA49" s="762"/>
      <c r="AB49" s="762"/>
      <c r="AC49" s="762"/>
      <c r="AD49" s="793"/>
      <c r="AE49" s="762"/>
      <c r="AF49" s="762"/>
      <c r="AG49" s="762"/>
      <c r="AH49" s="762"/>
      <c r="AI49" s="762"/>
      <c r="AJ49" s="762"/>
      <c r="AK49" s="762"/>
      <c r="AL49" s="762"/>
      <c r="AM49" s="762"/>
      <c r="AN49" s="762"/>
      <c r="AO49" s="762"/>
      <c r="AP49" s="762"/>
      <c r="AQ49" s="762"/>
      <c r="AR49" s="762"/>
      <c r="AS49" s="762"/>
    </row>
    <row r="50" spans="1:45" ht="13.9">
      <c r="A50" s="767"/>
      <c r="B50" s="762"/>
      <c r="C50" s="767"/>
      <c r="D50" s="762"/>
      <c r="E50" s="759" t="s">
        <v>1100</v>
      </c>
      <c r="F50" s="758">
        <v>2</v>
      </c>
      <c r="G50" s="759" t="s">
        <v>9261</v>
      </c>
      <c r="H50" s="759"/>
      <c r="I50" s="759" t="s">
        <v>9262</v>
      </c>
      <c r="J50" s="758" t="s">
        <v>9263</v>
      </c>
      <c r="K50" s="759" t="s">
        <v>9247</v>
      </c>
      <c r="L50" s="762"/>
      <c r="M50" s="785"/>
      <c r="N50" s="785" t="s">
        <v>9264</v>
      </c>
      <c r="O50" s="789" t="s">
        <v>9265</v>
      </c>
      <c r="P50" s="785" t="s">
        <v>8971</v>
      </c>
      <c r="Q50" s="785" t="s">
        <v>9266</v>
      </c>
      <c r="U50" s="760"/>
      <c r="X50" s="762"/>
      <c r="Y50" s="762"/>
      <c r="Z50" s="762"/>
      <c r="AA50" s="762"/>
      <c r="AB50" s="762"/>
      <c r="AC50" s="762"/>
      <c r="AD50" s="793"/>
      <c r="AE50" s="762"/>
      <c r="AF50" s="762"/>
      <c r="AG50" s="762"/>
      <c r="AH50" s="762"/>
      <c r="AI50" s="762"/>
      <c r="AJ50" s="762"/>
      <c r="AK50" s="762"/>
      <c r="AL50" s="762"/>
      <c r="AM50" s="762"/>
      <c r="AN50" s="762"/>
      <c r="AO50" s="762"/>
      <c r="AP50" s="762"/>
      <c r="AQ50" s="762"/>
      <c r="AR50" s="762"/>
      <c r="AS50" s="762"/>
    </row>
    <row r="51" spans="1:45" ht="13.9">
      <c r="A51" s="767"/>
      <c r="B51" s="762"/>
      <c r="C51" s="767"/>
      <c r="D51" s="762"/>
      <c r="E51" s="759" t="s">
        <v>1100</v>
      </c>
      <c r="F51" s="758">
        <v>3</v>
      </c>
      <c r="G51" s="759" t="s">
        <v>9267</v>
      </c>
      <c r="H51" s="759"/>
      <c r="I51" s="759" t="s">
        <v>9268</v>
      </c>
      <c r="J51" s="758" t="s">
        <v>9269</v>
      </c>
      <c r="L51" s="762"/>
      <c r="M51" s="785"/>
      <c r="N51" s="781" t="s">
        <v>9270</v>
      </c>
      <c r="O51" s="781" t="s">
        <v>9270</v>
      </c>
      <c r="P51" s="785" t="s">
        <v>8971</v>
      </c>
      <c r="Q51" s="781" t="s">
        <v>9271</v>
      </c>
      <c r="U51" s="760"/>
      <c r="X51" s="762"/>
      <c r="Y51" s="762"/>
      <c r="Z51" s="762"/>
      <c r="AA51" s="762"/>
      <c r="AB51" s="762"/>
      <c r="AC51" s="762"/>
      <c r="AD51" s="793"/>
      <c r="AE51" s="762"/>
      <c r="AF51" s="762"/>
      <c r="AG51" s="762"/>
      <c r="AH51" s="762"/>
      <c r="AI51" s="762"/>
      <c r="AJ51" s="762"/>
      <c r="AK51" s="762"/>
      <c r="AL51" s="762"/>
      <c r="AM51" s="762"/>
      <c r="AN51" s="762"/>
      <c r="AO51" s="762"/>
      <c r="AP51" s="762"/>
      <c r="AQ51" s="762"/>
      <c r="AR51" s="762"/>
      <c r="AS51" s="762"/>
    </row>
    <row r="52" spans="1:45" ht="13.9">
      <c r="A52" s="767"/>
      <c r="B52" s="762"/>
      <c r="C52" s="767"/>
      <c r="D52" s="762"/>
      <c r="E52" s="759" t="s">
        <v>1100</v>
      </c>
      <c r="F52" s="758">
        <v>4</v>
      </c>
      <c r="G52" s="759" t="s">
        <v>9272</v>
      </c>
      <c r="H52" s="759"/>
      <c r="I52" s="759" t="s">
        <v>9273</v>
      </c>
      <c r="J52" s="758" t="s">
        <v>9274</v>
      </c>
      <c r="K52" s="759" t="s">
        <v>9275</v>
      </c>
      <c r="L52" s="762"/>
      <c r="M52" s="781"/>
      <c r="N52" s="781" t="s">
        <v>9276</v>
      </c>
      <c r="O52" s="781" t="s">
        <v>9276</v>
      </c>
      <c r="P52" s="785" t="s">
        <v>8971</v>
      </c>
      <c r="Q52" s="781" t="s">
        <v>9277</v>
      </c>
      <c r="U52" s="760"/>
      <c r="X52" s="762"/>
      <c r="Y52" s="762"/>
      <c r="Z52" s="762"/>
      <c r="AA52" s="762"/>
      <c r="AB52" s="762"/>
      <c r="AC52" s="762"/>
      <c r="AD52" s="793"/>
      <c r="AE52" s="762"/>
      <c r="AF52" s="762"/>
      <c r="AG52" s="762"/>
      <c r="AH52" s="762"/>
      <c r="AI52" s="762"/>
      <c r="AJ52" s="762"/>
      <c r="AK52" s="762"/>
      <c r="AL52" s="762"/>
      <c r="AM52" s="762"/>
      <c r="AN52" s="762"/>
      <c r="AO52" s="762"/>
      <c r="AP52" s="762"/>
      <c r="AQ52" s="762"/>
      <c r="AR52" s="762"/>
      <c r="AS52" s="762"/>
    </row>
    <row r="53" spans="1:45" ht="13.9">
      <c r="A53" s="767"/>
      <c r="B53" s="762"/>
      <c r="C53" s="767"/>
      <c r="D53" s="762"/>
      <c r="E53" s="759" t="s">
        <v>1100</v>
      </c>
      <c r="F53" s="758">
        <v>5</v>
      </c>
      <c r="G53" s="759" t="s">
        <v>9278</v>
      </c>
      <c r="H53" s="759"/>
      <c r="I53" s="759" t="s">
        <v>9279</v>
      </c>
      <c r="J53" s="758" t="s">
        <v>9280</v>
      </c>
      <c r="K53" s="759" t="s">
        <v>9281</v>
      </c>
      <c r="L53" s="762"/>
      <c r="M53" s="781"/>
      <c r="N53" s="781" t="s">
        <v>9282</v>
      </c>
      <c r="O53" s="781" t="s">
        <v>9282</v>
      </c>
      <c r="P53" s="785" t="s">
        <v>8971</v>
      </c>
      <c r="Q53" s="781" t="s">
        <v>9283</v>
      </c>
      <c r="U53" s="760"/>
      <c r="X53" s="762"/>
      <c r="Y53" s="762"/>
      <c r="Z53" s="762"/>
      <c r="AA53" s="762"/>
      <c r="AB53" s="762"/>
      <c r="AC53" s="762"/>
      <c r="AD53" s="793"/>
      <c r="AE53" s="762"/>
      <c r="AF53" s="762"/>
      <c r="AG53" s="762"/>
      <c r="AH53" s="762"/>
      <c r="AI53" s="762"/>
      <c r="AJ53" s="762"/>
      <c r="AK53" s="762"/>
      <c r="AL53" s="762"/>
      <c r="AM53" s="762"/>
      <c r="AN53" s="762"/>
      <c r="AO53" s="762"/>
      <c r="AP53" s="762"/>
      <c r="AQ53" s="762"/>
      <c r="AR53" s="762"/>
      <c r="AS53" s="762"/>
    </row>
    <row r="54" spans="1:45" ht="13.9">
      <c r="A54" s="767"/>
      <c r="B54" s="762"/>
      <c r="C54" s="767"/>
      <c r="D54" s="762"/>
      <c r="E54" s="759" t="s">
        <v>1100</v>
      </c>
      <c r="F54" s="758">
        <v>6</v>
      </c>
      <c r="G54" s="759" t="s">
        <v>9284</v>
      </c>
      <c r="H54" s="759" t="s">
        <v>9285</v>
      </c>
      <c r="I54" s="759" t="s">
        <v>9286</v>
      </c>
      <c r="J54" s="758" t="s">
        <v>9284</v>
      </c>
      <c r="K54" s="759" t="s">
        <v>9287</v>
      </c>
      <c r="L54" s="762"/>
      <c r="M54" s="781"/>
      <c r="N54" s="781" t="s">
        <v>9288</v>
      </c>
      <c r="O54" s="781" t="s">
        <v>9288</v>
      </c>
      <c r="P54" s="785" t="s">
        <v>8971</v>
      </c>
      <c r="Q54" s="781" t="s">
        <v>9288</v>
      </c>
      <c r="U54" s="760"/>
      <c r="X54" s="762"/>
      <c r="Y54" s="762"/>
      <c r="Z54" s="762"/>
      <c r="AA54" s="762"/>
      <c r="AB54" s="762"/>
      <c r="AC54" s="762"/>
      <c r="AD54" s="793"/>
      <c r="AE54" s="762"/>
      <c r="AF54" s="762"/>
      <c r="AG54" s="762"/>
      <c r="AH54" s="762"/>
      <c r="AI54" s="762"/>
      <c r="AJ54" s="762"/>
      <c r="AK54" s="762"/>
      <c r="AL54" s="762"/>
      <c r="AM54" s="762"/>
      <c r="AN54" s="762"/>
      <c r="AO54" s="762"/>
      <c r="AP54" s="762"/>
      <c r="AQ54" s="762"/>
      <c r="AR54" s="762"/>
      <c r="AS54" s="762"/>
    </row>
    <row r="55" spans="1:45" ht="13.9">
      <c r="A55" s="767"/>
      <c r="B55" s="762"/>
      <c r="C55" s="767"/>
      <c r="D55" s="762"/>
      <c r="E55" s="759" t="s">
        <v>1100</v>
      </c>
      <c r="F55" s="758">
        <v>7</v>
      </c>
      <c r="G55" s="759" t="s">
        <v>124</v>
      </c>
      <c r="H55" s="759"/>
      <c r="I55" s="759" t="s">
        <v>9289</v>
      </c>
      <c r="J55" s="758" t="s">
        <v>9290</v>
      </c>
      <c r="K55" s="759" t="s">
        <v>9291</v>
      </c>
      <c r="L55" s="762"/>
      <c r="M55" s="781"/>
      <c r="N55" s="781" t="s">
        <v>9292</v>
      </c>
      <c r="O55" s="781" t="s">
        <v>9293</v>
      </c>
      <c r="P55" s="785" t="s">
        <v>8971</v>
      </c>
      <c r="Q55" s="781" t="s">
        <v>9292</v>
      </c>
      <c r="U55" s="760"/>
      <c r="X55" s="762"/>
      <c r="Y55" s="762"/>
      <c r="Z55" s="762"/>
      <c r="AA55" s="762"/>
      <c r="AB55" s="762"/>
      <c r="AC55" s="762"/>
      <c r="AD55" s="793"/>
      <c r="AE55" s="762"/>
      <c r="AF55" s="762"/>
      <c r="AG55" s="762"/>
      <c r="AH55" s="762"/>
      <c r="AI55" s="762"/>
      <c r="AJ55" s="762"/>
      <c r="AK55" s="762"/>
      <c r="AL55" s="762"/>
      <c r="AM55" s="762"/>
      <c r="AN55" s="762"/>
      <c r="AO55" s="762"/>
      <c r="AP55" s="762"/>
      <c r="AQ55" s="762"/>
      <c r="AR55" s="762"/>
      <c r="AS55" s="762"/>
    </row>
    <row r="56" spans="1:45" ht="13.9">
      <c r="A56" s="767"/>
      <c r="B56" s="762"/>
      <c r="C56" s="767"/>
      <c r="D56" s="762"/>
      <c r="E56" s="759" t="s">
        <v>1100</v>
      </c>
      <c r="F56" s="758">
        <v>8</v>
      </c>
      <c r="G56" s="759" t="s">
        <v>220</v>
      </c>
      <c r="H56" s="759"/>
      <c r="I56" s="759" t="s">
        <v>9294</v>
      </c>
      <c r="J56" s="758" t="s">
        <v>9295</v>
      </c>
      <c r="K56" s="759" t="s">
        <v>9280</v>
      </c>
      <c r="L56" s="762"/>
      <c r="M56" s="781"/>
      <c r="N56" s="781"/>
      <c r="O56" s="781"/>
      <c r="P56" s="785" t="s">
        <v>8971</v>
      </c>
      <c r="Q56" s="781"/>
      <c r="U56" s="760"/>
      <c r="X56" s="762"/>
      <c r="Y56" s="762"/>
      <c r="Z56" s="762"/>
      <c r="AA56" s="762"/>
      <c r="AB56" s="762"/>
      <c r="AC56" s="762"/>
      <c r="AD56" s="794"/>
      <c r="AE56" s="762"/>
      <c r="AF56" s="762"/>
      <c r="AG56" s="762"/>
      <c r="AH56" s="762"/>
      <c r="AI56" s="762"/>
      <c r="AJ56" s="762"/>
      <c r="AK56" s="762"/>
      <c r="AL56" s="762"/>
      <c r="AM56" s="762"/>
      <c r="AN56" s="762"/>
      <c r="AO56" s="762"/>
      <c r="AP56" s="762"/>
      <c r="AQ56" s="762"/>
      <c r="AR56" s="762"/>
      <c r="AS56" s="762"/>
    </row>
    <row r="57" spans="1:45" ht="13.9">
      <c r="A57" s="767"/>
      <c r="B57" s="762"/>
      <c r="C57" s="767"/>
      <c r="D57" s="762"/>
      <c r="E57" s="762"/>
      <c r="F57" s="767"/>
      <c r="G57" s="762"/>
      <c r="H57" s="762"/>
      <c r="I57" s="762"/>
      <c r="J57" s="767"/>
      <c r="K57" s="762"/>
      <c r="L57" s="762"/>
      <c r="M57" s="781"/>
      <c r="N57" s="781" t="s">
        <v>9296</v>
      </c>
      <c r="O57" s="781" t="s">
        <v>9297</v>
      </c>
      <c r="P57" s="785" t="s">
        <v>8971</v>
      </c>
      <c r="Q57" s="781" t="s">
        <v>9298</v>
      </c>
      <c r="U57" s="760"/>
      <c r="X57" s="762"/>
      <c r="Y57" s="762"/>
      <c r="Z57" s="762"/>
      <c r="AA57" s="762"/>
      <c r="AB57" s="762"/>
      <c r="AC57" s="762"/>
      <c r="AD57" s="794"/>
      <c r="AE57" s="762"/>
      <c r="AF57" s="762"/>
      <c r="AG57" s="762"/>
      <c r="AH57" s="762"/>
      <c r="AI57" s="762"/>
      <c r="AJ57" s="762"/>
      <c r="AK57" s="762"/>
      <c r="AL57" s="762"/>
      <c r="AM57" s="762"/>
      <c r="AN57" s="762"/>
      <c r="AO57" s="762"/>
      <c r="AP57" s="762"/>
      <c r="AQ57" s="762"/>
      <c r="AR57" s="762"/>
      <c r="AS57" s="762"/>
    </row>
    <row r="58" spans="1:45" ht="13.9">
      <c r="A58" s="767"/>
      <c r="B58" s="762"/>
      <c r="C58" s="767"/>
      <c r="D58" s="762"/>
      <c r="E58" s="762"/>
      <c r="F58" s="767"/>
      <c r="G58" s="762"/>
      <c r="H58" s="771"/>
      <c r="I58" s="771"/>
      <c r="J58" s="767"/>
      <c r="K58" s="762"/>
      <c r="L58" s="762"/>
      <c r="M58" s="781"/>
      <c r="N58" s="781" t="s">
        <v>9299</v>
      </c>
      <c r="O58" s="781"/>
      <c r="P58" s="785" t="s">
        <v>8971</v>
      </c>
      <c r="Q58" s="781" t="s">
        <v>9300</v>
      </c>
      <c r="U58" s="760"/>
      <c r="X58" s="762"/>
      <c r="Y58" s="762"/>
      <c r="Z58" s="762"/>
      <c r="AA58" s="762"/>
      <c r="AB58" s="762"/>
      <c r="AC58" s="762"/>
      <c r="AD58" s="794"/>
      <c r="AE58" s="762"/>
      <c r="AF58" s="762"/>
      <c r="AG58" s="762"/>
      <c r="AH58" s="762"/>
      <c r="AI58" s="762"/>
      <c r="AJ58" s="762"/>
      <c r="AK58" s="762"/>
      <c r="AL58" s="762"/>
      <c r="AM58" s="762"/>
      <c r="AN58" s="762"/>
      <c r="AO58" s="762"/>
      <c r="AP58" s="762"/>
      <c r="AQ58" s="762"/>
      <c r="AR58" s="762"/>
      <c r="AS58" s="762"/>
    </row>
    <row r="59" spans="1:45" ht="13.9">
      <c r="A59" s="767"/>
      <c r="B59" s="762"/>
      <c r="C59" s="767"/>
      <c r="D59" s="762"/>
      <c r="E59" s="762"/>
      <c r="F59" s="767"/>
      <c r="G59" s="762"/>
      <c r="H59" s="762"/>
      <c r="I59" s="762"/>
      <c r="J59" s="767"/>
      <c r="K59" s="762"/>
      <c r="L59" s="762"/>
      <c r="M59" s="781"/>
      <c r="N59" s="781" t="s">
        <v>9301</v>
      </c>
      <c r="O59" s="781" t="s">
        <v>9301</v>
      </c>
      <c r="P59" s="785" t="s">
        <v>8971</v>
      </c>
      <c r="Q59" s="781" t="s">
        <v>8971</v>
      </c>
      <c r="U59" s="760"/>
      <c r="X59" s="762"/>
      <c r="Y59" s="762"/>
      <c r="Z59" s="762"/>
      <c r="AA59" s="762"/>
      <c r="AB59" s="762"/>
      <c r="AC59" s="762"/>
      <c r="AD59" s="794"/>
      <c r="AE59" s="762"/>
      <c r="AF59" s="762"/>
      <c r="AG59" s="762"/>
      <c r="AH59" s="762"/>
      <c r="AI59" s="762"/>
      <c r="AJ59" s="762"/>
      <c r="AK59" s="762"/>
      <c r="AL59" s="762"/>
      <c r="AM59" s="762"/>
      <c r="AN59" s="762"/>
      <c r="AO59" s="762"/>
      <c r="AP59" s="762"/>
      <c r="AQ59" s="762"/>
      <c r="AR59" s="762"/>
      <c r="AS59" s="762"/>
    </row>
    <row r="60" spans="1:45" ht="13.9">
      <c r="A60" s="767"/>
      <c r="B60" s="762"/>
      <c r="C60" s="767"/>
      <c r="D60" s="762"/>
      <c r="E60" s="762"/>
      <c r="F60" s="767"/>
      <c r="G60" s="762"/>
      <c r="H60" s="762"/>
      <c r="I60" s="762"/>
      <c r="J60" s="767"/>
      <c r="K60" s="762"/>
      <c r="L60" s="762"/>
      <c r="M60" s="781"/>
      <c r="N60" s="781" t="s">
        <v>9302</v>
      </c>
      <c r="O60" s="781" t="s">
        <v>9302</v>
      </c>
      <c r="P60" s="785" t="s">
        <v>8971</v>
      </c>
      <c r="Q60" s="781" t="s">
        <v>9303</v>
      </c>
      <c r="U60" s="760"/>
      <c r="X60" s="762"/>
      <c r="Y60" s="762"/>
      <c r="Z60" s="762"/>
      <c r="AA60" s="762"/>
      <c r="AB60" s="762"/>
      <c r="AC60" s="762"/>
      <c r="AD60" s="794"/>
      <c r="AE60" s="762"/>
      <c r="AF60" s="762"/>
      <c r="AG60" s="762"/>
      <c r="AH60" s="762"/>
      <c r="AI60" s="762"/>
      <c r="AJ60" s="762"/>
      <c r="AK60" s="762"/>
      <c r="AL60" s="762"/>
      <c r="AM60" s="762"/>
      <c r="AN60" s="762"/>
      <c r="AO60" s="762"/>
      <c r="AP60" s="762"/>
      <c r="AQ60" s="762"/>
      <c r="AR60" s="762"/>
      <c r="AS60" s="762"/>
    </row>
    <row r="61" spans="1:45" ht="13.9">
      <c r="A61" s="767"/>
      <c r="B61" s="762"/>
      <c r="C61" s="767"/>
      <c r="D61" s="762"/>
      <c r="E61" s="762"/>
      <c r="F61" s="767"/>
      <c r="G61" s="762"/>
      <c r="H61" s="762"/>
      <c r="I61" s="762"/>
      <c r="J61" s="767"/>
      <c r="K61" s="762"/>
      <c r="L61" s="762"/>
      <c r="M61" s="781"/>
      <c r="N61" s="781" t="s">
        <v>9304</v>
      </c>
      <c r="O61" s="781" t="s">
        <v>9304</v>
      </c>
      <c r="P61" s="785" t="s">
        <v>8971</v>
      </c>
      <c r="Q61" s="781" t="s">
        <v>9305</v>
      </c>
      <c r="U61" s="760"/>
      <c r="X61" s="762"/>
      <c r="Y61" s="762"/>
      <c r="Z61" s="762"/>
      <c r="AA61" s="762"/>
      <c r="AB61" s="762"/>
      <c r="AC61" s="762"/>
      <c r="AD61" s="794"/>
      <c r="AE61" s="762"/>
      <c r="AF61" s="762"/>
      <c r="AG61" s="762"/>
      <c r="AH61" s="762"/>
      <c r="AI61" s="762"/>
      <c r="AJ61" s="762"/>
      <c r="AK61" s="762"/>
      <c r="AL61" s="762"/>
      <c r="AM61" s="762"/>
      <c r="AN61" s="762"/>
      <c r="AO61" s="762"/>
      <c r="AP61" s="762"/>
      <c r="AQ61" s="762"/>
      <c r="AR61" s="762"/>
      <c r="AS61" s="762"/>
    </row>
    <row r="62" spans="1:45" ht="13.9">
      <c r="A62" s="767"/>
      <c r="B62" s="762"/>
      <c r="C62" s="767"/>
      <c r="D62" s="762"/>
      <c r="E62" s="762"/>
      <c r="F62" s="767"/>
      <c r="G62" s="762"/>
      <c r="H62" s="762"/>
      <c r="I62" s="762"/>
      <c r="J62" s="767"/>
      <c r="K62" s="762"/>
      <c r="L62" s="762"/>
      <c r="M62" s="781"/>
      <c r="N62" s="781" t="s">
        <v>9050</v>
      </c>
      <c r="O62" s="781" t="s">
        <v>9050</v>
      </c>
      <c r="P62" s="785" t="s">
        <v>8971</v>
      </c>
      <c r="Q62" s="781" t="s">
        <v>9178</v>
      </c>
      <c r="U62" s="760"/>
      <c r="X62" s="762"/>
      <c r="Y62" s="762"/>
      <c r="Z62" s="762"/>
      <c r="AA62" s="762"/>
      <c r="AB62" s="762"/>
      <c r="AC62" s="762"/>
      <c r="AD62" s="794"/>
      <c r="AE62" s="762"/>
      <c r="AF62" s="762"/>
      <c r="AG62" s="762"/>
      <c r="AH62" s="762"/>
      <c r="AI62" s="762"/>
      <c r="AJ62" s="762"/>
      <c r="AK62" s="762"/>
      <c r="AL62" s="762"/>
      <c r="AM62" s="762"/>
      <c r="AN62" s="762"/>
      <c r="AO62" s="762"/>
      <c r="AP62" s="762"/>
      <c r="AQ62" s="762"/>
      <c r="AR62" s="762"/>
      <c r="AS62" s="762"/>
    </row>
    <row r="63" spans="1:45" ht="13.9">
      <c r="A63" s="767"/>
      <c r="B63" s="764"/>
      <c r="C63" s="767"/>
      <c r="D63" s="762"/>
      <c r="E63" s="762"/>
      <c r="F63" s="767"/>
      <c r="G63" s="762"/>
      <c r="H63" s="762"/>
      <c r="I63" s="762"/>
      <c r="J63" s="767"/>
      <c r="K63" s="762"/>
      <c r="L63" s="762"/>
      <c r="M63" s="781"/>
      <c r="N63" s="786" t="s">
        <v>9306</v>
      </c>
      <c r="O63" s="786" t="s">
        <v>9306</v>
      </c>
      <c r="P63" s="785" t="s">
        <v>8971</v>
      </c>
      <c r="Q63" s="781"/>
      <c r="U63" s="760"/>
      <c r="X63" s="762"/>
      <c r="Y63" s="762"/>
      <c r="Z63" s="762"/>
      <c r="AA63" s="762"/>
      <c r="AB63" s="762"/>
      <c r="AC63" s="762"/>
      <c r="AD63" s="794"/>
      <c r="AE63" s="762"/>
      <c r="AF63" s="762"/>
      <c r="AG63" s="762"/>
      <c r="AH63" s="762"/>
      <c r="AI63" s="762"/>
      <c r="AJ63" s="762"/>
      <c r="AK63" s="762"/>
      <c r="AL63" s="762"/>
      <c r="AM63" s="762"/>
      <c r="AN63" s="762"/>
      <c r="AO63" s="762"/>
      <c r="AP63" s="762"/>
      <c r="AQ63" s="762"/>
      <c r="AR63" s="762"/>
      <c r="AS63" s="762"/>
    </row>
    <row r="64" spans="1:45" ht="13.9">
      <c r="A64" s="767"/>
      <c r="B64" s="764"/>
      <c r="C64" s="767"/>
      <c r="D64" s="762"/>
      <c r="E64" s="762"/>
      <c r="F64" s="767"/>
      <c r="G64" s="762"/>
      <c r="H64" s="762"/>
      <c r="I64" s="762"/>
      <c r="J64" s="767"/>
      <c r="K64" s="762"/>
      <c r="L64" s="762"/>
      <c r="M64" s="781"/>
      <c r="N64" s="787" t="s">
        <v>9307</v>
      </c>
      <c r="O64" s="781" t="s">
        <v>9308</v>
      </c>
      <c r="P64" s="785" t="s">
        <v>8971</v>
      </c>
      <c r="Q64" s="781"/>
      <c r="U64" s="760"/>
      <c r="X64" s="762"/>
      <c r="Y64" s="762"/>
      <c r="Z64" s="762"/>
      <c r="AA64" s="762"/>
      <c r="AB64" s="762"/>
      <c r="AC64" s="762"/>
      <c r="AD64" s="794"/>
      <c r="AE64" s="762"/>
      <c r="AF64" s="762"/>
      <c r="AG64" s="762"/>
      <c r="AH64" s="762"/>
      <c r="AI64" s="762"/>
      <c r="AJ64" s="762"/>
      <c r="AK64" s="762"/>
      <c r="AL64" s="762"/>
      <c r="AM64" s="762"/>
      <c r="AN64" s="762"/>
      <c r="AO64" s="762"/>
      <c r="AP64" s="762"/>
      <c r="AQ64" s="762"/>
      <c r="AR64" s="762"/>
      <c r="AS64" s="762"/>
    </row>
    <row r="65" spans="1:45" ht="13.9">
      <c r="A65" s="767"/>
      <c r="B65" s="764"/>
      <c r="C65" s="767"/>
      <c r="D65" s="762"/>
      <c r="E65" s="762"/>
      <c r="F65" s="767"/>
      <c r="G65" s="762"/>
      <c r="H65" s="762"/>
      <c r="I65" s="762"/>
      <c r="J65" s="767"/>
      <c r="K65" s="762"/>
      <c r="L65" s="762"/>
      <c r="M65" s="781"/>
      <c r="N65" s="787" t="s">
        <v>9309</v>
      </c>
      <c r="O65" s="781" t="s">
        <v>9310</v>
      </c>
      <c r="P65" s="785" t="s">
        <v>8971</v>
      </c>
      <c r="Q65" s="781"/>
      <c r="U65" s="760"/>
      <c r="X65" s="762"/>
      <c r="Y65" s="762"/>
      <c r="Z65" s="762"/>
      <c r="AA65" s="762"/>
      <c r="AB65" s="762"/>
      <c r="AC65" s="762"/>
      <c r="AD65" s="794"/>
      <c r="AE65" s="762"/>
      <c r="AF65" s="762"/>
      <c r="AG65" s="762"/>
      <c r="AH65" s="762"/>
      <c r="AI65" s="762"/>
      <c r="AJ65" s="762"/>
      <c r="AK65" s="762"/>
      <c r="AL65" s="762"/>
      <c r="AM65" s="762"/>
      <c r="AN65" s="762"/>
      <c r="AO65" s="762"/>
      <c r="AP65" s="762"/>
      <c r="AQ65" s="762"/>
      <c r="AR65" s="762"/>
      <c r="AS65" s="762"/>
    </row>
    <row r="66" spans="1:45" ht="13.9">
      <c r="A66" s="767"/>
      <c r="B66" s="764"/>
      <c r="C66" s="767"/>
      <c r="D66" s="762"/>
      <c r="E66" s="762"/>
      <c r="F66" s="767"/>
      <c r="G66" s="762"/>
      <c r="H66" s="762"/>
      <c r="I66" s="762"/>
      <c r="J66" s="767"/>
      <c r="K66" s="762"/>
      <c r="M66" s="781"/>
      <c r="N66" s="787" t="s">
        <v>9311</v>
      </c>
      <c r="O66" s="781" t="s">
        <v>9310</v>
      </c>
      <c r="P66" s="785" t="s">
        <v>8971</v>
      </c>
      <c r="Q66" s="781"/>
      <c r="U66" s="760"/>
      <c r="X66" s="762"/>
      <c r="Y66" s="762"/>
      <c r="Z66" s="762"/>
      <c r="AA66" s="762"/>
      <c r="AB66" s="762"/>
      <c r="AC66" s="762"/>
      <c r="AD66" s="794"/>
      <c r="AE66" s="762"/>
      <c r="AF66" s="762"/>
      <c r="AG66" s="762"/>
      <c r="AH66" s="762"/>
      <c r="AI66" s="762"/>
      <c r="AJ66" s="762"/>
      <c r="AK66" s="762"/>
      <c r="AL66" s="762"/>
      <c r="AM66" s="762"/>
      <c r="AN66" s="762"/>
      <c r="AO66" s="762"/>
      <c r="AP66" s="762"/>
      <c r="AQ66" s="762"/>
      <c r="AR66" s="762"/>
      <c r="AS66" s="762"/>
    </row>
    <row r="67" spans="1:45" ht="13.9">
      <c r="A67" s="767"/>
      <c r="B67" s="764"/>
      <c r="C67" s="767"/>
      <c r="D67" s="762"/>
      <c r="E67" s="762"/>
      <c r="F67" s="767"/>
      <c r="G67" s="762"/>
      <c r="H67" s="762"/>
      <c r="I67" s="762"/>
      <c r="J67" s="767"/>
      <c r="K67" s="762"/>
      <c r="M67" s="781"/>
      <c r="N67" s="788" t="s">
        <v>9312</v>
      </c>
      <c r="O67" s="788" t="s">
        <v>9312</v>
      </c>
      <c r="P67" s="785" t="s">
        <v>8971</v>
      </c>
      <c r="Q67" s="781"/>
      <c r="U67" s="760"/>
      <c r="X67" s="762"/>
      <c r="Y67" s="762"/>
      <c r="Z67" s="762"/>
      <c r="AA67" s="762"/>
      <c r="AB67" s="762"/>
      <c r="AC67" s="762"/>
      <c r="AD67" s="794"/>
      <c r="AE67" s="762"/>
      <c r="AF67" s="762"/>
      <c r="AG67" s="762"/>
      <c r="AH67" s="762"/>
      <c r="AI67" s="762"/>
      <c r="AJ67" s="762"/>
      <c r="AK67" s="762"/>
      <c r="AL67" s="762"/>
      <c r="AM67" s="762"/>
      <c r="AN67" s="762"/>
      <c r="AO67" s="762"/>
      <c r="AP67" s="762"/>
      <c r="AQ67" s="762"/>
      <c r="AR67" s="762"/>
      <c r="AS67" s="762"/>
    </row>
    <row r="68" spans="1:45" ht="13.9">
      <c r="A68" s="767"/>
      <c r="B68" s="764"/>
      <c r="C68" s="767"/>
      <c r="D68" s="762"/>
      <c r="E68" s="762"/>
      <c r="F68" s="767"/>
      <c r="G68" s="762"/>
      <c r="H68" s="762"/>
      <c r="I68" s="762"/>
      <c r="J68" s="767"/>
      <c r="K68" s="762"/>
      <c r="M68" s="781"/>
      <c r="N68" s="781" t="s">
        <v>9107</v>
      </c>
      <c r="O68" s="781" t="s">
        <v>9107</v>
      </c>
      <c r="P68" s="785" t="s">
        <v>8971</v>
      </c>
      <c r="Q68" s="781"/>
      <c r="U68" s="760"/>
      <c r="X68" s="762"/>
      <c r="Y68" s="762"/>
      <c r="Z68" s="762"/>
      <c r="AA68" s="762"/>
      <c r="AB68" s="762"/>
      <c r="AC68" s="762"/>
      <c r="AD68" s="794"/>
      <c r="AE68" s="762"/>
      <c r="AF68" s="762"/>
      <c r="AG68" s="762"/>
      <c r="AH68" s="762"/>
      <c r="AI68" s="762"/>
      <c r="AJ68" s="762"/>
      <c r="AK68" s="762"/>
      <c r="AL68" s="762"/>
      <c r="AM68" s="762"/>
      <c r="AN68" s="762"/>
      <c r="AO68" s="762"/>
      <c r="AP68" s="762"/>
      <c r="AQ68" s="762"/>
      <c r="AR68" s="762"/>
      <c r="AS68" s="762"/>
    </row>
    <row r="69" spans="1:45" ht="13.9">
      <c r="A69" s="767"/>
      <c r="B69" s="764"/>
      <c r="C69" s="767"/>
      <c r="D69" s="762"/>
      <c r="E69" s="762"/>
      <c r="F69" s="767"/>
      <c r="G69" s="762"/>
      <c r="H69" s="762"/>
      <c r="I69" s="762"/>
      <c r="J69" s="767"/>
      <c r="K69" s="762"/>
      <c r="M69" s="781"/>
      <c r="N69" s="790" t="s">
        <v>9313</v>
      </c>
      <c r="O69" s="781"/>
      <c r="P69" s="785" t="s">
        <v>8971</v>
      </c>
      <c r="Q69" s="781"/>
      <c r="U69" s="760"/>
      <c r="X69" s="762"/>
      <c r="Y69" s="762"/>
      <c r="Z69" s="762"/>
      <c r="AA69" s="762"/>
      <c r="AB69" s="762"/>
      <c r="AC69" s="762"/>
      <c r="AD69" s="794"/>
      <c r="AE69" s="762"/>
      <c r="AF69" s="762"/>
      <c r="AG69" s="762"/>
      <c r="AH69" s="762"/>
      <c r="AI69" s="762"/>
      <c r="AJ69" s="762"/>
      <c r="AK69" s="762"/>
      <c r="AL69" s="762"/>
      <c r="AM69" s="762"/>
      <c r="AN69" s="762"/>
      <c r="AO69" s="762"/>
      <c r="AP69" s="762"/>
      <c r="AQ69" s="762"/>
      <c r="AR69" s="762"/>
      <c r="AS69" s="762"/>
    </row>
    <row r="70" spans="1:45" ht="13.9">
      <c r="A70" s="767"/>
      <c r="B70" s="764"/>
      <c r="C70" s="767"/>
      <c r="D70" s="762"/>
      <c r="E70" s="762"/>
      <c r="F70" s="767"/>
      <c r="G70" s="764"/>
      <c r="J70" s="767"/>
      <c r="K70" s="762"/>
      <c r="M70" s="781"/>
      <c r="N70" s="790" t="s">
        <v>9314</v>
      </c>
      <c r="O70" s="781"/>
      <c r="P70" s="785" t="s">
        <v>8971</v>
      </c>
      <c r="Q70" s="781"/>
      <c r="U70" s="760"/>
      <c r="X70" s="762"/>
      <c r="Y70" s="762"/>
      <c r="Z70" s="762"/>
      <c r="AA70" s="762"/>
      <c r="AB70" s="762"/>
      <c r="AC70" s="762"/>
      <c r="AD70" s="794"/>
      <c r="AE70" s="762"/>
      <c r="AF70" s="762"/>
      <c r="AG70" s="762"/>
      <c r="AH70" s="762"/>
      <c r="AI70" s="762"/>
      <c r="AJ70" s="762"/>
      <c r="AK70" s="762"/>
      <c r="AL70" s="762"/>
      <c r="AM70" s="762"/>
      <c r="AN70" s="762"/>
      <c r="AO70" s="762"/>
      <c r="AP70" s="762"/>
      <c r="AQ70" s="762"/>
      <c r="AR70" s="762"/>
      <c r="AS70" s="762"/>
    </row>
    <row r="71" spans="1:45" ht="13.9">
      <c r="A71" s="767"/>
      <c r="B71" s="764"/>
      <c r="C71" s="767"/>
      <c r="D71" s="762"/>
      <c r="E71" s="764"/>
      <c r="F71" s="770"/>
      <c r="G71" s="764"/>
      <c r="J71" s="767"/>
      <c r="K71" s="762"/>
      <c r="M71" s="781"/>
      <c r="N71" s="790" t="s">
        <v>9315</v>
      </c>
      <c r="O71" s="781"/>
      <c r="P71" s="785" t="s">
        <v>8971</v>
      </c>
      <c r="Q71" s="781"/>
      <c r="U71" s="760"/>
      <c r="X71" s="762"/>
      <c r="Y71" s="762"/>
      <c r="Z71" s="762"/>
      <c r="AA71" s="762"/>
      <c r="AB71" s="762"/>
      <c r="AC71" s="762"/>
      <c r="AD71" s="794"/>
      <c r="AE71" s="762"/>
      <c r="AF71" s="762"/>
      <c r="AG71" s="762"/>
      <c r="AH71" s="762"/>
      <c r="AI71" s="762"/>
      <c r="AJ71" s="762"/>
      <c r="AK71" s="762"/>
      <c r="AL71" s="762"/>
      <c r="AM71" s="762"/>
      <c r="AN71" s="762"/>
      <c r="AO71" s="762"/>
      <c r="AP71" s="762"/>
      <c r="AQ71" s="762"/>
      <c r="AR71" s="762"/>
      <c r="AS71" s="762"/>
    </row>
    <row r="72" spans="1:45" ht="13.9">
      <c r="A72" s="772"/>
      <c r="B72" s="764"/>
      <c r="C72" s="764"/>
      <c r="D72" s="762"/>
      <c r="E72" s="764"/>
      <c r="F72" s="770"/>
      <c r="G72" s="764"/>
      <c r="J72" s="767"/>
      <c r="K72" s="762"/>
      <c r="M72" s="781"/>
      <c r="N72" s="790" t="s">
        <v>9316</v>
      </c>
      <c r="O72" s="781"/>
      <c r="P72" s="785" t="s">
        <v>8971</v>
      </c>
      <c r="Q72" s="781"/>
      <c r="U72" s="760"/>
      <c r="X72" s="762"/>
      <c r="Y72" s="762"/>
      <c r="Z72" s="762"/>
      <c r="AA72" s="762"/>
      <c r="AB72" s="762"/>
      <c r="AC72" s="762"/>
      <c r="AD72" s="794"/>
      <c r="AE72" s="762"/>
      <c r="AF72" s="762"/>
      <c r="AG72" s="762"/>
      <c r="AH72" s="762"/>
      <c r="AI72" s="762"/>
      <c r="AJ72" s="762"/>
      <c r="AK72" s="762"/>
      <c r="AL72" s="762"/>
      <c r="AM72" s="762"/>
      <c r="AN72" s="762"/>
      <c r="AO72" s="762"/>
      <c r="AP72" s="762"/>
      <c r="AQ72" s="762"/>
      <c r="AR72" s="762"/>
      <c r="AS72" s="762"/>
    </row>
    <row r="73" spans="1:45" ht="13.9">
      <c r="A73" s="770"/>
      <c r="C73" s="764"/>
      <c r="D73" s="762"/>
      <c r="E73" s="764"/>
      <c r="F73" s="770"/>
      <c r="G73" s="764"/>
      <c r="J73" s="767"/>
      <c r="K73" s="762"/>
      <c r="M73" s="781"/>
      <c r="N73" s="790" t="s">
        <v>3884</v>
      </c>
      <c r="O73" s="781"/>
      <c r="P73" s="781" t="s">
        <v>9317</v>
      </c>
      <c r="Q73" s="781"/>
      <c r="U73" s="760"/>
      <c r="X73" s="762"/>
      <c r="Y73" s="762"/>
      <c r="Z73" s="762"/>
      <c r="AA73" s="762"/>
      <c r="AB73" s="762"/>
      <c r="AC73" s="762"/>
      <c r="AD73" s="794"/>
      <c r="AE73" s="762"/>
      <c r="AF73" s="762"/>
      <c r="AG73" s="762"/>
      <c r="AH73" s="762"/>
      <c r="AI73" s="762"/>
      <c r="AJ73" s="762"/>
      <c r="AK73" s="762"/>
      <c r="AL73" s="762"/>
      <c r="AM73" s="762"/>
      <c r="AN73" s="762"/>
      <c r="AO73" s="762"/>
      <c r="AP73" s="762"/>
      <c r="AQ73" s="762"/>
      <c r="AR73" s="762"/>
      <c r="AS73" s="762"/>
    </row>
    <row r="74" spans="1:45" ht="13.9">
      <c r="A74" s="770"/>
      <c r="C74" s="764"/>
      <c r="D74" s="762"/>
      <c r="E74" s="764"/>
      <c r="F74" s="770"/>
      <c r="G74" s="764"/>
      <c r="J74" s="767"/>
      <c r="K74" s="762"/>
      <c r="M74" s="781"/>
      <c r="N74" s="791" t="s">
        <v>9318</v>
      </c>
      <c r="O74" s="781"/>
      <c r="P74" s="785" t="s">
        <v>8971</v>
      </c>
      <c r="Q74" s="781"/>
      <c r="U74" s="760"/>
      <c r="X74" s="762"/>
      <c r="Y74" s="762"/>
      <c r="Z74" s="762"/>
      <c r="AA74" s="762"/>
      <c r="AB74" s="762"/>
      <c r="AC74" s="762"/>
      <c r="AD74" s="794"/>
      <c r="AE74" s="762"/>
      <c r="AF74" s="762"/>
      <c r="AG74" s="762"/>
      <c r="AH74" s="762"/>
      <c r="AI74" s="762"/>
      <c r="AJ74" s="762"/>
      <c r="AK74" s="762"/>
      <c r="AL74" s="762"/>
      <c r="AM74" s="762"/>
      <c r="AN74" s="762"/>
      <c r="AO74" s="762"/>
      <c r="AP74" s="762"/>
      <c r="AQ74" s="762"/>
      <c r="AR74" s="762"/>
      <c r="AS74" s="762"/>
    </row>
    <row r="75" spans="1:45" ht="13.9">
      <c r="A75" s="770"/>
      <c r="C75" s="764"/>
      <c r="D75" s="762"/>
      <c r="E75" s="764"/>
      <c r="F75" s="770"/>
      <c r="G75" s="762"/>
      <c r="H75" s="762"/>
      <c r="I75" s="762"/>
      <c r="J75" s="767"/>
      <c r="K75" s="762"/>
      <c r="M75" s="781"/>
      <c r="N75" s="791" t="s">
        <v>9319</v>
      </c>
      <c r="O75" s="781"/>
      <c r="P75" s="781" t="s">
        <v>8971</v>
      </c>
      <c r="Q75" s="781"/>
      <c r="U75" s="760"/>
      <c r="X75" s="762"/>
      <c r="Y75" s="762"/>
      <c r="Z75" s="762"/>
      <c r="AA75" s="762"/>
      <c r="AB75" s="762"/>
      <c r="AC75" s="762"/>
      <c r="AD75" s="794"/>
      <c r="AE75" s="762"/>
      <c r="AF75" s="762"/>
      <c r="AG75" s="762"/>
      <c r="AH75" s="762"/>
      <c r="AI75" s="762"/>
      <c r="AJ75" s="762"/>
      <c r="AK75" s="762"/>
      <c r="AL75" s="762"/>
      <c r="AM75" s="762"/>
      <c r="AN75" s="762"/>
      <c r="AO75" s="762"/>
      <c r="AP75" s="762"/>
      <c r="AQ75" s="762"/>
      <c r="AR75" s="762"/>
      <c r="AS75" s="762"/>
    </row>
    <row r="76" spans="1:45" ht="13.9">
      <c r="A76" s="770"/>
      <c r="C76" s="764"/>
      <c r="D76" s="762"/>
      <c r="E76" s="762"/>
      <c r="F76" s="767"/>
      <c r="G76" s="762"/>
      <c r="H76" s="762"/>
      <c r="I76" s="762"/>
      <c r="J76" s="767"/>
      <c r="K76" s="762"/>
      <c r="M76" s="781"/>
      <c r="N76" s="791" t="s">
        <v>9320</v>
      </c>
      <c r="O76" s="781"/>
      <c r="P76" s="781" t="s">
        <v>8971</v>
      </c>
      <c r="Q76" s="781"/>
      <c r="U76" s="760"/>
      <c r="X76" s="762"/>
      <c r="Y76" s="762"/>
      <c r="Z76" s="762"/>
      <c r="AA76" s="762"/>
      <c r="AB76" s="762"/>
      <c r="AC76" s="762"/>
      <c r="AD76" s="794"/>
      <c r="AE76" s="762"/>
      <c r="AF76" s="762"/>
      <c r="AG76" s="762"/>
      <c r="AH76" s="762"/>
      <c r="AI76" s="762"/>
      <c r="AJ76" s="762"/>
      <c r="AK76" s="762"/>
      <c r="AL76" s="762"/>
      <c r="AM76" s="762"/>
      <c r="AN76" s="762"/>
      <c r="AO76" s="762"/>
      <c r="AP76" s="762"/>
      <c r="AQ76" s="762"/>
      <c r="AR76" s="762"/>
      <c r="AS76" s="762"/>
    </row>
    <row r="77" spans="1:45" ht="13.9">
      <c r="A77" s="767"/>
      <c r="C77" s="767"/>
      <c r="D77" s="762"/>
      <c r="E77" s="762"/>
      <c r="F77" s="767"/>
      <c r="G77" s="762"/>
      <c r="H77" s="762"/>
      <c r="I77" s="762"/>
      <c r="J77" s="767"/>
      <c r="K77" s="762"/>
      <c r="M77" s="781"/>
      <c r="N77" s="791" t="s">
        <v>9321</v>
      </c>
      <c r="O77" s="781"/>
      <c r="P77" s="781" t="s">
        <v>8971</v>
      </c>
      <c r="Q77" s="781"/>
      <c r="U77" s="760"/>
      <c r="X77" s="762"/>
      <c r="Y77" s="762"/>
      <c r="Z77" s="762"/>
      <c r="AA77" s="762"/>
      <c r="AB77" s="762"/>
      <c r="AC77" s="762"/>
      <c r="AD77" s="794"/>
      <c r="AE77" s="762"/>
      <c r="AF77" s="762"/>
      <c r="AG77" s="762"/>
      <c r="AH77" s="762"/>
      <c r="AI77" s="762"/>
      <c r="AJ77" s="762"/>
      <c r="AK77" s="762"/>
      <c r="AL77" s="762"/>
      <c r="AM77" s="762"/>
      <c r="AN77" s="762"/>
      <c r="AO77" s="762"/>
      <c r="AP77" s="762"/>
      <c r="AQ77" s="762"/>
      <c r="AR77" s="762"/>
      <c r="AS77" s="762"/>
    </row>
    <row r="78" spans="1:45" ht="13.9">
      <c r="A78" s="767"/>
      <c r="C78" s="767"/>
      <c r="D78" s="762"/>
      <c r="E78" s="762"/>
      <c r="F78" s="767"/>
      <c r="G78" s="762"/>
      <c r="H78" s="762"/>
      <c r="I78" s="762"/>
      <c r="J78" s="767"/>
      <c r="K78" s="762"/>
      <c r="M78" s="781"/>
      <c r="N78" s="791" t="s">
        <v>9322</v>
      </c>
      <c r="O78" s="781"/>
      <c r="P78" s="781" t="s">
        <v>8971</v>
      </c>
      <c r="Q78" s="781"/>
      <c r="U78" s="760"/>
      <c r="X78" s="762"/>
      <c r="Y78" s="762"/>
      <c r="Z78" s="762"/>
      <c r="AA78" s="762"/>
      <c r="AB78" s="762"/>
      <c r="AC78" s="762"/>
      <c r="AD78" s="794"/>
      <c r="AE78" s="762"/>
      <c r="AF78" s="762"/>
      <c r="AG78" s="762"/>
      <c r="AH78" s="762"/>
      <c r="AI78" s="762"/>
      <c r="AJ78" s="762"/>
      <c r="AK78" s="762"/>
      <c r="AL78" s="762"/>
      <c r="AM78" s="762"/>
      <c r="AN78" s="762"/>
      <c r="AO78" s="762"/>
      <c r="AP78" s="762"/>
      <c r="AQ78" s="762"/>
      <c r="AR78" s="762"/>
      <c r="AS78" s="762"/>
    </row>
    <row r="79" spans="1:45" ht="13.9">
      <c r="A79" s="767"/>
      <c r="C79" s="767"/>
      <c r="D79" s="762"/>
      <c r="E79" s="762"/>
      <c r="F79" s="767"/>
      <c r="G79" s="762"/>
      <c r="H79" s="762"/>
      <c r="I79" s="762"/>
      <c r="J79" s="767"/>
      <c r="K79" s="762"/>
      <c r="M79" s="781"/>
      <c r="N79" s="791" t="s">
        <v>9323</v>
      </c>
      <c r="O79" s="781"/>
      <c r="P79" s="781" t="s">
        <v>8971</v>
      </c>
      <c r="Q79" s="781"/>
      <c r="U79" s="760"/>
      <c r="X79" s="762"/>
      <c r="Y79" s="762"/>
      <c r="Z79" s="762"/>
      <c r="AA79" s="762"/>
      <c r="AB79" s="762"/>
      <c r="AC79" s="762"/>
      <c r="AD79" s="794"/>
      <c r="AE79" s="762"/>
      <c r="AF79" s="762"/>
      <c r="AG79" s="762"/>
      <c r="AH79" s="762"/>
      <c r="AI79" s="762"/>
      <c r="AJ79" s="762"/>
      <c r="AK79" s="762"/>
      <c r="AL79" s="762"/>
      <c r="AM79" s="762"/>
      <c r="AN79" s="762"/>
      <c r="AO79" s="762"/>
      <c r="AP79" s="762"/>
      <c r="AQ79" s="762"/>
      <c r="AR79" s="762"/>
      <c r="AS79" s="762"/>
    </row>
    <row r="80" spans="1:45" ht="13.9">
      <c r="A80" s="767"/>
      <c r="C80" s="767"/>
      <c r="D80" s="762"/>
      <c r="E80" s="762"/>
      <c r="F80" s="767"/>
      <c r="G80" s="762"/>
      <c r="H80" s="762"/>
      <c r="I80" s="762"/>
      <c r="J80" s="767"/>
      <c r="K80" s="762"/>
      <c r="M80" s="781"/>
      <c r="N80" s="791" t="s">
        <v>9324</v>
      </c>
      <c r="O80" s="781"/>
      <c r="P80" s="781" t="s">
        <v>8971</v>
      </c>
      <c r="Q80" s="781"/>
      <c r="U80" s="760"/>
      <c r="X80" s="762"/>
      <c r="Y80" s="762"/>
      <c r="Z80" s="762"/>
      <c r="AA80" s="762"/>
      <c r="AB80" s="762"/>
      <c r="AC80" s="762"/>
      <c r="AD80" s="794"/>
      <c r="AE80" s="762"/>
      <c r="AF80" s="762"/>
      <c r="AG80" s="762"/>
      <c r="AH80" s="762"/>
      <c r="AI80" s="762"/>
      <c r="AJ80" s="762"/>
      <c r="AK80" s="762"/>
      <c r="AL80" s="762"/>
      <c r="AM80" s="762"/>
      <c r="AN80" s="762"/>
      <c r="AO80" s="762"/>
      <c r="AP80" s="762"/>
      <c r="AQ80" s="762"/>
      <c r="AR80" s="762"/>
      <c r="AS80" s="762"/>
    </row>
    <row r="81" spans="1:45" ht="13.9">
      <c r="A81" s="767"/>
      <c r="C81" s="767"/>
      <c r="D81" s="762"/>
      <c r="E81" s="762"/>
      <c r="F81" s="767"/>
      <c r="G81" s="762"/>
      <c r="H81" s="762"/>
      <c r="I81" s="762"/>
      <c r="J81" s="767"/>
      <c r="K81" s="762"/>
      <c r="M81" s="781"/>
      <c r="N81" s="791" t="s">
        <v>9325</v>
      </c>
      <c r="O81" s="781"/>
      <c r="P81" s="781" t="s">
        <v>8971</v>
      </c>
      <c r="Q81" s="781"/>
      <c r="U81" s="760"/>
      <c r="X81" s="762"/>
      <c r="Y81" s="762"/>
      <c r="Z81" s="762"/>
      <c r="AA81" s="762"/>
      <c r="AB81" s="762"/>
      <c r="AC81" s="762"/>
      <c r="AD81" s="794"/>
      <c r="AE81" s="762"/>
      <c r="AF81" s="762"/>
      <c r="AG81" s="762"/>
      <c r="AH81" s="762"/>
      <c r="AI81" s="762"/>
      <c r="AJ81" s="762"/>
      <c r="AK81" s="762"/>
      <c r="AL81" s="762"/>
      <c r="AM81" s="762"/>
      <c r="AN81" s="762"/>
      <c r="AO81" s="762"/>
      <c r="AP81" s="762"/>
      <c r="AQ81" s="762"/>
      <c r="AR81" s="762"/>
      <c r="AS81" s="762"/>
    </row>
    <row r="82" spans="1:45" ht="13.9">
      <c r="A82" s="767"/>
      <c r="C82" s="767"/>
      <c r="D82" s="762"/>
      <c r="E82" s="762"/>
      <c r="F82" s="767"/>
      <c r="G82" s="762"/>
      <c r="H82" s="762"/>
      <c r="I82" s="762"/>
      <c r="J82" s="767"/>
      <c r="K82" s="762"/>
      <c r="M82" s="781"/>
      <c r="N82" s="791" t="s">
        <v>9326</v>
      </c>
      <c r="O82" s="781"/>
      <c r="P82" s="781" t="s">
        <v>8971</v>
      </c>
      <c r="Q82" s="781"/>
      <c r="U82" s="760"/>
      <c r="X82" s="762"/>
      <c r="Y82" s="762"/>
      <c r="Z82" s="762"/>
      <c r="AA82" s="762"/>
      <c r="AB82" s="762"/>
      <c r="AC82" s="762"/>
      <c r="AD82" s="794"/>
      <c r="AE82" s="762"/>
      <c r="AF82" s="762"/>
      <c r="AG82" s="762"/>
      <c r="AH82" s="762"/>
      <c r="AI82" s="762"/>
      <c r="AJ82" s="762"/>
      <c r="AK82" s="762"/>
      <c r="AL82" s="762"/>
      <c r="AM82" s="762"/>
      <c r="AN82" s="762"/>
      <c r="AO82" s="762"/>
      <c r="AP82" s="762"/>
      <c r="AQ82" s="762"/>
      <c r="AR82" s="762"/>
      <c r="AS82" s="762"/>
    </row>
    <row r="83" spans="1:45" ht="13.9">
      <c r="A83" s="767"/>
      <c r="B83" s="762"/>
      <c r="C83" s="767"/>
      <c r="D83" s="762"/>
      <c r="E83" s="762"/>
      <c r="F83" s="767"/>
      <c r="G83" s="762"/>
      <c r="H83" s="762"/>
      <c r="I83" s="762"/>
      <c r="J83" s="767"/>
      <c r="K83" s="762"/>
      <c r="M83" s="781"/>
      <c r="N83" s="791" t="s">
        <v>9327</v>
      </c>
      <c r="O83" s="781"/>
      <c r="P83" s="781" t="s">
        <v>8971</v>
      </c>
      <c r="Q83" s="781"/>
      <c r="U83" s="760"/>
      <c r="X83" s="762"/>
      <c r="Y83" s="762"/>
      <c r="Z83" s="762"/>
      <c r="AA83" s="762"/>
      <c r="AB83" s="762"/>
      <c r="AC83" s="762"/>
      <c r="AD83" s="794"/>
      <c r="AE83" s="762"/>
      <c r="AF83" s="762"/>
      <c r="AG83" s="762"/>
      <c r="AH83" s="762"/>
      <c r="AI83" s="762"/>
      <c r="AJ83" s="762"/>
      <c r="AK83" s="762"/>
      <c r="AL83" s="762"/>
      <c r="AM83" s="762"/>
      <c r="AN83" s="762"/>
      <c r="AO83" s="762"/>
      <c r="AP83" s="762"/>
      <c r="AQ83" s="762"/>
      <c r="AR83" s="762"/>
      <c r="AS83" s="762"/>
    </row>
    <row r="84" spans="1:45" ht="13.9">
      <c r="A84" s="767"/>
      <c r="B84" s="762"/>
      <c r="C84" s="767"/>
      <c r="D84" s="764"/>
      <c r="E84" s="762"/>
      <c r="F84" s="767"/>
      <c r="G84" s="762"/>
      <c r="H84" s="762"/>
      <c r="I84" s="762"/>
      <c r="J84" s="767"/>
      <c r="K84" s="762"/>
      <c r="M84" s="781"/>
      <c r="N84" s="791" t="s">
        <v>9328</v>
      </c>
      <c r="O84" s="781"/>
      <c r="P84" s="781" t="s">
        <v>8971</v>
      </c>
      <c r="Q84" s="781"/>
      <c r="U84" s="760"/>
      <c r="X84" s="762"/>
      <c r="Y84" s="762"/>
      <c r="Z84" s="762"/>
      <c r="AA84" s="762"/>
      <c r="AB84" s="762"/>
      <c r="AC84" s="762"/>
      <c r="AD84" s="794"/>
      <c r="AE84" s="762"/>
      <c r="AF84" s="762"/>
      <c r="AG84" s="762"/>
      <c r="AH84" s="762"/>
      <c r="AI84" s="762"/>
      <c r="AJ84" s="762"/>
      <c r="AK84" s="762"/>
      <c r="AL84" s="762"/>
      <c r="AM84" s="762"/>
      <c r="AN84" s="762"/>
      <c r="AO84" s="762"/>
      <c r="AP84" s="762"/>
      <c r="AQ84" s="762"/>
      <c r="AR84" s="762"/>
      <c r="AS84" s="762"/>
    </row>
    <row r="85" spans="1:45" ht="13.9">
      <c r="A85" s="767"/>
      <c r="B85" s="762"/>
      <c r="C85" s="767"/>
      <c r="D85" s="764"/>
      <c r="E85" s="762"/>
      <c r="F85" s="767"/>
      <c r="G85" s="762"/>
      <c r="H85" s="762"/>
      <c r="I85" s="762"/>
      <c r="J85" s="767"/>
      <c r="K85" s="762"/>
      <c r="M85" s="781"/>
      <c r="N85" s="791" t="s">
        <v>9329</v>
      </c>
      <c r="O85" s="781"/>
      <c r="P85" s="781" t="s">
        <v>8971</v>
      </c>
      <c r="Q85" s="781"/>
      <c r="U85" s="760"/>
      <c r="X85" s="762"/>
      <c r="Y85" s="762"/>
      <c r="Z85" s="762"/>
      <c r="AA85" s="762"/>
      <c r="AB85" s="762"/>
      <c r="AC85" s="762"/>
      <c r="AD85" s="794"/>
      <c r="AE85" s="762"/>
      <c r="AF85" s="762"/>
      <c r="AG85" s="762"/>
      <c r="AH85" s="762"/>
      <c r="AI85" s="762"/>
      <c r="AJ85" s="762"/>
      <c r="AK85" s="762"/>
      <c r="AL85" s="762"/>
      <c r="AM85" s="762"/>
      <c r="AN85" s="762"/>
      <c r="AO85" s="762"/>
      <c r="AP85" s="762"/>
      <c r="AQ85" s="762"/>
      <c r="AR85" s="762"/>
      <c r="AS85" s="762"/>
    </row>
    <row r="86" spans="1:45" ht="13.9">
      <c r="A86" s="767"/>
      <c r="B86" s="762"/>
      <c r="C86" s="767"/>
      <c r="D86" s="764"/>
      <c r="E86" s="762"/>
      <c r="F86" s="767"/>
      <c r="G86" s="762"/>
      <c r="H86" s="762"/>
      <c r="I86" s="762"/>
      <c r="J86" s="767"/>
      <c r="K86" s="762"/>
      <c r="M86" s="781"/>
      <c r="N86" s="791" t="s">
        <v>9330</v>
      </c>
      <c r="O86" s="781"/>
      <c r="P86" s="781" t="s">
        <v>8971</v>
      </c>
      <c r="Q86" s="781"/>
      <c r="U86" s="760"/>
      <c r="X86" s="762"/>
      <c r="Y86" s="762"/>
      <c r="Z86" s="762"/>
      <c r="AA86" s="762"/>
      <c r="AB86" s="762"/>
      <c r="AC86" s="762"/>
      <c r="AD86" s="794"/>
      <c r="AE86" s="762"/>
      <c r="AF86" s="762"/>
      <c r="AG86" s="762"/>
      <c r="AH86" s="762"/>
      <c r="AI86" s="762"/>
      <c r="AJ86" s="762"/>
      <c r="AK86" s="762"/>
      <c r="AL86" s="762"/>
      <c r="AM86" s="762"/>
      <c r="AN86" s="762"/>
      <c r="AO86" s="762"/>
      <c r="AP86" s="762"/>
      <c r="AQ86" s="762"/>
      <c r="AR86" s="762"/>
      <c r="AS86" s="762"/>
    </row>
    <row r="87" spans="1:45" ht="13.9">
      <c r="A87" s="767"/>
      <c r="B87" s="762"/>
      <c r="C87" s="767"/>
      <c r="D87" s="764"/>
      <c r="E87" s="762"/>
      <c r="F87" s="767"/>
      <c r="G87" s="762"/>
      <c r="H87" s="762"/>
      <c r="I87" s="762"/>
      <c r="J87" s="767"/>
      <c r="K87" s="762"/>
      <c r="M87" s="781"/>
      <c r="N87" s="781" t="s">
        <v>9331</v>
      </c>
      <c r="O87" s="781"/>
      <c r="P87" s="781" t="s">
        <v>8971</v>
      </c>
      <c r="Q87" s="781"/>
      <c r="U87" s="760"/>
      <c r="X87" s="762"/>
      <c r="Y87" s="762"/>
      <c r="Z87" s="762"/>
      <c r="AA87" s="762"/>
      <c r="AB87" s="762"/>
      <c r="AC87" s="762"/>
      <c r="AD87" s="794"/>
      <c r="AE87" s="762"/>
      <c r="AF87" s="762"/>
      <c r="AG87" s="762"/>
      <c r="AH87" s="762"/>
      <c r="AI87" s="762"/>
      <c r="AJ87" s="762"/>
      <c r="AK87" s="762"/>
      <c r="AL87" s="762"/>
      <c r="AM87" s="762"/>
      <c r="AN87" s="762"/>
      <c r="AO87" s="762"/>
      <c r="AP87" s="762"/>
      <c r="AQ87" s="762"/>
      <c r="AR87" s="762"/>
      <c r="AS87" s="762"/>
    </row>
    <row r="88" spans="1:45" ht="13.9">
      <c r="A88" s="767"/>
      <c r="B88" s="762"/>
      <c r="C88" s="767"/>
      <c r="D88" s="764"/>
      <c r="E88" s="762"/>
      <c r="F88" s="767"/>
      <c r="G88" s="762"/>
      <c r="H88" s="762"/>
      <c r="I88" s="762"/>
      <c r="J88" s="767"/>
      <c r="K88" s="762"/>
      <c r="M88" s="781"/>
      <c r="N88" s="781" t="s">
        <v>4175</v>
      </c>
      <c r="O88" s="781"/>
      <c r="P88" s="781" t="s">
        <v>8492</v>
      </c>
      <c r="Q88" s="781"/>
      <c r="U88" s="760"/>
      <c r="X88" s="762"/>
      <c r="Y88" s="762"/>
      <c r="Z88" s="762"/>
      <c r="AA88" s="762"/>
      <c r="AB88" s="762"/>
      <c r="AC88" s="762"/>
      <c r="AD88" s="794"/>
      <c r="AE88" s="762"/>
      <c r="AF88" s="762"/>
      <c r="AG88" s="762"/>
      <c r="AH88" s="762"/>
      <c r="AI88" s="762"/>
      <c r="AJ88" s="762"/>
      <c r="AK88" s="762"/>
      <c r="AL88" s="762"/>
      <c r="AM88" s="762"/>
      <c r="AN88" s="762"/>
      <c r="AO88" s="762"/>
      <c r="AP88" s="762"/>
      <c r="AQ88" s="762"/>
      <c r="AR88" s="762"/>
      <c r="AS88" s="762"/>
    </row>
    <row r="89" spans="1:45" ht="13.9">
      <c r="A89" s="767"/>
      <c r="B89" s="762"/>
      <c r="C89" s="767"/>
      <c r="D89" s="762"/>
      <c r="E89" s="762"/>
      <c r="F89" s="767"/>
      <c r="G89" s="762"/>
      <c r="H89" s="762"/>
      <c r="I89" s="762"/>
      <c r="J89" s="767"/>
      <c r="K89" s="762"/>
      <c r="U89" s="760"/>
      <c r="X89" s="762"/>
      <c r="Y89" s="762"/>
      <c r="Z89" s="762"/>
      <c r="AA89" s="762"/>
      <c r="AB89" s="762"/>
      <c r="AC89" s="762"/>
      <c r="AD89" s="794"/>
      <c r="AE89" s="762"/>
      <c r="AF89" s="762"/>
      <c r="AG89" s="762"/>
      <c r="AH89" s="762"/>
      <c r="AI89" s="762"/>
      <c r="AJ89" s="762"/>
      <c r="AK89" s="762"/>
      <c r="AL89" s="762"/>
      <c r="AM89" s="762"/>
      <c r="AN89" s="762"/>
      <c r="AO89" s="762"/>
      <c r="AP89" s="762"/>
      <c r="AQ89" s="762"/>
      <c r="AR89" s="762"/>
      <c r="AS89" s="762"/>
    </row>
    <row r="90" spans="1:45" ht="13.9">
      <c r="A90" s="767"/>
      <c r="B90" s="762"/>
      <c r="C90" s="767"/>
      <c r="D90" s="762"/>
      <c r="E90" s="762"/>
      <c r="F90" s="767"/>
      <c r="G90" s="762"/>
      <c r="H90" s="762"/>
      <c r="I90" s="762"/>
      <c r="J90" s="767"/>
      <c r="K90" s="762"/>
      <c r="U90" s="760"/>
      <c r="X90" s="762"/>
      <c r="Y90" s="762"/>
      <c r="Z90" s="762"/>
      <c r="AA90" s="762"/>
      <c r="AB90" s="762"/>
      <c r="AC90" s="762"/>
      <c r="AD90" s="794"/>
      <c r="AE90" s="762"/>
      <c r="AF90" s="762"/>
      <c r="AG90" s="762"/>
      <c r="AH90" s="762"/>
      <c r="AI90" s="762"/>
      <c r="AJ90" s="762"/>
      <c r="AK90" s="762"/>
      <c r="AL90" s="762"/>
      <c r="AM90" s="762"/>
      <c r="AN90" s="762"/>
      <c r="AO90" s="762"/>
      <c r="AP90" s="762"/>
      <c r="AQ90" s="762"/>
      <c r="AR90" s="762"/>
      <c r="AS90" s="762"/>
    </row>
    <row r="91" spans="1:45" ht="13.9">
      <c r="A91" s="767"/>
      <c r="B91" s="762"/>
      <c r="C91" s="767"/>
      <c r="D91" s="762"/>
      <c r="E91" s="762"/>
      <c r="F91" s="767"/>
      <c r="G91" s="762"/>
      <c r="H91" s="762"/>
      <c r="I91" s="762"/>
      <c r="J91" s="767"/>
      <c r="K91" s="762"/>
      <c r="U91" s="760"/>
      <c r="X91" s="762"/>
      <c r="Y91" s="762"/>
      <c r="Z91" s="762"/>
      <c r="AA91" s="762"/>
      <c r="AB91" s="762"/>
      <c r="AC91" s="762"/>
      <c r="AD91" s="794"/>
      <c r="AE91" s="762"/>
      <c r="AF91" s="762"/>
      <c r="AG91" s="762"/>
      <c r="AH91" s="762"/>
      <c r="AI91" s="762"/>
      <c r="AJ91" s="762"/>
      <c r="AK91" s="762"/>
      <c r="AL91" s="762"/>
      <c r="AM91" s="762"/>
      <c r="AN91" s="762"/>
      <c r="AO91" s="762"/>
      <c r="AP91" s="762"/>
      <c r="AQ91" s="762"/>
      <c r="AR91" s="762"/>
      <c r="AS91" s="762"/>
    </row>
    <row r="92" spans="1:45" ht="13.9">
      <c r="A92" s="767"/>
      <c r="B92" s="762"/>
      <c r="C92" s="767"/>
      <c r="D92" s="762"/>
      <c r="E92" s="762"/>
      <c r="F92" s="767"/>
      <c r="G92" s="762"/>
      <c r="H92" s="762"/>
      <c r="I92" s="762"/>
      <c r="J92" s="767"/>
      <c r="K92" s="762"/>
      <c r="U92" s="760"/>
      <c r="X92" s="762"/>
      <c r="Y92" s="762"/>
      <c r="Z92" s="762"/>
      <c r="AA92" s="762"/>
      <c r="AB92" s="762"/>
      <c r="AC92" s="762"/>
      <c r="AD92" s="794"/>
      <c r="AE92" s="762"/>
      <c r="AF92" s="762"/>
      <c r="AG92" s="762"/>
      <c r="AH92" s="762"/>
      <c r="AI92" s="762"/>
      <c r="AJ92" s="762"/>
      <c r="AK92" s="762"/>
      <c r="AL92" s="762"/>
      <c r="AM92" s="762"/>
      <c r="AN92" s="762"/>
      <c r="AO92" s="762"/>
      <c r="AP92" s="762"/>
      <c r="AQ92" s="762"/>
      <c r="AR92" s="762"/>
      <c r="AS92" s="762"/>
    </row>
    <row r="93" spans="1:45" ht="13.9">
      <c r="A93" s="767"/>
      <c r="B93" s="762"/>
      <c r="C93" s="767"/>
      <c r="D93" s="762"/>
      <c r="E93" s="762"/>
      <c r="F93" s="767"/>
      <c r="G93" s="762"/>
      <c r="H93" s="762"/>
      <c r="I93" s="762"/>
      <c r="J93" s="767"/>
      <c r="K93" s="762"/>
      <c r="U93" s="760"/>
      <c r="X93" s="762"/>
      <c r="Y93" s="762"/>
      <c r="Z93" s="762"/>
      <c r="AA93" s="762"/>
      <c r="AB93" s="762"/>
      <c r="AC93" s="762"/>
      <c r="AD93" s="794"/>
      <c r="AE93" s="762"/>
      <c r="AF93" s="762"/>
      <c r="AG93" s="762"/>
      <c r="AH93" s="762"/>
      <c r="AI93" s="762"/>
      <c r="AJ93" s="762"/>
      <c r="AK93" s="762"/>
      <c r="AL93" s="762"/>
      <c r="AM93" s="762"/>
      <c r="AN93" s="762"/>
      <c r="AO93" s="762"/>
      <c r="AP93" s="762"/>
      <c r="AQ93" s="762"/>
      <c r="AR93" s="762"/>
      <c r="AS93" s="762"/>
    </row>
    <row r="94" spans="1:45" ht="13.9">
      <c r="A94" s="767"/>
      <c r="B94" s="762"/>
      <c r="C94" s="767"/>
      <c r="D94" s="762"/>
      <c r="E94" s="762"/>
      <c r="F94" s="767"/>
      <c r="G94" s="762"/>
      <c r="H94" s="762"/>
      <c r="I94" s="762"/>
      <c r="J94" s="767"/>
      <c r="K94" s="762"/>
      <c r="U94" s="760"/>
      <c r="X94" s="762"/>
      <c r="Y94" s="762"/>
      <c r="Z94" s="762"/>
      <c r="AA94" s="762"/>
      <c r="AB94" s="762"/>
      <c r="AC94" s="762"/>
      <c r="AD94" s="794"/>
      <c r="AE94" s="762"/>
      <c r="AF94" s="762"/>
      <c r="AG94" s="762"/>
      <c r="AH94" s="762"/>
      <c r="AI94" s="762"/>
      <c r="AJ94" s="762"/>
      <c r="AK94" s="762"/>
      <c r="AL94" s="762"/>
      <c r="AM94" s="762"/>
      <c r="AN94" s="762"/>
      <c r="AO94" s="762"/>
      <c r="AP94" s="762"/>
      <c r="AQ94" s="762"/>
      <c r="AR94" s="762"/>
      <c r="AS94" s="762"/>
    </row>
    <row r="95" spans="1:45" ht="13.9">
      <c r="A95" s="767"/>
      <c r="B95" s="762"/>
      <c r="C95" s="767"/>
      <c r="D95" s="762"/>
      <c r="E95" s="762"/>
      <c r="F95" s="767"/>
      <c r="G95" s="762"/>
      <c r="H95" s="762"/>
      <c r="I95" s="762"/>
      <c r="J95" s="767"/>
      <c r="K95" s="762"/>
      <c r="U95" s="760"/>
      <c r="X95" s="762"/>
      <c r="Y95" s="762"/>
      <c r="Z95" s="762"/>
      <c r="AA95" s="762"/>
      <c r="AB95" s="762"/>
      <c r="AC95" s="762"/>
      <c r="AD95" s="794"/>
      <c r="AE95" s="762"/>
      <c r="AF95" s="762"/>
      <c r="AG95" s="762"/>
      <c r="AH95" s="762"/>
      <c r="AI95" s="762"/>
      <c r="AJ95" s="762"/>
      <c r="AK95" s="762"/>
      <c r="AL95" s="762"/>
      <c r="AM95" s="762"/>
      <c r="AN95" s="762"/>
      <c r="AO95" s="762"/>
      <c r="AP95" s="762"/>
      <c r="AQ95" s="762"/>
      <c r="AR95" s="762"/>
      <c r="AS95" s="762"/>
    </row>
    <row r="96" spans="1:45" ht="13.9">
      <c r="A96" s="767"/>
      <c r="B96" s="762"/>
      <c r="C96" s="767"/>
      <c r="D96" s="762"/>
      <c r="E96" s="762"/>
      <c r="F96" s="767"/>
      <c r="G96" s="762"/>
      <c r="H96" s="762"/>
      <c r="I96" s="762"/>
      <c r="J96" s="767"/>
      <c r="K96" s="762"/>
      <c r="U96" s="760"/>
      <c r="X96" s="762"/>
      <c r="Y96" s="762"/>
      <c r="Z96" s="762"/>
      <c r="AA96" s="762"/>
      <c r="AB96" s="762"/>
      <c r="AC96" s="762"/>
      <c r="AD96" s="794"/>
      <c r="AE96" s="762"/>
      <c r="AF96" s="762"/>
      <c r="AG96" s="762"/>
      <c r="AH96" s="762"/>
      <c r="AI96" s="762"/>
      <c r="AJ96" s="762"/>
      <c r="AK96" s="762"/>
      <c r="AL96" s="762"/>
      <c r="AM96" s="762"/>
      <c r="AN96" s="762"/>
      <c r="AO96" s="762"/>
      <c r="AP96" s="762"/>
      <c r="AQ96" s="762"/>
      <c r="AR96" s="762"/>
      <c r="AS96" s="762"/>
    </row>
    <row r="97" spans="1:45" ht="13.9">
      <c r="A97" s="767"/>
      <c r="B97" s="762"/>
      <c r="C97" s="767"/>
      <c r="D97" s="762"/>
      <c r="E97" s="762"/>
      <c r="F97" s="767"/>
      <c r="G97" s="762"/>
      <c r="H97" s="762"/>
      <c r="I97" s="762"/>
      <c r="J97" s="767"/>
      <c r="K97" s="762"/>
      <c r="U97" s="760"/>
      <c r="X97" s="762"/>
      <c r="Y97" s="762"/>
      <c r="Z97" s="762"/>
      <c r="AA97" s="762"/>
      <c r="AB97" s="762"/>
      <c r="AC97" s="762"/>
      <c r="AD97" s="794"/>
      <c r="AE97" s="762"/>
      <c r="AF97" s="762"/>
      <c r="AG97" s="762"/>
      <c r="AH97" s="762"/>
      <c r="AI97" s="762"/>
      <c r="AJ97" s="762"/>
      <c r="AK97" s="762"/>
      <c r="AL97" s="762"/>
      <c r="AM97" s="762"/>
      <c r="AN97" s="762"/>
      <c r="AO97" s="762"/>
      <c r="AP97" s="762"/>
      <c r="AQ97" s="762"/>
      <c r="AR97" s="762"/>
      <c r="AS97" s="762"/>
    </row>
    <row r="98" spans="1:45" ht="13.9">
      <c r="A98" s="767"/>
      <c r="B98" s="762"/>
      <c r="C98" s="767"/>
      <c r="D98" s="762"/>
      <c r="E98" s="762"/>
      <c r="F98" s="767"/>
      <c r="G98" s="762"/>
      <c r="H98" s="762"/>
      <c r="I98" s="762"/>
      <c r="J98" s="767"/>
      <c r="K98" s="762"/>
      <c r="U98" s="760"/>
      <c r="X98" s="762"/>
      <c r="Y98" s="762"/>
      <c r="Z98" s="762"/>
      <c r="AA98" s="762"/>
      <c r="AB98" s="762"/>
      <c r="AC98" s="762"/>
      <c r="AD98" s="794"/>
      <c r="AE98" s="762"/>
      <c r="AF98" s="762"/>
      <c r="AG98" s="762"/>
      <c r="AH98" s="762"/>
      <c r="AI98" s="762"/>
      <c r="AJ98" s="762"/>
      <c r="AK98" s="762"/>
      <c r="AL98" s="762"/>
      <c r="AM98" s="762"/>
      <c r="AN98" s="762"/>
      <c r="AO98" s="762"/>
      <c r="AP98" s="762"/>
      <c r="AQ98" s="762"/>
      <c r="AR98" s="762"/>
      <c r="AS98" s="762"/>
    </row>
    <row r="99" spans="1:45" ht="13.9">
      <c r="A99" s="767"/>
      <c r="B99" s="762"/>
      <c r="C99" s="767"/>
      <c r="D99" s="762"/>
      <c r="E99" s="762"/>
      <c r="F99" s="767"/>
      <c r="G99" s="762"/>
      <c r="H99" s="762"/>
      <c r="I99" s="762"/>
      <c r="J99" s="767"/>
      <c r="K99" s="762"/>
      <c r="U99" s="760"/>
      <c r="X99" s="762"/>
      <c r="Y99" s="762"/>
      <c r="Z99" s="762"/>
      <c r="AA99" s="762"/>
      <c r="AB99" s="762"/>
      <c r="AC99" s="762"/>
      <c r="AD99" s="794"/>
      <c r="AE99" s="762"/>
      <c r="AF99" s="762"/>
      <c r="AG99" s="762"/>
      <c r="AH99" s="762"/>
      <c r="AI99" s="762"/>
      <c r="AJ99" s="762"/>
      <c r="AK99" s="762"/>
      <c r="AL99" s="762"/>
      <c r="AM99" s="762"/>
      <c r="AN99" s="762"/>
      <c r="AO99" s="762"/>
      <c r="AP99" s="762"/>
      <c r="AQ99" s="762"/>
      <c r="AR99" s="762"/>
      <c r="AS99" s="762"/>
    </row>
    <row r="100" spans="1:45" ht="13.9">
      <c r="A100" s="767"/>
      <c r="B100" s="762"/>
      <c r="C100" s="767"/>
      <c r="D100" s="762"/>
      <c r="E100" s="762"/>
      <c r="F100" s="767"/>
      <c r="G100" s="762"/>
      <c r="H100" s="762"/>
      <c r="I100" s="762"/>
      <c r="J100" s="767"/>
      <c r="K100" s="762"/>
      <c r="U100" s="760"/>
      <c r="X100" s="762"/>
      <c r="Y100" s="762"/>
      <c r="Z100" s="762"/>
      <c r="AA100" s="762"/>
      <c r="AB100" s="762"/>
      <c r="AC100" s="762"/>
      <c r="AD100" s="794"/>
      <c r="AE100" s="762"/>
      <c r="AF100" s="762"/>
      <c r="AG100" s="762"/>
      <c r="AH100" s="762"/>
      <c r="AI100" s="762"/>
      <c r="AJ100" s="762"/>
      <c r="AK100" s="762"/>
      <c r="AL100" s="762"/>
      <c r="AM100" s="762"/>
      <c r="AN100" s="762"/>
      <c r="AO100" s="762"/>
      <c r="AP100" s="762"/>
      <c r="AQ100" s="762"/>
      <c r="AR100" s="762"/>
      <c r="AS100" s="762"/>
    </row>
    <row r="101" spans="1:45" ht="13.9">
      <c r="A101" s="767"/>
      <c r="B101" s="762"/>
      <c r="C101" s="767"/>
      <c r="D101" s="762"/>
      <c r="E101" s="762"/>
      <c r="F101" s="767"/>
      <c r="G101" s="762"/>
      <c r="H101" s="762"/>
      <c r="I101" s="762"/>
      <c r="J101" s="767"/>
      <c r="K101" s="762"/>
      <c r="U101" s="760"/>
      <c r="X101" s="762"/>
      <c r="Y101" s="762"/>
      <c r="Z101" s="762"/>
      <c r="AA101" s="762"/>
      <c r="AB101" s="762"/>
      <c r="AC101" s="762"/>
      <c r="AD101" s="794"/>
      <c r="AE101" s="762"/>
      <c r="AF101" s="762"/>
      <c r="AG101" s="762"/>
      <c r="AH101" s="762"/>
      <c r="AI101" s="762"/>
      <c r="AJ101" s="762"/>
      <c r="AK101" s="762"/>
      <c r="AL101" s="762"/>
      <c r="AM101" s="762"/>
      <c r="AN101" s="762"/>
      <c r="AO101" s="762"/>
      <c r="AP101" s="762"/>
      <c r="AQ101" s="762"/>
      <c r="AR101" s="762"/>
      <c r="AS101" s="762"/>
    </row>
    <row r="102" spans="1:45" ht="13.9">
      <c r="A102" s="767"/>
      <c r="B102" s="762"/>
      <c r="C102" s="767"/>
      <c r="D102" s="762"/>
      <c r="E102" s="762"/>
      <c r="F102" s="767"/>
      <c r="G102" s="762"/>
      <c r="H102" s="762"/>
      <c r="I102" s="762"/>
      <c r="J102" s="767"/>
      <c r="K102" s="762"/>
      <c r="U102" s="760"/>
      <c r="X102" s="762"/>
      <c r="Y102" s="762"/>
      <c r="Z102" s="762"/>
      <c r="AA102" s="762"/>
      <c r="AB102" s="762"/>
      <c r="AC102" s="762"/>
      <c r="AD102" s="794"/>
      <c r="AE102" s="762"/>
      <c r="AF102" s="762"/>
      <c r="AG102" s="762"/>
      <c r="AH102" s="762"/>
      <c r="AI102" s="762"/>
      <c r="AJ102" s="762"/>
      <c r="AK102" s="762"/>
      <c r="AL102" s="762"/>
      <c r="AM102" s="762"/>
      <c r="AN102" s="762"/>
      <c r="AO102" s="762"/>
      <c r="AP102" s="762"/>
      <c r="AQ102" s="762"/>
      <c r="AR102" s="762"/>
      <c r="AS102" s="762"/>
    </row>
    <row r="103" spans="1:45" ht="13.9">
      <c r="A103" s="767"/>
      <c r="B103" s="762"/>
      <c r="C103" s="767"/>
      <c r="D103" s="762"/>
      <c r="E103" s="762"/>
      <c r="F103" s="767"/>
      <c r="G103" s="762"/>
      <c r="H103" s="762"/>
      <c r="I103" s="762"/>
      <c r="J103" s="767"/>
      <c r="K103" s="762"/>
      <c r="U103" s="760"/>
      <c r="X103" s="762"/>
      <c r="Y103" s="762"/>
      <c r="Z103" s="762"/>
      <c r="AA103" s="762"/>
      <c r="AB103" s="762"/>
      <c r="AC103" s="762"/>
      <c r="AD103" s="794"/>
      <c r="AE103" s="762"/>
      <c r="AF103" s="762"/>
      <c r="AG103" s="762"/>
      <c r="AH103" s="762"/>
      <c r="AI103" s="762"/>
      <c r="AJ103" s="762"/>
      <c r="AK103" s="762"/>
      <c r="AL103" s="762"/>
      <c r="AM103" s="762"/>
      <c r="AN103" s="762"/>
      <c r="AO103" s="762"/>
      <c r="AP103" s="762"/>
      <c r="AQ103" s="762"/>
      <c r="AR103" s="762"/>
      <c r="AS103" s="762"/>
    </row>
    <row r="104" spans="1:45" ht="13.9">
      <c r="A104" s="767"/>
      <c r="B104" s="762"/>
      <c r="C104" s="767"/>
      <c r="D104" s="762"/>
      <c r="E104" s="762"/>
      <c r="F104" s="767"/>
      <c r="G104" s="762"/>
      <c r="H104" s="762"/>
      <c r="I104" s="762"/>
      <c r="J104" s="767"/>
      <c r="K104" s="762"/>
      <c r="U104" s="760"/>
      <c r="X104" s="762"/>
      <c r="Y104" s="762"/>
      <c r="Z104" s="762"/>
      <c r="AA104" s="762"/>
      <c r="AB104" s="762"/>
      <c r="AC104" s="762"/>
      <c r="AD104" s="794"/>
      <c r="AE104" s="762"/>
      <c r="AF104" s="762"/>
      <c r="AG104" s="762"/>
      <c r="AH104" s="762"/>
      <c r="AI104" s="762"/>
      <c r="AJ104" s="762"/>
      <c r="AK104" s="762"/>
      <c r="AL104" s="762"/>
      <c r="AM104" s="762"/>
      <c r="AN104" s="762"/>
      <c r="AO104" s="762"/>
      <c r="AP104" s="762"/>
      <c r="AQ104" s="762"/>
      <c r="AR104" s="762"/>
      <c r="AS104" s="762"/>
    </row>
    <row r="105" spans="1:45" ht="13.9">
      <c r="A105" s="767"/>
      <c r="B105" s="762"/>
      <c r="C105" s="767"/>
      <c r="D105" s="762"/>
      <c r="E105" s="762"/>
      <c r="F105" s="767"/>
      <c r="G105" s="762"/>
      <c r="H105" s="762"/>
      <c r="I105" s="762"/>
      <c r="J105" s="767"/>
      <c r="K105" s="762"/>
      <c r="U105" s="760"/>
      <c r="X105" s="762"/>
      <c r="Y105" s="762"/>
      <c r="Z105" s="762"/>
      <c r="AA105" s="762"/>
      <c r="AB105" s="762"/>
      <c r="AC105" s="762"/>
      <c r="AD105" s="794"/>
      <c r="AE105" s="762"/>
      <c r="AF105" s="762"/>
      <c r="AG105" s="762"/>
      <c r="AH105" s="762"/>
      <c r="AI105" s="762"/>
      <c r="AJ105" s="762"/>
      <c r="AK105" s="762"/>
      <c r="AL105" s="762"/>
      <c r="AM105" s="762"/>
      <c r="AN105" s="762"/>
      <c r="AO105" s="762"/>
      <c r="AP105" s="762"/>
      <c r="AQ105" s="762"/>
      <c r="AR105" s="762"/>
      <c r="AS105" s="762"/>
    </row>
    <row r="106" spans="1:45" ht="13.9">
      <c r="A106" s="767"/>
      <c r="B106" s="762"/>
      <c r="C106" s="767"/>
      <c r="D106" s="762"/>
      <c r="E106" s="762"/>
      <c r="F106" s="767"/>
      <c r="G106" s="762"/>
      <c r="H106" s="762"/>
      <c r="I106" s="762"/>
      <c r="J106" s="767"/>
      <c r="K106" s="762"/>
      <c r="U106" s="760"/>
      <c r="X106" s="762"/>
      <c r="Y106" s="762"/>
      <c r="Z106" s="762"/>
      <c r="AA106" s="762"/>
      <c r="AB106" s="762"/>
      <c r="AC106" s="762"/>
      <c r="AD106" s="794"/>
      <c r="AE106" s="762"/>
      <c r="AF106" s="762"/>
      <c r="AG106" s="762"/>
      <c r="AH106" s="762"/>
      <c r="AI106" s="762"/>
      <c r="AJ106" s="762"/>
      <c r="AK106" s="762"/>
      <c r="AL106" s="762"/>
      <c r="AM106" s="762"/>
      <c r="AN106" s="762"/>
      <c r="AO106" s="762"/>
      <c r="AP106" s="762"/>
      <c r="AQ106" s="762"/>
      <c r="AR106" s="762"/>
      <c r="AS106" s="762"/>
    </row>
    <row r="107" spans="1:45" ht="13.9">
      <c r="A107" s="767"/>
      <c r="B107" s="762"/>
      <c r="C107" s="767"/>
      <c r="D107" s="762"/>
      <c r="E107" s="762"/>
      <c r="F107" s="767"/>
      <c r="G107" s="762"/>
      <c r="H107" s="762"/>
      <c r="I107" s="762"/>
      <c r="J107" s="767"/>
      <c r="K107" s="762"/>
      <c r="U107" s="760"/>
      <c r="X107" s="762"/>
      <c r="Y107" s="762"/>
      <c r="Z107" s="762"/>
      <c r="AA107" s="762"/>
      <c r="AB107" s="762"/>
      <c r="AC107" s="762"/>
      <c r="AD107" s="794"/>
      <c r="AE107" s="762"/>
      <c r="AF107" s="762"/>
      <c r="AG107" s="762"/>
      <c r="AH107" s="762"/>
      <c r="AI107" s="762"/>
      <c r="AJ107" s="762"/>
      <c r="AK107" s="762"/>
      <c r="AL107" s="762"/>
      <c r="AM107" s="762"/>
      <c r="AN107" s="762"/>
      <c r="AO107" s="762"/>
      <c r="AP107" s="762"/>
      <c r="AQ107" s="762"/>
      <c r="AR107" s="762"/>
      <c r="AS107" s="762"/>
    </row>
    <row r="108" spans="1:45" ht="13.9">
      <c r="A108" s="767"/>
      <c r="B108" s="762"/>
      <c r="C108" s="767"/>
      <c r="D108" s="762"/>
      <c r="E108" s="762"/>
      <c r="F108" s="767"/>
      <c r="G108" s="762"/>
      <c r="H108" s="762"/>
      <c r="I108" s="762"/>
      <c r="J108" s="767"/>
      <c r="K108" s="762"/>
      <c r="U108" s="760"/>
      <c r="X108" s="762"/>
      <c r="Y108" s="762"/>
      <c r="Z108" s="762"/>
      <c r="AA108" s="762"/>
      <c r="AB108" s="762"/>
      <c r="AC108" s="762"/>
      <c r="AD108" s="794"/>
      <c r="AE108" s="762"/>
      <c r="AF108" s="762"/>
      <c r="AG108" s="762"/>
      <c r="AH108" s="762"/>
      <c r="AI108" s="762"/>
      <c r="AJ108" s="762"/>
      <c r="AK108" s="762"/>
      <c r="AL108" s="762"/>
      <c r="AM108" s="762"/>
      <c r="AN108" s="762"/>
      <c r="AO108" s="762"/>
      <c r="AP108" s="762"/>
      <c r="AQ108" s="762"/>
      <c r="AR108" s="762"/>
      <c r="AS108" s="762"/>
    </row>
    <row r="109" spans="1:45" ht="13.9">
      <c r="A109" s="767"/>
      <c r="B109" s="762"/>
      <c r="C109" s="767"/>
      <c r="D109" s="762"/>
      <c r="E109" s="762"/>
      <c r="F109" s="767"/>
      <c r="G109" s="762"/>
      <c r="H109" s="762"/>
      <c r="I109" s="762"/>
      <c r="J109" s="767"/>
      <c r="K109" s="762"/>
      <c r="U109" s="760"/>
      <c r="X109" s="762"/>
      <c r="Y109" s="762"/>
      <c r="Z109" s="762"/>
      <c r="AA109" s="762"/>
      <c r="AB109" s="762"/>
      <c r="AC109" s="762"/>
      <c r="AD109" s="794"/>
      <c r="AE109" s="762"/>
      <c r="AF109" s="762"/>
      <c r="AG109" s="762"/>
      <c r="AH109" s="762"/>
      <c r="AI109" s="762"/>
      <c r="AJ109" s="762"/>
      <c r="AK109" s="762"/>
      <c r="AL109" s="762"/>
      <c r="AM109" s="762"/>
      <c r="AN109" s="762"/>
      <c r="AO109" s="762"/>
      <c r="AP109" s="762"/>
      <c r="AQ109" s="762"/>
      <c r="AR109" s="762"/>
      <c r="AS109" s="762"/>
    </row>
    <row r="110" spans="1:45" ht="13.9">
      <c r="A110" s="767"/>
      <c r="B110" s="762"/>
      <c r="C110" s="767"/>
      <c r="D110" s="762"/>
      <c r="E110" s="762"/>
      <c r="F110" s="767"/>
      <c r="G110" s="762"/>
      <c r="H110" s="762"/>
      <c r="I110" s="762"/>
      <c r="J110" s="767"/>
      <c r="K110" s="762"/>
      <c r="U110" s="760"/>
      <c r="X110" s="762"/>
      <c r="Y110" s="762"/>
      <c r="Z110" s="762"/>
      <c r="AA110" s="762"/>
      <c r="AB110" s="762"/>
      <c r="AC110" s="762"/>
      <c r="AD110" s="794"/>
      <c r="AE110" s="762"/>
      <c r="AF110" s="762"/>
      <c r="AG110" s="762"/>
      <c r="AH110" s="762"/>
      <c r="AI110" s="762"/>
      <c r="AJ110" s="762"/>
      <c r="AK110" s="762"/>
      <c r="AL110" s="762"/>
      <c r="AM110" s="762"/>
      <c r="AN110" s="762"/>
      <c r="AO110" s="762"/>
      <c r="AP110" s="762"/>
      <c r="AQ110" s="762"/>
      <c r="AR110" s="762"/>
      <c r="AS110" s="762"/>
    </row>
    <row r="111" spans="1:45" ht="13.9">
      <c r="A111" s="767"/>
      <c r="B111" s="762"/>
      <c r="C111" s="767"/>
      <c r="D111" s="762"/>
      <c r="E111" s="762"/>
      <c r="F111" s="767"/>
      <c r="G111" s="762"/>
      <c r="H111" s="762"/>
      <c r="I111" s="762"/>
      <c r="J111" s="767"/>
      <c r="K111" s="762"/>
      <c r="U111" s="760"/>
      <c r="X111" s="762"/>
      <c r="Y111" s="762"/>
      <c r="Z111" s="762"/>
      <c r="AA111" s="762"/>
      <c r="AB111" s="762"/>
      <c r="AC111" s="762"/>
      <c r="AD111" s="794"/>
      <c r="AE111" s="762"/>
      <c r="AF111" s="762"/>
      <c r="AG111" s="762"/>
      <c r="AH111" s="762"/>
      <c r="AI111" s="762"/>
      <c r="AJ111" s="762"/>
      <c r="AK111" s="762"/>
      <c r="AL111" s="762"/>
      <c r="AM111" s="762"/>
      <c r="AN111" s="762"/>
      <c r="AO111" s="762"/>
      <c r="AP111" s="762"/>
      <c r="AQ111" s="762"/>
      <c r="AR111" s="762"/>
      <c r="AS111" s="762"/>
    </row>
    <row r="112" spans="1:45" ht="13.9">
      <c r="A112" s="767"/>
      <c r="B112" s="762"/>
      <c r="C112" s="767"/>
      <c r="D112" s="762"/>
      <c r="E112" s="762"/>
      <c r="F112" s="767"/>
      <c r="G112" s="762"/>
      <c r="H112" s="762"/>
      <c r="I112" s="762"/>
      <c r="J112" s="767"/>
      <c r="K112" s="762"/>
      <c r="U112" s="760"/>
      <c r="X112" s="762"/>
      <c r="Y112" s="762"/>
      <c r="Z112" s="762"/>
      <c r="AA112" s="762"/>
      <c r="AB112" s="762"/>
      <c r="AC112" s="762"/>
      <c r="AD112" s="794"/>
      <c r="AE112" s="762"/>
      <c r="AF112" s="762"/>
      <c r="AG112" s="762"/>
      <c r="AH112" s="762"/>
      <c r="AI112" s="762"/>
      <c r="AJ112" s="762"/>
      <c r="AK112" s="762"/>
      <c r="AL112" s="762"/>
      <c r="AM112" s="762"/>
      <c r="AN112" s="762"/>
      <c r="AO112" s="762"/>
      <c r="AP112" s="762"/>
      <c r="AQ112" s="762"/>
      <c r="AR112" s="762"/>
      <c r="AS112" s="762"/>
    </row>
    <row r="113" spans="1:45" ht="13.9">
      <c r="A113" s="767"/>
      <c r="B113" s="762"/>
      <c r="C113" s="767"/>
      <c r="D113" s="762"/>
      <c r="E113" s="762"/>
      <c r="F113" s="767"/>
      <c r="G113" s="762"/>
      <c r="H113" s="762"/>
      <c r="I113" s="762"/>
      <c r="J113" s="767"/>
      <c r="K113" s="762"/>
      <c r="U113" s="760"/>
      <c r="X113" s="762"/>
      <c r="Y113" s="762"/>
      <c r="Z113" s="762"/>
      <c r="AA113" s="762"/>
      <c r="AB113" s="762"/>
      <c r="AC113" s="762"/>
      <c r="AD113" s="794"/>
      <c r="AE113" s="762"/>
      <c r="AF113" s="762"/>
      <c r="AG113" s="762"/>
      <c r="AH113" s="762"/>
      <c r="AI113" s="762"/>
      <c r="AJ113" s="762"/>
      <c r="AK113" s="762"/>
      <c r="AL113" s="762"/>
      <c r="AM113" s="762"/>
      <c r="AN113" s="762"/>
      <c r="AO113" s="762"/>
      <c r="AP113" s="762"/>
      <c r="AQ113" s="762"/>
      <c r="AR113" s="762"/>
      <c r="AS113" s="762"/>
    </row>
    <row r="114" spans="1:45" ht="13.9">
      <c r="A114" s="767"/>
      <c r="B114" s="762"/>
      <c r="C114" s="767"/>
      <c r="D114" s="762"/>
      <c r="E114" s="762"/>
      <c r="F114" s="767"/>
      <c r="G114" s="762"/>
      <c r="H114" s="762"/>
      <c r="I114" s="762"/>
      <c r="J114" s="767"/>
      <c r="K114" s="762"/>
      <c r="U114" s="760"/>
      <c r="X114" s="762"/>
      <c r="Y114" s="762"/>
      <c r="Z114" s="762"/>
      <c r="AA114" s="762"/>
      <c r="AB114" s="762"/>
      <c r="AC114" s="762"/>
      <c r="AD114" s="794"/>
      <c r="AE114" s="762"/>
      <c r="AF114" s="762"/>
      <c r="AG114" s="762"/>
      <c r="AH114" s="762"/>
      <c r="AI114" s="762"/>
      <c r="AJ114" s="762"/>
      <c r="AK114" s="762"/>
      <c r="AL114" s="762"/>
      <c r="AM114" s="762"/>
      <c r="AN114" s="762"/>
      <c r="AO114" s="762"/>
      <c r="AP114" s="762"/>
      <c r="AQ114" s="762"/>
      <c r="AR114" s="762"/>
      <c r="AS114" s="762"/>
    </row>
    <row r="115" spans="1:45" ht="13.9">
      <c r="A115" s="767"/>
      <c r="B115" s="762"/>
      <c r="C115" s="767"/>
      <c r="D115" s="762"/>
      <c r="E115" s="762"/>
      <c r="F115" s="767"/>
      <c r="G115" s="762"/>
      <c r="H115" s="762"/>
      <c r="I115" s="762"/>
      <c r="J115" s="767"/>
      <c r="K115" s="762"/>
      <c r="U115" s="760"/>
      <c r="X115" s="762"/>
      <c r="Y115" s="762"/>
      <c r="Z115" s="762"/>
      <c r="AA115" s="762"/>
      <c r="AB115" s="762"/>
      <c r="AC115" s="762"/>
      <c r="AD115" s="794"/>
      <c r="AE115" s="762"/>
      <c r="AF115" s="762"/>
      <c r="AG115" s="762"/>
      <c r="AH115" s="762"/>
      <c r="AI115" s="762"/>
      <c r="AJ115" s="762"/>
      <c r="AK115" s="762"/>
      <c r="AL115" s="762"/>
      <c r="AM115" s="762"/>
      <c r="AN115" s="762"/>
      <c r="AO115" s="762"/>
      <c r="AP115" s="762"/>
      <c r="AQ115" s="762"/>
      <c r="AR115" s="762"/>
      <c r="AS115" s="762"/>
    </row>
    <row r="116" spans="1:45" ht="13.9">
      <c r="A116" s="767"/>
      <c r="B116" s="762"/>
      <c r="C116" s="767"/>
      <c r="D116" s="762"/>
      <c r="E116" s="762"/>
      <c r="F116" s="767"/>
      <c r="G116" s="762"/>
      <c r="H116" s="762"/>
      <c r="I116" s="762"/>
      <c r="J116" s="767"/>
      <c r="K116" s="762"/>
      <c r="U116" s="760"/>
      <c r="X116" s="762"/>
      <c r="Y116" s="762"/>
      <c r="Z116" s="762"/>
      <c r="AA116" s="762"/>
      <c r="AB116" s="762"/>
      <c r="AC116" s="762"/>
      <c r="AD116" s="794"/>
      <c r="AE116" s="762"/>
      <c r="AF116" s="762"/>
      <c r="AG116" s="762"/>
      <c r="AH116" s="762"/>
      <c r="AI116" s="762"/>
      <c r="AJ116" s="762"/>
      <c r="AK116" s="762"/>
      <c r="AL116" s="762"/>
      <c r="AM116" s="762"/>
      <c r="AN116" s="762"/>
      <c r="AO116" s="762"/>
      <c r="AP116" s="762"/>
      <c r="AQ116" s="762"/>
      <c r="AR116" s="762"/>
      <c r="AS116" s="762"/>
    </row>
    <row r="117" spans="1:45" ht="13.9">
      <c r="A117" s="767"/>
      <c r="B117" s="762"/>
      <c r="C117" s="767"/>
      <c r="D117" s="762"/>
      <c r="E117" s="762"/>
      <c r="F117" s="767"/>
      <c r="G117" s="762"/>
      <c r="H117" s="762"/>
      <c r="I117" s="762"/>
      <c r="J117" s="767"/>
      <c r="K117" s="762"/>
      <c r="U117" s="760"/>
      <c r="X117" s="762"/>
      <c r="Y117" s="762"/>
      <c r="Z117" s="762"/>
      <c r="AA117" s="762"/>
      <c r="AB117" s="762"/>
      <c r="AC117" s="762"/>
      <c r="AD117" s="794"/>
      <c r="AE117" s="762"/>
      <c r="AF117" s="762"/>
      <c r="AG117" s="762"/>
      <c r="AH117" s="762"/>
      <c r="AI117" s="762"/>
      <c r="AJ117" s="762"/>
      <c r="AK117" s="762"/>
      <c r="AL117" s="762"/>
      <c r="AM117" s="762"/>
      <c r="AN117" s="762"/>
      <c r="AO117" s="762"/>
      <c r="AP117" s="762"/>
      <c r="AQ117" s="762"/>
      <c r="AR117" s="762"/>
      <c r="AS117" s="762"/>
    </row>
    <row r="118" spans="1:45" ht="13.9">
      <c r="A118" s="767"/>
      <c r="B118" s="762"/>
      <c r="C118" s="767"/>
      <c r="D118" s="762"/>
      <c r="E118" s="762"/>
      <c r="F118" s="767"/>
      <c r="G118" s="762"/>
      <c r="H118" s="762"/>
      <c r="I118" s="762"/>
      <c r="J118" s="767"/>
      <c r="K118" s="762"/>
      <c r="U118" s="760"/>
      <c r="X118" s="762"/>
      <c r="Y118" s="762"/>
      <c r="Z118" s="762"/>
      <c r="AA118" s="762"/>
      <c r="AB118" s="762"/>
      <c r="AC118" s="762"/>
      <c r="AD118" s="794"/>
      <c r="AE118" s="762"/>
      <c r="AF118" s="762"/>
      <c r="AG118" s="762"/>
      <c r="AH118" s="762"/>
      <c r="AI118" s="762"/>
      <c r="AJ118" s="762"/>
      <c r="AK118" s="762"/>
      <c r="AL118" s="762"/>
      <c r="AM118" s="762"/>
      <c r="AN118" s="762"/>
      <c r="AO118" s="762"/>
      <c r="AP118" s="762"/>
      <c r="AQ118" s="762"/>
      <c r="AR118" s="762"/>
      <c r="AS118" s="762"/>
    </row>
    <row r="119" spans="1:45" ht="13.9">
      <c r="A119" s="767"/>
      <c r="B119" s="762"/>
      <c r="C119" s="767"/>
      <c r="D119" s="762"/>
      <c r="E119" s="762"/>
      <c r="F119" s="767"/>
      <c r="G119" s="762"/>
      <c r="H119" s="762"/>
      <c r="I119" s="762"/>
      <c r="J119" s="767"/>
      <c r="K119" s="762"/>
      <c r="U119" s="760"/>
      <c r="X119" s="762"/>
      <c r="Y119" s="762"/>
      <c r="Z119" s="762"/>
      <c r="AA119" s="762"/>
      <c r="AB119" s="762"/>
      <c r="AC119" s="762"/>
      <c r="AD119" s="794"/>
      <c r="AE119" s="762"/>
      <c r="AF119" s="762"/>
      <c r="AG119" s="762"/>
      <c r="AH119" s="762"/>
      <c r="AI119" s="762"/>
      <c r="AJ119" s="762"/>
      <c r="AK119" s="762"/>
      <c r="AL119" s="762"/>
      <c r="AM119" s="762"/>
      <c r="AN119" s="762"/>
      <c r="AO119" s="762"/>
      <c r="AP119" s="762"/>
      <c r="AQ119" s="762"/>
      <c r="AR119" s="762"/>
      <c r="AS119" s="762"/>
    </row>
    <row r="120" spans="1:45" ht="13.9">
      <c r="A120" s="767"/>
      <c r="B120" s="762"/>
      <c r="C120" s="767"/>
      <c r="D120" s="762"/>
      <c r="E120" s="762"/>
      <c r="F120" s="767"/>
      <c r="G120" s="762"/>
      <c r="H120" s="762"/>
      <c r="I120" s="762"/>
      <c r="J120" s="767"/>
      <c r="K120" s="762"/>
      <c r="U120" s="760"/>
      <c r="X120" s="762"/>
      <c r="Y120" s="762"/>
      <c r="Z120" s="762"/>
      <c r="AA120" s="762"/>
      <c r="AB120" s="762"/>
      <c r="AC120" s="762"/>
      <c r="AD120" s="794"/>
      <c r="AE120" s="762"/>
      <c r="AF120" s="762"/>
      <c r="AG120" s="762"/>
      <c r="AH120" s="762"/>
      <c r="AI120" s="762"/>
      <c r="AJ120" s="762"/>
      <c r="AK120" s="762"/>
      <c r="AL120" s="762"/>
      <c r="AM120" s="762"/>
      <c r="AN120" s="762"/>
      <c r="AO120" s="762"/>
      <c r="AP120" s="762"/>
      <c r="AQ120" s="762"/>
      <c r="AR120" s="762"/>
      <c r="AS120" s="762"/>
    </row>
    <row r="121" spans="1:45" ht="13.9">
      <c r="A121" s="767"/>
      <c r="B121" s="762"/>
      <c r="C121" s="767"/>
      <c r="D121" s="762"/>
      <c r="E121" s="762"/>
      <c r="F121" s="767"/>
      <c r="G121" s="762"/>
      <c r="H121" s="762"/>
      <c r="I121" s="762"/>
      <c r="J121" s="767"/>
      <c r="K121" s="762"/>
      <c r="U121" s="760"/>
      <c r="X121" s="762"/>
      <c r="Y121" s="762"/>
      <c r="Z121" s="762"/>
      <c r="AA121" s="762"/>
      <c r="AB121" s="762"/>
      <c r="AC121" s="762"/>
      <c r="AD121" s="794"/>
      <c r="AE121" s="762"/>
      <c r="AF121" s="762"/>
      <c r="AG121" s="762"/>
      <c r="AH121" s="762"/>
      <c r="AI121" s="762"/>
      <c r="AJ121" s="762"/>
      <c r="AK121" s="762"/>
      <c r="AL121" s="762"/>
      <c r="AM121" s="762"/>
      <c r="AN121" s="762"/>
      <c r="AO121" s="762"/>
      <c r="AP121" s="762"/>
      <c r="AQ121" s="762"/>
      <c r="AR121" s="762"/>
      <c r="AS121" s="762"/>
    </row>
    <row r="122" spans="1:45" ht="13.9">
      <c r="A122" s="767"/>
      <c r="B122" s="762"/>
      <c r="C122" s="767"/>
      <c r="D122" s="762"/>
      <c r="E122" s="762"/>
      <c r="F122" s="767"/>
      <c r="G122" s="762"/>
      <c r="H122" s="762"/>
      <c r="I122" s="762"/>
      <c r="J122" s="767"/>
      <c r="K122" s="762"/>
      <c r="U122" s="760"/>
      <c r="X122" s="762"/>
      <c r="Y122" s="762"/>
      <c r="Z122" s="762"/>
      <c r="AA122" s="762"/>
      <c r="AB122" s="762"/>
      <c r="AC122" s="762"/>
      <c r="AD122" s="794"/>
      <c r="AE122" s="762"/>
      <c r="AF122" s="762"/>
      <c r="AG122" s="762"/>
      <c r="AH122" s="762"/>
      <c r="AI122" s="762"/>
      <c r="AJ122" s="762"/>
      <c r="AK122" s="762"/>
      <c r="AL122" s="762"/>
      <c r="AM122" s="762"/>
      <c r="AN122" s="762"/>
      <c r="AO122" s="762"/>
      <c r="AP122" s="762"/>
      <c r="AQ122" s="762"/>
      <c r="AR122" s="762"/>
      <c r="AS122" s="762"/>
    </row>
    <row r="123" spans="1:45" ht="13.9">
      <c r="A123" s="767"/>
      <c r="B123" s="762"/>
      <c r="C123" s="767"/>
      <c r="D123" s="762"/>
      <c r="E123" s="762"/>
      <c r="F123" s="767"/>
      <c r="G123" s="762"/>
      <c r="H123" s="762"/>
      <c r="I123" s="762"/>
      <c r="J123" s="767"/>
      <c r="K123" s="762"/>
      <c r="U123" s="760"/>
      <c r="X123" s="762"/>
      <c r="Y123" s="762"/>
      <c r="Z123" s="762"/>
      <c r="AA123" s="762"/>
      <c r="AB123" s="762"/>
      <c r="AC123" s="762"/>
      <c r="AD123" s="794"/>
      <c r="AE123" s="762"/>
      <c r="AF123" s="762"/>
      <c r="AG123" s="762"/>
      <c r="AH123" s="762"/>
      <c r="AI123" s="762"/>
      <c r="AJ123" s="762"/>
      <c r="AK123" s="762"/>
      <c r="AL123" s="762"/>
      <c r="AM123" s="762"/>
      <c r="AN123" s="762"/>
      <c r="AO123" s="762"/>
      <c r="AP123" s="762"/>
      <c r="AQ123" s="762"/>
      <c r="AR123" s="762"/>
      <c r="AS123" s="762"/>
    </row>
    <row r="124" spans="1:45" ht="13.9">
      <c r="A124" s="767"/>
      <c r="B124" s="762"/>
      <c r="C124" s="767"/>
      <c r="D124" s="762"/>
      <c r="E124" s="762"/>
      <c r="F124" s="767"/>
      <c r="G124" s="762"/>
      <c r="H124" s="762"/>
      <c r="I124" s="762"/>
      <c r="J124" s="767"/>
      <c r="K124" s="762"/>
      <c r="U124" s="760"/>
      <c r="X124" s="762"/>
      <c r="Y124" s="762"/>
      <c r="Z124" s="762"/>
      <c r="AA124" s="762"/>
      <c r="AB124" s="762"/>
      <c r="AC124" s="762"/>
      <c r="AD124" s="794"/>
      <c r="AE124" s="762"/>
      <c r="AF124" s="762"/>
      <c r="AG124" s="762"/>
      <c r="AH124" s="762"/>
      <c r="AI124" s="762"/>
      <c r="AJ124" s="762"/>
      <c r="AK124" s="762"/>
      <c r="AL124" s="762"/>
      <c r="AM124" s="762"/>
      <c r="AN124" s="762"/>
      <c r="AO124" s="762"/>
      <c r="AP124" s="762"/>
      <c r="AQ124" s="762"/>
      <c r="AR124" s="762"/>
      <c r="AS124" s="762"/>
    </row>
    <row r="125" spans="1:45" ht="13.9">
      <c r="A125" s="767"/>
      <c r="B125" s="762"/>
      <c r="C125" s="767"/>
      <c r="D125" s="762"/>
      <c r="E125" s="762"/>
      <c r="F125" s="767"/>
      <c r="G125" s="762"/>
      <c r="H125" s="762"/>
      <c r="I125" s="762"/>
      <c r="J125" s="767"/>
      <c r="K125" s="762"/>
      <c r="U125" s="760"/>
      <c r="X125" s="762"/>
      <c r="Y125" s="762"/>
      <c r="Z125" s="762"/>
      <c r="AA125" s="762"/>
      <c r="AB125" s="762"/>
      <c r="AC125" s="762"/>
      <c r="AD125" s="794"/>
      <c r="AE125" s="762"/>
      <c r="AF125" s="762"/>
      <c r="AG125" s="762"/>
      <c r="AH125" s="762"/>
      <c r="AI125" s="762"/>
      <c r="AJ125" s="762"/>
      <c r="AK125" s="762"/>
      <c r="AL125" s="762"/>
      <c r="AM125" s="762"/>
      <c r="AN125" s="762"/>
      <c r="AO125" s="762"/>
      <c r="AP125" s="762"/>
      <c r="AQ125" s="762"/>
      <c r="AR125" s="762"/>
      <c r="AS125" s="762"/>
    </row>
    <row r="126" spans="1:45" ht="13.9">
      <c r="A126" s="767"/>
      <c r="B126" s="762"/>
      <c r="C126" s="767"/>
      <c r="D126" s="762"/>
      <c r="E126" s="762"/>
      <c r="F126" s="767"/>
      <c r="G126" s="762"/>
      <c r="H126" s="762"/>
      <c r="I126" s="762"/>
      <c r="J126" s="767"/>
      <c r="K126" s="762"/>
      <c r="U126" s="760"/>
      <c r="X126" s="762"/>
      <c r="Y126" s="762"/>
      <c r="Z126" s="762"/>
      <c r="AA126" s="762"/>
      <c r="AB126" s="762"/>
      <c r="AC126" s="762"/>
      <c r="AD126" s="794"/>
      <c r="AE126" s="762"/>
      <c r="AF126" s="762"/>
      <c r="AG126" s="762"/>
      <c r="AH126" s="762"/>
      <c r="AI126" s="762"/>
      <c r="AJ126" s="762"/>
      <c r="AK126" s="762"/>
      <c r="AL126" s="762"/>
      <c r="AM126" s="762"/>
      <c r="AN126" s="762"/>
      <c r="AO126" s="762"/>
      <c r="AP126" s="762"/>
      <c r="AQ126" s="762"/>
      <c r="AR126" s="762"/>
      <c r="AS126" s="762"/>
    </row>
    <row r="127" spans="1:45" ht="13.9">
      <c r="A127" s="767"/>
      <c r="B127" s="762"/>
      <c r="C127" s="767"/>
      <c r="D127" s="762"/>
      <c r="E127" s="762"/>
      <c r="F127" s="767"/>
      <c r="G127" s="762"/>
      <c r="H127" s="762"/>
      <c r="I127" s="762"/>
      <c r="J127" s="767"/>
      <c r="K127" s="762"/>
      <c r="U127" s="760"/>
      <c r="X127" s="762"/>
      <c r="Y127" s="762"/>
      <c r="Z127" s="762"/>
      <c r="AA127" s="762"/>
      <c r="AB127" s="762"/>
      <c r="AC127" s="762"/>
      <c r="AD127" s="794"/>
      <c r="AE127" s="762"/>
      <c r="AF127" s="762"/>
      <c r="AG127" s="762"/>
      <c r="AH127" s="762"/>
      <c r="AI127" s="762"/>
      <c r="AJ127" s="762"/>
      <c r="AK127" s="762"/>
      <c r="AL127" s="762"/>
      <c r="AM127" s="762"/>
      <c r="AN127" s="762"/>
      <c r="AO127" s="762"/>
      <c r="AP127" s="762"/>
      <c r="AQ127" s="762"/>
      <c r="AR127" s="762"/>
      <c r="AS127" s="762"/>
    </row>
    <row r="128" spans="1:45" ht="13.9">
      <c r="A128" s="767"/>
      <c r="B128" s="762"/>
      <c r="C128" s="767"/>
      <c r="D128" s="762"/>
      <c r="E128" s="762"/>
      <c r="F128" s="767"/>
      <c r="G128" s="762"/>
      <c r="H128" s="762"/>
      <c r="I128" s="762"/>
      <c r="J128" s="767"/>
      <c r="K128" s="762"/>
      <c r="U128" s="760"/>
      <c r="X128" s="762"/>
      <c r="Y128" s="762"/>
      <c r="Z128" s="762"/>
      <c r="AA128" s="762"/>
      <c r="AB128" s="762"/>
      <c r="AC128" s="762"/>
      <c r="AD128" s="794"/>
      <c r="AE128" s="762"/>
      <c r="AF128" s="762"/>
      <c r="AG128" s="762"/>
      <c r="AH128" s="762"/>
      <c r="AI128" s="762"/>
      <c r="AJ128" s="762"/>
      <c r="AK128" s="762"/>
      <c r="AL128" s="762"/>
      <c r="AM128" s="762"/>
      <c r="AN128" s="762"/>
      <c r="AO128" s="762"/>
      <c r="AP128" s="762"/>
      <c r="AQ128" s="762"/>
      <c r="AR128" s="762"/>
      <c r="AS128" s="762"/>
    </row>
    <row r="129" spans="1:45" ht="13.9">
      <c r="A129" s="767"/>
      <c r="B129" s="762"/>
      <c r="C129" s="767"/>
      <c r="D129" s="762"/>
      <c r="E129" s="762"/>
      <c r="F129" s="767"/>
      <c r="G129" s="762"/>
      <c r="H129" s="762"/>
      <c r="I129" s="762"/>
      <c r="J129" s="767"/>
      <c r="K129" s="762"/>
      <c r="U129" s="760"/>
      <c r="X129" s="762"/>
      <c r="Y129" s="762"/>
      <c r="Z129" s="762"/>
      <c r="AA129" s="762"/>
      <c r="AB129" s="762"/>
      <c r="AC129" s="762"/>
      <c r="AD129" s="794"/>
      <c r="AE129" s="762"/>
      <c r="AF129" s="762"/>
      <c r="AG129" s="762"/>
      <c r="AH129" s="762"/>
      <c r="AI129" s="762"/>
      <c r="AJ129" s="762"/>
      <c r="AK129" s="762"/>
      <c r="AL129" s="762"/>
      <c r="AM129" s="762"/>
      <c r="AN129" s="762"/>
      <c r="AO129" s="762"/>
      <c r="AP129" s="762"/>
      <c r="AQ129" s="762"/>
      <c r="AR129" s="762"/>
      <c r="AS129" s="762"/>
    </row>
    <row r="130" spans="1:45" ht="13.9">
      <c r="A130" s="767"/>
      <c r="B130" s="762"/>
      <c r="C130" s="767"/>
      <c r="D130" s="762"/>
      <c r="E130" s="762"/>
      <c r="F130" s="767"/>
      <c r="G130" s="762"/>
      <c r="H130" s="762"/>
      <c r="I130" s="762"/>
      <c r="J130" s="767"/>
      <c r="K130" s="762"/>
      <c r="U130" s="760"/>
      <c r="X130" s="762"/>
      <c r="Y130" s="762"/>
      <c r="Z130" s="762"/>
      <c r="AA130" s="762"/>
      <c r="AB130" s="762"/>
      <c r="AC130" s="762"/>
      <c r="AD130" s="794"/>
      <c r="AE130" s="762"/>
      <c r="AF130" s="762"/>
      <c r="AG130" s="762"/>
      <c r="AH130" s="762"/>
      <c r="AI130" s="762"/>
      <c r="AJ130" s="762"/>
      <c r="AK130" s="762"/>
      <c r="AL130" s="762"/>
      <c r="AM130" s="762"/>
      <c r="AN130" s="762"/>
      <c r="AO130" s="762"/>
      <c r="AP130" s="762"/>
      <c r="AQ130" s="762"/>
      <c r="AR130" s="762"/>
      <c r="AS130" s="762"/>
    </row>
    <row r="131" spans="1:45" ht="13.9">
      <c r="A131" s="767"/>
      <c r="B131" s="762"/>
      <c r="C131" s="767"/>
      <c r="D131" s="762"/>
      <c r="E131" s="762"/>
      <c r="F131" s="767"/>
      <c r="G131" s="762"/>
      <c r="H131" s="762"/>
      <c r="I131" s="762"/>
      <c r="J131" s="767"/>
      <c r="K131" s="762"/>
      <c r="U131" s="760"/>
      <c r="X131" s="762"/>
      <c r="Y131" s="762"/>
      <c r="Z131" s="762"/>
      <c r="AA131" s="762"/>
      <c r="AB131" s="762"/>
      <c r="AC131" s="762"/>
      <c r="AD131" s="794"/>
      <c r="AE131" s="762"/>
      <c r="AF131" s="762"/>
      <c r="AG131" s="762"/>
      <c r="AH131" s="762"/>
      <c r="AI131" s="762"/>
      <c r="AJ131" s="762"/>
      <c r="AK131" s="762"/>
      <c r="AL131" s="762"/>
      <c r="AM131" s="762"/>
      <c r="AN131" s="762"/>
      <c r="AO131" s="762"/>
      <c r="AP131" s="762"/>
      <c r="AQ131" s="762"/>
      <c r="AR131" s="762"/>
      <c r="AS131" s="762"/>
    </row>
    <row r="132" spans="1:45" ht="13.9">
      <c r="A132" s="767"/>
      <c r="B132" s="762"/>
      <c r="C132" s="767"/>
      <c r="D132" s="762"/>
      <c r="E132" s="762"/>
      <c r="F132" s="767"/>
      <c r="G132" s="762"/>
      <c r="H132" s="762"/>
      <c r="I132" s="762"/>
      <c r="J132" s="767"/>
      <c r="K132" s="762"/>
      <c r="U132" s="760"/>
      <c r="X132" s="762"/>
      <c r="Y132" s="762"/>
      <c r="Z132" s="762"/>
      <c r="AA132" s="762"/>
      <c r="AB132" s="762"/>
      <c r="AC132" s="762"/>
      <c r="AD132" s="794"/>
      <c r="AE132" s="762"/>
      <c r="AF132" s="762"/>
      <c r="AG132" s="762"/>
      <c r="AH132" s="762"/>
      <c r="AI132" s="762"/>
      <c r="AJ132" s="762"/>
      <c r="AK132" s="762"/>
      <c r="AL132" s="762"/>
      <c r="AM132" s="762"/>
      <c r="AN132" s="762"/>
      <c r="AO132" s="762"/>
      <c r="AP132" s="762"/>
      <c r="AQ132" s="762"/>
      <c r="AR132" s="762"/>
      <c r="AS132" s="762"/>
    </row>
    <row r="133" spans="1:45" ht="13.9">
      <c r="A133" s="767"/>
      <c r="B133" s="762"/>
      <c r="C133" s="767"/>
      <c r="D133" s="762"/>
      <c r="E133" s="762"/>
      <c r="F133" s="767"/>
      <c r="G133" s="762"/>
      <c r="H133" s="762"/>
      <c r="I133" s="762"/>
      <c r="J133" s="767"/>
      <c r="K133" s="762"/>
      <c r="U133" s="760"/>
      <c r="X133" s="762"/>
      <c r="Y133" s="762"/>
      <c r="Z133" s="762"/>
      <c r="AA133" s="762"/>
      <c r="AB133" s="762"/>
      <c r="AC133" s="762"/>
      <c r="AD133" s="794"/>
      <c r="AE133" s="762"/>
      <c r="AF133" s="762"/>
      <c r="AG133" s="762"/>
      <c r="AH133" s="762"/>
      <c r="AI133" s="762"/>
      <c r="AJ133" s="762"/>
      <c r="AK133" s="762"/>
      <c r="AL133" s="762"/>
      <c r="AM133" s="762"/>
      <c r="AN133" s="762"/>
      <c r="AO133" s="762"/>
      <c r="AP133" s="762"/>
      <c r="AQ133" s="762"/>
      <c r="AR133" s="762"/>
      <c r="AS133" s="762"/>
    </row>
    <row r="134" spans="1:45" ht="13.9">
      <c r="A134" s="767"/>
      <c r="B134" s="762"/>
      <c r="C134" s="767"/>
      <c r="D134" s="762"/>
      <c r="E134" s="762"/>
      <c r="F134" s="767"/>
      <c r="G134" s="762"/>
      <c r="H134" s="762"/>
      <c r="I134" s="762"/>
      <c r="J134" s="767"/>
      <c r="K134" s="762"/>
      <c r="U134" s="760"/>
      <c r="X134" s="762"/>
      <c r="Y134" s="762"/>
      <c r="Z134" s="762"/>
      <c r="AA134" s="762"/>
      <c r="AB134" s="762"/>
      <c r="AC134" s="762"/>
      <c r="AD134" s="794"/>
      <c r="AE134" s="762"/>
      <c r="AF134" s="762"/>
      <c r="AG134" s="762"/>
      <c r="AH134" s="762"/>
      <c r="AI134" s="762"/>
      <c r="AJ134" s="762"/>
      <c r="AK134" s="762"/>
      <c r="AL134" s="762"/>
      <c r="AM134" s="762"/>
      <c r="AN134" s="762"/>
      <c r="AO134" s="762"/>
      <c r="AP134" s="762"/>
      <c r="AQ134" s="762"/>
      <c r="AR134" s="762"/>
      <c r="AS134" s="762"/>
    </row>
    <row r="135" spans="1:45" ht="13.9">
      <c r="A135" s="767"/>
      <c r="B135" s="762"/>
      <c r="C135" s="767"/>
      <c r="D135" s="762"/>
      <c r="E135" s="762"/>
      <c r="F135" s="767"/>
      <c r="G135" s="762"/>
      <c r="H135" s="762"/>
      <c r="I135" s="762"/>
      <c r="J135" s="767"/>
      <c r="K135" s="762"/>
      <c r="U135" s="760"/>
      <c r="X135" s="762"/>
      <c r="Y135" s="762"/>
      <c r="Z135" s="762"/>
      <c r="AA135" s="762"/>
      <c r="AB135" s="762"/>
      <c r="AC135" s="762"/>
      <c r="AD135" s="794"/>
      <c r="AE135" s="762"/>
      <c r="AF135" s="762"/>
      <c r="AG135" s="762"/>
      <c r="AH135" s="762"/>
      <c r="AI135" s="762"/>
      <c r="AJ135" s="762"/>
      <c r="AK135" s="762"/>
      <c r="AL135" s="762"/>
      <c r="AM135" s="762"/>
      <c r="AN135" s="762"/>
      <c r="AO135" s="762"/>
      <c r="AP135" s="762"/>
      <c r="AQ135" s="762"/>
      <c r="AR135" s="762"/>
      <c r="AS135" s="762"/>
    </row>
    <row r="136" spans="1:45" ht="13.9">
      <c r="A136" s="767"/>
      <c r="B136" s="762"/>
      <c r="C136" s="767"/>
      <c r="D136" s="762"/>
      <c r="E136" s="762"/>
      <c r="F136" s="767"/>
      <c r="G136" s="762"/>
      <c r="H136" s="762"/>
      <c r="I136" s="762"/>
      <c r="J136" s="767"/>
      <c r="K136" s="762"/>
      <c r="U136" s="760"/>
      <c r="X136" s="762"/>
      <c r="Y136" s="762"/>
      <c r="Z136" s="762"/>
      <c r="AA136" s="762"/>
      <c r="AB136" s="762"/>
      <c r="AC136" s="762"/>
      <c r="AD136" s="794"/>
      <c r="AE136" s="762"/>
      <c r="AF136" s="762"/>
      <c r="AG136" s="762"/>
      <c r="AH136" s="762"/>
      <c r="AI136" s="762"/>
      <c r="AJ136" s="762"/>
      <c r="AK136" s="762"/>
      <c r="AL136" s="762"/>
      <c r="AM136" s="762"/>
      <c r="AN136" s="762"/>
      <c r="AO136" s="762"/>
      <c r="AP136" s="762"/>
      <c r="AQ136" s="762"/>
      <c r="AR136" s="762"/>
      <c r="AS136" s="762"/>
    </row>
    <row r="137" spans="1:45" ht="13.9">
      <c r="A137" s="767"/>
      <c r="B137" s="762"/>
      <c r="C137" s="767"/>
      <c r="D137" s="762"/>
      <c r="E137" s="762"/>
      <c r="F137" s="767"/>
      <c r="G137" s="762"/>
      <c r="H137" s="762"/>
      <c r="I137" s="762"/>
      <c r="J137" s="767"/>
      <c r="K137" s="762"/>
      <c r="U137" s="760"/>
      <c r="X137" s="762"/>
      <c r="Y137" s="762"/>
      <c r="Z137" s="762"/>
      <c r="AA137" s="762"/>
      <c r="AB137" s="762"/>
      <c r="AC137" s="762"/>
      <c r="AD137" s="794"/>
      <c r="AE137" s="762"/>
      <c r="AF137" s="762"/>
      <c r="AG137" s="762"/>
      <c r="AH137" s="762"/>
      <c r="AI137" s="762"/>
      <c r="AJ137" s="762"/>
      <c r="AK137" s="762"/>
      <c r="AL137" s="762"/>
      <c r="AM137" s="762"/>
      <c r="AN137" s="762"/>
      <c r="AO137" s="762"/>
      <c r="AP137" s="762"/>
      <c r="AQ137" s="762"/>
      <c r="AR137" s="762"/>
      <c r="AS137" s="762"/>
    </row>
    <row r="138" spans="1:45" ht="13.9">
      <c r="A138" s="767"/>
      <c r="B138" s="762"/>
      <c r="C138" s="767"/>
      <c r="D138" s="762"/>
      <c r="E138" s="762"/>
      <c r="F138" s="767"/>
      <c r="G138" s="762"/>
      <c r="H138" s="762"/>
      <c r="I138" s="762"/>
      <c r="J138" s="767"/>
      <c r="K138" s="762"/>
      <c r="U138" s="760"/>
      <c r="X138" s="762"/>
      <c r="Y138" s="762"/>
      <c r="Z138" s="762"/>
      <c r="AA138" s="762"/>
      <c r="AB138" s="762"/>
      <c r="AC138" s="762"/>
      <c r="AD138" s="794"/>
      <c r="AE138" s="762"/>
      <c r="AF138" s="762"/>
      <c r="AG138" s="762"/>
      <c r="AH138" s="762"/>
      <c r="AI138" s="762"/>
      <c r="AJ138" s="762"/>
      <c r="AK138" s="762"/>
      <c r="AL138" s="762"/>
      <c r="AM138" s="762"/>
      <c r="AN138" s="762"/>
      <c r="AO138" s="762"/>
      <c r="AP138" s="762"/>
      <c r="AQ138" s="762"/>
      <c r="AR138" s="762"/>
      <c r="AS138" s="762"/>
    </row>
    <row r="139" spans="1:45" ht="13.9">
      <c r="A139" s="767"/>
      <c r="B139" s="762"/>
      <c r="C139" s="767"/>
      <c r="D139" s="762"/>
      <c r="E139" s="762"/>
      <c r="F139" s="767"/>
      <c r="G139" s="762"/>
      <c r="H139" s="762"/>
      <c r="I139" s="762"/>
      <c r="J139" s="767"/>
      <c r="K139" s="762"/>
      <c r="U139" s="760"/>
      <c r="X139" s="762"/>
      <c r="Y139" s="762"/>
      <c r="Z139" s="762"/>
      <c r="AA139" s="762"/>
      <c r="AB139" s="762"/>
      <c r="AC139" s="762"/>
      <c r="AD139" s="794"/>
      <c r="AE139" s="762"/>
      <c r="AF139" s="762"/>
      <c r="AG139" s="762"/>
      <c r="AH139" s="762"/>
      <c r="AI139" s="762"/>
      <c r="AJ139" s="762"/>
      <c r="AK139" s="762"/>
      <c r="AL139" s="762"/>
      <c r="AM139" s="762"/>
      <c r="AN139" s="762"/>
      <c r="AO139" s="762"/>
      <c r="AP139" s="762"/>
      <c r="AQ139" s="762"/>
      <c r="AR139" s="762"/>
      <c r="AS139" s="762"/>
    </row>
    <row r="140" spans="1:45" ht="13.9">
      <c r="A140" s="767"/>
      <c r="B140" s="762"/>
      <c r="C140" s="767"/>
      <c r="D140" s="762"/>
      <c r="E140" s="762"/>
      <c r="F140" s="767"/>
      <c r="G140" s="762"/>
      <c r="H140" s="762"/>
      <c r="I140" s="762"/>
      <c r="J140" s="767"/>
      <c r="K140" s="762"/>
      <c r="U140" s="760"/>
      <c r="X140" s="762"/>
      <c r="Y140" s="762"/>
      <c r="Z140" s="762"/>
      <c r="AA140" s="762"/>
      <c r="AB140" s="762"/>
      <c r="AC140" s="762"/>
      <c r="AD140" s="794"/>
      <c r="AE140" s="762"/>
      <c r="AF140" s="762"/>
      <c r="AG140" s="762"/>
      <c r="AH140" s="762"/>
      <c r="AI140" s="762"/>
      <c r="AJ140" s="762"/>
      <c r="AK140" s="762"/>
      <c r="AL140" s="762"/>
      <c r="AM140" s="762"/>
      <c r="AN140" s="762"/>
      <c r="AO140" s="762"/>
      <c r="AP140" s="762"/>
      <c r="AQ140" s="762"/>
      <c r="AR140" s="762"/>
      <c r="AS140" s="762"/>
    </row>
    <row r="141" spans="1:45" ht="13.9">
      <c r="A141" s="767"/>
      <c r="B141" s="762"/>
      <c r="C141" s="767"/>
      <c r="D141" s="762"/>
      <c r="E141" s="762"/>
      <c r="F141" s="767"/>
      <c r="G141" s="762"/>
      <c r="H141" s="762"/>
      <c r="I141" s="762"/>
      <c r="J141" s="767"/>
      <c r="K141" s="762"/>
      <c r="U141" s="760"/>
      <c r="X141" s="762"/>
      <c r="Y141" s="762"/>
      <c r="Z141" s="762"/>
      <c r="AA141" s="762"/>
      <c r="AB141" s="762"/>
      <c r="AC141" s="762"/>
      <c r="AD141" s="794"/>
      <c r="AE141" s="762"/>
      <c r="AF141" s="762"/>
      <c r="AG141" s="762"/>
      <c r="AH141" s="762"/>
      <c r="AI141" s="762"/>
      <c r="AJ141" s="762"/>
      <c r="AK141" s="762"/>
      <c r="AL141" s="762"/>
      <c r="AM141" s="762"/>
      <c r="AN141" s="762"/>
      <c r="AO141" s="762"/>
      <c r="AP141" s="762"/>
      <c r="AQ141" s="762"/>
      <c r="AR141" s="762"/>
      <c r="AS141" s="762"/>
    </row>
    <row r="142" spans="1:45" ht="13.9">
      <c r="A142" s="767"/>
      <c r="B142" s="762"/>
      <c r="C142" s="767"/>
      <c r="D142" s="762"/>
      <c r="E142" s="762"/>
      <c r="F142" s="767"/>
      <c r="G142" s="762"/>
      <c r="H142" s="762"/>
      <c r="I142" s="762"/>
      <c r="J142" s="767"/>
      <c r="K142" s="762"/>
      <c r="U142" s="760"/>
      <c r="X142" s="762"/>
      <c r="Y142" s="762"/>
      <c r="Z142" s="762"/>
      <c r="AA142" s="762"/>
      <c r="AB142" s="762"/>
      <c r="AC142" s="762"/>
      <c r="AD142" s="794"/>
      <c r="AE142" s="762"/>
      <c r="AF142" s="762"/>
      <c r="AG142" s="762"/>
      <c r="AH142" s="762"/>
      <c r="AI142" s="762"/>
      <c r="AJ142" s="762"/>
      <c r="AK142" s="762"/>
      <c r="AL142" s="762"/>
      <c r="AM142" s="762"/>
      <c r="AN142" s="762"/>
      <c r="AO142" s="762"/>
      <c r="AP142" s="762"/>
      <c r="AQ142" s="762"/>
      <c r="AR142" s="762"/>
      <c r="AS142" s="762"/>
    </row>
    <row r="143" spans="1:45" ht="13.9">
      <c r="A143" s="767"/>
      <c r="B143" s="762"/>
      <c r="C143" s="767"/>
      <c r="D143" s="762"/>
      <c r="E143" s="762"/>
      <c r="F143" s="767"/>
      <c r="G143" s="762"/>
      <c r="H143" s="762"/>
      <c r="I143" s="762"/>
      <c r="J143" s="767"/>
      <c r="K143" s="762"/>
      <c r="U143" s="760"/>
      <c r="X143" s="762"/>
      <c r="Y143" s="762"/>
      <c r="Z143" s="762"/>
      <c r="AA143" s="762"/>
      <c r="AB143" s="762"/>
      <c r="AC143" s="762"/>
      <c r="AD143" s="794"/>
      <c r="AE143" s="762"/>
      <c r="AF143" s="762"/>
      <c r="AG143" s="762"/>
      <c r="AH143" s="762"/>
      <c r="AI143" s="762"/>
      <c r="AJ143" s="762"/>
      <c r="AK143" s="762"/>
      <c r="AL143" s="762"/>
      <c r="AM143" s="762"/>
      <c r="AN143" s="762"/>
      <c r="AO143" s="762"/>
      <c r="AP143" s="762"/>
      <c r="AQ143" s="762"/>
      <c r="AR143" s="762"/>
      <c r="AS143" s="762"/>
    </row>
    <row r="144" spans="1:45" ht="13.9">
      <c r="A144" s="767"/>
      <c r="B144" s="762"/>
      <c r="C144" s="767"/>
      <c r="D144" s="762"/>
      <c r="E144" s="762"/>
      <c r="F144" s="767"/>
      <c r="G144" s="762"/>
      <c r="H144" s="762"/>
      <c r="I144" s="762"/>
      <c r="J144" s="767"/>
      <c r="K144" s="762"/>
      <c r="U144" s="760"/>
      <c r="X144" s="762"/>
      <c r="Y144" s="762"/>
      <c r="Z144" s="762"/>
      <c r="AA144" s="762"/>
      <c r="AB144" s="762"/>
      <c r="AC144" s="762"/>
      <c r="AD144" s="794"/>
      <c r="AE144" s="762"/>
      <c r="AF144" s="762"/>
      <c r="AG144" s="762"/>
      <c r="AH144" s="762"/>
      <c r="AI144" s="762"/>
      <c r="AJ144" s="762"/>
      <c r="AK144" s="762"/>
      <c r="AL144" s="762"/>
      <c r="AM144" s="762"/>
      <c r="AN144" s="762"/>
      <c r="AO144" s="762"/>
      <c r="AP144" s="762"/>
      <c r="AQ144" s="762"/>
      <c r="AR144" s="762"/>
      <c r="AS144" s="762"/>
    </row>
    <row r="145" spans="1:45" ht="13.9">
      <c r="A145" s="767"/>
      <c r="B145" s="762"/>
      <c r="C145" s="767"/>
      <c r="D145" s="762"/>
      <c r="E145" s="762"/>
      <c r="F145" s="767"/>
      <c r="G145" s="762"/>
      <c r="H145" s="762"/>
      <c r="I145" s="762"/>
      <c r="J145" s="767"/>
      <c r="K145" s="762"/>
      <c r="U145" s="760"/>
      <c r="X145" s="762"/>
      <c r="Y145" s="762"/>
      <c r="Z145" s="762"/>
      <c r="AA145" s="762"/>
      <c r="AB145" s="762"/>
      <c r="AC145" s="762"/>
      <c r="AD145" s="794"/>
      <c r="AE145" s="762"/>
      <c r="AF145" s="762"/>
      <c r="AG145" s="762"/>
      <c r="AH145" s="762"/>
      <c r="AI145" s="762"/>
      <c r="AJ145" s="762"/>
      <c r="AK145" s="762"/>
      <c r="AL145" s="762"/>
      <c r="AM145" s="762"/>
      <c r="AN145" s="762"/>
      <c r="AO145" s="762"/>
      <c r="AP145" s="762"/>
      <c r="AQ145" s="762"/>
      <c r="AR145" s="762"/>
      <c r="AS145" s="762"/>
    </row>
    <row r="146" spans="1:45" ht="13.9">
      <c r="A146" s="767"/>
      <c r="B146" s="762"/>
      <c r="C146" s="767"/>
      <c r="D146" s="762"/>
      <c r="E146" s="762"/>
      <c r="F146" s="767"/>
      <c r="G146" s="762"/>
      <c r="H146" s="762"/>
      <c r="I146" s="762"/>
      <c r="J146" s="767"/>
      <c r="K146" s="762"/>
      <c r="U146" s="760"/>
      <c r="X146" s="762"/>
      <c r="Y146" s="762"/>
      <c r="Z146" s="762"/>
      <c r="AA146" s="762"/>
      <c r="AB146" s="762"/>
      <c r="AC146" s="762"/>
      <c r="AD146" s="794"/>
      <c r="AE146" s="762"/>
      <c r="AF146" s="762"/>
      <c r="AG146" s="762"/>
      <c r="AH146" s="762"/>
      <c r="AI146" s="762"/>
      <c r="AJ146" s="762"/>
      <c r="AK146" s="762"/>
      <c r="AL146" s="762"/>
      <c r="AM146" s="762"/>
      <c r="AN146" s="762"/>
      <c r="AO146" s="762"/>
      <c r="AP146" s="762"/>
      <c r="AQ146" s="762"/>
      <c r="AR146" s="762"/>
      <c r="AS146" s="762"/>
    </row>
    <row r="147" spans="1:45" ht="13.9">
      <c r="A147" s="767"/>
      <c r="B147" s="762"/>
      <c r="C147" s="767"/>
      <c r="D147" s="762"/>
      <c r="E147" s="762"/>
      <c r="F147" s="767"/>
      <c r="G147" s="762"/>
      <c r="H147" s="762"/>
      <c r="I147" s="762"/>
      <c r="J147" s="767"/>
      <c r="K147" s="762"/>
      <c r="U147" s="760"/>
      <c r="X147" s="762"/>
      <c r="Y147" s="762"/>
      <c r="Z147" s="762"/>
      <c r="AA147" s="762"/>
      <c r="AB147" s="762"/>
      <c r="AC147" s="762"/>
      <c r="AD147" s="794"/>
      <c r="AE147" s="762"/>
      <c r="AF147" s="762"/>
      <c r="AG147" s="762"/>
      <c r="AH147" s="762"/>
      <c r="AI147" s="762"/>
      <c r="AJ147" s="762"/>
      <c r="AK147" s="762"/>
      <c r="AL147" s="762"/>
      <c r="AM147" s="762"/>
      <c r="AN147" s="762"/>
      <c r="AO147" s="762"/>
      <c r="AP147" s="762"/>
      <c r="AQ147" s="762"/>
      <c r="AR147" s="762"/>
      <c r="AS147" s="762"/>
    </row>
    <row r="148" spans="1:45" ht="13.9">
      <c r="A148" s="767"/>
      <c r="B148" s="762"/>
      <c r="C148" s="767"/>
      <c r="D148" s="762"/>
      <c r="E148" s="762"/>
      <c r="F148" s="767"/>
      <c r="G148" s="762"/>
      <c r="H148" s="762"/>
      <c r="I148" s="762"/>
      <c r="J148" s="767"/>
      <c r="K148" s="762"/>
      <c r="U148" s="760"/>
      <c r="X148" s="762"/>
      <c r="Y148" s="762"/>
      <c r="Z148" s="762"/>
      <c r="AA148" s="762"/>
      <c r="AB148" s="762"/>
      <c r="AC148" s="762"/>
      <c r="AD148" s="794"/>
      <c r="AE148" s="762"/>
      <c r="AF148" s="762"/>
      <c r="AG148" s="762"/>
      <c r="AH148" s="762"/>
      <c r="AI148" s="762"/>
      <c r="AJ148" s="762"/>
      <c r="AK148" s="762"/>
      <c r="AL148" s="762"/>
      <c r="AM148" s="762"/>
      <c r="AN148" s="762"/>
      <c r="AO148" s="762"/>
      <c r="AP148" s="762"/>
      <c r="AQ148" s="762"/>
      <c r="AR148" s="762"/>
      <c r="AS148" s="762"/>
    </row>
    <row r="149" spans="1:45" ht="13.9">
      <c r="A149" s="767"/>
      <c r="B149" s="762"/>
      <c r="C149" s="767"/>
      <c r="D149" s="762"/>
      <c r="E149" s="762"/>
      <c r="F149" s="767"/>
      <c r="G149" s="762"/>
      <c r="H149" s="762"/>
      <c r="I149" s="762"/>
      <c r="J149" s="767"/>
      <c r="K149" s="762"/>
      <c r="U149" s="760"/>
      <c r="X149" s="762"/>
      <c r="Y149" s="762"/>
      <c r="Z149" s="762"/>
      <c r="AA149" s="762"/>
      <c r="AB149" s="762"/>
      <c r="AC149" s="762"/>
      <c r="AD149" s="794"/>
      <c r="AE149" s="762"/>
      <c r="AF149" s="762"/>
      <c r="AG149" s="762"/>
      <c r="AH149" s="762"/>
      <c r="AI149" s="762"/>
      <c r="AJ149" s="762"/>
      <c r="AK149" s="762"/>
      <c r="AL149" s="762"/>
      <c r="AM149" s="762"/>
      <c r="AN149" s="762"/>
      <c r="AO149" s="762"/>
      <c r="AP149" s="762"/>
      <c r="AQ149" s="762"/>
      <c r="AR149" s="762"/>
      <c r="AS149" s="762"/>
    </row>
    <row r="150" spans="1:45" ht="13.9">
      <c r="A150" s="767"/>
      <c r="B150" s="762"/>
      <c r="C150" s="767"/>
      <c r="D150" s="762"/>
      <c r="E150" s="762"/>
      <c r="F150" s="767"/>
      <c r="G150" s="762"/>
      <c r="H150" s="762"/>
      <c r="I150" s="762"/>
      <c r="J150" s="767"/>
      <c r="K150" s="762"/>
      <c r="U150" s="760"/>
      <c r="X150" s="762"/>
      <c r="Y150" s="762"/>
      <c r="Z150" s="762"/>
      <c r="AA150" s="762"/>
      <c r="AB150" s="762"/>
      <c r="AC150" s="762"/>
      <c r="AD150" s="794"/>
      <c r="AE150" s="762"/>
      <c r="AF150" s="762"/>
      <c r="AG150" s="762"/>
      <c r="AH150" s="762"/>
      <c r="AI150" s="762"/>
      <c r="AJ150" s="762"/>
      <c r="AK150" s="762"/>
      <c r="AL150" s="762"/>
      <c r="AM150" s="762"/>
      <c r="AN150" s="762"/>
      <c r="AO150" s="762"/>
      <c r="AP150" s="762"/>
      <c r="AQ150" s="762"/>
      <c r="AR150" s="762"/>
      <c r="AS150" s="762"/>
    </row>
    <row r="151" spans="1:45" ht="13.9">
      <c r="A151" s="767"/>
      <c r="B151" s="762"/>
      <c r="C151" s="767"/>
      <c r="D151" s="762"/>
      <c r="E151" s="762"/>
      <c r="F151" s="767"/>
      <c r="G151" s="762"/>
      <c r="H151" s="762"/>
      <c r="I151" s="762"/>
      <c r="J151" s="767"/>
      <c r="K151" s="762"/>
      <c r="U151" s="760"/>
      <c r="X151" s="762"/>
      <c r="Y151" s="762"/>
      <c r="Z151" s="762"/>
      <c r="AA151" s="762"/>
      <c r="AB151" s="762"/>
      <c r="AC151" s="762"/>
      <c r="AD151" s="794"/>
      <c r="AE151" s="762"/>
      <c r="AF151" s="762"/>
      <c r="AG151" s="762"/>
      <c r="AH151" s="762"/>
      <c r="AI151" s="762"/>
      <c r="AJ151" s="762"/>
      <c r="AK151" s="762"/>
      <c r="AL151" s="762"/>
      <c r="AM151" s="762"/>
      <c r="AN151" s="762"/>
      <c r="AO151" s="762"/>
      <c r="AP151" s="762"/>
      <c r="AQ151" s="762"/>
      <c r="AR151" s="762"/>
      <c r="AS151" s="762"/>
    </row>
    <row r="152" spans="1:45" ht="13.9">
      <c r="A152" s="767"/>
      <c r="B152" s="762"/>
      <c r="C152" s="767"/>
      <c r="D152" s="762"/>
      <c r="E152" s="762"/>
      <c r="F152" s="767"/>
      <c r="G152" s="762"/>
      <c r="H152" s="762"/>
      <c r="I152" s="762"/>
      <c r="J152" s="767"/>
      <c r="K152" s="762"/>
      <c r="U152" s="760"/>
      <c r="X152" s="762"/>
      <c r="Y152" s="762"/>
      <c r="Z152" s="762"/>
      <c r="AA152" s="762"/>
      <c r="AB152" s="762"/>
      <c r="AC152" s="762"/>
      <c r="AD152" s="794"/>
      <c r="AE152" s="762"/>
      <c r="AF152" s="762"/>
      <c r="AG152" s="762"/>
      <c r="AH152" s="762"/>
      <c r="AI152" s="762"/>
      <c r="AJ152" s="762"/>
      <c r="AK152" s="762"/>
      <c r="AL152" s="762"/>
      <c r="AM152" s="762"/>
      <c r="AN152" s="762"/>
      <c r="AO152" s="762"/>
      <c r="AP152" s="762"/>
      <c r="AQ152" s="762"/>
      <c r="AR152" s="762"/>
      <c r="AS152" s="762"/>
    </row>
    <row r="153" spans="1:45" ht="13.9">
      <c r="A153" s="767"/>
      <c r="B153" s="762"/>
      <c r="C153" s="767"/>
      <c r="D153" s="762"/>
      <c r="E153" s="762"/>
      <c r="F153" s="767"/>
      <c r="G153" s="762"/>
      <c r="H153" s="762"/>
      <c r="I153" s="762"/>
      <c r="J153" s="767"/>
      <c r="K153" s="762"/>
      <c r="U153" s="760"/>
      <c r="X153" s="762"/>
      <c r="Y153" s="762"/>
      <c r="Z153" s="762"/>
      <c r="AA153" s="762"/>
      <c r="AB153" s="762"/>
      <c r="AC153" s="762"/>
      <c r="AD153" s="794"/>
      <c r="AE153" s="762"/>
      <c r="AF153" s="762"/>
      <c r="AG153" s="762"/>
      <c r="AH153" s="762"/>
      <c r="AI153" s="762"/>
      <c r="AJ153" s="762"/>
      <c r="AK153" s="762"/>
      <c r="AL153" s="762"/>
      <c r="AM153" s="762"/>
      <c r="AN153" s="762"/>
      <c r="AO153" s="762"/>
      <c r="AP153" s="762"/>
      <c r="AQ153" s="762"/>
      <c r="AR153" s="762"/>
      <c r="AS153" s="762"/>
    </row>
    <row r="154" spans="1:45" ht="13.9">
      <c r="A154" s="767"/>
      <c r="B154" s="762"/>
      <c r="C154" s="767"/>
      <c r="D154" s="762"/>
      <c r="E154" s="762"/>
      <c r="F154" s="767"/>
      <c r="G154" s="762"/>
      <c r="H154" s="762"/>
      <c r="I154" s="762"/>
      <c r="J154" s="767"/>
      <c r="K154" s="762"/>
      <c r="U154" s="760"/>
      <c r="X154" s="762"/>
      <c r="Y154" s="762"/>
      <c r="Z154" s="762"/>
      <c r="AA154" s="762"/>
      <c r="AB154" s="762"/>
      <c r="AC154" s="762"/>
      <c r="AD154" s="794"/>
      <c r="AE154" s="762"/>
      <c r="AF154" s="762"/>
      <c r="AG154" s="762"/>
      <c r="AH154" s="762"/>
      <c r="AI154" s="762"/>
      <c r="AJ154" s="762"/>
      <c r="AK154" s="762"/>
      <c r="AL154" s="762"/>
      <c r="AM154" s="762"/>
      <c r="AN154" s="762"/>
      <c r="AO154" s="762"/>
      <c r="AP154" s="762"/>
      <c r="AQ154" s="762"/>
      <c r="AR154" s="762"/>
      <c r="AS154" s="762"/>
    </row>
    <row r="155" spans="1:45" ht="13.9">
      <c r="A155" s="767"/>
      <c r="B155" s="762"/>
      <c r="C155" s="767"/>
      <c r="D155" s="762"/>
      <c r="E155" s="762"/>
      <c r="F155" s="767"/>
      <c r="G155" s="762"/>
      <c r="H155" s="762"/>
      <c r="I155" s="762"/>
      <c r="J155" s="767"/>
      <c r="K155" s="762"/>
      <c r="U155" s="760"/>
      <c r="X155" s="762"/>
      <c r="Y155" s="762"/>
      <c r="Z155" s="762"/>
      <c r="AA155" s="762"/>
      <c r="AB155" s="762"/>
      <c r="AC155" s="762"/>
      <c r="AD155" s="794"/>
      <c r="AE155" s="762"/>
      <c r="AF155" s="762"/>
      <c r="AG155" s="762"/>
      <c r="AH155" s="762"/>
      <c r="AI155" s="762"/>
      <c r="AJ155" s="762"/>
      <c r="AK155" s="762"/>
      <c r="AL155" s="762"/>
      <c r="AM155" s="762"/>
      <c r="AN155" s="762"/>
      <c r="AO155" s="762"/>
      <c r="AP155" s="762"/>
      <c r="AQ155" s="762"/>
      <c r="AR155" s="762"/>
      <c r="AS155" s="762"/>
    </row>
    <row r="156" spans="1:45" ht="13.9">
      <c r="A156" s="767"/>
      <c r="B156" s="762"/>
      <c r="C156" s="767"/>
      <c r="D156" s="762"/>
      <c r="E156" s="762"/>
      <c r="F156" s="767"/>
      <c r="G156" s="762"/>
      <c r="H156" s="762"/>
      <c r="I156" s="762"/>
      <c r="J156" s="767"/>
      <c r="K156" s="762"/>
      <c r="U156" s="760"/>
      <c r="X156" s="762"/>
      <c r="Y156" s="762"/>
      <c r="Z156" s="762"/>
      <c r="AA156" s="762"/>
      <c r="AB156" s="762"/>
      <c r="AC156" s="762"/>
      <c r="AD156" s="794"/>
      <c r="AE156" s="762"/>
      <c r="AF156" s="762"/>
      <c r="AG156" s="762"/>
      <c r="AH156" s="762"/>
      <c r="AI156" s="762"/>
      <c r="AJ156" s="762"/>
      <c r="AK156" s="762"/>
      <c r="AL156" s="762"/>
      <c r="AM156" s="762"/>
      <c r="AN156" s="762"/>
      <c r="AO156" s="762"/>
      <c r="AP156" s="762"/>
      <c r="AQ156" s="762"/>
      <c r="AR156" s="762"/>
      <c r="AS156" s="762"/>
    </row>
    <row r="157" spans="1:45" ht="13.9">
      <c r="A157" s="767"/>
      <c r="B157" s="762"/>
      <c r="C157" s="767"/>
      <c r="D157" s="762"/>
      <c r="E157" s="762"/>
      <c r="F157" s="767"/>
      <c r="G157" s="762"/>
      <c r="H157" s="762"/>
      <c r="I157" s="762"/>
      <c r="J157" s="767"/>
      <c r="K157" s="762"/>
      <c r="U157" s="760"/>
      <c r="X157" s="762"/>
      <c r="Y157" s="762"/>
      <c r="Z157" s="762"/>
      <c r="AA157" s="762"/>
      <c r="AB157" s="762"/>
      <c r="AC157" s="762"/>
      <c r="AD157" s="794"/>
      <c r="AE157" s="762"/>
      <c r="AF157" s="762"/>
      <c r="AG157" s="762"/>
      <c r="AH157" s="762"/>
      <c r="AI157" s="762"/>
      <c r="AJ157" s="762"/>
      <c r="AK157" s="762"/>
      <c r="AL157" s="762"/>
      <c r="AM157" s="762"/>
      <c r="AN157" s="762"/>
      <c r="AO157" s="762"/>
      <c r="AP157" s="762"/>
      <c r="AQ157" s="762"/>
      <c r="AR157" s="762"/>
      <c r="AS157" s="762"/>
    </row>
    <row r="158" spans="1:45" ht="13.9">
      <c r="A158" s="767"/>
      <c r="B158" s="762"/>
      <c r="C158" s="767"/>
      <c r="D158" s="762"/>
      <c r="E158" s="762"/>
      <c r="F158" s="767"/>
      <c r="G158" s="762"/>
      <c r="H158" s="762"/>
      <c r="I158" s="762"/>
      <c r="J158" s="767"/>
      <c r="K158" s="762"/>
      <c r="U158" s="760"/>
      <c r="X158" s="762"/>
      <c r="Y158" s="762"/>
      <c r="Z158" s="762"/>
      <c r="AA158" s="762"/>
      <c r="AB158" s="762"/>
      <c r="AC158" s="762"/>
      <c r="AD158" s="794"/>
      <c r="AE158" s="762"/>
      <c r="AF158" s="762"/>
      <c r="AG158" s="762"/>
      <c r="AH158" s="762"/>
      <c r="AI158" s="762"/>
      <c r="AJ158" s="762"/>
      <c r="AK158" s="762"/>
      <c r="AL158" s="762"/>
      <c r="AM158" s="762"/>
      <c r="AN158" s="762"/>
      <c r="AO158" s="762"/>
      <c r="AP158" s="762"/>
      <c r="AQ158" s="762"/>
      <c r="AR158" s="762"/>
      <c r="AS158" s="762"/>
    </row>
    <row r="159" spans="1:45" ht="13.9">
      <c r="A159" s="767"/>
      <c r="B159" s="762"/>
      <c r="C159" s="767"/>
      <c r="D159" s="762"/>
      <c r="E159" s="762"/>
      <c r="F159" s="767"/>
      <c r="G159" s="762"/>
      <c r="H159" s="762"/>
      <c r="I159" s="762"/>
      <c r="J159" s="767"/>
      <c r="K159" s="762"/>
      <c r="U159" s="760"/>
      <c r="X159" s="762"/>
      <c r="Y159" s="762"/>
      <c r="Z159" s="762"/>
      <c r="AA159" s="762"/>
      <c r="AB159" s="762"/>
      <c r="AC159" s="762"/>
      <c r="AD159" s="794"/>
      <c r="AE159" s="762"/>
      <c r="AF159" s="762"/>
      <c r="AG159" s="762"/>
      <c r="AH159" s="762"/>
      <c r="AI159" s="762"/>
      <c r="AJ159" s="762"/>
      <c r="AK159" s="762"/>
      <c r="AL159" s="762"/>
      <c r="AM159" s="762"/>
      <c r="AN159" s="762"/>
      <c r="AO159" s="762"/>
      <c r="AP159" s="762"/>
      <c r="AQ159" s="762"/>
      <c r="AR159" s="762"/>
      <c r="AS159" s="762"/>
    </row>
    <row r="160" spans="1:45" ht="13.9">
      <c r="A160" s="767"/>
      <c r="B160" s="762"/>
      <c r="C160" s="767"/>
      <c r="D160" s="762"/>
      <c r="E160" s="762"/>
      <c r="F160" s="767"/>
      <c r="G160" s="762"/>
      <c r="H160" s="762"/>
      <c r="I160" s="762"/>
      <c r="J160" s="767"/>
      <c r="K160" s="762"/>
      <c r="U160" s="760"/>
      <c r="X160" s="762"/>
      <c r="Y160" s="762"/>
      <c r="Z160" s="762"/>
      <c r="AA160" s="762"/>
      <c r="AB160" s="762"/>
      <c r="AC160" s="762"/>
      <c r="AD160" s="794"/>
      <c r="AE160" s="762"/>
      <c r="AF160" s="762"/>
      <c r="AG160" s="762"/>
      <c r="AH160" s="762"/>
      <c r="AI160" s="762"/>
      <c r="AJ160" s="762"/>
      <c r="AK160" s="762"/>
      <c r="AL160" s="762"/>
      <c r="AM160" s="762"/>
      <c r="AN160" s="762"/>
      <c r="AO160" s="762"/>
      <c r="AP160" s="762"/>
      <c r="AQ160" s="762"/>
      <c r="AR160" s="762"/>
      <c r="AS160" s="762"/>
    </row>
    <row r="161" spans="1:45" ht="13.9">
      <c r="A161" s="767"/>
      <c r="B161" s="762"/>
      <c r="C161" s="767"/>
      <c r="D161" s="762"/>
      <c r="E161" s="762"/>
      <c r="F161" s="767"/>
      <c r="G161" s="762"/>
      <c r="H161" s="762"/>
      <c r="I161" s="762"/>
      <c r="J161" s="767"/>
      <c r="K161" s="762"/>
      <c r="U161" s="760"/>
      <c r="X161" s="762"/>
      <c r="Y161" s="762"/>
      <c r="Z161" s="762"/>
      <c r="AA161" s="762"/>
      <c r="AB161" s="762"/>
      <c r="AC161" s="762"/>
      <c r="AD161" s="794"/>
      <c r="AE161" s="762"/>
      <c r="AF161" s="762"/>
      <c r="AG161" s="762"/>
      <c r="AH161" s="762"/>
      <c r="AI161" s="762"/>
      <c r="AJ161" s="762"/>
      <c r="AK161" s="762"/>
      <c r="AL161" s="762"/>
      <c r="AM161" s="762"/>
      <c r="AN161" s="762"/>
      <c r="AO161" s="762"/>
      <c r="AP161" s="762"/>
      <c r="AQ161" s="762"/>
      <c r="AR161" s="762"/>
      <c r="AS161" s="762"/>
    </row>
    <row r="162" spans="1:45" ht="13.9">
      <c r="A162" s="767"/>
      <c r="B162" s="762"/>
      <c r="C162" s="767"/>
      <c r="D162" s="762"/>
      <c r="E162" s="762"/>
      <c r="F162" s="767"/>
      <c r="G162" s="762"/>
      <c r="H162" s="762"/>
      <c r="I162" s="762"/>
      <c r="J162" s="767"/>
      <c r="K162" s="762"/>
      <c r="U162" s="760"/>
      <c r="X162" s="762"/>
      <c r="Y162" s="762"/>
      <c r="Z162" s="762"/>
      <c r="AA162" s="762"/>
      <c r="AB162" s="762"/>
      <c r="AC162" s="762"/>
      <c r="AD162" s="794"/>
      <c r="AE162" s="762"/>
      <c r="AF162" s="762"/>
      <c r="AG162" s="762"/>
      <c r="AH162" s="762"/>
      <c r="AI162" s="762"/>
      <c r="AJ162" s="762"/>
      <c r="AK162" s="762"/>
      <c r="AL162" s="762"/>
      <c r="AM162" s="762"/>
      <c r="AN162" s="762"/>
      <c r="AO162" s="762"/>
      <c r="AP162" s="762"/>
      <c r="AQ162" s="762"/>
      <c r="AR162" s="762"/>
      <c r="AS162" s="762"/>
    </row>
    <row r="163" spans="1:45" ht="13.9">
      <c r="A163" s="767"/>
      <c r="B163" s="762"/>
      <c r="C163" s="767"/>
      <c r="D163" s="762"/>
      <c r="E163" s="762"/>
      <c r="F163" s="767"/>
      <c r="G163" s="762"/>
      <c r="H163" s="762"/>
      <c r="I163" s="762"/>
      <c r="J163" s="767"/>
      <c r="K163" s="762"/>
      <c r="U163" s="760"/>
      <c r="X163" s="762"/>
      <c r="Y163" s="762"/>
      <c r="Z163" s="762"/>
      <c r="AA163" s="762"/>
      <c r="AB163" s="762"/>
      <c r="AC163" s="762"/>
      <c r="AD163" s="794"/>
      <c r="AE163" s="762"/>
      <c r="AF163" s="762"/>
      <c r="AG163" s="762"/>
      <c r="AH163" s="762"/>
      <c r="AI163" s="762"/>
      <c r="AJ163" s="762"/>
      <c r="AK163" s="762"/>
      <c r="AL163" s="762"/>
      <c r="AM163" s="762"/>
      <c r="AN163" s="762"/>
      <c r="AO163" s="762"/>
      <c r="AP163" s="762"/>
      <c r="AQ163" s="762"/>
      <c r="AR163" s="762"/>
      <c r="AS163" s="762"/>
    </row>
    <row r="164" spans="1:45" ht="13.9">
      <c r="A164" s="767"/>
      <c r="B164" s="762"/>
      <c r="C164" s="767"/>
      <c r="D164" s="762"/>
      <c r="E164" s="762"/>
      <c r="F164" s="767"/>
      <c r="G164" s="762"/>
      <c r="H164" s="762"/>
      <c r="I164" s="762"/>
      <c r="J164" s="767"/>
      <c r="K164" s="762"/>
      <c r="U164" s="760"/>
      <c r="X164" s="762"/>
      <c r="Y164" s="762"/>
      <c r="Z164" s="762"/>
      <c r="AA164" s="762"/>
      <c r="AB164" s="762"/>
      <c r="AC164" s="762"/>
      <c r="AD164" s="794"/>
      <c r="AE164" s="762"/>
      <c r="AF164" s="762"/>
      <c r="AG164" s="762"/>
      <c r="AH164" s="762"/>
      <c r="AI164" s="762"/>
      <c r="AJ164" s="762"/>
      <c r="AK164" s="762"/>
      <c r="AL164" s="762"/>
      <c r="AM164" s="762"/>
      <c r="AN164" s="762"/>
      <c r="AO164" s="762"/>
      <c r="AP164" s="762"/>
      <c r="AQ164" s="762"/>
      <c r="AR164" s="762"/>
      <c r="AS164" s="762"/>
    </row>
    <row r="165" spans="1:45" ht="13.9">
      <c r="A165" s="767"/>
      <c r="B165" s="762"/>
      <c r="C165" s="767"/>
      <c r="D165" s="762"/>
      <c r="E165" s="762"/>
      <c r="F165" s="767"/>
      <c r="G165" s="762"/>
      <c r="H165" s="762"/>
      <c r="I165" s="762"/>
      <c r="J165" s="767"/>
      <c r="K165" s="762"/>
      <c r="U165" s="760"/>
      <c r="X165" s="762"/>
      <c r="Y165" s="762"/>
      <c r="Z165" s="762"/>
      <c r="AA165" s="762"/>
      <c r="AB165" s="762"/>
      <c r="AC165" s="762"/>
      <c r="AD165" s="794"/>
      <c r="AE165" s="762"/>
      <c r="AF165" s="762"/>
      <c r="AG165" s="762"/>
      <c r="AH165" s="762"/>
      <c r="AI165" s="762"/>
      <c r="AJ165" s="762"/>
      <c r="AK165" s="762"/>
      <c r="AL165" s="762"/>
      <c r="AM165" s="762"/>
      <c r="AN165" s="762"/>
      <c r="AO165" s="762"/>
      <c r="AP165" s="762"/>
      <c r="AQ165" s="762"/>
      <c r="AR165" s="762"/>
      <c r="AS165" s="762"/>
    </row>
    <row r="166" spans="1:45" ht="13.9">
      <c r="A166" s="767"/>
      <c r="B166" s="762"/>
      <c r="C166" s="767"/>
      <c r="D166" s="762"/>
      <c r="E166" s="762"/>
      <c r="F166" s="767"/>
      <c r="G166" s="762"/>
      <c r="H166" s="762"/>
      <c r="I166" s="762"/>
      <c r="J166" s="767"/>
      <c r="K166" s="762"/>
      <c r="U166" s="760"/>
      <c r="X166" s="762"/>
      <c r="Y166" s="762"/>
      <c r="Z166" s="762"/>
      <c r="AA166" s="762"/>
      <c r="AB166" s="762"/>
      <c r="AC166" s="762"/>
      <c r="AD166" s="794"/>
      <c r="AE166" s="762"/>
      <c r="AF166" s="762"/>
      <c r="AG166" s="762"/>
      <c r="AH166" s="762"/>
      <c r="AI166" s="762"/>
      <c r="AJ166" s="762"/>
      <c r="AK166" s="762"/>
      <c r="AL166" s="762"/>
      <c r="AM166" s="762"/>
      <c r="AN166" s="762"/>
      <c r="AO166" s="762"/>
      <c r="AP166" s="762"/>
      <c r="AQ166" s="762"/>
      <c r="AR166" s="762"/>
      <c r="AS166" s="762"/>
    </row>
    <row r="167" spans="1:45" ht="13.9">
      <c r="A167" s="767"/>
      <c r="B167" s="762"/>
      <c r="C167" s="767"/>
      <c r="D167" s="762"/>
      <c r="E167" s="762"/>
      <c r="F167" s="767"/>
      <c r="G167" s="762"/>
      <c r="H167" s="762"/>
      <c r="I167" s="762"/>
      <c r="J167" s="767"/>
      <c r="K167" s="762"/>
      <c r="U167" s="760"/>
      <c r="X167" s="762"/>
      <c r="Y167" s="762"/>
      <c r="Z167" s="762"/>
      <c r="AA167" s="762"/>
      <c r="AB167" s="762"/>
      <c r="AC167" s="762"/>
      <c r="AD167" s="794"/>
      <c r="AE167" s="762"/>
      <c r="AF167" s="762"/>
      <c r="AG167" s="762"/>
      <c r="AH167" s="762"/>
      <c r="AI167" s="762"/>
      <c r="AJ167" s="762"/>
      <c r="AK167" s="762"/>
      <c r="AL167" s="762"/>
      <c r="AM167" s="762"/>
      <c r="AN167" s="762"/>
      <c r="AO167" s="762"/>
      <c r="AP167" s="762"/>
      <c r="AQ167" s="762"/>
      <c r="AR167" s="762"/>
      <c r="AS167" s="762"/>
    </row>
    <row r="168" spans="1:45" ht="13.9">
      <c r="A168" s="767"/>
      <c r="B168" s="762"/>
      <c r="C168" s="767"/>
      <c r="D168" s="762"/>
      <c r="E168" s="762"/>
      <c r="F168" s="767"/>
      <c r="G168" s="762"/>
      <c r="H168" s="762"/>
      <c r="I168" s="762"/>
      <c r="J168" s="767"/>
      <c r="K168" s="762"/>
      <c r="U168" s="760"/>
      <c r="X168" s="762"/>
      <c r="Y168" s="762"/>
      <c r="Z168" s="762"/>
      <c r="AA168" s="762"/>
      <c r="AB168" s="762"/>
      <c r="AC168" s="762"/>
      <c r="AD168" s="794"/>
      <c r="AE168" s="762"/>
      <c r="AF168" s="762"/>
      <c r="AG168" s="762"/>
      <c r="AH168" s="762"/>
      <c r="AI168" s="762"/>
      <c r="AJ168" s="762"/>
      <c r="AK168" s="762"/>
      <c r="AL168" s="762"/>
      <c r="AM168" s="762"/>
      <c r="AN168" s="762"/>
      <c r="AO168" s="762"/>
      <c r="AP168" s="762"/>
      <c r="AQ168" s="762"/>
      <c r="AR168" s="762"/>
      <c r="AS168" s="762"/>
    </row>
    <row r="169" spans="1:45" ht="13.9">
      <c r="A169" s="767"/>
      <c r="B169" s="762"/>
      <c r="C169" s="767"/>
      <c r="D169" s="762"/>
      <c r="E169" s="762"/>
      <c r="F169" s="767"/>
      <c r="G169" s="762"/>
      <c r="H169" s="762"/>
      <c r="I169" s="762"/>
      <c r="J169" s="767"/>
      <c r="K169" s="762"/>
      <c r="U169" s="760"/>
      <c r="X169" s="762"/>
      <c r="Y169" s="762"/>
      <c r="Z169" s="762"/>
      <c r="AA169" s="762"/>
      <c r="AB169" s="762"/>
      <c r="AC169" s="762"/>
      <c r="AD169" s="794"/>
      <c r="AE169" s="762"/>
      <c r="AF169" s="762"/>
      <c r="AG169" s="762"/>
      <c r="AH169" s="762"/>
      <c r="AI169" s="762"/>
      <c r="AJ169" s="762"/>
      <c r="AK169" s="762"/>
      <c r="AL169" s="762"/>
      <c r="AM169" s="762"/>
      <c r="AN169" s="762"/>
      <c r="AO169" s="762"/>
      <c r="AP169" s="762"/>
      <c r="AQ169" s="762"/>
      <c r="AR169" s="762"/>
      <c r="AS169" s="762"/>
    </row>
    <row r="170" spans="1:45" ht="13.9">
      <c r="A170" s="767"/>
      <c r="B170" s="762"/>
      <c r="C170" s="767"/>
      <c r="D170" s="762"/>
      <c r="E170" s="762"/>
      <c r="F170" s="767"/>
      <c r="G170" s="762"/>
      <c r="H170" s="762"/>
      <c r="I170" s="762"/>
      <c r="J170" s="767"/>
      <c r="K170" s="762"/>
      <c r="U170" s="760"/>
      <c r="X170" s="762"/>
      <c r="Y170" s="762"/>
      <c r="Z170" s="762"/>
      <c r="AA170" s="762"/>
      <c r="AB170" s="762"/>
      <c r="AC170" s="762"/>
      <c r="AD170" s="794"/>
      <c r="AE170" s="762"/>
      <c r="AF170" s="762"/>
      <c r="AG170" s="762"/>
      <c r="AH170" s="762"/>
      <c r="AI170" s="762"/>
      <c r="AJ170" s="762"/>
      <c r="AK170" s="762"/>
      <c r="AL170" s="762"/>
      <c r="AM170" s="762"/>
      <c r="AN170" s="762"/>
      <c r="AO170" s="762"/>
      <c r="AP170" s="762"/>
      <c r="AQ170" s="762"/>
      <c r="AR170" s="762"/>
      <c r="AS170" s="762"/>
    </row>
    <row r="171" spans="1:45" ht="13.9">
      <c r="A171" s="767"/>
      <c r="B171" s="762"/>
      <c r="C171" s="767"/>
      <c r="D171" s="762"/>
      <c r="E171" s="762"/>
      <c r="F171" s="767"/>
      <c r="G171" s="762"/>
      <c r="H171" s="762"/>
      <c r="I171" s="762"/>
      <c r="J171" s="767"/>
      <c r="K171" s="762"/>
      <c r="U171" s="760"/>
      <c r="X171" s="762"/>
      <c r="Y171" s="762"/>
      <c r="Z171" s="762"/>
      <c r="AA171" s="762"/>
      <c r="AB171" s="762"/>
      <c r="AC171" s="762"/>
      <c r="AD171" s="794"/>
      <c r="AE171" s="762"/>
      <c r="AF171" s="762"/>
      <c r="AG171" s="762"/>
      <c r="AH171" s="762"/>
      <c r="AI171" s="762"/>
      <c r="AJ171" s="762"/>
      <c r="AK171" s="762"/>
      <c r="AL171" s="762"/>
      <c r="AM171" s="762"/>
      <c r="AN171" s="762"/>
      <c r="AO171" s="762"/>
      <c r="AP171" s="762"/>
      <c r="AQ171" s="762"/>
      <c r="AR171" s="762"/>
      <c r="AS171" s="762"/>
    </row>
    <row r="172" spans="1:45" ht="13.9">
      <c r="A172" s="767"/>
      <c r="B172" s="762"/>
      <c r="C172" s="767"/>
      <c r="D172" s="762"/>
      <c r="E172" s="762"/>
      <c r="F172" s="767"/>
      <c r="G172" s="762"/>
      <c r="H172" s="762"/>
      <c r="I172" s="762"/>
      <c r="J172" s="767"/>
      <c r="K172" s="762"/>
      <c r="U172" s="760"/>
      <c r="X172" s="762"/>
      <c r="Y172" s="762"/>
      <c r="Z172" s="762"/>
      <c r="AA172" s="762"/>
      <c r="AB172" s="762"/>
      <c r="AC172" s="762"/>
      <c r="AD172" s="794"/>
      <c r="AE172" s="762"/>
      <c r="AF172" s="762"/>
      <c r="AG172" s="762"/>
      <c r="AH172" s="762"/>
      <c r="AI172" s="762"/>
      <c r="AJ172" s="762"/>
      <c r="AK172" s="762"/>
      <c r="AL172" s="762"/>
      <c r="AM172" s="762"/>
      <c r="AN172" s="762"/>
      <c r="AO172" s="762"/>
      <c r="AP172" s="762"/>
      <c r="AQ172" s="762"/>
      <c r="AR172" s="762"/>
      <c r="AS172" s="762"/>
    </row>
    <row r="173" spans="1:45" ht="13.9">
      <c r="A173" s="767"/>
      <c r="B173" s="762"/>
      <c r="C173" s="767"/>
      <c r="D173" s="762"/>
      <c r="E173" s="762"/>
      <c r="F173" s="767"/>
      <c r="G173" s="762"/>
      <c r="H173" s="762"/>
      <c r="I173" s="762"/>
      <c r="J173" s="767"/>
      <c r="K173" s="762"/>
      <c r="U173" s="760"/>
      <c r="X173" s="762"/>
      <c r="Y173" s="762"/>
      <c r="Z173" s="762"/>
      <c r="AA173" s="762"/>
      <c r="AB173" s="762"/>
      <c r="AC173" s="762"/>
      <c r="AD173" s="794"/>
      <c r="AE173" s="762"/>
      <c r="AF173" s="762"/>
      <c r="AG173" s="762"/>
      <c r="AH173" s="762"/>
      <c r="AI173" s="762"/>
      <c r="AJ173" s="762"/>
      <c r="AK173" s="762"/>
      <c r="AL173" s="762"/>
      <c r="AM173" s="762"/>
      <c r="AN173" s="762"/>
      <c r="AO173" s="762"/>
      <c r="AP173" s="762"/>
      <c r="AQ173" s="762"/>
      <c r="AR173" s="762"/>
      <c r="AS173" s="762"/>
    </row>
    <row r="174" spans="1:45" ht="13.9">
      <c r="A174" s="767"/>
      <c r="B174" s="762"/>
      <c r="C174" s="767"/>
      <c r="D174" s="762"/>
      <c r="E174" s="762"/>
      <c r="F174" s="767"/>
      <c r="G174" s="762"/>
      <c r="H174" s="762"/>
      <c r="I174" s="762"/>
      <c r="J174" s="767"/>
      <c r="K174" s="762"/>
      <c r="U174" s="760"/>
      <c r="X174" s="762"/>
      <c r="Y174" s="762"/>
      <c r="Z174" s="762"/>
      <c r="AA174" s="762"/>
      <c r="AB174" s="762"/>
      <c r="AC174" s="762"/>
      <c r="AD174" s="794"/>
      <c r="AE174" s="762"/>
      <c r="AF174" s="762"/>
      <c r="AG174" s="762"/>
      <c r="AH174" s="762"/>
      <c r="AI174" s="762"/>
      <c r="AJ174" s="762"/>
      <c r="AK174" s="762"/>
      <c r="AL174" s="762"/>
      <c r="AM174" s="762"/>
      <c r="AN174" s="762"/>
      <c r="AO174" s="762"/>
      <c r="AP174" s="762"/>
      <c r="AQ174" s="762"/>
      <c r="AR174" s="762"/>
      <c r="AS174" s="762"/>
    </row>
    <row r="175" spans="1:45" ht="13.9">
      <c r="A175" s="767"/>
      <c r="B175" s="762"/>
      <c r="C175" s="767"/>
      <c r="D175" s="762"/>
      <c r="E175" s="762"/>
      <c r="F175" s="767"/>
      <c r="G175" s="762"/>
      <c r="H175" s="762"/>
      <c r="I175" s="762"/>
      <c r="J175" s="767"/>
      <c r="K175" s="762"/>
      <c r="U175" s="760"/>
      <c r="X175" s="762"/>
      <c r="Y175" s="762"/>
      <c r="Z175" s="762"/>
      <c r="AA175" s="762"/>
      <c r="AB175" s="762"/>
      <c r="AC175" s="762"/>
      <c r="AD175" s="794"/>
      <c r="AE175" s="762"/>
      <c r="AF175" s="762"/>
      <c r="AG175" s="762"/>
      <c r="AH175" s="762"/>
      <c r="AI175" s="762"/>
      <c r="AJ175" s="762"/>
      <c r="AK175" s="762"/>
      <c r="AL175" s="762"/>
      <c r="AM175" s="762"/>
      <c r="AN175" s="762"/>
      <c r="AO175" s="762"/>
      <c r="AP175" s="762"/>
      <c r="AQ175" s="762"/>
      <c r="AR175" s="762"/>
      <c r="AS175" s="762"/>
    </row>
    <row r="176" spans="1:45" ht="13.9">
      <c r="A176" s="767"/>
      <c r="B176" s="762"/>
      <c r="C176" s="767"/>
      <c r="D176" s="762"/>
      <c r="E176" s="762"/>
      <c r="F176" s="767"/>
      <c r="G176" s="762"/>
      <c r="H176" s="762"/>
      <c r="I176" s="762"/>
      <c r="J176" s="767"/>
      <c r="K176" s="762"/>
      <c r="U176" s="760"/>
      <c r="X176" s="762"/>
      <c r="Y176" s="762"/>
      <c r="Z176" s="762"/>
      <c r="AA176" s="762"/>
      <c r="AB176" s="762"/>
      <c r="AC176" s="762"/>
      <c r="AD176" s="794"/>
      <c r="AE176" s="762"/>
      <c r="AF176" s="762"/>
      <c r="AG176" s="762"/>
      <c r="AH176" s="762"/>
      <c r="AI176" s="762"/>
      <c r="AJ176" s="762"/>
      <c r="AK176" s="762"/>
      <c r="AL176" s="762"/>
      <c r="AM176" s="762"/>
      <c r="AN176" s="762"/>
      <c r="AO176" s="762"/>
      <c r="AP176" s="762"/>
      <c r="AQ176" s="762"/>
      <c r="AR176" s="762"/>
      <c r="AS176" s="762"/>
    </row>
    <row r="177" spans="1:45" ht="13.9">
      <c r="A177" s="767"/>
      <c r="B177" s="762"/>
      <c r="C177" s="767"/>
      <c r="D177" s="762"/>
      <c r="E177" s="762"/>
      <c r="F177" s="767"/>
      <c r="G177" s="762"/>
      <c r="H177" s="762"/>
      <c r="I177" s="762"/>
      <c r="J177" s="767"/>
      <c r="K177" s="762"/>
      <c r="U177" s="760"/>
      <c r="X177" s="762"/>
      <c r="Y177" s="762"/>
      <c r="Z177" s="762"/>
      <c r="AA177" s="762"/>
      <c r="AB177" s="762"/>
      <c r="AC177" s="762"/>
      <c r="AD177" s="794"/>
      <c r="AE177" s="762"/>
      <c r="AF177" s="762"/>
      <c r="AG177" s="762"/>
      <c r="AH177" s="762"/>
      <c r="AI177" s="762"/>
      <c r="AJ177" s="762"/>
      <c r="AK177" s="762"/>
      <c r="AL177" s="762"/>
      <c r="AM177" s="762"/>
      <c r="AN177" s="762"/>
      <c r="AO177" s="762"/>
      <c r="AP177" s="762"/>
      <c r="AQ177" s="762"/>
      <c r="AR177" s="762"/>
      <c r="AS177" s="762"/>
    </row>
    <row r="178" spans="1:45" ht="13.9">
      <c r="A178" s="767"/>
      <c r="B178" s="762"/>
      <c r="C178" s="767"/>
      <c r="D178" s="762"/>
      <c r="E178" s="762"/>
      <c r="F178" s="767"/>
      <c r="G178" s="762"/>
      <c r="H178" s="762"/>
      <c r="I178" s="762"/>
      <c r="J178" s="767"/>
      <c r="K178" s="762"/>
      <c r="U178" s="760"/>
      <c r="X178" s="762"/>
      <c r="Y178" s="762"/>
      <c r="Z178" s="762"/>
      <c r="AA178" s="762"/>
      <c r="AB178" s="762"/>
      <c r="AC178" s="762"/>
      <c r="AD178" s="794"/>
      <c r="AE178" s="762"/>
      <c r="AF178" s="762"/>
      <c r="AG178" s="762"/>
      <c r="AH178" s="762"/>
      <c r="AI178" s="762"/>
      <c r="AJ178" s="762"/>
      <c r="AK178" s="762"/>
      <c r="AL178" s="762"/>
      <c r="AM178" s="762"/>
      <c r="AN178" s="762"/>
      <c r="AO178" s="762"/>
      <c r="AP178" s="762"/>
      <c r="AQ178" s="762"/>
      <c r="AR178" s="762"/>
      <c r="AS178" s="762"/>
    </row>
    <row r="179" spans="1:45" ht="13.9">
      <c r="A179" s="767"/>
      <c r="B179" s="762"/>
      <c r="C179" s="767"/>
      <c r="D179" s="762"/>
      <c r="E179" s="762"/>
      <c r="F179" s="767"/>
      <c r="G179" s="762"/>
      <c r="H179" s="762"/>
      <c r="I179" s="762"/>
      <c r="J179" s="767"/>
      <c r="K179" s="762"/>
      <c r="U179" s="760"/>
      <c r="X179" s="762"/>
      <c r="Y179" s="762"/>
      <c r="Z179" s="762"/>
      <c r="AA179" s="762"/>
      <c r="AB179" s="762"/>
      <c r="AC179" s="762"/>
      <c r="AD179" s="794"/>
      <c r="AE179" s="762"/>
      <c r="AF179" s="762"/>
      <c r="AG179" s="762"/>
      <c r="AH179" s="762"/>
      <c r="AI179" s="762"/>
      <c r="AJ179" s="762"/>
      <c r="AK179" s="762"/>
      <c r="AL179" s="762"/>
      <c r="AM179" s="762"/>
      <c r="AN179" s="762"/>
      <c r="AO179" s="762"/>
      <c r="AP179" s="762"/>
      <c r="AQ179" s="762"/>
      <c r="AR179" s="762"/>
      <c r="AS179" s="762"/>
    </row>
    <row r="180" spans="1:45" ht="13.9">
      <c r="A180" s="767"/>
      <c r="B180" s="762"/>
      <c r="C180" s="767"/>
      <c r="D180" s="762"/>
      <c r="E180" s="762"/>
      <c r="F180" s="767"/>
      <c r="G180" s="762"/>
      <c r="H180" s="762"/>
      <c r="I180" s="762"/>
      <c r="J180" s="767"/>
      <c r="K180" s="762"/>
      <c r="U180" s="760"/>
      <c r="X180" s="762"/>
      <c r="Y180" s="762"/>
      <c r="Z180" s="762"/>
      <c r="AA180" s="762"/>
      <c r="AB180" s="762"/>
      <c r="AC180" s="762"/>
      <c r="AD180" s="794"/>
      <c r="AE180" s="762"/>
      <c r="AF180" s="762"/>
      <c r="AG180" s="762"/>
      <c r="AH180" s="762"/>
      <c r="AI180" s="762"/>
      <c r="AJ180" s="762"/>
      <c r="AK180" s="762"/>
      <c r="AL180" s="762"/>
      <c r="AM180" s="762"/>
      <c r="AN180" s="762"/>
      <c r="AO180" s="762"/>
      <c r="AP180" s="762"/>
      <c r="AQ180" s="762"/>
      <c r="AR180" s="762"/>
      <c r="AS180" s="762"/>
    </row>
    <row r="181" spans="1:45" ht="13.9">
      <c r="A181" s="767"/>
      <c r="B181" s="762"/>
      <c r="C181" s="767"/>
      <c r="D181" s="762"/>
      <c r="E181" s="762"/>
      <c r="F181" s="767"/>
      <c r="G181" s="762"/>
      <c r="H181" s="762"/>
      <c r="I181" s="762"/>
      <c r="J181" s="767"/>
      <c r="K181" s="762"/>
      <c r="U181" s="760"/>
      <c r="X181" s="762"/>
      <c r="Y181" s="762"/>
      <c r="Z181" s="762"/>
      <c r="AA181" s="762"/>
      <c r="AB181" s="762"/>
      <c r="AC181" s="762"/>
      <c r="AD181" s="794"/>
      <c r="AE181" s="762"/>
      <c r="AF181" s="762"/>
      <c r="AG181" s="762"/>
      <c r="AH181" s="762"/>
      <c r="AI181" s="762"/>
      <c r="AJ181" s="762"/>
      <c r="AK181" s="762"/>
      <c r="AL181" s="762"/>
      <c r="AM181" s="762"/>
      <c r="AN181" s="762"/>
      <c r="AO181" s="762"/>
      <c r="AP181" s="762"/>
      <c r="AQ181" s="762"/>
      <c r="AR181" s="762"/>
      <c r="AS181" s="762"/>
    </row>
    <row r="182" spans="1:45" ht="13.9">
      <c r="A182" s="767"/>
      <c r="B182" s="762"/>
      <c r="C182" s="767"/>
      <c r="D182" s="762"/>
      <c r="E182" s="762"/>
      <c r="F182" s="767"/>
      <c r="G182" s="762"/>
      <c r="H182" s="762"/>
      <c r="I182" s="762"/>
      <c r="J182" s="767"/>
      <c r="K182" s="762"/>
      <c r="U182" s="760"/>
      <c r="X182" s="762"/>
      <c r="Y182" s="762"/>
      <c r="Z182" s="762"/>
      <c r="AA182" s="762"/>
      <c r="AB182" s="762"/>
      <c r="AC182" s="762"/>
      <c r="AD182" s="794"/>
      <c r="AE182" s="762"/>
      <c r="AF182" s="762"/>
      <c r="AG182" s="762"/>
      <c r="AH182" s="762"/>
      <c r="AI182" s="762"/>
      <c r="AJ182" s="762"/>
      <c r="AK182" s="762"/>
      <c r="AL182" s="762"/>
      <c r="AM182" s="762"/>
      <c r="AN182" s="762"/>
      <c r="AO182" s="762"/>
      <c r="AP182" s="762"/>
      <c r="AQ182" s="762"/>
      <c r="AR182" s="762"/>
      <c r="AS182" s="762"/>
    </row>
    <row r="183" spans="1:45" ht="13.9">
      <c r="A183" s="767"/>
      <c r="B183" s="762"/>
      <c r="C183" s="767"/>
      <c r="D183" s="762"/>
      <c r="E183" s="762"/>
      <c r="F183" s="767"/>
      <c r="G183" s="762"/>
      <c r="H183" s="762"/>
      <c r="I183" s="762"/>
      <c r="J183" s="767"/>
      <c r="K183" s="762"/>
      <c r="U183" s="760"/>
      <c r="X183" s="762"/>
      <c r="Y183" s="762"/>
      <c r="Z183" s="762"/>
      <c r="AA183" s="762"/>
      <c r="AB183" s="762"/>
      <c r="AC183" s="762"/>
      <c r="AD183" s="794"/>
      <c r="AE183" s="762"/>
      <c r="AF183" s="762"/>
      <c r="AG183" s="762"/>
      <c r="AH183" s="762"/>
      <c r="AI183" s="762"/>
      <c r="AJ183" s="762"/>
      <c r="AK183" s="762"/>
      <c r="AL183" s="762"/>
      <c r="AM183" s="762"/>
      <c r="AN183" s="762"/>
      <c r="AO183" s="762"/>
      <c r="AP183" s="762"/>
      <c r="AQ183" s="762"/>
      <c r="AR183" s="762"/>
      <c r="AS183" s="762"/>
    </row>
    <row r="184" spans="1:45" ht="13.9">
      <c r="A184" s="767"/>
      <c r="B184" s="762"/>
      <c r="C184" s="767"/>
      <c r="D184" s="762"/>
      <c r="E184" s="762"/>
      <c r="F184" s="767"/>
      <c r="G184" s="762"/>
      <c r="H184" s="762"/>
      <c r="I184" s="762"/>
      <c r="J184" s="767"/>
      <c r="K184" s="762"/>
      <c r="U184" s="760"/>
      <c r="X184" s="762"/>
      <c r="Y184" s="762"/>
      <c r="Z184" s="762"/>
      <c r="AA184" s="762"/>
      <c r="AB184" s="762"/>
      <c r="AC184" s="762"/>
      <c r="AD184" s="794"/>
      <c r="AE184" s="762"/>
      <c r="AF184" s="762"/>
      <c r="AG184" s="762"/>
      <c r="AH184" s="762"/>
      <c r="AI184" s="762"/>
      <c r="AJ184" s="762"/>
      <c r="AK184" s="762"/>
      <c r="AL184" s="762"/>
      <c r="AM184" s="762"/>
      <c r="AN184" s="762"/>
      <c r="AO184" s="762"/>
      <c r="AP184" s="762"/>
      <c r="AQ184" s="762"/>
      <c r="AR184" s="762"/>
      <c r="AS184" s="762"/>
    </row>
    <row r="185" spans="1:45" ht="13.9">
      <c r="A185" s="767"/>
      <c r="B185" s="762"/>
      <c r="C185" s="767"/>
      <c r="D185" s="762"/>
      <c r="E185" s="762"/>
      <c r="F185" s="767"/>
      <c r="G185" s="762"/>
      <c r="H185" s="762"/>
      <c r="I185" s="762"/>
      <c r="J185" s="767"/>
      <c r="K185" s="762"/>
      <c r="U185" s="760"/>
      <c r="X185" s="762"/>
      <c r="Y185" s="762"/>
      <c r="Z185" s="762"/>
      <c r="AA185" s="762"/>
      <c r="AB185" s="762"/>
      <c r="AC185" s="762"/>
      <c r="AD185" s="794"/>
      <c r="AE185" s="762"/>
      <c r="AF185" s="762"/>
      <c r="AG185" s="762"/>
      <c r="AH185" s="762"/>
      <c r="AI185" s="762"/>
      <c r="AJ185" s="762"/>
      <c r="AK185" s="762"/>
      <c r="AL185" s="762"/>
      <c r="AM185" s="762"/>
      <c r="AN185" s="762"/>
      <c r="AO185" s="762"/>
      <c r="AP185" s="762"/>
      <c r="AQ185" s="762"/>
      <c r="AR185" s="762"/>
      <c r="AS185" s="762"/>
    </row>
    <row r="186" spans="1:45" ht="13.9">
      <c r="A186" s="767"/>
      <c r="B186" s="762"/>
      <c r="C186" s="767"/>
      <c r="D186" s="762"/>
      <c r="E186" s="762"/>
      <c r="F186" s="767"/>
      <c r="G186" s="762"/>
      <c r="H186" s="762"/>
      <c r="I186" s="762"/>
      <c r="J186" s="767"/>
      <c r="K186" s="762"/>
      <c r="U186" s="760"/>
      <c r="X186" s="762"/>
      <c r="Y186" s="762"/>
      <c r="Z186" s="762"/>
      <c r="AA186" s="762"/>
      <c r="AB186" s="762"/>
      <c r="AC186" s="762"/>
      <c r="AD186" s="794"/>
      <c r="AE186" s="762"/>
      <c r="AF186" s="762"/>
      <c r="AG186" s="762"/>
      <c r="AH186" s="762"/>
      <c r="AI186" s="762"/>
      <c r="AJ186" s="762"/>
      <c r="AK186" s="762"/>
      <c r="AL186" s="762"/>
      <c r="AM186" s="762"/>
      <c r="AN186" s="762"/>
      <c r="AO186" s="762"/>
      <c r="AP186" s="762"/>
      <c r="AQ186" s="762"/>
      <c r="AR186" s="762"/>
      <c r="AS186" s="762"/>
    </row>
    <row r="187" spans="1:45" ht="13.9">
      <c r="A187" s="767"/>
      <c r="B187" s="762"/>
      <c r="C187" s="767"/>
      <c r="D187" s="762"/>
      <c r="E187" s="762"/>
      <c r="F187" s="767"/>
      <c r="G187" s="762"/>
      <c r="H187" s="762"/>
      <c r="I187" s="762"/>
      <c r="J187" s="767"/>
      <c r="K187" s="762"/>
      <c r="U187" s="760"/>
      <c r="X187" s="762"/>
      <c r="Y187" s="762"/>
      <c r="Z187" s="762"/>
      <c r="AA187" s="762"/>
      <c r="AB187" s="762"/>
      <c r="AC187" s="762"/>
      <c r="AD187" s="794"/>
      <c r="AE187" s="762"/>
      <c r="AF187" s="762"/>
      <c r="AG187" s="762"/>
      <c r="AH187" s="762"/>
      <c r="AI187" s="762"/>
      <c r="AJ187" s="762"/>
      <c r="AK187" s="762"/>
      <c r="AL187" s="762"/>
      <c r="AM187" s="762"/>
      <c r="AN187" s="762"/>
      <c r="AO187" s="762"/>
      <c r="AP187" s="762"/>
      <c r="AQ187" s="762"/>
      <c r="AR187" s="762"/>
      <c r="AS187" s="762"/>
    </row>
    <row r="188" spans="1:45" ht="13.9">
      <c r="A188" s="767"/>
      <c r="B188" s="762"/>
      <c r="C188" s="767"/>
      <c r="D188" s="762"/>
      <c r="E188" s="762"/>
      <c r="F188" s="767"/>
      <c r="G188" s="762"/>
      <c r="H188" s="762"/>
      <c r="I188" s="762"/>
      <c r="J188" s="767"/>
      <c r="K188" s="762"/>
      <c r="U188" s="760"/>
      <c r="X188" s="762"/>
      <c r="Y188" s="762"/>
      <c r="Z188" s="762"/>
      <c r="AA188" s="762"/>
      <c r="AB188" s="762"/>
      <c r="AC188" s="762"/>
      <c r="AD188" s="794"/>
      <c r="AE188" s="762"/>
      <c r="AF188" s="762"/>
      <c r="AG188" s="762"/>
      <c r="AH188" s="762"/>
      <c r="AI188" s="762"/>
      <c r="AJ188" s="762"/>
      <c r="AK188" s="762"/>
      <c r="AL188" s="762"/>
      <c r="AM188" s="762"/>
      <c r="AN188" s="762"/>
      <c r="AO188" s="762"/>
      <c r="AP188" s="762"/>
      <c r="AQ188" s="762"/>
      <c r="AR188" s="762"/>
      <c r="AS188" s="762"/>
    </row>
    <row r="189" spans="1:45" ht="13.9">
      <c r="A189" s="767"/>
      <c r="B189" s="762"/>
      <c r="C189" s="767"/>
      <c r="D189" s="762"/>
      <c r="E189" s="762"/>
      <c r="F189" s="767"/>
      <c r="G189" s="762"/>
      <c r="H189" s="762"/>
      <c r="I189" s="762"/>
      <c r="J189" s="767"/>
      <c r="K189" s="762"/>
      <c r="U189" s="760"/>
      <c r="X189" s="762"/>
      <c r="Y189" s="762"/>
      <c r="Z189" s="762"/>
      <c r="AA189" s="762"/>
      <c r="AB189" s="762"/>
      <c r="AC189" s="762"/>
      <c r="AD189" s="794"/>
      <c r="AE189" s="762"/>
      <c r="AF189" s="762"/>
      <c r="AG189" s="762"/>
      <c r="AH189" s="762"/>
      <c r="AI189" s="762"/>
      <c r="AJ189" s="762"/>
      <c r="AK189" s="762"/>
      <c r="AL189" s="762"/>
      <c r="AM189" s="762"/>
      <c r="AN189" s="762"/>
      <c r="AO189" s="762"/>
      <c r="AP189" s="762"/>
      <c r="AQ189" s="762"/>
      <c r="AR189" s="762"/>
      <c r="AS189" s="762"/>
    </row>
    <row r="190" spans="1:45" ht="13.9">
      <c r="A190" s="767"/>
      <c r="B190" s="762"/>
      <c r="C190" s="767"/>
      <c r="D190" s="762"/>
      <c r="E190" s="762"/>
      <c r="F190" s="767"/>
      <c r="G190" s="762"/>
      <c r="H190" s="762"/>
      <c r="I190" s="762"/>
      <c r="J190" s="767"/>
      <c r="K190" s="762"/>
      <c r="U190" s="760"/>
      <c r="X190" s="762"/>
      <c r="Y190" s="762"/>
      <c r="Z190" s="762"/>
      <c r="AA190" s="762"/>
      <c r="AB190" s="762"/>
      <c r="AC190" s="762"/>
      <c r="AD190" s="794"/>
      <c r="AE190" s="762"/>
      <c r="AF190" s="762"/>
      <c r="AG190" s="762"/>
      <c r="AH190" s="762"/>
      <c r="AI190" s="762"/>
      <c r="AJ190" s="762"/>
      <c r="AK190" s="762"/>
      <c r="AL190" s="762"/>
      <c r="AM190" s="762"/>
      <c r="AN190" s="762"/>
      <c r="AO190" s="762"/>
      <c r="AP190" s="762"/>
      <c r="AQ190" s="762"/>
      <c r="AR190" s="762"/>
      <c r="AS190" s="762"/>
    </row>
    <row r="191" spans="1:45" ht="13.9">
      <c r="A191" s="767"/>
      <c r="B191" s="762"/>
      <c r="C191" s="767"/>
      <c r="D191" s="762"/>
      <c r="E191" s="762"/>
      <c r="F191" s="767"/>
      <c r="G191" s="762"/>
      <c r="H191" s="762"/>
      <c r="I191" s="762"/>
      <c r="J191" s="767"/>
      <c r="K191" s="762"/>
      <c r="U191" s="760"/>
      <c r="X191" s="762"/>
      <c r="Y191" s="762"/>
      <c r="Z191" s="762"/>
      <c r="AA191" s="762"/>
      <c r="AB191" s="762"/>
      <c r="AC191" s="762"/>
      <c r="AD191" s="794"/>
      <c r="AE191" s="762"/>
      <c r="AF191" s="762"/>
      <c r="AG191" s="762"/>
      <c r="AH191" s="762"/>
      <c r="AI191" s="762"/>
      <c r="AJ191" s="762"/>
      <c r="AK191" s="762"/>
      <c r="AL191" s="762"/>
      <c r="AM191" s="762"/>
      <c r="AN191" s="762"/>
      <c r="AO191" s="762"/>
      <c r="AP191" s="762"/>
      <c r="AQ191" s="762"/>
      <c r="AR191" s="762"/>
      <c r="AS191" s="762"/>
    </row>
    <row r="192" spans="1:45" ht="13.9">
      <c r="A192" s="767"/>
      <c r="B192" s="762"/>
      <c r="C192" s="767"/>
      <c r="D192" s="762"/>
      <c r="E192" s="762"/>
      <c r="F192" s="767"/>
      <c r="G192" s="762"/>
      <c r="H192" s="762"/>
      <c r="I192" s="762"/>
      <c r="J192" s="767"/>
      <c r="K192" s="762"/>
      <c r="U192" s="760"/>
      <c r="X192" s="762"/>
      <c r="Y192" s="762"/>
      <c r="Z192" s="762"/>
      <c r="AA192" s="762"/>
      <c r="AB192" s="762"/>
      <c r="AC192" s="762"/>
      <c r="AD192" s="794"/>
      <c r="AE192" s="762"/>
      <c r="AF192" s="762"/>
      <c r="AG192" s="762"/>
      <c r="AH192" s="762"/>
      <c r="AI192" s="762"/>
      <c r="AJ192" s="762"/>
      <c r="AK192" s="762"/>
      <c r="AL192" s="762"/>
      <c r="AM192" s="762"/>
      <c r="AN192" s="762"/>
      <c r="AO192" s="762"/>
      <c r="AP192" s="762"/>
      <c r="AQ192" s="762"/>
      <c r="AR192" s="762"/>
      <c r="AS192" s="762"/>
    </row>
    <row r="193" spans="1:45" ht="13.9">
      <c r="A193" s="767"/>
      <c r="B193" s="762"/>
      <c r="C193" s="767"/>
      <c r="D193" s="762"/>
      <c r="E193" s="762"/>
      <c r="F193" s="767"/>
      <c r="G193" s="762"/>
      <c r="H193" s="762"/>
      <c r="I193" s="762"/>
      <c r="J193" s="767"/>
      <c r="K193" s="762"/>
      <c r="U193" s="760"/>
      <c r="X193" s="762"/>
      <c r="Y193" s="762"/>
      <c r="Z193" s="762"/>
      <c r="AA193" s="762"/>
      <c r="AB193" s="762"/>
      <c r="AC193" s="762"/>
      <c r="AD193" s="794"/>
      <c r="AE193" s="762"/>
      <c r="AF193" s="762"/>
      <c r="AG193" s="762"/>
      <c r="AH193" s="762"/>
      <c r="AI193" s="762"/>
      <c r="AJ193" s="762"/>
      <c r="AK193" s="762"/>
      <c r="AL193" s="762"/>
      <c r="AM193" s="762"/>
      <c r="AN193" s="762"/>
      <c r="AO193" s="762"/>
      <c r="AP193" s="762"/>
      <c r="AQ193" s="762"/>
      <c r="AR193" s="762"/>
      <c r="AS193" s="762"/>
    </row>
    <row r="194" spans="1:45" ht="13.9">
      <c r="A194" s="767"/>
      <c r="B194" s="762"/>
      <c r="C194" s="767"/>
      <c r="D194" s="762"/>
      <c r="E194" s="762"/>
      <c r="F194" s="767"/>
      <c r="G194" s="762"/>
      <c r="H194" s="762"/>
      <c r="I194" s="762"/>
      <c r="J194" s="767"/>
      <c r="K194" s="762"/>
      <c r="U194" s="760"/>
      <c r="X194" s="762"/>
      <c r="Y194" s="762"/>
      <c r="Z194" s="762"/>
      <c r="AA194" s="762"/>
      <c r="AB194" s="762"/>
      <c r="AC194" s="762"/>
      <c r="AD194" s="794"/>
      <c r="AE194" s="762"/>
      <c r="AF194" s="762"/>
      <c r="AG194" s="762"/>
      <c r="AH194" s="762"/>
      <c r="AI194" s="762"/>
      <c r="AJ194" s="762"/>
      <c r="AK194" s="762"/>
      <c r="AL194" s="762"/>
      <c r="AM194" s="762"/>
      <c r="AN194" s="762"/>
      <c r="AO194" s="762"/>
      <c r="AP194" s="762"/>
      <c r="AQ194" s="762"/>
      <c r="AR194" s="762"/>
      <c r="AS194" s="762"/>
    </row>
    <row r="195" spans="1:45" ht="13.9">
      <c r="A195" s="767"/>
      <c r="B195" s="762"/>
      <c r="C195" s="767"/>
      <c r="D195" s="762"/>
      <c r="E195" s="762"/>
      <c r="F195" s="767"/>
      <c r="G195" s="762"/>
      <c r="H195" s="762"/>
      <c r="I195" s="762"/>
      <c r="J195" s="767"/>
      <c r="K195" s="762"/>
      <c r="U195" s="760"/>
      <c r="X195" s="762"/>
      <c r="Y195" s="762"/>
      <c r="Z195" s="762"/>
      <c r="AA195" s="762"/>
      <c r="AB195" s="762"/>
      <c r="AC195" s="762"/>
      <c r="AD195" s="794"/>
      <c r="AE195" s="762"/>
      <c r="AF195" s="762"/>
      <c r="AG195" s="762"/>
      <c r="AH195" s="762"/>
      <c r="AI195" s="762"/>
      <c r="AJ195" s="762"/>
      <c r="AK195" s="762"/>
      <c r="AL195" s="762"/>
      <c r="AM195" s="762"/>
      <c r="AN195" s="762"/>
      <c r="AO195" s="762"/>
      <c r="AP195" s="762"/>
      <c r="AQ195" s="762"/>
      <c r="AR195" s="762"/>
      <c r="AS195" s="762"/>
    </row>
    <row r="196" spans="1:45" ht="13.9">
      <c r="A196" s="767"/>
      <c r="B196" s="762"/>
      <c r="C196" s="767"/>
      <c r="D196" s="762"/>
      <c r="E196" s="762"/>
      <c r="F196" s="767"/>
      <c r="G196" s="762"/>
      <c r="H196" s="762"/>
      <c r="I196" s="762"/>
      <c r="J196" s="767"/>
      <c r="K196" s="762"/>
      <c r="U196" s="760"/>
      <c r="X196" s="762"/>
      <c r="Y196" s="762"/>
      <c r="Z196" s="762"/>
      <c r="AA196" s="762"/>
      <c r="AB196" s="762"/>
      <c r="AC196" s="762"/>
      <c r="AD196" s="794"/>
      <c r="AE196" s="762"/>
      <c r="AF196" s="762"/>
      <c r="AG196" s="762"/>
      <c r="AH196" s="762"/>
      <c r="AI196" s="762"/>
      <c r="AJ196" s="762"/>
      <c r="AK196" s="762"/>
      <c r="AL196" s="762"/>
      <c r="AM196" s="762"/>
      <c r="AN196" s="762"/>
      <c r="AO196" s="762"/>
      <c r="AP196" s="762"/>
      <c r="AQ196" s="762"/>
      <c r="AR196" s="762"/>
      <c r="AS196" s="762"/>
    </row>
    <row r="197" spans="1:45" ht="13.9">
      <c r="A197" s="767"/>
      <c r="B197" s="762"/>
      <c r="C197" s="767"/>
      <c r="D197" s="762"/>
      <c r="E197" s="762"/>
      <c r="F197" s="767"/>
      <c r="G197" s="762"/>
      <c r="H197" s="762"/>
      <c r="I197" s="762"/>
      <c r="J197" s="767"/>
      <c r="K197" s="762"/>
      <c r="U197" s="760"/>
      <c r="X197" s="762"/>
      <c r="Y197" s="762"/>
      <c r="Z197" s="762"/>
      <c r="AA197" s="762"/>
      <c r="AB197" s="762"/>
      <c r="AC197" s="762"/>
      <c r="AD197" s="794"/>
      <c r="AE197" s="762"/>
      <c r="AF197" s="762"/>
      <c r="AG197" s="762"/>
      <c r="AH197" s="762"/>
      <c r="AI197" s="762"/>
      <c r="AJ197" s="762"/>
      <c r="AK197" s="762"/>
      <c r="AL197" s="762"/>
      <c r="AM197" s="762"/>
      <c r="AN197" s="762"/>
      <c r="AO197" s="762"/>
      <c r="AP197" s="762"/>
      <c r="AQ197" s="762"/>
      <c r="AR197" s="762"/>
      <c r="AS197" s="762"/>
    </row>
    <row r="198" spans="1:45" ht="13.9">
      <c r="A198" s="767"/>
      <c r="B198" s="762"/>
      <c r="C198" s="767"/>
      <c r="D198" s="762"/>
      <c r="E198" s="762"/>
      <c r="F198" s="767"/>
      <c r="G198" s="762"/>
      <c r="H198" s="762"/>
      <c r="I198" s="762"/>
      <c r="J198" s="767"/>
      <c r="K198" s="762"/>
      <c r="U198" s="760"/>
      <c r="X198" s="762"/>
      <c r="Y198" s="762"/>
      <c r="Z198" s="762"/>
      <c r="AA198" s="762"/>
      <c r="AB198" s="762"/>
      <c r="AC198" s="762"/>
      <c r="AD198" s="794"/>
      <c r="AE198" s="762"/>
      <c r="AF198" s="762"/>
      <c r="AG198" s="762"/>
      <c r="AH198" s="762"/>
      <c r="AI198" s="762"/>
      <c r="AJ198" s="762"/>
      <c r="AK198" s="762"/>
      <c r="AL198" s="762"/>
      <c r="AM198" s="762"/>
      <c r="AN198" s="762"/>
      <c r="AO198" s="762"/>
      <c r="AP198" s="762"/>
      <c r="AQ198" s="762"/>
      <c r="AR198" s="762"/>
      <c r="AS198" s="762"/>
    </row>
    <row r="199" spans="1:45" ht="13.9">
      <c r="A199" s="767"/>
      <c r="B199" s="762"/>
      <c r="C199" s="767"/>
      <c r="D199" s="762"/>
      <c r="E199" s="762"/>
      <c r="F199" s="767"/>
      <c r="G199" s="762"/>
      <c r="H199" s="762"/>
      <c r="I199" s="762"/>
      <c r="J199" s="767"/>
      <c r="K199" s="762"/>
      <c r="U199" s="760"/>
      <c r="X199" s="762"/>
      <c r="Y199" s="762"/>
      <c r="Z199" s="762"/>
      <c r="AA199" s="762"/>
      <c r="AB199" s="762"/>
      <c r="AC199" s="762"/>
      <c r="AD199" s="794"/>
      <c r="AE199" s="762"/>
      <c r="AF199" s="762"/>
      <c r="AG199" s="762"/>
      <c r="AH199" s="762"/>
      <c r="AI199" s="762"/>
      <c r="AJ199" s="762"/>
      <c r="AK199" s="762"/>
      <c r="AL199" s="762"/>
      <c r="AM199" s="762"/>
      <c r="AN199" s="762"/>
      <c r="AO199" s="762"/>
      <c r="AP199" s="762"/>
      <c r="AQ199" s="762"/>
      <c r="AR199" s="762"/>
      <c r="AS199" s="762"/>
    </row>
    <row r="200" spans="1:45" ht="13.9">
      <c r="A200" s="767"/>
      <c r="B200" s="762"/>
      <c r="C200" s="767"/>
      <c r="D200" s="762"/>
      <c r="E200" s="762"/>
      <c r="F200" s="767"/>
      <c r="G200" s="762"/>
      <c r="H200" s="762"/>
      <c r="I200" s="762"/>
      <c r="J200" s="767"/>
      <c r="K200" s="762"/>
      <c r="U200" s="760"/>
      <c r="X200" s="762"/>
      <c r="Y200" s="762"/>
      <c r="Z200" s="762"/>
      <c r="AA200" s="762"/>
      <c r="AB200" s="762"/>
      <c r="AC200" s="762"/>
      <c r="AD200" s="794"/>
      <c r="AE200" s="762"/>
      <c r="AF200" s="762"/>
      <c r="AG200" s="762"/>
      <c r="AH200" s="762"/>
      <c r="AI200" s="762"/>
      <c r="AJ200" s="762"/>
      <c r="AK200" s="762"/>
      <c r="AL200" s="762"/>
      <c r="AM200" s="762"/>
      <c r="AN200" s="762"/>
      <c r="AO200" s="762"/>
      <c r="AP200" s="762"/>
      <c r="AQ200" s="762"/>
      <c r="AR200" s="762"/>
      <c r="AS200" s="762"/>
    </row>
    <row r="201" spans="1:45" ht="13.9">
      <c r="A201" s="767"/>
      <c r="B201" s="762"/>
      <c r="C201" s="767"/>
      <c r="D201" s="762"/>
      <c r="E201" s="762"/>
      <c r="F201" s="767"/>
      <c r="G201" s="762"/>
      <c r="H201" s="762"/>
      <c r="I201" s="762"/>
      <c r="J201" s="767"/>
      <c r="K201" s="762"/>
      <c r="U201" s="760"/>
      <c r="X201" s="762"/>
      <c r="Y201" s="762"/>
      <c r="Z201" s="762"/>
      <c r="AA201" s="762"/>
      <c r="AB201" s="762"/>
      <c r="AC201" s="762"/>
      <c r="AD201" s="794"/>
      <c r="AE201" s="762"/>
      <c r="AF201" s="762"/>
      <c r="AG201" s="762"/>
      <c r="AH201" s="762"/>
      <c r="AI201" s="762"/>
      <c r="AJ201" s="762"/>
      <c r="AK201" s="762"/>
      <c r="AL201" s="762"/>
      <c r="AM201" s="762"/>
      <c r="AN201" s="762"/>
      <c r="AO201" s="762"/>
      <c r="AP201" s="762"/>
      <c r="AQ201" s="762"/>
      <c r="AR201" s="762"/>
      <c r="AS201" s="762"/>
    </row>
    <row r="202" spans="1:45" ht="13.9">
      <c r="A202" s="767"/>
      <c r="B202" s="762"/>
      <c r="C202" s="767"/>
      <c r="D202" s="762"/>
      <c r="E202" s="762"/>
      <c r="F202" s="767"/>
      <c r="G202" s="762"/>
      <c r="H202" s="762"/>
      <c r="I202" s="762"/>
      <c r="J202" s="767"/>
      <c r="K202" s="762"/>
      <c r="U202" s="760"/>
      <c r="X202" s="762"/>
      <c r="Y202" s="762"/>
      <c r="Z202" s="762"/>
      <c r="AA202" s="762"/>
      <c r="AB202" s="762"/>
      <c r="AC202" s="762"/>
      <c r="AD202" s="794"/>
      <c r="AE202" s="762"/>
      <c r="AF202" s="762"/>
      <c r="AG202" s="762"/>
      <c r="AH202" s="762"/>
      <c r="AI202" s="762"/>
      <c r="AJ202" s="762"/>
      <c r="AK202" s="762"/>
      <c r="AL202" s="762"/>
      <c r="AM202" s="762"/>
      <c r="AN202" s="762"/>
      <c r="AO202" s="762"/>
      <c r="AP202" s="762"/>
      <c r="AQ202" s="762"/>
      <c r="AR202" s="762"/>
      <c r="AS202" s="762"/>
    </row>
    <row r="203" spans="1:45" ht="13.9">
      <c r="A203" s="767"/>
      <c r="B203" s="762"/>
      <c r="C203" s="767"/>
      <c r="D203" s="762"/>
      <c r="E203" s="762"/>
      <c r="F203" s="767"/>
      <c r="G203" s="762"/>
      <c r="H203" s="762"/>
      <c r="I203" s="762"/>
      <c r="J203" s="767"/>
      <c r="K203" s="762"/>
      <c r="U203" s="760"/>
      <c r="X203" s="762"/>
      <c r="Y203" s="762"/>
      <c r="Z203" s="762"/>
      <c r="AA203" s="762"/>
      <c r="AB203" s="762"/>
      <c r="AC203" s="762"/>
      <c r="AD203" s="794"/>
      <c r="AE203" s="762"/>
      <c r="AF203" s="762"/>
      <c r="AG203" s="762"/>
      <c r="AH203" s="762"/>
      <c r="AI203" s="762"/>
      <c r="AJ203" s="762"/>
      <c r="AK203" s="762"/>
      <c r="AL203" s="762"/>
      <c r="AM203" s="762"/>
      <c r="AN203" s="762"/>
      <c r="AO203" s="762"/>
      <c r="AP203" s="762"/>
      <c r="AQ203" s="762"/>
      <c r="AR203" s="762"/>
      <c r="AS203" s="762"/>
    </row>
    <row r="204" spans="1:45" ht="13.9">
      <c r="A204" s="767"/>
      <c r="B204" s="762"/>
      <c r="C204" s="767"/>
      <c r="D204" s="762"/>
      <c r="E204" s="762"/>
      <c r="F204" s="767"/>
      <c r="G204" s="762"/>
      <c r="H204" s="762"/>
      <c r="I204" s="762"/>
      <c r="J204" s="767"/>
      <c r="K204" s="762"/>
      <c r="U204" s="760"/>
      <c r="X204" s="762"/>
      <c r="Y204" s="762"/>
      <c r="Z204" s="762"/>
      <c r="AA204" s="762"/>
      <c r="AB204" s="762"/>
      <c r="AC204" s="762"/>
      <c r="AD204" s="794"/>
      <c r="AE204" s="762"/>
      <c r="AF204" s="762"/>
      <c r="AG204" s="762"/>
      <c r="AH204" s="762"/>
      <c r="AI204" s="762"/>
      <c r="AJ204" s="762"/>
      <c r="AK204" s="762"/>
      <c r="AL204" s="762"/>
      <c r="AM204" s="762"/>
      <c r="AN204" s="762"/>
      <c r="AO204" s="762"/>
      <c r="AP204" s="762"/>
      <c r="AQ204" s="762"/>
      <c r="AR204" s="762"/>
      <c r="AS204" s="762"/>
    </row>
    <row r="205" spans="1:45" ht="13.9">
      <c r="A205" s="767"/>
      <c r="B205" s="762"/>
      <c r="C205" s="767"/>
      <c r="D205" s="762"/>
      <c r="E205" s="762"/>
      <c r="F205" s="767"/>
      <c r="G205" s="762"/>
      <c r="H205" s="762"/>
      <c r="I205" s="762"/>
      <c r="J205" s="767"/>
      <c r="K205" s="762"/>
      <c r="U205" s="760"/>
      <c r="X205" s="762"/>
      <c r="Y205" s="762"/>
      <c r="Z205" s="762"/>
      <c r="AA205" s="762"/>
      <c r="AB205" s="762"/>
      <c r="AC205" s="762"/>
      <c r="AD205" s="794"/>
      <c r="AE205" s="762"/>
      <c r="AF205" s="762"/>
      <c r="AG205" s="762"/>
      <c r="AH205" s="762"/>
      <c r="AI205" s="762"/>
      <c r="AJ205" s="762"/>
      <c r="AK205" s="762"/>
      <c r="AL205" s="762"/>
      <c r="AM205" s="762"/>
      <c r="AN205" s="762"/>
      <c r="AO205" s="762"/>
      <c r="AP205" s="762"/>
      <c r="AQ205" s="762"/>
      <c r="AR205" s="762"/>
      <c r="AS205" s="762"/>
    </row>
    <row r="206" spans="1:45" ht="13.9">
      <c r="A206" s="767"/>
      <c r="B206" s="762"/>
      <c r="C206" s="767"/>
      <c r="D206" s="762"/>
      <c r="E206" s="762"/>
      <c r="F206" s="767"/>
      <c r="G206" s="762"/>
      <c r="H206" s="762"/>
      <c r="I206" s="762"/>
      <c r="J206" s="767"/>
      <c r="K206" s="762"/>
      <c r="U206" s="760"/>
      <c r="X206" s="762"/>
      <c r="Y206" s="762"/>
      <c r="Z206" s="762"/>
      <c r="AA206" s="762"/>
      <c r="AB206" s="762"/>
      <c r="AC206" s="762"/>
      <c r="AD206" s="794"/>
      <c r="AE206" s="762"/>
      <c r="AF206" s="762"/>
      <c r="AG206" s="762"/>
      <c r="AH206" s="762"/>
      <c r="AI206" s="762"/>
      <c r="AJ206" s="762"/>
      <c r="AK206" s="762"/>
      <c r="AL206" s="762"/>
      <c r="AM206" s="762"/>
      <c r="AN206" s="762"/>
      <c r="AO206" s="762"/>
      <c r="AP206" s="762"/>
      <c r="AQ206" s="762"/>
      <c r="AR206" s="762"/>
      <c r="AS206" s="762"/>
    </row>
    <row r="207" spans="1:45" ht="13.9">
      <c r="A207" s="767"/>
      <c r="B207" s="762"/>
      <c r="C207" s="767"/>
      <c r="D207" s="762"/>
      <c r="E207" s="762"/>
      <c r="F207" s="767"/>
      <c r="G207" s="762"/>
      <c r="H207" s="762"/>
      <c r="I207" s="762"/>
      <c r="J207" s="767"/>
      <c r="K207" s="762"/>
      <c r="U207" s="760"/>
      <c r="X207" s="762"/>
      <c r="Y207" s="762"/>
      <c r="Z207" s="762"/>
      <c r="AA207" s="762"/>
      <c r="AB207" s="762"/>
      <c r="AC207" s="762"/>
      <c r="AD207" s="794"/>
      <c r="AE207" s="762"/>
      <c r="AF207" s="762"/>
      <c r="AG207" s="762"/>
      <c r="AH207" s="762"/>
      <c r="AI207" s="762"/>
      <c r="AJ207" s="762"/>
      <c r="AK207" s="762"/>
      <c r="AL207" s="762"/>
      <c r="AM207" s="762"/>
      <c r="AN207" s="762"/>
      <c r="AO207" s="762"/>
      <c r="AP207" s="762"/>
      <c r="AQ207" s="762"/>
      <c r="AR207" s="762"/>
      <c r="AS207" s="762"/>
    </row>
    <row r="208" spans="1:45" ht="13.9">
      <c r="A208" s="767"/>
      <c r="B208" s="762"/>
      <c r="C208" s="767"/>
      <c r="D208" s="762"/>
      <c r="E208" s="762"/>
      <c r="F208" s="767"/>
      <c r="G208" s="762"/>
      <c r="H208" s="762"/>
      <c r="I208" s="762"/>
      <c r="J208" s="767"/>
      <c r="K208" s="762"/>
      <c r="U208" s="760"/>
      <c r="X208" s="762"/>
      <c r="Y208" s="762"/>
      <c r="Z208" s="762"/>
      <c r="AA208" s="762"/>
      <c r="AB208" s="762"/>
      <c r="AC208" s="762"/>
      <c r="AD208" s="794"/>
      <c r="AE208" s="762"/>
      <c r="AF208" s="762"/>
      <c r="AG208" s="762"/>
      <c r="AH208" s="762"/>
      <c r="AI208" s="762"/>
      <c r="AJ208" s="762"/>
      <c r="AK208" s="762"/>
      <c r="AL208" s="762"/>
      <c r="AM208" s="762"/>
      <c r="AN208" s="762"/>
      <c r="AO208" s="762"/>
      <c r="AP208" s="762"/>
      <c r="AQ208" s="762"/>
      <c r="AR208" s="762"/>
      <c r="AS208" s="762"/>
    </row>
    <row r="209" spans="1:45" ht="13.9">
      <c r="A209" s="767"/>
      <c r="B209" s="762"/>
      <c r="C209" s="767"/>
      <c r="D209" s="762"/>
      <c r="E209" s="762"/>
      <c r="F209" s="767"/>
      <c r="G209" s="762"/>
      <c r="H209" s="762"/>
      <c r="I209" s="762"/>
      <c r="J209" s="767"/>
      <c r="K209" s="762"/>
      <c r="U209" s="760"/>
      <c r="X209" s="762"/>
      <c r="Y209" s="762"/>
      <c r="Z209" s="762"/>
      <c r="AA209" s="762"/>
      <c r="AB209" s="762"/>
      <c r="AC209" s="762"/>
      <c r="AD209" s="794"/>
      <c r="AE209" s="762"/>
      <c r="AF209" s="762"/>
      <c r="AG209" s="762"/>
      <c r="AH209" s="762"/>
      <c r="AI209" s="762"/>
      <c r="AJ209" s="762"/>
      <c r="AK209" s="762"/>
      <c r="AL209" s="762"/>
      <c r="AM209" s="762"/>
      <c r="AN209" s="762"/>
      <c r="AO209" s="762"/>
      <c r="AP209" s="762"/>
      <c r="AQ209" s="762"/>
      <c r="AR209" s="762"/>
      <c r="AS209" s="762"/>
    </row>
    <row r="210" spans="1:45" ht="13.9">
      <c r="A210" s="767"/>
      <c r="B210" s="762"/>
      <c r="C210" s="767"/>
      <c r="D210" s="762"/>
      <c r="E210" s="762"/>
      <c r="F210" s="767"/>
      <c r="G210" s="762"/>
      <c r="H210" s="762"/>
      <c r="I210" s="762"/>
      <c r="J210" s="767"/>
      <c r="K210" s="762"/>
      <c r="U210" s="760"/>
      <c r="X210" s="762"/>
      <c r="Y210" s="762"/>
      <c r="Z210" s="762"/>
      <c r="AA210" s="762"/>
      <c r="AB210" s="762"/>
      <c r="AC210" s="762"/>
      <c r="AD210" s="794"/>
      <c r="AE210" s="762"/>
      <c r="AF210" s="762"/>
      <c r="AG210" s="762"/>
      <c r="AH210" s="762"/>
      <c r="AI210" s="762"/>
      <c r="AJ210" s="762"/>
      <c r="AK210" s="762"/>
      <c r="AL210" s="762"/>
      <c r="AM210" s="762"/>
      <c r="AN210" s="762"/>
      <c r="AO210" s="762"/>
      <c r="AP210" s="762"/>
      <c r="AQ210" s="762"/>
      <c r="AR210" s="762"/>
      <c r="AS210" s="762"/>
    </row>
    <row r="211" spans="1:45" ht="13.9">
      <c r="A211" s="767"/>
      <c r="B211" s="762"/>
      <c r="C211" s="767"/>
      <c r="D211" s="762"/>
      <c r="E211" s="762"/>
      <c r="F211" s="767"/>
      <c r="G211" s="762"/>
      <c r="H211" s="762"/>
      <c r="I211" s="762"/>
      <c r="J211" s="767"/>
      <c r="K211" s="762"/>
      <c r="U211" s="760"/>
      <c r="X211" s="762"/>
      <c r="Y211" s="762"/>
      <c r="Z211" s="762"/>
      <c r="AA211" s="762"/>
      <c r="AB211" s="762"/>
      <c r="AC211" s="762"/>
      <c r="AD211" s="794"/>
      <c r="AE211" s="762"/>
      <c r="AF211" s="762"/>
      <c r="AG211" s="762"/>
      <c r="AH211" s="762"/>
      <c r="AI211" s="762"/>
      <c r="AJ211" s="762"/>
      <c r="AK211" s="762"/>
      <c r="AL211" s="762"/>
      <c r="AM211" s="762"/>
      <c r="AN211" s="762"/>
      <c r="AO211" s="762"/>
      <c r="AP211" s="762"/>
      <c r="AQ211" s="762"/>
      <c r="AR211" s="762"/>
      <c r="AS211" s="762"/>
    </row>
    <row r="212" spans="1:45" ht="13.9">
      <c r="A212" s="767"/>
      <c r="B212" s="762"/>
      <c r="C212" s="767"/>
      <c r="D212" s="762"/>
      <c r="E212" s="762"/>
      <c r="F212" s="767"/>
      <c r="G212" s="762"/>
      <c r="H212" s="762"/>
      <c r="I212" s="762"/>
      <c r="J212" s="767"/>
      <c r="K212" s="762"/>
      <c r="U212" s="760"/>
      <c r="X212" s="762"/>
      <c r="Y212" s="762"/>
      <c r="Z212" s="762"/>
      <c r="AA212" s="762"/>
      <c r="AB212" s="762"/>
      <c r="AC212" s="762"/>
      <c r="AD212" s="794"/>
      <c r="AE212" s="762"/>
      <c r="AF212" s="762"/>
      <c r="AG212" s="762"/>
      <c r="AH212" s="762"/>
      <c r="AI212" s="762"/>
      <c r="AJ212" s="762"/>
      <c r="AK212" s="762"/>
      <c r="AL212" s="762"/>
      <c r="AM212" s="762"/>
      <c r="AN212" s="762"/>
      <c r="AO212" s="762"/>
      <c r="AP212" s="762"/>
      <c r="AQ212" s="762"/>
      <c r="AR212" s="762"/>
      <c r="AS212" s="762"/>
    </row>
    <row r="213" spans="1:45" ht="13.9">
      <c r="A213" s="767"/>
      <c r="B213" s="762"/>
      <c r="C213" s="767"/>
      <c r="D213" s="762"/>
      <c r="E213" s="762"/>
      <c r="F213" s="767"/>
      <c r="G213" s="762"/>
      <c r="H213" s="762"/>
      <c r="I213" s="762"/>
      <c r="J213" s="767"/>
      <c r="K213" s="762"/>
      <c r="U213" s="760"/>
      <c r="X213" s="762"/>
      <c r="Y213" s="762"/>
      <c r="Z213" s="762"/>
      <c r="AA213" s="762"/>
      <c r="AB213" s="762"/>
      <c r="AC213" s="762"/>
      <c r="AD213" s="794"/>
      <c r="AE213" s="762"/>
      <c r="AF213" s="762"/>
      <c r="AG213" s="762"/>
      <c r="AH213" s="762"/>
      <c r="AI213" s="762"/>
      <c r="AJ213" s="762"/>
      <c r="AK213" s="762"/>
      <c r="AL213" s="762"/>
      <c r="AM213" s="762"/>
      <c r="AN213" s="762"/>
      <c r="AO213" s="762"/>
      <c r="AP213" s="762"/>
      <c r="AQ213" s="762"/>
      <c r="AR213" s="762"/>
      <c r="AS213" s="762"/>
    </row>
    <row r="214" spans="1:45" ht="13.9">
      <c r="A214" s="767"/>
      <c r="B214" s="762"/>
      <c r="C214" s="767"/>
      <c r="D214" s="762"/>
      <c r="E214" s="762"/>
      <c r="F214" s="767"/>
      <c r="G214" s="762"/>
      <c r="H214" s="762"/>
      <c r="I214" s="762"/>
      <c r="J214" s="767"/>
      <c r="K214" s="762"/>
      <c r="U214" s="760"/>
      <c r="X214" s="762"/>
      <c r="Y214" s="762"/>
      <c r="Z214" s="762"/>
      <c r="AA214" s="762"/>
      <c r="AB214" s="762"/>
      <c r="AC214" s="762"/>
      <c r="AD214" s="794"/>
      <c r="AE214" s="762"/>
      <c r="AF214" s="762"/>
      <c r="AG214" s="762"/>
      <c r="AH214" s="762"/>
      <c r="AI214" s="762"/>
      <c r="AJ214" s="762"/>
      <c r="AK214" s="762"/>
      <c r="AL214" s="762"/>
      <c r="AM214" s="762"/>
      <c r="AN214" s="762"/>
      <c r="AO214" s="762"/>
      <c r="AP214" s="762"/>
      <c r="AQ214" s="762"/>
      <c r="AR214" s="762"/>
      <c r="AS214" s="762"/>
    </row>
    <row r="215" spans="1:45" ht="13.9">
      <c r="A215" s="767"/>
      <c r="B215" s="762"/>
      <c r="C215" s="767"/>
      <c r="D215" s="762"/>
      <c r="E215" s="762"/>
      <c r="F215" s="767"/>
      <c r="G215" s="762"/>
      <c r="H215" s="762"/>
      <c r="I215" s="762"/>
      <c r="J215" s="767"/>
      <c r="K215" s="762"/>
      <c r="U215" s="760"/>
      <c r="X215" s="762"/>
      <c r="Y215" s="762"/>
      <c r="Z215" s="762"/>
      <c r="AA215" s="762"/>
      <c r="AB215" s="762"/>
      <c r="AC215" s="762"/>
      <c r="AD215" s="794"/>
      <c r="AE215" s="762"/>
      <c r="AF215" s="762"/>
      <c r="AG215" s="762"/>
      <c r="AH215" s="762"/>
      <c r="AI215" s="762"/>
      <c r="AJ215" s="762"/>
      <c r="AK215" s="762"/>
      <c r="AL215" s="762"/>
      <c r="AM215" s="762"/>
      <c r="AN215" s="762"/>
      <c r="AO215" s="762"/>
      <c r="AP215" s="762"/>
      <c r="AQ215" s="762"/>
      <c r="AR215" s="762"/>
      <c r="AS215" s="762"/>
    </row>
    <row r="216" spans="1:45" ht="13.9">
      <c r="A216" s="767"/>
      <c r="B216" s="762"/>
      <c r="C216" s="767"/>
      <c r="D216" s="762"/>
      <c r="E216" s="762"/>
      <c r="F216" s="767"/>
      <c r="G216" s="762"/>
      <c r="H216" s="762"/>
      <c r="I216" s="762"/>
      <c r="J216" s="767"/>
      <c r="K216" s="762"/>
      <c r="U216" s="760"/>
      <c r="X216" s="762"/>
      <c r="Y216" s="762"/>
      <c r="Z216" s="762"/>
      <c r="AA216" s="762"/>
      <c r="AB216" s="762"/>
      <c r="AC216" s="762"/>
      <c r="AD216" s="794"/>
      <c r="AE216" s="762"/>
      <c r="AF216" s="762"/>
      <c r="AG216" s="762"/>
      <c r="AH216" s="762"/>
      <c r="AI216" s="762"/>
      <c r="AJ216" s="762"/>
      <c r="AK216" s="762"/>
      <c r="AL216" s="762"/>
      <c r="AM216" s="762"/>
      <c r="AN216" s="762"/>
      <c r="AO216" s="762"/>
      <c r="AP216" s="762"/>
      <c r="AQ216" s="762"/>
      <c r="AR216" s="762"/>
      <c r="AS216" s="762"/>
    </row>
    <row r="217" spans="1:45" ht="13.9">
      <c r="A217" s="767"/>
      <c r="B217" s="762"/>
      <c r="C217" s="767"/>
      <c r="D217" s="762"/>
      <c r="E217" s="762"/>
      <c r="F217" s="767"/>
      <c r="G217" s="762"/>
      <c r="H217" s="762"/>
      <c r="I217" s="762"/>
      <c r="J217" s="767"/>
      <c r="K217" s="762"/>
      <c r="U217" s="760"/>
      <c r="X217" s="762"/>
      <c r="Y217" s="762"/>
      <c r="Z217" s="762"/>
      <c r="AA217" s="762"/>
      <c r="AB217" s="762"/>
      <c r="AC217" s="762"/>
      <c r="AD217" s="794"/>
      <c r="AE217" s="762"/>
      <c r="AF217" s="762"/>
      <c r="AG217" s="762"/>
      <c r="AH217" s="762"/>
      <c r="AI217" s="762"/>
      <c r="AJ217" s="762"/>
      <c r="AK217" s="762"/>
      <c r="AL217" s="762"/>
      <c r="AM217" s="762"/>
      <c r="AN217" s="762"/>
      <c r="AO217" s="762"/>
      <c r="AP217" s="762"/>
      <c r="AQ217" s="762"/>
      <c r="AR217" s="762"/>
      <c r="AS217" s="762"/>
    </row>
    <row r="218" spans="1:45" ht="13.9">
      <c r="A218" s="767"/>
      <c r="B218" s="762"/>
      <c r="C218" s="767"/>
      <c r="D218" s="762"/>
      <c r="E218" s="762"/>
      <c r="F218" s="767"/>
      <c r="G218" s="762"/>
      <c r="H218" s="762"/>
      <c r="I218" s="762"/>
      <c r="J218" s="767"/>
      <c r="K218" s="762"/>
      <c r="U218" s="760"/>
      <c r="X218" s="762"/>
      <c r="Y218" s="762"/>
      <c r="Z218" s="762"/>
      <c r="AA218" s="762"/>
      <c r="AB218" s="762"/>
      <c r="AC218" s="762"/>
      <c r="AD218" s="794"/>
      <c r="AE218" s="762"/>
      <c r="AF218" s="762"/>
      <c r="AG218" s="762"/>
      <c r="AH218" s="762"/>
      <c r="AI218" s="762"/>
      <c r="AJ218" s="762"/>
      <c r="AK218" s="762"/>
      <c r="AL218" s="762"/>
      <c r="AM218" s="762"/>
      <c r="AN218" s="762"/>
      <c r="AO218" s="762"/>
      <c r="AP218" s="762"/>
      <c r="AQ218" s="762"/>
      <c r="AR218" s="762"/>
      <c r="AS218" s="762"/>
    </row>
    <row r="219" spans="1:45" ht="13.9">
      <c r="A219" s="767"/>
      <c r="B219" s="762"/>
      <c r="C219" s="767"/>
      <c r="D219" s="762"/>
      <c r="E219" s="762"/>
      <c r="F219" s="767"/>
      <c r="G219" s="762"/>
      <c r="H219" s="762"/>
      <c r="I219" s="762"/>
      <c r="J219" s="767"/>
      <c r="K219" s="762"/>
      <c r="U219" s="760"/>
      <c r="X219" s="762"/>
      <c r="Y219" s="762"/>
      <c r="Z219" s="762"/>
      <c r="AA219" s="762"/>
      <c r="AB219" s="762"/>
      <c r="AC219" s="762"/>
      <c r="AD219" s="794"/>
      <c r="AE219" s="762"/>
      <c r="AF219" s="762"/>
      <c r="AG219" s="762"/>
      <c r="AH219" s="762"/>
      <c r="AI219" s="762"/>
      <c r="AJ219" s="762"/>
      <c r="AK219" s="762"/>
      <c r="AL219" s="762"/>
      <c r="AM219" s="762"/>
      <c r="AN219" s="762"/>
      <c r="AO219" s="762"/>
      <c r="AP219" s="762"/>
      <c r="AQ219" s="762"/>
      <c r="AR219" s="762"/>
      <c r="AS219" s="762"/>
    </row>
    <row r="220" spans="1:45" ht="13.9">
      <c r="A220" s="767"/>
      <c r="B220" s="762"/>
      <c r="C220" s="767"/>
      <c r="D220" s="762"/>
      <c r="E220" s="762"/>
      <c r="F220" s="767"/>
      <c r="G220" s="762"/>
      <c r="H220" s="762"/>
      <c r="I220" s="762"/>
      <c r="J220" s="767"/>
      <c r="K220" s="762"/>
      <c r="U220" s="760"/>
      <c r="X220" s="762"/>
      <c r="Y220" s="762"/>
      <c r="Z220" s="762"/>
      <c r="AA220" s="762"/>
      <c r="AB220" s="762"/>
      <c r="AC220" s="762"/>
      <c r="AD220" s="794"/>
      <c r="AE220" s="762"/>
      <c r="AF220" s="762"/>
      <c r="AG220" s="762"/>
      <c r="AH220" s="762"/>
      <c r="AI220" s="762"/>
      <c r="AJ220" s="762"/>
      <c r="AK220" s="762"/>
      <c r="AL220" s="762"/>
      <c r="AM220" s="762"/>
      <c r="AN220" s="762"/>
      <c r="AO220" s="762"/>
      <c r="AP220" s="762"/>
      <c r="AQ220" s="762"/>
      <c r="AR220" s="762"/>
      <c r="AS220" s="762"/>
    </row>
    <row r="221" spans="1:45" ht="13.9">
      <c r="A221" s="767"/>
      <c r="B221" s="762"/>
      <c r="C221" s="767"/>
      <c r="D221" s="762"/>
      <c r="E221" s="762"/>
      <c r="F221" s="767"/>
      <c r="G221" s="762"/>
      <c r="H221" s="762"/>
      <c r="I221" s="762"/>
      <c r="J221" s="767"/>
      <c r="K221" s="762"/>
      <c r="U221" s="760"/>
      <c r="X221" s="762"/>
      <c r="Y221" s="762"/>
      <c r="Z221" s="762"/>
      <c r="AA221" s="762"/>
      <c r="AB221" s="762"/>
      <c r="AC221" s="762"/>
      <c r="AD221" s="794"/>
      <c r="AE221" s="762"/>
      <c r="AF221" s="762"/>
      <c r="AG221" s="762"/>
      <c r="AH221" s="762"/>
      <c r="AI221" s="762"/>
      <c r="AJ221" s="762"/>
      <c r="AK221" s="762"/>
      <c r="AL221" s="762"/>
      <c r="AM221" s="762"/>
      <c r="AN221" s="762"/>
      <c r="AO221" s="762"/>
      <c r="AP221" s="762"/>
      <c r="AQ221" s="762"/>
      <c r="AR221" s="762"/>
      <c r="AS221" s="762"/>
    </row>
    <row r="222" spans="1:45" ht="13.9">
      <c r="A222" s="767"/>
      <c r="B222" s="762"/>
      <c r="C222" s="767"/>
      <c r="D222" s="762"/>
      <c r="E222" s="762"/>
      <c r="F222" s="767"/>
      <c r="G222" s="762"/>
      <c r="H222" s="762"/>
      <c r="I222" s="762"/>
      <c r="J222" s="767"/>
      <c r="K222" s="762"/>
      <c r="U222" s="760"/>
      <c r="X222" s="762"/>
      <c r="Y222" s="762"/>
      <c r="Z222" s="762"/>
      <c r="AA222" s="762"/>
      <c r="AB222" s="762"/>
      <c r="AC222" s="762"/>
      <c r="AD222" s="794"/>
      <c r="AE222" s="762"/>
      <c r="AF222" s="762"/>
      <c r="AG222" s="762"/>
      <c r="AH222" s="762"/>
      <c r="AI222" s="762"/>
      <c r="AJ222" s="762"/>
      <c r="AK222" s="762"/>
      <c r="AL222" s="762"/>
      <c r="AM222" s="762"/>
      <c r="AN222" s="762"/>
      <c r="AO222" s="762"/>
      <c r="AP222" s="762"/>
      <c r="AQ222" s="762"/>
      <c r="AR222" s="762"/>
      <c r="AS222" s="762"/>
    </row>
    <row r="223" spans="1:45" ht="13.9">
      <c r="A223" s="767"/>
      <c r="B223" s="762"/>
      <c r="C223" s="767"/>
      <c r="D223" s="762"/>
      <c r="E223" s="762"/>
      <c r="F223" s="767"/>
      <c r="G223" s="762"/>
      <c r="H223" s="762"/>
      <c r="I223" s="762"/>
      <c r="J223" s="767"/>
      <c r="K223" s="762"/>
      <c r="U223" s="760"/>
      <c r="X223" s="762"/>
      <c r="Y223" s="762"/>
      <c r="Z223" s="762"/>
      <c r="AA223" s="762"/>
      <c r="AB223" s="762"/>
      <c r="AC223" s="762"/>
      <c r="AD223" s="794"/>
      <c r="AE223" s="762"/>
      <c r="AF223" s="762"/>
      <c r="AG223" s="762"/>
      <c r="AH223" s="762"/>
      <c r="AI223" s="762"/>
      <c r="AJ223" s="762"/>
      <c r="AK223" s="762"/>
      <c r="AL223" s="762"/>
      <c r="AM223" s="762"/>
      <c r="AN223" s="762"/>
      <c r="AO223" s="762"/>
      <c r="AP223" s="762"/>
      <c r="AQ223" s="762"/>
      <c r="AR223" s="762"/>
      <c r="AS223" s="762"/>
    </row>
    <row r="224" spans="1:45" ht="13.9">
      <c r="A224" s="767"/>
      <c r="B224" s="762"/>
      <c r="C224" s="767"/>
      <c r="D224" s="762"/>
      <c r="E224" s="762"/>
      <c r="F224" s="767"/>
      <c r="G224" s="762"/>
      <c r="H224" s="762"/>
      <c r="I224" s="762"/>
      <c r="J224" s="767"/>
      <c r="K224" s="762"/>
      <c r="U224" s="760"/>
      <c r="X224" s="762"/>
      <c r="Y224" s="762"/>
      <c r="Z224" s="762"/>
      <c r="AA224" s="762"/>
      <c r="AB224" s="762"/>
      <c r="AC224" s="762"/>
      <c r="AD224" s="794"/>
      <c r="AE224" s="762"/>
      <c r="AF224" s="762"/>
      <c r="AG224" s="762"/>
      <c r="AH224" s="762"/>
      <c r="AI224" s="762"/>
      <c r="AJ224" s="762"/>
      <c r="AK224" s="762"/>
      <c r="AL224" s="762"/>
      <c r="AM224" s="762"/>
      <c r="AN224" s="762"/>
      <c r="AO224" s="762"/>
      <c r="AP224" s="762"/>
      <c r="AQ224" s="762"/>
      <c r="AR224" s="762"/>
      <c r="AS224" s="762"/>
    </row>
    <row r="225" spans="1:45" ht="13.9">
      <c r="A225" s="767"/>
      <c r="B225" s="762"/>
      <c r="C225" s="767"/>
      <c r="D225" s="762"/>
      <c r="E225" s="762"/>
      <c r="F225" s="767"/>
      <c r="G225" s="762"/>
      <c r="H225" s="762"/>
      <c r="I225" s="762"/>
      <c r="J225" s="767"/>
      <c r="K225" s="762"/>
      <c r="U225" s="760"/>
      <c r="X225" s="762"/>
      <c r="Y225" s="762"/>
      <c r="Z225" s="762"/>
      <c r="AA225" s="762"/>
      <c r="AB225" s="762"/>
      <c r="AC225" s="762"/>
      <c r="AD225" s="794"/>
      <c r="AE225" s="762"/>
      <c r="AF225" s="762"/>
      <c r="AG225" s="762"/>
      <c r="AH225" s="762"/>
      <c r="AI225" s="762"/>
      <c r="AJ225" s="762"/>
      <c r="AK225" s="762"/>
      <c r="AL225" s="762"/>
      <c r="AM225" s="762"/>
      <c r="AN225" s="762"/>
      <c r="AO225" s="762"/>
      <c r="AP225" s="762"/>
      <c r="AQ225" s="762"/>
      <c r="AR225" s="762"/>
      <c r="AS225" s="762"/>
    </row>
    <row r="226" spans="1:45" ht="13.9">
      <c r="A226" s="767"/>
      <c r="B226" s="762"/>
      <c r="C226" s="767"/>
      <c r="D226" s="762"/>
      <c r="E226" s="762"/>
      <c r="F226" s="767"/>
      <c r="G226" s="762"/>
      <c r="H226" s="762"/>
      <c r="I226" s="762"/>
      <c r="J226" s="767"/>
      <c r="K226" s="762"/>
      <c r="U226" s="760"/>
      <c r="X226" s="762"/>
      <c r="Y226" s="762"/>
      <c r="Z226" s="762"/>
      <c r="AA226" s="762"/>
      <c r="AB226" s="762"/>
      <c r="AC226" s="762"/>
      <c r="AD226" s="794"/>
      <c r="AE226" s="762"/>
      <c r="AF226" s="762"/>
      <c r="AG226" s="762"/>
      <c r="AH226" s="762"/>
      <c r="AI226" s="762"/>
      <c r="AJ226" s="762"/>
      <c r="AK226" s="762"/>
      <c r="AL226" s="762"/>
      <c r="AM226" s="762"/>
      <c r="AN226" s="762"/>
      <c r="AO226" s="762"/>
      <c r="AP226" s="762"/>
      <c r="AQ226" s="762"/>
      <c r="AR226" s="762"/>
      <c r="AS226" s="762"/>
    </row>
    <row r="227" spans="1:45" ht="13.9">
      <c r="A227" s="767"/>
      <c r="B227" s="762"/>
      <c r="C227" s="767"/>
      <c r="D227" s="762"/>
      <c r="E227" s="762"/>
      <c r="F227" s="767"/>
      <c r="G227" s="762"/>
      <c r="H227" s="762"/>
      <c r="I227" s="762"/>
      <c r="J227" s="767"/>
      <c r="K227" s="762"/>
      <c r="U227" s="760"/>
      <c r="X227" s="762"/>
      <c r="Y227" s="762"/>
      <c r="Z227" s="762"/>
      <c r="AA227" s="762"/>
      <c r="AB227" s="762"/>
      <c r="AC227" s="762"/>
      <c r="AD227" s="794"/>
      <c r="AE227" s="762"/>
      <c r="AF227" s="762"/>
      <c r="AG227" s="762"/>
      <c r="AH227" s="762"/>
      <c r="AI227" s="762"/>
      <c r="AJ227" s="762"/>
      <c r="AK227" s="762"/>
      <c r="AL227" s="762"/>
      <c r="AM227" s="762"/>
      <c r="AN227" s="762"/>
      <c r="AO227" s="762"/>
      <c r="AP227" s="762"/>
      <c r="AQ227" s="762"/>
      <c r="AR227" s="762"/>
      <c r="AS227" s="762"/>
    </row>
    <row r="228" spans="1:45" ht="13.9">
      <c r="A228" s="767"/>
      <c r="B228" s="762"/>
      <c r="C228" s="767"/>
      <c r="D228" s="762"/>
      <c r="E228" s="762"/>
      <c r="F228" s="767"/>
      <c r="G228" s="762"/>
      <c r="H228" s="762"/>
      <c r="I228" s="762"/>
      <c r="J228" s="767"/>
      <c r="K228" s="762"/>
      <c r="U228" s="760"/>
      <c r="X228" s="762"/>
      <c r="Y228" s="762"/>
      <c r="Z228" s="762"/>
      <c r="AA228" s="762"/>
      <c r="AB228" s="762"/>
      <c r="AC228" s="762"/>
      <c r="AD228" s="794"/>
      <c r="AE228" s="762"/>
      <c r="AF228" s="762"/>
      <c r="AG228" s="762"/>
      <c r="AH228" s="762"/>
      <c r="AI228" s="762"/>
      <c r="AJ228" s="762"/>
      <c r="AK228" s="762"/>
      <c r="AL228" s="762"/>
      <c r="AM228" s="762"/>
      <c r="AN228" s="762"/>
      <c r="AO228" s="762"/>
      <c r="AP228" s="762"/>
      <c r="AQ228" s="762"/>
      <c r="AR228" s="762"/>
      <c r="AS228" s="762"/>
    </row>
    <row r="229" spans="1:45" ht="13.9">
      <c r="A229" s="767"/>
      <c r="B229" s="762"/>
      <c r="C229" s="767"/>
      <c r="D229" s="762"/>
      <c r="E229" s="762"/>
      <c r="F229" s="767"/>
      <c r="G229" s="762"/>
      <c r="H229" s="762"/>
      <c r="I229" s="762"/>
      <c r="J229" s="767"/>
      <c r="K229" s="762"/>
      <c r="U229" s="760"/>
      <c r="X229" s="762"/>
      <c r="Y229" s="762"/>
      <c r="Z229" s="762"/>
      <c r="AA229" s="762"/>
      <c r="AB229" s="762"/>
      <c r="AC229" s="762"/>
      <c r="AD229" s="794"/>
      <c r="AE229" s="762"/>
      <c r="AF229" s="762"/>
      <c r="AG229" s="762"/>
      <c r="AH229" s="762"/>
      <c r="AI229" s="762"/>
      <c r="AJ229" s="762"/>
      <c r="AK229" s="762"/>
      <c r="AL229" s="762"/>
      <c r="AM229" s="762"/>
      <c r="AN229" s="762"/>
      <c r="AO229" s="762"/>
      <c r="AP229" s="762"/>
      <c r="AQ229" s="762"/>
      <c r="AR229" s="762"/>
      <c r="AS229" s="762"/>
    </row>
    <row r="230" spans="1:45" ht="13.9">
      <c r="A230" s="767"/>
      <c r="B230" s="762"/>
      <c r="C230" s="767"/>
      <c r="D230" s="762"/>
      <c r="E230" s="762"/>
      <c r="F230" s="767"/>
      <c r="G230" s="762"/>
      <c r="H230" s="762"/>
      <c r="I230" s="762"/>
      <c r="J230" s="767"/>
      <c r="K230" s="762"/>
      <c r="U230" s="760"/>
      <c r="X230" s="762"/>
      <c r="Y230" s="762"/>
      <c r="Z230" s="762"/>
      <c r="AA230" s="762"/>
      <c r="AB230" s="762"/>
      <c r="AC230" s="762"/>
      <c r="AD230" s="794"/>
      <c r="AE230" s="762"/>
      <c r="AF230" s="762"/>
      <c r="AG230" s="762"/>
      <c r="AH230" s="762"/>
      <c r="AI230" s="762"/>
      <c r="AJ230" s="762"/>
      <c r="AK230" s="762"/>
      <c r="AL230" s="762"/>
      <c r="AM230" s="762"/>
      <c r="AN230" s="762"/>
      <c r="AO230" s="762"/>
      <c r="AP230" s="762"/>
      <c r="AQ230" s="762"/>
      <c r="AR230" s="762"/>
      <c r="AS230" s="762"/>
    </row>
    <row r="231" spans="1:45" ht="13.9">
      <c r="A231" s="767"/>
      <c r="B231" s="762"/>
      <c r="C231" s="767"/>
      <c r="D231" s="762"/>
      <c r="E231" s="762"/>
      <c r="F231" s="767"/>
      <c r="G231" s="762"/>
      <c r="H231" s="762"/>
      <c r="I231" s="762"/>
      <c r="J231" s="767"/>
      <c r="K231" s="762"/>
      <c r="U231" s="760"/>
      <c r="X231" s="762"/>
      <c r="Y231" s="762"/>
      <c r="Z231" s="762"/>
      <c r="AA231" s="762"/>
      <c r="AB231" s="762"/>
      <c r="AC231" s="762"/>
      <c r="AD231" s="794"/>
      <c r="AE231" s="762"/>
      <c r="AF231" s="762"/>
      <c r="AG231" s="762"/>
      <c r="AH231" s="762"/>
      <c r="AI231" s="762"/>
      <c r="AJ231" s="762"/>
      <c r="AK231" s="762"/>
      <c r="AL231" s="762"/>
      <c r="AM231" s="762"/>
      <c r="AN231" s="762"/>
      <c r="AO231" s="762"/>
      <c r="AP231" s="762"/>
      <c r="AQ231" s="762"/>
      <c r="AR231" s="762"/>
      <c r="AS231" s="762"/>
    </row>
    <row r="232" spans="1:45" ht="13.9">
      <c r="A232" s="767"/>
      <c r="B232" s="762"/>
      <c r="C232" s="767"/>
      <c r="D232" s="762"/>
      <c r="E232" s="762"/>
      <c r="F232" s="767"/>
      <c r="G232" s="762"/>
      <c r="H232" s="762"/>
      <c r="I232" s="762"/>
      <c r="J232" s="767"/>
      <c r="K232" s="762"/>
      <c r="U232" s="760"/>
      <c r="X232" s="762"/>
      <c r="Y232" s="762"/>
      <c r="Z232" s="762"/>
      <c r="AA232" s="762"/>
      <c r="AB232" s="762"/>
      <c r="AC232" s="762"/>
      <c r="AD232" s="794"/>
      <c r="AE232" s="762"/>
      <c r="AF232" s="762"/>
      <c r="AG232" s="762"/>
      <c r="AH232" s="762"/>
      <c r="AI232" s="762"/>
      <c r="AJ232" s="762"/>
      <c r="AK232" s="762"/>
      <c r="AL232" s="762"/>
      <c r="AM232" s="762"/>
      <c r="AN232" s="762"/>
      <c r="AO232" s="762"/>
      <c r="AP232" s="762"/>
      <c r="AQ232" s="762"/>
      <c r="AR232" s="762"/>
      <c r="AS232" s="762"/>
    </row>
    <row r="233" spans="1:45" ht="13.9">
      <c r="A233" s="767"/>
      <c r="B233" s="762"/>
      <c r="C233" s="767"/>
      <c r="D233" s="762"/>
      <c r="E233" s="762"/>
      <c r="F233" s="767"/>
      <c r="G233" s="762"/>
      <c r="H233" s="762"/>
      <c r="I233" s="762"/>
      <c r="J233" s="767"/>
      <c r="K233" s="762"/>
      <c r="U233" s="760"/>
      <c r="X233" s="762"/>
      <c r="Y233" s="762"/>
      <c r="Z233" s="762"/>
      <c r="AA233" s="762"/>
      <c r="AB233" s="762"/>
      <c r="AC233" s="762"/>
      <c r="AD233" s="794"/>
      <c r="AE233" s="762"/>
      <c r="AF233" s="762"/>
      <c r="AG233" s="762"/>
      <c r="AH233" s="762"/>
      <c r="AI233" s="762"/>
      <c r="AJ233" s="762"/>
      <c r="AK233" s="762"/>
      <c r="AL233" s="762"/>
      <c r="AM233" s="762"/>
      <c r="AN233" s="762"/>
      <c r="AO233" s="762"/>
      <c r="AP233" s="762"/>
      <c r="AQ233" s="762"/>
      <c r="AR233" s="762"/>
      <c r="AS233" s="762"/>
    </row>
    <row r="234" spans="1:45" ht="13.9">
      <c r="A234" s="767"/>
      <c r="B234" s="762"/>
      <c r="C234" s="767"/>
      <c r="D234" s="762"/>
      <c r="E234" s="762"/>
      <c r="F234" s="767"/>
      <c r="G234" s="762"/>
      <c r="H234" s="762"/>
      <c r="I234" s="762"/>
      <c r="J234" s="767"/>
      <c r="K234" s="762"/>
      <c r="U234" s="760"/>
      <c r="X234" s="762"/>
      <c r="Y234" s="762"/>
      <c r="Z234" s="762"/>
      <c r="AA234" s="762"/>
      <c r="AB234" s="762"/>
      <c r="AC234" s="762"/>
      <c r="AD234" s="794"/>
      <c r="AE234" s="762"/>
      <c r="AF234" s="762"/>
      <c r="AG234" s="762"/>
      <c r="AH234" s="762"/>
      <c r="AI234" s="762"/>
      <c r="AJ234" s="762"/>
      <c r="AK234" s="762"/>
      <c r="AL234" s="762"/>
      <c r="AM234" s="762"/>
      <c r="AN234" s="762"/>
      <c r="AO234" s="762"/>
      <c r="AP234" s="762"/>
      <c r="AQ234" s="762"/>
      <c r="AR234" s="762"/>
      <c r="AS234" s="762"/>
    </row>
    <row r="235" spans="1:45" ht="13.9">
      <c r="A235" s="767"/>
      <c r="B235" s="762"/>
      <c r="C235" s="767"/>
      <c r="D235" s="762"/>
      <c r="E235" s="762"/>
      <c r="F235" s="767"/>
      <c r="G235" s="762"/>
      <c r="H235" s="762"/>
      <c r="I235" s="762"/>
      <c r="J235" s="767"/>
      <c r="K235" s="762"/>
      <c r="U235" s="760"/>
      <c r="X235" s="762"/>
      <c r="Y235" s="762"/>
      <c r="Z235" s="762"/>
      <c r="AA235" s="762"/>
      <c r="AB235" s="762"/>
      <c r="AC235" s="762"/>
      <c r="AD235" s="794"/>
      <c r="AE235" s="762"/>
      <c r="AF235" s="762"/>
      <c r="AG235" s="762"/>
      <c r="AH235" s="762"/>
      <c r="AI235" s="762"/>
      <c r="AJ235" s="762"/>
      <c r="AK235" s="762"/>
      <c r="AL235" s="762"/>
      <c r="AM235" s="762"/>
      <c r="AN235" s="762"/>
      <c r="AO235" s="762"/>
      <c r="AP235" s="762"/>
      <c r="AQ235" s="762"/>
      <c r="AR235" s="762"/>
      <c r="AS235" s="762"/>
    </row>
    <row r="236" spans="1:45" ht="13.9">
      <c r="A236" s="767"/>
      <c r="B236" s="762"/>
      <c r="C236" s="767"/>
      <c r="D236" s="762"/>
      <c r="E236" s="762"/>
      <c r="F236" s="767"/>
      <c r="G236" s="762"/>
      <c r="H236" s="762"/>
      <c r="I236" s="762"/>
      <c r="J236" s="767"/>
      <c r="K236" s="762"/>
      <c r="U236" s="760"/>
      <c r="X236" s="762"/>
      <c r="Y236" s="762"/>
      <c r="Z236" s="762"/>
      <c r="AA236" s="762"/>
      <c r="AB236" s="762"/>
      <c r="AC236" s="762"/>
      <c r="AD236" s="794"/>
      <c r="AE236" s="762"/>
      <c r="AF236" s="762"/>
      <c r="AG236" s="762"/>
      <c r="AH236" s="762"/>
      <c r="AI236" s="762"/>
      <c r="AJ236" s="762"/>
      <c r="AK236" s="762"/>
      <c r="AL236" s="762"/>
      <c r="AM236" s="762"/>
      <c r="AN236" s="762"/>
      <c r="AO236" s="762"/>
      <c r="AP236" s="762"/>
      <c r="AQ236" s="762"/>
      <c r="AR236" s="762"/>
      <c r="AS236" s="762"/>
    </row>
    <row r="237" spans="1:45" ht="13.9">
      <c r="A237" s="767"/>
      <c r="B237" s="762"/>
      <c r="C237" s="767"/>
      <c r="D237" s="762"/>
      <c r="E237" s="762"/>
      <c r="F237" s="767"/>
      <c r="G237" s="762"/>
      <c r="H237" s="762"/>
      <c r="I237" s="762"/>
      <c r="J237" s="767"/>
      <c r="K237" s="762"/>
      <c r="U237" s="760"/>
      <c r="X237" s="762"/>
      <c r="Y237" s="762"/>
      <c r="Z237" s="762"/>
      <c r="AA237" s="762"/>
      <c r="AB237" s="762"/>
      <c r="AC237" s="762"/>
      <c r="AD237" s="794"/>
      <c r="AE237" s="762"/>
      <c r="AF237" s="762"/>
      <c r="AG237" s="762"/>
      <c r="AH237" s="762"/>
      <c r="AI237" s="762"/>
      <c r="AJ237" s="762"/>
      <c r="AK237" s="762"/>
      <c r="AL237" s="762"/>
      <c r="AM237" s="762"/>
      <c r="AN237" s="762"/>
      <c r="AO237" s="762"/>
      <c r="AP237" s="762"/>
      <c r="AQ237" s="762"/>
      <c r="AR237" s="762"/>
      <c r="AS237" s="762"/>
    </row>
    <row r="238" spans="1:45" ht="13.9">
      <c r="A238" s="767"/>
      <c r="B238" s="762"/>
      <c r="C238" s="767"/>
      <c r="D238" s="762"/>
      <c r="E238" s="762"/>
      <c r="F238" s="767"/>
      <c r="G238" s="762"/>
      <c r="H238" s="762"/>
      <c r="I238" s="762"/>
      <c r="J238" s="767"/>
      <c r="K238" s="762"/>
      <c r="U238" s="760"/>
      <c r="X238" s="762"/>
      <c r="Y238" s="762"/>
      <c r="Z238" s="762"/>
      <c r="AA238" s="762"/>
      <c r="AB238" s="762"/>
      <c r="AC238" s="762"/>
      <c r="AD238" s="794"/>
      <c r="AE238" s="762"/>
      <c r="AF238" s="762"/>
      <c r="AG238" s="762"/>
      <c r="AH238" s="762"/>
      <c r="AI238" s="762"/>
      <c r="AJ238" s="762"/>
      <c r="AK238" s="762"/>
      <c r="AL238" s="762"/>
      <c r="AM238" s="762"/>
      <c r="AN238" s="762"/>
      <c r="AO238" s="762"/>
      <c r="AP238" s="762"/>
      <c r="AQ238" s="762"/>
      <c r="AR238" s="762"/>
      <c r="AS238" s="762"/>
    </row>
    <row r="239" spans="1:45" ht="13.9">
      <c r="A239" s="767"/>
      <c r="B239" s="762"/>
      <c r="C239" s="767"/>
      <c r="D239" s="762"/>
      <c r="E239" s="762"/>
      <c r="F239" s="767"/>
      <c r="G239" s="762"/>
      <c r="H239" s="762"/>
      <c r="I239" s="762"/>
      <c r="J239" s="767"/>
      <c r="K239" s="762"/>
      <c r="U239" s="760"/>
      <c r="X239" s="762"/>
      <c r="Y239" s="762"/>
      <c r="Z239" s="762"/>
      <c r="AA239" s="762"/>
      <c r="AB239" s="762"/>
      <c r="AC239" s="762"/>
      <c r="AD239" s="794"/>
      <c r="AE239" s="762"/>
      <c r="AF239" s="762"/>
      <c r="AG239" s="762"/>
      <c r="AH239" s="762"/>
      <c r="AI239" s="762"/>
      <c r="AJ239" s="762"/>
      <c r="AK239" s="762"/>
      <c r="AL239" s="762"/>
      <c r="AM239" s="762"/>
      <c r="AN239" s="762"/>
      <c r="AO239" s="762"/>
      <c r="AP239" s="762"/>
      <c r="AQ239" s="762"/>
      <c r="AR239" s="762"/>
      <c r="AS239" s="762"/>
    </row>
    <row r="240" spans="1:45" ht="13.9">
      <c r="A240" s="767"/>
      <c r="B240" s="762"/>
      <c r="C240" s="767"/>
      <c r="D240" s="762"/>
      <c r="E240" s="762"/>
      <c r="F240" s="767"/>
      <c r="G240" s="762"/>
      <c r="H240" s="762"/>
      <c r="I240" s="762"/>
      <c r="J240" s="767"/>
      <c r="K240" s="762"/>
      <c r="U240" s="760"/>
      <c r="X240" s="762"/>
      <c r="Y240" s="762"/>
      <c r="Z240" s="762"/>
      <c r="AA240" s="762"/>
      <c r="AB240" s="762"/>
      <c r="AC240" s="762"/>
      <c r="AD240" s="794"/>
      <c r="AE240" s="762"/>
      <c r="AF240" s="762"/>
      <c r="AG240" s="762"/>
      <c r="AH240" s="762"/>
      <c r="AI240" s="762"/>
      <c r="AJ240" s="762"/>
      <c r="AK240" s="762"/>
      <c r="AL240" s="762"/>
      <c r="AM240" s="762"/>
      <c r="AN240" s="762"/>
      <c r="AO240" s="762"/>
      <c r="AP240" s="762"/>
      <c r="AQ240" s="762"/>
      <c r="AR240" s="762"/>
      <c r="AS240" s="762"/>
    </row>
    <row r="241" spans="1:45" ht="13.9">
      <c r="A241" s="767"/>
      <c r="B241" s="762"/>
      <c r="C241" s="767"/>
      <c r="D241" s="762"/>
      <c r="E241" s="762"/>
      <c r="F241" s="767"/>
      <c r="G241" s="762"/>
      <c r="H241" s="762"/>
      <c r="I241" s="762"/>
      <c r="J241" s="767"/>
      <c r="K241" s="762"/>
      <c r="U241" s="760"/>
      <c r="X241" s="762"/>
      <c r="Y241" s="762"/>
      <c r="Z241" s="762"/>
      <c r="AA241" s="762"/>
      <c r="AB241" s="762"/>
      <c r="AC241" s="762"/>
      <c r="AD241" s="794"/>
      <c r="AE241" s="762"/>
      <c r="AF241" s="762"/>
      <c r="AG241" s="762"/>
      <c r="AH241" s="762"/>
      <c r="AI241" s="762"/>
      <c r="AJ241" s="762"/>
      <c r="AK241" s="762"/>
      <c r="AL241" s="762"/>
      <c r="AM241" s="762"/>
      <c r="AN241" s="762"/>
      <c r="AO241" s="762"/>
      <c r="AP241" s="762"/>
      <c r="AQ241" s="762"/>
      <c r="AR241" s="762"/>
      <c r="AS241" s="762"/>
    </row>
    <row r="242" spans="1:45" ht="13.9">
      <c r="A242" s="767"/>
      <c r="B242" s="762"/>
      <c r="C242" s="767"/>
      <c r="D242" s="762"/>
      <c r="E242" s="762"/>
      <c r="F242" s="767"/>
      <c r="G242" s="762"/>
      <c r="H242" s="762"/>
      <c r="I242" s="762"/>
      <c r="J242" s="767"/>
      <c r="K242" s="762"/>
      <c r="U242" s="760"/>
      <c r="X242" s="762"/>
      <c r="Y242" s="762"/>
      <c r="Z242" s="762"/>
      <c r="AA242" s="762"/>
      <c r="AB242" s="762"/>
      <c r="AC242" s="762"/>
      <c r="AD242" s="794"/>
      <c r="AE242" s="762"/>
      <c r="AF242" s="762"/>
      <c r="AG242" s="762"/>
      <c r="AH242" s="762"/>
      <c r="AI242" s="762"/>
      <c r="AJ242" s="762"/>
      <c r="AK242" s="762"/>
      <c r="AL242" s="762"/>
      <c r="AM242" s="762"/>
      <c r="AN242" s="762"/>
      <c r="AO242" s="762"/>
      <c r="AP242" s="762"/>
      <c r="AQ242" s="762"/>
      <c r="AR242" s="762"/>
      <c r="AS242" s="762"/>
    </row>
    <row r="243" spans="1:45" ht="13.9">
      <c r="A243" s="767"/>
      <c r="B243" s="762"/>
      <c r="C243" s="767"/>
      <c r="D243" s="762"/>
      <c r="E243" s="762"/>
      <c r="F243" s="767"/>
      <c r="G243" s="762"/>
      <c r="H243" s="762"/>
      <c r="I243" s="762"/>
      <c r="J243" s="767"/>
      <c r="K243" s="762"/>
      <c r="U243" s="760"/>
      <c r="X243" s="762"/>
      <c r="Y243" s="762"/>
      <c r="Z243" s="762"/>
      <c r="AA243" s="762"/>
      <c r="AB243" s="762"/>
      <c r="AC243" s="762"/>
      <c r="AD243" s="794"/>
      <c r="AE243" s="762"/>
      <c r="AF243" s="762"/>
      <c r="AG243" s="762"/>
      <c r="AH243" s="762"/>
      <c r="AI243" s="762"/>
      <c r="AJ243" s="762"/>
      <c r="AK243" s="762"/>
      <c r="AL243" s="762"/>
      <c r="AM243" s="762"/>
      <c r="AN243" s="762"/>
      <c r="AO243" s="762"/>
      <c r="AP243" s="762"/>
      <c r="AQ243" s="762"/>
      <c r="AR243" s="762"/>
      <c r="AS243" s="762"/>
    </row>
    <row r="244" spans="1:45" ht="13.9">
      <c r="A244" s="767"/>
      <c r="B244" s="762"/>
      <c r="C244" s="767"/>
      <c r="D244" s="762"/>
      <c r="E244" s="762"/>
      <c r="F244" s="767"/>
      <c r="G244" s="762"/>
      <c r="H244" s="762"/>
      <c r="I244" s="762"/>
      <c r="J244" s="767"/>
      <c r="K244" s="762"/>
      <c r="U244" s="760"/>
      <c r="X244" s="762"/>
      <c r="Y244" s="762"/>
      <c r="Z244" s="762"/>
      <c r="AA244" s="762"/>
      <c r="AB244" s="762"/>
      <c r="AC244" s="762"/>
      <c r="AD244" s="794"/>
      <c r="AE244" s="762"/>
      <c r="AF244" s="762"/>
      <c r="AG244" s="762"/>
      <c r="AH244" s="762"/>
      <c r="AI244" s="762"/>
      <c r="AJ244" s="762"/>
      <c r="AK244" s="762"/>
      <c r="AL244" s="762"/>
      <c r="AM244" s="762"/>
      <c r="AN244" s="762"/>
      <c r="AO244" s="762"/>
      <c r="AP244" s="762"/>
      <c r="AQ244" s="762"/>
      <c r="AR244" s="762"/>
      <c r="AS244" s="762"/>
    </row>
    <row r="245" spans="1:45" ht="13.9">
      <c r="A245" s="767"/>
      <c r="B245" s="762"/>
      <c r="C245" s="767"/>
      <c r="D245" s="762"/>
      <c r="E245" s="762"/>
      <c r="F245" s="767"/>
      <c r="G245" s="762"/>
      <c r="H245" s="762"/>
      <c r="I245" s="762"/>
      <c r="J245" s="767"/>
      <c r="K245" s="762"/>
      <c r="U245" s="760"/>
      <c r="X245" s="762"/>
      <c r="Y245" s="762"/>
      <c r="Z245" s="762"/>
      <c r="AA245" s="762"/>
      <c r="AB245" s="762"/>
      <c r="AC245" s="762"/>
      <c r="AD245" s="794"/>
      <c r="AE245" s="762"/>
      <c r="AF245" s="762"/>
      <c r="AG245" s="762"/>
      <c r="AH245" s="762"/>
      <c r="AI245" s="762"/>
      <c r="AJ245" s="762"/>
      <c r="AK245" s="762"/>
      <c r="AL245" s="762"/>
      <c r="AM245" s="762"/>
      <c r="AN245" s="762"/>
      <c r="AO245" s="762"/>
      <c r="AP245" s="762"/>
      <c r="AQ245" s="762"/>
      <c r="AR245" s="762"/>
      <c r="AS245" s="762"/>
    </row>
    <row r="246" spans="1:45" ht="13.9">
      <c r="A246" s="767"/>
      <c r="B246" s="762"/>
      <c r="C246" s="767"/>
      <c r="D246" s="762"/>
      <c r="E246" s="762"/>
      <c r="F246" s="767"/>
      <c r="G246" s="762"/>
      <c r="H246" s="762"/>
      <c r="I246" s="762"/>
      <c r="J246" s="767"/>
      <c r="K246" s="762"/>
      <c r="U246" s="760"/>
      <c r="X246" s="762"/>
      <c r="Y246" s="762"/>
      <c r="Z246" s="762"/>
      <c r="AA246" s="762"/>
      <c r="AB246" s="762"/>
      <c r="AC246" s="762"/>
      <c r="AD246" s="794"/>
      <c r="AE246" s="762"/>
      <c r="AF246" s="762"/>
      <c r="AG246" s="762"/>
      <c r="AH246" s="762"/>
      <c r="AI246" s="762"/>
      <c r="AJ246" s="762"/>
      <c r="AK246" s="762"/>
      <c r="AL246" s="762"/>
      <c r="AM246" s="762"/>
      <c r="AN246" s="762"/>
      <c r="AO246" s="762"/>
      <c r="AP246" s="762"/>
      <c r="AQ246" s="762"/>
      <c r="AR246" s="762"/>
      <c r="AS246" s="762"/>
    </row>
    <row r="247" spans="1:45" ht="13.9">
      <c r="A247" s="767"/>
      <c r="B247" s="762"/>
      <c r="C247" s="767"/>
      <c r="D247" s="762"/>
      <c r="E247" s="762"/>
      <c r="F247" s="767"/>
      <c r="G247" s="762"/>
      <c r="H247" s="762"/>
      <c r="I247" s="762"/>
      <c r="J247" s="767"/>
      <c r="K247" s="762"/>
      <c r="U247" s="760"/>
      <c r="X247" s="762"/>
      <c r="Y247" s="762"/>
      <c r="Z247" s="762"/>
      <c r="AA247" s="762"/>
      <c r="AB247" s="762"/>
      <c r="AC247" s="762"/>
      <c r="AD247" s="794"/>
      <c r="AE247" s="762"/>
      <c r="AF247" s="762"/>
      <c r="AG247" s="762"/>
      <c r="AH247" s="762"/>
      <c r="AI247" s="762"/>
      <c r="AJ247" s="762"/>
      <c r="AK247" s="762"/>
      <c r="AL247" s="762"/>
      <c r="AM247" s="762"/>
      <c r="AN247" s="762"/>
      <c r="AO247" s="762"/>
      <c r="AP247" s="762"/>
      <c r="AQ247" s="762"/>
      <c r="AR247" s="762"/>
      <c r="AS247" s="762"/>
    </row>
    <row r="248" spans="1:45" ht="13.9">
      <c r="A248" s="767"/>
      <c r="B248" s="762"/>
      <c r="C248" s="767"/>
      <c r="D248" s="762"/>
      <c r="E248" s="762"/>
      <c r="F248" s="767"/>
      <c r="G248" s="762"/>
      <c r="H248" s="762"/>
      <c r="I248" s="762"/>
      <c r="J248" s="767"/>
      <c r="K248" s="762"/>
      <c r="U248" s="760"/>
      <c r="X248" s="762"/>
      <c r="Y248" s="762"/>
      <c r="Z248" s="762"/>
      <c r="AA248" s="762"/>
      <c r="AB248" s="762"/>
      <c r="AC248" s="762"/>
      <c r="AD248" s="794"/>
      <c r="AE248" s="762"/>
      <c r="AF248" s="762"/>
      <c r="AG248" s="762"/>
      <c r="AH248" s="762"/>
      <c r="AI248" s="762"/>
      <c r="AJ248" s="762"/>
      <c r="AK248" s="762"/>
      <c r="AL248" s="762"/>
      <c r="AM248" s="762"/>
      <c r="AN248" s="762"/>
      <c r="AO248" s="762"/>
      <c r="AP248" s="762"/>
      <c r="AQ248" s="762"/>
      <c r="AR248" s="762"/>
      <c r="AS248" s="762"/>
    </row>
    <row r="249" spans="1:45" ht="13.9">
      <c r="A249" s="767"/>
      <c r="B249" s="762"/>
      <c r="C249" s="767"/>
      <c r="D249" s="762"/>
      <c r="E249" s="762"/>
      <c r="F249" s="767"/>
      <c r="G249" s="762"/>
      <c r="H249" s="762"/>
      <c r="I249" s="762"/>
      <c r="J249" s="767"/>
      <c r="K249" s="762"/>
      <c r="U249" s="760"/>
      <c r="X249" s="762"/>
      <c r="Y249" s="762"/>
      <c r="Z249" s="762"/>
      <c r="AA249" s="762"/>
      <c r="AB249" s="762"/>
      <c r="AC249" s="762"/>
      <c r="AD249" s="794"/>
      <c r="AE249" s="762"/>
      <c r="AF249" s="762"/>
      <c r="AG249" s="762"/>
      <c r="AH249" s="762"/>
      <c r="AI249" s="762"/>
      <c r="AJ249" s="762"/>
      <c r="AK249" s="762"/>
      <c r="AL249" s="762"/>
      <c r="AM249" s="762"/>
      <c r="AN249" s="762"/>
      <c r="AO249" s="762"/>
      <c r="AP249" s="762"/>
      <c r="AQ249" s="762"/>
      <c r="AR249" s="762"/>
      <c r="AS249" s="762"/>
    </row>
    <row r="250" spans="1:45" ht="13.9">
      <c r="A250" s="767"/>
      <c r="B250" s="762"/>
      <c r="C250" s="767"/>
      <c r="D250" s="762"/>
      <c r="E250" s="762"/>
      <c r="F250" s="767"/>
      <c r="G250" s="762"/>
      <c r="H250" s="762"/>
      <c r="I250" s="762"/>
      <c r="J250" s="767"/>
      <c r="K250" s="762"/>
      <c r="U250" s="760"/>
      <c r="X250" s="762"/>
      <c r="Y250" s="762"/>
      <c r="Z250" s="762"/>
      <c r="AA250" s="762"/>
      <c r="AB250" s="762"/>
      <c r="AC250" s="762"/>
      <c r="AD250" s="794"/>
      <c r="AE250" s="762"/>
      <c r="AF250" s="762"/>
      <c r="AG250" s="762"/>
      <c r="AH250" s="762"/>
      <c r="AI250" s="762"/>
      <c r="AJ250" s="762"/>
      <c r="AK250" s="762"/>
      <c r="AL250" s="762"/>
      <c r="AM250" s="762"/>
      <c r="AN250" s="762"/>
      <c r="AO250" s="762"/>
      <c r="AP250" s="762"/>
      <c r="AQ250" s="762"/>
      <c r="AR250" s="762"/>
      <c r="AS250" s="762"/>
    </row>
    <row r="251" spans="1:45" ht="13.9">
      <c r="A251" s="767"/>
      <c r="B251" s="762"/>
      <c r="C251" s="767"/>
      <c r="D251" s="762"/>
      <c r="E251" s="762"/>
      <c r="F251" s="767"/>
      <c r="G251" s="762"/>
      <c r="H251" s="762"/>
      <c r="I251" s="762"/>
      <c r="J251" s="767"/>
      <c r="K251" s="762"/>
      <c r="U251" s="760"/>
      <c r="X251" s="762"/>
      <c r="Y251" s="762"/>
      <c r="Z251" s="762"/>
      <c r="AA251" s="762"/>
      <c r="AB251" s="762"/>
      <c r="AC251" s="762"/>
      <c r="AD251" s="794"/>
      <c r="AE251" s="762"/>
      <c r="AF251" s="762"/>
      <c r="AG251" s="762"/>
      <c r="AH251" s="762"/>
      <c r="AI251" s="762"/>
      <c r="AJ251" s="762"/>
      <c r="AK251" s="762"/>
      <c r="AL251" s="762"/>
      <c r="AM251" s="762"/>
      <c r="AN251" s="762"/>
      <c r="AO251" s="762"/>
      <c r="AP251" s="762"/>
      <c r="AQ251" s="762"/>
      <c r="AR251" s="762"/>
      <c r="AS251" s="762"/>
    </row>
    <row r="252" spans="1:45" ht="13.9">
      <c r="A252" s="767"/>
      <c r="B252" s="762"/>
      <c r="C252" s="767"/>
      <c r="D252" s="762"/>
      <c r="E252" s="762"/>
      <c r="F252" s="767"/>
      <c r="G252" s="762"/>
      <c r="H252" s="762"/>
      <c r="I252" s="762"/>
      <c r="J252" s="767"/>
      <c r="K252" s="762"/>
      <c r="U252" s="760"/>
      <c r="X252" s="762"/>
      <c r="Y252" s="762"/>
      <c r="Z252" s="762"/>
      <c r="AA252" s="762"/>
      <c r="AB252" s="762"/>
      <c r="AC252" s="762"/>
      <c r="AD252" s="794"/>
      <c r="AE252" s="762"/>
      <c r="AF252" s="762"/>
      <c r="AG252" s="762"/>
      <c r="AH252" s="762"/>
      <c r="AI252" s="762"/>
      <c r="AJ252" s="762"/>
      <c r="AK252" s="762"/>
      <c r="AL252" s="762"/>
      <c r="AM252" s="762"/>
      <c r="AN252" s="762"/>
      <c r="AO252" s="762"/>
      <c r="AP252" s="762"/>
      <c r="AQ252" s="762"/>
      <c r="AR252" s="762"/>
      <c r="AS252" s="762"/>
    </row>
    <row r="253" spans="1:45" ht="13.9">
      <c r="A253" s="767"/>
      <c r="B253" s="762"/>
      <c r="C253" s="767"/>
      <c r="D253" s="762"/>
      <c r="E253" s="762"/>
      <c r="F253" s="767"/>
      <c r="G253" s="762"/>
      <c r="H253" s="762"/>
      <c r="I253" s="762"/>
      <c r="J253" s="767"/>
      <c r="K253" s="762"/>
      <c r="U253" s="760"/>
      <c r="X253" s="762"/>
      <c r="Y253" s="762"/>
      <c r="Z253" s="762"/>
      <c r="AA253" s="762"/>
      <c r="AB253" s="762"/>
      <c r="AC253" s="762"/>
      <c r="AD253" s="794"/>
      <c r="AE253" s="762"/>
      <c r="AF253" s="762"/>
      <c r="AG253" s="762"/>
      <c r="AH253" s="762"/>
      <c r="AI253" s="762"/>
      <c r="AJ253" s="762"/>
      <c r="AK253" s="762"/>
      <c r="AL253" s="762"/>
      <c r="AM253" s="762"/>
      <c r="AN253" s="762"/>
      <c r="AO253" s="762"/>
      <c r="AP253" s="762"/>
      <c r="AQ253" s="762"/>
      <c r="AR253" s="762"/>
      <c r="AS253" s="762"/>
    </row>
    <row r="254" spans="1:45" ht="13.9">
      <c r="A254" s="767"/>
      <c r="B254" s="762"/>
      <c r="C254" s="767"/>
      <c r="D254" s="762"/>
      <c r="E254" s="762"/>
      <c r="F254" s="767"/>
      <c r="G254" s="762"/>
      <c r="H254" s="762"/>
      <c r="I254" s="762"/>
      <c r="J254" s="767"/>
      <c r="K254" s="762"/>
      <c r="U254" s="760"/>
      <c r="X254" s="762"/>
      <c r="Y254" s="762"/>
      <c r="Z254" s="762"/>
      <c r="AA254" s="762"/>
      <c r="AB254" s="762"/>
      <c r="AC254" s="762"/>
      <c r="AD254" s="794"/>
      <c r="AE254" s="762"/>
      <c r="AF254" s="762"/>
      <c r="AG254" s="762"/>
      <c r="AH254" s="762"/>
      <c r="AI254" s="762"/>
      <c r="AJ254" s="762"/>
      <c r="AK254" s="762"/>
      <c r="AL254" s="762"/>
      <c r="AM254" s="762"/>
      <c r="AN254" s="762"/>
      <c r="AO254" s="762"/>
      <c r="AP254" s="762"/>
      <c r="AQ254" s="762"/>
      <c r="AR254" s="762"/>
      <c r="AS254" s="762"/>
    </row>
    <row r="255" spans="1:45" ht="13.9">
      <c r="A255" s="767"/>
      <c r="B255" s="762"/>
      <c r="C255" s="767"/>
      <c r="D255" s="762"/>
      <c r="E255" s="762"/>
      <c r="F255" s="767"/>
      <c r="G255" s="762"/>
      <c r="H255" s="762"/>
      <c r="I255" s="762"/>
      <c r="J255" s="767"/>
      <c r="K255" s="762"/>
      <c r="U255" s="760"/>
      <c r="X255" s="762"/>
      <c r="Y255" s="762"/>
      <c r="Z255" s="762"/>
      <c r="AA255" s="762"/>
      <c r="AB255" s="762"/>
      <c r="AC255" s="762"/>
      <c r="AD255" s="794"/>
      <c r="AE255" s="762"/>
      <c r="AF255" s="762"/>
      <c r="AG255" s="762"/>
      <c r="AH255" s="762"/>
      <c r="AI255" s="762"/>
      <c r="AJ255" s="762"/>
      <c r="AK255" s="762"/>
      <c r="AL255" s="762"/>
      <c r="AM255" s="762"/>
      <c r="AN255" s="762"/>
      <c r="AO255" s="762"/>
      <c r="AP255" s="762"/>
      <c r="AQ255" s="762"/>
      <c r="AR255" s="762"/>
      <c r="AS255" s="762"/>
    </row>
    <row r="256" spans="1:45" ht="13.9">
      <c r="A256" s="767"/>
      <c r="B256" s="762"/>
      <c r="C256" s="767"/>
      <c r="D256" s="762"/>
      <c r="E256" s="762"/>
      <c r="F256" s="767"/>
      <c r="G256" s="762"/>
      <c r="H256" s="762"/>
      <c r="I256" s="762"/>
      <c r="J256" s="767"/>
      <c r="K256" s="762"/>
      <c r="U256" s="760"/>
      <c r="X256" s="762"/>
      <c r="Y256" s="762"/>
      <c r="Z256" s="762"/>
      <c r="AA256" s="762"/>
      <c r="AB256" s="762"/>
      <c r="AC256" s="762"/>
      <c r="AD256" s="794"/>
      <c r="AE256" s="762"/>
      <c r="AF256" s="762"/>
      <c r="AG256" s="762"/>
      <c r="AH256" s="762"/>
      <c r="AI256" s="762"/>
      <c r="AJ256" s="762"/>
      <c r="AK256" s="762"/>
      <c r="AL256" s="762"/>
      <c r="AM256" s="762"/>
      <c r="AN256" s="762"/>
      <c r="AO256" s="762"/>
      <c r="AP256" s="762"/>
      <c r="AQ256" s="762"/>
      <c r="AR256" s="762"/>
      <c r="AS256" s="762"/>
    </row>
    <row r="257" spans="1:45" ht="13.9">
      <c r="A257" s="767"/>
      <c r="B257" s="762"/>
      <c r="C257" s="767"/>
      <c r="D257" s="762"/>
      <c r="E257" s="762"/>
      <c r="F257" s="767"/>
      <c r="G257" s="762"/>
      <c r="H257" s="762"/>
      <c r="I257" s="762"/>
      <c r="J257" s="767"/>
      <c r="K257" s="762"/>
      <c r="U257" s="760"/>
      <c r="X257" s="762"/>
      <c r="Y257" s="762"/>
      <c r="Z257" s="762"/>
      <c r="AA257" s="762"/>
      <c r="AB257" s="762"/>
      <c r="AC257" s="762"/>
      <c r="AD257" s="794"/>
      <c r="AE257" s="762"/>
      <c r="AF257" s="762"/>
      <c r="AG257" s="762"/>
      <c r="AH257" s="762"/>
      <c r="AI257" s="762"/>
      <c r="AJ257" s="762"/>
      <c r="AK257" s="762"/>
      <c r="AL257" s="762"/>
      <c r="AM257" s="762"/>
      <c r="AN257" s="762"/>
      <c r="AO257" s="762"/>
      <c r="AP257" s="762"/>
      <c r="AQ257" s="762"/>
      <c r="AR257" s="762"/>
      <c r="AS257" s="762"/>
    </row>
    <row r="258" spans="1:45" ht="13.9">
      <c r="A258" s="767"/>
      <c r="B258" s="762"/>
      <c r="C258" s="767"/>
      <c r="D258" s="762"/>
      <c r="E258" s="762"/>
      <c r="F258" s="767"/>
      <c r="G258" s="762"/>
      <c r="H258" s="762"/>
      <c r="I258" s="762"/>
      <c r="J258" s="767"/>
      <c r="K258" s="762"/>
      <c r="U258" s="760"/>
      <c r="X258" s="762"/>
      <c r="Y258" s="762"/>
      <c r="Z258" s="762"/>
      <c r="AA258" s="762"/>
      <c r="AB258" s="762"/>
      <c r="AC258" s="762"/>
      <c r="AD258" s="794"/>
      <c r="AE258" s="762"/>
      <c r="AF258" s="762"/>
      <c r="AG258" s="762"/>
      <c r="AH258" s="762"/>
      <c r="AI258" s="762"/>
      <c r="AJ258" s="762"/>
      <c r="AK258" s="762"/>
      <c r="AL258" s="762"/>
      <c r="AM258" s="762"/>
      <c r="AN258" s="762"/>
      <c r="AO258" s="762"/>
      <c r="AP258" s="762"/>
      <c r="AQ258" s="762"/>
      <c r="AR258" s="762"/>
      <c r="AS258" s="762"/>
    </row>
    <row r="259" spans="1:45" ht="13.9">
      <c r="A259" s="767"/>
      <c r="B259" s="762"/>
      <c r="C259" s="767"/>
      <c r="D259" s="762"/>
      <c r="E259" s="762"/>
      <c r="F259" s="767"/>
      <c r="G259" s="762"/>
      <c r="H259" s="762"/>
      <c r="I259" s="762"/>
      <c r="J259" s="767"/>
      <c r="K259" s="762"/>
      <c r="U259" s="760"/>
      <c r="X259" s="762"/>
      <c r="Y259" s="762"/>
      <c r="Z259" s="762"/>
      <c r="AA259" s="762"/>
      <c r="AB259" s="762"/>
      <c r="AC259" s="762"/>
      <c r="AD259" s="794"/>
      <c r="AE259" s="762"/>
      <c r="AF259" s="762"/>
      <c r="AG259" s="762"/>
      <c r="AH259" s="762"/>
      <c r="AI259" s="762"/>
      <c r="AJ259" s="762"/>
      <c r="AK259" s="762"/>
      <c r="AL259" s="762"/>
      <c r="AM259" s="762"/>
      <c r="AN259" s="762"/>
      <c r="AO259" s="762"/>
      <c r="AP259" s="762"/>
      <c r="AQ259" s="762"/>
      <c r="AR259" s="762"/>
      <c r="AS259" s="762"/>
    </row>
    <row r="260" spans="1:45" ht="13.9">
      <c r="A260" s="767"/>
      <c r="B260" s="762"/>
      <c r="C260" s="767"/>
      <c r="D260" s="762"/>
      <c r="E260" s="762"/>
      <c r="F260" s="767"/>
      <c r="G260" s="762"/>
      <c r="H260" s="762"/>
      <c r="I260" s="762"/>
      <c r="J260" s="767"/>
      <c r="K260" s="762"/>
      <c r="U260" s="760"/>
      <c r="X260" s="762"/>
      <c r="Y260" s="762"/>
      <c r="Z260" s="762"/>
      <c r="AA260" s="762"/>
      <c r="AB260" s="762"/>
      <c r="AC260" s="762"/>
      <c r="AD260" s="794"/>
      <c r="AE260" s="762"/>
      <c r="AF260" s="762"/>
      <c r="AG260" s="762"/>
      <c r="AH260" s="762"/>
      <c r="AI260" s="762"/>
      <c r="AJ260" s="762"/>
      <c r="AK260" s="762"/>
      <c r="AL260" s="762"/>
      <c r="AM260" s="762"/>
      <c r="AN260" s="762"/>
      <c r="AO260" s="762"/>
      <c r="AP260" s="762"/>
      <c r="AQ260" s="762"/>
      <c r="AR260" s="762"/>
      <c r="AS260" s="762"/>
    </row>
    <row r="261" spans="1:45" ht="13.9">
      <c r="A261" s="767"/>
      <c r="B261" s="762"/>
      <c r="C261" s="767"/>
      <c r="D261" s="762"/>
      <c r="E261" s="762"/>
      <c r="F261" s="767"/>
      <c r="G261" s="762"/>
      <c r="H261" s="762"/>
      <c r="I261" s="762"/>
      <c r="J261" s="767"/>
      <c r="K261" s="762"/>
      <c r="U261" s="760"/>
      <c r="X261" s="762"/>
      <c r="Y261" s="762"/>
      <c r="Z261" s="762"/>
      <c r="AA261" s="762"/>
      <c r="AB261" s="762"/>
      <c r="AC261" s="762"/>
      <c r="AD261" s="794"/>
      <c r="AE261" s="762"/>
      <c r="AF261" s="762"/>
      <c r="AG261" s="762"/>
      <c r="AH261" s="762"/>
      <c r="AI261" s="762"/>
      <c r="AJ261" s="762"/>
      <c r="AK261" s="762"/>
      <c r="AL261" s="762"/>
      <c r="AM261" s="762"/>
      <c r="AN261" s="762"/>
      <c r="AO261" s="762"/>
      <c r="AP261" s="762"/>
      <c r="AQ261" s="762"/>
      <c r="AR261" s="762"/>
      <c r="AS261" s="762"/>
    </row>
    <row r="262" spans="1:45" ht="13.9">
      <c r="A262" s="767"/>
      <c r="B262" s="762"/>
      <c r="C262" s="767"/>
      <c r="D262" s="762"/>
      <c r="E262" s="762"/>
      <c r="F262" s="767"/>
      <c r="G262" s="762"/>
      <c r="H262" s="762"/>
      <c r="I262" s="762"/>
      <c r="J262" s="767"/>
      <c r="K262" s="762"/>
      <c r="U262" s="760"/>
      <c r="X262" s="762"/>
      <c r="Y262" s="762"/>
      <c r="Z262" s="762"/>
      <c r="AA262" s="762"/>
      <c r="AB262" s="762"/>
      <c r="AC262" s="762"/>
      <c r="AD262" s="794"/>
      <c r="AE262" s="762"/>
      <c r="AF262" s="762"/>
      <c r="AG262" s="762"/>
      <c r="AH262" s="762"/>
      <c r="AI262" s="762"/>
      <c r="AJ262" s="762"/>
      <c r="AK262" s="762"/>
      <c r="AL262" s="762"/>
      <c r="AM262" s="762"/>
      <c r="AN262" s="762"/>
      <c r="AO262" s="762"/>
      <c r="AP262" s="762"/>
      <c r="AQ262" s="762"/>
      <c r="AR262" s="762"/>
      <c r="AS262" s="762"/>
    </row>
    <row r="263" spans="1:45" ht="13.9">
      <c r="A263" s="767"/>
      <c r="B263" s="762"/>
      <c r="C263" s="767"/>
      <c r="D263" s="762"/>
      <c r="E263" s="762"/>
      <c r="F263" s="767"/>
      <c r="G263" s="762"/>
      <c r="H263" s="762"/>
      <c r="I263" s="762"/>
      <c r="J263" s="767"/>
      <c r="K263" s="762"/>
      <c r="U263" s="760"/>
      <c r="X263" s="762"/>
      <c r="Y263" s="762"/>
      <c r="Z263" s="762"/>
      <c r="AA263" s="762"/>
      <c r="AB263" s="762"/>
      <c r="AC263" s="762"/>
      <c r="AD263" s="794"/>
      <c r="AE263" s="762"/>
      <c r="AF263" s="762"/>
      <c r="AG263" s="762"/>
      <c r="AH263" s="762"/>
      <c r="AI263" s="762"/>
      <c r="AJ263" s="762"/>
      <c r="AK263" s="762"/>
      <c r="AL263" s="762"/>
      <c r="AM263" s="762"/>
      <c r="AN263" s="762"/>
      <c r="AO263" s="762"/>
      <c r="AP263" s="762"/>
      <c r="AQ263" s="762"/>
      <c r="AR263" s="762"/>
      <c r="AS263" s="762"/>
    </row>
    <row r="264" spans="1:45" ht="13.9">
      <c r="A264" s="767"/>
      <c r="B264" s="762"/>
      <c r="C264" s="767"/>
      <c r="D264" s="762"/>
      <c r="E264" s="762"/>
      <c r="F264" s="767"/>
      <c r="G264" s="762"/>
      <c r="H264" s="762"/>
      <c r="I264" s="762"/>
      <c r="J264" s="767"/>
      <c r="K264" s="762"/>
      <c r="U264" s="760"/>
      <c r="X264" s="762"/>
      <c r="Y264" s="762"/>
      <c r="Z264" s="762"/>
      <c r="AA264" s="762"/>
      <c r="AB264" s="762"/>
      <c r="AC264" s="762"/>
      <c r="AD264" s="794"/>
      <c r="AE264" s="762"/>
      <c r="AF264" s="762"/>
      <c r="AG264" s="762"/>
      <c r="AH264" s="762"/>
      <c r="AI264" s="762"/>
      <c r="AJ264" s="762"/>
      <c r="AK264" s="762"/>
      <c r="AL264" s="762"/>
      <c r="AM264" s="762"/>
      <c r="AN264" s="762"/>
      <c r="AO264" s="762"/>
      <c r="AP264" s="762"/>
      <c r="AQ264" s="762"/>
      <c r="AR264" s="762"/>
      <c r="AS264" s="762"/>
    </row>
    <row r="265" spans="1:45" ht="13.9">
      <c r="A265" s="767"/>
      <c r="B265" s="762"/>
      <c r="C265" s="767"/>
      <c r="D265" s="762"/>
      <c r="E265" s="762"/>
      <c r="F265" s="767"/>
      <c r="G265" s="762"/>
      <c r="H265" s="762"/>
      <c r="I265" s="762"/>
      <c r="J265" s="767"/>
      <c r="K265" s="762"/>
      <c r="U265" s="760"/>
      <c r="X265" s="762"/>
      <c r="Y265" s="762"/>
      <c r="Z265" s="762"/>
      <c r="AA265" s="762"/>
      <c r="AB265" s="762"/>
      <c r="AC265" s="762"/>
      <c r="AD265" s="794"/>
      <c r="AE265" s="762"/>
      <c r="AF265" s="762"/>
      <c r="AG265" s="762"/>
      <c r="AH265" s="762"/>
      <c r="AI265" s="762"/>
      <c r="AJ265" s="762"/>
      <c r="AK265" s="762"/>
      <c r="AL265" s="762"/>
      <c r="AM265" s="762"/>
      <c r="AN265" s="762"/>
      <c r="AO265" s="762"/>
      <c r="AP265" s="762"/>
      <c r="AQ265" s="762"/>
      <c r="AR265" s="762"/>
      <c r="AS265" s="762"/>
    </row>
    <row r="266" spans="1:45" ht="13.9">
      <c r="A266" s="767"/>
      <c r="B266" s="762"/>
      <c r="C266" s="767"/>
      <c r="D266" s="762"/>
      <c r="E266" s="762"/>
      <c r="F266" s="767"/>
      <c r="G266" s="762"/>
      <c r="H266" s="762"/>
      <c r="I266" s="762"/>
      <c r="J266" s="767"/>
      <c r="K266" s="762"/>
      <c r="U266" s="760"/>
      <c r="X266" s="762"/>
      <c r="Y266" s="762"/>
      <c r="Z266" s="762"/>
      <c r="AA266" s="762"/>
      <c r="AB266" s="762"/>
      <c r="AC266" s="762"/>
      <c r="AD266" s="794"/>
      <c r="AE266" s="762"/>
      <c r="AF266" s="762"/>
      <c r="AG266" s="762"/>
      <c r="AH266" s="762"/>
      <c r="AI266" s="762"/>
      <c r="AJ266" s="762"/>
      <c r="AK266" s="762"/>
      <c r="AL266" s="762"/>
      <c r="AM266" s="762"/>
      <c r="AN266" s="762"/>
      <c r="AO266" s="762"/>
      <c r="AP266" s="762"/>
      <c r="AQ266" s="762"/>
      <c r="AR266" s="762"/>
      <c r="AS266" s="762"/>
    </row>
    <row r="267" spans="1:45" ht="13.9">
      <c r="A267" s="767"/>
      <c r="B267" s="762"/>
      <c r="C267" s="767"/>
      <c r="D267" s="762"/>
      <c r="E267" s="762"/>
      <c r="F267" s="767"/>
      <c r="G267" s="762"/>
      <c r="H267" s="762"/>
      <c r="I267" s="762"/>
      <c r="J267" s="767"/>
      <c r="K267" s="762"/>
      <c r="U267" s="760"/>
      <c r="X267" s="762"/>
      <c r="Y267" s="762"/>
      <c r="Z267" s="762"/>
      <c r="AA267" s="762"/>
      <c r="AB267" s="762"/>
      <c r="AC267" s="762"/>
      <c r="AD267" s="794"/>
      <c r="AE267" s="762"/>
      <c r="AF267" s="762"/>
      <c r="AG267" s="762"/>
      <c r="AH267" s="762"/>
      <c r="AI267" s="762"/>
      <c r="AJ267" s="762"/>
      <c r="AK267" s="762"/>
      <c r="AL267" s="762"/>
      <c r="AM267" s="762"/>
      <c r="AN267" s="762"/>
      <c r="AO267" s="762"/>
      <c r="AP267" s="762"/>
      <c r="AQ267" s="762"/>
      <c r="AR267" s="762"/>
      <c r="AS267" s="762"/>
    </row>
    <row r="268" spans="1:45" ht="13.9">
      <c r="A268" s="767"/>
      <c r="B268" s="762"/>
      <c r="C268" s="767"/>
      <c r="D268" s="762"/>
      <c r="E268" s="762"/>
      <c r="F268" s="767"/>
      <c r="G268" s="762"/>
      <c r="H268" s="762"/>
      <c r="I268" s="762"/>
      <c r="J268" s="767"/>
      <c r="K268" s="762"/>
      <c r="U268" s="760"/>
      <c r="X268" s="762"/>
      <c r="Y268" s="762"/>
      <c r="Z268" s="762"/>
      <c r="AA268" s="762"/>
      <c r="AB268" s="762"/>
      <c r="AC268" s="762"/>
      <c r="AD268" s="794"/>
      <c r="AE268" s="762"/>
      <c r="AF268" s="762"/>
      <c r="AG268" s="762"/>
      <c r="AH268" s="762"/>
      <c r="AI268" s="762"/>
      <c r="AJ268" s="762"/>
      <c r="AK268" s="762"/>
      <c r="AL268" s="762"/>
      <c r="AM268" s="762"/>
      <c r="AN268" s="762"/>
      <c r="AO268" s="762"/>
      <c r="AP268" s="762"/>
      <c r="AQ268" s="762"/>
      <c r="AR268" s="762"/>
      <c r="AS268" s="762"/>
    </row>
    <row r="269" spans="1:45" ht="13.9">
      <c r="A269" s="767"/>
      <c r="B269" s="762"/>
      <c r="C269" s="767"/>
      <c r="D269" s="762"/>
      <c r="E269" s="762"/>
      <c r="F269" s="767"/>
      <c r="G269" s="762"/>
      <c r="H269" s="762"/>
      <c r="I269" s="762"/>
      <c r="J269" s="767"/>
      <c r="K269" s="762"/>
      <c r="U269" s="760"/>
      <c r="X269" s="762"/>
      <c r="Y269" s="762"/>
      <c r="Z269" s="762"/>
      <c r="AA269" s="762"/>
      <c r="AB269" s="762"/>
      <c r="AC269" s="762"/>
      <c r="AD269" s="794"/>
      <c r="AE269" s="762"/>
      <c r="AF269" s="762"/>
      <c r="AG269" s="762"/>
      <c r="AH269" s="762"/>
      <c r="AI269" s="762"/>
      <c r="AJ269" s="762"/>
      <c r="AK269" s="762"/>
      <c r="AL269" s="762"/>
      <c r="AM269" s="762"/>
      <c r="AN269" s="762"/>
      <c r="AO269" s="762"/>
      <c r="AP269" s="762"/>
      <c r="AQ269" s="762"/>
      <c r="AR269" s="762"/>
      <c r="AS269" s="762"/>
    </row>
    <row r="270" spans="1:45" ht="13.9">
      <c r="A270" s="767"/>
      <c r="B270" s="762"/>
      <c r="C270" s="767"/>
      <c r="D270" s="762"/>
      <c r="E270" s="762"/>
      <c r="F270" s="767"/>
      <c r="G270" s="762"/>
      <c r="H270" s="762"/>
      <c r="I270" s="762"/>
      <c r="J270" s="767"/>
      <c r="K270" s="762"/>
      <c r="U270" s="760"/>
      <c r="X270" s="762"/>
      <c r="Y270" s="762"/>
      <c r="Z270" s="762"/>
      <c r="AA270" s="762"/>
      <c r="AB270" s="762"/>
      <c r="AC270" s="762"/>
      <c r="AD270" s="794"/>
      <c r="AE270" s="762"/>
      <c r="AF270" s="762"/>
      <c r="AG270" s="762"/>
      <c r="AH270" s="762"/>
      <c r="AI270" s="762"/>
      <c r="AJ270" s="762"/>
      <c r="AK270" s="762"/>
      <c r="AL270" s="762"/>
      <c r="AM270" s="762"/>
      <c r="AN270" s="762"/>
      <c r="AO270" s="762"/>
      <c r="AP270" s="762"/>
      <c r="AQ270" s="762"/>
      <c r="AR270" s="762"/>
      <c r="AS270" s="762"/>
    </row>
    <row r="271" spans="1:45" ht="13.9">
      <c r="A271" s="767"/>
      <c r="B271" s="762"/>
      <c r="C271" s="767"/>
      <c r="D271" s="762"/>
      <c r="E271" s="762"/>
      <c r="F271" s="767"/>
      <c r="G271" s="762"/>
      <c r="H271" s="762"/>
      <c r="I271" s="762"/>
      <c r="J271" s="767"/>
      <c r="K271" s="762"/>
      <c r="U271" s="760"/>
      <c r="X271" s="762"/>
      <c r="Y271" s="762"/>
      <c r="Z271" s="762"/>
      <c r="AA271" s="762"/>
      <c r="AB271" s="762"/>
      <c r="AC271" s="762"/>
      <c r="AD271" s="794"/>
      <c r="AE271" s="762"/>
      <c r="AF271" s="762"/>
      <c r="AG271" s="762"/>
      <c r="AH271" s="762"/>
      <c r="AI271" s="762"/>
      <c r="AJ271" s="762"/>
      <c r="AK271" s="762"/>
      <c r="AL271" s="762"/>
      <c r="AM271" s="762"/>
      <c r="AN271" s="762"/>
      <c r="AO271" s="762"/>
      <c r="AP271" s="762"/>
      <c r="AQ271" s="762"/>
      <c r="AR271" s="762"/>
      <c r="AS271" s="762"/>
    </row>
    <row r="272" spans="1:45" ht="13.9">
      <c r="A272" s="767"/>
      <c r="B272" s="762"/>
      <c r="C272" s="767"/>
      <c r="D272" s="762"/>
      <c r="E272" s="762"/>
      <c r="F272" s="767"/>
      <c r="G272" s="762"/>
      <c r="H272" s="762"/>
      <c r="I272" s="762"/>
      <c r="J272" s="767"/>
      <c r="K272" s="762"/>
      <c r="U272" s="760"/>
      <c r="X272" s="762"/>
      <c r="Y272" s="762"/>
      <c r="Z272" s="762"/>
      <c r="AA272" s="762"/>
      <c r="AB272" s="762"/>
      <c r="AC272" s="762"/>
      <c r="AD272" s="794"/>
      <c r="AE272" s="762"/>
      <c r="AF272" s="762"/>
      <c r="AG272" s="762"/>
      <c r="AH272" s="762"/>
      <c r="AI272" s="762"/>
      <c r="AJ272" s="762"/>
      <c r="AK272" s="762"/>
      <c r="AL272" s="762"/>
      <c r="AM272" s="762"/>
      <c r="AN272" s="762"/>
      <c r="AO272" s="762"/>
      <c r="AP272" s="762"/>
      <c r="AQ272" s="762"/>
      <c r="AR272" s="762"/>
      <c r="AS272" s="762"/>
    </row>
    <row r="273" spans="1:45" ht="13.9">
      <c r="A273" s="767"/>
      <c r="B273" s="762"/>
      <c r="C273" s="767"/>
      <c r="D273" s="762"/>
      <c r="E273" s="762"/>
      <c r="F273" s="767"/>
      <c r="G273" s="762"/>
      <c r="H273" s="762"/>
      <c r="I273" s="762"/>
      <c r="J273" s="767"/>
      <c r="K273" s="762"/>
      <c r="U273" s="760"/>
      <c r="X273" s="762"/>
      <c r="Y273" s="762"/>
      <c r="Z273" s="762"/>
      <c r="AA273" s="762"/>
      <c r="AB273" s="762"/>
      <c r="AC273" s="762"/>
      <c r="AD273" s="794"/>
      <c r="AE273" s="762"/>
      <c r="AF273" s="762"/>
      <c r="AG273" s="762"/>
      <c r="AH273" s="762"/>
      <c r="AI273" s="762"/>
      <c r="AJ273" s="762"/>
      <c r="AK273" s="762"/>
      <c r="AL273" s="762"/>
      <c r="AM273" s="762"/>
      <c r="AN273" s="762"/>
      <c r="AO273" s="762"/>
      <c r="AP273" s="762"/>
      <c r="AQ273" s="762"/>
      <c r="AR273" s="762"/>
      <c r="AS273" s="762"/>
    </row>
    <row r="274" spans="1:45" ht="13.9">
      <c r="A274" s="767"/>
      <c r="B274" s="762"/>
      <c r="C274" s="767"/>
      <c r="D274" s="762"/>
      <c r="E274" s="762"/>
      <c r="F274" s="767"/>
      <c r="G274" s="762"/>
      <c r="H274" s="762"/>
      <c r="I274" s="762"/>
      <c r="J274" s="767"/>
      <c r="K274" s="762"/>
      <c r="U274" s="760"/>
      <c r="X274" s="762"/>
      <c r="Y274" s="762"/>
      <c r="Z274" s="762"/>
      <c r="AA274" s="762"/>
      <c r="AB274" s="762"/>
      <c r="AC274" s="762"/>
      <c r="AD274" s="794"/>
      <c r="AE274" s="762"/>
      <c r="AF274" s="762"/>
      <c r="AG274" s="762"/>
      <c r="AH274" s="762"/>
      <c r="AI274" s="762"/>
      <c r="AJ274" s="762"/>
      <c r="AK274" s="762"/>
      <c r="AL274" s="762"/>
      <c r="AM274" s="762"/>
      <c r="AN274" s="762"/>
      <c r="AO274" s="762"/>
      <c r="AP274" s="762"/>
      <c r="AQ274" s="762"/>
      <c r="AR274" s="762"/>
      <c r="AS274" s="762"/>
    </row>
    <row r="275" spans="1:45" ht="13.9">
      <c r="A275" s="767"/>
      <c r="B275" s="762"/>
      <c r="C275" s="767"/>
      <c r="D275" s="762"/>
      <c r="E275" s="762"/>
      <c r="F275" s="767"/>
      <c r="G275" s="762"/>
      <c r="H275" s="762"/>
      <c r="I275" s="762"/>
      <c r="J275" s="767"/>
      <c r="K275" s="762"/>
      <c r="U275" s="760"/>
      <c r="X275" s="762"/>
      <c r="Y275" s="762"/>
      <c r="Z275" s="762"/>
      <c r="AA275" s="762"/>
      <c r="AB275" s="762"/>
      <c r="AC275" s="762"/>
      <c r="AD275" s="794"/>
      <c r="AE275" s="762"/>
      <c r="AF275" s="762"/>
      <c r="AG275" s="762"/>
      <c r="AH275" s="762"/>
      <c r="AI275" s="762"/>
      <c r="AJ275" s="762"/>
      <c r="AK275" s="762"/>
      <c r="AL275" s="762"/>
      <c r="AM275" s="762"/>
      <c r="AN275" s="762"/>
      <c r="AO275" s="762"/>
      <c r="AP275" s="762"/>
      <c r="AQ275" s="762"/>
      <c r="AR275" s="762"/>
      <c r="AS275" s="762"/>
    </row>
    <row r="276" spans="1:45" ht="13.9">
      <c r="A276" s="767"/>
      <c r="B276" s="762"/>
      <c r="C276" s="767"/>
      <c r="D276" s="762"/>
      <c r="E276" s="762"/>
      <c r="F276" s="767"/>
      <c r="G276" s="762"/>
      <c r="H276" s="762"/>
      <c r="I276" s="762"/>
      <c r="J276" s="767"/>
      <c r="K276" s="762"/>
      <c r="U276" s="760"/>
      <c r="X276" s="762"/>
      <c r="Y276" s="762"/>
      <c r="Z276" s="762"/>
      <c r="AA276" s="762"/>
      <c r="AB276" s="762"/>
      <c r="AC276" s="762"/>
      <c r="AD276" s="794"/>
      <c r="AE276" s="762"/>
      <c r="AF276" s="762"/>
      <c r="AG276" s="762"/>
      <c r="AH276" s="762"/>
      <c r="AI276" s="762"/>
      <c r="AJ276" s="762"/>
      <c r="AK276" s="762"/>
      <c r="AL276" s="762"/>
      <c r="AM276" s="762"/>
      <c r="AN276" s="762"/>
      <c r="AO276" s="762"/>
      <c r="AP276" s="762"/>
      <c r="AQ276" s="762"/>
      <c r="AR276" s="762"/>
      <c r="AS276" s="762"/>
    </row>
    <row r="277" spans="1:45" ht="13.9">
      <c r="A277" s="767"/>
      <c r="B277" s="762"/>
      <c r="C277" s="767"/>
      <c r="D277" s="762"/>
      <c r="E277" s="762"/>
      <c r="F277" s="767"/>
      <c r="G277" s="762"/>
      <c r="H277" s="762"/>
      <c r="I277" s="762"/>
      <c r="J277" s="767"/>
      <c r="K277" s="762"/>
      <c r="U277" s="760"/>
      <c r="X277" s="762"/>
      <c r="Y277" s="762"/>
      <c r="Z277" s="762"/>
      <c r="AA277" s="762"/>
      <c r="AB277" s="762"/>
      <c r="AC277" s="762"/>
      <c r="AD277" s="794"/>
      <c r="AE277" s="762"/>
      <c r="AF277" s="762"/>
      <c r="AG277" s="762"/>
      <c r="AH277" s="762"/>
      <c r="AI277" s="762"/>
      <c r="AJ277" s="762"/>
      <c r="AK277" s="762"/>
      <c r="AL277" s="762"/>
      <c r="AM277" s="762"/>
      <c r="AN277" s="762"/>
      <c r="AO277" s="762"/>
      <c r="AP277" s="762"/>
      <c r="AQ277" s="762"/>
      <c r="AR277" s="762"/>
      <c r="AS277" s="762"/>
    </row>
    <row r="278" spans="1:45" ht="13.9">
      <c r="A278" s="767"/>
      <c r="B278" s="762"/>
      <c r="C278" s="767"/>
      <c r="D278" s="762"/>
      <c r="E278" s="762"/>
      <c r="F278" s="767"/>
      <c r="G278" s="762"/>
      <c r="H278" s="762"/>
      <c r="I278" s="762"/>
      <c r="J278" s="767"/>
      <c r="K278" s="762"/>
      <c r="U278" s="760"/>
      <c r="X278" s="762"/>
      <c r="Y278" s="762"/>
      <c r="Z278" s="762"/>
      <c r="AA278" s="762"/>
      <c r="AB278" s="762"/>
      <c r="AC278" s="762"/>
      <c r="AD278" s="794"/>
      <c r="AE278" s="762"/>
      <c r="AF278" s="762"/>
      <c r="AG278" s="762"/>
      <c r="AH278" s="762"/>
      <c r="AI278" s="762"/>
      <c r="AJ278" s="762"/>
      <c r="AK278" s="762"/>
      <c r="AL278" s="762"/>
      <c r="AM278" s="762"/>
      <c r="AN278" s="762"/>
      <c r="AO278" s="762"/>
      <c r="AP278" s="762"/>
      <c r="AQ278" s="762"/>
      <c r="AR278" s="762"/>
      <c r="AS278" s="762"/>
    </row>
    <row r="279" spans="1:45" ht="13.9">
      <c r="A279" s="767"/>
      <c r="B279" s="762"/>
      <c r="C279" s="767"/>
      <c r="D279" s="762"/>
      <c r="E279" s="762"/>
      <c r="F279" s="767"/>
      <c r="G279" s="762"/>
      <c r="H279" s="762"/>
      <c r="I279" s="762"/>
      <c r="J279" s="767"/>
      <c r="K279" s="762"/>
      <c r="U279" s="760"/>
      <c r="X279" s="762"/>
      <c r="Y279" s="762"/>
      <c r="Z279" s="762"/>
      <c r="AA279" s="762"/>
      <c r="AB279" s="762"/>
      <c r="AC279" s="762"/>
      <c r="AD279" s="794"/>
      <c r="AE279" s="762"/>
      <c r="AF279" s="762"/>
      <c r="AG279" s="762"/>
      <c r="AH279" s="762"/>
      <c r="AI279" s="762"/>
      <c r="AJ279" s="762"/>
      <c r="AK279" s="762"/>
      <c r="AL279" s="762"/>
      <c r="AM279" s="762"/>
      <c r="AN279" s="762"/>
      <c r="AO279" s="762"/>
      <c r="AP279" s="762"/>
      <c r="AQ279" s="762"/>
      <c r="AR279" s="762"/>
      <c r="AS279" s="762"/>
    </row>
    <row r="280" spans="1:45" ht="13.9">
      <c r="A280" s="767"/>
      <c r="B280" s="762"/>
      <c r="C280" s="767"/>
      <c r="D280" s="762"/>
      <c r="E280" s="762"/>
      <c r="F280" s="767"/>
      <c r="G280" s="762"/>
      <c r="H280" s="762"/>
      <c r="I280" s="762"/>
      <c r="J280" s="767"/>
      <c r="K280" s="762"/>
      <c r="U280" s="760"/>
      <c r="X280" s="762"/>
      <c r="Y280" s="762"/>
      <c r="Z280" s="762"/>
      <c r="AA280" s="762"/>
      <c r="AB280" s="762"/>
      <c r="AC280" s="762"/>
      <c r="AD280" s="794"/>
      <c r="AE280" s="762"/>
      <c r="AF280" s="762"/>
      <c r="AG280" s="762"/>
      <c r="AH280" s="762"/>
      <c r="AI280" s="762"/>
      <c r="AJ280" s="762"/>
      <c r="AK280" s="762"/>
      <c r="AL280" s="762"/>
      <c r="AM280" s="762"/>
      <c r="AN280" s="762"/>
      <c r="AO280" s="762"/>
      <c r="AP280" s="762"/>
      <c r="AQ280" s="762"/>
      <c r="AR280" s="762"/>
      <c r="AS280" s="762"/>
    </row>
    <row r="281" spans="1:45" ht="13.9">
      <c r="A281" s="767"/>
      <c r="B281" s="762"/>
      <c r="C281" s="767"/>
      <c r="D281" s="762"/>
      <c r="E281" s="762"/>
      <c r="F281" s="767"/>
      <c r="G281" s="762"/>
      <c r="H281" s="762"/>
      <c r="I281" s="762"/>
      <c r="J281" s="767"/>
      <c r="K281" s="762"/>
      <c r="U281" s="760"/>
      <c r="X281" s="762"/>
      <c r="Y281" s="762"/>
      <c r="Z281" s="762"/>
      <c r="AA281" s="762"/>
      <c r="AB281" s="762"/>
      <c r="AC281" s="762"/>
      <c r="AD281" s="794"/>
      <c r="AE281" s="762"/>
      <c r="AF281" s="762"/>
      <c r="AG281" s="762"/>
      <c r="AH281" s="762"/>
      <c r="AI281" s="762"/>
      <c r="AJ281" s="762"/>
      <c r="AK281" s="762"/>
      <c r="AL281" s="762"/>
      <c r="AM281" s="762"/>
      <c r="AN281" s="762"/>
      <c r="AO281" s="762"/>
      <c r="AP281" s="762"/>
      <c r="AQ281" s="762"/>
      <c r="AR281" s="762"/>
      <c r="AS281" s="762"/>
    </row>
    <row r="282" spans="1:45" ht="13.9">
      <c r="A282" s="767"/>
      <c r="B282" s="762"/>
      <c r="C282" s="767"/>
      <c r="D282" s="762"/>
      <c r="E282" s="762"/>
      <c r="F282" s="767"/>
      <c r="G282" s="762"/>
      <c r="H282" s="762"/>
      <c r="I282" s="762"/>
      <c r="J282" s="767"/>
      <c r="K282" s="762"/>
      <c r="U282" s="760"/>
      <c r="X282" s="762"/>
      <c r="Y282" s="762"/>
      <c r="Z282" s="762"/>
      <c r="AA282" s="762"/>
      <c r="AB282" s="762"/>
      <c r="AC282" s="762"/>
      <c r="AD282" s="794"/>
      <c r="AE282" s="762"/>
      <c r="AF282" s="762"/>
      <c r="AG282" s="762"/>
      <c r="AH282" s="762"/>
      <c r="AI282" s="762"/>
      <c r="AJ282" s="762"/>
      <c r="AK282" s="762"/>
      <c r="AL282" s="762"/>
      <c r="AM282" s="762"/>
      <c r="AN282" s="762"/>
      <c r="AO282" s="762"/>
      <c r="AP282" s="762"/>
      <c r="AQ282" s="762"/>
      <c r="AR282" s="762"/>
      <c r="AS282" s="762"/>
    </row>
    <row r="283" spans="1:45" ht="13.9">
      <c r="A283" s="764"/>
      <c r="B283" s="764"/>
      <c r="C283" s="764"/>
      <c r="D283" s="764"/>
      <c r="E283" s="764"/>
      <c r="F283" s="764"/>
      <c r="G283" s="764"/>
      <c r="H283" s="764"/>
      <c r="I283" s="764"/>
      <c r="J283" s="764"/>
      <c r="K283" s="764"/>
      <c r="L283" s="764"/>
      <c r="M283" s="764"/>
      <c r="N283" s="773"/>
      <c r="O283" s="764"/>
      <c r="P283" s="764"/>
      <c r="Q283" s="764"/>
      <c r="R283" s="764"/>
      <c r="S283" s="764"/>
      <c r="T283" s="764"/>
      <c r="U283" s="764"/>
      <c r="V283" s="764"/>
      <c r="W283" s="764"/>
      <c r="X283" s="764"/>
      <c r="Y283" s="764"/>
      <c r="Z283" s="764"/>
      <c r="AA283" s="764"/>
      <c r="AB283" s="764"/>
      <c r="AC283" s="764"/>
      <c r="AD283" s="794"/>
      <c r="AE283" s="764"/>
      <c r="AF283" s="764"/>
      <c r="AG283" s="764"/>
      <c r="AH283" s="764"/>
      <c r="AI283" s="764"/>
      <c r="AJ283" s="764"/>
      <c r="AK283" s="764"/>
      <c r="AL283" s="764"/>
      <c r="AM283" s="764"/>
      <c r="AN283" s="764"/>
      <c r="AO283" s="764"/>
      <c r="AP283" s="764"/>
      <c r="AQ283" s="764"/>
      <c r="AR283" s="764"/>
      <c r="AS283" s="764"/>
    </row>
    <row r="284" spans="1:45" ht="13.9">
      <c r="A284" s="764"/>
      <c r="B284" s="764"/>
      <c r="C284" s="764"/>
      <c r="D284" s="764"/>
      <c r="E284" s="764"/>
      <c r="F284" s="764"/>
      <c r="G284" s="764"/>
      <c r="H284" s="764"/>
      <c r="I284" s="764"/>
      <c r="J284" s="764"/>
      <c r="K284" s="764"/>
      <c r="L284" s="764"/>
      <c r="M284" s="764"/>
      <c r="N284" s="773"/>
      <c r="O284" s="764"/>
      <c r="P284" s="764"/>
      <c r="Q284" s="764"/>
      <c r="R284" s="764"/>
      <c r="S284" s="764"/>
      <c r="T284" s="764"/>
      <c r="U284" s="764"/>
      <c r="V284" s="764"/>
      <c r="W284" s="764"/>
      <c r="X284" s="764"/>
      <c r="Y284" s="764"/>
      <c r="Z284" s="764"/>
      <c r="AA284" s="764"/>
      <c r="AB284" s="764"/>
      <c r="AC284" s="764"/>
      <c r="AD284" s="794"/>
      <c r="AE284" s="764"/>
      <c r="AF284" s="764"/>
      <c r="AG284" s="764"/>
      <c r="AH284" s="764"/>
      <c r="AI284" s="764"/>
      <c r="AJ284" s="764"/>
      <c r="AK284" s="764"/>
      <c r="AL284" s="764"/>
      <c r="AM284" s="764"/>
      <c r="AN284" s="764"/>
      <c r="AO284" s="764"/>
      <c r="AP284" s="764"/>
      <c r="AQ284" s="764"/>
      <c r="AR284" s="764"/>
      <c r="AS284" s="764"/>
    </row>
    <row r="285" spans="1:45" ht="13.9">
      <c r="A285" s="764"/>
      <c r="B285" s="764"/>
      <c r="C285" s="764"/>
      <c r="D285" s="764"/>
      <c r="E285" s="764"/>
      <c r="F285" s="764"/>
      <c r="G285" s="764"/>
      <c r="H285" s="764"/>
      <c r="I285" s="764"/>
      <c r="J285" s="764"/>
      <c r="K285" s="764"/>
      <c r="L285" s="764"/>
      <c r="M285" s="764"/>
      <c r="N285" s="773"/>
      <c r="O285" s="764"/>
      <c r="P285" s="764"/>
      <c r="Q285" s="764"/>
      <c r="R285" s="764"/>
      <c r="S285" s="764"/>
      <c r="T285" s="764"/>
      <c r="U285" s="764"/>
      <c r="V285" s="764"/>
      <c r="W285" s="764"/>
      <c r="X285" s="764"/>
      <c r="Y285" s="764"/>
      <c r="Z285" s="764"/>
      <c r="AA285" s="764"/>
      <c r="AB285" s="764"/>
      <c r="AC285" s="764"/>
      <c r="AD285" s="794"/>
      <c r="AE285" s="764"/>
      <c r="AF285" s="764"/>
      <c r="AG285" s="764"/>
      <c r="AH285" s="764"/>
      <c r="AI285" s="764"/>
      <c r="AJ285" s="764"/>
      <c r="AK285" s="764"/>
      <c r="AL285" s="764"/>
      <c r="AM285" s="764"/>
      <c r="AN285" s="764"/>
      <c r="AO285" s="764"/>
      <c r="AP285" s="764"/>
      <c r="AQ285" s="764"/>
      <c r="AR285" s="764"/>
      <c r="AS285" s="764"/>
    </row>
    <row r="286" spans="1:45" ht="13.9">
      <c r="A286" s="764"/>
      <c r="B286" s="764"/>
      <c r="C286" s="764"/>
      <c r="D286" s="764"/>
      <c r="E286" s="764"/>
      <c r="F286" s="764"/>
      <c r="G286" s="764"/>
      <c r="H286" s="764"/>
      <c r="I286" s="764"/>
      <c r="J286" s="764"/>
      <c r="K286" s="764"/>
      <c r="L286" s="764"/>
      <c r="M286" s="764"/>
      <c r="N286" s="773"/>
      <c r="O286" s="764"/>
      <c r="P286" s="764"/>
      <c r="Q286" s="764"/>
      <c r="R286" s="764"/>
      <c r="S286" s="764"/>
      <c r="T286" s="764"/>
      <c r="U286" s="764"/>
      <c r="V286" s="764"/>
      <c r="W286" s="764"/>
      <c r="X286" s="764"/>
      <c r="Y286" s="764"/>
      <c r="Z286" s="764"/>
      <c r="AA286" s="764"/>
      <c r="AB286" s="764"/>
      <c r="AC286" s="764"/>
      <c r="AD286" s="794"/>
      <c r="AE286" s="764"/>
      <c r="AF286" s="764"/>
      <c r="AG286" s="764"/>
      <c r="AH286" s="764"/>
      <c r="AI286" s="764"/>
      <c r="AJ286" s="764"/>
      <c r="AK286" s="764"/>
      <c r="AL286" s="764"/>
      <c r="AM286" s="764"/>
      <c r="AN286" s="764"/>
      <c r="AO286" s="764"/>
      <c r="AP286" s="764"/>
      <c r="AQ286" s="764"/>
      <c r="AR286" s="764"/>
      <c r="AS286" s="764"/>
    </row>
    <row r="287" spans="1:45" ht="13.9">
      <c r="A287" s="764"/>
      <c r="B287" s="764"/>
      <c r="C287" s="764"/>
      <c r="D287" s="764"/>
      <c r="E287" s="764"/>
      <c r="F287" s="764"/>
      <c r="G287" s="764"/>
      <c r="H287" s="764"/>
      <c r="I287" s="764"/>
      <c r="J287" s="764"/>
      <c r="K287" s="764"/>
      <c r="L287" s="764"/>
      <c r="M287" s="764"/>
      <c r="N287" s="773"/>
      <c r="O287" s="764"/>
      <c r="P287" s="764"/>
      <c r="Q287" s="764"/>
      <c r="R287" s="764"/>
      <c r="S287" s="764"/>
      <c r="T287" s="764"/>
      <c r="U287" s="764"/>
      <c r="V287" s="764"/>
      <c r="W287" s="764"/>
      <c r="X287" s="764"/>
      <c r="Y287" s="764"/>
      <c r="Z287" s="764"/>
      <c r="AA287" s="764"/>
      <c r="AB287" s="764"/>
      <c r="AC287" s="764"/>
      <c r="AD287" s="794"/>
      <c r="AE287" s="764"/>
      <c r="AF287" s="764"/>
      <c r="AG287" s="764"/>
      <c r="AH287" s="764"/>
      <c r="AI287" s="764"/>
      <c r="AJ287" s="764"/>
      <c r="AK287" s="764"/>
      <c r="AL287" s="764"/>
      <c r="AM287" s="764"/>
      <c r="AN287" s="764"/>
      <c r="AO287" s="764"/>
      <c r="AP287" s="764"/>
      <c r="AQ287" s="764"/>
      <c r="AR287" s="764"/>
      <c r="AS287" s="764"/>
    </row>
    <row r="288" spans="1:45" ht="13.9">
      <c r="A288" s="764"/>
      <c r="B288" s="764"/>
      <c r="C288" s="764"/>
      <c r="D288" s="764"/>
      <c r="E288" s="764"/>
      <c r="F288" s="764"/>
      <c r="G288" s="764"/>
      <c r="H288" s="764"/>
      <c r="I288" s="764"/>
      <c r="J288" s="764"/>
      <c r="K288" s="764"/>
      <c r="L288" s="764"/>
      <c r="M288" s="764"/>
      <c r="N288" s="773"/>
      <c r="O288" s="764"/>
      <c r="P288" s="764"/>
      <c r="Q288" s="764"/>
      <c r="R288" s="764"/>
      <c r="S288" s="764"/>
      <c r="T288" s="764"/>
      <c r="U288" s="764"/>
      <c r="V288" s="764"/>
      <c r="W288" s="764"/>
      <c r="X288" s="764"/>
      <c r="Y288" s="764"/>
      <c r="Z288" s="764"/>
      <c r="AA288" s="764"/>
      <c r="AB288" s="764"/>
      <c r="AC288" s="764"/>
      <c r="AD288" s="794"/>
      <c r="AE288" s="764"/>
      <c r="AF288" s="764"/>
      <c r="AG288" s="764"/>
      <c r="AH288" s="764"/>
      <c r="AI288" s="764"/>
      <c r="AJ288" s="764"/>
      <c r="AK288" s="764"/>
      <c r="AL288" s="764"/>
      <c r="AM288" s="764"/>
      <c r="AN288" s="764"/>
      <c r="AO288" s="764"/>
      <c r="AP288" s="764"/>
      <c r="AQ288" s="764"/>
      <c r="AR288" s="764"/>
      <c r="AS288" s="764"/>
    </row>
    <row r="289" spans="1:45" ht="13.9">
      <c r="A289" s="764"/>
      <c r="B289" s="764"/>
      <c r="C289" s="764"/>
      <c r="D289" s="764"/>
      <c r="E289" s="764"/>
      <c r="F289" s="764"/>
      <c r="G289" s="764"/>
      <c r="H289" s="764"/>
      <c r="I289" s="764"/>
      <c r="J289" s="764"/>
      <c r="K289" s="764"/>
      <c r="L289" s="764"/>
      <c r="M289" s="764"/>
      <c r="N289" s="773"/>
      <c r="O289" s="764"/>
      <c r="P289" s="764"/>
      <c r="Q289" s="764"/>
      <c r="R289" s="764"/>
      <c r="S289" s="764"/>
      <c r="T289" s="764"/>
      <c r="U289" s="764"/>
      <c r="V289" s="764"/>
      <c r="W289" s="764"/>
      <c r="X289" s="764"/>
      <c r="Y289" s="764"/>
      <c r="Z289" s="764"/>
      <c r="AA289" s="764"/>
      <c r="AB289" s="764"/>
      <c r="AC289" s="764"/>
      <c r="AD289" s="794"/>
      <c r="AE289" s="764"/>
      <c r="AF289" s="764"/>
      <c r="AG289" s="764"/>
      <c r="AH289" s="764"/>
      <c r="AI289" s="764"/>
      <c r="AJ289" s="764"/>
      <c r="AK289" s="764"/>
      <c r="AL289" s="764"/>
      <c r="AM289" s="764"/>
      <c r="AN289" s="764"/>
      <c r="AO289" s="764"/>
      <c r="AP289" s="764"/>
      <c r="AQ289" s="764"/>
      <c r="AR289" s="764"/>
      <c r="AS289" s="764"/>
    </row>
    <row r="290" spans="1:45" ht="13.9">
      <c r="A290" s="764"/>
      <c r="B290" s="764"/>
      <c r="C290" s="764"/>
      <c r="D290" s="764"/>
      <c r="E290" s="764"/>
      <c r="F290" s="764"/>
      <c r="G290" s="764"/>
      <c r="H290" s="764"/>
      <c r="I290" s="764"/>
      <c r="J290" s="764"/>
      <c r="K290" s="764"/>
      <c r="L290" s="764"/>
      <c r="M290" s="764"/>
      <c r="N290" s="773"/>
      <c r="O290" s="764"/>
      <c r="P290" s="764"/>
      <c r="Q290" s="764"/>
      <c r="R290" s="764"/>
      <c r="S290" s="764"/>
      <c r="T290" s="764"/>
      <c r="U290" s="764"/>
      <c r="V290" s="764"/>
      <c r="W290" s="764"/>
      <c r="X290" s="764"/>
      <c r="Y290" s="764"/>
      <c r="Z290" s="764"/>
      <c r="AA290" s="764"/>
      <c r="AB290" s="764"/>
      <c r="AC290" s="764"/>
      <c r="AD290" s="794"/>
      <c r="AE290" s="764"/>
      <c r="AF290" s="764"/>
      <c r="AG290" s="764"/>
      <c r="AH290" s="764"/>
      <c r="AI290" s="764"/>
      <c r="AJ290" s="764"/>
      <c r="AK290" s="764"/>
      <c r="AL290" s="764"/>
      <c r="AM290" s="764"/>
      <c r="AN290" s="764"/>
      <c r="AO290" s="764"/>
      <c r="AP290" s="764"/>
      <c r="AQ290" s="764"/>
      <c r="AR290" s="764"/>
      <c r="AS290" s="764"/>
    </row>
    <row r="291" spans="1:45" ht="13.9">
      <c r="A291" s="764"/>
      <c r="B291" s="764"/>
      <c r="C291" s="764"/>
      <c r="D291" s="764"/>
      <c r="E291" s="764"/>
      <c r="F291" s="764"/>
      <c r="G291" s="764"/>
      <c r="H291" s="764"/>
      <c r="I291" s="764"/>
      <c r="J291" s="764"/>
      <c r="K291" s="764"/>
      <c r="L291" s="764"/>
      <c r="M291" s="764"/>
      <c r="N291" s="773"/>
      <c r="O291" s="764"/>
      <c r="P291" s="764"/>
      <c r="Q291" s="764"/>
      <c r="R291" s="764"/>
      <c r="S291" s="764"/>
      <c r="T291" s="764"/>
      <c r="U291" s="764"/>
      <c r="V291" s="764"/>
      <c r="W291" s="764"/>
      <c r="X291" s="764"/>
      <c r="Y291" s="764"/>
      <c r="Z291" s="764"/>
      <c r="AA291" s="764"/>
      <c r="AB291" s="764"/>
      <c r="AC291" s="764"/>
      <c r="AD291" s="794"/>
      <c r="AE291" s="764"/>
      <c r="AF291" s="764"/>
      <c r="AG291" s="764"/>
      <c r="AH291" s="764"/>
      <c r="AI291" s="764"/>
      <c r="AJ291" s="764"/>
      <c r="AK291" s="764"/>
      <c r="AL291" s="764"/>
      <c r="AM291" s="764"/>
      <c r="AN291" s="764"/>
      <c r="AO291" s="764"/>
      <c r="AP291" s="764"/>
      <c r="AQ291" s="764"/>
      <c r="AR291" s="764"/>
      <c r="AS291" s="764"/>
    </row>
    <row r="292" spans="1:45" ht="13.9">
      <c r="A292" s="764"/>
      <c r="B292" s="764"/>
      <c r="C292" s="764"/>
      <c r="D292" s="764"/>
      <c r="E292" s="764"/>
      <c r="F292" s="764"/>
      <c r="G292" s="764"/>
      <c r="H292" s="764"/>
      <c r="I292" s="764"/>
      <c r="J292" s="764"/>
      <c r="K292" s="764"/>
      <c r="L292" s="764"/>
      <c r="M292" s="764"/>
      <c r="N292" s="773"/>
      <c r="O292" s="764"/>
      <c r="P292" s="764"/>
      <c r="Q292" s="764"/>
      <c r="R292" s="764"/>
      <c r="S292" s="764"/>
      <c r="T292" s="764"/>
      <c r="U292" s="764"/>
      <c r="V292" s="764"/>
      <c r="W292" s="764"/>
      <c r="X292" s="764"/>
      <c r="Y292" s="764"/>
      <c r="Z292" s="764"/>
      <c r="AA292" s="764"/>
      <c r="AB292" s="764"/>
      <c r="AC292" s="764"/>
      <c r="AD292" s="794"/>
      <c r="AE292" s="764"/>
      <c r="AF292" s="764"/>
      <c r="AG292" s="764"/>
      <c r="AH292" s="764"/>
      <c r="AI292" s="764"/>
      <c r="AJ292" s="764"/>
      <c r="AK292" s="764"/>
      <c r="AL292" s="764"/>
      <c r="AM292" s="764"/>
      <c r="AN292" s="764"/>
      <c r="AO292" s="764"/>
      <c r="AP292" s="764"/>
      <c r="AQ292" s="764"/>
      <c r="AR292" s="764"/>
      <c r="AS292" s="764"/>
    </row>
    <row r="293" spans="1:45" ht="13.9">
      <c r="A293" s="764"/>
      <c r="B293" s="764"/>
      <c r="C293" s="764"/>
      <c r="D293" s="764"/>
      <c r="E293" s="764"/>
      <c r="F293" s="764"/>
      <c r="G293" s="764"/>
      <c r="H293" s="764"/>
      <c r="I293" s="764"/>
      <c r="J293" s="764"/>
      <c r="K293" s="764"/>
      <c r="L293" s="764"/>
      <c r="M293" s="764"/>
      <c r="N293" s="773"/>
      <c r="O293" s="764"/>
      <c r="P293" s="764"/>
      <c r="Q293" s="764"/>
      <c r="R293" s="764"/>
      <c r="S293" s="764"/>
      <c r="T293" s="764"/>
      <c r="U293" s="764"/>
      <c r="V293" s="764"/>
      <c r="W293" s="764"/>
      <c r="X293" s="764"/>
      <c r="Y293" s="764"/>
      <c r="Z293" s="764"/>
      <c r="AA293" s="764"/>
      <c r="AB293" s="764"/>
      <c r="AC293" s="764"/>
      <c r="AD293" s="794"/>
      <c r="AE293" s="764"/>
      <c r="AF293" s="764"/>
      <c r="AG293" s="764"/>
      <c r="AH293" s="764"/>
      <c r="AI293" s="764"/>
      <c r="AJ293" s="764"/>
      <c r="AK293" s="764"/>
      <c r="AL293" s="764"/>
      <c r="AM293" s="764"/>
      <c r="AN293" s="764"/>
      <c r="AO293" s="764"/>
      <c r="AP293" s="764"/>
      <c r="AQ293" s="764"/>
      <c r="AR293" s="764"/>
      <c r="AS293" s="764"/>
    </row>
    <row r="294" spans="1:45" ht="13.9">
      <c r="A294" s="764"/>
      <c r="B294" s="764"/>
      <c r="C294" s="764"/>
      <c r="D294" s="764"/>
      <c r="E294" s="764"/>
      <c r="F294" s="764"/>
      <c r="G294" s="764"/>
      <c r="H294" s="764"/>
      <c r="I294" s="764"/>
      <c r="J294" s="764"/>
      <c r="K294" s="764"/>
      <c r="L294" s="764"/>
      <c r="M294" s="764"/>
      <c r="N294" s="773"/>
      <c r="O294" s="764"/>
      <c r="P294" s="764"/>
      <c r="Q294" s="764"/>
      <c r="R294" s="764"/>
      <c r="S294" s="764"/>
      <c r="T294" s="764"/>
      <c r="U294" s="764"/>
      <c r="V294" s="764"/>
      <c r="W294" s="764"/>
      <c r="X294" s="764"/>
      <c r="Y294" s="764"/>
      <c r="Z294" s="764"/>
      <c r="AA294" s="764"/>
      <c r="AB294" s="764"/>
      <c r="AC294" s="764"/>
      <c r="AD294" s="794"/>
      <c r="AE294" s="764"/>
      <c r="AF294" s="764"/>
      <c r="AG294" s="764"/>
      <c r="AH294" s="764"/>
      <c r="AI294" s="764"/>
      <c r="AJ294" s="764"/>
      <c r="AK294" s="764"/>
      <c r="AL294" s="764"/>
      <c r="AM294" s="764"/>
      <c r="AN294" s="764"/>
      <c r="AO294" s="764"/>
      <c r="AP294" s="764"/>
      <c r="AQ294" s="764"/>
      <c r="AR294" s="764"/>
      <c r="AS294" s="764"/>
    </row>
    <row r="295" spans="1:45" ht="13.9">
      <c r="A295" s="764"/>
      <c r="B295" s="764"/>
      <c r="C295" s="764"/>
      <c r="D295" s="764"/>
      <c r="E295" s="764"/>
      <c r="F295" s="764"/>
      <c r="G295" s="764"/>
      <c r="H295" s="764"/>
      <c r="I295" s="764"/>
      <c r="J295" s="764"/>
      <c r="K295" s="764"/>
      <c r="L295" s="764"/>
      <c r="M295" s="764"/>
      <c r="N295" s="773"/>
      <c r="O295" s="764"/>
      <c r="P295" s="764"/>
      <c r="Q295" s="764"/>
      <c r="R295" s="764"/>
      <c r="S295" s="764"/>
      <c r="T295" s="764"/>
      <c r="U295" s="764"/>
      <c r="V295" s="764"/>
      <c r="W295" s="764"/>
      <c r="X295" s="764"/>
      <c r="Y295" s="764"/>
      <c r="Z295" s="764"/>
      <c r="AA295" s="764"/>
      <c r="AB295" s="764"/>
      <c r="AC295" s="764"/>
      <c r="AD295" s="794"/>
      <c r="AE295" s="764"/>
      <c r="AF295" s="764"/>
      <c r="AG295" s="764"/>
      <c r="AH295" s="764"/>
      <c r="AI295" s="764"/>
      <c r="AJ295" s="764"/>
      <c r="AK295" s="764"/>
      <c r="AL295" s="764"/>
      <c r="AM295" s="764"/>
      <c r="AN295" s="764"/>
      <c r="AO295" s="764"/>
      <c r="AP295" s="764"/>
      <c r="AQ295" s="764"/>
      <c r="AR295" s="764"/>
      <c r="AS295" s="764"/>
    </row>
    <row r="296" spans="1:45" ht="13.9">
      <c r="A296" s="764"/>
      <c r="B296" s="764"/>
      <c r="C296" s="764"/>
      <c r="D296" s="764"/>
      <c r="E296" s="764"/>
      <c r="F296" s="764"/>
      <c r="G296" s="764"/>
      <c r="H296" s="764"/>
      <c r="I296" s="764"/>
      <c r="J296" s="764"/>
      <c r="K296" s="764"/>
      <c r="L296" s="764"/>
      <c r="M296" s="764"/>
      <c r="N296" s="773"/>
      <c r="O296" s="764"/>
      <c r="P296" s="764"/>
      <c r="Q296" s="764"/>
      <c r="R296" s="764"/>
      <c r="S296" s="764"/>
      <c r="T296" s="764"/>
      <c r="U296" s="764"/>
      <c r="V296" s="764"/>
      <c r="W296" s="764"/>
      <c r="X296" s="764"/>
      <c r="Y296" s="764"/>
      <c r="Z296" s="764"/>
      <c r="AA296" s="764"/>
      <c r="AB296" s="764"/>
      <c r="AC296" s="764"/>
      <c r="AD296" s="794"/>
      <c r="AE296" s="764"/>
      <c r="AF296" s="764"/>
      <c r="AG296" s="764"/>
      <c r="AH296" s="764"/>
      <c r="AI296" s="764"/>
      <c r="AJ296" s="764"/>
      <c r="AK296" s="764"/>
      <c r="AL296" s="764"/>
      <c r="AM296" s="764"/>
      <c r="AN296" s="764"/>
      <c r="AO296" s="764"/>
      <c r="AP296" s="764"/>
      <c r="AQ296" s="764"/>
      <c r="AR296" s="764"/>
      <c r="AS296" s="764"/>
    </row>
    <row r="297" spans="1:45" ht="13.9">
      <c r="A297" s="764"/>
      <c r="B297" s="764"/>
      <c r="C297" s="764"/>
      <c r="D297" s="764"/>
      <c r="E297" s="764"/>
      <c r="F297" s="764"/>
      <c r="G297" s="764"/>
      <c r="H297" s="764"/>
      <c r="I297" s="764"/>
      <c r="J297" s="764"/>
      <c r="K297" s="764"/>
      <c r="L297" s="764"/>
      <c r="M297" s="764"/>
      <c r="N297" s="773"/>
      <c r="O297" s="764"/>
      <c r="P297" s="764"/>
      <c r="Q297" s="764"/>
      <c r="R297" s="764"/>
      <c r="S297" s="764"/>
      <c r="T297" s="764"/>
      <c r="U297" s="764"/>
      <c r="V297" s="764"/>
      <c r="W297" s="764"/>
      <c r="X297" s="764"/>
      <c r="Y297" s="764"/>
      <c r="Z297" s="764"/>
      <c r="AA297" s="764"/>
      <c r="AB297" s="764"/>
      <c r="AC297" s="764"/>
      <c r="AD297" s="794"/>
      <c r="AE297" s="764"/>
      <c r="AF297" s="764"/>
      <c r="AG297" s="764"/>
      <c r="AH297" s="764"/>
      <c r="AI297" s="764"/>
      <c r="AJ297" s="764"/>
      <c r="AK297" s="764"/>
      <c r="AL297" s="764"/>
      <c r="AM297" s="764"/>
      <c r="AN297" s="764"/>
      <c r="AO297" s="764"/>
      <c r="AP297" s="764"/>
      <c r="AQ297" s="764"/>
      <c r="AR297" s="764"/>
      <c r="AS297" s="764"/>
    </row>
    <row r="298" spans="1:45" ht="13.9">
      <c r="A298" s="764"/>
      <c r="B298" s="764"/>
      <c r="C298" s="764"/>
      <c r="D298" s="764"/>
      <c r="E298" s="764"/>
      <c r="F298" s="764"/>
      <c r="G298" s="764"/>
      <c r="H298" s="764"/>
      <c r="I298" s="764"/>
      <c r="J298" s="764"/>
      <c r="K298" s="764"/>
      <c r="L298" s="764"/>
      <c r="M298" s="764"/>
      <c r="N298" s="773"/>
      <c r="O298" s="764"/>
      <c r="P298" s="764"/>
      <c r="Q298" s="764"/>
      <c r="R298" s="764"/>
      <c r="S298" s="764"/>
      <c r="T298" s="764"/>
      <c r="U298" s="764"/>
      <c r="V298" s="764"/>
      <c r="W298" s="764"/>
      <c r="X298" s="764"/>
      <c r="Y298" s="764"/>
      <c r="Z298" s="764"/>
      <c r="AA298" s="764"/>
      <c r="AB298" s="764"/>
      <c r="AC298" s="764"/>
      <c r="AD298" s="794"/>
      <c r="AE298" s="764"/>
      <c r="AF298" s="764"/>
      <c r="AG298" s="764"/>
      <c r="AH298" s="764"/>
      <c r="AI298" s="764"/>
      <c r="AJ298" s="764"/>
      <c r="AK298" s="764"/>
      <c r="AL298" s="764"/>
      <c r="AM298" s="764"/>
      <c r="AN298" s="764"/>
      <c r="AO298" s="764"/>
      <c r="AP298" s="764"/>
      <c r="AQ298" s="764"/>
      <c r="AR298" s="764"/>
      <c r="AS298" s="764"/>
    </row>
    <row r="299" spans="1:45" ht="13.9">
      <c r="A299" s="764"/>
      <c r="B299" s="764"/>
      <c r="C299" s="764"/>
      <c r="D299" s="764"/>
      <c r="E299" s="764"/>
      <c r="F299" s="764"/>
      <c r="G299" s="764"/>
      <c r="H299" s="764"/>
      <c r="I299" s="764"/>
      <c r="J299" s="764"/>
      <c r="K299" s="764"/>
      <c r="L299" s="764"/>
      <c r="M299" s="764"/>
      <c r="N299" s="773"/>
      <c r="O299" s="764"/>
      <c r="P299" s="764"/>
      <c r="Q299" s="764"/>
      <c r="R299" s="764"/>
      <c r="S299" s="764"/>
      <c r="T299" s="764"/>
      <c r="U299" s="764"/>
      <c r="V299" s="764"/>
      <c r="W299" s="764"/>
      <c r="X299" s="764"/>
      <c r="Y299" s="764"/>
      <c r="Z299" s="764"/>
      <c r="AA299" s="764"/>
      <c r="AB299" s="764"/>
      <c r="AC299" s="764"/>
      <c r="AD299" s="794"/>
      <c r="AE299" s="764"/>
      <c r="AF299" s="764"/>
      <c r="AG299" s="764"/>
      <c r="AH299" s="764"/>
      <c r="AI299" s="764"/>
      <c r="AJ299" s="764"/>
      <c r="AK299" s="764"/>
      <c r="AL299" s="764"/>
      <c r="AM299" s="764"/>
      <c r="AN299" s="764"/>
      <c r="AO299" s="764"/>
      <c r="AP299" s="764"/>
      <c r="AQ299" s="764"/>
      <c r="AR299" s="764"/>
      <c r="AS299" s="764"/>
    </row>
    <row r="300" spans="1:45" ht="13.9">
      <c r="A300" s="764"/>
      <c r="B300" s="764"/>
      <c r="C300" s="764"/>
      <c r="D300" s="764"/>
      <c r="E300" s="764"/>
      <c r="F300" s="764"/>
      <c r="G300" s="764"/>
      <c r="H300" s="764"/>
      <c r="I300" s="764"/>
      <c r="J300" s="764"/>
      <c r="K300" s="764"/>
      <c r="L300" s="764"/>
      <c r="M300" s="764"/>
      <c r="N300" s="773"/>
      <c r="O300" s="764"/>
      <c r="P300" s="764"/>
      <c r="Q300" s="764"/>
      <c r="R300" s="764"/>
      <c r="S300" s="764"/>
      <c r="T300" s="764"/>
      <c r="U300" s="764"/>
      <c r="V300" s="764"/>
      <c r="W300" s="764"/>
      <c r="X300" s="764"/>
      <c r="Y300" s="764"/>
      <c r="Z300" s="764"/>
      <c r="AA300" s="764"/>
      <c r="AB300" s="764"/>
      <c r="AC300" s="764"/>
      <c r="AD300" s="794"/>
      <c r="AE300" s="764"/>
      <c r="AF300" s="764"/>
      <c r="AG300" s="764"/>
      <c r="AH300" s="764"/>
      <c r="AI300" s="764"/>
      <c r="AJ300" s="764"/>
      <c r="AK300" s="764"/>
      <c r="AL300" s="764"/>
      <c r="AM300" s="764"/>
      <c r="AN300" s="764"/>
      <c r="AO300" s="764"/>
      <c r="AP300" s="764"/>
      <c r="AQ300" s="764"/>
      <c r="AR300" s="764"/>
      <c r="AS300" s="764"/>
    </row>
    <row r="301" spans="1:45" ht="13.9">
      <c r="A301" s="764"/>
      <c r="B301" s="764"/>
      <c r="C301" s="764"/>
      <c r="D301" s="764"/>
      <c r="E301" s="764"/>
      <c r="F301" s="764"/>
      <c r="G301" s="764"/>
      <c r="H301" s="764"/>
      <c r="I301" s="764"/>
      <c r="J301" s="764"/>
      <c r="K301" s="764"/>
      <c r="L301" s="764"/>
      <c r="M301" s="764"/>
      <c r="N301" s="773"/>
      <c r="O301" s="764"/>
      <c r="P301" s="764"/>
      <c r="Q301" s="764"/>
      <c r="R301" s="764"/>
      <c r="S301" s="764"/>
      <c r="T301" s="764"/>
      <c r="U301" s="764"/>
      <c r="V301" s="764"/>
      <c r="W301" s="764"/>
      <c r="X301" s="764"/>
      <c r="Y301" s="764"/>
      <c r="Z301" s="764"/>
      <c r="AA301" s="764"/>
      <c r="AB301" s="764"/>
      <c r="AC301" s="764"/>
      <c r="AD301" s="794"/>
      <c r="AE301" s="764"/>
      <c r="AF301" s="764"/>
      <c r="AG301" s="764"/>
      <c r="AH301" s="764"/>
      <c r="AI301" s="764"/>
      <c r="AJ301" s="764"/>
      <c r="AK301" s="764"/>
      <c r="AL301" s="764"/>
      <c r="AM301" s="764"/>
      <c r="AN301" s="764"/>
      <c r="AO301" s="764"/>
      <c r="AP301" s="764"/>
      <c r="AQ301" s="764"/>
      <c r="AR301" s="764"/>
      <c r="AS301" s="764"/>
    </row>
    <row r="302" spans="1:45" ht="13.9">
      <c r="A302" s="764"/>
      <c r="B302" s="764"/>
      <c r="C302" s="764"/>
      <c r="D302" s="764"/>
      <c r="E302" s="764"/>
      <c r="F302" s="764"/>
      <c r="G302" s="764"/>
      <c r="H302" s="764"/>
      <c r="I302" s="764"/>
      <c r="J302" s="764"/>
      <c r="K302" s="764"/>
      <c r="L302" s="764"/>
      <c r="M302" s="764"/>
      <c r="N302" s="773"/>
      <c r="O302" s="764"/>
      <c r="P302" s="764"/>
      <c r="Q302" s="764"/>
      <c r="R302" s="764"/>
      <c r="S302" s="764"/>
      <c r="T302" s="764"/>
      <c r="U302" s="764"/>
      <c r="V302" s="764"/>
      <c r="W302" s="764"/>
      <c r="X302" s="764"/>
      <c r="Y302" s="764"/>
      <c r="Z302" s="764"/>
      <c r="AA302" s="764"/>
      <c r="AB302" s="764"/>
      <c r="AC302" s="764"/>
      <c r="AD302" s="794"/>
      <c r="AE302" s="764"/>
      <c r="AF302" s="764"/>
      <c r="AG302" s="764"/>
      <c r="AH302" s="764"/>
      <c r="AI302" s="764"/>
      <c r="AJ302" s="764"/>
      <c r="AK302" s="764"/>
      <c r="AL302" s="764"/>
      <c r="AM302" s="764"/>
      <c r="AN302" s="764"/>
      <c r="AO302" s="764"/>
      <c r="AP302" s="764"/>
      <c r="AQ302" s="764"/>
      <c r="AR302" s="764"/>
      <c r="AS302" s="764"/>
    </row>
    <row r="303" spans="1:45" ht="13.9">
      <c r="A303" s="764"/>
      <c r="B303" s="764"/>
      <c r="C303" s="764"/>
      <c r="D303" s="764"/>
      <c r="E303" s="764"/>
      <c r="F303" s="764"/>
      <c r="G303" s="764"/>
      <c r="H303" s="764"/>
      <c r="I303" s="764"/>
      <c r="J303" s="764"/>
      <c r="K303" s="764"/>
      <c r="L303" s="764"/>
      <c r="M303" s="764"/>
      <c r="N303" s="773"/>
      <c r="O303" s="764"/>
      <c r="P303" s="764"/>
      <c r="Q303" s="764"/>
      <c r="R303" s="764"/>
      <c r="S303" s="764"/>
      <c r="T303" s="764"/>
      <c r="U303" s="764"/>
      <c r="V303" s="764"/>
      <c r="W303" s="764"/>
      <c r="X303" s="764"/>
      <c r="Y303" s="764"/>
      <c r="Z303" s="764"/>
      <c r="AA303" s="764"/>
      <c r="AB303" s="764"/>
      <c r="AC303" s="764"/>
      <c r="AD303" s="794"/>
      <c r="AE303" s="764"/>
      <c r="AF303" s="764"/>
      <c r="AG303" s="764"/>
      <c r="AH303" s="764"/>
      <c r="AI303" s="764"/>
      <c r="AJ303" s="764"/>
      <c r="AK303" s="764"/>
      <c r="AL303" s="764"/>
      <c r="AM303" s="764"/>
      <c r="AN303" s="764"/>
      <c r="AO303" s="764"/>
      <c r="AP303" s="764"/>
      <c r="AQ303" s="764"/>
      <c r="AR303" s="764"/>
      <c r="AS303" s="764"/>
    </row>
    <row r="304" spans="1:45" ht="13.9">
      <c r="A304" s="764"/>
      <c r="B304" s="764"/>
      <c r="C304" s="764"/>
      <c r="D304" s="764"/>
      <c r="E304" s="764"/>
      <c r="F304" s="764"/>
      <c r="G304" s="764"/>
      <c r="H304" s="764"/>
      <c r="I304" s="764"/>
      <c r="J304" s="764"/>
      <c r="K304" s="764"/>
      <c r="L304" s="764"/>
      <c r="M304" s="764"/>
      <c r="N304" s="773"/>
      <c r="O304" s="764"/>
      <c r="P304" s="764"/>
      <c r="Q304" s="764"/>
      <c r="R304" s="764"/>
      <c r="S304" s="764"/>
      <c r="T304" s="764"/>
      <c r="U304" s="764"/>
      <c r="V304" s="764"/>
      <c r="W304" s="764"/>
      <c r="X304" s="764"/>
      <c r="Y304" s="764"/>
      <c r="Z304" s="764"/>
      <c r="AA304" s="764"/>
      <c r="AB304" s="764"/>
      <c r="AC304" s="764"/>
      <c r="AD304" s="794"/>
      <c r="AE304" s="764"/>
      <c r="AF304" s="764"/>
      <c r="AG304" s="764"/>
      <c r="AH304" s="764"/>
      <c r="AI304" s="764"/>
      <c r="AJ304" s="764"/>
      <c r="AK304" s="764"/>
      <c r="AL304" s="764"/>
      <c r="AM304" s="764"/>
      <c r="AN304" s="764"/>
      <c r="AO304" s="764"/>
      <c r="AP304" s="764"/>
      <c r="AQ304" s="764"/>
      <c r="AR304" s="764"/>
      <c r="AS304" s="764"/>
    </row>
    <row r="305" spans="1:45" ht="13.9">
      <c r="A305" s="764"/>
      <c r="B305" s="764"/>
      <c r="C305" s="764"/>
      <c r="D305" s="764"/>
      <c r="E305" s="764"/>
      <c r="F305" s="764"/>
      <c r="G305" s="764"/>
      <c r="H305" s="764"/>
      <c r="I305" s="764"/>
      <c r="J305" s="764"/>
      <c r="K305" s="764"/>
      <c r="L305" s="764"/>
      <c r="M305" s="764"/>
      <c r="N305" s="773"/>
      <c r="O305" s="764"/>
      <c r="P305" s="764"/>
      <c r="Q305" s="764"/>
      <c r="R305" s="764"/>
      <c r="S305" s="764"/>
      <c r="T305" s="764"/>
      <c r="U305" s="764"/>
      <c r="V305" s="764"/>
      <c r="W305" s="764"/>
      <c r="X305" s="764"/>
      <c r="Y305" s="764"/>
      <c r="Z305" s="764"/>
      <c r="AA305" s="764"/>
      <c r="AB305" s="764"/>
      <c r="AC305" s="764"/>
      <c r="AD305" s="794"/>
      <c r="AE305" s="764"/>
      <c r="AF305" s="764"/>
      <c r="AG305" s="764"/>
      <c r="AH305" s="764"/>
      <c r="AI305" s="764"/>
      <c r="AJ305" s="764"/>
      <c r="AK305" s="764"/>
      <c r="AL305" s="764"/>
      <c r="AM305" s="764"/>
      <c r="AN305" s="764"/>
      <c r="AO305" s="764"/>
      <c r="AP305" s="764"/>
      <c r="AQ305" s="764"/>
      <c r="AR305" s="764"/>
      <c r="AS305" s="764"/>
    </row>
    <row r="306" spans="1:45" ht="13.9">
      <c r="A306" s="764"/>
      <c r="B306" s="764"/>
      <c r="C306" s="764"/>
      <c r="D306" s="764"/>
      <c r="E306" s="764"/>
      <c r="F306" s="764"/>
      <c r="G306" s="764"/>
      <c r="H306" s="764"/>
      <c r="I306" s="764"/>
      <c r="J306" s="764"/>
      <c r="K306" s="764"/>
      <c r="L306" s="764"/>
      <c r="M306" s="764"/>
      <c r="N306" s="773"/>
      <c r="O306" s="764"/>
      <c r="P306" s="764"/>
      <c r="Q306" s="764"/>
      <c r="R306" s="764"/>
      <c r="S306" s="764"/>
      <c r="T306" s="764"/>
      <c r="U306" s="764"/>
      <c r="V306" s="764"/>
      <c r="W306" s="764"/>
      <c r="X306" s="764"/>
      <c r="Y306" s="764"/>
      <c r="Z306" s="764"/>
      <c r="AA306" s="764"/>
      <c r="AB306" s="764"/>
      <c r="AC306" s="764"/>
      <c r="AD306" s="794"/>
      <c r="AE306" s="764"/>
      <c r="AF306" s="764"/>
      <c r="AG306" s="764"/>
      <c r="AH306" s="764"/>
      <c r="AI306" s="764"/>
      <c r="AJ306" s="764"/>
      <c r="AK306" s="764"/>
      <c r="AL306" s="764"/>
      <c r="AM306" s="764"/>
      <c r="AN306" s="764"/>
      <c r="AO306" s="764"/>
      <c r="AP306" s="764"/>
      <c r="AQ306" s="764"/>
      <c r="AR306" s="764"/>
      <c r="AS306" s="764"/>
    </row>
    <row r="307" spans="1:45" ht="13.9">
      <c r="A307" s="764"/>
      <c r="B307" s="764"/>
      <c r="C307" s="764"/>
      <c r="D307" s="764"/>
      <c r="E307" s="764"/>
      <c r="F307" s="764"/>
      <c r="G307" s="764"/>
      <c r="H307" s="764"/>
      <c r="I307" s="764"/>
      <c r="J307" s="764"/>
      <c r="K307" s="764"/>
      <c r="L307" s="764"/>
      <c r="M307" s="764"/>
      <c r="N307" s="773"/>
      <c r="O307" s="764"/>
      <c r="P307" s="764"/>
      <c r="Q307" s="764"/>
      <c r="R307" s="764"/>
      <c r="S307" s="764"/>
      <c r="T307" s="764"/>
      <c r="U307" s="764"/>
      <c r="V307" s="764"/>
      <c r="W307" s="764"/>
      <c r="X307" s="764"/>
      <c r="Y307" s="764"/>
      <c r="Z307" s="764"/>
      <c r="AA307" s="764"/>
      <c r="AB307" s="764"/>
      <c r="AC307" s="764"/>
      <c r="AD307" s="794"/>
      <c r="AE307" s="764"/>
      <c r="AF307" s="764"/>
      <c r="AG307" s="764"/>
      <c r="AH307" s="764"/>
      <c r="AI307" s="764"/>
      <c r="AJ307" s="764"/>
      <c r="AK307" s="764"/>
      <c r="AL307" s="764"/>
      <c r="AM307" s="764"/>
      <c r="AN307" s="764"/>
      <c r="AO307" s="764"/>
      <c r="AP307" s="764"/>
      <c r="AQ307" s="764"/>
      <c r="AR307" s="764"/>
      <c r="AS307" s="764"/>
    </row>
    <row r="308" spans="1:45" ht="13.9">
      <c r="A308" s="764"/>
      <c r="B308" s="764"/>
      <c r="C308" s="764"/>
      <c r="D308" s="764"/>
      <c r="E308" s="764"/>
      <c r="F308" s="764"/>
      <c r="G308" s="764"/>
      <c r="H308" s="764"/>
      <c r="I308" s="764"/>
      <c r="J308" s="764"/>
      <c r="K308" s="764"/>
      <c r="L308" s="764"/>
      <c r="M308" s="764"/>
      <c r="N308" s="773"/>
      <c r="O308" s="764"/>
      <c r="P308" s="764"/>
      <c r="Q308" s="764"/>
      <c r="R308" s="764"/>
      <c r="S308" s="764"/>
      <c r="T308" s="764"/>
      <c r="U308" s="764"/>
      <c r="V308" s="764"/>
      <c r="W308" s="764"/>
      <c r="X308" s="764"/>
      <c r="Y308" s="764"/>
      <c r="Z308" s="764"/>
      <c r="AA308" s="764"/>
      <c r="AB308" s="764"/>
      <c r="AC308" s="764"/>
      <c r="AD308" s="794"/>
      <c r="AE308" s="764"/>
      <c r="AF308" s="764"/>
      <c r="AG308" s="764"/>
      <c r="AH308" s="764"/>
      <c r="AI308" s="764"/>
      <c r="AJ308" s="764"/>
      <c r="AK308" s="764"/>
      <c r="AL308" s="764"/>
      <c r="AM308" s="764"/>
      <c r="AN308" s="764"/>
      <c r="AO308" s="764"/>
      <c r="AP308" s="764"/>
      <c r="AQ308" s="764"/>
      <c r="AR308" s="764"/>
      <c r="AS308" s="764"/>
    </row>
    <row r="309" spans="1:45" ht="13.9">
      <c r="A309" s="764"/>
      <c r="B309" s="764"/>
      <c r="C309" s="764"/>
      <c r="D309" s="764"/>
      <c r="E309" s="764"/>
      <c r="F309" s="764"/>
      <c r="G309" s="764"/>
      <c r="H309" s="764"/>
      <c r="I309" s="764"/>
      <c r="J309" s="764"/>
      <c r="K309" s="764"/>
      <c r="L309" s="764"/>
      <c r="M309" s="764"/>
      <c r="N309" s="773"/>
      <c r="O309" s="764"/>
      <c r="P309" s="764"/>
      <c r="Q309" s="764"/>
      <c r="R309" s="764"/>
      <c r="S309" s="764"/>
      <c r="T309" s="764"/>
      <c r="U309" s="764"/>
      <c r="V309" s="764"/>
      <c r="W309" s="764"/>
      <c r="X309" s="764"/>
      <c r="Y309" s="764"/>
      <c r="Z309" s="764"/>
      <c r="AA309" s="764"/>
      <c r="AB309" s="764"/>
      <c r="AC309" s="764"/>
      <c r="AD309" s="794"/>
      <c r="AE309" s="764"/>
      <c r="AF309" s="764"/>
      <c r="AG309" s="764"/>
      <c r="AH309" s="764"/>
      <c r="AI309" s="764"/>
      <c r="AJ309" s="764"/>
      <c r="AK309" s="764"/>
      <c r="AL309" s="764"/>
      <c r="AM309" s="764"/>
      <c r="AN309" s="764"/>
      <c r="AO309" s="764"/>
      <c r="AP309" s="764"/>
      <c r="AQ309" s="764"/>
      <c r="AR309" s="764"/>
      <c r="AS309" s="764"/>
    </row>
    <row r="310" spans="1:45" ht="13.9">
      <c r="A310" s="764"/>
      <c r="B310" s="764"/>
      <c r="C310" s="764"/>
      <c r="D310" s="764"/>
      <c r="E310" s="764"/>
      <c r="F310" s="764"/>
      <c r="G310" s="764"/>
      <c r="H310" s="764"/>
      <c r="I310" s="764"/>
      <c r="J310" s="764"/>
      <c r="K310" s="764"/>
      <c r="L310" s="764"/>
      <c r="M310" s="764"/>
      <c r="N310" s="773"/>
      <c r="O310" s="764"/>
      <c r="P310" s="764"/>
      <c r="Q310" s="764"/>
      <c r="R310" s="764"/>
      <c r="S310" s="764"/>
      <c r="T310" s="764"/>
      <c r="U310" s="764"/>
      <c r="V310" s="764"/>
      <c r="W310" s="764"/>
      <c r="X310" s="764"/>
      <c r="Y310" s="764"/>
      <c r="Z310" s="764"/>
      <c r="AA310" s="764"/>
      <c r="AB310" s="764"/>
      <c r="AC310" s="764"/>
      <c r="AD310" s="794"/>
      <c r="AE310" s="764"/>
      <c r="AF310" s="764"/>
      <c r="AG310" s="764"/>
      <c r="AH310" s="764"/>
      <c r="AI310" s="764"/>
      <c r="AJ310" s="764"/>
      <c r="AK310" s="764"/>
      <c r="AL310" s="764"/>
      <c r="AM310" s="764"/>
      <c r="AN310" s="764"/>
      <c r="AO310" s="764"/>
      <c r="AP310" s="764"/>
      <c r="AQ310" s="764"/>
      <c r="AR310" s="764"/>
      <c r="AS310" s="764"/>
    </row>
    <row r="311" spans="1:45" ht="13.9">
      <c r="A311" s="764"/>
      <c r="B311" s="764"/>
      <c r="C311" s="764"/>
      <c r="D311" s="764"/>
      <c r="E311" s="764"/>
      <c r="F311" s="764"/>
      <c r="G311" s="764"/>
      <c r="H311" s="764"/>
      <c r="I311" s="764"/>
      <c r="J311" s="764"/>
      <c r="K311" s="764"/>
      <c r="L311" s="764"/>
      <c r="M311" s="764"/>
      <c r="N311" s="773"/>
      <c r="O311" s="764"/>
      <c r="P311" s="764"/>
      <c r="Q311" s="764"/>
      <c r="R311" s="764"/>
      <c r="S311" s="764"/>
      <c r="T311" s="764"/>
      <c r="U311" s="764"/>
      <c r="V311" s="764"/>
      <c r="W311" s="764"/>
      <c r="X311" s="764"/>
      <c r="Y311" s="764"/>
      <c r="Z311" s="764"/>
      <c r="AA311" s="764"/>
      <c r="AB311" s="764"/>
      <c r="AC311" s="764"/>
      <c r="AD311" s="794"/>
      <c r="AE311" s="764"/>
      <c r="AF311" s="764"/>
      <c r="AG311" s="764"/>
      <c r="AH311" s="764"/>
      <c r="AI311" s="764"/>
      <c r="AJ311" s="764"/>
      <c r="AK311" s="764"/>
      <c r="AL311" s="764"/>
      <c r="AM311" s="764"/>
      <c r="AN311" s="764"/>
      <c r="AO311" s="764"/>
      <c r="AP311" s="764"/>
      <c r="AQ311" s="764"/>
      <c r="AR311" s="764"/>
      <c r="AS311" s="764"/>
    </row>
    <row r="312" spans="1:45" ht="13.9">
      <c r="A312" s="764"/>
      <c r="B312" s="764"/>
      <c r="C312" s="764"/>
      <c r="D312" s="764"/>
      <c r="E312" s="764"/>
      <c r="F312" s="764"/>
      <c r="G312" s="764"/>
      <c r="H312" s="764"/>
      <c r="I312" s="764"/>
      <c r="J312" s="764"/>
      <c r="K312" s="764"/>
      <c r="L312" s="764"/>
      <c r="M312" s="764"/>
      <c r="N312" s="773"/>
      <c r="O312" s="764"/>
      <c r="P312" s="764"/>
      <c r="Q312" s="764"/>
      <c r="R312" s="764"/>
      <c r="S312" s="764"/>
      <c r="T312" s="764"/>
      <c r="U312" s="764"/>
      <c r="V312" s="764"/>
      <c r="W312" s="764"/>
      <c r="X312" s="764"/>
      <c r="Y312" s="764"/>
      <c r="Z312" s="764"/>
      <c r="AA312" s="764"/>
      <c r="AB312" s="764"/>
      <c r="AC312" s="764"/>
      <c r="AD312" s="794"/>
      <c r="AE312" s="764"/>
      <c r="AF312" s="764"/>
      <c r="AG312" s="764"/>
      <c r="AH312" s="764"/>
      <c r="AI312" s="764"/>
      <c r="AJ312" s="764"/>
      <c r="AK312" s="764"/>
      <c r="AL312" s="764"/>
      <c r="AM312" s="764"/>
      <c r="AN312" s="764"/>
      <c r="AO312" s="764"/>
      <c r="AP312" s="764"/>
      <c r="AQ312" s="764"/>
      <c r="AR312" s="764"/>
      <c r="AS312" s="764"/>
    </row>
    <row r="313" spans="1:45" ht="13.9">
      <c r="A313" s="764"/>
      <c r="B313" s="764"/>
      <c r="C313" s="764"/>
      <c r="D313" s="764"/>
      <c r="E313" s="764"/>
      <c r="F313" s="764"/>
      <c r="G313" s="764"/>
      <c r="H313" s="764"/>
      <c r="I313" s="764"/>
      <c r="J313" s="764"/>
      <c r="K313" s="764"/>
      <c r="L313" s="764"/>
      <c r="M313" s="764"/>
      <c r="N313" s="773"/>
      <c r="O313" s="764"/>
      <c r="P313" s="764"/>
      <c r="Q313" s="764"/>
      <c r="R313" s="764"/>
      <c r="S313" s="764"/>
      <c r="T313" s="764"/>
      <c r="U313" s="764"/>
      <c r="V313" s="764"/>
      <c r="W313" s="764"/>
      <c r="X313" s="764"/>
      <c r="Y313" s="764"/>
      <c r="Z313" s="764"/>
      <c r="AA313" s="764"/>
      <c r="AB313" s="764"/>
      <c r="AC313" s="764"/>
      <c r="AD313" s="794"/>
      <c r="AE313" s="764"/>
      <c r="AF313" s="764"/>
      <c r="AG313" s="764"/>
      <c r="AH313" s="764"/>
      <c r="AI313" s="764"/>
      <c r="AJ313" s="764"/>
      <c r="AK313" s="764"/>
      <c r="AL313" s="764"/>
      <c r="AM313" s="764"/>
      <c r="AN313" s="764"/>
      <c r="AO313" s="764"/>
      <c r="AP313" s="764"/>
      <c r="AQ313" s="764"/>
      <c r="AR313" s="764"/>
      <c r="AS313" s="764"/>
    </row>
    <row r="314" spans="1:45" ht="13.9">
      <c r="A314" s="764"/>
      <c r="B314" s="764"/>
      <c r="C314" s="764"/>
      <c r="D314" s="764"/>
      <c r="E314" s="764"/>
      <c r="F314" s="764"/>
      <c r="G314" s="764"/>
      <c r="H314" s="764"/>
      <c r="I314" s="764"/>
      <c r="J314" s="764"/>
      <c r="K314" s="764"/>
      <c r="L314" s="764"/>
      <c r="M314" s="764"/>
      <c r="N314" s="773"/>
      <c r="O314" s="764"/>
      <c r="P314" s="764"/>
      <c r="Q314" s="764"/>
      <c r="R314" s="764"/>
      <c r="S314" s="764"/>
      <c r="T314" s="764"/>
      <c r="U314" s="764"/>
      <c r="V314" s="764"/>
      <c r="W314" s="764"/>
      <c r="X314" s="764"/>
      <c r="Y314" s="764"/>
      <c r="Z314" s="764"/>
      <c r="AA314" s="764"/>
      <c r="AB314" s="764"/>
      <c r="AC314" s="764"/>
      <c r="AD314" s="794"/>
      <c r="AE314" s="764"/>
      <c r="AF314" s="764"/>
      <c r="AG314" s="764"/>
      <c r="AH314" s="764"/>
      <c r="AI314" s="764"/>
      <c r="AJ314" s="764"/>
      <c r="AK314" s="764"/>
      <c r="AL314" s="764"/>
      <c r="AM314" s="764"/>
      <c r="AN314" s="764"/>
      <c r="AO314" s="764"/>
      <c r="AP314" s="764"/>
      <c r="AQ314" s="764"/>
      <c r="AR314" s="764"/>
      <c r="AS314" s="764"/>
    </row>
    <row r="315" spans="1:45" ht="13.9">
      <c r="A315" s="764"/>
      <c r="B315" s="764"/>
      <c r="C315" s="764"/>
      <c r="D315" s="764"/>
      <c r="E315" s="764"/>
      <c r="F315" s="764"/>
      <c r="G315" s="764"/>
      <c r="H315" s="764"/>
      <c r="I315" s="764"/>
      <c r="J315" s="764"/>
      <c r="K315" s="764"/>
      <c r="L315" s="764"/>
      <c r="M315" s="764"/>
      <c r="N315" s="773"/>
      <c r="O315" s="764"/>
      <c r="P315" s="764"/>
      <c r="Q315" s="764"/>
      <c r="R315" s="764"/>
      <c r="S315" s="764"/>
      <c r="T315" s="764"/>
      <c r="U315" s="764"/>
      <c r="V315" s="764"/>
      <c r="W315" s="764"/>
      <c r="X315" s="764"/>
      <c r="Y315" s="764"/>
      <c r="Z315" s="764"/>
      <c r="AA315" s="764"/>
      <c r="AB315" s="764"/>
      <c r="AC315" s="764"/>
      <c r="AD315" s="794"/>
      <c r="AE315" s="764"/>
      <c r="AF315" s="764"/>
      <c r="AG315" s="764"/>
      <c r="AH315" s="764"/>
      <c r="AI315" s="764"/>
      <c r="AJ315" s="764"/>
      <c r="AK315" s="764"/>
      <c r="AL315" s="764"/>
      <c r="AM315" s="764"/>
      <c r="AN315" s="764"/>
      <c r="AO315" s="764"/>
      <c r="AP315" s="764"/>
      <c r="AQ315" s="764"/>
      <c r="AR315" s="764"/>
      <c r="AS315" s="764"/>
    </row>
    <row r="316" spans="1:45" ht="13.9">
      <c r="A316" s="764"/>
      <c r="B316" s="764"/>
      <c r="C316" s="764"/>
      <c r="D316" s="764"/>
      <c r="E316" s="764"/>
      <c r="F316" s="764"/>
      <c r="G316" s="764"/>
      <c r="H316" s="764"/>
      <c r="I316" s="764"/>
      <c r="J316" s="764"/>
      <c r="K316" s="764"/>
      <c r="L316" s="764"/>
      <c r="M316" s="764"/>
      <c r="N316" s="773"/>
      <c r="O316" s="764"/>
      <c r="P316" s="764"/>
      <c r="Q316" s="764"/>
      <c r="R316" s="764"/>
      <c r="S316" s="764"/>
      <c r="T316" s="764"/>
      <c r="U316" s="764"/>
      <c r="V316" s="764"/>
      <c r="W316" s="764"/>
      <c r="X316" s="764"/>
      <c r="Y316" s="764"/>
      <c r="Z316" s="764"/>
      <c r="AA316" s="764"/>
      <c r="AB316" s="764"/>
      <c r="AC316" s="764"/>
      <c r="AD316" s="794"/>
      <c r="AE316" s="764"/>
      <c r="AF316" s="764"/>
      <c r="AG316" s="764"/>
      <c r="AH316" s="764"/>
      <c r="AI316" s="764"/>
      <c r="AJ316" s="764"/>
      <c r="AK316" s="764"/>
      <c r="AL316" s="764"/>
      <c r="AM316" s="764"/>
      <c r="AN316" s="764"/>
      <c r="AO316" s="764"/>
      <c r="AP316" s="764"/>
      <c r="AQ316" s="764"/>
      <c r="AR316" s="764"/>
      <c r="AS316" s="764"/>
    </row>
    <row r="317" spans="1:45" ht="13.9">
      <c r="A317" s="764"/>
      <c r="B317" s="764"/>
      <c r="C317" s="764"/>
      <c r="D317" s="764"/>
      <c r="E317" s="764"/>
      <c r="F317" s="764"/>
      <c r="G317" s="764"/>
      <c r="H317" s="764"/>
      <c r="I317" s="764"/>
      <c r="J317" s="764"/>
      <c r="K317" s="764"/>
      <c r="L317" s="764"/>
      <c r="M317" s="764"/>
      <c r="N317" s="773"/>
      <c r="O317" s="764"/>
      <c r="P317" s="764"/>
      <c r="Q317" s="764"/>
      <c r="R317" s="764"/>
      <c r="S317" s="764"/>
      <c r="T317" s="764"/>
      <c r="U317" s="764"/>
      <c r="V317" s="764"/>
      <c r="W317" s="764"/>
      <c r="X317" s="764"/>
      <c r="Y317" s="764"/>
      <c r="Z317" s="764"/>
      <c r="AA317" s="764"/>
      <c r="AB317" s="764"/>
      <c r="AC317" s="764"/>
      <c r="AD317" s="794"/>
      <c r="AE317" s="764"/>
      <c r="AF317" s="764"/>
      <c r="AG317" s="764"/>
      <c r="AH317" s="764"/>
      <c r="AI317" s="764"/>
      <c r="AJ317" s="764"/>
      <c r="AK317" s="764"/>
      <c r="AL317" s="764"/>
      <c r="AM317" s="764"/>
      <c r="AN317" s="764"/>
      <c r="AO317" s="764"/>
      <c r="AP317" s="764"/>
      <c r="AQ317" s="764"/>
      <c r="AR317" s="764"/>
      <c r="AS317" s="764"/>
    </row>
    <row r="318" spans="1:45" ht="13.9">
      <c r="A318" s="764"/>
      <c r="B318" s="764"/>
      <c r="C318" s="764"/>
      <c r="D318" s="764"/>
      <c r="E318" s="764"/>
      <c r="F318" s="764"/>
      <c r="G318" s="764"/>
      <c r="H318" s="764"/>
      <c r="I318" s="764"/>
      <c r="J318" s="764"/>
      <c r="K318" s="764"/>
      <c r="L318" s="764"/>
      <c r="M318" s="764"/>
      <c r="N318" s="773"/>
      <c r="O318" s="764"/>
      <c r="P318" s="764"/>
      <c r="Q318" s="764"/>
      <c r="R318" s="764"/>
      <c r="S318" s="764"/>
      <c r="T318" s="764"/>
      <c r="U318" s="764"/>
      <c r="V318" s="764"/>
      <c r="W318" s="764"/>
      <c r="X318" s="764"/>
      <c r="Y318" s="764"/>
      <c r="Z318" s="764"/>
      <c r="AA318" s="764"/>
      <c r="AB318" s="764"/>
      <c r="AC318" s="764"/>
      <c r="AD318" s="794"/>
      <c r="AE318" s="764"/>
      <c r="AF318" s="764"/>
      <c r="AG318" s="764"/>
      <c r="AH318" s="764"/>
      <c r="AI318" s="764"/>
      <c r="AJ318" s="764"/>
      <c r="AK318" s="764"/>
      <c r="AL318" s="764"/>
      <c r="AM318" s="764"/>
      <c r="AN318" s="764"/>
      <c r="AO318" s="764"/>
      <c r="AP318" s="764"/>
      <c r="AQ318" s="764"/>
      <c r="AR318" s="764"/>
      <c r="AS318" s="764"/>
    </row>
    <row r="319" spans="1:45" ht="13.9">
      <c r="A319" s="764"/>
      <c r="B319" s="764"/>
      <c r="C319" s="764"/>
      <c r="D319" s="764"/>
      <c r="E319" s="764"/>
      <c r="F319" s="764"/>
      <c r="G319" s="764"/>
      <c r="H319" s="764"/>
      <c r="I319" s="764"/>
      <c r="J319" s="764"/>
      <c r="K319" s="764"/>
      <c r="L319" s="764"/>
      <c r="M319" s="764"/>
      <c r="N319" s="773"/>
      <c r="O319" s="764"/>
      <c r="P319" s="764"/>
      <c r="Q319" s="764"/>
      <c r="R319" s="764"/>
      <c r="S319" s="764"/>
      <c r="T319" s="764"/>
      <c r="U319" s="764"/>
      <c r="V319" s="764"/>
      <c r="W319" s="764"/>
      <c r="X319" s="764"/>
      <c r="Y319" s="764"/>
      <c r="Z319" s="764"/>
      <c r="AA319" s="764"/>
      <c r="AB319" s="764"/>
      <c r="AC319" s="764"/>
      <c r="AD319" s="794"/>
      <c r="AE319" s="764"/>
      <c r="AF319" s="764"/>
      <c r="AG319" s="764"/>
      <c r="AH319" s="764"/>
      <c r="AI319" s="764"/>
      <c r="AJ319" s="764"/>
      <c r="AK319" s="764"/>
      <c r="AL319" s="764"/>
      <c r="AM319" s="764"/>
      <c r="AN319" s="764"/>
      <c r="AO319" s="764"/>
      <c r="AP319" s="764"/>
      <c r="AQ319" s="764"/>
      <c r="AR319" s="764"/>
      <c r="AS319" s="764"/>
    </row>
    <row r="320" spans="1:45" ht="13.9">
      <c r="A320" s="764"/>
      <c r="B320" s="764"/>
      <c r="C320" s="764"/>
      <c r="D320" s="764"/>
      <c r="E320" s="764"/>
      <c r="F320" s="764"/>
      <c r="G320" s="764"/>
      <c r="H320" s="764"/>
      <c r="I320" s="764"/>
      <c r="J320" s="764"/>
      <c r="K320" s="764"/>
      <c r="L320" s="764"/>
      <c r="M320" s="764"/>
      <c r="N320" s="773"/>
      <c r="O320" s="764"/>
      <c r="P320" s="764"/>
      <c r="Q320" s="764"/>
      <c r="R320" s="764"/>
      <c r="S320" s="764"/>
      <c r="T320" s="764"/>
      <c r="U320" s="764"/>
      <c r="V320" s="764"/>
      <c r="W320" s="764"/>
      <c r="X320" s="764"/>
      <c r="Y320" s="764"/>
      <c r="Z320" s="764"/>
      <c r="AA320" s="764"/>
      <c r="AB320" s="764"/>
      <c r="AC320" s="764"/>
      <c r="AD320" s="794"/>
      <c r="AE320" s="764"/>
      <c r="AF320" s="764"/>
      <c r="AG320" s="764"/>
      <c r="AH320" s="764"/>
      <c r="AI320" s="764"/>
      <c r="AJ320" s="764"/>
      <c r="AK320" s="764"/>
      <c r="AL320" s="764"/>
      <c r="AM320" s="764"/>
      <c r="AN320" s="764"/>
      <c r="AO320" s="764"/>
      <c r="AP320" s="764"/>
      <c r="AQ320" s="764"/>
      <c r="AR320" s="764"/>
      <c r="AS320" s="764"/>
    </row>
    <row r="321" spans="1:45" ht="13.9">
      <c r="A321" s="764"/>
      <c r="B321" s="764"/>
      <c r="C321" s="764"/>
      <c r="D321" s="764"/>
      <c r="E321" s="764"/>
      <c r="F321" s="764"/>
      <c r="G321" s="764"/>
      <c r="H321" s="764"/>
      <c r="I321" s="764"/>
      <c r="J321" s="764"/>
      <c r="K321" s="764"/>
      <c r="L321" s="764"/>
      <c r="M321" s="764"/>
      <c r="N321" s="773"/>
      <c r="O321" s="764"/>
      <c r="P321" s="764"/>
      <c r="Q321" s="764"/>
      <c r="R321" s="764"/>
      <c r="S321" s="764"/>
      <c r="T321" s="764"/>
      <c r="U321" s="764"/>
      <c r="V321" s="764"/>
      <c r="W321" s="764"/>
      <c r="X321" s="764"/>
      <c r="Y321" s="764"/>
      <c r="Z321" s="764"/>
      <c r="AA321" s="764"/>
      <c r="AB321" s="764"/>
      <c r="AC321" s="764"/>
      <c r="AD321" s="794"/>
      <c r="AE321" s="764"/>
      <c r="AF321" s="764"/>
      <c r="AG321" s="764"/>
      <c r="AH321" s="764"/>
      <c r="AI321" s="764"/>
      <c r="AJ321" s="764"/>
      <c r="AK321" s="764"/>
      <c r="AL321" s="764"/>
      <c r="AM321" s="764"/>
      <c r="AN321" s="764"/>
      <c r="AO321" s="764"/>
      <c r="AP321" s="764"/>
      <c r="AQ321" s="764"/>
      <c r="AR321" s="764"/>
      <c r="AS321" s="764"/>
    </row>
    <row r="322" spans="1:45" ht="13.9">
      <c r="A322" s="764"/>
      <c r="B322" s="764"/>
      <c r="C322" s="764"/>
      <c r="D322" s="764"/>
      <c r="E322" s="764"/>
      <c r="F322" s="764"/>
      <c r="G322" s="764"/>
      <c r="H322" s="764"/>
      <c r="I322" s="764"/>
      <c r="J322" s="764"/>
      <c r="K322" s="764"/>
      <c r="L322" s="764"/>
      <c r="M322" s="764"/>
      <c r="N322" s="773"/>
      <c r="O322" s="764"/>
      <c r="P322" s="764"/>
      <c r="Q322" s="764"/>
      <c r="R322" s="764"/>
      <c r="S322" s="764"/>
      <c r="T322" s="764"/>
      <c r="U322" s="764"/>
      <c r="V322" s="764"/>
      <c r="W322" s="764"/>
      <c r="X322" s="764"/>
      <c r="Y322" s="764"/>
      <c r="Z322" s="764"/>
      <c r="AA322" s="764"/>
      <c r="AB322" s="764"/>
      <c r="AC322" s="764"/>
      <c r="AD322" s="794"/>
      <c r="AE322" s="764"/>
      <c r="AF322" s="764"/>
      <c r="AG322" s="764"/>
      <c r="AH322" s="764"/>
      <c r="AI322" s="764"/>
      <c r="AJ322" s="764"/>
      <c r="AK322" s="764"/>
      <c r="AL322" s="764"/>
      <c r="AM322" s="764"/>
      <c r="AN322" s="764"/>
      <c r="AO322" s="764"/>
      <c r="AP322" s="764"/>
      <c r="AQ322" s="764"/>
      <c r="AR322" s="764"/>
      <c r="AS322" s="764"/>
    </row>
    <row r="323" spans="1:45" ht="13.9">
      <c r="A323" s="764"/>
      <c r="B323" s="764"/>
      <c r="C323" s="764"/>
      <c r="D323" s="764"/>
      <c r="E323" s="764"/>
      <c r="F323" s="764"/>
      <c r="G323" s="764"/>
      <c r="H323" s="764"/>
      <c r="I323" s="764"/>
      <c r="J323" s="764"/>
      <c r="K323" s="764"/>
      <c r="L323" s="764"/>
      <c r="M323" s="764"/>
      <c r="N323" s="773"/>
      <c r="O323" s="764"/>
      <c r="P323" s="764"/>
      <c r="Q323" s="764"/>
      <c r="R323" s="764"/>
      <c r="S323" s="764"/>
      <c r="T323" s="764"/>
      <c r="U323" s="764"/>
      <c r="V323" s="764"/>
      <c r="W323" s="764"/>
      <c r="X323" s="764"/>
      <c r="Y323" s="764"/>
      <c r="Z323" s="764"/>
      <c r="AA323" s="764"/>
      <c r="AB323" s="764"/>
      <c r="AC323" s="764"/>
      <c r="AD323" s="794"/>
      <c r="AE323" s="764"/>
      <c r="AF323" s="764"/>
      <c r="AG323" s="764"/>
      <c r="AH323" s="764"/>
      <c r="AI323" s="764"/>
      <c r="AJ323" s="764"/>
      <c r="AK323" s="764"/>
      <c r="AL323" s="764"/>
      <c r="AM323" s="764"/>
      <c r="AN323" s="764"/>
      <c r="AO323" s="764"/>
      <c r="AP323" s="764"/>
      <c r="AQ323" s="764"/>
      <c r="AR323" s="764"/>
      <c r="AS323" s="764"/>
    </row>
    <row r="324" spans="1:45" ht="13.9">
      <c r="A324" s="764"/>
      <c r="B324" s="764"/>
      <c r="C324" s="764"/>
      <c r="D324" s="764"/>
      <c r="E324" s="764"/>
      <c r="F324" s="764"/>
      <c r="G324" s="764"/>
      <c r="H324" s="764"/>
      <c r="I324" s="764"/>
      <c r="J324" s="764"/>
      <c r="K324" s="764"/>
      <c r="L324" s="764"/>
      <c r="M324" s="764"/>
      <c r="N324" s="773"/>
      <c r="O324" s="764"/>
      <c r="P324" s="764"/>
      <c r="Q324" s="764"/>
      <c r="R324" s="764"/>
      <c r="S324" s="764"/>
      <c r="T324" s="764"/>
      <c r="U324" s="764"/>
      <c r="V324" s="764"/>
      <c r="W324" s="764"/>
      <c r="X324" s="764"/>
      <c r="Y324" s="764"/>
      <c r="Z324" s="764"/>
      <c r="AA324" s="764"/>
      <c r="AB324" s="764"/>
      <c r="AC324" s="764"/>
      <c r="AD324" s="794"/>
      <c r="AE324" s="764"/>
      <c r="AF324" s="764"/>
      <c r="AG324" s="764"/>
      <c r="AH324" s="764"/>
      <c r="AI324" s="764"/>
      <c r="AJ324" s="764"/>
      <c r="AK324" s="764"/>
      <c r="AL324" s="764"/>
      <c r="AM324" s="764"/>
      <c r="AN324" s="764"/>
      <c r="AO324" s="764"/>
      <c r="AP324" s="764"/>
      <c r="AQ324" s="764"/>
      <c r="AR324" s="764"/>
      <c r="AS324" s="764"/>
    </row>
    <row r="325" spans="1:45" ht="13.9">
      <c r="A325" s="764"/>
      <c r="B325" s="764"/>
      <c r="C325" s="764"/>
      <c r="D325" s="764"/>
      <c r="E325" s="764"/>
      <c r="F325" s="764"/>
      <c r="G325" s="764"/>
      <c r="H325" s="764"/>
      <c r="I325" s="764"/>
      <c r="J325" s="764"/>
      <c r="K325" s="764"/>
      <c r="L325" s="764"/>
      <c r="M325" s="764"/>
      <c r="N325" s="773"/>
      <c r="O325" s="764"/>
      <c r="P325" s="764"/>
      <c r="Q325" s="764"/>
      <c r="R325" s="764"/>
      <c r="S325" s="764"/>
      <c r="T325" s="764"/>
      <c r="U325" s="764"/>
      <c r="V325" s="764"/>
      <c r="W325" s="764"/>
      <c r="X325" s="764"/>
      <c r="Y325" s="764"/>
      <c r="Z325" s="764"/>
      <c r="AA325" s="764"/>
      <c r="AB325" s="764"/>
      <c r="AC325" s="764"/>
      <c r="AD325" s="794"/>
      <c r="AE325" s="764"/>
      <c r="AF325" s="764"/>
      <c r="AG325" s="764"/>
      <c r="AH325" s="764"/>
      <c r="AI325" s="764"/>
      <c r="AJ325" s="764"/>
      <c r="AK325" s="764"/>
      <c r="AL325" s="764"/>
      <c r="AM325" s="764"/>
      <c r="AN325" s="764"/>
      <c r="AO325" s="764"/>
      <c r="AP325" s="764"/>
      <c r="AQ325" s="764"/>
      <c r="AR325" s="764"/>
      <c r="AS325" s="764"/>
    </row>
    <row r="326" spans="1:45" ht="13.9">
      <c r="A326" s="764"/>
      <c r="B326" s="764"/>
      <c r="C326" s="764"/>
      <c r="D326" s="764"/>
      <c r="E326" s="764"/>
      <c r="F326" s="764"/>
      <c r="G326" s="764"/>
      <c r="H326" s="764"/>
      <c r="I326" s="764"/>
      <c r="J326" s="764"/>
      <c r="K326" s="764"/>
      <c r="L326" s="764"/>
      <c r="M326" s="764"/>
      <c r="N326" s="773"/>
      <c r="O326" s="764"/>
      <c r="P326" s="764"/>
      <c r="Q326" s="764"/>
      <c r="R326" s="764"/>
      <c r="S326" s="764"/>
      <c r="T326" s="764"/>
      <c r="U326" s="764"/>
      <c r="V326" s="764"/>
      <c r="W326" s="764"/>
      <c r="X326" s="764"/>
      <c r="Y326" s="764"/>
      <c r="Z326" s="764"/>
      <c r="AA326" s="764"/>
      <c r="AB326" s="764"/>
      <c r="AC326" s="764"/>
      <c r="AD326" s="794"/>
      <c r="AE326" s="764"/>
      <c r="AF326" s="764"/>
      <c r="AG326" s="764"/>
      <c r="AH326" s="764"/>
      <c r="AI326" s="764"/>
      <c r="AJ326" s="764"/>
      <c r="AK326" s="764"/>
      <c r="AL326" s="764"/>
      <c r="AM326" s="764"/>
      <c r="AN326" s="764"/>
      <c r="AO326" s="764"/>
      <c r="AP326" s="764"/>
      <c r="AQ326" s="764"/>
      <c r="AR326" s="764"/>
      <c r="AS326" s="764"/>
    </row>
    <row r="327" spans="1:45" ht="13.9">
      <c r="A327" s="764"/>
      <c r="B327" s="764"/>
      <c r="C327" s="764"/>
      <c r="D327" s="764"/>
      <c r="E327" s="764"/>
      <c r="F327" s="764"/>
      <c r="G327" s="764"/>
      <c r="H327" s="764"/>
      <c r="I327" s="764"/>
      <c r="J327" s="764"/>
      <c r="K327" s="764"/>
      <c r="L327" s="764"/>
      <c r="M327" s="764"/>
      <c r="N327" s="773"/>
      <c r="O327" s="764"/>
      <c r="P327" s="764"/>
      <c r="Q327" s="764"/>
      <c r="R327" s="764"/>
      <c r="S327" s="764"/>
      <c r="T327" s="764"/>
      <c r="U327" s="764"/>
      <c r="V327" s="764"/>
      <c r="W327" s="764"/>
      <c r="X327" s="764"/>
      <c r="Y327" s="764"/>
      <c r="Z327" s="764"/>
      <c r="AA327" s="764"/>
      <c r="AB327" s="764"/>
      <c r="AC327" s="764"/>
      <c r="AD327" s="794"/>
      <c r="AE327" s="764"/>
      <c r="AF327" s="764"/>
      <c r="AG327" s="764"/>
      <c r="AH327" s="764"/>
      <c r="AI327" s="764"/>
      <c r="AJ327" s="764"/>
      <c r="AK327" s="764"/>
      <c r="AL327" s="764"/>
      <c r="AM327" s="764"/>
      <c r="AN327" s="764"/>
      <c r="AO327" s="764"/>
      <c r="AP327" s="764"/>
      <c r="AQ327" s="764"/>
      <c r="AR327" s="764"/>
      <c r="AS327" s="764"/>
    </row>
    <row r="328" spans="1:45" ht="13.9">
      <c r="A328" s="764"/>
      <c r="B328" s="764"/>
      <c r="C328" s="764"/>
      <c r="D328" s="764"/>
      <c r="E328" s="764"/>
      <c r="F328" s="764"/>
      <c r="G328" s="764"/>
      <c r="H328" s="764"/>
      <c r="I328" s="764"/>
      <c r="J328" s="764"/>
      <c r="K328" s="764"/>
      <c r="L328" s="764"/>
      <c r="M328" s="764"/>
      <c r="N328" s="773"/>
      <c r="O328" s="764"/>
      <c r="P328" s="764"/>
      <c r="Q328" s="764"/>
      <c r="R328" s="764"/>
      <c r="S328" s="764"/>
      <c r="T328" s="764"/>
      <c r="U328" s="764"/>
      <c r="V328" s="764"/>
      <c r="W328" s="764"/>
      <c r="X328" s="764"/>
      <c r="Y328" s="764"/>
      <c r="Z328" s="764"/>
      <c r="AA328" s="764"/>
      <c r="AB328" s="764"/>
      <c r="AC328" s="764"/>
      <c r="AD328" s="794"/>
      <c r="AE328" s="764"/>
      <c r="AF328" s="764"/>
      <c r="AG328" s="764"/>
      <c r="AH328" s="764"/>
      <c r="AI328" s="764"/>
      <c r="AJ328" s="764"/>
      <c r="AK328" s="764"/>
      <c r="AL328" s="764"/>
      <c r="AM328" s="764"/>
      <c r="AN328" s="764"/>
      <c r="AO328" s="764"/>
      <c r="AP328" s="764"/>
      <c r="AQ328" s="764"/>
      <c r="AR328" s="764"/>
      <c r="AS328" s="764"/>
    </row>
    <row r="329" spans="1:45" ht="13.9">
      <c r="A329" s="764"/>
      <c r="B329" s="764"/>
      <c r="C329" s="764"/>
      <c r="D329" s="764"/>
      <c r="E329" s="764"/>
      <c r="F329" s="764"/>
      <c r="G329" s="764"/>
      <c r="H329" s="764"/>
      <c r="I329" s="764"/>
      <c r="J329" s="764"/>
      <c r="K329" s="764"/>
      <c r="L329" s="764"/>
      <c r="M329" s="764"/>
      <c r="N329" s="773"/>
      <c r="O329" s="764"/>
      <c r="P329" s="764"/>
      <c r="Q329" s="764"/>
      <c r="R329" s="764"/>
      <c r="S329" s="764"/>
      <c r="T329" s="764"/>
      <c r="U329" s="764"/>
      <c r="V329" s="764"/>
      <c r="W329" s="764"/>
      <c r="X329" s="764"/>
      <c r="Y329" s="764"/>
      <c r="Z329" s="764"/>
      <c r="AA329" s="764"/>
      <c r="AB329" s="764"/>
      <c r="AC329" s="764"/>
      <c r="AD329" s="794"/>
      <c r="AE329" s="764"/>
      <c r="AF329" s="764"/>
      <c r="AG329" s="764"/>
      <c r="AH329" s="764"/>
      <c r="AI329" s="764"/>
      <c r="AJ329" s="764"/>
      <c r="AK329" s="764"/>
      <c r="AL329" s="764"/>
      <c r="AM329" s="764"/>
      <c r="AN329" s="764"/>
      <c r="AO329" s="764"/>
      <c r="AP329" s="764"/>
      <c r="AQ329" s="764"/>
      <c r="AR329" s="764"/>
      <c r="AS329" s="764"/>
    </row>
    <row r="330" spans="1:45" ht="13.9">
      <c r="A330" s="764"/>
      <c r="B330" s="764"/>
      <c r="C330" s="764"/>
      <c r="D330" s="764"/>
      <c r="E330" s="764"/>
      <c r="F330" s="764"/>
      <c r="G330" s="764"/>
      <c r="H330" s="764"/>
      <c r="I330" s="764"/>
      <c r="J330" s="764"/>
      <c r="K330" s="764"/>
      <c r="L330" s="764"/>
      <c r="M330" s="764"/>
      <c r="N330" s="773"/>
      <c r="O330" s="764"/>
      <c r="P330" s="764"/>
      <c r="Q330" s="764"/>
      <c r="R330" s="764"/>
      <c r="S330" s="764"/>
      <c r="T330" s="764"/>
      <c r="U330" s="764"/>
      <c r="V330" s="764"/>
      <c r="W330" s="764"/>
      <c r="X330" s="764"/>
      <c r="Y330" s="764"/>
      <c r="Z330" s="764"/>
      <c r="AA330" s="764"/>
      <c r="AB330" s="764"/>
      <c r="AC330" s="764"/>
      <c r="AD330" s="794"/>
      <c r="AE330" s="764"/>
      <c r="AF330" s="764"/>
      <c r="AG330" s="764"/>
      <c r="AH330" s="764"/>
      <c r="AI330" s="764"/>
      <c r="AJ330" s="764"/>
      <c r="AK330" s="764"/>
      <c r="AL330" s="764"/>
      <c r="AM330" s="764"/>
      <c r="AN330" s="764"/>
      <c r="AO330" s="764"/>
      <c r="AP330" s="764"/>
      <c r="AQ330" s="764"/>
      <c r="AR330" s="764"/>
      <c r="AS330" s="764"/>
    </row>
    <row r="331" spans="1:45" ht="13.9">
      <c r="A331" s="764"/>
      <c r="B331" s="764"/>
      <c r="C331" s="764"/>
      <c r="D331" s="764"/>
      <c r="E331" s="764"/>
      <c r="F331" s="764"/>
      <c r="G331" s="764"/>
      <c r="H331" s="764"/>
      <c r="I331" s="764"/>
      <c r="J331" s="764"/>
      <c r="K331" s="764"/>
      <c r="L331" s="764"/>
      <c r="M331" s="764"/>
      <c r="N331" s="773"/>
      <c r="O331" s="764"/>
      <c r="P331" s="764"/>
      <c r="Q331" s="764"/>
      <c r="R331" s="764"/>
      <c r="S331" s="764"/>
      <c r="T331" s="764"/>
      <c r="U331" s="764"/>
      <c r="V331" s="764"/>
      <c r="W331" s="764"/>
      <c r="X331" s="764"/>
      <c r="Y331" s="764"/>
      <c r="Z331" s="764"/>
      <c r="AA331" s="764"/>
      <c r="AB331" s="764"/>
      <c r="AC331" s="764"/>
      <c r="AD331" s="794"/>
      <c r="AE331" s="764"/>
      <c r="AF331" s="764"/>
      <c r="AG331" s="764"/>
      <c r="AH331" s="764"/>
      <c r="AI331" s="764"/>
      <c r="AJ331" s="764"/>
      <c r="AK331" s="764"/>
      <c r="AL331" s="764"/>
      <c r="AM331" s="764"/>
      <c r="AN331" s="764"/>
      <c r="AO331" s="764"/>
      <c r="AP331" s="764"/>
      <c r="AQ331" s="764"/>
      <c r="AR331" s="764"/>
      <c r="AS331" s="764"/>
    </row>
    <row r="332" spans="1:45" ht="13.9">
      <c r="A332" s="764"/>
      <c r="B332" s="764"/>
      <c r="C332" s="764"/>
      <c r="D332" s="764"/>
      <c r="E332" s="764"/>
      <c r="F332" s="764"/>
      <c r="G332" s="764"/>
      <c r="H332" s="764"/>
      <c r="I332" s="764"/>
      <c r="J332" s="764"/>
      <c r="K332" s="764"/>
      <c r="L332" s="764"/>
      <c r="M332" s="764"/>
      <c r="N332" s="773"/>
      <c r="O332" s="764"/>
      <c r="P332" s="764"/>
      <c r="Q332" s="764"/>
      <c r="R332" s="764"/>
      <c r="S332" s="764"/>
      <c r="T332" s="764"/>
      <c r="U332" s="764"/>
      <c r="V332" s="764"/>
      <c r="W332" s="764"/>
      <c r="X332" s="764"/>
      <c r="Y332" s="764"/>
      <c r="Z332" s="764"/>
      <c r="AA332" s="764"/>
      <c r="AB332" s="764"/>
      <c r="AC332" s="764"/>
      <c r="AD332" s="794"/>
      <c r="AE332" s="764"/>
      <c r="AF332" s="764"/>
      <c r="AG332" s="764"/>
      <c r="AH332" s="764"/>
      <c r="AI332" s="764"/>
      <c r="AJ332" s="764"/>
      <c r="AK332" s="764"/>
      <c r="AL332" s="764"/>
      <c r="AM332" s="764"/>
      <c r="AN332" s="764"/>
      <c r="AO332" s="764"/>
      <c r="AP332" s="764"/>
      <c r="AQ332" s="764"/>
      <c r="AR332" s="764"/>
      <c r="AS332" s="764"/>
    </row>
    <row r="333" spans="1:45" ht="13.9">
      <c r="A333" s="764"/>
      <c r="B333" s="764"/>
      <c r="C333" s="764"/>
      <c r="D333" s="764"/>
      <c r="E333" s="764"/>
      <c r="F333" s="764"/>
      <c r="G333" s="764"/>
      <c r="H333" s="764"/>
      <c r="I333" s="764"/>
      <c r="J333" s="764"/>
      <c r="K333" s="764"/>
      <c r="L333" s="764"/>
      <c r="M333" s="764"/>
      <c r="N333" s="773"/>
      <c r="O333" s="764"/>
      <c r="P333" s="764"/>
      <c r="Q333" s="764"/>
      <c r="R333" s="764"/>
      <c r="S333" s="764"/>
      <c r="T333" s="764"/>
      <c r="U333" s="764"/>
      <c r="V333" s="764"/>
      <c r="W333" s="764"/>
      <c r="X333" s="764"/>
      <c r="Y333" s="764"/>
      <c r="Z333" s="764"/>
      <c r="AA333" s="764"/>
      <c r="AB333" s="764"/>
      <c r="AC333" s="764"/>
      <c r="AD333" s="794"/>
      <c r="AE333" s="764"/>
      <c r="AF333" s="764"/>
      <c r="AG333" s="764"/>
      <c r="AH333" s="764"/>
      <c r="AI333" s="764"/>
      <c r="AJ333" s="764"/>
      <c r="AK333" s="764"/>
      <c r="AL333" s="764"/>
      <c r="AM333" s="764"/>
      <c r="AN333" s="764"/>
      <c r="AO333" s="764"/>
      <c r="AP333" s="764"/>
      <c r="AQ333" s="764"/>
      <c r="AR333" s="764"/>
      <c r="AS333" s="764"/>
    </row>
    <row r="334" spans="1:45" ht="13.9">
      <c r="A334" s="764"/>
      <c r="B334" s="764"/>
      <c r="C334" s="764"/>
      <c r="D334" s="764"/>
      <c r="E334" s="764"/>
      <c r="F334" s="764"/>
      <c r="G334" s="764"/>
      <c r="H334" s="764"/>
      <c r="I334" s="764"/>
      <c r="J334" s="764"/>
      <c r="K334" s="764"/>
      <c r="L334" s="764"/>
      <c r="M334" s="764"/>
      <c r="N334" s="773"/>
      <c r="O334" s="764"/>
      <c r="P334" s="764"/>
      <c r="Q334" s="764"/>
      <c r="R334" s="764"/>
      <c r="S334" s="764"/>
      <c r="T334" s="764"/>
      <c r="U334" s="764"/>
      <c r="V334" s="764"/>
      <c r="W334" s="764"/>
      <c r="X334" s="764"/>
      <c r="Y334" s="764"/>
      <c r="Z334" s="764"/>
      <c r="AA334" s="764"/>
      <c r="AB334" s="764"/>
      <c r="AC334" s="764"/>
      <c r="AD334" s="794"/>
      <c r="AE334" s="764"/>
      <c r="AF334" s="764"/>
      <c r="AG334" s="764"/>
      <c r="AH334" s="764"/>
      <c r="AI334" s="764"/>
      <c r="AJ334" s="764"/>
      <c r="AK334" s="764"/>
      <c r="AL334" s="764"/>
      <c r="AM334" s="764"/>
      <c r="AN334" s="764"/>
      <c r="AO334" s="764"/>
      <c r="AP334" s="764"/>
      <c r="AQ334" s="764"/>
      <c r="AR334" s="764"/>
      <c r="AS334" s="764"/>
    </row>
    <row r="335" spans="1:45" ht="13.9">
      <c r="A335" s="764"/>
      <c r="B335" s="764"/>
      <c r="C335" s="764"/>
      <c r="D335" s="764"/>
      <c r="E335" s="764"/>
      <c r="F335" s="764"/>
      <c r="G335" s="764"/>
      <c r="H335" s="764"/>
      <c r="I335" s="764"/>
      <c r="J335" s="764"/>
      <c r="K335" s="764"/>
      <c r="L335" s="764"/>
      <c r="M335" s="764"/>
      <c r="N335" s="773"/>
      <c r="O335" s="764"/>
      <c r="P335" s="764"/>
      <c r="Q335" s="764"/>
      <c r="R335" s="764"/>
      <c r="S335" s="764"/>
      <c r="T335" s="764"/>
      <c r="U335" s="764"/>
      <c r="V335" s="764"/>
      <c r="W335" s="764"/>
      <c r="X335" s="764"/>
      <c r="Y335" s="764"/>
      <c r="Z335" s="764"/>
      <c r="AA335" s="764"/>
      <c r="AB335" s="764"/>
      <c r="AC335" s="764"/>
      <c r="AD335" s="794"/>
      <c r="AE335" s="764"/>
      <c r="AF335" s="764"/>
      <c r="AG335" s="764"/>
      <c r="AH335" s="764"/>
      <c r="AI335" s="764"/>
      <c r="AJ335" s="764"/>
      <c r="AK335" s="764"/>
      <c r="AL335" s="764"/>
      <c r="AM335" s="764"/>
      <c r="AN335" s="764"/>
      <c r="AO335" s="764"/>
      <c r="AP335" s="764"/>
      <c r="AQ335" s="764"/>
      <c r="AR335" s="764"/>
      <c r="AS335" s="764"/>
    </row>
    <row r="336" spans="1:45" ht="13.9">
      <c r="A336" s="764"/>
      <c r="B336" s="764"/>
      <c r="C336" s="764"/>
      <c r="D336" s="764"/>
      <c r="E336" s="764"/>
      <c r="F336" s="764"/>
      <c r="G336" s="764"/>
      <c r="H336" s="764"/>
      <c r="I336" s="764"/>
      <c r="J336" s="764"/>
      <c r="K336" s="764"/>
      <c r="L336" s="764"/>
      <c r="M336" s="764"/>
      <c r="N336" s="773"/>
      <c r="O336" s="764"/>
      <c r="P336" s="764"/>
      <c r="Q336" s="764"/>
      <c r="R336" s="764"/>
      <c r="S336" s="764"/>
      <c r="T336" s="764"/>
      <c r="U336" s="764"/>
      <c r="V336" s="764"/>
      <c r="W336" s="764"/>
      <c r="X336" s="764"/>
      <c r="Y336" s="764"/>
      <c r="Z336" s="764"/>
      <c r="AA336" s="764"/>
      <c r="AB336" s="764"/>
      <c r="AC336" s="764"/>
      <c r="AD336" s="794"/>
      <c r="AE336" s="764"/>
      <c r="AF336" s="764"/>
      <c r="AG336" s="764"/>
      <c r="AH336" s="764"/>
      <c r="AI336" s="764"/>
      <c r="AJ336" s="764"/>
      <c r="AK336" s="764"/>
      <c r="AL336" s="764"/>
      <c r="AM336" s="764"/>
      <c r="AN336" s="764"/>
      <c r="AO336" s="764"/>
      <c r="AP336" s="764"/>
      <c r="AQ336" s="764"/>
      <c r="AR336" s="764"/>
      <c r="AS336" s="764"/>
    </row>
    <row r="337" spans="1:45" ht="13.9">
      <c r="A337" s="764"/>
      <c r="B337" s="764"/>
      <c r="C337" s="764"/>
      <c r="D337" s="764"/>
      <c r="E337" s="764"/>
      <c r="F337" s="764"/>
      <c r="G337" s="764"/>
      <c r="H337" s="764"/>
      <c r="I337" s="764"/>
      <c r="J337" s="764"/>
      <c r="K337" s="764"/>
      <c r="L337" s="764"/>
      <c r="M337" s="764"/>
      <c r="N337" s="773"/>
      <c r="O337" s="764"/>
      <c r="P337" s="764"/>
      <c r="Q337" s="764"/>
      <c r="R337" s="764"/>
      <c r="S337" s="764"/>
      <c r="T337" s="764"/>
      <c r="U337" s="764"/>
      <c r="V337" s="764"/>
      <c r="W337" s="764"/>
      <c r="X337" s="764"/>
      <c r="Y337" s="764"/>
      <c r="Z337" s="764"/>
      <c r="AA337" s="764"/>
      <c r="AB337" s="764"/>
      <c r="AC337" s="764"/>
      <c r="AD337" s="794"/>
      <c r="AE337" s="764"/>
      <c r="AF337" s="764"/>
      <c r="AG337" s="764"/>
      <c r="AH337" s="764"/>
      <c r="AI337" s="764"/>
      <c r="AJ337" s="764"/>
      <c r="AK337" s="764"/>
      <c r="AL337" s="764"/>
      <c r="AM337" s="764"/>
      <c r="AN337" s="764"/>
      <c r="AO337" s="764"/>
      <c r="AP337" s="764"/>
      <c r="AQ337" s="764"/>
      <c r="AR337" s="764"/>
      <c r="AS337" s="764"/>
    </row>
    <row r="338" spans="1:45" ht="13.9">
      <c r="A338" s="764"/>
      <c r="B338" s="764"/>
      <c r="C338" s="764"/>
      <c r="D338" s="764"/>
      <c r="E338" s="764"/>
      <c r="F338" s="764"/>
      <c r="G338" s="764"/>
      <c r="H338" s="764"/>
      <c r="I338" s="764"/>
      <c r="J338" s="764"/>
      <c r="K338" s="764"/>
      <c r="L338" s="764"/>
      <c r="M338" s="764"/>
      <c r="N338" s="773"/>
      <c r="O338" s="764"/>
      <c r="P338" s="764"/>
      <c r="Q338" s="764"/>
      <c r="R338" s="764"/>
      <c r="S338" s="764"/>
      <c r="T338" s="764"/>
      <c r="U338" s="764"/>
      <c r="V338" s="764"/>
      <c r="W338" s="764"/>
      <c r="X338" s="764"/>
      <c r="Y338" s="764"/>
      <c r="Z338" s="764"/>
      <c r="AA338" s="764"/>
      <c r="AB338" s="764"/>
      <c r="AC338" s="764"/>
      <c r="AD338" s="794"/>
      <c r="AE338" s="764"/>
      <c r="AF338" s="764"/>
      <c r="AG338" s="764"/>
      <c r="AH338" s="764"/>
      <c r="AI338" s="764"/>
      <c r="AJ338" s="764"/>
      <c r="AK338" s="764"/>
      <c r="AL338" s="764"/>
      <c r="AM338" s="764"/>
      <c r="AN338" s="764"/>
      <c r="AO338" s="764"/>
      <c r="AP338" s="764"/>
      <c r="AQ338" s="764"/>
      <c r="AR338" s="764"/>
      <c r="AS338" s="764"/>
    </row>
    <row r="339" spans="1:45" ht="13.9">
      <c r="A339" s="764"/>
      <c r="B339" s="764"/>
      <c r="C339" s="764"/>
      <c r="D339" s="764"/>
      <c r="E339" s="764"/>
      <c r="F339" s="764"/>
      <c r="G339" s="764"/>
      <c r="H339" s="764"/>
      <c r="I339" s="764"/>
      <c r="J339" s="764"/>
      <c r="K339" s="764"/>
      <c r="L339" s="764"/>
      <c r="M339" s="764"/>
      <c r="N339" s="773"/>
      <c r="O339" s="764"/>
      <c r="P339" s="764"/>
      <c r="Q339" s="764"/>
      <c r="R339" s="764"/>
      <c r="S339" s="764"/>
      <c r="T339" s="764"/>
      <c r="U339" s="764"/>
      <c r="V339" s="764"/>
      <c r="W339" s="764"/>
      <c r="X339" s="764"/>
      <c r="Y339" s="764"/>
      <c r="Z339" s="764"/>
      <c r="AA339" s="764"/>
      <c r="AB339" s="764"/>
      <c r="AC339" s="764"/>
      <c r="AD339" s="794"/>
      <c r="AE339" s="764"/>
      <c r="AF339" s="764"/>
      <c r="AG339" s="764"/>
      <c r="AH339" s="764"/>
      <c r="AI339" s="764"/>
      <c r="AJ339" s="764"/>
      <c r="AK339" s="764"/>
      <c r="AL339" s="764"/>
      <c r="AM339" s="764"/>
      <c r="AN339" s="764"/>
      <c r="AO339" s="764"/>
      <c r="AP339" s="764"/>
      <c r="AQ339" s="764"/>
      <c r="AR339" s="764"/>
      <c r="AS339" s="764"/>
    </row>
    <row r="340" spans="1:45" ht="13.9">
      <c r="A340" s="764"/>
      <c r="B340" s="764"/>
      <c r="C340" s="764"/>
      <c r="D340" s="764"/>
      <c r="E340" s="764"/>
      <c r="F340" s="764"/>
      <c r="G340" s="764"/>
      <c r="H340" s="764"/>
      <c r="I340" s="764"/>
      <c r="J340" s="764"/>
      <c r="K340" s="764"/>
      <c r="L340" s="764"/>
      <c r="M340" s="764"/>
      <c r="N340" s="773"/>
      <c r="O340" s="764"/>
      <c r="P340" s="764"/>
      <c r="Q340" s="764"/>
      <c r="R340" s="764"/>
      <c r="S340" s="764"/>
      <c r="T340" s="764"/>
      <c r="U340" s="764"/>
      <c r="V340" s="764"/>
      <c r="W340" s="764"/>
      <c r="X340" s="764"/>
      <c r="Y340" s="764"/>
      <c r="Z340" s="764"/>
      <c r="AA340" s="764"/>
      <c r="AB340" s="764"/>
      <c r="AC340" s="764"/>
      <c r="AD340" s="794"/>
      <c r="AE340" s="764"/>
      <c r="AF340" s="764"/>
      <c r="AG340" s="764"/>
      <c r="AH340" s="764"/>
      <c r="AI340" s="764"/>
      <c r="AJ340" s="764"/>
      <c r="AK340" s="764"/>
      <c r="AL340" s="764"/>
      <c r="AM340" s="764"/>
      <c r="AN340" s="764"/>
      <c r="AO340" s="764"/>
      <c r="AP340" s="764"/>
      <c r="AQ340" s="764"/>
      <c r="AR340" s="764"/>
      <c r="AS340" s="764"/>
    </row>
    <row r="341" spans="1:45" ht="13.9">
      <c r="A341" s="764"/>
      <c r="B341" s="764"/>
      <c r="C341" s="764"/>
      <c r="D341" s="764"/>
      <c r="E341" s="764"/>
      <c r="F341" s="764"/>
      <c r="G341" s="764"/>
      <c r="H341" s="764"/>
      <c r="I341" s="764"/>
      <c r="J341" s="764"/>
      <c r="K341" s="764"/>
      <c r="L341" s="764"/>
      <c r="M341" s="764"/>
      <c r="N341" s="773"/>
      <c r="O341" s="764"/>
      <c r="P341" s="764"/>
      <c r="Q341" s="764"/>
      <c r="R341" s="764"/>
      <c r="S341" s="764"/>
      <c r="T341" s="764"/>
      <c r="U341" s="764"/>
      <c r="V341" s="764"/>
      <c r="W341" s="764"/>
      <c r="X341" s="764"/>
      <c r="Y341" s="764"/>
      <c r="Z341" s="764"/>
      <c r="AA341" s="764"/>
      <c r="AB341" s="764"/>
      <c r="AC341" s="764"/>
      <c r="AD341" s="794"/>
      <c r="AE341" s="764"/>
      <c r="AF341" s="764"/>
      <c r="AG341" s="764"/>
      <c r="AH341" s="764"/>
      <c r="AI341" s="764"/>
      <c r="AJ341" s="764"/>
      <c r="AK341" s="764"/>
      <c r="AL341" s="764"/>
      <c r="AM341" s="764"/>
      <c r="AN341" s="764"/>
      <c r="AO341" s="764"/>
      <c r="AP341" s="764"/>
      <c r="AQ341" s="764"/>
      <c r="AR341" s="764"/>
      <c r="AS341" s="764"/>
    </row>
    <row r="342" spans="1:45" ht="13.9">
      <c r="A342" s="764"/>
      <c r="B342" s="764"/>
      <c r="C342" s="764"/>
      <c r="D342" s="764"/>
      <c r="E342" s="764"/>
      <c r="F342" s="764"/>
      <c r="G342" s="764"/>
      <c r="H342" s="764"/>
      <c r="I342" s="764"/>
      <c r="J342" s="764"/>
      <c r="K342" s="764"/>
      <c r="L342" s="764"/>
      <c r="M342" s="764"/>
      <c r="N342" s="773"/>
      <c r="O342" s="764"/>
      <c r="P342" s="764"/>
      <c r="Q342" s="764"/>
      <c r="R342" s="764"/>
      <c r="S342" s="764"/>
      <c r="T342" s="764"/>
      <c r="U342" s="764"/>
      <c r="V342" s="764"/>
      <c r="W342" s="764"/>
      <c r="X342" s="764"/>
      <c r="Y342" s="764"/>
      <c r="Z342" s="764"/>
      <c r="AA342" s="764"/>
      <c r="AB342" s="764"/>
      <c r="AC342" s="764"/>
      <c r="AD342" s="794"/>
      <c r="AE342" s="764"/>
      <c r="AF342" s="764"/>
      <c r="AG342" s="764"/>
      <c r="AH342" s="764"/>
      <c r="AI342" s="764"/>
      <c r="AJ342" s="764"/>
      <c r="AK342" s="764"/>
      <c r="AL342" s="764"/>
      <c r="AM342" s="764"/>
      <c r="AN342" s="764"/>
      <c r="AO342" s="764"/>
      <c r="AP342" s="764"/>
      <c r="AQ342" s="764"/>
      <c r="AR342" s="764"/>
      <c r="AS342" s="764"/>
    </row>
    <row r="343" spans="1:45" ht="13.9">
      <c r="A343" s="764"/>
      <c r="B343" s="764"/>
      <c r="C343" s="764"/>
      <c r="D343" s="764"/>
      <c r="E343" s="764"/>
      <c r="F343" s="764"/>
      <c r="G343" s="764"/>
      <c r="H343" s="764"/>
      <c r="I343" s="764"/>
      <c r="J343" s="764"/>
      <c r="K343" s="764"/>
      <c r="L343" s="764"/>
      <c r="M343" s="764"/>
      <c r="N343" s="773"/>
      <c r="O343" s="764"/>
      <c r="P343" s="764"/>
      <c r="Q343" s="764"/>
      <c r="R343" s="764"/>
      <c r="S343" s="764"/>
      <c r="T343" s="764"/>
      <c r="U343" s="764"/>
      <c r="V343" s="764"/>
      <c r="W343" s="764"/>
      <c r="X343" s="764"/>
      <c r="Y343" s="764"/>
      <c r="Z343" s="764"/>
      <c r="AA343" s="764"/>
      <c r="AB343" s="764"/>
      <c r="AC343" s="764"/>
      <c r="AD343" s="794"/>
      <c r="AE343" s="764"/>
      <c r="AF343" s="764"/>
      <c r="AG343" s="764"/>
      <c r="AH343" s="764"/>
      <c r="AI343" s="764"/>
      <c r="AJ343" s="764"/>
      <c r="AK343" s="764"/>
      <c r="AL343" s="764"/>
      <c r="AM343" s="764"/>
      <c r="AN343" s="764"/>
      <c r="AO343" s="764"/>
      <c r="AP343" s="764"/>
      <c r="AQ343" s="764"/>
      <c r="AR343" s="764"/>
      <c r="AS343" s="764"/>
    </row>
    <row r="344" spans="1:45" ht="13.9">
      <c r="A344" s="764"/>
      <c r="B344" s="764"/>
      <c r="C344" s="764"/>
      <c r="D344" s="764"/>
      <c r="E344" s="764"/>
      <c r="F344" s="764"/>
      <c r="G344" s="764"/>
      <c r="H344" s="764"/>
      <c r="I344" s="764"/>
      <c r="J344" s="764"/>
      <c r="K344" s="764"/>
      <c r="L344" s="764"/>
      <c r="M344" s="764"/>
      <c r="N344" s="773"/>
      <c r="O344" s="764"/>
      <c r="P344" s="764"/>
      <c r="Q344" s="764"/>
      <c r="R344" s="764"/>
      <c r="S344" s="764"/>
      <c r="T344" s="764"/>
      <c r="U344" s="764"/>
      <c r="V344" s="764"/>
      <c r="W344" s="764"/>
      <c r="X344" s="764"/>
      <c r="Y344" s="764"/>
      <c r="Z344" s="764"/>
      <c r="AA344" s="764"/>
      <c r="AB344" s="764"/>
      <c r="AC344" s="764"/>
      <c r="AD344" s="794"/>
      <c r="AE344" s="764"/>
      <c r="AF344" s="764"/>
      <c r="AG344" s="764"/>
      <c r="AH344" s="764"/>
      <c r="AI344" s="764"/>
      <c r="AJ344" s="764"/>
      <c r="AK344" s="764"/>
      <c r="AL344" s="764"/>
      <c r="AM344" s="764"/>
      <c r="AN344" s="764"/>
      <c r="AO344" s="764"/>
      <c r="AP344" s="764"/>
      <c r="AQ344" s="764"/>
      <c r="AR344" s="764"/>
      <c r="AS344" s="764"/>
    </row>
    <row r="345" spans="1:45" ht="13.9">
      <c r="A345" s="764"/>
      <c r="B345" s="764"/>
      <c r="C345" s="764"/>
      <c r="D345" s="764"/>
      <c r="E345" s="764"/>
      <c r="F345" s="764"/>
      <c r="G345" s="764"/>
      <c r="H345" s="764"/>
      <c r="I345" s="764"/>
      <c r="J345" s="764"/>
      <c r="K345" s="764"/>
      <c r="L345" s="764"/>
      <c r="M345" s="764"/>
      <c r="N345" s="773"/>
      <c r="O345" s="764"/>
      <c r="P345" s="764"/>
      <c r="Q345" s="764"/>
      <c r="R345" s="764"/>
      <c r="S345" s="764"/>
      <c r="T345" s="764"/>
      <c r="U345" s="764"/>
      <c r="V345" s="764"/>
      <c r="W345" s="764"/>
      <c r="X345" s="764"/>
      <c r="Y345" s="764"/>
      <c r="Z345" s="764"/>
      <c r="AA345" s="764"/>
      <c r="AB345" s="764"/>
      <c r="AC345" s="764"/>
      <c r="AD345" s="794"/>
      <c r="AE345" s="764"/>
      <c r="AF345" s="764"/>
      <c r="AG345" s="764"/>
      <c r="AH345" s="764"/>
      <c r="AI345" s="764"/>
      <c r="AJ345" s="764"/>
      <c r="AK345" s="764"/>
      <c r="AL345" s="764"/>
      <c r="AM345" s="764"/>
      <c r="AN345" s="764"/>
      <c r="AO345" s="764"/>
      <c r="AP345" s="764"/>
      <c r="AQ345" s="764"/>
      <c r="AR345" s="764"/>
      <c r="AS345" s="764"/>
    </row>
    <row r="346" spans="1:45" ht="13.9">
      <c r="A346" s="764"/>
      <c r="B346" s="764"/>
      <c r="C346" s="764"/>
      <c r="D346" s="764"/>
      <c r="E346" s="764"/>
      <c r="F346" s="764"/>
      <c r="G346" s="764"/>
      <c r="H346" s="764"/>
      <c r="I346" s="764"/>
      <c r="J346" s="764"/>
      <c r="K346" s="764"/>
      <c r="L346" s="764"/>
      <c r="M346" s="764"/>
      <c r="N346" s="773"/>
      <c r="O346" s="764"/>
      <c r="P346" s="764"/>
      <c r="Q346" s="764"/>
      <c r="R346" s="764"/>
      <c r="S346" s="764"/>
      <c r="T346" s="764"/>
      <c r="U346" s="764"/>
      <c r="V346" s="764"/>
      <c r="W346" s="764"/>
      <c r="X346" s="764"/>
      <c r="Y346" s="764"/>
      <c r="Z346" s="764"/>
      <c r="AA346" s="764"/>
      <c r="AB346" s="764"/>
      <c r="AC346" s="764"/>
      <c r="AD346" s="794"/>
      <c r="AE346" s="764"/>
      <c r="AF346" s="764"/>
      <c r="AG346" s="764"/>
      <c r="AH346" s="764"/>
      <c r="AI346" s="764"/>
      <c r="AJ346" s="764"/>
      <c r="AK346" s="764"/>
      <c r="AL346" s="764"/>
      <c r="AM346" s="764"/>
      <c r="AN346" s="764"/>
      <c r="AO346" s="764"/>
      <c r="AP346" s="764"/>
      <c r="AQ346" s="764"/>
      <c r="AR346" s="764"/>
      <c r="AS346" s="764"/>
    </row>
    <row r="347" spans="1:45" ht="13.9">
      <c r="A347" s="764"/>
      <c r="B347" s="764"/>
      <c r="C347" s="764"/>
      <c r="D347" s="764"/>
      <c r="E347" s="764"/>
      <c r="F347" s="764"/>
      <c r="G347" s="764"/>
      <c r="H347" s="764"/>
      <c r="I347" s="764"/>
      <c r="J347" s="764"/>
      <c r="K347" s="764"/>
      <c r="L347" s="764"/>
      <c r="M347" s="764"/>
      <c r="N347" s="773"/>
      <c r="O347" s="764"/>
      <c r="P347" s="764"/>
      <c r="Q347" s="764"/>
      <c r="R347" s="764"/>
      <c r="S347" s="764"/>
      <c r="T347" s="764"/>
      <c r="U347" s="764"/>
      <c r="V347" s="764"/>
      <c r="W347" s="764"/>
      <c r="X347" s="764"/>
      <c r="Y347" s="764"/>
      <c r="Z347" s="764"/>
      <c r="AA347" s="764"/>
      <c r="AB347" s="764"/>
      <c r="AC347" s="764"/>
      <c r="AD347" s="794"/>
      <c r="AE347" s="764"/>
      <c r="AF347" s="764"/>
      <c r="AG347" s="764"/>
      <c r="AH347" s="764"/>
      <c r="AI347" s="764"/>
      <c r="AJ347" s="764"/>
      <c r="AK347" s="764"/>
      <c r="AL347" s="764"/>
      <c r="AM347" s="764"/>
      <c r="AN347" s="764"/>
      <c r="AO347" s="764"/>
      <c r="AP347" s="764"/>
      <c r="AQ347" s="764"/>
      <c r="AR347" s="764"/>
      <c r="AS347" s="764"/>
    </row>
    <row r="348" spans="1:45" ht="13.9">
      <c r="A348" s="764"/>
      <c r="B348" s="764"/>
      <c r="C348" s="764"/>
      <c r="D348" s="764"/>
      <c r="E348" s="764"/>
      <c r="F348" s="764"/>
      <c r="G348" s="764"/>
      <c r="H348" s="764"/>
      <c r="I348" s="764"/>
      <c r="J348" s="764"/>
      <c r="K348" s="764"/>
      <c r="L348" s="764"/>
      <c r="M348" s="764"/>
      <c r="N348" s="773"/>
      <c r="O348" s="764"/>
      <c r="P348" s="764"/>
      <c r="Q348" s="764"/>
      <c r="R348" s="764"/>
      <c r="S348" s="764"/>
      <c r="T348" s="764"/>
      <c r="U348" s="764"/>
      <c r="V348" s="764"/>
      <c r="W348" s="764"/>
      <c r="X348" s="764"/>
      <c r="Y348" s="764"/>
      <c r="Z348" s="764"/>
      <c r="AA348" s="764"/>
      <c r="AB348" s="764"/>
      <c r="AC348" s="764"/>
      <c r="AD348" s="794"/>
      <c r="AE348" s="764"/>
      <c r="AF348" s="764"/>
      <c r="AG348" s="764"/>
      <c r="AH348" s="764"/>
      <c r="AI348" s="764"/>
      <c r="AJ348" s="764"/>
      <c r="AK348" s="764"/>
      <c r="AL348" s="764"/>
      <c r="AM348" s="764"/>
      <c r="AN348" s="764"/>
      <c r="AO348" s="764"/>
      <c r="AP348" s="764"/>
      <c r="AQ348" s="764"/>
      <c r="AR348" s="764"/>
      <c r="AS348" s="764"/>
    </row>
    <row r="349" spans="1:45" ht="13.9">
      <c r="A349" s="764"/>
      <c r="B349" s="764"/>
      <c r="C349" s="764"/>
      <c r="D349" s="764"/>
      <c r="E349" s="764"/>
      <c r="F349" s="764"/>
      <c r="G349" s="764"/>
      <c r="H349" s="764"/>
      <c r="I349" s="764"/>
      <c r="J349" s="764"/>
      <c r="K349" s="764"/>
      <c r="L349" s="764"/>
      <c r="M349" s="764"/>
      <c r="N349" s="773"/>
      <c r="O349" s="764"/>
      <c r="P349" s="764"/>
      <c r="Q349" s="764"/>
      <c r="R349" s="764"/>
      <c r="S349" s="764"/>
      <c r="T349" s="764"/>
      <c r="U349" s="764"/>
      <c r="V349" s="764"/>
      <c r="W349" s="764"/>
      <c r="X349" s="764"/>
      <c r="Y349" s="764"/>
      <c r="Z349" s="764"/>
      <c r="AA349" s="764"/>
      <c r="AB349" s="764"/>
      <c r="AC349" s="764"/>
      <c r="AD349" s="794"/>
      <c r="AE349" s="764"/>
      <c r="AF349" s="764"/>
      <c r="AG349" s="764"/>
      <c r="AH349" s="764"/>
      <c r="AI349" s="764"/>
      <c r="AJ349" s="764"/>
      <c r="AK349" s="764"/>
      <c r="AL349" s="764"/>
      <c r="AM349" s="764"/>
      <c r="AN349" s="764"/>
      <c r="AO349" s="764"/>
      <c r="AP349" s="764"/>
      <c r="AQ349" s="764"/>
      <c r="AR349" s="764"/>
      <c r="AS349" s="764"/>
    </row>
    <row r="350" spans="1:45" ht="13.9">
      <c r="A350" s="764"/>
      <c r="B350" s="764"/>
      <c r="C350" s="764"/>
      <c r="D350" s="764"/>
      <c r="E350" s="764"/>
      <c r="F350" s="764"/>
      <c r="G350" s="764"/>
      <c r="H350" s="764"/>
      <c r="I350" s="764"/>
      <c r="J350" s="764"/>
      <c r="K350" s="764"/>
      <c r="L350" s="764"/>
      <c r="M350" s="764"/>
      <c r="N350" s="773"/>
      <c r="O350" s="764"/>
      <c r="P350" s="764"/>
      <c r="Q350" s="764"/>
      <c r="R350" s="764"/>
      <c r="S350" s="764"/>
      <c r="T350" s="764"/>
      <c r="U350" s="764"/>
      <c r="V350" s="764"/>
      <c r="W350" s="764"/>
      <c r="X350" s="764"/>
      <c r="Y350" s="764"/>
      <c r="Z350" s="764"/>
      <c r="AA350" s="764"/>
      <c r="AB350" s="764"/>
      <c r="AC350" s="764"/>
      <c r="AD350" s="794"/>
      <c r="AE350" s="764"/>
      <c r="AF350" s="764"/>
      <c r="AG350" s="764"/>
      <c r="AH350" s="764"/>
      <c r="AI350" s="764"/>
      <c r="AJ350" s="764"/>
      <c r="AK350" s="764"/>
      <c r="AL350" s="764"/>
      <c r="AM350" s="764"/>
      <c r="AN350" s="764"/>
      <c r="AO350" s="764"/>
      <c r="AP350" s="764"/>
      <c r="AQ350" s="764"/>
      <c r="AR350" s="764"/>
      <c r="AS350" s="764"/>
    </row>
    <row r="351" spans="1:45" ht="13.9">
      <c r="A351" s="764"/>
      <c r="B351" s="764"/>
      <c r="C351" s="764"/>
      <c r="D351" s="764"/>
      <c r="E351" s="764"/>
      <c r="F351" s="764"/>
      <c r="G351" s="764"/>
      <c r="H351" s="764"/>
      <c r="I351" s="764"/>
      <c r="J351" s="764"/>
      <c r="K351" s="764"/>
      <c r="L351" s="764"/>
      <c r="M351" s="764"/>
      <c r="N351" s="773"/>
      <c r="O351" s="764"/>
      <c r="P351" s="764"/>
      <c r="Q351" s="764"/>
      <c r="R351" s="764"/>
      <c r="S351" s="764"/>
      <c r="T351" s="764"/>
      <c r="U351" s="764"/>
      <c r="V351" s="764"/>
      <c r="W351" s="764"/>
      <c r="X351" s="764"/>
      <c r="Y351" s="764"/>
      <c r="Z351" s="764"/>
      <c r="AA351" s="764"/>
      <c r="AB351" s="764"/>
      <c r="AC351" s="764"/>
      <c r="AD351" s="794"/>
      <c r="AE351" s="764"/>
      <c r="AF351" s="764"/>
      <c r="AG351" s="764"/>
      <c r="AH351" s="764"/>
      <c r="AI351" s="764"/>
      <c r="AJ351" s="764"/>
      <c r="AK351" s="764"/>
      <c r="AL351" s="764"/>
      <c r="AM351" s="764"/>
      <c r="AN351" s="764"/>
      <c r="AO351" s="764"/>
      <c r="AP351" s="764"/>
      <c r="AQ351" s="764"/>
      <c r="AR351" s="764"/>
      <c r="AS351" s="764"/>
    </row>
    <row r="352" spans="1:45" ht="13.9">
      <c r="A352" s="764"/>
      <c r="B352" s="764"/>
      <c r="C352" s="764"/>
      <c r="D352" s="764"/>
      <c r="E352" s="764"/>
      <c r="F352" s="764"/>
      <c r="G352" s="764"/>
      <c r="H352" s="764"/>
      <c r="I352" s="764"/>
      <c r="J352" s="764"/>
      <c r="K352" s="764"/>
      <c r="L352" s="764"/>
      <c r="M352" s="764"/>
      <c r="N352" s="773"/>
      <c r="O352" s="764"/>
      <c r="P352" s="764"/>
      <c r="Q352" s="764"/>
      <c r="R352" s="764"/>
      <c r="S352" s="764"/>
      <c r="T352" s="764"/>
      <c r="U352" s="764"/>
      <c r="V352" s="764"/>
      <c r="W352" s="764"/>
      <c r="X352" s="764"/>
      <c r="Y352" s="764"/>
      <c r="Z352" s="764"/>
      <c r="AA352" s="764"/>
      <c r="AB352" s="764"/>
      <c r="AC352" s="764"/>
      <c r="AD352" s="794"/>
      <c r="AE352" s="764"/>
      <c r="AF352" s="764"/>
      <c r="AG352" s="764"/>
      <c r="AH352" s="764"/>
      <c r="AI352" s="764"/>
      <c r="AJ352" s="764"/>
      <c r="AK352" s="764"/>
      <c r="AL352" s="764"/>
      <c r="AM352" s="764"/>
      <c r="AN352" s="764"/>
      <c r="AO352" s="764"/>
      <c r="AP352" s="764"/>
      <c r="AQ352" s="764"/>
      <c r="AR352" s="764"/>
      <c r="AS352" s="764"/>
    </row>
    <row r="353" spans="1:45" ht="13.9">
      <c r="A353" s="764"/>
      <c r="B353" s="764"/>
      <c r="C353" s="764"/>
      <c r="D353" s="764"/>
      <c r="E353" s="764"/>
      <c r="F353" s="764"/>
      <c r="G353" s="764"/>
      <c r="H353" s="764"/>
      <c r="I353" s="764"/>
      <c r="J353" s="764"/>
      <c r="K353" s="764"/>
      <c r="L353" s="764"/>
      <c r="M353" s="764"/>
      <c r="N353" s="773"/>
      <c r="O353" s="764"/>
      <c r="P353" s="764"/>
      <c r="Q353" s="764"/>
      <c r="R353" s="764"/>
      <c r="S353" s="764"/>
      <c r="T353" s="764"/>
      <c r="U353" s="764"/>
      <c r="V353" s="764"/>
      <c r="W353" s="764"/>
      <c r="X353" s="764"/>
      <c r="Y353" s="764"/>
      <c r="Z353" s="764"/>
      <c r="AA353" s="764"/>
      <c r="AB353" s="764"/>
      <c r="AC353" s="764"/>
      <c r="AD353" s="794"/>
      <c r="AE353" s="764"/>
      <c r="AF353" s="764"/>
      <c r="AG353" s="764"/>
      <c r="AH353" s="764"/>
      <c r="AI353" s="764"/>
      <c r="AJ353" s="764"/>
      <c r="AK353" s="764"/>
      <c r="AL353" s="764"/>
      <c r="AM353" s="764"/>
      <c r="AN353" s="764"/>
      <c r="AO353" s="764"/>
      <c r="AP353" s="764"/>
      <c r="AQ353" s="764"/>
      <c r="AR353" s="764"/>
      <c r="AS353" s="764"/>
    </row>
    <row r="354" spans="1:45" ht="13.9">
      <c r="A354" s="764"/>
      <c r="B354" s="764"/>
      <c r="C354" s="764"/>
      <c r="D354" s="764"/>
      <c r="E354" s="764"/>
      <c r="F354" s="764"/>
      <c r="G354" s="764"/>
      <c r="H354" s="764"/>
      <c r="I354" s="764"/>
      <c r="J354" s="764"/>
      <c r="K354" s="764"/>
      <c r="L354" s="764"/>
      <c r="M354" s="764"/>
      <c r="N354" s="773"/>
      <c r="O354" s="764"/>
      <c r="P354" s="764"/>
      <c r="Q354" s="764"/>
      <c r="R354" s="764"/>
      <c r="S354" s="764"/>
      <c r="T354" s="764"/>
      <c r="U354" s="764"/>
      <c r="V354" s="764"/>
      <c r="W354" s="764"/>
      <c r="X354" s="764"/>
      <c r="Y354" s="764"/>
      <c r="Z354" s="764"/>
      <c r="AA354" s="764"/>
      <c r="AB354" s="764"/>
      <c r="AC354" s="764"/>
      <c r="AD354" s="794"/>
      <c r="AE354" s="764"/>
      <c r="AF354" s="764"/>
      <c r="AG354" s="764"/>
      <c r="AH354" s="764"/>
      <c r="AI354" s="764"/>
      <c r="AJ354" s="764"/>
      <c r="AK354" s="764"/>
      <c r="AL354" s="764"/>
      <c r="AM354" s="764"/>
      <c r="AN354" s="764"/>
      <c r="AO354" s="764"/>
      <c r="AP354" s="764"/>
      <c r="AQ354" s="764"/>
      <c r="AR354" s="764"/>
      <c r="AS354" s="764"/>
    </row>
    <row r="355" spans="1:45" ht="13.9">
      <c r="A355" s="764"/>
      <c r="B355" s="764"/>
      <c r="C355" s="764"/>
      <c r="D355" s="764"/>
      <c r="E355" s="764"/>
      <c r="F355" s="764"/>
      <c r="G355" s="764"/>
      <c r="H355" s="764"/>
      <c r="I355" s="764"/>
      <c r="J355" s="764"/>
      <c r="K355" s="764"/>
      <c r="L355" s="764"/>
      <c r="M355" s="764"/>
      <c r="N355" s="773"/>
      <c r="O355" s="764"/>
      <c r="P355" s="764"/>
      <c r="Q355" s="764"/>
      <c r="R355" s="764"/>
      <c r="S355" s="764"/>
      <c r="T355" s="764"/>
      <c r="U355" s="764"/>
      <c r="V355" s="764"/>
      <c r="W355" s="764"/>
      <c r="X355" s="764"/>
      <c r="Y355" s="764"/>
      <c r="Z355" s="764"/>
      <c r="AA355" s="764"/>
      <c r="AB355" s="764"/>
      <c r="AC355" s="764"/>
      <c r="AD355" s="794"/>
      <c r="AE355" s="764"/>
      <c r="AF355" s="764"/>
      <c r="AG355" s="764"/>
      <c r="AH355" s="764"/>
      <c r="AI355" s="764"/>
      <c r="AJ355" s="764"/>
      <c r="AK355" s="764"/>
      <c r="AL355" s="764"/>
      <c r="AM355" s="764"/>
      <c r="AN355" s="764"/>
      <c r="AO355" s="764"/>
      <c r="AP355" s="764"/>
      <c r="AQ355" s="764"/>
      <c r="AR355" s="764"/>
      <c r="AS355" s="764"/>
    </row>
    <row r="356" spans="1:45" ht="13.9">
      <c r="A356" s="764"/>
      <c r="B356" s="764"/>
      <c r="C356" s="764"/>
      <c r="D356" s="764"/>
      <c r="E356" s="764"/>
      <c r="F356" s="764"/>
      <c r="G356" s="764"/>
      <c r="H356" s="764"/>
      <c r="I356" s="764"/>
      <c r="J356" s="764"/>
      <c r="K356" s="764"/>
      <c r="L356" s="764"/>
      <c r="M356" s="764"/>
      <c r="N356" s="773"/>
      <c r="O356" s="764"/>
      <c r="P356" s="764"/>
      <c r="Q356" s="764"/>
      <c r="R356" s="764"/>
      <c r="S356" s="764"/>
      <c r="T356" s="764"/>
      <c r="U356" s="764"/>
      <c r="V356" s="764"/>
      <c r="W356" s="764"/>
      <c r="X356" s="764"/>
      <c r="Y356" s="764"/>
      <c r="Z356" s="764"/>
      <c r="AA356" s="764"/>
      <c r="AB356" s="764"/>
      <c r="AC356" s="764"/>
      <c r="AD356" s="794"/>
      <c r="AE356" s="764"/>
      <c r="AF356" s="764"/>
      <c r="AG356" s="764"/>
      <c r="AH356" s="764"/>
      <c r="AI356" s="764"/>
      <c r="AJ356" s="764"/>
      <c r="AK356" s="764"/>
      <c r="AL356" s="764"/>
      <c r="AM356" s="764"/>
      <c r="AN356" s="764"/>
      <c r="AO356" s="764"/>
      <c r="AP356" s="764"/>
      <c r="AQ356" s="764"/>
      <c r="AR356" s="764"/>
      <c r="AS356" s="764"/>
    </row>
    <row r="357" spans="1:45" ht="13.9">
      <c r="A357" s="764"/>
      <c r="B357" s="764"/>
      <c r="C357" s="764"/>
      <c r="D357" s="764"/>
      <c r="E357" s="764"/>
      <c r="F357" s="764"/>
      <c r="G357" s="764"/>
      <c r="H357" s="764"/>
      <c r="I357" s="764"/>
      <c r="J357" s="764"/>
      <c r="K357" s="764"/>
      <c r="L357" s="764"/>
      <c r="M357" s="764"/>
      <c r="N357" s="773"/>
      <c r="O357" s="764"/>
      <c r="P357" s="764"/>
      <c r="Q357" s="764"/>
      <c r="R357" s="764"/>
      <c r="S357" s="764"/>
      <c r="T357" s="764"/>
      <c r="U357" s="764"/>
      <c r="V357" s="764"/>
      <c r="W357" s="764"/>
      <c r="X357" s="764"/>
      <c r="Y357" s="764"/>
      <c r="Z357" s="764"/>
      <c r="AA357" s="764"/>
      <c r="AB357" s="764"/>
      <c r="AC357" s="764"/>
      <c r="AD357" s="794"/>
      <c r="AE357" s="764"/>
      <c r="AF357" s="764"/>
      <c r="AG357" s="764"/>
      <c r="AH357" s="764"/>
      <c r="AI357" s="764"/>
      <c r="AJ357" s="764"/>
      <c r="AK357" s="764"/>
      <c r="AL357" s="764"/>
      <c r="AM357" s="764"/>
      <c r="AN357" s="764"/>
      <c r="AO357" s="764"/>
      <c r="AP357" s="764"/>
      <c r="AQ357" s="764"/>
      <c r="AR357" s="764"/>
      <c r="AS357" s="764"/>
    </row>
    <row r="358" spans="1:45" ht="13.9">
      <c r="A358" s="764"/>
      <c r="B358" s="764"/>
      <c r="C358" s="764"/>
      <c r="D358" s="764"/>
      <c r="E358" s="764"/>
      <c r="F358" s="764"/>
      <c r="G358" s="764"/>
      <c r="H358" s="764"/>
      <c r="I358" s="764"/>
      <c r="J358" s="764"/>
      <c r="K358" s="764"/>
      <c r="L358" s="764"/>
      <c r="M358" s="764"/>
      <c r="N358" s="773"/>
      <c r="O358" s="764"/>
      <c r="P358" s="764"/>
      <c r="Q358" s="764"/>
      <c r="R358" s="764"/>
      <c r="S358" s="764"/>
      <c r="T358" s="764"/>
      <c r="U358" s="764"/>
      <c r="V358" s="764"/>
      <c r="W358" s="764"/>
      <c r="X358" s="764"/>
      <c r="Y358" s="764"/>
      <c r="Z358" s="764"/>
      <c r="AA358" s="764"/>
      <c r="AB358" s="764"/>
      <c r="AC358" s="764"/>
      <c r="AD358" s="794"/>
      <c r="AE358" s="764"/>
      <c r="AF358" s="764"/>
      <c r="AG358" s="764"/>
      <c r="AH358" s="764"/>
      <c r="AI358" s="764"/>
      <c r="AJ358" s="764"/>
      <c r="AK358" s="764"/>
      <c r="AL358" s="764"/>
      <c r="AM358" s="764"/>
      <c r="AN358" s="764"/>
      <c r="AO358" s="764"/>
      <c r="AP358" s="764"/>
      <c r="AQ358" s="764"/>
      <c r="AR358" s="764"/>
      <c r="AS358" s="764"/>
    </row>
    <row r="359" spans="1:45" ht="13.9">
      <c r="A359" s="764"/>
      <c r="B359" s="764"/>
      <c r="C359" s="764"/>
      <c r="D359" s="764"/>
      <c r="E359" s="764"/>
      <c r="F359" s="764"/>
      <c r="G359" s="764"/>
      <c r="H359" s="764"/>
      <c r="I359" s="764"/>
      <c r="J359" s="764"/>
      <c r="K359" s="764"/>
      <c r="L359" s="764"/>
      <c r="M359" s="764"/>
      <c r="N359" s="773"/>
      <c r="O359" s="764"/>
      <c r="P359" s="764"/>
      <c r="Q359" s="764"/>
      <c r="R359" s="764"/>
      <c r="S359" s="764"/>
      <c r="T359" s="764"/>
      <c r="U359" s="764"/>
      <c r="V359" s="764"/>
      <c r="W359" s="764"/>
      <c r="X359" s="764"/>
      <c r="Y359" s="764"/>
      <c r="Z359" s="764"/>
      <c r="AA359" s="764"/>
      <c r="AB359" s="764"/>
      <c r="AC359" s="764"/>
      <c r="AD359" s="794"/>
      <c r="AE359" s="764"/>
      <c r="AF359" s="764"/>
      <c r="AG359" s="764"/>
      <c r="AH359" s="764"/>
      <c r="AI359" s="764"/>
      <c r="AJ359" s="764"/>
      <c r="AK359" s="764"/>
      <c r="AL359" s="764"/>
      <c r="AM359" s="764"/>
      <c r="AN359" s="764"/>
      <c r="AO359" s="764"/>
      <c r="AP359" s="764"/>
      <c r="AQ359" s="764"/>
      <c r="AR359" s="764"/>
      <c r="AS359" s="764"/>
    </row>
    <row r="360" spans="1:45" ht="13.9">
      <c r="A360" s="764"/>
      <c r="B360" s="764"/>
      <c r="C360" s="764"/>
      <c r="D360" s="764"/>
      <c r="E360" s="764"/>
      <c r="F360" s="764"/>
      <c r="G360" s="764"/>
      <c r="H360" s="764"/>
      <c r="I360" s="764"/>
      <c r="J360" s="764"/>
      <c r="K360" s="764"/>
      <c r="L360" s="764"/>
      <c r="M360" s="764"/>
      <c r="N360" s="773"/>
      <c r="O360" s="764"/>
      <c r="P360" s="764"/>
      <c r="Q360" s="764"/>
      <c r="R360" s="764"/>
      <c r="S360" s="764"/>
      <c r="T360" s="764"/>
      <c r="U360" s="764"/>
      <c r="V360" s="764"/>
      <c r="W360" s="764"/>
      <c r="X360" s="764"/>
      <c r="Y360" s="764"/>
      <c r="Z360" s="764"/>
      <c r="AA360" s="764"/>
      <c r="AB360" s="764"/>
      <c r="AC360" s="764"/>
      <c r="AD360" s="794"/>
      <c r="AE360" s="764"/>
      <c r="AF360" s="764"/>
      <c r="AG360" s="764"/>
      <c r="AH360" s="764"/>
      <c r="AI360" s="764"/>
      <c r="AJ360" s="764"/>
      <c r="AK360" s="764"/>
      <c r="AL360" s="764"/>
      <c r="AM360" s="764"/>
      <c r="AN360" s="764"/>
      <c r="AO360" s="764"/>
      <c r="AP360" s="764"/>
      <c r="AQ360" s="764"/>
      <c r="AR360" s="764"/>
      <c r="AS360" s="764"/>
    </row>
    <row r="361" spans="1:45" ht="13.9">
      <c r="A361" s="764"/>
      <c r="B361" s="764"/>
      <c r="C361" s="764"/>
      <c r="D361" s="764"/>
      <c r="E361" s="764"/>
      <c r="F361" s="764"/>
      <c r="G361" s="764"/>
      <c r="H361" s="764"/>
      <c r="I361" s="764"/>
      <c r="J361" s="764"/>
      <c r="K361" s="764"/>
      <c r="L361" s="764"/>
      <c r="M361" s="764"/>
      <c r="N361" s="773"/>
      <c r="O361" s="764"/>
      <c r="P361" s="764"/>
      <c r="Q361" s="764"/>
      <c r="R361" s="764"/>
      <c r="S361" s="764"/>
      <c r="T361" s="764"/>
      <c r="U361" s="764"/>
      <c r="V361" s="764"/>
      <c r="W361" s="764"/>
      <c r="X361" s="764"/>
      <c r="Y361" s="764"/>
      <c r="Z361" s="764"/>
      <c r="AA361" s="764"/>
      <c r="AB361" s="764"/>
      <c r="AC361" s="764"/>
      <c r="AD361" s="794"/>
      <c r="AE361" s="764"/>
      <c r="AF361" s="764"/>
      <c r="AG361" s="764"/>
      <c r="AH361" s="764"/>
      <c r="AI361" s="764"/>
      <c r="AJ361" s="764"/>
      <c r="AK361" s="764"/>
      <c r="AL361" s="764"/>
      <c r="AM361" s="764"/>
      <c r="AN361" s="764"/>
      <c r="AO361" s="764"/>
      <c r="AP361" s="764"/>
      <c r="AQ361" s="764"/>
      <c r="AR361" s="764"/>
      <c r="AS361" s="764"/>
    </row>
    <row r="362" spans="1:45" ht="13.9">
      <c r="A362" s="764"/>
      <c r="B362" s="764"/>
      <c r="C362" s="764"/>
      <c r="D362" s="764"/>
      <c r="E362" s="764"/>
      <c r="F362" s="764"/>
      <c r="G362" s="764"/>
      <c r="H362" s="764"/>
      <c r="I362" s="764"/>
      <c r="J362" s="764"/>
      <c r="K362" s="764"/>
      <c r="L362" s="764"/>
      <c r="M362" s="764"/>
      <c r="N362" s="773"/>
      <c r="O362" s="764"/>
      <c r="P362" s="764"/>
      <c r="Q362" s="764"/>
      <c r="R362" s="764"/>
      <c r="S362" s="764"/>
      <c r="T362" s="764"/>
      <c r="U362" s="764"/>
      <c r="V362" s="764"/>
      <c r="W362" s="764"/>
      <c r="X362" s="764"/>
      <c r="Y362" s="764"/>
      <c r="Z362" s="764"/>
      <c r="AA362" s="764"/>
      <c r="AB362" s="764"/>
      <c r="AC362" s="764"/>
      <c r="AD362" s="794"/>
      <c r="AE362" s="764"/>
      <c r="AF362" s="764"/>
      <c r="AG362" s="764"/>
      <c r="AH362" s="764"/>
      <c r="AI362" s="764"/>
      <c r="AJ362" s="764"/>
      <c r="AK362" s="764"/>
      <c r="AL362" s="764"/>
      <c r="AM362" s="764"/>
      <c r="AN362" s="764"/>
      <c r="AO362" s="764"/>
      <c r="AP362" s="764"/>
      <c r="AQ362" s="764"/>
      <c r="AR362" s="764"/>
      <c r="AS362" s="764"/>
    </row>
    <row r="363" spans="1:45" ht="13.9">
      <c r="A363" s="764"/>
      <c r="B363" s="764"/>
      <c r="C363" s="764"/>
      <c r="D363" s="764"/>
      <c r="E363" s="764"/>
      <c r="F363" s="764"/>
      <c r="G363" s="764"/>
      <c r="H363" s="764"/>
      <c r="I363" s="764"/>
      <c r="J363" s="764"/>
      <c r="K363" s="764"/>
      <c r="L363" s="764"/>
      <c r="M363" s="764"/>
      <c r="N363" s="773"/>
      <c r="O363" s="764"/>
      <c r="P363" s="764"/>
      <c r="Q363" s="764"/>
      <c r="R363" s="764"/>
      <c r="S363" s="764"/>
      <c r="T363" s="764"/>
      <c r="U363" s="764"/>
      <c r="V363" s="764"/>
      <c r="W363" s="764"/>
      <c r="X363" s="764"/>
      <c r="Y363" s="764"/>
      <c r="Z363" s="764"/>
      <c r="AA363" s="764"/>
      <c r="AB363" s="764"/>
      <c r="AC363" s="764"/>
      <c r="AD363" s="794"/>
      <c r="AE363" s="764"/>
      <c r="AF363" s="764"/>
      <c r="AG363" s="764"/>
      <c r="AH363" s="764"/>
      <c r="AI363" s="764"/>
      <c r="AJ363" s="764"/>
      <c r="AK363" s="764"/>
      <c r="AL363" s="764"/>
      <c r="AM363" s="764"/>
      <c r="AN363" s="764"/>
      <c r="AO363" s="764"/>
      <c r="AP363" s="764"/>
      <c r="AQ363" s="764"/>
      <c r="AR363" s="764"/>
      <c r="AS363" s="764"/>
    </row>
    <row r="364" spans="1:45" ht="13.9">
      <c r="A364" s="764"/>
      <c r="B364" s="764"/>
      <c r="C364" s="764"/>
      <c r="D364" s="764"/>
      <c r="E364" s="764"/>
      <c r="F364" s="764"/>
      <c r="G364" s="764"/>
      <c r="H364" s="764"/>
      <c r="I364" s="764"/>
      <c r="J364" s="764"/>
      <c r="K364" s="764"/>
      <c r="L364" s="764"/>
      <c r="M364" s="764"/>
      <c r="N364" s="773"/>
      <c r="O364" s="764"/>
      <c r="P364" s="764"/>
      <c r="Q364" s="764"/>
      <c r="R364" s="764"/>
      <c r="S364" s="764"/>
      <c r="T364" s="764"/>
      <c r="U364" s="764"/>
      <c r="V364" s="764"/>
      <c r="W364" s="764"/>
      <c r="X364" s="764"/>
      <c r="Y364" s="764"/>
      <c r="Z364" s="764"/>
      <c r="AA364" s="764"/>
      <c r="AB364" s="764"/>
      <c r="AC364" s="764"/>
      <c r="AD364" s="794"/>
      <c r="AE364" s="764"/>
      <c r="AF364" s="764"/>
      <c r="AG364" s="764"/>
      <c r="AH364" s="764"/>
      <c r="AI364" s="764"/>
      <c r="AJ364" s="764"/>
      <c r="AK364" s="764"/>
      <c r="AL364" s="764"/>
      <c r="AM364" s="764"/>
      <c r="AN364" s="764"/>
      <c r="AO364" s="764"/>
      <c r="AP364" s="764"/>
      <c r="AQ364" s="764"/>
      <c r="AR364" s="764"/>
      <c r="AS364" s="764"/>
    </row>
    <row r="365" spans="1:45" ht="13.9">
      <c r="A365" s="764"/>
      <c r="B365" s="764"/>
      <c r="C365" s="764"/>
      <c r="D365" s="764"/>
      <c r="E365" s="764"/>
      <c r="F365" s="764"/>
      <c r="G365" s="764"/>
      <c r="H365" s="764"/>
      <c r="I365" s="764"/>
      <c r="J365" s="764"/>
      <c r="K365" s="764"/>
      <c r="L365" s="764"/>
      <c r="M365" s="764"/>
      <c r="N365" s="773"/>
      <c r="O365" s="764"/>
      <c r="P365" s="764"/>
      <c r="Q365" s="764"/>
      <c r="R365" s="764"/>
      <c r="S365" s="764"/>
      <c r="T365" s="764"/>
      <c r="U365" s="764"/>
      <c r="V365" s="764"/>
      <c r="W365" s="764"/>
      <c r="X365" s="764"/>
      <c r="Y365" s="764"/>
      <c r="Z365" s="764"/>
      <c r="AA365" s="764"/>
      <c r="AB365" s="764"/>
      <c r="AC365" s="764"/>
      <c r="AD365" s="794"/>
      <c r="AE365" s="764"/>
      <c r="AF365" s="764"/>
      <c r="AG365" s="764"/>
      <c r="AH365" s="764"/>
      <c r="AI365" s="764"/>
      <c r="AJ365" s="764"/>
      <c r="AK365" s="764"/>
      <c r="AL365" s="764"/>
      <c r="AM365" s="764"/>
      <c r="AN365" s="764"/>
      <c r="AO365" s="764"/>
      <c r="AP365" s="764"/>
      <c r="AQ365" s="764"/>
      <c r="AR365" s="764"/>
      <c r="AS365" s="764"/>
    </row>
    <row r="366" spans="1:45" ht="13.9">
      <c r="A366" s="764"/>
      <c r="B366" s="764"/>
      <c r="C366" s="764"/>
      <c r="D366" s="764"/>
      <c r="E366" s="764"/>
      <c r="F366" s="764"/>
      <c r="G366" s="764"/>
      <c r="H366" s="764"/>
      <c r="I366" s="764"/>
      <c r="J366" s="764"/>
      <c r="K366" s="764"/>
      <c r="L366" s="764"/>
      <c r="M366" s="764"/>
      <c r="N366" s="773"/>
      <c r="O366" s="764"/>
      <c r="P366" s="764"/>
      <c r="Q366" s="764"/>
      <c r="R366" s="764"/>
      <c r="S366" s="764"/>
      <c r="T366" s="764"/>
      <c r="U366" s="764"/>
      <c r="V366" s="764"/>
      <c r="W366" s="764"/>
      <c r="X366" s="764"/>
      <c r="Y366" s="764"/>
      <c r="Z366" s="764"/>
      <c r="AA366" s="764"/>
      <c r="AB366" s="764"/>
      <c r="AC366" s="764"/>
      <c r="AD366" s="794"/>
      <c r="AE366" s="764"/>
      <c r="AF366" s="764"/>
      <c r="AG366" s="764"/>
      <c r="AH366" s="764"/>
      <c r="AI366" s="764"/>
      <c r="AJ366" s="764"/>
      <c r="AK366" s="764"/>
      <c r="AL366" s="764"/>
      <c r="AM366" s="764"/>
      <c r="AN366" s="764"/>
      <c r="AO366" s="764"/>
      <c r="AP366" s="764"/>
      <c r="AQ366" s="764"/>
      <c r="AR366" s="764"/>
      <c r="AS366" s="764"/>
    </row>
    <row r="367" spans="1:45" ht="13.9">
      <c r="A367" s="764"/>
      <c r="B367" s="764"/>
      <c r="C367" s="764"/>
      <c r="D367" s="764"/>
      <c r="E367" s="764"/>
      <c r="F367" s="764"/>
      <c r="G367" s="764"/>
      <c r="H367" s="764"/>
      <c r="I367" s="764"/>
      <c r="J367" s="764"/>
      <c r="K367" s="764"/>
      <c r="L367" s="764"/>
      <c r="M367" s="764"/>
      <c r="N367" s="773"/>
      <c r="O367" s="764"/>
      <c r="P367" s="764"/>
      <c r="Q367" s="764"/>
      <c r="R367" s="764"/>
      <c r="S367" s="764"/>
      <c r="T367" s="764"/>
      <c r="U367" s="764"/>
      <c r="V367" s="764"/>
      <c r="W367" s="764"/>
      <c r="X367" s="764"/>
      <c r="Y367" s="764"/>
      <c r="Z367" s="764"/>
      <c r="AA367" s="764"/>
      <c r="AB367" s="764"/>
      <c r="AC367" s="764"/>
      <c r="AD367" s="794"/>
      <c r="AE367" s="764"/>
      <c r="AF367" s="764"/>
      <c r="AG367" s="764"/>
      <c r="AH367" s="764"/>
      <c r="AI367" s="764"/>
      <c r="AJ367" s="764"/>
      <c r="AK367" s="764"/>
      <c r="AL367" s="764"/>
      <c r="AM367" s="764"/>
      <c r="AN367" s="764"/>
      <c r="AO367" s="764"/>
      <c r="AP367" s="764"/>
      <c r="AQ367" s="764"/>
      <c r="AR367" s="764"/>
      <c r="AS367" s="764"/>
    </row>
    <row r="368" spans="1:45" ht="13.9">
      <c r="A368" s="764"/>
      <c r="B368" s="764"/>
      <c r="C368" s="764"/>
      <c r="D368" s="764"/>
      <c r="E368" s="764"/>
      <c r="F368" s="764"/>
      <c r="G368" s="764"/>
      <c r="H368" s="764"/>
      <c r="I368" s="764"/>
      <c r="J368" s="764"/>
      <c r="K368" s="764"/>
      <c r="L368" s="764"/>
      <c r="M368" s="764"/>
      <c r="N368" s="773"/>
      <c r="O368" s="764"/>
      <c r="P368" s="764"/>
      <c r="Q368" s="764"/>
      <c r="R368" s="764"/>
      <c r="S368" s="764"/>
      <c r="T368" s="764"/>
      <c r="U368" s="764"/>
      <c r="V368" s="764"/>
      <c r="W368" s="764"/>
      <c r="X368" s="764"/>
      <c r="Y368" s="764"/>
      <c r="Z368" s="764"/>
      <c r="AA368" s="764"/>
      <c r="AB368" s="764"/>
      <c r="AC368" s="764"/>
      <c r="AD368" s="794"/>
      <c r="AE368" s="764"/>
      <c r="AF368" s="764"/>
      <c r="AG368" s="764"/>
      <c r="AH368" s="764"/>
      <c r="AI368" s="764"/>
      <c r="AJ368" s="764"/>
      <c r="AK368" s="764"/>
      <c r="AL368" s="764"/>
      <c r="AM368" s="764"/>
      <c r="AN368" s="764"/>
      <c r="AO368" s="764"/>
      <c r="AP368" s="764"/>
      <c r="AQ368" s="764"/>
      <c r="AR368" s="764"/>
      <c r="AS368" s="764"/>
    </row>
    <row r="369" spans="1:45" ht="13.9">
      <c r="A369" s="764"/>
      <c r="B369" s="764"/>
      <c r="C369" s="764"/>
      <c r="D369" s="764"/>
      <c r="E369" s="764"/>
      <c r="F369" s="764"/>
      <c r="G369" s="764"/>
      <c r="H369" s="764"/>
      <c r="I369" s="764"/>
      <c r="J369" s="764"/>
      <c r="K369" s="764"/>
      <c r="L369" s="764"/>
      <c r="M369" s="764"/>
      <c r="N369" s="773"/>
      <c r="O369" s="764"/>
      <c r="P369" s="764"/>
      <c r="Q369" s="764"/>
      <c r="R369" s="764"/>
      <c r="S369" s="764"/>
      <c r="T369" s="764"/>
      <c r="U369" s="764"/>
      <c r="V369" s="764"/>
      <c r="W369" s="764"/>
      <c r="X369" s="764"/>
      <c r="Y369" s="764"/>
      <c r="Z369" s="764"/>
      <c r="AA369" s="764"/>
      <c r="AB369" s="764"/>
      <c r="AC369" s="764"/>
      <c r="AD369" s="794"/>
      <c r="AE369" s="764"/>
      <c r="AF369" s="764"/>
      <c r="AG369" s="764"/>
      <c r="AH369" s="764"/>
      <c r="AI369" s="764"/>
      <c r="AJ369" s="764"/>
      <c r="AK369" s="764"/>
      <c r="AL369" s="764"/>
      <c r="AM369" s="764"/>
      <c r="AN369" s="764"/>
      <c r="AO369" s="764"/>
      <c r="AP369" s="764"/>
      <c r="AQ369" s="764"/>
      <c r="AR369" s="764"/>
      <c r="AS369" s="764"/>
    </row>
    <row r="370" spans="1:45" ht="13.9">
      <c r="A370" s="764"/>
      <c r="B370" s="764"/>
      <c r="C370" s="764"/>
      <c r="D370" s="764"/>
      <c r="E370" s="764"/>
      <c r="F370" s="764"/>
      <c r="G370" s="764"/>
      <c r="H370" s="764"/>
      <c r="I370" s="764"/>
      <c r="J370" s="764"/>
      <c r="K370" s="764"/>
      <c r="L370" s="764"/>
      <c r="M370" s="764"/>
      <c r="N370" s="773"/>
      <c r="O370" s="764"/>
      <c r="P370" s="764"/>
      <c r="Q370" s="764"/>
      <c r="R370" s="764"/>
      <c r="S370" s="764"/>
      <c r="T370" s="764"/>
      <c r="U370" s="764"/>
      <c r="V370" s="764"/>
      <c r="W370" s="764"/>
      <c r="X370" s="764"/>
      <c r="Y370" s="764"/>
      <c r="Z370" s="764"/>
      <c r="AA370" s="764"/>
      <c r="AB370" s="764"/>
      <c r="AC370" s="764"/>
      <c r="AD370" s="794"/>
      <c r="AE370" s="764"/>
      <c r="AF370" s="764"/>
      <c r="AG370" s="764"/>
      <c r="AH370" s="764"/>
      <c r="AI370" s="764"/>
      <c r="AJ370" s="764"/>
      <c r="AK370" s="764"/>
      <c r="AL370" s="764"/>
      <c r="AM370" s="764"/>
      <c r="AN370" s="764"/>
      <c r="AO370" s="764"/>
      <c r="AP370" s="764"/>
      <c r="AQ370" s="764"/>
      <c r="AR370" s="764"/>
      <c r="AS370" s="764"/>
    </row>
    <row r="371" spans="1:45" ht="13.9">
      <c r="A371" s="764"/>
      <c r="B371" s="764"/>
      <c r="C371" s="764"/>
      <c r="D371" s="764"/>
      <c r="E371" s="764"/>
      <c r="F371" s="764"/>
      <c r="G371" s="764"/>
      <c r="H371" s="764"/>
      <c r="I371" s="764"/>
      <c r="J371" s="764"/>
      <c r="K371" s="764"/>
      <c r="L371" s="764"/>
      <c r="M371" s="764"/>
      <c r="N371" s="773"/>
      <c r="O371" s="764"/>
      <c r="P371" s="764"/>
      <c r="Q371" s="764"/>
      <c r="R371" s="764"/>
      <c r="S371" s="764"/>
      <c r="T371" s="764"/>
      <c r="U371" s="764"/>
      <c r="V371" s="764"/>
      <c r="W371" s="764"/>
      <c r="X371" s="764"/>
      <c r="Y371" s="764"/>
      <c r="Z371" s="764"/>
      <c r="AA371" s="764"/>
      <c r="AB371" s="764"/>
      <c r="AC371" s="764"/>
      <c r="AD371" s="794"/>
      <c r="AE371" s="764"/>
      <c r="AF371" s="764"/>
      <c r="AG371" s="764"/>
      <c r="AH371" s="764"/>
      <c r="AI371" s="764"/>
      <c r="AJ371" s="764"/>
      <c r="AK371" s="764"/>
      <c r="AL371" s="764"/>
      <c r="AM371" s="764"/>
      <c r="AN371" s="764"/>
      <c r="AO371" s="764"/>
      <c r="AP371" s="764"/>
      <c r="AQ371" s="764"/>
      <c r="AR371" s="764"/>
      <c r="AS371" s="764"/>
    </row>
    <row r="372" spans="1:45" ht="13.9">
      <c r="A372" s="764"/>
      <c r="B372" s="764"/>
      <c r="C372" s="764"/>
      <c r="D372" s="764"/>
      <c r="E372" s="764"/>
      <c r="F372" s="764"/>
      <c r="G372" s="764"/>
      <c r="H372" s="764"/>
      <c r="I372" s="764"/>
      <c r="J372" s="764"/>
      <c r="K372" s="764"/>
      <c r="L372" s="764"/>
      <c r="M372" s="764"/>
      <c r="N372" s="773"/>
      <c r="O372" s="764"/>
      <c r="P372" s="764"/>
      <c r="Q372" s="764"/>
      <c r="R372" s="764"/>
      <c r="S372" s="764"/>
      <c r="T372" s="764"/>
      <c r="U372" s="764"/>
      <c r="V372" s="764"/>
      <c r="W372" s="764"/>
      <c r="X372" s="764"/>
      <c r="Y372" s="764"/>
      <c r="Z372" s="764"/>
      <c r="AA372" s="764"/>
      <c r="AB372" s="764"/>
      <c r="AC372" s="764"/>
      <c r="AD372" s="794"/>
      <c r="AE372" s="764"/>
      <c r="AF372" s="764"/>
      <c r="AG372" s="764"/>
      <c r="AH372" s="764"/>
      <c r="AI372" s="764"/>
      <c r="AJ372" s="764"/>
      <c r="AK372" s="764"/>
      <c r="AL372" s="764"/>
      <c r="AM372" s="764"/>
      <c r="AN372" s="764"/>
      <c r="AO372" s="764"/>
      <c r="AP372" s="764"/>
      <c r="AQ372" s="764"/>
      <c r="AR372" s="764"/>
      <c r="AS372" s="764"/>
    </row>
    <row r="373" spans="1:45" ht="13.9">
      <c r="A373" s="764"/>
      <c r="B373" s="764"/>
      <c r="C373" s="764"/>
      <c r="D373" s="764"/>
      <c r="E373" s="764"/>
      <c r="F373" s="764"/>
      <c r="G373" s="764"/>
      <c r="H373" s="764"/>
      <c r="I373" s="764"/>
      <c r="J373" s="764"/>
      <c r="K373" s="764"/>
      <c r="L373" s="764"/>
      <c r="M373" s="764"/>
      <c r="N373" s="773"/>
      <c r="O373" s="764"/>
      <c r="P373" s="764"/>
      <c r="Q373" s="764"/>
      <c r="R373" s="764"/>
      <c r="S373" s="764"/>
      <c r="T373" s="764"/>
      <c r="U373" s="764"/>
      <c r="V373" s="764"/>
      <c r="W373" s="764"/>
      <c r="X373" s="764"/>
      <c r="Y373" s="764"/>
      <c r="Z373" s="764"/>
      <c r="AA373" s="764"/>
      <c r="AB373" s="764"/>
      <c r="AC373" s="764"/>
      <c r="AD373" s="794"/>
      <c r="AE373" s="764"/>
      <c r="AF373" s="764"/>
      <c r="AG373" s="764"/>
      <c r="AH373" s="764"/>
      <c r="AI373" s="764"/>
      <c r="AJ373" s="764"/>
      <c r="AK373" s="764"/>
      <c r="AL373" s="764"/>
      <c r="AM373" s="764"/>
      <c r="AN373" s="764"/>
      <c r="AO373" s="764"/>
      <c r="AP373" s="764"/>
      <c r="AQ373" s="764"/>
      <c r="AR373" s="764"/>
      <c r="AS373" s="764"/>
    </row>
    <row r="374" spans="1:45" ht="13.9">
      <c r="A374" s="764"/>
      <c r="B374" s="764"/>
      <c r="C374" s="764"/>
      <c r="D374" s="764"/>
      <c r="E374" s="764"/>
      <c r="F374" s="764"/>
      <c r="G374" s="764"/>
      <c r="H374" s="764"/>
      <c r="I374" s="764"/>
      <c r="J374" s="764"/>
      <c r="K374" s="764"/>
      <c r="L374" s="764"/>
      <c r="M374" s="764"/>
      <c r="N374" s="773"/>
      <c r="O374" s="764"/>
      <c r="P374" s="764"/>
      <c r="Q374" s="764"/>
      <c r="R374" s="764"/>
      <c r="S374" s="764"/>
      <c r="T374" s="764"/>
      <c r="U374" s="764"/>
      <c r="V374" s="764"/>
      <c r="W374" s="764"/>
      <c r="X374" s="764"/>
      <c r="Y374" s="764"/>
      <c r="Z374" s="764"/>
      <c r="AA374" s="764"/>
      <c r="AB374" s="764"/>
      <c r="AC374" s="764"/>
      <c r="AD374" s="794"/>
      <c r="AE374" s="764"/>
      <c r="AF374" s="764"/>
      <c r="AG374" s="764"/>
      <c r="AH374" s="764"/>
      <c r="AI374" s="764"/>
      <c r="AJ374" s="764"/>
      <c r="AK374" s="764"/>
      <c r="AL374" s="764"/>
      <c r="AM374" s="764"/>
      <c r="AN374" s="764"/>
      <c r="AO374" s="764"/>
      <c r="AP374" s="764"/>
      <c r="AQ374" s="764"/>
      <c r="AR374" s="764"/>
      <c r="AS374" s="764"/>
    </row>
    <row r="375" spans="1:45" ht="13.9">
      <c r="A375" s="764"/>
      <c r="B375" s="764"/>
      <c r="C375" s="764"/>
      <c r="D375" s="764"/>
      <c r="E375" s="764"/>
      <c r="F375" s="764"/>
      <c r="G375" s="764"/>
      <c r="H375" s="764"/>
      <c r="I375" s="764"/>
      <c r="J375" s="764"/>
      <c r="K375" s="764"/>
      <c r="L375" s="764"/>
      <c r="M375" s="764"/>
      <c r="N375" s="773"/>
      <c r="O375" s="764"/>
      <c r="P375" s="764"/>
      <c r="Q375" s="764"/>
      <c r="R375" s="764"/>
      <c r="S375" s="764"/>
      <c r="T375" s="764"/>
      <c r="U375" s="764"/>
      <c r="V375" s="764"/>
      <c r="W375" s="764"/>
      <c r="X375" s="764"/>
      <c r="Y375" s="764"/>
      <c r="Z375" s="764"/>
      <c r="AA375" s="764"/>
      <c r="AB375" s="764"/>
      <c r="AC375" s="764"/>
      <c r="AD375" s="794"/>
      <c r="AE375" s="764"/>
      <c r="AF375" s="764"/>
      <c r="AG375" s="764"/>
      <c r="AH375" s="764"/>
      <c r="AI375" s="764"/>
      <c r="AJ375" s="764"/>
      <c r="AK375" s="764"/>
      <c r="AL375" s="764"/>
      <c r="AM375" s="764"/>
      <c r="AN375" s="764"/>
      <c r="AO375" s="764"/>
      <c r="AP375" s="764"/>
      <c r="AQ375" s="764"/>
      <c r="AR375" s="764"/>
      <c r="AS375" s="764"/>
    </row>
    <row r="376" spans="1:45" ht="13.9">
      <c r="A376" s="764"/>
      <c r="B376" s="764"/>
      <c r="C376" s="764"/>
      <c r="D376" s="764"/>
      <c r="E376" s="764"/>
      <c r="F376" s="764"/>
      <c r="G376" s="764"/>
      <c r="H376" s="764"/>
      <c r="I376" s="764"/>
      <c r="J376" s="764"/>
      <c r="K376" s="764"/>
      <c r="L376" s="764"/>
      <c r="M376" s="764"/>
      <c r="N376" s="773"/>
      <c r="O376" s="764"/>
      <c r="P376" s="764"/>
      <c r="Q376" s="764"/>
      <c r="R376" s="764"/>
      <c r="S376" s="764"/>
      <c r="T376" s="764"/>
      <c r="U376" s="764"/>
      <c r="V376" s="764"/>
      <c r="W376" s="764"/>
      <c r="X376" s="764"/>
      <c r="Y376" s="764"/>
      <c r="Z376" s="764"/>
      <c r="AA376" s="764"/>
      <c r="AB376" s="764"/>
      <c r="AC376" s="764"/>
      <c r="AD376" s="794"/>
      <c r="AE376" s="764"/>
      <c r="AF376" s="764"/>
      <c r="AG376" s="764"/>
      <c r="AH376" s="764"/>
      <c r="AI376" s="764"/>
      <c r="AJ376" s="764"/>
      <c r="AK376" s="764"/>
      <c r="AL376" s="764"/>
      <c r="AM376" s="764"/>
      <c r="AN376" s="764"/>
      <c r="AO376" s="764"/>
      <c r="AP376" s="764"/>
      <c r="AQ376" s="764"/>
      <c r="AR376" s="764"/>
      <c r="AS376" s="764"/>
    </row>
    <row r="377" spans="1:45" ht="13.9">
      <c r="A377" s="764"/>
      <c r="B377" s="764"/>
      <c r="C377" s="764"/>
      <c r="D377" s="764"/>
      <c r="E377" s="764"/>
      <c r="F377" s="764"/>
      <c r="G377" s="764"/>
      <c r="H377" s="764"/>
      <c r="I377" s="764"/>
      <c r="J377" s="764"/>
      <c r="K377" s="764"/>
      <c r="L377" s="764"/>
      <c r="M377" s="764"/>
      <c r="N377" s="773"/>
      <c r="O377" s="764"/>
      <c r="P377" s="764"/>
      <c r="Q377" s="764"/>
      <c r="R377" s="764"/>
      <c r="S377" s="764"/>
      <c r="T377" s="764"/>
      <c r="U377" s="764"/>
      <c r="V377" s="764"/>
      <c r="W377" s="764"/>
      <c r="X377" s="764"/>
      <c r="Y377" s="764"/>
      <c r="Z377" s="764"/>
      <c r="AA377" s="764"/>
      <c r="AB377" s="764"/>
      <c r="AC377" s="764"/>
      <c r="AD377" s="794"/>
      <c r="AE377" s="764"/>
      <c r="AF377" s="764"/>
      <c r="AG377" s="764"/>
      <c r="AH377" s="764"/>
      <c r="AI377" s="764"/>
      <c r="AJ377" s="764"/>
      <c r="AK377" s="764"/>
      <c r="AL377" s="764"/>
      <c r="AM377" s="764"/>
      <c r="AN377" s="764"/>
      <c r="AO377" s="764"/>
      <c r="AP377" s="764"/>
      <c r="AQ377" s="764"/>
      <c r="AR377" s="764"/>
      <c r="AS377" s="764"/>
    </row>
    <row r="378" spans="1:45" ht="13.9">
      <c r="A378" s="764"/>
      <c r="B378" s="764"/>
      <c r="C378" s="764"/>
      <c r="D378" s="764"/>
      <c r="E378" s="764"/>
      <c r="F378" s="764"/>
      <c r="G378" s="764"/>
      <c r="H378" s="764"/>
      <c r="I378" s="764"/>
      <c r="J378" s="764"/>
      <c r="K378" s="764"/>
      <c r="L378" s="764"/>
      <c r="M378" s="764"/>
      <c r="N378" s="773"/>
      <c r="O378" s="764"/>
      <c r="P378" s="764"/>
      <c r="Q378" s="764"/>
      <c r="R378" s="764"/>
      <c r="S378" s="764"/>
      <c r="T378" s="764"/>
      <c r="U378" s="764"/>
      <c r="V378" s="764"/>
      <c r="W378" s="764"/>
      <c r="X378" s="764"/>
      <c r="Y378" s="764"/>
      <c r="Z378" s="764"/>
      <c r="AA378" s="764"/>
      <c r="AB378" s="764"/>
      <c r="AC378" s="764"/>
      <c r="AD378" s="794"/>
      <c r="AE378" s="764"/>
      <c r="AF378" s="764"/>
      <c r="AG378" s="764"/>
      <c r="AH378" s="764"/>
      <c r="AI378" s="764"/>
      <c r="AJ378" s="764"/>
      <c r="AK378" s="764"/>
      <c r="AL378" s="764"/>
      <c r="AM378" s="764"/>
      <c r="AN378" s="764"/>
      <c r="AO378" s="764"/>
      <c r="AP378" s="764"/>
      <c r="AQ378" s="764"/>
      <c r="AR378" s="764"/>
      <c r="AS378" s="764"/>
    </row>
    <row r="379" spans="1:45" ht="13.9">
      <c r="A379" s="764"/>
      <c r="B379" s="764"/>
      <c r="C379" s="764"/>
      <c r="D379" s="764"/>
      <c r="E379" s="764"/>
      <c r="F379" s="764"/>
      <c r="G379" s="764"/>
      <c r="H379" s="764"/>
      <c r="I379" s="764"/>
      <c r="J379" s="764"/>
      <c r="K379" s="764"/>
      <c r="L379" s="764"/>
      <c r="M379" s="764"/>
      <c r="N379" s="773"/>
      <c r="O379" s="764"/>
      <c r="P379" s="764"/>
      <c r="Q379" s="764"/>
      <c r="R379" s="764"/>
      <c r="S379" s="764"/>
      <c r="T379" s="764"/>
      <c r="U379" s="764"/>
      <c r="V379" s="764"/>
      <c r="W379" s="764"/>
      <c r="X379" s="764"/>
      <c r="Y379" s="764"/>
      <c r="Z379" s="764"/>
      <c r="AA379" s="764"/>
      <c r="AB379" s="764"/>
      <c r="AC379" s="764"/>
      <c r="AD379" s="794"/>
      <c r="AE379" s="764"/>
      <c r="AF379" s="764"/>
      <c r="AG379" s="764"/>
      <c r="AH379" s="764"/>
      <c r="AI379" s="764"/>
      <c r="AJ379" s="764"/>
      <c r="AK379" s="764"/>
      <c r="AL379" s="764"/>
      <c r="AM379" s="764"/>
      <c r="AN379" s="764"/>
      <c r="AO379" s="764"/>
      <c r="AP379" s="764"/>
      <c r="AQ379" s="764"/>
      <c r="AR379" s="764"/>
      <c r="AS379" s="764"/>
    </row>
    <row r="380" spans="1:45" ht="13.9">
      <c r="A380" s="764"/>
      <c r="B380" s="764"/>
      <c r="C380" s="764"/>
      <c r="D380" s="764"/>
      <c r="E380" s="764"/>
      <c r="F380" s="764"/>
      <c r="G380" s="764"/>
      <c r="H380" s="764"/>
      <c r="I380" s="764"/>
      <c r="J380" s="764"/>
      <c r="K380" s="764"/>
      <c r="L380" s="764"/>
      <c r="M380" s="764"/>
      <c r="N380" s="773"/>
      <c r="O380" s="764"/>
      <c r="P380" s="764"/>
      <c r="Q380" s="764"/>
      <c r="R380" s="764"/>
      <c r="S380" s="764"/>
      <c r="T380" s="764"/>
      <c r="U380" s="764"/>
      <c r="V380" s="764"/>
      <c r="W380" s="764"/>
      <c r="X380" s="764"/>
      <c r="Y380" s="764"/>
      <c r="Z380" s="764"/>
      <c r="AA380" s="764"/>
      <c r="AB380" s="764"/>
      <c r="AC380" s="764"/>
      <c r="AD380" s="794"/>
      <c r="AE380" s="764"/>
      <c r="AF380" s="764"/>
      <c r="AG380" s="764"/>
      <c r="AH380" s="764"/>
      <c r="AI380" s="764"/>
      <c r="AJ380" s="764"/>
      <c r="AK380" s="764"/>
      <c r="AL380" s="764"/>
      <c r="AM380" s="764"/>
      <c r="AN380" s="764"/>
      <c r="AO380" s="764"/>
      <c r="AP380" s="764"/>
      <c r="AQ380" s="764"/>
      <c r="AR380" s="764"/>
      <c r="AS380" s="764"/>
    </row>
    <row r="381" spans="1:45" ht="13.9">
      <c r="A381" s="764"/>
      <c r="B381" s="764"/>
      <c r="C381" s="764"/>
      <c r="D381" s="764"/>
      <c r="E381" s="764"/>
      <c r="F381" s="764"/>
      <c r="G381" s="764"/>
      <c r="H381" s="764"/>
      <c r="I381" s="764"/>
      <c r="J381" s="764"/>
      <c r="K381" s="764"/>
      <c r="L381" s="764"/>
      <c r="M381" s="764"/>
      <c r="N381" s="773"/>
      <c r="O381" s="764"/>
      <c r="P381" s="764"/>
      <c r="Q381" s="764"/>
      <c r="R381" s="764"/>
      <c r="S381" s="764"/>
      <c r="T381" s="764"/>
      <c r="U381" s="764"/>
      <c r="V381" s="764"/>
      <c r="W381" s="764"/>
      <c r="X381" s="764"/>
      <c r="Y381" s="764"/>
      <c r="Z381" s="764"/>
      <c r="AA381" s="764"/>
      <c r="AB381" s="764"/>
      <c r="AC381" s="764"/>
      <c r="AD381" s="794"/>
      <c r="AE381" s="764"/>
      <c r="AF381" s="764"/>
      <c r="AG381" s="764"/>
      <c r="AH381" s="764"/>
      <c r="AI381" s="764"/>
      <c r="AJ381" s="764"/>
      <c r="AK381" s="764"/>
      <c r="AL381" s="764"/>
      <c r="AM381" s="764"/>
      <c r="AN381" s="764"/>
      <c r="AO381" s="764"/>
      <c r="AP381" s="764"/>
      <c r="AQ381" s="764"/>
      <c r="AR381" s="764"/>
      <c r="AS381" s="764"/>
    </row>
    <row r="382" spans="1:45" ht="13.9">
      <c r="A382" s="764"/>
      <c r="B382" s="764"/>
      <c r="C382" s="764"/>
      <c r="D382" s="764"/>
      <c r="E382" s="764"/>
      <c r="F382" s="764"/>
      <c r="G382" s="764"/>
      <c r="H382" s="764"/>
      <c r="I382" s="764"/>
      <c r="J382" s="764"/>
      <c r="K382" s="764"/>
      <c r="L382" s="764"/>
      <c r="M382" s="764"/>
      <c r="N382" s="773"/>
      <c r="O382" s="764"/>
      <c r="P382" s="764"/>
      <c r="Q382" s="764"/>
      <c r="R382" s="764"/>
      <c r="S382" s="764"/>
      <c r="T382" s="764"/>
      <c r="U382" s="764"/>
      <c r="V382" s="764"/>
      <c r="W382" s="764"/>
      <c r="X382" s="764"/>
      <c r="Y382" s="764"/>
      <c r="Z382" s="764"/>
      <c r="AA382" s="764"/>
      <c r="AB382" s="764"/>
      <c r="AC382" s="764"/>
      <c r="AD382" s="794"/>
      <c r="AE382" s="764"/>
      <c r="AF382" s="764"/>
      <c r="AG382" s="764"/>
      <c r="AH382" s="764"/>
      <c r="AI382" s="764"/>
      <c r="AJ382" s="764"/>
      <c r="AK382" s="764"/>
      <c r="AL382" s="764"/>
      <c r="AM382" s="764"/>
      <c r="AN382" s="764"/>
      <c r="AO382" s="764"/>
      <c r="AP382" s="764"/>
      <c r="AQ382" s="764"/>
      <c r="AR382" s="764"/>
      <c r="AS382" s="764"/>
    </row>
    <row r="383" spans="1:45" ht="13.9">
      <c r="A383" s="764"/>
      <c r="B383" s="764"/>
      <c r="C383" s="764"/>
      <c r="D383" s="764"/>
      <c r="E383" s="764"/>
      <c r="F383" s="764"/>
      <c r="G383" s="764"/>
      <c r="H383" s="764"/>
      <c r="I383" s="764"/>
      <c r="J383" s="764"/>
      <c r="K383" s="764"/>
      <c r="L383" s="764"/>
      <c r="M383" s="764"/>
      <c r="N383" s="773"/>
      <c r="O383" s="764"/>
      <c r="P383" s="764"/>
      <c r="Q383" s="764"/>
      <c r="R383" s="764"/>
      <c r="S383" s="764"/>
      <c r="T383" s="764"/>
      <c r="U383" s="764"/>
      <c r="V383" s="764"/>
      <c r="W383" s="764"/>
      <c r="X383" s="764"/>
      <c r="Y383" s="764"/>
      <c r="Z383" s="764"/>
      <c r="AA383" s="764"/>
      <c r="AB383" s="764"/>
      <c r="AC383" s="764"/>
      <c r="AD383" s="794"/>
      <c r="AE383" s="764"/>
      <c r="AF383" s="764"/>
      <c r="AG383" s="764"/>
      <c r="AH383" s="764"/>
      <c r="AI383" s="764"/>
      <c r="AJ383" s="764"/>
      <c r="AK383" s="764"/>
      <c r="AL383" s="764"/>
      <c r="AM383" s="764"/>
      <c r="AN383" s="764"/>
      <c r="AO383" s="764"/>
      <c r="AP383" s="764"/>
      <c r="AQ383" s="764"/>
      <c r="AR383" s="764"/>
      <c r="AS383" s="764"/>
    </row>
    <row r="384" spans="1:45" ht="13.9">
      <c r="A384" s="764"/>
      <c r="B384" s="764"/>
      <c r="C384" s="764"/>
      <c r="D384" s="764"/>
      <c r="E384" s="764"/>
      <c r="F384" s="764"/>
      <c r="G384" s="764"/>
      <c r="H384" s="764"/>
      <c r="I384" s="764"/>
      <c r="J384" s="764"/>
      <c r="K384" s="764"/>
      <c r="L384" s="764"/>
      <c r="M384" s="764"/>
      <c r="N384" s="773"/>
      <c r="O384" s="764"/>
      <c r="P384" s="764"/>
      <c r="Q384" s="764"/>
      <c r="R384" s="764"/>
      <c r="S384" s="764"/>
      <c r="T384" s="764"/>
      <c r="U384" s="764"/>
      <c r="V384" s="764"/>
      <c r="W384" s="764"/>
      <c r="X384" s="764"/>
      <c r="Y384" s="764"/>
      <c r="Z384" s="764"/>
      <c r="AA384" s="764"/>
      <c r="AB384" s="764"/>
      <c r="AC384" s="764"/>
      <c r="AD384" s="794"/>
      <c r="AE384" s="764"/>
      <c r="AF384" s="764"/>
      <c r="AG384" s="764"/>
      <c r="AH384" s="764"/>
      <c r="AI384" s="764"/>
      <c r="AJ384" s="764"/>
      <c r="AK384" s="764"/>
      <c r="AL384" s="764"/>
      <c r="AM384" s="764"/>
      <c r="AN384" s="764"/>
      <c r="AO384" s="764"/>
      <c r="AP384" s="764"/>
      <c r="AQ384" s="764"/>
      <c r="AR384" s="764"/>
      <c r="AS384" s="764"/>
    </row>
    <row r="385" spans="1:45" ht="13.9">
      <c r="A385" s="764"/>
      <c r="B385" s="764"/>
      <c r="C385" s="764"/>
      <c r="D385" s="764"/>
      <c r="E385" s="764"/>
      <c r="F385" s="764"/>
      <c r="G385" s="764"/>
      <c r="H385" s="764"/>
      <c r="I385" s="764"/>
      <c r="J385" s="764"/>
      <c r="K385" s="764"/>
      <c r="L385" s="764"/>
      <c r="M385" s="764"/>
      <c r="N385" s="773"/>
      <c r="O385" s="764"/>
      <c r="P385" s="764"/>
      <c r="Q385" s="764"/>
      <c r="R385" s="764"/>
      <c r="S385" s="764"/>
      <c r="T385" s="764"/>
      <c r="U385" s="764"/>
      <c r="V385" s="764"/>
      <c r="W385" s="764"/>
      <c r="X385" s="764"/>
      <c r="Y385" s="764"/>
      <c r="Z385" s="764"/>
      <c r="AA385" s="764"/>
      <c r="AB385" s="764"/>
      <c r="AC385" s="764"/>
      <c r="AD385" s="794"/>
      <c r="AE385" s="764"/>
      <c r="AF385" s="764"/>
      <c r="AG385" s="764"/>
      <c r="AH385" s="764"/>
      <c r="AI385" s="764"/>
      <c r="AJ385" s="764"/>
      <c r="AK385" s="764"/>
      <c r="AL385" s="764"/>
      <c r="AM385" s="764"/>
      <c r="AN385" s="764"/>
      <c r="AO385" s="764"/>
      <c r="AP385" s="764"/>
      <c r="AQ385" s="764"/>
      <c r="AR385" s="764"/>
      <c r="AS385" s="764"/>
    </row>
    <row r="386" spans="1:45" ht="13.9">
      <c r="A386" s="764"/>
      <c r="B386" s="764"/>
      <c r="C386" s="764"/>
      <c r="D386" s="764"/>
      <c r="E386" s="764"/>
      <c r="F386" s="764"/>
      <c r="G386" s="764"/>
      <c r="H386" s="764"/>
      <c r="I386" s="764"/>
      <c r="J386" s="764"/>
      <c r="K386" s="764"/>
      <c r="L386" s="764"/>
      <c r="M386" s="764"/>
      <c r="N386" s="773"/>
      <c r="O386" s="764"/>
      <c r="P386" s="764"/>
      <c r="Q386" s="764"/>
      <c r="R386" s="764"/>
      <c r="S386" s="764"/>
      <c r="T386" s="764"/>
      <c r="U386" s="764"/>
      <c r="V386" s="764"/>
      <c r="W386" s="764"/>
      <c r="X386" s="764"/>
      <c r="Y386" s="764"/>
      <c r="Z386" s="764"/>
      <c r="AA386" s="764"/>
      <c r="AB386" s="764"/>
      <c r="AC386" s="764"/>
      <c r="AD386" s="794"/>
      <c r="AE386" s="764"/>
      <c r="AF386" s="764"/>
      <c r="AG386" s="764"/>
      <c r="AH386" s="764"/>
      <c r="AI386" s="764"/>
      <c r="AJ386" s="764"/>
      <c r="AK386" s="764"/>
      <c r="AL386" s="764"/>
      <c r="AM386" s="764"/>
      <c r="AN386" s="764"/>
      <c r="AO386" s="764"/>
      <c r="AP386" s="764"/>
      <c r="AQ386" s="764"/>
      <c r="AR386" s="764"/>
      <c r="AS386" s="764"/>
    </row>
    <row r="387" spans="1:45" ht="13.9">
      <c r="A387" s="764"/>
      <c r="B387" s="764"/>
      <c r="C387" s="764"/>
      <c r="D387" s="764"/>
      <c r="E387" s="764"/>
      <c r="F387" s="764"/>
      <c r="G387" s="764"/>
      <c r="H387" s="764"/>
      <c r="I387" s="764"/>
      <c r="J387" s="764"/>
      <c r="K387" s="764"/>
      <c r="L387" s="764"/>
      <c r="M387" s="764"/>
      <c r="N387" s="773"/>
      <c r="O387" s="764"/>
      <c r="P387" s="764"/>
      <c r="Q387" s="764"/>
      <c r="R387" s="764"/>
      <c r="S387" s="764"/>
      <c r="T387" s="764"/>
      <c r="U387" s="764"/>
      <c r="V387" s="764"/>
      <c r="W387" s="764"/>
      <c r="X387" s="764"/>
      <c r="Y387" s="764"/>
      <c r="Z387" s="764"/>
      <c r="AA387" s="764"/>
      <c r="AB387" s="764"/>
      <c r="AC387" s="764"/>
      <c r="AD387" s="794"/>
      <c r="AE387" s="764"/>
      <c r="AF387" s="764"/>
      <c r="AG387" s="764"/>
      <c r="AH387" s="764"/>
      <c r="AI387" s="764"/>
      <c r="AJ387" s="764"/>
      <c r="AK387" s="764"/>
      <c r="AL387" s="764"/>
      <c r="AM387" s="764"/>
      <c r="AN387" s="764"/>
      <c r="AO387" s="764"/>
      <c r="AP387" s="764"/>
      <c r="AQ387" s="764"/>
      <c r="AR387" s="764"/>
      <c r="AS387" s="764"/>
    </row>
    <row r="388" spans="1:45" ht="13.9">
      <c r="A388" s="764"/>
      <c r="B388" s="764"/>
      <c r="C388" s="764"/>
      <c r="D388" s="764"/>
      <c r="E388" s="764"/>
      <c r="F388" s="764"/>
      <c r="G388" s="764"/>
      <c r="H388" s="764"/>
      <c r="I388" s="764"/>
      <c r="J388" s="764"/>
      <c r="K388" s="764"/>
      <c r="L388" s="764"/>
      <c r="M388" s="764"/>
      <c r="N388" s="773"/>
      <c r="O388" s="764"/>
      <c r="P388" s="764"/>
      <c r="Q388" s="764"/>
      <c r="R388" s="764"/>
      <c r="S388" s="764"/>
      <c r="T388" s="764"/>
      <c r="U388" s="764"/>
      <c r="V388" s="764"/>
      <c r="W388" s="764"/>
      <c r="X388" s="764"/>
      <c r="Y388" s="764"/>
      <c r="Z388" s="764"/>
      <c r="AA388" s="764"/>
      <c r="AB388" s="764"/>
      <c r="AC388" s="764"/>
      <c r="AD388" s="794"/>
      <c r="AE388" s="764"/>
      <c r="AF388" s="764"/>
      <c r="AG388" s="764"/>
      <c r="AH388" s="764"/>
      <c r="AI388" s="764"/>
      <c r="AJ388" s="764"/>
      <c r="AK388" s="764"/>
      <c r="AL388" s="764"/>
      <c r="AM388" s="764"/>
      <c r="AN388" s="764"/>
      <c r="AO388" s="764"/>
      <c r="AP388" s="764"/>
      <c r="AQ388" s="764"/>
      <c r="AR388" s="764"/>
      <c r="AS388" s="764"/>
    </row>
    <row r="389" spans="1:45" ht="13.9">
      <c r="A389" s="764"/>
      <c r="B389" s="764"/>
      <c r="C389" s="764"/>
      <c r="D389" s="764"/>
      <c r="E389" s="764"/>
      <c r="F389" s="764"/>
      <c r="G389" s="764"/>
      <c r="H389" s="764"/>
      <c r="I389" s="764"/>
      <c r="J389" s="764"/>
      <c r="K389" s="764"/>
      <c r="L389" s="764"/>
      <c r="M389" s="764"/>
      <c r="N389" s="773"/>
      <c r="O389" s="764"/>
      <c r="P389" s="764"/>
      <c r="Q389" s="764"/>
      <c r="R389" s="764"/>
      <c r="S389" s="764"/>
      <c r="T389" s="764"/>
      <c r="U389" s="764"/>
      <c r="V389" s="764"/>
      <c r="W389" s="764"/>
      <c r="X389" s="764"/>
      <c r="Y389" s="764"/>
      <c r="Z389" s="764"/>
      <c r="AA389" s="764"/>
      <c r="AB389" s="764"/>
      <c r="AC389" s="764"/>
      <c r="AD389" s="794"/>
      <c r="AE389" s="764"/>
      <c r="AF389" s="764"/>
      <c r="AG389" s="764"/>
      <c r="AH389" s="764"/>
      <c r="AI389" s="764"/>
      <c r="AJ389" s="764"/>
      <c r="AK389" s="764"/>
      <c r="AL389" s="764"/>
      <c r="AM389" s="764"/>
      <c r="AN389" s="764"/>
      <c r="AO389" s="764"/>
      <c r="AP389" s="764"/>
      <c r="AQ389" s="764"/>
      <c r="AR389" s="764"/>
      <c r="AS389" s="764"/>
    </row>
    <row r="390" spans="1:45" ht="13.9">
      <c r="A390" s="764"/>
      <c r="B390" s="764"/>
      <c r="C390" s="764"/>
      <c r="D390" s="764"/>
      <c r="E390" s="764"/>
      <c r="F390" s="764"/>
      <c r="G390" s="764"/>
      <c r="H390" s="764"/>
      <c r="I390" s="764"/>
      <c r="J390" s="764"/>
      <c r="K390" s="764"/>
      <c r="L390" s="764"/>
      <c r="M390" s="764"/>
      <c r="N390" s="773"/>
      <c r="O390" s="764"/>
      <c r="P390" s="764"/>
      <c r="Q390" s="764"/>
      <c r="R390" s="764"/>
      <c r="S390" s="764"/>
      <c r="T390" s="764"/>
      <c r="U390" s="764"/>
      <c r="V390" s="764"/>
      <c r="W390" s="764"/>
      <c r="X390" s="764"/>
      <c r="Y390" s="764"/>
      <c r="Z390" s="764"/>
      <c r="AA390" s="764"/>
      <c r="AB390" s="764"/>
      <c r="AC390" s="764"/>
      <c r="AD390" s="794"/>
      <c r="AE390" s="764"/>
      <c r="AF390" s="764"/>
      <c r="AG390" s="764"/>
      <c r="AH390" s="764"/>
      <c r="AI390" s="764"/>
      <c r="AJ390" s="764"/>
      <c r="AK390" s="764"/>
      <c r="AL390" s="764"/>
      <c r="AM390" s="764"/>
      <c r="AN390" s="764"/>
      <c r="AO390" s="764"/>
      <c r="AP390" s="764"/>
      <c r="AQ390" s="764"/>
      <c r="AR390" s="764"/>
      <c r="AS390" s="764"/>
    </row>
    <row r="391" spans="1:45" ht="13.9">
      <c r="A391" s="764"/>
      <c r="B391" s="764"/>
      <c r="C391" s="764"/>
      <c r="D391" s="764"/>
      <c r="E391" s="764"/>
      <c r="F391" s="764"/>
      <c r="G391" s="764"/>
      <c r="H391" s="764"/>
      <c r="I391" s="764"/>
      <c r="J391" s="764"/>
      <c r="K391" s="764"/>
      <c r="L391" s="764"/>
      <c r="M391" s="764"/>
      <c r="N391" s="773"/>
      <c r="O391" s="764"/>
      <c r="P391" s="764"/>
      <c r="Q391" s="764"/>
      <c r="R391" s="764"/>
      <c r="S391" s="764"/>
      <c r="T391" s="764"/>
      <c r="U391" s="764"/>
      <c r="V391" s="764"/>
      <c r="W391" s="764"/>
      <c r="X391" s="764"/>
      <c r="Y391" s="764"/>
      <c r="Z391" s="764"/>
      <c r="AA391" s="764"/>
      <c r="AB391" s="764"/>
      <c r="AC391" s="764"/>
      <c r="AD391" s="794"/>
      <c r="AE391" s="764"/>
      <c r="AF391" s="764"/>
      <c r="AG391" s="764"/>
      <c r="AH391" s="764"/>
      <c r="AI391" s="764"/>
      <c r="AJ391" s="764"/>
      <c r="AK391" s="764"/>
      <c r="AL391" s="764"/>
      <c r="AM391" s="764"/>
      <c r="AN391" s="764"/>
      <c r="AO391" s="764"/>
      <c r="AP391" s="764"/>
      <c r="AQ391" s="764"/>
      <c r="AR391" s="764"/>
      <c r="AS391" s="764"/>
    </row>
    <row r="392" spans="1:45" ht="13.9">
      <c r="A392" s="764"/>
      <c r="B392" s="764"/>
      <c r="C392" s="764"/>
      <c r="D392" s="764"/>
      <c r="E392" s="764"/>
      <c r="F392" s="764"/>
      <c r="G392" s="764"/>
      <c r="H392" s="764"/>
      <c r="I392" s="764"/>
      <c r="J392" s="764"/>
      <c r="K392" s="764"/>
      <c r="L392" s="764"/>
      <c r="M392" s="764"/>
      <c r="N392" s="773"/>
      <c r="O392" s="764"/>
      <c r="P392" s="764"/>
      <c r="Q392" s="764"/>
      <c r="R392" s="764"/>
      <c r="S392" s="764"/>
      <c r="T392" s="764"/>
      <c r="U392" s="764"/>
      <c r="V392" s="764"/>
      <c r="W392" s="764"/>
      <c r="X392" s="764"/>
      <c r="Y392" s="764"/>
      <c r="Z392" s="764"/>
      <c r="AA392" s="764"/>
      <c r="AB392" s="764"/>
      <c r="AC392" s="764"/>
      <c r="AD392" s="794"/>
      <c r="AE392" s="764"/>
      <c r="AF392" s="764"/>
      <c r="AG392" s="764"/>
      <c r="AH392" s="764"/>
      <c r="AI392" s="764"/>
      <c r="AJ392" s="764"/>
      <c r="AK392" s="764"/>
      <c r="AL392" s="764"/>
      <c r="AM392" s="764"/>
      <c r="AN392" s="764"/>
      <c r="AO392" s="764"/>
      <c r="AP392" s="764"/>
      <c r="AQ392" s="764"/>
      <c r="AR392" s="764"/>
      <c r="AS392" s="764"/>
    </row>
    <row r="393" spans="1:45" ht="13.9">
      <c r="A393" s="764"/>
      <c r="B393" s="764"/>
      <c r="C393" s="764"/>
      <c r="D393" s="764"/>
      <c r="E393" s="764"/>
      <c r="F393" s="764"/>
      <c r="G393" s="764"/>
      <c r="H393" s="764"/>
      <c r="I393" s="764"/>
      <c r="J393" s="764"/>
      <c r="K393" s="764"/>
      <c r="L393" s="764"/>
      <c r="M393" s="764"/>
      <c r="N393" s="773"/>
      <c r="O393" s="764"/>
      <c r="P393" s="764"/>
      <c r="Q393" s="764"/>
      <c r="R393" s="764"/>
      <c r="S393" s="764"/>
      <c r="T393" s="764"/>
      <c r="U393" s="764"/>
      <c r="V393" s="764"/>
      <c r="W393" s="764"/>
      <c r="X393" s="764"/>
      <c r="Y393" s="764"/>
      <c r="Z393" s="764"/>
      <c r="AA393" s="764"/>
      <c r="AB393" s="764"/>
      <c r="AC393" s="764"/>
      <c r="AD393" s="794"/>
      <c r="AE393" s="764"/>
      <c r="AF393" s="764"/>
      <c r="AG393" s="764"/>
      <c r="AH393" s="764"/>
      <c r="AI393" s="764"/>
      <c r="AJ393" s="764"/>
      <c r="AK393" s="764"/>
      <c r="AL393" s="764"/>
      <c r="AM393" s="764"/>
      <c r="AN393" s="764"/>
      <c r="AO393" s="764"/>
      <c r="AP393" s="764"/>
      <c r="AQ393" s="764"/>
      <c r="AR393" s="764"/>
      <c r="AS393" s="764"/>
    </row>
    <row r="394" spans="1:45" ht="13.9">
      <c r="A394" s="764"/>
      <c r="B394" s="764"/>
      <c r="C394" s="764"/>
      <c r="D394" s="764"/>
      <c r="E394" s="764"/>
      <c r="F394" s="764"/>
      <c r="G394" s="764"/>
      <c r="H394" s="764"/>
      <c r="I394" s="764"/>
      <c r="J394" s="764"/>
      <c r="K394" s="764"/>
      <c r="L394" s="764"/>
      <c r="M394" s="764"/>
      <c r="N394" s="773"/>
      <c r="O394" s="764"/>
      <c r="P394" s="764"/>
      <c r="Q394" s="764"/>
      <c r="R394" s="764"/>
      <c r="S394" s="764"/>
      <c r="T394" s="764"/>
      <c r="U394" s="764"/>
      <c r="V394" s="764"/>
      <c r="W394" s="764"/>
      <c r="X394" s="764"/>
      <c r="Y394" s="764"/>
      <c r="Z394" s="764"/>
      <c r="AA394" s="764"/>
      <c r="AB394" s="764"/>
      <c r="AC394" s="764"/>
      <c r="AD394" s="794"/>
      <c r="AE394" s="764"/>
      <c r="AF394" s="764"/>
      <c r="AG394" s="764"/>
      <c r="AH394" s="764"/>
      <c r="AI394" s="764"/>
      <c r="AJ394" s="764"/>
      <c r="AK394" s="764"/>
      <c r="AL394" s="764"/>
      <c r="AM394" s="764"/>
      <c r="AN394" s="764"/>
      <c r="AO394" s="764"/>
      <c r="AP394" s="764"/>
      <c r="AQ394" s="764"/>
      <c r="AR394" s="764"/>
      <c r="AS394" s="764"/>
    </row>
    <row r="395" spans="1:45" ht="13.9">
      <c r="A395" s="764"/>
      <c r="B395" s="764"/>
      <c r="C395" s="764"/>
      <c r="D395" s="764"/>
      <c r="E395" s="764"/>
      <c r="F395" s="764"/>
      <c r="G395" s="764"/>
      <c r="H395" s="764"/>
      <c r="I395" s="764"/>
      <c r="J395" s="764"/>
      <c r="K395" s="764"/>
      <c r="L395" s="764"/>
      <c r="M395" s="764"/>
      <c r="N395" s="773"/>
      <c r="O395" s="764"/>
      <c r="P395" s="764"/>
      <c r="Q395" s="764"/>
      <c r="R395" s="764"/>
      <c r="S395" s="764"/>
      <c r="T395" s="764"/>
      <c r="U395" s="764"/>
      <c r="V395" s="764"/>
      <c r="W395" s="764"/>
      <c r="X395" s="764"/>
      <c r="Y395" s="764"/>
      <c r="Z395" s="764"/>
      <c r="AA395" s="764"/>
      <c r="AB395" s="764"/>
      <c r="AC395" s="764"/>
      <c r="AD395" s="794"/>
      <c r="AE395" s="764"/>
      <c r="AF395" s="764"/>
      <c r="AG395" s="764"/>
      <c r="AH395" s="764"/>
      <c r="AI395" s="764"/>
      <c r="AJ395" s="764"/>
      <c r="AK395" s="764"/>
      <c r="AL395" s="764"/>
      <c r="AM395" s="764"/>
      <c r="AN395" s="764"/>
      <c r="AO395" s="764"/>
      <c r="AP395" s="764"/>
      <c r="AQ395" s="764"/>
      <c r="AR395" s="764"/>
      <c r="AS395" s="764"/>
    </row>
    <row r="396" spans="1:45" ht="13.9">
      <c r="A396" s="764"/>
      <c r="B396" s="764"/>
      <c r="C396" s="764"/>
      <c r="D396" s="764"/>
      <c r="E396" s="764"/>
      <c r="F396" s="764"/>
      <c r="G396" s="764"/>
      <c r="H396" s="764"/>
      <c r="I396" s="764"/>
      <c r="J396" s="764"/>
      <c r="K396" s="764"/>
      <c r="L396" s="764"/>
      <c r="M396" s="764"/>
      <c r="N396" s="773"/>
      <c r="O396" s="764"/>
      <c r="P396" s="764"/>
      <c r="Q396" s="764"/>
      <c r="R396" s="764"/>
      <c r="S396" s="764"/>
      <c r="T396" s="764"/>
      <c r="U396" s="764"/>
      <c r="V396" s="764"/>
      <c r="W396" s="764"/>
      <c r="X396" s="764"/>
      <c r="Y396" s="764"/>
      <c r="Z396" s="764"/>
      <c r="AA396" s="764"/>
      <c r="AB396" s="764"/>
      <c r="AC396" s="764"/>
      <c r="AD396" s="794"/>
      <c r="AE396" s="764"/>
      <c r="AF396" s="764"/>
      <c r="AG396" s="764"/>
      <c r="AH396" s="764"/>
      <c r="AI396" s="764"/>
      <c r="AJ396" s="764"/>
      <c r="AK396" s="764"/>
      <c r="AL396" s="764"/>
      <c r="AM396" s="764"/>
      <c r="AN396" s="764"/>
      <c r="AO396" s="764"/>
      <c r="AP396" s="764"/>
      <c r="AQ396" s="764"/>
      <c r="AR396" s="764"/>
      <c r="AS396" s="764"/>
    </row>
    <row r="397" spans="1:45" ht="13.9">
      <c r="A397" s="764"/>
      <c r="B397" s="764"/>
      <c r="C397" s="764"/>
      <c r="D397" s="764"/>
      <c r="E397" s="764"/>
      <c r="F397" s="764"/>
      <c r="G397" s="764"/>
      <c r="H397" s="764"/>
      <c r="I397" s="764"/>
      <c r="J397" s="764"/>
      <c r="K397" s="764"/>
      <c r="L397" s="764"/>
      <c r="M397" s="764"/>
      <c r="N397" s="773"/>
      <c r="O397" s="764"/>
      <c r="P397" s="764"/>
      <c r="Q397" s="764"/>
      <c r="R397" s="764"/>
      <c r="S397" s="764"/>
      <c r="T397" s="764"/>
      <c r="U397" s="764"/>
      <c r="V397" s="764"/>
      <c r="W397" s="764"/>
      <c r="X397" s="764"/>
      <c r="Y397" s="764"/>
      <c r="Z397" s="764"/>
      <c r="AA397" s="764"/>
      <c r="AB397" s="764"/>
      <c r="AC397" s="764"/>
      <c r="AD397" s="794"/>
      <c r="AE397" s="764"/>
      <c r="AF397" s="764"/>
      <c r="AG397" s="764"/>
      <c r="AH397" s="764"/>
      <c r="AI397" s="764"/>
      <c r="AJ397" s="764"/>
      <c r="AK397" s="764"/>
      <c r="AL397" s="764"/>
      <c r="AM397" s="764"/>
      <c r="AN397" s="764"/>
      <c r="AO397" s="764"/>
      <c r="AP397" s="764"/>
      <c r="AQ397" s="764"/>
      <c r="AR397" s="764"/>
      <c r="AS397" s="764"/>
    </row>
    <row r="398" spans="1:45" ht="13.9">
      <c r="A398" s="764"/>
      <c r="B398" s="764"/>
      <c r="C398" s="764"/>
      <c r="D398" s="764"/>
      <c r="E398" s="764"/>
      <c r="F398" s="764"/>
      <c r="G398" s="764"/>
      <c r="H398" s="764"/>
      <c r="I398" s="764"/>
      <c r="J398" s="764"/>
      <c r="K398" s="764"/>
      <c r="L398" s="764"/>
      <c r="M398" s="764"/>
      <c r="N398" s="773"/>
      <c r="O398" s="764"/>
      <c r="P398" s="764"/>
      <c r="Q398" s="764"/>
      <c r="R398" s="764"/>
      <c r="S398" s="764"/>
      <c r="T398" s="764"/>
      <c r="U398" s="764"/>
      <c r="V398" s="764"/>
      <c r="W398" s="764"/>
      <c r="X398" s="764"/>
      <c r="Y398" s="764"/>
      <c r="Z398" s="764"/>
      <c r="AA398" s="764"/>
      <c r="AB398" s="764"/>
      <c r="AC398" s="764"/>
      <c r="AD398" s="794"/>
      <c r="AE398" s="764"/>
      <c r="AF398" s="764"/>
      <c r="AG398" s="764"/>
      <c r="AH398" s="764"/>
      <c r="AI398" s="764"/>
      <c r="AJ398" s="764"/>
      <c r="AK398" s="764"/>
      <c r="AL398" s="764"/>
      <c r="AM398" s="764"/>
      <c r="AN398" s="764"/>
      <c r="AO398" s="764"/>
      <c r="AP398" s="764"/>
      <c r="AQ398" s="764"/>
      <c r="AR398" s="764"/>
      <c r="AS398" s="764"/>
    </row>
    <row r="399" spans="1:45" ht="13.9">
      <c r="A399" s="764"/>
      <c r="B399" s="764"/>
      <c r="C399" s="764"/>
      <c r="D399" s="764"/>
      <c r="E399" s="764"/>
      <c r="F399" s="764"/>
      <c r="G399" s="764"/>
      <c r="H399" s="764"/>
      <c r="I399" s="764"/>
      <c r="J399" s="764"/>
      <c r="K399" s="764"/>
      <c r="L399" s="764"/>
      <c r="M399" s="764"/>
      <c r="N399" s="773"/>
      <c r="O399" s="764"/>
      <c r="P399" s="764"/>
      <c r="Q399" s="764"/>
      <c r="R399" s="764"/>
      <c r="S399" s="764"/>
      <c r="T399" s="764"/>
      <c r="U399" s="764"/>
      <c r="V399" s="764"/>
      <c r="W399" s="764"/>
      <c r="X399" s="764"/>
      <c r="Y399" s="764"/>
      <c r="Z399" s="764"/>
      <c r="AA399" s="764"/>
      <c r="AB399" s="764"/>
      <c r="AC399" s="764"/>
      <c r="AD399" s="794"/>
      <c r="AE399" s="764"/>
      <c r="AF399" s="764"/>
      <c r="AG399" s="764"/>
      <c r="AH399" s="764"/>
      <c r="AI399" s="764"/>
      <c r="AJ399" s="764"/>
      <c r="AK399" s="764"/>
      <c r="AL399" s="764"/>
      <c r="AM399" s="764"/>
      <c r="AN399" s="764"/>
      <c r="AO399" s="764"/>
      <c r="AP399" s="764"/>
      <c r="AQ399" s="764"/>
      <c r="AR399" s="764"/>
      <c r="AS399" s="764"/>
    </row>
    <row r="400" spans="1:45" ht="13.9">
      <c r="A400" s="764"/>
      <c r="B400" s="764"/>
      <c r="C400" s="764"/>
      <c r="D400" s="764"/>
      <c r="E400" s="764"/>
      <c r="F400" s="764"/>
      <c r="G400" s="764"/>
      <c r="H400" s="764"/>
      <c r="I400" s="764"/>
      <c r="J400" s="764"/>
      <c r="K400" s="764"/>
      <c r="L400" s="764"/>
      <c r="M400" s="764"/>
      <c r="N400" s="773"/>
      <c r="O400" s="764"/>
      <c r="P400" s="764"/>
      <c r="Q400" s="764"/>
      <c r="R400" s="764"/>
      <c r="S400" s="764"/>
      <c r="T400" s="764"/>
      <c r="U400" s="764"/>
      <c r="V400" s="764"/>
      <c r="W400" s="764"/>
      <c r="X400" s="764"/>
      <c r="Y400" s="764"/>
      <c r="Z400" s="764"/>
      <c r="AA400" s="764"/>
      <c r="AB400" s="764"/>
      <c r="AC400" s="764"/>
      <c r="AD400" s="794"/>
      <c r="AE400" s="764"/>
      <c r="AF400" s="764"/>
      <c r="AG400" s="764"/>
      <c r="AH400" s="764"/>
      <c r="AI400" s="764"/>
      <c r="AJ400" s="764"/>
      <c r="AK400" s="764"/>
      <c r="AL400" s="764"/>
      <c r="AM400" s="764"/>
      <c r="AN400" s="764"/>
      <c r="AO400" s="764"/>
      <c r="AP400" s="764"/>
      <c r="AQ400" s="764"/>
      <c r="AR400" s="764"/>
      <c r="AS400" s="764"/>
    </row>
    <row r="401" spans="1:45" ht="13.9">
      <c r="A401" s="764"/>
      <c r="B401" s="764"/>
      <c r="C401" s="764"/>
      <c r="D401" s="764"/>
      <c r="E401" s="764"/>
      <c r="F401" s="764"/>
      <c r="G401" s="764"/>
      <c r="H401" s="764"/>
      <c r="I401" s="764"/>
      <c r="J401" s="764"/>
      <c r="K401" s="764"/>
      <c r="L401" s="764"/>
      <c r="M401" s="764"/>
      <c r="N401" s="773"/>
      <c r="O401" s="764"/>
      <c r="P401" s="764"/>
      <c r="Q401" s="764"/>
      <c r="R401" s="764"/>
      <c r="S401" s="764"/>
      <c r="T401" s="764"/>
      <c r="U401" s="764"/>
      <c r="V401" s="764"/>
      <c r="W401" s="764"/>
      <c r="X401" s="764"/>
      <c r="Y401" s="764"/>
      <c r="Z401" s="764"/>
      <c r="AA401" s="764"/>
      <c r="AB401" s="764"/>
      <c r="AC401" s="764"/>
      <c r="AD401" s="794"/>
      <c r="AE401" s="764"/>
      <c r="AF401" s="764"/>
      <c r="AG401" s="764"/>
      <c r="AH401" s="764"/>
      <c r="AI401" s="764"/>
      <c r="AJ401" s="764"/>
      <c r="AK401" s="764"/>
      <c r="AL401" s="764"/>
      <c r="AM401" s="764"/>
      <c r="AN401" s="764"/>
      <c r="AO401" s="764"/>
      <c r="AP401" s="764"/>
      <c r="AQ401" s="764"/>
      <c r="AR401" s="764"/>
      <c r="AS401" s="764"/>
    </row>
    <row r="402" spans="1:45" ht="13.9">
      <c r="A402" s="764"/>
      <c r="B402" s="764"/>
      <c r="C402" s="764"/>
      <c r="D402" s="764"/>
      <c r="E402" s="764"/>
      <c r="F402" s="764"/>
      <c r="G402" s="764"/>
      <c r="H402" s="764"/>
      <c r="I402" s="764"/>
      <c r="J402" s="764"/>
      <c r="K402" s="764"/>
      <c r="L402" s="764"/>
      <c r="M402" s="764"/>
      <c r="N402" s="773"/>
      <c r="O402" s="764"/>
      <c r="P402" s="764"/>
      <c r="Q402" s="764"/>
      <c r="R402" s="764"/>
      <c r="S402" s="764"/>
      <c r="T402" s="764"/>
      <c r="U402" s="764"/>
      <c r="V402" s="764"/>
      <c r="W402" s="764"/>
      <c r="X402" s="764"/>
      <c r="Y402" s="764"/>
      <c r="Z402" s="764"/>
      <c r="AA402" s="764"/>
      <c r="AB402" s="764"/>
      <c r="AC402" s="764"/>
      <c r="AD402" s="794"/>
      <c r="AE402" s="764"/>
      <c r="AF402" s="764"/>
      <c r="AG402" s="764"/>
      <c r="AH402" s="764"/>
      <c r="AI402" s="764"/>
      <c r="AJ402" s="764"/>
      <c r="AK402" s="764"/>
      <c r="AL402" s="764"/>
      <c r="AM402" s="764"/>
      <c r="AN402" s="764"/>
      <c r="AO402" s="764"/>
      <c r="AP402" s="764"/>
      <c r="AQ402" s="764"/>
      <c r="AR402" s="764"/>
      <c r="AS402" s="764"/>
    </row>
    <row r="403" spans="1:45" ht="13.9">
      <c r="A403" s="764"/>
      <c r="B403" s="764"/>
      <c r="C403" s="764"/>
      <c r="D403" s="764"/>
      <c r="E403" s="764"/>
      <c r="F403" s="764"/>
      <c r="G403" s="764"/>
      <c r="H403" s="764"/>
      <c r="I403" s="764"/>
      <c r="J403" s="764"/>
      <c r="K403" s="764"/>
      <c r="L403" s="764"/>
      <c r="M403" s="764"/>
      <c r="N403" s="773"/>
      <c r="O403" s="764"/>
      <c r="P403" s="764"/>
      <c r="Q403" s="764"/>
      <c r="R403" s="764"/>
      <c r="S403" s="764"/>
      <c r="T403" s="764"/>
      <c r="U403" s="764"/>
      <c r="V403" s="764"/>
      <c r="W403" s="764"/>
      <c r="X403" s="764"/>
      <c r="Y403" s="764"/>
      <c r="Z403" s="764"/>
      <c r="AA403" s="764"/>
      <c r="AB403" s="764"/>
      <c r="AC403" s="764"/>
      <c r="AD403" s="794"/>
      <c r="AE403" s="764"/>
      <c r="AF403" s="764"/>
      <c r="AG403" s="764"/>
      <c r="AH403" s="764"/>
      <c r="AI403" s="764"/>
      <c r="AJ403" s="764"/>
      <c r="AK403" s="764"/>
      <c r="AL403" s="764"/>
      <c r="AM403" s="764"/>
      <c r="AN403" s="764"/>
      <c r="AO403" s="764"/>
      <c r="AP403" s="764"/>
      <c r="AQ403" s="764"/>
      <c r="AR403" s="764"/>
      <c r="AS403" s="764"/>
    </row>
    <row r="404" spans="1:45" ht="13.9">
      <c r="A404" s="764"/>
      <c r="B404" s="764"/>
      <c r="C404" s="764"/>
      <c r="D404" s="764"/>
      <c r="E404" s="764"/>
      <c r="F404" s="764"/>
      <c r="G404" s="764"/>
      <c r="H404" s="764"/>
      <c r="I404" s="764"/>
      <c r="J404" s="764"/>
      <c r="K404" s="764"/>
      <c r="L404" s="764"/>
      <c r="M404" s="764"/>
      <c r="N404" s="773"/>
      <c r="O404" s="764"/>
      <c r="P404" s="764"/>
      <c r="Q404" s="764"/>
      <c r="R404" s="764"/>
      <c r="S404" s="764"/>
      <c r="T404" s="764"/>
      <c r="U404" s="764"/>
      <c r="V404" s="764"/>
      <c r="W404" s="764"/>
      <c r="X404" s="764"/>
      <c r="Y404" s="764"/>
      <c r="Z404" s="764"/>
      <c r="AA404" s="764"/>
      <c r="AB404" s="764"/>
      <c r="AC404" s="764"/>
      <c r="AD404" s="794"/>
      <c r="AE404" s="764"/>
      <c r="AF404" s="764"/>
      <c r="AG404" s="764"/>
      <c r="AH404" s="764"/>
      <c r="AI404" s="764"/>
      <c r="AJ404" s="764"/>
      <c r="AK404" s="764"/>
      <c r="AL404" s="764"/>
      <c r="AM404" s="764"/>
      <c r="AN404" s="764"/>
      <c r="AO404" s="764"/>
      <c r="AP404" s="764"/>
      <c r="AQ404" s="764"/>
      <c r="AR404" s="764"/>
      <c r="AS404" s="764"/>
    </row>
    <row r="405" spans="1:45" ht="13.9">
      <c r="A405" s="764"/>
      <c r="B405" s="764"/>
      <c r="C405" s="764"/>
      <c r="D405" s="764"/>
      <c r="E405" s="764"/>
      <c r="F405" s="764"/>
      <c r="G405" s="764"/>
      <c r="H405" s="764"/>
      <c r="I405" s="764"/>
      <c r="J405" s="764"/>
      <c r="K405" s="764"/>
      <c r="L405" s="764"/>
      <c r="M405" s="764"/>
      <c r="N405" s="773"/>
      <c r="O405" s="764"/>
      <c r="P405" s="764"/>
      <c r="Q405" s="764"/>
      <c r="R405" s="764"/>
      <c r="S405" s="764"/>
      <c r="T405" s="764"/>
      <c r="U405" s="764"/>
      <c r="V405" s="764"/>
      <c r="W405" s="764"/>
      <c r="X405" s="764"/>
      <c r="Y405" s="764"/>
      <c r="Z405" s="764"/>
      <c r="AA405" s="764"/>
      <c r="AB405" s="764"/>
      <c r="AC405" s="764"/>
      <c r="AD405" s="794"/>
      <c r="AE405" s="764"/>
      <c r="AF405" s="764"/>
      <c r="AG405" s="764"/>
      <c r="AH405" s="764"/>
      <c r="AI405" s="764"/>
      <c r="AJ405" s="764"/>
      <c r="AK405" s="764"/>
      <c r="AL405" s="764"/>
      <c r="AM405" s="764"/>
      <c r="AN405" s="764"/>
      <c r="AO405" s="764"/>
      <c r="AP405" s="764"/>
      <c r="AQ405" s="764"/>
      <c r="AR405" s="764"/>
      <c r="AS405" s="764"/>
    </row>
    <row r="406" spans="1:45" ht="13.9">
      <c r="A406" s="764"/>
      <c r="B406" s="764"/>
      <c r="C406" s="764"/>
      <c r="D406" s="764"/>
      <c r="E406" s="764"/>
      <c r="F406" s="764"/>
      <c r="G406" s="764"/>
      <c r="H406" s="764"/>
      <c r="I406" s="764"/>
      <c r="J406" s="764"/>
      <c r="K406" s="764"/>
      <c r="L406" s="764"/>
      <c r="M406" s="764"/>
      <c r="N406" s="773"/>
      <c r="O406" s="764"/>
      <c r="P406" s="764"/>
      <c r="Q406" s="764"/>
      <c r="R406" s="764"/>
      <c r="S406" s="764"/>
      <c r="T406" s="764"/>
      <c r="U406" s="764"/>
      <c r="V406" s="764"/>
      <c r="W406" s="764"/>
      <c r="X406" s="764"/>
      <c r="Y406" s="764"/>
      <c r="Z406" s="764"/>
      <c r="AA406" s="764"/>
      <c r="AB406" s="764"/>
      <c r="AC406" s="764"/>
      <c r="AD406" s="794"/>
      <c r="AE406" s="764"/>
      <c r="AF406" s="764"/>
      <c r="AG406" s="764"/>
      <c r="AH406" s="764"/>
      <c r="AI406" s="764"/>
      <c r="AJ406" s="764"/>
      <c r="AK406" s="764"/>
      <c r="AL406" s="764"/>
      <c r="AM406" s="764"/>
      <c r="AN406" s="764"/>
      <c r="AO406" s="764"/>
      <c r="AP406" s="764"/>
      <c r="AQ406" s="764"/>
      <c r="AR406" s="764"/>
      <c r="AS406" s="764"/>
    </row>
    <row r="407" spans="1:45" ht="13.9">
      <c r="A407" s="764"/>
      <c r="B407" s="764"/>
      <c r="C407" s="764"/>
      <c r="D407" s="764"/>
      <c r="E407" s="764"/>
      <c r="F407" s="764"/>
      <c r="G407" s="764"/>
      <c r="H407" s="764"/>
      <c r="I407" s="764"/>
      <c r="J407" s="764"/>
      <c r="K407" s="764"/>
      <c r="L407" s="764"/>
      <c r="M407" s="764"/>
      <c r="N407" s="773"/>
      <c r="O407" s="764"/>
      <c r="P407" s="764"/>
      <c r="Q407" s="764"/>
      <c r="R407" s="764"/>
      <c r="S407" s="764"/>
      <c r="T407" s="764"/>
      <c r="U407" s="764"/>
      <c r="V407" s="764"/>
      <c r="W407" s="764"/>
      <c r="X407" s="764"/>
      <c r="Y407" s="764"/>
      <c r="Z407" s="764"/>
      <c r="AA407" s="764"/>
      <c r="AB407" s="764"/>
      <c r="AC407" s="764"/>
      <c r="AD407" s="794"/>
      <c r="AE407" s="764"/>
      <c r="AF407" s="764"/>
      <c r="AG407" s="764"/>
      <c r="AH407" s="764"/>
      <c r="AI407" s="764"/>
      <c r="AJ407" s="764"/>
      <c r="AK407" s="764"/>
      <c r="AL407" s="764"/>
      <c r="AM407" s="764"/>
      <c r="AN407" s="764"/>
      <c r="AO407" s="764"/>
      <c r="AP407" s="764"/>
      <c r="AQ407" s="764"/>
      <c r="AR407" s="764"/>
      <c r="AS407" s="764"/>
    </row>
    <row r="408" spans="1:45" ht="13.9">
      <c r="A408" s="764"/>
      <c r="B408" s="764"/>
      <c r="C408" s="764"/>
      <c r="D408" s="764"/>
      <c r="E408" s="764"/>
      <c r="F408" s="764"/>
      <c r="G408" s="764"/>
      <c r="H408" s="764"/>
      <c r="I408" s="764"/>
      <c r="J408" s="764"/>
      <c r="K408" s="764"/>
      <c r="L408" s="764"/>
      <c r="M408" s="764"/>
      <c r="N408" s="773"/>
      <c r="O408" s="764"/>
      <c r="P408" s="764"/>
      <c r="Q408" s="764"/>
      <c r="R408" s="764"/>
      <c r="S408" s="764"/>
      <c r="T408" s="764"/>
      <c r="U408" s="764"/>
      <c r="V408" s="764"/>
      <c r="W408" s="764"/>
      <c r="X408" s="764"/>
      <c r="Y408" s="764"/>
      <c r="Z408" s="764"/>
      <c r="AA408" s="764"/>
      <c r="AB408" s="764"/>
      <c r="AC408" s="764"/>
      <c r="AD408" s="794"/>
      <c r="AE408" s="764"/>
      <c r="AF408" s="764"/>
      <c r="AG408" s="764"/>
      <c r="AH408" s="764"/>
      <c r="AI408" s="764"/>
      <c r="AJ408" s="764"/>
      <c r="AK408" s="764"/>
      <c r="AL408" s="764"/>
      <c r="AM408" s="764"/>
      <c r="AN408" s="764"/>
      <c r="AO408" s="764"/>
      <c r="AP408" s="764"/>
      <c r="AQ408" s="764"/>
      <c r="AR408" s="764"/>
      <c r="AS408" s="764"/>
    </row>
    <row r="409" spans="1:45" ht="13.9">
      <c r="A409" s="764"/>
      <c r="B409" s="764"/>
      <c r="C409" s="764"/>
      <c r="D409" s="764"/>
      <c r="E409" s="764"/>
      <c r="F409" s="764"/>
      <c r="G409" s="764"/>
      <c r="H409" s="764"/>
      <c r="I409" s="764"/>
      <c r="J409" s="764"/>
      <c r="K409" s="764"/>
      <c r="L409" s="764"/>
      <c r="M409" s="764"/>
      <c r="N409" s="773"/>
      <c r="O409" s="764"/>
      <c r="P409" s="764"/>
      <c r="Q409" s="764"/>
      <c r="R409" s="764"/>
      <c r="S409" s="764"/>
      <c r="T409" s="764"/>
      <c r="U409" s="764"/>
      <c r="V409" s="764"/>
      <c r="W409" s="764"/>
      <c r="X409" s="764"/>
      <c r="Y409" s="764"/>
      <c r="Z409" s="764"/>
      <c r="AA409" s="764"/>
      <c r="AB409" s="764"/>
      <c r="AC409" s="764"/>
      <c r="AD409" s="794"/>
      <c r="AE409" s="764"/>
      <c r="AF409" s="764"/>
      <c r="AG409" s="764"/>
      <c r="AH409" s="764"/>
      <c r="AI409" s="764"/>
      <c r="AJ409" s="764"/>
      <c r="AK409" s="764"/>
      <c r="AL409" s="764"/>
      <c r="AM409" s="764"/>
      <c r="AN409" s="764"/>
      <c r="AO409" s="764"/>
      <c r="AP409" s="764"/>
      <c r="AQ409" s="764"/>
      <c r="AR409" s="764"/>
      <c r="AS409" s="764"/>
    </row>
    <row r="410" spans="1:45" ht="13.9">
      <c r="A410" s="764"/>
      <c r="B410" s="764"/>
      <c r="C410" s="764"/>
      <c r="D410" s="764"/>
      <c r="E410" s="764"/>
      <c r="F410" s="764"/>
      <c r="G410" s="764"/>
      <c r="H410" s="764"/>
      <c r="I410" s="764"/>
      <c r="J410" s="764"/>
      <c r="K410" s="764"/>
      <c r="L410" s="764"/>
      <c r="M410" s="764"/>
      <c r="N410" s="773"/>
      <c r="O410" s="764"/>
      <c r="P410" s="764"/>
      <c r="Q410" s="764"/>
      <c r="R410" s="764"/>
      <c r="S410" s="764"/>
      <c r="T410" s="764"/>
      <c r="U410" s="764"/>
      <c r="V410" s="764"/>
      <c r="W410" s="764"/>
      <c r="X410" s="764"/>
      <c r="Y410" s="764"/>
      <c r="Z410" s="764"/>
      <c r="AA410" s="764"/>
      <c r="AB410" s="764"/>
      <c r="AC410" s="764"/>
      <c r="AD410" s="794"/>
      <c r="AE410" s="764"/>
      <c r="AF410" s="764"/>
      <c r="AG410" s="764"/>
      <c r="AH410" s="764"/>
      <c r="AI410" s="764"/>
      <c r="AJ410" s="764"/>
      <c r="AK410" s="764"/>
      <c r="AL410" s="764"/>
      <c r="AM410" s="764"/>
      <c r="AN410" s="764"/>
      <c r="AO410" s="764"/>
      <c r="AP410" s="764"/>
      <c r="AQ410" s="764"/>
      <c r="AR410" s="764"/>
      <c r="AS410" s="764"/>
    </row>
    <row r="411" spans="1:45" ht="13.9">
      <c r="A411" s="764"/>
      <c r="B411" s="764"/>
      <c r="C411" s="764"/>
      <c r="D411" s="764"/>
      <c r="E411" s="764"/>
      <c r="F411" s="764"/>
      <c r="G411" s="764"/>
      <c r="H411" s="764"/>
      <c r="I411" s="764"/>
      <c r="J411" s="764"/>
      <c r="K411" s="764"/>
      <c r="L411" s="764"/>
      <c r="M411" s="764"/>
      <c r="N411" s="773"/>
      <c r="O411" s="764"/>
      <c r="P411" s="764"/>
      <c r="Q411" s="764"/>
      <c r="R411" s="764"/>
      <c r="S411" s="764"/>
      <c r="T411" s="764"/>
      <c r="U411" s="764"/>
      <c r="V411" s="764"/>
      <c r="W411" s="764"/>
      <c r="X411" s="764"/>
      <c r="Y411" s="764"/>
      <c r="Z411" s="764"/>
      <c r="AA411" s="764"/>
      <c r="AB411" s="764"/>
      <c r="AC411" s="764"/>
      <c r="AD411" s="794"/>
      <c r="AE411" s="764"/>
      <c r="AF411" s="764"/>
      <c r="AG411" s="764"/>
      <c r="AH411" s="764"/>
      <c r="AI411" s="764"/>
      <c r="AJ411" s="764"/>
      <c r="AK411" s="764"/>
      <c r="AL411" s="764"/>
      <c r="AM411" s="764"/>
      <c r="AN411" s="764"/>
      <c r="AO411" s="764"/>
      <c r="AP411" s="764"/>
      <c r="AQ411" s="764"/>
      <c r="AR411" s="764"/>
      <c r="AS411" s="764"/>
    </row>
    <row r="412" spans="1:45" ht="13.9">
      <c r="A412" s="764"/>
      <c r="B412" s="764"/>
      <c r="C412" s="764"/>
      <c r="D412" s="764"/>
      <c r="E412" s="764"/>
      <c r="F412" s="764"/>
      <c r="G412" s="764"/>
      <c r="H412" s="764"/>
      <c r="I412" s="764"/>
      <c r="J412" s="764"/>
      <c r="K412" s="764"/>
      <c r="L412" s="764"/>
      <c r="M412" s="764"/>
      <c r="N412" s="773"/>
      <c r="O412" s="764"/>
      <c r="P412" s="764"/>
      <c r="Q412" s="764"/>
      <c r="R412" s="764"/>
      <c r="S412" s="764"/>
      <c r="T412" s="764"/>
      <c r="U412" s="764"/>
      <c r="V412" s="764"/>
      <c r="W412" s="764"/>
      <c r="X412" s="764"/>
      <c r="Y412" s="764"/>
      <c r="Z412" s="764"/>
      <c r="AA412" s="764"/>
      <c r="AB412" s="764"/>
      <c r="AC412" s="764"/>
      <c r="AD412" s="794"/>
      <c r="AE412" s="764"/>
      <c r="AF412" s="764"/>
      <c r="AG412" s="764"/>
      <c r="AH412" s="764"/>
      <c r="AI412" s="764"/>
      <c r="AJ412" s="764"/>
      <c r="AK412" s="764"/>
      <c r="AL412" s="764"/>
      <c r="AM412" s="764"/>
      <c r="AN412" s="764"/>
      <c r="AO412" s="764"/>
      <c r="AP412" s="764"/>
      <c r="AQ412" s="764"/>
      <c r="AR412" s="764"/>
      <c r="AS412" s="764"/>
    </row>
    <row r="413" spans="1:45" ht="13.9">
      <c r="A413" s="764"/>
      <c r="B413" s="764"/>
      <c r="C413" s="764"/>
      <c r="D413" s="764"/>
      <c r="E413" s="764"/>
      <c r="F413" s="764"/>
      <c r="G413" s="764"/>
      <c r="H413" s="764"/>
      <c r="I413" s="764"/>
      <c r="J413" s="764"/>
      <c r="K413" s="764"/>
      <c r="L413" s="764"/>
      <c r="M413" s="764"/>
      <c r="N413" s="773"/>
      <c r="O413" s="764"/>
      <c r="P413" s="764"/>
      <c r="Q413" s="764"/>
      <c r="R413" s="764"/>
      <c r="S413" s="764"/>
      <c r="T413" s="764"/>
      <c r="U413" s="764"/>
      <c r="V413" s="764"/>
      <c r="W413" s="764"/>
      <c r="X413" s="764"/>
      <c r="Y413" s="764"/>
      <c r="Z413" s="764"/>
      <c r="AA413" s="764"/>
      <c r="AB413" s="764"/>
      <c r="AC413" s="764"/>
      <c r="AD413" s="794"/>
      <c r="AE413" s="764"/>
      <c r="AF413" s="764"/>
      <c r="AG413" s="764"/>
      <c r="AH413" s="764"/>
      <c r="AI413" s="764"/>
      <c r="AJ413" s="764"/>
      <c r="AK413" s="764"/>
      <c r="AL413" s="764"/>
      <c r="AM413" s="764"/>
      <c r="AN413" s="764"/>
      <c r="AO413" s="764"/>
      <c r="AP413" s="764"/>
      <c r="AQ413" s="764"/>
      <c r="AR413" s="764"/>
      <c r="AS413" s="764"/>
    </row>
    <row r="414" spans="1:45" ht="13.9">
      <c r="A414" s="764"/>
      <c r="B414" s="764"/>
      <c r="C414" s="764"/>
      <c r="D414" s="764"/>
      <c r="E414" s="764"/>
      <c r="F414" s="764"/>
      <c r="G414" s="764"/>
      <c r="H414" s="764"/>
      <c r="I414" s="764"/>
      <c r="J414" s="764"/>
      <c r="K414" s="764"/>
      <c r="L414" s="764"/>
      <c r="M414" s="764"/>
      <c r="N414" s="773"/>
      <c r="O414" s="764"/>
      <c r="P414" s="764"/>
      <c r="Q414" s="764"/>
      <c r="R414" s="764"/>
      <c r="S414" s="764"/>
      <c r="T414" s="764"/>
      <c r="U414" s="764"/>
      <c r="V414" s="764"/>
      <c r="W414" s="764"/>
      <c r="X414" s="764"/>
      <c r="Y414" s="764"/>
      <c r="Z414" s="764"/>
      <c r="AA414" s="764"/>
      <c r="AB414" s="764"/>
      <c r="AC414" s="764"/>
      <c r="AD414" s="794"/>
      <c r="AE414" s="764"/>
      <c r="AF414" s="764"/>
      <c r="AG414" s="764"/>
      <c r="AH414" s="764"/>
      <c r="AI414" s="764"/>
      <c r="AJ414" s="764"/>
      <c r="AK414" s="764"/>
      <c r="AL414" s="764"/>
      <c r="AM414" s="764"/>
      <c r="AN414" s="764"/>
      <c r="AO414" s="764"/>
      <c r="AP414" s="764"/>
      <c r="AQ414" s="764"/>
      <c r="AR414" s="764"/>
      <c r="AS414" s="764"/>
    </row>
    <row r="415" spans="1:45" ht="13.9">
      <c r="A415" s="764"/>
      <c r="B415" s="764"/>
      <c r="C415" s="764"/>
      <c r="D415" s="764"/>
      <c r="E415" s="764"/>
      <c r="F415" s="764"/>
      <c r="G415" s="764"/>
      <c r="H415" s="764"/>
      <c r="I415" s="764"/>
      <c r="J415" s="764"/>
      <c r="K415" s="764"/>
      <c r="L415" s="764"/>
      <c r="M415" s="764"/>
      <c r="N415" s="773"/>
      <c r="O415" s="764"/>
      <c r="P415" s="764"/>
      <c r="Q415" s="764"/>
      <c r="R415" s="764"/>
      <c r="S415" s="764"/>
      <c r="T415" s="764"/>
      <c r="U415" s="764"/>
      <c r="V415" s="764"/>
      <c r="W415" s="764"/>
      <c r="X415" s="764"/>
      <c r="Y415" s="764"/>
      <c r="Z415" s="764"/>
      <c r="AA415" s="764"/>
      <c r="AB415" s="764"/>
      <c r="AC415" s="764"/>
      <c r="AD415" s="794"/>
      <c r="AE415" s="764"/>
      <c r="AF415" s="764"/>
      <c r="AG415" s="764"/>
      <c r="AH415" s="764"/>
      <c r="AI415" s="764"/>
      <c r="AJ415" s="764"/>
      <c r="AK415" s="764"/>
      <c r="AL415" s="764"/>
      <c r="AM415" s="764"/>
      <c r="AN415" s="764"/>
      <c r="AO415" s="764"/>
      <c r="AP415" s="764"/>
      <c r="AQ415" s="764"/>
      <c r="AR415" s="764"/>
      <c r="AS415" s="764"/>
    </row>
    <row r="416" spans="1:45" ht="13.9">
      <c r="A416" s="764"/>
      <c r="B416" s="764"/>
      <c r="C416" s="764"/>
      <c r="D416" s="764"/>
      <c r="E416" s="764"/>
      <c r="F416" s="764"/>
      <c r="G416" s="764"/>
      <c r="H416" s="764"/>
      <c r="I416" s="764"/>
      <c r="J416" s="764"/>
      <c r="K416" s="764"/>
      <c r="L416" s="764"/>
      <c r="M416" s="764"/>
      <c r="N416" s="773"/>
      <c r="O416" s="764"/>
      <c r="P416" s="764"/>
      <c r="Q416" s="764"/>
      <c r="R416" s="764"/>
      <c r="S416" s="764"/>
      <c r="T416" s="764"/>
      <c r="U416" s="764"/>
      <c r="V416" s="764"/>
      <c r="W416" s="764"/>
      <c r="X416" s="764"/>
      <c r="Y416" s="764"/>
      <c r="Z416" s="764"/>
      <c r="AA416" s="764"/>
      <c r="AB416" s="764"/>
      <c r="AC416" s="764"/>
      <c r="AD416" s="794"/>
      <c r="AE416" s="764"/>
      <c r="AF416" s="764"/>
      <c r="AG416" s="764"/>
      <c r="AH416" s="764"/>
      <c r="AI416" s="764"/>
      <c r="AJ416" s="764"/>
      <c r="AK416" s="764"/>
      <c r="AL416" s="764"/>
      <c r="AM416" s="764"/>
      <c r="AN416" s="764"/>
      <c r="AO416" s="764"/>
      <c r="AP416" s="764"/>
      <c r="AQ416" s="764"/>
      <c r="AR416" s="764"/>
      <c r="AS416" s="764"/>
    </row>
    <row r="417" spans="1:45" ht="13.9">
      <c r="A417" s="764"/>
      <c r="B417" s="764"/>
      <c r="C417" s="764"/>
      <c r="D417" s="764"/>
      <c r="E417" s="764"/>
      <c r="F417" s="764"/>
      <c r="G417" s="764"/>
      <c r="H417" s="764"/>
      <c r="I417" s="764"/>
      <c r="J417" s="764"/>
      <c r="K417" s="764"/>
      <c r="L417" s="764"/>
      <c r="M417" s="764"/>
      <c r="N417" s="773"/>
      <c r="O417" s="764"/>
      <c r="P417" s="764"/>
      <c r="Q417" s="764"/>
      <c r="R417" s="764"/>
      <c r="S417" s="764"/>
      <c r="T417" s="764"/>
      <c r="U417" s="764"/>
      <c r="V417" s="764"/>
      <c r="W417" s="764"/>
      <c r="X417" s="764"/>
      <c r="Y417" s="764"/>
      <c r="Z417" s="764"/>
      <c r="AA417" s="764"/>
      <c r="AB417" s="764"/>
      <c r="AC417" s="764"/>
      <c r="AD417" s="794"/>
      <c r="AE417" s="764"/>
      <c r="AF417" s="764"/>
      <c r="AG417" s="764"/>
      <c r="AH417" s="764"/>
      <c r="AI417" s="764"/>
      <c r="AJ417" s="764"/>
      <c r="AK417" s="764"/>
      <c r="AL417" s="764"/>
      <c r="AM417" s="764"/>
      <c r="AN417" s="764"/>
      <c r="AO417" s="764"/>
      <c r="AP417" s="764"/>
      <c r="AQ417" s="764"/>
      <c r="AR417" s="764"/>
      <c r="AS417" s="764"/>
    </row>
    <row r="418" spans="1:45" ht="13.9">
      <c r="A418" s="764"/>
      <c r="B418" s="764"/>
      <c r="C418" s="764"/>
      <c r="D418" s="764"/>
      <c r="E418" s="764"/>
      <c r="F418" s="764"/>
      <c r="G418" s="764"/>
      <c r="H418" s="764"/>
      <c r="I418" s="764"/>
      <c r="J418" s="764"/>
      <c r="K418" s="764"/>
      <c r="L418" s="764"/>
      <c r="M418" s="764"/>
      <c r="N418" s="773"/>
      <c r="O418" s="764"/>
      <c r="P418" s="764"/>
      <c r="Q418" s="764"/>
      <c r="R418" s="764"/>
      <c r="S418" s="764"/>
      <c r="T418" s="764"/>
      <c r="U418" s="764"/>
      <c r="V418" s="764"/>
      <c r="W418" s="764"/>
      <c r="X418" s="764"/>
      <c r="Y418" s="764"/>
      <c r="Z418" s="764"/>
      <c r="AA418" s="764"/>
      <c r="AB418" s="764"/>
      <c r="AC418" s="764"/>
      <c r="AD418" s="794"/>
      <c r="AE418" s="764"/>
      <c r="AF418" s="764"/>
      <c r="AG418" s="764"/>
      <c r="AH418" s="764"/>
      <c r="AI418" s="764"/>
      <c r="AJ418" s="764"/>
      <c r="AK418" s="764"/>
      <c r="AL418" s="764"/>
      <c r="AM418" s="764"/>
      <c r="AN418" s="764"/>
      <c r="AO418" s="764"/>
      <c r="AP418" s="764"/>
      <c r="AQ418" s="764"/>
      <c r="AR418" s="764"/>
      <c r="AS418" s="764"/>
    </row>
    <row r="419" spans="1:45" ht="13.9">
      <c r="A419" s="764"/>
      <c r="B419" s="764"/>
      <c r="C419" s="764"/>
      <c r="D419" s="764"/>
      <c r="E419" s="764"/>
      <c r="F419" s="764"/>
      <c r="G419" s="764"/>
      <c r="H419" s="764"/>
      <c r="I419" s="764"/>
      <c r="J419" s="764"/>
      <c r="K419" s="764"/>
      <c r="L419" s="764"/>
      <c r="M419" s="764"/>
      <c r="N419" s="773"/>
      <c r="O419" s="764"/>
      <c r="P419" s="764"/>
      <c r="Q419" s="764"/>
      <c r="R419" s="764"/>
      <c r="S419" s="764"/>
      <c r="T419" s="764"/>
      <c r="U419" s="764"/>
      <c r="V419" s="764"/>
      <c r="W419" s="764"/>
      <c r="X419" s="764"/>
      <c r="Y419" s="764"/>
      <c r="Z419" s="764"/>
      <c r="AA419" s="764"/>
      <c r="AB419" s="764"/>
      <c r="AC419" s="764"/>
      <c r="AD419" s="794"/>
      <c r="AE419" s="764"/>
      <c r="AF419" s="764"/>
      <c r="AG419" s="764"/>
      <c r="AH419" s="764"/>
      <c r="AI419" s="764"/>
      <c r="AJ419" s="764"/>
      <c r="AK419" s="764"/>
      <c r="AL419" s="764"/>
      <c r="AM419" s="764"/>
      <c r="AN419" s="764"/>
      <c r="AO419" s="764"/>
      <c r="AP419" s="764"/>
      <c r="AQ419" s="764"/>
      <c r="AR419" s="764"/>
      <c r="AS419" s="764"/>
    </row>
    <row r="420" spans="1:45" ht="13.9">
      <c r="A420" s="764"/>
      <c r="B420" s="764"/>
      <c r="C420" s="764"/>
      <c r="D420" s="764"/>
      <c r="E420" s="764"/>
      <c r="F420" s="764"/>
      <c r="G420" s="764"/>
      <c r="H420" s="764"/>
      <c r="I420" s="764"/>
      <c r="J420" s="764"/>
      <c r="K420" s="764"/>
      <c r="L420" s="764"/>
      <c r="M420" s="764"/>
      <c r="N420" s="773"/>
      <c r="O420" s="764"/>
      <c r="P420" s="764"/>
      <c r="Q420" s="764"/>
      <c r="R420" s="764"/>
      <c r="S420" s="764"/>
      <c r="T420" s="764"/>
      <c r="U420" s="764"/>
      <c r="V420" s="764"/>
      <c r="W420" s="764"/>
      <c r="X420" s="764"/>
      <c r="Y420" s="764"/>
      <c r="Z420" s="764"/>
      <c r="AA420" s="764"/>
      <c r="AB420" s="764"/>
      <c r="AC420" s="764"/>
      <c r="AD420" s="794"/>
      <c r="AE420" s="764"/>
      <c r="AF420" s="764"/>
      <c r="AG420" s="764"/>
      <c r="AH420" s="764"/>
      <c r="AI420" s="764"/>
      <c r="AJ420" s="764"/>
      <c r="AK420" s="764"/>
      <c r="AL420" s="764"/>
      <c r="AM420" s="764"/>
      <c r="AN420" s="764"/>
      <c r="AO420" s="764"/>
      <c r="AP420" s="764"/>
      <c r="AQ420" s="764"/>
      <c r="AR420" s="764"/>
      <c r="AS420" s="764"/>
    </row>
    <row r="421" spans="1:45" ht="13.9">
      <c r="A421" s="764"/>
      <c r="B421" s="764"/>
      <c r="C421" s="764"/>
      <c r="D421" s="764"/>
      <c r="E421" s="764"/>
      <c r="F421" s="764"/>
      <c r="G421" s="764"/>
      <c r="H421" s="764"/>
      <c r="I421" s="764"/>
      <c r="J421" s="764"/>
      <c r="K421" s="764"/>
      <c r="L421" s="764"/>
      <c r="M421" s="764"/>
      <c r="N421" s="773"/>
      <c r="O421" s="764"/>
      <c r="P421" s="764"/>
      <c r="Q421" s="764"/>
      <c r="R421" s="764"/>
      <c r="S421" s="764"/>
      <c r="T421" s="764"/>
      <c r="U421" s="764"/>
      <c r="V421" s="764"/>
      <c r="W421" s="764"/>
      <c r="X421" s="764"/>
      <c r="Y421" s="764"/>
      <c r="Z421" s="764"/>
      <c r="AA421" s="764"/>
      <c r="AB421" s="764"/>
      <c r="AC421" s="764"/>
      <c r="AD421" s="794"/>
      <c r="AE421" s="764"/>
      <c r="AF421" s="764"/>
      <c r="AG421" s="764"/>
      <c r="AH421" s="764"/>
      <c r="AI421" s="764"/>
      <c r="AJ421" s="764"/>
      <c r="AK421" s="764"/>
      <c r="AL421" s="764"/>
      <c r="AM421" s="764"/>
      <c r="AN421" s="764"/>
      <c r="AO421" s="764"/>
      <c r="AP421" s="764"/>
      <c r="AQ421" s="764"/>
      <c r="AR421" s="764"/>
      <c r="AS421" s="764"/>
    </row>
    <row r="422" spans="1:45" ht="13.9">
      <c r="A422" s="764"/>
      <c r="B422" s="764"/>
      <c r="C422" s="764"/>
      <c r="D422" s="764"/>
      <c r="E422" s="764"/>
      <c r="F422" s="764"/>
      <c r="G422" s="764"/>
      <c r="H422" s="764"/>
      <c r="I422" s="764"/>
      <c r="J422" s="764"/>
      <c r="K422" s="764"/>
      <c r="L422" s="764"/>
      <c r="M422" s="764"/>
      <c r="N422" s="773"/>
      <c r="O422" s="764"/>
      <c r="P422" s="764"/>
      <c r="Q422" s="764"/>
      <c r="R422" s="764"/>
      <c r="S422" s="764"/>
      <c r="T422" s="764"/>
      <c r="U422" s="764"/>
      <c r="V422" s="764"/>
      <c r="W422" s="764"/>
      <c r="X422" s="764"/>
      <c r="Y422" s="764"/>
      <c r="Z422" s="764"/>
      <c r="AA422" s="764"/>
      <c r="AB422" s="764"/>
      <c r="AC422" s="764"/>
      <c r="AD422" s="794"/>
      <c r="AE422" s="764"/>
      <c r="AF422" s="764"/>
      <c r="AG422" s="764"/>
      <c r="AH422" s="764"/>
      <c r="AI422" s="764"/>
      <c r="AJ422" s="764"/>
      <c r="AK422" s="764"/>
      <c r="AL422" s="764"/>
      <c r="AM422" s="764"/>
      <c r="AN422" s="764"/>
      <c r="AO422" s="764"/>
      <c r="AP422" s="764"/>
      <c r="AQ422" s="764"/>
      <c r="AR422" s="764"/>
      <c r="AS422" s="764"/>
    </row>
    <row r="423" spans="1:45" ht="13.9">
      <c r="A423" s="764"/>
      <c r="B423" s="764"/>
      <c r="C423" s="764"/>
      <c r="D423" s="764"/>
      <c r="E423" s="764"/>
      <c r="F423" s="764"/>
      <c r="G423" s="764"/>
      <c r="H423" s="764"/>
      <c r="I423" s="764"/>
      <c r="J423" s="764"/>
      <c r="K423" s="764"/>
      <c r="L423" s="764"/>
      <c r="M423" s="764"/>
      <c r="N423" s="773"/>
      <c r="O423" s="764"/>
      <c r="P423" s="764"/>
      <c r="Q423" s="764"/>
      <c r="R423" s="764"/>
      <c r="S423" s="764"/>
      <c r="T423" s="764"/>
      <c r="U423" s="764"/>
      <c r="V423" s="764"/>
      <c r="W423" s="764"/>
      <c r="X423" s="764"/>
      <c r="Y423" s="764"/>
      <c r="Z423" s="764"/>
      <c r="AA423" s="764"/>
      <c r="AB423" s="764"/>
      <c r="AC423" s="764"/>
      <c r="AD423" s="794"/>
      <c r="AE423" s="764"/>
      <c r="AF423" s="764"/>
      <c r="AG423" s="764"/>
      <c r="AH423" s="764"/>
      <c r="AI423" s="764"/>
      <c r="AJ423" s="764"/>
      <c r="AK423" s="764"/>
      <c r="AL423" s="764"/>
      <c r="AM423" s="764"/>
      <c r="AN423" s="764"/>
      <c r="AO423" s="764"/>
      <c r="AP423" s="764"/>
      <c r="AQ423" s="764"/>
      <c r="AR423" s="764"/>
      <c r="AS423" s="764"/>
    </row>
    <row r="424" spans="1:45" ht="13.9">
      <c r="A424" s="764"/>
      <c r="B424" s="764"/>
      <c r="C424" s="764"/>
      <c r="D424" s="764"/>
      <c r="E424" s="764"/>
      <c r="F424" s="764"/>
      <c r="G424" s="764"/>
      <c r="H424" s="764"/>
      <c r="I424" s="764"/>
      <c r="J424" s="764"/>
      <c r="K424" s="764"/>
      <c r="L424" s="764"/>
      <c r="M424" s="764"/>
      <c r="N424" s="773"/>
      <c r="O424" s="764"/>
      <c r="P424" s="764"/>
      <c r="Q424" s="764"/>
      <c r="R424" s="764"/>
      <c r="S424" s="764"/>
      <c r="T424" s="764"/>
      <c r="U424" s="764"/>
      <c r="V424" s="764"/>
      <c r="W424" s="764"/>
      <c r="X424" s="764"/>
      <c r="Y424" s="764"/>
      <c r="Z424" s="764"/>
      <c r="AA424" s="764"/>
      <c r="AB424" s="764"/>
      <c r="AC424" s="764"/>
      <c r="AD424" s="794"/>
      <c r="AE424" s="764"/>
      <c r="AF424" s="764"/>
      <c r="AG424" s="764"/>
      <c r="AH424" s="764"/>
      <c r="AI424" s="764"/>
      <c r="AJ424" s="764"/>
      <c r="AK424" s="764"/>
      <c r="AL424" s="764"/>
      <c r="AM424" s="764"/>
      <c r="AN424" s="764"/>
      <c r="AO424" s="764"/>
      <c r="AP424" s="764"/>
      <c r="AQ424" s="764"/>
      <c r="AR424" s="764"/>
      <c r="AS424" s="764"/>
    </row>
    <row r="425" spans="1:45" ht="13.9">
      <c r="A425" s="764"/>
      <c r="B425" s="764"/>
      <c r="C425" s="764"/>
      <c r="D425" s="764"/>
      <c r="E425" s="764"/>
      <c r="F425" s="764"/>
      <c r="G425" s="764"/>
      <c r="H425" s="764"/>
      <c r="I425" s="764"/>
      <c r="J425" s="764"/>
      <c r="K425" s="764"/>
      <c r="L425" s="764"/>
      <c r="M425" s="764"/>
      <c r="N425" s="773"/>
      <c r="O425" s="764"/>
      <c r="P425" s="764"/>
      <c r="Q425" s="764"/>
      <c r="R425" s="764"/>
      <c r="S425" s="764"/>
      <c r="T425" s="764"/>
      <c r="U425" s="764"/>
      <c r="V425" s="764"/>
      <c r="W425" s="764"/>
      <c r="X425" s="764"/>
      <c r="Y425" s="764"/>
      <c r="Z425" s="764"/>
      <c r="AA425" s="764"/>
      <c r="AB425" s="764"/>
      <c r="AC425" s="764"/>
      <c r="AD425" s="794"/>
      <c r="AE425" s="764"/>
      <c r="AF425" s="764"/>
      <c r="AG425" s="764"/>
      <c r="AH425" s="764"/>
      <c r="AI425" s="764"/>
      <c r="AJ425" s="764"/>
      <c r="AK425" s="764"/>
      <c r="AL425" s="764"/>
      <c r="AM425" s="764"/>
      <c r="AN425" s="764"/>
      <c r="AO425" s="764"/>
      <c r="AP425" s="764"/>
      <c r="AQ425" s="764"/>
      <c r="AR425" s="764"/>
      <c r="AS425" s="764"/>
    </row>
    <row r="426" spans="1:45" ht="13.9">
      <c r="A426" s="764"/>
      <c r="B426" s="764"/>
      <c r="C426" s="764"/>
      <c r="D426" s="764"/>
      <c r="E426" s="764"/>
      <c r="F426" s="764"/>
      <c r="G426" s="764"/>
      <c r="H426" s="764"/>
      <c r="I426" s="764"/>
      <c r="J426" s="764"/>
      <c r="K426" s="764"/>
      <c r="L426" s="764"/>
      <c r="M426" s="764"/>
      <c r="N426" s="773"/>
      <c r="O426" s="764"/>
      <c r="P426" s="764"/>
      <c r="Q426" s="764"/>
      <c r="R426" s="764"/>
      <c r="S426" s="764"/>
      <c r="T426" s="764"/>
      <c r="U426" s="764"/>
      <c r="V426" s="764"/>
      <c r="W426" s="764"/>
      <c r="X426" s="764"/>
      <c r="Y426" s="764"/>
      <c r="Z426" s="764"/>
      <c r="AA426" s="764"/>
      <c r="AB426" s="764"/>
      <c r="AC426" s="764"/>
      <c r="AD426" s="794"/>
      <c r="AE426" s="764"/>
      <c r="AF426" s="764"/>
      <c r="AG426" s="764"/>
      <c r="AH426" s="764"/>
      <c r="AI426" s="764"/>
      <c r="AJ426" s="764"/>
      <c r="AK426" s="764"/>
      <c r="AL426" s="764"/>
      <c r="AM426" s="764"/>
      <c r="AN426" s="764"/>
      <c r="AO426" s="764"/>
      <c r="AP426" s="764"/>
      <c r="AQ426" s="764"/>
      <c r="AR426" s="764"/>
      <c r="AS426" s="764"/>
    </row>
    <row r="427" spans="1:45" ht="13.9">
      <c r="A427" s="764"/>
      <c r="B427" s="764"/>
      <c r="C427" s="764"/>
      <c r="D427" s="764"/>
      <c r="E427" s="764"/>
      <c r="F427" s="764"/>
      <c r="G427" s="764"/>
      <c r="H427" s="764"/>
      <c r="I427" s="764"/>
      <c r="J427" s="764"/>
      <c r="K427" s="764"/>
      <c r="L427" s="764"/>
      <c r="M427" s="764"/>
      <c r="N427" s="773"/>
      <c r="O427" s="764"/>
      <c r="P427" s="764"/>
      <c r="Q427" s="764"/>
      <c r="R427" s="764"/>
      <c r="S427" s="764"/>
      <c r="T427" s="764"/>
      <c r="U427" s="764"/>
      <c r="V427" s="764"/>
      <c r="W427" s="764"/>
      <c r="X427" s="764"/>
      <c r="Y427" s="764"/>
      <c r="Z427" s="764"/>
      <c r="AA427" s="764"/>
      <c r="AB427" s="764"/>
      <c r="AC427" s="764"/>
      <c r="AD427" s="794"/>
      <c r="AE427" s="764"/>
      <c r="AF427" s="764"/>
      <c r="AG427" s="764"/>
      <c r="AH427" s="764"/>
      <c r="AI427" s="764"/>
      <c r="AJ427" s="764"/>
      <c r="AK427" s="764"/>
      <c r="AL427" s="764"/>
      <c r="AM427" s="764"/>
      <c r="AN427" s="764"/>
      <c r="AO427" s="764"/>
      <c r="AP427" s="764"/>
      <c r="AQ427" s="764"/>
      <c r="AR427" s="764"/>
      <c r="AS427" s="764"/>
    </row>
    <row r="428" spans="1:45" ht="13.9">
      <c r="A428" s="764"/>
      <c r="B428" s="764"/>
      <c r="C428" s="764"/>
      <c r="D428" s="764"/>
      <c r="E428" s="764"/>
      <c r="F428" s="764"/>
      <c r="G428" s="764"/>
      <c r="H428" s="764"/>
      <c r="I428" s="764"/>
      <c r="J428" s="764"/>
      <c r="K428" s="764"/>
      <c r="L428" s="764"/>
      <c r="M428" s="764"/>
      <c r="N428" s="773"/>
      <c r="O428" s="764"/>
      <c r="P428" s="764"/>
      <c r="Q428" s="764"/>
      <c r="R428" s="764"/>
      <c r="S428" s="764"/>
      <c r="T428" s="764"/>
      <c r="U428" s="764"/>
      <c r="V428" s="764"/>
      <c r="W428" s="764"/>
      <c r="X428" s="764"/>
      <c r="Y428" s="764"/>
      <c r="Z428" s="764"/>
      <c r="AA428" s="764"/>
      <c r="AB428" s="764"/>
      <c r="AC428" s="764"/>
      <c r="AD428" s="794"/>
      <c r="AE428" s="764"/>
      <c r="AF428" s="764"/>
      <c r="AG428" s="764"/>
      <c r="AH428" s="764"/>
      <c r="AI428" s="764"/>
      <c r="AJ428" s="764"/>
      <c r="AK428" s="764"/>
      <c r="AL428" s="764"/>
      <c r="AM428" s="764"/>
      <c r="AN428" s="764"/>
      <c r="AO428" s="764"/>
      <c r="AP428" s="764"/>
      <c r="AQ428" s="764"/>
      <c r="AR428" s="764"/>
      <c r="AS428" s="764"/>
    </row>
    <row r="429" spans="1:45" ht="13.9">
      <c r="A429" s="764"/>
      <c r="B429" s="764"/>
      <c r="C429" s="764"/>
      <c r="D429" s="764"/>
      <c r="E429" s="764"/>
      <c r="F429" s="764"/>
      <c r="G429" s="764"/>
      <c r="H429" s="764"/>
      <c r="I429" s="764"/>
      <c r="J429" s="764"/>
      <c r="K429" s="764"/>
      <c r="L429" s="764"/>
      <c r="M429" s="764"/>
      <c r="N429" s="773"/>
      <c r="O429" s="764"/>
      <c r="P429" s="764"/>
      <c r="Q429" s="764"/>
      <c r="R429" s="764"/>
      <c r="S429" s="764"/>
      <c r="T429" s="764"/>
      <c r="U429" s="764"/>
      <c r="V429" s="764"/>
      <c r="W429" s="764"/>
      <c r="X429" s="764"/>
      <c r="Y429" s="764"/>
      <c r="Z429" s="764"/>
      <c r="AA429" s="764"/>
      <c r="AB429" s="764"/>
      <c r="AC429" s="764"/>
      <c r="AD429" s="794"/>
      <c r="AE429" s="764"/>
      <c r="AF429" s="764"/>
      <c r="AG429" s="764"/>
      <c r="AH429" s="764"/>
      <c r="AI429" s="764"/>
      <c r="AJ429" s="764"/>
      <c r="AK429" s="764"/>
      <c r="AL429" s="764"/>
      <c r="AM429" s="764"/>
      <c r="AN429" s="764"/>
      <c r="AO429" s="764"/>
      <c r="AP429" s="764"/>
      <c r="AQ429" s="764"/>
      <c r="AR429" s="764"/>
      <c r="AS429" s="764"/>
    </row>
    <row r="430" spans="1:45" ht="13.9">
      <c r="A430" s="764"/>
      <c r="B430" s="764"/>
      <c r="C430" s="764"/>
      <c r="D430" s="764"/>
      <c r="E430" s="764"/>
      <c r="F430" s="764"/>
      <c r="G430" s="764"/>
      <c r="H430" s="764"/>
      <c r="I430" s="764"/>
      <c r="J430" s="764"/>
      <c r="K430" s="764"/>
      <c r="L430" s="764"/>
      <c r="M430" s="764"/>
      <c r="N430" s="773"/>
      <c r="O430" s="764"/>
      <c r="P430" s="764"/>
      <c r="Q430" s="764"/>
      <c r="R430" s="764"/>
      <c r="S430" s="764"/>
      <c r="T430" s="764"/>
      <c r="U430" s="764"/>
      <c r="V430" s="764"/>
      <c r="W430" s="764"/>
      <c r="X430" s="764"/>
      <c r="Y430" s="764"/>
      <c r="Z430" s="764"/>
      <c r="AA430" s="764"/>
      <c r="AB430" s="764"/>
      <c r="AC430" s="764"/>
      <c r="AD430" s="794"/>
      <c r="AE430" s="764"/>
      <c r="AF430" s="764"/>
      <c r="AG430" s="764"/>
      <c r="AH430" s="764"/>
      <c r="AI430" s="764"/>
      <c r="AJ430" s="764"/>
      <c r="AK430" s="764"/>
      <c r="AL430" s="764"/>
      <c r="AM430" s="764"/>
      <c r="AN430" s="764"/>
      <c r="AO430" s="764"/>
      <c r="AP430" s="764"/>
      <c r="AQ430" s="764"/>
      <c r="AR430" s="764"/>
      <c r="AS430" s="764"/>
    </row>
    <row r="431" spans="1:45" ht="13.9">
      <c r="A431" s="764"/>
      <c r="B431" s="764"/>
      <c r="C431" s="764"/>
      <c r="D431" s="764"/>
      <c r="E431" s="764"/>
      <c r="F431" s="764"/>
      <c r="G431" s="764"/>
      <c r="H431" s="764"/>
      <c r="I431" s="764"/>
      <c r="J431" s="764"/>
      <c r="K431" s="764"/>
      <c r="L431" s="764"/>
      <c r="M431" s="764"/>
      <c r="N431" s="773"/>
      <c r="O431" s="764"/>
      <c r="P431" s="764"/>
      <c r="Q431" s="764"/>
      <c r="R431" s="764"/>
      <c r="S431" s="764"/>
      <c r="T431" s="764"/>
      <c r="U431" s="764"/>
      <c r="V431" s="764"/>
      <c r="W431" s="764"/>
      <c r="X431" s="764"/>
      <c r="Y431" s="764"/>
      <c r="Z431" s="764"/>
      <c r="AA431" s="764"/>
      <c r="AB431" s="764"/>
      <c r="AC431" s="764"/>
      <c r="AD431" s="794"/>
      <c r="AE431" s="764"/>
      <c r="AF431" s="764"/>
      <c r="AG431" s="764"/>
      <c r="AH431" s="764"/>
      <c r="AI431" s="764"/>
      <c r="AJ431" s="764"/>
      <c r="AK431" s="764"/>
      <c r="AL431" s="764"/>
      <c r="AM431" s="764"/>
      <c r="AN431" s="764"/>
      <c r="AO431" s="764"/>
      <c r="AP431" s="764"/>
      <c r="AQ431" s="764"/>
      <c r="AR431" s="764"/>
      <c r="AS431" s="764"/>
    </row>
    <row r="432" spans="1:45" ht="13.9">
      <c r="A432" s="764"/>
      <c r="B432" s="764"/>
      <c r="C432" s="764"/>
      <c r="D432" s="764"/>
      <c r="E432" s="764"/>
      <c r="F432" s="764"/>
      <c r="G432" s="764"/>
      <c r="H432" s="764"/>
      <c r="I432" s="764"/>
      <c r="J432" s="764"/>
      <c r="K432" s="764"/>
      <c r="L432" s="764"/>
      <c r="M432" s="764"/>
      <c r="N432" s="773"/>
      <c r="O432" s="764"/>
      <c r="P432" s="764"/>
      <c r="Q432" s="764"/>
      <c r="R432" s="764"/>
      <c r="S432" s="764"/>
      <c r="T432" s="764"/>
      <c r="U432" s="764"/>
      <c r="V432" s="764"/>
      <c r="W432" s="764"/>
      <c r="X432" s="764"/>
      <c r="Y432" s="764"/>
      <c r="Z432" s="764"/>
      <c r="AA432" s="764"/>
      <c r="AB432" s="764"/>
      <c r="AC432" s="764"/>
      <c r="AD432" s="794"/>
      <c r="AE432" s="764"/>
      <c r="AF432" s="764"/>
      <c r="AG432" s="764"/>
      <c r="AH432" s="764"/>
      <c r="AI432" s="764"/>
      <c r="AJ432" s="764"/>
      <c r="AK432" s="764"/>
      <c r="AL432" s="764"/>
      <c r="AM432" s="764"/>
      <c r="AN432" s="764"/>
      <c r="AO432" s="764"/>
      <c r="AP432" s="764"/>
      <c r="AQ432" s="764"/>
      <c r="AR432" s="764"/>
      <c r="AS432" s="764"/>
    </row>
    <row r="433" spans="1:45" ht="13.9">
      <c r="A433" s="764"/>
      <c r="B433" s="764"/>
      <c r="C433" s="764"/>
      <c r="D433" s="764"/>
      <c r="E433" s="764"/>
      <c r="F433" s="764"/>
      <c r="G433" s="764"/>
      <c r="H433" s="764"/>
      <c r="I433" s="764"/>
      <c r="J433" s="764"/>
      <c r="K433" s="764"/>
      <c r="L433" s="764"/>
      <c r="M433" s="764"/>
      <c r="N433" s="773"/>
      <c r="O433" s="764"/>
      <c r="P433" s="764"/>
      <c r="Q433" s="764"/>
      <c r="R433" s="764"/>
      <c r="S433" s="764"/>
      <c r="T433" s="764"/>
      <c r="U433" s="764"/>
      <c r="V433" s="764"/>
      <c r="W433" s="764"/>
      <c r="X433" s="764"/>
      <c r="Y433" s="764"/>
      <c r="Z433" s="764"/>
      <c r="AA433" s="764"/>
      <c r="AB433" s="764"/>
      <c r="AC433" s="764"/>
      <c r="AD433" s="794"/>
      <c r="AE433" s="764"/>
      <c r="AF433" s="764"/>
      <c r="AG433" s="764"/>
      <c r="AH433" s="764"/>
      <c r="AI433" s="764"/>
      <c r="AJ433" s="764"/>
      <c r="AK433" s="764"/>
      <c r="AL433" s="764"/>
      <c r="AM433" s="764"/>
      <c r="AN433" s="764"/>
      <c r="AO433" s="764"/>
      <c r="AP433" s="764"/>
      <c r="AQ433" s="764"/>
      <c r="AR433" s="764"/>
      <c r="AS433" s="764"/>
    </row>
    <row r="434" spans="1:45" ht="13.9">
      <c r="A434" s="764"/>
      <c r="B434" s="764"/>
      <c r="C434" s="764"/>
      <c r="D434" s="764"/>
      <c r="E434" s="764"/>
      <c r="F434" s="764"/>
      <c r="G434" s="764"/>
      <c r="H434" s="764"/>
      <c r="I434" s="764"/>
      <c r="J434" s="764"/>
      <c r="K434" s="764"/>
      <c r="L434" s="764"/>
      <c r="M434" s="764"/>
      <c r="N434" s="773"/>
      <c r="O434" s="764"/>
      <c r="P434" s="764"/>
      <c r="Q434" s="764"/>
      <c r="R434" s="764"/>
      <c r="S434" s="764"/>
      <c r="T434" s="764"/>
      <c r="U434" s="764"/>
      <c r="V434" s="764"/>
      <c r="W434" s="764"/>
      <c r="X434" s="764"/>
      <c r="Y434" s="764"/>
      <c r="Z434" s="764"/>
      <c r="AA434" s="764"/>
      <c r="AB434" s="764"/>
      <c r="AC434" s="764"/>
      <c r="AD434" s="794"/>
      <c r="AE434" s="764"/>
      <c r="AF434" s="764"/>
      <c r="AG434" s="764"/>
      <c r="AH434" s="764"/>
      <c r="AI434" s="764"/>
      <c r="AJ434" s="764"/>
      <c r="AK434" s="764"/>
      <c r="AL434" s="764"/>
      <c r="AM434" s="764"/>
      <c r="AN434" s="764"/>
      <c r="AO434" s="764"/>
      <c r="AP434" s="764"/>
      <c r="AQ434" s="764"/>
      <c r="AR434" s="764"/>
      <c r="AS434" s="764"/>
    </row>
    <row r="435" spans="1:45" ht="13.9">
      <c r="A435" s="764"/>
      <c r="B435" s="764"/>
      <c r="C435" s="764"/>
      <c r="D435" s="764"/>
      <c r="E435" s="764"/>
      <c r="F435" s="764"/>
      <c r="G435" s="764"/>
      <c r="H435" s="764"/>
      <c r="I435" s="764"/>
      <c r="J435" s="764"/>
      <c r="K435" s="764"/>
      <c r="L435" s="764"/>
      <c r="M435" s="764"/>
      <c r="N435" s="773"/>
      <c r="O435" s="764"/>
      <c r="P435" s="764"/>
      <c r="Q435" s="764"/>
      <c r="R435" s="764"/>
      <c r="S435" s="764"/>
      <c r="T435" s="764"/>
      <c r="U435" s="764"/>
      <c r="V435" s="764"/>
      <c r="W435" s="764"/>
      <c r="X435" s="764"/>
      <c r="Y435" s="764"/>
      <c r="Z435" s="764"/>
      <c r="AA435" s="764"/>
      <c r="AB435" s="764"/>
      <c r="AC435" s="764"/>
      <c r="AD435" s="794"/>
      <c r="AE435" s="764"/>
      <c r="AF435" s="764"/>
      <c r="AG435" s="764"/>
      <c r="AH435" s="764"/>
      <c r="AI435" s="764"/>
      <c r="AJ435" s="764"/>
      <c r="AK435" s="764"/>
      <c r="AL435" s="764"/>
      <c r="AM435" s="764"/>
      <c r="AN435" s="764"/>
      <c r="AO435" s="764"/>
      <c r="AP435" s="764"/>
      <c r="AQ435" s="764"/>
      <c r="AR435" s="764"/>
      <c r="AS435" s="764"/>
    </row>
    <row r="436" spans="1:45" ht="13.9">
      <c r="A436" s="764"/>
      <c r="B436" s="764"/>
      <c r="C436" s="764"/>
      <c r="D436" s="764"/>
      <c r="E436" s="764"/>
      <c r="F436" s="764"/>
      <c r="G436" s="764"/>
      <c r="H436" s="764"/>
      <c r="I436" s="764"/>
      <c r="J436" s="764"/>
      <c r="K436" s="764"/>
      <c r="L436" s="764"/>
      <c r="M436" s="764"/>
      <c r="N436" s="773"/>
      <c r="O436" s="764"/>
      <c r="P436" s="764"/>
      <c r="Q436" s="764"/>
      <c r="R436" s="764"/>
      <c r="S436" s="764"/>
      <c r="T436" s="764"/>
      <c r="U436" s="764"/>
      <c r="V436" s="764"/>
      <c r="W436" s="764"/>
      <c r="X436" s="764"/>
      <c r="Y436" s="764"/>
      <c r="Z436" s="764"/>
      <c r="AA436" s="764"/>
      <c r="AB436" s="764"/>
      <c r="AC436" s="764"/>
      <c r="AD436" s="794"/>
      <c r="AE436" s="764"/>
      <c r="AF436" s="764"/>
      <c r="AG436" s="764"/>
      <c r="AH436" s="764"/>
      <c r="AI436" s="764"/>
      <c r="AJ436" s="764"/>
      <c r="AK436" s="764"/>
      <c r="AL436" s="764"/>
      <c r="AM436" s="764"/>
      <c r="AN436" s="764"/>
      <c r="AO436" s="764"/>
      <c r="AP436" s="764"/>
      <c r="AQ436" s="764"/>
      <c r="AR436" s="764"/>
      <c r="AS436" s="764"/>
    </row>
    <row r="437" spans="1:45" ht="13.9">
      <c r="A437" s="764"/>
      <c r="B437" s="764"/>
      <c r="C437" s="764"/>
      <c r="D437" s="764"/>
      <c r="E437" s="764"/>
      <c r="F437" s="764"/>
      <c r="G437" s="764"/>
      <c r="H437" s="764"/>
      <c r="I437" s="764"/>
      <c r="J437" s="764"/>
      <c r="K437" s="764"/>
      <c r="L437" s="764"/>
      <c r="M437" s="764"/>
      <c r="N437" s="773"/>
      <c r="O437" s="764"/>
      <c r="P437" s="764"/>
      <c r="Q437" s="764"/>
      <c r="R437" s="764"/>
      <c r="S437" s="764"/>
      <c r="T437" s="764"/>
      <c r="U437" s="764"/>
      <c r="V437" s="764"/>
      <c r="W437" s="764"/>
      <c r="X437" s="764"/>
      <c r="Y437" s="764"/>
      <c r="Z437" s="764"/>
      <c r="AA437" s="764"/>
      <c r="AB437" s="764"/>
      <c r="AC437" s="764"/>
      <c r="AD437" s="794"/>
      <c r="AE437" s="764"/>
      <c r="AF437" s="764"/>
      <c r="AG437" s="764"/>
      <c r="AH437" s="764"/>
      <c r="AI437" s="764"/>
      <c r="AJ437" s="764"/>
      <c r="AK437" s="764"/>
      <c r="AL437" s="764"/>
      <c r="AM437" s="764"/>
      <c r="AN437" s="764"/>
      <c r="AO437" s="764"/>
      <c r="AP437" s="764"/>
      <c r="AQ437" s="764"/>
      <c r="AR437" s="764"/>
      <c r="AS437" s="764"/>
    </row>
    <row r="438" spans="1:45" ht="13.9">
      <c r="A438" s="764"/>
      <c r="B438" s="764"/>
      <c r="C438" s="764"/>
      <c r="D438" s="764"/>
      <c r="E438" s="764"/>
      <c r="F438" s="764"/>
      <c r="G438" s="764"/>
      <c r="H438" s="764"/>
      <c r="I438" s="764"/>
      <c r="J438" s="764"/>
      <c r="K438" s="764"/>
      <c r="L438" s="764"/>
      <c r="M438" s="764"/>
      <c r="N438" s="773"/>
      <c r="O438" s="764"/>
      <c r="P438" s="764"/>
      <c r="Q438" s="764"/>
      <c r="R438" s="764"/>
      <c r="S438" s="764"/>
      <c r="T438" s="764"/>
      <c r="U438" s="764"/>
      <c r="V438" s="764"/>
      <c r="W438" s="764"/>
      <c r="X438" s="764"/>
      <c r="Y438" s="764"/>
      <c r="Z438" s="764"/>
      <c r="AA438" s="764"/>
      <c r="AB438" s="764"/>
      <c r="AC438" s="764"/>
      <c r="AD438" s="794"/>
      <c r="AE438" s="764"/>
      <c r="AF438" s="764"/>
      <c r="AG438" s="764"/>
      <c r="AH438" s="764"/>
      <c r="AI438" s="764"/>
      <c r="AJ438" s="764"/>
      <c r="AK438" s="764"/>
      <c r="AL438" s="764"/>
      <c r="AM438" s="764"/>
      <c r="AN438" s="764"/>
      <c r="AO438" s="764"/>
      <c r="AP438" s="764"/>
      <c r="AQ438" s="764"/>
      <c r="AR438" s="764"/>
      <c r="AS438" s="764"/>
    </row>
    <row r="439" spans="1:45" ht="13.9">
      <c r="A439" s="764"/>
      <c r="B439" s="764"/>
      <c r="C439" s="764"/>
      <c r="D439" s="764"/>
      <c r="E439" s="764"/>
      <c r="F439" s="764"/>
      <c r="G439" s="764"/>
      <c r="H439" s="764"/>
      <c r="I439" s="764"/>
      <c r="J439" s="764"/>
      <c r="K439" s="764"/>
      <c r="L439" s="764"/>
      <c r="M439" s="764"/>
      <c r="N439" s="773"/>
      <c r="O439" s="764"/>
      <c r="P439" s="764"/>
      <c r="Q439" s="764"/>
      <c r="R439" s="764"/>
      <c r="S439" s="764"/>
      <c r="T439" s="764"/>
      <c r="U439" s="764"/>
      <c r="V439" s="764"/>
      <c r="W439" s="764"/>
      <c r="X439" s="764"/>
      <c r="Y439" s="764"/>
      <c r="Z439" s="764"/>
      <c r="AA439" s="764"/>
      <c r="AB439" s="764"/>
      <c r="AC439" s="764"/>
      <c r="AD439" s="794"/>
      <c r="AE439" s="764"/>
      <c r="AF439" s="764"/>
      <c r="AG439" s="764"/>
      <c r="AH439" s="764"/>
      <c r="AI439" s="764"/>
      <c r="AJ439" s="764"/>
      <c r="AK439" s="764"/>
      <c r="AL439" s="764"/>
      <c r="AM439" s="764"/>
      <c r="AN439" s="764"/>
      <c r="AO439" s="764"/>
      <c r="AP439" s="764"/>
      <c r="AQ439" s="764"/>
      <c r="AR439" s="764"/>
      <c r="AS439" s="764"/>
    </row>
    <row r="440" spans="1:45" ht="13.9">
      <c r="A440" s="764"/>
      <c r="B440" s="764"/>
      <c r="C440" s="764"/>
      <c r="D440" s="764"/>
      <c r="E440" s="764"/>
      <c r="F440" s="764"/>
      <c r="G440" s="764"/>
      <c r="H440" s="764"/>
      <c r="I440" s="764"/>
      <c r="J440" s="764"/>
      <c r="K440" s="764"/>
      <c r="L440" s="764"/>
      <c r="M440" s="764"/>
      <c r="N440" s="773"/>
      <c r="O440" s="764"/>
      <c r="P440" s="764"/>
      <c r="Q440" s="764"/>
      <c r="R440" s="764"/>
      <c r="S440" s="764"/>
      <c r="T440" s="764"/>
      <c r="U440" s="764"/>
      <c r="V440" s="764"/>
      <c r="W440" s="764"/>
      <c r="X440" s="764"/>
      <c r="Y440" s="764"/>
      <c r="Z440" s="764"/>
      <c r="AA440" s="764"/>
      <c r="AB440" s="764"/>
      <c r="AC440" s="764"/>
      <c r="AD440" s="794"/>
      <c r="AE440" s="764"/>
      <c r="AF440" s="764"/>
      <c r="AG440" s="764"/>
      <c r="AH440" s="764"/>
      <c r="AI440" s="764"/>
      <c r="AJ440" s="764"/>
      <c r="AK440" s="764"/>
      <c r="AL440" s="764"/>
      <c r="AM440" s="764"/>
      <c r="AN440" s="764"/>
      <c r="AO440" s="764"/>
      <c r="AP440" s="764"/>
      <c r="AQ440" s="764"/>
      <c r="AR440" s="764"/>
      <c r="AS440" s="764"/>
    </row>
    <row r="441" spans="1:45" ht="13.9">
      <c r="A441" s="764"/>
      <c r="B441" s="764"/>
      <c r="C441" s="764"/>
      <c r="D441" s="764"/>
      <c r="E441" s="764"/>
      <c r="F441" s="764"/>
      <c r="G441" s="764"/>
      <c r="H441" s="764"/>
      <c r="I441" s="764"/>
      <c r="J441" s="764"/>
      <c r="K441" s="764"/>
      <c r="L441" s="764"/>
      <c r="M441" s="764"/>
      <c r="N441" s="773"/>
      <c r="O441" s="764"/>
      <c r="P441" s="764"/>
      <c r="Q441" s="764"/>
      <c r="R441" s="764"/>
      <c r="S441" s="764"/>
      <c r="T441" s="764"/>
      <c r="U441" s="764"/>
      <c r="V441" s="764"/>
      <c r="W441" s="764"/>
      <c r="X441" s="764"/>
      <c r="Y441" s="764"/>
      <c r="Z441" s="764"/>
      <c r="AA441" s="764"/>
      <c r="AB441" s="764"/>
      <c r="AC441" s="764"/>
      <c r="AD441" s="794"/>
      <c r="AE441" s="764"/>
      <c r="AF441" s="764"/>
      <c r="AG441" s="764"/>
      <c r="AH441" s="764"/>
      <c r="AI441" s="764"/>
      <c r="AJ441" s="764"/>
      <c r="AK441" s="764"/>
      <c r="AL441" s="764"/>
      <c r="AM441" s="764"/>
      <c r="AN441" s="764"/>
      <c r="AO441" s="764"/>
      <c r="AP441" s="764"/>
      <c r="AQ441" s="764"/>
      <c r="AR441" s="764"/>
      <c r="AS441" s="764"/>
    </row>
    <row r="442" spans="1:45" ht="13.9">
      <c r="A442" s="764"/>
      <c r="B442" s="764"/>
      <c r="C442" s="764"/>
      <c r="D442" s="764"/>
      <c r="E442" s="764"/>
      <c r="F442" s="764"/>
      <c r="G442" s="764"/>
      <c r="H442" s="764"/>
      <c r="I442" s="764"/>
      <c r="J442" s="764"/>
      <c r="K442" s="764"/>
      <c r="L442" s="764"/>
      <c r="M442" s="764"/>
      <c r="N442" s="773"/>
      <c r="O442" s="764"/>
      <c r="P442" s="764"/>
      <c r="Q442" s="764"/>
      <c r="R442" s="764"/>
      <c r="S442" s="764"/>
      <c r="T442" s="764"/>
      <c r="U442" s="764"/>
      <c r="V442" s="764"/>
      <c r="W442" s="764"/>
      <c r="X442" s="764"/>
      <c r="Y442" s="764"/>
      <c r="Z442" s="764"/>
      <c r="AA442" s="764"/>
      <c r="AB442" s="764"/>
      <c r="AC442" s="764"/>
      <c r="AD442" s="794"/>
      <c r="AE442" s="764"/>
      <c r="AF442" s="764"/>
      <c r="AG442" s="764"/>
      <c r="AH442" s="764"/>
      <c r="AI442" s="764"/>
      <c r="AJ442" s="764"/>
      <c r="AK442" s="764"/>
      <c r="AL442" s="764"/>
      <c r="AM442" s="764"/>
      <c r="AN442" s="764"/>
      <c r="AO442" s="764"/>
      <c r="AP442" s="764"/>
      <c r="AQ442" s="764"/>
      <c r="AR442" s="764"/>
      <c r="AS442" s="764"/>
    </row>
    <row r="443" spans="1:45" ht="13.9">
      <c r="A443" s="764"/>
      <c r="B443" s="764"/>
      <c r="C443" s="764"/>
      <c r="D443" s="764"/>
      <c r="E443" s="764"/>
      <c r="F443" s="764"/>
      <c r="G443" s="764"/>
      <c r="H443" s="764"/>
      <c r="I443" s="764"/>
      <c r="J443" s="764"/>
      <c r="K443" s="764"/>
      <c r="L443" s="764"/>
      <c r="M443" s="764"/>
      <c r="N443" s="773"/>
      <c r="O443" s="764"/>
      <c r="P443" s="764"/>
      <c r="Q443" s="764"/>
      <c r="R443" s="764"/>
      <c r="S443" s="764"/>
      <c r="T443" s="764"/>
      <c r="U443" s="764"/>
      <c r="V443" s="764"/>
      <c r="W443" s="764"/>
      <c r="X443" s="764"/>
      <c r="Y443" s="764"/>
      <c r="Z443" s="764"/>
      <c r="AA443" s="764"/>
      <c r="AB443" s="764"/>
      <c r="AC443" s="764"/>
      <c r="AD443" s="794"/>
      <c r="AE443" s="764"/>
      <c r="AF443" s="764"/>
      <c r="AG443" s="764"/>
      <c r="AH443" s="764"/>
      <c r="AI443" s="764"/>
      <c r="AJ443" s="764"/>
      <c r="AK443" s="764"/>
      <c r="AL443" s="764"/>
      <c r="AM443" s="764"/>
      <c r="AN443" s="764"/>
      <c r="AO443" s="764"/>
      <c r="AP443" s="764"/>
      <c r="AQ443" s="764"/>
      <c r="AR443" s="764"/>
      <c r="AS443" s="764"/>
    </row>
    <row r="444" spans="1:45" ht="13.9">
      <c r="A444" s="764"/>
      <c r="B444" s="764"/>
      <c r="C444" s="764"/>
      <c r="D444" s="764"/>
      <c r="E444" s="764"/>
      <c r="F444" s="764"/>
      <c r="G444" s="764"/>
      <c r="H444" s="764"/>
      <c r="I444" s="764"/>
      <c r="J444" s="764"/>
      <c r="K444" s="764"/>
      <c r="L444" s="764"/>
      <c r="M444" s="764"/>
      <c r="N444" s="773"/>
      <c r="O444" s="764"/>
      <c r="P444" s="764"/>
      <c r="Q444" s="764"/>
      <c r="R444" s="764"/>
      <c r="S444" s="764"/>
      <c r="T444" s="764"/>
      <c r="U444" s="764"/>
      <c r="V444" s="764"/>
      <c r="W444" s="764"/>
      <c r="X444" s="764"/>
      <c r="Y444" s="764"/>
      <c r="Z444" s="764"/>
      <c r="AA444" s="764"/>
      <c r="AB444" s="764"/>
      <c r="AC444" s="764"/>
      <c r="AD444" s="794"/>
      <c r="AE444" s="764"/>
      <c r="AF444" s="764"/>
      <c r="AG444" s="764"/>
      <c r="AH444" s="764"/>
      <c r="AI444" s="764"/>
      <c r="AJ444" s="764"/>
      <c r="AK444" s="764"/>
      <c r="AL444" s="764"/>
      <c r="AM444" s="764"/>
      <c r="AN444" s="764"/>
      <c r="AO444" s="764"/>
      <c r="AP444" s="764"/>
      <c r="AQ444" s="764"/>
      <c r="AR444" s="764"/>
      <c r="AS444" s="764"/>
    </row>
    <row r="445" spans="1:45" ht="13.9">
      <c r="A445" s="764"/>
      <c r="B445" s="764"/>
      <c r="C445" s="764"/>
      <c r="D445" s="764"/>
      <c r="E445" s="764"/>
      <c r="F445" s="764"/>
      <c r="G445" s="764"/>
      <c r="H445" s="764"/>
      <c r="I445" s="764"/>
      <c r="J445" s="764"/>
      <c r="K445" s="764"/>
      <c r="L445" s="764"/>
      <c r="M445" s="764"/>
      <c r="N445" s="773"/>
      <c r="O445" s="764"/>
      <c r="P445" s="764"/>
      <c r="Q445" s="764"/>
      <c r="R445" s="764"/>
      <c r="S445" s="764"/>
      <c r="T445" s="764"/>
      <c r="U445" s="764"/>
      <c r="V445" s="764"/>
      <c r="W445" s="764"/>
      <c r="X445" s="764"/>
      <c r="Y445" s="764"/>
      <c r="Z445" s="764"/>
      <c r="AA445" s="764"/>
      <c r="AB445" s="764"/>
      <c r="AC445" s="764"/>
      <c r="AD445" s="794"/>
      <c r="AE445" s="764"/>
      <c r="AF445" s="764"/>
      <c r="AG445" s="764"/>
      <c r="AH445" s="764"/>
      <c r="AI445" s="764"/>
      <c r="AJ445" s="764"/>
      <c r="AK445" s="764"/>
      <c r="AL445" s="764"/>
      <c r="AM445" s="764"/>
      <c r="AN445" s="764"/>
      <c r="AO445" s="764"/>
      <c r="AP445" s="764"/>
      <c r="AQ445" s="764"/>
      <c r="AR445" s="764"/>
      <c r="AS445" s="764"/>
    </row>
    <row r="446" spans="1:45" ht="13.9">
      <c r="A446" s="764"/>
      <c r="B446" s="764"/>
      <c r="C446" s="764"/>
      <c r="D446" s="764"/>
      <c r="E446" s="764"/>
      <c r="F446" s="764"/>
      <c r="G446" s="764"/>
      <c r="H446" s="764"/>
      <c r="I446" s="764"/>
      <c r="J446" s="764"/>
      <c r="K446" s="764"/>
      <c r="L446" s="764"/>
      <c r="M446" s="764"/>
      <c r="N446" s="773"/>
      <c r="O446" s="764"/>
      <c r="P446" s="764"/>
      <c r="Q446" s="764"/>
      <c r="R446" s="764"/>
      <c r="S446" s="764"/>
      <c r="T446" s="764"/>
      <c r="U446" s="764"/>
      <c r="V446" s="764"/>
      <c r="W446" s="764"/>
      <c r="X446" s="764"/>
      <c r="Y446" s="764"/>
      <c r="Z446" s="764"/>
      <c r="AA446" s="764"/>
      <c r="AB446" s="764"/>
      <c r="AC446" s="764"/>
      <c r="AD446" s="794"/>
      <c r="AE446" s="764"/>
      <c r="AF446" s="764"/>
      <c r="AG446" s="764"/>
      <c r="AH446" s="764"/>
      <c r="AI446" s="764"/>
      <c r="AJ446" s="764"/>
      <c r="AK446" s="764"/>
      <c r="AL446" s="764"/>
      <c r="AM446" s="764"/>
      <c r="AN446" s="764"/>
      <c r="AO446" s="764"/>
      <c r="AP446" s="764"/>
      <c r="AQ446" s="764"/>
      <c r="AR446" s="764"/>
      <c r="AS446" s="764"/>
    </row>
    <row r="447" spans="1:45" ht="13.9">
      <c r="A447" s="764"/>
      <c r="B447" s="764"/>
      <c r="C447" s="764"/>
      <c r="D447" s="764"/>
      <c r="E447" s="764"/>
      <c r="F447" s="764"/>
      <c r="G447" s="764"/>
      <c r="H447" s="764"/>
      <c r="I447" s="764"/>
      <c r="J447" s="764"/>
      <c r="K447" s="764"/>
      <c r="L447" s="764"/>
      <c r="M447" s="764"/>
      <c r="N447" s="773"/>
      <c r="O447" s="764"/>
      <c r="P447" s="764"/>
      <c r="Q447" s="764"/>
      <c r="R447" s="764"/>
      <c r="S447" s="764"/>
      <c r="T447" s="764"/>
      <c r="U447" s="764"/>
      <c r="V447" s="764"/>
      <c r="W447" s="764"/>
      <c r="X447" s="764"/>
      <c r="Y447" s="764"/>
      <c r="Z447" s="764"/>
      <c r="AA447" s="764"/>
      <c r="AB447" s="764"/>
      <c r="AC447" s="764"/>
      <c r="AD447" s="794"/>
      <c r="AE447" s="764"/>
      <c r="AF447" s="764"/>
      <c r="AG447" s="764"/>
      <c r="AH447" s="764"/>
      <c r="AI447" s="764"/>
      <c r="AJ447" s="764"/>
      <c r="AK447" s="764"/>
      <c r="AL447" s="764"/>
      <c r="AM447" s="764"/>
      <c r="AN447" s="764"/>
      <c r="AO447" s="764"/>
      <c r="AP447" s="764"/>
      <c r="AQ447" s="764"/>
      <c r="AR447" s="764"/>
      <c r="AS447" s="764"/>
    </row>
    <row r="448" spans="1:45" ht="13.9">
      <c r="A448" s="764"/>
      <c r="B448" s="764"/>
      <c r="C448" s="764"/>
      <c r="D448" s="764"/>
      <c r="E448" s="764"/>
      <c r="F448" s="764"/>
      <c r="G448" s="764"/>
      <c r="H448" s="764"/>
      <c r="I448" s="764"/>
      <c r="J448" s="764"/>
      <c r="K448" s="764"/>
      <c r="L448" s="764"/>
      <c r="M448" s="764"/>
      <c r="N448" s="773"/>
      <c r="O448" s="764"/>
      <c r="P448" s="764"/>
      <c r="Q448" s="764"/>
      <c r="R448" s="764"/>
      <c r="S448" s="764"/>
      <c r="T448" s="764"/>
      <c r="U448" s="764"/>
      <c r="V448" s="764"/>
      <c r="W448" s="764"/>
      <c r="X448" s="764"/>
      <c r="Y448" s="764"/>
      <c r="Z448" s="764"/>
      <c r="AA448" s="764"/>
      <c r="AB448" s="764"/>
      <c r="AC448" s="764"/>
      <c r="AD448" s="794"/>
      <c r="AE448" s="764"/>
      <c r="AF448" s="764"/>
      <c r="AG448" s="764"/>
      <c r="AH448" s="764"/>
      <c r="AI448" s="764"/>
      <c r="AJ448" s="764"/>
      <c r="AK448" s="764"/>
      <c r="AL448" s="764"/>
      <c r="AM448" s="764"/>
      <c r="AN448" s="764"/>
      <c r="AO448" s="764"/>
      <c r="AP448" s="764"/>
      <c r="AQ448" s="764"/>
      <c r="AR448" s="764"/>
      <c r="AS448" s="764"/>
    </row>
    <row r="449" spans="1:45" ht="13.9">
      <c r="A449" s="764"/>
      <c r="B449" s="764"/>
      <c r="C449" s="764"/>
      <c r="D449" s="764"/>
      <c r="E449" s="764"/>
      <c r="F449" s="764"/>
      <c r="G449" s="764"/>
      <c r="H449" s="764"/>
      <c r="I449" s="764"/>
      <c r="J449" s="764"/>
      <c r="K449" s="764"/>
      <c r="L449" s="764"/>
      <c r="M449" s="764"/>
      <c r="N449" s="773"/>
      <c r="O449" s="764"/>
      <c r="P449" s="764"/>
      <c r="Q449" s="764"/>
      <c r="R449" s="764"/>
      <c r="S449" s="764"/>
      <c r="T449" s="764"/>
      <c r="U449" s="764"/>
      <c r="V449" s="764"/>
      <c r="W449" s="764"/>
      <c r="X449" s="764"/>
      <c r="Y449" s="764"/>
      <c r="Z449" s="764"/>
      <c r="AA449" s="764"/>
      <c r="AB449" s="764"/>
      <c r="AC449" s="764"/>
      <c r="AD449" s="794"/>
      <c r="AE449" s="764"/>
      <c r="AF449" s="764"/>
      <c r="AG449" s="764"/>
      <c r="AH449" s="764"/>
      <c r="AI449" s="764"/>
      <c r="AJ449" s="764"/>
      <c r="AK449" s="764"/>
      <c r="AL449" s="764"/>
      <c r="AM449" s="764"/>
      <c r="AN449" s="764"/>
      <c r="AO449" s="764"/>
      <c r="AP449" s="764"/>
      <c r="AQ449" s="764"/>
      <c r="AR449" s="764"/>
      <c r="AS449" s="764"/>
    </row>
    <row r="450" spans="1:45" ht="13.9">
      <c r="A450" s="764"/>
      <c r="B450" s="764"/>
      <c r="C450" s="764"/>
      <c r="D450" s="764"/>
      <c r="E450" s="764"/>
      <c r="F450" s="764"/>
      <c r="G450" s="764"/>
      <c r="H450" s="764"/>
      <c r="I450" s="764"/>
      <c r="J450" s="764"/>
      <c r="K450" s="764"/>
      <c r="L450" s="764"/>
      <c r="M450" s="764"/>
      <c r="N450" s="773"/>
      <c r="O450" s="764"/>
      <c r="P450" s="764"/>
      <c r="Q450" s="764"/>
      <c r="R450" s="764"/>
      <c r="S450" s="764"/>
      <c r="T450" s="764"/>
      <c r="U450" s="764"/>
      <c r="V450" s="764"/>
      <c r="W450" s="764"/>
      <c r="X450" s="764"/>
      <c r="Y450" s="764"/>
      <c r="Z450" s="764"/>
      <c r="AA450" s="764"/>
      <c r="AB450" s="764"/>
      <c r="AC450" s="764"/>
      <c r="AD450" s="794"/>
      <c r="AE450" s="764"/>
      <c r="AF450" s="764"/>
      <c r="AG450" s="764"/>
      <c r="AH450" s="764"/>
      <c r="AI450" s="764"/>
      <c r="AJ450" s="764"/>
      <c r="AK450" s="764"/>
      <c r="AL450" s="764"/>
      <c r="AM450" s="764"/>
      <c r="AN450" s="764"/>
      <c r="AO450" s="764"/>
      <c r="AP450" s="764"/>
      <c r="AQ450" s="764"/>
      <c r="AR450" s="764"/>
      <c r="AS450" s="764"/>
    </row>
    <row r="451" spans="1:45" ht="13.9">
      <c r="A451" s="764"/>
      <c r="B451" s="764"/>
      <c r="C451" s="764"/>
      <c r="D451" s="764"/>
      <c r="E451" s="764"/>
      <c r="F451" s="764"/>
      <c r="G451" s="764"/>
      <c r="H451" s="764"/>
      <c r="I451" s="764"/>
      <c r="J451" s="764"/>
      <c r="K451" s="764"/>
      <c r="L451" s="764"/>
      <c r="M451" s="764"/>
      <c r="N451" s="773"/>
      <c r="O451" s="764"/>
      <c r="P451" s="764"/>
      <c r="Q451" s="764"/>
      <c r="R451" s="764"/>
      <c r="S451" s="764"/>
      <c r="T451" s="764"/>
      <c r="U451" s="764"/>
      <c r="V451" s="764"/>
      <c r="W451" s="764"/>
      <c r="X451" s="764"/>
      <c r="Y451" s="764"/>
      <c r="Z451" s="764"/>
      <c r="AA451" s="764"/>
      <c r="AB451" s="764"/>
      <c r="AC451" s="764"/>
      <c r="AD451" s="794"/>
      <c r="AE451" s="764"/>
      <c r="AF451" s="764"/>
      <c r="AG451" s="764"/>
      <c r="AH451" s="764"/>
      <c r="AI451" s="764"/>
      <c r="AJ451" s="764"/>
      <c r="AK451" s="764"/>
      <c r="AL451" s="764"/>
      <c r="AM451" s="764"/>
      <c r="AN451" s="764"/>
      <c r="AO451" s="764"/>
      <c r="AP451" s="764"/>
      <c r="AQ451" s="764"/>
      <c r="AR451" s="764"/>
      <c r="AS451" s="764"/>
    </row>
    <row r="452" spans="1:45" ht="13.9">
      <c r="A452" s="764"/>
      <c r="B452" s="764"/>
      <c r="C452" s="764"/>
      <c r="D452" s="764"/>
      <c r="E452" s="764"/>
      <c r="F452" s="764"/>
      <c r="G452" s="764"/>
      <c r="H452" s="764"/>
      <c r="I452" s="764"/>
      <c r="J452" s="764"/>
      <c r="K452" s="764"/>
      <c r="L452" s="764"/>
      <c r="M452" s="764"/>
      <c r="N452" s="773"/>
      <c r="O452" s="764"/>
      <c r="P452" s="764"/>
      <c r="Q452" s="764"/>
      <c r="R452" s="764"/>
      <c r="S452" s="764"/>
      <c r="T452" s="764"/>
      <c r="U452" s="764"/>
      <c r="V452" s="764"/>
      <c r="W452" s="764"/>
      <c r="X452" s="764"/>
      <c r="Y452" s="764"/>
      <c r="Z452" s="764"/>
      <c r="AA452" s="764"/>
      <c r="AB452" s="764"/>
      <c r="AC452" s="764"/>
      <c r="AD452" s="794"/>
      <c r="AE452" s="764"/>
      <c r="AF452" s="764"/>
      <c r="AG452" s="764"/>
      <c r="AH452" s="764"/>
      <c r="AI452" s="764"/>
      <c r="AJ452" s="764"/>
      <c r="AK452" s="764"/>
      <c r="AL452" s="764"/>
      <c r="AM452" s="764"/>
      <c r="AN452" s="764"/>
      <c r="AO452" s="764"/>
      <c r="AP452" s="764"/>
      <c r="AQ452" s="764"/>
      <c r="AR452" s="764"/>
      <c r="AS452" s="764"/>
    </row>
    <row r="453" spans="1:45" ht="13.9">
      <c r="A453" s="764"/>
      <c r="B453" s="764"/>
      <c r="C453" s="764"/>
      <c r="D453" s="764"/>
      <c r="E453" s="764"/>
      <c r="F453" s="764"/>
      <c r="G453" s="764"/>
      <c r="H453" s="764"/>
      <c r="I453" s="764"/>
      <c r="J453" s="764"/>
      <c r="K453" s="764"/>
      <c r="L453" s="764"/>
      <c r="M453" s="764"/>
      <c r="N453" s="773"/>
      <c r="O453" s="764"/>
      <c r="P453" s="764"/>
      <c r="Q453" s="764"/>
      <c r="R453" s="764"/>
      <c r="S453" s="764"/>
      <c r="T453" s="764"/>
      <c r="U453" s="764"/>
      <c r="V453" s="764"/>
      <c r="W453" s="764"/>
      <c r="X453" s="764"/>
      <c r="Y453" s="764"/>
      <c r="Z453" s="764"/>
      <c r="AA453" s="764"/>
      <c r="AB453" s="764"/>
      <c r="AC453" s="764"/>
      <c r="AD453" s="794"/>
      <c r="AE453" s="764"/>
      <c r="AF453" s="764"/>
      <c r="AG453" s="764"/>
      <c r="AH453" s="764"/>
      <c r="AI453" s="764"/>
      <c r="AJ453" s="764"/>
      <c r="AK453" s="764"/>
      <c r="AL453" s="764"/>
      <c r="AM453" s="764"/>
      <c r="AN453" s="764"/>
      <c r="AO453" s="764"/>
      <c r="AP453" s="764"/>
      <c r="AQ453" s="764"/>
      <c r="AR453" s="764"/>
      <c r="AS453" s="764"/>
    </row>
    <row r="454" spans="1:45" ht="13.9">
      <c r="A454" s="764"/>
      <c r="B454" s="764"/>
      <c r="C454" s="764"/>
      <c r="D454" s="764"/>
      <c r="E454" s="764"/>
      <c r="F454" s="764"/>
      <c r="G454" s="764"/>
      <c r="H454" s="764"/>
      <c r="I454" s="764"/>
      <c r="J454" s="764"/>
      <c r="K454" s="764"/>
      <c r="L454" s="764"/>
      <c r="M454" s="764"/>
      <c r="N454" s="773"/>
      <c r="O454" s="764"/>
      <c r="P454" s="764"/>
      <c r="Q454" s="764"/>
      <c r="R454" s="764"/>
      <c r="S454" s="764"/>
      <c r="T454" s="764"/>
      <c r="U454" s="764"/>
      <c r="V454" s="764"/>
      <c r="W454" s="764"/>
      <c r="X454" s="764"/>
      <c r="Y454" s="764"/>
      <c r="Z454" s="764"/>
      <c r="AA454" s="764"/>
      <c r="AB454" s="764"/>
      <c r="AC454" s="764"/>
      <c r="AD454" s="794"/>
      <c r="AE454" s="764"/>
      <c r="AF454" s="764"/>
      <c r="AG454" s="764"/>
      <c r="AH454" s="764"/>
      <c r="AI454" s="764"/>
      <c r="AJ454" s="764"/>
      <c r="AK454" s="764"/>
      <c r="AL454" s="764"/>
      <c r="AM454" s="764"/>
      <c r="AN454" s="764"/>
      <c r="AO454" s="764"/>
      <c r="AP454" s="764"/>
      <c r="AQ454" s="764"/>
      <c r="AR454" s="764"/>
      <c r="AS454" s="764"/>
    </row>
    <row r="455" spans="1:45" ht="13.9">
      <c r="A455" s="764"/>
      <c r="B455" s="764"/>
      <c r="C455" s="764"/>
      <c r="D455" s="764"/>
      <c r="E455" s="764"/>
      <c r="F455" s="764"/>
      <c r="G455" s="764"/>
      <c r="H455" s="764"/>
      <c r="I455" s="764"/>
      <c r="J455" s="764"/>
      <c r="K455" s="764"/>
      <c r="L455" s="764"/>
      <c r="M455" s="764"/>
      <c r="N455" s="773"/>
      <c r="O455" s="764"/>
      <c r="P455" s="764"/>
      <c r="Q455" s="764"/>
      <c r="R455" s="764"/>
      <c r="S455" s="764"/>
      <c r="T455" s="764"/>
      <c r="U455" s="764"/>
      <c r="V455" s="764"/>
      <c r="W455" s="764"/>
      <c r="X455" s="764"/>
      <c r="Y455" s="764"/>
      <c r="Z455" s="764"/>
      <c r="AA455" s="764"/>
      <c r="AB455" s="764"/>
      <c r="AC455" s="764"/>
      <c r="AD455" s="794"/>
      <c r="AE455" s="764"/>
      <c r="AF455" s="764"/>
      <c r="AG455" s="764"/>
      <c r="AH455" s="764"/>
      <c r="AI455" s="764"/>
      <c r="AJ455" s="764"/>
      <c r="AK455" s="764"/>
      <c r="AL455" s="764"/>
      <c r="AM455" s="764"/>
      <c r="AN455" s="764"/>
      <c r="AO455" s="764"/>
      <c r="AP455" s="764"/>
      <c r="AQ455" s="764"/>
      <c r="AR455" s="764"/>
      <c r="AS455" s="764"/>
    </row>
    <row r="456" spans="1:45" ht="13.9">
      <c r="A456" s="764"/>
      <c r="B456" s="764"/>
      <c r="C456" s="764"/>
      <c r="D456" s="764"/>
      <c r="E456" s="764"/>
      <c r="F456" s="764"/>
      <c r="G456" s="764"/>
      <c r="H456" s="764"/>
      <c r="I456" s="764"/>
      <c r="J456" s="764"/>
      <c r="K456" s="764"/>
      <c r="L456" s="764"/>
      <c r="M456" s="764"/>
      <c r="N456" s="773"/>
      <c r="O456" s="764"/>
      <c r="P456" s="764"/>
      <c r="Q456" s="764"/>
      <c r="R456" s="764"/>
      <c r="S456" s="764"/>
      <c r="T456" s="764"/>
      <c r="U456" s="764"/>
      <c r="V456" s="764"/>
      <c r="W456" s="764"/>
      <c r="X456" s="764"/>
      <c r="Y456" s="764"/>
      <c r="Z456" s="764"/>
      <c r="AA456" s="764"/>
      <c r="AB456" s="764"/>
      <c r="AC456" s="764"/>
      <c r="AD456" s="794"/>
      <c r="AE456" s="764"/>
      <c r="AF456" s="764"/>
      <c r="AG456" s="764"/>
      <c r="AH456" s="764"/>
      <c r="AI456" s="764"/>
      <c r="AJ456" s="764"/>
      <c r="AK456" s="764"/>
      <c r="AL456" s="764"/>
      <c r="AM456" s="764"/>
      <c r="AN456" s="764"/>
      <c r="AO456" s="764"/>
      <c r="AP456" s="764"/>
      <c r="AQ456" s="764"/>
      <c r="AR456" s="764"/>
      <c r="AS456" s="764"/>
    </row>
    <row r="457" spans="1:45" ht="13.9">
      <c r="A457" s="764"/>
      <c r="B457" s="764"/>
      <c r="C457" s="764"/>
      <c r="D457" s="764"/>
      <c r="E457" s="764"/>
      <c r="F457" s="764"/>
      <c r="G457" s="764"/>
      <c r="H457" s="764"/>
      <c r="I457" s="764"/>
      <c r="J457" s="764"/>
      <c r="K457" s="764"/>
      <c r="L457" s="764"/>
      <c r="M457" s="764"/>
      <c r="N457" s="773"/>
      <c r="O457" s="764"/>
      <c r="P457" s="764"/>
      <c r="Q457" s="764"/>
      <c r="R457" s="764"/>
      <c r="S457" s="764"/>
      <c r="T457" s="764"/>
      <c r="U457" s="764"/>
      <c r="V457" s="764"/>
      <c r="W457" s="764"/>
      <c r="X457" s="764"/>
      <c r="Y457" s="764"/>
      <c r="Z457" s="764"/>
      <c r="AA457" s="764"/>
      <c r="AB457" s="764"/>
      <c r="AC457" s="764"/>
      <c r="AD457" s="794"/>
      <c r="AE457" s="764"/>
      <c r="AF457" s="764"/>
      <c r="AG457" s="764"/>
      <c r="AH457" s="764"/>
      <c r="AI457" s="764"/>
      <c r="AJ457" s="764"/>
      <c r="AK457" s="764"/>
      <c r="AL457" s="764"/>
      <c r="AM457" s="764"/>
      <c r="AN457" s="764"/>
      <c r="AO457" s="764"/>
      <c r="AP457" s="764"/>
      <c r="AQ457" s="764"/>
      <c r="AR457" s="764"/>
      <c r="AS457" s="764"/>
    </row>
    <row r="458" spans="1:45" ht="13.9">
      <c r="A458" s="764"/>
      <c r="B458" s="764"/>
      <c r="C458" s="764"/>
      <c r="D458" s="764"/>
      <c r="E458" s="764"/>
      <c r="F458" s="764"/>
      <c r="G458" s="764"/>
      <c r="H458" s="764"/>
      <c r="I458" s="764"/>
      <c r="J458" s="764"/>
      <c r="K458" s="764"/>
      <c r="L458" s="764"/>
      <c r="M458" s="764"/>
      <c r="N458" s="773"/>
      <c r="O458" s="764"/>
      <c r="P458" s="764"/>
      <c r="Q458" s="764"/>
      <c r="R458" s="764"/>
      <c r="S458" s="764"/>
      <c r="T458" s="764"/>
      <c r="U458" s="764"/>
      <c r="V458" s="764"/>
      <c r="W458" s="764"/>
      <c r="X458" s="764"/>
      <c r="Y458" s="764"/>
      <c r="Z458" s="764"/>
      <c r="AA458" s="764"/>
      <c r="AB458" s="764"/>
      <c r="AC458" s="764"/>
      <c r="AD458" s="794"/>
      <c r="AE458" s="764"/>
      <c r="AF458" s="764"/>
      <c r="AG458" s="764"/>
      <c r="AH458" s="764"/>
      <c r="AI458" s="764"/>
      <c r="AJ458" s="764"/>
      <c r="AK458" s="764"/>
      <c r="AL458" s="764"/>
      <c r="AM458" s="764"/>
      <c r="AN458" s="764"/>
      <c r="AO458" s="764"/>
      <c r="AP458" s="764"/>
      <c r="AQ458" s="764"/>
      <c r="AR458" s="764"/>
      <c r="AS458" s="764"/>
    </row>
    <row r="459" spans="1:45" ht="13.9">
      <c r="A459" s="764"/>
      <c r="B459" s="764"/>
      <c r="C459" s="764"/>
      <c r="D459" s="764"/>
      <c r="E459" s="764"/>
      <c r="F459" s="764"/>
      <c r="G459" s="764"/>
      <c r="H459" s="764"/>
      <c r="I459" s="764"/>
      <c r="J459" s="764"/>
      <c r="K459" s="764"/>
      <c r="L459" s="764"/>
      <c r="M459" s="764"/>
      <c r="N459" s="773"/>
      <c r="O459" s="764"/>
      <c r="P459" s="764"/>
      <c r="Q459" s="764"/>
      <c r="R459" s="764"/>
      <c r="S459" s="764"/>
      <c r="T459" s="764"/>
      <c r="U459" s="764"/>
      <c r="V459" s="764"/>
      <c r="W459" s="764"/>
      <c r="X459" s="764"/>
      <c r="Y459" s="764"/>
      <c r="Z459" s="764"/>
      <c r="AA459" s="764"/>
      <c r="AB459" s="764"/>
      <c r="AC459" s="764"/>
      <c r="AD459" s="794"/>
      <c r="AE459" s="764"/>
      <c r="AF459" s="764"/>
      <c r="AG459" s="764"/>
      <c r="AH459" s="764"/>
      <c r="AI459" s="764"/>
      <c r="AJ459" s="764"/>
      <c r="AK459" s="764"/>
      <c r="AL459" s="764"/>
      <c r="AM459" s="764"/>
      <c r="AN459" s="764"/>
      <c r="AO459" s="764"/>
      <c r="AP459" s="764"/>
      <c r="AQ459" s="764"/>
      <c r="AR459" s="764"/>
      <c r="AS459" s="764"/>
    </row>
    <row r="460" spans="1:45" ht="13.9">
      <c r="A460" s="764"/>
      <c r="B460" s="764"/>
      <c r="C460" s="764"/>
      <c r="D460" s="764"/>
      <c r="E460" s="764"/>
      <c r="F460" s="764"/>
      <c r="G460" s="764"/>
      <c r="H460" s="764"/>
      <c r="I460" s="764"/>
      <c r="J460" s="764"/>
      <c r="K460" s="764"/>
      <c r="L460" s="764"/>
      <c r="M460" s="764"/>
      <c r="N460" s="773"/>
      <c r="O460" s="764"/>
      <c r="P460" s="764"/>
      <c r="Q460" s="764"/>
      <c r="R460" s="764"/>
      <c r="S460" s="764"/>
      <c r="T460" s="764"/>
      <c r="U460" s="764"/>
      <c r="V460" s="764"/>
      <c r="W460" s="764"/>
      <c r="X460" s="764"/>
      <c r="Y460" s="764"/>
      <c r="Z460" s="764"/>
      <c r="AA460" s="764"/>
      <c r="AB460" s="764"/>
      <c r="AC460" s="764"/>
      <c r="AD460" s="794"/>
      <c r="AE460" s="764"/>
      <c r="AF460" s="764"/>
      <c r="AG460" s="764"/>
      <c r="AH460" s="764"/>
      <c r="AI460" s="764"/>
      <c r="AJ460" s="764"/>
      <c r="AK460" s="764"/>
      <c r="AL460" s="764"/>
      <c r="AM460" s="764"/>
      <c r="AN460" s="764"/>
      <c r="AO460" s="764"/>
      <c r="AP460" s="764"/>
      <c r="AQ460" s="764"/>
      <c r="AR460" s="764"/>
      <c r="AS460" s="764"/>
    </row>
    <row r="461" spans="1:45" ht="13.9">
      <c r="A461" s="764"/>
      <c r="B461" s="764"/>
      <c r="C461" s="764"/>
      <c r="D461" s="764"/>
      <c r="E461" s="764"/>
      <c r="F461" s="764"/>
      <c r="G461" s="764"/>
      <c r="H461" s="764"/>
      <c r="I461" s="764"/>
      <c r="J461" s="764"/>
      <c r="K461" s="764"/>
      <c r="L461" s="764"/>
      <c r="M461" s="764"/>
      <c r="N461" s="773"/>
      <c r="O461" s="764"/>
      <c r="P461" s="764"/>
      <c r="Q461" s="764"/>
      <c r="R461" s="764"/>
      <c r="S461" s="764"/>
      <c r="T461" s="764"/>
      <c r="U461" s="764"/>
      <c r="V461" s="764"/>
      <c r="W461" s="764"/>
      <c r="X461" s="764"/>
      <c r="Y461" s="764"/>
      <c r="Z461" s="764"/>
      <c r="AA461" s="764"/>
      <c r="AB461" s="764"/>
      <c r="AC461" s="764"/>
      <c r="AD461" s="794"/>
      <c r="AE461" s="764"/>
      <c r="AF461" s="764"/>
      <c r="AG461" s="764"/>
      <c r="AH461" s="764"/>
      <c r="AI461" s="764"/>
      <c r="AJ461" s="764"/>
      <c r="AK461" s="764"/>
      <c r="AL461" s="764"/>
      <c r="AM461" s="764"/>
      <c r="AN461" s="764"/>
      <c r="AO461" s="764"/>
      <c r="AP461" s="764"/>
      <c r="AQ461" s="764"/>
      <c r="AR461" s="764"/>
      <c r="AS461" s="764"/>
    </row>
    <row r="462" spans="1:45" ht="13.9">
      <c r="A462" s="764"/>
      <c r="B462" s="764"/>
      <c r="C462" s="764"/>
      <c r="D462" s="764"/>
      <c r="E462" s="764"/>
      <c r="F462" s="764"/>
      <c r="G462" s="764"/>
      <c r="H462" s="764"/>
      <c r="I462" s="764"/>
      <c r="J462" s="764"/>
      <c r="K462" s="764"/>
      <c r="L462" s="764"/>
      <c r="M462" s="764"/>
      <c r="N462" s="773"/>
      <c r="O462" s="764"/>
      <c r="P462" s="764"/>
      <c r="Q462" s="764"/>
      <c r="R462" s="764"/>
      <c r="S462" s="764"/>
      <c r="T462" s="764"/>
      <c r="U462" s="764"/>
      <c r="V462" s="764"/>
      <c r="W462" s="764"/>
      <c r="X462" s="764"/>
      <c r="Y462" s="764"/>
      <c r="Z462" s="764"/>
      <c r="AA462" s="764"/>
      <c r="AB462" s="764"/>
      <c r="AC462" s="764"/>
      <c r="AD462" s="794"/>
      <c r="AE462" s="764"/>
      <c r="AF462" s="764"/>
      <c r="AG462" s="764"/>
      <c r="AH462" s="764"/>
      <c r="AI462" s="764"/>
      <c r="AJ462" s="764"/>
      <c r="AK462" s="764"/>
      <c r="AL462" s="764"/>
      <c r="AM462" s="764"/>
      <c r="AN462" s="764"/>
      <c r="AO462" s="764"/>
      <c r="AP462" s="764"/>
      <c r="AQ462" s="764"/>
      <c r="AR462" s="764"/>
      <c r="AS462" s="764"/>
    </row>
    <row r="463" spans="1:45" ht="13.9">
      <c r="A463" s="764"/>
      <c r="B463" s="764"/>
      <c r="C463" s="764"/>
      <c r="D463" s="764"/>
      <c r="E463" s="764"/>
      <c r="F463" s="764"/>
      <c r="G463" s="764"/>
      <c r="H463" s="764"/>
      <c r="I463" s="764"/>
      <c r="J463" s="764"/>
      <c r="K463" s="764"/>
      <c r="L463" s="764"/>
      <c r="M463" s="764"/>
      <c r="N463" s="773"/>
      <c r="O463" s="764"/>
      <c r="P463" s="764"/>
      <c r="Q463" s="764"/>
      <c r="R463" s="764"/>
      <c r="S463" s="764"/>
      <c r="T463" s="764"/>
      <c r="U463" s="764"/>
      <c r="V463" s="764"/>
      <c r="W463" s="764"/>
      <c r="X463" s="764"/>
      <c r="Y463" s="764"/>
      <c r="Z463" s="764"/>
      <c r="AA463" s="764"/>
      <c r="AB463" s="764"/>
      <c r="AC463" s="764"/>
      <c r="AD463" s="794"/>
      <c r="AE463" s="764"/>
      <c r="AF463" s="764"/>
      <c r="AG463" s="764"/>
      <c r="AH463" s="764"/>
      <c r="AI463" s="764"/>
      <c r="AJ463" s="764"/>
      <c r="AK463" s="764"/>
      <c r="AL463" s="764"/>
      <c r="AM463" s="764"/>
      <c r="AN463" s="764"/>
      <c r="AO463" s="764"/>
      <c r="AP463" s="764"/>
      <c r="AQ463" s="764"/>
      <c r="AR463" s="764"/>
      <c r="AS463" s="764"/>
    </row>
    <row r="464" spans="1:45" ht="13.9">
      <c r="A464" s="764"/>
      <c r="B464" s="764"/>
      <c r="C464" s="764"/>
      <c r="D464" s="764"/>
      <c r="E464" s="764"/>
      <c r="F464" s="764"/>
      <c r="G464" s="764"/>
      <c r="H464" s="764"/>
      <c r="I464" s="764"/>
      <c r="J464" s="764"/>
      <c r="K464" s="764"/>
      <c r="L464" s="764"/>
      <c r="M464" s="764"/>
      <c r="N464" s="773"/>
      <c r="O464" s="764"/>
      <c r="P464" s="764"/>
      <c r="Q464" s="764"/>
      <c r="R464" s="764"/>
      <c r="S464" s="764"/>
      <c r="T464" s="764"/>
      <c r="U464" s="764"/>
      <c r="V464" s="764"/>
      <c r="W464" s="764"/>
      <c r="X464" s="764"/>
      <c r="Y464" s="764"/>
      <c r="Z464" s="764"/>
      <c r="AA464" s="764"/>
      <c r="AB464" s="764"/>
      <c r="AC464" s="764"/>
      <c r="AD464" s="794"/>
      <c r="AE464" s="764"/>
      <c r="AF464" s="764"/>
      <c r="AG464" s="764"/>
      <c r="AH464" s="764"/>
      <c r="AI464" s="764"/>
      <c r="AJ464" s="764"/>
      <c r="AK464" s="764"/>
      <c r="AL464" s="764"/>
      <c r="AM464" s="764"/>
      <c r="AN464" s="764"/>
      <c r="AO464" s="764"/>
      <c r="AP464" s="764"/>
      <c r="AQ464" s="764"/>
      <c r="AR464" s="764"/>
      <c r="AS464" s="764"/>
    </row>
    <row r="465" spans="1:45" ht="13.9">
      <c r="A465" s="764"/>
      <c r="B465" s="764"/>
      <c r="C465" s="764"/>
      <c r="D465" s="764"/>
      <c r="E465" s="764"/>
      <c r="F465" s="764"/>
      <c r="G465" s="764"/>
      <c r="H465" s="764"/>
      <c r="I465" s="764"/>
      <c r="J465" s="764"/>
      <c r="K465" s="764"/>
      <c r="L465" s="764"/>
      <c r="M465" s="764"/>
      <c r="N465" s="773"/>
      <c r="O465" s="764"/>
      <c r="P465" s="764"/>
      <c r="Q465" s="764"/>
      <c r="R465" s="764"/>
      <c r="S465" s="764"/>
      <c r="T465" s="764"/>
      <c r="U465" s="764"/>
      <c r="V465" s="764"/>
      <c r="W465" s="764"/>
      <c r="X465" s="764"/>
      <c r="Y465" s="764"/>
      <c r="Z465" s="764"/>
      <c r="AA465" s="764"/>
      <c r="AB465" s="764"/>
      <c r="AC465" s="764"/>
      <c r="AD465" s="794"/>
      <c r="AE465" s="764"/>
      <c r="AF465" s="764"/>
      <c r="AG465" s="764"/>
      <c r="AH465" s="764"/>
      <c r="AI465" s="764"/>
      <c r="AJ465" s="764"/>
      <c r="AK465" s="764"/>
      <c r="AL465" s="764"/>
      <c r="AM465" s="764"/>
      <c r="AN465" s="764"/>
      <c r="AO465" s="764"/>
      <c r="AP465" s="764"/>
      <c r="AQ465" s="764"/>
      <c r="AR465" s="764"/>
      <c r="AS465" s="764"/>
    </row>
    <row r="466" spans="1:45" ht="13.9">
      <c r="A466" s="764"/>
      <c r="B466" s="764"/>
      <c r="C466" s="764"/>
      <c r="D466" s="764"/>
      <c r="E466" s="764"/>
      <c r="F466" s="764"/>
      <c r="G466" s="764"/>
      <c r="H466" s="764"/>
      <c r="I466" s="764"/>
      <c r="J466" s="764"/>
      <c r="K466" s="764"/>
      <c r="L466" s="764"/>
      <c r="M466" s="764"/>
      <c r="N466" s="773"/>
      <c r="O466" s="764"/>
      <c r="P466" s="764"/>
      <c r="Q466" s="764"/>
      <c r="R466" s="764"/>
      <c r="S466" s="764"/>
      <c r="T466" s="764"/>
      <c r="U466" s="764"/>
      <c r="V466" s="764"/>
      <c r="W466" s="764"/>
      <c r="X466" s="764"/>
      <c r="Y466" s="764"/>
      <c r="Z466" s="764"/>
      <c r="AA466" s="764"/>
      <c r="AB466" s="764"/>
      <c r="AC466" s="764"/>
      <c r="AD466" s="794"/>
      <c r="AE466" s="764"/>
      <c r="AF466" s="764"/>
      <c r="AG466" s="764"/>
      <c r="AH466" s="764"/>
      <c r="AI466" s="764"/>
      <c r="AJ466" s="764"/>
      <c r="AK466" s="764"/>
      <c r="AL466" s="764"/>
      <c r="AM466" s="764"/>
      <c r="AN466" s="764"/>
      <c r="AO466" s="764"/>
      <c r="AP466" s="764"/>
      <c r="AQ466" s="764"/>
      <c r="AR466" s="764"/>
      <c r="AS466" s="764"/>
    </row>
    <row r="467" spans="1:45" ht="13.9">
      <c r="A467" s="764"/>
      <c r="B467" s="764"/>
      <c r="C467" s="764"/>
      <c r="D467" s="764"/>
      <c r="E467" s="764"/>
      <c r="F467" s="764"/>
      <c r="G467" s="764"/>
      <c r="H467" s="764"/>
      <c r="I467" s="764"/>
      <c r="J467" s="764"/>
      <c r="K467" s="764"/>
      <c r="L467" s="764"/>
      <c r="M467" s="764"/>
      <c r="N467" s="773"/>
      <c r="O467" s="764"/>
      <c r="P467" s="764"/>
      <c r="Q467" s="764"/>
      <c r="R467" s="764"/>
      <c r="S467" s="764"/>
      <c r="T467" s="764"/>
      <c r="U467" s="764"/>
      <c r="V467" s="764"/>
      <c r="W467" s="764"/>
      <c r="X467" s="764"/>
      <c r="Y467" s="764"/>
      <c r="Z467" s="764"/>
      <c r="AA467" s="764"/>
      <c r="AB467" s="764"/>
      <c r="AC467" s="764"/>
      <c r="AD467" s="794"/>
      <c r="AE467" s="764"/>
      <c r="AF467" s="764"/>
      <c r="AG467" s="764"/>
      <c r="AH467" s="764"/>
      <c r="AI467" s="764"/>
      <c r="AJ467" s="764"/>
      <c r="AK467" s="764"/>
      <c r="AL467" s="764"/>
      <c r="AM467" s="764"/>
      <c r="AN467" s="764"/>
      <c r="AO467" s="764"/>
      <c r="AP467" s="764"/>
      <c r="AQ467" s="764"/>
      <c r="AR467" s="764"/>
      <c r="AS467" s="764"/>
    </row>
    <row r="468" spans="1:45" ht="13.9">
      <c r="A468" s="764"/>
      <c r="B468" s="764"/>
      <c r="C468" s="764"/>
      <c r="D468" s="764"/>
      <c r="E468" s="764"/>
      <c r="F468" s="764"/>
      <c r="G468" s="764"/>
      <c r="H468" s="764"/>
      <c r="I468" s="764"/>
      <c r="J468" s="764"/>
      <c r="K468" s="764"/>
      <c r="L468" s="764"/>
      <c r="M468" s="764"/>
      <c r="N468" s="773"/>
      <c r="O468" s="764"/>
      <c r="P468" s="764"/>
      <c r="Q468" s="764"/>
      <c r="R468" s="764"/>
      <c r="S468" s="764"/>
      <c r="T468" s="764"/>
      <c r="U468" s="764"/>
      <c r="V468" s="764"/>
      <c r="W468" s="764"/>
      <c r="X468" s="764"/>
      <c r="Y468" s="764"/>
      <c r="Z468" s="764"/>
      <c r="AA468" s="764"/>
      <c r="AB468" s="764"/>
      <c r="AC468" s="764"/>
      <c r="AD468" s="794"/>
      <c r="AE468" s="764"/>
      <c r="AF468" s="764"/>
      <c r="AG468" s="764"/>
      <c r="AH468" s="764"/>
      <c r="AI468" s="764"/>
      <c r="AJ468" s="764"/>
      <c r="AK468" s="764"/>
      <c r="AL468" s="764"/>
      <c r="AM468" s="764"/>
      <c r="AN468" s="764"/>
      <c r="AO468" s="764"/>
      <c r="AP468" s="764"/>
      <c r="AQ468" s="764"/>
      <c r="AR468" s="764"/>
      <c r="AS468" s="764"/>
    </row>
    <row r="469" spans="1:45" ht="13.9">
      <c r="A469" s="764"/>
      <c r="B469" s="764"/>
      <c r="C469" s="764"/>
      <c r="D469" s="764"/>
      <c r="E469" s="764"/>
      <c r="F469" s="764"/>
      <c r="G469" s="764"/>
      <c r="H469" s="764"/>
      <c r="I469" s="764"/>
      <c r="J469" s="764"/>
      <c r="K469" s="764"/>
      <c r="L469" s="764"/>
      <c r="M469" s="764"/>
      <c r="N469" s="773"/>
      <c r="O469" s="764"/>
      <c r="P469" s="764"/>
      <c r="Q469" s="764"/>
      <c r="R469" s="764"/>
      <c r="S469" s="764"/>
      <c r="T469" s="764"/>
      <c r="U469" s="764"/>
      <c r="V469" s="764"/>
      <c r="W469" s="764"/>
      <c r="X469" s="764"/>
      <c r="Y469" s="764"/>
      <c r="Z469" s="764"/>
      <c r="AA469" s="764"/>
      <c r="AB469" s="764"/>
      <c r="AC469" s="764"/>
      <c r="AD469" s="794"/>
      <c r="AE469" s="764"/>
      <c r="AF469" s="764"/>
      <c r="AG469" s="764"/>
      <c r="AH469" s="764"/>
      <c r="AI469" s="764"/>
      <c r="AJ469" s="764"/>
      <c r="AK469" s="764"/>
      <c r="AL469" s="764"/>
      <c r="AM469" s="764"/>
      <c r="AN469" s="764"/>
      <c r="AO469" s="764"/>
      <c r="AP469" s="764"/>
      <c r="AQ469" s="764"/>
      <c r="AR469" s="764"/>
      <c r="AS469" s="764"/>
    </row>
    <row r="470" spans="1:45" ht="13.9">
      <c r="A470" s="764"/>
      <c r="B470" s="764"/>
      <c r="C470" s="764"/>
      <c r="D470" s="764"/>
      <c r="E470" s="764"/>
      <c r="F470" s="764"/>
      <c r="G470" s="764"/>
      <c r="H470" s="764"/>
      <c r="I470" s="764"/>
      <c r="J470" s="764"/>
      <c r="K470" s="764"/>
      <c r="L470" s="764"/>
      <c r="M470" s="764"/>
      <c r="N470" s="773"/>
      <c r="O470" s="764"/>
      <c r="P470" s="764"/>
      <c r="Q470" s="764"/>
      <c r="R470" s="764"/>
      <c r="S470" s="764"/>
      <c r="T470" s="764"/>
      <c r="U470" s="764"/>
      <c r="V470" s="764"/>
      <c r="W470" s="764"/>
      <c r="X470" s="764"/>
      <c r="Y470" s="764"/>
      <c r="Z470" s="764"/>
      <c r="AA470" s="764"/>
      <c r="AB470" s="764"/>
      <c r="AC470" s="764"/>
      <c r="AD470" s="794"/>
      <c r="AE470" s="764"/>
      <c r="AF470" s="764"/>
      <c r="AG470" s="764"/>
      <c r="AH470" s="764"/>
      <c r="AI470" s="764"/>
      <c r="AJ470" s="764"/>
      <c r="AK470" s="764"/>
      <c r="AL470" s="764"/>
      <c r="AM470" s="764"/>
      <c r="AN470" s="764"/>
      <c r="AO470" s="764"/>
      <c r="AP470" s="764"/>
      <c r="AQ470" s="764"/>
      <c r="AR470" s="764"/>
      <c r="AS470" s="764"/>
    </row>
    <row r="471" spans="1:45" ht="13.9">
      <c r="A471" s="764"/>
      <c r="B471" s="764"/>
      <c r="C471" s="764"/>
      <c r="D471" s="764"/>
      <c r="E471" s="764"/>
      <c r="F471" s="764"/>
      <c r="G471" s="764"/>
      <c r="H471" s="764"/>
      <c r="I471" s="764"/>
      <c r="J471" s="764"/>
      <c r="K471" s="764"/>
      <c r="L471" s="764"/>
      <c r="M471" s="764"/>
      <c r="N471" s="773"/>
      <c r="O471" s="764"/>
      <c r="P471" s="764"/>
      <c r="Q471" s="764"/>
      <c r="R471" s="764"/>
      <c r="S471" s="764"/>
      <c r="T471" s="764"/>
      <c r="U471" s="764"/>
      <c r="V471" s="764"/>
      <c r="W471" s="764"/>
      <c r="X471" s="764"/>
      <c r="Y471" s="764"/>
      <c r="Z471" s="764"/>
      <c r="AA471" s="764"/>
      <c r="AB471" s="764"/>
      <c r="AC471" s="764"/>
      <c r="AD471" s="794"/>
      <c r="AE471" s="764"/>
      <c r="AF471" s="764"/>
      <c r="AG471" s="764"/>
      <c r="AH471" s="764"/>
      <c r="AI471" s="764"/>
      <c r="AJ471" s="764"/>
      <c r="AK471" s="764"/>
      <c r="AL471" s="764"/>
      <c r="AM471" s="764"/>
      <c r="AN471" s="764"/>
      <c r="AO471" s="764"/>
      <c r="AP471" s="764"/>
      <c r="AQ471" s="764"/>
      <c r="AR471" s="764"/>
      <c r="AS471" s="764"/>
    </row>
    <row r="472" spans="1:45" ht="13.9">
      <c r="A472" s="764"/>
      <c r="B472" s="764"/>
      <c r="C472" s="764"/>
      <c r="D472" s="764"/>
      <c r="E472" s="764"/>
      <c r="F472" s="764"/>
      <c r="G472" s="764"/>
      <c r="H472" s="764"/>
      <c r="I472" s="764"/>
      <c r="J472" s="764"/>
      <c r="K472" s="764"/>
      <c r="L472" s="764"/>
      <c r="M472" s="764"/>
      <c r="N472" s="773"/>
      <c r="O472" s="764"/>
      <c r="P472" s="764"/>
      <c r="Q472" s="764"/>
      <c r="R472" s="764"/>
      <c r="S472" s="764"/>
      <c r="T472" s="764"/>
      <c r="U472" s="764"/>
      <c r="V472" s="764"/>
      <c r="W472" s="764"/>
      <c r="X472" s="764"/>
      <c r="Y472" s="764"/>
      <c r="Z472" s="764"/>
      <c r="AA472" s="764"/>
      <c r="AB472" s="764"/>
      <c r="AC472" s="764"/>
      <c r="AD472" s="794"/>
      <c r="AE472" s="764"/>
      <c r="AF472" s="764"/>
      <c r="AG472" s="764"/>
      <c r="AH472" s="764"/>
      <c r="AI472" s="764"/>
      <c r="AJ472" s="764"/>
      <c r="AK472" s="764"/>
      <c r="AL472" s="764"/>
      <c r="AM472" s="764"/>
      <c r="AN472" s="764"/>
      <c r="AO472" s="764"/>
      <c r="AP472" s="764"/>
      <c r="AQ472" s="764"/>
      <c r="AR472" s="764"/>
      <c r="AS472" s="764"/>
    </row>
    <row r="473" spans="1:45" ht="13.9">
      <c r="A473" s="764"/>
      <c r="B473" s="764"/>
      <c r="C473" s="764"/>
      <c r="D473" s="764"/>
      <c r="E473" s="764"/>
      <c r="F473" s="764"/>
      <c r="G473" s="764"/>
      <c r="H473" s="764"/>
      <c r="I473" s="764"/>
      <c r="J473" s="764"/>
      <c r="K473" s="764"/>
      <c r="L473" s="764"/>
      <c r="M473" s="764"/>
      <c r="N473" s="773"/>
      <c r="O473" s="764"/>
      <c r="P473" s="764"/>
      <c r="Q473" s="764"/>
      <c r="R473" s="764"/>
      <c r="S473" s="764"/>
      <c r="T473" s="764"/>
      <c r="U473" s="764"/>
      <c r="V473" s="764"/>
      <c r="W473" s="764"/>
      <c r="X473" s="764"/>
      <c r="Y473" s="764"/>
      <c r="Z473" s="764"/>
      <c r="AA473" s="764"/>
      <c r="AB473" s="764"/>
      <c r="AC473" s="764"/>
      <c r="AD473" s="794"/>
      <c r="AE473" s="764"/>
      <c r="AF473" s="764"/>
      <c r="AG473" s="764"/>
      <c r="AH473" s="764"/>
      <c r="AI473" s="764"/>
      <c r="AJ473" s="764"/>
      <c r="AK473" s="764"/>
      <c r="AL473" s="764"/>
      <c r="AM473" s="764"/>
      <c r="AN473" s="764"/>
      <c r="AO473" s="764"/>
      <c r="AP473" s="764"/>
      <c r="AQ473" s="764"/>
      <c r="AR473" s="764"/>
      <c r="AS473" s="764"/>
    </row>
    <row r="474" spans="1:45" ht="13.9">
      <c r="A474" s="764"/>
      <c r="B474" s="764"/>
      <c r="C474" s="764"/>
      <c r="D474" s="764"/>
      <c r="E474" s="764"/>
      <c r="F474" s="764"/>
      <c r="G474" s="764"/>
      <c r="H474" s="764"/>
      <c r="I474" s="764"/>
      <c r="J474" s="764"/>
      <c r="K474" s="764"/>
      <c r="L474" s="764"/>
      <c r="M474" s="764"/>
      <c r="N474" s="773"/>
      <c r="O474" s="764"/>
      <c r="P474" s="764"/>
      <c r="Q474" s="764"/>
      <c r="R474" s="764"/>
      <c r="S474" s="764"/>
      <c r="T474" s="764"/>
      <c r="U474" s="764"/>
      <c r="V474" s="764"/>
      <c r="W474" s="764"/>
      <c r="X474" s="764"/>
      <c r="Y474" s="764"/>
      <c r="Z474" s="764"/>
      <c r="AA474" s="764"/>
      <c r="AB474" s="764"/>
      <c r="AC474" s="764"/>
      <c r="AD474" s="794"/>
      <c r="AE474" s="764"/>
      <c r="AF474" s="764"/>
      <c r="AG474" s="764"/>
      <c r="AH474" s="764"/>
      <c r="AI474" s="764"/>
      <c r="AJ474" s="764"/>
      <c r="AK474" s="764"/>
      <c r="AL474" s="764"/>
      <c r="AM474" s="764"/>
      <c r="AN474" s="764"/>
      <c r="AO474" s="764"/>
      <c r="AP474" s="764"/>
      <c r="AQ474" s="764"/>
      <c r="AR474" s="764"/>
      <c r="AS474" s="764"/>
    </row>
    <row r="475" spans="1:45" ht="13.9">
      <c r="A475" s="764"/>
      <c r="B475" s="764"/>
      <c r="C475" s="764"/>
      <c r="D475" s="764"/>
      <c r="E475" s="764"/>
      <c r="F475" s="764"/>
      <c r="G475" s="764"/>
      <c r="H475" s="764"/>
      <c r="I475" s="764"/>
      <c r="J475" s="764"/>
      <c r="K475" s="764"/>
      <c r="L475" s="764"/>
      <c r="M475" s="764"/>
      <c r="N475" s="773"/>
      <c r="O475" s="764"/>
      <c r="P475" s="764"/>
      <c r="Q475" s="764"/>
      <c r="R475" s="764"/>
      <c r="S475" s="764"/>
      <c r="T475" s="764"/>
      <c r="U475" s="764"/>
      <c r="V475" s="764"/>
      <c r="W475" s="764"/>
      <c r="X475" s="764"/>
      <c r="Y475" s="764"/>
      <c r="Z475" s="764"/>
      <c r="AA475" s="764"/>
      <c r="AB475" s="764"/>
      <c r="AC475" s="764"/>
      <c r="AD475" s="794"/>
      <c r="AE475" s="764"/>
      <c r="AF475" s="764"/>
      <c r="AG475" s="764"/>
      <c r="AH475" s="764"/>
      <c r="AI475" s="764"/>
      <c r="AJ475" s="764"/>
      <c r="AK475" s="764"/>
      <c r="AL475" s="764"/>
      <c r="AM475" s="764"/>
      <c r="AN475" s="764"/>
      <c r="AO475" s="764"/>
      <c r="AP475" s="764"/>
      <c r="AQ475" s="764"/>
      <c r="AR475" s="764"/>
      <c r="AS475" s="764"/>
    </row>
    <row r="476" spans="1:45" ht="13.9">
      <c r="A476" s="764"/>
      <c r="B476" s="764"/>
      <c r="C476" s="764"/>
      <c r="D476" s="764"/>
      <c r="E476" s="764"/>
      <c r="F476" s="764"/>
      <c r="G476" s="764"/>
      <c r="H476" s="764"/>
      <c r="I476" s="764"/>
      <c r="J476" s="764"/>
      <c r="K476" s="764"/>
      <c r="L476" s="764"/>
      <c r="M476" s="764"/>
      <c r="N476" s="773"/>
      <c r="O476" s="764"/>
      <c r="P476" s="764"/>
      <c r="Q476" s="764"/>
      <c r="R476" s="764"/>
      <c r="S476" s="764"/>
      <c r="T476" s="764"/>
      <c r="U476" s="764"/>
      <c r="V476" s="764"/>
      <c r="W476" s="764"/>
      <c r="X476" s="764"/>
      <c r="Y476" s="764"/>
      <c r="Z476" s="764"/>
      <c r="AA476" s="764"/>
      <c r="AB476" s="764"/>
      <c r="AC476" s="764"/>
      <c r="AD476" s="794"/>
      <c r="AE476" s="764"/>
      <c r="AF476" s="764"/>
      <c r="AG476" s="764"/>
      <c r="AH476" s="764"/>
      <c r="AI476" s="764"/>
      <c r="AJ476" s="764"/>
      <c r="AK476" s="764"/>
      <c r="AL476" s="764"/>
      <c r="AM476" s="764"/>
      <c r="AN476" s="764"/>
      <c r="AO476" s="764"/>
      <c r="AP476" s="764"/>
      <c r="AQ476" s="764"/>
      <c r="AR476" s="764"/>
      <c r="AS476" s="764"/>
    </row>
    <row r="477" spans="1:45" ht="13.9">
      <c r="A477" s="764"/>
      <c r="B477" s="764"/>
      <c r="C477" s="764"/>
      <c r="D477" s="764"/>
      <c r="E477" s="764"/>
      <c r="F477" s="764"/>
      <c r="G477" s="764"/>
      <c r="H477" s="764"/>
      <c r="I477" s="764"/>
      <c r="J477" s="764"/>
      <c r="K477" s="764"/>
      <c r="L477" s="764"/>
      <c r="M477" s="764"/>
      <c r="N477" s="773"/>
      <c r="O477" s="764"/>
      <c r="P477" s="764"/>
      <c r="Q477" s="764"/>
      <c r="R477" s="764"/>
      <c r="S477" s="764"/>
      <c r="T477" s="764"/>
      <c r="U477" s="764"/>
      <c r="V477" s="764"/>
      <c r="W477" s="764"/>
      <c r="X477" s="764"/>
      <c r="Y477" s="764"/>
      <c r="Z477" s="764"/>
      <c r="AA477" s="764"/>
      <c r="AB477" s="764"/>
      <c r="AC477" s="764"/>
      <c r="AD477" s="794"/>
      <c r="AE477" s="764"/>
      <c r="AF477" s="764"/>
      <c r="AG477" s="764"/>
      <c r="AH477" s="764"/>
      <c r="AI477" s="764"/>
      <c r="AJ477" s="764"/>
      <c r="AK477" s="764"/>
      <c r="AL477" s="764"/>
      <c r="AM477" s="764"/>
      <c r="AN477" s="764"/>
      <c r="AO477" s="764"/>
      <c r="AP477" s="764"/>
      <c r="AQ477" s="764"/>
      <c r="AR477" s="764"/>
      <c r="AS477" s="764"/>
    </row>
    <row r="478" spans="1:45" ht="13.9">
      <c r="A478" s="764"/>
      <c r="B478" s="764"/>
      <c r="C478" s="764"/>
      <c r="D478" s="764"/>
      <c r="E478" s="764"/>
      <c r="F478" s="764"/>
      <c r="G478" s="764"/>
      <c r="H478" s="764"/>
      <c r="I478" s="764"/>
      <c r="J478" s="764"/>
      <c r="K478" s="764"/>
      <c r="L478" s="764"/>
      <c r="M478" s="764"/>
      <c r="N478" s="773"/>
      <c r="O478" s="764"/>
      <c r="P478" s="764"/>
      <c r="Q478" s="764"/>
      <c r="R478" s="764"/>
      <c r="S478" s="764"/>
      <c r="T478" s="764"/>
      <c r="U478" s="764"/>
      <c r="V478" s="764"/>
      <c r="W478" s="764"/>
      <c r="X478" s="764"/>
      <c r="Y478" s="764"/>
      <c r="Z478" s="764"/>
      <c r="AA478" s="764"/>
      <c r="AB478" s="764"/>
      <c r="AC478" s="764"/>
      <c r="AD478" s="794"/>
      <c r="AE478" s="764"/>
      <c r="AF478" s="764"/>
      <c r="AG478" s="764"/>
      <c r="AH478" s="764"/>
      <c r="AI478" s="764"/>
      <c r="AJ478" s="764"/>
      <c r="AK478" s="764"/>
      <c r="AL478" s="764"/>
      <c r="AM478" s="764"/>
      <c r="AN478" s="764"/>
      <c r="AO478" s="764"/>
      <c r="AP478" s="764"/>
      <c r="AQ478" s="764"/>
      <c r="AR478" s="764"/>
      <c r="AS478" s="764"/>
    </row>
    <row r="479" spans="1:45" ht="13.9">
      <c r="A479" s="764"/>
      <c r="B479" s="764"/>
      <c r="C479" s="764"/>
      <c r="D479" s="764"/>
      <c r="E479" s="764"/>
      <c r="F479" s="764"/>
      <c r="G479" s="764"/>
      <c r="H479" s="764"/>
      <c r="I479" s="764"/>
      <c r="J479" s="764"/>
      <c r="K479" s="764"/>
      <c r="L479" s="764"/>
      <c r="M479" s="764"/>
      <c r="N479" s="773"/>
      <c r="O479" s="764"/>
      <c r="P479" s="764"/>
      <c r="Q479" s="764"/>
      <c r="R479" s="764"/>
      <c r="S479" s="764"/>
      <c r="T479" s="764"/>
      <c r="U479" s="764"/>
      <c r="V479" s="764"/>
      <c r="W479" s="764"/>
      <c r="X479" s="764"/>
      <c r="Y479" s="764"/>
      <c r="Z479" s="764"/>
      <c r="AA479" s="764"/>
      <c r="AB479" s="764"/>
      <c r="AC479" s="764"/>
      <c r="AD479" s="794"/>
      <c r="AE479" s="764"/>
      <c r="AF479" s="764"/>
      <c r="AG479" s="764"/>
      <c r="AH479" s="764"/>
      <c r="AI479" s="764"/>
      <c r="AJ479" s="764"/>
      <c r="AK479" s="764"/>
      <c r="AL479" s="764"/>
      <c r="AM479" s="764"/>
      <c r="AN479" s="764"/>
      <c r="AO479" s="764"/>
      <c r="AP479" s="764"/>
      <c r="AQ479" s="764"/>
      <c r="AR479" s="764"/>
      <c r="AS479" s="764"/>
    </row>
    <row r="480" spans="1:45" ht="13.9">
      <c r="A480" s="764"/>
      <c r="B480" s="764"/>
      <c r="C480" s="764"/>
      <c r="D480" s="764"/>
      <c r="E480" s="764"/>
      <c r="F480" s="764"/>
      <c r="G480" s="764"/>
      <c r="H480" s="764"/>
      <c r="I480" s="764"/>
      <c r="J480" s="764"/>
      <c r="K480" s="764"/>
      <c r="L480" s="764"/>
      <c r="M480" s="764"/>
      <c r="N480" s="773"/>
      <c r="O480" s="764"/>
      <c r="P480" s="764"/>
      <c r="Q480" s="764"/>
      <c r="R480" s="764"/>
      <c r="S480" s="764"/>
      <c r="T480" s="764"/>
      <c r="U480" s="764"/>
      <c r="V480" s="764"/>
      <c r="W480" s="764"/>
      <c r="X480" s="764"/>
      <c r="Y480" s="764"/>
      <c r="Z480" s="764"/>
      <c r="AA480" s="764"/>
      <c r="AB480" s="764"/>
      <c r="AC480" s="764"/>
      <c r="AD480" s="794"/>
      <c r="AE480" s="764"/>
      <c r="AF480" s="764"/>
      <c r="AG480" s="764"/>
      <c r="AH480" s="764"/>
      <c r="AI480" s="764"/>
      <c r="AJ480" s="764"/>
      <c r="AK480" s="764"/>
      <c r="AL480" s="764"/>
      <c r="AM480" s="764"/>
      <c r="AN480" s="764"/>
      <c r="AO480" s="764"/>
      <c r="AP480" s="764"/>
      <c r="AQ480" s="764"/>
      <c r="AR480" s="764"/>
      <c r="AS480" s="764"/>
    </row>
    <row r="481" spans="1:45" ht="13.9">
      <c r="A481" s="764"/>
      <c r="B481" s="764"/>
      <c r="C481" s="764"/>
      <c r="D481" s="764"/>
      <c r="E481" s="764"/>
      <c r="F481" s="764"/>
      <c r="G481" s="764"/>
      <c r="H481" s="764"/>
      <c r="I481" s="764"/>
      <c r="J481" s="764"/>
      <c r="K481" s="764"/>
      <c r="L481" s="764"/>
      <c r="M481" s="764"/>
      <c r="N481" s="773"/>
      <c r="O481" s="764"/>
      <c r="P481" s="764"/>
      <c r="Q481" s="764"/>
      <c r="R481" s="764"/>
      <c r="S481" s="764"/>
      <c r="T481" s="764"/>
      <c r="U481" s="764"/>
      <c r="V481" s="764"/>
      <c r="W481" s="764"/>
      <c r="X481" s="764"/>
      <c r="Y481" s="764"/>
      <c r="Z481" s="764"/>
      <c r="AA481" s="764"/>
      <c r="AB481" s="764"/>
      <c r="AC481" s="764"/>
      <c r="AD481" s="794"/>
      <c r="AE481" s="764"/>
      <c r="AF481" s="764"/>
      <c r="AG481" s="764"/>
      <c r="AH481" s="764"/>
      <c r="AI481" s="764"/>
      <c r="AJ481" s="764"/>
      <c r="AK481" s="764"/>
      <c r="AL481" s="764"/>
      <c r="AM481" s="764"/>
      <c r="AN481" s="764"/>
      <c r="AO481" s="764"/>
      <c r="AP481" s="764"/>
      <c r="AQ481" s="764"/>
      <c r="AR481" s="764"/>
      <c r="AS481" s="764"/>
    </row>
    <row r="482" spans="1:45" ht="13.9">
      <c r="A482" s="764"/>
      <c r="B482" s="764"/>
      <c r="C482" s="764"/>
      <c r="D482" s="764"/>
      <c r="E482" s="764"/>
      <c r="F482" s="764"/>
      <c r="G482" s="764"/>
      <c r="H482" s="764"/>
      <c r="I482" s="764"/>
      <c r="J482" s="764"/>
      <c r="K482" s="764"/>
      <c r="L482" s="764"/>
      <c r="M482" s="764"/>
      <c r="N482" s="773"/>
      <c r="O482" s="764"/>
      <c r="P482" s="764"/>
      <c r="Q482" s="764"/>
      <c r="R482" s="764"/>
      <c r="S482" s="764"/>
      <c r="T482" s="764"/>
      <c r="U482" s="764"/>
      <c r="V482" s="764"/>
      <c r="W482" s="764"/>
      <c r="X482" s="764"/>
      <c r="Y482" s="764"/>
      <c r="Z482" s="764"/>
      <c r="AA482" s="764"/>
      <c r="AB482" s="764"/>
      <c r="AC482" s="764"/>
      <c r="AD482" s="794"/>
      <c r="AE482" s="764"/>
      <c r="AF482" s="764"/>
      <c r="AG482" s="764"/>
      <c r="AH482" s="764"/>
      <c r="AI482" s="764"/>
      <c r="AJ482" s="764"/>
      <c r="AK482" s="764"/>
      <c r="AL482" s="764"/>
      <c r="AM482" s="764"/>
      <c r="AN482" s="764"/>
      <c r="AO482" s="764"/>
      <c r="AP482" s="764"/>
      <c r="AQ482" s="764"/>
      <c r="AR482" s="764"/>
      <c r="AS482" s="764"/>
    </row>
    <row r="483" spans="1:45" ht="13.9">
      <c r="A483" s="764"/>
      <c r="B483" s="764"/>
      <c r="C483" s="764"/>
      <c r="D483" s="764"/>
      <c r="E483" s="764"/>
      <c r="F483" s="764"/>
      <c r="G483" s="764"/>
      <c r="H483" s="764"/>
      <c r="I483" s="764"/>
      <c r="J483" s="764"/>
      <c r="K483" s="764"/>
      <c r="L483" s="764"/>
      <c r="M483" s="764"/>
      <c r="N483" s="773"/>
      <c r="O483" s="764"/>
      <c r="P483" s="764"/>
      <c r="Q483" s="764"/>
      <c r="R483" s="764"/>
      <c r="S483" s="764"/>
      <c r="T483" s="764"/>
      <c r="U483" s="764"/>
      <c r="V483" s="764"/>
      <c r="W483" s="764"/>
      <c r="X483" s="764"/>
      <c r="Y483" s="764"/>
      <c r="Z483" s="764"/>
      <c r="AA483" s="764"/>
      <c r="AB483" s="764"/>
      <c r="AC483" s="764"/>
      <c r="AD483" s="794"/>
      <c r="AE483" s="764"/>
      <c r="AF483" s="764"/>
      <c r="AG483" s="764"/>
      <c r="AH483" s="764"/>
      <c r="AI483" s="764"/>
      <c r="AJ483" s="764"/>
      <c r="AK483" s="764"/>
      <c r="AL483" s="764"/>
      <c r="AM483" s="764"/>
      <c r="AN483" s="764"/>
      <c r="AO483" s="764"/>
      <c r="AP483" s="764"/>
      <c r="AQ483" s="764"/>
      <c r="AR483" s="764"/>
      <c r="AS483" s="764"/>
    </row>
    <row r="484" spans="1:45" ht="13.9">
      <c r="A484" s="764"/>
      <c r="B484" s="764"/>
      <c r="C484" s="764"/>
      <c r="D484" s="764"/>
      <c r="E484" s="764"/>
      <c r="F484" s="764"/>
      <c r="G484" s="764"/>
      <c r="H484" s="764"/>
      <c r="I484" s="764"/>
      <c r="J484" s="764"/>
      <c r="K484" s="764"/>
      <c r="L484" s="764"/>
      <c r="M484" s="764"/>
      <c r="N484" s="773"/>
      <c r="O484" s="764"/>
      <c r="P484" s="764"/>
      <c r="Q484" s="764"/>
      <c r="R484" s="764"/>
      <c r="S484" s="764"/>
      <c r="T484" s="764"/>
      <c r="U484" s="764"/>
      <c r="V484" s="764"/>
      <c r="W484" s="764"/>
      <c r="X484" s="764"/>
      <c r="Y484" s="764"/>
      <c r="Z484" s="764"/>
      <c r="AA484" s="764"/>
      <c r="AB484" s="764"/>
      <c r="AC484" s="764"/>
      <c r="AD484" s="794"/>
      <c r="AE484" s="764"/>
      <c r="AF484" s="764"/>
      <c r="AG484" s="764"/>
      <c r="AH484" s="764"/>
      <c r="AI484" s="764"/>
      <c r="AJ484" s="764"/>
      <c r="AK484" s="764"/>
      <c r="AL484" s="764"/>
      <c r="AM484" s="764"/>
      <c r="AN484" s="764"/>
      <c r="AO484" s="764"/>
      <c r="AP484" s="764"/>
      <c r="AQ484" s="764"/>
      <c r="AR484" s="764"/>
      <c r="AS484" s="764"/>
    </row>
    <row r="485" spans="1:45" ht="13.9">
      <c r="A485" s="764"/>
      <c r="B485" s="764"/>
      <c r="C485" s="764"/>
      <c r="D485" s="764"/>
      <c r="E485" s="764"/>
      <c r="F485" s="764"/>
      <c r="G485" s="764"/>
      <c r="H485" s="764"/>
      <c r="I485" s="764"/>
      <c r="J485" s="764"/>
      <c r="K485" s="764"/>
      <c r="L485" s="764"/>
      <c r="M485" s="764"/>
      <c r="N485" s="773"/>
      <c r="O485" s="764"/>
      <c r="P485" s="764"/>
      <c r="Q485" s="764"/>
      <c r="R485" s="764"/>
      <c r="S485" s="764"/>
      <c r="T485" s="764"/>
      <c r="U485" s="764"/>
      <c r="V485" s="764"/>
      <c r="W485" s="764"/>
      <c r="X485" s="764"/>
      <c r="Y485" s="764"/>
      <c r="Z485" s="764"/>
      <c r="AA485" s="764"/>
      <c r="AB485" s="764"/>
      <c r="AC485" s="764"/>
      <c r="AD485" s="794"/>
      <c r="AE485" s="764"/>
      <c r="AF485" s="764"/>
      <c r="AG485" s="764"/>
      <c r="AH485" s="764"/>
      <c r="AI485" s="764"/>
      <c r="AJ485" s="764"/>
      <c r="AK485" s="764"/>
      <c r="AL485" s="764"/>
      <c r="AM485" s="764"/>
      <c r="AN485" s="764"/>
      <c r="AO485" s="764"/>
      <c r="AP485" s="764"/>
      <c r="AQ485" s="764"/>
      <c r="AR485" s="764"/>
      <c r="AS485" s="764"/>
    </row>
    <row r="486" spans="1:45" ht="13.9">
      <c r="A486" s="764"/>
      <c r="B486" s="764"/>
      <c r="C486" s="764"/>
      <c r="D486" s="764"/>
      <c r="E486" s="764"/>
      <c r="F486" s="764"/>
      <c r="G486" s="764"/>
      <c r="H486" s="764"/>
      <c r="I486" s="764"/>
      <c r="J486" s="764"/>
      <c r="K486" s="764"/>
      <c r="L486" s="764"/>
      <c r="M486" s="764"/>
      <c r="N486" s="773"/>
      <c r="O486" s="764"/>
      <c r="P486" s="764"/>
      <c r="Q486" s="764"/>
      <c r="R486" s="764"/>
      <c r="S486" s="764"/>
      <c r="T486" s="764"/>
      <c r="U486" s="764"/>
      <c r="V486" s="764"/>
      <c r="W486" s="764"/>
      <c r="X486" s="764"/>
      <c r="Y486" s="764"/>
      <c r="Z486" s="764"/>
      <c r="AA486" s="764"/>
      <c r="AB486" s="764"/>
      <c r="AC486" s="764"/>
      <c r="AD486" s="794"/>
      <c r="AE486" s="764"/>
      <c r="AF486" s="764"/>
      <c r="AG486" s="764"/>
      <c r="AH486" s="764"/>
      <c r="AI486" s="764"/>
      <c r="AJ486" s="764"/>
      <c r="AK486" s="764"/>
      <c r="AL486" s="764"/>
      <c r="AM486" s="764"/>
      <c r="AN486" s="764"/>
      <c r="AO486" s="764"/>
      <c r="AP486" s="764"/>
      <c r="AQ486" s="764"/>
      <c r="AR486" s="764"/>
      <c r="AS486" s="764"/>
    </row>
    <row r="487" spans="1:45" ht="13.9">
      <c r="A487" s="764"/>
      <c r="B487" s="764"/>
      <c r="C487" s="764"/>
      <c r="D487" s="764"/>
      <c r="E487" s="764"/>
      <c r="F487" s="764"/>
      <c r="G487" s="764"/>
      <c r="H487" s="764"/>
      <c r="I487" s="764"/>
      <c r="J487" s="764"/>
      <c r="K487" s="764"/>
      <c r="L487" s="764"/>
      <c r="M487" s="764"/>
      <c r="N487" s="773"/>
      <c r="O487" s="764"/>
      <c r="P487" s="764"/>
      <c r="Q487" s="764"/>
      <c r="R487" s="764"/>
      <c r="S487" s="764"/>
      <c r="T487" s="764"/>
      <c r="U487" s="764"/>
      <c r="V487" s="764"/>
      <c r="W487" s="764"/>
      <c r="X487" s="764"/>
      <c r="Y487" s="764"/>
      <c r="Z487" s="764"/>
      <c r="AA487" s="764"/>
      <c r="AB487" s="764"/>
      <c r="AC487" s="764"/>
      <c r="AD487" s="794"/>
      <c r="AE487" s="764"/>
      <c r="AF487" s="764"/>
      <c r="AG487" s="764"/>
      <c r="AH487" s="764"/>
      <c r="AI487" s="764"/>
      <c r="AJ487" s="764"/>
      <c r="AK487" s="764"/>
      <c r="AL487" s="764"/>
      <c r="AM487" s="764"/>
      <c r="AN487" s="764"/>
      <c r="AO487" s="764"/>
      <c r="AP487" s="764"/>
      <c r="AQ487" s="764"/>
      <c r="AR487" s="764"/>
      <c r="AS487" s="764"/>
    </row>
    <row r="488" spans="1:45" ht="13.9">
      <c r="A488" s="764"/>
      <c r="B488" s="764"/>
      <c r="C488" s="764"/>
      <c r="D488" s="764"/>
      <c r="E488" s="764"/>
      <c r="F488" s="764"/>
      <c r="G488" s="764"/>
      <c r="H488" s="764"/>
      <c r="I488" s="764"/>
      <c r="J488" s="764"/>
      <c r="K488" s="764"/>
      <c r="L488" s="764"/>
      <c r="M488" s="764"/>
      <c r="N488" s="773"/>
      <c r="O488" s="764"/>
      <c r="P488" s="764"/>
      <c r="Q488" s="764"/>
      <c r="R488" s="764"/>
      <c r="S488" s="764"/>
      <c r="T488" s="764"/>
      <c r="U488" s="764"/>
      <c r="V488" s="764"/>
      <c r="W488" s="764"/>
      <c r="X488" s="764"/>
      <c r="Y488" s="764"/>
      <c r="Z488" s="764"/>
      <c r="AA488" s="764"/>
      <c r="AB488" s="764"/>
      <c r="AC488" s="764"/>
      <c r="AD488" s="794"/>
      <c r="AE488" s="764"/>
      <c r="AF488" s="764"/>
      <c r="AG488" s="764"/>
      <c r="AH488" s="764"/>
      <c r="AI488" s="764"/>
      <c r="AJ488" s="764"/>
      <c r="AK488" s="764"/>
      <c r="AL488" s="764"/>
      <c r="AM488" s="764"/>
      <c r="AN488" s="764"/>
      <c r="AO488" s="764"/>
      <c r="AP488" s="764"/>
      <c r="AQ488" s="764"/>
      <c r="AR488" s="764"/>
      <c r="AS488" s="764"/>
    </row>
    <row r="489" spans="1:45" ht="13.9">
      <c r="A489" s="764"/>
      <c r="B489" s="764"/>
      <c r="C489" s="764"/>
      <c r="D489" s="764"/>
      <c r="E489" s="764"/>
      <c r="F489" s="764"/>
      <c r="G489" s="764"/>
      <c r="H489" s="764"/>
      <c r="I489" s="764"/>
      <c r="J489" s="764"/>
      <c r="K489" s="764"/>
      <c r="L489" s="764"/>
      <c r="M489" s="764"/>
      <c r="N489" s="773"/>
      <c r="O489" s="764"/>
      <c r="P489" s="764"/>
      <c r="Q489" s="764"/>
      <c r="R489" s="764"/>
      <c r="S489" s="764"/>
      <c r="T489" s="764"/>
      <c r="U489" s="764"/>
      <c r="V489" s="764"/>
      <c r="W489" s="764"/>
      <c r="X489" s="764"/>
      <c r="Y489" s="764"/>
      <c r="Z489" s="764"/>
      <c r="AA489" s="764"/>
      <c r="AB489" s="764"/>
      <c r="AC489" s="764"/>
      <c r="AD489" s="794"/>
      <c r="AE489" s="764"/>
      <c r="AF489" s="764"/>
      <c r="AG489" s="764"/>
      <c r="AH489" s="764"/>
      <c r="AI489" s="764"/>
      <c r="AJ489" s="764"/>
      <c r="AK489" s="764"/>
      <c r="AL489" s="764"/>
      <c r="AM489" s="764"/>
      <c r="AN489" s="764"/>
      <c r="AO489" s="764"/>
      <c r="AP489" s="764"/>
      <c r="AQ489" s="764"/>
      <c r="AR489" s="764"/>
      <c r="AS489" s="764"/>
    </row>
    <row r="490" spans="1:45" ht="13.9">
      <c r="A490" s="764"/>
      <c r="B490" s="764"/>
      <c r="C490" s="764"/>
      <c r="D490" s="764"/>
      <c r="E490" s="764"/>
      <c r="F490" s="764"/>
      <c r="G490" s="764"/>
      <c r="H490" s="764"/>
      <c r="I490" s="764"/>
      <c r="J490" s="764"/>
      <c r="K490" s="764"/>
      <c r="L490" s="764"/>
      <c r="M490" s="764"/>
      <c r="N490" s="773"/>
      <c r="O490" s="764"/>
      <c r="P490" s="764"/>
      <c r="Q490" s="764"/>
      <c r="R490" s="764"/>
      <c r="S490" s="764"/>
      <c r="T490" s="764"/>
      <c r="U490" s="764"/>
      <c r="V490" s="764"/>
      <c r="W490" s="764"/>
      <c r="X490" s="764"/>
      <c r="Y490" s="764"/>
      <c r="Z490" s="764"/>
      <c r="AA490" s="764"/>
      <c r="AB490" s="764"/>
      <c r="AC490" s="764"/>
      <c r="AD490" s="794"/>
      <c r="AE490" s="764"/>
      <c r="AF490" s="764"/>
      <c r="AG490" s="764"/>
      <c r="AH490" s="764"/>
      <c r="AI490" s="764"/>
      <c r="AJ490" s="764"/>
      <c r="AK490" s="764"/>
      <c r="AL490" s="764"/>
      <c r="AM490" s="764"/>
      <c r="AN490" s="764"/>
      <c r="AO490" s="764"/>
      <c r="AP490" s="764"/>
      <c r="AQ490" s="764"/>
      <c r="AR490" s="764"/>
      <c r="AS490" s="764"/>
    </row>
    <row r="491" spans="1:45" ht="13.9">
      <c r="A491" s="764"/>
      <c r="B491" s="764"/>
      <c r="C491" s="764"/>
      <c r="D491" s="764"/>
      <c r="E491" s="764"/>
      <c r="F491" s="764"/>
      <c r="G491" s="764"/>
      <c r="H491" s="764"/>
      <c r="I491" s="764"/>
      <c r="J491" s="764"/>
      <c r="K491" s="764"/>
      <c r="L491" s="764"/>
      <c r="M491" s="764"/>
      <c r="N491" s="773"/>
      <c r="O491" s="764"/>
      <c r="P491" s="764"/>
      <c r="Q491" s="764"/>
      <c r="R491" s="764"/>
      <c r="S491" s="764"/>
      <c r="T491" s="764"/>
      <c r="U491" s="764"/>
      <c r="V491" s="764"/>
      <c r="W491" s="764"/>
      <c r="X491" s="764"/>
      <c r="Y491" s="764"/>
      <c r="Z491" s="764"/>
      <c r="AA491" s="764"/>
      <c r="AB491" s="764"/>
      <c r="AC491" s="764"/>
      <c r="AD491" s="794"/>
      <c r="AE491" s="764"/>
      <c r="AF491" s="764"/>
      <c r="AG491" s="764"/>
      <c r="AH491" s="764"/>
      <c r="AI491" s="764"/>
      <c r="AJ491" s="764"/>
      <c r="AK491" s="764"/>
      <c r="AL491" s="764"/>
      <c r="AM491" s="764"/>
      <c r="AN491" s="764"/>
      <c r="AO491" s="764"/>
      <c r="AP491" s="764"/>
      <c r="AQ491" s="764"/>
      <c r="AR491" s="764"/>
      <c r="AS491" s="764"/>
    </row>
    <row r="492" spans="1:45" ht="13.9">
      <c r="A492" s="764"/>
      <c r="B492" s="764"/>
      <c r="C492" s="764"/>
      <c r="D492" s="764"/>
      <c r="E492" s="764"/>
      <c r="F492" s="764"/>
      <c r="G492" s="764"/>
      <c r="H492" s="764"/>
      <c r="I492" s="764"/>
      <c r="J492" s="764"/>
      <c r="K492" s="764"/>
      <c r="L492" s="764"/>
      <c r="M492" s="764"/>
      <c r="N492" s="773"/>
      <c r="O492" s="764"/>
      <c r="P492" s="764"/>
      <c r="Q492" s="764"/>
      <c r="R492" s="764"/>
      <c r="S492" s="764"/>
      <c r="T492" s="764"/>
      <c r="U492" s="764"/>
      <c r="V492" s="764"/>
      <c r="W492" s="764"/>
      <c r="X492" s="764"/>
      <c r="Y492" s="764"/>
      <c r="Z492" s="764"/>
      <c r="AA492" s="764"/>
      <c r="AB492" s="764"/>
      <c r="AC492" s="764"/>
      <c r="AD492" s="794"/>
      <c r="AE492" s="764"/>
      <c r="AF492" s="764"/>
      <c r="AG492" s="764"/>
      <c r="AH492" s="764"/>
      <c r="AI492" s="764"/>
      <c r="AJ492" s="764"/>
      <c r="AK492" s="764"/>
      <c r="AL492" s="764"/>
      <c r="AM492" s="764"/>
      <c r="AN492" s="764"/>
      <c r="AO492" s="764"/>
      <c r="AP492" s="764"/>
      <c r="AQ492" s="764"/>
      <c r="AR492" s="764"/>
      <c r="AS492" s="764"/>
    </row>
    <row r="493" spans="1:45" ht="13.9">
      <c r="A493" s="764"/>
      <c r="B493" s="764"/>
      <c r="C493" s="764"/>
      <c r="D493" s="764"/>
      <c r="E493" s="764"/>
      <c r="F493" s="764"/>
      <c r="G493" s="764"/>
      <c r="H493" s="764"/>
      <c r="I493" s="764"/>
      <c r="J493" s="764"/>
      <c r="K493" s="764"/>
      <c r="L493" s="764"/>
      <c r="M493" s="764"/>
      <c r="N493" s="773"/>
      <c r="O493" s="764"/>
      <c r="P493" s="764"/>
      <c r="Q493" s="764"/>
      <c r="R493" s="764"/>
      <c r="S493" s="764"/>
      <c r="T493" s="764"/>
      <c r="U493" s="764"/>
      <c r="V493" s="764"/>
      <c r="W493" s="764"/>
      <c r="X493" s="764"/>
      <c r="Y493" s="764"/>
      <c r="Z493" s="764"/>
      <c r="AA493" s="764"/>
      <c r="AB493" s="764"/>
      <c r="AC493" s="764"/>
      <c r="AD493" s="794"/>
      <c r="AE493" s="764"/>
      <c r="AF493" s="764"/>
      <c r="AG493" s="764"/>
      <c r="AH493" s="764"/>
      <c r="AI493" s="764"/>
      <c r="AJ493" s="764"/>
      <c r="AK493" s="764"/>
      <c r="AL493" s="764"/>
      <c r="AM493" s="764"/>
      <c r="AN493" s="764"/>
      <c r="AO493" s="764"/>
      <c r="AP493" s="764"/>
      <c r="AQ493" s="764"/>
      <c r="AR493" s="764"/>
      <c r="AS493" s="764"/>
    </row>
    <row r="494" spans="1:45" ht="13.9">
      <c r="A494" s="764"/>
      <c r="B494" s="764"/>
      <c r="C494" s="764"/>
      <c r="D494" s="764"/>
      <c r="E494" s="764"/>
      <c r="F494" s="764"/>
      <c r="G494" s="764"/>
      <c r="H494" s="764"/>
      <c r="I494" s="764"/>
      <c r="J494" s="764"/>
      <c r="K494" s="764"/>
      <c r="L494" s="764"/>
      <c r="M494" s="764"/>
      <c r="N494" s="773"/>
      <c r="O494" s="764"/>
      <c r="P494" s="764"/>
      <c r="Q494" s="764"/>
      <c r="R494" s="764"/>
      <c r="S494" s="764"/>
      <c r="T494" s="764"/>
      <c r="U494" s="764"/>
      <c r="V494" s="764"/>
      <c r="W494" s="764"/>
      <c r="X494" s="764"/>
      <c r="Y494" s="764"/>
      <c r="Z494" s="764"/>
      <c r="AA494" s="764"/>
      <c r="AB494" s="764"/>
      <c r="AC494" s="764"/>
      <c r="AD494" s="794"/>
      <c r="AE494" s="764"/>
      <c r="AF494" s="764"/>
      <c r="AG494" s="764"/>
      <c r="AH494" s="764"/>
      <c r="AI494" s="764"/>
      <c r="AJ494" s="764"/>
      <c r="AK494" s="764"/>
      <c r="AL494" s="764"/>
      <c r="AM494" s="764"/>
      <c r="AN494" s="764"/>
      <c r="AO494" s="764"/>
      <c r="AP494" s="764"/>
      <c r="AQ494" s="764"/>
      <c r="AR494" s="764"/>
      <c r="AS494" s="764"/>
    </row>
    <row r="495" spans="1:45" ht="13.9">
      <c r="A495" s="764"/>
      <c r="B495" s="764"/>
      <c r="C495" s="764"/>
      <c r="D495" s="764"/>
      <c r="E495" s="764"/>
      <c r="F495" s="764"/>
      <c r="G495" s="764"/>
      <c r="H495" s="764"/>
      <c r="I495" s="764"/>
      <c r="J495" s="764"/>
      <c r="K495" s="764"/>
      <c r="L495" s="764"/>
      <c r="M495" s="764"/>
      <c r="N495" s="773"/>
      <c r="O495" s="764"/>
      <c r="P495" s="764"/>
      <c r="Q495" s="764"/>
      <c r="R495" s="764"/>
      <c r="S495" s="764"/>
      <c r="T495" s="764"/>
      <c r="U495" s="764"/>
      <c r="V495" s="764"/>
      <c r="W495" s="764"/>
      <c r="X495" s="764"/>
      <c r="Y495" s="764"/>
      <c r="Z495" s="764"/>
      <c r="AA495" s="764"/>
      <c r="AB495" s="764"/>
      <c r="AC495" s="764"/>
      <c r="AD495" s="794"/>
      <c r="AE495" s="764"/>
      <c r="AF495" s="764"/>
      <c r="AG495" s="764"/>
      <c r="AH495" s="764"/>
      <c r="AI495" s="764"/>
      <c r="AJ495" s="764"/>
      <c r="AK495" s="764"/>
      <c r="AL495" s="764"/>
      <c r="AM495" s="764"/>
      <c r="AN495" s="764"/>
      <c r="AO495" s="764"/>
      <c r="AP495" s="764"/>
      <c r="AQ495" s="764"/>
      <c r="AR495" s="764"/>
      <c r="AS495" s="764"/>
    </row>
    <row r="496" spans="1:45" ht="13.9">
      <c r="A496" s="764"/>
      <c r="B496" s="764"/>
      <c r="C496" s="764"/>
      <c r="D496" s="764"/>
      <c r="E496" s="764"/>
      <c r="F496" s="764"/>
      <c r="G496" s="764"/>
      <c r="H496" s="764"/>
      <c r="I496" s="764"/>
      <c r="J496" s="764"/>
      <c r="K496" s="764"/>
      <c r="L496" s="764"/>
      <c r="M496" s="764"/>
      <c r="N496" s="773"/>
      <c r="O496" s="764"/>
      <c r="P496" s="764"/>
      <c r="Q496" s="764"/>
      <c r="R496" s="764"/>
      <c r="S496" s="764"/>
      <c r="T496" s="764"/>
      <c r="U496" s="764"/>
      <c r="V496" s="764"/>
      <c r="W496" s="764"/>
      <c r="X496" s="764"/>
      <c r="Y496" s="764"/>
      <c r="Z496" s="764"/>
      <c r="AA496" s="764"/>
      <c r="AB496" s="764"/>
      <c r="AC496" s="764"/>
      <c r="AD496" s="794"/>
      <c r="AE496" s="764"/>
      <c r="AF496" s="764"/>
      <c r="AG496" s="764"/>
      <c r="AH496" s="764"/>
      <c r="AI496" s="764"/>
      <c r="AJ496" s="764"/>
      <c r="AK496" s="764"/>
      <c r="AL496" s="764"/>
      <c r="AM496" s="764"/>
      <c r="AN496" s="764"/>
      <c r="AO496" s="764"/>
      <c r="AP496" s="764"/>
      <c r="AQ496" s="764"/>
      <c r="AR496" s="764"/>
      <c r="AS496" s="764"/>
    </row>
    <row r="497" spans="1:45" ht="13.9">
      <c r="A497" s="764"/>
      <c r="B497" s="764"/>
      <c r="C497" s="764"/>
      <c r="D497" s="764"/>
      <c r="E497" s="764"/>
      <c r="F497" s="764"/>
      <c r="G497" s="764"/>
      <c r="H497" s="764"/>
      <c r="I497" s="764"/>
      <c r="J497" s="764"/>
      <c r="K497" s="764"/>
      <c r="L497" s="764"/>
      <c r="M497" s="764"/>
      <c r="N497" s="773"/>
      <c r="O497" s="764"/>
      <c r="P497" s="764"/>
      <c r="Q497" s="764"/>
      <c r="R497" s="764"/>
      <c r="S497" s="764"/>
      <c r="T497" s="764"/>
      <c r="U497" s="764"/>
      <c r="V497" s="764"/>
      <c r="W497" s="764"/>
      <c r="X497" s="764"/>
      <c r="Y497" s="764"/>
      <c r="Z497" s="764"/>
      <c r="AA497" s="764"/>
      <c r="AB497" s="764"/>
      <c r="AC497" s="764"/>
      <c r="AD497" s="794"/>
      <c r="AE497" s="764"/>
      <c r="AF497" s="764"/>
      <c r="AG497" s="764"/>
      <c r="AH497" s="764"/>
      <c r="AI497" s="764"/>
      <c r="AJ497" s="764"/>
      <c r="AK497" s="764"/>
      <c r="AL497" s="764"/>
      <c r="AM497" s="764"/>
      <c r="AN497" s="764"/>
      <c r="AO497" s="764"/>
      <c r="AP497" s="764"/>
      <c r="AQ497" s="764"/>
      <c r="AR497" s="764"/>
      <c r="AS497" s="764"/>
    </row>
    <row r="498" spans="1:45" ht="13.9">
      <c r="A498" s="764"/>
      <c r="B498" s="764"/>
      <c r="C498" s="764"/>
      <c r="D498" s="764"/>
      <c r="E498" s="764"/>
      <c r="F498" s="764"/>
      <c r="G498" s="764"/>
      <c r="H498" s="764"/>
      <c r="I498" s="764"/>
      <c r="J498" s="764"/>
      <c r="K498" s="764"/>
      <c r="L498" s="764"/>
      <c r="M498" s="764"/>
      <c r="N498" s="773"/>
      <c r="O498" s="764"/>
      <c r="P498" s="764"/>
      <c r="Q498" s="764"/>
      <c r="R498" s="764"/>
      <c r="S498" s="764"/>
      <c r="T498" s="764"/>
      <c r="U498" s="764"/>
      <c r="V498" s="764"/>
      <c r="W498" s="764"/>
      <c r="X498" s="764"/>
      <c r="Y498" s="764"/>
      <c r="Z498" s="764"/>
      <c r="AA498" s="764"/>
      <c r="AB498" s="764"/>
      <c r="AC498" s="764"/>
      <c r="AD498" s="794"/>
      <c r="AE498" s="764"/>
      <c r="AF498" s="764"/>
      <c r="AG498" s="764"/>
      <c r="AH498" s="764"/>
      <c r="AI498" s="764"/>
      <c r="AJ498" s="764"/>
      <c r="AK498" s="764"/>
      <c r="AL498" s="764"/>
      <c r="AM498" s="764"/>
      <c r="AN498" s="764"/>
      <c r="AO498" s="764"/>
      <c r="AP498" s="764"/>
      <c r="AQ498" s="764"/>
      <c r="AR498" s="764"/>
      <c r="AS498" s="764"/>
    </row>
    <row r="499" spans="1:45" ht="13.9">
      <c r="A499" s="764"/>
      <c r="B499" s="764"/>
      <c r="C499" s="764"/>
      <c r="D499" s="764"/>
      <c r="E499" s="764"/>
      <c r="F499" s="764"/>
      <c r="G499" s="764"/>
      <c r="H499" s="764"/>
      <c r="I499" s="764"/>
      <c r="J499" s="764"/>
      <c r="K499" s="764"/>
      <c r="L499" s="764"/>
      <c r="M499" s="764"/>
      <c r="N499" s="773"/>
      <c r="O499" s="764"/>
      <c r="P499" s="764"/>
      <c r="Q499" s="764"/>
      <c r="R499" s="764"/>
      <c r="S499" s="764"/>
      <c r="T499" s="764"/>
      <c r="U499" s="764"/>
      <c r="V499" s="764"/>
      <c r="W499" s="764"/>
      <c r="X499" s="764"/>
      <c r="Y499" s="764"/>
      <c r="Z499" s="764"/>
      <c r="AA499" s="764"/>
      <c r="AB499" s="764"/>
      <c r="AC499" s="764"/>
      <c r="AD499" s="794"/>
      <c r="AE499" s="764"/>
      <c r="AF499" s="764"/>
      <c r="AG499" s="764"/>
      <c r="AH499" s="764"/>
      <c r="AI499" s="764"/>
      <c r="AJ499" s="764"/>
      <c r="AK499" s="764"/>
      <c r="AL499" s="764"/>
      <c r="AM499" s="764"/>
      <c r="AN499" s="764"/>
      <c r="AO499" s="764"/>
      <c r="AP499" s="764"/>
      <c r="AQ499" s="764"/>
      <c r="AR499" s="764"/>
      <c r="AS499" s="764"/>
    </row>
    <row r="500" spans="1:45" ht="13.9">
      <c r="A500" s="764"/>
      <c r="B500" s="764"/>
      <c r="C500" s="764"/>
      <c r="D500" s="764"/>
      <c r="E500" s="764"/>
      <c r="F500" s="764"/>
      <c r="G500" s="764"/>
      <c r="H500" s="764"/>
      <c r="I500" s="764"/>
      <c r="J500" s="764"/>
      <c r="K500" s="764"/>
      <c r="L500" s="764"/>
      <c r="M500" s="764"/>
      <c r="N500" s="773"/>
      <c r="O500" s="764"/>
      <c r="P500" s="764"/>
      <c r="Q500" s="764"/>
      <c r="R500" s="764"/>
      <c r="S500" s="764"/>
      <c r="T500" s="764"/>
      <c r="U500" s="764"/>
      <c r="V500" s="764"/>
      <c r="W500" s="764"/>
      <c r="X500" s="764"/>
      <c r="Y500" s="764"/>
      <c r="Z500" s="764"/>
      <c r="AA500" s="764"/>
      <c r="AB500" s="764"/>
      <c r="AC500" s="764"/>
      <c r="AD500" s="794"/>
      <c r="AE500" s="764"/>
      <c r="AF500" s="764"/>
      <c r="AG500" s="764"/>
      <c r="AH500" s="764"/>
      <c r="AI500" s="764"/>
      <c r="AJ500" s="764"/>
      <c r="AK500" s="764"/>
      <c r="AL500" s="764"/>
      <c r="AM500" s="764"/>
      <c r="AN500" s="764"/>
      <c r="AO500" s="764"/>
      <c r="AP500" s="764"/>
      <c r="AQ500" s="764"/>
      <c r="AR500" s="764"/>
      <c r="AS500" s="764"/>
    </row>
    <row r="501" spans="1:45" ht="13.9">
      <c r="A501" s="764"/>
      <c r="B501" s="764"/>
      <c r="C501" s="764"/>
      <c r="D501" s="764"/>
      <c r="E501" s="764"/>
      <c r="F501" s="764"/>
      <c r="G501" s="764"/>
      <c r="H501" s="764"/>
      <c r="I501" s="764"/>
      <c r="J501" s="764"/>
      <c r="K501" s="764"/>
      <c r="L501" s="764"/>
      <c r="M501" s="764"/>
      <c r="N501" s="773"/>
      <c r="O501" s="764"/>
      <c r="P501" s="764"/>
      <c r="Q501" s="764"/>
      <c r="R501" s="764"/>
      <c r="S501" s="764"/>
      <c r="T501" s="764"/>
      <c r="U501" s="764"/>
      <c r="V501" s="764"/>
      <c r="W501" s="764"/>
      <c r="X501" s="764"/>
      <c r="Y501" s="764"/>
      <c r="Z501" s="764"/>
      <c r="AA501" s="764"/>
      <c r="AB501" s="764"/>
      <c r="AC501" s="764"/>
      <c r="AD501" s="794"/>
      <c r="AE501" s="764"/>
      <c r="AF501" s="764"/>
      <c r="AG501" s="764"/>
      <c r="AH501" s="764"/>
      <c r="AI501" s="764"/>
      <c r="AJ501" s="764"/>
      <c r="AK501" s="764"/>
      <c r="AL501" s="764"/>
      <c r="AM501" s="764"/>
      <c r="AN501" s="764"/>
      <c r="AO501" s="764"/>
      <c r="AP501" s="764"/>
      <c r="AQ501" s="764"/>
      <c r="AR501" s="764"/>
      <c r="AS501" s="764"/>
    </row>
    <row r="502" spans="1:45" ht="13.9">
      <c r="A502" s="764"/>
      <c r="B502" s="764"/>
      <c r="C502" s="764"/>
      <c r="D502" s="764"/>
      <c r="E502" s="764"/>
      <c r="F502" s="764"/>
      <c r="G502" s="764"/>
      <c r="H502" s="764"/>
      <c r="I502" s="764"/>
      <c r="J502" s="764"/>
      <c r="K502" s="764"/>
      <c r="L502" s="764"/>
      <c r="M502" s="764"/>
      <c r="N502" s="773"/>
      <c r="O502" s="764"/>
      <c r="P502" s="764"/>
      <c r="Q502" s="764"/>
      <c r="R502" s="764"/>
      <c r="S502" s="764"/>
      <c r="T502" s="764"/>
      <c r="U502" s="764"/>
      <c r="V502" s="764"/>
      <c r="W502" s="764"/>
      <c r="X502" s="764"/>
      <c r="Y502" s="764"/>
      <c r="Z502" s="764"/>
      <c r="AA502" s="764"/>
      <c r="AB502" s="764"/>
      <c r="AC502" s="764"/>
      <c r="AD502" s="794"/>
      <c r="AE502" s="764"/>
      <c r="AF502" s="764"/>
      <c r="AG502" s="764"/>
      <c r="AH502" s="764"/>
      <c r="AI502" s="764"/>
      <c r="AJ502" s="764"/>
      <c r="AK502" s="764"/>
      <c r="AL502" s="764"/>
      <c r="AM502" s="764"/>
      <c r="AN502" s="764"/>
      <c r="AO502" s="764"/>
      <c r="AP502" s="764"/>
      <c r="AQ502" s="764"/>
      <c r="AR502" s="764"/>
      <c r="AS502" s="764"/>
    </row>
    <row r="503" spans="1:45" ht="13.9">
      <c r="A503" s="764"/>
      <c r="B503" s="764"/>
      <c r="C503" s="764"/>
      <c r="D503" s="764"/>
      <c r="E503" s="764"/>
      <c r="F503" s="764"/>
      <c r="G503" s="764"/>
      <c r="H503" s="764"/>
      <c r="I503" s="764"/>
      <c r="J503" s="764"/>
      <c r="K503" s="764"/>
      <c r="L503" s="764"/>
      <c r="M503" s="764"/>
      <c r="N503" s="773"/>
      <c r="O503" s="764"/>
      <c r="P503" s="764"/>
      <c r="Q503" s="764"/>
      <c r="R503" s="764"/>
      <c r="S503" s="764"/>
      <c r="T503" s="764"/>
      <c r="U503" s="764"/>
      <c r="V503" s="764"/>
      <c r="W503" s="764"/>
      <c r="X503" s="764"/>
      <c r="Y503" s="764"/>
      <c r="Z503" s="764"/>
      <c r="AA503" s="764"/>
      <c r="AB503" s="764"/>
      <c r="AC503" s="764"/>
      <c r="AD503" s="794"/>
      <c r="AE503" s="764"/>
      <c r="AF503" s="764"/>
      <c r="AG503" s="764"/>
      <c r="AH503" s="764"/>
      <c r="AI503" s="764"/>
      <c r="AJ503" s="764"/>
      <c r="AK503" s="764"/>
      <c r="AL503" s="764"/>
      <c r="AM503" s="764"/>
      <c r="AN503" s="764"/>
      <c r="AO503" s="764"/>
      <c r="AP503" s="764"/>
      <c r="AQ503" s="764"/>
      <c r="AR503" s="764"/>
      <c r="AS503" s="764"/>
    </row>
    <row r="504" spans="1:45" ht="13.9">
      <c r="A504" s="764"/>
      <c r="B504" s="764"/>
      <c r="C504" s="764"/>
      <c r="D504" s="764"/>
      <c r="E504" s="764"/>
      <c r="F504" s="764"/>
      <c r="G504" s="764"/>
      <c r="H504" s="764"/>
      <c r="I504" s="764"/>
      <c r="J504" s="764"/>
      <c r="K504" s="764"/>
      <c r="L504" s="764"/>
      <c r="M504" s="764"/>
      <c r="N504" s="773"/>
      <c r="O504" s="764"/>
      <c r="P504" s="764"/>
      <c r="Q504" s="764"/>
      <c r="R504" s="764"/>
      <c r="S504" s="764"/>
      <c r="T504" s="764"/>
      <c r="U504" s="764"/>
      <c r="V504" s="764"/>
      <c r="W504" s="764"/>
      <c r="X504" s="764"/>
      <c r="Y504" s="764"/>
      <c r="Z504" s="764"/>
      <c r="AA504" s="764"/>
      <c r="AB504" s="764"/>
      <c r="AC504" s="764"/>
      <c r="AD504" s="794"/>
      <c r="AE504" s="764"/>
      <c r="AF504" s="764"/>
      <c r="AG504" s="764"/>
      <c r="AH504" s="764"/>
      <c r="AI504" s="764"/>
      <c r="AJ504" s="764"/>
      <c r="AK504" s="764"/>
      <c r="AL504" s="764"/>
      <c r="AM504" s="764"/>
      <c r="AN504" s="764"/>
      <c r="AO504" s="764"/>
      <c r="AP504" s="764"/>
      <c r="AQ504" s="764"/>
      <c r="AR504" s="764"/>
      <c r="AS504" s="764"/>
    </row>
    <row r="505" spans="1:45" ht="13.9">
      <c r="A505" s="764"/>
      <c r="B505" s="764"/>
      <c r="C505" s="764"/>
      <c r="D505" s="764"/>
      <c r="E505" s="764"/>
      <c r="F505" s="764"/>
      <c r="G505" s="764"/>
      <c r="H505" s="764"/>
      <c r="I505" s="764"/>
      <c r="J505" s="764"/>
      <c r="K505" s="764"/>
      <c r="L505" s="764"/>
      <c r="M505" s="764"/>
      <c r="N505" s="773"/>
      <c r="O505" s="764"/>
      <c r="P505" s="764"/>
      <c r="Q505" s="764"/>
      <c r="R505" s="764"/>
      <c r="S505" s="764"/>
      <c r="T505" s="764"/>
      <c r="U505" s="764"/>
      <c r="V505" s="764"/>
      <c r="W505" s="764"/>
      <c r="X505" s="764"/>
      <c r="Y505" s="764"/>
      <c r="Z505" s="764"/>
      <c r="AA505" s="764"/>
      <c r="AB505" s="764"/>
      <c r="AC505" s="764"/>
      <c r="AD505" s="794"/>
      <c r="AE505" s="764"/>
      <c r="AF505" s="764"/>
      <c r="AG505" s="764"/>
      <c r="AH505" s="764"/>
      <c r="AI505" s="764"/>
      <c r="AJ505" s="764"/>
      <c r="AK505" s="764"/>
      <c r="AL505" s="764"/>
      <c r="AM505" s="764"/>
      <c r="AN505" s="764"/>
      <c r="AO505" s="764"/>
      <c r="AP505" s="764"/>
      <c r="AQ505" s="764"/>
      <c r="AR505" s="764"/>
      <c r="AS505" s="764"/>
    </row>
    <row r="506" spans="1:45" ht="13.9">
      <c r="A506" s="764"/>
      <c r="B506" s="764"/>
      <c r="C506" s="764"/>
      <c r="D506" s="764"/>
      <c r="E506" s="764"/>
      <c r="F506" s="764"/>
      <c r="G506" s="764"/>
      <c r="H506" s="764"/>
      <c r="I506" s="764"/>
      <c r="J506" s="764"/>
      <c r="K506" s="764"/>
      <c r="L506" s="764"/>
      <c r="M506" s="764"/>
      <c r="N506" s="773"/>
      <c r="O506" s="764"/>
      <c r="P506" s="764"/>
      <c r="Q506" s="764"/>
      <c r="R506" s="764"/>
      <c r="S506" s="764"/>
      <c r="T506" s="764"/>
      <c r="U506" s="764"/>
      <c r="V506" s="764"/>
      <c r="W506" s="764"/>
      <c r="X506" s="764"/>
      <c r="Y506" s="764"/>
      <c r="Z506" s="764"/>
      <c r="AA506" s="764"/>
      <c r="AB506" s="764"/>
      <c r="AC506" s="764"/>
      <c r="AD506" s="794"/>
      <c r="AE506" s="764"/>
      <c r="AF506" s="764"/>
      <c r="AG506" s="764"/>
      <c r="AH506" s="764"/>
      <c r="AI506" s="764"/>
      <c r="AJ506" s="764"/>
      <c r="AK506" s="764"/>
      <c r="AL506" s="764"/>
      <c r="AM506" s="764"/>
      <c r="AN506" s="764"/>
      <c r="AO506" s="764"/>
      <c r="AP506" s="764"/>
      <c r="AQ506" s="764"/>
      <c r="AR506" s="764"/>
      <c r="AS506" s="764"/>
    </row>
    <row r="507" spans="1:45" ht="13.9">
      <c r="A507" s="764"/>
      <c r="B507" s="764"/>
      <c r="C507" s="764"/>
      <c r="D507" s="764"/>
      <c r="E507" s="764"/>
      <c r="F507" s="764"/>
      <c r="G507" s="764"/>
      <c r="H507" s="764"/>
      <c r="I507" s="764"/>
      <c r="J507" s="764"/>
      <c r="K507" s="764"/>
      <c r="L507" s="764"/>
      <c r="M507" s="764"/>
      <c r="N507" s="773"/>
      <c r="O507" s="764"/>
      <c r="P507" s="764"/>
      <c r="Q507" s="764"/>
      <c r="R507" s="764"/>
      <c r="S507" s="764"/>
      <c r="T507" s="764"/>
      <c r="U507" s="764"/>
      <c r="V507" s="764"/>
      <c r="W507" s="764"/>
      <c r="X507" s="764"/>
      <c r="Y507" s="764"/>
      <c r="Z507" s="764"/>
      <c r="AA507" s="764"/>
      <c r="AB507" s="764"/>
      <c r="AC507" s="764"/>
      <c r="AD507" s="794"/>
      <c r="AE507" s="764"/>
      <c r="AF507" s="764"/>
      <c r="AG507" s="764"/>
      <c r="AH507" s="764"/>
      <c r="AI507" s="764"/>
      <c r="AJ507" s="764"/>
      <c r="AK507" s="764"/>
      <c r="AL507" s="764"/>
      <c r="AM507" s="764"/>
      <c r="AN507" s="764"/>
      <c r="AO507" s="764"/>
      <c r="AP507" s="764"/>
      <c r="AQ507" s="764"/>
      <c r="AR507" s="764"/>
      <c r="AS507" s="764"/>
    </row>
    <row r="508" spans="1:45" ht="13.9">
      <c r="A508" s="764"/>
      <c r="B508" s="764"/>
      <c r="C508" s="764"/>
      <c r="D508" s="764"/>
      <c r="E508" s="764"/>
      <c r="F508" s="764"/>
      <c r="G508" s="764"/>
      <c r="H508" s="764"/>
      <c r="I508" s="764"/>
      <c r="J508" s="764"/>
      <c r="K508" s="764"/>
      <c r="L508" s="764"/>
      <c r="M508" s="764"/>
      <c r="N508" s="773"/>
      <c r="O508" s="764"/>
      <c r="P508" s="764"/>
      <c r="Q508" s="764"/>
      <c r="R508" s="764"/>
      <c r="S508" s="764"/>
      <c r="T508" s="764"/>
      <c r="U508" s="764"/>
      <c r="V508" s="764"/>
      <c r="W508" s="764"/>
      <c r="X508" s="764"/>
      <c r="Y508" s="764"/>
      <c r="Z508" s="764"/>
      <c r="AA508" s="764"/>
      <c r="AB508" s="764"/>
      <c r="AC508" s="764"/>
      <c r="AD508" s="794"/>
      <c r="AE508" s="764"/>
      <c r="AF508" s="764"/>
      <c r="AG508" s="764"/>
      <c r="AH508" s="764"/>
      <c r="AI508" s="764"/>
      <c r="AJ508" s="764"/>
      <c r="AK508" s="764"/>
      <c r="AL508" s="764"/>
      <c r="AM508" s="764"/>
      <c r="AN508" s="764"/>
      <c r="AO508" s="764"/>
      <c r="AP508" s="764"/>
      <c r="AQ508" s="764"/>
      <c r="AR508" s="764"/>
      <c r="AS508" s="764"/>
    </row>
    <row r="509" spans="1:45" ht="13.9">
      <c r="A509" s="764"/>
      <c r="B509" s="764"/>
      <c r="C509" s="764"/>
      <c r="D509" s="764"/>
      <c r="E509" s="764"/>
      <c r="F509" s="764"/>
      <c r="G509" s="764"/>
      <c r="H509" s="764"/>
      <c r="I509" s="764"/>
      <c r="J509" s="764"/>
      <c r="K509" s="764"/>
      <c r="L509" s="764"/>
      <c r="M509" s="764"/>
      <c r="N509" s="773"/>
      <c r="O509" s="764"/>
      <c r="P509" s="764"/>
      <c r="Q509" s="764"/>
      <c r="R509" s="764"/>
      <c r="S509" s="764"/>
      <c r="T509" s="764"/>
      <c r="U509" s="764"/>
      <c r="V509" s="764"/>
      <c r="W509" s="764"/>
      <c r="X509" s="764"/>
      <c r="Y509" s="764"/>
      <c r="Z509" s="764"/>
      <c r="AA509" s="764"/>
      <c r="AB509" s="764"/>
      <c r="AC509" s="764"/>
      <c r="AD509" s="794"/>
      <c r="AE509" s="764"/>
      <c r="AF509" s="764"/>
      <c r="AG509" s="764"/>
      <c r="AH509" s="764"/>
      <c r="AI509" s="764"/>
      <c r="AJ509" s="764"/>
      <c r="AK509" s="764"/>
      <c r="AL509" s="764"/>
      <c r="AM509" s="764"/>
      <c r="AN509" s="764"/>
      <c r="AO509" s="764"/>
      <c r="AP509" s="764"/>
      <c r="AQ509" s="764"/>
      <c r="AR509" s="764"/>
      <c r="AS509" s="764"/>
    </row>
    <row r="510" spans="1:45" ht="13.9">
      <c r="A510" s="764"/>
      <c r="B510" s="764"/>
      <c r="C510" s="764"/>
      <c r="D510" s="764"/>
      <c r="E510" s="764"/>
      <c r="F510" s="764"/>
      <c r="G510" s="764"/>
      <c r="H510" s="764"/>
      <c r="I510" s="764"/>
      <c r="J510" s="764"/>
      <c r="K510" s="764"/>
      <c r="L510" s="764"/>
      <c r="M510" s="764"/>
      <c r="N510" s="773"/>
      <c r="O510" s="764"/>
      <c r="P510" s="764"/>
      <c r="Q510" s="764"/>
      <c r="R510" s="764"/>
      <c r="S510" s="764"/>
      <c r="T510" s="764"/>
      <c r="U510" s="764"/>
      <c r="V510" s="764"/>
      <c r="W510" s="764"/>
      <c r="X510" s="764"/>
      <c r="Y510" s="764"/>
      <c r="Z510" s="764"/>
      <c r="AA510" s="764"/>
      <c r="AB510" s="764"/>
      <c r="AC510" s="764"/>
      <c r="AD510" s="794"/>
      <c r="AE510" s="764"/>
      <c r="AF510" s="764"/>
      <c r="AG510" s="764"/>
      <c r="AH510" s="764"/>
      <c r="AI510" s="764"/>
      <c r="AJ510" s="764"/>
      <c r="AK510" s="764"/>
      <c r="AL510" s="764"/>
      <c r="AM510" s="764"/>
      <c r="AN510" s="764"/>
      <c r="AO510" s="764"/>
      <c r="AP510" s="764"/>
      <c r="AQ510" s="764"/>
      <c r="AR510" s="764"/>
      <c r="AS510" s="764"/>
    </row>
    <row r="511" spans="1:45" ht="13.9">
      <c r="A511" s="764"/>
      <c r="B511" s="764"/>
      <c r="C511" s="764"/>
      <c r="D511" s="764"/>
      <c r="E511" s="764"/>
      <c r="F511" s="764"/>
      <c r="G511" s="764"/>
      <c r="H511" s="764"/>
      <c r="I511" s="764"/>
      <c r="J511" s="764"/>
      <c r="K511" s="764"/>
      <c r="L511" s="764"/>
      <c r="M511" s="764"/>
      <c r="N511" s="773"/>
      <c r="O511" s="764"/>
      <c r="P511" s="764"/>
      <c r="Q511" s="764"/>
      <c r="R511" s="764"/>
      <c r="S511" s="764"/>
      <c r="T511" s="764"/>
      <c r="U511" s="764"/>
      <c r="V511" s="764"/>
      <c r="W511" s="764"/>
      <c r="X511" s="764"/>
      <c r="Y511" s="764"/>
      <c r="Z511" s="764"/>
      <c r="AA511" s="764"/>
      <c r="AB511" s="764"/>
      <c r="AC511" s="764"/>
      <c r="AD511" s="794"/>
      <c r="AE511" s="764"/>
      <c r="AF511" s="764"/>
      <c r="AG511" s="764"/>
      <c r="AH511" s="764"/>
      <c r="AI511" s="764"/>
      <c r="AJ511" s="764"/>
      <c r="AK511" s="764"/>
      <c r="AL511" s="764"/>
      <c r="AM511" s="764"/>
      <c r="AN511" s="764"/>
      <c r="AO511" s="764"/>
      <c r="AP511" s="764"/>
      <c r="AQ511" s="764"/>
      <c r="AR511" s="764"/>
      <c r="AS511" s="764"/>
    </row>
    <row r="512" spans="1:45" ht="13.9">
      <c r="A512" s="764"/>
      <c r="B512" s="764"/>
      <c r="C512" s="764"/>
      <c r="D512" s="764"/>
      <c r="E512" s="764"/>
      <c r="F512" s="764"/>
      <c r="G512" s="764"/>
      <c r="H512" s="764"/>
      <c r="I512" s="764"/>
      <c r="J512" s="764"/>
      <c r="K512" s="764"/>
      <c r="L512" s="764"/>
      <c r="M512" s="764"/>
      <c r="N512" s="773"/>
      <c r="O512" s="764"/>
      <c r="P512" s="764"/>
      <c r="Q512" s="764"/>
      <c r="R512" s="764"/>
      <c r="S512" s="764"/>
      <c r="T512" s="764"/>
      <c r="U512" s="764"/>
      <c r="V512" s="764"/>
      <c r="W512" s="764"/>
      <c r="X512" s="764"/>
      <c r="Y512" s="764"/>
      <c r="Z512" s="764"/>
      <c r="AA512" s="764"/>
      <c r="AB512" s="764"/>
      <c r="AC512" s="764"/>
      <c r="AD512" s="794"/>
      <c r="AE512" s="764"/>
      <c r="AF512" s="764"/>
      <c r="AG512" s="764"/>
      <c r="AH512" s="764"/>
      <c r="AI512" s="764"/>
      <c r="AJ512" s="764"/>
      <c r="AK512" s="764"/>
      <c r="AL512" s="764"/>
      <c r="AM512" s="764"/>
      <c r="AN512" s="764"/>
      <c r="AO512" s="764"/>
      <c r="AP512" s="764"/>
      <c r="AQ512" s="764"/>
      <c r="AR512" s="764"/>
      <c r="AS512" s="764"/>
    </row>
    <row r="513" spans="1:45" ht="13.9">
      <c r="A513" s="764"/>
      <c r="B513" s="764"/>
      <c r="C513" s="764"/>
      <c r="D513" s="764"/>
      <c r="E513" s="764"/>
      <c r="F513" s="764"/>
      <c r="G513" s="764"/>
      <c r="H513" s="764"/>
      <c r="I513" s="764"/>
      <c r="J513" s="764"/>
      <c r="K513" s="764"/>
      <c r="L513" s="764"/>
      <c r="M513" s="764"/>
      <c r="N513" s="773"/>
      <c r="O513" s="764"/>
      <c r="P513" s="764"/>
      <c r="Q513" s="764"/>
      <c r="R513" s="764"/>
      <c r="S513" s="764"/>
      <c r="T513" s="764"/>
      <c r="U513" s="764"/>
      <c r="V513" s="764"/>
      <c r="W513" s="764"/>
      <c r="X513" s="764"/>
      <c r="Y513" s="764"/>
      <c r="Z513" s="764"/>
      <c r="AA513" s="764"/>
      <c r="AB513" s="764"/>
      <c r="AC513" s="764"/>
      <c r="AD513" s="794"/>
      <c r="AE513" s="764"/>
      <c r="AF513" s="764"/>
      <c r="AG513" s="764"/>
      <c r="AH513" s="764"/>
      <c r="AI513" s="764"/>
      <c r="AJ513" s="764"/>
      <c r="AK513" s="764"/>
      <c r="AL513" s="764"/>
      <c r="AM513" s="764"/>
      <c r="AN513" s="764"/>
      <c r="AO513" s="764"/>
      <c r="AP513" s="764"/>
      <c r="AQ513" s="764"/>
      <c r="AR513" s="764"/>
      <c r="AS513" s="764"/>
    </row>
    <row r="514" spans="1:45" ht="13.9">
      <c r="A514" s="764"/>
      <c r="B514" s="764"/>
      <c r="C514" s="764"/>
      <c r="D514" s="764"/>
      <c r="E514" s="764"/>
      <c r="F514" s="764"/>
      <c r="G514" s="764"/>
      <c r="H514" s="764"/>
      <c r="I514" s="764"/>
      <c r="J514" s="764"/>
      <c r="K514" s="764"/>
      <c r="L514" s="764"/>
      <c r="M514" s="764"/>
      <c r="N514" s="773"/>
      <c r="O514" s="764"/>
      <c r="P514" s="764"/>
      <c r="Q514" s="764"/>
      <c r="R514" s="764"/>
      <c r="S514" s="764"/>
      <c r="T514" s="764"/>
      <c r="U514" s="764"/>
      <c r="V514" s="764"/>
      <c r="W514" s="764"/>
      <c r="X514" s="764"/>
      <c r="Y514" s="764"/>
      <c r="Z514" s="764"/>
      <c r="AA514" s="764"/>
      <c r="AB514" s="764"/>
      <c r="AC514" s="764"/>
      <c r="AD514" s="794"/>
      <c r="AE514" s="764"/>
      <c r="AF514" s="764"/>
      <c r="AG514" s="764"/>
      <c r="AH514" s="764"/>
      <c r="AI514" s="764"/>
      <c r="AJ514" s="764"/>
      <c r="AK514" s="764"/>
      <c r="AL514" s="764"/>
      <c r="AM514" s="764"/>
      <c r="AN514" s="764"/>
      <c r="AO514" s="764"/>
      <c r="AP514" s="764"/>
      <c r="AQ514" s="764"/>
      <c r="AR514" s="764"/>
      <c r="AS514" s="764"/>
    </row>
    <row r="515" spans="1:45" ht="13.9">
      <c r="A515" s="764"/>
      <c r="B515" s="764"/>
      <c r="C515" s="764"/>
      <c r="D515" s="764"/>
      <c r="E515" s="764"/>
      <c r="F515" s="764"/>
      <c r="G515" s="764"/>
      <c r="H515" s="764"/>
      <c r="I515" s="764"/>
      <c r="J515" s="764"/>
      <c r="K515" s="764"/>
      <c r="L515" s="764"/>
      <c r="M515" s="764"/>
      <c r="N515" s="773"/>
      <c r="O515" s="764"/>
      <c r="P515" s="764"/>
      <c r="Q515" s="764"/>
      <c r="R515" s="764"/>
      <c r="S515" s="764"/>
      <c r="T515" s="764"/>
      <c r="U515" s="764"/>
      <c r="V515" s="764"/>
      <c r="W515" s="764"/>
      <c r="X515" s="764"/>
      <c r="Y515" s="764"/>
      <c r="Z515" s="764"/>
      <c r="AA515" s="764"/>
      <c r="AB515" s="764"/>
      <c r="AC515" s="764"/>
      <c r="AD515" s="794"/>
      <c r="AE515" s="764"/>
      <c r="AF515" s="764"/>
      <c r="AG515" s="764"/>
      <c r="AH515" s="764"/>
      <c r="AI515" s="764"/>
      <c r="AJ515" s="764"/>
      <c r="AK515" s="764"/>
      <c r="AL515" s="764"/>
      <c r="AM515" s="764"/>
      <c r="AN515" s="764"/>
      <c r="AO515" s="764"/>
      <c r="AP515" s="764"/>
      <c r="AQ515" s="764"/>
      <c r="AR515" s="764"/>
      <c r="AS515" s="764"/>
    </row>
    <row r="516" spans="1:45" ht="13.9">
      <c r="A516" s="764"/>
      <c r="B516" s="764"/>
      <c r="C516" s="764"/>
      <c r="D516" s="764"/>
      <c r="E516" s="764"/>
      <c r="F516" s="764"/>
      <c r="G516" s="764"/>
      <c r="H516" s="764"/>
      <c r="I516" s="764"/>
      <c r="J516" s="764"/>
      <c r="K516" s="764"/>
      <c r="L516" s="764"/>
      <c r="M516" s="764"/>
      <c r="N516" s="773"/>
      <c r="O516" s="764"/>
      <c r="P516" s="764"/>
      <c r="Q516" s="764"/>
      <c r="R516" s="764"/>
      <c r="S516" s="764"/>
      <c r="T516" s="764"/>
      <c r="U516" s="764"/>
      <c r="V516" s="764"/>
      <c r="W516" s="764"/>
      <c r="X516" s="764"/>
      <c r="Y516" s="764"/>
      <c r="Z516" s="764"/>
      <c r="AA516" s="764"/>
      <c r="AB516" s="764"/>
      <c r="AC516" s="764"/>
      <c r="AD516" s="794"/>
      <c r="AE516" s="764"/>
      <c r="AF516" s="764"/>
      <c r="AG516" s="764"/>
      <c r="AH516" s="764"/>
      <c r="AI516" s="764"/>
      <c r="AJ516" s="764"/>
      <c r="AK516" s="764"/>
      <c r="AL516" s="764"/>
      <c r="AM516" s="764"/>
      <c r="AN516" s="764"/>
      <c r="AO516" s="764"/>
      <c r="AP516" s="764"/>
      <c r="AQ516" s="764"/>
      <c r="AR516" s="764"/>
      <c r="AS516" s="764"/>
    </row>
    <row r="517" spans="1:45" ht="13.9">
      <c r="A517" s="764"/>
      <c r="B517" s="764"/>
      <c r="C517" s="764"/>
      <c r="D517" s="764"/>
      <c r="E517" s="764"/>
      <c r="F517" s="764"/>
      <c r="G517" s="764"/>
      <c r="H517" s="764"/>
      <c r="I517" s="764"/>
      <c r="J517" s="764"/>
      <c r="K517" s="764"/>
      <c r="L517" s="764"/>
      <c r="M517" s="764"/>
      <c r="N517" s="773"/>
      <c r="O517" s="764"/>
      <c r="P517" s="764"/>
      <c r="Q517" s="764"/>
      <c r="R517" s="764"/>
      <c r="S517" s="764"/>
      <c r="T517" s="764"/>
      <c r="U517" s="764"/>
      <c r="V517" s="764"/>
      <c r="W517" s="764"/>
      <c r="X517" s="764"/>
      <c r="Y517" s="764"/>
      <c r="Z517" s="764"/>
      <c r="AA517" s="764"/>
      <c r="AB517" s="764"/>
      <c r="AC517" s="764"/>
      <c r="AD517" s="794"/>
      <c r="AE517" s="764"/>
      <c r="AF517" s="764"/>
      <c r="AG517" s="764"/>
      <c r="AH517" s="764"/>
      <c r="AI517" s="764"/>
      <c r="AJ517" s="764"/>
      <c r="AK517" s="764"/>
      <c r="AL517" s="764"/>
      <c r="AM517" s="764"/>
      <c r="AN517" s="764"/>
      <c r="AO517" s="764"/>
      <c r="AP517" s="764"/>
      <c r="AQ517" s="764"/>
      <c r="AR517" s="764"/>
      <c r="AS517" s="764"/>
    </row>
    <row r="518" spans="1:45" ht="13.9">
      <c r="A518" s="764"/>
      <c r="B518" s="764"/>
      <c r="C518" s="764"/>
      <c r="D518" s="764"/>
      <c r="E518" s="764"/>
      <c r="F518" s="764"/>
      <c r="G518" s="764"/>
      <c r="H518" s="764"/>
      <c r="I518" s="764"/>
      <c r="J518" s="764"/>
      <c r="K518" s="764"/>
      <c r="L518" s="764"/>
      <c r="M518" s="764"/>
      <c r="N518" s="773"/>
      <c r="O518" s="764"/>
      <c r="P518" s="764"/>
      <c r="Q518" s="764"/>
      <c r="R518" s="764"/>
      <c r="S518" s="764"/>
      <c r="T518" s="764"/>
      <c r="U518" s="764"/>
      <c r="V518" s="764"/>
      <c r="W518" s="764"/>
      <c r="X518" s="764"/>
      <c r="Y518" s="764"/>
      <c r="Z518" s="764"/>
      <c r="AA518" s="764"/>
      <c r="AB518" s="764"/>
      <c r="AC518" s="764"/>
      <c r="AD518" s="794"/>
      <c r="AE518" s="764"/>
      <c r="AF518" s="764"/>
      <c r="AG518" s="764"/>
      <c r="AH518" s="764"/>
      <c r="AI518" s="764"/>
      <c r="AJ518" s="764"/>
      <c r="AK518" s="764"/>
      <c r="AL518" s="764"/>
      <c r="AM518" s="764"/>
      <c r="AN518" s="764"/>
      <c r="AO518" s="764"/>
      <c r="AP518" s="764"/>
      <c r="AQ518" s="764"/>
      <c r="AR518" s="764"/>
      <c r="AS518" s="764"/>
    </row>
    <row r="519" spans="1:45" ht="13.9">
      <c r="A519" s="764"/>
      <c r="B519" s="764"/>
      <c r="C519" s="764"/>
      <c r="D519" s="764"/>
      <c r="E519" s="764"/>
      <c r="F519" s="764"/>
      <c r="G519" s="764"/>
      <c r="H519" s="764"/>
      <c r="I519" s="764"/>
      <c r="J519" s="764"/>
      <c r="K519" s="764"/>
      <c r="L519" s="764"/>
      <c r="M519" s="764"/>
      <c r="N519" s="773"/>
      <c r="O519" s="764"/>
      <c r="P519" s="764"/>
      <c r="Q519" s="764"/>
      <c r="R519" s="764"/>
      <c r="S519" s="764"/>
      <c r="T519" s="764"/>
      <c r="U519" s="764"/>
      <c r="V519" s="764"/>
      <c r="W519" s="764"/>
      <c r="X519" s="764"/>
      <c r="Y519" s="764"/>
      <c r="Z519" s="764"/>
      <c r="AA519" s="764"/>
      <c r="AB519" s="764"/>
      <c r="AC519" s="764"/>
      <c r="AD519" s="794"/>
      <c r="AE519" s="764"/>
      <c r="AF519" s="764"/>
      <c r="AG519" s="764"/>
      <c r="AH519" s="764"/>
      <c r="AI519" s="764"/>
      <c r="AJ519" s="764"/>
      <c r="AK519" s="764"/>
      <c r="AL519" s="764"/>
      <c r="AM519" s="764"/>
      <c r="AN519" s="764"/>
      <c r="AO519" s="764"/>
      <c r="AP519" s="764"/>
      <c r="AQ519" s="764"/>
      <c r="AR519" s="764"/>
      <c r="AS519" s="764"/>
    </row>
    <row r="520" spans="1:45" ht="13.9">
      <c r="A520" s="764"/>
      <c r="B520" s="764"/>
      <c r="C520" s="764"/>
      <c r="D520" s="764"/>
      <c r="E520" s="764"/>
      <c r="F520" s="764"/>
      <c r="G520" s="764"/>
      <c r="H520" s="764"/>
      <c r="I520" s="764"/>
      <c r="J520" s="764"/>
      <c r="K520" s="764"/>
      <c r="L520" s="764"/>
      <c r="M520" s="764"/>
      <c r="N520" s="773"/>
      <c r="O520" s="764"/>
      <c r="P520" s="764"/>
      <c r="Q520" s="764"/>
      <c r="R520" s="764"/>
      <c r="S520" s="764"/>
      <c r="T520" s="764"/>
      <c r="U520" s="764"/>
      <c r="V520" s="764"/>
      <c r="W520" s="764"/>
      <c r="X520" s="764"/>
      <c r="Y520" s="764"/>
      <c r="Z520" s="764"/>
      <c r="AA520" s="764"/>
      <c r="AB520" s="764"/>
      <c r="AC520" s="764"/>
      <c r="AD520" s="794"/>
      <c r="AE520" s="764"/>
      <c r="AF520" s="764"/>
      <c r="AG520" s="764"/>
      <c r="AH520" s="764"/>
      <c r="AI520" s="764"/>
      <c r="AJ520" s="764"/>
      <c r="AK520" s="764"/>
      <c r="AL520" s="764"/>
      <c r="AM520" s="764"/>
      <c r="AN520" s="764"/>
      <c r="AO520" s="764"/>
      <c r="AP520" s="764"/>
      <c r="AQ520" s="764"/>
      <c r="AR520" s="764"/>
      <c r="AS520" s="764"/>
    </row>
    <row r="521" spans="1:45" ht="13.9">
      <c r="A521" s="764"/>
      <c r="B521" s="764"/>
      <c r="C521" s="764"/>
      <c r="D521" s="764"/>
      <c r="E521" s="764"/>
      <c r="F521" s="764"/>
      <c r="G521" s="764"/>
      <c r="H521" s="764"/>
      <c r="I521" s="764"/>
      <c r="J521" s="764"/>
      <c r="K521" s="764"/>
      <c r="L521" s="764"/>
      <c r="M521" s="764"/>
      <c r="N521" s="773"/>
      <c r="O521" s="764"/>
      <c r="P521" s="764"/>
      <c r="Q521" s="764"/>
      <c r="R521" s="764"/>
      <c r="S521" s="764"/>
      <c r="T521" s="764"/>
      <c r="U521" s="764"/>
      <c r="V521" s="764"/>
      <c r="W521" s="764"/>
      <c r="X521" s="764"/>
      <c r="Y521" s="764"/>
      <c r="Z521" s="764"/>
      <c r="AA521" s="764"/>
      <c r="AB521" s="764"/>
      <c r="AC521" s="764"/>
      <c r="AD521" s="794"/>
      <c r="AE521" s="764"/>
      <c r="AF521" s="764"/>
      <c r="AG521" s="764"/>
      <c r="AH521" s="764"/>
      <c r="AI521" s="764"/>
      <c r="AJ521" s="764"/>
      <c r="AK521" s="764"/>
      <c r="AL521" s="764"/>
      <c r="AM521" s="764"/>
      <c r="AN521" s="764"/>
      <c r="AO521" s="764"/>
      <c r="AP521" s="764"/>
      <c r="AQ521" s="764"/>
      <c r="AR521" s="764"/>
      <c r="AS521" s="764"/>
    </row>
    <row r="522" spans="1:45" ht="13.9">
      <c r="A522" s="764"/>
      <c r="B522" s="764"/>
      <c r="C522" s="764"/>
      <c r="D522" s="764"/>
      <c r="E522" s="764"/>
      <c r="F522" s="764"/>
      <c r="G522" s="764"/>
      <c r="H522" s="764"/>
      <c r="I522" s="764"/>
      <c r="J522" s="764"/>
      <c r="K522" s="764"/>
      <c r="L522" s="764"/>
      <c r="M522" s="764"/>
      <c r="N522" s="773"/>
      <c r="O522" s="764"/>
      <c r="P522" s="764"/>
      <c r="Q522" s="764"/>
      <c r="R522" s="764"/>
      <c r="S522" s="764"/>
      <c r="T522" s="764"/>
      <c r="U522" s="764"/>
      <c r="V522" s="764"/>
      <c r="W522" s="764"/>
      <c r="X522" s="764"/>
      <c r="Y522" s="764"/>
      <c r="Z522" s="764"/>
      <c r="AA522" s="764"/>
      <c r="AB522" s="764"/>
      <c r="AC522" s="764"/>
      <c r="AD522" s="794"/>
      <c r="AE522" s="764"/>
      <c r="AF522" s="764"/>
      <c r="AG522" s="764"/>
      <c r="AH522" s="764"/>
      <c r="AI522" s="764"/>
      <c r="AJ522" s="764"/>
      <c r="AK522" s="764"/>
      <c r="AL522" s="764"/>
      <c r="AM522" s="764"/>
      <c r="AN522" s="764"/>
      <c r="AO522" s="764"/>
      <c r="AP522" s="764"/>
      <c r="AQ522" s="764"/>
      <c r="AR522" s="764"/>
      <c r="AS522" s="764"/>
    </row>
    <row r="523" spans="1:45" ht="13.9">
      <c r="A523" s="764"/>
      <c r="B523" s="764"/>
      <c r="C523" s="764"/>
      <c r="D523" s="764"/>
      <c r="E523" s="764"/>
      <c r="F523" s="764"/>
      <c r="G523" s="764"/>
      <c r="H523" s="764"/>
      <c r="I523" s="764"/>
      <c r="J523" s="764"/>
      <c r="K523" s="764"/>
      <c r="L523" s="764"/>
      <c r="M523" s="764"/>
      <c r="N523" s="773"/>
      <c r="O523" s="764"/>
      <c r="P523" s="764"/>
      <c r="Q523" s="764"/>
      <c r="R523" s="764"/>
      <c r="S523" s="764"/>
      <c r="T523" s="764"/>
      <c r="U523" s="764"/>
      <c r="V523" s="764"/>
      <c r="W523" s="764"/>
      <c r="X523" s="764"/>
      <c r="Y523" s="764"/>
      <c r="Z523" s="764"/>
      <c r="AA523" s="764"/>
      <c r="AB523" s="764"/>
      <c r="AC523" s="764"/>
      <c r="AD523" s="794"/>
      <c r="AE523" s="764"/>
      <c r="AF523" s="764"/>
      <c r="AG523" s="764"/>
      <c r="AH523" s="764"/>
      <c r="AI523" s="764"/>
      <c r="AJ523" s="764"/>
      <c r="AK523" s="764"/>
      <c r="AL523" s="764"/>
      <c r="AM523" s="764"/>
      <c r="AN523" s="764"/>
      <c r="AO523" s="764"/>
      <c r="AP523" s="764"/>
      <c r="AQ523" s="764"/>
      <c r="AR523" s="764"/>
      <c r="AS523" s="764"/>
    </row>
    <row r="524" spans="1:45" ht="13.9">
      <c r="A524" s="764"/>
      <c r="B524" s="764"/>
      <c r="C524" s="764"/>
      <c r="D524" s="764"/>
      <c r="E524" s="764"/>
      <c r="F524" s="764"/>
      <c r="G524" s="764"/>
      <c r="H524" s="764"/>
      <c r="I524" s="764"/>
      <c r="J524" s="764"/>
      <c r="K524" s="764"/>
      <c r="L524" s="764"/>
      <c r="M524" s="764"/>
      <c r="N524" s="773"/>
      <c r="O524" s="764"/>
      <c r="P524" s="764"/>
      <c r="Q524" s="764"/>
      <c r="R524" s="764"/>
      <c r="S524" s="764"/>
      <c r="T524" s="764"/>
      <c r="U524" s="764"/>
      <c r="V524" s="764"/>
      <c r="W524" s="764"/>
      <c r="X524" s="764"/>
      <c r="Y524" s="764"/>
      <c r="Z524" s="764"/>
      <c r="AA524" s="764"/>
      <c r="AB524" s="764"/>
      <c r="AC524" s="764"/>
      <c r="AD524" s="794"/>
      <c r="AE524" s="764"/>
      <c r="AF524" s="764"/>
      <c r="AG524" s="764"/>
      <c r="AH524" s="764"/>
      <c r="AI524" s="764"/>
      <c r="AJ524" s="764"/>
      <c r="AK524" s="764"/>
      <c r="AL524" s="764"/>
      <c r="AM524" s="764"/>
      <c r="AN524" s="764"/>
      <c r="AO524" s="764"/>
      <c r="AP524" s="764"/>
      <c r="AQ524" s="764"/>
      <c r="AR524" s="764"/>
      <c r="AS524" s="764"/>
    </row>
    <row r="525" spans="1:45" ht="13.9">
      <c r="A525" s="764"/>
      <c r="B525" s="764"/>
      <c r="C525" s="764"/>
      <c r="D525" s="764"/>
      <c r="E525" s="764"/>
      <c r="F525" s="764"/>
      <c r="G525" s="764"/>
      <c r="H525" s="764"/>
      <c r="I525" s="764"/>
      <c r="J525" s="764"/>
      <c r="K525" s="764"/>
      <c r="L525" s="764"/>
      <c r="M525" s="764"/>
      <c r="N525" s="773"/>
      <c r="O525" s="764"/>
      <c r="P525" s="764"/>
      <c r="Q525" s="764"/>
      <c r="R525" s="764"/>
      <c r="S525" s="764"/>
      <c r="T525" s="764"/>
      <c r="U525" s="764"/>
      <c r="V525" s="764"/>
      <c r="W525" s="764"/>
      <c r="X525" s="764"/>
      <c r="Y525" s="764"/>
      <c r="Z525" s="764"/>
      <c r="AA525" s="764"/>
      <c r="AB525" s="764"/>
      <c r="AC525" s="764"/>
      <c r="AD525" s="794"/>
      <c r="AE525" s="764"/>
      <c r="AF525" s="764"/>
      <c r="AG525" s="764"/>
      <c r="AH525" s="764"/>
      <c r="AI525" s="764"/>
      <c r="AJ525" s="764"/>
      <c r="AK525" s="764"/>
      <c r="AL525" s="764"/>
      <c r="AM525" s="764"/>
      <c r="AN525" s="764"/>
      <c r="AO525" s="764"/>
      <c r="AP525" s="764"/>
      <c r="AQ525" s="764"/>
      <c r="AR525" s="764"/>
      <c r="AS525" s="764"/>
    </row>
    <row r="526" spans="1:45" ht="13.9">
      <c r="A526" s="764"/>
      <c r="B526" s="764"/>
      <c r="C526" s="764"/>
      <c r="D526" s="764"/>
      <c r="E526" s="764"/>
      <c r="F526" s="764"/>
      <c r="G526" s="764"/>
      <c r="H526" s="764"/>
      <c r="I526" s="764"/>
      <c r="J526" s="764"/>
      <c r="K526" s="764"/>
      <c r="L526" s="764"/>
      <c r="M526" s="764"/>
      <c r="N526" s="773"/>
      <c r="O526" s="764"/>
      <c r="P526" s="764"/>
      <c r="Q526" s="764"/>
      <c r="R526" s="764"/>
      <c r="S526" s="764"/>
      <c r="T526" s="764"/>
      <c r="U526" s="764"/>
      <c r="V526" s="764"/>
      <c r="W526" s="764"/>
      <c r="X526" s="764"/>
      <c r="Y526" s="764"/>
      <c r="Z526" s="764"/>
      <c r="AA526" s="764"/>
      <c r="AB526" s="764"/>
      <c r="AC526" s="764"/>
      <c r="AD526" s="794"/>
      <c r="AE526" s="764"/>
      <c r="AF526" s="764"/>
      <c r="AG526" s="764"/>
      <c r="AH526" s="764"/>
      <c r="AI526" s="764"/>
      <c r="AJ526" s="764"/>
      <c r="AK526" s="764"/>
      <c r="AL526" s="764"/>
      <c r="AM526" s="764"/>
      <c r="AN526" s="764"/>
      <c r="AO526" s="764"/>
      <c r="AP526" s="764"/>
      <c r="AQ526" s="764"/>
      <c r="AR526" s="764"/>
      <c r="AS526" s="764"/>
    </row>
    <row r="527" spans="1:45" ht="13.9">
      <c r="A527" s="764"/>
      <c r="B527" s="764"/>
      <c r="C527" s="764"/>
      <c r="D527" s="764"/>
      <c r="E527" s="764"/>
      <c r="F527" s="764"/>
      <c r="G527" s="764"/>
      <c r="H527" s="764"/>
      <c r="I527" s="764"/>
      <c r="J527" s="764"/>
      <c r="K527" s="764"/>
      <c r="L527" s="764"/>
      <c r="M527" s="764"/>
      <c r="N527" s="773"/>
      <c r="O527" s="764"/>
      <c r="P527" s="764"/>
      <c r="Q527" s="764"/>
      <c r="R527" s="764"/>
      <c r="S527" s="764"/>
      <c r="T527" s="764"/>
      <c r="U527" s="764"/>
      <c r="V527" s="764"/>
      <c r="W527" s="764"/>
      <c r="X527" s="764"/>
      <c r="Y527" s="764"/>
      <c r="Z527" s="764"/>
      <c r="AA527" s="764"/>
      <c r="AB527" s="764"/>
      <c r="AC527" s="764"/>
      <c r="AD527" s="794"/>
      <c r="AE527" s="764"/>
      <c r="AF527" s="764"/>
      <c r="AG527" s="764"/>
      <c r="AH527" s="764"/>
      <c r="AI527" s="764"/>
      <c r="AJ527" s="764"/>
      <c r="AK527" s="764"/>
      <c r="AL527" s="764"/>
      <c r="AM527" s="764"/>
      <c r="AN527" s="764"/>
      <c r="AO527" s="764"/>
      <c r="AP527" s="764"/>
      <c r="AQ527" s="764"/>
      <c r="AR527" s="764"/>
      <c r="AS527" s="764"/>
    </row>
    <row r="528" spans="1:45" ht="13.9">
      <c r="A528" s="764"/>
      <c r="B528" s="764"/>
      <c r="C528" s="764"/>
      <c r="D528" s="764"/>
      <c r="E528" s="764"/>
      <c r="F528" s="764"/>
      <c r="G528" s="764"/>
      <c r="H528" s="764"/>
      <c r="I528" s="764"/>
      <c r="J528" s="764"/>
      <c r="K528" s="764"/>
      <c r="L528" s="764"/>
      <c r="M528" s="764"/>
      <c r="N528" s="773"/>
      <c r="O528" s="764"/>
      <c r="P528" s="764"/>
      <c r="Q528" s="764"/>
      <c r="R528" s="764"/>
      <c r="S528" s="764"/>
      <c r="T528" s="764"/>
      <c r="U528" s="764"/>
      <c r="V528" s="764"/>
      <c r="W528" s="764"/>
      <c r="X528" s="764"/>
      <c r="Y528" s="764"/>
      <c r="Z528" s="764"/>
      <c r="AA528" s="764"/>
      <c r="AB528" s="764"/>
      <c r="AC528" s="764"/>
      <c r="AD528" s="794"/>
      <c r="AE528" s="764"/>
      <c r="AF528" s="764"/>
      <c r="AG528" s="764"/>
      <c r="AH528" s="764"/>
      <c r="AI528" s="764"/>
      <c r="AJ528" s="764"/>
      <c r="AK528" s="764"/>
      <c r="AL528" s="764"/>
      <c r="AM528" s="764"/>
      <c r="AN528" s="764"/>
      <c r="AO528" s="764"/>
      <c r="AP528" s="764"/>
      <c r="AQ528" s="764"/>
      <c r="AR528" s="764"/>
      <c r="AS528" s="764"/>
    </row>
    <row r="529" spans="1:45" ht="13.9">
      <c r="A529" s="764"/>
      <c r="B529" s="764"/>
      <c r="C529" s="764"/>
      <c r="D529" s="764"/>
      <c r="E529" s="764"/>
      <c r="F529" s="764"/>
      <c r="G529" s="764"/>
      <c r="H529" s="764"/>
      <c r="I529" s="764"/>
      <c r="J529" s="764"/>
      <c r="K529" s="764"/>
      <c r="L529" s="764"/>
      <c r="M529" s="764"/>
      <c r="N529" s="773"/>
      <c r="O529" s="764"/>
      <c r="P529" s="764"/>
      <c r="Q529" s="764"/>
      <c r="R529" s="764"/>
      <c r="S529" s="764"/>
      <c r="T529" s="764"/>
      <c r="U529" s="764"/>
      <c r="V529" s="764"/>
      <c r="W529" s="764"/>
      <c r="X529" s="764"/>
      <c r="Y529" s="764"/>
      <c r="Z529" s="764"/>
      <c r="AA529" s="764"/>
      <c r="AB529" s="764"/>
      <c r="AC529" s="764"/>
      <c r="AD529" s="794"/>
      <c r="AE529" s="764"/>
      <c r="AF529" s="764"/>
      <c r="AG529" s="764"/>
      <c r="AH529" s="764"/>
      <c r="AI529" s="764"/>
      <c r="AJ529" s="764"/>
      <c r="AK529" s="764"/>
      <c r="AL529" s="764"/>
      <c r="AM529" s="764"/>
      <c r="AN529" s="764"/>
      <c r="AO529" s="764"/>
      <c r="AP529" s="764"/>
      <c r="AQ529" s="764"/>
      <c r="AR529" s="764"/>
      <c r="AS529" s="764"/>
    </row>
    <row r="530" spans="1:45" ht="13.9">
      <c r="A530" s="764"/>
      <c r="B530" s="764"/>
      <c r="C530" s="764"/>
      <c r="D530" s="764"/>
      <c r="E530" s="764"/>
      <c r="F530" s="764"/>
      <c r="G530" s="764"/>
      <c r="H530" s="764"/>
      <c r="I530" s="764"/>
      <c r="J530" s="764"/>
      <c r="K530" s="764"/>
      <c r="L530" s="764"/>
      <c r="M530" s="764"/>
      <c r="N530" s="773"/>
      <c r="O530" s="764"/>
      <c r="P530" s="764"/>
      <c r="Q530" s="764"/>
      <c r="R530" s="764"/>
      <c r="S530" s="764"/>
      <c r="T530" s="764"/>
      <c r="U530" s="764"/>
      <c r="V530" s="764"/>
      <c r="W530" s="764"/>
      <c r="X530" s="764"/>
      <c r="Y530" s="764"/>
      <c r="Z530" s="764"/>
      <c r="AA530" s="764"/>
      <c r="AB530" s="764"/>
      <c r="AC530" s="764"/>
      <c r="AD530" s="794"/>
      <c r="AE530" s="764"/>
      <c r="AF530" s="764"/>
      <c r="AG530" s="764"/>
      <c r="AH530" s="764"/>
      <c r="AI530" s="764"/>
      <c r="AJ530" s="764"/>
      <c r="AK530" s="764"/>
      <c r="AL530" s="764"/>
      <c r="AM530" s="764"/>
      <c r="AN530" s="764"/>
      <c r="AO530" s="764"/>
      <c r="AP530" s="764"/>
      <c r="AQ530" s="764"/>
      <c r="AR530" s="764"/>
      <c r="AS530" s="764"/>
    </row>
    <row r="531" spans="1:45" ht="13.9">
      <c r="A531" s="764"/>
      <c r="B531" s="764"/>
      <c r="C531" s="764"/>
      <c r="D531" s="764"/>
      <c r="E531" s="764"/>
      <c r="F531" s="764"/>
      <c r="G531" s="764"/>
      <c r="H531" s="764"/>
      <c r="I531" s="764"/>
      <c r="J531" s="764"/>
      <c r="K531" s="764"/>
      <c r="L531" s="764"/>
      <c r="M531" s="764"/>
      <c r="N531" s="773"/>
      <c r="O531" s="764"/>
      <c r="P531" s="764"/>
      <c r="Q531" s="764"/>
      <c r="R531" s="764"/>
      <c r="S531" s="764"/>
      <c r="T531" s="764"/>
      <c r="U531" s="764"/>
      <c r="V531" s="764"/>
      <c r="W531" s="764"/>
      <c r="X531" s="764"/>
      <c r="Y531" s="764"/>
      <c r="Z531" s="764"/>
      <c r="AA531" s="764"/>
      <c r="AB531" s="764"/>
      <c r="AC531" s="764"/>
      <c r="AD531" s="794"/>
      <c r="AE531" s="764"/>
      <c r="AF531" s="764"/>
      <c r="AG531" s="764"/>
      <c r="AH531" s="764"/>
      <c r="AI531" s="764"/>
      <c r="AJ531" s="764"/>
      <c r="AK531" s="764"/>
      <c r="AL531" s="764"/>
      <c r="AM531" s="764"/>
      <c r="AN531" s="764"/>
      <c r="AO531" s="764"/>
      <c r="AP531" s="764"/>
      <c r="AQ531" s="764"/>
      <c r="AR531" s="764"/>
      <c r="AS531" s="764"/>
    </row>
    <row r="532" spans="1:45" ht="13.9">
      <c r="A532" s="764"/>
      <c r="B532" s="764"/>
      <c r="C532" s="764"/>
      <c r="D532" s="764"/>
      <c r="E532" s="764"/>
      <c r="F532" s="764"/>
      <c r="G532" s="764"/>
      <c r="H532" s="764"/>
      <c r="I532" s="764"/>
      <c r="J532" s="764"/>
      <c r="K532" s="764"/>
      <c r="L532" s="764"/>
      <c r="M532" s="764"/>
      <c r="N532" s="773"/>
      <c r="O532" s="764"/>
      <c r="P532" s="764"/>
      <c r="Q532" s="764"/>
      <c r="R532" s="764"/>
      <c r="S532" s="764"/>
      <c r="T532" s="764"/>
      <c r="U532" s="764"/>
      <c r="V532" s="764"/>
      <c r="W532" s="764"/>
      <c r="X532" s="764"/>
      <c r="Y532" s="764"/>
      <c r="Z532" s="764"/>
      <c r="AA532" s="764"/>
      <c r="AB532" s="764"/>
      <c r="AC532" s="764"/>
      <c r="AD532" s="794"/>
      <c r="AE532" s="764"/>
      <c r="AF532" s="764"/>
      <c r="AG532" s="764"/>
      <c r="AH532" s="764"/>
      <c r="AI532" s="764"/>
      <c r="AJ532" s="764"/>
      <c r="AK532" s="764"/>
      <c r="AL532" s="764"/>
      <c r="AM532" s="764"/>
      <c r="AN532" s="764"/>
      <c r="AO532" s="764"/>
      <c r="AP532" s="764"/>
      <c r="AQ532" s="764"/>
      <c r="AR532" s="764"/>
      <c r="AS532" s="764"/>
    </row>
    <row r="533" spans="1:45" ht="13.9">
      <c r="A533" s="764"/>
      <c r="B533" s="764"/>
      <c r="C533" s="764"/>
      <c r="D533" s="764"/>
      <c r="E533" s="764"/>
      <c r="F533" s="764"/>
      <c r="G533" s="764"/>
      <c r="H533" s="764"/>
      <c r="I533" s="764"/>
      <c r="J533" s="764"/>
      <c r="K533" s="764"/>
      <c r="L533" s="764"/>
      <c r="M533" s="764"/>
      <c r="N533" s="773"/>
      <c r="O533" s="764"/>
      <c r="P533" s="764"/>
      <c r="Q533" s="764"/>
      <c r="R533" s="764"/>
      <c r="S533" s="764"/>
      <c r="T533" s="764"/>
      <c r="U533" s="764"/>
      <c r="V533" s="764"/>
      <c r="W533" s="764"/>
      <c r="X533" s="764"/>
      <c r="Y533" s="764"/>
      <c r="Z533" s="764"/>
      <c r="AA533" s="764"/>
      <c r="AB533" s="764"/>
      <c r="AC533" s="764"/>
      <c r="AD533" s="794"/>
      <c r="AE533" s="764"/>
      <c r="AF533" s="764"/>
      <c r="AG533" s="764"/>
      <c r="AH533" s="764"/>
      <c r="AI533" s="764"/>
      <c r="AJ533" s="764"/>
      <c r="AK533" s="764"/>
      <c r="AL533" s="764"/>
      <c r="AM533" s="764"/>
      <c r="AN533" s="764"/>
      <c r="AO533" s="764"/>
      <c r="AP533" s="764"/>
      <c r="AQ533" s="764"/>
      <c r="AR533" s="764"/>
      <c r="AS533" s="764"/>
    </row>
    <row r="534" spans="1:45" ht="13.9">
      <c r="A534" s="764"/>
      <c r="B534" s="764"/>
      <c r="C534" s="764"/>
      <c r="D534" s="764"/>
      <c r="E534" s="764"/>
      <c r="F534" s="764"/>
      <c r="G534" s="764"/>
      <c r="H534" s="764"/>
      <c r="I534" s="764"/>
      <c r="J534" s="764"/>
      <c r="K534" s="764"/>
      <c r="L534" s="764"/>
      <c r="M534" s="764"/>
      <c r="N534" s="773"/>
      <c r="O534" s="764"/>
      <c r="P534" s="764"/>
      <c r="Q534" s="764"/>
      <c r="R534" s="764"/>
      <c r="S534" s="764"/>
      <c r="T534" s="764"/>
      <c r="U534" s="764"/>
      <c r="V534" s="764"/>
      <c r="W534" s="764"/>
      <c r="X534" s="764"/>
      <c r="Y534" s="764"/>
      <c r="Z534" s="764"/>
      <c r="AA534" s="764"/>
      <c r="AB534" s="764"/>
      <c r="AC534" s="764"/>
      <c r="AD534" s="794"/>
      <c r="AE534" s="764"/>
      <c r="AF534" s="764"/>
      <c r="AG534" s="764"/>
      <c r="AH534" s="764"/>
      <c r="AI534" s="764"/>
      <c r="AJ534" s="764"/>
      <c r="AK534" s="764"/>
      <c r="AL534" s="764"/>
      <c r="AM534" s="764"/>
      <c r="AN534" s="764"/>
      <c r="AO534" s="764"/>
      <c r="AP534" s="764"/>
      <c r="AQ534" s="764"/>
      <c r="AR534" s="764"/>
      <c r="AS534" s="764"/>
    </row>
    <row r="535" spans="1:45" ht="13.9">
      <c r="A535" s="764"/>
      <c r="B535" s="764"/>
      <c r="C535" s="764"/>
      <c r="D535" s="764"/>
      <c r="E535" s="764"/>
      <c r="F535" s="764"/>
      <c r="G535" s="764"/>
      <c r="H535" s="764"/>
      <c r="I535" s="764"/>
      <c r="J535" s="764"/>
      <c r="K535" s="764"/>
      <c r="L535" s="764"/>
      <c r="M535" s="764"/>
      <c r="N535" s="773"/>
      <c r="O535" s="764"/>
      <c r="P535" s="764"/>
      <c r="Q535" s="764"/>
      <c r="R535" s="764"/>
      <c r="S535" s="764"/>
      <c r="T535" s="764"/>
      <c r="U535" s="764"/>
      <c r="V535" s="764"/>
      <c r="W535" s="764"/>
      <c r="X535" s="764"/>
      <c r="Y535" s="764"/>
      <c r="Z535" s="764"/>
      <c r="AA535" s="764"/>
      <c r="AB535" s="764"/>
      <c r="AC535" s="764"/>
      <c r="AD535" s="794"/>
      <c r="AE535" s="764"/>
      <c r="AF535" s="764"/>
      <c r="AG535" s="764"/>
      <c r="AH535" s="764"/>
      <c r="AI535" s="764"/>
      <c r="AJ535" s="764"/>
      <c r="AK535" s="764"/>
      <c r="AL535" s="764"/>
      <c r="AM535" s="764"/>
      <c r="AN535" s="764"/>
      <c r="AO535" s="764"/>
      <c r="AP535" s="764"/>
      <c r="AQ535" s="764"/>
      <c r="AR535" s="764"/>
      <c r="AS535" s="764"/>
    </row>
    <row r="536" spans="1:45" ht="13.9">
      <c r="A536" s="764"/>
      <c r="B536" s="764"/>
      <c r="C536" s="764"/>
      <c r="D536" s="764"/>
      <c r="E536" s="764"/>
      <c r="F536" s="764"/>
      <c r="G536" s="764"/>
      <c r="H536" s="764"/>
      <c r="I536" s="764"/>
      <c r="J536" s="764"/>
      <c r="K536" s="764"/>
      <c r="L536" s="764"/>
      <c r="M536" s="764"/>
      <c r="N536" s="773"/>
      <c r="O536" s="764"/>
      <c r="P536" s="764"/>
      <c r="Q536" s="764"/>
      <c r="R536" s="764"/>
      <c r="S536" s="764"/>
      <c r="T536" s="764"/>
      <c r="U536" s="764"/>
      <c r="V536" s="764"/>
      <c r="W536" s="764"/>
      <c r="X536" s="764"/>
      <c r="Y536" s="764"/>
      <c r="Z536" s="764"/>
      <c r="AA536" s="764"/>
      <c r="AB536" s="764"/>
      <c r="AC536" s="764"/>
      <c r="AD536" s="794"/>
      <c r="AE536" s="764"/>
      <c r="AF536" s="764"/>
      <c r="AG536" s="764"/>
      <c r="AH536" s="764"/>
      <c r="AI536" s="764"/>
      <c r="AJ536" s="764"/>
      <c r="AK536" s="764"/>
      <c r="AL536" s="764"/>
      <c r="AM536" s="764"/>
      <c r="AN536" s="764"/>
      <c r="AO536" s="764"/>
      <c r="AP536" s="764"/>
      <c r="AQ536" s="764"/>
      <c r="AR536" s="764"/>
      <c r="AS536" s="764"/>
    </row>
    <row r="537" spans="1:45" ht="13.9">
      <c r="A537" s="764"/>
      <c r="B537" s="764"/>
      <c r="C537" s="764"/>
      <c r="D537" s="764"/>
      <c r="E537" s="764"/>
      <c r="F537" s="764"/>
      <c r="G537" s="764"/>
      <c r="H537" s="764"/>
      <c r="I537" s="764"/>
      <c r="J537" s="764"/>
      <c r="K537" s="764"/>
      <c r="L537" s="764"/>
      <c r="M537" s="764"/>
      <c r="N537" s="773"/>
      <c r="O537" s="764"/>
      <c r="P537" s="764"/>
      <c r="Q537" s="764"/>
      <c r="R537" s="764"/>
      <c r="S537" s="764"/>
      <c r="T537" s="764"/>
      <c r="U537" s="764"/>
      <c r="V537" s="764"/>
      <c r="W537" s="764"/>
      <c r="X537" s="764"/>
      <c r="Y537" s="764"/>
      <c r="Z537" s="764"/>
      <c r="AA537" s="764"/>
      <c r="AB537" s="764"/>
      <c r="AC537" s="764"/>
      <c r="AD537" s="794"/>
      <c r="AE537" s="764"/>
      <c r="AF537" s="764"/>
      <c r="AG537" s="764"/>
      <c r="AH537" s="764"/>
      <c r="AI537" s="764"/>
      <c r="AJ537" s="764"/>
      <c r="AK537" s="764"/>
      <c r="AL537" s="764"/>
      <c r="AM537" s="764"/>
      <c r="AN537" s="764"/>
      <c r="AO537" s="764"/>
      <c r="AP537" s="764"/>
      <c r="AQ537" s="764"/>
      <c r="AR537" s="764"/>
      <c r="AS537" s="764"/>
    </row>
    <row r="538" spans="1:45" ht="13.9">
      <c r="A538" s="764"/>
      <c r="B538" s="764"/>
      <c r="C538" s="764"/>
      <c r="D538" s="764"/>
      <c r="E538" s="764"/>
      <c r="F538" s="764"/>
      <c r="G538" s="764"/>
      <c r="H538" s="764"/>
      <c r="I538" s="764"/>
      <c r="J538" s="764"/>
      <c r="K538" s="764"/>
      <c r="L538" s="764"/>
      <c r="M538" s="764"/>
      <c r="N538" s="773"/>
      <c r="O538" s="764"/>
      <c r="P538" s="764"/>
      <c r="Q538" s="764"/>
      <c r="R538" s="764"/>
      <c r="S538" s="764"/>
      <c r="T538" s="764"/>
      <c r="U538" s="764"/>
      <c r="V538" s="764"/>
      <c r="W538" s="764"/>
      <c r="X538" s="764"/>
      <c r="Y538" s="764"/>
      <c r="Z538" s="764"/>
      <c r="AA538" s="764"/>
      <c r="AB538" s="764"/>
      <c r="AC538" s="764"/>
      <c r="AD538" s="794"/>
      <c r="AE538" s="764"/>
      <c r="AF538" s="764"/>
      <c r="AG538" s="764"/>
      <c r="AH538" s="764"/>
      <c r="AI538" s="764"/>
      <c r="AJ538" s="764"/>
      <c r="AK538" s="764"/>
      <c r="AL538" s="764"/>
      <c r="AM538" s="764"/>
      <c r="AN538" s="764"/>
      <c r="AO538" s="764"/>
      <c r="AP538" s="764"/>
      <c r="AQ538" s="764"/>
      <c r="AR538" s="764"/>
      <c r="AS538" s="764"/>
    </row>
    <row r="539" spans="1:45" ht="13.9">
      <c r="A539" s="764"/>
      <c r="B539" s="764"/>
      <c r="C539" s="764"/>
      <c r="D539" s="764"/>
      <c r="E539" s="764"/>
      <c r="F539" s="764"/>
      <c r="G539" s="764"/>
      <c r="H539" s="764"/>
      <c r="I539" s="764"/>
      <c r="J539" s="764"/>
      <c r="K539" s="764"/>
      <c r="L539" s="764"/>
      <c r="M539" s="764"/>
      <c r="N539" s="773"/>
      <c r="O539" s="764"/>
      <c r="P539" s="764"/>
      <c r="Q539" s="764"/>
      <c r="R539" s="764"/>
      <c r="S539" s="764"/>
      <c r="T539" s="764"/>
      <c r="U539" s="764"/>
      <c r="V539" s="764"/>
      <c r="W539" s="764"/>
      <c r="X539" s="764"/>
      <c r="Y539" s="764"/>
      <c r="Z539" s="764"/>
      <c r="AA539" s="764"/>
      <c r="AB539" s="764"/>
      <c r="AC539" s="764"/>
      <c r="AD539" s="794"/>
      <c r="AE539" s="764"/>
      <c r="AF539" s="764"/>
      <c r="AG539" s="764"/>
      <c r="AH539" s="764"/>
      <c r="AI539" s="764"/>
      <c r="AJ539" s="764"/>
      <c r="AK539" s="764"/>
      <c r="AL539" s="764"/>
      <c r="AM539" s="764"/>
      <c r="AN539" s="764"/>
      <c r="AO539" s="764"/>
      <c r="AP539" s="764"/>
      <c r="AQ539" s="764"/>
      <c r="AR539" s="764"/>
      <c r="AS539" s="764"/>
    </row>
    <row r="540" spans="1:45" ht="13.9">
      <c r="A540" s="764"/>
      <c r="B540" s="764"/>
      <c r="C540" s="764"/>
      <c r="D540" s="764"/>
      <c r="E540" s="764"/>
      <c r="F540" s="764"/>
      <c r="G540" s="764"/>
      <c r="H540" s="764"/>
      <c r="I540" s="764"/>
      <c r="J540" s="764"/>
      <c r="K540" s="764"/>
      <c r="L540" s="764"/>
      <c r="M540" s="764"/>
      <c r="N540" s="773"/>
      <c r="O540" s="764"/>
      <c r="P540" s="764"/>
      <c r="Q540" s="764"/>
      <c r="R540" s="764"/>
      <c r="S540" s="764"/>
      <c r="T540" s="764"/>
      <c r="U540" s="764"/>
      <c r="V540" s="764"/>
      <c r="W540" s="764"/>
      <c r="X540" s="764"/>
      <c r="Y540" s="764"/>
      <c r="Z540" s="764"/>
      <c r="AA540" s="764"/>
      <c r="AB540" s="764"/>
      <c r="AC540" s="764"/>
      <c r="AD540" s="794"/>
      <c r="AE540" s="764"/>
      <c r="AF540" s="764"/>
      <c r="AG540" s="764"/>
      <c r="AH540" s="764"/>
      <c r="AI540" s="764"/>
      <c r="AJ540" s="764"/>
      <c r="AK540" s="764"/>
      <c r="AL540" s="764"/>
      <c r="AM540" s="764"/>
      <c r="AN540" s="764"/>
      <c r="AO540" s="764"/>
      <c r="AP540" s="764"/>
      <c r="AQ540" s="764"/>
      <c r="AR540" s="764"/>
      <c r="AS540" s="764"/>
    </row>
    <row r="541" spans="1:45" ht="13.9">
      <c r="A541" s="764"/>
      <c r="B541" s="764"/>
      <c r="C541" s="764"/>
      <c r="D541" s="764"/>
      <c r="E541" s="764"/>
      <c r="F541" s="764"/>
      <c r="G541" s="764"/>
      <c r="H541" s="764"/>
      <c r="I541" s="764"/>
      <c r="J541" s="764"/>
      <c r="K541" s="764"/>
      <c r="L541" s="764"/>
      <c r="M541" s="764"/>
      <c r="N541" s="773"/>
      <c r="O541" s="764"/>
      <c r="P541" s="764"/>
      <c r="Q541" s="764"/>
      <c r="R541" s="764"/>
      <c r="S541" s="764"/>
      <c r="T541" s="764"/>
      <c r="U541" s="764"/>
      <c r="V541" s="764"/>
      <c r="W541" s="764"/>
      <c r="X541" s="764"/>
      <c r="Y541" s="764"/>
      <c r="Z541" s="764"/>
      <c r="AA541" s="764"/>
      <c r="AB541" s="764"/>
      <c r="AC541" s="764"/>
      <c r="AD541" s="794"/>
      <c r="AE541" s="764"/>
      <c r="AF541" s="764"/>
      <c r="AG541" s="764"/>
      <c r="AH541" s="764"/>
      <c r="AI541" s="764"/>
      <c r="AJ541" s="764"/>
      <c r="AK541" s="764"/>
      <c r="AL541" s="764"/>
      <c r="AM541" s="764"/>
      <c r="AN541" s="764"/>
      <c r="AO541" s="764"/>
      <c r="AP541" s="764"/>
      <c r="AQ541" s="764"/>
      <c r="AR541" s="764"/>
      <c r="AS541" s="764"/>
    </row>
    <row r="542" spans="1:45" ht="13.9">
      <c r="A542" s="764"/>
      <c r="B542" s="764"/>
      <c r="C542" s="764"/>
      <c r="D542" s="764"/>
      <c r="E542" s="764"/>
      <c r="F542" s="764"/>
      <c r="G542" s="764"/>
      <c r="H542" s="764"/>
      <c r="I542" s="764"/>
      <c r="J542" s="764"/>
      <c r="K542" s="764"/>
      <c r="L542" s="764"/>
      <c r="M542" s="764"/>
      <c r="N542" s="773"/>
      <c r="O542" s="764"/>
      <c r="P542" s="764"/>
      <c r="Q542" s="764"/>
      <c r="R542" s="764"/>
      <c r="S542" s="764"/>
      <c r="T542" s="764"/>
      <c r="U542" s="764"/>
      <c r="V542" s="764"/>
      <c r="W542" s="764"/>
      <c r="X542" s="764"/>
      <c r="Y542" s="764"/>
      <c r="Z542" s="764"/>
      <c r="AA542" s="764"/>
      <c r="AB542" s="764"/>
      <c r="AC542" s="764"/>
      <c r="AD542" s="794"/>
      <c r="AE542" s="764"/>
      <c r="AF542" s="764"/>
      <c r="AG542" s="764"/>
      <c r="AH542" s="764"/>
      <c r="AI542" s="764"/>
      <c r="AJ542" s="764"/>
      <c r="AK542" s="764"/>
      <c r="AL542" s="764"/>
      <c r="AM542" s="764"/>
      <c r="AN542" s="764"/>
      <c r="AO542" s="764"/>
      <c r="AP542" s="764"/>
      <c r="AQ542" s="764"/>
      <c r="AR542" s="764"/>
      <c r="AS542" s="764"/>
    </row>
    <row r="543" spans="1:45" ht="13.9">
      <c r="A543" s="764"/>
      <c r="B543" s="764"/>
      <c r="C543" s="764"/>
      <c r="D543" s="764"/>
      <c r="E543" s="764"/>
      <c r="F543" s="764"/>
      <c r="G543" s="764"/>
      <c r="H543" s="764"/>
      <c r="I543" s="764"/>
      <c r="J543" s="764"/>
      <c r="K543" s="764"/>
      <c r="L543" s="764"/>
      <c r="M543" s="764"/>
      <c r="N543" s="773"/>
      <c r="O543" s="764"/>
      <c r="P543" s="764"/>
      <c r="Q543" s="764"/>
      <c r="R543" s="764"/>
      <c r="S543" s="764"/>
      <c r="T543" s="764"/>
      <c r="U543" s="764"/>
      <c r="V543" s="764"/>
      <c r="W543" s="764"/>
      <c r="X543" s="764"/>
      <c r="Y543" s="764"/>
      <c r="Z543" s="764"/>
      <c r="AA543" s="764"/>
      <c r="AB543" s="764"/>
      <c r="AC543" s="764"/>
      <c r="AD543" s="794"/>
      <c r="AE543" s="764"/>
      <c r="AF543" s="764"/>
      <c r="AG543" s="764"/>
      <c r="AH543" s="764"/>
      <c r="AI543" s="764"/>
      <c r="AJ543" s="764"/>
      <c r="AK543" s="764"/>
      <c r="AL543" s="764"/>
      <c r="AM543" s="764"/>
      <c r="AN543" s="764"/>
      <c r="AO543" s="764"/>
      <c r="AP543" s="764"/>
      <c r="AQ543" s="764"/>
      <c r="AR543" s="764"/>
      <c r="AS543" s="764"/>
    </row>
    <row r="544" spans="1:45" ht="13.9">
      <c r="A544" s="764"/>
      <c r="B544" s="764"/>
      <c r="C544" s="764"/>
      <c r="D544" s="764"/>
      <c r="E544" s="764"/>
      <c r="F544" s="764"/>
      <c r="G544" s="764"/>
      <c r="H544" s="764"/>
      <c r="I544" s="764"/>
      <c r="J544" s="764"/>
      <c r="K544" s="764"/>
      <c r="L544" s="764"/>
      <c r="M544" s="764"/>
      <c r="N544" s="773"/>
      <c r="O544" s="764"/>
      <c r="P544" s="764"/>
      <c r="Q544" s="764"/>
      <c r="R544" s="764"/>
      <c r="S544" s="764"/>
      <c r="T544" s="764"/>
      <c r="U544" s="764"/>
      <c r="V544" s="764"/>
      <c r="W544" s="764"/>
      <c r="X544" s="764"/>
      <c r="Y544" s="764"/>
      <c r="Z544" s="764"/>
      <c r="AA544" s="764"/>
      <c r="AB544" s="764"/>
      <c r="AC544" s="764"/>
      <c r="AD544" s="794"/>
      <c r="AE544" s="764"/>
      <c r="AF544" s="764"/>
      <c r="AG544" s="764"/>
      <c r="AH544" s="764"/>
      <c r="AI544" s="764"/>
      <c r="AJ544" s="764"/>
      <c r="AK544" s="764"/>
      <c r="AL544" s="764"/>
      <c r="AM544" s="764"/>
      <c r="AN544" s="764"/>
      <c r="AO544" s="764"/>
      <c r="AP544" s="764"/>
      <c r="AQ544" s="764"/>
      <c r="AR544" s="764"/>
      <c r="AS544" s="764"/>
    </row>
    <row r="545" spans="1:45" ht="13.9">
      <c r="A545" s="764"/>
      <c r="B545" s="764"/>
      <c r="C545" s="764"/>
      <c r="D545" s="764"/>
      <c r="E545" s="764"/>
      <c r="F545" s="764"/>
      <c r="G545" s="764"/>
      <c r="H545" s="764"/>
      <c r="I545" s="764"/>
      <c r="J545" s="764"/>
      <c r="K545" s="764"/>
      <c r="L545" s="764"/>
      <c r="M545" s="764"/>
      <c r="N545" s="773"/>
      <c r="O545" s="764"/>
      <c r="P545" s="764"/>
      <c r="Q545" s="764"/>
      <c r="R545" s="764"/>
      <c r="S545" s="764"/>
      <c r="T545" s="764"/>
      <c r="U545" s="764"/>
      <c r="V545" s="764"/>
      <c r="W545" s="764"/>
      <c r="X545" s="764"/>
      <c r="Y545" s="764"/>
      <c r="Z545" s="764"/>
      <c r="AA545" s="764"/>
      <c r="AB545" s="764"/>
      <c r="AC545" s="764"/>
      <c r="AD545" s="794"/>
      <c r="AE545" s="764"/>
      <c r="AF545" s="764"/>
      <c r="AG545" s="764"/>
      <c r="AH545" s="764"/>
      <c r="AI545" s="764"/>
      <c r="AJ545" s="764"/>
      <c r="AK545" s="764"/>
      <c r="AL545" s="764"/>
      <c r="AM545" s="764"/>
      <c r="AN545" s="764"/>
      <c r="AO545" s="764"/>
      <c r="AP545" s="764"/>
      <c r="AQ545" s="764"/>
      <c r="AR545" s="764"/>
      <c r="AS545" s="764"/>
    </row>
    <row r="546" spans="1:45" ht="13.9">
      <c r="A546" s="764"/>
      <c r="B546" s="764"/>
      <c r="C546" s="764"/>
      <c r="D546" s="764"/>
      <c r="E546" s="764"/>
      <c r="F546" s="764"/>
      <c r="G546" s="764"/>
      <c r="H546" s="764"/>
      <c r="I546" s="764"/>
      <c r="J546" s="764"/>
      <c r="K546" s="764"/>
      <c r="L546" s="764"/>
      <c r="M546" s="764"/>
      <c r="N546" s="773"/>
      <c r="O546" s="764"/>
      <c r="P546" s="764"/>
      <c r="Q546" s="764"/>
      <c r="R546" s="764"/>
      <c r="S546" s="764"/>
      <c r="T546" s="764"/>
      <c r="U546" s="764"/>
      <c r="V546" s="764"/>
      <c r="W546" s="764"/>
      <c r="X546" s="764"/>
      <c r="Y546" s="764"/>
      <c r="Z546" s="764"/>
      <c r="AA546" s="764"/>
      <c r="AB546" s="764"/>
      <c r="AC546" s="764"/>
      <c r="AD546" s="794"/>
      <c r="AE546" s="764"/>
      <c r="AF546" s="764"/>
      <c r="AG546" s="764"/>
      <c r="AH546" s="764"/>
      <c r="AI546" s="764"/>
      <c r="AJ546" s="764"/>
      <c r="AK546" s="764"/>
      <c r="AL546" s="764"/>
      <c r="AM546" s="764"/>
      <c r="AN546" s="764"/>
      <c r="AO546" s="764"/>
      <c r="AP546" s="764"/>
      <c r="AQ546" s="764"/>
      <c r="AR546" s="764"/>
      <c r="AS546" s="764"/>
    </row>
    <row r="547" spans="1:45" ht="13.9">
      <c r="A547" s="764"/>
      <c r="B547" s="764"/>
      <c r="C547" s="764"/>
      <c r="D547" s="764"/>
      <c r="E547" s="764"/>
      <c r="F547" s="764"/>
      <c r="G547" s="764"/>
      <c r="H547" s="764"/>
      <c r="I547" s="764"/>
      <c r="J547" s="764"/>
      <c r="K547" s="764"/>
      <c r="L547" s="764"/>
      <c r="M547" s="764"/>
      <c r="N547" s="773"/>
      <c r="O547" s="764"/>
      <c r="P547" s="764"/>
      <c r="Q547" s="764"/>
      <c r="R547" s="764"/>
      <c r="S547" s="764"/>
      <c r="T547" s="764"/>
      <c r="U547" s="764"/>
      <c r="V547" s="764"/>
      <c r="W547" s="764"/>
      <c r="X547" s="764"/>
      <c r="Y547" s="764"/>
      <c r="Z547" s="764"/>
      <c r="AA547" s="764"/>
      <c r="AB547" s="764"/>
      <c r="AC547" s="764"/>
      <c r="AD547" s="794"/>
      <c r="AE547" s="764"/>
      <c r="AF547" s="764"/>
      <c r="AG547" s="764"/>
      <c r="AH547" s="764"/>
      <c r="AI547" s="764"/>
      <c r="AJ547" s="764"/>
      <c r="AK547" s="764"/>
      <c r="AL547" s="764"/>
      <c r="AM547" s="764"/>
      <c r="AN547" s="764"/>
      <c r="AO547" s="764"/>
      <c r="AP547" s="764"/>
      <c r="AQ547" s="764"/>
      <c r="AR547" s="764"/>
      <c r="AS547" s="764"/>
    </row>
    <row r="548" spans="1:45" ht="13.9">
      <c r="A548" s="764"/>
      <c r="B548" s="764"/>
      <c r="C548" s="764"/>
      <c r="D548" s="764"/>
      <c r="E548" s="764"/>
      <c r="F548" s="764"/>
      <c r="G548" s="764"/>
      <c r="H548" s="764"/>
      <c r="I548" s="764"/>
      <c r="J548" s="764"/>
      <c r="K548" s="764"/>
      <c r="L548" s="764"/>
      <c r="M548" s="764"/>
      <c r="N548" s="773"/>
      <c r="O548" s="764"/>
      <c r="P548" s="764"/>
      <c r="Q548" s="764"/>
      <c r="R548" s="764"/>
      <c r="S548" s="764"/>
      <c r="T548" s="764"/>
      <c r="U548" s="764"/>
      <c r="V548" s="764"/>
      <c r="W548" s="764"/>
      <c r="X548" s="764"/>
      <c r="Y548" s="764"/>
      <c r="Z548" s="764"/>
      <c r="AA548" s="764"/>
      <c r="AB548" s="764"/>
      <c r="AC548" s="764"/>
      <c r="AD548" s="794"/>
      <c r="AE548" s="764"/>
      <c r="AF548" s="764"/>
      <c r="AG548" s="764"/>
      <c r="AH548" s="764"/>
      <c r="AI548" s="764"/>
      <c r="AJ548" s="764"/>
      <c r="AK548" s="764"/>
      <c r="AL548" s="764"/>
      <c r="AM548" s="764"/>
      <c r="AN548" s="764"/>
      <c r="AO548" s="764"/>
      <c r="AP548" s="764"/>
      <c r="AQ548" s="764"/>
      <c r="AR548" s="764"/>
      <c r="AS548" s="764"/>
    </row>
    <row r="549" spans="1:45" ht="13.9">
      <c r="A549" s="764"/>
      <c r="B549" s="764"/>
      <c r="C549" s="764"/>
      <c r="D549" s="764"/>
      <c r="E549" s="764"/>
      <c r="F549" s="764"/>
      <c r="G549" s="764"/>
      <c r="H549" s="764"/>
      <c r="I549" s="764"/>
      <c r="J549" s="764"/>
      <c r="K549" s="764"/>
      <c r="L549" s="764"/>
      <c r="M549" s="764"/>
      <c r="N549" s="773"/>
      <c r="O549" s="764"/>
      <c r="P549" s="764"/>
      <c r="Q549" s="764"/>
      <c r="R549" s="764"/>
      <c r="S549" s="764"/>
      <c r="T549" s="764"/>
      <c r="U549" s="764"/>
      <c r="V549" s="764"/>
      <c r="W549" s="764"/>
      <c r="X549" s="764"/>
      <c r="Y549" s="764"/>
      <c r="Z549" s="764"/>
      <c r="AA549" s="764"/>
      <c r="AB549" s="764"/>
      <c r="AC549" s="764"/>
      <c r="AD549" s="794"/>
      <c r="AE549" s="764"/>
      <c r="AF549" s="764"/>
      <c r="AG549" s="764"/>
      <c r="AH549" s="764"/>
      <c r="AI549" s="764"/>
      <c r="AJ549" s="764"/>
      <c r="AK549" s="764"/>
      <c r="AL549" s="764"/>
      <c r="AM549" s="764"/>
      <c r="AN549" s="764"/>
      <c r="AO549" s="764"/>
      <c r="AP549" s="764"/>
      <c r="AQ549" s="764"/>
      <c r="AR549" s="764"/>
      <c r="AS549" s="764"/>
    </row>
    <row r="550" spans="1:45" ht="13.9">
      <c r="A550" s="764"/>
      <c r="B550" s="764"/>
      <c r="C550" s="764"/>
      <c r="D550" s="764"/>
      <c r="E550" s="764"/>
      <c r="F550" s="764"/>
      <c r="G550" s="764"/>
      <c r="H550" s="764"/>
      <c r="I550" s="764"/>
      <c r="J550" s="764"/>
      <c r="K550" s="764"/>
      <c r="L550" s="764"/>
      <c r="M550" s="764"/>
      <c r="N550" s="773"/>
      <c r="O550" s="764"/>
      <c r="P550" s="764"/>
      <c r="Q550" s="764"/>
      <c r="R550" s="764"/>
      <c r="S550" s="764"/>
      <c r="T550" s="764"/>
      <c r="U550" s="764"/>
      <c r="V550" s="764"/>
      <c r="W550" s="764"/>
      <c r="X550" s="764"/>
      <c r="Y550" s="764"/>
      <c r="Z550" s="764"/>
      <c r="AA550" s="764"/>
      <c r="AB550" s="764"/>
      <c r="AC550" s="764"/>
      <c r="AD550" s="794"/>
      <c r="AE550" s="764"/>
      <c r="AF550" s="764"/>
      <c r="AG550" s="764"/>
      <c r="AH550" s="764"/>
      <c r="AI550" s="764"/>
      <c r="AJ550" s="764"/>
      <c r="AK550" s="764"/>
      <c r="AL550" s="764"/>
      <c r="AM550" s="764"/>
      <c r="AN550" s="764"/>
      <c r="AO550" s="764"/>
      <c r="AP550" s="764"/>
      <c r="AQ550" s="764"/>
      <c r="AR550" s="764"/>
      <c r="AS550" s="764"/>
    </row>
    <row r="551" spans="1:45" ht="13.9">
      <c r="A551" s="764"/>
      <c r="B551" s="764"/>
      <c r="C551" s="764"/>
      <c r="D551" s="764"/>
      <c r="E551" s="764"/>
      <c r="F551" s="764"/>
      <c r="G551" s="764"/>
      <c r="H551" s="764"/>
      <c r="I551" s="764"/>
      <c r="J551" s="764"/>
      <c r="K551" s="764"/>
      <c r="L551" s="764"/>
      <c r="M551" s="764"/>
      <c r="N551" s="773"/>
      <c r="O551" s="764"/>
      <c r="P551" s="764"/>
      <c r="Q551" s="764"/>
      <c r="R551" s="764"/>
      <c r="S551" s="764"/>
      <c r="T551" s="764"/>
      <c r="U551" s="764"/>
      <c r="V551" s="764"/>
      <c r="W551" s="764"/>
      <c r="X551" s="764"/>
      <c r="Y551" s="764"/>
      <c r="Z551" s="764"/>
      <c r="AA551" s="764"/>
      <c r="AB551" s="764"/>
      <c r="AC551" s="764"/>
      <c r="AD551" s="794"/>
      <c r="AE551" s="764"/>
      <c r="AF551" s="764"/>
      <c r="AG551" s="764"/>
      <c r="AH551" s="764"/>
      <c r="AI551" s="764"/>
      <c r="AJ551" s="764"/>
      <c r="AK551" s="764"/>
      <c r="AL551" s="764"/>
      <c r="AM551" s="764"/>
      <c r="AN551" s="764"/>
      <c r="AO551" s="764"/>
      <c r="AP551" s="764"/>
      <c r="AQ551" s="764"/>
      <c r="AR551" s="764"/>
      <c r="AS551" s="764"/>
    </row>
    <row r="552" spans="1:45" ht="13.9">
      <c r="A552" s="764"/>
      <c r="B552" s="764"/>
      <c r="C552" s="764"/>
      <c r="D552" s="764"/>
      <c r="E552" s="764"/>
      <c r="F552" s="764"/>
      <c r="G552" s="764"/>
      <c r="H552" s="764"/>
      <c r="I552" s="764"/>
      <c r="J552" s="764"/>
      <c r="K552" s="764"/>
      <c r="L552" s="764"/>
      <c r="M552" s="764"/>
      <c r="N552" s="773"/>
      <c r="O552" s="764"/>
      <c r="P552" s="764"/>
      <c r="Q552" s="764"/>
      <c r="R552" s="764"/>
      <c r="S552" s="764"/>
      <c r="T552" s="764"/>
      <c r="U552" s="764"/>
      <c r="V552" s="764"/>
      <c r="W552" s="764"/>
      <c r="X552" s="764"/>
      <c r="Y552" s="764"/>
      <c r="Z552" s="764"/>
      <c r="AA552" s="764"/>
      <c r="AB552" s="764"/>
      <c r="AC552" s="764"/>
      <c r="AD552" s="794"/>
      <c r="AE552" s="764"/>
      <c r="AF552" s="764"/>
      <c r="AG552" s="764"/>
      <c r="AH552" s="764"/>
      <c r="AI552" s="764"/>
      <c r="AJ552" s="764"/>
      <c r="AK552" s="764"/>
      <c r="AL552" s="764"/>
      <c r="AM552" s="764"/>
      <c r="AN552" s="764"/>
      <c r="AO552" s="764"/>
      <c r="AP552" s="764"/>
      <c r="AQ552" s="764"/>
      <c r="AR552" s="764"/>
      <c r="AS552" s="764"/>
    </row>
    <row r="553" spans="1:45" ht="13.9">
      <c r="A553" s="764"/>
      <c r="B553" s="764"/>
      <c r="C553" s="764"/>
      <c r="D553" s="764"/>
      <c r="E553" s="764"/>
      <c r="F553" s="764"/>
      <c r="G553" s="764"/>
      <c r="H553" s="764"/>
      <c r="I553" s="764"/>
      <c r="J553" s="764"/>
      <c r="K553" s="764"/>
      <c r="L553" s="764"/>
      <c r="M553" s="764"/>
      <c r="N553" s="773"/>
      <c r="O553" s="764"/>
      <c r="P553" s="764"/>
      <c r="Q553" s="764"/>
      <c r="R553" s="764"/>
      <c r="S553" s="764"/>
      <c r="T553" s="764"/>
      <c r="U553" s="764"/>
      <c r="V553" s="764"/>
      <c r="W553" s="764"/>
      <c r="X553" s="764"/>
      <c r="Y553" s="764"/>
      <c r="Z553" s="764"/>
      <c r="AA553" s="764"/>
      <c r="AB553" s="764"/>
      <c r="AC553" s="764"/>
      <c r="AD553" s="794"/>
      <c r="AE553" s="764"/>
      <c r="AF553" s="764"/>
      <c r="AG553" s="764"/>
      <c r="AH553" s="764"/>
      <c r="AI553" s="764"/>
      <c r="AJ553" s="764"/>
      <c r="AK553" s="764"/>
      <c r="AL553" s="764"/>
      <c r="AM553" s="764"/>
      <c r="AN553" s="764"/>
      <c r="AO553" s="764"/>
      <c r="AP553" s="764"/>
      <c r="AQ553" s="764"/>
      <c r="AR553" s="764"/>
      <c r="AS553" s="764"/>
    </row>
    <row r="554" spans="1:45" ht="13.9">
      <c r="A554" s="764"/>
      <c r="B554" s="764"/>
      <c r="C554" s="764"/>
      <c r="D554" s="764"/>
      <c r="E554" s="764"/>
      <c r="F554" s="764"/>
      <c r="G554" s="764"/>
      <c r="H554" s="764"/>
      <c r="I554" s="764"/>
      <c r="J554" s="764"/>
      <c r="K554" s="764"/>
      <c r="L554" s="764"/>
      <c r="M554" s="764"/>
      <c r="N554" s="773"/>
      <c r="O554" s="764"/>
      <c r="P554" s="764"/>
      <c r="Q554" s="764"/>
      <c r="R554" s="764"/>
      <c r="S554" s="764"/>
      <c r="T554" s="764"/>
      <c r="U554" s="764"/>
      <c r="V554" s="764"/>
      <c r="W554" s="764"/>
      <c r="X554" s="764"/>
      <c r="Y554" s="764"/>
      <c r="Z554" s="764"/>
      <c r="AA554" s="764"/>
      <c r="AB554" s="764"/>
      <c r="AC554" s="764"/>
      <c r="AD554" s="794"/>
      <c r="AE554" s="764"/>
      <c r="AF554" s="764"/>
      <c r="AG554" s="764"/>
      <c r="AH554" s="764"/>
      <c r="AI554" s="764"/>
      <c r="AJ554" s="764"/>
      <c r="AK554" s="764"/>
      <c r="AL554" s="764"/>
      <c r="AM554" s="764"/>
      <c r="AN554" s="764"/>
      <c r="AO554" s="764"/>
      <c r="AP554" s="764"/>
      <c r="AQ554" s="764"/>
      <c r="AR554" s="764"/>
      <c r="AS554" s="764"/>
    </row>
    <row r="555" spans="1:45" ht="13.9">
      <c r="A555" s="764"/>
      <c r="B555" s="764"/>
      <c r="C555" s="764"/>
      <c r="D555" s="764"/>
      <c r="E555" s="764"/>
      <c r="F555" s="764"/>
      <c r="G555" s="764"/>
      <c r="H555" s="764"/>
      <c r="I555" s="764"/>
      <c r="J555" s="764"/>
      <c r="K555" s="764"/>
      <c r="L555" s="764"/>
      <c r="M555" s="764"/>
      <c r="N555" s="773"/>
      <c r="O555" s="764"/>
      <c r="P555" s="764"/>
      <c r="Q555" s="764"/>
      <c r="R555" s="764"/>
      <c r="S555" s="764"/>
      <c r="T555" s="764"/>
      <c r="U555" s="764"/>
      <c r="V555" s="764"/>
      <c r="W555" s="764"/>
      <c r="X555" s="764"/>
      <c r="Y555" s="764"/>
      <c r="Z555" s="764"/>
      <c r="AA555" s="764"/>
      <c r="AB555" s="764"/>
      <c r="AC555" s="764"/>
      <c r="AD555" s="794"/>
      <c r="AE555" s="764"/>
      <c r="AF555" s="764"/>
      <c r="AG555" s="764"/>
      <c r="AH555" s="764"/>
      <c r="AI555" s="764"/>
      <c r="AJ555" s="764"/>
      <c r="AK555" s="764"/>
      <c r="AL555" s="764"/>
      <c r="AM555" s="764"/>
      <c r="AN555" s="764"/>
      <c r="AO555" s="764"/>
      <c r="AP555" s="764"/>
      <c r="AQ555" s="764"/>
      <c r="AR555" s="764"/>
      <c r="AS555" s="764"/>
    </row>
    <row r="556" spans="1:45" ht="13.9">
      <c r="A556" s="764"/>
      <c r="B556" s="764"/>
      <c r="C556" s="764"/>
      <c r="D556" s="764"/>
      <c r="E556" s="764"/>
      <c r="F556" s="764"/>
      <c r="G556" s="764"/>
      <c r="H556" s="764"/>
      <c r="I556" s="764"/>
      <c r="J556" s="764"/>
      <c r="K556" s="764"/>
      <c r="L556" s="764"/>
      <c r="M556" s="764"/>
      <c r="N556" s="773"/>
      <c r="O556" s="764"/>
      <c r="P556" s="764"/>
      <c r="Q556" s="764"/>
      <c r="R556" s="764"/>
      <c r="S556" s="764"/>
      <c r="T556" s="764"/>
      <c r="U556" s="764"/>
      <c r="V556" s="764"/>
      <c r="W556" s="764"/>
      <c r="X556" s="764"/>
      <c r="Y556" s="764"/>
      <c r="Z556" s="764"/>
      <c r="AA556" s="764"/>
      <c r="AB556" s="764"/>
      <c r="AC556" s="764"/>
      <c r="AD556" s="794"/>
      <c r="AE556" s="764"/>
      <c r="AF556" s="764"/>
      <c r="AG556" s="764"/>
      <c r="AH556" s="764"/>
      <c r="AI556" s="764"/>
      <c r="AJ556" s="764"/>
      <c r="AK556" s="764"/>
      <c r="AL556" s="764"/>
      <c r="AM556" s="764"/>
      <c r="AN556" s="764"/>
      <c r="AO556" s="764"/>
      <c r="AP556" s="764"/>
      <c r="AQ556" s="764"/>
      <c r="AR556" s="764"/>
      <c r="AS556" s="764"/>
    </row>
    <row r="557" spans="1:45" ht="13.9">
      <c r="A557" s="764"/>
      <c r="B557" s="764"/>
      <c r="C557" s="764"/>
      <c r="D557" s="764"/>
      <c r="E557" s="764"/>
      <c r="F557" s="764"/>
      <c r="G557" s="764"/>
      <c r="H557" s="764"/>
      <c r="I557" s="764"/>
      <c r="J557" s="764"/>
      <c r="K557" s="764"/>
      <c r="L557" s="764"/>
      <c r="M557" s="764"/>
      <c r="N557" s="773"/>
      <c r="O557" s="764"/>
      <c r="P557" s="764"/>
      <c r="Q557" s="764"/>
      <c r="R557" s="764"/>
      <c r="S557" s="764"/>
      <c r="T557" s="764"/>
      <c r="U557" s="764"/>
      <c r="V557" s="764"/>
      <c r="W557" s="764"/>
      <c r="X557" s="764"/>
      <c r="Y557" s="764"/>
      <c r="Z557" s="764"/>
      <c r="AA557" s="764"/>
      <c r="AB557" s="764"/>
      <c r="AC557" s="764"/>
      <c r="AD557" s="794"/>
      <c r="AE557" s="764"/>
      <c r="AF557" s="764"/>
      <c r="AG557" s="764"/>
      <c r="AH557" s="764"/>
      <c r="AI557" s="764"/>
      <c r="AJ557" s="764"/>
      <c r="AK557" s="764"/>
      <c r="AL557" s="764"/>
      <c r="AM557" s="764"/>
      <c r="AN557" s="764"/>
      <c r="AO557" s="764"/>
      <c r="AP557" s="764"/>
      <c r="AQ557" s="764"/>
      <c r="AR557" s="764"/>
      <c r="AS557" s="764"/>
    </row>
    <row r="558" spans="1:45" ht="13.9">
      <c r="A558" s="764"/>
      <c r="B558" s="764"/>
      <c r="C558" s="764"/>
      <c r="D558" s="764"/>
      <c r="E558" s="764"/>
      <c r="F558" s="764"/>
      <c r="G558" s="764"/>
      <c r="H558" s="764"/>
      <c r="I558" s="764"/>
      <c r="J558" s="764"/>
      <c r="K558" s="764"/>
      <c r="L558" s="764"/>
      <c r="M558" s="764"/>
      <c r="N558" s="773"/>
      <c r="O558" s="764"/>
      <c r="P558" s="764"/>
      <c r="Q558" s="764"/>
      <c r="R558" s="764"/>
      <c r="S558" s="764"/>
      <c r="T558" s="764"/>
      <c r="U558" s="764"/>
      <c r="V558" s="764"/>
      <c r="W558" s="764"/>
      <c r="X558" s="764"/>
      <c r="Y558" s="764"/>
      <c r="Z558" s="764"/>
      <c r="AA558" s="764"/>
      <c r="AB558" s="764"/>
      <c r="AC558" s="764"/>
      <c r="AD558" s="794"/>
      <c r="AE558" s="764"/>
      <c r="AF558" s="764"/>
      <c r="AG558" s="764"/>
      <c r="AH558" s="764"/>
      <c r="AI558" s="764"/>
      <c r="AJ558" s="764"/>
      <c r="AK558" s="764"/>
      <c r="AL558" s="764"/>
      <c r="AM558" s="764"/>
      <c r="AN558" s="764"/>
      <c r="AO558" s="764"/>
      <c r="AP558" s="764"/>
      <c r="AQ558" s="764"/>
      <c r="AR558" s="764"/>
      <c r="AS558" s="764"/>
    </row>
    <row r="559" spans="1:45" ht="13.9">
      <c r="A559" s="764"/>
      <c r="B559" s="764"/>
      <c r="C559" s="764"/>
      <c r="D559" s="764"/>
      <c r="E559" s="764"/>
      <c r="F559" s="764"/>
      <c r="G559" s="764"/>
      <c r="H559" s="764"/>
      <c r="I559" s="764"/>
      <c r="J559" s="764"/>
      <c r="K559" s="764"/>
      <c r="L559" s="764"/>
      <c r="M559" s="764"/>
      <c r="N559" s="773"/>
      <c r="O559" s="764"/>
      <c r="P559" s="764"/>
      <c r="Q559" s="764"/>
      <c r="R559" s="764"/>
      <c r="S559" s="764"/>
      <c r="T559" s="764"/>
      <c r="U559" s="764"/>
      <c r="V559" s="764"/>
      <c r="W559" s="764"/>
      <c r="X559" s="764"/>
      <c r="Y559" s="764"/>
      <c r="Z559" s="764"/>
      <c r="AA559" s="764"/>
      <c r="AB559" s="764"/>
      <c r="AC559" s="764"/>
      <c r="AD559" s="794"/>
      <c r="AE559" s="764"/>
      <c r="AF559" s="764"/>
      <c r="AG559" s="764"/>
      <c r="AH559" s="764"/>
      <c r="AI559" s="764"/>
      <c r="AJ559" s="764"/>
      <c r="AK559" s="764"/>
      <c r="AL559" s="764"/>
      <c r="AM559" s="764"/>
      <c r="AN559" s="764"/>
      <c r="AO559" s="764"/>
      <c r="AP559" s="764"/>
      <c r="AQ559" s="764"/>
      <c r="AR559" s="764"/>
      <c r="AS559" s="764"/>
    </row>
    <row r="560" spans="1:45" ht="13.9">
      <c r="A560" s="764"/>
      <c r="B560" s="764"/>
      <c r="C560" s="764"/>
      <c r="D560" s="764"/>
      <c r="E560" s="764"/>
      <c r="F560" s="764"/>
      <c r="G560" s="764"/>
      <c r="H560" s="764"/>
      <c r="I560" s="764"/>
      <c r="J560" s="764"/>
      <c r="K560" s="764"/>
      <c r="L560" s="764"/>
      <c r="M560" s="764"/>
      <c r="N560" s="773"/>
      <c r="O560" s="764"/>
      <c r="P560" s="764"/>
      <c r="Q560" s="764"/>
      <c r="R560" s="764"/>
      <c r="S560" s="764"/>
      <c r="T560" s="764"/>
      <c r="U560" s="764"/>
      <c r="V560" s="764"/>
      <c r="W560" s="764"/>
      <c r="X560" s="764"/>
      <c r="Y560" s="764"/>
      <c r="Z560" s="764"/>
      <c r="AA560" s="764"/>
      <c r="AB560" s="764"/>
      <c r="AC560" s="764"/>
      <c r="AD560" s="794"/>
      <c r="AE560" s="764"/>
      <c r="AF560" s="764"/>
      <c r="AG560" s="764"/>
      <c r="AH560" s="764"/>
      <c r="AI560" s="764"/>
      <c r="AJ560" s="764"/>
      <c r="AK560" s="764"/>
      <c r="AL560" s="764"/>
      <c r="AM560" s="764"/>
      <c r="AN560" s="764"/>
      <c r="AO560" s="764"/>
      <c r="AP560" s="764"/>
      <c r="AQ560" s="764"/>
      <c r="AR560" s="764"/>
      <c r="AS560" s="764"/>
    </row>
    <row r="561" spans="1:45" ht="13.9">
      <c r="A561" s="764"/>
      <c r="B561" s="764"/>
      <c r="C561" s="764"/>
      <c r="D561" s="764"/>
      <c r="E561" s="764"/>
      <c r="F561" s="764"/>
      <c r="G561" s="764"/>
      <c r="H561" s="764"/>
      <c r="I561" s="764"/>
      <c r="J561" s="764"/>
      <c r="K561" s="764"/>
      <c r="L561" s="764"/>
      <c r="M561" s="764"/>
      <c r="N561" s="773"/>
      <c r="O561" s="764"/>
      <c r="P561" s="764"/>
      <c r="Q561" s="764"/>
      <c r="R561" s="764"/>
      <c r="S561" s="764"/>
      <c r="T561" s="764"/>
      <c r="U561" s="764"/>
      <c r="V561" s="764"/>
      <c r="W561" s="764"/>
      <c r="X561" s="764"/>
      <c r="Y561" s="764"/>
      <c r="Z561" s="764"/>
      <c r="AA561" s="764"/>
      <c r="AB561" s="764"/>
      <c r="AC561" s="764"/>
      <c r="AD561" s="794"/>
      <c r="AE561" s="764"/>
      <c r="AF561" s="764"/>
      <c r="AG561" s="764"/>
      <c r="AH561" s="764"/>
      <c r="AI561" s="764"/>
      <c r="AJ561" s="764"/>
      <c r="AK561" s="764"/>
      <c r="AL561" s="764"/>
      <c r="AM561" s="764"/>
      <c r="AN561" s="764"/>
      <c r="AO561" s="764"/>
      <c r="AP561" s="764"/>
      <c r="AQ561" s="764"/>
      <c r="AR561" s="764"/>
      <c r="AS561" s="764"/>
    </row>
    <row r="562" spans="1:45" ht="13.9">
      <c r="A562" s="764"/>
      <c r="B562" s="764"/>
      <c r="C562" s="764"/>
      <c r="D562" s="764"/>
      <c r="E562" s="764"/>
      <c r="F562" s="764"/>
      <c r="G562" s="764"/>
      <c r="H562" s="764"/>
      <c r="I562" s="764"/>
      <c r="J562" s="764"/>
      <c r="K562" s="764"/>
      <c r="L562" s="764"/>
      <c r="M562" s="764"/>
      <c r="N562" s="773"/>
      <c r="O562" s="764"/>
      <c r="P562" s="764"/>
      <c r="Q562" s="764"/>
      <c r="R562" s="764"/>
      <c r="S562" s="764"/>
      <c r="T562" s="764"/>
      <c r="U562" s="764"/>
      <c r="V562" s="764"/>
      <c r="W562" s="764"/>
      <c r="X562" s="764"/>
      <c r="Y562" s="764"/>
      <c r="Z562" s="764"/>
      <c r="AA562" s="764"/>
      <c r="AB562" s="764"/>
      <c r="AC562" s="764"/>
      <c r="AD562" s="794"/>
      <c r="AE562" s="764"/>
      <c r="AF562" s="764"/>
      <c r="AG562" s="764"/>
      <c r="AH562" s="764"/>
      <c r="AI562" s="764"/>
      <c r="AJ562" s="764"/>
      <c r="AK562" s="764"/>
      <c r="AL562" s="764"/>
      <c r="AM562" s="764"/>
      <c r="AN562" s="764"/>
      <c r="AO562" s="764"/>
      <c r="AP562" s="764"/>
      <c r="AQ562" s="764"/>
      <c r="AR562" s="764"/>
      <c r="AS562" s="764"/>
    </row>
    <row r="563" spans="1:45" ht="13.9">
      <c r="A563" s="764"/>
      <c r="B563" s="764"/>
      <c r="C563" s="764"/>
      <c r="D563" s="764"/>
      <c r="E563" s="764"/>
      <c r="F563" s="764"/>
      <c r="G563" s="764"/>
      <c r="H563" s="764"/>
      <c r="I563" s="764"/>
      <c r="J563" s="764"/>
      <c r="K563" s="764"/>
      <c r="L563" s="764"/>
      <c r="M563" s="764"/>
      <c r="N563" s="773"/>
      <c r="O563" s="764"/>
      <c r="P563" s="764"/>
      <c r="Q563" s="764"/>
      <c r="R563" s="764"/>
      <c r="S563" s="764"/>
      <c r="T563" s="764"/>
      <c r="U563" s="764"/>
      <c r="V563" s="764"/>
      <c r="W563" s="764"/>
      <c r="X563" s="764"/>
      <c r="Y563" s="764"/>
      <c r="Z563" s="764"/>
      <c r="AA563" s="764"/>
      <c r="AB563" s="764"/>
      <c r="AC563" s="764"/>
      <c r="AD563" s="794"/>
      <c r="AE563" s="764"/>
      <c r="AF563" s="764"/>
      <c r="AG563" s="764"/>
      <c r="AH563" s="764"/>
      <c r="AI563" s="764"/>
      <c r="AJ563" s="764"/>
      <c r="AK563" s="764"/>
      <c r="AL563" s="764"/>
      <c r="AM563" s="764"/>
      <c r="AN563" s="764"/>
      <c r="AO563" s="764"/>
      <c r="AP563" s="764"/>
      <c r="AQ563" s="764"/>
      <c r="AR563" s="764"/>
      <c r="AS563" s="764"/>
    </row>
    <row r="564" spans="1:45" ht="13.9">
      <c r="A564" s="764"/>
      <c r="B564" s="764"/>
      <c r="C564" s="764"/>
      <c r="D564" s="764"/>
      <c r="E564" s="764"/>
      <c r="F564" s="764"/>
      <c r="G564" s="764"/>
      <c r="H564" s="764"/>
      <c r="I564" s="764"/>
      <c r="J564" s="764"/>
      <c r="K564" s="764"/>
      <c r="L564" s="764"/>
      <c r="M564" s="764"/>
      <c r="N564" s="773"/>
      <c r="O564" s="764"/>
      <c r="P564" s="764"/>
      <c r="Q564" s="764"/>
      <c r="R564" s="764"/>
      <c r="S564" s="764"/>
      <c r="T564" s="764"/>
      <c r="U564" s="764"/>
      <c r="V564" s="764"/>
      <c r="W564" s="764"/>
      <c r="X564" s="764"/>
      <c r="Y564" s="764"/>
      <c r="Z564" s="764"/>
      <c r="AA564" s="764"/>
      <c r="AB564" s="764"/>
      <c r="AC564" s="764"/>
      <c r="AD564" s="794"/>
      <c r="AE564" s="764"/>
      <c r="AF564" s="764"/>
      <c r="AG564" s="764"/>
      <c r="AH564" s="764"/>
      <c r="AI564" s="764"/>
      <c r="AJ564" s="764"/>
      <c r="AK564" s="764"/>
      <c r="AL564" s="764"/>
      <c r="AM564" s="764"/>
      <c r="AN564" s="764"/>
      <c r="AO564" s="764"/>
      <c r="AP564" s="764"/>
      <c r="AQ564" s="764"/>
      <c r="AR564" s="764"/>
      <c r="AS564" s="764"/>
    </row>
    <row r="565" spans="1:45" ht="13.9">
      <c r="A565" s="764"/>
      <c r="B565" s="764"/>
      <c r="C565" s="764"/>
      <c r="D565" s="764"/>
      <c r="E565" s="764"/>
      <c r="F565" s="764"/>
      <c r="G565" s="764"/>
      <c r="H565" s="764"/>
      <c r="I565" s="764"/>
      <c r="J565" s="764"/>
      <c r="K565" s="764"/>
      <c r="L565" s="764"/>
      <c r="M565" s="764"/>
      <c r="N565" s="773"/>
      <c r="O565" s="764"/>
      <c r="P565" s="764"/>
      <c r="Q565" s="764"/>
      <c r="R565" s="764"/>
      <c r="S565" s="764"/>
      <c r="T565" s="764"/>
      <c r="U565" s="764"/>
      <c r="V565" s="764"/>
      <c r="W565" s="764"/>
      <c r="X565" s="764"/>
      <c r="Y565" s="764"/>
      <c r="Z565" s="764"/>
      <c r="AA565" s="764"/>
      <c r="AB565" s="764"/>
      <c r="AC565" s="764"/>
      <c r="AD565" s="794"/>
      <c r="AE565" s="764"/>
      <c r="AF565" s="764"/>
      <c r="AG565" s="764"/>
      <c r="AH565" s="764"/>
      <c r="AI565" s="764"/>
      <c r="AJ565" s="764"/>
      <c r="AK565" s="764"/>
      <c r="AL565" s="764"/>
      <c r="AM565" s="764"/>
      <c r="AN565" s="764"/>
      <c r="AO565" s="764"/>
      <c r="AP565" s="764"/>
      <c r="AQ565" s="764"/>
      <c r="AR565" s="764"/>
      <c r="AS565" s="764"/>
    </row>
    <row r="566" spans="1:45" ht="13.9">
      <c r="A566" s="764"/>
      <c r="B566" s="764"/>
      <c r="C566" s="764"/>
      <c r="D566" s="764"/>
      <c r="E566" s="764"/>
      <c r="F566" s="764"/>
      <c r="G566" s="764"/>
      <c r="H566" s="764"/>
      <c r="I566" s="764"/>
      <c r="J566" s="764"/>
      <c r="K566" s="764"/>
      <c r="L566" s="764"/>
      <c r="M566" s="764"/>
      <c r="N566" s="773"/>
      <c r="O566" s="764"/>
      <c r="P566" s="764"/>
      <c r="Q566" s="764"/>
      <c r="R566" s="764"/>
      <c r="S566" s="764"/>
      <c r="T566" s="764"/>
      <c r="U566" s="764"/>
      <c r="V566" s="764"/>
      <c r="W566" s="764"/>
      <c r="X566" s="764"/>
      <c r="Y566" s="764"/>
      <c r="Z566" s="764"/>
      <c r="AA566" s="764"/>
      <c r="AB566" s="764"/>
      <c r="AC566" s="764"/>
      <c r="AD566" s="794"/>
      <c r="AE566" s="764"/>
      <c r="AF566" s="764"/>
      <c r="AG566" s="764"/>
      <c r="AH566" s="764"/>
      <c r="AI566" s="764"/>
      <c r="AJ566" s="764"/>
      <c r="AK566" s="764"/>
      <c r="AL566" s="764"/>
      <c r="AM566" s="764"/>
      <c r="AN566" s="764"/>
      <c r="AO566" s="764"/>
      <c r="AP566" s="764"/>
      <c r="AQ566" s="764"/>
      <c r="AR566" s="764"/>
      <c r="AS566" s="764"/>
    </row>
    <row r="567" spans="1:45" ht="13.9">
      <c r="A567" s="764"/>
      <c r="B567" s="764"/>
      <c r="C567" s="764"/>
      <c r="D567" s="764"/>
      <c r="E567" s="764"/>
      <c r="F567" s="764"/>
      <c r="G567" s="764"/>
      <c r="H567" s="764"/>
      <c r="I567" s="764"/>
      <c r="J567" s="764"/>
      <c r="K567" s="764"/>
      <c r="L567" s="764"/>
      <c r="M567" s="764"/>
      <c r="N567" s="773"/>
      <c r="O567" s="764"/>
      <c r="P567" s="764"/>
      <c r="Q567" s="764"/>
      <c r="R567" s="764"/>
      <c r="S567" s="764"/>
      <c r="T567" s="764"/>
      <c r="U567" s="764"/>
      <c r="V567" s="764"/>
      <c r="W567" s="764"/>
      <c r="X567" s="764"/>
      <c r="Y567" s="764"/>
      <c r="Z567" s="764"/>
      <c r="AA567" s="764"/>
      <c r="AB567" s="764"/>
      <c r="AC567" s="764"/>
      <c r="AD567" s="794"/>
      <c r="AE567" s="764"/>
      <c r="AF567" s="764"/>
      <c r="AG567" s="764"/>
      <c r="AH567" s="764"/>
      <c r="AI567" s="764"/>
      <c r="AJ567" s="764"/>
      <c r="AK567" s="764"/>
      <c r="AL567" s="764"/>
      <c r="AM567" s="764"/>
      <c r="AN567" s="764"/>
      <c r="AO567" s="764"/>
      <c r="AP567" s="764"/>
      <c r="AQ567" s="764"/>
      <c r="AR567" s="764"/>
      <c r="AS567" s="764"/>
    </row>
    <row r="568" spans="1:45" ht="13.9">
      <c r="A568" s="764"/>
      <c r="B568" s="764"/>
      <c r="C568" s="764"/>
      <c r="D568" s="764"/>
      <c r="E568" s="764"/>
      <c r="F568" s="764"/>
      <c r="G568" s="764"/>
      <c r="H568" s="764"/>
      <c r="I568" s="764"/>
      <c r="J568" s="764"/>
      <c r="K568" s="764"/>
      <c r="L568" s="764"/>
      <c r="M568" s="764"/>
      <c r="N568" s="773"/>
      <c r="O568" s="764"/>
      <c r="P568" s="764"/>
      <c r="Q568" s="764"/>
      <c r="R568" s="764"/>
      <c r="S568" s="764"/>
      <c r="T568" s="764"/>
      <c r="U568" s="764"/>
      <c r="V568" s="764"/>
      <c r="W568" s="764"/>
      <c r="X568" s="764"/>
      <c r="Y568" s="764"/>
      <c r="Z568" s="764"/>
      <c r="AA568" s="764"/>
      <c r="AB568" s="764"/>
      <c r="AC568" s="764"/>
      <c r="AD568" s="794"/>
      <c r="AE568" s="764"/>
      <c r="AF568" s="764"/>
      <c r="AG568" s="764"/>
      <c r="AH568" s="764"/>
      <c r="AI568" s="764"/>
      <c r="AJ568" s="764"/>
      <c r="AK568" s="764"/>
      <c r="AL568" s="764"/>
      <c r="AM568" s="764"/>
      <c r="AN568" s="764"/>
      <c r="AO568" s="764"/>
      <c r="AP568" s="764"/>
      <c r="AQ568" s="764"/>
      <c r="AR568" s="764"/>
      <c r="AS568" s="764"/>
    </row>
    <row r="569" spans="1:45" ht="13.9">
      <c r="A569" s="764"/>
      <c r="B569" s="764"/>
      <c r="C569" s="764"/>
      <c r="D569" s="764"/>
      <c r="E569" s="764"/>
      <c r="F569" s="764"/>
      <c r="G569" s="764"/>
      <c r="H569" s="764"/>
      <c r="I569" s="764"/>
      <c r="J569" s="764"/>
      <c r="K569" s="764"/>
      <c r="L569" s="764"/>
      <c r="M569" s="764"/>
      <c r="N569" s="773"/>
      <c r="O569" s="764"/>
      <c r="P569" s="764"/>
      <c r="Q569" s="764"/>
      <c r="R569" s="764"/>
      <c r="S569" s="764"/>
      <c r="T569" s="764"/>
      <c r="U569" s="764"/>
      <c r="V569" s="764"/>
      <c r="W569" s="764"/>
      <c r="X569" s="764"/>
      <c r="Y569" s="764"/>
      <c r="Z569" s="764"/>
      <c r="AA569" s="764"/>
      <c r="AB569" s="764"/>
      <c r="AC569" s="764"/>
      <c r="AD569" s="794"/>
      <c r="AE569" s="764"/>
      <c r="AF569" s="764"/>
      <c r="AG569" s="764"/>
      <c r="AH569" s="764"/>
      <c r="AI569" s="764"/>
      <c r="AJ569" s="764"/>
      <c r="AK569" s="764"/>
      <c r="AL569" s="764"/>
      <c r="AM569" s="764"/>
      <c r="AN569" s="764"/>
      <c r="AO569" s="764"/>
      <c r="AP569" s="764"/>
      <c r="AQ569" s="764"/>
      <c r="AR569" s="764"/>
      <c r="AS569" s="764"/>
    </row>
    <row r="570" spans="1:45" ht="13.9">
      <c r="A570" s="764"/>
      <c r="B570" s="764"/>
      <c r="C570" s="764"/>
      <c r="D570" s="764"/>
      <c r="E570" s="764"/>
      <c r="F570" s="764"/>
      <c r="G570" s="764"/>
      <c r="H570" s="764"/>
      <c r="I570" s="764"/>
      <c r="J570" s="764"/>
      <c r="K570" s="764"/>
      <c r="L570" s="764"/>
      <c r="M570" s="764"/>
      <c r="N570" s="773"/>
      <c r="O570" s="764"/>
      <c r="P570" s="764"/>
      <c r="Q570" s="764"/>
      <c r="R570" s="764"/>
      <c r="S570" s="764"/>
      <c r="T570" s="764"/>
      <c r="U570" s="764"/>
      <c r="V570" s="764"/>
      <c r="W570" s="764"/>
      <c r="X570" s="764"/>
      <c r="Y570" s="764"/>
      <c r="Z570" s="764"/>
      <c r="AA570" s="764"/>
      <c r="AB570" s="764"/>
      <c r="AC570" s="764"/>
      <c r="AD570" s="794"/>
      <c r="AE570" s="764"/>
      <c r="AF570" s="764"/>
      <c r="AG570" s="764"/>
      <c r="AH570" s="764"/>
      <c r="AI570" s="764"/>
      <c r="AJ570" s="764"/>
      <c r="AK570" s="764"/>
      <c r="AL570" s="764"/>
      <c r="AM570" s="764"/>
      <c r="AN570" s="764"/>
      <c r="AO570" s="764"/>
      <c r="AP570" s="764"/>
      <c r="AQ570" s="764"/>
      <c r="AR570" s="764"/>
      <c r="AS570" s="764"/>
    </row>
    <row r="571" spans="1:45" ht="13.9">
      <c r="A571" s="764"/>
      <c r="B571" s="764"/>
      <c r="C571" s="764"/>
      <c r="D571" s="764"/>
      <c r="E571" s="764"/>
      <c r="F571" s="764"/>
      <c r="G571" s="764"/>
      <c r="H571" s="764"/>
      <c r="I571" s="764"/>
      <c r="J571" s="764"/>
      <c r="K571" s="764"/>
      <c r="L571" s="764"/>
      <c r="M571" s="764"/>
      <c r="N571" s="773"/>
      <c r="O571" s="764"/>
      <c r="P571" s="764"/>
      <c r="Q571" s="764"/>
      <c r="R571" s="764"/>
      <c r="S571" s="764"/>
      <c r="T571" s="764"/>
      <c r="U571" s="764"/>
      <c r="V571" s="764"/>
      <c r="W571" s="764"/>
      <c r="X571" s="764"/>
      <c r="Y571" s="764"/>
      <c r="Z571" s="764"/>
      <c r="AA571" s="764"/>
      <c r="AB571" s="764"/>
      <c r="AC571" s="764"/>
      <c r="AD571" s="794"/>
      <c r="AE571" s="764"/>
      <c r="AF571" s="764"/>
      <c r="AG571" s="764"/>
      <c r="AH571" s="764"/>
      <c r="AI571" s="764"/>
      <c r="AJ571" s="764"/>
      <c r="AK571" s="764"/>
      <c r="AL571" s="764"/>
      <c r="AM571" s="764"/>
      <c r="AN571" s="764"/>
      <c r="AO571" s="764"/>
      <c r="AP571" s="764"/>
      <c r="AQ571" s="764"/>
      <c r="AR571" s="764"/>
      <c r="AS571" s="764"/>
    </row>
    <row r="572" spans="1:45" ht="13.9">
      <c r="A572" s="764"/>
      <c r="B572" s="764"/>
      <c r="C572" s="764"/>
      <c r="D572" s="764"/>
      <c r="E572" s="764"/>
      <c r="F572" s="764"/>
      <c r="G572" s="764"/>
      <c r="H572" s="764"/>
      <c r="I572" s="764"/>
      <c r="J572" s="764"/>
      <c r="K572" s="764"/>
      <c r="L572" s="764"/>
      <c r="M572" s="764"/>
      <c r="N572" s="773"/>
      <c r="O572" s="764"/>
      <c r="P572" s="764"/>
      <c r="Q572" s="764"/>
      <c r="R572" s="764"/>
      <c r="S572" s="764"/>
      <c r="T572" s="764"/>
      <c r="U572" s="764"/>
      <c r="V572" s="764"/>
      <c r="W572" s="764"/>
      <c r="X572" s="764"/>
      <c r="Y572" s="764"/>
      <c r="Z572" s="764"/>
      <c r="AA572" s="764"/>
      <c r="AB572" s="764"/>
      <c r="AC572" s="764"/>
      <c r="AD572" s="794"/>
      <c r="AE572" s="764"/>
      <c r="AF572" s="764"/>
      <c r="AG572" s="764"/>
      <c r="AH572" s="764"/>
      <c r="AI572" s="764"/>
      <c r="AJ572" s="764"/>
      <c r="AK572" s="764"/>
      <c r="AL572" s="764"/>
      <c r="AM572" s="764"/>
      <c r="AN572" s="764"/>
      <c r="AO572" s="764"/>
      <c r="AP572" s="764"/>
      <c r="AQ572" s="764"/>
      <c r="AR572" s="764"/>
      <c r="AS572" s="764"/>
    </row>
    <row r="573" spans="1:45" ht="13.9">
      <c r="A573" s="764"/>
      <c r="B573" s="764"/>
      <c r="C573" s="764"/>
      <c r="D573" s="764"/>
      <c r="E573" s="764"/>
      <c r="F573" s="764"/>
      <c r="G573" s="764"/>
      <c r="H573" s="764"/>
      <c r="I573" s="764"/>
      <c r="J573" s="764"/>
      <c r="K573" s="764"/>
      <c r="L573" s="764"/>
      <c r="M573" s="764"/>
      <c r="N573" s="773"/>
      <c r="O573" s="764"/>
      <c r="P573" s="764"/>
      <c r="Q573" s="764"/>
      <c r="R573" s="764"/>
      <c r="S573" s="764"/>
      <c r="T573" s="764"/>
      <c r="U573" s="764"/>
      <c r="V573" s="764"/>
      <c r="W573" s="764"/>
      <c r="X573" s="764"/>
      <c r="Y573" s="764"/>
      <c r="Z573" s="764"/>
      <c r="AA573" s="764"/>
      <c r="AB573" s="764"/>
      <c r="AC573" s="764"/>
      <c r="AD573" s="794"/>
      <c r="AE573" s="764"/>
      <c r="AF573" s="764"/>
      <c r="AG573" s="764"/>
      <c r="AH573" s="764"/>
      <c r="AI573" s="764"/>
      <c r="AJ573" s="764"/>
      <c r="AK573" s="764"/>
      <c r="AL573" s="764"/>
      <c r="AM573" s="764"/>
      <c r="AN573" s="764"/>
      <c r="AO573" s="764"/>
      <c r="AP573" s="764"/>
      <c r="AQ573" s="764"/>
      <c r="AR573" s="764"/>
      <c r="AS573" s="764"/>
    </row>
    <row r="574" spans="1:45" ht="13.9">
      <c r="A574" s="764"/>
      <c r="B574" s="764"/>
      <c r="C574" s="764"/>
      <c r="D574" s="764"/>
      <c r="E574" s="764"/>
      <c r="F574" s="764"/>
      <c r="G574" s="764"/>
      <c r="H574" s="764"/>
      <c r="I574" s="764"/>
      <c r="J574" s="764"/>
      <c r="K574" s="764"/>
      <c r="L574" s="764"/>
      <c r="M574" s="764"/>
      <c r="N574" s="773"/>
      <c r="O574" s="764"/>
      <c r="P574" s="764"/>
      <c r="Q574" s="764"/>
      <c r="R574" s="764"/>
      <c r="S574" s="764"/>
      <c r="T574" s="764"/>
      <c r="U574" s="764"/>
      <c r="V574" s="764"/>
      <c r="W574" s="764"/>
      <c r="X574" s="764"/>
      <c r="Y574" s="764"/>
      <c r="Z574" s="764"/>
      <c r="AA574" s="764"/>
      <c r="AB574" s="764"/>
      <c r="AC574" s="764"/>
      <c r="AD574" s="794"/>
      <c r="AE574" s="764"/>
      <c r="AF574" s="764"/>
      <c r="AG574" s="764"/>
      <c r="AH574" s="764"/>
      <c r="AI574" s="764"/>
      <c r="AJ574" s="764"/>
      <c r="AK574" s="764"/>
      <c r="AL574" s="764"/>
      <c r="AM574" s="764"/>
      <c r="AN574" s="764"/>
      <c r="AO574" s="764"/>
      <c r="AP574" s="764"/>
      <c r="AQ574" s="764"/>
      <c r="AR574" s="764"/>
      <c r="AS574" s="764"/>
    </row>
    <row r="575" spans="1:45" ht="13.9">
      <c r="A575" s="764"/>
      <c r="B575" s="764"/>
      <c r="C575" s="764"/>
      <c r="D575" s="764"/>
      <c r="E575" s="764"/>
      <c r="F575" s="764"/>
      <c r="G575" s="764"/>
      <c r="H575" s="764"/>
      <c r="I575" s="764"/>
      <c r="J575" s="764"/>
      <c r="K575" s="764"/>
      <c r="L575" s="764"/>
      <c r="M575" s="764"/>
      <c r="N575" s="773"/>
      <c r="O575" s="764"/>
      <c r="P575" s="764"/>
      <c r="Q575" s="764"/>
      <c r="R575" s="764"/>
      <c r="S575" s="764"/>
      <c r="T575" s="764"/>
      <c r="U575" s="764"/>
      <c r="V575" s="764"/>
      <c r="W575" s="764"/>
      <c r="X575" s="764"/>
      <c r="Y575" s="764"/>
      <c r="Z575" s="764"/>
      <c r="AA575" s="764"/>
      <c r="AB575" s="764"/>
      <c r="AC575" s="764"/>
      <c r="AD575" s="794"/>
      <c r="AE575" s="764"/>
      <c r="AF575" s="764"/>
      <c r="AG575" s="764"/>
      <c r="AH575" s="764"/>
      <c r="AI575" s="764"/>
      <c r="AJ575" s="764"/>
      <c r="AK575" s="764"/>
      <c r="AL575" s="764"/>
      <c r="AM575" s="764"/>
      <c r="AN575" s="764"/>
      <c r="AO575" s="764"/>
      <c r="AP575" s="764"/>
      <c r="AQ575" s="764"/>
      <c r="AR575" s="764"/>
      <c r="AS575" s="764"/>
    </row>
    <row r="576" spans="1:45" ht="13.9">
      <c r="A576" s="764"/>
      <c r="B576" s="764"/>
      <c r="C576" s="764"/>
      <c r="D576" s="764"/>
      <c r="E576" s="764"/>
      <c r="F576" s="764"/>
      <c r="G576" s="764"/>
      <c r="H576" s="764"/>
      <c r="I576" s="764"/>
      <c r="J576" s="764"/>
      <c r="K576" s="764"/>
      <c r="L576" s="764"/>
      <c r="M576" s="764"/>
      <c r="N576" s="773"/>
      <c r="O576" s="764"/>
      <c r="P576" s="764"/>
      <c r="Q576" s="764"/>
      <c r="R576" s="764"/>
      <c r="S576" s="764"/>
      <c r="T576" s="764"/>
      <c r="U576" s="764"/>
      <c r="V576" s="764"/>
      <c r="W576" s="764"/>
      <c r="X576" s="764"/>
      <c r="Y576" s="764"/>
      <c r="Z576" s="764"/>
      <c r="AA576" s="764"/>
      <c r="AB576" s="764"/>
      <c r="AC576" s="764"/>
      <c r="AD576" s="794"/>
      <c r="AE576" s="764"/>
      <c r="AF576" s="764"/>
      <c r="AG576" s="764"/>
      <c r="AH576" s="764"/>
      <c r="AI576" s="764"/>
      <c r="AJ576" s="764"/>
      <c r="AK576" s="764"/>
      <c r="AL576" s="764"/>
      <c r="AM576" s="764"/>
      <c r="AN576" s="764"/>
      <c r="AO576" s="764"/>
      <c r="AP576" s="764"/>
      <c r="AQ576" s="764"/>
      <c r="AR576" s="764"/>
      <c r="AS576" s="764"/>
    </row>
    <row r="577" spans="1:45" ht="13.9">
      <c r="A577" s="764"/>
      <c r="B577" s="764"/>
      <c r="C577" s="764"/>
      <c r="D577" s="764"/>
      <c r="E577" s="764"/>
      <c r="F577" s="764"/>
      <c r="G577" s="764"/>
      <c r="H577" s="764"/>
      <c r="I577" s="764"/>
      <c r="J577" s="764"/>
      <c r="K577" s="764"/>
      <c r="L577" s="764"/>
      <c r="M577" s="764"/>
      <c r="N577" s="773"/>
      <c r="O577" s="764"/>
      <c r="P577" s="764"/>
      <c r="Q577" s="764"/>
      <c r="R577" s="764"/>
      <c r="S577" s="764"/>
      <c r="T577" s="764"/>
      <c r="U577" s="764"/>
      <c r="V577" s="764"/>
      <c r="W577" s="764"/>
      <c r="X577" s="764"/>
      <c r="Y577" s="764"/>
      <c r="Z577" s="764"/>
      <c r="AA577" s="764"/>
      <c r="AB577" s="764"/>
      <c r="AC577" s="764"/>
      <c r="AD577" s="794"/>
      <c r="AE577" s="764"/>
      <c r="AF577" s="764"/>
      <c r="AG577" s="764"/>
      <c r="AH577" s="764"/>
      <c r="AI577" s="764"/>
      <c r="AJ577" s="764"/>
      <c r="AK577" s="764"/>
      <c r="AL577" s="764"/>
      <c r="AM577" s="764"/>
      <c r="AN577" s="764"/>
      <c r="AO577" s="764"/>
      <c r="AP577" s="764"/>
      <c r="AQ577" s="764"/>
      <c r="AR577" s="764"/>
      <c r="AS577" s="764"/>
    </row>
    <row r="578" spans="1:45" ht="13.9">
      <c r="A578" s="764"/>
      <c r="B578" s="764"/>
      <c r="C578" s="764"/>
      <c r="D578" s="764"/>
      <c r="E578" s="764"/>
      <c r="F578" s="764"/>
      <c r="G578" s="764"/>
      <c r="H578" s="764"/>
      <c r="I578" s="764"/>
      <c r="J578" s="764"/>
      <c r="K578" s="764"/>
      <c r="L578" s="764"/>
      <c r="M578" s="764"/>
      <c r="N578" s="773"/>
      <c r="O578" s="764"/>
      <c r="P578" s="764"/>
      <c r="Q578" s="764"/>
      <c r="R578" s="764"/>
      <c r="S578" s="764"/>
      <c r="T578" s="764"/>
      <c r="U578" s="764"/>
      <c r="V578" s="764"/>
      <c r="W578" s="764"/>
      <c r="X578" s="764"/>
      <c r="Y578" s="764"/>
      <c r="Z578" s="764"/>
      <c r="AA578" s="764"/>
      <c r="AB578" s="764"/>
      <c r="AC578" s="764"/>
      <c r="AD578" s="794"/>
      <c r="AE578" s="764"/>
      <c r="AF578" s="764"/>
      <c r="AG578" s="764"/>
      <c r="AH578" s="764"/>
      <c r="AI578" s="764"/>
      <c r="AJ578" s="764"/>
      <c r="AK578" s="764"/>
      <c r="AL578" s="764"/>
      <c r="AM578" s="764"/>
      <c r="AN578" s="764"/>
      <c r="AO578" s="764"/>
      <c r="AP578" s="764"/>
      <c r="AQ578" s="764"/>
      <c r="AR578" s="764"/>
      <c r="AS578" s="764"/>
    </row>
    <row r="579" spans="1:45" ht="13.9">
      <c r="A579" s="764"/>
      <c r="B579" s="764"/>
      <c r="C579" s="764"/>
      <c r="D579" s="764"/>
      <c r="E579" s="764"/>
      <c r="F579" s="764"/>
      <c r="G579" s="764"/>
      <c r="H579" s="764"/>
      <c r="I579" s="764"/>
      <c r="J579" s="764"/>
      <c r="K579" s="764"/>
      <c r="L579" s="764"/>
      <c r="M579" s="764"/>
      <c r="N579" s="773"/>
      <c r="O579" s="764"/>
      <c r="P579" s="764"/>
      <c r="Q579" s="764"/>
      <c r="R579" s="764"/>
      <c r="S579" s="764"/>
      <c r="T579" s="764"/>
      <c r="U579" s="764"/>
      <c r="V579" s="764"/>
      <c r="W579" s="764"/>
      <c r="X579" s="764"/>
      <c r="Y579" s="764"/>
      <c r="Z579" s="764"/>
      <c r="AA579" s="764"/>
      <c r="AB579" s="764"/>
      <c r="AC579" s="764"/>
      <c r="AD579" s="794"/>
      <c r="AE579" s="764"/>
      <c r="AF579" s="764"/>
      <c r="AG579" s="764"/>
      <c r="AH579" s="764"/>
      <c r="AI579" s="764"/>
      <c r="AJ579" s="764"/>
      <c r="AK579" s="764"/>
      <c r="AL579" s="764"/>
      <c r="AM579" s="764"/>
      <c r="AN579" s="764"/>
      <c r="AO579" s="764"/>
      <c r="AP579" s="764"/>
      <c r="AQ579" s="764"/>
      <c r="AR579" s="764"/>
      <c r="AS579" s="764"/>
    </row>
    <row r="580" spans="1:45" ht="13.9">
      <c r="A580" s="764"/>
      <c r="B580" s="764"/>
      <c r="C580" s="764"/>
      <c r="D580" s="764"/>
      <c r="E580" s="764"/>
      <c r="F580" s="764"/>
      <c r="G580" s="764"/>
      <c r="H580" s="764"/>
      <c r="I580" s="764"/>
      <c r="J580" s="764"/>
      <c r="K580" s="764"/>
      <c r="L580" s="764"/>
      <c r="M580" s="764"/>
      <c r="N580" s="773"/>
      <c r="O580" s="764"/>
      <c r="P580" s="764"/>
      <c r="Q580" s="764"/>
      <c r="R580" s="764"/>
      <c r="S580" s="764"/>
      <c r="T580" s="764"/>
      <c r="U580" s="764"/>
      <c r="V580" s="764"/>
      <c r="W580" s="764"/>
      <c r="X580" s="764"/>
      <c r="Y580" s="764"/>
      <c r="Z580" s="764"/>
      <c r="AA580" s="764"/>
      <c r="AB580" s="764"/>
      <c r="AC580" s="764"/>
      <c r="AD580" s="794"/>
      <c r="AE580" s="764"/>
      <c r="AF580" s="764"/>
      <c r="AG580" s="764"/>
      <c r="AH580" s="764"/>
      <c r="AI580" s="764"/>
      <c r="AJ580" s="764"/>
      <c r="AK580" s="764"/>
      <c r="AL580" s="764"/>
      <c r="AM580" s="764"/>
      <c r="AN580" s="764"/>
      <c r="AO580" s="764"/>
      <c r="AP580" s="764"/>
      <c r="AQ580" s="764"/>
      <c r="AR580" s="764"/>
      <c r="AS580" s="764"/>
    </row>
    <row r="581" spans="1:45" ht="13.9">
      <c r="A581" s="764"/>
      <c r="B581" s="764"/>
      <c r="C581" s="764"/>
      <c r="D581" s="764"/>
      <c r="E581" s="764"/>
      <c r="F581" s="764"/>
      <c r="G581" s="764"/>
      <c r="H581" s="764"/>
      <c r="I581" s="764"/>
      <c r="J581" s="764"/>
      <c r="K581" s="764"/>
      <c r="L581" s="764"/>
      <c r="M581" s="764"/>
      <c r="N581" s="773"/>
      <c r="O581" s="764"/>
      <c r="P581" s="764"/>
      <c r="Q581" s="764"/>
      <c r="R581" s="764"/>
      <c r="S581" s="764"/>
      <c r="T581" s="764"/>
      <c r="U581" s="764"/>
      <c r="V581" s="764"/>
      <c r="W581" s="764"/>
      <c r="X581" s="764"/>
      <c r="Y581" s="764"/>
      <c r="Z581" s="764"/>
      <c r="AA581" s="764"/>
      <c r="AB581" s="764"/>
      <c r="AC581" s="764"/>
      <c r="AD581" s="794"/>
      <c r="AE581" s="764"/>
      <c r="AF581" s="764"/>
      <c r="AG581" s="764"/>
      <c r="AH581" s="764"/>
      <c r="AI581" s="764"/>
      <c r="AJ581" s="764"/>
      <c r="AK581" s="764"/>
      <c r="AL581" s="764"/>
      <c r="AM581" s="764"/>
      <c r="AN581" s="764"/>
      <c r="AO581" s="764"/>
      <c r="AP581" s="764"/>
      <c r="AQ581" s="764"/>
      <c r="AR581" s="764"/>
      <c r="AS581" s="764"/>
    </row>
    <row r="582" spans="1:45" ht="13.9">
      <c r="A582" s="764"/>
      <c r="B582" s="764"/>
      <c r="C582" s="764"/>
      <c r="D582" s="764"/>
      <c r="E582" s="764"/>
      <c r="F582" s="764"/>
      <c r="G582" s="764"/>
      <c r="H582" s="764"/>
      <c r="I582" s="764"/>
      <c r="J582" s="764"/>
      <c r="K582" s="764"/>
      <c r="L582" s="764"/>
      <c r="M582" s="764"/>
      <c r="N582" s="773"/>
      <c r="O582" s="764"/>
      <c r="P582" s="764"/>
      <c r="Q582" s="764"/>
      <c r="R582" s="764"/>
      <c r="S582" s="764"/>
      <c r="T582" s="764"/>
      <c r="U582" s="764"/>
      <c r="V582" s="764"/>
      <c r="W582" s="764"/>
      <c r="X582" s="764"/>
      <c r="Y582" s="764"/>
      <c r="Z582" s="764"/>
      <c r="AA582" s="764"/>
      <c r="AB582" s="764"/>
      <c r="AC582" s="764"/>
      <c r="AD582" s="794"/>
      <c r="AE582" s="764"/>
      <c r="AF582" s="764"/>
      <c r="AG582" s="764"/>
      <c r="AH582" s="764"/>
      <c r="AI582" s="764"/>
      <c r="AJ582" s="764"/>
      <c r="AK582" s="764"/>
      <c r="AL582" s="764"/>
      <c r="AM582" s="764"/>
      <c r="AN582" s="764"/>
      <c r="AO582" s="764"/>
      <c r="AP582" s="764"/>
      <c r="AQ582" s="764"/>
      <c r="AR582" s="764"/>
      <c r="AS582" s="764"/>
    </row>
    <row r="583" spans="1:45" ht="13.9">
      <c r="A583" s="764"/>
      <c r="B583" s="764"/>
      <c r="C583" s="764"/>
      <c r="D583" s="764"/>
      <c r="E583" s="764"/>
      <c r="F583" s="764"/>
      <c r="G583" s="764"/>
      <c r="H583" s="764"/>
      <c r="I583" s="764"/>
      <c r="J583" s="764"/>
      <c r="K583" s="764"/>
      <c r="L583" s="764"/>
      <c r="M583" s="764"/>
      <c r="N583" s="773"/>
      <c r="O583" s="764"/>
      <c r="P583" s="764"/>
      <c r="Q583" s="764"/>
      <c r="R583" s="764"/>
      <c r="S583" s="764"/>
      <c r="T583" s="764"/>
      <c r="U583" s="764"/>
      <c r="V583" s="764"/>
      <c r="W583" s="764"/>
      <c r="X583" s="764"/>
      <c r="Y583" s="764"/>
      <c r="Z583" s="764"/>
      <c r="AA583" s="764"/>
      <c r="AB583" s="764"/>
      <c r="AC583" s="764"/>
      <c r="AD583" s="794"/>
      <c r="AE583" s="764"/>
      <c r="AF583" s="764"/>
      <c r="AG583" s="764"/>
      <c r="AH583" s="764"/>
      <c r="AI583" s="764"/>
      <c r="AJ583" s="764"/>
      <c r="AK583" s="764"/>
      <c r="AL583" s="764"/>
      <c r="AM583" s="764"/>
      <c r="AN583" s="764"/>
      <c r="AO583" s="764"/>
      <c r="AP583" s="764"/>
      <c r="AQ583" s="764"/>
      <c r="AR583" s="764"/>
      <c r="AS583" s="764"/>
    </row>
    <row r="584" spans="1:45" ht="13.9">
      <c r="A584" s="764"/>
      <c r="B584" s="764"/>
      <c r="C584" s="764"/>
      <c r="D584" s="764"/>
      <c r="E584" s="764"/>
      <c r="F584" s="764"/>
      <c r="G584" s="764"/>
      <c r="H584" s="764"/>
      <c r="I584" s="764"/>
      <c r="J584" s="764"/>
      <c r="K584" s="764"/>
      <c r="L584" s="764"/>
      <c r="M584" s="764"/>
      <c r="N584" s="773"/>
      <c r="O584" s="764"/>
      <c r="P584" s="764"/>
      <c r="Q584" s="764"/>
      <c r="R584" s="764"/>
      <c r="S584" s="764"/>
      <c r="T584" s="764"/>
      <c r="U584" s="764"/>
      <c r="V584" s="764"/>
      <c r="W584" s="764"/>
      <c r="X584" s="764"/>
      <c r="Y584" s="764"/>
      <c r="Z584" s="764"/>
      <c r="AA584" s="764"/>
      <c r="AB584" s="764"/>
      <c r="AC584" s="764"/>
      <c r="AD584" s="794"/>
      <c r="AE584" s="764"/>
      <c r="AF584" s="764"/>
      <c r="AG584" s="764"/>
      <c r="AH584" s="764"/>
      <c r="AI584" s="764"/>
      <c r="AJ584" s="764"/>
      <c r="AK584" s="764"/>
      <c r="AL584" s="764"/>
      <c r="AM584" s="764"/>
      <c r="AN584" s="764"/>
      <c r="AO584" s="764"/>
      <c r="AP584" s="764"/>
      <c r="AQ584" s="764"/>
      <c r="AR584" s="764"/>
      <c r="AS584" s="764"/>
    </row>
    <row r="585" spans="1:45" ht="13.9">
      <c r="A585" s="764"/>
      <c r="B585" s="764"/>
      <c r="C585" s="764"/>
      <c r="D585" s="764"/>
      <c r="E585" s="764"/>
      <c r="F585" s="764"/>
      <c r="G585" s="764"/>
      <c r="H585" s="764"/>
      <c r="I585" s="764"/>
      <c r="J585" s="764"/>
      <c r="K585" s="764"/>
      <c r="L585" s="764"/>
      <c r="M585" s="764"/>
      <c r="N585" s="773"/>
      <c r="O585" s="764"/>
      <c r="P585" s="764"/>
      <c r="Q585" s="764"/>
      <c r="R585" s="764"/>
      <c r="S585" s="764"/>
      <c r="T585" s="764"/>
      <c r="U585" s="764"/>
      <c r="V585" s="764"/>
      <c r="W585" s="764"/>
      <c r="X585" s="764"/>
      <c r="Y585" s="764"/>
      <c r="Z585" s="764"/>
      <c r="AA585" s="764"/>
      <c r="AB585" s="764"/>
      <c r="AC585" s="764"/>
      <c r="AD585" s="794"/>
      <c r="AE585" s="764"/>
      <c r="AF585" s="764"/>
      <c r="AG585" s="764"/>
      <c r="AH585" s="764"/>
      <c r="AI585" s="764"/>
      <c r="AJ585" s="764"/>
      <c r="AK585" s="764"/>
      <c r="AL585" s="764"/>
      <c r="AM585" s="764"/>
      <c r="AN585" s="764"/>
      <c r="AO585" s="764"/>
      <c r="AP585" s="764"/>
      <c r="AQ585" s="764"/>
      <c r="AR585" s="764"/>
      <c r="AS585" s="764"/>
    </row>
    <row r="586" spans="1:45" ht="13.9">
      <c r="A586" s="764"/>
      <c r="B586" s="764"/>
      <c r="C586" s="764"/>
      <c r="D586" s="764"/>
      <c r="E586" s="764"/>
      <c r="F586" s="764"/>
      <c r="G586" s="764"/>
      <c r="H586" s="764"/>
      <c r="I586" s="764"/>
      <c r="J586" s="764"/>
      <c r="K586" s="764"/>
      <c r="L586" s="764"/>
      <c r="M586" s="764"/>
      <c r="N586" s="773"/>
      <c r="O586" s="764"/>
      <c r="P586" s="764"/>
      <c r="Q586" s="764"/>
      <c r="R586" s="764"/>
      <c r="S586" s="764"/>
      <c r="T586" s="764"/>
      <c r="U586" s="764"/>
      <c r="V586" s="764"/>
      <c r="W586" s="764"/>
      <c r="X586" s="764"/>
      <c r="Y586" s="764"/>
      <c r="Z586" s="764"/>
      <c r="AA586" s="764"/>
      <c r="AB586" s="764"/>
      <c r="AC586" s="764"/>
      <c r="AD586" s="794"/>
      <c r="AE586" s="764"/>
      <c r="AF586" s="764"/>
      <c r="AG586" s="764"/>
      <c r="AH586" s="764"/>
      <c r="AI586" s="764"/>
      <c r="AJ586" s="764"/>
      <c r="AK586" s="764"/>
      <c r="AL586" s="764"/>
      <c r="AM586" s="764"/>
      <c r="AN586" s="764"/>
      <c r="AO586" s="764"/>
      <c r="AP586" s="764"/>
      <c r="AQ586" s="764"/>
      <c r="AR586" s="764"/>
      <c r="AS586" s="764"/>
    </row>
    <row r="587" spans="1:45" ht="13.9">
      <c r="A587" s="764"/>
      <c r="B587" s="764"/>
      <c r="C587" s="764"/>
      <c r="D587" s="764"/>
      <c r="E587" s="764"/>
      <c r="F587" s="764"/>
      <c r="G587" s="764"/>
      <c r="H587" s="764"/>
      <c r="I587" s="764"/>
      <c r="J587" s="764"/>
      <c r="K587" s="764"/>
      <c r="L587" s="764"/>
      <c r="M587" s="764"/>
      <c r="N587" s="773"/>
      <c r="O587" s="764"/>
      <c r="P587" s="764"/>
      <c r="Q587" s="764"/>
      <c r="R587" s="764"/>
      <c r="S587" s="764"/>
      <c r="T587" s="764"/>
      <c r="U587" s="764"/>
      <c r="V587" s="764"/>
      <c r="W587" s="764"/>
      <c r="X587" s="764"/>
      <c r="Y587" s="764"/>
      <c r="Z587" s="764"/>
      <c r="AA587" s="764"/>
      <c r="AB587" s="764"/>
      <c r="AC587" s="764"/>
      <c r="AD587" s="794"/>
      <c r="AE587" s="764"/>
      <c r="AF587" s="764"/>
      <c r="AG587" s="764"/>
      <c r="AH587" s="764"/>
      <c r="AI587" s="764"/>
      <c r="AJ587" s="764"/>
      <c r="AK587" s="764"/>
      <c r="AL587" s="764"/>
      <c r="AM587" s="764"/>
      <c r="AN587" s="764"/>
      <c r="AO587" s="764"/>
      <c r="AP587" s="764"/>
      <c r="AQ587" s="764"/>
      <c r="AR587" s="764"/>
      <c r="AS587" s="764"/>
    </row>
    <row r="588" spans="1:45" ht="13.9">
      <c r="A588" s="764"/>
      <c r="B588" s="764"/>
      <c r="C588" s="764"/>
      <c r="D588" s="764"/>
      <c r="E588" s="764"/>
      <c r="F588" s="764"/>
      <c r="G588" s="764"/>
      <c r="H588" s="764"/>
      <c r="I588" s="764"/>
      <c r="J588" s="764"/>
      <c r="K588" s="764"/>
      <c r="L588" s="764"/>
      <c r="M588" s="764"/>
      <c r="N588" s="773"/>
      <c r="O588" s="764"/>
      <c r="P588" s="764"/>
      <c r="Q588" s="764"/>
      <c r="R588" s="764"/>
      <c r="S588" s="764"/>
      <c r="T588" s="764"/>
      <c r="U588" s="764"/>
      <c r="V588" s="764"/>
      <c r="W588" s="764"/>
      <c r="X588" s="764"/>
      <c r="Y588" s="764"/>
      <c r="Z588" s="764"/>
      <c r="AA588" s="764"/>
      <c r="AB588" s="764"/>
      <c r="AC588" s="764"/>
      <c r="AD588" s="794"/>
      <c r="AE588" s="764"/>
      <c r="AF588" s="764"/>
      <c r="AG588" s="764"/>
      <c r="AH588" s="764"/>
      <c r="AI588" s="764"/>
      <c r="AJ588" s="764"/>
      <c r="AK588" s="764"/>
      <c r="AL588" s="764"/>
      <c r="AM588" s="764"/>
      <c r="AN588" s="764"/>
      <c r="AO588" s="764"/>
      <c r="AP588" s="764"/>
      <c r="AQ588" s="764"/>
      <c r="AR588" s="764"/>
      <c r="AS588" s="764"/>
    </row>
    <row r="589" spans="1:45" ht="13.9">
      <c r="A589" s="764"/>
      <c r="B589" s="764"/>
      <c r="C589" s="764"/>
      <c r="D589" s="764"/>
      <c r="E589" s="764"/>
      <c r="F589" s="764"/>
      <c r="G589" s="764"/>
      <c r="H589" s="764"/>
      <c r="I589" s="764"/>
      <c r="J589" s="764"/>
      <c r="K589" s="764"/>
      <c r="L589" s="764"/>
      <c r="M589" s="764"/>
      <c r="N589" s="773"/>
      <c r="O589" s="764"/>
      <c r="P589" s="764"/>
      <c r="Q589" s="764"/>
      <c r="R589" s="764"/>
      <c r="S589" s="764"/>
      <c r="T589" s="764"/>
      <c r="U589" s="764"/>
      <c r="V589" s="764"/>
      <c r="W589" s="764"/>
      <c r="X589" s="764"/>
      <c r="Y589" s="764"/>
      <c r="Z589" s="764"/>
      <c r="AA589" s="764"/>
      <c r="AB589" s="764"/>
      <c r="AC589" s="764"/>
      <c r="AD589" s="794"/>
      <c r="AE589" s="764"/>
      <c r="AF589" s="764"/>
      <c r="AG589" s="764"/>
      <c r="AH589" s="764"/>
      <c r="AI589" s="764"/>
      <c r="AJ589" s="764"/>
      <c r="AK589" s="764"/>
      <c r="AL589" s="764"/>
      <c r="AM589" s="764"/>
      <c r="AN589" s="764"/>
      <c r="AO589" s="764"/>
      <c r="AP589" s="764"/>
      <c r="AQ589" s="764"/>
      <c r="AR589" s="764"/>
      <c r="AS589" s="764"/>
    </row>
    <row r="590" spans="1:45" ht="13.9">
      <c r="A590" s="764"/>
      <c r="B590" s="764"/>
      <c r="C590" s="764"/>
      <c r="D590" s="764"/>
      <c r="E590" s="764"/>
      <c r="F590" s="764"/>
      <c r="G590" s="764"/>
      <c r="H590" s="764"/>
      <c r="I590" s="764"/>
      <c r="J590" s="764"/>
      <c r="K590" s="764"/>
      <c r="L590" s="764"/>
      <c r="M590" s="764"/>
      <c r="N590" s="773"/>
      <c r="O590" s="764"/>
      <c r="P590" s="764"/>
      <c r="Q590" s="764"/>
      <c r="R590" s="764"/>
      <c r="S590" s="764"/>
      <c r="T590" s="764"/>
      <c r="U590" s="764"/>
      <c r="V590" s="764"/>
      <c r="W590" s="764"/>
      <c r="X590" s="764"/>
      <c r="Y590" s="764"/>
      <c r="Z590" s="764"/>
      <c r="AA590" s="764"/>
      <c r="AB590" s="764"/>
      <c r="AC590" s="764"/>
      <c r="AD590" s="794"/>
      <c r="AE590" s="764"/>
      <c r="AF590" s="764"/>
      <c r="AG590" s="764"/>
      <c r="AH590" s="764"/>
      <c r="AI590" s="764"/>
      <c r="AJ590" s="764"/>
      <c r="AK590" s="764"/>
      <c r="AL590" s="764"/>
      <c r="AM590" s="764"/>
      <c r="AN590" s="764"/>
      <c r="AO590" s="764"/>
      <c r="AP590" s="764"/>
      <c r="AQ590" s="764"/>
      <c r="AR590" s="764"/>
      <c r="AS590" s="764"/>
    </row>
    <row r="591" spans="1:45" ht="13.9">
      <c r="A591" s="764"/>
      <c r="B591" s="764"/>
      <c r="C591" s="764"/>
      <c r="D591" s="764"/>
      <c r="E591" s="764"/>
      <c r="F591" s="764"/>
      <c r="G591" s="764"/>
      <c r="H591" s="764"/>
      <c r="I591" s="764"/>
      <c r="J591" s="764"/>
      <c r="K591" s="764"/>
      <c r="L591" s="764"/>
      <c r="M591" s="764"/>
      <c r="N591" s="773"/>
      <c r="O591" s="764"/>
      <c r="P591" s="764"/>
      <c r="Q591" s="764"/>
      <c r="R591" s="764"/>
      <c r="S591" s="764"/>
      <c r="T591" s="764"/>
      <c r="U591" s="764"/>
      <c r="V591" s="764"/>
      <c r="W591" s="764"/>
      <c r="X591" s="764"/>
      <c r="Y591" s="764"/>
      <c r="Z591" s="764"/>
      <c r="AA591" s="764"/>
      <c r="AB591" s="764"/>
      <c r="AC591" s="764"/>
      <c r="AD591" s="794"/>
      <c r="AE591" s="764"/>
      <c r="AF591" s="764"/>
      <c r="AG591" s="764"/>
      <c r="AH591" s="764"/>
      <c r="AI591" s="764"/>
      <c r="AJ591" s="764"/>
      <c r="AK591" s="764"/>
      <c r="AL591" s="764"/>
      <c r="AM591" s="764"/>
      <c r="AN591" s="764"/>
      <c r="AO591" s="764"/>
      <c r="AP591" s="764"/>
      <c r="AQ591" s="764"/>
      <c r="AR591" s="764"/>
      <c r="AS591" s="764"/>
    </row>
    <row r="592" spans="1:45" ht="13.9">
      <c r="A592" s="764"/>
      <c r="B592" s="764"/>
      <c r="C592" s="764"/>
      <c r="D592" s="764"/>
      <c r="E592" s="764"/>
      <c r="F592" s="764"/>
      <c r="G592" s="764"/>
      <c r="H592" s="764"/>
      <c r="I592" s="764"/>
      <c r="J592" s="764"/>
      <c r="K592" s="764"/>
      <c r="L592" s="764"/>
      <c r="M592" s="764"/>
      <c r="N592" s="773"/>
      <c r="O592" s="764"/>
      <c r="P592" s="764"/>
      <c r="Q592" s="764"/>
      <c r="R592" s="764"/>
      <c r="S592" s="764"/>
      <c r="T592" s="764"/>
      <c r="U592" s="764"/>
      <c r="V592" s="764"/>
      <c r="W592" s="764"/>
      <c r="X592" s="764"/>
      <c r="Y592" s="764"/>
      <c r="Z592" s="764"/>
      <c r="AA592" s="764"/>
      <c r="AB592" s="764"/>
      <c r="AC592" s="764"/>
      <c r="AD592" s="794"/>
      <c r="AE592" s="764"/>
      <c r="AF592" s="764"/>
      <c r="AG592" s="764"/>
      <c r="AH592" s="764"/>
      <c r="AI592" s="764"/>
      <c r="AJ592" s="764"/>
      <c r="AK592" s="764"/>
      <c r="AL592" s="764"/>
      <c r="AM592" s="764"/>
      <c r="AN592" s="764"/>
      <c r="AO592" s="764"/>
      <c r="AP592" s="764"/>
      <c r="AQ592" s="764"/>
      <c r="AR592" s="764"/>
      <c r="AS592" s="764"/>
    </row>
    <row r="593" spans="1:45" ht="13.9">
      <c r="A593" s="764"/>
      <c r="B593" s="764"/>
      <c r="C593" s="764"/>
      <c r="D593" s="764"/>
      <c r="E593" s="764"/>
      <c r="F593" s="764"/>
      <c r="G593" s="764"/>
      <c r="H593" s="764"/>
      <c r="I593" s="764"/>
      <c r="J593" s="764"/>
      <c r="K593" s="764"/>
      <c r="L593" s="764"/>
      <c r="M593" s="764"/>
      <c r="N593" s="773"/>
      <c r="O593" s="764"/>
      <c r="P593" s="764"/>
      <c r="Q593" s="764"/>
      <c r="R593" s="764"/>
      <c r="S593" s="764"/>
      <c r="T593" s="764"/>
      <c r="U593" s="764"/>
      <c r="V593" s="764"/>
      <c r="W593" s="764"/>
      <c r="X593" s="764"/>
      <c r="Y593" s="764"/>
      <c r="Z593" s="764"/>
      <c r="AA593" s="764"/>
      <c r="AB593" s="764"/>
      <c r="AC593" s="764"/>
      <c r="AD593" s="794"/>
      <c r="AE593" s="764"/>
      <c r="AF593" s="764"/>
      <c r="AG593" s="764"/>
      <c r="AH593" s="764"/>
      <c r="AI593" s="764"/>
      <c r="AJ593" s="764"/>
      <c r="AK593" s="764"/>
      <c r="AL593" s="764"/>
      <c r="AM593" s="764"/>
      <c r="AN593" s="764"/>
      <c r="AO593" s="764"/>
      <c r="AP593" s="764"/>
      <c r="AQ593" s="764"/>
      <c r="AR593" s="764"/>
      <c r="AS593" s="764"/>
    </row>
    <row r="594" spans="1:45" ht="13.9">
      <c r="A594" s="764"/>
      <c r="B594" s="764"/>
      <c r="C594" s="764"/>
      <c r="D594" s="764"/>
      <c r="E594" s="764"/>
      <c r="F594" s="764"/>
      <c r="G594" s="764"/>
      <c r="H594" s="764"/>
      <c r="I594" s="764"/>
      <c r="J594" s="764"/>
      <c r="K594" s="764"/>
      <c r="L594" s="764"/>
      <c r="M594" s="764"/>
      <c r="N594" s="773"/>
      <c r="O594" s="764"/>
      <c r="P594" s="764"/>
      <c r="Q594" s="764"/>
      <c r="R594" s="764"/>
      <c r="S594" s="764"/>
      <c r="T594" s="764"/>
      <c r="U594" s="764"/>
      <c r="V594" s="764"/>
      <c r="W594" s="764"/>
      <c r="X594" s="764"/>
      <c r="Y594" s="764"/>
      <c r="Z594" s="764"/>
      <c r="AA594" s="764"/>
      <c r="AB594" s="764"/>
      <c r="AC594" s="764"/>
      <c r="AD594" s="794"/>
      <c r="AE594" s="764"/>
      <c r="AF594" s="764"/>
      <c r="AG594" s="764"/>
      <c r="AH594" s="764"/>
      <c r="AI594" s="764"/>
      <c r="AJ594" s="764"/>
      <c r="AK594" s="764"/>
      <c r="AL594" s="764"/>
      <c r="AM594" s="764"/>
      <c r="AN594" s="764"/>
      <c r="AO594" s="764"/>
      <c r="AP594" s="764"/>
      <c r="AQ594" s="764"/>
      <c r="AR594" s="764"/>
      <c r="AS594" s="764"/>
    </row>
    <row r="595" spans="1:45" ht="13.9">
      <c r="A595" s="764"/>
      <c r="B595" s="764"/>
      <c r="C595" s="764"/>
      <c r="D595" s="764"/>
      <c r="E595" s="764"/>
      <c r="F595" s="764"/>
      <c r="G595" s="764"/>
      <c r="H595" s="764"/>
      <c r="I595" s="764"/>
      <c r="J595" s="764"/>
      <c r="K595" s="764"/>
      <c r="L595" s="764"/>
      <c r="M595" s="764"/>
      <c r="N595" s="773"/>
      <c r="O595" s="764"/>
      <c r="P595" s="764"/>
      <c r="Q595" s="764"/>
      <c r="R595" s="764"/>
      <c r="S595" s="764"/>
      <c r="T595" s="764"/>
      <c r="U595" s="764"/>
      <c r="V595" s="764"/>
      <c r="W595" s="764"/>
      <c r="X595" s="764"/>
      <c r="Y595" s="764"/>
      <c r="Z595" s="764"/>
      <c r="AA595" s="764"/>
      <c r="AB595" s="764"/>
      <c r="AC595" s="764"/>
      <c r="AD595" s="794"/>
      <c r="AE595" s="764"/>
      <c r="AF595" s="764"/>
      <c r="AG595" s="764"/>
      <c r="AH595" s="764"/>
      <c r="AI595" s="764"/>
      <c r="AJ595" s="764"/>
      <c r="AK595" s="764"/>
      <c r="AL595" s="764"/>
      <c r="AM595" s="764"/>
      <c r="AN595" s="764"/>
      <c r="AO595" s="764"/>
      <c r="AP595" s="764"/>
      <c r="AQ595" s="764"/>
      <c r="AR595" s="764"/>
      <c r="AS595" s="764"/>
    </row>
    <row r="596" spans="1:45" ht="13.9">
      <c r="A596" s="764"/>
      <c r="B596" s="764"/>
      <c r="C596" s="764"/>
      <c r="D596" s="764"/>
      <c r="E596" s="764"/>
      <c r="F596" s="764"/>
      <c r="G596" s="764"/>
      <c r="H596" s="764"/>
      <c r="I596" s="764"/>
      <c r="J596" s="764"/>
      <c r="K596" s="764"/>
      <c r="L596" s="764"/>
      <c r="M596" s="764"/>
      <c r="N596" s="773"/>
      <c r="O596" s="764"/>
      <c r="P596" s="764"/>
      <c r="Q596" s="764"/>
      <c r="R596" s="764"/>
      <c r="S596" s="764"/>
      <c r="T596" s="764"/>
      <c r="U596" s="764"/>
      <c r="V596" s="764"/>
      <c r="W596" s="764"/>
      <c r="X596" s="764"/>
      <c r="Y596" s="764"/>
      <c r="Z596" s="764"/>
      <c r="AA596" s="764"/>
      <c r="AB596" s="764"/>
      <c r="AC596" s="764"/>
      <c r="AD596" s="794"/>
      <c r="AE596" s="764"/>
      <c r="AF596" s="764"/>
      <c r="AG596" s="764"/>
      <c r="AH596" s="764"/>
      <c r="AI596" s="764"/>
      <c r="AJ596" s="764"/>
      <c r="AK596" s="764"/>
      <c r="AL596" s="764"/>
      <c r="AM596" s="764"/>
      <c r="AN596" s="764"/>
      <c r="AO596" s="764"/>
      <c r="AP596" s="764"/>
      <c r="AQ596" s="764"/>
      <c r="AR596" s="764"/>
      <c r="AS596" s="764"/>
    </row>
    <row r="597" spans="1:45" ht="13.9">
      <c r="A597" s="764"/>
      <c r="B597" s="764"/>
      <c r="C597" s="764"/>
      <c r="D597" s="764"/>
      <c r="E597" s="764"/>
      <c r="F597" s="764"/>
      <c r="G597" s="764"/>
      <c r="H597" s="764"/>
      <c r="I597" s="764"/>
      <c r="J597" s="764"/>
      <c r="K597" s="764"/>
      <c r="L597" s="764"/>
      <c r="M597" s="764"/>
      <c r="N597" s="773"/>
      <c r="O597" s="764"/>
      <c r="P597" s="764"/>
      <c r="Q597" s="764"/>
      <c r="R597" s="764"/>
      <c r="S597" s="764"/>
      <c r="T597" s="764"/>
      <c r="U597" s="764"/>
      <c r="V597" s="764"/>
      <c r="W597" s="764"/>
      <c r="X597" s="764"/>
      <c r="Y597" s="764"/>
      <c r="Z597" s="764"/>
      <c r="AA597" s="764"/>
      <c r="AB597" s="764"/>
      <c r="AC597" s="764"/>
      <c r="AD597" s="794"/>
      <c r="AE597" s="764"/>
      <c r="AF597" s="764"/>
      <c r="AG597" s="764"/>
      <c r="AH597" s="764"/>
      <c r="AI597" s="764"/>
      <c r="AJ597" s="764"/>
      <c r="AK597" s="764"/>
      <c r="AL597" s="764"/>
      <c r="AM597" s="764"/>
      <c r="AN597" s="764"/>
      <c r="AO597" s="764"/>
      <c r="AP597" s="764"/>
      <c r="AQ597" s="764"/>
      <c r="AR597" s="764"/>
      <c r="AS597" s="764"/>
    </row>
    <row r="598" spans="1:45" ht="13.9">
      <c r="A598" s="764"/>
      <c r="B598" s="764"/>
      <c r="C598" s="764"/>
      <c r="D598" s="764"/>
      <c r="E598" s="764"/>
      <c r="F598" s="764"/>
      <c r="G598" s="764"/>
      <c r="H598" s="764"/>
      <c r="I598" s="764"/>
      <c r="J598" s="764"/>
      <c r="K598" s="764"/>
      <c r="L598" s="764"/>
      <c r="M598" s="764"/>
      <c r="N598" s="773"/>
      <c r="O598" s="764"/>
      <c r="P598" s="764"/>
      <c r="Q598" s="764"/>
      <c r="R598" s="764"/>
      <c r="S598" s="764"/>
      <c r="T598" s="764"/>
      <c r="U598" s="764"/>
      <c r="V598" s="764"/>
      <c r="W598" s="764"/>
      <c r="X598" s="764"/>
      <c r="Y598" s="764"/>
      <c r="Z598" s="764"/>
      <c r="AA598" s="764"/>
      <c r="AB598" s="764"/>
      <c r="AC598" s="764"/>
      <c r="AD598" s="794"/>
      <c r="AE598" s="764"/>
      <c r="AF598" s="764"/>
      <c r="AG598" s="764"/>
      <c r="AH598" s="764"/>
      <c r="AI598" s="764"/>
      <c r="AJ598" s="764"/>
      <c r="AK598" s="764"/>
      <c r="AL598" s="764"/>
      <c r="AM598" s="764"/>
      <c r="AN598" s="764"/>
      <c r="AO598" s="764"/>
      <c r="AP598" s="764"/>
      <c r="AQ598" s="764"/>
      <c r="AR598" s="764"/>
      <c r="AS598" s="764"/>
    </row>
    <row r="599" spans="1:45" ht="13.9">
      <c r="A599" s="764"/>
      <c r="B599" s="764"/>
      <c r="C599" s="764"/>
      <c r="D599" s="764"/>
      <c r="E599" s="764"/>
      <c r="F599" s="764"/>
      <c r="G599" s="764"/>
      <c r="H599" s="764"/>
      <c r="I599" s="764"/>
      <c r="J599" s="764"/>
      <c r="K599" s="764"/>
      <c r="L599" s="764"/>
      <c r="M599" s="764"/>
      <c r="N599" s="773"/>
      <c r="O599" s="764"/>
      <c r="P599" s="764"/>
      <c r="Q599" s="764"/>
      <c r="R599" s="764"/>
      <c r="S599" s="764"/>
      <c r="T599" s="764"/>
      <c r="U599" s="764"/>
      <c r="V599" s="764"/>
      <c r="W599" s="764"/>
      <c r="X599" s="764"/>
      <c r="Y599" s="764"/>
      <c r="Z599" s="764"/>
      <c r="AA599" s="764"/>
      <c r="AB599" s="764"/>
      <c r="AC599" s="764"/>
      <c r="AD599" s="794"/>
      <c r="AE599" s="764"/>
      <c r="AF599" s="764"/>
      <c r="AG599" s="764"/>
      <c r="AH599" s="764"/>
      <c r="AI599" s="764"/>
      <c r="AJ599" s="764"/>
      <c r="AK599" s="764"/>
      <c r="AL599" s="764"/>
      <c r="AM599" s="764"/>
      <c r="AN599" s="764"/>
      <c r="AO599" s="764"/>
      <c r="AP599" s="764"/>
      <c r="AQ599" s="764"/>
      <c r="AR599" s="764"/>
      <c r="AS599" s="764"/>
    </row>
    <row r="600" spans="1:45" ht="13.9">
      <c r="A600" s="764"/>
      <c r="B600" s="764"/>
      <c r="C600" s="764"/>
      <c r="D600" s="764"/>
      <c r="E600" s="764"/>
      <c r="F600" s="764"/>
      <c r="G600" s="764"/>
      <c r="H600" s="764"/>
      <c r="I600" s="764"/>
      <c r="J600" s="764"/>
      <c r="K600" s="764"/>
      <c r="L600" s="764"/>
      <c r="M600" s="764"/>
      <c r="N600" s="773"/>
      <c r="O600" s="764"/>
      <c r="P600" s="764"/>
      <c r="Q600" s="764"/>
      <c r="R600" s="764"/>
      <c r="S600" s="764"/>
      <c r="T600" s="764"/>
      <c r="U600" s="764"/>
      <c r="V600" s="764"/>
      <c r="W600" s="764"/>
      <c r="X600" s="764"/>
      <c r="Y600" s="764"/>
      <c r="Z600" s="764"/>
      <c r="AA600" s="764"/>
      <c r="AB600" s="764"/>
      <c r="AC600" s="764"/>
      <c r="AD600" s="794"/>
      <c r="AE600" s="764"/>
      <c r="AF600" s="764"/>
      <c r="AG600" s="764"/>
      <c r="AH600" s="764"/>
      <c r="AI600" s="764"/>
      <c r="AJ600" s="764"/>
      <c r="AK600" s="764"/>
      <c r="AL600" s="764"/>
      <c r="AM600" s="764"/>
      <c r="AN600" s="764"/>
      <c r="AO600" s="764"/>
      <c r="AP600" s="764"/>
      <c r="AQ600" s="764"/>
      <c r="AR600" s="764"/>
      <c r="AS600" s="764"/>
    </row>
    <row r="601" spans="1:45" ht="13.9">
      <c r="A601" s="764"/>
      <c r="B601" s="764"/>
      <c r="C601" s="764"/>
      <c r="D601" s="764"/>
      <c r="E601" s="764"/>
      <c r="F601" s="764"/>
      <c r="G601" s="764"/>
      <c r="H601" s="764"/>
      <c r="I601" s="764"/>
      <c r="J601" s="764"/>
      <c r="K601" s="764"/>
      <c r="L601" s="764"/>
      <c r="M601" s="764"/>
      <c r="N601" s="773"/>
      <c r="O601" s="764"/>
      <c r="P601" s="764"/>
      <c r="Q601" s="764"/>
      <c r="R601" s="764"/>
      <c r="S601" s="764"/>
      <c r="T601" s="764"/>
      <c r="U601" s="764"/>
      <c r="V601" s="764"/>
      <c r="W601" s="764"/>
      <c r="X601" s="764"/>
      <c r="Y601" s="764"/>
      <c r="Z601" s="764"/>
      <c r="AA601" s="764"/>
      <c r="AB601" s="764"/>
      <c r="AC601" s="764"/>
      <c r="AD601" s="794"/>
      <c r="AE601" s="764"/>
      <c r="AF601" s="764"/>
      <c r="AG601" s="764"/>
      <c r="AH601" s="764"/>
      <c r="AI601" s="764"/>
      <c r="AJ601" s="764"/>
      <c r="AK601" s="764"/>
      <c r="AL601" s="764"/>
      <c r="AM601" s="764"/>
      <c r="AN601" s="764"/>
      <c r="AO601" s="764"/>
      <c r="AP601" s="764"/>
      <c r="AQ601" s="764"/>
      <c r="AR601" s="764"/>
      <c r="AS601" s="764"/>
    </row>
    <row r="602" spans="1:45" ht="13.9">
      <c r="A602" s="764"/>
      <c r="B602" s="764"/>
      <c r="C602" s="764"/>
      <c r="D602" s="764"/>
      <c r="E602" s="764"/>
      <c r="F602" s="764"/>
      <c r="G602" s="764"/>
      <c r="H602" s="764"/>
      <c r="I602" s="764"/>
      <c r="J602" s="764"/>
      <c r="K602" s="764"/>
      <c r="L602" s="764"/>
      <c r="M602" s="764"/>
      <c r="N602" s="773"/>
      <c r="O602" s="764"/>
      <c r="P602" s="764"/>
      <c r="Q602" s="764"/>
      <c r="R602" s="764"/>
      <c r="S602" s="764"/>
      <c r="T602" s="764"/>
      <c r="U602" s="764"/>
      <c r="V602" s="764"/>
      <c r="W602" s="764"/>
      <c r="X602" s="764"/>
      <c r="Y602" s="764"/>
      <c r="Z602" s="764"/>
      <c r="AA602" s="764"/>
      <c r="AB602" s="764"/>
      <c r="AC602" s="764"/>
      <c r="AD602" s="794"/>
      <c r="AE602" s="764"/>
      <c r="AF602" s="764"/>
      <c r="AG602" s="764"/>
      <c r="AH602" s="764"/>
      <c r="AI602" s="764"/>
      <c r="AJ602" s="764"/>
      <c r="AK602" s="764"/>
      <c r="AL602" s="764"/>
      <c r="AM602" s="764"/>
      <c r="AN602" s="764"/>
      <c r="AO602" s="764"/>
      <c r="AP602" s="764"/>
      <c r="AQ602" s="764"/>
      <c r="AR602" s="764"/>
      <c r="AS602" s="764"/>
    </row>
    <row r="603" spans="1:45" ht="13.9">
      <c r="A603" s="764"/>
      <c r="B603" s="764"/>
      <c r="C603" s="764"/>
      <c r="D603" s="764"/>
      <c r="E603" s="764"/>
      <c r="F603" s="764"/>
      <c r="G603" s="764"/>
      <c r="H603" s="764"/>
      <c r="I603" s="764"/>
      <c r="J603" s="764"/>
      <c r="K603" s="764"/>
      <c r="L603" s="764"/>
      <c r="M603" s="764"/>
      <c r="N603" s="773"/>
      <c r="O603" s="764"/>
      <c r="P603" s="764"/>
      <c r="Q603" s="764"/>
      <c r="R603" s="764"/>
      <c r="S603" s="764"/>
      <c r="T603" s="764"/>
      <c r="U603" s="764"/>
      <c r="V603" s="764"/>
      <c r="W603" s="764"/>
      <c r="X603" s="764"/>
      <c r="Y603" s="764"/>
      <c r="Z603" s="764"/>
      <c r="AA603" s="764"/>
      <c r="AB603" s="764"/>
      <c r="AC603" s="764"/>
      <c r="AD603" s="794"/>
      <c r="AE603" s="764"/>
      <c r="AF603" s="764"/>
      <c r="AG603" s="764"/>
      <c r="AH603" s="764"/>
      <c r="AI603" s="764"/>
      <c r="AJ603" s="764"/>
      <c r="AK603" s="764"/>
      <c r="AL603" s="764"/>
      <c r="AM603" s="764"/>
      <c r="AN603" s="764"/>
      <c r="AO603" s="764"/>
      <c r="AP603" s="764"/>
      <c r="AQ603" s="764"/>
      <c r="AR603" s="764"/>
      <c r="AS603" s="764"/>
    </row>
    <row r="604" spans="1:45" ht="13.9">
      <c r="A604" s="764"/>
      <c r="B604" s="764"/>
      <c r="C604" s="764"/>
      <c r="D604" s="764"/>
      <c r="E604" s="764"/>
      <c r="F604" s="764"/>
      <c r="G604" s="764"/>
      <c r="H604" s="764"/>
      <c r="I604" s="764"/>
      <c r="J604" s="764"/>
      <c r="K604" s="764"/>
      <c r="L604" s="764"/>
      <c r="M604" s="764"/>
      <c r="N604" s="773"/>
      <c r="O604" s="764"/>
      <c r="P604" s="764"/>
      <c r="Q604" s="764"/>
      <c r="R604" s="764"/>
      <c r="S604" s="764"/>
      <c r="T604" s="764"/>
      <c r="U604" s="764"/>
      <c r="V604" s="764"/>
      <c r="W604" s="764"/>
      <c r="X604" s="764"/>
      <c r="Y604" s="764"/>
      <c r="Z604" s="764"/>
      <c r="AA604" s="764"/>
      <c r="AB604" s="764"/>
      <c r="AC604" s="764"/>
      <c r="AD604" s="794"/>
      <c r="AE604" s="764"/>
      <c r="AF604" s="764"/>
      <c r="AG604" s="764"/>
      <c r="AH604" s="764"/>
      <c r="AI604" s="764"/>
      <c r="AJ604" s="764"/>
      <c r="AK604" s="764"/>
      <c r="AL604" s="764"/>
      <c r="AM604" s="764"/>
      <c r="AN604" s="764"/>
      <c r="AO604" s="764"/>
      <c r="AP604" s="764"/>
      <c r="AQ604" s="764"/>
      <c r="AR604" s="764"/>
      <c r="AS604" s="764"/>
    </row>
    <row r="605" spans="1:45" ht="13.9">
      <c r="A605" s="764"/>
      <c r="B605" s="764"/>
      <c r="C605" s="764"/>
      <c r="D605" s="764"/>
      <c r="E605" s="764"/>
      <c r="F605" s="764"/>
      <c r="G605" s="764"/>
      <c r="H605" s="764"/>
      <c r="I605" s="764"/>
      <c r="J605" s="764"/>
      <c r="K605" s="764"/>
      <c r="L605" s="764"/>
      <c r="M605" s="764"/>
      <c r="N605" s="773"/>
      <c r="O605" s="764"/>
      <c r="P605" s="764"/>
      <c r="Q605" s="764"/>
      <c r="R605" s="764"/>
      <c r="S605" s="764"/>
      <c r="T605" s="764"/>
      <c r="U605" s="764"/>
      <c r="V605" s="764"/>
      <c r="W605" s="764"/>
      <c r="X605" s="764"/>
      <c r="Y605" s="764"/>
      <c r="Z605" s="764"/>
      <c r="AA605" s="764"/>
      <c r="AB605" s="764"/>
      <c r="AC605" s="764"/>
      <c r="AD605" s="794"/>
      <c r="AE605" s="764"/>
      <c r="AF605" s="764"/>
      <c r="AG605" s="764"/>
      <c r="AH605" s="764"/>
      <c r="AI605" s="764"/>
      <c r="AJ605" s="764"/>
      <c r="AK605" s="764"/>
      <c r="AL605" s="764"/>
      <c r="AM605" s="764"/>
      <c r="AN605" s="764"/>
      <c r="AO605" s="764"/>
      <c r="AP605" s="764"/>
      <c r="AQ605" s="764"/>
      <c r="AR605" s="764"/>
      <c r="AS605" s="764"/>
    </row>
    <row r="606" spans="1:45" ht="13.9">
      <c r="A606" s="764"/>
      <c r="B606" s="764"/>
      <c r="C606" s="764"/>
      <c r="D606" s="764"/>
      <c r="E606" s="764"/>
      <c r="F606" s="764"/>
      <c r="G606" s="764"/>
      <c r="H606" s="764"/>
      <c r="I606" s="764"/>
      <c r="J606" s="764"/>
      <c r="K606" s="764"/>
      <c r="L606" s="764"/>
      <c r="M606" s="764"/>
      <c r="N606" s="773"/>
      <c r="O606" s="764"/>
      <c r="P606" s="764"/>
      <c r="Q606" s="764"/>
      <c r="R606" s="764"/>
      <c r="S606" s="764"/>
      <c r="T606" s="764"/>
      <c r="U606" s="764"/>
      <c r="V606" s="764"/>
      <c r="W606" s="764"/>
      <c r="X606" s="764"/>
      <c r="Y606" s="764"/>
      <c r="Z606" s="764"/>
      <c r="AA606" s="764"/>
      <c r="AB606" s="764"/>
      <c r="AC606" s="764"/>
      <c r="AD606" s="794"/>
      <c r="AE606" s="764"/>
      <c r="AF606" s="764"/>
      <c r="AG606" s="764"/>
      <c r="AH606" s="764"/>
      <c r="AI606" s="764"/>
      <c r="AJ606" s="764"/>
      <c r="AK606" s="764"/>
      <c r="AL606" s="764"/>
      <c r="AM606" s="764"/>
      <c r="AN606" s="764"/>
      <c r="AO606" s="764"/>
      <c r="AP606" s="764"/>
      <c r="AQ606" s="764"/>
      <c r="AR606" s="764"/>
      <c r="AS606" s="764"/>
    </row>
    <row r="607" spans="1:45" ht="13.9">
      <c r="A607" s="764"/>
      <c r="B607" s="764"/>
      <c r="C607" s="764"/>
      <c r="D607" s="764"/>
      <c r="E607" s="764"/>
      <c r="F607" s="764"/>
      <c r="G607" s="764"/>
      <c r="H607" s="764"/>
      <c r="I607" s="764"/>
      <c r="J607" s="764"/>
      <c r="K607" s="764"/>
      <c r="L607" s="764"/>
      <c r="M607" s="764"/>
      <c r="N607" s="773"/>
      <c r="O607" s="764"/>
      <c r="P607" s="764"/>
      <c r="Q607" s="764"/>
      <c r="R607" s="764"/>
      <c r="S607" s="764"/>
      <c r="T607" s="764"/>
      <c r="U607" s="764"/>
      <c r="V607" s="764"/>
      <c r="W607" s="764"/>
      <c r="X607" s="764"/>
      <c r="Y607" s="764"/>
      <c r="Z607" s="764"/>
      <c r="AA607" s="764"/>
      <c r="AB607" s="764"/>
      <c r="AC607" s="764"/>
      <c r="AD607" s="794"/>
      <c r="AE607" s="764"/>
      <c r="AF607" s="764"/>
      <c r="AG607" s="764"/>
      <c r="AH607" s="764"/>
      <c r="AI607" s="764"/>
      <c r="AJ607" s="764"/>
      <c r="AK607" s="764"/>
      <c r="AL607" s="764"/>
      <c r="AM607" s="764"/>
      <c r="AN607" s="764"/>
      <c r="AO607" s="764"/>
      <c r="AP607" s="764"/>
      <c r="AQ607" s="764"/>
      <c r="AR607" s="764"/>
      <c r="AS607" s="764"/>
    </row>
    <row r="608" spans="1:45" ht="13.9">
      <c r="A608" s="764"/>
      <c r="B608" s="764"/>
      <c r="C608" s="764"/>
      <c r="D608" s="764"/>
      <c r="E608" s="764"/>
      <c r="F608" s="764"/>
      <c r="G608" s="764"/>
      <c r="H608" s="764"/>
      <c r="I608" s="764"/>
      <c r="J608" s="764"/>
      <c r="K608" s="764"/>
      <c r="L608" s="764"/>
      <c r="M608" s="764"/>
      <c r="N608" s="773"/>
      <c r="O608" s="764"/>
      <c r="P608" s="764"/>
      <c r="Q608" s="764"/>
      <c r="R608" s="764"/>
      <c r="S608" s="764"/>
      <c r="T608" s="764"/>
      <c r="U608" s="764"/>
      <c r="V608" s="764"/>
      <c r="W608" s="764"/>
      <c r="X608" s="764"/>
      <c r="Y608" s="764"/>
      <c r="Z608" s="764"/>
      <c r="AA608" s="764"/>
      <c r="AB608" s="764"/>
      <c r="AC608" s="764"/>
      <c r="AD608" s="794"/>
      <c r="AE608" s="764"/>
      <c r="AF608" s="764"/>
      <c r="AG608" s="764"/>
      <c r="AH608" s="764"/>
      <c r="AI608" s="764"/>
      <c r="AJ608" s="764"/>
      <c r="AK608" s="764"/>
      <c r="AL608" s="764"/>
      <c r="AM608" s="764"/>
      <c r="AN608" s="764"/>
      <c r="AO608" s="764"/>
      <c r="AP608" s="764"/>
      <c r="AQ608" s="764"/>
      <c r="AR608" s="764"/>
      <c r="AS608" s="764"/>
    </row>
    <row r="609" spans="1:45" ht="13.9">
      <c r="A609" s="764"/>
      <c r="B609" s="764"/>
      <c r="C609" s="764"/>
      <c r="D609" s="764"/>
      <c r="E609" s="764"/>
      <c r="F609" s="764"/>
      <c r="G609" s="764"/>
      <c r="H609" s="764"/>
      <c r="I609" s="764"/>
      <c r="J609" s="764"/>
      <c r="K609" s="764"/>
      <c r="L609" s="764"/>
      <c r="M609" s="764"/>
      <c r="N609" s="773"/>
      <c r="O609" s="764"/>
      <c r="P609" s="764"/>
      <c r="Q609" s="764"/>
      <c r="R609" s="764"/>
      <c r="S609" s="764"/>
      <c r="T609" s="764"/>
      <c r="U609" s="764"/>
      <c r="V609" s="764"/>
      <c r="W609" s="764"/>
      <c r="X609" s="764"/>
      <c r="Y609" s="764"/>
      <c r="Z609" s="764"/>
      <c r="AA609" s="764"/>
      <c r="AB609" s="764"/>
      <c r="AC609" s="764"/>
      <c r="AD609" s="794"/>
      <c r="AE609" s="764"/>
      <c r="AF609" s="764"/>
      <c r="AG609" s="764"/>
      <c r="AH609" s="764"/>
      <c r="AI609" s="764"/>
      <c r="AJ609" s="764"/>
      <c r="AK609" s="764"/>
      <c r="AL609" s="764"/>
      <c r="AM609" s="764"/>
      <c r="AN609" s="764"/>
      <c r="AO609" s="764"/>
      <c r="AP609" s="764"/>
      <c r="AQ609" s="764"/>
      <c r="AR609" s="764"/>
      <c r="AS609" s="764"/>
    </row>
    <row r="610" spans="1:45" ht="13.9">
      <c r="A610" s="764"/>
      <c r="B610" s="764"/>
      <c r="C610" s="764"/>
      <c r="D610" s="764"/>
      <c r="E610" s="764"/>
      <c r="F610" s="764"/>
      <c r="G610" s="764"/>
      <c r="H610" s="764"/>
      <c r="I610" s="764"/>
      <c r="J610" s="764"/>
      <c r="K610" s="764"/>
      <c r="L610" s="764"/>
      <c r="M610" s="764"/>
      <c r="N610" s="773"/>
      <c r="O610" s="764"/>
      <c r="P610" s="764"/>
      <c r="Q610" s="764"/>
      <c r="R610" s="764"/>
      <c r="S610" s="764"/>
      <c r="T610" s="764"/>
      <c r="U610" s="764"/>
      <c r="V610" s="764"/>
      <c r="W610" s="764"/>
      <c r="X610" s="764"/>
      <c r="Y610" s="764"/>
      <c r="Z610" s="764"/>
      <c r="AA610" s="764"/>
      <c r="AB610" s="764"/>
      <c r="AC610" s="764"/>
      <c r="AD610" s="794"/>
      <c r="AE610" s="764"/>
      <c r="AF610" s="764"/>
      <c r="AG610" s="764"/>
      <c r="AH610" s="764"/>
      <c r="AI610" s="764"/>
      <c r="AJ610" s="764"/>
      <c r="AK610" s="764"/>
      <c r="AL610" s="764"/>
      <c r="AM610" s="764"/>
      <c r="AN610" s="764"/>
      <c r="AO610" s="764"/>
      <c r="AP610" s="764"/>
      <c r="AQ610" s="764"/>
      <c r="AR610" s="764"/>
      <c r="AS610" s="764"/>
    </row>
    <row r="611" spans="1:45" ht="13.9">
      <c r="A611" s="764"/>
      <c r="B611" s="764"/>
      <c r="C611" s="764"/>
      <c r="D611" s="764"/>
      <c r="E611" s="764"/>
      <c r="F611" s="764"/>
      <c r="G611" s="764"/>
      <c r="H611" s="764"/>
      <c r="I611" s="764"/>
      <c r="J611" s="764"/>
      <c r="K611" s="764"/>
      <c r="L611" s="764"/>
      <c r="M611" s="764"/>
      <c r="N611" s="773"/>
      <c r="O611" s="764"/>
      <c r="P611" s="764"/>
      <c r="Q611" s="764"/>
      <c r="R611" s="764"/>
      <c r="S611" s="764"/>
      <c r="T611" s="764"/>
      <c r="U611" s="764"/>
      <c r="V611" s="764"/>
      <c r="W611" s="764"/>
      <c r="X611" s="764"/>
      <c r="Y611" s="764"/>
      <c r="Z611" s="764"/>
      <c r="AA611" s="764"/>
      <c r="AB611" s="764"/>
      <c r="AC611" s="764"/>
      <c r="AD611" s="794"/>
      <c r="AE611" s="764"/>
      <c r="AF611" s="764"/>
      <c r="AG611" s="764"/>
      <c r="AH611" s="764"/>
      <c r="AI611" s="764"/>
      <c r="AJ611" s="764"/>
      <c r="AK611" s="764"/>
      <c r="AL611" s="764"/>
      <c r="AM611" s="764"/>
      <c r="AN611" s="764"/>
      <c r="AO611" s="764"/>
      <c r="AP611" s="764"/>
      <c r="AQ611" s="764"/>
      <c r="AR611" s="764"/>
      <c r="AS611" s="764"/>
    </row>
    <row r="612" spans="1:45" ht="13.9">
      <c r="A612" s="764"/>
      <c r="B612" s="764"/>
      <c r="C612" s="764"/>
      <c r="D612" s="764"/>
      <c r="E612" s="764"/>
      <c r="F612" s="764"/>
      <c r="G612" s="764"/>
      <c r="H612" s="764"/>
      <c r="I612" s="764"/>
      <c r="J612" s="764"/>
      <c r="K612" s="764"/>
      <c r="L612" s="764"/>
      <c r="M612" s="764"/>
      <c r="N612" s="773"/>
      <c r="O612" s="764"/>
      <c r="P612" s="764"/>
      <c r="Q612" s="764"/>
      <c r="R612" s="764"/>
      <c r="S612" s="764"/>
      <c r="T612" s="764"/>
      <c r="U612" s="764"/>
      <c r="V612" s="764"/>
      <c r="W612" s="764"/>
      <c r="X612" s="764"/>
      <c r="Y612" s="764"/>
      <c r="Z612" s="764"/>
      <c r="AA612" s="764"/>
      <c r="AB612" s="764"/>
      <c r="AC612" s="764"/>
      <c r="AD612" s="794"/>
      <c r="AE612" s="764"/>
      <c r="AF612" s="764"/>
      <c r="AG612" s="764"/>
      <c r="AH612" s="764"/>
      <c r="AI612" s="764"/>
      <c r="AJ612" s="764"/>
      <c r="AK612" s="764"/>
      <c r="AL612" s="764"/>
      <c r="AM612" s="764"/>
      <c r="AN612" s="764"/>
      <c r="AO612" s="764"/>
      <c r="AP612" s="764"/>
      <c r="AQ612" s="764"/>
      <c r="AR612" s="764"/>
      <c r="AS612" s="764"/>
    </row>
    <row r="613" spans="1:45" ht="13.9">
      <c r="A613" s="764"/>
      <c r="B613" s="764"/>
      <c r="C613" s="764"/>
      <c r="D613" s="764"/>
      <c r="E613" s="764"/>
      <c r="F613" s="764"/>
      <c r="G613" s="764"/>
      <c r="H613" s="764"/>
      <c r="I613" s="764"/>
      <c r="J613" s="764"/>
      <c r="K613" s="764"/>
      <c r="L613" s="764"/>
      <c r="M613" s="764"/>
      <c r="N613" s="773"/>
      <c r="O613" s="764"/>
      <c r="P613" s="764"/>
      <c r="Q613" s="764"/>
      <c r="R613" s="764"/>
      <c r="S613" s="764"/>
      <c r="T613" s="764"/>
      <c r="U613" s="764"/>
      <c r="V613" s="764"/>
      <c r="W613" s="764"/>
      <c r="X613" s="764"/>
      <c r="Y613" s="764"/>
      <c r="Z613" s="764"/>
      <c r="AA613" s="764"/>
      <c r="AB613" s="764"/>
      <c r="AC613" s="764"/>
      <c r="AD613" s="794"/>
      <c r="AE613" s="764"/>
      <c r="AF613" s="764"/>
      <c r="AG613" s="764"/>
      <c r="AH613" s="764"/>
      <c r="AI613" s="764"/>
      <c r="AJ613" s="764"/>
      <c r="AK613" s="764"/>
      <c r="AL613" s="764"/>
      <c r="AM613" s="764"/>
      <c r="AN613" s="764"/>
      <c r="AO613" s="764"/>
      <c r="AP613" s="764"/>
      <c r="AQ613" s="764"/>
      <c r="AR613" s="764"/>
      <c r="AS613" s="764"/>
    </row>
    <row r="614" spans="1:45" ht="13.9">
      <c r="A614" s="764"/>
      <c r="B614" s="764"/>
      <c r="C614" s="764"/>
      <c r="D614" s="764"/>
      <c r="E614" s="764"/>
      <c r="F614" s="764"/>
      <c r="G614" s="764"/>
      <c r="H614" s="764"/>
      <c r="I614" s="764"/>
      <c r="J614" s="764"/>
      <c r="K614" s="764"/>
      <c r="L614" s="764"/>
      <c r="M614" s="764"/>
      <c r="N614" s="773"/>
      <c r="O614" s="764"/>
      <c r="P614" s="764"/>
      <c r="Q614" s="764"/>
      <c r="R614" s="764"/>
      <c r="S614" s="764"/>
      <c r="T614" s="764"/>
      <c r="U614" s="764"/>
      <c r="V614" s="764"/>
      <c r="W614" s="764"/>
      <c r="X614" s="764"/>
      <c r="Y614" s="764"/>
      <c r="Z614" s="764"/>
      <c r="AA614" s="764"/>
      <c r="AB614" s="764"/>
      <c r="AC614" s="764"/>
      <c r="AD614" s="794"/>
      <c r="AE614" s="764"/>
      <c r="AF614" s="764"/>
      <c r="AG614" s="764"/>
      <c r="AH614" s="764"/>
      <c r="AI614" s="764"/>
      <c r="AJ614" s="764"/>
      <c r="AK614" s="764"/>
      <c r="AL614" s="764"/>
      <c r="AM614" s="764"/>
      <c r="AN614" s="764"/>
      <c r="AO614" s="764"/>
      <c r="AP614" s="764"/>
      <c r="AQ614" s="764"/>
      <c r="AR614" s="764"/>
      <c r="AS614" s="764"/>
    </row>
    <row r="615" spans="1:45" ht="13.9">
      <c r="A615" s="764"/>
      <c r="B615" s="764"/>
      <c r="C615" s="764"/>
      <c r="D615" s="764"/>
      <c r="E615" s="764"/>
      <c r="F615" s="764"/>
      <c r="G615" s="764"/>
      <c r="H615" s="764"/>
      <c r="I615" s="764"/>
      <c r="J615" s="764"/>
      <c r="K615" s="764"/>
      <c r="L615" s="764"/>
      <c r="M615" s="764"/>
      <c r="N615" s="773"/>
      <c r="O615" s="764"/>
      <c r="P615" s="764"/>
      <c r="Q615" s="764"/>
      <c r="R615" s="764"/>
      <c r="S615" s="764"/>
      <c r="T615" s="764"/>
      <c r="U615" s="764"/>
      <c r="V615" s="764"/>
      <c r="W615" s="764"/>
      <c r="X615" s="764"/>
      <c r="Y615" s="764"/>
      <c r="Z615" s="764"/>
      <c r="AA615" s="764"/>
      <c r="AB615" s="764"/>
      <c r="AC615" s="764"/>
      <c r="AD615" s="794"/>
      <c r="AE615" s="764"/>
      <c r="AF615" s="764"/>
      <c r="AG615" s="764"/>
      <c r="AH615" s="764"/>
      <c r="AI615" s="764"/>
      <c r="AJ615" s="764"/>
      <c r="AK615" s="764"/>
      <c r="AL615" s="764"/>
      <c r="AM615" s="764"/>
      <c r="AN615" s="764"/>
      <c r="AO615" s="764"/>
      <c r="AP615" s="764"/>
      <c r="AQ615" s="764"/>
      <c r="AR615" s="764"/>
      <c r="AS615" s="764"/>
    </row>
    <row r="616" spans="1:45" ht="13.9">
      <c r="A616" s="764"/>
      <c r="B616" s="764"/>
      <c r="C616" s="764"/>
      <c r="D616" s="764"/>
      <c r="E616" s="764"/>
      <c r="F616" s="764"/>
      <c r="G616" s="764"/>
      <c r="H616" s="764"/>
      <c r="I616" s="764"/>
      <c r="J616" s="764"/>
      <c r="K616" s="764"/>
      <c r="L616" s="764"/>
      <c r="M616" s="764"/>
      <c r="N616" s="773"/>
      <c r="O616" s="764"/>
      <c r="P616" s="764"/>
      <c r="Q616" s="764"/>
      <c r="R616" s="764"/>
      <c r="S616" s="764"/>
      <c r="T616" s="764"/>
      <c r="U616" s="764"/>
      <c r="V616" s="764"/>
      <c r="W616" s="764"/>
      <c r="X616" s="764"/>
      <c r="Y616" s="764"/>
      <c r="Z616" s="764"/>
      <c r="AA616" s="764"/>
      <c r="AB616" s="764"/>
      <c r="AC616" s="764"/>
      <c r="AD616" s="794"/>
      <c r="AE616" s="764"/>
      <c r="AF616" s="764"/>
      <c r="AG616" s="764"/>
      <c r="AH616" s="764"/>
      <c r="AI616" s="764"/>
      <c r="AJ616" s="764"/>
      <c r="AK616" s="764"/>
      <c r="AL616" s="764"/>
      <c r="AM616" s="764"/>
      <c r="AN616" s="764"/>
      <c r="AO616" s="764"/>
      <c r="AP616" s="764"/>
      <c r="AQ616" s="764"/>
      <c r="AR616" s="764"/>
      <c r="AS616" s="764"/>
    </row>
    <row r="617" spans="1:45" ht="13.9">
      <c r="A617" s="764"/>
      <c r="B617" s="764"/>
      <c r="C617" s="764"/>
      <c r="D617" s="764"/>
      <c r="E617" s="764"/>
      <c r="F617" s="764"/>
      <c r="G617" s="764"/>
      <c r="H617" s="764"/>
      <c r="I617" s="764"/>
      <c r="J617" s="764"/>
      <c r="K617" s="764"/>
      <c r="L617" s="764"/>
      <c r="M617" s="764"/>
      <c r="N617" s="773"/>
      <c r="O617" s="764"/>
      <c r="P617" s="764"/>
      <c r="Q617" s="764"/>
      <c r="R617" s="764"/>
      <c r="S617" s="764"/>
      <c r="T617" s="764"/>
      <c r="U617" s="764"/>
      <c r="V617" s="764"/>
      <c r="W617" s="764"/>
      <c r="X617" s="764"/>
      <c r="Y617" s="764"/>
      <c r="Z617" s="764"/>
      <c r="AA617" s="764"/>
      <c r="AB617" s="764"/>
      <c r="AC617" s="764"/>
      <c r="AD617" s="794"/>
      <c r="AE617" s="764"/>
      <c r="AF617" s="764"/>
      <c r="AG617" s="764"/>
      <c r="AH617" s="764"/>
      <c r="AI617" s="764"/>
      <c r="AJ617" s="764"/>
      <c r="AK617" s="764"/>
      <c r="AL617" s="764"/>
      <c r="AM617" s="764"/>
      <c r="AN617" s="764"/>
      <c r="AO617" s="764"/>
      <c r="AP617" s="764"/>
      <c r="AQ617" s="764"/>
      <c r="AR617" s="764"/>
      <c r="AS617" s="764"/>
    </row>
    <row r="618" spans="1:45" ht="13.9">
      <c r="A618" s="764"/>
      <c r="B618" s="764"/>
      <c r="C618" s="764"/>
      <c r="D618" s="764"/>
      <c r="E618" s="764"/>
      <c r="F618" s="764"/>
      <c r="G618" s="764"/>
      <c r="H618" s="764"/>
      <c r="I618" s="764"/>
      <c r="J618" s="764"/>
      <c r="K618" s="764"/>
      <c r="L618" s="764"/>
      <c r="M618" s="764"/>
      <c r="N618" s="773"/>
      <c r="O618" s="764"/>
      <c r="P618" s="764"/>
      <c r="Q618" s="764"/>
      <c r="R618" s="764"/>
      <c r="S618" s="764"/>
      <c r="T618" s="764"/>
      <c r="U618" s="764"/>
      <c r="V618" s="764"/>
      <c r="W618" s="764"/>
      <c r="X618" s="764"/>
      <c r="Y618" s="764"/>
      <c r="Z618" s="764"/>
      <c r="AA618" s="764"/>
      <c r="AB618" s="764"/>
      <c r="AC618" s="764"/>
      <c r="AD618" s="794"/>
      <c r="AE618" s="764"/>
      <c r="AF618" s="764"/>
      <c r="AG618" s="764"/>
      <c r="AH618" s="764"/>
      <c r="AI618" s="764"/>
      <c r="AJ618" s="764"/>
      <c r="AK618" s="764"/>
      <c r="AL618" s="764"/>
      <c r="AM618" s="764"/>
      <c r="AN618" s="764"/>
      <c r="AO618" s="764"/>
      <c r="AP618" s="764"/>
      <c r="AQ618" s="764"/>
      <c r="AR618" s="764"/>
      <c r="AS618" s="764"/>
    </row>
    <row r="619" spans="1:45" ht="13.9">
      <c r="A619" s="764"/>
      <c r="B619" s="764"/>
      <c r="C619" s="764"/>
      <c r="D619" s="764"/>
      <c r="E619" s="764"/>
      <c r="F619" s="764"/>
      <c r="G619" s="764"/>
      <c r="H619" s="764"/>
      <c r="I619" s="764"/>
      <c r="J619" s="764"/>
      <c r="K619" s="764"/>
      <c r="L619" s="764"/>
      <c r="M619" s="764"/>
      <c r="N619" s="773"/>
      <c r="O619" s="764"/>
      <c r="P619" s="764"/>
      <c r="Q619" s="764"/>
      <c r="R619" s="764"/>
      <c r="S619" s="764"/>
      <c r="T619" s="764"/>
      <c r="U619" s="764"/>
      <c r="V619" s="764"/>
      <c r="W619" s="764"/>
      <c r="X619" s="764"/>
      <c r="Y619" s="764"/>
      <c r="Z619" s="764"/>
      <c r="AA619" s="764"/>
      <c r="AB619" s="764"/>
      <c r="AC619" s="764"/>
      <c r="AD619" s="794"/>
      <c r="AE619" s="764"/>
      <c r="AF619" s="764"/>
      <c r="AG619" s="764"/>
      <c r="AH619" s="764"/>
      <c r="AI619" s="764"/>
      <c r="AJ619" s="764"/>
      <c r="AK619" s="764"/>
      <c r="AL619" s="764"/>
      <c r="AM619" s="764"/>
      <c r="AN619" s="764"/>
      <c r="AO619" s="764"/>
      <c r="AP619" s="764"/>
      <c r="AQ619" s="764"/>
      <c r="AR619" s="764"/>
      <c r="AS619" s="764"/>
    </row>
    <row r="620" spans="1:45" ht="13.9">
      <c r="A620" s="764"/>
      <c r="B620" s="764"/>
      <c r="C620" s="764"/>
      <c r="D620" s="764"/>
      <c r="E620" s="764"/>
      <c r="F620" s="764"/>
      <c r="G620" s="764"/>
      <c r="H620" s="764"/>
      <c r="I620" s="764"/>
      <c r="J620" s="764"/>
      <c r="K620" s="764"/>
      <c r="L620" s="764"/>
      <c r="M620" s="764"/>
      <c r="N620" s="773"/>
      <c r="O620" s="764"/>
      <c r="P620" s="764"/>
      <c r="Q620" s="764"/>
      <c r="R620" s="764"/>
      <c r="S620" s="764"/>
      <c r="T620" s="764"/>
      <c r="U620" s="764"/>
      <c r="V620" s="764"/>
      <c r="W620" s="764"/>
      <c r="X620" s="764"/>
      <c r="Y620" s="764"/>
      <c r="Z620" s="764"/>
      <c r="AA620" s="764"/>
      <c r="AB620" s="764"/>
      <c r="AC620" s="764"/>
      <c r="AD620" s="794"/>
      <c r="AE620" s="764"/>
      <c r="AF620" s="764"/>
      <c r="AG620" s="764"/>
      <c r="AH620" s="764"/>
      <c r="AI620" s="764"/>
      <c r="AJ620" s="764"/>
      <c r="AK620" s="764"/>
      <c r="AL620" s="764"/>
      <c r="AM620" s="764"/>
      <c r="AN620" s="764"/>
      <c r="AO620" s="764"/>
      <c r="AP620" s="764"/>
      <c r="AQ620" s="764"/>
      <c r="AR620" s="764"/>
      <c r="AS620" s="764"/>
    </row>
    <row r="621" spans="1:45" ht="13.9">
      <c r="A621" s="764"/>
      <c r="B621" s="764"/>
      <c r="C621" s="764"/>
      <c r="D621" s="764"/>
      <c r="E621" s="764"/>
      <c r="F621" s="764"/>
      <c r="G621" s="764"/>
      <c r="H621" s="764"/>
      <c r="I621" s="764"/>
      <c r="J621" s="764"/>
      <c r="K621" s="764"/>
      <c r="L621" s="764"/>
      <c r="M621" s="764"/>
      <c r="N621" s="773"/>
      <c r="O621" s="764"/>
      <c r="P621" s="764"/>
      <c r="Q621" s="764"/>
      <c r="R621" s="764"/>
      <c r="S621" s="764"/>
      <c r="T621" s="764"/>
      <c r="U621" s="764"/>
      <c r="V621" s="764"/>
      <c r="W621" s="764"/>
      <c r="X621" s="764"/>
      <c r="Y621" s="764"/>
      <c r="Z621" s="764"/>
      <c r="AA621" s="764"/>
      <c r="AB621" s="764"/>
      <c r="AC621" s="764"/>
      <c r="AD621" s="794"/>
      <c r="AE621" s="764"/>
      <c r="AF621" s="764"/>
      <c r="AG621" s="764"/>
      <c r="AH621" s="764"/>
      <c r="AI621" s="764"/>
      <c r="AJ621" s="764"/>
      <c r="AK621" s="764"/>
      <c r="AL621" s="764"/>
      <c r="AM621" s="764"/>
      <c r="AN621" s="764"/>
      <c r="AO621" s="764"/>
      <c r="AP621" s="764"/>
      <c r="AQ621" s="764"/>
      <c r="AR621" s="764"/>
      <c r="AS621" s="764"/>
    </row>
    <row r="622" spans="1:45" ht="13.9">
      <c r="A622" s="764"/>
      <c r="B622" s="764"/>
      <c r="C622" s="764"/>
      <c r="D622" s="764"/>
      <c r="E622" s="764"/>
      <c r="F622" s="764"/>
      <c r="G622" s="764"/>
      <c r="H622" s="764"/>
      <c r="I622" s="764"/>
      <c r="J622" s="764"/>
      <c r="K622" s="764"/>
      <c r="L622" s="764"/>
      <c r="M622" s="764"/>
      <c r="N622" s="773"/>
      <c r="O622" s="764"/>
      <c r="P622" s="764"/>
      <c r="Q622" s="764"/>
      <c r="R622" s="764"/>
      <c r="S622" s="764"/>
      <c r="T622" s="764"/>
      <c r="U622" s="764"/>
      <c r="V622" s="764"/>
      <c r="W622" s="764"/>
      <c r="X622" s="764"/>
      <c r="Y622" s="764"/>
      <c r="Z622" s="764"/>
      <c r="AA622" s="764"/>
      <c r="AB622" s="764"/>
      <c r="AC622" s="764"/>
      <c r="AD622" s="794"/>
      <c r="AE622" s="764"/>
      <c r="AF622" s="764"/>
      <c r="AG622" s="764"/>
      <c r="AH622" s="764"/>
      <c r="AI622" s="764"/>
      <c r="AJ622" s="764"/>
      <c r="AK622" s="764"/>
      <c r="AL622" s="764"/>
      <c r="AM622" s="764"/>
      <c r="AN622" s="764"/>
      <c r="AO622" s="764"/>
      <c r="AP622" s="764"/>
      <c r="AQ622" s="764"/>
      <c r="AR622" s="764"/>
      <c r="AS622" s="764"/>
    </row>
    <row r="623" spans="1:45" ht="13.9">
      <c r="A623" s="764"/>
      <c r="B623" s="764"/>
      <c r="C623" s="764"/>
      <c r="D623" s="764"/>
      <c r="E623" s="764"/>
      <c r="F623" s="764"/>
      <c r="G623" s="764"/>
      <c r="H623" s="764"/>
      <c r="I623" s="764"/>
      <c r="J623" s="764"/>
      <c r="K623" s="764"/>
      <c r="L623" s="764"/>
      <c r="M623" s="764"/>
      <c r="N623" s="773"/>
      <c r="O623" s="764"/>
      <c r="P623" s="764"/>
      <c r="Q623" s="764"/>
      <c r="R623" s="764"/>
      <c r="S623" s="764"/>
      <c r="T623" s="764"/>
      <c r="U623" s="764"/>
      <c r="V623" s="764"/>
      <c r="W623" s="764"/>
      <c r="X623" s="764"/>
      <c r="Y623" s="764"/>
      <c r="Z623" s="764"/>
      <c r="AA623" s="764"/>
      <c r="AB623" s="764"/>
      <c r="AC623" s="764"/>
      <c r="AD623" s="794"/>
      <c r="AE623" s="764"/>
      <c r="AF623" s="764"/>
      <c r="AG623" s="764"/>
      <c r="AH623" s="764"/>
      <c r="AI623" s="764"/>
      <c r="AJ623" s="764"/>
      <c r="AK623" s="764"/>
      <c r="AL623" s="764"/>
      <c r="AM623" s="764"/>
      <c r="AN623" s="764"/>
      <c r="AO623" s="764"/>
      <c r="AP623" s="764"/>
      <c r="AQ623" s="764"/>
      <c r="AR623" s="764"/>
      <c r="AS623" s="764"/>
    </row>
    <row r="624" spans="1:45" ht="13.9">
      <c r="A624" s="764"/>
      <c r="B624" s="764"/>
      <c r="C624" s="764"/>
      <c r="D624" s="764"/>
      <c r="E624" s="764"/>
      <c r="F624" s="764"/>
      <c r="G624" s="764"/>
      <c r="H624" s="764"/>
      <c r="I624" s="764"/>
      <c r="J624" s="764"/>
      <c r="K624" s="764"/>
      <c r="L624" s="764"/>
      <c r="M624" s="764"/>
      <c r="N624" s="773"/>
      <c r="O624" s="764"/>
      <c r="P624" s="764"/>
      <c r="Q624" s="764"/>
      <c r="R624" s="764"/>
      <c r="S624" s="764"/>
      <c r="T624" s="764"/>
      <c r="U624" s="764"/>
      <c r="V624" s="764"/>
      <c r="W624" s="764"/>
      <c r="X624" s="764"/>
      <c r="Y624" s="764"/>
      <c r="Z624" s="764"/>
      <c r="AA624" s="764"/>
      <c r="AB624" s="764"/>
      <c r="AC624" s="764"/>
      <c r="AD624" s="794"/>
      <c r="AE624" s="764"/>
      <c r="AF624" s="764"/>
      <c r="AG624" s="764"/>
      <c r="AH624" s="764"/>
      <c r="AI624" s="764"/>
      <c r="AJ624" s="764"/>
      <c r="AK624" s="764"/>
      <c r="AL624" s="764"/>
      <c r="AM624" s="764"/>
      <c r="AN624" s="764"/>
      <c r="AO624" s="764"/>
      <c r="AP624" s="764"/>
      <c r="AQ624" s="764"/>
      <c r="AR624" s="764"/>
      <c r="AS624" s="764"/>
    </row>
    <row r="625" spans="1:45" ht="13.9">
      <c r="A625" s="764"/>
      <c r="B625" s="764"/>
      <c r="C625" s="764"/>
      <c r="D625" s="764"/>
      <c r="E625" s="764"/>
      <c r="F625" s="764"/>
      <c r="G625" s="764"/>
      <c r="H625" s="764"/>
      <c r="I625" s="764"/>
      <c r="J625" s="764"/>
      <c r="K625" s="764"/>
      <c r="L625" s="764"/>
      <c r="M625" s="764"/>
      <c r="N625" s="773"/>
      <c r="O625" s="764"/>
      <c r="P625" s="764"/>
      <c r="Q625" s="764"/>
      <c r="R625" s="764"/>
      <c r="S625" s="764"/>
      <c r="T625" s="764"/>
      <c r="U625" s="764"/>
      <c r="V625" s="764"/>
      <c r="W625" s="764"/>
      <c r="X625" s="764"/>
      <c r="Y625" s="764"/>
      <c r="Z625" s="764"/>
      <c r="AA625" s="764"/>
      <c r="AB625" s="764"/>
      <c r="AC625" s="764"/>
      <c r="AD625" s="794"/>
      <c r="AE625" s="764"/>
      <c r="AF625" s="764"/>
      <c r="AG625" s="764"/>
      <c r="AH625" s="764"/>
      <c r="AI625" s="764"/>
      <c r="AJ625" s="764"/>
      <c r="AK625" s="764"/>
      <c r="AL625" s="764"/>
      <c r="AM625" s="764"/>
      <c r="AN625" s="764"/>
      <c r="AO625" s="764"/>
      <c r="AP625" s="764"/>
      <c r="AQ625" s="764"/>
      <c r="AR625" s="764"/>
      <c r="AS625" s="764"/>
    </row>
    <row r="626" spans="1:45" ht="13.9">
      <c r="A626" s="764"/>
      <c r="B626" s="764"/>
      <c r="C626" s="764"/>
      <c r="D626" s="764"/>
      <c r="E626" s="764"/>
      <c r="F626" s="764"/>
      <c r="G626" s="764"/>
      <c r="H626" s="764"/>
      <c r="I626" s="764"/>
      <c r="J626" s="764"/>
      <c r="K626" s="764"/>
      <c r="L626" s="764"/>
      <c r="M626" s="764"/>
      <c r="N626" s="773"/>
      <c r="O626" s="764"/>
      <c r="P626" s="764"/>
      <c r="Q626" s="764"/>
      <c r="R626" s="764"/>
      <c r="S626" s="764"/>
      <c r="T626" s="764"/>
      <c r="U626" s="764"/>
      <c r="V626" s="764"/>
      <c r="W626" s="764"/>
      <c r="X626" s="764"/>
      <c r="Y626" s="764"/>
      <c r="Z626" s="764"/>
      <c r="AA626" s="764"/>
      <c r="AB626" s="764"/>
      <c r="AC626" s="764"/>
      <c r="AD626" s="794"/>
      <c r="AE626" s="764"/>
      <c r="AF626" s="764"/>
      <c r="AG626" s="764"/>
      <c r="AH626" s="764"/>
      <c r="AI626" s="764"/>
      <c r="AJ626" s="764"/>
      <c r="AK626" s="764"/>
      <c r="AL626" s="764"/>
      <c r="AM626" s="764"/>
      <c r="AN626" s="764"/>
      <c r="AO626" s="764"/>
      <c r="AP626" s="764"/>
      <c r="AQ626" s="764"/>
      <c r="AR626" s="764"/>
      <c r="AS626" s="764"/>
    </row>
    <row r="627" spans="1:45" ht="13.9">
      <c r="A627" s="764"/>
      <c r="B627" s="764"/>
      <c r="C627" s="764"/>
      <c r="D627" s="764"/>
      <c r="E627" s="764"/>
      <c r="F627" s="764"/>
      <c r="G627" s="764"/>
      <c r="H627" s="764"/>
      <c r="I627" s="764"/>
      <c r="J627" s="764"/>
      <c r="K627" s="764"/>
      <c r="L627" s="764"/>
      <c r="M627" s="764"/>
      <c r="N627" s="773"/>
      <c r="O627" s="764"/>
      <c r="P627" s="764"/>
      <c r="Q627" s="764"/>
      <c r="R627" s="764"/>
      <c r="S627" s="764"/>
      <c r="T627" s="764"/>
      <c r="U627" s="764"/>
      <c r="V627" s="764"/>
      <c r="W627" s="764"/>
      <c r="X627" s="764"/>
      <c r="Y627" s="764"/>
      <c r="Z627" s="764"/>
      <c r="AA627" s="764"/>
      <c r="AB627" s="764"/>
      <c r="AC627" s="764"/>
      <c r="AD627" s="794"/>
      <c r="AE627" s="764"/>
      <c r="AF627" s="764"/>
      <c r="AG627" s="764"/>
      <c r="AH627" s="764"/>
      <c r="AI627" s="764"/>
      <c r="AJ627" s="764"/>
      <c r="AK627" s="764"/>
      <c r="AL627" s="764"/>
      <c r="AM627" s="764"/>
      <c r="AN627" s="764"/>
      <c r="AO627" s="764"/>
      <c r="AP627" s="764"/>
      <c r="AQ627" s="764"/>
      <c r="AR627" s="764"/>
      <c r="AS627" s="764"/>
    </row>
    <row r="628" spans="1:45" ht="13.9">
      <c r="A628" s="764"/>
      <c r="B628" s="764"/>
      <c r="C628" s="764"/>
      <c r="D628" s="764"/>
      <c r="E628" s="764"/>
      <c r="F628" s="764"/>
      <c r="G628" s="764"/>
      <c r="H628" s="764"/>
      <c r="I628" s="764"/>
      <c r="J628" s="764"/>
      <c r="K628" s="764"/>
      <c r="L628" s="764"/>
      <c r="M628" s="764"/>
      <c r="N628" s="773"/>
      <c r="O628" s="764"/>
      <c r="P628" s="764"/>
      <c r="Q628" s="764"/>
      <c r="R628" s="764"/>
      <c r="S628" s="764"/>
      <c r="T628" s="764"/>
      <c r="U628" s="764"/>
      <c r="V628" s="764"/>
      <c r="W628" s="764"/>
      <c r="X628" s="764"/>
      <c r="Y628" s="764"/>
      <c r="Z628" s="764"/>
      <c r="AA628" s="764"/>
      <c r="AB628" s="764"/>
      <c r="AC628" s="764"/>
      <c r="AD628" s="794"/>
      <c r="AE628" s="764"/>
      <c r="AF628" s="764"/>
      <c r="AG628" s="764"/>
      <c r="AH628" s="764"/>
      <c r="AI628" s="764"/>
      <c r="AJ628" s="764"/>
      <c r="AK628" s="764"/>
      <c r="AL628" s="764"/>
      <c r="AM628" s="764"/>
      <c r="AN628" s="764"/>
      <c r="AO628" s="764"/>
      <c r="AP628" s="764"/>
      <c r="AQ628" s="764"/>
      <c r="AR628" s="764"/>
      <c r="AS628" s="764"/>
    </row>
    <row r="629" spans="1:45" ht="13.9">
      <c r="A629" s="764"/>
      <c r="B629" s="764"/>
      <c r="C629" s="764"/>
      <c r="D629" s="764"/>
      <c r="E629" s="764"/>
      <c r="F629" s="764"/>
      <c r="G629" s="764"/>
      <c r="H629" s="764"/>
      <c r="I629" s="764"/>
      <c r="J629" s="764"/>
      <c r="K629" s="764"/>
      <c r="L629" s="764"/>
      <c r="M629" s="764"/>
      <c r="N629" s="773"/>
      <c r="O629" s="764"/>
      <c r="P629" s="764"/>
      <c r="Q629" s="764"/>
      <c r="R629" s="764"/>
      <c r="S629" s="764"/>
      <c r="T629" s="764"/>
      <c r="U629" s="764"/>
      <c r="V629" s="764"/>
      <c r="W629" s="764"/>
      <c r="X629" s="764"/>
      <c r="Y629" s="764"/>
      <c r="Z629" s="764"/>
      <c r="AA629" s="764"/>
      <c r="AB629" s="764"/>
      <c r="AC629" s="764"/>
      <c r="AD629" s="794"/>
      <c r="AE629" s="764"/>
      <c r="AF629" s="764"/>
      <c r="AG629" s="764"/>
      <c r="AH629" s="764"/>
      <c r="AI629" s="764"/>
      <c r="AJ629" s="764"/>
      <c r="AK629" s="764"/>
      <c r="AL629" s="764"/>
      <c r="AM629" s="764"/>
      <c r="AN629" s="764"/>
      <c r="AO629" s="764"/>
      <c r="AP629" s="764"/>
      <c r="AQ629" s="764"/>
      <c r="AR629" s="764"/>
      <c r="AS629" s="764"/>
    </row>
    <row r="630" spans="1:45" ht="13.9">
      <c r="A630" s="764"/>
      <c r="B630" s="764"/>
      <c r="C630" s="764"/>
      <c r="D630" s="764"/>
      <c r="E630" s="764"/>
      <c r="F630" s="764"/>
      <c r="G630" s="764"/>
      <c r="H630" s="764"/>
      <c r="I630" s="764"/>
      <c r="J630" s="764"/>
      <c r="K630" s="764"/>
      <c r="L630" s="764"/>
      <c r="M630" s="764"/>
      <c r="N630" s="773"/>
      <c r="O630" s="764"/>
      <c r="P630" s="764"/>
      <c r="Q630" s="764"/>
      <c r="R630" s="764"/>
      <c r="S630" s="764"/>
      <c r="T630" s="764"/>
      <c r="U630" s="764"/>
      <c r="V630" s="764"/>
      <c r="W630" s="764"/>
      <c r="X630" s="764"/>
      <c r="Y630" s="764"/>
      <c r="Z630" s="764"/>
      <c r="AA630" s="764"/>
      <c r="AB630" s="764"/>
      <c r="AC630" s="764"/>
      <c r="AD630" s="794"/>
      <c r="AE630" s="764"/>
      <c r="AF630" s="764"/>
      <c r="AG630" s="764"/>
      <c r="AH630" s="764"/>
      <c r="AI630" s="764"/>
      <c r="AJ630" s="764"/>
      <c r="AK630" s="764"/>
      <c r="AL630" s="764"/>
      <c r="AM630" s="764"/>
      <c r="AN630" s="764"/>
      <c r="AO630" s="764"/>
      <c r="AP630" s="764"/>
      <c r="AQ630" s="764"/>
      <c r="AR630" s="764"/>
      <c r="AS630" s="764"/>
    </row>
    <row r="631" spans="1:45" ht="13.9">
      <c r="A631" s="764"/>
      <c r="B631" s="764"/>
      <c r="C631" s="764"/>
      <c r="D631" s="764"/>
      <c r="E631" s="764"/>
      <c r="F631" s="764"/>
      <c r="G631" s="764"/>
      <c r="H631" s="764"/>
      <c r="I631" s="764"/>
      <c r="J631" s="764"/>
      <c r="K631" s="764"/>
      <c r="L631" s="764"/>
      <c r="M631" s="764"/>
      <c r="N631" s="773"/>
      <c r="O631" s="764"/>
      <c r="P631" s="764"/>
      <c r="Q631" s="764"/>
      <c r="R631" s="764"/>
      <c r="S631" s="764"/>
      <c r="T631" s="764"/>
      <c r="U631" s="764"/>
      <c r="V631" s="764"/>
      <c r="W631" s="764"/>
      <c r="X631" s="764"/>
      <c r="Y631" s="764"/>
      <c r="Z631" s="764"/>
      <c r="AA631" s="764"/>
      <c r="AB631" s="764"/>
      <c r="AC631" s="764"/>
      <c r="AD631" s="794"/>
      <c r="AE631" s="764"/>
      <c r="AF631" s="764"/>
      <c r="AG631" s="764"/>
      <c r="AH631" s="764"/>
      <c r="AI631" s="764"/>
      <c r="AJ631" s="764"/>
      <c r="AK631" s="764"/>
      <c r="AL631" s="764"/>
      <c r="AM631" s="764"/>
      <c r="AN631" s="764"/>
      <c r="AO631" s="764"/>
      <c r="AP631" s="764"/>
      <c r="AQ631" s="764"/>
      <c r="AR631" s="764"/>
      <c r="AS631" s="764"/>
    </row>
    <row r="632" spans="1:45" ht="13.9">
      <c r="A632" s="764"/>
      <c r="B632" s="764"/>
      <c r="C632" s="764"/>
      <c r="D632" s="764"/>
      <c r="E632" s="764"/>
      <c r="F632" s="764"/>
      <c r="G632" s="764"/>
      <c r="H632" s="764"/>
      <c r="I632" s="764"/>
      <c r="J632" s="764"/>
      <c r="K632" s="764"/>
      <c r="L632" s="764"/>
      <c r="M632" s="764"/>
      <c r="N632" s="773"/>
      <c r="O632" s="764"/>
      <c r="P632" s="764"/>
      <c r="Q632" s="764"/>
      <c r="R632" s="764"/>
      <c r="S632" s="764"/>
      <c r="T632" s="764"/>
      <c r="U632" s="764"/>
      <c r="V632" s="764"/>
      <c r="W632" s="764"/>
      <c r="X632" s="764"/>
      <c r="Y632" s="764"/>
      <c r="Z632" s="764"/>
      <c r="AA632" s="764"/>
      <c r="AB632" s="764"/>
      <c r="AC632" s="764"/>
      <c r="AD632" s="794"/>
      <c r="AE632" s="764"/>
      <c r="AF632" s="764"/>
      <c r="AG632" s="764"/>
      <c r="AH632" s="764"/>
      <c r="AI632" s="764"/>
      <c r="AJ632" s="764"/>
      <c r="AK632" s="764"/>
      <c r="AL632" s="764"/>
      <c r="AM632" s="764"/>
      <c r="AN632" s="764"/>
      <c r="AO632" s="764"/>
      <c r="AP632" s="764"/>
      <c r="AQ632" s="764"/>
      <c r="AR632" s="764"/>
      <c r="AS632" s="764"/>
    </row>
    <row r="633" spans="1:45" ht="13.9">
      <c r="A633" s="764"/>
      <c r="B633" s="764"/>
      <c r="C633" s="764"/>
      <c r="D633" s="764"/>
      <c r="E633" s="764"/>
      <c r="F633" s="764"/>
      <c r="G633" s="764"/>
      <c r="H633" s="764"/>
      <c r="I633" s="764"/>
      <c r="J633" s="764"/>
      <c r="K633" s="764"/>
      <c r="L633" s="764"/>
      <c r="M633" s="764"/>
      <c r="N633" s="773"/>
      <c r="O633" s="764"/>
      <c r="P633" s="764"/>
      <c r="Q633" s="764"/>
      <c r="R633" s="764"/>
      <c r="S633" s="764"/>
      <c r="T633" s="764"/>
      <c r="U633" s="764"/>
      <c r="V633" s="764"/>
      <c r="W633" s="764"/>
      <c r="X633" s="764"/>
      <c r="Y633" s="764"/>
      <c r="Z633" s="764"/>
      <c r="AA633" s="764"/>
      <c r="AB633" s="764"/>
      <c r="AC633" s="764"/>
      <c r="AD633" s="794"/>
      <c r="AE633" s="764"/>
      <c r="AF633" s="764"/>
      <c r="AG633" s="764"/>
      <c r="AH633" s="764"/>
      <c r="AI633" s="764"/>
      <c r="AJ633" s="764"/>
      <c r="AK633" s="764"/>
      <c r="AL633" s="764"/>
      <c r="AM633" s="764"/>
      <c r="AN633" s="764"/>
      <c r="AO633" s="764"/>
      <c r="AP633" s="764"/>
      <c r="AQ633" s="764"/>
      <c r="AR633" s="764"/>
      <c r="AS633" s="764"/>
    </row>
    <row r="634" spans="1:45" ht="13.9">
      <c r="A634" s="764"/>
      <c r="B634" s="764"/>
      <c r="C634" s="764"/>
      <c r="D634" s="764"/>
      <c r="E634" s="764"/>
      <c r="F634" s="764"/>
      <c r="G634" s="764"/>
      <c r="H634" s="764"/>
      <c r="I634" s="764"/>
      <c r="J634" s="764"/>
      <c r="K634" s="764"/>
      <c r="L634" s="764"/>
      <c r="M634" s="764"/>
      <c r="N634" s="773"/>
      <c r="O634" s="764"/>
      <c r="P634" s="764"/>
      <c r="Q634" s="764"/>
      <c r="R634" s="764"/>
      <c r="S634" s="764"/>
      <c r="T634" s="764"/>
      <c r="U634" s="764"/>
      <c r="V634" s="764"/>
      <c r="W634" s="764"/>
      <c r="X634" s="764"/>
      <c r="Y634" s="764"/>
      <c r="Z634" s="764"/>
      <c r="AA634" s="764"/>
      <c r="AB634" s="764"/>
      <c r="AC634" s="764"/>
      <c r="AD634" s="794"/>
      <c r="AE634" s="764"/>
      <c r="AF634" s="764"/>
      <c r="AG634" s="764"/>
      <c r="AH634" s="764"/>
      <c r="AI634" s="764"/>
      <c r="AJ634" s="764"/>
      <c r="AK634" s="764"/>
      <c r="AL634" s="764"/>
      <c r="AM634" s="764"/>
      <c r="AN634" s="764"/>
      <c r="AO634" s="764"/>
      <c r="AP634" s="764"/>
      <c r="AQ634" s="764"/>
      <c r="AR634" s="764"/>
      <c r="AS634" s="764"/>
    </row>
    <row r="635" spans="1:45" ht="13.9">
      <c r="A635" s="764"/>
      <c r="B635" s="764"/>
      <c r="C635" s="764"/>
      <c r="D635" s="764"/>
      <c r="E635" s="764"/>
      <c r="F635" s="764"/>
      <c r="G635" s="764"/>
      <c r="H635" s="764"/>
      <c r="I635" s="764"/>
      <c r="J635" s="764"/>
      <c r="K635" s="764"/>
      <c r="L635" s="764"/>
      <c r="M635" s="764"/>
      <c r="N635" s="773"/>
      <c r="O635" s="764"/>
      <c r="P635" s="764"/>
      <c r="Q635" s="764"/>
      <c r="R635" s="764"/>
      <c r="S635" s="764"/>
      <c r="T635" s="764"/>
      <c r="U635" s="764"/>
      <c r="V635" s="764"/>
      <c r="W635" s="764"/>
      <c r="X635" s="764"/>
      <c r="Y635" s="764"/>
      <c r="Z635" s="764"/>
      <c r="AA635" s="764"/>
      <c r="AB635" s="764"/>
      <c r="AC635" s="764"/>
      <c r="AD635" s="794"/>
      <c r="AE635" s="764"/>
      <c r="AF635" s="764"/>
      <c r="AG635" s="764"/>
      <c r="AH635" s="764"/>
      <c r="AI635" s="764"/>
      <c r="AJ635" s="764"/>
      <c r="AK635" s="764"/>
      <c r="AL635" s="764"/>
      <c r="AM635" s="764"/>
      <c r="AN635" s="764"/>
      <c r="AO635" s="764"/>
      <c r="AP635" s="764"/>
      <c r="AQ635" s="764"/>
      <c r="AR635" s="764"/>
      <c r="AS635" s="764"/>
    </row>
    <row r="636" spans="1:45" ht="13.9">
      <c r="A636" s="764"/>
      <c r="B636" s="764"/>
      <c r="C636" s="764"/>
      <c r="D636" s="764"/>
      <c r="E636" s="764"/>
      <c r="F636" s="764"/>
      <c r="G636" s="764"/>
      <c r="H636" s="764"/>
      <c r="I636" s="764"/>
      <c r="J636" s="764"/>
      <c r="K636" s="764"/>
      <c r="L636" s="764"/>
      <c r="M636" s="764"/>
      <c r="N636" s="773"/>
      <c r="O636" s="764"/>
      <c r="P636" s="764"/>
      <c r="Q636" s="764"/>
      <c r="R636" s="764"/>
      <c r="S636" s="764"/>
      <c r="T636" s="764"/>
      <c r="U636" s="764"/>
      <c r="V636" s="764"/>
      <c r="W636" s="764"/>
      <c r="X636" s="764"/>
      <c r="Y636" s="764"/>
      <c r="Z636" s="764"/>
      <c r="AA636" s="764"/>
      <c r="AB636" s="764"/>
      <c r="AC636" s="764"/>
      <c r="AD636" s="794"/>
      <c r="AE636" s="764"/>
      <c r="AF636" s="764"/>
      <c r="AG636" s="764"/>
      <c r="AH636" s="764"/>
      <c r="AI636" s="764"/>
      <c r="AJ636" s="764"/>
      <c r="AK636" s="764"/>
      <c r="AL636" s="764"/>
      <c r="AM636" s="764"/>
      <c r="AN636" s="764"/>
      <c r="AO636" s="764"/>
      <c r="AP636" s="764"/>
      <c r="AQ636" s="764"/>
      <c r="AR636" s="764"/>
      <c r="AS636" s="764"/>
    </row>
    <row r="637" spans="1:45" ht="13.9">
      <c r="A637" s="764"/>
      <c r="B637" s="764"/>
      <c r="C637" s="764"/>
      <c r="D637" s="764"/>
      <c r="E637" s="764"/>
      <c r="F637" s="764"/>
      <c r="G637" s="764"/>
      <c r="H637" s="764"/>
      <c r="I637" s="764"/>
      <c r="J637" s="764"/>
      <c r="K637" s="764"/>
      <c r="L637" s="764"/>
      <c r="M637" s="764"/>
      <c r="N637" s="773"/>
      <c r="O637" s="764"/>
      <c r="P637" s="764"/>
      <c r="Q637" s="764"/>
      <c r="R637" s="764"/>
      <c r="S637" s="764"/>
      <c r="T637" s="764"/>
      <c r="U637" s="764"/>
      <c r="V637" s="764"/>
      <c r="W637" s="764"/>
      <c r="X637" s="764"/>
      <c r="Y637" s="764"/>
      <c r="Z637" s="764"/>
      <c r="AA637" s="764"/>
      <c r="AB637" s="764"/>
      <c r="AC637" s="764"/>
      <c r="AD637" s="794"/>
      <c r="AE637" s="764"/>
      <c r="AF637" s="764"/>
      <c r="AG637" s="764"/>
      <c r="AH637" s="764"/>
      <c r="AI637" s="764"/>
      <c r="AJ637" s="764"/>
      <c r="AK637" s="764"/>
      <c r="AL637" s="764"/>
      <c r="AM637" s="764"/>
      <c r="AN637" s="764"/>
      <c r="AO637" s="764"/>
      <c r="AP637" s="764"/>
      <c r="AQ637" s="764"/>
      <c r="AR637" s="764"/>
      <c r="AS637" s="764"/>
    </row>
    <row r="638" spans="1:45" ht="13.9">
      <c r="A638" s="764"/>
      <c r="B638" s="764"/>
      <c r="C638" s="764"/>
      <c r="D638" s="764"/>
      <c r="E638" s="764"/>
      <c r="F638" s="764"/>
      <c r="G638" s="764"/>
      <c r="H638" s="764"/>
      <c r="I638" s="764"/>
      <c r="J638" s="764"/>
      <c r="K638" s="764"/>
      <c r="L638" s="764"/>
      <c r="M638" s="764"/>
      <c r="N638" s="773"/>
      <c r="O638" s="764"/>
      <c r="P638" s="764"/>
      <c r="Q638" s="764"/>
      <c r="R638" s="764"/>
      <c r="S638" s="764"/>
      <c r="T638" s="764"/>
      <c r="U638" s="764"/>
      <c r="V638" s="764"/>
      <c r="W638" s="764"/>
      <c r="X638" s="764"/>
      <c r="Y638" s="764"/>
      <c r="Z638" s="764"/>
      <c r="AA638" s="764"/>
      <c r="AB638" s="764"/>
      <c r="AC638" s="764"/>
      <c r="AD638" s="794"/>
      <c r="AE638" s="764"/>
      <c r="AF638" s="764"/>
      <c r="AG638" s="764"/>
      <c r="AH638" s="764"/>
      <c r="AI638" s="764"/>
      <c r="AJ638" s="764"/>
      <c r="AK638" s="764"/>
      <c r="AL638" s="764"/>
      <c r="AM638" s="764"/>
      <c r="AN638" s="764"/>
      <c r="AO638" s="764"/>
      <c r="AP638" s="764"/>
      <c r="AQ638" s="764"/>
      <c r="AR638" s="764"/>
      <c r="AS638" s="764"/>
    </row>
    <row r="639" spans="1:45" ht="13.9">
      <c r="A639" s="764"/>
      <c r="B639" s="764"/>
      <c r="C639" s="764"/>
      <c r="D639" s="764"/>
      <c r="E639" s="764"/>
      <c r="F639" s="764"/>
      <c r="G639" s="764"/>
      <c r="H639" s="764"/>
      <c r="I639" s="764"/>
      <c r="J639" s="764"/>
      <c r="K639" s="764"/>
      <c r="L639" s="764"/>
      <c r="M639" s="764"/>
      <c r="N639" s="773"/>
      <c r="O639" s="764"/>
      <c r="P639" s="764"/>
      <c r="Q639" s="764"/>
      <c r="R639" s="764"/>
      <c r="S639" s="764"/>
      <c r="T639" s="764"/>
      <c r="U639" s="764"/>
      <c r="V639" s="764"/>
      <c r="W639" s="764"/>
      <c r="X639" s="764"/>
      <c r="Y639" s="764"/>
      <c r="Z639" s="764"/>
      <c r="AA639" s="764"/>
      <c r="AB639" s="764"/>
      <c r="AC639" s="764"/>
      <c r="AD639" s="794"/>
      <c r="AE639" s="764"/>
      <c r="AF639" s="764"/>
      <c r="AG639" s="764"/>
      <c r="AH639" s="764"/>
      <c r="AI639" s="764"/>
      <c r="AJ639" s="764"/>
      <c r="AK639" s="764"/>
      <c r="AL639" s="764"/>
      <c r="AM639" s="764"/>
      <c r="AN639" s="764"/>
      <c r="AO639" s="764"/>
      <c r="AP639" s="764"/>
      <c r="AQ639" s="764"/>
      <c r="AR639" s="764"/>
      <c r="AS639" s="764"/>
    </row>
    <row r="640" spans="1:45" ht="13.9">
      <c r="A640" s="764"/>
      <c r="B640" s="764"/>
      <c r="C640" s="764"/>
      <c r="D640" s="764"/>
      <c r="E640" s="764"/>
      <c r="F640" s="764"/>
      <c r="G640" s="764"/>
      <c r="H640" s="764"/>
      <c r="I640" s="764"/>
      <c r="J640" s="764"/>
      <c r="K640" s="764"/>
      <c r="L640" s="764"/>
      <c r="M640" s="764"/>
      <c r="N640" s="773"/>
      <c r="O640" s="764"/>
      <c r="P640" s="764"/>
      <c r="Q640" s="764"/>
      <c r="R640" s="764"/>
      <c r="S640" s="764"/>
      <c r="T640" s="764"/>
      <c r="U640" s="764"/>
      <c r="V640" s="764"/>
      <c r="W640" s="764"/>
      <c r="X640" s="764"/>
      <c r="Y640" s="764"/>
      <c r="Z640" s="764"/>
      <c r="AA640" s="764"/>
      <c r="AB640" s="764"/>
      <c r="AC640" s="764"/>
      <c r="AD640" s="794"/>
      <c r="AE640" s="764"/>
      <c r="AF640" s="764"/>
      <c r="AG640" s="764"/>
      <c r="AH640" s="764"/>
      <c r="AI640" s="764"/>
      <c r="AJ640" s="764"/>
      <c r="AK640" s="764"/>
      <c r="AL640" s="764"/>
      <c r="AM640" s="764"/>
      <c r="AN640" s="764"/>
      <c r="AO640" s="764"/>
      <c r="AP640" s="764"/>
      <c r="AQ640" s="764"/>
      <c r="AR640" s="764"/>
      <c r="AS640" s="764"/>
    </row>
    <row r="641" spans="1:45" ht="13.9">
      <c r="A641" s="764"/>
      <c r="B641" s="764"/>
      <c r="C641" s="764"/>
      <c r="D641" s="764"/>
      <c r="E641" s="764"/>
      <c r="F641" s="764"/>
      <c r="G641" s="764"/>
      <c r="H641" s="764"/>
      <c r="I641" s="764"/>
      <c r="J641" s="764"/>
      <c r="K641" s="764"/>
      <c r="L641" s="764"/>
      <c r="M641" s="764"/>
      <c r="N641" s="773"/>
      <c r="O641" s="764"/>
      <c r="P641" s="764"/>
      <c r="Q641" s="764"/>
      <c r="R641" s="764"/>
      <c r="S641" s="764"/>
      <c r="T641" s="764"/>
      <c r="U641" s="764"/>
      <c r="V641" s="764"/>
      <c r="W641" s="764"/>
      <c r="X641" s="764"/>
      <c r="Y641" s="764"/>
      <c r="Z641" s="764"/>
      <c r="AA641" s="764"/>
      <c r="AB641" s="764"/>
      <c r="AC641" s="764"/>
      <c r="AD641" s="794"/>
      <c r="AE641" s="764"/>
      <c r="AF641" s="764"/>
      <c r="AG641" s="764"/>
      <c r="AH641" s="764"/>
      <c r="AI641" s="764"/>
      <c r="AJ641" s="764"/>
      <c r="AK641" s="764"/>
      <c r="AL641" s="764"/>
      <c r="AM641" s="764"/>
      <c r="AN641" s="764"/>
      <c r="AO641" s="764"/>
      <c r="AP641" s="764"/>
      <c r="AQ641" s="764"/>
      <c r="AR641" s="764"/>
      <c r="AS641" s="764"/>
    </row>
    <row r="642" spans="1:45" ht="13.9">
      <c r="A642" s="764"/>
      <c r="B642" s="764"/>
      <c r="C642" s="764"/>
      <c r="D642" s="764"/>
      <c r="E642" s="764"/>
      <c r="F642" s="764"/>
      <c r="G642" s="764"/>
      <c r="H642" s="764"/>
      <c r="I642" s="764"/>
      <c r="J642" s="764"/>
      <c r="K642" s="764"/>
      <c r="L642" s="764"/>
      <c r="M642" s="764"/>
      <c r="N642" s="773"/>
      <c r="O642" s="764"/>
      <c r="P642" s="764"/>
      <c r="Q642" s="764"/>
      <c r="R642" s="764"/>
      <c r="S642" s="764"/>
      <c r="T642" s="764"/>
      <c r="U642" s="764"/>
      <c r="V642" s="764"/>
      <c r="W642" s="764"/>
      <c r="X642" s="764"/>
      <c r="Y642" s="764"/>
      <c r="Z642" s="764"/>
      <c r="AA642" s="764"/>
      <c r="AB642" s="764"/>
      <c r="AC642" s="764"/>
      <c r="AD642" s="794"/>
      <c r="AE642" s="764"/>
      <c r="AF642" s="764"/>
      <c r="AG642" s="764"/>
      <c r="AH642" s="764"/>
      <c r="AI642" s="764"/>
      <c r="AJ642" s="764"/>
      <c r="AK642" s="764"/>
      <c r="AL642" s="764"/>
      <c r="AM642" s="764"/>
      <c r="AN642" s="764"/>
      <c r="AO642" s="764"/>
      <c r="AP642" s="764"/>
      <c r="AQ642" s="764"/>
      <c r="AR642" s="764"/>
      <c r="AS642" s="764"/>
    </row>
    <row r="643" spans="1:45" ht="13.9">
      <c r="A643" s="764"/>
      <c r="B643" s="764"/>
      <c r="C643" s="764"/>
      <c r="D643" s="764"/>
      <c r="E643" s="764"/>
      <c r="F643" s="764"/>
      <c r="G643" s="764"/>
      <c r="H643" s="764"/>
      <c r="I643" s="764"/>
      <c r="J643" s="764"/>
      <c r="K643" s="764"/>
      <c r="L643" s="764"/>
      <c r="M643" s="764"/>
      <c r="N643" s="773"/>
      <c r="O643" s="764"/>
      <c r="P643" s="764"/>
      <c r="Q643" s="764"/>
      <c r="R643" s="764"/>
      <c r="S643" s="764"/>
      <c r="T643" s="764"/>
      <c r="U643" s="764"/>
      <c r="V643" s="764"/>
      <c r="W643" s="764"/>
      <c r="X643" s="764"/>
      <c r="Y643" s="764"/>
      <c r="Z643" s="764"/>
      <c r="AA643" s="764"/>
      <c r="AB643" s="764"/>
      <c r="AC643" s="764"/>
      <c r="AD643" s="794"/>
      <c r="AE643" s="764"/>
      <c r="AF643" s="764"/>
      <c r="AG643" s="764"/>
      <c r="AH643" s="764"/>
      <c r="AI643" s="764"/>
      <c r="AJ643" s="764"/>
      <c r="AK643" s="764"/>
      <c r="AL643" s="764"/>
      <c r="AM643" s="764"/>
      <c r="AN643" s="764"/>
      <c r="AO643" s="764"/>
      <c r="AP643" s="764"/>
      <c r="AQ643" s="764"/>
      <c r="AR643" s="764"/>
      <c r="AS643" s="764"/>
    </row>
    <row r="644" spans="1:45" ht="13.9">
      <c r="A644" s="764"/>
      <c r="B644" s="764"/>
      <c r="C644" s="764"/>
      <c r="D644" s="764"/>
      <c r="E644" s="764"/>
      <c r="F644" s="764"/>
      <c r="G644" s="764"/>
      <c r="H644" s="764"/>
      <c r="I644" s="764"/>
      <c r="J644" s="764"/>
      <c r="K644" s="764"/>
      <c r="L644" s="764"/>
      <c r="M644" s="764"/>
      <c r="N644" s="773"/>
      <c r="O644" s="764"/>
      <c r="P644" s="764"/>
      <c r="Q644" s="764"/>
      <c r="R644" s="764"/>
      <c r="S644" s="764"/>
      <c r="T644" s="764"/>
      <c r="U644" s="764"/>
      <c r="V644" s="764"/>
      <c r="W644" s="764"/>
      <c r="X644" s="764"/>
      <c r="Y644" s="764"/>
      <c r="Z644" s="764"/>
      <c r="AA644" s="764"/>
      <c r="AB644" s="764"/>
      <c r="AC644" s="764"/>
      <c r="AD644" s="794"/>
      <c r="AE644" s="764"/>
      <c r="AF644" s="764"/>
      <c r="AG644" s="764"/>
      <c r="AH644" s="764"/>
      <c r="AI644" s="764"/>
      <c r="AJ644" s="764"/>
      <c r="AK644" s="764"/>
      <c r="AL644" s="764"/>
      <c r="AM644" s="764"/>
      <c r="AN644" s="764"/>
      <c r="AO644" s="764"/>
      <c r="AP644" s="764"/>
      <c r="AQ644" s="764"/>
      <c r="AR644" s="764"/>
      <c r="AS644" s="764"/>
    </row>
    <row r="645" spans="1:45" ht="13.9">
      <c r="A645" s="764"/>
      <c r="B645" s="764"/>
      <c r="C645" s="764"/>
      <c r="D645" s="764"/>
      <c r="E645" s="764"/>
      <c r="F645" s="764"/>
      <c r="G645" s="764"/>
      <c r="H645" s="764"/>
      <c r="I645" s="764"/>
      <c r="J645" s="764"/>
      <c r="K645" s="764"/>
      <c r="L645" s="764"/>
      <c r="M645" s="764"/>
      <c r="N645" s="773"/>
      <c r="O645" s="764"/>
      <c r="P645" s="764"/>
      <c r="Q645" s="764"/>
      <c r="R645" s="764"/>
      <c r="S645" s="764"/>
      <c r="T645" s="764"/>
      <c r="U645" s="764"/>
      <c r="V645" s="764"/>
      <c r="W645" s="764"/>
      <c r="X645" s="764"/>
      <c r="Y645" s="764"/>
      <c r="Z645" s="764"/>
      <c r="AA645" s="764"/>
      <c r="AB645" s="764"/>
      <c r="AC645" s="764"/>
      <c r="AD645" s="794"/>
      <c r="AE645" s="764"/>
      <c r="AF645" s="764"/>
      <c r="AG645" s="764"/>
      <c r="AH645" s="764"/>
      <c r="AI645" s="764"/>
      <c r="AJ645" s="764"/>
      <c r="AK645" s="764"/>
      <c r="AL645" s="764"/>
      <c r="AM645" s="764"/>
      <c r="AN645" s="764"/>
      <c r="AO645" s="764"/>
      <c r="AP645" s="764"/>
      <c r="AQ645" s="764"/>
      <c r="AR645" s="764"/>
      <c r="AS645" s="764"/>
    </row>
    <row r="646" spans="1:45" ht="13.9">
      <c r="A646" s="764"/>
      <c r="B646" s="764"/>
      <c r="C646" s="764"/>
      <c r="D646" s="764"/>
      <c r="E646" s="764"/>
      <c r="F646" s="764"/>
      <c r="G646" s="764"/>
      <c r="H646" s="764"/>
      <c r="I646" s="764"/>
      <c r="J646" s="764"/>
      <c r="K646" s="764"/>
      <c r="L646" s="764"/>
      <c r="M646" s="764"/>
      <c r="N646" s="773"/>
      <c r="O646" s="764"/>
      <c r="P646" s="764"/>
      <c r="Q646" s="764"/>
      <c r="R646" s="764"/>
      <c r="S646" s="764"/>
      <c r="T646" s="764"/>
      <c r="U646" s="764"/>
      <c r="V646" s="764"/>
      <c r="W646" s="764"/>
      <c r="X646" s="764"/>
      <c r="Y646" s="764"/>
      <c r="Z646" s="764"/>
      <c r="AA646" s="764"/>
      <c r="AB646" s="764"/>
      <c r="AC646" s="764"/>
      <c r="AD646" s="794"/>
      <c r="AE646" s="764"/>
      <c r="AF646" s="764"/>
      <c r="AG646" s="764"/>
      <c r="AH646" s="764"/>
      <c r="AI646" s="764"/>
      <c r="AJ646" s="764"/>
      <c r="AK646" s="764"/>
      <c r="AL646" s="764"/>
      <c r="AM646" s="764"/>
      <c r="AN646" s="764"/>
      <c r="AO646" s="764"/>
      <c r="AP646" s="764"/>
      <c r="AQ646" s="764"/>
      <c r="AR646" s="764"/>
      <c r="AS646" s="764"/>
    </row>
    <row r="647" spans="1:45" ht="13.9">
      <c r="A647" s="764"/>
      <c r="B647" s="764"/>
      <c r="C647" s="764"/>
      <c r="D647" s="764"/>
      <c r="E647" s="764"/>
      <c r="F647" s="764"/>
      <c r="G647" s="764"/>
      <c r="H647" s="764"/>
      <c r="I647" s="764"/>
      <c r="J647" s="764"/>
      <c r="K647" s="764"/>
      <c r="L647" s="764"/>
      <c r="M647" s="764"/>
      <c r="N647" s="773"/>
      <c r="O647" s="764"/>
      <c r="P647" s="764"/>
      <c r="Q647" s="764"/>
      <c r="R647" s="764"/>
      <c r="S647" s="764"/>
      <c r="T647" s="764"/>
      <c r="U647" s="764"/>
      <c r="V647" s="764"/>
      <c r="W647" s="764"/>
      <c r="X647" s="764"/>
      <c r="Y647" s="764"/>
      <c r="Z647" s="764"/>
      <c r="AA647" s="764"/>
      <c r="AB647" s="764"/>
      <c r="AC647" s="764"/>
      <c r="AD647" s="794"/>
      <c r="AE647" s="764"/>
      <c r="AF647" s="764"/>
      <c r="AG647" s="764"/>
      <c r="AH647" s="764"/>
      <c r="AI647" s="764"/>
      <c r="AJ647" s="764"/>
      <c r="AK647" s="764"/>
      <c r="AL647" s="764"/>
      <c r="AM647" s="764"/>
      <c r="AN647" s="764"/>
      <c r="AO647" s="764"/>
      <c r="AP647" s="764"/>
      <c r="AQ647" s="764"/>
      <c r="AR647" s="764"/>
      <c r="AS647" s="764"/>
    </row>
    <row r="648" spans="1:45" ht="13.9">
      <c r="A648" s="764"/>
      <c r="B648" s="764"/>
      <c r="C648" s="764"/>
      <c r="D648" s="764"/>
      <c r="E648" s="764"/>
      <c r="F648" s="764"/>
      <c r="G648" s="764"/>
      <c r="H648" s="764"/>
      <c r="I648" s="764"/>
      <c r="J648" s="764"/>
      <c r="K648" s="764"/>
      <c r="L648" s="764"/>
      <c r="M648" s="764"/>
      <c r="N648" s="773"/>
      <c r="O648" s="764"/>
      <c r="P648" s="764"/>
      <c r="Q648" s="764"/>
      <c r="R648" s="764"/>
      <c r="S648" s="764"/>
      <c r="T648" s="764"/>
      <c r="U648" s="764"/>
      <c r="V648" s="764"/>
      <c r="W648" s="764"/>
      <c r="X648" s="764"/>
      <c r="Y648" s="764"/>
      <c r="Z648" s="764"/>
      <c r="AA648" s="764"/>
      <c r="AB648" s="764"/>
      <c r="AC648" s="764"/>
      <c r="AD648" s="794"/>
      <c r="AE648" s="764"/>
      <c r="AF648" s="764"/>
      <c r="AG648" s="764"/>
      <c r="AH648" s="764"/>
      <c r="AI648" s="764"/>
      <c r="AJ648" s="764"/>
      <c r="AK648" s="764"/>
      <c r="AL648" s="764"/>
      <c r="AM648" s="764"/>
      <c r="AN648" s="764"/>
      <c r="AO648" s="764"/>
      <c r="AP648" s="764"/>
      <c r="AQ648" s="764"/>
      <c r="AR648" s="764"/>
      <c r="AS648" s="764"/>
    </row>
    <row r="649" spans="1:45" ht="13.9">
      <c r="A649" s="764"/>
      <c r="B649" s="764"/>
      <c r="C649" s="764"/>
      <c r="D649" s="764"/>
      <c r="E649" s="764"/>
      <c r="F649" s="764"/>
      <c r="G649" s="764"/>
      <c r="H649" s="764"/>
      <c r="I649" s="764"/>
      <c r="J649" s="764"/>
      <c r="K649" s="764"/>
      <c r="L649" s="764"/>
      <c r="M649" s="764"/>
      <c r="N649" s="773"/>
      <c r="O649" s="764"/>
      <c r="P649" s="764"/>
      <c r="Q649" s="764"/>
      <c r="R649" s="764"/>
      <c r="S649" s="764"/>
      <c r="T649" s="764"/>
      <c r="U649" s="764"/>
      <c r="V649" s="764"/>
      <c r="W649" s="764"/>
      <c r="X649" s="764"/>
      <c r="Y649" s="764"/>
      <c r="Z649" s="764"/>
      <c r="AA649" s="764"/>
      <c r="AB649" s="764"/>
      <c r="AC649" s="764"/>
      <c r="AD649" s="794"/>
      <c r="AE649" s="764"/>
      <c r="AF649" s="764"/>
      <c r="AG649" s="764"/>
      <c r="AH649" s="764"/>
      <c r="AI649" s="764"/>
      <c r="AJ649" s="764"/>
      <c r="AK649" s="764"/>
      <c r="AL649" s="764"/>
      <c r="AM649" s="764"/>
      <c r="AN649" s="764"/>
      <c r="AO649" s="764"/>
      <c r="AP649" s="764"/>
      <c r="AQ649" s="764"/>
      <c r="AR649" s="764"/>
      <c r="AS649" s="764"/>
    </row>
    <row r="650" spans="1:45" ht="13.9">
      <c r="A650" s="764"/>
      <c r="B650" s="764"/>
      <c r="C650" s="764"/>
      <c r="D650" s="764"/>
      <c r="E650" s="764"/>
      <c r="F650" s="764"/>
      <c r="G650" s="764"/>
      <c r="H650" s="764"/>
      <c r="I650" s="764"/>
      <c r="J650" s="764"/>
      <c r="K650" s="764"/>
      <c r="L650" s="764"/>
      <c r="M650" s="764"/>
      <c r="N650" s="773"/>
      <c r="O650" s="764"/>
      <c r="P650" s="764"/>
      <c r="Q650" s="764"/>
      <c r="R650" s="764"/>
      <c r="S650" s="764"/>
      <c r="T650" s="764"/>
      <c r="U650" s="764"/>
      <c r="V650" s="764"/>
      <c r="W650" s="764"/>
      <c r="X650" s="764"/>
      <c r="Y650" s="764"/>
      <c r="Z650" s="764"/>
      <c r="AA650" s="764"/>
      <c r="AB650" s="764"/>
      <c r="AC650" s="764"/>
      <c r="AD650" s="794"/>
      <c r="AE650" s="764"/>
      <c r="AF650" s="764"/>
      <c r="AG650" s="764"/>
      <c r="AH650" s="764"/>
      <c r="AI650" s="764"/>
      <c r="AJ650" s="764"/>
      <c r="AK650" s="764"/>
      <c r="AL650" s="764"/>
      <c r="AM650" s="764"/>
      <c r="AN650" s="764"/>
      <c r="AO650" s="764"/>
      <c r="AP650" s="764"/>
      <c r="AQ650" s="764"/>
      <c r="AR650" s="764"/>
      <c r="AS650" s="764"/>
    </row>
    <row r="651" spans="1:45" ht="13.9">
      <c r="A651" s="764"/>
      <c r="B651" s="764"/>
      <c r="C651" s="764"/>
      <c r="D651" s="764"/>
      <c r="E651" s="764"/>
      <c r="F651" s="764"/>
      <c r="G651" s="764"/>
      <c r="H651" s="764"/>
      <c r="I651" s="764"/>
      <c r="J651" s="764"/>
      <c r="K651" s="764"/>
      <c r="L651" s="764"/>
      <c r="M651" s="764"/>
      <c r="N651" s="773"/>
      <c r="O651" s="764"/>
      <c r="P651" s="764"/>
      <c r="Q651" s="764"/>
      <c r="R651" s="764"/>
      <c r="S651" s="764"/>
      <c r="T651" s="764"/>
      <c r="U651" s="764"/>
      <c r="V651" s="764"/>
      <c r="W651" s="764"/>
      <c r="X651" s="764"/>
      <c r="Y651" s="764"/>
      <c r="Z651" s="764"/>
      <c r="AA651" s="764"/>
      <c r="AB651" s="764"/>
      <c r="AC651" s="764"/>
      <c r="AD651" s="794"/>
      <c r="AE651" s="764"/>
      <c r="AF651" s="764"/>
      <c r="AG651" s="764"/>
      <c r="AH651" s="764"/>
      <c r="AI651" s="764"/>
      <c r="AJ651" s="764"/>
      <c r="AK651" s="764"/>
      <c r="AL651" s="764"/>
      <c r="AM651" s="764"/>
      <c r="AN651" s="764"/>
      <c r="AO651" s="764"/>
      <c r="AP651" s="764"/>
      <c r="AQ651" s="764"/>
      <c r="AR651" s="764"/>
      <c r="AS651" s="764"/>
    </row>
    <row r="652" spans="1:45" ht="13.9">
      <c r="A652" s="764"/>
      <c r="B652" s="764"/>
      <c r="C652" s="764"/>
      <c r="D652" s="764"/>
      <c r="E652" s="764"/>
      <c r="F652" s="764"/>
      <c r="G652" s="764"/>
      <c r="H652" s="764"/>
      <c r="I652" s="764"/>
      <c r="J652" s="764"/>
      <c r="K652" s="764"/>
      <c r="L652" s="764"/>
      <c r="M652" s="764"/>
      <c r="N652" s="773"/>
      <c r="O652" s="764"/>
      <c r="P652" s="764"/>
      <c r="Q652" s="764"/>
      <c r="R652" s="764"/>
      <c r="S652" s="764"/>
      <c r="T652" s="764"/>
      <c r="U652" s="764"/>
      <c r="V652" s="764"/>
      <c r="W652" s="764"/>
      <c r="X652" s="764"/>
      <c r="Y652" s="764"/>
      <c r="Z652" s="764"/>
      <c r="AA652" s="764"/>
      <c r="AB652" s="764"/>
      <c r="AC652" s="764"/>
      <c r="AD652" s="794"/>
      <c r="AE652" s="764"/>
      <c r="AF652" s="764"/>
      <c r="AG652" s="764"/>
      <c r="AH652" s="764"/>
      <c r="AI652" s="764"/>
      <c r="AJ652" s="764"/>
      <c r="AK652" s="764"/>
      <c r="AL652" s="764"/>
      <c r="AM652" s="764"/>
      <c r="AN652" s="764"/>
      <c r="AO652" s="764"/>
      <c r="AP652" s="764"/>
      <c r="AQ652" s="764"/>
      <c r="AR652" s="764"/>
      <c r="AS652" s="764"/>
    </row>
    <row r="653" spans="1:45" ht="13.9">
      <c r="A653" s="764"/>
      <c r="B653" s="764"/>
      <c r="C653" s="764"/>
      <c r="D653" s="764"/>
      <c r="E653" s="764"/>
      <c r="F653" s="764"/>
      <c r="G653" s="764"/>
      <c r="H653" s="764"/>
      <c r="I653" s="764"/>
      <c r="J653" s="764"/>
      <c r="K653" s="764"/>
      <c r="L653" s="764"/>
      <c r="M653" s="764"/>
      <c r="N653" s="773"/>
      <c r="O653" s="764"/>
      <c r="P653" s="764"/>
      <c r="Q653" s="764"/>
      <c r="R653" s="764"/>
      <c r="S653" s="764"/>
      <c r="T653" s="764"/>
      <c r="U653" s="764"/>
      <c r="V653" s="764"/>
      <c r="W653" s="764"/>
      <c r="X653" s="764"/>
      <c r="Y653" s="764"/>
      <c r="Z653" s="764"/>
      <c r="AA653" s="764"/>
      <c r="AB653" s="764"/>
      <c r="AC653" s="764"/>
      <c r="AD653" s="794"/>
      <c r="AE653" s="764"/>
      <c r="AF653" s="764"/>
      <c r="AG653" s="764"/>
      <c r="AH653" s="764"/>
      <c r="AI653" s="764"/>
      <c r="AJ653" s="764"/>
      <c r="AK653" s="764"/>
      <c r="AL653" s="764"/>
      <c r="AM653" s="764"/>
      <c r="AN653" s="764"/>
      <c r="AO653" s="764"/>
      <c r="AP653" s="764"/>
      <c r="AQ653" s="764"/>
      <c r="AR653" s="764"/>
      <c r="AS653" s="764"/>
    </row>
    <row r="654" spans="1:45" ht="13.9">
      <c r="A654" s="764"/>
      <c r="B654" s="764"/>
      <c r="C654" s="764"/>
      <c r="D654" s="764"/>
      <c r="E654" s="764"/>
      <c r="F654" s="764"/>
      <c r="G654" s="764"/>
      <c r="H654" s="764"/>
      <c r="I654" s="764"/>
      <c r="J654" s="764"/>
      <c r="K654" s="764"/>
      <c r="L654" s="764"/>
      <c r="M654" s="764"/>
      <c r="N654" s="773"/>
      <c r="O654" s="764"/>
      <c r="P654" s="764"/>
      <c r="Q654" s="764"/>
      <c r="R654" s="764"/>
      <c r="S654" s="764"/>
      <c r="T654" s="764"/>
      <c r="U654" s="764"/>
      <c r="V654" s="764"/>
      <c r="W654" s="764"/>
      <c r="X654" s="764"/>
      <c r="Y654" s="764"/>
      <c r="Z654" s="764"/>
      <c r="AA654" s="764"/>
      <c r="AB654" s="764"/>
      <c r="AC654" s="764"/>
      <c r="AD654" s="794"/>
      <c r="AE654" s="764"/>
      <c r="AF654" s="764"/>
      <c r="AG654" s="764"/>
      <c r="AH654" s="764"/>
      <c r="AI654" s="764"/>
      <c r="AJ654" s="764"/>
      <c r="AK654" s="764"/>
      <c r="AL654" s="764"/>
      <c r="AM654" s="764"/>
      <c r="AN654" s="764"/>
      <c r="AO654" s="764"/>
      <c r="AP654" s="764"/>
      <c r="AQ654" s="764"/>
      <c r="AR654" s="764"/>
      <c r="AS654" s="764"/>
    </row>
    <row r="655" spans="1:45" ht="13.9">
      <c r="A655" s="764"/>
      <c r="B655" s="764"/>
      <c r="C655" s="764"/>
      <c r="D655" s="764"/>
      <c r="E655" s="764"/>
      <c r="F655" s="764"/>
      <c r="G655" s="764"/>
      <c r="H655" s="764"/>
      <c r="I655" s="764"/>
      <c r="J655" s="764"/>
      <c r="K655" s="764"/>
      <c r="L655" s="764"/>
      <c r="M655" s="764"/>
      <c r="N655" s="773"/>
      <c r="O655" s="764"/>
      <c r="P655" s="764"/>
      <c r="Q655" s="764"/>
      <c r="R655" s="764"/>
      <c r="S655" s="764"/>
      <c r="T655" s="764"/>
      <c r="U655" s="764"/>
      <c r="V655" s="764"/>
      <c r="W655" s="764"/>
      <c r="X655" s="764"/>
      <c r="Y655" s="764"/>
      <c r="Z655" s="764"/>
      <c r="AA655" s="764"/>
      <c r="AB655" s="764"/>
      <c r="AC655" s="764"/>
      <c r="AD655" s="794"/>
      <c r="AE655" s="764"/>
      <c r="AF655" s="764"/>
      <c r="AG655" s="764"/>
      <c r="AH655" s="764"/>
      <c r="AI655" s="764"/>
      <c r="AJ655" s="764"/>
      <c r="AK655" s="764"/>
      <c r="AL655" s="764"/>
      <c r="AM655" s="764"/>
      <c r="AN655" s="764"/>
      <c r="AO655" s="764"/>
      <c r="AP655" s="764"/>
      <c r="AQ655" s="764"/>
      <c r="AR655" s="764"/>
      <c r="AS655" s="764"/>
    </row>
    <row r="656" spans="1:45" ht="13.9">
      <c r="A656" s="764"/>
      <c r="B656" s="764"/>
      <c r="C656" s="764"/>
      <c r="D656" s="764"/>
      <c r="E656" s="764"/>
      <c r="F656" s="764"/>
      <c r="G656" s="764"/>
      <c r="H656" s="764"/>
      <c r="I656" s="764"/>
      <c r="J656" s="764"/>
      <c r="K656" s="764"/>
      <c r="L656" s="764"/>
      <c r="M656" s="764"/>
      <c r="N656" s="773"/>
      <c r="O656" s="764"/>
      <c r="P656" s="764"/>
      <c r="Q656" s="764"/>
      <c r="R656" s="764"/>
      <c r="S656" s="764"/>
      <c r="T656" s="764"/>
      <c r="U656" s="764"/>
      <c r="V656" s="764"/>
      <c r="W656" s="764"/>
      <c r="X656" s="764"/>
      <c r="Y656" s="764"/>
      <c r="Z656" s="764"/>
      <c r="AA656" s="764"/>
      <c r="AB656" s="764"/>
      <c r="AC656" s="764"/>
      <c r="AD656" s="794"/>
      <c r="AE656" s="764"/>
      <c r="AF656" s="764"/>
      <c r="AG656" s="764"/>
      <c r="AH656" s="764"/>
      <c r="AI656" s="764"/>
      <c r="AJ656" s="764"/>
      <c r="AK656" s="764"/>
      <c r="AL656" s="764"/>
      <c r="AM656" s="764"/>
      <c r="AN656" s="764"/>
      <c r="AO656" s="764"/>
      <c r="AP656" s="764"/>
      <c r="AQ656" s="764"/>
      <c r="AR656" s="764"/>
      <c r="AS656" s="764"/>
    </row>
    <row r="657" spans="1:45" ht="13.9">
      <c r="A657" s="764"/>
      <c r="B657" s="764"/>
      <c r="C657" s="764"/>
      <c r="D657" s="764"/>
      <c r="E657" s="764"/>
      <c r="F657" s="764"/>
      <c r="G657" s="764"/>
      <c r="H657" s="764"/>
      <c r="I657" s="764"/>
      <c r="J657" s="764"/>
      <c r="K657" s="764"/>
      <c r="L657" s="764"/>
      <c r="M657" s="764"/>
      <c r="N657" s="773"/>
      <c r="O657" s="764"/>
      <c r="P657" s="764"/>
      <c r="Q657" s="764"/>
      <c r="R657" s="764"/>
      <c r="S657" s="764"/>
      <c r="T657" s="764"/>
      <c r="U657" s="764"/>
      <c r="V657" s="764"/>
      <c r="W657" s="764"/>
      <c r="X657" s="764"/>
      <c r="Y657" s="764"/>
      <c r="Z657" s="764"/>
      <c r="AA657" s="764"/>
      <c r="AB657" s="764"/>
      <c r="AC657" s="764"/>
      <c r="AD657" s="794"/>
      <c r="AE657" s="764"/>
      <c r="AF657" s="764"/>
      <c r="AG657" s="764"/>
      <c r="AH657" s="764"/>
      <c r="AI657" s="764"/>
      <c r="AJ657" s="764"/>
      <c r="AK657" s="764"/>
      <c r="AL657" s="764"/>
      <c r="AM657" s="764"/>
      <c r="AN657" s="764"/>
      <c r="AO657" s="764"/>
      <c r="AP657" s="764"/>
      <c r="AQ657" s="764"/>
      <c r="AR657" s="764"/>
      <c r="AS657" s="764"/>
    </row>
    <row r="658" spans="1:45" ht="13.9">
      <c r="A658" s="764"/>
      <c r="B658" s="764"/>
      <c r="C658" s="764"/>
      <c r="D658" s="764"/>
      <c r="E658" s="764"/>
      <c r="F658" s="764"/>
      <c r="G658" s="764"/>
      <c r="H658" s="764"/>
      <c r="I658" s="764"/>
      <c r="J658" s="764"/>
      <c r="K658" s="764"/>
      <c r="L658" s="764"/>
      <c r="M658" s="764"/>
      <c r="N658" s="773"/>
      <c r="O658" s="764"/>
      <c r="P658" s="764"/>
      <c r="Q658" s="764"/>
      <c r="R658" s="764"/>
      <c r="S658" s="764"/>
      <c r="T658" s="764"/>
      <c r="U658" s="764"/>
      <c r="V658" s="764"/>
      <c r="W658" s="764"/>
      <c r="X658" s="764"/>
      <c r="Y658" s="764"/>
      <c r="Z658" s="764"/>
      <c r="AA658" s="764"/>
      <c r="AB658" s="764"/>
      <c r="AC658" s="764"/>
      <c r="AD658" s="794"/>
      <c r="AE658" s="764"/>
      <c r="AF658" s="764"/>
      <c r="AG658" s="764"/>
      <c r="AH658" s="764"/>
      <c r="AI658" s="764"/>
      <c r="AJ658" s="764"/>
      <c r="AK658" s="764"/>
      <c r="AL658" s="764"/>
      <c r="AM658" s="764"/>
      <c r="AN658" s="764"/>
      <c r="AO658" s="764"/>
      <c r="AP658" s="764"/>
      <c r="AQ658" s="764"/>
      <c r="AR658" s="764"/>
      <c r="AS658" s="764"/>
    </row>
    <row r="659" spans="1:45" ht="13.9">
      <c r="A659" s="764"/>
      <c r="B659" s="764"/>
      <c r="C659" s="764"/>
      <c r="D659" s="764"/>
      <c r="E659" s="764"/>
      <c r="F659" s="764"/>
      <c r="G659" s="764"/>
      <c r="H659" s="764"/>
      <c r="I659" s="764"/>
      <c r="J659" s="764"/>
      <c r="K659" s="764"/>
      <c r="L659" s="764"/>
      <c r="M659" s="764"/>
      <c r="N659" s="773"/>
      <c r="O659" s="764"/>
      <c r="P659" s="764"/>
      <c r="Q659" s="764"/>
      <c r="R659" s="764"/>
      <c r="S659" s="764"/>
      <c r="T659" s="764"/>
      <c r="U659" s="764"/>
      <c r="V659" s="764"/>
      <c r="W659" s="764"/>
      <c r="X659" s="764"/>
      <c r="Y659" s="764"/>
      <c r="Z659" s="764"/>
      <c r="AA659" s="764"/>
      <c r="AB659" s="764"/>
      <c r="AC659" s="764"/>
      <c r="AD659" s="794"/>
      <c r="AE659" s="764"/>
      <c r="AF659" s="764"/>
      <c r="AG659" s="764"/>
      <c r="AH659" s="764"/>
      <c r="AI659" s="764"/>
      <c r="AJ659" s="764"/>
      <c r="AK659" s="764"/>
      <c r="AL659" s="764"/>
      <c r="AM659" s="764"/>
      <c r="AN659" s="764"/>
      <c r="AO659" s="764"/>
      <c r="AP659" s="764"/>
      <c r="AQ659" s="764"/>
      <c r="AR659" s="764"/>
      <c r="AS659" s="764"/>
    </row>
    <row r="660" spans="1:45" ht="13.9">
      <c r="A660" s="764"/>
      <c r="B660" s="764"/>
      <c r="C660" s="764"/>
      <c r="D660" s="764"/>
      <c r="E660" s="764"/>
      <c r="F660" s="764"/>
      <c r="G660" s="764"/>
      <c r="H660" s="764"/>
      <c r="I660" s="764"/>
      <c r="J660" s="764"/>
      <c r="K660" s="764"/>
      <c r="L660" s="764"/>
      <c r="M660" s="764"/>
      <c r="N660" s="773"/>
      <c r="O660" s="764"/>
      <c r="P660" s="764"/>
      <c r="Q660" s="764"/>
      <c r="R660" s="764"/>
      <c r="S660" s="764"/>
      <c r="T660" s="764"/>
      <c r="U660" s="764"/>
      <c r="V660" s="764"/>
      <c r="W660" s="764"/>
      <c r="X660" s="764"/>
      <c r="Y660" s="764"/>
      <c r="Z660" s="764"/>
      <c r="AA660" s="764"/>
      <c r="AB660" s="764"/>
      <c r="AC660" s="764"/>
      <c r="AD660" s="794"/>
      <c r="AE660" s="764"/>
      <c r="AF660" s="764"/>
      <c r="AG660" s="764"/>
      <c r="AH660" s="764"/>
      <c r="AI660" s="764"/>
      <c r="AJ660" s="764"/>
      <c r="AK660" s="764"/>
      <c r="AL660" s="764"/>
      <c r="AM660" s="764"/>
      <c r="AN660" s="764"/>
      <c r="AO660" s="764"/>
      <c r="AP660" s="764"/>
      <c r="AQ660" s="764"/>
      <c r="AR660" s="764"/>
      <c r="AS660" s="764"/>
    </row>
    <row r="661" spans="1:45" ht="13.9">
      <c r="A661" s="764"/>
      <c r="B661" s="764"/>
      <c r="C661" s="764"/>
      <c r="D661" s="764"/>
      <c r="E661" s="764"/>
      <c r="F661" s="764"/>
      <c r="G661" s="764"/>
      <c r="H661" s="764"/>
      <c r="I661" s="764"/>
      <c r="J661" s="764"/>
      <c r="K661" s="764"/>
      <c r="L661" s="764"/>
      <c r="M661" s="764"/>
      <c r="N661" s="773"/>
      <c r="O661" s="764"/>
      <c r="P661" s="764"/>
      <c r="Q661" s="764"/>
      <c r="R661" s="764"/>
      <c r="S661" s="764"/>
      <c r="T661" s="764"/>
      <c r="U661" s="764"/>
      <c r="V661" s="764"/>
      <c r="W661" s="764"/>
      <c r="X661" s="764"/>
      <c r="Y661" s="764"/>
      <c r="Z661" s="764"/>
      <c r="AA661" s="764"/>
      <c r="AB661" s="764"/>
      <c r="AC661" s="764"/>
      <c r="AD661" s="794"/>
      <c r="AE661" s="764"/>
      <c r="AF661" s="764"/>
      <c r="AG661" s="764"/>
      <c r="AH661" s="764"/>
      <c r="AI661" s="764"/>
      <c r="AJ661" s="764"/>
      <c r="AK661" s="764"/>
      <c r="AL661" s="764"/>
      <c r="AM661" s="764"/>
      <c r="AN661" s="764"/>
      <c r="AO661" s="764"/>
      <c r="AP661" s="764"/>
      <c r="AQ661" s="764"/>
      <c r="AR661" s="764"/>
      <c r="AS661" s="764"/>
    </row>
    <row r="662" spans="1:45" ht="13.9">
      <c r="A662" s="764"/>
      <c r="B662" s="764"/>
      <c r="C662" s="764"/>
      <c r="D662" s="764"/>
      <c r="E662" s="764"/>
      <c r="F662" s="764"/>
      <c r="G662" s="764"/>
      <c r="H662" s="764"/>
      <c r="I662" s="764"/>
      <c r="J662" s="764"/>
      <c r="K662" s="764"/>
      <c r="L662" s="764"/>
      <c r="M662" s="764"/>
      <c r="N662" s="773"/>
      <c r="O662" s="764"/>
      <c r="P662" s="764"/>
      <c r="Q662" s="764"/>
      <c r="R662" s="764"/>
      <c r="S662" s="764"/>
      <c r="T662" s="764"/>
      <c r="U662" s="764"/>
      <c r="V662" s="764"/>
      <c r="W662" s="764"/>
      <c r="X662" s="764"/>
      <c r="Y662" s="764"/>
      <c r="Z662" s="764"/>
      <c r="AA662" s="764"/>
      <c r="AB662" s="764"/>
      <c r="AC662" s="764"/>
      <c r="AD662" s="794"/>
      <c r="AE662" s="764"/>
      <c r="AF662" s="764"/>
      <c r="AG662" s="764"/>
      <c r="AH662" s="764"/>
      <c r="AI662" s="764"/>
      <c r="AJ662" s="764"/>
      <c r="AK662" s="764"/>
      <c r="AL662" s="764"/>
      <c r="AM662" s="764"/>
      <c r="AN662" s="764"/>
      <c r="AO662" s="764"/>
      <c r="AP662" s="764"/>
      <c r="AQ662" s="764"/>
      <c r="AR662" s="764"/>
      <c r="AS662" s="764"/>
    </row>
    <row r="663" spans="1:45" ht="13.9">
      <c r="A663" s="764"/>
      <c r="B663" s="764"/>
      <c r="C663" s="764"/>
      <c r="D663" s="764"/>
      <c r="E663" s="764"/>
      <c r="F663" s="764"/>
      <c r="G663" s="764"/>
      <c r="H663" s="764"/>
      <c r="I663" s="764"/>
      <c r="J663" s="764"/>
      <c r="K663" s="764"/>
      <c r="L663" s="764"/>
      <c r="M663" s="764"/>
      <c r="N663" s="773"/>
      <c r="O663" s="764"/>
      <c r="P663" s="764"/>
      <c r="Q663" s="764"/>
      <c r="R663" s="764"/>
      <c r="S663" s="764"/>
      <c r="T663" s="764"/>
      <c r="U663" s="764"/>
      <c r="V663" s="764"/>
      <c r="W663" s="764"/>
      <c r="X663" s="764"/>
      <c r="Y663" s="764"/>
      <c r="Z663" s="764"/>
      <c r="AA663" s="764"/>
      <c r="AB663" s="764"/>
      <c r="AC663" s="764"/>
      <c r="AD663" s="794"/>
      <c r="AE663" s="764"/>
      <c r="AF663" s="764"/>
      <c r="AG663" s="764"/>
      <c r="AH663" s="764"/>
      <c r="AI663" s="764"/>
      <c r="AJ663" s="764"/>
      <c r="AK663" s="764"/>
      <c r="AL663" s="764"/>
      <c r="AM663" s="764"/>
      <c r="AN663" s="764"/>
      <c r="AO663" s="764"/>
      <c r="AP663" s="764"/>
      <c r="AQ663" s="764"/>
      <c r="AR663" s="764"/>
      <c r="AS663" s="764"/>
    </row>
    <row r="664" spans="1:45" ht="13.9">
      <c r="A664" s="764"/>
      <c r="B664" s="764"/>
      <c r="C664" s="764"/>
      <c r="D664" s="764"/>
      <c r="E664" s="764"/>
      <c r="F664" s="764"/>
      <c r="G664" s="764"/>
      <c r="H664" s="764"/>
      <c r="I664" s="764"/>
      <c r="J664" s="764"/>
      <c r="K664" s="764"/>
      <c r="L664" s="764"/>
      <c r="M664" s="764"/>
      <c r="N664" s="773"/>
      <c r="O664" s="764"/>
      <c r="P664" s="764"/>
      <c r="Q664" s="764"/>
      <c r="R664" s="764"/>
      <c r="S664" s="764"/>
      <c r="T664" s="764"/>
      <c r="U664" s="764"/>
      <c r="V664" s="764"/>
      <c r="W664" s="764"/>
      <c r="X664" s="764"/>
      <c r="Y664" s="764"/>
      <c r="Z664" s="764"/>
      <c r="AA664" s="764"/>
      <c r="AB664" s="764"/>
      <c r="AC664" s="764"/>
      <c r="AD664" s="794"/>
      <c r="AE664" s="764"/>
      <c r="AF664" s="764"/>
      <c r="AG664" s="764"/>
      <c r="AH664" s="764"/>
      <c r="AI664" s="764"/>
      <c r="AJ664" s="764"/>
      <c r="AK664" s="764"/>
      <c r="AL664" s="764"/>
      <c r="AM664" s="764"/>
      <c r="AN664" s="764"/>
      <c r="AO664" s="764"/>
      <c r="AP664" s="764"/>
      <c r="AQ664" s="764"/>
      <c r="AR664" s="764"/>
      <c r="AS664" s="764"/>
    </row>
    <row r="665" spans="1:45" ht="13.9">
      <c r="A665" s="764"/>
      <c r="B665" s="764"/>
      <c r="C665" s="764"/>
      <c r="D665" s="764"/>
      <c r="E665" s="764"/>
      <c r="F665" s="764"/>
      <c r="G665" s="764"/>
      <c r="H665" s="764"/>
      <c r="I665" s="764"/>
      <c r="J665" s="764"/>
      <c r="K665" s="764"/>
      <c r="L665" s="764"/>
      <c r="M665" s="764"/>
      <c r="N665" s="773"/>
      <c r="O665" s="764"/>
      <c r="P665" s="764"/>
      <c r="Q665" s="764"/>
      <c r="R665" s="764"/>
      <c r="S665" s="764"/>
      <c r="T665" s="764"/>
      <c r="U665" s="764"/>
      <c r="V665" s="764"/>
      <c r="W665" s="764"/>
      <c r="X665" s="764"/>
      <c r="Y665" s="764"/>
      <c r="Z665" s="764"/>
      <c r="AA665" s="764"/>
      <c r="AB665" s="764"/>
      <c r="AC665" s="764"/>
      <c r="AD665" s="794"/>
      <c r="AE665" s="764"/>
      <c r="AF665" s="764"/>
      <c r="AG665" s="764"/>
      <c r="AH665" s="764"/>
      <c r="AI665" s="764"/>
      <c r="AJ665" s="764"/>
      <c r="AK665" s="764"/>
      <c r="AL665" s="764"/>
      <c r="AM665" s="764"/>
      <c r="AN665" s="764"/>
      <c r="AO665" s="764"/>
      <c r="AP665" s="764"/>
      <c r="AQ665" s="764"/>
      <c r="AR665" s="764"/>
      <c r="AS665" s="764"/>
    </row>
    <row r="666" spans="1:45" ht="13.9">
      <c r="A666" s="764"/>
      <c r="B666" s="764"/>
      <c r="C666" s="764"/>
      <c r="D666" s="764"/>
      <c r="E666" s="764"/>
      <c r="F666" s="764"/>
      <c r="G666" s="764"/>
      <c r="H666" s="764"/>
      <c r="I666" s="764"/>
      <c r="J666" s="764"/>
      <c r="K666" s="764"/>
      <c r="L666" s="764"/>
      <c r="M666" s="764"/>
      <c r="N666" s="773"/>
      <c r="O666" s="764"/>
      <c r="P666" s="764"/>
      <c r="Q666" s="764"/>
      <c r="R666" s="764"/>
      <c r="S666" s="764"/>
      <c r="T666" s="764"/>
      <c r="U666" s="764"/>
      <c r="V666" s="764"/>
      <c r="W666" s="764"/>
      <c r="X666" s="764"/>
      <c r="Y666" s="764"/>
      <c r="Z666" s="764"/>
      <c r="AA666" s="764"/>
      <c r="AB666" s="764"/>
      <c r="AC666" s="764"/>
      <c r="AD666" s="794"/>
      <c r="AE666" s="764"/>
      <c r="AF666" s="764"/>
      <c r="AG666" s="764"/>
      <c r="AH666" s="764"/>
      <c r="AI666" s="764"/>
      <c r="AJ666" s="764"/>
      <c r="AK666" s="764"/>
      <c r="AL666" s="764"/>
      <c r="AM666" s="764"/>
      <c r="AN666" s="764"/>
      <c r="AO666" s="764"/>
      <c r="AP666" s="764"/>
      <c r="AQ666" s="764"/>
      <c r="AR666" s="764"/>
      <c r="AS666" s="764"/>
    </row>
    <row r="667" spans="1:45" ht="13.9">
      <c r="A667" s="764"/>
      <c r="B667" s="764"/>
      <c r="C667" s="764"/>
      <c r="D667" s="764"/>
      <c r="E667" s="764"/>
      <c r="F667" s="764"/>
      <c r="G667" s="764"/>
      <c r="H667" s="764"/>
      <c r="I667" s="764"/>
      <c r="J667" s="764"/>
      <c r="K667" s="764"/>
      <c r="L667" s="764"/>
      <c r="M667" s="764"/>
      <c r="N667" s="773"/>
      <c r="O667" s="764"/>
      <c r="P667" s="764"/>
      <c r="Q667" s="764"/>
      <c r="R667" s="764"/>
      <c r="S667" s="764"/>
      <c r="T667" s="764"/>
      <c r="U667" s="764"/>
      <c r="V667" s="764"/>
      <c r="W667" s="764"/>
      <c r="X667" s="764"/>
      <c r="Y667" s="764"/>
      <c r="Z667" s="764"/>
      <c r="AA667" s="764"/>
      <c r="AB667" s="764"/>
      <c r="AC667" s="764"/>
      <c r="AD667" s="794"/>
      <c r="AE667" s="764"/>
      <c r="AF667" s="764"/>
      <c r="AG667" s="764"/>
      <c r="AH667" s="764"/>
      <c r="AI667" s="764"/>
      <c r="AJ667" s="764"/>
      <c r="AK667" s="764"/>
      <c r="AL667" s="764"/>
      <c r="AM667" s="764"/>
      <c r="AN667" s="764"/>
      <c r="AO667" s="764"/>
      <c r="AP667" s="764"/>
      <c r="AQ667" s="764"/>
      <c r="AR667" s="764"/>
      <c r="AS667" s="764"/>
    </row>
    <row r="668" spans="1:45" ht="13.9">
      <c r="A668" s="764"/>
      <c r="B668" s="764"/>
      <c r="C668" s="764"/>
      <c r="D668" s="764"/>
      <c r="E668" s="764"/>
      <c r="F668" s="764"/>
      <c r="G668" s="764"/>
      <c r="H668" s="764"/>
      <c r="I668" s="764"/>
      <c r="J668" s="764"/>
      <c r="K668" s="764"/>
      <c r="L668" s="764"/>
      <c r="M668" s="764"/>
      <c r="N668" s="773"/>
      <c r="O668" s="764"/>
      <c r="P668" s="764"/>
      <c r="Q668" s="764"/>
      <c r="R668" s="764"/>
      <c r="S668" s="764"/>
      <c r="T668" s="764"/>
      <c r="U668" s="764"/>
      <c r="V668" s="764"/>
      <c r="W668" s="764"/>
      <c r="X668" s="764"/>
      <c r="Y668" s="764"/>
      <c r="Z668" s="764"/>
      <c r="AA668" s="764"/>
      <c r="AB668" s="764"/>
      <c r="AC668" s="764"/>
      <c r="AD668" s="794"/>
      <c r="AE668" s="764"/>
      <c r="AF668" s="764"/>
      <c r="AG668" s="764"/>
      <c r="AH668" s="764"/>
      <c r="AI668" s="764"/>
      <c r="AJ668" s="764"/>
      <c r="AK668" s="764"/>
      <c r="AL668" s="764"/>
      <c r="AM668" s="764"/>
      <c r="AN668" s="764"/>
      <c r="AO668" s="764"/>
      <c r="AP668" s="764"/>
      <c r="AQ668" s="764"/>
      <c r="AR668" s="764"/>
      <c r="AS668" s="764"/>
    </row>
    <row r="669" spans="1:45" ht="13.9">
      <c r="A669" s="764"/>
      <c r="B669" s="764"/>
      <c r="C669" s="764"/>
      <c r="D669" s="764"/>
      <c r="E669" s="764"/>
      <c r="F669" s="764"/>
      <c r="G669" s="764"/>
      <c r="H669" s="764"/>
      <c r="I669" s="764"/>
      <c r="J669" s="764"/>
      <c r="K669" s="764"/>
      <c r="L669" s="764"/>
      <c r="M669" s="764"/>
      <c r="N669" s="773"/>
      <c r="O669" s="764"/>
      <c r="P669" s="764"/>
      <c r="Q669" s="764"/>
      <c r="R669" s="764"/>
      <c r="S669" s="764"/>
      <c r="T669" s="764"/>
      <c r="U669" s="764"/>
      <c r="V669" s="764"/>
      <c r="W669" s="764"/>
      <c r="X669" s="764"/>
      <c r="Y669" s="764"/>
      <c r="Z669" s="764"/>
      <c r="AA669" s="764"/>
      <c r="AB669" s="764"/>
      <c r="AC669" s="764"/>
      <c r="AD669" s="794"/>
      <c r="AE669" s="764"/>
      <c r="AF669" s="764"/>
      <c r="AG669" s="764"/>
      <c r="AH669" s="764"/>
      <c r="AI669" s="764"/>
      <c r="AJ669" s="764"/>
      <c r="AK669" s="764"/>
      <c r="AL669" s="764"/>
      <c r="AM669" s="764"/>
      <c r="AN669" s="764"/>
      <c r="AO669" s="764"/>
      <c r="AP669" s="764"/>
      <c r="AQ669" s="764"/>
      <c r="AR669" s="764"/>
      <c r="AS669" s="764"/>
    </row>
    <row r="670" spans="1:45" ht="13.9">
      <c r="A670" s="764"/>
      <c r="B670" s="764"/>
      <c r="C670" s="764"/>
      <c r="D670" s="764"/>
      <c r="E670" s="764"/>
      <c r="F670" s="764"/>
      <c r="G670" s="764"/>
      <c r="H670" s="764"/>
      <c r="I670" s="764"/>
      <c r="J670" s="764"/>
      <c r="K670" s="764"/>
      <c r="L670" s="764"/>
      <c r="M670" s="764"/>
      <c r="N670" s="773"/>
      <c r="O670" s="764"/>
      <c r="P670" s="764"/>
      <c r="Q670" s="764"/>
      <c r="R670" s="764"/>
      <c r="S670" s="764"/>
      <c r="T670" s="764"/>
      <c r="U670" s="764"/>
      <c r="V670" s="764"/>
      <c r="W670" s="764"/>
      <c r="X670" s="764"/>
      <c r="Y670" s="764"/>
      <c r="Z670" s="764"/>
      <c r="AA670" s="764"/>
      <c r="AB670" s="764"/>
      <c r="AC670" s="764"/>
      <c r="AD670" s="794"/>
      <c r="AE670" s="764"/>
      <c r="AF670" s="764"/>
      <c r="AG670" s="764"/>
      <c r="AH670" s="764"/>
      <c r="AI670" s="764"/>
      <c r="AJ670" s="764"/>
      <c r="AK670" s="764"/>
      <c r="AL670" s="764"/>
      <c r="AM670" s="764"/>
      <c r="AN670" s="764"/>
      <c r="AO670" s="764"/>
      <c r="AP670" s="764"/>
      <c r="AQ670" s="764"/>
      <c r="AR670" s="764"/>
      <c r="AS670" s="764"/>
    </row>
    <row r="671" spans="1:45" ht="13.9">
      <c r="A671" s="764"/>
      <c r="B671" s="764"/>
      <c r="C671" s="764"/>
      <c r="D671" s="764"/>
      <c r="E671" s="764"/>
      <c r="F671" s="764"/>
      <c r="G671" s="764"/>
      <c r="H671" s="764"/>
      <c r="I671" s="764"/>
      <c r="J671" s="764"/>
      <c r="K671" s="764"/>
      <c r="L671" s="764"/>
      <c r="M671" s="764"/>
      <c r="N671" s="773"/>
      <c r="O671" s="764"/>
      <c r="P671" s="764"/>
      <c r="Q671" s="764"/>
      <c r="R671" s="764"/>
      <c r="S671" s="764"/>
      <c r="T671" s="764"/>
      <c r="U671" s="764"/>
      <c r="V671" s="764"/>
      <c r="W671" s="764"/>
      <c r="X671" s="764"/>
      <c r="Y671" s="764"/>
      <c r="Z671" s="764"/>
      <c r="AA671" s="764"/>
      <c r="AB671" s="764"/>
      <c r="AC671" s="764"/>
      <c r="AD671" s="794"/>
      <c r="AE671" s="764"/>
      <c r="AF671" s="764"/>
      <c r="AG671" s="764"/>
      <c r="AH671" s="764"/>
      <c r="AI671" s="764"/>
      <c r="AJ671" s="764"/>
      <c r="AK671" s="764"/>
      <c r="AL671" s="764"/>
      <c r="AM671" s="764"/>
      <c r="AN671" s="764"/>
      <c r="AO671" s="764"/>
      <c r="AP671" s="764"/>
      <c r="AQ671" s="764"/>
      <c r="AR671" s="764"/>
      <c r="AS671" s="764"/>
    </row>
    <row r="672" spans="1:45" ht="13.9">
      <c r="A672" s="764"/>
      <c r="B672" s="764"/>
      <c r="C672" s="764"/>
      <c r="D672" s="764"/>
      <c r="E672" s="764"/>
      <c r="F672" s="764"/>
      <c r="G672" s="764"/>
      <c r="H672" s="764"/>
      <c r="I672" s="764"/>
      <c r="J672" s="764"/>
      <c r="K672" s="764"/>
      <c r="L672" s="764"/>
      <c r="M672" s="764"/>
      <c r="N672" s="773"/>
      <c r="O672" s="764"/>
      <c r="P672" s="764"/>
      <c r="Q672" s="764"/>
      <c r="R672" s="764"/>
      <c r="S672" s="764"/>
      <c r="T672" s="764"/>
      <c r="U672" s="764"/>
      <c r="V672" s="764"/>
      <c r="W672" s="764"/>
      <c r="X672" s="764"/>
      <c r="Y672" s="764"/>
      <c r="Z672" s="764"/>
      <c r="AA672" s="764"/>
      <c r="AB672" s="764"/>
      <c r="AC672" s="764"/>
      <c r="AD672" s="794"/>
      <c r="AE672" s="764"/>
      <c r="AF672" s="764"/>
      <c r="AG672" s="764"/>
      <c r="AH672" s="764"/>
      <c r="AI672" s="764"/>
      <c r="AJ672" s="764"/>
      <c r="AK672" s="764"/>
      <c r="AL672" s="764"/>
      <c r="AM672" s="764"/>
      <c r="AN672" s="764"/>
      <c r="AO672" s="764"/>
      <c r="AP672" s="764"/>
      <c r="AQ672" s="764"/>
      <c r="AR672" s="764"/>
      <c r="AS672" s="764"/>
    </row>
    <row r="673" spans="1:45" ht="13.9">
      <c r="A673" s="764"/>
      <c r="B673" s="764"/>
      <c r="C673" s="764"/>
      <c r="D673" s="764"/>
      <c r="E673" s="764"/>
      <c r="F673" s="764"/>
      <c r="G673" s="764"/>
      <c r="H673" s="764"/>
      <c r="I673" s="764"/>
      <c r="J673" s="764"/>
      <c r="K673" s="764"/>
      <c r="L673" s="764"/>
      <c r="M673" s="764"/>
      <c r="N673" s="773"/>
      <c r="O673" s="764"/>
      <c r="P673" s="764"/>
      <c r="Q673" s="764"/>
      <c r="R673" s="764"/>
      <c r="S673" s="764"/>
      <c r="T673" s="764"/>
      <c r="U673" s="764"/>
      <c r="V673" s="764"/>
      <c r="W673" s="764"/>
      <c r="X673" s="764"/>
      <c r="Y673" s="764"/>
      <c r="Z673" s="764"/>
      <c r="AA673" s="764"/>
      <c r="AB673" s="764"/>
      <c r="AC673" s="764"/>
      <c r="AD673" s="794"/>
      <c r="AE673" s="764"/>
      <c r="AF673" s="764"/>
      <c r="AG673" s="764"/>
      <c r="AH673" s="764"/>
      <c r="AI673" s="764"/>
      <c r="AJ673" s="764"/>
      <c r="AK673" s="764"/>
      <c r="AL673" s="764"/>
      <c r="AM673" s="764"/>
      <c r="AN673" s="764"/>
      <c r="AO673" s="764"/>
      <c r="AP673" s="764"/>
      <c r="AQ673" s="764"/>
      <c r="AR673" s="764"/>
      <c r="AS673" s="764"/>
    </row>
    <row r="674" spans="1:45" ht="13.9">
      <c r="A674" s="764"/>
      <c r="B674" s="764"/>
      <c r="C674" s="764"/>
      <c r="D674" s="764"/>
      <c r="E674" s="764"/>
      <c r="F674" s="764"/>
      <c r="G674" s="764"/>
      <c r="H674" s="764"/>
      <c r="I674" s="764"/>
      <c r="J674" s="764"/>
      <c r="K674" s="764"/>
      <c r="L674" s="764"/>
      <c r="M674" s="764"/>
      <c r="N674" s="773"/>
      <c r="O674" s="764"/>
      <c r="P674" s="764"/>
      <c r="Q674" s="764"/>
      <c r="R674" s="764"/>
      <c r="S674" s="764"/>
      <c r="T674" s="764"/>
      <c r="U674" s="764"/>
      <c r="V674" s="764"/>
      <c r="W674" s="764"/>
      <c r="X674" s="764"/>
      <c r="Y674" s="764"/>
      <c r="Z674" s="764"/>
      <c r="AA674" s="764"/>
      <c r="AB674" s="764"/>
      <c r="AC674" s="764"/>
      <c r="AD674" s="794"/>
      <c r="AE674" s="764"/>
      <c r="AF674" s="764"/>
      <c r="AG674" s="764"/>
      <c r="AH674" s="764"/>
      <c r="AI674" s="764"/>
      <c r="AJ674" s="764"/>
      <c r="AK674" s="764"/>
      <c r="AL674" s="764"/>
      <c r="AM674" s="764"/>
      <c r="AN674" s="764"/>
      <c r="AO674" s="764"/>
      <c r="AP674" s="764"/>
      <c r="AQ674" s="764"/>
      <c r="AR674" s="764"/>
      <c r="AS674" s="764"/>
    </row>
    <row r="675" spans="1:45" ht="13.9">
      <c r="A675" s="764"/>
      <c r="B675" s="764"/>
      <c r="C675" s="764"/>
      <c r="D675" s="764"/>
      <c r="E675" s="764"/>
      <c r="F675" s="764"/>
      <c r="G675" s="764"/>
      <c r="H675" s="764"/>
      <c r="I675" s="764"/>
      <c r="J675" s="764"/>
      <c r="K675" s="764"/>
      <c r="L675" s="764"/>
      <c r="M675" s="764"/>
      <c r="N675" s="773"/>
      <c r="O675" s="764"/>
      <c r="P675" s="764"/>
      <c r="Q675" s="764"/>
      <c r="R675" s="764"/>
      <c r="S675" s="764"/>
      <c r="T675" s="764"/>
      <c r="U675" s="764"/>
      <c r="V675" s="764"/>
      <c r="W675" s="764"/>
      <c r="X675" s="764"/>
      <c r="Y675" s="764"/>
      <c r="Z675" s="764"/>
      <c r="AA675" s="764"/>
      <c r="AB675" s="764"/>
      <c r="AC675" s="764"/>
      <c r="AD675" s="794"/>
      <c r="AE675" s="764"/>
      <c r="AF675" s="764"/>
      <c r="AG675" s="764"/>
      <c r="AH675" s="764"/>
      <c r="AI675" s="764"/>
      <c r="AJ675" s="764"/>
      <c r="AK675" s="764"/>
      <c r="AL675" s="764"/>
      <c r="AM675" s="764"/>
      <c r="AN675" s="764"/>
      <c r="AO675" s="764"/>
      <c r="AP675" s="764"/>
      <c r="AQ675" s="764"/>
      <c r="AR675" s="764"/>
      <c r="AS675" s="764"/>
    </row>
    <row r="676" spans="1:45" ht="13.9">
      <c r="A676" s="764"/>
      <c r="B676" s="764"/>
      <c r="C676" s="764"/>
      <c r="D676" s="764"/>
      <c r="E676" s="764"/>
      <c r="F676" s="764"/>
      <c r="G676" s="764"/>
      <c r="H676" s="764"/>
      <c r="I676" s="764"/>
      <c r="J676" s="764"/>
      <c r="K676" s="764"/>
      <c r="L676" s="764"/>
      <c r="M676" s="764"/>
      <c r="N676" s="773"/>
      <c r="O676" s="764"/>
      <c r="P676" s="764"/>
      <c r="Q676" s="764"/>
      <c r="R676" s="764"/>
      <c r="S676" s="764"/>
      <c r="T676" s="764"/>
      <c r="U676" s="764"/>
      <c r="V676" s="764"/>
      <c r="W676" s="764"/>
      <c r="X676" s="764"/>
      <c r="Y676" s="764"/>
      <c r="Z676" s="764"/>
      <c r="AA676" s="764"/>
      <c r="AB676" s="764"/>
      <c r="AC676" s="764"/>
      <c r="AD676" s="794"/>
      <c r="AE676" s="764"/>
      <c r="AF676" s="764"/>
      <c r="AG676" s="764"/>
      <c r="AH676" s="764"/>
      <c r="AI676" s="764"/>
      <c r="AJ676" s="764"/>
      <c r="AK676" s="764"/>
      <c r="AL676" s="764"/>
      <c r="AM676" s="764"/>
      <c r="AN676" s="764"/>
      <c r="AO676" s="764"/>
      <c r="AP676" s="764"/>
      <c r="AQ676" s="764"/>
      <c r="AR676" s="764"/>
      <c r="AS676" s="764"/>
    </row>
    <row r="677" spans="1:45" ht="13.9">
      <c r="A677" s="764"/>
      <c r="B677" s="764"/>
      <c r="C677" s="764"/>
      <c r="D677" s="764"/>
      <c r="E677" s="764"/>
      <c r="F677" s="764"/>
      <c r="G677" s="764"/>
      <c r="H677" s="764"/>
      <c r="I677" s="764"/>
      <c r="J677" s="764"/>
      <c r="K677" s="764"/>
      <c r="L677" s="764"/>
      <c r="M677" s="764"/>
      <c r="N677" s="773"/>
      <c r="O677" s="764"/>
      <c r="P677" s="764"/>
      <c r="Q677" s="764"/>
      <c r="R677" s="764"/>
      <c r="S677" s="764"/>
      <c r="T677" s="764"/>
      <c r="U677" s="764"/>
      <c r="V677" s="764"/>
      <c r="W677" s="764"/>
      <c r="X677" s="764"/>
      <c r="Y677" s="764"/>
      <c r="Z677" s="764"/>
      <c r="AA677" s="764"/>
      <c r="AB677" s="764"/>
      <c r="AC677" s="764"/>
      <c r="AD677" s="794"/>
      <c r="AE677" s="764"/>
      <c r="AF677" s="764"/>
      <c r="AG677" s="764"/>
      <c r="AH677" s="764"/>
      <c r="AI677" s="764"/>
      <c r="AJ677" s="764"/>
      <c r="AK677" s="764"/>
      <c r="AL677" s="764"/>
      <c r="AM677" s="764"/>
      <c r="AN677" s="764"/>
      <c r="AO677" s="764"/>
      <c r="AP677" s="764"/>
      <c r="AQ677" s="764"/>
      <c r="AR677" s="764"/>
      <c r="AS677" s="764"/>
    </row>
    <row r="678" spans="1:45" ht="13.9">
      <c r="A678" s="764"/>
      <c r="B678" s="764"/>
      <c r="C678" s="764"/>
      <c r="D678" s="764"/>
      <c r="E678" s="764"/>
      <c r="F678" s="764"/>
      <c r="G678" s="764"/>
      <c r="H678" s="764"/>
      <c r="I678" s="764"/>
      <c r="J678" s="764"/>
      <c r="K678" s="764"/>
      <c r="L678" s="764"/>
      <c r="M678" s="764"/>
      <c r="N678" s="773"/>
      <c r="O678" s="764"/>
      <c r="P678" s="764"/>
      <c r="Q678" s="764"/>
      <c r="R678" s="764"/>
      <c r="S678" s="764"/>
      <c r="T678" s="764"/>
      <c r="U678" s="764"/>
      <c r="V678" s="764"/>
      <c r="W678" s="764"/>
      <c r="X678" s="764"/>
      <c r="Y678" s="764"/>
      <c r="Z678" s="764"/>
      <c r="AA678" s="764"/>
      <c r="AB678" s="764"/>
      <c r="AC678" s="764"/>
      <c r="AD678" s="794"/>
      <c r="AE678" s="764"/>
      <c r="AF678" s="764"/>
      <c r="AG678" s="764"/>
      <c r="AH678" s="764"/>
      <c r="AI678" s="764"/>
      <c r="AJ678" s="764"/>
      <c r="AK678" s="764"/>
      <c r="AL678" s="764"/>
      <c r="AM678" s="764"/>
      <c r="AN678" s="764"/>
      <c r="AO678" s="764"/>
      <c r="AP678" s="764"/>
      <c r="AQ678" s="764"/>
      <c r="AR678" s="764"/>
      <c r="AS678" s="764"/>
    </row>
    <row r="679" spans="1:45" ht="13.9">
      <c r="A679" s="764"/>
      <c r="B679" s="764"/>
      <c r="C679" s="764"/>
      <c r="D679" s="764"/>
      <c r="E679" s="764"/>
      <c r="F679" s="764"/>
      <c r="G679" s="764"/>
      <c r="H679" s="764"/>
      <c r="I679" s="764"/>
      <c r="J679" s="764"/>
      <c r="K679" s="764"/>
      <c r="L679" s="764"/>
      <c r="M679" s="764"/>
      <c r="N679" s="773"/>
      <c r="O679" s="764"/>
      <c r="P679" s="764"/>
      <c r="Q679" s="764"/>
      <c r="R679" s="764"/>
      <c r="S679" s="764"/>
      <c r="T679" s="764"/>
      <c r="U679" s="764"/>
      <c r="V679" s="764"/>
      <c r="W679" s="764"/>
      <c r="X679" s="764"/>
      <c r="Y679" s="764"/>
      <c r="Z679" s="764"/>
      <c r="AA679" s="764"/>
      <c r="AB679" s="764"/>
      <c r="AC679" s="764"/>
      <c r="AD679" s="794"/>
      <c r="AE679" s="764"/>
      <c r="AF679" s="764"/>
      <c r="AG679" s="764"/>
      <c r="AH679" s="764"/>
      <c r="AI679" s="764"/>
      <c r="AJ679" s="764"/>
      <c r="AK679" s="764"/>
      <c r="AL679" s="764"/>
      <c r="AM679" s="764"/>
      <c r="AN679" s="764"/>
      <c r="AO679" s="764"/>
      <c r="AP679" s="764"/>
      <c r="AQ679" s="764"/>
      <c r="AR679" s="764"/>
      <c r="AS679" s="764"/>
    </row>
    <row r="680" spans="1:45" ht="13.9">
      <c r="A680" s="764"/>
      <c r="B680" s="764"/>
      <c r="C680" s="764"/>
      <c r="D680" s="764"/>
      <c r="E680" s="764"/>
      <c r="F680" s="764"/>
      <c r="G680" s="764"/>
      <c r="H680" s="764"/>
      <c r="I680" s="764"/>
      <c r="J680" s="764"/>
      <c r="K680" s="764"/>
      <c r="L680" s="764"/>
      <c r="M680" s="764"/>
      <c r="N680" s="773"/>
      <c r="O680" s="764"/>
      <c r="P680" s="764"/>
      <c r="Q680" s="764"/>
      <c r="R680" s="764"/>
      <c r="S680" s="764"/>
      <c r="T680" s="764"/>
      <c r="U680" s="764"/>
      <c r="V680" s="764"/>
      <c r="W680" s="764"/>
      <c r="X680" s="764"/>
      <c r="Y680" s="764"/>
      <c r="Z680" s="764"/>
      <c r="AA680" s="764"/>
      <c r="AB680" s="764"/>
      <c r="AC680" s="764"/>
      <c r="AD680" s="794"/>
      <c r="AE680" s="764"/>
      <c r="AF680" s="764"/>
      <c r="AG680" s="764"/>
      <c r="AH680" s="764"/>
      <c r="AI680" s="764"/>
      <c r="AJ680" s="764"/>
      <c r="AK680" s="764"/>
      <c r="AL680" s="764"/>
      <c r="AM680" s="764"/>
      <c r="AN680" s="764"/>
      <c r="AO680" s="764"/>
      <c r="AP680" s="764"/>
      <c r="AQ680" s="764"/>
      <c r="AR680" s="764"/>
      <c r="AS680" s="764"/>
    </row>
    <row r="681" spans="1:45" ht="13.9">
      <c r="A681" s="764"/>
      <c r="B681" s="764"/>
      <c r="C681" s="764"/>
      <c r="D681" s="764"/>
      <c r="E681" s="764"/>
      <c r="F681" s="764"/>
      <c r="G681" s="764"/>
      <c r="H681" s="764"/>
      <c r="I681" s="764"/>
      <c r="J681" s="764"/>
      <c r="K681" s="764"/>
      <c r="L681" s="764"/>
      <c r="M681" s="764"/>
      <c r="N681" s="773"/>
      <c r="O681" s="764"/>
      <c r="P681" s="764"/>
      <c r="Q681" s="764"/>
      <c r="R681" s="764"/>
      <c r="S681" s="764"/>
      <c r="T681" s="764"/>
      <c r="U681" s="764"/>
      <c r="V681" s="764"/>
      <c r="W681" s="764"/>
      <c r="X681" s="764"/>
      <c r="Y681" s="764"/>
      <c r="Z681" s="764"/>
      <c r="AA681" s="764"/>
      <c r="AB681" s="764"/>
      <c r="AC681" s="764"/>
      <c r="AD681" s="794"/>
      <c r="AE681" s="764"/>
      <c r="AF681" s="764"/>
      <c r="AG681" s="764"/>
      <c r="AH681" s="764"/>
      <c r="AI681" s="764"/>
      <c r="AJ681" s="764"/>
      <c r="AK681" s="764"/>
      <c r="AL681" s="764"/>
      <c r="AM681" s="764"/>
      <c r="AN681" s="764"/>
      <c r="AO681" s="764"/>
      <c r="AP681" s="764"/>
      <c r="AQ681" s="764"/>
      <c r="AR681" s="764"/>
      <c r="AS681" s="764"/>
    </row>
    <row r="682" spans="1:45" ht="13.9">
      <c r="A682" s="764"/>
      <c r="B682" s="764"/>
      <c r="C682" s="764"/>
      <c r="D682" s="764"/>
      <c r="E682" s="764"/>
      <c r="F682" s="764"/>
      <c r="G682" s="764"/>
      <c r="H682" s="764"/>
      <c r="I682" s="764"/>
      <c r="J682" s="764"/>
      <c r="K682" s="764"/>
      <c r="L682" s="764"/>
      <c r="M682" s="764"/>
      <c r="N682" s="773"/>
      <c r="O682" s="764"/>
      <c r="P682" s="764"/>
      <c r="Q682" s="764"/>
      <c r="R682" s="764"/>
      <c r="S682" s="764"/>
      <c r="T682" s="764"/>
      <c r="U682" s="764"/>
      <c r="V682" s="764"/>
      <c r="W682" s="764"/>
      <c r="X682" s="764"/>
      <c r="Y682" s="764"/>
      <c r="Z682" s="764"/>
      <c r="AA682" s="764"/>
      <c r="AB682" s="764"/>
      <c r="AC682" s="764"/>
      <c r="AD682" s="794"/>
      <c r="AE682" s="764"/>
      <c r="AF682" s="764"/>
      <c r="AG682" s="764"/>
      <c r="AH682" s="764"/>
      <c r="AI682" s="764"/>
      <c r="AJ682" s="764"/>
      <c r="AK682" s="764"/>
      <c r="AL682" s="764"/>
      <c r="AM682" s="764"/>
      <c r="AN682" s="764"/>
      <c r="AO682" s="764"/>
      <c r="AP682" s="764"/>
      <c r="AQ682" s="764"/>
      <c r="AR682" s="764"/>
      <c r="AS682" s="764"/>
    </row>
    <row r="683" spans="1:45" ht="13.9">
      <c r="A683" s="764"/>
      <c r="B683" s="764"/>
      <c r="C683" s="764"/>
      <c r="D683" s="764"/>
      <c r="E683" s="764"/>
      <c r="F683" s="764"/>
      <c r="G683" s="764"/>
      <c r="H683" s="764"/>
      <c r="I683" s="764"/>
      <c r="J683" s="764"/>
      <c r="K683" s="764"/>
      <c r="L683" s="764"/>
      <c r="M683" s="764"/>
      <c r="N683" s="773"/>
      <c r="O683" s="764"/>
      <c r="P683" s="764"/>
      <c r="Q683" s="764"/>
      <c r="R683" s="764"/>
      <c r="S683" s="764"/>
      <c r="T683" s="764"/>
      <c r="U683" s="764"/>
      <c r="V683" s="764"/>
      <c r="W683" s="764"/>
      <c r="X683" s="764"/>
      <c r="Y683" s="764"/>
      <c r="Z683" s="764"/>
      <c r="AA683" s="764"/>
      <c r="AB683" s="764"/>
      <c r="AC683" s="764"/>
      <c r="AD683" s="794"/>
      <c r="AE683" s="764"/>
      <c r="AF683" s="764"/>
      <c r="AG683" s="764"/>
      <c r="AH683" s="764"/>
      <c r="AI683" s="764"/>
      <c r="AJ683" s="764"/>
      <c r="AK683" s="764"/>
      <c r="AL683" s="764"/>
      <c r="AM683" s="764"/>
      <c r="AN683" s="764"/>
      <c r="AO683" s="764"/>
      <c r="AP683" s="764"/>
      <c r="AQ683" s="764"/>
      <c r="AR683" s="764"/>
      <c r="AS683" s="764"/>
    </row>
    <row r="684" spans="1:45" ht="13.9">
      <c r="A684" s="764"/>
      <c r="B684" s="764"/>
      <c r="C684" s="764"/>
      <c r="D684" s="764"/>
      <c r="E684" s="764"/>
      <c r="F684" s="764"/>
      <c r="G684" s="764"/>
      <c r="H684" s="764"/>
      <c r="I684" s="764"/>
      <c r="J684" s="764"/>
      <c r="K684" s="764"/>
      <c r="L684" s="764"/>
      <c r="M684" s="764"/>
      <c r="N684" s="773"/>
      <c r="O684" s="764"/>
      <c r="P684" s="764"/>
      <c r="Q684" s="764"/>
      <c r="R684" s="764"/>
      <c r="S684" s="764"/>
      <c r="T684" s="764"/>
      <c r="U684" s="764"/>
      <c r="V684" s="764"/>
      <c r="W684" s="764"/>
      <c r="X684" s="764"/>
      <c r="Y684" s="764"/>
      <c r="Z684" s="764"/>
      <c r="AA684" s="764"/>
      <c r="AB684" s="764"/>
      <c r="AC684" s="764"/>
      <c r="AD684" s="794"/>
      <c r="AE684" s="764"/>
      <c r="AF684" s="764"/>
      <c r="AG684" s="764"/>
      <c r="AH684" s="764"/>
      <c r="AI684" s="764"/>
      <c r="AJ684" s="764"/>
      <c r="AK684" s="764"/>
      <c r="AL684" s="764"/>
      <c r="AM684" s="764"/>
      <c r="AN684" s="764"/>
      <c r="AO684" s="764"/>
      <c r="AP684" s="764"/>
      <c r="AQ684" s="764"/>
      <c r="AR684" s="764"/>
      <c r="AS684" s="764"/>
    </row>
    <row r="685" spans="1:45" ht="13.9">
      <c r="A685" s="764"/>
      <c r="B685" s="764"/>
      <c r="C685" s="764"/>
      <c r="D685" s="764"/>
      <c r="E685" s="764"/>
      <c r="F685" s="764"/>
      <c r="G685" s="764"/>
      <c r="H685" s="764"/>
      <c r="I685" s="764"/>
      <c r="J685" s="764"/>
      <c r="K685" s="764"/>
      <c r="L685" s="764"/>
      <c r="M685" s="764"/>
      <c r="N685" s="773"/>
      <c r="O685" s="764"/>
      <c r="P685" s="764"/>
      <c r="Q685" s="764"/>
      <c r="R685" s="764"/>
      <c r="S685" s="764"/>
      <c r="T685" s="764"/>
      <c r="U685" s="764"/>
      <c r="V685" s="764"/>
      <c r="W685" s="764"/>
      <c r="X685" s="764"/>
      <c r="Y685" s="764"/>
      <c r="Z685" s="764"/>
      <c r="AA685" s="764"/>
      <c r="AB685" s="764"/>
      <c r="AC685" s="764"/>
      <c r="AD685" s="794"/>
      <c r="AE685" s="764"/>
      <c r="AF685" s="764"/>
      <c r="AG685" s="764"/>
      <c r="AH685" s="764"/>
      <c r="AI685" s="764"/>
      <c r="AJ685" s="764"/>
      <c r="AK685" s="764"/>
      <c r="AL685" s="764"/>
      <c r="AM685" s="764"/>
      <c r="AN685" s="764"/>
      <c r="AO685" s="764"/>
      <c r="AP685" s="764"/>
      <c r="AQ685" s="764"/>
      <c r="AR685" s="764"/>
      <c r="AS685" s="764"/>
    </row>
    <row r="686" spans="1:45" ht="13.9">
      <c r="A686" s="764"/>
      <c r="B686" s="764"/>
      <c r="C686" s="764"/>
      <c r="D686" s="764"/>
      <c r="E686" s="764"/>
      <c r="F686" s="764"/>
      <c r="G686" s="764"/>
      <c r="H686" s="764"/>
      <c r="I686" s="764"/>
      <c r="J686" s="764"/>
      <c r="K686" s="764"/>
      <c r="L686" s="764"/>
      <c r="M686" s="764"/>
      <c r="N686" s="773"/>
      <c r="O686" s="764"/>
      <c r="P686" s="764"/>
      <c r="Q686" s="764"/>
      <c r="R686" s="764"/>
      <c r="S686" s="764"/>
      <c r="T686" s="764"/>
      <c r="U686" s="764"/>
      <c r="V686" s="764"/>
      <c r="W686" s="764"/>
      <c r="X686" s="764"/>
      <c r="Y686" s="764"/>
      <c r="Z686" s="764"/>
      <c r="AA686" s="764"/>
      <c r="AB686" s="764"/>
      <c r="AC686" s="764"/>
      <c r="AD686" s="794"/>
      <c r="AE686" s="764"/>
      <c r="AF686" s="764"/>
      <c r="AG686" s="764"/>
      <c r="AH686" s="764"/>
      <c r="AI686" s="764"/>
      <c r="AJ686" s="764"/>
      <c r="AK686" s="764"/>
      <c r="AL686" s="764"/>
      <c r="AM686" s="764"/>
      <c r="AN686" s="764"/>
      <c r="AO686" s="764"/>
      <c r="AP686" s="764"/>
      <c r="AQ686" s="764"/>
      <c r="AR686" s="764"/>
      <c r="AS686" s="764"/>
    </row>
    <row r="687" spans="1:45" ht="13.9">
      <c r="A687" s="764"/>
      <c r="B687" s="764"/>
      <c r="C687" s="764"/>
      <c r="D687" s="764"/>
      <c r="E687" s="764"/>
      <c r="F687" s="764"/>
      <c r="G687" s="764"/>
      <c r="H687" s="764"/>
      <c r="I687" s="764"/>
      <c r="J687" s="764"/>
      <c r="K687" s="764"/>
      <c r="L687" s="764"/>
      <c r="M687" s="764"/>
      <c r="N687" s="773"/>
      <c r="O687" s="764"/>
      <c r="P687" s="764"/>
      <c r="Q687" s="764"/>
      <c r="R687" s="764"/>
      <c r="S687" s="764"/>
      <c r="T687" s="764"/>
      <c r="U687" s="764"/>
      <c r="V687" s="764"/>
      <c r="W687" s="764"/>
      <c r="X687" s="764"/>
      <c r="Y687" s="764"/>
      <c r="Z687" s="764"/>
      <c r="AA687" s="764"/>
      <c r="AB687" s="764"/>
      <c r="AC687" s="764"/>
      <c r="AD687" s="794"/>
      <c r="AE687" s="764"/>
      <c r="AF687" s="764"/>
      <c r="AG687" s="764"/>
      <c r="AH687" s="764"/>
      <c r="AI687" s="764"/>
      <c r="AJ687" s="764"/>
      <c r="AK687" s="764"/>
      <c r="AL687" s="764"/>
      <c r="AM687" s="764"/>
      <c r="AN687" s="764"/>
      <c r="AO687" s="764"/>
      <c r="AP687" s="764"/>
      <c r="AQ687" s="764"/>
      <c r="AR687" s="764"/>
      <c r="AS687" s="764"/>
    </row>
    <row r="688" spans="1:45" ht="13.9">
      <c r="A688" s="764"/>
      <c r="B688" s="764"/>
      <c r="C688" s="764"/>
      <c r="D688" s="764"/>
      <c r="E688" s="764"/>
      <c r="F688" s="764"/>
      <c r="G688" s="764"/>
      <c r="H688" s="764"/>
      <c r="I688" s="764"/>
      <c r="J688" s="764"/>
      <c r="K688" s="764"/>
      <c r="L688" s="764"/>
      <c r="M688" s="764"/>
      <c r="N688" s="773"/>
      <c r="O688" s="764"/>
      <c r="P688" s="764"/>
      <c r="Q688" s="764"/>
      <c r="R688" s="764"/>
      <c r="S688" s="764"/>
      <c r="T688" s="764"/>
      <c r="U688" s="764"/>
      <c r="V688" s="764"/>
      <c r="W688" s="764"/>
      <c r="X688" s="764"/>
      <c r="Y688" s="764"/>
      <c r="Z688" s="764"/>
      <c r="AA688" s="764"/>
      <c r="AB688" s="764"/>
      <c r="AC688" s="764"/>
      <c r="AD688" s="794"/>
      <c r="AE688" s="764"/>
      <c r="AF688" s="764"/>
      <c r="AG688" s="764"/>
      <c r="AH688" s="764"/>
      <c r="AI688" s="764"/>
      <c r="AJ688" s="764"/>
      <c r="AK688" s="764"/>
      <c r="AL688" s="764"/>
      <c r="AM688" s="764"/>
      <c r="AN688" s="764"/>
      <c r="AO688" s="764"/>
      <c r="AP688" s="764"/>
      <c r="AQ688" s="764"/>
      <c r="AR688" s="764"/>
      <c r="AS688" s="764"/>
    </row>
    <row r="689" spans="1:45" ht="13.9">
      <c r="A689" s="764"/>
      <c r="B689" s="764"/>
      <c r="C689" s="764"/>
      <c r="D689" s="764"/>
      <c r="E689" s="764"/>
      <c r="F689" s="764"/>
      <c r="G689" s="764"/>
      <c r="H689" s="764"/>
      <c r="I689" s="764"/>
      <c r="J689" s="764"/>
      <c r="K689" s="764"/>
      <c r="L689" s="764"/>
      <c r="M689" s="764"/>
      <c r="N689" s="773"/>
      <c r="O689" s="764"/>
      <c r="P689" s="764"/>
      <c r="Q689" s="764"/>
      <c r="R689" s="764"/>
      <c r="S689" s="764"/>
      <c r="T689" s="764"/>
      <c r="U689" s="764"/>
      <c r="V689" s="764"/>
      <c r="W689" s="764"/>
      <c r="X689" s="764"/>
      <c r="Y689" s="764"/>
      <c r="Z689" s="764"/>
      <c r="AA689" s="764"/>
      <c r="AB689" s="764"/>
      <c r="AC689" s="764"/>
      <c r="AD689" s="794"/>
      <c r="AE689" s="764"/>
      <c r="AF689" s="764"/>
      <c r="AG689" s="764"/>
      <c r="AH689" s="764"/>
      <c r="AI689" s="764"/>
      <c r="AJ689" s="764"/>
      <c r="AK689" s="764"/>
      <c r="AL689" s="764"/>
      <c r="AM689" s="764"/>
      <c r="AN689" s="764"/>
      <c r="AO689" s="764"/>
      <c r="AP689" s="764"/>
      <c r="AQ689" s="764"/>
      <c r="AR689" s="764"/>
      <c r="AS689" s="764"/>
    </row>
    <row r="690" spans="1:45" ht="13.9">
      <c r="A690" s="764"/>
      <c r="B690" s="764"/>
      <c r="C690" s="764"/>
      <c r="D690" s="764"/>
      <c r="E690" s="764"/>
      <c r="F690" s="764"/>
      <c r="G690" s="764"/>
      <c r="H690" s="764"/>
      <c r="I690" s="764"/>
      <c r="J690" s="764"/>
      <c r="K690" s="764"/>
      <c r="L690" s="764"/>
      <c r="M690" s="764"/>
      <c r="N690" s="773"/>
      <c r="O690" s="764"/>
      <c r="P690" s="764"/>
      <c r="Q690" s="764"/>
      <c r="R690" s="764"/>
      <c r="S690" s="764"/>
      <c r="T690" s="764"/>
      <c r="U690" s="764"/>
      <c r="V690" s="764"/>
      <c r="W690" s="764"/>
      <c r="X690" s="764"/>
      <c r="Y690" s="764"/>
      <c r="Z690" s="764"/>
      <c r="AA690" s="764"/>
      <c r="AB690" s="764"/>
      <c r="AC690" s="764"/>
      <c r="AD690" s="794"/>
      <c r="AE690" s="764"/>
      <c r="AF690" s="764"/>
      <c r="AG690" s="764"/>
      <c r="AH690" s="764"/>
      <c r="AI690" s="764"/>
      <c r="AJ690" s="764"/>
      <c r="AK690" s="764"/>
      <c r="AL690" s="764"/>
      <c r="AM690" s="764"/>
      <c r="AN690" s="764"/>
      <c r="AO690" s="764"/>
      <c r="AP690" s="764"/>
      <c r="AQ690" s="764"/>
      <c r="AR690" s="764"/>
      <c r="AS690" s="764"/>
    </row>
    <row r="691" spans="1:45" ht="13.9">
      <c r="A691" s="764"/>
      <c r="B691" s="764"/>
      <c r="C691" s="764"/>
      <c r="D691" s="764"/>
      <c r="E691" s="764"/>
      <c r="F691" s="764"/>
      <c r="G691" s="764"/>
      <c r="H691" s="764"/>
      <c r="I691" s="764"/>
      <c r="J691" s="764"/>
      <c r="K691" s="764"/>
      <c r="L691" s="764"/>
      <c r="M691" s="764"/>
      <c r="N691" s="773"/>
      <c r="O691" s="764"/>
      <c r="P691" s="764"/>
      <c r="Q691" s="764"/>
      <c r="R691" s="764"/>
      <c r="S691" s="764"/>
      <c r="T691" s="764"/>
      <c r="U691" s="764"/>
      <c r="V691" s="764"/>
      <c r="W691" s="764"/>
      <c r="X691" s="764"/>
      <c r="Y691" s="764"/>
      <c r="Z691" s="764"/>
      <c r="AA691" s="764"/>
      <c r="AB691" s="764"/>
      <c r="AC691" s="764"/>
      <c r="AD691" s="794"/>
      <c r="AE691" s="764"/>
      <c r="AF691" s="764"/>
      <c r="AG691" s="764"/>
      <c r="AH691" s="764"/>
      <c r="AI691" s="764"/>
      <c r="AJ691" s="764"/>
      <c r="AK691" s="764"/>
      <c r="AL691" s="764"/>
      <c r="AM691" s="764"/>
      <c r="AN691" s="764"/>
      <c r="AO691" s="764"/>
      <c r="AP691" s="764"/>
      <c r="AQ691" s="764"/>
      <c r="AR691" s="764"/>
      <c r="AS691" s="764"/>
    </row>
    <row r="692" spans="1:45" ht="13.9">
      <c r="A692" s="764"/>
      <c r="B692" s="764"/>
      <c r="C692" s="764"/>
      <c r="D692" s="764"/>
      <c r="E692" s="764"/>
      <c r="F692" s="764"/>
      <c r="G692" s="764"/>
      <c r="H692" s="764"/>
      <c r="I692" s="764"/>
      <c r="J692" s="764"/>
      <c r="K692" s="764"/>
      <c r="L692" s="764"/>
      <c r="M692" s="764"/>
      <c r="N692" s="773"/>
      <c r="O692" s="764"/>
      <c r="P692" s="764"/>
      <c r="Q692" s="764"/>
      <c r="R692" s="764"/>
      <c r="S692" s="764"/>
      <c r="T692" s="764"/>
      <c r="U692" s="764"/>
      <c r="V692" s="764"/>
      <c r="W692" s="764"/>
      <c r="X692" s="764"/>
      <c r="Y692" s="764"/>
      <c r="Z692" s="764"/>
      <c r="AA692" s="764"/>
      <c r="AB692" s="764"/>
      <c r="AC692" s="764"/>
      <c r="AD692" s="794"/>
      <c r="AE692" s="764"/>
      <c r="AF692" s="764"/>
      <c r="AG692" s="764"/>
      <c r="AH692" s="764"/>
      <c r="AI692" s="764"/>
      <c r="AJ692" s="764"/>
      <c r="AK692" s="764"/>
      <c r="AL692" s="764"/>
      <c r="AM692" s="764"/>
      <c r="AN692" s="764"/>
      <c r="AO692" s="764"/>
      <c r="AP692" s="764"/>
      <c r="AQ692" s="764"/>
      <c r="AR692" s="764"/>
      <c r="AS692" s="764"/>
    </row>
    <row r="693" spans="1:45" ht="13.9">
      <c r="A693" s="764"/>
      <c r="B693" s="764"/>
      <c r="C693" s="764"/>
      <c r="D693" s="764"/>
      <c r="E693" s="764"/>
      <c r="F693" s="764"/>
      <c r="G693" s="764"/>
      <c r="H693" s="764"/>
      <c r="I693" s="764"/>
      <c r="J693" s="764"/>
      <c r="K693" s="764"/>
      <c r="L693" s="764"/>
      <c r="M693" s="764"/>
      <c r="N693" s="773"/>
      <c r="O693" s="764"/>
      <c r="P693" s="764"/>
      <c r="Q693" s="764"/>
      <c r="R693" s="764"/>
      <c r="S693" s="764"/>
      <c r="T693" s="764"/>
      <c r="U693" s="764"/>
      <c r="V693" s="764"/>
      <c r="W693" s="764"/>
      <c r="X693" s="764"/>
      <c r="Y693" s="764"/>
      <c r="Z693" s="764"/>
      <c r="AA693" s="764"/>
      <c r="AB693" s="764"/>
      <c r="AC693" s="764"/>
      <c r="AD693" s="794"/>
      <c r="AE693" s="764"/>
      <c r="AF693" s="764"/>
      <c r="AG693" s="764"/>
      <c r="AH693" s="764"/>
      <c r="AI693" s="764"/>
      <c r="AJ693" s="764"/>
      <c r="AK693" s="764"/>
      <c r="AL693" s="764"/>
      <c r="AM693" s="764"/>
      <c r="AN693" s="764"/>
      <c r="AO693" s="764"/>
      <c r="AP693" s="764"/>
      <c r="AQ693" s="764"/>
      <c r="AR693" s="764"/>
      <c r="AS693" s="764"/>
    </row>
    <row r="694" spans="1:45" ht="13.9">
      <c r="A694" s="764"/>
      <c r="B694" s="764"/>
      <c r="C694" s="764"/>
      <c r="D694" s="764"/>
      <c r="E694" s="764"/>
      <c r="F694" s="764"/>
      <c r="G694" s="764"/>
      <c r="H694" s="764"/>
      <c r="I694" s="764"/>
      <c r="J694" s="764"/>
      <c r="K694" s="764"/>
      <c r="L694" s="764"/>
      <c r="M694" s="764"/>
      <c r="N694" s="773"/>
      <c r="O694" s="764"/>
      <c r="P694" s="764"/>
      <c r="Q694" s="764"/>
      <c r="R694" s="764"/>
      <c r="S694" s="764"/>
      <c r="T694" s="764"/>
      <c r="U694" s="764"/>
      <c r="V694" s="764"/>
      <c r="W694" s="764"/>
      <c r="X694" s="764"/>
      <c r="Y694" s="764"/>
      <c r="Z694" s="764"/>
      <c r="AA694" s="764"/>
      <c r="AB694" s="764"/>
      <c r="AC694" s="764"/>
      <c r="AD694" s="794"/>
      <c r="AE694" s="764"/>
      <c r="AF694" s="764"/>
      <c r="AG694" s="764"/>
      <c r="AH694" s="764"/>
      <c r="AI694" s="764"/>
      <c r="AJ694" s="764"/>
      <c r="AK694" s="764"/>
      <c r="AL694" s="764"/>
      <c r="AM694" s="764"/>
      <c r="AN694" s="764"/>
      <c r="AO694" s="764"/>
      <c r="AP694" s="764"/>
      <c r="AQ694" s="764"/>
      <c r="AR694" s="764"/>
      <c r="AS694" s="764"/>
    </row>
    <row r="695" spans="1:45" ht="13.9">
      <c r="A695" s="764"/>
      <c r="B695" s="764"/>
      <c r="C695" s="764"/>
      <c r="D695" s="764"/>
      <c r="E695" s="764"/>
      <c r="F695" s="764"/>
      <c r="G695" s="764"/>
      <c r="H695" s="764"/>
      <c r="I695" s="764"/>
      <c r="J695" s="764"/>
      <c r="K695" s="764"/>
      <c r="L695" s="764"/>
      <c r="M695" s="764"/>
      <c r="N695" s="773"/>
      <c r="O695" s="764"/>
      <c r="P695" s="764"/>
      <c r="Q695" s="764"/>
      <c r="R695" s="764"/>
      <c r="S695" s="764"/>
      <c r="T695" s="764"/>
      <c r="U695" s="764"/>
      <c r="V695" s="764"/>
      <c r="W695" s="764"/>
      <c r="X695" s="764"/>
      <c r="Y695" s="764"/>
      <c r="Z695" s="764"/>
      <c r="AA695" s="764"/>
      <c r="AB695" s="764"/>
      <c r="AC695" s="764"/>
      <c r="AD695" s="794"/>
      <c r="AE695" s="764"/>
      <c r="AF695" s="764"/>
      <c r="AG695" s="764"/>
      <c r="AH695" s="764"/>
      <c r="AI695" s="764"/>
      <c r="AJ695" s="764"/>
      <c r="AK695" s="764"/>
      <c r="AL695" s="764"/>
      <c r="AM695" s="764"/>
      <c r="AN695" s="764"/>
      <c r="AO695" s="764"/>
      <c r="AP695" s="764"/>
      <c r="AQ695" s="764"/>
      <c r="AR695" s="764"/>
      <c r="AS695" s="764"/>
    </row>
    <row r="696" spans="1:45" ht="13.9">
      <c r="A696" s="764"/>
      <c r="B696" s="764"/>
      <c r="C696" s="764"/>
      <c r="D696" s="764"/>
      <c r="E696" s="764"/>
      <c r="F696" s="764"/>
      <c r="G696" s="764"/>
      <c r="H696" s="764"/>
      <c r="I696" s="764"/>
      <c r="J696" s="764"/>
      <c r="K696" s="764"/>
      <c r="L696" s="764"/>
      <c r="M696" s="764"/>
      <c r="N696" s="773"/>
      <c r="O696" s="764"/>
      <c r="P696" s="764"/>
      <c r="Q696" s="764"/>
      <c r="R696" s="764"/>
      <c r="S696" s="764"/>
      <c r="T696" s="764"/>
      <c r="U696" s="764"/>
      <c r="V696" s="764"/>
      <c r="W696" s="764"/>
      <c r="X696" s="764"/>
      <c r="Y696" s="764"/>
      <c r="Z696" s="764"/>
      <c r="AA696" s="764"/>
      <c r="AB696" s="764"/>
      <c r="AC696" s="764"/>
      <c r="AD696" s="794"/>
      <c r="AE696" s="764"/>
      <c r="AF696" s="764"/>
      <c r="AG696" s="764"/>
      <c r="AH696" s="764"/>
      <c r="AI696" s="764"/>
      <c r="AJ696" s="764"/>
      <c r="AK696" s="764"/>
      <c r="AL696" s="764"/>
      <c r="AM696" s="764"/>
      <c r="AN696" s="764"/>
      <c r="AO696" s="764"/>
      <c r="AP696" s="764"/>
      <c r="AQ696" s="764"/>
      <c r="AR696" s="764"/>
      <c r="AS696" s="764"/>
    </row>
    <row r="697" spans="1:45" ht="13.9">
      <c r="A697" s="764"/>
      <c r="B697" s="764"/>
      <c r="C697" s="764"/>
      <c r="D697" s="764"/>
      <c r="E697" s="764"/>
      <c r="F697" s="764"/>
      <c r="G697" s="764"/>
      <c r="H697" s="764"/>
      <c r="I697" s="764"/>
      <c r="J697" s="764"/>
      <c r="K697" s="764"/>
      <c r="L697" s="764"/>
      <c r="M697" s="764"/>
      <c r="N697" s="773"/>
      <c r="O697" s="764"/>
      <c r="P697" s="764"/>
      <c r="Q697" s="764"/>
      <c r="R697" s="764"/>
      <c r="S697" s="764"/>
      <c r="T697" s="764"/>
      <c r="U697" s="764"/>
      <c r="V697" s="764"/>
      <c r="W697" s="764"/>
      <c r="X697" s="764"/>
      <c r="Y697" s="764"/>
      <c r="Z697" s="764"/>
      <c r="AA697" s="764"/>
      <c r="AB697" s="764"/>
      <c r="AC697" s="764"/>
      <c r="AD697" s="794"/>
      <c r="AE697" s="764"/>
      <c r="AF697" s="764"/>
      <c r="AG697" s="764"/>
      <c r="AH697" s="764"/>
      <c r="AI697" s="764"/>
      <c r="AJ697" s="764"/>
      <c r="AK697" s="764"/>
      <c r="AL697" s="764"/>
      <c r="AM697" s="764"/>
      <c r="AN697" s="764"/>
      <c r="AO697" s="764"/>
      <c r="AP697" s="764"/>
      <c r="AQ697" s="764"/>
      <c r="AR697" s="764"/>
      <c r="AS697" s="764"/>
    </row>
    <row r="698" spans="1:45" ht="13.9">
      <c r="A698" s="764"/>
      <c r="B698" s="764"/>
      <c r="C698" s="764"/>
      <c r="D698" s="764"/>
      <c r="E698" s="764"/>
      <c r="F698" s="764"/>
      <c r="G698" s="764"/>
      <c r="H698" s="764"/>
      <c r="I698" s="764"/>
      <c r="J698" s="764"/>
      <c r="K698" s="764"/>
      <c r="L698" s="764"/>
      <c r="M698" s="764"/>
      <c r="N698" s="773"/>
      <c r="O698" s="764"/>
      <c r="P698" s="764"/>
      <c r="Q698" s="764"/>
      <c r="R698" s="764"/>
      <c r="S698" s="764"/>
      <c r="T698" s="764"/>
      <c r="U698" s="764"/>
      <c r="V698" s="764"/>
      <c r="W698" s="764"/>
      <c r="X698" s="764"/>
      <c r="Y698" s="764"/>
      <c r="Z698" s="764"/>
      <c r="AA698" s="764"/>
      <c r="AB698" s="764"/>
      <c r="AC698" s="764"/>
      <c r="AD698" s="794"/>
      <c r="AE698" s="764"/>
      <c r="AF698" s="764"/>
      <c r="AG698" s="764"/>
      <c r="AH698" s="764"/>
      <c r="AI698" s="764"/>
      <c r="AJ698" s="764"/>
      <c r="AK698" s="764"/>
      <c r="AL698" s="764"/>
      <c r="AM698" s="764"/>
      <c r="AN698" s="764"/>
      <c r="AO698" s="764"/>
      <c r="AP698" s="764"/>
      <c r="AQ698" s="764"/>
      <c r="AR698" s="764"/>
      <c r="AS698" s="764"/>
    </row>
    <row r="699" spans="1:45" ht="13.9">
      <c r="A699" s="764"/>
      <c r="B699" s="764"/>
      <c r="C699" s="764"/>
      <c r="D699" s="764"/>
      <c r="E699" s="764"/>
      <c r="F699" s="764"/>
      <c r="G699" s="764"/>
      <c r="H699" s="764"/>
      <c r="I699" s="764"/>
      <c r="J699" s="764"/>
      <c r="K699" s="764"/>
      <c r="L699" s="764"/>
      <c r="M699" s="764"/>
      <c r="N699" s="773"/>
      <c r="O699" s="764"/>
      <c r="P699" s="764"/>
      <c r="Q699" s="764"/>
      <c r="R699" s="764"/>
      <c r="S699" s="764"/>
      <c r="T699" s="764"/>
      <c r="U699" s="764"/>
      <c r="V699" s="764"/>
      <c r="W699" s="764"/>
      <c r="X699" s="764"/>
      <c r="Y699" s="764"/>
      <c r="Z699" s="764"/>
      <c r="AA699" s="764"/>
      <c r="AB699" s="764"/>
      <c r="AC699" s="764"/>
      <c r="AD699" s="794"/>
      <c r="AE699" s="764"/>
      <c r="AF699" s="764"/>
      <c r="AG699" s="764"/>
      <c r="AH699" s="764"/>
      <c r="AI699" s="764"/>
      <c r="AJ699" s="764"/>
      <c r="AK699" s="764"/>
      <c r="AL699" s="764"/>
      <c r="AM699" s="764"/>
      <c r="AN699" s="764"/>
      <c r="AO699" s="764"/>
      <c r="AP699" s="764"/>
      <c r="AQ699" s="764"/>
      <c r="AR699" s="764"/>
      <c r="AS699" s="764"/>
    </row>
    <row r="700" spans="1:45" ht="13.9">
      <c r="A700" s="764"/>
      <c r="B700" s="764"/>
      <c r="C700" s="764"/>
      <c r="D700" s="764"/>
      <c r="E700" s="764"/>
      <c r="F700" s="764"/>
      <c r="G700" s="764"/>
      <c r="H700" s="764"/>
      <c r="I700" s="764"/>
      <c r="J700" s="764"/>
      <c r="K700" s="764"/>
      <c r="L700" s="764"/>
      <c r="M700" s="764"/>
      <c r="N700" s="773"/>
      <c r="O700" s="764"/>
      <c r="P700" s="764"/>
      <c r="Q700" s="764"/>
      <c r="R700" s="764"/>
      <c r="S700" s="764"/>
      <c r="T700" s="764"/>
      <c r="U700" s="764"/>
      <c r="V700" s="764"/>
      <c r="W700" s="764"/>
      <c r="X700" s="764"/>
      <c r="Y700" s="764"/>
      <c r="Z700" s="764"/>
      <c r="AA700" s="764"/>
      <c r="AB700" s="764"/>
      <c r="AC700" s="764"/>
      <c r="AD700" s="794"/>
      <c r="AE700" s="764"/>
      <c r="AF700" s="764"/>
      <c r="AG700" s="764"/>
      <c r="AH700" s="764"/>
      <c r="AI700" s="764"/>
      <c r="AJ700" s="764"/>
      <c r="AK700" s="764"/>
      <c r="AL700" s="764"/>
      <c r="AM700" s="764"/>
      <c r="AN700" s="764"/>
      <c r="AO700" s="764"/>
      <c r="AP700" s="764"/>
      <c r="AQ700" s="764"/>
      <c r="AR700" s="764"/>
      <c r="AS700" s="764"/>
    </row>
    <row r="701" spans="1:45" ht="13.9">
      <c r="A701" s="764"/>
      <c r="B701" s="764"/>
      <c r="C701" s="764"/>
      <c r="D701" s="764"/>
      <c r="E701" s="764"/>
      <c r="F701" s="764"/>
      <c r="G701" s="764"/>
      <c r="H701" s="764"/>
      <c r="I701" s="764"/>
      <c r="J701" s="764"/>
      <c r="K701" s="764"/>
      <c r="L701" s="764"/>
      <c r="M701" s="764"/>
      <c r="N701" s="773"/>
      <c r="O701" s="764"/>
      <c r="P701" s="764"/>
      <c r="Q701" s="764"/>
      <c r="R701" s="764"/>
      <c r="S701" s="764"/>
      <c r="T701" s="764"/>
      <c r="U701" s="764"/>
      <c r="V701" s="764"/>
      <c r="W701" s="764"/>
      <c r="X701" s="764"/>
      <c r="Y701" s="764"/>
      <c r="Z701" s="764"/>
      <c r="AA701" s="764"/>
      <c r="AB701" s="764"/>
      <c r="AC701" s="764"/>
      <c r="AD701" s="794"/>
      <c r="AE701" s="764"/>
      <c r="AF701" s="764"/>
      <c r="AG701" s="764"/>
      <c r="AH701" s="764"/>
      <c r="AI701" s="764"/>
      <c r="AJ701" s="764"/>
      <c r="AK701" s="764"/>
      <c r="AL701" s="764"/>
      <c r="AM701" s="764"/>
      <c r="AN701" s="764"/>
      <c r="AO701" s="764"/>
      <c r="AP701" s="764"/>
      <c r="AQ701" s="764"/>
      <c r="AR701" s="764"/>
      <c r="AS701" s="764"/>
    </row>
    <row r="702" spans="1:45" ht="13.9">
      <c r="A702" s="764"/>
      <c r="B702" s="764"/>
      <c r="C702" s="764"/>
      <c r="D702" s="764"/>
      <c r="E702" s="764"/>
      <c r="F702" s="764"/>
      <c r="G702" s="764"/>
      <c r="H702" s="764"/>
      <c r="I702" s="764"/>
      <c r="J702" s="764"/>
      <c r="K702" s="764"/>
      <c r="L702" s="764"/>
      <c r="M702" s="764"/>
      <c r="N702" s="773"/>
      <c r="O702" s="764"/>
      <c r="P702" s="764"/>
      <c r="Q702" s="764"/>
      <c r="R702" s="764"/>
      <c r="S702" s="764"/>
      <c r="T702" s="764"/>
      <c r="U702" s="764"/>
      <c r="V702" s="764"/>
      <c r="W702" s="764"/>
      <c r="X702" s="764"/>
      <c r="Y702" s="764"/>
      <c r="Z702" s="764"/>
      <c r="AA702" s="764"/>
      <c r="AB702" s="764"/>
      <c r="AC702" s="764"/>
      <c r="AD702" s="794"/>
      <c r="AE702" s="764"/>
      <c r="AF702" s="764"/>
      <c r="AG702" s="764"/>
      <c r="AH702" s="764"/>
      <c r="AI702" s="764"/>
      <c r="AJ702" s="764"/>
      <c r="AK702" s="764"/>
      <c r="AL702" s="764"/>
      <c r="AM702" s="764"/>
      <c r="AN702" s="764"/>
      <c r="AO702" s="764"/>
      <c r="AP702" s="764"/>
      <c r="AQ702" s="764"/>
      <c r="AR702" s="764"/>
      <c r="AS702" s="764"/>
    </row>
    <row r="703" spans="1:45" ht="13.9">
      <c r="A703" s="764"/>
      <c r="B703" s="764"/>
      <c r="C703" s="764"/>
      <c r="D703" s="764"/>
      <c r="E703" s="764"/>
      <c r="F703" s="764"/>
      <c r="G703" s="764"/>
      <c r="H703" s="764"/>
      <c r="I703" s="764"/>
      <c r="J703" s="764"/>
      <c r="K703" s="764"/>
      <c r="L703" s="764"/>
      <c r="M703" s="764"/>
      <c r="N703" s="773"/>
      <c r="O703" s="764"/>
      <c r="P703" s="764"/>
      <c r="Q703" s="764"/>
      <c r="R703" s="764"/>
      <c r="S703" s="764"/>
      <c r="T703" s="764"/>
      <c r="U703" s="764"/>
      <c r="V703" s="764"/>
      <c r="W703" s="764"/>
      <c r="X703" s="764"/>
      <c r="Y703" s="764"/>
      <c r="Z703" s="764"/>
      <c r="AA703" s="764"/>
      <c r="AB703" s="764"/>
      <c r="AC703" s="764"/>
      <c r="AD703" s="794"/>
      <c r="AE703" s="764"/>
      <c r="AF703" s="764"/>
      <c r="AG703" s="764"/>
      <c r="AH703" s="764"/>
      <c r="AI703" s="764"/>
      <c r="AJ703" s="764"/>
      <c r="AK703" s="764"/>
      <c r="AL703" s="764"/>
      <c r="AM703" s="764"/>
      <c r="AN703" s="764"/>
      <c r="AO703" s="764"/>
      <c r="AP703" s="764"/>
      <c r="AQ703" s="764"/>
      <c r="AR703" s="764"/>
      <c r="AS703" s="764"/>
    </row>
    <row r="704" spans="1:45" ht="13.9">
      <c r="A704" s="764"/>
      <c r="B704" s="764"/>
      <c r="C704" s="764"/>
      <c r="D704" s="764"/>
      <c r="E704" s="764"/>
      <c r="F704" s="764"/>
      <c r="G704" s="764"/>
      <c r="H704" s="764"/>
      <c r="I704" s="764"/>
      <c r="J704" s="764"/>
      <c r="K704" s="764"/>
      <c r="L704" s="764"/>
      <c r="M704" s="764"/>
      <c r="N704" s="773"/>
      <c r="O704" s="764"/>
      <c r="P704" s="764"/>
      <c r="Q704" s="764"/>
      <c r="R704" s="764"/>
      <c r="S704" s="764"/>
      <c r="T704" s="764"/>
      <c r="U704" s="764"/>
      <c r="V704" s="764"/>
      <c r="W704" s="764"/>
      <c r="X704" s="764"/>
      <c r="Y704" s="764"/>
      <c r="Z704" s="764"/>
      <c r="AA704" s="764"/>
      <c r="AB704" s="764"/>
      <c r="AC704" s="764"/>
      <c r="AD704" s="794"/>
      <c r="AE704" s="764"/>
      <c r="AF704" s="764"/>
      <c r="AG704" s="764"/>
      <c r="AH704" s="764"/>
      <c r="AI704" s="764"/>
      <c r="AJ704" s="764"/>
      <c r="AK704" s="764"/>
      <c r="AL704" s="764"/>
      <c r="AM704" s="764"/>
      <c r="AN704" s="764"/>
      <c r="AO704" s="764"/>
      <c r="AP704" s="764"/>
      <c r="AQ704" s="764"/>
      <c r="AR704" s="764"/>
      <c r="AS704" s="764"/>
    </row>
    <row r="705" spans="1:45" ht="13.9">
      <c r="A705" s="764"/>
      <c r="B705" s="764"/>
      <c r="C705" s="764"/>
      <c r="D705" s="764"/>
      <c r="E705" s="764"/>
      <c r="F705" s="764"/>
      <c r="G705" s="764"/>
      <c r="H705" s="764"/>
      <c r="I705" s="764"/>
      <c r="J705" s="764"/>
      <c r="K705" s="764"/>
      <c r="L705" s="764"/>
      <c r="M705" s="764"/>
      <c r="N705" s="773"/>
      <c r="O705" s="764"/>
      <c r="P705" s="764"/>
      <c r="Q705" s="764"/>
      <c r="R705" s="764"/>
      <c r="S705" s="764"/>
      <c r="T705" s="764"/>
      <c r="U705" s="764"/>
      <c r="V705" s="764"/>
      <c r="W705" s="764"/>
      <c r="X705" s="764"/>
      <c r="Y705" s="764"/>
      <c r="Z705" s="764"/>
      <c r="AA705" s="764"/>
      <c r="AB705" s="764"/>
      <c r="AC705" s="764"/>
      <c r="AD705" s="794"/>
      <c r="AE705" s="764"/>
      <c r="AF705" s="764"/>
      <c r="AG705" s="764"/>
      <c r="AH705" s="764"/>
      <c r="AI705" s="764"/>
      <c r="AJ705" s="764"/>
      <c r="AK705" s="764"/>
      <c r="AL705" s="764"/>
      <c r="AM705" s="764"/>
      <c r="AN705" s="764"/>
      <c r="AO705" s="764"/>
      <c r="AP705" s="764"/>
      <c r="AQ705" s="764"/>
      <c r="AR705" s="764"/>
      <c r="AS705" s="764"/>
    </row>
    <row r="706" spans="1:45" ht="13.9">
      <c r="A706" s="764"/>
      <c r="B706" s="764"/>
      <c r="C706" s="764"/>
      <c r="D706" s="764"/>
      <c r="E706" s="764"/>
      <c r="F706" s="764"/>
      <c r="G706" s="764"/>
      <c r="H706" s="764"/>
      <c r="I706" s="764"/>
      <c r="J706" s="764"/>
      <c r="K706" s="764"/>
      <c r="L706" s="764"/>
      <c r="M706" s="764"/>
      <c r="N706" s="773"/>
      <c r="O706" s="764"/>
      <c r="P706" s="764"/>
      <c r="Q706" s="764"/>
      <c r="R706" s="764"/>
      <c r="S706" s="764"/>
      <c r="T706" s="764"/>
      <c r="U706" s="764"/>
      <c r="V706" s="764"/>
      <c r="W706" s="764"/>
      <c r="X706" s="764"/>
      <c r="Y706" s="764"/>
      <c r="Z706" s="764"/>
      <c r="AA706" s="764"/>
      <c r="AB706" s="764"/>
      <c r="AC706" s="764"/>
      <c r="AD706" s="794"/>
      <c r="AE706" s="764"/>
      <c r="AF706" s="764"/>
      <c r="AG706" s="764"/>
      <c r="AH706" s="764"/>
      <c r="AI706" s="764"/>
      <c r="AJ706" s="764"/>
      <c r="AK706" s="764"/>
      <c r="AL706" s="764"/>
      <c r="AM706" s="764"/>
      <c r="AN706" s="764"/>
      <c r="AO706" s="764"/>
      <c r="AP706" s="764"/>
      <c r="AQ706" s="764"/>
      <c r="AR706" s="764"/>
      <c r="AS706" s="764"/>
    </row>
    <row r="707" spans="1:45" ht="13.9">
      <c r="A707" s="764"/>
      <c r="B707" s="764"/>
      <c r="C707" s="764"/>
      <c r="D707" s="764"/>
      <c r="E707" s="764"/>
      <c r="F707" s="764"/>
      <c r="G707" s="764"/>
      <c r="H707" s="764"/>
      <c r="I707" s="764"/>
      <c r="J707" s="764"/>
      <c r="K707" s="764"/>
      <c r="L707" s="764"/>
      <c r="M707" s="764"/>
      <c r="N707" s="773"/>
      <c r="O707" s="764"/>
      <c r="P707" s="764"/>
      <c r="Q707" s="764"/>
      <c r="R707" s="764"/>
      <c r="S707" s="764"/>
      <c r="T707" s="764"/>
      <c r="U707" s="764"/>
      <c r="V707" s="764"/>
      <c r="W707" s="764"/>
      <c r="X707" s="764"/>
      <c r="Y707" s="764"/>
      <c r="Z707" s="764"/>
      <c r="AA707" s="764"/>
      <c r="AB707" s="764"/>
      <c r="AC707" s="764"/>
      <c r="AD707" s="794"/>
      <c r="AE707" s="764"/>
      <c r="AF707" s="764"/>
      <c r="AG707" s="764"/>
      <c r="AH707" s="764"/>
      <c r="AI707" s="764"/>
      <c r="AJ707" s="764"/>
      <c r="AK707" s="764"/>
      <c r="AL707" s="764"/>
      <c r="AM707" s="764"/>
      <c r="AN707" s="764"/>
      <c r="AO707" s="764"/>
      <c r="AP707" s="764"/>
      <c r="AQ707" s="764"/>
      <c r="AR707" s="764"/>
      <c r="AS707" s="764"/>
    </row>
    <row r="708" spans="1:45" ht="13.9">
      <c r="A708" s="764"/>
      <c r="B708" s="764"/>
      <c r="C708" s="764"/>
      <c r="D708" s="764"/>
      <c r="E708" s="764"/>
      <c r="F708" s="764"/>
      <c r="G708" s="764"/>
      <c r="H708" s="764"/>
      <c r="I708" s="764"/>
      <c r="J708" s="764"/>
      <c r="K708" s="764"/>
      <c r="L708" s="764"/>
      <c r="M708" s="764"/>
      <c r="N708" s="773"/>
      <c r="O708" s="764"/>
      <c r="P708" s="764"/>
      <c r="Q708" s="764"/>
      <c r="R708" s="764"/>
      <c r="S708" s="764"/>
      <c r="T708" s="764"/>
      <c r="U708" s="764"/>
      <c r="V708" s="764"/>
      <c r="W708" s="764"/>
      <c r="X708" s="764"/>
      <c r="Y708" s="764"/>
      <c r="Z708" s="764"/>
      <c r="AA708" s="764"/>
      <c r="AB708" s="764"/>
      <c r="AC708" s="764"/>
      <c r="AD708" s="794"/>
      <c r="AE708" s="764"/>
      <c r="AF708" s="764"/>
      <c r="AG708" s="764"/>
      <c r="AH708" s="764"/>
      <c r="AI708" s="764"/>
      <c r="AJ708" s="764"/>
      <c r="AK708" s="764"/>
      <c r="AL708" s="764"/>
      <c r="AM708" s="764"/>
      <c r="AN708" s="764"/>
      <c r="AO708" s="764"/>
      <c r="AP708" s="764"/>
      <c r="AQ708" s="764"/>
      <c r="AR708" s="764"/>
      <c r="AS708" s="764"/>
    </row>
    <row r="709" spans="1:45" ht="13.9">
      <c r="A709" s="764"/>
      <c r="B709" s="764"/>
      <c r="C709" s="764"/>
      <c r="D709" s="764"/>
      <c r="E709" s="764"/>
      <c r="F709" s="764"/>
      <c r="G709" s="764"/>
      <c r="H709" s="764"/>
      <c r="I709" s="764"/>
      <c r="J709" s="764"/>
      <c r="K709" s="764"/>
      <c r="L709" s="764"/>
      <c r="M709" s="764"/>
      <c r="N709" s="773"/>
      <c r="O709" s="764"/>
      <c r="P709" s="764"/>
      <c r="Q709" s="764"/>
      <c r="R709" s="764"/>
      <c r="S709" s="764"/>
      <c r="T709" s="764"/>
      <c r="U709" s="764"/>
      <c r="V709" s="764"/>
      <c r="W709" s="764"/>
      <c r="X709" s="764"/>
      <c r="Y709" s="764"/>
      <c r="Z709" s="764"/>
      <c r="AA709" s="764"/>
      <c r="AB709" s="764"/>
      <c r="AC709" s="764"/>
      <c r="AD709" s="794"/>
      <c r="AE709" s="764"/>
      <c r="AF709" s="764"/>
      <c r="AG709" s="764"/>
      <c r="AH709" s="764"/>
      <c r="AI709" s="764"/>
      <c r="AJ709" s="764"/>
      <c r="AK709" s="764"/>
      <c r="AL709" s="764"/>
      <c r="AM709" s="764"/>
      <c r="AN709" s="764"/>
      <c r="AO709" s="764"/>
      <c r="AP709" s="764"/>
      <c r="AQ709" s="764"/>
      <c r="AR709" s="764"/>
      <c r="AS709" s="764"/>
    </row>
    <row r="710" spans="1:45" ht="13.9">
      <c r="A710" s="764"/>
      <c r="B710" s="764"/>
      <c r="C710" s="764"/>
      <c r="D710" s="764"/>
      <c r="E710" s="764"/>
      <c r="F710" s="764"/>
      <c r="G710" s="764"/>
      <c r="H710" s="764"/>
      <c r="I710" s="764"/>
      <c r="J710" s="764"/>
      <c r="K710" s="764"/>
      <c r="L710" s="764"/>
      <c r="M710" s="764"/>
      <c r="N710" s="773"/>
      <c r="O710" s="764"/>
      <c r="P710" s="764"/>
      <c r="Q710" s="764"/>
      <c r="R710" s="764"/>
      <c r="S710" s="764"/>
      <c r="T710" s="764"/>
      <c r="U710" s="764"/>
      <c r="V710" s="764"/>
      <c r="W710" s="764"/>
      <c r="X710" s="764"/>
      <c r="Y710" s="764"/>
      <c r="Z710" s="764"/>
      <c r="AA710" s="764"/>
      <c r="AB710" s="764"/>
      <c r="AC710" s="764"/>
      <c r="AD710" s="794"/>
      <c r="AE710" s="764"/>
      <c r="AF710" s="764"/>
      <c r="AG710" s="764"/>
      <c r="AH710" s="764"/>
      <c r="AI710" s="764"/>
      <c r="AJ710" s="764"/>
      <c r="AK710" s="764"/>
      <c r="AL710" s="764"/>
      <c r="AM710" s="764"/>
      <c r="AN710" s="764"/>
      <c r="AO710" s="764"/>
      <c r="AP710" s="764"/>
      <c r="AQ710" s="764"/>
      <c r="AR710" s="764"/>
      <c r="AS710" s="764"/>
    </row>
    <row r="711" spans="1:45" ht="13.9">
      <c r="A711" s="764"/>
      <c r="B711" s="764"/>
      <c r="C711" s="764"/>
      <c r="D711" s="764"/>
      <c r="E711" s="764"/>
      <c r="F711" s="764"/>
      <c r="G711" s="764"/>
      <c r="H711" s="764"/>
      <c r="I711" s="764"/>
      <c r="J711" s="764"/>
      <c r="K711" s="764"/>
      <c r="L711" s="764"/>
      <c r="M711" s="764"/>
      <c r="N711" s="773"/>
      <c r="O711" s="764"/>
      <c r="P711" s="764"/>
      <c r="Q711" s="764"/>
      <c r="R711" s="764"/>
      <c r="S711" s="764"/>
      <c r="T711" s="764"/>
      <c r="U711" s="764"/>
      <c r="V711" s="764"/>
      <c r="W711" s="764"/>
      <c r="X711" s="764"/>
      <c r="Y711" s="764"/>
      <c r="Z711" s="764"/>
      <c r="AA711" s="764"/>
      <c r="AB711" s="764"/>
      <c r="AC711" s="764"/>
      <c r="AD711" s="794"/>
      <c r="AE711" s="764"/>
      <c r="AF711" s="764"/>
      <c r="AG711" s="764"/>
      <c r="AH711" s="764"/>
      <c r="AI711" s="764"/>
      <c r="AJ711" s="764"/>
      <c r="AK711" s="764"/>
      <c r="AL711" s="764"/>
      <c r="AM711" s="764"/>
      <c r="AN711" s="764"/>
      <c r="AO711" s="764"/>
      <c r="AP711" s="764"/>
      <c r="AQ711" s="764"/>
      <c r="AR711" s="764"/>
      <c r="AS711" s="764"/>
    </row>
    <row r="712" spans="1:45" ht="13.9">
      <c r="A712" s="764"/>
      <c r="B712" s="764"/>
      <c r="C712" s="764"/>
      <c r="D712" s="764"/>
      <c r="E712" s="764"/>
      <c r="F712" s="764"/>
      <c r="G712" s="764"/>
      <c r="H712" s="764"/>
      <c r="I712" s="764"/>
      <c r="J712" s="764"/>
      <c r="K712" s="764"/>
      <c r="L712" s="764"/>
      <c r="M712" s="764"/>
      <c r="N712" s="773"/>
      <c r="O712" s="764"/>
      <c r="P712" s="764"/>
      <c r="Q712" s="764"/>
      <c r="R712" s="764"/>
      <c r="S712" s="764"/>
      <c r="T712" s="764"/>
      <c r="U712" s="764"/>
      <c r="V712" s="764"/>
      <c r="W712" s="764"/>
      <c r="X712" s="764"/>
      <c r="Y712" s="764"/>
      <c r="Z712" s="764"/>
      <c r="AA712" s="764"/>
      <c r="AB712" s="764"/>
      <c r="AC712" s="764"/>
      <c r="AD712" s="794"/>
      <c r="AE712" s="764"/>
      <c r="AF712" s="764"/>
      <c r="AG712" s="764"/>
      <c r="AH712" s="764"/>
      <c r="AI712" s="764"/>
      <c r="AJ712" s="764"/>
      <c r="AK712" s="764"/>
      <c r="AL712" s="764"/>
      <c r="AM712" s="764"/>
      <c r="AN712" s="764"/>
      <c r="AO712" s="764"/>
      <c r="AP712" s="764"/>
      <c r="AQ712" s="764"/>
      <c r="AR712" s="764"/>
      <c r="AS712" s="764"/>
    </row>
    <row r="713" spans="1:45" ht="13.9">
      <c r="A713" s="764"/>
      <c r="B713" s="764"/>
      <c r="C713" s="764"/>
      <c r="D713" s="764"/>
      <c r="E713" s="764"/>
      <c r="F713" s="764"/>
      <c r="G713" s="764"/>
      <c r="H713" s="764"/>
      <c r="I713" s="764"/>
      <c r="J713" s="764"/>
      <c r="K713" s="764"/>
      <c r="L713" s="764"/>
      <c r="M713" s="764"/>
      <c r="N713" s="773"/>
      <c r="O713" s="764"/>
      <c r="P713" s="764"/>
      <c r="Q713" s="764"/>
      <c r="R713" s="764"/>
      <c r="S713" s="764"/>
      <c r="T713" s="764"/>
      <c r="U713" s="764"/>
      <c r="V713" s="764"/>
      <c r="W713" s="764"/>
      <c r="X713" s="764"/>
      <c r="Y713" s="764"/>
      <c r="Z713" s="764"/>
      <c r="AA713" s="764"/>
      <c r="AB713" s="764"/>
      <c r="AC713" s="764"/>
      <c r="AD713" s="794"/>
      <c r="AE713" s="764"/>
      <c r="AF713" s="764"/>
      <c r="AG713" s="764"/>
      <c r="AH713" s="764"/>
      <c r="AI713" s="764"/>
      <c r="AJ713" s="764"/>
      <c r="AK713" s="764"/>
      <c r="AL713" s="764"/>
      <c r="AM713" s="764"/>
      <c r="AN713" s="764"/>
      <c r="AO713" s="764"/>
      <c r="AP713" s="764"/>
      <c r="AQ713" s="764"/>
      <c r="AR713" s="764"/>
      <c r="AS713" s="764"/>
    </row>
    <row r="714" spans="1:45" ht="13.9">
      <c r="A714" s="764"/>
      <c r="B714" s="764"/>
      <c r="C714" s="764"/>
      <c r="D714" s="764"/>
      <c r="E714" s="764"/>
      <c r="F714" s="764"/>
      <c r="G714" s="764"/>
      <c r="H714" s="764"/>
      <c r="I714" s="764"/>
      <c r="J714" s="764"/>
      <c r="K714" s="764"/>
      <c r="L714" s="764"/>
      <c r="M714" s="764"/>
      <c r="N714" s="773"/>
      <c r="O714" s="764"/>
      <c r="P714" s="764"/>
      <c r="Q714" s="764"/>
      <c r="R714" s="764"/>
      <c r="S714" s="764"/>
      <c r="T714" s="764"/>
      <c r="U714" s="764"/>
      <c r="V714" s="764"/>
      <c r="W714" s="764"/>
      <c r="X714" s="764"/>
      <c r="Y714" s="764"/>
      <c r="Z714" s="764"/>
      <c r="AA714" s="764"/>
      <c r="AB714" s="764"/>
      <c r="AC714" s="764"/>
      <c r="AD714" s="794"/>
      <c r="AE714" s="764"/>
      <c r="AF714" s="764"/>
      <c r="AG714" s="764"/>
      <c r="AH714" s="764"/>
      <c r="AI714" s="764"/>
      <c r="AJ714" s="764"/>
      <c r="AK714" s="764"/>
      <c r="AL714" s="764"/>
      <c r="AM714" s="764"/>
      <c r="AN714" s="764"/>
      <c r="AO714" s="764"/>
      <c r="AP714" s="764"/>
      <c r="AQ714" s="764"/>
      <c r="AR714" s="764"/>
      <c r="AS714" s="764"/>
    </row>
    <row r="715" spans="1:45" ht="13.9">
      <c r="A715" s="764"/>
      <c r="B715" s="764"/>
      <c r="C715" s="764"/>
      <c r="D715" s="764"/>
      <c r="E715" s="764"/>
      <c r="F715" s="764"/>
      <c r="G715" s="764"/>
      <c r="H715" s="764"/>
      <c r="I715" s="764"/>
      <c r="J715" s="764"/>
      <c r="K715" s="764"/>
      <c r="L715" s="764"/>
      <c r="M715" s="764"/>
      <c r="N715" s="773"/>
      <c r="O715" s="764"/>
      <c r="P715" s="764"/>
      <c r="Q715" s="764"/>
      <c r="R715" s="764"/>
      <c r="S715" s="764"/>
      <c r="T715" s="764"/>
      <c r="U715" s="764"/>
      <c r="V715" s="764"/>
      <c r="W715" s="764"/>
      <c r="X715" s="764"/>
      <c r="Y715" s="764"/>
      <c r="Z715" s="764"/>
      <c r="AA715" s="764"/>
      <c r="AB715" s="764"/>
      <c r="AC715" s="764"/>
      <c r="AD715" s="794"/>
      <c r="AE715" s="764"/>
      <c r="AF715" s="764"/>
      <c r="AG715" s="764"/>
      <c r="AH715" s="764"/>
      <c r="AI715" s="764"/>
      <c r="AJ715" s="764"/>
      <c r="AK715" s="764"/>
      <c r="AL715" s="764"/>
      <c r="AM715" s="764"/>
      <c r="AN715" s="764"/>
      <c r="AO715" s="764"/>
      <c r="AP715" s="764"/>
      <c r="AQ715" s="764"/>
      <c r="AR715" s="764"/>
      <c r="AS715" s="764"/>
    </row>
    <row r="716" spans="1:45" ht="13.9">
      <c r="A716" s="764"/>
      <c r="B716" s="764"/>
      <c r="C716" s="764"/>
      <c r="D716" s="764"/>
      <c r="E716" s="764"/>
      <c r="F716" s="764"/>
      <c r="G716" s="764"/>
      <c r="H716" s="764"/>
      <c r="I716" s="764"/>
      <c r="J716" s="764"/>
      <c r="K716" s="764"/>
      <c r="L716" s="764"/>
      <c r="M716" s="764"/>
      <c r="N716" s="773"/>
      <c r="O716" s="764"/>
      <c r="P716" s="764"/>
      <c r="Q716" s="764"/>
      <c r="R716" s="764"/>
      <c r="S716" s="764"/>
      <c r="T716" s="764"/>
      <c r="U716" s="764"/>
      <c r="V716" s="764"/>
      <c r="W716" s="764"/>
      <c r="X716" s="764"/>
      <c r="Y716" s="764"/>
      <c r="Z716" s="764"/>
      <c r="AA716" s="764"/>
      <c r="AB716" s="764"/>
      <c r="AC716" s="764"/>
      <c r="AD716" s="794"/>
      <c r="AE716" s="764"/>
      <c r="AF716" s="764"/>
      <c r="AG716" s="764"/>
      <c r="AH716" s="764"/>
      <c r="AI716" s="764"/>
      <c r="AJ716" s="764"/>
      <c r="AK716" s="764"/>
      <c r="AL716" s="764"/>
      <c r="AM716" s="764"/>
      <c r="AN716" s="764"/>
      <c r="AO716" s="764"/>
      <c r="AP716" s="764"/>
      <c r="AQ716" s="764"/>
      <c r="AR716" s="764"/>
      <c r="AS716" s="764"/>
    </row>
    <row r="717" spans="1:45" ht="13.9">
      <c r="A717" s="764"/>
      <c r="B717" s="764"/>
      <c r="C717" s="764"/>
      <c r="D717" s="764"/>
      <c r="E717" s="764"/>
      <c r="F717" s="764"/>
      <c r="G717" s="764"/>
      <c r="H717" s="764"/>
      <c r="I717" s="764"/>
      <c r="J717" s="764"/>
      <c r="K717" s="764"/>
      <c r="L717" s="764"/>
      <c r="M717" s="764"/>
      <c r="N717" s="773"/>
      <c r="O717" s="764"/>
      <c r="P717" s="764"/>
      <c r="Q717" s="764"/>
      <c r="R717" s="764"/>
      <c r="S717" s="764"/>
      <c r="T717" s="764"/>
      <c r="U717" s="764"/>
      <c r="V717" s="764"/>
      <c r="W717" s="764"/>
      <c r="X717" s="764"/>
      <c r="Y717" s="764"/>
      <c r="Z717" s="764"/>
      <c r="AA717" s="764"/>
      <c r="AB717" s="764"/>
      <c r="AC717" s="764"/>
      <c r="AD717" s="794"/>
      <c r="AE717" s="764"/>
      <c r="AF717" s="764"/>
      <c r="AG717" s="764"/>
      <c r="AH717" s="764"/>
      <c r="AI717" s="764"/>
      <c r="AJ717" s="764"/>
      <c r="AK717" s="764"/>
      <c r="AL717" s="764"/>
      <c r="AM717" s="764"/>
      <c r="AN717" s="764"/>
      <c r="AO717" s="764"/>
      <c r="AP717" s="764"/>
      <c r="AQ717" s="764"/>
      <c r="AR717" s="764"/>
      <c r="AS717" s="764"/>
    </row>
    <row r="718" spans="1:45" ht="13.9">
      <c r="A718" s="764"/>
      <c r="B718" s="764"/>
      <c r="C718" s="764"/>
      <c r="D718" s="764"/>
      <c r="E718" s="764"/>
      <c r="F718" s="764"/>
      <c r="G718" s="764"/>
      <c r="H718" s="764"/>
      <c r="I718" s="764"/>
      <c r="J718" s="764"/>
      <c r="K718" s="764"/>
      <c r="L718" s="764"/>
      <c r="M718" s="764"/>
      <c r="N718" s="773"/>
      <c r="O718" s="764"/>
      <c r="P718" s="764"/>
      <c r="Q718" s="764"/>
      <c r="R718" s="764"/>
      <c r="S718" s="764"/>
      <c r="T718" s="764"/>
      <c r="U718" s="764"/>
      <c r="V718" s="764"/>
      <c r="W718" s="764"/>
      <c r="X718" s="764"/>
      <c r="Y718" s="764"/>
      <c r="Z718" s="764"/>
      <c r="AA718" s="764"/>
      <c r="AB718" s="764"/>
      <c r="AC718" s="764"/>
      <c r="AD718" s="794"/>
      <c r="AE718" s="764"/>
      <c r="AF718" s="764"/>
      <c r="AG718" s="764"/>
      <c r="AH718" s="764"/>
      <c r="AI718" s="764"/>
      <c r="AJ718" s="764"/>
      <c r="AK718" s="764"/>
      <c r="AL718" s="764"/>
      <c r="AM718" s="764"/>
      <c r="AN718" s="764"/>
      <c r="AO718" s="764"/>
      <c r="AP718" s="764"/>
      <c r="AQ718" s="764"/>
      <c r="AR718" s="764"/>
      <c r="AS718" s="764"/>
    </row>
    <row r="719" spans="1:45" ht="13.9">
      <c r="A719" s="764"/>
      <c r="B719" s="764"/>
      <c r="C719" s="764"/>
      <c r="D719" s="764"/>
      <c r="E719" s="764"/>
      <c r="F719" s="764"/>
      <c r="G719" s="764"/>
      <c r="H719" s="764"/>
      <c r="I719" s="764"/>
      <c r="J719" s="764"/>
      <c r="K719" s="764"/>
      <c r="L719" s="764"/>
      <c r="M719" s="764"/>
      <c r="N719" s="773"/>
      <c r="O719" s="764"/>
      <c r="P719" s="764"/>
      <c r="Q719" s="764"/>
      <c r="R719" s="764"/>
      <c r="S719" s="764"/>
      <c r="T719" s="764"/>
      <c r="U719" s="764"/>
      <c r="V719" s="764"/>
      <c r="W719" s="764"/>
      <c r="X719" s="764"/>
      <c r="Y719" s="764"/>
      <c r="Z719" s="764"/>
      <c r="AA719" s="764"/>
      <c r="AB719" s="764"/>
      <c r="AC719" s="764"/>
      <c r="AD719" s="794"/>
      <c r="AE719" s="764"/>
      <c r="AF719" s="764"/>
      <c r="AG719" s="764"/>
      <c r="AH719" s="764"/>
      <c r="AI719" s="764"/>
      <c r="AJ719" s="764"/>
      <c r="AK719" s="764"/>
      <c r="AL719" s="764"/>
      <c r="AM719" s="764"/>
      <c r="AN719" s="764"/>
      <c r="AO719" s="764"/>
      <c r="AP719" s="764"/>
      <c r="AQ719" s="764"/>
      <c r="AR719" s="764"/>
      <c r="AS719" s="764"/>
    </row>
    <row r="720" spans="1:45" ht="13.9">
      <c r="A720" s="764"/>
      <c r="B720" s="764"/>
      <c r="C720" s="764"/>
      <c r="D720" s="764"/>
      <c r="E720" s="764"/>
      <c r="F720" s="764"/>
      <c r="G720" s="764"/>
      <c r="H720" s="764"/>
      <c r="I720" s="764"/>
      <c r="J720" s="764"/>
      <c r="K720" s="764"/>
      <c r="L720" s="764"/>
      <c r="M720" s="764"/>
      <c r="N720" s="773"/>
      <c r="O720" s="764"/>
      <c r="P720" s="764"/>
      <c r="Q720" s="764"/>
      <c r="R720" s="764"/>
      <c r="S720" s="764"/>
      <c r="T720" s="764"/>
      <c r="U720" s="764"/>
      <c r="V720" s="764"/>
      <c r="W720" s="764"/>
      <c r="X720" s="764"/>
      <c r="Y720" s="764"/>
      <c r="Z720" s="764"/>
      <c r="AA720" s="764"/>
      <c r="AB720" s="764"/>
      <c r="AC720" s="764"/>
      <c r="AD720" s="794"/>
      <c r="AE720" s="764"/>
      <c r="AF720" s="764"/>
      <c r="AG720" s="764"/>
      <c r="AH720" s="764"/>
      <c r="AI720" s="764"/>
      <c r="AJ720" s="764"/>
      <c r="AK720" s="764"/>
      <c r="AL720" s="764"/>
      <c r="AM720" s="764"/>
      <c r="AN720" s="764"/>
      <c r="AO720" s="764"/>
      <c r="AP720" s="764"/>
      <c r="AQ720" s="764"/>
      <c r="AR720" s="764"/>
      <c r="AS720" s="764"/>
    </row>
    <row r="721" spans="1:45" ht="13.9">
      <c r="A721" s="764"/>
      <c r="B721" s="764"/>
      <c r="C721" s="764"/>
      <c r="D721" s="764"/>
      <c r="E721" s="764"/>
      <c r="F721" s="764"/>
      <c r="G721" s="764"/>
      <c r="H721" s="764"/>
      <c r="I721" s="764"/>
      <c r="J721" s="764"/>
      <c r="K721" s="764"/>
      <c r="L721" s="764"/>
      <c r="M721" s="764"/>
      <c r="N721" s="773"/>
      <c r="O721" s="764"/>
      <c r="P721" s="764"/>
      <c r="Q721" s="764"/>
      <c r="R721" s="764"/>
      <c r="S721" s="764"/>
      <c r="T721" s="764"/>
      <c r="U721" s="764"/>
      <c r="V721" s="764"/>
      <c r="W721" s="764"/>
      <c r="X721" s="764"/>
      <c r="Y721" s="764"/>
      <c r="Z721" s="764"/>
      <c r="AA721" s="764"/>
      <c r="AB721" s="764"/>
      <c r="AC721" s="764"/>
      <c r="AD721" s="794"/>
      <c r="AE721" s="764"/>
      <c r="AF721" s="764"/>
      <c r="AG721" s="764"/>
      <c r="AH721" s="764"/>
      <c r="AI721" s="764"/>
      <c r="AJ721" s="764"/>
      <c r="AK721" s="764"/>
      <c r="AL721" s="764"/>
      <c r="AM721" s="764"/>
      <c r="AN721" s="764"/>
      <c r="AO721" s="764"/>
      <c r="AP721" s="764"/>
      <c r="AQ721" s="764"/>
      <c r="AR721" s="764"/>
      <c r="AS721" s="764"/>
    </row>
    <row r="722" spans="1:45" ht="13.9">
      <c r="A722" s="764"/>
      <c r="B722" s="764"/>
      <c r="C722" s="764"/>
      <c r="D722" s="764"/>
      <c r="E722" s="764"/>
      <c r="F722" s="764"/>
      <c r="G722" s="764"/>
      <c r="H722" s="764"/>
      <c r="I722" s="764"/>
      <c r="J722" s="764"/>
      <c r="K722" s="764"/>
      <c r="L722" s="764"/>
      <c r="M722" s="764"/>
      <c r="N722" s="773"/>
      <c r="O722" s="764"/>
      <c r="P722" s="764"/>
      <c r="Q722" s="764"/>
      <c r="R722" s="764"/>
      <c r="S722" s="764"/>
      <c r="T722" s="764"/>
      <c r="U722" s="764"/>
      <c r="V722" s="764"/>
      <c r="W722" s="764"/>
      <c r="X722" s="764"/>
      <c r="Y722" s="764"/>
      <c r="Z722" s="764"/>
      <c r="AA722" s="764"/>
      <c r="AB722" s="764"/>
      <c r="AC722" s="764"/>
      <c r="AD722" s="794"/>
      <c r="AE722" s="764"/>
      <c r="AF722" s="764"/>
      <c r="AG722" s="764"/>
      <c r="AH722" s="764"/>
      <c r="AI722" s="764"/>
      <c r="AJ722" s="764"/>
      <c r="AK722" s="764"/>
      <c r="AL722" s="764"/>
      <c r="AM722" s="764"/>
      <c r="AN722" s="764"/>
      <c r="AO722" s="764"/>
      <c r="AP722" s="764"/>
      <c r="AQ722" s="764"/>
      <c r="AR722" s="764"/>
      <c r="AS722" s="764"/>
    </row>
    <row r="723" spans="1:45" ht="13.9">
      <c r="A723" s="764"/>
      <c r="B723" s="764"/>
      <c r="C723" s="764"/>
      <c r="D723" s="764"/>
      <c r="E723" s="764"/>
      <c r="F723" s="764"/>
      <c r="G723" s="764"/>
      <c r="H723" s="764"/>
      <c r="I723" s="764"/>
      <c r="J723" s="764"/>
      <c r="K723" s="764"/>
      <c r="L723" s="764"/>
      <c r="M723" s="764"/>
      <c r="N723" s="773"/>
      <c r="O723" s="764"/>
      <c r="P723" s="764"/>
      <c r="Q723" s="764"/>
      <c r="R723" s="764"/>
      <c r="S723" s="764"/>
      <c r="T723" s="764"/>
      <c r="U723" s="764"/>
      <c r="V723" s="764"/>
      <c r="W723" s="764"/>
      <c r="X723" s="764"/>
      <c r="Y723" s="764"/>
      <c r="Z723" s="764"/>
      <c r="AA723" s="764"/>
      <c r="AB723" s="764"/>
      <c r="AC723" s="764"/>
      <c r="AD723" s="794"/>
      <c r="AE723" s="764"/>
      <c r="AF723" s="764"/>
      <c r="AG723" s="764"/>
      <c r="AH723" s="764"/>
      <c r="AI723" s="764"/>
      <c r="AJ723" s="764"/>
      <c r="AK723" s="764"/>
      <c r="AL723" s="764"/>
      <c r="AM723" s="764"/>
      <c r="AN723" s="764"/>
      <c r="AO723" s="764"/>
      <c r="AP723" s="764"/>
      <c r="AQ723" s="764"/>
      <c r="AR723" s="764"/>
      <c r="AS723" s="764"/>
    </row>
    <row r="724" spans="1:45" ht="13.9">
      <c r="A724" s="764"/>
      <c r="B724" s="764"/>
      <c r="C724" s="764"/>
      <c r="D724" s="764"/>
      <c r="E724" s="764"/>
      <c r="F724" s="764"/>
      <c r="G724" s="764"/>
      <c r="H724" s="764"/>
      <c r="I724" s="764"/>
      <c r="J724" s="764"/>
      <c r="K724" s="764"/>
      <c r="L724" s="764"/>
      <c r="M724" s="764"/>
      <c r="N724" s="773"/>
      <c r="O724" s="764"/>
      <c r="P724" s="764"/>
      <c r="Q724" s="764"/>
      <c r="R724" s="764"/>
      <c r="S724" s="764"/>
      <c r="T724" s="764"/>
      <c r="U724" s="764"/>
      <c r="V724" s="764"/>
      <c r="W724" s="764"/>
      <c r="X724" s="764"/>
      <c r="Y724" s="764"/>
      <c r="Z724" s="764"/>
      <c r="AA724" s="764"/>
      <c r="AB724" s="764"/>
      <c r="AC724" s="764"/>
      <c r="AD724" s="794"/>
      <c r="AE724" s="764"/>
      <c r="AF724" s="764"/>
      <c r="AG724" s="764"/>
      <c r="AH724" s="764"/>
      <c r="AI724" s="764"/>
      <c r="AJ724" s="764"/>
      <c r="AK724" s="764"/>
      <c r="AL724" s="764"/>
      <c r="AM724" s="764"/>
      <c r="AN724" s="764"/>
      <c r="AO724" s="764"/>
      <c r="AP724" s="764"/>
      <c r="AQ724" s="764"/>
      <c r="AR724" s="764"/>
      <c r="AS724" s="764"/>
    </row>
    <row r="725" spans="1:45" ht="13.9">
      <c r="A725" s="764"/>
      <c r="B725" s="764"/>
      <c r="C725" s="764"/>
      <c r="D725" s="764"/>
      <c r="E725" s="764"/>
      <c r="F725" s="764"/>
      <c r="G725" s="764"/>
      <c r="H725" s="764"/>
      <c r="I725" s="764"/>
      <c r="J725" s="764"/>
      <c r="K725" s="764"/>
      <c r="L725" s="764"/>
      <c r="M725" s="764"/>
      <c r="N725" s="773"/>
      <c r="O725" s="764"/>
      <c r="P725" s="764"/>
      <c r="Q725" s="764"/>
      <c r="R725" s="764"/>
      <c r="S725" s="764"/>
      <c r="T725" s="764"/>
      <c r="U725" s="764"/>
      <c r="V725" s="764"/>
      <c r="W725" s="764"/>
      <c r="X725" s="764"/>
      <c r="Y725" s="764"/>
      <c r="Z725" s="764"/>
      <c r="AA725" s="764"/>
      <c r="AB725" s="764"/>
      <c r="AC725" s="764"/>
      <c r="AD725" s="794"/>
      <c r="AE725" s="764"/>
      <c r="AF725" s="764"/>
      <c r="AG725" s="764"/>
      <c r="AH725" s="764"/>
      <c r="AI725" s="764"/>
      <c r="AJ725" s="764"/>
      <c r="AK725" s="764"/>
      <c r="AL725" s="764"/>
      <c r="AM725" s="764"/>
      <c r="AN725" s="764"/>
      <c r="AO725" s="764"/>
      <c r="AP725" s="764"/>
      <c r="AQ725" s="764"/>
      <c r="AR725" s="764"/>
      <c r="AS725" s="764"/>
    </row>
    <row r="726" spans="1:45" ht="13.9">
      <c r="A726" s="764"/>
      <c r="B726" s="764"/>
      <c r="C726" s="764"/>
      <c r="D726" s="764"/>
      <c r="E726" s="764"/>
      <c r="F726" s="764"/>
      <c r="G726" s="764"/>
      <c r="H726" s="764"/>
      <c r="I726" s="764"/>
      <c r="J726" s="764"/>
      <c r="K726" s="764"/>
      <c r="L726" s="764"/>
      <c r="M726" s="764"/>
      <c r="N726" s="773"/>
      <c r="O726" s="764"/>
      <c r="P726" s="764"/>
      <c r="Q726" s="764"/>
      <c r="R726" s="764"/>
      <c r="S726" s="764"/>
      <c r="T726" s="764"/>
      <c r="U726" s="764"/>
      <c r="V726" s="764"/>
      <c r="W726" s="764"/>
      <c r="X726" s="764"/>
      <c r="Y726" s="764"/>
      <c r="Z726" s="764"/>
      <c r="AA726" s="764"/>
      <c r="AB726" s="764"/>
      <c r="AC726" s="764"/>
      <c r="AD726" s="794"/>
      <c r="AE726" s="764"/>
      <c r="AF726" s="764"/>
      <c r="AG726" s="764"/>
      <c r="AH726" s="764"/>
      <c r="AI726" s="764"/>
      <c r="AJ726" s="764"/>
      <c r="AK726" s="764"/>
      <c r="AL726" s="764"/>
      <c r="AM726" s="764"/>
      <c r="AN726" s="764"/>
      <c r="AO726" s="764"/>
      <c r="AP726" s="764"/>
      <c r="AQ726" s="764"/>
      <c r="AR726" s="764"/>
      <c r="AS726" s="764"/>
    </row>
    <row r="727" spans="1:45" ht="13.9">
      <c r="A727" s="764"/>
      <c r="B727" s="764"/>
      <c r="C727" s="764"/>
      <c r="D727" s="764"/>
      <c r="E727" s="764"/>
      <c r="F727" s="764"/>
      <c r="G727" s="764"/>
      <c r="H727" s="764"/>
      <c r="I727" s="764"/>
      <c r="J727" s="764"/>
      <c r="K727" s="764"/>
      <c r="L727" s="764"/>
      <c r="M727" s="764"/>
      <c r="N727" s="773"/>
      <c r="O727" s="764"/>
      <c r="P727" s="764"/>
      <c r="Q727" s="764"/>
      <c r="R727" s="764"/>
      <c r="S727" s="764"/>
      <c r="T727" s="764"/>
      <c r="U727" s="764"/>
      <c r="V727" s="764"/>
      <c r="W727" s="764"/>
      <c r="X727" s="764"/>
      <c r="Y727" s="764"/>
      <c r="Z727" s="764"/>
      <c r="AA727" s="764"/>
      <c r="AB727" s="764"/>
      <c r="AC727" s="764"/>
      <c r="AD727" s="794"/>
      <c r="AE727" s="764"/>
      <c r="AF727" s="764"/>
      <c r="AG727" s="764"/>
      <c r="AH727" s="764"/>
      <c r="AI727" s="764"/>
      <c r="AJ727" s="764"/>
      <c r="AK727" s="764"/>
      <c r="AL727" s="764"/>
      <c r="AM727" s="764"/>
      <c r="AN727" s="764"/>
      <c r="AO727" s="764"/>
      <c r="AP727" s="764"/>
      <c r="AQ727" s="764"/>
      <c r="AR727" s="764"/>
      <c r="AS727" s="764"/>
    </row>
    <row r="728" spans="1:45" ht="13.9">
      <c r="A728" s="764"/>
      <c r="B728" s="764"/>
      <c r="C728" s="764"/>
      <c r="D728" s="764"/>
      <c r="E728" s="764"/>
      <c r="F728" s="764"/>
      <c r="G728" s="764"/>
      <c r="H728" s="764"/>
      <c r="I728" s="764"/>
      <c r="J728" s="764"/>
      <c r="K728" s="764"/>
      <c r="L728" s="764"/>
      <c r="M728" s="764"/>
      <c r="N728" s="773"/>
      <c r="O728" s="764"/>
      <c r="P728" s="764"/>
      <c r="Q728" s="764"/>
      <c r="R728" s="764"/>
      <c r="S728" s="764"/>
      <c r="T728" s="764"/>
      <c r="U728" s="764"/>
      <c r="V728" s="764"/>
      <c r="W728" s="764"/>
      <c r="X728" s="764"/>
      <c r="Y728" s="764"/>
      <c r="Z728" s="764"/>
      <c r="AA728" s="764"/>
      <c r="AB728" s="764"/>
      <c r="AC728" s="764"/>
      <c r="AD728" s="794"/>
      <c r="AE728" s="764"/>
      <c r="AF728" s="764"/>
      <c r="AG728" s="764"/>
      <c r="AH728" s="764"/>
      <c r="AI728" s="764"/>
      <c r="AJ728" s="764"/>
      <c r="AK728" s="764"/>
      <c r="AL728" s="764"/>
      <c r="AM728" s="764"/>
      <c r="AN728" s="764"/>
      <c r="AO728" s="764"/>
      <c r="AP728" s="764"/>
      <c r="AQ728" s="764"/>
      <c r="AR728" s="764"/>
      <c r="AS728" s="764"/>
    </row>
    <row r="729" spans="1:45" ht="13.9">
      <c r="A729" s="764"/>
      <c r="B729" s="764"/>
      <c r="C729" s="764"/>
      <c r="D729" s="764"/>
      <c r="E729" s="764"/>
      <c r="F729" s="764"/>
      <c r="G729" s="764"/>
      <c r="H729" s="764"/>
      <c r="I729" s="764"/>
      <c r="J729" s="764"/>
      <c r="K729" s="764"/>
      <c r="L729" s="764"/>
      <c r="M729" s="764"/>
      <c r="N729" s="773"/>
      <c r="O729" s="764"/>
      <c r="P729" s="764"/>
      <c r="Q729" s="764"/>
      <c r="R729" s="764"/>
      <c r="S729" s="764"/>
      <c r="T729" s="764"/>
      <c r="U729" s="764"/>
      <c r="V729" s="764"/>
      <c r="W729" s="764"/>
      <c r="X729" s="764"/>
      <c r="Y729" s="764"/>
      <c r="Z729" s="764"/>
      <c r="AA729" s="764"/>
      <c r="AB729" s="764"/>
      <c r="AC729" s="764"/>
      <c r="AD729" s="794"/>
      <c r="AE729" s="764"/>
      <c r="AF729" s="764"/>
      <c r="AG729" s="764"/>
      <c r="AH729" s="764"/>
      <c r="AI729" s="764"/>
      <c r="AJ729" s="764"/>
      <c r="AK729" s="764"/>
      <c r="AL729" s="764"/>
      <c r="AM729" s="764"/>
      <c r="AN729" s="764"/>
      <c r="AO729" s="764"/>
      <c r="AP729" s="764"/>
      <c r="AQ729" s="764"/>
      <c r="AR729" s="764"/>
      <c r="AS729" s="764"/>
    </row>
    <row r="730" spans="1:45" ht="13.9">
      <c r="A730" s="764"/>
      <c r="B730" s="764"/>
      <c r="C730" s="764"/>
      <c r="D730" s="764"/>
      <c r="E730" s="764"/>
      <c r="F730" s="764"/>
      <c r="G730" s="764"/>
      <c r="H730" s="764"/>
      <c r="I730" s="764"/>
      <c r="J730" s="764"/>
      <c r="K730" s="764"/>
      <c r="L730" s="764"/>
      <c r="M730" s="764"/>
      <c r="N730" s="773"/>
      <c r="O730" s="764"/>
      <c r="P730" s="764"/>
      <c r="Q730" s="764"/>
      <c r="R730" s="764"/>
      <c r="S730" s="764"/>
      <c r="T730" s="764"/>
      <c r="U730" s="764"/>
      <c r="V730" s="764"/>
      <c r="W730" s="764"/>
      <c r="X730" s="764"/>
      <c r="Y730" s="764"/>
      <c r="Z730" s="764"/>
      <c r="AA730" s="764"/>
      <c r="AB730" s="764"/>
      <c r="AC730" s="764"/>
      <c r="AD730" s="794"/>
      <c r="AE730" s="764"/>
      <c r="AF730" s="764"/>
      <c r="AG730" s="764"/>
      <c r="AH730" s="764"/>
      <c r="AI730" s="764"/>
      <c r="AJ730" s="764"/>
      <c r="AK730" s="764"/>
      <c r="AL730" s="764"/>
      <c r="AM730" s="764"/>
      <c r="AN730" s="764"/>
      <c r="AO730" s="764"/>
      <c r="AP730" s="764"/>
      <c r="AQ730" s="764"/>
      <c r="AR730" s="764"/>
      <c r="AS730" s="764"/>
    </row>
    <row r="731" spans="1:45" ht="13.9">
      <c r="A731" s="764"/>
      <c r="B731" s="764"/>
      <c r="C731" s="764"/>
      <c r="D731" s="764"/>
      <c r="E731" s="764"/>
      <c r="F731" s="764"/>
      <c r="G731" s="764"/>
      <c r="H731" s="764"/>
      <c r="I731" s="764"/>
      <c r="J731" s="764"/>
      <c r="K731" s="764"/>
      <c r="L731" s="764"/>
      <c r="M731" s="764"/>
      <c r="N731" s="773"/>
      <c r="O731" s="764"/>
      <c r="P731" s="764"/>
      <c r="Q731" s="764"/>
      <c r="R731" s="764"/>
      <c r="S731" s="764"/>
      <c r="T731" s="764"/>
      <c r="U731" s="764"/>
      <c r="V731" s="764"/>
      <c r="W731" s="764"/>
      <c r="X731" s="764"/>
      <c r="Y731" s="764"/>
      <c r="Z731" s="764"/>
      <c r="AA731" s="764"/>
      <c r="AB731" s="764"/>
      <c r="AC731" s="764"/>
      <c r="AD731" s="794"/>
      <c r="AE731" s="764"/>
      <c r="AF731" s="764"/>
      <c r="AG731" s="764"/>
      <c r="AH731" s="764"/>
      <c r="AI731" s="764"/>
      <c r="AJ731" s="764"/>
      <c r="AK731" s="764"/>
      <c r="AL731" s="764"/>
      <c r="AM731" s="764"/>
      <c r="AN731" s="764"/>
      <c r="AO731" s="764"/>
      <c r="AP731" s="764"/>
      <c r="AQ731" s="764"/>
      <c r="AR731" s="764"/>
      <c r="AS731" s="764"/>
    </row>
    <row r="732" spans="1:45" ht="13.9">
      <c r="A732" s="764"/>
      <c r="B732" s="764"/>
      <c r="C732" s="764"/>
      <c r="D732" s="764"/>
      <c r="E732" s="764"/>
      <c r="F732" s="764"/>
      <c r="G732" s="764"/>
      <c r="H732" s="764"/>
      <c r="I732" s="764"/>
      <c r="J732" s="764"/>
      <c r="K732" s="764"/>
      <c r="L732" s="764"/>
      <c r="M732" s="764"/>
      <c r="N732" s="773"/>
      <c r="O732" s="764"/>
      <c r="P732" s="764"/>
      <c r="Q732" s="764"/>
      <c r="R732" s="764"/>
      <c r="S732" s="764"/>
      <c r="T732" s="764"/>
      <c r="U732" s="764"/>
      <c r="V732" s="764"/>
      <c r="W732" s="764"/>
      <c r="X732" s="764"/>
      <c r="Y732" s="764"/>
      <c r="Z732" s="764"/>
      <c r="AA732" s="764"/>
      <c r="AB732" s="764"/>
      <c r="AC732" s="764"/>
      <c r="AD732" s="794"/>
      <c r="AE732" s="764"/>
      <c r="AF732" s="764"/>
      <c r="AG732" s="764"/>
      <c r="AH732" s="764"/>
      <c r="AI732" s="764"/>
      <c r="AJ732" s="764"/>
      <c r="AK732" s="764"/>
      <c r="AL732" s="764"/>
      <c r="AM732" s="764"/>
      <c r="AN732" s="764"/>
      <c r="AO732" s="764"/>
      <c r="AP732" s="764"/>
      <c r="AQ732" s="764"/>
      <c r="AR732" s="764"/>
      <c r="AS732" s="764"/>
    </row>
    <row r="733" spans="1:45" ht="13.9">
      <c r="A733" s="764"/>
      <c r="B733" s="764"/>
      <c r="C733" s="764"/>
      <c r="D733" s="764"/>
      <c r="E733" s="764"/>
      <c r="F733" s="764"/>
      <c r="G733" s="764"/>
      <c r="H733" s="764"/>
      <c r="I733" s="764"/>
      <c r="J733" s="764"/>
      <c r="K733" s="764"/>
      <c r="L733" s="764"/>
      <c r="M733" s="764"/>
      <c r="N733" s="773"/>
      <c r="O733" s="764"/>
      <c r="P733" s="764"/>
      <c r="Q733" s="764"/>
      <c r="R733" s="764"/>
      <c r="S733" s="764"/>
      <c r="T733" s="764"/>
      <c r="U733" s="764"/>
      <c r="V733" s="764"/>
      <c r="W733" s="764"/>
      <c r="X733" s="764"/>
      <c r="Y733" s="764"/>
      <c r="Z733" s="764"/>
      <c r="AA733" s="764"/>
      <c r="AB733" s="764"/>
      <c r="AC733" s="764"/>
      <c r="AD733" s="794"/>
      <c r="AE733" s="764"/>
      <c r="AF733" s="764"/>
      <c r="AG733" s="764"/>
      <c r="AH733" s="764"/>
      <c r="AI733" s="764"/>
      <c r="AJ733" s="764"/>
      <c r="AK733" s="764"/>
      <c r="AL733" s="764"/>
      <c r="AM733" s="764"/>
      <c r="AN733" s="764"/>
      <c r="AO733" s="764"/>
      <c r="AP733" s="764"/>
      <c r="AQ733" s="764"/>
      <c r="AR733" s="764"/>
      <c r="AS733" s="764"/>
    </row>
    <row r="734" spans="1:45" ht="13.9">
      <c r="A734" s="764"/>
      <c r="B734" s="764"/>
      <c r="C734" s="764"/>
      <c r="D734" s="764"/>
      <c r="E734" s="764"/>
      <c r="F734" s="764"/>
      <c r="G734" s="764"/>
      <c r="H734" s="764"/>
      <c r="I734" s="764"/>
      <c r="J734" s="764"/>
      <c r="K734" s="764"/>
      <c r="L734" s="764"/>
      <c r="M734" s="764"/>
      <c r="N734" s="773"/>
      <c r="O734" s="764"/>
      <c r="P734" s="764"/>
      <c r="Q734" s="764"/>
      <c r="R734" s="764"/>
      <c r="S734" s="764"/>
      <c r="T734" s="764"/>
      <c r="U734" s="764"/>
      <c r="V734" s="764"/>
      <c r="W734" s="764"/>
      <c r="X734" s="764"/>
      <c r="Y734" s="764"/>
      <c r="Z734" s="764"/>
      <c r="AA734" s="764"/>
      <c r="AB734" s="764"/>
      <c r="AC734" s="764"/>
      <c r="AD734" s="794"/>
      <c r="AE734" s="764"/>
      <c r="AF734" s="764"/>
      <c r="AG734" s="764"/>
      <c r="AH734" s="764"/>
      <c r="AI734" s="764"/>
      <c r="AJ734" s="764"/>
      <c r="AK734" s="764"/>
      <c r="AL734" s="764"/>
      <c r="AM734" s="764"/>
      <c r="AN734" s="764"/>
      <c r="AO734" s="764"/>
      <c r="AP734" s="764"/>
      <c r="AQ734" s="764"/>
      <c r="AR734" s="764"/>
      <c r="AS734" s="764"/>
    </row>
    <row r="735" spans="1:45" ht="13.9">
      <c r="A735" s="764"/>
      <c r="B735" s="764"/>
      <c r="C735" s="764"/>
      <c r="D735" s="764"/>
      <c r="E735" s="764"/>
      <c r="F735" s="764"/>
      <c r="G735" s="764"/>
      <c r="H735" s="764"/>
      <c r="I735" s="764"/>
      <c r="J735" s="764"/>
      <c r="K735" s="764"/>
      <c r="L735" s="764"/>
      <c r="M735" s="764"/>
      <c r="N735" s="773"/>
      <c r="O735" s="764"/>
      <c r="P735" s="764"/>
      <c r="Q735" s="764"/>
      <c r="R735" s="764"/>
      <c r="S735" s="764"/>
      <c r="T735" s="764"/>
      <c r="U735" s="764"/>
      <c r="V735" s="764"/>
      <c r="W735" s="764"/>
      <c r="X735" s="764"/>
      <c r="Y735" s="764"/>
      <c r="Z735" s="764"/>
      <c r="AA735" s="764"/>
      <c r="AB735" s="764"/>
      <c r="AC735" s="764"/>
      <c r="AD735" s="794"/>
      <c r="AE735" s="764"/>
      <c r="AF735" s="764"/>
      <c r="AG735" s="764"/>
      <c r="AH735" s="764"/>
      <c r="AI735" s="764"/>
      <c r="AJ735" s="764"/>
      <c r="AK735" s="764"/>
      <c r="AL735" s="764"/>
      <c r="AM735" s="764"/>
      <c r="AN735" s="764"/>
      <c r="AO735" s="764"/>
      <c r="AP735" s="764"/>
      <c r="AQ735" s="764"/>
      <c r="AR735" s="764"/>
      <c r="AS735" s="764"/>
    </row>
    <row r="736" spans="1:45" ht="13.9">
      <c r="A736" s="764"/>
      <c r="B736" s="764"/>
      <c r="C736" s="764"/>
      <c r="D736" s="764"/>
      <c r="E736" s="764"/>
      <c r="F736" s="764"/>
      <c r="G736" s="764"/>
      <c r="H736" s="764"/>
      <c r="I736" s="764"/>
      <c r="J736" s="764"/>
      <c r="K736" s="764"/>
      <c r="L736" s="764"/>
      <c r="M736" s="764"/>
      <c r="N736" s="773"/>
      <c r="O736" s="764"/>
      <c r="P736" s="764"/>
      <c r="Q736" s="764"/>
      <c r="R736" s="764"/>
      <c r="S736" s="764"/>
      <c r="T736" s="764"/>
      <c r="U736" s="764"/>
      <c r="V736" s="764"/>
      <c r="W736" s="764"/>
      <c r="X736" s="764"/>
      <c r="Y736" s="764"/>
      <c r="Z736" s="764"/>
      <c r="AA736" s="764"/>
      <c r="AB736" s="764"/>
      <c r="AC736" s="764"/>
      <c r="AD736" s="794"/>
      <c r="AE736" s="764"/>
      <c r="AF736" s="764"/>
      <c r="AG736" s="764"/>
      <c r="AH736" s="764"/>
      <c r="AI736" s="764"/>
      <c r="AJ736" s="764"/>
      <c r="AK736" s="764"/>
      <c r="AL736" s="764"/>
      <c r="AM736" s="764"/>
      <c r="AN736" s="764"/>
      <c r="AO736" s="764"/>
      <c r="AP736" s="764"/>
      <c r="AQ736" s="764"/>
      <c r="AR736" s="764"/>
      <c r="AS736" s="764"/>
    </row>
    <row r="737" spans="1:45" ht="13.9">
      <c r="A737" s="764"/>
      <c r="B737" s="764"/>
      <c r="C737" s="764"/>
      <c r="D737" s="764"/>
      <c r="E737" s="764"/>
      <c r="F737" s="764"/>
      <c r="G737" s="764"/>
      <c r="H737" s="764"/>
      <c r="I737" s="764"/>
      <c r="J737" s="764"/>
      <c r="K737" s="764"/>
      <c r="L737" s="764"/>
      <c r="M737" s="764"/>
      <c r="N737" s="773"/>
      <c r="O737" s="764"/>
      <c r="P737" s="764"/>
      <c r="Q737" s="764"/>
      <c r="R737" s="764"/>
      <c r="S737" s="764"/>
      <c r="T737" s="764"/>
      <c r="U737" s="764"/>
      <c r="V737" s="764"/>
      <c r="W737" s="764"/>
      <c r="X737" s="764"/>
      <c r="Y737" s="764"/>
      <c r="Z737" s="764"/>
      <c r="AA737" s="764"/>
      <c r="AB737" s="764"/>
      <c r="AC737" s="764"/>
      <c r="AD737" s="794"/>
      <c r="AE737" s="764"/>
      <c r="AF737" s="764"/>
      <c r="AG737" s="764"/>
      <c r="AH737" s="764"/>
      <c r="AI737" s="764"/>
      <c r="AJ737" s="764"/>
      <c r="AK737" s="764"/>
      <c r="AL737" s="764"/>
      <c r="AM737" s="764"/>
      <c r="AN737" s="764"/>
      <c r="AO737" s="764"/>
      <c r="AP737" s="764"/>
      <c r="AQ737" s="764"/>
      <c r="AR737" s="764"/>
      <c r="AS737" s="764"/>
    </row>
    <row r="738" spans="1:45" ht="13.9">
      <c r="A738" s="764"/>
      <c r="B738" s="764"/>
      <c r="C738" s="764"/>
      <c r="D738" s="764"/>
      <c r="E738" s="764"/>
      <c r="F738" s="764"/>
      <c r="G738" s="764"/>
      <c r="H738" s="764"/>
      <c r="I738" s="764"/>
      <c r="J738" s="764"/>
      <c r="K738" s="764"/>
      <c r="L738" s="764"/>
      <c r="M738" s="764"/>
      <c r="N738" s="773"/>
      <c r="O738" s="764"/>
      <c r="P738" s="764"/>
      <c r="Q738" s="764"/>
      <c r="R738" s="764"/>
      <c r="S738" s="764"/>
      <c r="T738" s="764"/>
      <c r="U738" s="764"/>
      <c r="V738" s="764"/>
      <c r="W738" s="764"/>
      <c r="X738" s="764"/>
      <c r="Y738" s="764"/>
      <c r="Z738" s="764"/>
      <c r="AA738" s="764"/>
      <c r="AB738" s="764"/>
      <c r="AC738" s="764"/>
      <c r="AD738" s="794"/>
      <c r="AE738" s="764"/>
      <c r="AF738" s="764"/>
      <c r="AG738" s="764"/>
      <c r="AH738" s="764"/>
      <c r="AI738" s="764"/>
      <c r="AJ738" s="764"/>
      <c r="AK738" s="764"/>
      <c r="AL738" s="764"/>
      <c r="AM738" s="764"/>
      <c r="AN738" s="764"/>
      <c r="AO738" s="764"/>
      <c r="AP738" s="764"/>
      <c r="AQ738" s="764"/>
      <c r="AR738" s="764"/>
      <c r="AS738" s="764"/>
    </row>
    <row r="739" spans="1:45" ht="13.9">
      <c r="A739" s="764"/>
      <c r="B739" s="764"/>
      <c r="C739" s="764"/>
      <c r="D739" s="764"/>
      <c r="E739" s="764"/>
      <c r="F739" s="764"/>
      <c r="G739" s="764"/>
      <c r="H739" s="764"/>
      <c r="I739" s="764"/>
      <c r="J739" s="764"/>
      <c r="K739" s="764"/>
      <c r="L739" s="764"/>
      <c r="M739" s="764"/>
      <c r="N739" s="773"/>
      <c r="O739" s="764"/>
      <c r="P739" s="764"/>
      <c r="Q739" s="764"/>
      <c r="R739" s="764"/>
      <c r="S739" s="764"/>
      <c r="T739" s="764"/>
      <c r="U739" s="764"/>
      <c r="V739" s="764"/>
      <c r="W739" s="764"/>
      <c r="X739" s="764"/>
      <c r="Y739" s="764"/>
      <c r="Z739" s="764"/>
      <c r="AA739" s="764"/>
      <c r="AB739" s="764"/>
      <c r="AC739" s="764"/>
      <c r="AD739" s="794"/>
      <c r="AE739" s="764"/>
      <c r="AF739" s="764"/>
      <c r="AG739" s="764"/>
      <c r="AH739" s="764"/>
      <c r="AI739" s="764"/>
      <c r="AJ739" s="764"/>
      <c r="AK739" s="764"/>
      <c r="AL739" s="764"/>
      <c r="AM739" s="764"/>
      <c r="AN739" s="764"/>
      <c r="AO739" s="764"/>
      <c r="AP739" s="764"/>
      <c r="AQ739" s="764"/>
      <c r="AR739" s="764"/>
      <c r="AS739" s="764"/>
    </row>
    <row r="740" spans="1:45" ht="13.9">
      <c r="A740" s="764"/>
      <c r="B740" s="764"/>
      <c r="C740" s="764"/>
      <c r="D740" s="764"/>
      <c r="E740" s="764"/>
      <c r="F740" s="764"/>
      <c r="G740" s="764"/>
      <c r="H740" s="764"/>
      <c r="I740" s="764"/>
      <c r="J740" s="764"/>
      <c r="K740" s="764"/>
      <c r="L740" s="764"/>
      <c r="M740" s="764"/>
      <c r="N740" s="773"/>
      <c r="O740" s="764"/>
      <c r="P740" s="764"/>
      <c r="Q740" s="764"/>
      <c r="R740" s="764"/>
      <c r="S740" s="764"/>
      <c r="T740" s="764"/>
      <c r="U740" s="764"/>
      <c r="V740" s="764"/>
      <c r="W740" s="764"/>
      <c r="X740" s="764"/>
      <c r="Y740" s="764"/>
      <c r="Z740" s="764"/>
      <c r="AA740" s="764"/>
      <c r="AB740" s="764"/>
      <c r="AC740" s="764"/>
      <c r="AD740" s="794"/>
      <c r="AE740" s="764"/>
      <c r="AF740" s="764"/>
      <c r="AG740" s="764"/>
      <c r="AH740" s="764"/>
      <c r="AI740" s="764"/>
      <c r="AJ740" s="764"/>
      <c r="AK740" s="764"/>
      <c r="AL740" s="764"/>
      <c r="AM740" s="764"/>
      <c r="AN740" s="764"/>
      <c r="AO740" s="764"/>
      <c r="AP740" s="764"/>
      <c r="AQ740" s="764"/>
      <c r="AR740" s="764"/>
      <c r="AS740" s="764"/>
    </row>
    <row r="741" spans="1:45" ht="13.9">
      <c r="A741" s="764"/>
      <c r="B741" s="764"/>
      <c r="C741" s="764"/>
      <c r="D741" s="764"/>
      <c r="E741" s="764"/>
      <c r="F741" s="764"/>
      <c r="G741" s="764"/>
      <c r="H741" s="764"/>
      <c r="I741" s="764"/>
      <c r="J741" s="764"/>
      <c r="K741" s="764"/>
      <c r="L741" s="764"/>
      <c r="M741" s="764"/>
      <c r="N741" s="773"/>
      <c r="O741" s="764"/>
      <c r="P741" s="764"/>
      <c r="Q741" s="764"/>
      <c r="R741" s="764"/>
      <c r="S741" s="764"/>
      <c r="T741" s="764"/>
      <c r="U741" s="764"/>
      <c r="V741" s="764"/>
      <c r="W741" s="764"/>
      <c r="X741" s="764"/>
      <c r="Y741" s="764"/>
      <c r="Z741" s="764"/>
      <c r="AA741" s="764"/>
      <c r="AB741" s="764"/>
      <c r="AC741" s="764"/>
      <c r="AD741" s="794"/>
      <c r="AE741" s="764"/>
      <c r="AF741" s="764"/>
      <c r="AG741" s="764"/>
      <c r="AH741" s="764"/>
      <c r="AI741" s="764"/>
      <c r="AJ741" s="764"/>
      <c r="AK741" s="764"/>
      <c r="AL741" s="764"/>
      <c r="AM741" s="764"/>
      <c r="AN741" s="764"/>
      <c r="AO741" s="764"/>
      <c r="AP741" s="764"/>
      <c r="AQ741" s="764"/>
      <c r="AR741" s="764"/>
      <c r="AS741" s="764"/>
    </row>
    <row r="742" spans="1:45" ht="13.9">
      <c r="A742" s="764"/>
      <c r="B742" s="764"/>
      <c r="C742" s="764"/>
      <c r="D742" s="764"/>
      <c r="E742" s="764"/>
      <c r="F742" s="764"/>
      <c r="G742" s="764"/>
      <c r="H742" s="764"/>
      <c r="I742" s="764"/>
      <c r="J742" s="764"/>
      <c r="K742" s="764"/>
      <c r="L742" s="764"/>
      <c r="M742" s="764"/>
      <c r="N742" s="773"/>
      <c r="O742" s="764"/>
      <c r="P742" s="764"/>
      <c r="Q742" s="764"/>
      <c r="R742" s="764"/>
      <c r="S742" s="764"/>
      <c r="T742" s="764"/>
      <c r="U742" s="764"/>
      <c r="V742" s="764"/>
      <c r="W742" s="764"/>
      <c r="X742" s="764"/>
      <c r="Y742" s="764"/>
      <c r="Z742" s="764"/>
      <c r="AA742" s="764"/>
      <c r="AB742" s="764"/>
      <c r="AC742" s="764"/>
      <c r="AD742" s="794"/>
      <c r="AE742" s="764"/>
      <c r="AF742" s="764"/>
      <c r="AG742" s="764"/>
      <c r="AH742" s="764"/>
      <c r="AI742" s="764"/>
      <c r="AJ742" s="764"/>
      <c r="AK742" s="764"/>
      <c r="AL742" s="764"/>
      <c r="AM742" s="764"/>
      <c r="AN742" s="764"/>
      <c r="AO742" s="764"/>
      <c r="AP742" s="764"/>
      <c r="AQ742" s="764"/>
      <c r="AR742" s="764"/>
      <c r="AS742" s="764"/>
    </row>
    <row r="743" spans="1:45" ht="13.9">
      <c r="A743" s="764"/>
      <c r="B743" s="764"/>
      <c r="C743" s="764"/>
      <c r="D743" s="764"/>
      <c r="E743" s="764"/>
      <c r="F743" s="764"/>
      <c r="G743" s="764"/>
      <c r="H743" s="764"/>
      <c r="I743" s="764"/>
      <c r="J743" s="764"/>
      <c r="K743" s="764"/>
      <c r="L743" s="764"/>
      <c r="M743" s="764"/>
      <c r="N743" s="773"/>
      <c r="O743" s="764"/>
      <c r="P743" s="764"/>
      <c r="Q743" s="764"/>
      <c r="R743" s="764"/>
      <c r="S743" s="764"/>
      <c r="T743" s="764"/>
      <c r="U743" s="764"/>
      <c r="V743" s="764"/>
      <c r="W743" s="764"/>
      <c r="X743" s="764"/>
      <c r="Y743" s="764"/>
      <c r="Z743" s="764"/>
      <c r="AA743" s="764"/>
      <c r="AB743" s="764"/>
      <c r="AC743" s="764"/>
      <c r="AD743" s="794"/>
      <c r="AE743" s="764"/>
      <c r="AF743" s="764"/>
      <c r="AG743" s="764"/>
      <c r="AH743" s="764"/>
      <c r="AI743" s="764"/>
      <c r="AJ743" s="764"/>
      <c r="AK743" s="764"/>
      <c r="AL743" s="764"/>
      <c r="AM743" s="764"/>
      <c r="AN743" s="764"/>
      <c r="AO743" s="764"/>
      <c r="AP743" s="764"/>
      <c r="AQ743" s="764"/>
      <c r="AR743" s="764"/>
      <c r="AS743" s="764"/>
    </row>
    <row r="744" spans="1:45" ht="13.9">
      <c r="A744" s="764"/>
      <c r="B744" s="764"/>
      <c r="C744" s="764"/>
      <c r="D744" s="764"/>
      <c r="E744" s="764"/>
      <c r="F744" s="764"/>
      <c r="G744" s="764"/>
      <c r="H744" s="764"/>
      <c r="I744" s="764"/>
      <c r="J744" s="764"/>
      <c r="K744" s="764"/>
      <c r="L744" s="764"/>
      <c r="M744" s="764"/>
      <c r="N744" s="773"/>
      <c r="O744" s="764"/>
      <c r="P744" s="764"/>
      <c r="Q744" s="764"/>
      <c r="R744" s="764"/>
      <c r="S744" s="764"/>
      <c r="T744" s="764"/>
      <c r="U744" s="764"/>
      <c r="V744" s="764"/>
      <c r="W744" s="764"/>
      <c r="X744" s="764"/>
      <c r="Y744" s="764"/>
      <c r="Z744" s="764"/>
      <c r="AA744" s="764"/>
      <c r="AB744" s="764"/>
      <c r="AC744" s="764"/>
      <c r="AD744" s="794"/>
      <c r="AE744" s="764"/>
      <c r="AF744" s="764"/>
      <c r="AG744" s="764"/>
      <c r="AH744" s="764"/>
      <c r="AI744" s="764"/>
      <c r="AJ744" s="764"/>
      <c r="AK744" s="764"/>
      <c r="AL744" s="764"/>
      <c r="AM744" s="764"/>
      <c r="AN744" s="764"/>
      <c r="AO744" s="764"/>
      <c r="AP744" s="764"/>
      <c r="AQ744" s="764"/>
      <c r="AR744" s="764"/>
      <c r="AS744" s="764"/>
    </row>
    <row r="745" spans="1:45" ht="13.9">
      <c r="A745" s="764"/>
      <c r="B745" s="764"/>
      <c r="C745" s="764"/>
      <c r="D745" s="764"/>
      <c r="E745" s="764"/>
      <c r="F745" s="764"/>
      <c r="G745" s="764"/>
      <c r="H745" s="764"/>
      <c r="I745" s="764"/>
      <c r="J745" s="764"/>
      <c r="K745" s="764"/>
      <c r="L745" s="764"/>
      <c r="M745" s="764"/>
      <c r="N745" s="773"/>
      <c r="O745" s="764"/>
      <c r="P745" s="764"/>
      <c r="Q745" s="764"/>
      <c r="R745" s="764"/>
      <c r="S745" s="764"/>
      <c r="T745" s="764"/>
      <c r="U745" s="764"/>
      <c r="V745" s="764"/>
      <c r="W745" s="764"/>
      <c r="X745" s="764"/>
      <c r="Y745" s="764"/>
      <c r="Z745" s="764"/>
      <c r="AA745" s="764"/>
      <c r="AB745" s="764"/>
      <c r="AC745" s="764"/>
      <c r="AD745" s="794"/>
      <c r="AE745" s="764"/>
      <c r="AF745" s="764"/>
      <c r="AG745" s="764"/>
      <c r="AH745" s="764"/>
      <c r="AI745" s="764"/>
      <c r="AJ745" s="764"/>
      <c r="AK745" s="764"/>
      <c r="AL745" s="764"/>
      <c r="AM745" s="764"/>
      <c r="AN745" s="764"/>
      <c r="AO745" s="764"/>
      <c r="AP745" s="764"/>
      <c r="AQ745" s="764"/>
      <c r="AR745" s="764"/>
      <c r="AS745" s="764"/>
    </row>
    <row r="746" spans="1:45" ht="13.9">
      <c r="A746" s="764"/>
      <c r="B746" s="764"/>
      <c r="C746" s="764"/>
      <c r="D746" s="764"/>
      <c r="E746" s="764"/>
      <c r="F746" s="764"/>
      <c r="G746" s="764"/>
      <c r="H746" s="764"/>
      <c r="I746" s="764"/>
      <c r="J746" s="764"/>
      <c r="K746" s="764"/>
      <c r="L746" s="764"/>
      <c r="M746" s="764"/>
      <c r="N746" s="773"/>
      <c r="O746" s="764"/>
      <c r="P746" s="764"/>
      <c r="Q746" s="764"/>
      <c r="R746" s="764"/>
      <c r="S746" s="764"/>
      <c r="T746" s="764"/>
      <c r="U746" s="764"/>
      <c r="V746" s="764"/>
      <c r="W746" s="764"/>
      <c r="X746" s="764"/>
      <c r="Y746" s="764"/>
      <c r="Z746" s="764"/>
      <c r="AA746" s="764"/>
      <c r="AB746" s="764"/>
      <c r="AC746" s="764"/>
      <c r="AD746" s="794"/>
      <c r="AE746" s="764"/>
      <c r="AF746" s="764"/>
      <c r="AG746" s="764"/>
      <c r="AH746" s="764"/>
      <c r="AI746" s="764"/>
      <c r="AJ746" s="764"/>
      <c r="AK746" s="764"/>
      <c r="AL746" s="764"/>
      <c r="AM746" s="764"/>
      <c r="AN746" s="764"/>
      <c r="AO746" s="764"/>
      <c r="AP746" s="764"/>
      <c r="AQ746" s="764"/>
      <c r="AR746" s="764"/>
      <c r="AS746" s="764"/>
    </row>
    <row r="747" spans="1:45" ht="13.9">
      <c r="A747" s="764"/>
      <c r="B747" s="764"/>
      <c r="C747" s="764"/>
      <c r="D747" s="764"/>
      <c r="E747" s="764"/>
      <c r="F747" s="764"/>
      <c r="G747" s="764"/>
      <c r="H747" s="764"/>
      <c r="I747" s="764"/>
      <c r="J747" s="764"/>
      <c r="K747" s="764"/>
      <c r="L747" s="764"/>
      <c r="M747" s="764"/>
      <c r="N747" s="773"/>
      <c r="O747" s="764"/>
      <c r="P747" s="764"/>
      <c r="Q747" s="764"/>
      <c r="R747" s="764"/>
      <c r="S747" s="764"/>
      <c r="T747" s="764"/>
      <c r="U747" s="764"/>
      <c r="V747" s="764"/>
      <c r="W747" s="764"/>
      <c r="X747" s="764"/>
      <c r="Y747" s="764"/>
      <c r="Z747" s="764"/>
      <c r="AA747" s="764"/>
      <c r="AB747" s="764"/>
      <c r="AC747" s="764"/>
      <c r="AD747" s="794"/>
      <c r="AE747" s="764"/>
      <c r="AF747" s="764"/>
      <c r="AG747" s="764"/>
      <c r="AH747" s="764"/>
      <c r="AI747" s="764"/>
      <c r="AJ747" s="764"/>
      <c r="AK747" s="764"/>
      <c r="AL747" s="764"/>
      <c r="AM747" s="764"/>
      <c r="AN747" s="764"/>
      <c r="AO747" s="764"/>
      <c r="AP747" s="764"/>
      <c r="AQ747" s="764"/>
      <c r="AR747" s="764"/>
      <c r="AS747" s="764"/>
    </row>
    <row r="748" spans="1:45" ht="13.9">
      <c r="A748" s="764"/>
      <c r="B748" s="764"/>
      <c r="C748" s="764"/>
      <c r="D748" s="764"/>
      <c r="E748" s="764"/>
      <c r="F748" s="764"/>
      <c r="G748" s="764"/>
      <c r="H748" s="764"/>
      <c r="I748" s="764"/>
      <c r="J748" s="764"/>
      <c r="K748" s="764"/>
      <c r="L748" s="764"/>
      <c r="M748" s="764"/>
      <c r="N748" s="773"/>
      <c r="O748" s="764"/>
      <c r="P748" s="764"/>
      <c r="Q748" s="764"/>
      <c r="R748" s="764"/>
      <c r="S748" s="764"/>
      <c r="T748" s="764"/>
      <c r="U748" s="764"/>
      <c r="V748" s="764"/>
      <c r="W748" s="764"/>
      <c r="X748" s="764"/>
      <c r="Y748" s="764"/>
      <c r="Z748" s="764"/>
      <c r="AA748" s="764"/>
      <c r="AB748" s="764"/>
      <c r="AC748" s="764"/>
      <c r="AD748" s="794"/>
      <c r="AE748" s="764"/>
      <c r="AF748" s="764"/>
      <c r="AG748" s="764"/>
      <c r="AH748" s="764"/>
      <c r="AI748" s="764"/>
      <c r="AJ748" s="764"/>
      <c r="AK748" s="764"/>
      <c r="AL748" s="764"/>
      <c r="AM748" s="764"/>
      <c r="AN748" s="764"/>
      <c r="AO748" s="764"/>
      <c r="AP748" s="764"/>
      <c r="AQ748" s="764"/>
      <c r="AR748" s="764"/>
      <c r="AS748" s="764"/>
    </row>
    <row r="749" spans="1:45" ht="13.9">
      <c r="A749" s="764"/>
      <c r="B749" s="764"/>
      <c r="C749" s="764"/>
      <c r="D749" s="764"/>
      <c r="E749" s="764"/>
      <c r="F749" s="764"/>
      <c r="G749" s="764"/>
      <c r="H749" s="764"/>
      <c r="I749" s="764"/>
      <c r="J749" s="764"/>
      <c r="K749" s="764"/>
      <c r="L749" s="764"/>
      <c r="M749" s="764"/>
      <c r="N749" s="773"/>
      <c r="O749" s="764"/>
      <c r="P749" s="764"/>
      <c r="Q749" s="764"/>
      <c r="R749" s="764"/>
      <c r="S749" s="764"/>
      <c r="T749" s="764"/>
      <c r="U749" s="764"/>
      <c r="V749" s="764"/>
      <c r="W749" s="764"/>
      <c r="X749" s="764"/>
      <c r="Y749" s="764"/>
      <c r="Z749" s="764"/>
      <c r="AA749" s="764"/>
      <c r="AB749" s="764"/>
      <c r="AC749" s="764"/>
      <c r="AD749" s="794"/>
      <c r="AE749" s="764"/>
      <c r="AF749" s="764"/>
      <c r="AG749" s="764"/>
      <c r="AH749" s="764"/>
      <c r="AI749" s="764"/>
      <c r="AJ749" s="764"/>
      <c r="AK749" s="764"/>
      <c r="AL749" s="764"/>
      <c r="AM749" s="764"/>
      <c r="AN749" s="764"/>
      <c r="AO749" s="764"/>
      <c r="AP749" s="764"/>
      <c r="AQ749" s="764"/>
      <c r="AR749" s="764"/>
      <c r="AS749" s="764"/>
    </row>
    <row r="750" spans="1:45" ht="13.9">
      <c r="A750" s="764"/>
      <c r="B750" s="764"/>
      <c r="C750" s="764"/>
      <c r="D750" s="764"/>
      <c r="E750" s="764"/>
      <c r="F750" s="764"/>
      <c r="G750" s="764"/>
      <c r="H750" s="764"/>
      <c r="I750" s="764"/>
      <c r="J750" s="764"/>
      <c r="K750" s="764"/>
      <c r="L750" s="764"/>
      <c r="M750" s="764"/>
      <c r="N750" s="773"/>
      <c r="O750" s="764"/>
      <c r="P750" s="764"/>
      <c r="Q750" s="764"/>
      <c r="R750" s="764"/>
      <c r="S750" s="764"/>
      <c r="T750" s="764"/>
      <c r="U750" s="764"/>
      <c r="V750" s="764"/>
      <c r="W750" s="764"/>
      <c r="X750" s="764"/>
      <c r="Y750" s="764"/>
      <c r="Z750" s="764"/>
      <c r="AA750" s="764"/>
      <c r="AB750" s="764"/>
      <c r="AC750" s="764"/>
      <c r="AD750" s="794"/>
      <c r="AE750" s="764"/>
      <c r="AF750" s="764"/>
      <c r="AG750" s="764"/>
      <c r="AH750" s="764"/>
      <c r="AI750" s="764"/>
      <c r="AJ750" s="764"/>
      <c r="AK750" s="764"/>
      <c r="AL750" s="764"/>
      <c r="AM750" s="764"/>
      <c r="AN750" s="764"/>
      <c r="AO750" s="764"/>
      <c r="AP750" s="764"/>
      <c r="AQ750" s="764"/>
      <c r="AR750" s="764"/>
      <c r="AS750" s="764"/>
    </row>
    <row r="751" spans="1:45" ht="13.9">
      <c r="A751" s="764"/>
      <c r="B751" s="764"/>
      <c r="C751" s="764"/>
      <c r="D751" s="764"/>
      <c r="E751" s="764"/>
      <c r="F751" s="764"/>
      <c r="G751" s="764"/>
      <c r="H751" s="764"/>
      <c r="I751" s="764"/>
      <c r="J751" s="764"/>
      <c r="K751" s="764"/>
      <c r="L751" s="764"/>
      <c r="M751" s="764"/>
      <c r="N751" s="773"/>
      <c r="O751" s="764"/>
      <c r="P751" s="764"/>
      <c r="Q751" s="764"/>
      <c r="R751" s="764"/>
      <c r="S751" s="764"/>
      <c r="T751" s="764"/>
      <c r="U751" s="764"/>
      <c r="V751" s="764"/>
      <c r="W751" s="764"/>
      <c r="X751" s="764"/>
      <c r="Y751" s="764"/>
      <c r="Z751" s="764"/>
      <c r="AA751" s="764"/>
      <c r="AB751" s="764"/>
      <c r="AC751" s="764"/>
      <c r="AD751" s="794"/>
      <c r="AE751" s="764"/>
      <c r="AF751" s="764"/>
      <c r="AG751" s="764"/>
      <c r="AH751" s="764"/>
      <c r="AI751" s="764"/>
      <c r="AJ751" s="764"/>
      <c r="AK751" s="764"/>
      <c r="AL751" s="764"/>
      <c r="AM751" s="764"/>
      <c r="AN751" s="764"/>
      <c r="AO751" s="764"/>
      <c r="AP751" s="764"/>
      <c r="AQ751" s="764"/>
      <c r="AR751" s="764"/>
      <c r="AS751" s="764"/>
    </row>
    <row r="752" spans="1:45" ht="13.9">
      <c r="A752" s="764"/>
      <c r="B752" s="764"/>
      <c r="C752" s="764"/>
      <c r="D752" s="764"/>
      <c r="E752" s="764"/>
      <c r="F752" s="764"/>
      <c r="G752" s="764"/>
      <c r="H752" s="764"/>
      <c r="I752" s="764"/>
      <c r="J752" s="764"/>
      <c r="K752" s="764"/>
      <c r="L752" s="764"/>
      <c r="M752" s="764"/>
      <c r="N752" s="773"/>
      <c r="O752" s="764"/>
      <c r="P752" s="764"/>
      <c r="Q752" s="764"/>
      <c r="R752" s="764"/>
      <c r="S752" s="764"/>
      <c r="T752" s="764"/>
      <c r="U752" s="764"/>
      <c r="V752" s="764"/>
      <c r="W752" s="764"/>
      <c r="X752" s="764"/>
      <c r="Y752" s="764"/>
      <c r="Z752" s="764"/>
      <c r="AA752" s="764"/>
      <c r="AB752" s="764"/>
      <c r="AC752" s="764"/>
      <c r="AD752" s="794"/>
      <c r="AE752" s="764"/>
      <c r="AF752" s="764"/>
      <c r="AG752" s="764"/>
      <c r="AH752" s="764"/>
      <c r="AI752" s="764"/>
      <c r="AJ752" s="764"/>
      <c r="AK752" s="764"/>
      <c r="AL752" s="764"/>
      <c r="AM752" s="764"/>
      <c r="AN752" s="764"/>
      <c r="AO752" s="764"/>
      <c r="AP752" s="764"/>
      <c r="AQ752" s="764"/>
      <c r="AR752" s="764"/>
      <c r="AS752" s="764"/>
    </row>
    <row r="753" spans="1:45" ht="13.9">
      <c r="A753" s="764"/>
      <c r="B753" s="764"/>
      <c r="C753" s="764"/>
      <c r="D753" s="764"/>
      <c r="E753" s="764"/>
      <c r="F753" s="764"/>
      <c r="G753" s="764"/>
      <c r="H753" s="764"/>
      <c r="I753" s="764"/>
      <c r="J753" s="764"/>
      <c r="K753" s="764"/>
      <c r="L753" s="764"/>
      <c r="M753" s="764"/>
      <c r="N753" s="773"/>
      <c r="O753" s="764"/>
      <c r="P753" s="764"/>
      <c r="Q753" s="764"/>
      <c r="R753" s="764"/>
      <c r="S753" s="764"/>
      <c r="T753" s="764"/>
      <c r="U753" s="764"/>
      <c r="V753" s="764"/>
      <c r="W753" s="764"/>
      <c r="X753" s="764"/>
      <c r="Y753" s="764"/>
      <c r="Z753" s="764"/>
      <c r="AA753" s="764"/>
      <c r="AB753" s="764"/>
      <c r="AC753" s="764"/>
      <c r="AD753" s="794"/>
      <c r="AE753" s="764"/>
      <c r="AF753" s="764"/>
      <c r="AG753" s="764"/>
      <c r="AH753" s="764"/>
      <c r="AI753" s="764"/>
      <c r="AJ753" s="764"/>
      <c r="AK753" s="764"/>
      <c r="AL753" s="764"/>
      <c r="AM753" s="764"/>
      <c r="AN753" s="764"/>
      <c r="AO753" s="764"/>
      <c r="AP753" s="764"/>
      <c r="AQ753" s="764"/>
      <c r="AR753" s="764"/>
      <c r="AS753" s="764"/>
    </row>
    <row r="754" spans="1:45" ht="13.9">
      <c r="A754" s="764"/>
      <c r="B754" s="764"/>
      <c r="C754" s="764"/>
      <c r="D754" s="764"/>
      <c r="E754" s="764"/>
      <c r="F754" s="764"/>
      <c r="G754" s="764"/>
      <c r="H754" s="764"/>
      <c r="I754" s="764"/>
      <c r="J754" s="764"/>
      <c r="K754" s="764"/>
      <c r="L754" s="764"/>
      <c r="M754" s="764"/>
      <c r="N754" s="773"/>
      <c r="O754" s="764"/>
      <c r="P754" s="764"/>
      <c r="Q754" s="764"/>
      <c r="R754" s="764"/>
      <c r="S754" s="764"/>
      <c r="T754" s="764"/>
      <c r="U754" s="764"/>
      <c r="V754" s="764"/>
      <c r="W754" s="764"/>
      <c r="X754" s="764"/>
      <c r="Y754" s="764"/>
      <c r="Z754" s="764"/>
      <c r="AA754" s="764"/>
      <c r="AB754" s="764"/>
      <c r="AC754" s="764"/>
      <c r="AD754" s="794"/>
      <c r="AE754" s="764"/>
      <c r="AF754" s="764"/>
      <c r="AG754" s="764"/>
      <c r="AH754" s="764"/>
      <c r="AI754" s="764"/>
      <c r="AJ754" s="764"/>
      <c r="AK754" s="764"/>
      <c r="AL754" s="764"/>
      <c r="AM754" s="764"/>
      <c r="AN754" s="764"/>
      <c r="AO754" s="764"/>
      <c r="AP754" s="764"/>
      <c r="AQ754" s="764"/>
      <c r="AR754" s="764"/>
      <c r="AS754" s="764"/>
    </row>
    <row r="755" spans="1:45" ht="13.9">
      <c r="A755" s="764"/>
      <c r="B755" s="764"/>
      <c r="C755" s="764"/>
      <c r="D755" s="764"/>
      <c r="E755" s="764"/>
      <c r="F755" s="764"/>
      <c r="G755" s="764"/>
      <c r="H755" s="764"/>
      <c r="I755" s="764"/>
      <c r="J755" s="764"/>
      <c r="K755" s="764"/>
      <c r="L755" s="764"/>
      <c r="M755" s="764"/>
      <c r="N755" s="773"/>
      <c r="O755" s="764"/>
      <c r="P755" s="764"/>
      <c r="Q755" s="764"/>
      <c r="R755" s="764"/>
      <c r="S755" s="764"/>
      <c r="T755" s="764"/>
      <c r="U755" s="764"/>
      <c r="V755" s="764"/>
      <c r="W755" s="764"/>
      <c r="X755" s="764"/>
      <c r="Y755" s="764"/>
      <c r="Z755" s="764"/>
      <c r="AA755" s="764"/>
      <c r="AB755" s="764"/>
      <c r="AC755" s="764"/>
      <c r="AD755" s="794"/>
      <c r="AE755" s="764"/>
      <c r="AF755" s="764"/>
      <c r="AG755" s="764"/>
      <c r="AH755" s="764"/>
      <c r="AI755" s="764"/>
      <c r="AJ755" s="764"/>
      <c r="AK755" s="764"/>
      <c r="AL755" s="764"/>
      <c r="AM755" s="764"/>
      <c r="AN755" s="764"/>
      <c r="AO755" s="764"/>
      <c r="AP755" s="764"/>
      <c r="AQ755" s="764"/>
      <c r="AR755" s="764"/>
      <c r="AS755" s="764"/>
    </row>
    <row r="756" spans="1:45" ht="13.9">
      <c r="A756" s="764"/>
      <c r="B756" s="764"/>
      <c r="C756" s="764"/>
      <c r="D756" s="764"/>
      <c r="E756" s="764"/>
      <c r="F756" s="764"/>
      <c r="G756" s="764"/>
      <c r="H756" s="764"/>
      <c r="I756" s="764"/>
      <c r="J756" s="764"/>
      <c r="K756" s="764"/>
      <c r="L756" s="764"/>
      <c r="M756" s="764"/>
      <c r="N756" s="773"/>
      <c r="O756" s="764"/>
      <c r="P756" s="764"/>
      <c r="Q756" s="764"/>
      <c r="R756" s="764"/>
      <c r="S756" s="764"/>
      <c r="T756" s="764"/>
      <c r="U756" s="764"/>
      <c r="V756" s="764"/>
      <c r="W756" s="764"/>
      <c r="X756" s="764"/>
      <c r="Y756" s="764"/>
      <c r="Z756" s="764"/>
      <c r="AA756" s="764"/>
      <c r="AB756" s="764"/>
      <c r="AC756" s="764"/>
      <c r="AD756" s="794"/>
      <c r="AE756" s="764"/>
      <c r="AF756" s="764"/>
      <c r="AG756" s="764"/>
      <c r="AH756" s="764"/>
      <c r="AI756" s="764"/>
      <c r="AJ756" s="764"/>
      <c r="AK756" s="764"/>
      <c r="AL756" s="764"/>
      <c r="AM756" s="764"/>
      <c r="AN756" s="764"/>
      <c r="AO756" s="764"/>
      <c r="AP756" s="764"/>
      <c r="AQ756" s="764"/>
      <c r="AR756" s="764"/>
      <c r="AS756" s="764"/>
    </row>
    <row r="757" spans="1:45" ht="13.9">
      <c r="A757" s="764"/>
      <c r="B757" s="764"/>
      <c r="C757" s="764"/>
      <c r="D757" s="764"/>
      <c r="E757" s="764"/>
      <c r="F757" s="764"/>
      <c r="G757" s="764"/>
      <c r="H757" s="764"/>
      <c r="I757" s="764"/>
      <c r="J757" s="764"/>
      <c r="K757" s="764"/>
      <c r="L757" s="764"/>
      <c r="M757" s="764"/>
      <c r="N757" s="773"/>
      <c r="O757" s="764"/>
      <c r="P757" s="764"/>
      <c r="Q757" s="764"/>
      <c r="R757" s="764"/>
      <c r="S757" s="764"/>
      <c r="T757" s="764"/>
      <c r="U757" s="764"/>
      <c r="V757" s="764"/>
      <c r="W757" s="764"/>
      <c r="X757" s="764"/>
      <c r="Y757" s="764"/>
      <c r="Z757" s="764"/>
      <c r="AA757" s="764"/>
      <c r="AB757" s="764"/>
      <c r="AC757" s="764"/>
      <c r="AD757" s="794"/>
      <c r="AE757" s="764"/>
      <c r="AF757" s="764"/>
      <c r="AG757" s="764"/>
      <c r="AH757" s="764"/>
      <c r="AI757" s="764"/>
      <c r="AJ757" s="764"/>
      <c r="AK757" s="764"/>
      <c r="AL757" s="764"/>
      <c r="AM757" s="764"/>
      <c r="AN757" s="764"/>
      <c r="AO757" s="764"/>
      <c r="AP757" s="764"/>
      <c r="AQ757" s="764"/>
      <c r="AR757" s="764"/>
      <c r="AS757" s="764"/>
    </row>
    <row r="758" spans="1:45" ht="13.9">
      <c r="A758" s="764"/>
      <c r="B758" s="764"/>
      <c r="C758" s="764"/>
      <c r="D758" s="764"/>
      <c r="E758" s="764"/>
      <c r="F758" s="764"/>
      <c r="G758" s="764"/>
      <c r="H758" s="764"/>
      <c r="I758" s="764"/>
      <c r="J758" s="764"/>
      <c r="K758" s="764"/>
      <c r="L758" s="764"/>
      <c r="M758" s="764"/>
      <c r="N758" s="773"/>
      <c r="O758" s="764"/>
      <c r="P758" s="764"/>
      <c r="Q758" s="764"/>
      <c r="R758" s="764"/>
      <c r="S758" s="764"/>
      <c r="T758" s="764"/>
      <c r="U758" s="764"/>
      <c r="V758" s="764"/>
      <c r="W758" s="764"/>
      <c r="X758" s="764"/>
      <c r="Y758" s="764"/>
      <c r="Z758" s="764"/>
      <c r="AA758" s="764"/>
      <c r="AB758" s="764"/>
      <c r="AC758" s="764"/>
      <c r="AD758" s="794"/>
      <c r="AE758" s="764"/>
      <c r="AF758" s="764"/>
      <c r="AG758" s="764"/>
      <c r="AH758" s="764"/>
      <c r="AI758" s="764"/>
      <c r="AJ758" s="764"/>
      <c r="AK758" s="764"/>
      <c r="AL758" s="764"/>
      <c r="AM758" s="764"/>
      <c r="AN758" s="764"/>
      <c r="AO758" s="764"/>
      <c r="AP758" s="764"/>
      <c r="AQ758" s="764"/>
      <c r="AR758" s="764"/>
      <c r="AS758" s="764"/>
    </row>
    <row r="759" spans="1:45" ht="13.9">
      <c r="A759" s="764"/>
      <c r="B759" s="764"/>
      <c r="C759" s="764"/>
      <c r="D759" s="764"/>
      <c r="E759" s="764"/>
      <c r="F759" s="764"/>
      <c r="G759" s="764"/>
      <c r="H759" s="764"/>
      <c r="I759" s="764"/>
      <c r="J759" s="764"/>
      <c r="K759" s="764"/>
      <c r="L759" s="764"/>
      <c r="M759" s="764"/>
      <c r="N759" s="773"/>
      <c r="O759" s="764"/>
      <c r="P759" s="764"/>
      <c r="Q759" s="764"/>
      <c r="R759" s="764"/>
      <c r="S759" s="764"/>
      <c r="T759" s="764"/>
      <c r="U759" s="764"/>
      <c r="V759" s="764"/>
      <c r="W759" s="764"/>
      <c r="X759" s="764"/>
      <c r="Y759" s="764"/>
      <c r="Z759" s="764"/>
      <c r="AA759" s="764"/>
      <c r="AB759" s="764"/>
      <c r="AC759" s="764"/>
      <c r="AD759" s="794"/>
      <c r="AE759" s="764"/>
      <c r="AF759" s="764"/>
      <c r="AG759" s="764"/>
      <c r="AH759" s="764"/>
      <c r="AI759" s="764"/>
      <c r="AJ759" s="764"/>
      <c r="AK759" s="764"/>
      <c r="AL759" s="764"/>
      <c r="AM759" s="764"/>
      <c r="AN759" s="764"/>
      <c r="AO759" s="764"/>
      <c r="AP759" s="764"/>
      <c r="AQ759" s="764"/>
      <c r="AR759" s="764"/>
      <c r="AS759" s="764"/>
    </row>
    <row r="760" spans="1:45" ht="13.9">
      <c r="A760" s="764"/>
      <c r="B760" s="764"/>
      <c r="C760" s="764"/>
      <c r="D760" s="764"/>
      <c r="E760" s="764"/>
      <c r="F760" s="764"/>
      <c r="G760" s="764"/>
      <c r="H760" s="764"/>
      <c r="I760" s="764"/>
      <c r="J760" s="764"/>
      <c r="K760" s="764"/>
      <c r="L760" s="764"/>
      <c r="M760" s="764"/>
      <c r="N760" s="773"/>
      <c r="O760" s="764"/>
      <c r="P760" s="764"/>
      <c r="Q760" s="764"/>
      <c r="R760" s="764"/>
      <c r="S760" s="764"/>
      <c r="T760" s="764"/>
      <c r="U760" s="764"/>
      <c r="V760" s="764"/>
      <c r="W760" s="764"/>
      <c r="X760" s="764"/>
      <c r="Y760" s="764"/>
      <c r="Z760" s="764"/>
      <c r="AA760" s="764"/>
      <c r="AB760" s="764"/>
      <c r="AC760" s="764"/>
      <c r="AD760" s="794"/>
      <c r="AE760" s="764"/>
      <c r="AF760" s="764"/>
      <c r="AG760" s="764"/>
      <c r="AH760" s="764"/>
      <c r="AI760" s="764"/>
      <c r="AJ760" s="764"/>
      <c r="AK760" s="764"/>
      <c r="AL760" s="764"/>
      <c r="AM760" s="764"/>
      <c r="AN760" s="764"/>
      <c r="AO760" s="764"/>
      <c r="AP760" s="764"/>
      <c r="AQ760" s="764"/>
      <c r="AR760" s="764"/>
      <c r="AS760" s="764"/>
    </row>
    <row r="761" spans="1:45" ht="13.9">
      <c r="A761" s="764"/>
      <c r="B761" s="764"/>
      <c r="C761" s="764"/>
      <c r="D761" s="764"/>
      <c r="E761" s="764"/>
      <c r="F761" s="764"/>
      <c r="G761" s="764"/>
      <c r="H761" s="764"/>
      <c r="I761" s="764"/>
      <c r="J761" s="764"/>
      <c r="K761" s="764"/>
      <c r="L761" s="764"/>
      <c r="M761" s="764"/>
      <c r="N761" s="773"/>
      <c r="O761" s="764"/>
      <c r="P761" s="764"/>
      <c r="Q761" s="764"/>
      <c r="R761" s="764"/>
      <c r="S761" s="764"/>
      <c r="T761" s="764"/>
      <c r="U761" s="764"/>
      <c r="V761" s="764"/>
      <c r="W761" s="764"/>
      <c r="X761" s="764"/>
      <c r="Y761" s="764"/>
      <c r="Z761" s="764"/>
      <c r="AA761" s="764"/>
      <c r="AB761" s="764"/>
      <c r="AC761" s="764"/>
      <c r="AD761" s="794"/>
      <c r="AE761" s="764"/>
      <c r="AF761" s="764"/>
      <c r="AG761" s="764"/>
      <c r="AH761" s="764"/>
      <c r="AI761" s="764"/>
      <c r="AJ761" s="764"/>
      <c r="AK761" s="764"/>
      <c r="AL761" s="764"/>
      <c r="AM761" s="764"/>
      <c r="AN761" s="764"/>
      <c r="AO761" s="764"/>
      <c r="AP761" s="764"/>
      <c r="AQ761" s="764"/>
      <c r="AR761" s="764"/>
      <c r="AS761" s="764"/>
    </row>
    <row r="762" spans="1:45" ht="13.9">
      <c r="A762" s="764"/>
      <c r="B762" s="764"/>
      <c r="C762" s="764"/>
      <c r="D762" s="764"/>
      <c r="E762" s="764"/>
      <c r="F762" s="764"/>
      <c r="G762" s="764"/>
      <c r="H762" s="764"/>
      <c r="I762" s="764"/>
      <c r="J762" s="764"/>
      <c r="K762" s="764"/>
      <c r="L762" s="764"/>
      <c r="M762" s="764"/>
      <c r="N762" s="773"/>
      <c r="O762" s="764"/>
      <c r="P762" s="764"/>
      <c r="Q762" s="764"/>
      <c r="R762" s="764"/>
      <c r="S762" s="764"/>
      <c r="T762" s="764"/>
      <c r="U762" s="764"/>
      <c r="V762" s="764"/>
      <c r="W762" s="764"/>
      <c r="X762" s="764"/>
      <c r="Y762" s="764"/>
      <c r="Z762" s="764"/>
      <c r="AA762" s="764"/>
      <c r="AB762" s="764"/>
      <c r="AC762" s="764"/>
      <c r="AD762" s="794"/>
      <c r="AE762" s="764"/>
      <c r="AF762" s="764"/>
      <c r="AG762" s="764"/>
      <c r="AH762" s="764"/>
      <c r="AI762" s="764"/>
      <c r="AJ762" s="764"/>
      <c r="AK762" s="764"/>
      <c r="AL762" s="764"/>
      <c r="AM762" s="764"/>
      <c r="AN762" s="764"/>
      <c r="AO762" s="764"/>
      <c r="AP762" s="764"/>
      <c r="AQ762" s="764"/>
      <c r="AR762" s="764"/>
      <c r="AS762" s="764"/>
    </row>
    <row r="763" spans="1:45" ht="13.9">
      <c r="A763" s="764"/>
      <c r="B763" s="764"/>
      <c r="C763" s="764"/>
      <c r="D763" s="764"/>
      <c r="E763" s="764"/>
      <c r="F763" s="764"/>
      <c r="G763" s="764"/>
      <c r="H763" s="764"/>
      <c r="I763" s="764"/>
      <c r="J763" s="764"/>
      <c r="K763" s="764"/>
      <c r="L763" s="764"/>
      <c r="M763" s="764"/>
      <c r="N763" s="773"/>
      <c r="O763" s="764"/>
      <c r="P763" s="764"/>
      <c r="Q763" s="764"/>
      <c r="R763" s="764"/>
      <c r="S763" s="764"/>
      <c r="T763" s="764"/>
      <c r="U763" s="764"/>
      <c r="V763" s="764"/>
      <c r="W763" s="764"/>
      <c r="X763" s="764"/>
      <c r="Y763" s="764"/>
      <c r="Z763" s="764"/>
      <c r="AA763" s="764"/>
      <c r="AB763" s="764"/>
      <c r="AC763" s="764"/>
      <c r="AD763" s="794"/>
      <c r="AE763" s="764"/>
      <c r="AF763" s="764"/>
      <c r="AG763" s="764"/>
      <c r="AH763" s="764"/>
      <c r="AI763" s="764"/>
      <c r="AJ763" s="764"/>
      <c r="AK763" s="764"/>
      <c r="AL763" s="764"/>
      <c r="AM763" s="764"/>
      <c r="AN763" s="764"/>
      <c r="AO763" s="764"/>
      <c r="AP763" s="764"/>
      <c r="AQ763" s="764"/>
      <c r="AR763" s="764"/>
      <c r="AS763" s="764"/>
    </row>
    <row r="764" spans="1:45" ht="13.9">
      <c r="A764" s="764"/>
      <c r="B764" s="764"/>
      <c r="C764" s="764"/>
      <c r="D764" s="764"/>
      <c r="E764" s="764"/>
      <c r="F764" s="764"/>
      <c r="G764" s="764"/>
      <c r="H764" s="764"/>
      <c r="I764" s="764"/>
      <c r="J764" s="764"/>
      <c r="K764" s="764"/>
      <c r="L764" s="764"/>
      <c r="M764" s="764"/>
      <c r="N764" s="773"/>
      <c r="O764" s="764"/>
      <c r="P764" s="764"/>
      <c r="Q764" s="764"/>
      <c r="R764" s="764"/>
      <c r="S764" s="764"/>
      <c r="T764" s="764"/>
      <c r="U764" s="764"/>
      <c r="V764" s="764"/>
      <c r="W764" s="764"/>
      <c r="X764" s="764"/>
      <c r="Y764" s="764"/>
      <c r="Z764" s="764"/>
      <c r="AA764" s="764"/>
      <c r="AB764" s="764"/>
      <c r="AC764" s="764"/>
      <c r="AD764" s="794"/>
      <c r="AE764" s="764"/>
      <c r="AF764" s="764"/>
      <c r="AG764" s="764"/>
      <c r="AH764" s="764"/>
      <c r="AI764" s="764"/>
      <c r="AJ764" s="764"/>
      <c r="AK764" s="764"/>
      <c r="AL764" s="764"/>
      <c r="AM764" s="764"/>
      <c r="AN764" s="764"/>
      <c r="AO764" s="764"/>
      <c r="AP764" s="764"/>
      <c r="AQ764" s="764"/>
      <c r="AR764" s="764"/>
      <c r="AS764" s="764"/>
    </row>
    <row r="765" spans="1:45" ht="13.9">
      <c r="A765" s="764"/>
      <c r="B765" s="764"/>
      <c r="C765" s="764"/>
      <c r="D765" s="764"/>
      <c r="E765" s="764"/>
      <c r="F765" s="764"/>
      <c r="G765" s="764"/>
      <c r="H765" s="764"/>
      <c r="I765" s="764"/>
      <c r="J765" s="764"/>
      <c r="K765" s="764"/>
      <c r="L765" s="764"/>
      <c r="M765" s="764"/>
      <c r="N765" s="773"/>
      <c r="O765" s="764"/>
      <c r="P765" s="764"/>
      <c r="Q765" s="764"/>
      <c r="R765" s="764"/>
      <c r="S765" s="764"/>
      <c r="T765" s="764"/>
      <c r="U765" s="764"/>
      <c r="V765" s="764"/>
      <c r="W765" s="764"/>
      <c r="X765" s="764"/>
      <c r="Y765" s="764"/>
      <c r="Z765" s="764"/>
      <c r="AA765" s="764"/>
      <c r="AB765" s="764"/>
      <c r="AC765" s="764"/>
      <c r="AD765" s="794"/>
      <c r="AE765" s="764"/>
      <c r="AF765" s="764"/>
      <c r="AG765" s="764"/>
      <c r="AH765" s="764"/>
      <c r="AI765" s="764"/>
      <c r="AJ765" s="764"/>
      <c r="AK765" s="764"/>
      <c r="AL765" s="764"/>
      <c r="AM765" s="764"/>
      <c r="AN765" s="764"/>
      <c r="AO765" s="764"/>
      <c r="AP765" s="764"/>
      <c r="AQ765" s="764"/>
      <c r="AR765" s="764"/>
      <c r="AS765" s="764"/>
    </row>
    <row r="766" spans="1:45" ht="13.9">
      <c r="A766" s="764"/>
      <c r="B766" s="764"/>
      <c r="C766" s="764"/>
      <c r="D766" s="764"/>
      <c r="E766" s="764"/>
      <c r="F766" s="764"/>
      <c r="G766" s="764"/>
      <c r="H766" s="764"/>
      <c r="I766" s="764"/>
      <c r="J766" s="764"/>
      <c r="K766" s="764"/>
      <c r="L766" s="764"/>
      <c r="M766" s="764"/>
      <c r="N766" s="773"/>
      <c r="O766" s="764"/>
      <c r="P766" s="764"/>
      <c r="Q766" s="764"/>
      <c r="R766" s="764"/>
      <c r="S766" s="764"/>
      <c r="T766" s="764"/>
      <c r="U766" s="764"/>
      <c r="V766" s="764"/>
      <c r="W766" s="764"/>
      <c r="X766" s="764"/>
      <c r="Y766" s="764"/>
      <c r="Z766" s="764"/>
      <c r="AA766" s="764"/>
      <c r="AB766" s="764"/>
      <c r="AC766" s="764"/>
      <c r="AD766" s="794"/>
      <c r="AE766" s="764"/>
      <c r="AF766" s="764"/>
      <c r="AG766" s="764"/>
      <c r="AH766" s="764"/>
      <c r="AI766" s="764"/>
      <c r="AJ766" s="764"/>
      <c r="AK766" s="764"/>
      <c r="AL766" s="764"/>
      <c r="AM766" s="764"/>
      <c r="AN766" s="764"/>
      <c r="AO766" s="764"/>
      <c r="AP766" s="764"/>
      <c r="AQ766" s="764"/>
      <c r="AR766" s="764"/>
      <c r="AS766" s="764"/>
    </row>
    <row r="767" spans="1:45" ht="13.9">
      <c r="A767" s="764"/>
      <c r="B767" s="764"/>
      <c r="C767" s="764"/>
      <c r="D767" s="764"/>
      <c r="E767" s="764"/>
      <c r="F767" s="764"/>
      <c r="G767" s="764"/>
      <c r="H767" s="764"/>
      <c r="I767" s="764"/>
      <c r="J767" s="764"/>
      <c r="K767" s="764"/>
      <c r="L767" s="764"/>
      <c r="M767" s="764"/>
      <c r="N767" s="773"/>
      <c r="O767" s="764"/>
      <c r="P767" s="764"/>
      <c r="Q767" s="764"/>
      <c r="R767" s="764"/>
      <c r="S767" s="764"/>
      <c r="T767" s="764"/>
      <c r="U767" s="764"/>
      <c r="V767" s="764"/>
      <c r="W767" s="764"/>
      <c r="X767" s="764"/>
      <c r="Y767" s="764"/>
      <c r="Z767" s="764"/>
      <c r="AA767" s="764"/>
      <c r="AB767" s="764"/>
      <c r="AC767" s="764"/>
      <c r="AD767" s="794"/>
      <c r="AE767" s="764"/>
      <c r="AF767" s="764"/>
      <c r="AG767" s="764"/>
      <c r="AH767" s="764"/>
      <c r="AI767" s="764"/>
      <c r="AJ767" s="764"/>
      <c r="AK767" s="764"/>
      <c r="AL767" s="764"/>
      <c r="AM767" s="764"/>
      <c r="AN767" s="764"/>
      <c r="AO767" s="764"/>
      <c r="AP767" s="764"/>
      <c r="AQ767" s="764"/>
      <c r="AR767" s="764"/>
      <c r="AS767" s="764"/>
    </row>
    <row r="768" spans="1:45" ht="13.9">
      <c r="A768" s="764"/>
      <c r="B768" s="764"/>
      <c r="C768" s="764"/>
      <c r="D768" s="764"/>
      <c r="E768" s="764"/>
      <c r="F768" s="764"/>
      <c r="G768" s="764"/>
      <c r="H768" s="764"/>
      <c r="I768" s="764"/>
      <c r="J768" s="764"/>
      <c r="K768" s="764"/>
      <c r="L768" s="764"/>
      <c r="M768" s="764"/>
      <c r="N768" s="773"/>
      <c r="O768" s="764"/>
      <c r="P768" s="764"/>
      <c r="Q768" s="764"/>
      <c r="R768" s="764"/>
      <c r="S768" s="764"/>
      <c r="T768" s="764"/>
      <c r="U768" s="764"/>
      <c r="V768" s="764"/>
      <c r="W768" s="764"/>
      <c r="X768" s="764"/>
      <c r="Y768" s="764"/>
      <c r="Z768" s="764"/>
      <c r="AA768" s="764"/>
      <c r="AB768" s="764"/>
      <c r="AC768" s="764"/>
      <c r="AD768" s="794"/>
      <c r="AE768" s="764"/>
      <c r="AF768" s="764"/>
      <c r="AG768" s="764"/>
      <c r="AH768" s="764"/>
      <c r="AI768" s="764"/>
      <c r="AJ768" s="764"/>
      <c r="AK768" s="764"/>
      <c r="AL768" s="764"/>
      <c r="AM768" s="764"/>
      <c r="AN768" s="764"/>
      <c r="AO768" s="764"/>
      <c r="AP768" s="764"/>
      <c r="AQ768" s="764"/>
      <c r="AR768" s="764"/>
      <c r="AS768" s="764"/>
    </row>
    <row r="769" spans="1:45" ht="13.9">
      <c r="A769" s="764"/>
      <c r="B769" s="764"/>
      <c r="C769" s="764"/>
      <c r="D769" s="764"/>
      <c r="E769" s="764"/>
      <c r="F769" s="764"/>
      <c r="G769" s="764"/>
      <c r="H769" s="764"/>
      <c r="I769" s="764"/>
      <c r="J769" s="764"/>
      <c r="K769" s="764"/>
      <c r="L769" s="764"/>
      <c r="M769" s="764"/>
      <c r="N769" s="773"/>
      <c r="O769" s="764"/>
      <c r="P769" s="764"/>
      <c r="Q769" s="764"/>
      <c r="R769" s="764"/>
      <c r="S769" s="764"/>
      <c r="T769" s="764"/>
      <c r="U769" s="764"/>
      <c r="V769" s="764"/>
      <c r="W769" s="764"/>
      <c r="X769" s="764"/>
      <c r="Y769" s="764"/>
      <c r="Z769" s="764"/>
      <c r="AA769" s="764"/>
      <c r="AB769" s="764"/>
      <c r="AC769" s="764"/>
      <c r="AD769" s="794"/>
      <c r="AE769" s="764"/>
      <c r="AF769" s="764"/>
      <c r="AG769" s="764"/>
      <c r="AH769" s="764"/>
      <c r="AI769" s="764"/>
      <c r="AJ769" s="764"/>
      <c r="AK769" s="764"/>
      <c r="AL769" s="764"/>
      <c r="AM769" s="764"/>
      <c r="AN769" s="764"/>
      <c r="AO769" s="764"/>
      <c r="AP769" s="764"/>
      <c r="AQ769" s="764"/>
      <c r="AR769" s="764"/>
      <c r="AS769" s="764"/>
    </row>
    <row r="770" spans="1:45" ht="13.9">
      <c r="A770" s="764"/>
      <c r="B770" s="764"/>
      <c r="C770" s="764"/>
      <c r="D770" s="764"/>
      <c r="E770" s="764"/>
      <c r="F770" s="764"/>
      <c r="G770" s="764"/>
      <c r="H770" s="764"/>
      <c r="I770" s="764"/>
      <c r="J770" s="764"/>
      <c r="K770" s="764"/>
      <c r="L770" s="764"/>
      <c r="M770" s="764"/>
      <c r="N770" s="773"/>
      <c r="O770" s="764"/>
      <c r="P770" s="764"/>
      <c r="Q770" s="764"/>
      <c r="R770" s="764"/>
      <c r="S770" s="764"/>
      <c r="T770" s="764"/>
      <c r="U770" s="764"/>
      <c r="V770" s="764"/>
      <c r="W770" s="764"/>
      <c r="X770" s="764"/>
      <c r="Y770" s="764"/>
      <c r="Z770" s="764"/>
      <c r="AA770" s="764"/>
      <c r="AB770" s="764"/>
      <c r="AC770" s="764"/>
      <c r="AD770" s="794"/>
      <c r="AE770" s="764"/>
      <c r="AF770" s="764"/>
      <c r="AG770" s="764"/>
      <c r="AH770" s="764"/>
      <c r="AI770" s="764"/>
      <c r="AJ770" s="764"/>
      <c r="AK770" s="764"/>
      <c r="AL770" s="764"/>
      <c r="AM770" s="764"/>
      <c r="AN770" s="764"/>
      <c r="AO770" s="764"/>
      <c r="AP770" s="764"/>
      <c r="AQ770" s="764"/>
      <c r="AR770" s="764"/>
      <c r="AS770" s="764"/>
    </row>
    <row r="771" spans="1:45" ht="13.9">
      <c r="A771" s="764"/>
      <c r="B771" s="764"/>
      <c r="C771" s="764"/>
      <c r="D771" s="764"/>
      <c r="E771" s="764"/>
      <c r="F771" s="764"/>
      <c r="G771" s="764"/>
      <c r="H771" s="764"/>
      <c r="I771" s="764"/>
      <c r="J771" s="764"/>
      <c r="K771" s="764"/>
      <c r="L771" s="764"/>
      <c r="M771" s="764"/>
      <c r="N771" s="773"/>
      <c r="O771" s="764"/>
      <c r="P771" s="764"/>
      <c r="Q771" s="764"/>
      <c r="R771" s="764"/>
      <c r="S771" s="764"/>
      <c r="T771" s="764"/>
      <c r="U771" s="764"/>
      <c r="V771" s="764"/>
      <c r="W771" s="764"/>
      <c r="X771" s="764"/>
      <c r="Y771" s="764"/>
      <c r="Z771" s="764"/>
      <c r="AA771" s="764"/>
      <c r="AB771" s="764"/>
      <c r="AC771" s="764"/>
      <c r="AD771" s="794"/>
      <c r="AE771" s="764"/>
      <c r="AF771" s="764"/>
      <c r="AG771" s="764"/>
      <c r="AH771" s="764"/>
      <c r="AI771" s="764"/>
      <c r="AJ771" s="764"/>
      <c r="AK771" s="764"/>
      <c r="AL771" s="764"/>
      <c r="AM771" s="764"/>
      <c r="AN771" s="764"/>
      <c r="AO771" s="764"/>
      <c r="AP771" s="764"/>
      <c r="AQ771" s="764"/>
      <c r="AR771" s="764"/>
      <c r="AS771" s="764"/>
    </row>
    <row r="772" spans="1:45" ht="13.9">
      <c r="A772" s="764"/>
      <c r="B772" s="764"/>
      <c r="C772" s="764"/>
      <c r="D772" s="764"/>
      <c r="E772" s="764"/>
      <c r="F772" s="764"/>
      <c r="G772" s="764"/>
      <c r="H772" s="764"/>
      <c r="I772" s="764"/>
      <c r="J772" s="764"/>
      <c r="K772" s="764"/>
      <c r="L772" s="764"/>
      <c r="M772" s="764"/>
      <c r="N772" s="773"/>
      <c r="O772" s="764"/>
      <c r="P772" s="764"/>
      <c r="Q772" s="764"/>
      <c r="R772" s="764"/>
      <c r="S772" s="764"/>
      <c r="T772" s="764"/>
      <c r="U772" s="764"/>
      <c r="V772" s="764"/>
      <c r="W772" s="764"/>
      <c r="X772" s="764"/>
      <c r="Y772" s="764"/>
      <c r="Z772" s="764"/>
      <c r="AA772" s="764"/>
      <c r="AB772" s="764"/>
      <c r="AC772" s="764"/>
      <c r="AD772" s="794"/>
      <c r="AE772" s="764"/>
      <c r="AF772" s="764"/>
      <c r="AG772" s="764"/>
      <c r="AH772" s="764"/>
      <c r="AI772" s="764"/>
      <c r="AJ772" s="764"/>
      <c r="AK772" s="764"/>
      <c r="AL772" s="764"/>
      <c r="AM772" s="764"/>
      <c r="AN772" s="764"/>
      <c r="AO772" s="764"/>
      <c r="AP772" s="764"/>
      <c r="AQ772" s="764"/>
      <c r="AR772" s="764"/>
      <c r="AS772" s="764"/>
    </row>
    <row r="773" spans="1:45" ht="13.9">
      <c r="A773" s="764"/>
      <c r="B773" s="764"/>
      <c r="C773" s="764"/>
      <c r="D773" s="764"/>
      <c r="E773" s="764"/>
      <c r="F773" s="764"/>
      <c r="G773" s="764"/>
      <c r="H773" s="764"/>
      <c r="I773" s="764"/>
      <c r="J773" s="764"/>
      <c r="K773" s="764"/>
      <c r="L773" s="764"/>
      <c r="M773" s="764"/>
      <c r="N773" s="773"/>
      <c r="O773" s="764"/>
      <c r="P773" s="764"/>
      <c r="Q773" s="764"/>
      <c r="R773" s="764"/>
      <c r="S773" s="764"/>
      <c r="T773" s="764"/>
      <c r="U773" s="764"/>
      <c r="V773" s="764"/>
      <c r="W773" s="764"/>
      <c r="X773" s="764"/>
      <c r="Y773" s="764"/>
      <c r="Z773" s="764"/>
      <c r="AA773" s="764"/>
      <c r="AB773" s="764"/>
      <c r="AC773" s="764"/>
      <c r="AD773" s="794"/>
      <c r="AE773" s="764"/>
      <c r="AF773" s="764"/>
      <c r="AG773" s="764"/>
      <c r="AH773" s="764"/>
      <c r="AI773" s="764"/>
      <c r="AJ773" s="764"/>
      <c r="AK773" s="764"/>
      <c r="AL773" s="764"/>
      <c r="AM773" s="764"/>
      <c r="AN773" s="764"/>
      <c r="AO773" s="764"/>
      <c r="AP773" s="764"/>
      <c r="AQ773" s="764"/>
      <c r="AR773" s="764"/>
      <c r="AS773" s="764"/>
    </row>
    <row r="774" spans="1:45" ht="13.9">
      <c r="A774" s="764"/>
      <c r="B774" s="764"/>
      <c r="C774" s="764"/>
      <c r="D774" s="764"/>
      <c r="E774" s="764"/>
      <c r="F774" s="764"/>
      <c r="G774" s="764"/>
      <c r="H774" s="764"/>
      <c r="I774" s="764"/>
      <c r="J774" s="764"/>
      <c r="K774" s="764"/>
      <c r="L774" s="764"/>
      <c r="M774" s="764"/>
      <c r="N774" s="773"/>
      <c r="O774" s="764"/>
      <c r="P774" s="764"/>
      <c r="Q774" s="764"/>
      <c r="R774" s="764"/>
      <c r="S774" s="764"/>
      <c r="T774" s="764"/>
      <c r="U774" s="764"/>
      <c r="V774" s="764"/>
      <c r="W774" s="764"/>
      <c r="X774" s="764"/>
      <c r="Y774" s="764"/>
      <c r="Z774" s="764"/>
      <c r="AA774" s="764"/>
      <c r="AB774" s="764"/>
      <c r="AC774" s="764"/>
      <c r="AD774" s="794"/>
      <c r="AE774" s="764"/>
      <c r="AF774" s="764"/>
      <c r="AG774" s="764"/>
      <c r="AH774" s="764"/>
      <c r="AI774" s="764"/>
      <c r="AJ774" s="764"/>
      <c r="AK774" s="764"/>
      <c r="AL774" s="764"/>
      <c r="AM774" s="764"/>
      <c r="AN774" s="764"/>
      <c r="AO774" s="764"/>
      <c r="AP774" s="764"/>
      <c r="AQ774" s="764"/>
      <c r="AR774" s="764"/>
      <c r="AS774" s="764"/>
    </row>
    <row r="775" spans="1:45" ht="13.9">
      <c r="A775" s="764"/>
      <c r="B775" s="764"/>
      <c r="C775" s="764"/>
      <c r="D775" s="764"/>
      <c r="E775" s="764"/>
      <c r="F775" s="764"/>
      <c r="G775" s="764"/>
      <c r="H775" s="764"/>
      <c r="I775" s="764"/>
      <c r="J775" s="764"/>
      <c r="K775" s="764"/>
      <c r="L775" s="764"/>
      <c r="M775" s="764"/>
      <c r="N775" s="773"/>
      <c r="O775" s="764"/>
      <c r="P775" s="764"/>
      <c r="Q775" s="764"/>
      <c r="R775" s="764"/>
      <c r="S775" s="764"/>
      <c r="T775" s="764"/>
      <c r="U775" s="764"/>
      <c r="V775" s="764"/>
      <c r="W775" s="764"/>
      <c r="X775" s="764"/>
      <c r="Y775" s="764"/>
      <c r="Z775" s="764"/>
      <c r="AA775" s="764"/>
      <c r="AB775" s="764"/>
      <c r="AC775" s="764"/>
      <c r="AD775" s="794"/>
      <c r="AE775" s="764"/>
      <c r="AF775" s="764"/>
      <c r="AG775" s="764"/>
      <c r="AH775" s="764"/>
      <c r="AI775" s="764"/>
      <c r="AJ775" s="764"/>
      <c r="AK775" s="764"/>
      <c r="AL775" s="764"/>
      <c r="AM775" s="764"/>
      <c r="AN775" s="764"/>
      <c r="AO775" s="764"/>
      <c r="AP775" s="764"/>
      <c r="AQ775" s="764"/>
      <c r="AR775" s="764"/>
      <c r="AS775" s="764"/>
    </row>
    <row r="776" spans="1:45" ht="13.9">
      <c r="A776" s="764"/>
      <c r="B776" s="764"/>
      <c r="C776" s="764"/>
      <c r="D776" s="764"/>
      <c r="E776" s="764"/>
      <c r="F776" s="764"/>
      <c r="G776" s="764"/>
      <c r="H776" s="764"/>
      <c r="I776" s="764"/>
      <c r="J776" s="764"/>
      <c r="K776" s="764"/>
      <c r="L776" s="764"/>
      <c r="M776" s="764"/>
      <c r="N776" s="773"/>
      <c r="O776" s="764"/>
      <c r="P776" s="764"/>
      <c r="Q776" s="764"/>
      <c r="R776" s="764"/>
      <c r="S776" s="764"/>
      <c r="T776" s="764"/>
      <c r="U776" s="764"/>
      <c r="V776" s="764"/>
      <c r="W776" s="764"/>
      <c r="X776" s="764"/>
      <c r="Y776" s="764"/>
      <c r="Z776" s="764"/>
      <c r="AA776" s="764"/>
      <c r="AB776" s="764"/>
      <c r="AC776" s="764"/>
      <c r="AD776" s="794"/>
      <c r="AE776" s="764"/>
      <c r="AF776" s="764"/>
      <c r="AG776" s="764"/>
      <c r="AH776" s="764"/>
      <c r="AI776" s="764"/>
      <c r="AJ776" s="764"/>
      <c r="AK776" s="764"/>
      <c r="AL776" s="764"/>
      <c r="AM776" s="764"/>
      <c r="AN776" s="764"/>
      <c r="AO776" s="764"/>
      <c r="AP776" s="764"/>
      <c r="AQ776" s="764"/>
      <c r="AR776" s="764"/>
      <c r="AS776" s="764"/>
    </row>
    <row r="777" spans="1:45" ht="13.9">
      <c r="A777" s="764"/>
      <c r="B777" s="764"/>
      <c r="C777" s="764"/>
      <c r="D777" s="764"/>
      <c r="E777" s="764"/>
      <c r="F777" s="764"/>
      <c r="G777" s="764"/>
      <c r="H777" s="764"/>
      <c r="I777" s="764"/>
      <c r="J777" s="764"/>
      <c r="K777" s="764"/>
      <c r="L777" s="764"/>
      <c r="M777" s="764"/>
      <c r="N777" s="773"/>
      <c r="O777" s="764"/>
      <c r="P777" s="764"/>
      <c r="Q777" s="764"/>
      <c r="R777" s="764"/>
      <c r="S777" s="764"/>
      <c r="T777" s="764"/>
      <c r="U777" s="764"/>
      <c r="V777" s="764"/>
      <c r="W777" s="764"/>
      <c r="X777" s="764"/>
      <c r="Y777" s="764"/>
      <c r="Z777" s="764"/>
      <c r="AA777" s="764"/>
      <c r="AB777" s="764"/>
      <c r="AC777" s="764"/>
      <c r="AD777" s="794"/>
      <c r="AE777" s="764"/>
      <c r="AF777" s="764"/>
      <c r="AG777" s="764"/>
      <c r="AH777" s="764"/>
      <c r="AI777" s="764"/>
      <c r="AJ777" s="764"/>
      <c r="AK777" s="764"/>
      <c r="AL777" s="764"/>
      <c r="AM777" s="764"/>
      <c r="AN777" s="764"/>
      <c r="AO777" s="764"/>
      <c r="AP777" s="764"/>
      <c r="AQ777" s="764"/>
      <c r="AR777" s="764"/>
      <c r="AS777" s="764"/>
    </row>
    <row r="778" spans="1:45" ht="13.9">
      <c r="A778" s="764"/>
      <c r="B778" s="764"/>
      <c r="C778" s="764"/>
      <c r="D778" s="764"/>
      <c r="E778" s="764"/>
      <c r="F778" s="764"/>
      <c r="G778" s="764"/>
      <c r="H778" s="764"/>
      <c r="I778" s="764"/>
      <c r="J778" s="764"/>
      <c r="K778" s="764"/>
      <c r="L778" s="764"/>
      <c r="M778" s="764"/>
      <c r="N778" s="773"/>
      <c r="O778" s="764"/>
      <c r="P778" s="764"/>
      <c r="Q778" s="764"/>
      <c r="R778" s="764"/>
      <c r="S778" s="764"/>
      <c r="T778" s="764"/>
      <c r="U778" s="764"/>
      <c r="V778" s="764"/>
      <c r="W778" s="764"/>
      <c r="X778" s="764"/>
      <c r="Y778" s="764"/>
      <c r="Z778" s="764"/>
      <c r="AA778" s="764"/>
      <c r="AB778" s="764"/>
      <c r="AC778" s="764"/>
      <c r="AD778" s="794"/>
      <c r="AE778" s="764"/>
      <c r="AF778" s="764"/>
      <c r="AG778" s="764"/>
      <c r="AH778" s="764"/>
      <c r="AI778" s="764"/>
      <c r="AJ778" s="764"/>
      <c r="AK778" s="764"/>
      <c r="AL778" s="764"/>
      <c r="AM778" s="764"/>
      <c r="AN778" s="764"/>
      <c r="AO778" s="764"/>
      <c r="AP778" s="764"/>
      <c r="AQ778" s="764"/>
      <c r="AR778" s="764"/>
      <c r="AS778" s="764"/>
    </row>
    <row r="779" spans="1:45" ht="13.9">
      <c r="A779" s="764"/>
      <c r="B779" s="764"/>
      <c r="C779" s="764"/>
      <c r="D779" s="764"/>
      <c r="E779" s="764"/>
      <c r="F779" s="764"/>
      <c r="G779" s="764"/>
      <c r="H779" s="764"/>
      <c r="I779" s="764"/>
      <c r="J779" s="764"/>
      <c r="K779" s="764"/>
      <c r="L779" s="764"/>
      <c r="M779" s="764"/>
      <c r="N779" s="773"/>
      <c r="O779" s="764"/>
      <c r="P779" s="764"/>
      <c r="Q779" s="764"/>
      <c r="R779" s="764"/>
      <c r="S779" s="764"/>
      <c r="T779" s="764"/>
      <c r="U779" s="764"/>
      <c r="V779" s="764"/>
      <c r="W779" s="764"/>
      <c r="X779" s="764"/>
      <c r="Y779" s="764"/>
      <c r="Z779" s="764"/>
      <c r="AA779" s="764"/>
      <c r="AB779" s="764"/>
      <c r="AC779" s="764"/>
      <c r="AD779" s="794"/>
      <c r="AE779" s="764"/>
      <c r="AF779" s="764"/>
      <c r="AG779" s="764"/>
      <c r="AH779" s="764"/>
      <c r="AI779" s="764"/>
      <c r="AJ779" s="764"/>
      <c r="AK779" s="764"/>
      <c r="AL779" s="764"/>
      <c r="AM779" s="764"/>
      <c r="AN779" s="764"/>
      <c r="AO779" s="764"/>
      <c r="AP779" s="764"/>
      <c r="AQ779" s="764"/>
      <c r="AR779" s="764"/>
      <c r="AS779" s="764"/>
    </row>
    <row r="780" spans="1:45" ht="13.9">
      <c r="A780" s="764"/>
      <c r="B780" s="764"/>
      <c r="C780" s="764"/>
      <c r="D780" s="764"/>
      <c r="E780" s="764"/>
      <c r="F780" s="764"/>
      <c r="G780" s="764"/>
      <c r="H780" s="764"/>
      <c r="I780" s="764"/>
      <c r="J780" s="764"/>
      <c r="K780" s="764"/>
      <c r="L780" s="764"/>
      <c r="M780" s="764"/>
      <c r="N780" s="773"/>
      <c r="O780" s="764"/>
      <c r="P780" s="764"/>
      <c r="Q780" s="764"/>
      <c r="R780" s="764"/>
      <c r="S780" s="764"/>
      <c r="T780" s="764"/>
      <c r="U780" s="764"/>
      <c r="V780" s="764"/>
      <c r="W780" s="764"/>
      <c r="X780" s="764"/>
      <c r="Y780" s="764"/>
      <c r="Z780" s="764"/>
      <c r="AA780" s="764"/>
      <c r="AB780" s="764"/>
      <c r="AC780" s="764"/>
      <c r="AD780" s="794"/>
      <c r="AE780" s="764"/>
      <c r="AF780" s="764"/>
      <c r="AG780" s="764"/>
      <c r="AH780" s="764"/>
      <c r="AI780" s="764"/>
      <c r="AJ780" s="764"/>
      <c r="AK780" s="764"/>
      <c r="AL780" s="764"/>
      <c r="AM780" s="764"/>
      <c r="AN780" s="764"/>
      <c r="AO780" s="764"/>
      <c r="AP780" s="764"/>
      <c r="AQ780" s="764"/>
      <c r="AR780" s="764"/>
      <c r="AS780" s="764"/>
    </row>
    <row r="781" spans="1:45" ht="13.9">
      <c r="A781" s="764"/>
      <c r="B781" s="764"/>
      <c r="C781" s="764"/>
      <c r="D781" s="764"/>
      <c r="E781" s="764"/>
      <c r="F781" s="764"/>
      <c r="G781" s="764"/>
      <c r="H781" s="764"/>
      <c r="I781" s="764"/>
      <c r="J781" s="764"/>
      <c r="K781" s="764"/>
      <c r="L781" s="764"/>
      <c r="M781" s="764"/>
      <c r="N781" s="773"/>
      <c r="O781" s="764"/>
      <c r="P781" s="764"/>
      <c r="Q781" s="764"/>
      <c r="R781" s="764"/>
      <c r="S781" s="764"/>
      <c r="T781" s="764"/>
      <c r="U781" s="764"/>
      <c r="V781" s="764"/>
      <c r="W781" s="764"/>
      <c r="X781" s="764"/>
      <c r="Y781" s="764"/>
      <c r="Z781" s="764"/>
      <c r="AA781" s="764"/>
      <c r="AB781" s="764"/>
      <c r="AC781" s="764"/>
      <c r="AD781" s="794"/>
      <c r="AE781" s="764"/>
      <c r="AF781" s="764"/>
      <c r="AG781" s="764"/>
      <c r="AH781" s="764"/>
      <c r="AI781" s="764"/>
      <c r="AJ781" s="764"/>
      <c r="AK781" s="764"/>
      <c r="AL781" s="764"/>
      <c r="AM781" s="764"/>
      <c r="AN781" s="764"/>
      <c r="AO781" s="764"/>
      <c r="AP781" s="764"/>
      <c r="AQ781" s="764"/>
      <c r="AR781" s="764"/>
      <c r="AS781" s="764"/>
    </row>
    <row r="782" spans="1:45" ht="13.9">
      <c r="A782" s="764"/>
      <c r="B782" s="764"/>
      <c r="C782" s="764"/>
      <c r="D782" s="764"/>
      <c r="E782" s="764"/>
      <c r="F782" s="764"/>
      <c r="G782" s="764"/>
      <c r="H782" s="764"/>
      <c r="I782" s="764"/>
      <c r="J782" s="764"/>
      <c r="K782" s="764"/>
      <c r="L782" s="764"/>
      <c r="M782" s="764"/>
      <c r="N782" s="773"/>
      <c r="O782" s="764"/>
      <c r="P782" s="764"/>
      <c r="Q782" s="764"/>
      <c r="R782" s="764"/>
      <c r="S782" s="764"/>
      <c r="T782" s="764"/>
      <c r="U782" s="764"/>
      <c r="V782" s="764"/>
      <c r="W782" s="764"/>
      <c r="X782" s="764"/>
      <c r="Y782" s="764"/>
      <c r="Z782" s="764"/>
      <c r="AA782" s="764"/>
      <c r="AB782" s="764"/>
      <c r="AC782" s="764"/>
      <c r="AD782" s="794"/>
      <c r="AE782" s="764"/>
      <c r="AF782" s="764"/>
      <c r="AG782" s="764"/>
      <c r="AH782" s="764"/>
      <c r="AI782" s="764"/>
      <c r="AJ782" s="764"/>
      <c r="AK782" s="764"/>
      <c r="AL782" s="764"/>
      <c r="AM782" s="764"/>
      <c r="AN782" s="764"/>
      <c r="AO782" s="764"/>
      <c r="AP782" s="764"/>
      <c r="AQ782" s="764"/>
      <c r="AR782" s="764"/>
      <c r="AS782" s="764"/>
    </row>
    <row r="783" spans="1:45" ht="13.9">
      <c r="A783" s="764"/>
      <c r="B783" s="764"/>
      <c r="C783" s="764"/>
      <c r="D783" s="764"/>
      <c r="E783" s="764"/>
      <c r="F783" s="764"/>
      <c r="G783" s="764"/>
      <c r="H783" s="764"/>
      <c r="I783" s="764"/>
      <c r="J783" s="764"/>
      <c r="K783" s="764"/>
      <c r="L783" s="764"/>
      <c r="M783" s="764"/>
      <c r="N783" s="773"/>
      <c r="O783" s="764"/>
      <c r="P783" s="764"/>
      <c r="Q783" s="764"/>
      <c r="R783" s="764"/>
      <c r="S783" s="764"/>
      <c r="T783" s="764"/>
      <c r="U783" s="764"/>
      <c r="V783" s="764"/>
      <c r="W783" s="764"/>
      <c r="X783" s="764"/>
      <c r="Y783" s="764"/>
      <c r="Z783" s="764"/>
      <c r="AA783" s="764"/>
      <c r="AB783" s="764"/>
      <c r="AC783" s="764"/>
      <c r="AD783" s="794"/>
      <c r="AE783" s="764"/>
      <c r="AF783" s="764"/>
      <c r="AG783" s="764"/>
      <c r="AH783" s="764"/>
      <c r="AI783" s="764"/>
      <c r="AJ783" s="764"/>
      <c r="AK783" s="764"/>
      <c r="AL783" s="764"/>
      <c r="AM783" s="764"/>
      <c r="AN783" s="764"/>
      <c r="AO783" s="764"/>
      <c r="AP783" s="764"/>
      <c r="AQ783" s="764"/>
      <c r="AR783" s="764"/>
      <c r="AS783" s="764"/>
    </row>
    <row r="784" spans="1:45" ht="13.9">
      <c r="A784" s="764"/>
      <c r="B784" s="764"/>
      <c r="C784" s="764"/>
      <c r="D784" s="764"/>
      <c r="E784" s="764"/>
      <c r="F784" s="764"/>
      <c r="G784" s="764"/>
      <c r="H784" s="764"/>
      <c r="I784" s="764"/>
      <c r="J784" s="764"/>
      <c r="K784" s="764"/>
      <c r="L784" s="764"/>
      <c r="M784" s="764"/>
      <c r="N784" s="773"/>
      <c r="O784" s="764"/>
      <c r="P784" s="764"/>
      <c r="Q784" s="764"/>
      <c r="R784" s="764"/>
      <c r="S784" s="764"/>
      <c r="T784" s="764"/>
      <c r="U784" s="764"/>
      <c r="V784" s="764"/>
      <c r="W784" s="764"/>
      <c r="X784" s="764"/>
      <c r="Y784" s="764"/>
      <c r="Z784" s="764"/>
      <c r="AA784" s="764"/>
      <c r="AB784" s="764"/>
      <c r="AC784" s="764"/>
      <c r="AD784" s="794"/>
      <c r="AE784" s="764"/>
      <c r="AF784" s="764"/>
      <c r="AG784" s="764"/>
      <c r="AH784" s="764"/>
      <c r="AI784" s="764"/>
      <c r="AJ784" s="764"/>
      <c r="AK784" s="764"/>
      <c r="AL784" s="764"/>
      <c r="AM784" s="764"/>
      <c r="AN784" s="764"/>
      <c r="AO784" s="764"/>
      <c r="AP784" s="764"/>
      <c r="AQ784" s="764"/>
      <c r="AR784" s="764"/>
      <c r="AS784" s="764"/>
    </row>
    <row r="785" spans="1:45" ht="13.9">
      <c r="A785" s="764"/>
      <c r="B785" s="764"/>
      <c r="C785" s="764"/>
      <c r="D785" s="764"/>
      <c r="E785" s="764"/>
      <c r="F785" s="764"/>
      <c r="G785" s="764"/>
      <c r="H785" s="764"/>
      <c r="I785" s="764"/>
      <c r="J785" s="764"/>
      <c r="K785" s="764"/>
      <c r="L785" s="764"/>
      <c r="M785" s="764"/>
      <c r="N785" s="773"/>
      <c r="O785" s="764"/>
      <c r="P785" s="764"/>
      <c r="Q785" s="764"/>
      <c r="R785" s="764"/>
      <c r="S785" s="764"/>
      <c r="T785" s="764"/>
      <c r="U785" s="764"/>
      <c r="V785" s="764"/>
      <c r="W785" s="764"/>
      <c r="X785" s="764"/>
      <c r="Y785" s="764"/>
      <c r="Z785" s="764"/>
      <c r="AA785" s="764"/>
      <c r="AB785" s="764"/>
      <c r="AC785" s="764"/>
      <c r="AD785" s="794"/>
      <c r="AE785" s="764"/>
      <c r="AF785" s="764"/>
      <c r="AG785" s="764"/>
      <c r="AH785" s="764"/>
      <c r="AI785" s="764"/>
      <c r="AJ785" s="764"/>
      <c r="AK785" s="764"/>
      <c r="AL785" s="764"/>
      <c r="AM785" s="764"/>
      <c r="AN785" s="764"/>
      <c r="AO785" s="764"/>
      <c r="AP785" s="764"/>
      <c r="AQ785" s="764"/>
      <c r="AR785" s="764"/>
      <c r="AS785" s="764"/>
    </row>
    <row r="786" spans="1:45" ht="13.9">
      <c r="A786" s="764"/>
      <c r="B786" s="764"/>
      <c r="C786" s="764"/>
      <c r="D786" s="764"/>
      <c r="E786" s="764"/>
      <c r="F786" s="764"/>
      <c r="G786" s="764"/>
      <c r="H786" s="764"/>
      <c r="I786" s="764"/>
      <c r="J786" s="764"/>
      <c r="K786" s="764"/>
      <c r="L786" s="764"/>
      <c r="M786" s="764"/>
      <c r="N786" s="773"/>
      <c r="O786" s="764"/>
      <c r="P786" s="764"/>
      <c r="Q786" s="764"/>
      <c r="R786" s="764"/>
      <c r="S786" s="764"/>
      <c r="T786" s="764"/>
      <c r="U786" s="764"/>
      <c r="V786" s="764"/>
      <c r="W786" s="764"/>
      <c r="X786" s="764"/>
      <c r="Y786" s="764"/>
      <c r="Z786" s="764"/>
      <c r="AA786" s="764"/>
      <c r="AB786" s="764"/>
      <c r="AC786" s="764"/>
      <c r="AD786" s="794"/>
      <c r="AE786" s="764"/>
      <c r="AF786" s="764"/>
      <c r="AG786" s="764"/>
      <c r="AH786" s="764"/>
      <c r="AI786" s="764"/>
      <c r="AJ786" s="764"/>
      <c r="AK786" s="764"/>
      <c r="AL786" s="764"/>
      <c r="AM786" s="764"/>
      <c r="AN786" s="764"/>
      <c r="AO786" s="764"/>
      <c r="AP786" s="764"/>
      <c r="AQ786" s="764"/>
      <c r="AR786" s="764"/>
      <c r="AS786" s="764"/>
    </row>
    <row r="787" spans="1:45" ht="13.9">
      <c r="A787" s="764"/>
      <c r="B787" s="764"/>
      <c r="C787" s="764"/>
      <c r="D787" s="764"/>
      <c r="E787" s="764"/>
      <c r="F787" s="764"/>
      <c r="G787" s="764"/>
      <c r="H787" s="764"/>
      <c r="I787" s="764"/>
      <c r="J787" s="764"/>
      <c r="K787" s="764"/>
      <c r="L787" s="764"/>
      <c r="M787" s="764"/>
      <c r="N787" s="773"/>
      <c r="O787" s="764"/>
      <c r="P787" s="764"/>
      <c r="Q787" s="764"/>
      <c r="R787" s="764"/>
      <c r="S787" s="764"/>
      <c r="T787" s="764"/>
      <c r="U787" s="764"/>
      <c r="V787" s="764"/>
      <c r="W787" s="764"/>
      <c r="X787" s="764"/>
      <c r="Y787" s="764"/>
      <c r="Z787" s="764"/>
      <c r="AA787" s="764"/>
      <c r="AB787" s="764"/>
      <c r="AC787" s="764"/>
      <c r="AD787" s="794"/>
      <c r="AE787" s="764"/>
      <c r="AF787" s="764"/>
      <c r="AG787" s="764"/>
      <c r="AH787" s="764"/>
      <c r="AI787" s="764"/>
      <c r="AJ787" s="764"/>
      <c r="AK787" s="764"/>
      <c r="AL787" s="764"/>
      <c r="AM787" s="764"/>
      <c r="AN787" s="764"/>
      <c r="AO787" s="764"/>
      <c r="AP787" s="764"/>
      <c r="AQ787" s="764"/>
      <c r="AR787" s="764"/>
      <c r="AS787" s="764"/>
    </row>
    <row r="788" spans="1:45" ht="13.9">
      <c r="A788" s="764"/>
      <c r="B788" s="764"/>
      <c r="C788" s="764"/>
      <c r="D788" s="764"/>
      <c r="E788" s="764"/>
      <c r="F788" s="764"/>
      <c r="G788" s="764"/>
      <c r="H788" s="764"/>
      <c r="I788" s="764"/>
      <c r="J788" s="764"/>
      <c r="K788" s="764"/>
      <c r="L788" s="764"/>
      <c r="M788" s="764"/>
      <c r="N788" s="773"/>
      <c r="O788" s="764"/>
      <c r="P788" s="764"/>
      <c r="Q788" s="764"/>
      <c r="R788" s="764"/>
      <c r="S788" s="764"/>
      <c r="T788" s="764"/>
      <c r="U788" s="764"/>
      <c r="V788" s="764"/>
      <c r="W788" s="764"/>
      <c r="X788" s="764"/>
      <c r="Y788" s="764"/>
      <c r="Z788" s="764"/>
      <c r="AA788" s="764"/>
      <c r="AB788" s="764"/>
      <c r="AC788" s="764"/>
      <c r="AD788" s="794"/>
      <c r="AE788" s="764"/>
      <c r="AF788" s="764"/>
      <c r="AG788" s="764"/>
      <c r="AH788" s="764"/>
      <c r="AI788" s="764"/>
      <c r="AJ788" s="764"/>
      <c r="AK788" s="764"/>
      <c r="AL788" s="764"/>
      <c r="AM788" s="764"/>
      <c r="AN788" s="764"/>
      <c r="AO788" s="764"/>
      <c r="AP788" s="764"/>
      <c r="AQ788" s="764"/>
      <c r="AR788" s="764"/>
      <c r="AS788" s="764"/>
    </row>
    <row r="789" spans="1:45" ht="13.9">
      <c r="A789" s="764"/>
      <c r="B789" s="764"/>
      <c r="C789" s="764"/>
      <c r="D789" s="764"/>
      <c r="E789" s="764"/>
      <c r="F789" s="764"/>
      <c r="G789" s="764"/>
      <c r="H789" s="764"/>
      <c r="I789" s="764"/>
      <c r="J789" s="764"/>
      <c r="K789" s="764"/>
      <c r="L789" s="764"/>
      <c r="M789" s="764"/>
      <c r="N789" s="773"/>
      <c r="O789" s="764"/>
      <c r="P789" s="764"/>
      <c r="Q789" s="764"/>
      <c r="R789" s="764"/>
      <c r="S789" s="764"/>
      <c r="T789" s="764"/>
      <c r="U789" s="764"/>
      <c r="V789" s="764"/>
      <c r="W789" s="764"/>
      <c r="X789" s="764"/>
      <c r="Y789" s="764"/>
      <c r="Z789" s="764"/>
      <c r="AA789" s="764"/>
      <c r="AB789" s="764"/>
      <c r="AC789" s="764"/>
      <c r="AD789" s="794"/>
      <c r="AE789" s="764"/>
      <c r="AF789" s="764"/>
      <c r="AG789" s="764"/>
      <c r="AH789" s="764"/>
      <c r="AI789" s="764"/>
      <c r="AJ789" s="764"/>
      <c r="AK789" s="764"/>
      <c r="AL789" s="764"/>
      <c r="AM789" s="764"/>
      <c r="AN789" s="764"/>
      <c r="AO789" s="764"/>
      <c r="AP789" s="764"/>
      <c r="AQ789" s="764"/>
      <c r="AR789" s="764"/>
      <c r="AS789" s="764"/>
    </row>
    <row r="790" spans="1:45" ht="13.9">
      <c r="A790" s="764"/>
      <c r="B790" s="764"/>
      <c r="C790" s="764"/>
      <c r="D790" s="764"/>
      <c r="E790" s="764"/>
      <c r="F790" s="764"/>
      <c r="G790" s="764"/>
      <c r="H790" s="764"/>
      <c r="I790" s="764"/>
      <c r="J790" s="764"/>
      <c r="K790" s="764"/>
      <c r="L790" s="764"/>
      <c r="M790" s="764"/>
      <c r="N790" s="773"/>
      <c r="O790" s="764"/>
      <c r="P790" s="764"/>
      <c r="Q790" s="764"/>
      <c r="R790" s="764"/>
      <c r="S790" s="764"/>
      <c r="T790" s="764"/>
      <c r="U790" s="764"/>
      <c r="V790" s="764"/>
      <c r="W790" s="764"/>
      <c r="X790" s="764"/>
      <c r="Y790" s="764"/>
      <c r="Z790" s="764"/>
      <c r="AA790" s="764"/>
      <c r="AB790" s="764"/>
      <c r="AC790" s="764"/>
      <c r="AD790" s="794"/>
      <c r="AE790" s="764"/>
      <c r="AF790" s="764"/>
      <c r="AG790" s="764"/>
      <c r="AH790" s="764"/>
      <c r="AI790" s="764"/>
      <c r="AJ790" s="764"/>
      <c r="AK790" s="764"/>
      <c r="AL790" s="764"/>
      <c r="AM790" s="764"/>
      <c r="AN790" s="764"/>
      <c r="AO790" s="764"/>
      <c r="AP790" s="764"/>
      <c r="AQ790" s="764"/>
      <c r="AR790" s="764"/>
      <c r="AS790" s="764"/>
    </row>
    <row r="791" spans="1:45" ht="13.9">
      <c r="A791" s="764"/>
      <c r="B791" s="764"/>
      <c r="C791" s="764"/>
      <c r="D791" s="764"/>
      <c r="E791" s="764"/>
      <c r="F791" s="764"/>
      <c r="G791" s="764"/>
      <c r="H791" s="764"/>
      <c r="I791" s="764"/>
      <c r="J791" s="764"/>
      <c r="K791" s="764"/>
      <c r="L791" s="764"/>
      <c r="M791" s="764"/>
      <c r="N791" s="773"/>
      <c r="O791" s="764"/>
      <c r="P791" s="764"/>
      <c r="Q791" s="764"/>
      <c r="R791" s="764"/>
      <c r="S791" s="764"/>
      <c r="T791" s="764"/>
      <c r="U791" s="764"/>
      <c r="V791" s="764"/>
      <c r="W791" s="764"/>
      <c r="X791" s="764"/>
      <c r="Y791" s="764"/>
      <c r="Z791" s="764"/>
      <c r="AA791" s="764"/>
      <c r="AB791" s="764"/>
      <c r="AC791" s="764"/>
      <c r="AD791" s="794"/>
      <c r="AE791" s="764"/>
      <c r="AF791" s="764"/>
      <c r="AG791" s="764"/>
      <c r="AH791" s="764"/>
      <c r="AI791" s="764"/>
      <c r="AJ791" s="764"/>
      <c r="AK791" s="764"/>
      <c r="AL791" s="764"/>
      <c r="AM791" s="764"/>
      <c r="AN791" s="764"/>
      <c r="AO791" s="764"/>
      <c r="AP791" s="764"/>
      <c r="AQ791" s="764"/>
      <c r="AR791" s="764"/>
      <c r="AS791" s="764"/>
    </row>
    <row r="792" spans="1:45" ht="13.9">
      <c r="A792" s="764"/>
      <c r="B792" s="764"/>
      <c r="C792" s="764"/>
      <c r="D792" s="764"/>
      <c r="E792" s="764"/>
      <c r="F792" s="764"/>
      <c r="G792" s="764"/>
      <c r="H792" s="764"/>
      <c r="I792" s="764"/>
      <c r="J792" s="764"/>
      <c r="K792" s="764"/>
      <c r="L792" s="764"/>
      <c r="M792" s="764"/>
      <c r="N792" s="773"/>
      <c r="O792" s="764"/>
      <c r="P792" s="764"/>
      <c r="Q792" s="764"/>
      <c r="R792" s="764"/>
      <c r="S792" s="764"/>
      <c r="T792" s="764"/>
      <c r="U792" s="764"/>
      <c r="V792" s="764"/>
      <c r="W792" s="764"/>
      <c r="X792" s="764"/>
      <c r="Y792" s="764"/>
      <c r="Z792" s="764"/>
      <c r="AA792" s="764"/>
      <c r="AB792" s="764"/>
      <c r="AC792" s="764"/>
      <c r="AD792" s="794"/>
      <c r="AE792" s="764"/>
      <c r="AF792" s="764"/>
      <c r="AG792" s="764"/>
      <c r="AH792" s="764"/>
      <c r="AI792" s="764"/>
      <c r="AJ792" s="764"/>
      <c r="AK792" s="764"/>
      <c r="AL792" s="764"/>
      <c r="AM792" s="764"/>
      <c r="AN792" s="764"/>
      <c r="AO792" s="764"/>
      <c r="AP792" s="764"/>
      <c r="AQ792" s="764"/>
      <c r="AR792" s="764"/>
      <c r="AS792" s="764"/>
    </row>
    <row r="793" spans="1:45" ht="13.9">
      <c r="A793" s="764"/>
      <c r="B793" s="764"/>
      <c r="C793" s="764"/>
      <c r="D793" s="764"/>
      <c r="E793" s="764"/>
      <c r="F793" s="764"/>
      <c r="G793" s="764"/>
      <c r="H793" s="764"/>
      <c r="I793" s="764"/>
      <c r="J793" s="764"/>
      <c r="K793" s="764"/>
      <c r="L793" s="764"/>
      <c r="M793" s="764"/>
      <c r="N793" s="773"/>
      <c r="O793" s="764"/>
      <c r="P793" s="764"/>
      <c r="Q793" s="764"/>
      <c r="R793" s="764"/>
      <c r="S793" s="764"/>
      <c r="T793" s="764"/>
      <c r="U793" s="764"/>
      <c r="V793" s="764"/>
      <c r="W793" s="764"/>
      <c r="X793" s="764"/>
      <c r="Y793" s="764"/>
      <c r="Z793" s="764"/>
      <c r="AA793" s="764"/>
      <c r="AB793" s="764"/>
      <c r="AC793" s="764"/>
      <c r="AD793" s="794"/>
      <c r="AE793" s="764"/>
      <c r="AF793" s="764"/>
      <c r="AG793" s="764"/>
      <c r="AH793" s="764"/>
      <c r="AI793" s="764"/>
      <c r="AJ793" s="764"/>
      <c r="AK793" s="764"/>
      <c r="AL793" s="764"/>
      <c r="AM793" s="764"/>
      <c r="AN793" s="764"/>
      <c r="AO793" s="764"/>
      <c r="AP793" s="764"/>
      <c r="AQ793" s="764"/>
      <c r="AR793" s="764"/>
      <c r="AS793" s="764"/>
    </row>
    <row r="794" spans="1:45" ht="13.9">
      <c r="A794" s="764"/>
      <c r="B794" s="764"/>
      <c r="C794" s="764"/>
      <c r="D794" s="764"/>
      <c r="E794" s="764"/>
      <c r="F794" s="764"/>
      <c r="G794" s="764"/>
      <c r="H794" s="764"/>
      <c r="I794" s="764"/>
      <c r="J794" s="764"/>
      <c r="K794" s="764"/>
      <c r="L794" s="764"/>
      <c r="M794" s="764"/>
      <c r="N794" s="773"/>
      <c r="O794" s="764"/>
      <c r="P794" s="764"/>
      <c r="Q794" s="764"/>
      <c r="R794" s="764"/>
      <c r="S794" s="764"/>
      <c r="T794" s="764"/>
      <c r="U794" s="764"/>
      <c r="V794" s="764"/>
      <c r="W794" s="764"/>
      <c r="X794" s="764"/>
      <c r="Y794" s="764"/>
      <c r="Z794" s="764"/>
      <c r="AA794" s="764"/>
      <c r="AB794" s="764"/>
      <c r="AC794" s="764"/>
      <c r="AD794" s="794"/>
      <c r="AE794" s="764"/>
      <c r="AF794" s="764"/>
      <c r="AG794" s="764"/>
      <c r="AH794" s="764"/>
      <c r="AI794" s="764"/>
      <c r="AJ794" s="764"/>
      <c r="AK794" s="764"/>
      <c r="AL794" s="764"/>
      <c r="AM794" s="764"/>
      <c r="AN794" s="764"/>
      <c r="AO794" s="764"/>
      <c r="AP794" s="764"/>
      <c r="AQ794" s="764"/>
      <c r="AR794" s="764"/>
      <c r="AS794" s="764"/>
    </row>
    <row r="795" spans="1:45" ht="13.9">
      <c r="A795" s="764"/>
      <c r="B795" s="764"/>
      <c r="C795" s="764"/>
      <c r="D795" s="764"/>
      <c r="E795" s="764"/>
      <c r="F795" s="764"/>
      <c r="G795" s="764"/>
      <c r="H795" s="764"/>
      <c r="I795" s="764"/>
      <c r="J795" s="764"/>
      <c r="K795" s="764"/>
      <c r="L795" s="764"/>
      <c r="M795" s="764"/>
      <c r="N795" s="773"/>
      <c r="O795" s="764"/>
      <c r="P795" s="764"/>
      <c r="Q795" s="764"/>
      <c r="R795" s="764"/>
      <c r="S795" s="764"/>
      <c r="T795" s="764"/>
      <c r="U795" s="764"/>
      <c r="V795" s="764"/>
      <c r="W795" s="764"/>
      <c r="X795" s="764"/>
      <c r="Y795" s="764"/>
      <c r="Z795" s="764"/>
      <c r="AA795" s="764"/>
      <c r="AB795" s="764"/>
      <c r="AC795" s="764"/>
      <c r="AD795" s="794"/>
      <c r="AE795" s="764"/>
      <c r="AF795" s="764"/>
      <c r="AG795" s="764"/>
      <c r="AH795" s="764"/>
      <c r="AI795" s="764"/>
      <c r="AJ795" s="764"/>
      <c r="AK795" s="764"/>
      <c r="AL795" s="764"/>
      <c r="AM795" s="764"/>
      <c r="AN795" s="764"/>
      <c r="AO795" s="764"/>
      <c r="AP795" s="764"/>
      <c r="AQ795" s="764"/>
      <c r="AR795" s="764"/>
      <c r="AS795" s="764"/>
    </row>
    <row r="796" spans="1:45" ht="13.9">
      <c r="A796" s="764"/>
      <c r="B796" s="764"/>
      <c r="C796" s="764"/>
      <c r="D796" s="764"/>
      <c r="E796" s="764"/>
      <c r="F796" s="764"/>
      <c r="G796" s="764"/>
      <c r="H796" s="764"/>
      <c r="I796" s="764"/>
      <c r="J796" s="764"/>
      <c r="K796" s="764"/>
      <c r="L796" s="764"/>
      <c r="M796" s="764"/>
      <c r="N796" s="773"/>
      <c r="O796" s="764"/>
      <c r="P796" s="764"/>
      <c r="Q796" s="764"/>
      <c r="R796" s="764"/>
      <c r="S796" s="764"/>
      <c r="T796" s="764"/>
      <c r="U796" s="764"/>
      <c r="V796" s="764"/>
      <c r="W796" s="764"/>
      <c r="X796" s="764"/>
      <c r="Y796" s="764"/>
      <c r="Z796" s="764"/>
      <c r="AA796" s="764"/>
      <c r="AB796" s="764"/>
      <c r="AC796" s="764"/>
      <c r="AD796" s="794"/>
      <c r="AE796" s="764"/>
      <c r="AF796" s="764"/>
      <c r="AG796" s="764"/>
      <c r="AH796" s="764"/>
      <c r="AI796" s="764"/>
      <c r="AJ796" s="764"/>
      <c r="AK796" s="764"/>
      <c r="AL796" s="764"/>
      <c r="AM796" s="764"/>
      <c r="AN796" s="764"/>
      <c r="AO796" s="764"/>
      <c r="AP796" s="764"/>
      <c r="AQ796" s="764"/>
      <c r="AR796" s="764"/>
      <c r="AS796" s="764"/>
    </row>
    <row r="797" spans="1:45" ht="13.9">
      <c r="A797" s="764"/>
      <c r="B797" s="764"/>
      <c r="C797" s="764"/>
      <c r="D797" s="764"/>
      <c r="E797" s="764"/>
      <c r="F797" s="764"/>
      <c r="G797" s="764"/>
      <c r="H797" s="764"/>
      <c r="I797" s="764"/>
      <c r="J797" s="764"/>
      <c r="K797" s="764"/>
      <c r="L797" s="764"/>
      <c r="M797" s="764"/>
      <c r="N797" s="773"/>
      <c r="O797" s="764"/>
      <c r="P797" s="764"/>
      <c r="Q797" s="764"/>
      <c r="R797" s="764"/>
      <c r="S797" s="764"/>
      <c r="T797" s="764"/>
      <c r="U797" s="764"/>
      <c r="V797" s="764"/>
      <c r="W797" s="764"/>
      <c r="X797" s="764"/>
      <c r="Y797" s="764"/>
      <c r="Z797" s="764"/>
      <c r="AA797" s="764"/>
      <c r="AB797" s="764"/>
      <c r="AC797" s="764"/>
      <c r="AD797" s="794"/>
      <c r="AE797" s="764"/>
      <c r="AF797" s="764"/>
      <c r="AG797" s="764"/>
      <c r="AH797" s="764"/>
      <c r="AI797" s="764"/>
      <c r="AJ797" s="764"/>
      <c r="AK797" s="764"/>
      <c r="AL797" s="764"/>
      <c r="AM797" s="764"/>
      <c r="AN797" s="764"/>
      <c r="AO797" s="764"/>
      <c r="AP797" s="764"/>
      <c r="AQ797" s="764"/>
      <c r="AR797" s="764"/>
      <c r="AS797" s="764"/>
    </row>
    <row r="798" spans="1:45" ht="13.9">
      <c r="A798" s="764"/>
      <c r="B798" s="764"/>
      <c r="C798" s="764"/>
      <c r="D798" s="764"/>
      <c r="E798" s="764"/>
      <c r="F798" s="764"/>
      <c r="G798" s="764"/>
      <c r="H798" s="764"/>
      <c r="I798" s="764"/>
      <c r="J798" s="764"/>
      <c r="K798" s="764"/>
      <c r="L798" s="764"/>
      <c r="M798" s="764"/>
      <c r="N798" s="773"/>
      <c r="O798" s="764"/>
      <c r="P798" s="764"/>
      <c r="Q798" s="764"/>
      <c r="R798" s="764"/>
      <c r="S798" s="764"/>
      <c r="T798" s="764"/>
      <c r="U798" s="764"/>
      <c r="V798" s="764"/>
      <c r="W798" s="764"/>
      <c r="X798" s="764"/>
      <c r="Y798" s="764"/>
      <c r="Z798" s="764"/>
      <c r="AA798" s="764"/>
      <c r="AB798" s="764"/>
      <c r="AC798" s="764"/>
      <c r="AD798" s="794"/>
      <c r="AE798" s="764"/>
      <c r="AF798" s="764"/>
      <c r="AG798" s="764"/>
      <c r="AH798" s="764"/>
      <c r="AI798" s="764"/>
      <c r="AJ798" s="764"/>
      <c r="AK798" s="764"/>
      <c r="AL798" s="764"/>
      <c r="AM798" s="764"/>
      <c r="AN798" s="764"/>
      <c r="AO798" s="764"/>
      <c r="AP798" s="764"/>
      <c r="AQ798" s="764"/>
      <c r="AR798" s="764"/>
      <c r="AS798" s="764"/>
    </row>
    <row r="799" spans="1:45" ht="13.9">
      <c r="A799" s="764"/>
      <c r="B799" s="764"/>
      <c r="C799" s="764"/>
      <c r="D799" s="764"/>
      <c r="E799" s="764"/>
      <c r="F799" s="764"/>
      <c r="G799" s="764"/>
      <c r="H799" s="764"/>
      <c r="I799" s="764"/>
      <c r="J799" s="764"/>
      <c r="K799" s="764"/>
      <c r="L799" s="764"/>
      <c r="M799" s="764"/>
      <c r="N799" s="773"/>
      <c r="O799" s="764"/>
      <c r="P799" s="764"/>
      <c r="Q799" s="764"/>
      <c r="R799" s="764"/>
      <c r="S799" s="764"/>
      <c r="T799" s="764"/>
      <c r="U799" s="764"/>
      <c r="V799" s="764"/>
      <c r="W799" s="764"/>
      <c r="X799" s="764"/>
      <c r="Y799" s="764"/>
      <c r="Z799" s="764"/>
      <c r="AA799" s="764"/>
      <c r="AB799" s="764"/>
      <c r="AC799" s="764"/>
      <c r="AD799" s="794"/>
      <c r="AE799" s="764"/>
      <c r="AF799" s="764"/>
      <c r="AG799" s="764"/>
      <c r="AH799" s="764"/>
      <c r="AI799" s="764"/>
      <c r="AJ799" s="764"/>
      <c r="AK799" s="764"/>
      <c r="AL799" s="764"/>
      <c r="AM799" s="764"/>
      <c r="AN799" s="764"/>
      <c r="AO799" s="764"/>
      <c r="AP799" s="764"/>
      <c r="AQ799" s="764"/>
      <c r="AR799" s="764"/>
      <c r="AS799" s="764"/>
    </row>
    <row r="800" spans="1:45" ht="13.9">
      <c r="A800" s="764"/>
      <c r="B800" s="764"/>
      <c r="C800" s="764"/>
      <c r="D800" s="764"/>
      <c r="E800" s="764"/>
      <c r="F800" s="764"/>
      <c r="G800" s="764"/>
      <c r="H800" s="764"/>
      <c r="I800" s="764"/>
      <c r="J800" s="764"/>
      <c r="K800" s="764"/>
      <c r="L800" s="764"/>
      <c r="M800" s="764"/>
      <c r="N800" s="773"/>
      <c r="O800" s="764"/>
      <c r="P800" s="764"/>
      <c r="Q800" s="764"/>
      <c r="R800" s="764"/>
      <c r="S800" s="764"/>
      <c r="T800" s="764"/>
      <c r="U800" s="764"/>
      <c r="V800" s="764"/>
      <c r="W800" s="764"/>
      <c r="X800" s="764"/>
      <c r="Y800" s="764"/>
      <c r="Z800" s="764"/>
      <c r="AA800" s="764"/>
      <c r="AB800" s="764"/>
      <c r="AC800" s="764"/>
      <c r="AD800" s="794"/>
      <c r="AE800" s="764"/>
      <c r="AF800" s="764"/>
      <c r="AG800" s="764"/>
      <c r="AH800" s="764"/>
      <c r="AI800" s="764"/>
      <c r="AJ800" s="764"/>
      <c r="AK800" s="764"/>
      <c r="AL800" s="764"/>
      <c r="AM800" s="764"/>
      <c r="AN800" s="764"/>
      <c r="AO800" s="764"/>
      <c r="AP800" s="764"/>
      <c r="AQ800" s="764"/>
      <c r="AR800" s="764"/>
      <c r="AS800" s="764"/>
    </row>
    <row r="801" spans="1:45" ht="13.9">
      <c r="A801" s="764"/>
      <c r="B801" s="764"/>
      <c r="C801" s="764"/>
      <c r="D801" s="764"/>
      <c r="E801" s="764"/>
      <c r="F801" s="764"/>
      <c r="G801" s="764"/>
      <c r="H801" s="764"/>
      <c r="I801" s="764"/>
      <c r="J801" s="764"/>
      <c r="K801" s="764"/>
      <c r="L801" s="764"/>
      <c r="M801" s="764"/>
      <c r="N801" s="773"/>
      <c r="O801" s="764"/>
      <c r="P801" s="764"/>
      <c r="Q801" s="764"/>
      <c r="R801" s="764"/>
      <c r="S801" s="764"/>
      <c r="T801" s="764"/>
      <c r="U801" s="764"/>
      <c r="V801" s="764"/>
      <c r="W801" s="764"/>
      <c r="X801" s="764"/>
      <c r="Y801" s="764"/>
      <c r="Z801" s="764"/>
      <c r="AA801" s="764"/>
      <c r="AB801" s="764"/>
      <c r="AC801" s="764"/>
      <c r="AD801" s="794"/>
      <c r="AE801" s="764"/>
      <c r="AF801" s="764"/>
      <c r="AG801" s="764"/>
      <c r="AH801" s="764"/>
      <c r="AI801" s="764"/>
      <c r="AJ801" s="764"/>
      <c r="AK801" s="764"/>
      <c r="AL801" s="764"/>
      <c r="AM801" s="764"/>
      <c r="AN801" s="764"/>
      <c r="AO801" s="764"/>
      <c r="AP801" s="764"/>
      <c r="AQ801" s="764"/>
      <c r="AR801" s="764"/>
      <c r="AS801" s="764"/>
    </row>
    <row r="802" spans="1:45" ht="13.9">
      <c r="A802" s="764"/>
      <c r="B802" s="764"/>
      <c r="C802" s="764"/>
      <c r="D802" s="764"/>
      <c r="E802" s="764"/>
      <c r="F802" s="764"/>
      <c r="G802" s="764"/>
      <c r="H802" s="764"/>
      <c r="I802" s="764"/>
      <c r="J802" s="764"/>
      <c r="K802" s="764"/>
      <c r="L802" s="764"/>
      <c r="M802" s="764"/>
      <c r="N802" s="773"/>
      <c r="O802" s="764"/>
      <c r="P802" s="764"/>
      <c r="Q802" s="764"/>
      <c r="R802" s="764"/>
      <c r="S802" s="764"/>
      <c r="T802" s="764"/>
      <c r="U802" s="764"/>
      <c r="V802" s="764"/>
      <c r="W802" s="764"/>
      <c r="X802" s="764"/>
      <c r="Y802" s="764"/>
      <c r="Z802" s="764"/>
      <c r="AA802" s="764"/>
      <c r="AB802" s="764"/>
      <c r="AC802" s="764"/>
      <c r="AD802" s="794"/>
      <c r="AE802" s="764"/>
      <c r="AF802" s="764"/>
      <c r="AG802" s="764"/>
      <c r="AH802" s="764"/>
      <c r="AI802" s="764"/>
      <c r="AJ802" s="764"/>
      <c r="AK802" s="764"/>
      <c r="AL802" s="764"/>
      <c r="AM802" s="764"/>
      <c r="AN802" s="764"/>
      <c r="AO802" s="764"/>
      <c r="AP802" s="764"/>
      <c r="AQ802" s="764"/>
      <c r="AR802" s="764"/>
      <c r="AS802" s="764"/>
    </row>
    <row r="803" spans="1:45" ht="13.9">
      <c r="A803" s="764"/>
      <c r="B803" s="764"/>
      <c r="C803" s="764"/>
      <c r="D803" s="764"/>
      <c r="E803" s="764"/>
      <c r="F803" s="764"/>
      <c r="G803" s="764"/>
      <c r="H803" s="764"/>
      <c r="I803" s="764"/>
      <c r="J803" s="764"/>
      <c r="K803" s="764"/>
      <c r="L803" s="764"/>
      <c r="M803" s="764"/>
      <c r="N803" s="773"/>
      <c r="O803" s="764"/>
      <c r="P803" s="764"/>
      <c r="Q803" s="764"/>
      <c r="R803" s="764"/>
      <c r="S803" s="764"/>
      <c r="T803" s="764"/>
      <c r="U803" s="764"/>
      <c r="V803" s="764"/>
      <c r="W803" s="764"/>
      <c r="X803" s="764"/>
      <c r="Y803" s="764"/>
      <c r="Z803" s="764"/>
      <c r="AA803" s="764"/>
      <c r="AB803" s="764"/>
      <c r="AC803" s="764"/>
      <c r="AD803" s="794"/>
      <c r="AE803" s="764"/>
      <c r="AF803" s="764"/>
      <c r="AG803" s="764"/>
      <c r="AH803" s="764"/>
      <c r="AI803" s="764"/>
      <c r="AJ803" s="764"/>
      <c r="AK803" s="764"/>
      <c r="AL803" s="764"/>
      <c r="AM803" s="764"/>
      <c r="AN803" s="764"/>
      <c r="AO803" s="764"/>
      <c r="AP803" s="764"/>
      <c r="AQ803" s="764"/>
      <c r="AR803" s="764"/>
      <c r="AS803" s="764"/>
    </row>
    <row r="804" spans="1:45" ht="13.9">
      <c r="A804" s="764"/>
      <c r="B804" s="764"/>
      <c r="C804" s="764"/>
      <c r="D804" s="764"/>
      <c r="E804" s="764"/>
      <c r="F804" s="764"/>
      <c r="G804" s="764"/>
      <c r="H804" s="764"/>
      <c r="I804" s="764"/>
      <c r="J804" s="764"/>
      <c r="K804" s="764"/>
      <c r="L804" s="764"/>
      <c r="M804" s="764"/>
      <c r="N804" s="773"/>
      <c r="O804" s="764"/>
      <c r="P804" s="764"/>
      <c r="Q804" s="764"/>
      <c r="R804" s="764"/>
      <c r="S804" s="764"/>
      <c r="T804" s="764"/>
      <c r="U804" s="764"/>
      <c r="V804" s="764"/>
      <c r="W804" s="764"/>
      <c r="X804" s="764"/>
      <c r="Y804" s="764"/>
      <c r="Z804" s="764"/>
      <c r="AA804" s="764"/>
      <c r="AB804" s="764"/>
      <c r="AC804" s="764"/>
      <c r="AD804" s="794"/>
      <c r="AE804" s="764"/>
      <c r="AF804" s="764"/>
      <c r="AG804" s="764"/>
      <c r="AH804" s="764"/>
      <c r="AI804" s="764"/>
      <c r="AJ804" s="764"/>
      <c r="AK804" s="764"/>
      <c r="AL804" s="764"/>
      <c r="AM804" s="764"/>
      <c r="AN804" s="764"/>
      <c r="AO804" s="764"/>
      <c r="AP804" s="764"/>
      <c r="AQ804" s="764"/>
      <c r="AR804" s="764"/>
      <c r="AS804" s="764"/>
    </row>
    <row r="805" spans="1:45" ht="13.9">
      <c r="A805" s="764"/>
      <c r="B805" s="764"/>
      <c r="C805" s="764"/>
      <c r="D805" s="764"/>
      <c r="E805" s="764"/>
      <c r="F805" s="764"/>
      <c r="G805" s="764"/>
      <c r="H805" s="764"/>
      <c r="I805" s="764"/>
      <c r="J805" s="764"/>
      <c r="K805" s="764"/>
      <c r="L805" s="764"/>
      <c r="M805" s="764"/>
      <c r="N805" s="773"/>
      <c r="O805" s="764"/>
      <c r="P805" s="764"/>
      <c r="Q805" s="764"/>
      <c r="R805" s="764"/>
      <c r="S805" s="764"/>
      <c r="T805" s="764"/>
      <c r="U805" s="764"/>
      <c r="V805" s="764"/>
      <c r="W805" s="764"/>
      <c r="X805" s="764"/>
      <c r="Y805" s="764"/>
      <c r="Z805" s="764"/>
      <c r="AA805" s="764"/>
      <c r="AB805" s="764"/>
      <c r="AC805" s="764"/>
      <c r="AD805" s="794"/>
      <c r="AE805" s="764"/>
      <c r="AF805" s="764"/>
      <c r="AG805" s="764"/>
      <c r="AH805" s="764"/>
      <c r="AI805" s="764"/>
      <c r="AJ805" s="764"/>
      <c r="AK805" s="764"/>
      <c r="AL805" s="764"/>
      <c r="AM805" s="764"/>
      <c r="AN805" s="764"/>
      <c r="AO805" s="764"/>
      <c r="AP805" s="764"/>
      <c r="AQ805" s="764"/>
      <c r="AR805" s="764"/>
      <c r="AS805" s="764"/>
    </row>
    <row r="806" spans="1:45" ht="13.9">
      <c r="A806" s="764"/>
      <c r="B806" s="764"/>
      <c r="C806" s="764"/>
      <c r="D806" s="764"/>
      <c r="E806" s="764"/>
      <c r="F806" s="764"/>
      <c r="G806" s="764"/>
      <c r="H806" s="764"/>
      <c r="I806" s="764"/>
      <c r="J806" s="764"/>
      <c r="K806" s="764"/>
      <c r="L806" s="764"/>
      <c r="M806" s="764"/>
      <c r="N806" s="773"/>
      <c r="O806" s="764"/>
      <c r="P806" s="764"/>
      <c r="Q806" s="764"/>
      <c r="R806" s="764"/>
      <c r="S806" s="764"/>
      <c r="T806" s="764"/>
      <c r="U806" s="764"/>
      <c r="V806" s="764"/>
      <c r="W806" s="764"/>
      <c r="X806" s="764"/>
      <c r="Y806" s="764"/>
      <c r="Z806" s="764"/>
      <c r="AA806" s="764"/>
      <c r="AB806" s="764"/>
      <c r="AC806" s="764"/>
      <c r="AD806" s="794"/>
      <c r="AE806" s="764"/>
      <c r="AF806" s="764"/>
      <c r="AG806" s="764"/>
      <c r="AH806" s="764"/>
      <c r="AI806" s="764"/>
      <c r="AJ806" s="764"/>
      <c r="AK806" s="764"/>
      <c r="AL806" s="764"/>
      <c r="AM806" s="764"/>
      <c r="AN806" s="764"/>
      <c r="AO806" s="764"/>
      <c r="AP806" s="764"/>
      <c r="AQ806" s="764"/>
      <c r="AR806" s="764"/>
      <c r="AS806" s="764"/>
    </row>
    <row r="807" spans="1:45" ht="13.9">
      <c r="A807" s="764"/>
      <c r="B807" s="764"/>
      <c r="C807" s="764"/>
      <c r="D807" s="764"/>
      <c r="E807" s="764"/>
      <c r="F807" s="764"/>
      <c r="G807" s="764"/>
      <c r="H807" s="764"/>
      <c r="I807" s="764"/>
      <c r="J807" s="764"/>
      <c r="K807" s="764"/>
      <c r="L807" s="764"/>
      <c r="M807" s="764"/>
      <c r="N807" s="773"/>
      <c r="O807" s="764"/>
      <c r="P807" s="764"/>
      <c r="Q807" s="764"/>
      <c r="R807" s="764"/>
      <c r="S807" s="764"/>
      <c r="T807" s="764"/>
      <c r="U807" s="764"/>
      <c r="V807" s="764"/>
      <c r="W807" s="764"/>
      <c r="X807" s="764"/>
      <c r="Y807" s="764"/>
      <c r="Z807" s="764"/>
      <c r="AA807" s="764"/>
      <c r="AB807" s="764"/>
      <c r="AC807" s="764"/>
      <c r="AD807" s="794"/>
      <c r="AE807" s="764"/>
      <c r="AF807" s="764"/>
      <c r="AG807" s="764"/>
      <c r="AH807" s="764"/>
      <c r="AI807" s="764"/>
      <c r="AJ807" s="764"/>
      <c r="AK807" s="764"/>
      <c r="AL807" s="764"/>
      <c r="AM807" s="764"/>
      <c r="AN807" s="764"/>
      <c r="AO807" s="764"/>
      <c r="AP807" s="764"/>
      <c r="AQ807" s="764"/>
      <c r="AR807" s="764"/>
      <c r="AS807" s="764"/>
    </row>
    <row r="808" spans="1:45" ht="13.9">
      <c r="A808" s="764"/>
      <c r="B808" s="764"/>
      <c r="C808" s="764"/>
      <c r="D808" s="764"/>
      <c r="E808" s="764"/>
      <c r="F808" s="764"/>
      <c r="G808" s="764"/>
      <c r="H808" s="764"/>
      <c r="I808" s="764"/>
      <c r="J808" s="764"/>
      <c r="K808" s="764"/>
      <c r="L808" s="764"/>
      <c r="M808" s="764"/>
      <c r="N808" s="773"/>
      <c r="O808" s="764"/>
      <c r="P808" s="764"/>
      <c r="Q808" s="764"/>
      <c r="R808" s="764"/>
      <c r="S808" s="764"/>
      <c r="T808" s="764"/>
      <c r="U808" s="764"/>
      <c r="V808" s="764"/>
      <c r="W808" s="764"/>
      <c r="X808" s="764"/>
      <c r="Y808" s="764"/>
      <c r="Z808" s="764"/>
      <c r="AA808" s="764"/>
      <c r="AB808" s="764"/>
      <c r="AC808" s="764"/>
      <c r="AD808" s="794"/>
      <c r="AE808" s="764"/>
      <c r="AF808" s="764"/>
      <c r="AG808" s="764"/>
      <c r="AH808" s="764"/>
      <c r="AI808" s="764"/>
      <c r="AJ808" s="764"/>
      <c r="AK808" s="764"/>
      <c r="AL808" s="764"/>
      <c r="AM808" s="764"/>
      <c r="AN808" s="764"/>
      <c r="AO808" s="764"/>
      <c r="AP808" s="764"/>
      <c r="AQ808" s="764"/>
      <c r="AR808" s="764"/>
      <c r="AS808" s="764"/>
    </row>
    <row r="809" spans="1:45" ht="13.9">
      <c r="A809" s="764"/>
      <c r="B809" s="764"/>
      <c r="C809" s="764"/>
      <c r="D809" s="764"/>
      <c r="E809" s="764"/>
      <c r="F809" s="764"/>
      <c r="G809" s="764"/>
      <c r="H809" s="764"/>
      <c r="I809" s="764"/>
      <c r="J809" s="764"/>
      <c r="K809" s="764"/>
      <c r="L809" s="764"/>
      <c r="M809" s="764"/>
      <c r="N809" s="773"/>
      <c r="O809" s="764"/>
      <c r="P809" s="764"/>
      <c r="Q809" s="764"/>
      <c r="R809" s="764"/>
      <c r="S809" s="764"/>
      <c r="T809" s="764"/>
      <c r="U809" s="764"/>
      <c r="V809" s="764"/>
      <c r="W809" s="764"/>
      <c r="X809" s="764"/>
      <c r="Y809" s="764"/>
      <c r="Z809" s="764"/>
      <c r="AA809" s="764"/>
      <c r="AB809" s="764"/>
      <c r="AC809" s="764"/>
      <c r="AD809" s="794"/>
      <c r="AE809" s="764"/>
      <c r="AF809" s="764"/>
      <c r="AG809" s="764"/>
      <c r="AH809" s="764"/>
      <c r="AI809" s="764"/>
      <c r="AJ809" s="764"/>
      <c r="AK809" s="764"/>
      <c r="AL809" s="764"/>
      <c r="AM809" s="764"/>
      <c r="AN809" s="764"/>
      <c r="AO809" s="764"/>
      <c r="AP809" s="764"/>
      <c r="AQ809" s="764"/>
      <c r="AR809" s="764"/>
      <c r="AS809" s="764"/>
    </row>
    <row r="810" spans="1:45" ht="13.9">
      <c r="A810" s="764"/>
      <c r="B810" s="764"/>
      <c r="C810" s="764"/>
      <c r="D810" s="764"/>
      <c r="E810" s="764"/>
      <c r="F810" s="764"/>
      <c r="G810" s="764"/>
      <c r="H810" s="764"/>
      <c r="I810" s="764"/>
      <c r="J810" s="764"/>
      <c r="K810" s="764"/>
      <c r="L810" s="764"/>
      <c r="M810" s="764"/>
      <c r="N810" s="773"/>
      <c r="O810" s="764"/>
      <c r="P810" s="764"/>
      <c r="Q810" s="764"/>
      <c r="R810" s="764"/>
      <c r="S810" s="764"/>
      <c r="T810" s="764"/>
      <c r="U810" s="764"/>
      <c r="V810" s="764"/>
      <c r="W810" s="764"/>
      <c r="X810" s="764"/>
      <c r="Y810" s="764"/>
      <c r="Z810" s="764"/>
      <c r="AA810" s="764"/>
      <c r="AB810" s="764"/>
      <c r="AC810" s="764"/>
      <c r="AD810" s="794"/>
      <c r="AE810" s="764"/>
      <c r="AF810" s="764"/>
      <c r="AG810" s="764"/>
      <c r="AH810" s="764"/>
      <c r="AI810" s="764"/>
      <c r="AJ810" s="764"/>
      <c r="AK810" s="764"/>
      <c r="AL810" s="764"/>
      <c r="AM810" s="764"/>
      <c r="AN810" s="764"/>
      <c r="AO810" s="764"/>
      <c r="AP810" s="764"/>
      <c r="AQ810" s="764"/>
      <c r="AR810" s="764"/>
      <c r="AS810" s="764"/>
    </row>
    <row r="811" spans="1:45" ht="13.9">
      <c r="A811" s="764"/>
      <c r="B811" s="764"/>
      <c r="C811" s="764"/>
      <c r="D811" s="764"/>
      <c r="E811" s="764"/>
      <c r="F811" s="764"/>
      <c r="G811" s="764"/>
      <c r="H811" s="764"/>
      <c r="I811" s="764"/>
      <c r="J811" s="764"/>
      <c r="K811" s="764"/>
      <c r="L811" s="764"/>
      <c r="M811" s="764"/>
      <c r="N811" s="773"/>
      <c r="O811" s="764"/>
      <c r="P811" s="764"/>
      <c r="Q811" s="764"/>
      <c r="R811" s="764"/>
      <c r="S811" s="764"/>
      <c r="T811" s="764"/>
      <c r="U811" s="764"/>
      <c r="V811" s="764"/>
      <c r="W811" s="764"/>
      <c r="X811" s="764"/>
      <c r="Y811" s="764"/>
      <c r="Z811" s="764"/>
      <c r="AA811" s="764"/>
      <c r="AB811" s="764"/>
      <c r="AC811" s="764"/>
      <c r="AD811" s="794"/>
      <c r="AE811" s="764"/>
      <c r="AF811" s="764"/>
      <c r="AG811" s="764"/>
      <c r="AH811" s="764"/>
      <c r="AI811" s="764"/>
      <c r="AJ811" s="764"/>
      <c r="AK811" s="764"/>
      <c r="AL811" s="764"/>
      <c r="AM811" s="764"/>
      <c r="AN811" s="764"/>
      <c r="AO811" s="764"/>
      <c r="AP811" s="764"/>
      <c r="AQ811" s="764"/>
      <c r="AR811" s="764"/>
      <c r="AS811" s="764"/>
    </row>
    <row r="812" spans="1:45" ht="13.9">
      <c r="A812" s="764"/>
      <c r="B812" s="764"/>
      <c r="C812" s="764"/>
      <c r="D812" s="764"/>
      <c r="E812" s="764"/>
      <c r="F812" s="764"/>
      <c r="G812" s="764"/>
      <c r="H812" s="764"/>
      <c r="I812" s="764"/>
      <c r="J812" s="764"/>
      <c r="K812" s="764"/>
      <c r="L812" s="764"/>
      <c r="M812" s="764"/>
      <c r="N812" s="773"/>
      <c r="O812" s="764"/>
      <c r="P812" s="764"/>
      <c r="Q812" s="764"/>
      <c r="R812" s="764"/>
      <c r="S812" s="764"/>
      <c r="T812" s="764"/>
      <c r="U812" s="764"/>
      <c r="V812" s="764"/>
      <c r="W812" s="764"/>
      <c r="X812" s="764"/>
      <c r="Y812" s="764"/>
      <c r="Z812" s="764"/>
      <c r="AA812" s="764"/>
      <c r="AB812" s="764"/>
      <c r="AC812" s="764"/>
      <c r="AD812" s="794"/>
      <c r="AE812" s="764"/>
      <c r="AF812" s="764"/>
      <c r="AG812" s="764"/>
      <c r="AH812" s="764"/>
      <c r="AI812" s="764"/>
      <c r="AJ812" s="764"/>
      <c r="AK812" s="764"/>
      <c r="AL812" s="764"/>
      <c r="AM812" s="764"/>
      <c r="AN812" s="764"/>
      <c r="AO812" s="764"/>
      <c r="AP812" s="764"/>
      <c r="AQ812" s="764"/>
      <c r="AR812" s="764"/>
      <c r="AS812" s="764"/>
    </row>
    <row r="813" spans="1:45" ht="13.9">
      <c r="A813" s="764"/>
      <c r="B813" s="764"/>
      <c r="C813" s="764"/>
      <c r="D813" s="764"/>
      <c r="E813" s="764"/>
      <c r="F813" s="764"/>
      <c r="G813" s="764"/>
      <c r="H813" s="764"/>
      <c r="I813" s="764"/>
      <c r="J813" s="764"/>
      <c r="K813" s="764"/>
      <c r="L813" s="764"/>
      <c r="M813" s="764"/>
      <c r="N813" s="773"/>
      <c r="O813" s="764"/>
      <c r="P813" s="764"/>
      <c r="Q813" s="764"/>
      <c r="R813" s="764"/>
      <c r="S813" s="764"/>
      <c r="T813" s="764"/>
      <c r="U813" s="764"/>
      <c r="V813" s="764"/>
      <c r="W813" s="764"/>
      <c r="X813" s="764"/>
      <c r="Y813" s="764"/>
      <c r="Z813" s="764"/>
      <c r="AA813" s="764"/>
      <c r="AB813" s="764"/>
      <c r="AC813" s="764"/>
      <c r="AD813" s="794"/>
      <c r="AE813" s="764"/>
      <c r="AF813" s="764"/>
      <c r="AG813" s="764"/>
      <c r="AH813" s="764"/>
      <c r="AI813" s="764"/>
      <c r="AJ813" s="764"/>
      <c r="AK813" s="764"/>
      <c r="AL813" s="764"/>
      <c r="AM813" s="764"/>
      <c r="AN813" s="764"/>
      <c r="AO813" s="764"/>
      <c r="AP813" s="764"/>
      <c r="AQ813" s="764"/>
      <c r="AR813" s="764"/>
      <c r="AS813" s="764"/>
    </row>
    <row r="814" spans="1:45" ht="13.9">
      <c r="A814" s="764"/>
      <c r="B814" s="764"/>
      <c r="C814" s="764"/>
      <c r="D814" s="764"/>
      <c r="E814" s="764"/>
      <c r="F814" s="764"/>
      <c r="G814" s="764"/>
      <c r="H814" s="764"/>
      <c r="I814" s="764"/>
      <c r="J814" s="764"/>
      <c r="K814" s="764"/>
      <c r="L814" s="764"/>
      <c r="M814" s="764"/>
      <c r="N814" s="773"/>
      <c r="O814" s="764"/>
      <c r="P814" s="764"/>
      <c r="Q814" s="764"/>
      <c r="R814" s="764"/>
      <c r="S814" s="764"/>
      <c r="T814" s="764"/>
      <c r="U814" s="764"/>
      <c r="V814" s="764"/>
      <c r="W814" s="764"/>
      <c r="X814" s="764"/>
      <c r="Y814" s="764"/>
      <c r="Z814" s="764"/>
      <c r="AA814" s="764"/>
      <c r="AB814" s="764"/>
      <c r="AC814" s="764"/>
      <c r="AD814" s="794"/>
      <c r="AE814" s="764"/>
      <c r="AF814" s="764"/>
      <c r="AG814" s="764"/>
      <c r="AH814" s="764"/>
      <c r="AI814" s="764"/>
      <c r="AJ814" s="764"/>
      <c r="AK814" s="764"/>
      <c r="AL814" s="764"/>
      <c r="AM814" s="764"/>
      <c r="AN814" s="764"/>
      <c r="AO814" s="764"/>
      <c r="AP814" s="764"/>
      <c r="AQ814" s="764"/>
      <c r="AR814" s="764"/>
      <c r="AS814" s="764"/>
    </row>
    <row r="815" spans="1:45" ht="13.9">
      <c r="A815" s="764"/>
      <c r="B815" s="764"/>
      <c r="C815" s="764"/>
      <c r="D815" s="764"/>
      <c r="E815" s="764"/>
      <c r="F815" s="764"/>
      <c r="G815" s="764"/>
      <c r="H815" s="764"/>
      <c r="I815" s="764"/>
      <c r="J815" s="764"/>
      <c r="K815" s="764"/>
      <c r="L815" s="764"/>
      <c r="M815" s="764"/>
      <c r="N815" s="773"/>
      <c r="O815" s="764"/>
      <c r="P815" s="764"/>
      <c r="Q815" s="764"/>
      <c r="R815" s="764"/>
      <c r="S815" s="764"/>
      <c r="T815" s="764"/>
      <c r="U815" s="764"/>
      <c r="V815" s="764"/>
      <c r="W815" s="764"/>
      <c r="X815" s="764"/>
      <c r="Y815" s="764"/>
      <c r="Z815" s="764"/>
      <c r="AA815" s="764"/>
      <c r="AB815" s="764"/>
      <c r="AC815" s="764"/>
      <c r="AD815" s="794"/>
      <c r="AE815" s="764"/>
      <c r="AF815" s="764"/>
      <c r="AG815" s="764"/>
      <c r="AH815" s="764"/>
      <c r="AI815" s="764"/>
      <c r="AJ815" s="764"/>
      <c r="AK815" s="764"/>
      <c r="AL815" s="764"/>
      <c r="AM815" s="764"/>
      <c r="AN815" s="764"/>
      <c r="AO815" s="764"/>
      <c r="AP815" s="764"/>
      <c r="AQ815" s="764"/>
      <c r="AR815" s="764"/>
      <c r="AS815" s="764"/>
    </row>
    <row r="816" spans="1:45" ht="13.9">
      <c r="A816" s="764"/>
      <c r="B816" s="764"/>
      <c r="C816" s="764"/>
      <c r="D816" s="764"/>
      <c r="E816" s="764"/>
      <c r="F816" s="764"/>
      <c r="G816" s="764"/>
      <c r="H816" s="764"/>
      <c r="I816" s="764"/>
      <c r="J816" s="764"/>
      <c r="K816" s="764"/>
      <c r="L816" s="764"/>
      <c r="M816" s="764"/>
      <c r="N816" s="773"/>
      <c r="O816" s="764"/>
      <c r="P816" s="764"/>
      <c r="Q816" s="764"/>
      <c r="R816" s="764"/>
      <c r="S816" s="764"/>
      <c r="T816" s="764"/>
      <c r="U816" s="764"/>
      <c r="V816" s="764"/>
      <c r="W816" s="764"/>
      <c r="X816" s="764"/>
      <c r="Y816" s="764"/>
      <c r="Z816" s="764"/>
      <c r="AA816" s="764"/>
      <c r="AB816" s="764"/>
      <c r="AC816" s="764"/>
      <c r="AD816" s="794"/>
      <c r="AE816" s="764"/>
      <c r="AF816" s="764"/>
      <c r="AG816" s="764"/>
      <c r="AH816" s="764"/>
      <c r="AI816" s="764"/>
      <c r="AJ816" s="764"/>
      <c r="AK816" s="764"/>
      <c r="AL816" s="764"/>
      <c r="AM816" s="764"/>
      <c r="AN816" s="764"/>
      <c r="AO816" s="764"/>
      <c r="AP816" s="764"/>
      <c r="AQ816" s="764"/>
      <c r="AR816" s="764"/>
      <c r="AS816" s="764"/>
    </row>
    <row r="817" spans="1:45" ht="13.9">
      <c r="A817" s="764"/>
      <c r="B817" s="764"/>
      <c r="C817" s="764"/>
      <c r="D817" s="764"/>
      <c r="E817" s="764"/>
      <c r="F817" s="764"/>
      <c r="G817" s="764"/>
      <c r="H817" s="764"/>
      <c r="I817" s="764"/>
      <c r="J817" s="764"/>
      <c r="K817" s="764"/>
      <c r="L817" s="764"/>
      <c r="M817" s="764"/>
      <c r="N817" s="773"/>
      <c r="O817" s="764"/>
      <c r="P817" s="764"/>
      <c r="Q817" s="764"/>
      <c r="R817" s="764"/>
      <c r="S817" s="764"/>
      <c r="T817" s="764"/>
      <c r="U817" s="764"/>
      <c r="V817" s="764"/>
      <c r="W817" s="764"/>
      <c r="X817" s="764"/>
      <c r="Y817" s="764"/>
      <c r="Z817" s="764"/>
      <c r="AA817" s="764"/>
      <c r="AB817" s="764"/>
      <c r="AC817" s="764"/>
      <c r="AD817" s="794"/>
      <c r="AE817" s="764"/>
      <c r="AF817" s="764"/>
      <c r="AG817" s="764"/>
      <c r="AH817" s="764"/>
      <c r="AI817" s="764"/>
      <c r="AJ817" s="764"/>
      <c r="AK817" s="764"/>
      <c r="AL817" s="764"/>
      <c r="AM817" s="764"/>
      <c r="AN817" s="764"/>
      <c r="AO817" s="764"/>
      <c r="AP817" s="764"/>
      <c r="AQ817" s="764"/>
      <c r="AR817" s="764"/>
      <c r="AS817" s="764"/>
    </row>
    <row r="818" spans="1:45" ht="13.9">
      <c r="A818" s="764"/>
      <c r="B818" s="764"/>
      <c r="C818" s="764"/>
      <c r="D818" s="764"/>
      <c r="E818" s="764"/>
      <c r="F818" s="764"/>
      <c r="G818" s="764"/>
      <c r="H818" s="764"/>
      <c r="I818" s="764"/>
      <c r="J818" s="764"/>
      <c r="K818" s="764"/>
      <c r="L818" s="764"/>
      <c r="M818" s="764"/>
      <c r="N818" s="773"/>
      <c r="O818" s="764"/>
      <c r="P818" s="764"/>
      <c r="Q818" s="764"/>
      <c r="R818" s="764"/>
      <c r="S818" s="764"/>
      <c r="T818" s="764"/>
      <c r="U818" s="764"/>
      <c r="V818" s="764"/>
      <c r="W818" s="764"/>
      <c r="X818" s="764"/>
      <c r="Y818" s="764"/>
      <c r="Z818" s="764"/>
      <c r="AA818" s="764"/>
      <c r="AB818" s="764"/>
      <c r="AC818" s="764"/>
      <c r="AD818" s="794"/>
      <c r="AE818" s="764"/>
      <c r="AF818" s="764"/>
      <c r="AG818" s="764"/>
      <c r="AH818" s="764"/>
      <c r="AI818" s="764"/>
      <c r="AJ818" s="764"/>
      <c r="AK818" s="764"/>
      <c r="AL818" s="764"/>
      <c r="AM818" s="764"/>
      <c r="AN818" s="764"/>
      <c r="AO818" s="764"/>
      <c r="AP818" s="764"/>
      <c r="AQ818" s="764"/>
      <c r="AR818" s="764"/>
      <c r="AS818" s="764"/>
    </row>
    <row r="819" spans="1:45" ht="13.9">
      <c r="A819" s="764"/>
      <c r="B819" s="764"/>
      <c r="C819" s="764"/>
      <c r="D819" s="764"/>
      <c r="E819" s="764"/>
      <c r="F819" s="764"/>
      <c r="G819" s="764"/>
      <c r="H819" s="764"/>
      <c r="I819" s="764"/>
      <c r="J819" s="764"/>
      <c r="K819" s="764"/>
      <c r="L819" s="764"/>
      <c r="M819" s="764"/>
      <c r="N819" s="773"/>
      <c r="O819" s="764"/>
      <c r="P819" s="764"/>
      <c r="Q819" s="764"/>
      <c r="R819" s="764"/>
      <c r="S819" s="764"/>
      <c r="T819" s="764"/>
      <c r="U819" s="764"/>
      <c r="V819" s="764"/>
      <c r="W819" s="764"/>
      <c r="X819" s="764"/>
      <c r="Y819" s="764"/>
      <c r="Z819" s="764"/>
      <c r="AA819" s="764"/>
      <c r="AB819" s="764"/>
      <c r="AC819" s="764"/>
      <c r="AD819" s="794"/>
      <c r="AE819" s="764"/>
      <c r="AF819" s="764"/>
      <c r="AG819" s="764"/>
      <c r="AH819" s="764"/>
      <c r="AI819" s="764"/>
      <c r="AJ819" s="764"/>
      <c r="AK819" s="764"/>
      <c r="AL819" s="764"/>
      <c r="AM819" s="764"/>
      <c r="AN819" s="764"/>
      <c r="AO819" s="764"/>
      <c r="AP819" s="764"/>
      <c r="AQ819" s="764"/>
      <c r="AR819" s="764"/>
      <c r="AS819" s="764"/>
    </row>
    <row r="820" spans="1:45" ht="13.9">
      <c r="A820" s="764"/>
      <c r="B820" s="764"/>
      <c r="C820" s="764"/>
      <c r="D820" s="764"/>
      <c r="E820" s="764"/>
      <c r="F820" s="764"/>
      <c r="G820" s="764"/>
      <c r="H820" s="764"/>
      <c r="I820" s="764"/>
      <c r="J820" s="764"/>
      <c r="K820" s="764"/>
      <c r="L820" s="764"/>
      <c r="M820" s="764"/>
      <c r="N820" s="773"/>
      <c r="O820" s="764"/>
      <c r="P820" s="764"/>
      <c r="Q820" s="764"/>
      <c r="R820" s="764"/>
      <c r="S820" s="764"/>
      <c r="T820" s="764"/>
      <c r="U820" s="764"/>
      <c r="V820" s="764"/>
      <c r="W820" s="764"/>
      <c r="X820" s="764"/>
      <c r="Y820" s="764"/>
      <c r="Z820" s="764"/>
      <c r="AA820" s="764"/>
      <c r="AB820" s="764"/>
      <c r="AC820" s="764"/>
      <c r="AD820" s="794"/>
      <c r="AE820" s="764"/>
      <c r="AF820" s="764"/>
      <c r="AG820" s="764"/>
      <c r="AH820" s="764"/>
      <c r="AI820" s="764"/>
      <c r="AJ820" s="764"/>
      <c r="AK820" s="764"/>
      <c r="AL820" s="764"/>
      <c r="AM820" s="764"/>
      <c r="AN820" s="764"/>
      <c r="AO820" s="764"/>
      <c r="AP820" s="764"/>
      <c r="AQ820" s="764"/>
      <c r="AR820" s="764"/>
      <c r="AS820" s="764"/>
    </row>
    <row r="821" spans="1:45" ht="13.9">
      <c r="A821" s="764"/>
      <c r="B821" s="764"/>
      <c r="C821" s="764"/>
      <c r="D821" s="764"/>
      <c r="E821" s="764"/>
      <c r="F821" s="764"/>
      <c r="G821" s="764"/>
      <c r="H821" s="764"/>
      <c r="I821" s="764"/>
      <c r="J821" s="764"/>
      <c r="K821" s="764"/>
      <c r="L821" s="764"/>
      <c r="M821" s="764"/>
      <c r="N821" s="773"/>
      <c r="O821" s="764"/>
      <c r="P821" s="764"/>
      <c r="Q821" s="764"/>
      <c r="R821" s="764"/>
      <c r="S821" s="764"/>
      <c r="T821" s="764"/>
      <c r="U821" s="764"/>
      <c r="V821" s="764"/>
      <c r="W821" s="764"/>
      <c r="X821" s="764"/>
      <c r="Y821" s="764"/>
      <c r="Z821" s="764"/>
      <c r="AA821" s="764"/>
      <c r="AB821" s="764"/>
      <c r="AC821" s="764"/>
      <c r="AD821" s="794"/>
      <c r="AE821" s="764"/>
      <c r="AF821" s="764"/>
      <c r="AG821" s="764"/>
      <c r="AH821" s="764"/>
      <c r="AI821" s="764"/>
      <c r="AJ821" s="764"/>
      <c r="AK821" s="764"/>
      <c r="AL821" s="764"/>
      <c r="AM821" s="764"/>
      <c r="AN821" s="764"/>
      <c r="AO821" s="764"/>
      <c r="AP821" s="764"/>
      <c r="AQ821" s="764"/>
      <c r="AR821" s="764"/>
      <c r="AS821" s="764"/>
    </row>
    <row r="822" spans="1:45" ht="13.9">
      <c r="A822" s="764"/>
      <c r="B822" s="764"/>
      <c r="C822" s="764"/>
      <c r="D822" s="764"/>
      <c r="E822" s="764"/>
      <c r="F822" s="764"/>
      <c r="G822" s="764"/>
      <c r="H822" s="764"/>
      <c r="I822" s="764"/>
      <c r="J822" s="764"/>
      <c r="K822" s="764"/>
      <c r="L822" s="764"/>
      <c r="M822" s="764"/>
      <c r="N822" s="773"/>
      <c r="O822" s="764"/>
      <c r="P822" s="764"/>
      <c r="Q822" s="764"/>
      <c r="R822" s="764"/>
      <c r="S822" s="764"/>
      <c r="T822" s="764"/>
      <c r="U822" s="764"/>
      <c r="V822" s="764"/>
      <c r="W822" s="764"/>
      <c r="X822" s="764"/>
      <c r="Y822" s="764"/>
      <c r="Z822" s="764"/>
      <c r="AA822" s="764"/>
      <c r="AB822" s="764"/>
      <c r="AC822" s="764"/>
      <c r="AD822" s="794"/>
      <c r="AE822" s="764"/>
      <c r="AF822" s="764"/>
      <c r="AG822" s="764"/>
      <c r="AH822" s="764"/>
      <c r="AI822" s="764"/>
      <c r="AJ822" s="764"/>
      <c r="AK822" s="764"/>
      <c r="AL822" s="764"/>
      <c r="AM822" s="764"/>
      <c r="AN822" s="764"/>
      <c r="AO822" s="764"/>
      <c r="AP822" s="764"/>
      <c r="AQ822" s="764"/>
      <c r="AR822" s="764"/>
      <c r="AS822" s="764"/>
    </row>
    <row r="823" spans="1:45" ht="13.9">
      <c r="A823" s="764"/>
      <c r="B823" s="764"/>
      <c r="C823" s="764"/>
      <c r="D823" s="764"/>
      <c r="E823" s="764"/>
      <c r="F823" s="764"/>
      <c r="G823" s="764"/>
      <c r="H823" s="764"/>
      <c r="I823" s="764"/>
      <c r="J823" s="764"/>
      <c r="K823" s="764"/>
      <c r="L823" s="764"/>
      <c r="M823" s="764"/>
      <c r="N823" s="773"/>
      <c r="O823" s="764"/>
      <c r="P823" s="764"/>
      <c r="Q823" s="764"/>
      <c r="R823" s="764"/>
      <c r="S823" s="764"/>
      <c r="T823" s="764"/>
      <c r="U823" s="764"/>
      <c r="V823" s="764"/>
      <c r="W823" s="764"/>
      <c r="X823" s="764"/>
      <c r="Y823" s="764"/>
      <c r="Z823" s="764"/>
      <c r="AA823" s="764"/>
      <c r="AB823" s="764"/>
      <c r="AC823" s="764"/>
      <c r="AD823" s="794"/>
      <c r="AE823" s="764"/>
      <c r="AF823" s="764"/>
      <c r="AG823" s="764"/>
      <c r="AH823" s="764"/>
      <c r="AI823" s="764"/>
      <c r="AJ823" s="764"/>
      <c r="AK823" s="764"/>
      <c r="AL823" s="764"/>
      <c r="AM823" s="764"/>
      <c r="AN823" s="764"/>
      <c r="AO823" s="764"/>
      <c r="AP823" s="764"/>
      <c r="AQ823" s="764"/>
      <c r="AR823" s="764"/>
      <c r="AS823" s="764"/>
    </row>
    <row r="824" spans="1:45" ht="13.9">
      <c r="A824" s="764"/>
      <c r="B824" s="764"/>
      <c r="C824" s="764"/>
      <c r="D824" s="764"/>
      <c r="E824" s="764"/>
      <c r="F824" s="764"/>
      <c r="G824" s="764"/>
      <c r="H824" s="764"/>
      <c r="I824" s="764"/>
      <c r="J824" s="764"/>
      <c r="K824" s="764"/>
      <c r="L824" s="764"/>
      <c r="M824" s="764"/>
      <c r="N824" s="773"/>
      <c r="O824" s="764"/>
      <c r="P824" s="764"/>
      <c r="Q824" s="764"/>
      <c r="R824" s="764"/>
      <c r="S824" s="764"/>
      <c r="T824" s="764"/>
      <c r="U824" s="764"/>
      <c r="V824" s="764"/>
      <c r="W824" s="764"/>
      <c r="X824" s="764"/>
      <c r="Y824" s="764"/>
      <c r="Z824" s="764"/>
      <c r="AA824" s="764"/>
      <c r="AB824" s="764"/>
      <c r="AC824" s="764"/>
      <c r="AD824" s="794"/>
      <c r="AE824" s="764"/>
      <c r="AF824" s="764"/>
      <c r="AG824" s="764"/>
      <c r="AH824" s="764"/>
      <c r="AI824" s="764"/>
      <c r="AJ824" s="764"/>
      <c r="AK824" s="764"/>
      <c r="AL824" s="764"/>
      <c r="AM824" s="764"/>
      <c r="AN824" s="764"/>
      <c r="AO824" s="764"/>
      <c r="AP824" s="764"/>
      <c r="AQ824" s="764"/>
      <c r="AR824" s="764"/>
      <c r="AS824" s="764"/>
    </row>
    <row r="825" spans="1:45" ht="13.9">
      <c r="A825" s="764"/>
      <c r="B825" s="764"/>
      <c r="C825" s="764"/>
      <c r="D825" s="764"/>
      <c r="E825" s="764"/>
      <c r="F825" s="764"/>
      <c r="G825" s="764"/>
      <c r="H825" s="764"/>
      <c r="I825" s="764"/>
      <c r="J825" s="764"/>
      <c r="K825" s="764"/>
      <c r="L825" s="764"/>
      <c r="M825" s="764"/>
      <c r="N825" s="773"/>
      <c r="O825" s="764"/>
      <c r="P825" s="764"/>
      <c r="Q825" s="764"/>
      <c r="R825" s="764"/>
      <c r="S825" s="764"/>
      <c r="T825" s="764"/>
      <c r="U825" s="764"/>
      <c r="V825" s="764"/>
      <c r="W825" s="764"/>
      <c r="X825" s="764"/>
      <c r="Y825" s="764"/>
      <c r="Z825" s="764"/>
      <c r="AA825" s="764"/>
      <c r="AB825" s="764"/>
      <c r="AC825" s="764"/>
      <c r="AD825" s="794"/>
      <c r="AE825" s="764"/>
      <c r="AF825" s="764"/>
      <c r="AG825" s="764"/>
      <c r="AH825" s="764"/>
      <c r="AI825" s="764"/>
      <c r="AJ825" s="764"/>
      <c r="AK825" s="764"/>
      <c r="AL825" s="764"/>
      <c r="AM825" s="764"/>
      <c r="AN825" s="764"/>
      <c r="AO825" s="764"/>
      <c r="AP825" s="764"/>
      <c r="AQ825" s="764"/>
      <c r="AR825" s="764"/>
      <c r="AS825" s="764"/>
    </row>
    <row r="826" spans="1:45" ht="13.9">
      <c r="A826" s="764"/>
      <c r="B826" s="764"/>
      <c r="C826" s="764"/>
      <c r="D826" s="764"/>
      <c r="E826" s="764"/>
      <c r="F826" s="764"/>
      <c r="G826" s="764"/>
      <c r="H826" s="764"/>
      <c r="I826" s="764"/>
      <c r="J826" s="764"/>
      <c r="K826" s="764"/>
      <c r="L826" s="764"/>
      <c r="M826" s="764"/>
      <c r="N826" s="773"/>
      <c r="O826" s="764"/>
      <c r="P826" s="764"/>
      <c r="Q826" s="764"/>
      <c r="R826" s="764"/>
      <c r="S826" s="764"/>
      <c r="T826" s="764"/>
      <c r="U826" s="764"/>
      <c r="V826" s="764"/>
      <c r="W826" s="764"/>
      <c r="X826" s="764"/>
      <c r="Y826" s="764"/>
      <c r="Z826" s="764"/>
      <c r="AA826" s="764"/>
      <c r="AB826" s="764"/>
      <c r="AC826" s="764"/>
      <c r="AD826" s="794"/>
      <c r="AE826" s="764"/>
      <c r="AF826" s="764"/>
      <c r="AG826" s="764"/>
      <c r="AH826" s="764"/>
      <c r="AI826" s="764"/>
      <c r="AJ826" s="764"/>
      <c r="AK826" s="764"/>
      <c r="AL826" s="764"/>
      <c r="AM826" s="764"/>
      <c r="AN826" s="764"/>
      <c r="AO826" s="764"/>
      <c r="AP826" s="764"/>
      <c r="AQ826" s="764"/>
      <c r="AR826" s="764"/>
      <c r="AS826" s="764"/>
    </row>
    <row r="827" spans="1:45" ht="13.9">
      <c r="A827" s="764"/>
      <c r="B827" s="764"/>
      <c r="C827" s="764"/>
      <c r="D827" s="764"/>
      <c r="E827" s="764"/>
      <c r="F827" s="764"/>
      <c r="G827" s="764"/>
      <c r="H827" s="764"/>
      <c r="I827" s="764"/>
      <c r="J827" s="764"/>
      <c r="K827" s="764"/>
      <c r="L827" s="764"/>
      <c r="M827" s="764"/>
      <c r="N827" s="773"/>
      <c r="O827" s="764"/>
      <c r="P827" s="764"/>
      <c r="Q827" s="764"/>
      <c r="R827" s="764"/>
      <c r="S827" s="764"/>
      <c r="T827" s="764"/>
      <c r="U827" s="764"/>
      <c r="V827" s="764"/>
      <c r="W827" s="764"/>
      <c r="X827" s="764"/>
      <c r="Y827" s="764"/>
      <c r="Z827" s="764"/>
      <c r="AA827" s="764"/>
      <c r="AB827" s="764"/>
      <c r="AC827" s="764"/>
      <c r="AD827" s="794"/>
      <c r="AE827" s="764"/>
      <c r="AF827" s="764"/>
      <c r="AG827" s="764"/>
      <c r="AH827" s="764"/>
      <c r="AI827" s="764"/>
      <c r="AJ827" s="764"/>
      <c r="AK827" s="764"/>
      <c r="AL827" s="764"/>
      <c r="AM827" s="764"/>
      <c r="AN827" s="764"/>
      <c r="AO827" s="764"/>
      <c r="AP827" s="764"/>
      <c r="AQ827" s="764"/>
      <c r="AR827" s="764"/>
      <c r="AS827" s="764"/>
    </row>
    <row r="828" spans="1:45" ht="13.9">
      <c r="A828" s="764"/>
      <c r="B828" s="764"/>
      <c r="C828" s="764"/>
      <c r="D828" s="764"/>
      <c r="E828" s="764"/>
      <c r="F828" s="764"/>
      <c r="G828" s="764"/>
      <c r="H828" s="764"/>
      <c r="I828" s="764"/>
      <c r="J828" s="764"/>
      <c r="K828" s="764"/>
      <c r="L828" s="764"/>
      <c r="M828" s="764"/>
      <c r="N828" s="773"/>
      <c r="O828" s="764"/>
      <c r="P828" s="764"/>
      <c r="Q828" s="764"/>
      <c r="R828" s="764"/>
      <c r="S828" s="764"/>
      <c r="T828" s="764"/>
      <c r="U828" s="764"/>
      <c r="V828" s="764"/>
      <c r="W828" s="764"/>
      <c r="X828" s="764"/>
      <c r="Y828" s="764"/>
      <c r="Z828" s="764"/>
      <c r="AA828" s="764"/>
      <c r="AB828" s="764"/>
      <c r="AC828" s="764"/>
      <c r="AD828" s="794"/>
      <c r="AE828" s="764"/>
      <c r="AF828" s="764"/>
      <c r="AG828" s="764"/>
      <c r="AH828" s="764"/>
      <c r="AI828" s="764"/>
      <c r="AJ828" s="764"/>
      <c r="AK828" s="764"/>
      <c r="AL828" s="764"/>
      <c r="AM828" s="764"/>
      <c r="AN828" s="764"/>
      <c r="AO828" s="764"/>
      <c r="AP828" s="764"/>
      <c r="AQ828" s="764"/>
      <c r="AR828" s="764"/>
      <c r="AS828" s="764"/>
    </row>
    <row r="829" spans="1:45" ht="13.9">
      <c r="A829" s="764"/>
      <c r="B829" s="764"/>
      <c r="C829" s="764"/>
      <c r="D829" s="764"/>
      <c r="E829" s="764"/>
      <c r="F829" s="764"/>
      <c r="G829" s="764"/>
      <c r="H829" s="764"/>
      <c r="I829" s="764"/>
      <c r="J829" s="764"/>
      <c r="K829" s="764"/>
      <c r="L829" s="764"/>
      <c r="M829" s="764"/>
      <c r="N829" s="773"/>
      <c r="O829" s="764"/>
      <c r="P829" s="764"/>
      <c r="Q829" s="764"/>
      <c r="R829" s="764"/>
      <c r="S829" s="764"/>
      <c r="T829" s="764"/>
      <c r="U829" s="764"/>
      <c r="V829" s="764"/>
      <c r="W829" s="764"/>
      <c r="X829" s="764"/>
      <c r="Y829" s="764"/>
      <c r="Z829" s="764"/>
      <c r="AA829" s="764"/>
      <c r="AB829" s="764"/>
      <c r="AC829" s="764"/>
      <c r="AD829" s="794"/>
      <c r="AE829" s="764"/>
      <c r="AF829" s="764"/>
      <c r="AG829" s="764"/>
      <c r="AH829" s="764"/>
      <c r="AI829" s="764"/>
      <c r="AJ829" s="764"/>
      <c r="AK829" s="764"/>
      <c r="AL829" s="764"/>
      <c r="AM829" s="764"/>
      <c r="AN829" s="764"/>
      <c r="AO829" s="764"/>
      <c r="AP829" s="764"/>
      <c r="AQ829" s="764"/>
      <c r="AR829" s="764"/>
      <c r="AS829" s="764"/>
    </row>
    <row r="830" spans="1:45" ht="13.9">
      <c r="A830" s="764"/>
      <c r="B830" s="764"/>
      <c r="C830" s="764"/>
      <c r="D830" s="764"/>
      <c r="E830" s="764"/>
      <c r="F830" s="764"/>
      <c r="G830" s="764"/>
      <c r="H830" s="764"/>
      <c r="I830" s="764"/>
      <c r="J830" s="764"/>
      <c r="K830" s="764"/>
      <c r="L830" s="764"/>
      <c r="M830" s="764"/>
      <c r="N830" s="773"/>
      <c r="O830" s="764"/>
      <c r="P830" s="764"/>
      <c r="Q830" s="764"/>
      <c r="R830" s="764"/>
      <c r="S830" s="764"/>
      <c r="T830" s="764"/>
      <c r="U830" s="764"/>
      <c r="V830" s="764"/>
      <c r="W830" s="764"/>
      <c r="X830" s="764"/>
      <c r="Y830" s="764"/>
      <c r="Z830" s="764"/>
      <c r="AA830" s="764"/>
      <c r="AB830" s="764"/>
      <c r="AC830" s="764"/>
      <c r="AD830" s="794"/>
      <c r="AE830" s="764"/>
      <c r="AF830" s="764"/>
      <c r="AG830" s="764"/>
      <c r="AH830" s="764"/>
      <c r="AI830" s="764"/>
      <c r="AJ830" s="764"/>
      <c r="AK830" s="764"/>
      <c r="AL830" s="764"/>
      <c r="AM830" s="764"/>
      <c r="AN830" s="764"/>
      <c r="AO830" s="764"/>
      <c r="AP830" s="764"/>
      <c r="AQ830" s="764"/>
      <c r="AR830" s="764"/>
      <c r="AS830" s="764"/>
    </row>
    <row r="831" spans="1:45" ht="13.9">
      <c r="A831" s="764"/>
      <c r="B831" s="764"/>
      <c r="C831" s="764"/>
      <c r="D831" s="764"/>
      <c r="E831" s="764"/>
      <c r="F831" s="764"/>
      <c r="G831" s="764"/>
      <c r="H831" s="764"/>
      <c r="I831" s="764"/>
      <c r="J831" s="764"/>
      <c r="K831" s="764"/>
      <c r="L831" s="764"/>
      <c r="M831" s="764"/>
      <c r="N831" s="773"/>
      <c r="O831" s="764"/>
      <c r="P831" s="764"/>
      <c r="Q831" s="764"/>
      <c r="R831" s="764"/>
      <c r="S831" s="764"/>
      <c r="T831" s="764"/>
      <c r="U831" s="764"/>
      <c r="V831" s="764"/>
      <c r="W831" s="764"/>
      <c r="X831" s="764"/>
      <c r="Y831" s="764"/>
      <c r="Z831" s="764"/>
      <c r="AA831" s="764"/>
      <c r="AB831" s="764"/>
      <c r="AC831" s="764"/>
      <c r="AD831" s="794"/>
      <c r="AE831" s="764"/>
      <c r="AF831" s="764"/>
      <c r="AG831" s="764"/>
      <c r="AH831" s="764"/>
      <c r="AI831" s="764"/>
      <c r="AJ831" s="764"/>
      <c r="AK831" s="764"/>
      <c r="AL831" s="764"/>
      <c r="AM831" s="764"/>
      <c r="AN831" s="764"/>
      <c r="AO831" s="764"/>
      <c r="AP831" s="764"/>
      <c r="AQ831" s="764"/>
      <c r="AR831" s="764"/>
      <c r="AS831" s="764"/>
    </row>
    <row r="832" spans="1:45" ht="13.9">
      <c r="A832" s="764"/>
      <c r="B832" s="764"/>
      <c r="C832" s="764"/>
      <c r="D832" s="764"/>
      <c r="E832" s="764"/>
      <c r="F832" s="764"/>
      <c r="G832" s="764"/>
      <c r="H832" s="764"/>
      <c r="I832" s="764"/>
      <c r="J832" s="764"/>
      <c r="K832" s="764"/>
      <c r="L832" s="764"/>
      <c r="M832" s="764"/>
      <c r="N832" s="773"/>
      <c r="O832" s="764"/>
      <c r="P832" s="764"/>
      <c r="Q832" s="764"/>
      <c r="R832" s="764"/>
      <c r="S832" s="764"/>
      <c r="T832" s="764"/>
      <c r="U832" s="764"/>
      <c r="V832" s="764"/>
      <c r="W832" s="764"/>
      <c r="X832" s="764"/>
      <c r="Y832" s="764"/>
      <c r="Z832" s="764"/>
      <c r="AA832" s="764"/>
      <c r="AB832" s="764"/>
      <c r="AC832" s="764"/>
      <c r="AD832" s="794"/>
      <c r="AE832" s="764"/>
      <c r="AF832" s="764"/>
      <c r="AG832" s="764"/>
      <c r="AH832" s="764"/>
      <c r="AI832" s="764"/>
      <c r="AJ832" s="764"/>
      <c r="AK832" s="764"/>
      <c r="AL832" s="764"/>
      <c r="AM832" s="764"/>
      <c r="AN832" s="764"/>
      <c r="AO832" s="764"/>
      <c r="AP832" s="764"/>
      <c r="AQ832" s="764"/>
      <c r="AR832" s="764"/>
      <c r="AS832" s="764"/>
    </row>
    <row r="833" spans="1:45" ht="13.9">
      <c r="A833" s="764"/>
      <c r="B833" s="764"/>
      <c r="C833" s="764"/>
      <c r="D833" s="764"/>
      <c r="E833" s="764"/>
      <c r="F833" s="764"/>
      <c r="G833" s="764"/>
      <c r="H833" s="764"/>
      <c r="I833" s="764"/>
      <c r="J833" s="764"/>
      <c r="K833" s="764"/>
      <c r="L833" s="764"/>
      <c r="M833" s="764"/>
      <c r="N833" s="773"/>
      <c r="O833" s="764"/>
      <c r="P833" s="764"/>
      <c r="Q833" s="764"/>
      <c r="R833" s="764"/>
      <c r="S833" s="764"/>
      <c r="T833" s="764"/>
      <c r="U833" s="764"/>
      <c r="V833" s="764"/>
      <c r="W833" s="764"/>
      <c r="X833" s="764"/>
      <c r="Y833" s="764"/>
      <c r="Z833" s="764"/>
      <c r="AA833" s="764"/>
      <c r="AB833" s="764"/>
      <c r="AC833" s="764"/>
      <c r="AD833" s="794"/>
      <c r="AE833" s="764"/>
      <c r="AF833" s="764"/>
      <c r="AG833" s="764"/>
      <c r="AH833" s="764"/>
      <c r="AI833" s="764"/>
      <c r="AJ833" s="764"/>
      <c r="AK833" s="764"/>
      <c r="AL833" s="764"/>
      <c r="AM833" s="764"/>
      <c r="AN833" s="764"/>
      <c r="AO833" s="764"/>
      <c r="AP833" s="764"/>
      <c r="AQ833" s="764"/>
      <c r="AR833" s="764"/>
      <c r="AS833" s="764"/>
    </row>
    <row r="834" spans="1:45" ht="13.9">
      <c r="A834" s="764"/>
      <c r="B834" s="764"/>
      <c r="C834" s="764"/>
      <c r="D834" s="764"/>
      <c r="E834" s="764"/>
      <c r="F834" s="764"/>
      <c r="G834" s="764"/>
      <c r="H834" s="764"/>
      <c r="I834" s="764"/>
      <c r="J834" s="764"/>
      <c r="K834" s="764"/>
      <c r="L834" s="764"/>
      <c r="M834" s="764"/>
      <c r="N834" s="773"/>
      <c r="O834" s="764"/>
      <c r="P834" s="764"/>
      <c r="Q834" s="764"/>
      <c r="R834" s="764"/>
      <c r="S834" s="764"/>
      <c r="T834" s="764"/>
      <c r="U834" s="764"/>
      <c r="V834" s="764"/>
      <c r="W834" s="764"/>
      <c r="X834" s="764"/>
      <c r="Y834" s="764"/>
      <c r="Z834" s="764"/>
      <c r="AA834" s="764"/>
      <c r="AB834" s="764"/>
      <c r="AC834" s="764"/>
      <c r="AD834" s="794"/>
      <c r="AE834" s="764"/>
      <c r="AF834" s="764"/>
      <c r="AG834" s="764"/>
      <c r="AH834" s="764"/>
      <c r="AI834" s="764"/>
      <c r="AJ834" s="764"/>
      <c r="AK834" s="764"/>
      <c r="AL834" s="764"/>
      <c r="AM834" s="764"/>
      <c r="AN834" s="764"/>
      <c r="AO834" s="764"/>
      <c r="AP834" s="764"/>
      <c r="AQ834" s="764"/>
      <c r="AR834" s="764"/>
      <c r="AS834" s="764"/>
    </row>
    <row r="835" spans="1:45" ht="13.9">
      <c r="A835" s="764"/>
      <c r="B835" s="764"/>
      <c r="C835" s="764"/>
      <c r="D835" s="764"/>
      <c r="E835" s="764"/>
      <c r="F835" s="764"/>
      <c r="G835" s="764"/>
      <c r="H835" s="764"/>
      <c r="I835" s="764"/>
      <c r="J835" s="764"/>
      <c r="K835" s="764"/>
      <c r="L835" s="764"/>
      <c r="M835" s="764"/>
      <c r="N835" s="773"/>
      <c r="O835" s="764"/>
      <c r="P835" s="764"/>
      <c r="Q835" s="764"/>
      <c r="R835" s="764"/>
      <c r="S835" s="764"/>
      <c r="T835" s="764"/>
      <c r="U835" s="764"/>
      <c r="V835" s="764"/>
      <c r="W835" s="764"/>
      <c r="X835" s="764"/>
      <c r="Y835" s="764"/>
      <c r="Z835" s="764"/>
      <c r="AA835" s="764"/>
      <c r="AB835" s="764"/>
      <c r="AC835" s="764"/>
      <c r="AD835" s="794"/>
      <c r="AE835" s="764"/>
      <c r="AF835" s="764"/>
      <c r="AG835" s="764"/>
      <c r="AH835" s="764"/>
      <c r="AI835" s="764"/>
      <c r="AJ835" s="764"/>
      <c r="AK835" s="764"/>
      <c r="AL835" s="764"/>
      <c r="AM835" s="764"/>
      <c r="AN835" s="764"/>
      <c r="AO835" s="764"/>
      <c r="AP835" s="764"/>
      <c r="AQ835" s="764"/>
      <c r="AR835" s="764"/>
      <c r="AS835" s="764"/>
    </row>
    <row r="836" spans="1:45" ht="13.9">
      <c r="A836" s="764"/>
      <c r="B836" s="764"/>
      <c r="C836" s="764"/>
      <c r="D836" s="764"/>
      <c r="E836" s="764"/>
      <c r="F836" s="764"/>
      <c r="G836" s="764"/>
      <c r="H836" s="764"/>
      <c r="I836" s="764"/>
      <c r="J836" s="764"/>
      <c r="K836" s="764"/>
      <c r="L836" s="764"/>
      <c r="M836" s="764"/>
      <c r="N836" s="773"/>
      <c r="O836" s="764"/>
      <c r="P836" s="764"/>
      <c r="Q836" s="764"/>
      <c r="R836" s="764"/>
      <c r="S836" s="764"/>
      <c r="T836" s="764"/>
      <c r="U836" s="764"/>
      <c r="V836" s="764"/>
      <c r="W836" s="764"/>
      <c r="X836" s="764"/>
      <c r="Y836" s="764"/>
      <c r="Z836" s="764"/>
      <c r="AA836" s="764"/>
      <c r="AB836" s="764"/>
      <c r="AC836" s="764"/>
      <c r="AD836" s="794"/>
      <c r="AE836" s="764"/>
      <c r="AF836" s="764"/>
      <c r="AG836" s="764"/>
      <c r="AH836" s="764"/>
      <c r="AI836" s="764"/>
      <c r="AJ836" s="764"/>
      <c r="AK836" s="764"/>
      <c r="AL836" s="764"/>
      <c r="AM836" s="764"/>
      <c r="AN836" s="764"/>
      <c r="AO836" s="764"/>
      <c r="AP836" s="764"/>
      <c r="AQ836" s="764"/>
      <c r="AR836" s="764"/>
      <c r="AS836" s="764"/>
    </row>
    <row r="837" spans="1:45" ht="13.9">
      <c r="A837" s="764"/>
      <c r="B837" s="764"/>
      <c r="C837" s="764"/>
      <c r="D837" s="764"/>
      <c r="E837" s="764"/>
      <c r="F837" s="764"/>
      <c r="G837" s="764"/>
      <c r="H837" s="764"/>
      <c r="I837" s="764"/>
      <c r="J837" s="764"/>
      <c r="K837" s="764"/>
      <c r="L837" s="764"/>
      <c r="M837" s="764"/>
      <c r="N837" s="773"/>
      <c r="O837" s="764"/>
      <c r="P837" s="764"/>
      <c r="Q837" s="764"/>
      <c r="R837" s="764"/>
      <c r="S837" s="764"/>
      <c r="T837" s="764"/>
      <c r="U837" s="764"/>
      <c r="V837" s="764"/>
      <c r="W837" s="764"/>
      <c r="X837" s="764"/>
      <c r="Y837" s="764"/>
      <c r="Z837" s="764"/>
      <c r="AA837" s="764"/>
      <c r="AB837" s="764"/>
      <c r="AC837" s="764"/>
      <c r="AD837" s="794"/>
      <c r="AE837" s="764"/>
      <c r="AF837" s="764"/>
      <c r="AG837" s="764"/>
      <c r="AH837" s="764"/>
      <c r="AI837" s="764"/>
      <c r="AJ837" s="764"/>
      <c r="AK837" s="764"/>
      <c r="AL837" s="764"/>
      <c r="AM837" s="764"/>
      <c r="AN837" s="764"/>
      <c r="AO837" s="764"/>
      <c r="AP837" s="764"/>
      <c r="AQ837" s="764"/>
      <c r="AR837" s="764"/>
      <c r="AS837" s="764"/>
    </row>
    <row r="838" spans="1:45" ht="13.9">
      <c r="A838" s="764"/>
      <c r="B838" s="764"/>
      <c r="C838" s="764"/>
      <c r="D838" s="764"/>
      <c r="E838" s="764"/>
      <c r="F838" s="764"/>
      <c r="G838" s="764"/>
      <c r="H838" s="764"/>
      <c r="I838" s="764"/>
      <c r="J838" s="764"/>
      <c r="K838" s="764"/>
      <c r="L838" s="764"/>
      <c r="M838" s="764"/>
      <c r="N838" s="773"/>
      <c r="O838" s="764"/>
      <c r="P838" s="764"/>
      <c r="Q838" s="764"/>
      <c r="R838" s="764"/>
      <c r="S838" s="764"/>
      <c r="T838" s="764"/>
      <c r="U838" s="764"/>
      <c r="V838" s="764"/>
      <c r="W838" s="764"/>
      <c r="X838" s="764"/>
      <c r="Y838" s="764"/>
      <c r="Z838" s="764"/>
      <c r="AA838" s="764"/>
      <c r="AB838" s="764"/>
      <c r="AC838" s="764"/>
      <c r="AD838" s="794"/>
      <c r="AE838" s="764"/>
      <c r="AF838" s="764"/>
      <c r="AG838" s="764"/>
      <c r="AH838" s="764"/>
      <c r="AI838" s="764"/>
      <c r="AJ838" s="764"/>
      <c r="AK838" s="764"/>
      <c r="AL838" s="764"/>
      <c r="AM838" s="764"/>
      <c r="AN838" s="764"/>
      <c r="AO838" s="764"/>
      <c r="AP838" s="764"/>
      <c r="AQ838" s="764"/>
      <c r="AR838" s="764"/>
      <c r="AS838" s="764"/>
    </row>
    <row r="839" spans="1:45" ht="13.9">
      <c r="A839" s="764"/>
      <c r="B839" s="764"/>
      <c r="C839" s="764"/>
      <c r="D839" s="764"/>
      <c r="E839" s="764"/>
      <c r="F839" s="764"/>
      <c r="G839" s="764"/>
      <c r="H839" s="764"/>
      <c r="I839" s="764"/>
      <c r="J839" s="764"/>
      <c r="K839" s="764"/>
      <c r="L839" s="764"/>
      <c r="M839" s="764"/>
      <c r="N839" s="773"/>
      <c r="O839" s="764"/>
      <c r="P839" s="764"/>
      <c r="Q839" s="764"/>
      <c r="R839" s="764"/>
      <c r="S839" s="764"/>
      <c r="T839" s="764"/>
      <c r="U839" s="764"/>
      <c r="V839" s="764"/>
      <c r="W839" s="764"/>
      <c r="X839" s="764"/>
      <c r="Y839" s="764"/>
      <c r="Z839" s="764"/>
      <c r="AA839" s="764"/>
      <c r="AB839" s="764"/>
      <c r="AC839" s="764"/>
      <c r="AD839" s="794"/>
      <c r="AE839" s="764"/>
      <c r="AF839" s="764"/>
      <c r="AG839" s="764"/>
      <c r="AH839" s="764"/>
      <c r="AI839" s="764"/>
      <c r="AJ839" s="764"/>
      <c r="AK839" s="764"/>
      <c r="AL839" s="764"/>
      <c r="AM839" s="764"/>
      <c r="AN839" s="764"/>
      <c r="AO839" s="764"/>
      <c r="AP839" s="764"/>
      <c r="AQ839" s="764"/>
      <c r="AR839" s="764"/>
      <c r="AS839" s="764"/>
    </row>
    <row r="840" spans="1:45" ht="13.9">
      <c r="A840" s="764"/>
      <c r="B840" s="764"/>
      <c r="C840" s="764"/>
      <c r="D840" s="764"/>
      <c r="E840" s="764"/>
      <c r="F840" s="764"/>
      <c r="G840" s="764"/>
      <c r="H840" s="764"/>
      <c r="I840" s="764"/>
      <c r="J840" s="764"/>
      <c r="K840" s="764"/>
      <c r="L840" s="764"/>
      <c r="M840" s="764"/>
      <c r="N840" s="773"/>
      <c r="O840" s="764"/>
      <c r="P840" s="764"/>
      <c r="Q840" s="764"/>
      <c r="R840" s="764"/>
      <c r="S840" s="764"/>
      <c r="T840" s="764"/>
      <c r="U840" s="764"/>
      <c r="V840" s="764"/>
      <c r="W840" s="764"/>
      <c r="X840" s="764"/>
      <c r="Y840" s="764"/>
      <c r="Z840" s="764"/>
      <c r="AA840" s="764"/>
      <c r="AB840" s="764"/>
      <c r="AC840" s="764"/>
      <c r="AD840" s="794"/>
      <c r="AE840" s="764"/>
      <c r="AF840" s="764"/>
      <c r="AG840" s="764"/>
      <c r="AH840" s="764"/>
      <c r="AI840" s="764"/>
      <c r="AJ840" s="764"/>
      <c r="AK840" s="764"/>
      <c r="AL840" s="764"/>
      <c r="AM840" s="764"/>
      <c r="AN840" s="764"/>
      <c r="AO840" s="764"/>
      <c r="AP840" s="764"/>
      <c r="AQ840" s="764"/>
      <c r="AR840" s="764"/>
      <c r="AS840" s="764"/>
    </row>
    <row r="841" spans="1:45" ht="13.9">
      <c r="A841" s="764"/>
      <c r="B841" s="764"/>
      <c r="C841" s="764"/>
      <c r="D841" s="764"/>
      <c r="E841" s="764"/>
      <c r="F841" s="764"/>
      <c r="G841" s="764"/>
      <c r="H841" s="764"/>
      <c r="I841" s="764"/>
      <c r="J841" s="764"/>
      <c r="K841" s="764"/>
      <c r="L841" s="764"/>
      <c r="M841" s="764"/>
      <c r="N841" s="773"/>
      <c r="O841" s="764"/>
      <c r="P841" s="764"/>
      <c r="Q841" s="764"/>
      <c r="R841" s="764"/>
      <c r="S841" s="764"/>
      <c r="T841" s="764"/>
      <c r="U841" s="764"/>
      <c r="V841" s="764"/>
      <c r="W841" s="764"/>
      <c r="X841" s="764"/>
      <c r="Y841" s="764"/>
      <c r="Z841" s="764"/>
      <c r="AA841" s="764"/>
      <c r="AB841" s="764"/>
      <c r="AC841" s="764"/>
      <c r="AD841" s="794"/>
      <c r="AE841" s="764"/>
      <c r="AF841" s="764"/>
      <c r="AG841" s="764"/>
      <c r="AH841" s="764"/>
      <c r="AI841" s="764"/>
      <c r="AJ841" s="764"/>
      <c r="AK841" s="764"/>
      <c r="AL841" s="764"/>
      <c r="AM841" s="764"/>
      <c r="AN841" s="764"/>
      <c r="AO841" s="764"/>
      <c r="AP841" s="764"/>
      <c r="AQ841" s="764"/>
      <c r="AR841" s="764"/>
      <c r="AS841" s="764"/>
    </row>
    <row r="842" spans="1:45" ht="13.9">
      <c r="A842" s="764"/>
      <c r="B842" s="764"/>
      <c r="C842" s="764"/>
      <c r="D842" s="764"/>
      <c r="E842" s="764"/>
      <c r="F842" s="764"/>
      <c r="G842" s="764"/>
      <c r="H842" s="764"/>
      <c r="I842" s="764"/>
      <c r="J842" s="764"/>
      <c r="K842" s="764"/>
      <c r="L842" s="764"/>
      <c r="M842" s="764"/>
      <c r="N842" s="773"/>
      <c r="O842" s="764"/>
      <c r="P842" s="764"/>
      <c r="Q842" s="764"/>
      <c r="R842" s="764"/>
      <c r="S842" s="764"/>
      <c r="T842" s="764"/>
      <c r="U842" s="764"/>
      <c r="V842" s="764"/>
      <c r="W842" s="764"/>
      <c r="X842" s="764"/>
      <c r="Y842" s="764"/>
      <c r="Z842" s="764"/>
      <c r="AA842" s="764"/>
      <c r="AB842" s="764"/>
      <c r="AC842" s="764"/>
      <c r="AD842" s="794"/>
      <c r="AE842" s="764"/>
      <c r="AF842" s="764"/>
      <c r="AG842" s="764"/>
      <c r="AH842" s="764"/>
      <c r="AI842" s="764"/>
      <c r="AJ842" s="764"/>
      <c r="AK842" s="764"/>
      <c r="AL842" s="764"/>
      <c r="AM842" s="764"/>
      <c r="AN842" s="764"/>
      <c r="AO842" s="764"/>
      <c r="AP842" s="764"/>
      <c r="AQ842" s="764"/>
      <c r="AR842" s="764"/>
      <c r="AS842" s="764"/>
    </row>
    <row r="843" spans="1:45" ht="13.9">
      <c r="A843" s="764"/>
      <c r="B843" s="764"/>
      <c r="C843" s="764"/>
      <c r="D843" s="764"/>
      <c r="E843" s="764"/>
      <c r="F843" s="764"/>
      <c r="G843" s="764"/>
      <c r="H843" s="764"/>
      <c r="I843" s="764"/>
      <c r="J843" s="764"/>
      <c r="K843" s="764"/>
      <c r="L843" s="764"/>
      <c r="M843" s="764"/>
      <c r="N843" s="773"/>
      <c r="O843" s="764"/>
      <c r="P843" s="764"/>
      <c r="Q843" s="764"/>
      <c r="R843" s="764"/>
      <c r="S843" s="764"/>
      <c r="T843" s="764"/>
      <c r="U843" s="764"/>
      <c r="V843" s="764"/>
      <c r="W843" s="764"/>
      <c r="X843" s="764"/>
      <c r="Y843" s="764"/>
      <c r="Z843" s="764"/>
      <c r="AA843" s="764"/>
      <c r="AB843" s="764"/>
      <c r="AC843" s="764"/>
      <c r="AD843" s="794"/>
      <c r="AE843" s="764"/>
      <c r="AF843" s="764"/>
      <c r="AG843" s="764"/>
      <c r="AH843" s="764"/>
      <c r="AI843" s="764"/>
      <c r="AJ843" s="764"/>
      <c r="AK843" s="764"/>
      <c r="AL843" s="764"/>
      <c r="AM843" s="764"/>
      <c r="AN843" s="764"/>
      <c r="AO843" s="764"/>
      <c r="AP843" s="764"/>
      <c r="AQ843" s="764"/>
      <c r="AR843" s="764"/>
      <c r="AS843" s="764"/>
    </row>
    <row r="844" spans="1:45" ht="13.9">
      <c r="A844" s="764"/>
      <c r="B844" s="764"/>
      <c r="C844" s="764"/>
      <c r="D844" s="764"/>
      <c r="E844" s="764"/>
      <c r="F844" s="764"/>
      <c r="G844" s="764"/>
      <c r="H844" s="764"/>
      <c r="I844" s="764"/>
      <c r="J844" s="764"/>
      <c r="K844" s="764"/>
      <c r="L844" s="764"/>
      <c r="M844" s="764"/>
      <c r="N844" s="773"/>
      <c r="O844" s="764"/>
      <c r="P844" s="764"/>
      <c r="Q844" s="764"/>
      <c r="R844" s="764"/>
      <c r="S844" s="764"/>
      <c r="T844" s="764"/>
      <c r="U844" s="764"/>
      <c r="V844" s="764"/>
      <c r="W844" s="764"/>
      <c r="X844" s="764"/>
      <c r="Y844" s="764"/>
      <c r="Z844" s="764"/>
      <c r="AA844" s="764"/>
      <c r="AB844" s="764"/>
      <c r="AC844" s="764"/>
      <c r="AD844" s="794"/>
      <c r="AE844" s="764"/>
      <c r="AF844" s="764"/>
      <c r="AG844" s="764"/>
      <c r="AH844" s="764"/>
      <c r="AI844" s="764"/>
      <c r="AJ844" s="764"/>
      <c r="AK844" s="764"/>
      <c r="AL844" s="764"/>
      <c r="AM844" s="764"/>
      <c r="AN844" s="764"/>
      <c r="AO844" s="764"/>
      <c r="AP844" s="764"/>
      <c r="AQ844" s="764"/>
      <c r="AR844" s="764"/>
      <c r="AS844" s="764"/>
    </row>
    <row r="845" spans="1:45" ht="13.9">
      <c r="A845" s="764"/>
      <c r="B845" s="764"/>
      <c r="C845" s="764"/>
      <c r="D845" s="764"/>
      <c r="E845" s="764"/>
      <c r="F845" s="764"/>
      <c r="G845" s="764"/>
      <c r="H845" s="764"/>
      <c r="I845" s="764"/>
      <c r="J845" s="764"/>
      <c r="K845" s="764"/>
      <c r="L845" s="764"/>
      <c r="M845" s="764"/>
      <c r="N845" s="773"/>
      <c r="O845" s="764"/>
      <c r="P845" s="764"/>
      <c r="Q845" s="764"/>
      <c r="R845" s="764"/>
      <c r="S845" s="764"/>
      <c r="T845" s="764"/>
      <c r="U845" s="764"/>
      <c r="V845" s="764"/>
      <c r="W845" s="764"/>
      <c r="X845" s="764"/>
      <c r="Y845" s="764"/>
      <c r="Z845" s="764"/>
      <c r="AA845" s="764"/>
      <c r="AB845" s="764"/>
      <c r="AC845" s="764"/>
      <c r="AD845" s="794"/>
      <c r="AE845" s="764"/>
      <c r="AF845" s="764"/>
      <c r="AG845" s="764"/>
      <c r="AH845" s="764"/>
      <c r="AI845" s="764"/>
      <c r="AJ845" s="764"/>
      <c r="AK845" s="764"/>
      <c r="AL845" s="764"/>
      <c r="AM845" s="764"/>
      <c r="AN845" s="764"/>
      <c r="AO845" s="764"/>
      <c r="AP845" s="764"/>
      <c r="AQ845" s="764"/>
      <c r="AR845" s="764"/>
      <c r="AS845" s="764"/>
    </row>
    <row r="846" spans="1:45" ht="13.9">
      <c r="A846" s="764"/>
      <c r="B846" s="764"/>
      <c r="C846" s="764"/>
      <c r="D846" s="764"/>
      <c r="E846" s="764"/>
      <c r="F846" s="764"/>
      <c r="G846" s="764"/>
      <c r="H846" s="764"/>
      <c r="I846" s="764"/>
      <c r="J846" s="764"/>
      <c r="K846" s="764"/>
      <c r="L846" s="764"/>
      <c r="M846" s="764"/>
      <c r="N846" s="773"/>
      <c r="O846" s="764"/>
      <c r="P846" s="764"/>
      <c r="Q846" s="764"/>
      <c r="R846" s="764"/>
      <c r="S846" s="764"/>
      <c r="T846" s="764"/>
      <c r="U846" s="764"/>
      <c r="V846" s="764"/>
      <c r="W846" s="764"/>
      <c r="X846" s="764"/>
      <c r="Y846" s="764"/>
      <c r="Z846" s="764"/>
      <c r="AA846" s="764"/>
      <c r="AB846" s="764"/>
      <c r="AC846" s="764"/>
      <c r="AD846" s="794"/>
      <c r="AE846" s="764"/>
      <c r="AF846" s="764"/>
      <c r="AG846" s="764"/>
      <c r="AH846" s="764"/>
      <c r="AI846" s="764"/>
      <c r="AJ846" s="764"/>
      <c r="AK846" s="764"/>
      <c r="AL846" s="764"/>
      <c r="AM846" s="764"/>
      <c r="AN846" s="764"/>
      <c r="AO846" s="764"/>
      <c r="AP846" s="764"/>
      <c r="AQ846" s="764"/>
      <c r="AR846" s="764"/>
      <c r="AS846" s="764"/>
    </row>
    <row r="847" spans="1:45" ht="13.9">
      <c r="A847" s="764"/>
      <c r="B847" s="764"/>
      <c r="C847" s="764"/>
      <c r="D847" s="764"/>
      <c r="E847" s="764"/>
      <c r="F847" s="764"/>
      <c r="G847" s="764"/>
      <c r="H847" s="764"/>
      <c r="I847" s="764"/>
      <c r="J847" s="764"/>
      <c r="K847" s="764"/>
      <c r="L847" s="764"/>
      <c r="M847" s="764"/>
      <c r="N847" s="773"/>
      <c r="O847" s="764"/>
      <c r="P847" s="764"/>
      <c r="Q847" s="764"/>
      <c r="R847" s="764"/>
      <c r="S847" s="764"/>
      <c r="T847" s="764"/>
      <c r="U847" s="764"/>
      <c r="V847" s="764"/>
      <c r="W847" s="764"/>
      <c r="X847" s="764"/>
      <c r="Y847" s="764"/>
      <c r="Z847" s="764"/>
      <c r="AA847" s="764"/>
      <c r="AB847" s="764"/>
      <c r="AC847" s="764"/>
      <c r="AD847" s="794"/>
      <c r="AE847" s="764"/>
      <c r="AF847" s="764"/>
      <c r="AG847" s="764"/>
      <c r="AH847" s="764"/>
      <c r="AI847" s="764"/>
      <c r="AJ847" s="764"/>
      <c r="AK847" s="764"/>
      <c r="AL847" s="764"/>
      <c r="AM847" s="764"/>
      <c r="AN847" s="764"/>
      <c r="AO847" s="764"/>
      <c r="AP847" s="764"/>
      <c r="AQ847" s="764"/>
      <c r="AR847" s="764"/>
      <c r="AS847" s="764"/>
    </row>
    <row r="848" spans="1:45" ht="13.9">
      <c r="A848" s="764"/>
      <c r="B848" s="764"/>
      <c r="C848" s="764"/>
      <c r="D848" s="764"/>
      <c r="E848" s="764"/>
      <c r="F848" s="764"/>
      <c r="G848" s="764"/>
      <c r="H848" s="764"/>
      <c r="I848" s="764"/>
      <c r="J848" s="764"/>
      <c r="K848" s="764"/>
      <c r="L848" s="764"/>
      <c r="M848" s="764"/>
      <c r="N848" s="773"/>
      <c r="O848" s="764"/>
      <c r="P848" s="764"/>
      <c r="Q848" s="764"/>
      <c r="R848" s="764"/>
      <c r="S848" s="764"/>
      <c r="T848" s="764"/>
      <c r="U848" s="764"/>
      <c r="V848" s="764"/>
      <c r="W848" s="764"/>
      <c r="X848" s="764"/>
      <c r="Y848" s="764"/>
      <c r="Z848" s="764"/>
      <c r="AA848" s="764"/>
      <c r="AB848" s="764"/>
      <c r="AC848" s="764"/>
      <c r="AD848" s="794"/>
      <c r="AE848" s="764"/>
      <c r="AF848" s="764"/>
      <c r="AG848" s="764"/>
      <c r="AH848" s="764"/>
      <c r="AI848" s="764"/>
      <c r="AJ848" s="764"/>
      <c r="AK848" s="764"/>
      <c r="AL848" s="764"/>
      <c r="AM848" s="764"/>
      <c r="AN848" s="764"/>
      <c r="AO848" s="764"/>
      <c r="AP848" s="764"/>
      <c r="AQ848" s="764"/>
      <c r="AR848" s="764"/>
      <c r="AS848" s="764"/>
    </row>
    <row r="849" spans="1:45" ht="13.9">
      <c r="A849" s="764"/>
      <c r="B849" s="764"/>
      <c r="C849" s="764"/>
      <c r="D849" s="764"/>
      <c r="E849" s="764"/>
      <c r="F849" s="764"/>
      <c r="G849" s="764"/>
      <c r="H849" s="764"/>
      <c r="I849" s="764"/>
      <c r="J849" s="764"/>
      <c r="K849" s="764"/>
      <c r="L849" s="764"/>
      <c r="M849" s="764"/>
      <c r="N849" s="773"/>
      <c r="O849" s="764"/>
      <c r="P849" s="764"/>
      <c r="Q849" s="764"/>
      <c r="R849" s="764"/>
      <c r="S849" s="764"/>
      <c r="T849" s="764"/>
      <c r="U849" s="764"/>
      <c r="V849" s="764"/>
      <c r="W849" s="764"/>
      <c r="X849" s="764"/>
      <c r="Y849" s="764"/>
      <c r="Z849" s="764"/>
      <c r="AA849" s="764"/>
      <c r="AB849" s="764"/>
      <c r="AC849" s="764"/>
      <c r="AD849" s="794"/>
      <c r="AE849" s="764"/>
      <c r="AF849" s="764"/>
      <c r="AG849" s="764"/>
      <c r="AH849" s="764"/>
      <c r="AI849" s="764"/>
      <c r="AJ849" s="764"/>
      <c r="AK849" s="764"/>
      <c r="AL849" s="764"/>
      <c r="AM849" s="764"/>
      <c r="AN849" s="764"/>
      <c r="AO849" s="764"/>
      <c r="AP849" s="764"/>
      <c r="AQ849" s="764"/>
      <c r="AR849" s="764"/>
      <c r="AS849" s="764"/>
    </row>
    <row r="850" spans="1:45" ht="13.9">
      <c r="A850" s="764"/>
      <c r="B850" s="764"/>
      <c r="C850" s="764"/>
      <c r="D850" s="764"/>
      <c r="E850" s="764"/>
      <c r="F850" s="764"/>
      <c r="G850" s="764"/>
      <c r="H850" s="764"/>
      <c r="I850" s="764"/>
      <c r="J850" s="764"/>
      <c r="K850" s="764"/>
      <c r="L850" s="764"/>
      <c r="M850" s="764"/>
      <c r="N850" s="773"/>
      <c r="O850" s="764"/>
      <c r="P850" s="764"/>
      <c r="Q850" s="764"/>
      <c r="R850" s="764"/>
      <c r="S850" s="764"/>
      <c r="T850" s="764"/>
      <c r="U850" s="764"/>
      <c r="V850" s="764"/>
      <c r="W850" s="764"/>
      <c r="X850" s="764"/>
      <c r="Y850" s="764"/>
      <c r="Z850" s="764"/>
      <c r="AA850" s="764"/>
      <c r="AB850" s="764"/>
      <c r="AC850" s="764"/>
      <c r="AD850" s="794"/>
      <c r="AE850" s="764"/>
      <c r="AF850" s="764"/>
      <c r="AG850" s="764"/>
      <c r="AH850" s="764"/>
      <c r="AI850" s="764"/>
      <c r="AJ850" s="764"/>
      <c r="AK850" s="764"/>
      <c r="AL850" s="764"/>
      <c r="AM850" s="764"/>
      <c r="AN850" s="764"/>
      <c r="AO850" s="764"/>
      <c r="AP850" s="764"/>
      <c r="AQ850" s="764"/>
      <c r="AR850" s="764"/>
      <c r="AS850" s="764"/>
    </row>
    <row r="851" spans="1:45" ht="13.9">
      <c r="A851" s="764"/>
      <c r="B851" s="764"/>
      <c r="C851" s="764"/>
      <c r="D851" s="764"/>
      <c r="E851" s="764"/>
      <c r="F851" s="764"/>
      <c r="G851" s="764"/>
      <c r="H851" s="764"/>
      <c r="I851" s="764"/>
      <c r="J851" s="764"/>
      <c r="K851" s="764"/>
      <c r="L851" s="764"/>
      <c r="M851" s="764"/>
      <c r="N851" s="773"/>
      <c r="O851" s="764"/>
      <c r="P851" s="764"/>
      <c r="Q851" s="764"/>
      <c r="R851" s="764"/>
      <c r="S851" s="764"/>
      <c r="T851" s="764"/>
      <c r="U851" s="764"/>
      <c r="V851" s="764"/>
      <c r="W851" s="764"/>
      <c r="X851" s="764"/>
      <c r="Y851" s="764"/>
      <c r="Z851" s="764"/>
      <c r="AA851" s="764"/>
      <c r="AB851" s="764"/>
      <c r="AC851" s="764"/>
      <c r="AD851" s="794"/>
      <c r="AE851" s="764"/>
      <c r="AF851" s="764"/>
      <c r="AG851" s="764"/>
      <c r="AH851" s="764"/>
      <c r="AI851" s="764"/>
      <c r="AJ851" s="764"/>
      <c r="AK851" s="764"/>
      <c r="AL851" s="764"/>
      <c r="AM851" s="764"/>
      <c r="AN851" s="764"/>
      <c r="AO851" s="764"/>
      <c r="AP851" s="764"/>
      <c r="AQ851" s="764"/>
      <c r="AR851" s="764"/>
      <c r="AS851" s="764"/>
    </row>
    <row r="852" spans="1:45" ht="13.9">
      <c r="A852" s="764"/>
      <c r="B852" s="764"/>
      <c r="C852" s="764"/>
      <c r="D852" s="764"/>
      <c r="E852" s="764"/>
      <c r="F852" s="764"/>
      <c r="G852" s="764"/>
      <c r="H852" s="764"/>
      <c r="I852" s="764"/>
      <c r="J852" s="764"/>
      <c r="K852" s="764"/>
      <c r="L852" s="764"/>
      <c r="M852" s="764"/>
      <c r="N852" s="773"/>
      <c r="O852" s="764"/>
      <c r="P852" s="764"/>
      <c r="Q852" s="764"/>
      <c r="R852" s="764"/>
      <c r="S852" s="764"/>
      <c r="T852" s="764"/>
      <c r="U852" s="764"/>
      <c r="V852" s="764"/>
      <c r="W852" s="764"/>
      <c r="X852" s="764"/>
      <c r="Y852" s="764"/>
      <c r="Z852" s="764"/>
      <c r="AA852" s="764"/>
      <c r="AB852" s="764"/>
      <c r="AC852" s="764"/>
      <c r="AD852" s="794"/>
      <c r="AE852" s="764"/>
      <c r="AF852" s="764"/>
      <c r="AG852" s="764"/>
      <c r="AH852" s="764"/>
      <c r="AI852" s="764"/>
      <c r="AJ852" s="764"/>
      <c r="AK852" s="764"/>
      <c r="AL852" s="764"/>
      <c r="AM852" s="764"/>
      <c r="AN852" s="764"/>
      <c r="AO852" s="764"/>
      <c r="AP852" s="764"/>
      <c r="AQ852" s="764"/>
      <c r="AR852" s="764"/>
      <c r="AS852" s="764"/>
    </row>
    <row r="853" spans="1:45" ht="13.9">
      <c r="A853" s="764"/>
      <c r="B853" s="764"/>
      <c r="C853" s="764"/>
      <c r="D853" s="764"/>
      <c r="E853" s="764"/>
      <c r="F853" s="764"/>
      <c r="G853" s="764"/>
      <c r="H853" s="764"/>
      <c r="I853" s="764"/>
      <c r="J853" s="764"/>
      <c r="K853" s="764"/>
      <c r="L853" s="764"/>
      <c r="M853" s="764"/>
      <c r="N853" s="773"/>
      <c r="O853" s="764"/>
      <c r="P853" s="764"/>
      <c r="Q853" s="764"/>
      <c r="R853" s="764"/>
      <c r="S853" s="764"/>
      <c r="T853" s="764"/>
      <c r="U853" s="764"/>
      <c r="V853" s="764"/>
      <c r="W853" s="764"/>
      <c r="X853" s="764"/>
      <c r="Y853" s="764"/>
      <c r="Z853" s="764"/>
      <c r="AA853" s="764"/>
      <c r="AB853" s="764"/>
      <c r="AC853" s="764"/>
      <c r="AD853" s="794"/>
      <c r="AE853" s="764"/>
      <c r="AF853" s="764"/>
      <c r="AG853" s="764"/>
      <c r="AH853" s="764"/>
      <c r="AI853" s="764"/>
      <c r="AJ853" s="764"/>
      <c r="AK853" s="764"/>
      <c r="AL853" s="764"/>
      <c r="AM853" s="764"/>
      <c r="AN853" s="764"/>
      <c r="AO853" s="764"/>
      <c r="AP853" s="764"/>
      <c r="AQ853" s="764"/>
      <c r="AR853" s="764"/>
      <c r="AS853" s="764"/>
    </row>
    <row r="854" spans="1:45" ht="13.9">
      <c r="A854" s="764"/>
      <c r="B854" s="764"/>
      <c r="C854" s="764"/>
      <c r="D854" s="764"/>
      <c r="E854" s="764"/>
      <c r="F854" s="764"/>
      <c r="G854" s="764"/>
      <c r="H854" s="764"/>
      <c r="I854" s="764"/>
      <c r="J854" s="764"/>
      <c r="K854" s="764"/>
      <c r="L854" s="764"/>
      <c r="M854" s="764"/>
      <c r="N854" s="773"/>
      <c r="O854" s="764"/>
      <c r="P854" s="764"/>
      <c r="Q854" s="764"/>
      <c r="R854" s="764"/>
      <c r="S854" s="764"/>
      <c r="T854" s="764"/>
      <c r="U854" s="764"/>
      <c r="V854" s="764"/>
      <c r="W854" s="764"/>
      <c r="X854" s="764"/>
      <c r="Y854" s="764"/>
      <c r="Z854" s="764"/>
      <c r="AA854" s="764"/>
      <c r="AB854" s="764"/>
      <c r="AC854" s="764"/>
      <c r="AD854" s="794"/>
      <c r="AE854" s="764"/>
      <c r="AF854" s="764"/>
      <c r="AG854" s="764"/>
      <c r="AH854" s="764"/>
      <c r="AI854" s="764"/>
      <c r="AJ854" s="764"/>
      <c r="AK854" s="764"/>
      <c r="AL854" s="764"/>
      <c r="AM854" s="764"/>
      <c r="AN854" s="764"/>
      <c r="AO854" s="764"/>
      <c r="AP854" s="764"/>
      <c r="AQ854" s="764"/>
      <c r="AR854" s="764"/>
      <c r="AS854" s="764"/>
    </row>
    <row r="855" spans="1:45" ht="13.9">
      <c r="A855" s="764"/>
      <c r="B855" s="764"/>
      <c r="C855" s="764"/>
      <c r="D855" s="764"/>
      <c r="E855" s="764"/>
      <c r="F855" s="764"/>
      <c r="G855" s="764"/>
      <c r="H855" s="764"/>
      <c r="I855" s="764"/>
      <c r="J855" s="764"/>
      <c r="K855" s="764"/>
      <c r="L855" s="764"/>
      <c r="M855" s="764"/>
      <c r="N855" s="773"/>
      <c r="O855" s="764"/>
      <c r="P855" s="764"/>
      <c r="Q855" s="764"/>
      <c r="R855" s="764"/>
      <c r="S855" s="764"/>
      <c r="T855" s="764"/>
      <c r="U855" s="764"/>
      <c r="V855" s="764"/>
      <c r="W855" s="764"/>
      <c r="X855" s="764"/>
      <c r="Y855" s="764"/>
      <c r="Z855" s="764"/>
      <c r="AA855" s="764"/>
      <c r="AB855" s="764"/>
      <c r="AC855" s="764"/>
      <c r="AD855" s="794"/>
      <c r="AE855" s="764"/>
      <c r="AF855" s="764"/>
      <c r="AG855" s="764"/>
      <c r="AH855" s="764"/>
      <c r="AI855" s="764"/>
      <c r="AJ855" s="764"/>
      <c r="AK855" s="764"/>
      <c r="AL855" s="764"/>
      <c r="AM855" s="764"/>
      <c r="AN855" s="764"/>
      <c r="AO855" s="764"/>
      <c r="AP855" s="764"/>
      <c r="AQ855" s="764"/>
      <c r="AR855" s="764"/>
      <c r="AS855" s="764"/>
    </row>
    <row r="856" spans="1:45" ht="13.9">
      <c r="A856" s="764"/>
      <c r="B856" s="764"/>
      <c r="C856" s="764"/>
      <c r="D856" s="764"/>
      <c r="E856" s="764"/>
      <c r="F856" s="764"/>
      <c r="G856" s="764"/>
      <c r="H856" s="764"/>
      <c r="I856" s="764"/>
      <c r="J856" s="764"/>
      <c r="K856" s="764"/>
      <c r="L856" s="764"/>
      <c r="M856" s="764"/>
      <c r="N856" s="773"/>
      <c r="O856" s="764"/>
      <c r="P856" s="764"/>
      <c r="Q856" s="764"/>
      <c r="R856" s="764"/>
      <c r="S856" s="764"/>
      <c r="T856" s="764"/>
      <c r="U856" s="764"/>
      <c r="V856" s="764"/>
      <c r="W856" s="764"/>
      <c r="X856" s="764"/>
      <c r="Y856" s="764"/>
      <c r="Z856" s="764"/>
      <c r="AA856" s="764"/>
      <c r="AB856" s="764"/>
      <c r="AC856" s="764"/>
      <c r="AD856" s="794"/>
      <c r="AE856" s="764"/>
      <c r="AF856" s="764"/>
      <c r="AG856" s="764"/>
      <c r="AH856" s="764"/>
      <c r="AI856" s="764"/>
      <c r="AJ856" s="764"/>
      <c r="AK856" s="764"/>
      <c r="AL856" s="764"/>
      <c r="AM856" s="764"/>
      <c r="AN856" s="764"/>
      <c r="AO856" s="764"/>
      <c r="AP856" s="764"/>
      <c r="AQ856" s="764"/>
      <c r="AR856" s="764"/>
      <c r="AS856" s="764"/>
    </row>
    <row r="857" spans="1:45" ht="13.9">
      <c r="A857" s="764"/>
      <c r="B857" s="764"/>
      <c r="C857" s="764"/>
      <c r="D857" s="764"/>
      <c r="E857" s="764"/>
      <c r="F857" s="764"/>
      <c r="G857" s="764"/>
      <c r="H857" s="764"/>
      <c r="I857" s="764"/>
      <c r="J857" s="764"/>
      <c r="K857" s="764"/>
      <c r="L857" s="764"/>
      <c r="M857" s="764"/>
      <c r="N857" s="773"/>
      <c r="O857" s="764"/>
      <c r="P857" s="764"/>
      <c r="Q857" s="764"/>
      <c r="R857" s="764"/>
      <c r="S857" s="764"/>
      <c r="T857" s="764"/>
      <c r="U857" s="764"/>
      <c r="V857" s="764"/>
      <c r="W857" s="764"/>
      <c r="X857" s="764"/>
      <c r="Y857" s="764"/>
      <c r="Z857" s="764"/>
      <c r="AA857" s="764"/>
      <c r="AB857" s="764"/>
      <c r="AC857" s="764"/>
      <c r="AD857" s="794"/>
      <c r="AE857" s="764"/>
      <c r="AF857" s="764"/>
      <c r="AG857" s="764"/>
      <c r="AH857" s="764"/>
      <c r="AI857" s="764"/>
      <c r="AJ857" s="764"/>
      <c r="AK857" s="764"/>
      <c r="AL857" s="764"/>
      <c r="AM857" s="764"/>
      <c r="AN857" s="764"/>
      <c r="AO857" s="764"/>
      <c r="AP857" s="764"/>
      <c r="AQ857" s="764"/>
      <c r="AR857" s="764"/>
      <c r="AS857" s="764"/>
    </row>
    <row r="858" spans="1:45" ht="13.9">
      <c r="A858" s="764"/>
      <c r="B858" s="764"/>
      <c r="C858" s="764"/>
      <c r="D858" s="764"/>
      <c r="E858" s="764"/>
      <c r="F858" s="764"/>
      <c r="G858" s="764"/>
      <c r="H858" s="764"/>
      <c r="I858" s="764"/>
      <c r="J858" s="764"/>
      <c r="K858" s="764"/>
      <c r="L858" s="764"/>
      <c r="M858" s="764"/>
      <c r="N858" s="773"/>
      <c r="O858" s="764"/>
      <c r="P858" s="764"/>
      <c r="Q858" s="764"/>
      <c r="R858" s="764"/>
      <c r="S858" s="764"/>
      <c r="T858" s="764"/>
      <c r="U858" s="764"/>
      <c r="V858" s="764"/>
      <c r="W858" s="764"/>
      <c r="X858" s="764"/>
      <c r="Y858" s="764"/>
      <c r="Z858" s="764"/>
      <c r="AA858" s="764"/>
      <c r="AB858" s="764"/>
      <c r="AC858" s="764"/>
      <c r="AD858" s="794"/>
      <c r="AE858" s="764"/>
      <c r="AF858" s="764"/>
      <c r="AG858" s="764"/>
      <c r="AH858" s="764"/>
      <c r="AI858" s="764"/>
      <c r="AJ858" s="764"/>
      <c r="AK858" s="764"/>
      <c r="AL858" s="764"/>
      <c r="AM858" s="764"/>
      <c r="AN858" s="764"/>
      <c r="AO858" s="764"/>
      <c r="AP858" s="764"/>
      <c r="AQ858" s="764"/>
      <c r="AR858" s="764"/>
      <c r="AS858" s="764"/>
    </row>
    <row r="859" spans="1:45" ht="13.9">
      <c r="A859" s="764"/>
      <c r="B859" s="764"/>
      <c r="C859" s="764"/>
      <c r="D859" s="764"/>
      <c r="E859" s="764"/>
      <c r="F859" s="764"/>
      <c r="G859" s="764"/>
      <c r="H859" s="764"/>
      <c r="I859" s="764"/>
      <c r="J859" s="764"/>
      <c r="K859" s="764"/>
      <c r="L859" s="764"/>
      <c r="M859" s="764"/>
      <c r="N859" s="773"/>
      <c r="O859" s="764"/>
      <c r="P859" s="764"/>
      <c r="Q859" s="764"/>
      <c r="R859" s="764"/>
      <c r="S859" s="764"/>
      <c r="T859" s="764"/>
      <c r="U859" s="764"/>
      <c r="V859" s="764"/>
      <c r="W859" s="764"/>
      <c r="X859" s="764"/>
      <c r="Y859" s="764"/>
      <c r="Z859" s="764"/>
      <c r="AA859" s="764"/>
      <c r="AB859" s="764"/>
      <c r="AC859" s="764"/>
      <c r="AD859" s="794"/>
      <c r="AE859" s="764"/>
      <c r="AF859" s="764"/>
      <c r="AG859" s="764"/>
      <c r="AH859" s="764"/>
      <c r="AI859" s="764"/>
      <c r="AJ859" s="764"/>
      <c r="AK859" s="764"/>
      <c r="AL859" s="764"/>
      <c r="AM859" s="764"/>
      <c r="AN859" s="764"/>
      <c r="AO859" s="764"/>
      <c r="AP859" s="764"/>
      <c r="AQ859" s="764"/>
      <c r="AR859" s="764"/>
      <c r="AS859" s="764"/>
    </row>
    <row r="860" spans="1:45" ht="13.9">
      <c r="A860" s="764"/>
      <c r="B860" s="764"/>
      <c r="C860" s="764"/>
      <c r="D860" s="764"/>
      <c r="E860" s="764"/>
      <c r="F860" s="764"/>
      <c r="G860" s="764"/>
      <c r="H860" s="764"/>
      <c r="I860" s="764"/>
      <c r="J860" s="764"/>
      <c r="K860" s="764"/>
      <c r="L860" s="764"/>
      <c r="M860" s="764"/>
      <c r="N860" s="773"/>
      <c r="O860" s="764"/>
      <c r="P860" s="764"/>
      <c r="Q860" s="764"/>
      <c r="R860" s="764"/>
      <c r="S860" s="764"/>
      <c r="T860" s="764"/>
      <c r="U860" s="764"/>
      <c r="V860" s="764"/>
      <c r="W860" s="764"/>
      <c r="X860" s="764"/>
      <c r="Y860" s="764"/>
      <c r="Z860" s="764"/>
      <c r="AA860" s="764"/>
      <c r="AB860" s="764"/>
      <c r="AC860" s="764"/>
      <c r="AD860" s="794"/>
      <c r="AE860" s="764"/>
      <c r="AF860" s="764"/>
      <c r="AG860" s="764"/>
      <c r="AH860" s="764"/>
      <c r="AI860" s="764"/>
      <c r="AJ860" s="764"/>
      <c r="AK860" s="764"/>
      <c r="AL860" s="764"/>
      <c r="AM860" s="764"/>
      <c r="AN860" s="764"/>
      <c r="AO860" s="764"/>
      <c r="AP860" s="764"/>
      <c r="AQ860" s="764"/>
      <c r="AR860" s="764"/>
      <c r="AS860" s="764"/>
    </row>
    <row r="861" spans="1:45" ht="13.9">
      <c r="A861" s="764"/>
      <c r="B861" s="764"/>
      <c r="C861" s="764"/>
      <c r="D861" s="764"/>
      <c r="E861" s="764"/>
      <c r="F861" s="764"/>
      <c r="G861" s="764"/>
      <c r="H861" s="764"/>
      <c r="I861" s="764"/>
      <c r="J861" s="764"/>
      <c r="K861" s="764"/>
      <c r="L861" s="764"/>
      <c r="M861" s="764"/>
      <c r="N861" s="773"/>
      <c r="O861" s="764"/>
      <c r="P861" s="764"/>
      <c r="Q861" s="764"/>
      <c r="R861" s="764"/>
      <c r="S861" s="764"/>
      <c r="T861" s="764"/>
      <c r="U861" s="764"/>
      <c r="V861" s="764"/>
      <c r="W861" s="764"/>
      <c r="X861" s="764"/>
      <c r="Y861" s="764"/>
      <c r="Z861" s="764"/>
      <c r="AA861" s="764"/>
      <c r="AB861" s="764"/>
      <c r="AC861" s="764"/>
      <c r="AD861" s="794"/>
      <c r="AE861" s="764"/>
      <c r="AF861" s="764"/>
      <c r="AG861" s="764"/>
      <c r="AH861" s="764"/>
      <c r="AI861" s="764"/>
      <c r="AJ861" s="764"/>
      <c r="AK861" s="764"/>
      <c r="AL861" s="764"/>
      <c r="AM861" s="764"/>
      <c r="AN861" s="764"/>
      <c r="AO861" s="764"/>
      <c r="AP861" s="764"/>
      <c r="AQ861" s="764"/>
      <c r="AR861" s="764"/>
      <c r="AS861" s="764"/>
    </row>
    <row r="862" spans="1:45" ht="13.9">
      <c r="A862" s="764"/>
      <c r="B862" s="764"/>
      <c r="C862" s="764"/>
      <c r="D862" s="764"/>
      <c r="E862" s="764"/>
      <c r="F862" s="764"/>
      <c r="G862" s="764"/>
      <c r="H862" s="764"/>
      <c r="I862" s="764"/>
      <c r="J862" s="764"/>
      <c r="K862" s="764"/>
      <c r="L862" s="764"/>
      <c r="M862" s="764"/>
      <c r="N862" s="773"/>
      <c r="O862" s="764"/>
      <c r="P862" s="764"/>
      <c r="Q862" s="764"/>
      <c r="R862" s="764"/>
      <c r="S862" s="764"/>
      <c r="T862" s="764"/>
      <c r="U862" s="764"/>
      <c r="V862" s="764"/>
      <c r="W862" s="764"/>
      <c r="X862" s="764"/>
      <c r="Y862" s="764"/>
      <c r="Z862" s="764"/>
      <c r="AA862" s="764"/>
      <c r="AB862" s="764"/>
      <c r="AC862" s="764"/>
      <c r="AD862" s="794"/>
      <c r="AE862" s="764"/>
      <c r="AF862" s="764"/>
      <c r="AG862" s="764"/>
      <c r="AH862" s="764"/>
      <c r="AI862" s="764"/>
      <c r="AJ862" s="764"/>
      <c r="AK862" s="764"/>
      <c r="AL862" s="764"/>
      <c r="AM862" s="764"/>
      <c r="AN862" s="764"/>
      <c r="AO862" s="764"/>
      <c r="AP862" s="764"/>
      <c r="AQ862" s="764"/>
      <c r="AR862" s="764"/>
      <c r="AS862" s="764"/>
    </row>
    <row r="863" spans="1:45" ht="13.9">
      <c r="A863" s="764"/>
      <c r="B863" s="764"/>
      <c r="C863" s="764"/>
      <c r="D863" s="764"/>
      <c r="E863" s="764"/>
      <c r="F863" s="764"/>
      <c r="G863" s="764"/>
      <c r="H863" s="764"/>
      <c r="I863" s="764"/>
      <c r="J863" s="764"/>
      <c r="K863" s="764"/>
      <c r="L863" s="764"/>
      <c r="M863" s="764"/>
      <c r="N863" s="773"/>
      <c r="O863" s="764"/>
      <c r="P863" s="764"/>
      <c r="Q863" s="764"/>
      <c r="R863" s="764"/>
      <c r="S863" s="764"/>
      <c r="T863" s="764"/>
      <c r="U863" s="764"/>
      <c r="V863" s="764"/>
      <c r="W863" s="764"/>
      <c r="X863" s="764"/>
      <c r="Y863" s="764"/>
      <c r="Z863" s="764"/>
      <c r="AA863" s="764"/>
      <c r="AB863" s="764"/>
      <c r="AC863" s="764"/>
      <c r="AD863" s="794"/>
      <c r="AE863" s="764"/>
      <c r="AF863" s="764"/>
      <c r="AG863" s="764"/>
      <c r="AH863" s="764"/>
      <c r="AI863" s="764"/>
      <c r="AJ863" s="764"/>
      <c r="AK863" s="764"/>
      <c r="AL863" s="764"/>
      <c r="AM863" s="764"/>
      <c r="AN863" s="764"/>
      <c r="AO863" s="764"/>
      <c r="AP863" s="764"/>
      <c r="AQ863" s="764"/>
      <c r="AR863" s="764"/>
      <c r="AS863" s="764"/>
    </row>
    <row r="864" spans="1:45" ht="13.9">
      <c r="A864" s="764"/>
      <c r="B864" s="764"/>
      <c r="C864" s="764"/>
      <c r="D864" s="764"/>
      <c r="E864" s="764"/>
      <c r="F864" s="764"/>
      <c r="G864" s="764"/>
      <c r="H864" s="764"/>
      <c r="I864" s="764"/>
      <c r="J864" s="764"/>
      <c r="K864" s="764"/>
      <c r="L864" s="764"/>
      <c r="M864" s="764"/>
      <c r="N864" s="773"/>
      <c r="O864" s="764"/>
      <c r="P864" s="764"/>
      <c r="Q864" s="764"/>
      <c r="R864" s="764"/>
      <c r="S864" s="764"/>
      <c r="T864" s="764"/>
      <c r="U864" s="764"/>
      <c r="V864" s="764"/>
      <c r="W864" s="764"/>
      <c r="X864" s="764"/>
      <c r="Y864" s="764"/>
      <c r="Z864" s="764"/>
      <c r="AA864" s="764"/>
      <c r="AB864" s="764"/>
      <c r="AC864" s="764"/>
      <c r="AD864" s="794"/>
      <c r="AE864" s="764"/>
      <c r="AF864" s="764"/>
      <c r="AG864" s="764"/>
      <c r="AH864" s="764"/>
      <c r="AI864" s="764"/>
      <c r="AJ864" s="764"/>
      <c r="AK864" s="764"/>
      <c r="AL864" s="764"/>
      <c r="AM864" s="764"/>
      <c r="AN864" s="764"/>
      <c r="AO864" s="764"/>
      <c r="AP864" s="764"/>
      <c r="AQ864" s="764"/>
      <c r="AR864" s="764"/>
      <c r="AS864" s="764"/>
    </row>
    <row r="865" spans="1:45" ht="13.9">
      <c r="A865" s="764"/>
      <c r="B865" s="764"/>
      <c r="C865" s="764"/>
      <c r="D865" s="764"/>
      <c r="E865" s="764"/>
      <c r="F865" s="764"/>
      <c r="G865" s="764"/>
      <c r="H865" s="764"/>
      <c r="I865" s="764"/>
      <c r="J865" s="764"/>
      <c r="K865" s="764"/>
      <c r="L865" s="764"/>
      <c r="M865" s="764"/>
      <c r="N865" s="773"/>
      <c r="O865" s="764"/>
      <c r="P865" s="764"/>
      <c r="Q865" s="764"/>
      <c r="R865" s="764"/>
      <c r="S865" s="764"/>
      <c r="T865" s="764"/>
      <c r="U865" s="764"/>
      <c r="V865" s="764"/>
      <c r="W865" s="764"/>
      <c r="X865" s="764"/>
      <c r="Y865" s="764"/>
      <c r="Z865" s="764"/>
      <c r="AA865" s="764"/>
      <c r="AB865" s="764"/>
      <c r="AC865" s="764"/>
      <c r="AD865" s="794"/>
      <c r="AE865" s="764"/>
      <c r="AF865" s="764"/>
      <c r="AG865" s="764"/>
      <c r="AH865" s="764"/>
      <c r="AI865" s="764"/>
      <c r="AJ865" s="764"/>
      <c r="AK865" s="764"/>
      <c r="AL865" s="764"/>
      <c r="AM865" s="764"/>
      <c r="AN865" s="764"/>
      <c r="AO865" s="764"/>
      <c r="AP865" s="764"/>
      <c r="AQ865" s="764"/>
      <c r="AR865" s="764"/>
      <c r="AS865" s="764"/>
    </row>
    <row r="866" spans="1:45" ht="13.9">
      <c r="A866" s="764"/>
      <c r="B866" s="764"/>
      <c r="C866" s="764"/>
      <c r="D866" s="764"/>
      <c r="E866" s="764"/>
      <c r="F866" s="764"/>
      <c r="G866" s="764"/>
      <c r="H866" s="764"/>
      <c r="I866" s="764"/>
      <c r="J866" s="764"/>
      <c r="K866" s="764"/>
      <c r="L866" s="764"/>
      <c r="M866" s="764"/>
      <c r="N866" s="773"/>
      <c r="O866" s="764"/>
      <c r="P866" s="764"/>
      <c r="Q866" s="764"/>
      <c r="R866" s="764"/>
      <c r="S866" s="764"/>
      <c r="T866" s="764"/>
      <c r="U866" s="764"/>
      <c r="V866" s="764"/>
      <c r="W866" s="764"/>
      <c r="X866" s="764"/>
      <c r="Y866" s="764"/>
      <c r="Z866" s="764"/>
      <c r="AA866" s="764"/>
      <c r="AB866" s="764"/>
      <c r="AC866" s="764"/>
      <c r="AD866" s="794"/>
      <c r="AE866" s="764"/>
      <c r="AF866" s="764"/>
      <c r="AG866" s="764"/>
      <c r="AH866" s="764"/>
      <c r="AI866" s="764"/>
      <c r="AJ866" s="764"/>
      <c r="AK866" s="764"/>
      <c r="AL866" s="764"/>
      <c r="AM866" s="764"/>
      <c r="AN866" s="764"/>
      <c r="AO866" s="764"/>
      <c r="AP866" s="764"/>
      <c r="AQ866" s="764"/>
      <c r="AR866" s="764"/>
      <c r="AS866" s="764"/>
    </row>
    <row r="867" spans="1:45" ht="13.9">
      <c r="A867" s="764"/>
      <c r="B867" s="764"/>
      <c r="C867" s="764"/>
      <c r="D867" s="764"/>
      <c r="E867" s="764"/>
      <c r="F867" s="764"/>
      <c r="G867" s="764"/>
      <c r="H867" s="764"/>
      <c r="I867" s="764"/>
      <c r="J867" s="764"/>
      <c r="K867" s="764"/>
      <c r="L867" s="764"/>
      <c r="M867" s="764"/>
      <c r="N867" s="773"/>
      <c r="O867" s="764"/>
      <c r="P867" s="764"/>
      <c r="Q867" s="764"/>
      <c r="R867" s="764"/>
      <c r="S867" s="764"/>
      <c r="T867" s="764"/>
      <c r="U867" s="764"/>
      <c r="V867" s="764"/>
      <c r="W867" s="764"/>
      <c r="X867" s="764"/>
      <c r="Y867" s="764"/>
      <c r="Z867" s="764"/>
      <c r="AA867" s="764"/>
      <c r="AB867" s="764"/>
      <c r="AC867" s="764"/>
      <c r="AD867" s="794"/>
      <c r="AE867" s="764"/>
      <c r="AF867" s="764"/>
      <c r="AG867" s="764"/>
      <c r="AH867" s="764"/>
      <c r="AI867" s="764"/>
      <c r="AJ867" s="764"/>
      <c r="AK867" s="764"/>
      <c r="AL867" s="764"/>
      <c r="AM867" s="764"/>
      <c r="AN867" s="764"/>
      <c r="AO867" s="764"/>
      <c r="AP867" s="764"/>
      <c r="AQ867" s="764"/>
      <c r="AR867" s="764"/>
      <c r="AS867" s="764"/>
    </row>
    <row r="868" spans="1:45" ht="13.9">
      <c r="A868" s="764"/>
      <c r="B868" s="764"/>
      <c r="C868" s="764"/>
      <c r="D868" s="764"/>
      <c r="E868" s="764"/>
      <c r="F868" s="764"/>
      <c r="G868" s="764"/>
      <c r="H868" s="764"/>
      <c r="I868" s="764"/>
      <c r="J868" s="764"/>
      <c r="K868" s="764"/>
      <c r="L868" s="764"/>
      <c r="M868" s="764"/>
      <c r="N868" s="773"/>
      <c r="O868" s="764"/>
      <c r="P868" s="764"/>
      <c r="Q868" s="764"/>
      <c r="R868" s="764"/>
      <c r="S868" s="764"/>
      <c r="T868" s="764"/>
      <c r="U868" s="764"/>
      <c r="V868" s="764"/>
      <c r="W868" s="764"/>
      <c r="X868" s="764"/>
      <c r="Y868" s="764"/>
      <c r="Z868" s="764"/>
      <c r="AA868" s="764"/>
      <c r="AB868" s="764"/>
      <c r="AC868" s="764"/>
      <c r="AD868" s="794"/>
      <c r="AE868" s="764"/>
      <c r="AF868" s="764"/>
      <c r="AG868" s="764"/>
      <c r="AH868" s="764"/>
      <c r="AI868" s="764"/>
      <c r="AJ868" s="764"/>
      <c r="AK868" s="764"/>
      <c r="AL868" s="764"/>
      <c r="AM868" s="764"/>
      <c r="AN868" s="764"/>
      <c r="AO868" s="764"/>
      <c r="AP868" s="764"/>
      <c r="AQ868" s="764"/>
      <c r="AR868" s="764"/>
      <c r="AS868" s="764"/>
    </row>
    <row r="869" spans="1:45" ht="13.9">
      <c r="A869" s="764"/>
      <c r="B869" s="764"/>
      <c r="C869" s="764"/>
      <c r="D869" s="764"/>
      <c r="E869" s="764"/>
      <c r="F869" s="764"/>
      <c r="G869" s="764"/>
      <c r="H869" s="764"/>
      <c r="I869" s="764"/>
      <c r="J869" s="764"/>
      <c r="K869" s="764"/>
      <c r="L869" s="764"/>
      <c r="M869" s="764"/>
      <c r="N869" s="773"/>
      <c r="O869" s="764"/>
      <c r="P869" s="764"/>
      <c r="Q869" s="764"/>
      <c r="R869" s="764"/>
      <c r="S869" s="764"/>
      <c r="T869" s="764"/>
      <c r="U869" s="764"/>
      <c r="V869" s="764"/>
      <c r="W869" s="764"/>
      <c r="X869" s="764"/>
      <c r="Y869" s="764"/>
      <c r="Z869" s="764"/>
      <c r="AA869" s="764"/>
      <c r="AB869" s="764"/>
      <c r="AC869" s="764"/>
      <c r="AD869" s="794"/>
      <c r="AE869" s="764"/>
      <c r="AF869" s="764"/>
      <c r="AG869" s="764"/>
      <c r="AH869" s="764"/>
      <c r="AI869" s="764"/>
      <c r="AJ869" s="764"/>
      <c r="AK869" s="764"/>
      <c r="AL869" s="764"/>
      <c r="AM869" s="764"/>
      <c r="AN869" s="764"/>
      <c r="AO869" s="764"/>
      <c r="AP869" s="764"/>
      <c r="AQ869" s="764"/>
      <c r="AR869" s="764"/>
      <c r="AS869" s="764"/>
    </row>
    <row r="870" spans="1:45" ht="13.9">
      <c r="A870" s="764"/>
      <c r="B870" s="764"/>
      <c r="C870" s="764"/>
      <c r="D870" s="764"/>
      <c r="E870" s="764"/>
      <c r="F870" s="764"/>
      <c r="G870" s="764"/>
      <c r="H870" s="764"/>
      <c r="I870" s="764"/>
      <c r="J870" s="764"/>
      <c r="K870" s="764"/>
      <c r="L870" s="764"/>
      <c r="M870" s="764"/>
      <c r="N870" s="773"/>
      <c r="O870" s="764"/>
      <c r="P870" s="764"/>
      <c r="Q870" s="764"/>
      <c r="R870" s="764"/>
      <c r="S870" s="764"/>
      <c r="T870" s="764"/>
      <c r="U870" s="764"/>
      <c r="V870" s="764"/>
      <c r="W870" s="764"/>
      <c r="X870" s="764"/>
      <c r="Y870" s="764"/>
      <c r="Z870" s="764"/>
      <c r="AA870" s="764"/>
      <c r="AB870" s="764"/>
      <c r="AC870" s="764"/>
      <c r="AD870" s="794"/>
      <c r="AE870" s="764"/>
      <c r="AF870" s="764"/>
      <c r="AG870" s="764"/>
      <c r="AH870" s="764"/>
      <c r="AI870" s="764"/>
      <c r="AJ870" s="764"/>
      <c r="AK870" s="764"/>
      <c r="AL870" s="764"/>
      <c r="AM870" s="764"/>
      <c r="AN870" s="764"/>
      <c r="AO870" s="764"/>
      <c r="AP870" s="764"/>
      <c r="AQ870" s="764"/>
      <c r="AR870" s="764"/>
      <c r="AS870" s="764"/>
    </row>
    <row r="871" spans="1:45" ht="13.9">
      <c r="A871" s="764"/>
      <c r="B871" s="764"/>
      <c r="C871" s="764"/>
      <c r="D871" s="764"/>
      <c r="E871" s="764"/>
      <c r="F871" s="764"/>
      <c r="G871" s="764"/>
      <c r="H871" s="764"/>
      <c r="I871" s="764"/>
      <c r="J871" s="764"/>
      <c r="K871" s="764"/>
      <c r="L871" s="764"/>
      <c r="M871" s="764"/>
      <c r="N871" s="773"/>
      <c r="O871" s="764"/>
      <c r="P871" s="764"/>
      <c r="Q871" s="764"/>
      <c r="R871" s="764"/>
      <c r="S871" s="764"/>
      <c r="T871" s="764"/>
      <c r="U871" s="764"/>
      <c r="V871" s="764"/>
      <c r="W871" s="764"/>
      <c r="X871" s="764"/>
      <c r="Y871" s="764"/>
      <c r="Z871" s="764"/>
      <c r="AA871" s="764"/>
      <c r="AB871" s="764"/>
      <c r="AC871" s="764"/>
      <c r="AD871" s="794"/>
      <c r="AE871" s="764"/>
      <c r="AF871" s="764"/>
      <c r="AG871" s="764"/>
      <c r="AH871" s="764"/>
      <c r="AI871" s="764"/>
      <c r="AJ871" s="764"/>
      <c r="AK871" s="764"/>
      <c r="AL871" s="764"/>
      <c r="AM871" s="764"/>
      <c r="AN871" s="764"/>
      <c r="AO871" s="764"/>
      <c r="AP871" s="764"/>
      <c r="AQ871" s="764"/>
      <c r="AR871" s="764"/>
      <c r="AS871" s="764"/>
    </row>
    <row r="872" spans="1:45" ht="13.9">
      <c r="A872" s="764"/>
      <c r="B872" s="764"/>
      <c r="C872" s="764"/>
      <c r="D872" s="764"/>
      <c r="E872" s="764"/>
      <c r="F872" s="764"/>
      <c r="G872" s="764"/>
      <c r="H872" s="764"/>
      <c r="I872" s="764"/>
      <c r="J872" s="764"/>
      <c r="K872" s="764"/>
      <c r="L872" s="764"/>
      <c r="M872" s="764"/>
      <c r="N872" s="773"/>
      <c r="O872" s="764"/>
      <c r="P872" s="764"/>
      <c r="Q872" s="764"/>
      <c r="R872" s="764"/>
      <c r="S872" s="764"/>
      <c r="T872" s="764"/>
      <c r="U872" s="764"/>
      <c r="V872" s="764"/>
      <c r="W872" s="764"/>
      <c r="X872" s="764"/>
      <c r="Y872" s="764"/>
      <c r="Z872" s="764"/>
      <c r="AA872" s="764"/>
      <c r="AB872" s="764"/>
      <c r="AC872" s="764"/>
      <c r="AD872" s="794"/>
      <c r="AE872" s="764"/>
      <c r="AF872" s="764"/>
      <c r="AG872" s="764"/>
      <c r="AH872" s="764"/>
      <c r="AI872" s="764"/>
      <c r="AJ872" s="764"/>
      <c r="AK872" s="764"/>
      <c r="AL872" s="764"/>
      <c r="AM872" s="764"/>
      <c r="AN872" s="764"/>
      <c r="AO872" s="764"/>
      <c r="AP872" s="764"/>
      <c r="AQ872" s="764"/>
      <c r="AR872" s="764"/>
      <c r="AS872" s="764"/>
    </row>
    <row r="873" spans="1:45" ht="13.9">
      <c r="A873" s="764"/>
      <c r="B873" s="764"/>
      <c r="C873" s="764"/>
      <c r="D873" s="764"/>
      <c r="E873" s="764"/>
      <c r="F873" s="764"/>
      <c r="G873" s="764"/>
      <c r="H873" s="764"/>
      <c r="I873" s="764"/>
      <c r="J873" s="764"/>
      <c r="K873" s="764"/>
      <c r="L873" s="764"/>
      <c r="M873" s="764"/>
      <c r="N873" s="773"/>
      <c r="O873" s="764"/>
      <c r="P873" s="764"/>
      <c r="Q873" s="764"/>
      <c r="R873" s="764"/>
      <c r="S873" s="764"/>
      <c r="T873" s="764"/>
      <c r="U873" s="764"/>
      <c r="V873" s="764"/>
      <c r="W873" s="764"/>
      <c r="X873" s="764"/>
      <c r="Y873" s="764"/>
      <c r="Z873" s="764"/>
      <c r="AA873" s="764"/>
      <c r="AB873" s="764"/>
      <c r="AC873" s="764"/>
      <c r="AD873" s="794"/>
      <c r="AE873" s="764"/>
      <c r="AF873" s="764"/>
      <c r="AG873" s="764"/>
      <c r="AH873" s="764"/>
      <c r="AI873" s="764"/>
      <c r="AJ873" s="764"/>
      <c r="AK873" s="764"/>
      <c r="AL873" s="764"/>
      <c r="AM873" s="764"/>
      <c r="AN873" s="764"/>
      <c r="AO873" s="764"/>
      <c r="AP873" s="764"/>
      <c r="AQ873" s="764"/>
      <c r="AR873" s="764"/>
      <c r="AS873" s="764"/>
    </row>
    <row r="874" spans="1:45" ht="13.9">
      <c r="A874" s="764"/>
      <c r="B874" s="764"/>
      <c r="C874" s="764"/>
      <c r="D874" s="764"/>
      <c r="E874" s="764"/>
      <c r="F874" s="764"/>
      <c r="G874" s="764"/>
      <c r="H874" s="764"/>
      <c r="I874" s="764"/>
      <c r="J874" s="764"/>
      <c r="K874" s="764"/>
      <c r="L874" s="764"/>
      <c r="M874" s="764"/>
      <c r="N874" s="773"/>
      <c r="O874" s="764"/>
      <c r="P874" s="764"/>
      <c r="Q874" s="764"/>
      <c r="R874" s="764"/>
      <c r="S874" s="764"/>
      <c r="T874" s="764"/>
      <c r="U874" s="764"/>
      <c r="V874" s="764"/>
      <c r="W874" s="764"/>
      <c r="X874" s="764"/>
      <c r="Y874" s="764"/>
      <c r="Z874" s="764"/>
      <c r="AA874" s="764"/>
      <c r="AB874" s="764"/>
      <c r="AC874" s="764"/>
      <c r="AD874" s="794"/>
      <c r="AE874" s="764"/>
      <c r="AF874" s="764"/>
      <c r="AG874" s="764"/>
      <c r="AH874" s="764"/>
      <c r="AI874" s="764"/>
      <c r="AJ874" s="764"/>
      <c r="AK874" s="764"/>
      <c r="AL874" s="764"/>
      <c r="AM874" s="764"/>
      <c r="AN874" s="764"/>
      <c r="AO874" s="764"/>
      <c r="AP874" s="764"/>
      <c r="AQ874" s="764"/>
      <c r="AR874" s="764"/>
      <c r="AS874" s="764"/>
    </row>
    <row r="875" spans="1:45" ht="13.9">
      <c r="A875" s="764"/>
      <c r="B875" s="764"/>
      <c r="C875" s="764"/>
      <c r="D875" s="764"/>
      <c r="E875" s="764"/>
      <c r="F875" s="764"/>
      <c r="G875" s="764"/>
      <c r="H875" s="764"/>
      <c r="I875" s="764"/>
      <c r="J875" s="764"/>
      <c r="K875" s="764"/>
      <c r="L875" s="764"/>
      <c r="M875" s="764"/>
      <c r="N875" s="773"/>
      <c r="O875" s="764"/>
      <c r="P875" s="764"/>
      <c r="Q875" s="764"/>
      <c r="R875" s="764"/>
      <c r="S875" s="764"/>
      <c r="T875" s="764"/>
      <c r="U875" s="764"/>
      <c r="V875" s="764"/>
      <c r="W875" s="764"/>
      <c r="X875" s="764"/>
      <c r="Y875" s="764"/>
      <c r="Z875" s="764"/>
      <c r="AA875" s="764"/>
      <c r="AB875" s="764"/>
      <c r="AC875" s="764"/>
      <c r="AD875" s="794"/>
      <c r="AE875" s="764"/>
      <c r="AF875" s="764"/>
      <c r="AG875" s="764"/>
      <c r="AH875" s="764"/>
      <c r="AI875" s="764"/>
      <c r="AJ875" s="764"/>
      <c r="AK875" s="764"/>
      <c r="AL875" s="764"/>
      <c r="AM875" s="764"/>
      <c r="AN875" s="764"/>
      <c r="AO875" s="764"/>
      <c r="AP875" s="764"/>
      <c r="AQ875" s="764"/>
      <c r="AR875" s="764"/>
      <c r="AS875" s="764"/>
    </row>
    <row r="876" spans="1:45" ht="13.9">
      <c r="A876" s="764"/>
      <c r="B876" s="764"/>
      <c r="C876" s="764"/>
      <c r="D876" s="764"/>
      <c r="E876" s="764"/>
      <c r="F876" s="764"/>
      <c r="G876" s="764"/>
      <c r="H876" s="764"/>
      <c r="I876" s="764"/>
      <c r="J876" s="764"/>
      <c r="K876" s="764"/>
      <c r="L876" s="764"/>
      <c r="M876" s="764"/>
      <c r="N876" s="773"/>
      <c r="O876" s="764"/>
      <c r="P876" s="764"/>
      <c r="Q876" s="764"/>
      <c r="R876" s="764"/>
      <c r="S876" s="764"/>
      <c r="T876" s="764"/>
      <c r="U876" s="764"/>
      <c r="V876" s="764"/>
      <c r="W876" s="764"/>
      <c r="X876" s="764"/>
      <c r="Y876" s="764"/>
      <c r="Z876" s="764"/>
      <c r="AA876" s="764"/>
      <c r="AB876" s="764"/>
      <c r="AC876" s="764"/>
      <c r="AD876" s="794"/>
      <c r="AE876" s="764"/>
      <c r="AF876" s="764"/>
      <c r="AG876" s="764"/>
      <c r="AH876" s="764"/>
      <c r="AI876" s="764"/>
      <c r="AJ876" s="764"/>
      <c r="AK876" s="764"/>
      <c r="AL876" s="764"/>
      <c r="AM876" s="764"/>
      <c r="AN876" s="764"/>
      <c r="AO876" s="764"/>
      <c r="AP876" s="764"/>
      <c r="AQ876" s="764"/>
      <c r="AR876" s="764"/>
      <c r="AS876" s="764"/>
    </row>
    <row r="877" spans="1:45" ht="13.9">
      <c r="A877" s="764"/>
      <c r="B877" s="764"/>
      <c r="C877" s="764"/>
      <c r="D877" s="764"/>
      <c r="E877" s="764"/>
      <c r="F877" s="764"/>
      <c r="G877" s="764"/>
      <c r="H877" s="764"/>
      <c r="I877" s="764"/>
      <c r="J877" s="764"/>
      <c r="K877" s="764"/>
      <c r="L877" s="764"/>
      <c r="M877" s="764"/>
      <c r="N877" s="773"/>
      <c r="O877" s="764"/>
      <c r="P877" s="764"/>
      <c r="Q877" s="764"/>
      <c r="R877" s="764"/>
      <c r="S877" s="764"/>
      <c r="T877" s="764"/>
      <c r="U877" s="764"/>
      <c r="V877" s="764"/>
      <c r="W877" s="764"/>
      <c r="X877" s="764"/>
      <c r="Y877" s="764"/>
      <c r="Z877" s="764"/>
      <c r="AA877" s="764"/>
      <c r="AB877" s="764"/>
      <c r="AC877" s="764"/>
      <c r="AD877" s="794"/>
      <c r="AE877" s="764"/>
      <c r="AF877" s="764"/>
      <c r="AG877" s="764"/>
      <c r="AH877" s="764"/>
      <c r="AI877" s="764"/>
      <c r="AJ877" s="764"/>
      <c r="AK877" s="764"/>
      <c r="AL877" s="764"/>
      <c r="AM877" s="764"/>
      <c r="AN877" s="764"/>
      <c r="AO877" s="764"/>
      <c r="AP877" s="764"/>
      <c r="AQ877" s="764"/>
      <c r="AR877" s="764"/>
      <c r="AS877" s="764"/>
    </row>
    <row r="878" spans="1:45" ht="13.9">
      <c r="A878" s="764"/>
      <c r="B878" s="764"/>
      <c r="C878" s="764"/>
      <c r="D878" s="764"/>
      <c r="E878" s="764"/>
      <c r="F878" s="764"/>
      <c r="G878" s="764"/>
      <c r="H878" s="764"/>
      <c r="I878" s="764"/>
      <c r="J878" s="764"/>
      <c r="K878" s="764"/>
      <c r="L878" s="764"/>
      <c r="M878" s="764"/>
      <c r="N878" s="773"/>
      <c r="O878" s="764"/>
      <c r="P878" s="764"/>
      <c r="Q878" s="764"/>
      <c r="R878" s="764"/>
      <c r="S878" s="764"/>
      <c r="T878" s="764"/>
      <c r="U878" s="764"/>
      <c r="V878" s="764"/>
      <c r="W878" s="764"/>
      <c r="X878" s="764"/>
      <c r="Y878" s="764"/>
      <c r="Z878" s="764"/>
      <c r="AA878" s="764"/>
      <c r="AB878" s="764"/>
      <c r="AC878" s="764"/>
      <c r="AD878" s="794"/>
      <c r="AE878" s="764"/>
      <c r="AF878" s="764"/>
      <c r="AG878" s="764"/>
      <c r="AH878" s="764"/>
      <c r="AI878" s="764"/>
      <c r="AJ878" s="764"/>
      <c r="AK878" s="764"/>
      <c r="AL878" s="764"/>
      <c r="AM878" s="764"/>
      <c r="AN878" s="764"/>
      <c r="AO878" s="764"/>
      <c r="AP878" s="764"/>
      <c r="AQ878" s="764"/>
      <c r="AR878" s="764"/>
      <c r="AS878" s="764"/>
    </row>
    <row r="879" spans="1:45" ht="13.9">
      <c r="A879" s="764"/>
      <c r="B879" s="764"/>
      <c r="C879" s="764"/>
      <c r="D879" s="764"/>
      <c r="E879" s="764"/>
      <c r="F879" s="764"/>
      <c r="G879" s="764"/>
      <c r="H879" s="764"/>
      <c r="I879" s="764"/>
      <c r="J879" s="764"/>
      <c r="K879" s="764"/>
      <c r="L879" s="764"/>
      <c r="M879" s="764"/>
      <c r="N879" s="773"/>
      <c r="O879" s="764"/>
      <c r="P879" s="764"/>
      <c r="Q879" s="764"/>
      <c r="R879" s="764"/>
      <c r="S879" s="764"/>
      <c r="T879" s="764"/>
      <c r="U879" s="764"/>
      <c r="V879" s="764"/>
      <c r="W879" s="764"/>
      <c r="X879" s="764"/>
      <c r="Y879" s="764"/>
      <c r="Z879" s="764"/>
      <c r="AA879" s="764"/>
      <c r="AB879" s="764"/>
      <c r="AC879" s="764"/>
      <c r="AD879" s="794"/>
      <c r="AE879" s="764"/>
      <c r="AF879" s="764"/>
      <c r="AG879" s="764"/>
      <c r="AH879" s="764"/>
      <c r="AI879" s="764"/>
      <c r="AJ879" s="764"/>
      <c r="AK879" s="764"/>
      <c r="AL879" s="764"/>
      <c r="AM879" s="764"/>
      <c r="AN879" s="764"/>
      <c r="AO879" s="764"/>
      <c r="AP879" s="764"/>
      <c r="AQ879" s="764"/>
      <c r="AR879" s="764"/>
      <c r="AS879" s="764"/>
    </row>
    <row r="880" spans="1:45" ht="13.9">
      <c r="A880" s="764"/>
      <c r="B880" s="764"/>
      <c r="C880" s="764"/>
      <c r="D880" s="764"/>
      <c r="E880" s="764"/>
      <c r="F880" s="764"/>
      <c r="G880" s="764"/>
      <c r="H880" s="764"/>
      <c r="I880" s="764"/>
      <c r="J880" s="764"/>
      <c r="K880" s="764"/>
      <c r="L880" s="764"/>
      <c r="M880" s="764"/>
      <c r="N880" s="773"/>
      <c r="O880" s="764"/>
      <c r="P880" s="764"/>
      <c r="Q880" s="764"/>
      <c r="R880" s="764"/>
      <c r="S880" s="764"/>
      <c r="T880" s="764"/>
      <c r="U880" s="764"/>
      <c r="V880" s="764"/>
      <c r="W880" s="764"/>
      <c r="X880" s="764"/>
      <c r="Y880" s="764"/>
      <c r="Z880" s="764"/>
      <c r="AA880" s="764"/>
      <c r="AB880" s="764"/>
      <c r="AC880" s="764"/>
      <c r="AD880" s="794"/>
      <c r="AE880" s="764"/>
      <c r="AF880" s="764"/>
      <c r="AG880" s="764"/>
      <c r="AH880" s="764"/>
      <c r="AI880" s="764"/>
      <c r="AJ880" s="764"/>
      <c r="AK880" s="764"/>
      <c r="AL880" s="764"/>
      <c r="AM880" s="764"/>
      <c r="AN880" s="764"/>
      <c r="AO880" s="764"/>
      <c r="AP880" s="764"/>
      <c r="AQ880" s="764"/>
      <c r="AR880" s="764"/>
      <c r="AS880" s="764"/>
    </row>
    <row r="881" spans="1:45" ht="13.9">
      <c r="A881" s="764"/>
      <c r="B881" s="764"/>
      <c r="C881" s="764"/>
      <c r="D881" s="764"/>
      <c r="E881" s="764"/>
      <c r="F881" s="764"/>
      <c r="G881" s="764"/>
      <c r="H881" s="764"/>
      <c r="I881" s="764"/>
      <c r="J881" s="764"/>
      <c r="K881" s="764"/>
      <c r="L881" s="764"/>
      <c r="M881" s="764"/>
      <c r="N881" s="773"/>
      <c r="O881" s="764"/>
      <c r="P881" s="764"/>
      <c r="Q881" s="764"/>
      <c r="R881" s="764"/>
      <c r="S881" s="764"/>
      <c r="T881" s="764"/>
      <c r="U881" s="764"/>
      <c r="V881" s="764"/>
      <c r="W881" s="764"/>
      <c r="X881" s="764"/>
      <c r="Y881" s="764"/>
      <c r="Z881" s="764"/>
      <c r="AA881" s="764"/>
      <c r="AB881" s="764"/>
      <c r="AC881" s="764"/>
      <c r="AD881" s="794"/>
      <c r="AE881" s="764"/>
      <c r="AF881" s="764"/>
      <c r="AG881" s="764"/>
      <c r="AH881" s="764"/>
      <c r="AI881" s="764"/>
      <c r="AJ881" s="764"/>
      <c r="AK881" s="764"/>
      <c r="AL881" s="764"/>
      <c r="AM881" s="764"/>
      <c r="AN881" s="764"/>
      <c r="AO881" s="764"/>
      <c r="AP881" s="764"/>
      <c r="AQ881" s="764"/>
      <c r="AR881" s="764"/>
      <c r="AS881" s="764"/>
    </row>
    <row r="882" spans="1:45" ht="13.9">
      <c r="A882" s="764"/>
      <c r="B882" s="764"/>
      <c r="C882" s="764"/>
      <c r="D882" s="764"/>
      <c r="E882" s="764"/>
      <c r="F882" s="764"/>
      <c r="G882" s="764"/>
      <c r="H882" s="764"/>
      <c r="I882" s="764"/>
      <c r="J882" s="764"/>
      <c r="K882" s="764"/>
      <c r="L882" s="764"/>
      <c r="M882" s="764"/>
      <c r="N882" s="773"/>
      <c r="O882" s="764"/>
      <c r="P882" s="764"/>
      <c r="Q882" s="764"/>
      <c r="R882" s="764"/>
      <c r="S882" s="764"/>
      <c r="T882" s="764"/>
      <c r="U882" s="764"/>
      <c r="V882" s="764"/>
      <c r="W882" s="764"/>
      <c r="X882" s="764"/>
      <c r="Y882" s="764"/>
      <c r="Z882" s="764"/>
      <c r="AA882" s="764"/>
      <c r="AB882" s="764"/>
      <c r="AC882" s="764"/>
      <c r="AD882" s="794"/>
      <c r="AE882" s="764"/>
      <c r="AF882" s="764"/>
      <c r="AG882" s="764"/>
      <c r="AH882" s="764"/>
      <c r="AI882" s="764"/>
      <c r="AJ882" s="764"/>
      <c r="AK882" s="764"/>
      <c r="AL882" s="764"/>
      <c r="AM882" s="764"/>
      <c r="AN882" s="764"/>
      <c r="AO882" s="764"/>
      <c r="AP882" s="764"/>
      <c r="AQ882" s="764"/>
      <c r="AR882" s="764"/>
      <c r="AS882" s="764"/>
    </row>
    <row r="883" spans="1:45" ht="13.9">
      <c r="A883" s="764"/>
      <c r="B883" s="764"/>
      <c r="C883" s="764"/>
      <c r="D883" s="764"/>
      <c r="E883" s="764"/>
      <c r="F883" s="764"/>
      <c r="G883" s="764"/>
      <c r="H883" s="764"/>
      <c r="I883" s="764"/>
      <c r="J883" s="764"/>
      <c r="K883" s="764"/>
      <c r="L883" s="764"/>
      <c r="M883" s="764"/>
      <c r="N883" s="773"/>
      <c r="O883" s="764"/>
      <c r="P883" s="764"/>
      <c r="Q883" s="764"/>
      <c r="R883" s="764"/>
      <c r="S883" s="764"/>
      <c r="T883" s="764"/>
      <c r="U883" s="764"/>
      <c r="V883" s="764"/>
      <c r="W883" s="764"/>
      <c r="X883" s="764"/>
      <c r="Y883" s="764"/>
      <c r="Z883" s="764"/>
      <c r="AA883" s="764"/>
      <c r="AB883" s="764"/>
      <c r="AC883" s="764"/>
      <c r="AD883" s="794"/>
      <c r="AE883" s="764"/>
      <c r="AF883" s="764"/>
      <c r="AG883" s="764"/>
      <c r="AH883" s="764"/>
      <c r="AI883" s="764"/>
      <c r="AJ883" s="764"/>
      <c r="AK883" s="764"/>
      <c r="AL883" s="764"/>
      <c r="AM883" s="764"/>
      <c r="AN883" s="764"/>
      <c r="AO883" s="764"/>
      <c r="AP883" s="764"/>
      <c r="AQ883" s="764"/>
      <c r="AR883" s="764"/>
      <c r="AS883" s="764"/>
    </row>
    <row r="884" spans="1:45" ht="13.9">
      <c r="A884" s="764"/>
      <c r="B884" s="764"/>
      <c r="C884" s="764"/>
      <c r="D884" s="764"/>
      <c r="E884" s="764"/>
      <c r="F884" s="764"/>
      <c r="G884" s="764"/>
      <c r="H884" s="764"/>
      <c r="I884" s="764"/>
      <c r="J884" s="764"/>
      <c r="K884" s="764"/>
      <c r="L884" s="764"/>
      <c r="M884" s="764"/>
      <c r="N884" s="773"/>
      <c r="O884" s="764"/>
      <c r="P884" s="764"/>
      <c r="Q884" s="764"/>
      <c r="R884" s="764"/>
      <c r="S884" s="764"/>
      <c r="T884" s="764"/>
      <c r="U884" s="764"/>
      <c r="V884" s="764"/>
      <c r="W884" s="764"/>
      <c r="X884" s="764"/>
      <c r="Y884" s="764"/>
      <c r="Z884" s="764"/>
      <c r="AA884" s="764"/>
      <c r="AB884" s="764"/>
      <c r="AC884" s="764"/>
      <c r="AD884" s="794"/>
      <c r="AE884" s="764"/>
      <c r="AF884" s="764"/>
      <c r="AG884" s="764"/>
      <c r="AH884" s="764"/>
      <c r="AI884" s="764"/>
      <c r="AJ884" s="764"/>
      <c r="AK884" s="764"/>
      <c r="AL884" s="764"/>
      <c r="AM884" s="764"/>
      <c r="AN884" s="764"/>
      <c r="AO884" s="764"/>
      <c r="AP884" s="764"/>
      <c r="AQ884" s="764"/>
      <c r="AR884" s="764"/>
      <c r="AS884" s="764"/>
    </row>
    <row r="885" spans="1:45" ht="13.9">
      <c r="A885" s="764"/>
      <c r="B885" s="764"/>
      <c r="C885" s="764"/>
      <c r="D885" s="764"/>
      <c r="E885" s="764"/>
      <c r="F885" s="764"/>
      <c r="G885" s="764"/>
      <c r="H885" s="764"/>
      <c r="I885" s="764"/>
      <c r="J885" s="764"/>
      <c r="K885" s="764"/>
      <c r="L885" s="764"/>
      <c r="M885" s="764"/>
      <c r="N885" s="773"/>
      <c r="O885" s="764"/>
      <c r="P885" s="764"/>
      <c r="Q885" s="764"/>
      <c r="R885" s="764"/>
      <c r="S885" s="764"/>
      <c r="T885" s="764"/>
      <c r="U885" s="764"/>
      <c r="V885" s="764"/>
      <c r="W885" s="764"/>
      <c r="X885" s="764"/>
      <c r="Y885" s="764"/>
      <c r="Z885" s="764"/>
      <c r="AA885" s="764"/>
      <c r="AB885" s="764"/>
      <c r="AC885" s="764"/>
      <c r="AD885" s="794"/>
      <c r="AE885" s="764"/>
      <c r="AF885" s="764"/>
      <c r="AG885" s="764"/>
      <c r="AH885" s="764"/>
      <c r="AI885" s="764"/>
      <c r="AJ885" s="764"/>
      <c r="AK885" s="764"/>
      <c r="AL885" s="764"/>
      <c r="AM885" s="764"/>
      <c r="AN885" s="764"/>
      <c r="AO885" s="764"/>
      <c r="AP885" s="764"/>
      <c r="AQ885" s="764"/>
      <c r="AR885" s="764"/>
      <c r="AS885" s="764"/>
    </row>
    <row r="886" spans="1:45" ht="13.9">
      <c r="A886" s="764"/>
      <c r="B886" s="764"/>
      <c r="C886" s="764"/>
      <c r="D886" s="764"/>
      <c r="E886" s="764"/>
      <c r="F886" s="764"/>
      <c r="G886" s="764"/>
      <c r="H886" s="764"/>
      <c r="I886" s="764"/>
      <c r="J886" s="764"/>
      <c r="K886" s="764"/>
      <c r="L886" s="764"/>
      <c r="M886" s="764"/>
      <c r="N886" s="773"/>
      <c r="O886" s="764"/>
      <c r="P886" s="764"/>
      <c r="Q886" s="764"/>
      <c r="R886" s="764"/>
      <c r="S886" s="764"/>
      <c r="T886" s="764"/>
      <c r="U886" s="764"/>
      <c r="V886" s="764"/>
      <c r="W886" s="764"/>
      <c r="X886" s="764"/>
      <c r="Y886" s="764"/>
      <c r="Z886" s="764"/>
      <c r="AA886" s="764"/>
      <c r="AB886" s="764"/>
      <c r="AC886" s="764"/>
      <c r="AD886" s="794"/>
      <c r="AE886" s="764"/>
      <c r="AF886" s="764"/>
      <c r="AG886" s="764"/>
      <c r="AH886" s="764"/>
      <c r="AI886" s="764"/>
      <c r="AJ886" s="764"/>
      <c r="AK886" s="764"/>
      <c r="AL886" s="764"/>
      <c r="AM886" s="764"/>
      <c r="AN886" s="764"/>
      <c r="AO886" s="764"/>
      <c r="AP886" s="764"/>
      <c r="AQ886" s="764"/>
      <c r="AR886" s="764"/>
      <c r="AS886" s="764"/>
    </row>
    <row r="887" spans="1:45" ht="13.9">
      <c r="A887" s="764"/>
      <c r="B887" s="764"/>
      <c r="C887" s="764"/>
      <c r="D887" s="764"/>
      <c r="E887" s="764"/>
      <c r="F887" s="764"/>
      <c r="G887" s="764"/>
      <c r="H887" s="764"/>
      <c r="I887" s="764"/>
      <c r="J887" s="764"/>
      <c r="K887" s="764"/>
      <c r="L887" s="764"/>
      <c r="M887" s="764"/>
      <c r="N887" s="773"/>
      <c r="O887" s="764"/>
      <c r="P887" s="764"/>
      <c r="Q887" s="764"/>
      <c r="R887" s="764"/>
      <c r="S887" s="764"/>
      <c r="T887" s="764"/>
      <c r="U887" s="764"/>
      <c r="V887" s="764"/>
      <c r="W887" s="764"/>
      <c r="X887" s="764"/>
      <c r="Y887" s="764"/>
      <c r="Z887" s="764"/>
      <c r="AA887" s="764"/>
      <c r="AB887" s="764"/>
      <c r="AC887" s="764"/>
      <c r="AD887" s="794"/>
      <c r="AE887" s="764"/>
      <c r="AF887" s="764"/>
      <c r="AG887" s="764"/>
      <c r="AH887" s="764"/>
      <c r="AI887" s="764"/>
      <c r="AJ887" s="764"/>
      <c r="AK887" s="764"/>
      <c r="AL887" s="764"/>
      <c r="AM887" s="764"/>
      <c r="AN887" s="764"/>
      <c r="AO887" s="764"/>
      <c r="AP887" s="764"/>
      <c r="AQ887" s="764"/>
      <c r="AR887" s="764"/>
      <c r="AS887" s="764"/>
    </row>
    <row r="888" spans="1:45" ht="13.9">
      <c r="A888" s="764"/>
      <c r="B888" s="764"/>
      <c r="C888" s="764"/>
      <c r="D888" s="764"/>
      <c r="E888" s="764"/>
      <c r="F888" s="764"/>
      <c r="G888" s="764"/>
      <c r="H888" s="764"/>
      <c r="I888" s="764"/>
      <c r="J888" s="764"/>
      <c r="K888" s="764"/>
      <c r="L888" s="764"/>
      <c r="M888" s="764"/>
      <c r="N888" s="773"/>
      <c r="O888" s="764"/>
      <c r="P888" s="764"/>
      <c r="Q888" s="764"/>
      <c r="R888" s="764"/>
      <c r="S888" s="764"/>
      <c r="T888" s="764"/>
      <c r="U888" s="764"/>
      <c r="V888" s="764"/>
      <c r="W888" s="764"/>
      <c r="X888" s="764"/>
      <c r="Y888" s="764"/>
      <c r="Z888" s="764"/>
      <c r="AA888" s="764"/>
      <c r="AB888" s="764"/>
      <c r="AC888" s="764"/>
      <c r="AD888" s="794"/>
      <c r="AE888" s="764"/>
      <c r="AF888" s="764"/>
      <c r="AG888" s="764"/>
      <c r="AH888" s="764"/>
      <c r="AI888" s="764"/>
      <c r="AJ888" s="764"/>
      <c r="AK888" s="764"/>
      <c r="AL888" s="764"/>
      <c r="AM888" s="764"/>
      <c r="AN888" s="764"/>
      <c r="AO888" s="764"/>
      <c r="AP888" s="764"/>
      <c r="AQ888" s="764"/>
      <c r="AR888" s="764"/>
      <c r="AS888" s="764"/>
    </row>
    <row r="889" spans="1:45" ht="13.9">
      <c r="A889" s="764"/>
      <c r="B889" s="764"/>
      <c r="C889" s="764"/>
      <c r="D889" s="764"/>
      <c r="E889" s="764"/>
      <c r="F889" s="764"/>
      <c r="G889" s="764"/>
      <c r="H889" s="764"/>
      <c r="I889" s="764"/>
      <c r="J889" s="764"/>
      <c r="K889" s="764"/>
      <c r="L889" s="764"/>
      <c r="M889" s="764"/>
      <c r="N889" s="773"/>
      <c r="O889" s="764"/>
      <c r="P889" s="764"/>
      <c r="Q889" s="764"/>
      <c r="R889" s="764"/>
      <c r="S889" s="764"/>
      <c r="T889" s="764"/>
      <c r="U889" s="764"/>
      <c r="V889" s="764"/>
      <c r="W889" s="764"/>
      <c r="X889" s="764"/>
      <c r="Y889" s="764"/>
      <c r="Z889" s="764"/>
      <c r="AA889" s="764"/>
      <c r="AB889" s="764"/>
      <c r="AC889" s="764"/>
      <c r="AD889" s="794"/>
      <c r="AE889" s="764"/>
      <c r="AF889" s="764"/>
      <c r="AG889" s="764"/>
      <c r="AH889" s="764"/>
      <c r="AI889" s="764"/>
      <c r="AJ889" s="764"/>
      <c r="AK889" s="764"/>
      <c r="AL889" s="764"/>
      <c r="AM889" s="764"/>
      <c r="AN889" s="764"/>
      <c r="AO889" s="764"/>
      <c r="AP889" s="764"/>
      <c r="AQ889" s="764"/>
      <c r="AR889" s="764"/>
      <c r="AS889" s="764"/>
    </row>
    <row r="890" spans="1:45" ht="13.9">
      <c r="A890" s="764"/>
      <c r="B890" s="764"/>
      <c r="C890" s="764"/>
      <c r="D890" s="764"/>
      <c r="E890" s="764"/>
      <c r="F890" s="764"/>
      <c r="G890" s="764"/>
      <c r="H890" s="764"/>
      <c r="I890" s="764"/>
      <c r="J890" s="764"/>
      <c r="K890" s="764"/>
      <c r="L890" s="764"/>
      <c r="M890" s="764"/>
      <c r="N890" s="773"/>
      <c r="O890" s="764"/>
      <c r="P890" s="764"/>
      <c r="Q890" s="764"/>
      <c r="R890" s="764"/>
      <c r="S890" s="764"/>
      <c r="T890" s="764"/>
      <c r="U890" s="764"/>
      <c r="V890" s="764"/>
      <c r="W890" s="764"/>
      <c r="X890" s="764"/>
      <c r="Y890" s="764"/>
      <c r="Z890" s="764"/>
      <c r="AA890" s="764"/>
      <c r="AB890" s="764"/>
      <c r="AC890" s="764"/>
      <c r="AD890" s="794"/>
      <c r="AE890" s="764"/>
      <c r="AF890" s="764"/>
      <c r="AG890" s="764"/>
      <c r="AH890" s="764"/>
      <c r="AI890" s="764"/>
      <c r="AJ890" s="764"/>
      <c r="AK890" s="764"/>
      <c r="AL890" s="764"/>
      <c r="AM890" s="764"/>
      <c r="AN890" s="764"/>
      <c r="AO890" s="764"/>
      <c r="AP890" s="764"/>
      <c r="AQ890" s="764"/>
      <c r="AR890" s="764"/>
      <c r="AS890" s="764"/>
    </row>
    <row r="891" spans="1:45" ht="13.9">
      <c r="A891" s="764"/>
      <c r="B891" s="764"/>
      <c r="C891" s="764"/>
      <c r="D891" s="764"/>
      <c r="E891" s="764"/>
      <c r="F891" s="764"/>
      <c r="G891" s="764"/>
      <c r="H891" s="764"/>
      <c r="I891" s="764"/>
      <c r="J891" s="764"/>
      <c r="K891" s="764"/>
      <c r="L891" s="764"/>
      <c r="M891" s="764"/>
      <c r="N891" s="773"/>
      <c r="O891" s="764"/>
      <c r="P891" s="764"/>
      <c r="Q891" s="764"/>
      <c r="R891" s="764"/>
      <c r="S891" s="764"/>
      <c r="T891" s="764"/>
      <c r="U891" s="764"/>
      <c r="V891" s="764"/>
      <c r="W891" s="764"/>
      <c r="X891" s="764"/>
      <c r="Y891" s="764"/>
      <c r="Z891" s="764"/>
      <c r="AA891" s="764"/>
      <c r="AB891" s="764"/>
      <c r="AC891" s="764"/>
      <c r="AD891" s="794"/>
      <c r="AE891" s="764"/>
      <c r="AF891" s="764"/>
      <c r="AG891" s="764"/>
      <c r="AH891" s="764"/>
      <c r="AI891" s="764"/>
      <c r="AJ891" s="764"/>
      <c r="AK891" s="764"/>
      <c r="AL891" s="764"/>
      <c r="AM891" s="764"/>
      <c r="AN891" s="764"/>
      <c r="AO891" s="764"/>
      <c r="AP891" s="764"/>
      <c r="AQ891" s="764"/>
      <c r="AR891" s="764"/>
      <c r="AS891" s="764"/>
    </row>
    <row r="892" spans="1:45" ht="13.9">
      <c r="A892" s="764"/>
      <c r="B892" s="764"/>
      <c r="C892" s="764"/>
      <c r="D892" s="764"/>
      <c r="E892" s="764"/>
      <c r="F892" s="764"/>
      <c r="G892" s="764"/>
      <c r="H892" s="764"/>
      <c r="I892" s="764"/>
      <c r="J892" s="764"/>
      <c r="K892" s="764"/>
      <c r="L892" s="764"/>
      <c r="M892" s="764"/>
      <c r="N892" s="773"/>
      <c r="O892" s="764"/>
      <c r="P892" s="764"/>
      <c r="Q892" s="764"/>
      <c r="R892" s="764"/>
      <c r="S892" s="764"/>
      <c r="T892" s="764"/>
      <c r="U892" s="764"/>
      <c r="V892" s="764"/>
      <c r="W892" s="764"/>
      <c r="X892" s="764"/>
      <c r="Y892" s="764"/>
      <c r="Z892" s="764"/>
      <c r="AA892" s="764"/>
      <c r="AB892" s="764"/>
      <c r="AC892" s="764"/>
      <c r="AD892" s="794"/>
      <c r="AE892" s="764"/>
      <c r="AF892" s="764"/>
      <c r="AG892" s="764"/>
      <c r="AH892" s="764"/>
      <c r="AI892" s="764"/>
      <c r="AJ892" s="764"/>
      <c r="AK892" s="764"/>
      <c r="AL892" s="764"/>
      <c r="AM892" s="764"/>
      <c r="AN892" s="764"/>
      <c r="AO892" s="764"/>
      <c r="AP892" s="764"/>
      <c r="AQ892" s="764"/>
      <c r="AR892" s="764"/>
      <c r="AS892" s="764"/>
    </row>
    <row r="893" spans="1:45" ht="13.9">
      <c r="A893" s="764"/>
      <c r="B893" s="764"/>
      <c r="C893" s="764"/>
      <c r="D893" s="764"/>
      <c r="E893" s="764"/>
      <c r="F893" s="764"/>
      <c r="G893" s="764"/>
      <c r="H893" s="764"/>
      <c r="I893" s="764"/>
      <c r="J893" s="764"/>
      <c r="K893" s="764"/>
      <c r="L893" s="764"/>
      <c r="M893" s="764"/>
      <c r="N893" s="773"/>
      <c r="O893" s="764"/>
      <c r="P893" s="764"/>
      <c r="Q893" s="764"/>
      <c r="R893" s="764"/>
      <c r="S893" s="764"/>
      <c r="T893" s="764"/>
      <c r="U893" s="764"/>
      <c r="V893" s="764"/>
      <c r="W893" s="764"/>
      <c r="X893" s="764"/>
      <c r="Y893" s="764"/>
      <c r="Z893" s="764"/>
      <c r="AA893" s="764"/>
      <c r="AB893" s="764"/>
      <c r="AC893" s="764"/>
      <c r="AD893" s="794"/>
      <c r="AE893" s="764"/>
      <c r="AF893" s="764"/>
      <c r="AG893" s="764"/>
      <c r="AH893" s="764"/>
      <c r="AI893" s="764"/>
      <c r="AJ893" s="764"/>
      <c r="AK893" s="764"/>
      <c r="AL893" s="764"/>
      <c r="AM893" s="764"/>
      <c r="AN893" s="764"/>
      <c r="AO893" s="764"/>
      <c r="AP893" s="764"/>
      <c r="AQ893" s="764"/>
      <c r="AR893" s="764"/>
      <c r="AS893" s="764"/>
    </row>
    <row r="894" spans="1:45" ht="13.9">
      <c r="A894" s="764"/>
      <c r="B894" s="764"/>
      <c r="C894" s="764"/>
      <c r="D894" s="764"/>
      <c r="E894" s="764"/>
      <c r="F894" s="764"/>
      <c r="G894" s="764"/>
      <c r="H894" s="764"/>
      <c r="I894" s="764"/>
      <c r="J894" s="764"/>
      <c r="K894" s="764"/>
      <c r="L894" s="764"/>
      <c r="M894" s="764"/>
      <c r="N894" s="773"/>
      <c r="O894" s="764"/>
      <c r="P894" s="764"/>
      <c r="Q894" s="764"/>
      <c r="R894" s="764"/>
      <c r="S894" s="764"/>
      <c r="T894" s="764"/>
      <c r="U894" s="764"/>
      <c r="V894" s="764"/>
      <c r="W894" s="764"/>
      <c r="X894" s="764"/>
      <c r="Y894" s="764"/>
      <c r="Z894" s="764"/>
      <c r="AA894" s="764"/>
      <c r="AB894" s="764"/>
      <c r="AC894" s="764"/>
      <c r="AD894" s="794"/>
      <c r="AE894" s="764"/>
      <c r="AF894" s="764"/>
      <c r="AG894" s="764"/>
      <c r="AH894" s="764"/>
      <c r="AI894" s="764"/>
      <c r="AJ894" s="764"/>
      <c r="AK894" s="764"/>
      <c r="AL894" s="764"/>
      <c r="AM894" s="764"/>
      <c r="AN894" s="764"/>
      <c r="AO894" s="764"/>
      <c r="AP894" s="764"/>
      <c r="AQ894" s="764"/>
      <c r="AR894" s="764"/>
      <c r="AS894" s="764"/>
    </row>
    <row r="895" spans="1:45" ht="13.9">
      <c r="A895" s="764"/>
      <c r="B895" s="764"/>
      <c r="C895" s="764"/>
      <c r="D895" s="764"/>
      <c r="E895" s="764"/>
      <c r="F895" s="764"/>
      <c r="G895" s="764"/>
      <c r="H895" s="764"/>
      <c r="I895" s="764"/>
      <c r="J895" s="764"/>
      <c r="K895" s="764"/>
      <c r="L895" s="764"/>
      <c r="M895" s="764"/>
      <c r="N895" s="773"/>
      <c r="O895" s="764"/>
      <c r="P895" s="764"/>
      <c r="Q895" s="764"/>
      <c r="R895" s="764"/>
      <c r="S895" s="764"/>
      <c r="T895" s="764"/>
      <c r="U895" s="764"/>
      <c r="V895" s="764"/>
      <c r="W895" s="764"/>
      <c r="X895" s="764"/>
      <c r="Y895" s="764"/>
      <c r="Z895" s="764"/>
      <c r="AA895" s="764"/>
      <c r="AB895" s="764"/>
      <c r="AC895" s="764"/>
      <c r="AD895" s="794"/>
      <c r="AE895" s="764"/>
      <c r="AF895" s="764"/>
      <c r="AG895" s="764"/>
      <c r="AH895" s="764"/>
      <c r="AI895" s="764"/>
      <c r="AJ895" s="764"/>
      <c r="AK895" s="764"/>
      <c r="AL895" s="764"/>
      <c r="AM895" s="764"/>
      <c r="AN895" s="764"/>
      <c r="AO895" s="764"/>
      <c r="AP895" s="764"/>
      <c r="AQ895" s="764"/>
      <c r="AR895" s="764"/>
      <c r="AS895" s="764"/>
    </row>
    <row r="896" spans="1:45" ht="13.9">
      <c r="A896" s="764"/>
      <c r="B896" s="764"/>
      <c r="C896" s="764"/>
      <c r="D896" s="764"/>
      <c r="E896" s="764"/>
      <c r="F896" s="764"/>
      <c r="G896" s="764"/>
      <c r="H896" s="764"/>
      <c r="I896" s="764"/>
      <c r="J896" s="764"/>
      <c r="K896" s="764"/>
      <c r="L896" s="764"/>
      <c r="M896" s="764"/>
      <c r="N896" s="773"/>
      <c r="O896" s="764"/>
      <c r="P896" s="764"/>
      <c r="Q896" s="764"/>
      <c r="R896" s="764"/>
      <c r="S896" s="764"/>
      <c r="T896" s="764"/>
      <c r="U896" s="764"/>
      <c r="V896" s="764"/>
      <c r="W896" s="764"/>
      <c r="X896" s="764"/>
      <c r="Y896" s="764"/>
      <c r="Z896" s="764"/>
      <c r="AA896" s="764"/>
      <c r="AB896" s="764"/>
      <c r="AC896" s="764"/>
      <c r="AD896" s="794"/>
      <c r="AE896" s="764"/>
      <c r="AF896" s="764"/>
      <c r="AG896" s="764"/>
      <c r="AH896" s="764"/>
      <c r="AI896" s="764"/>
      <c r="AJ896" s="764"/>
      <c r="AK896" s="764"/>
      <c r="AL896" s="764"/>
      <c r="AM896" s="764"/>
      <c r="AN896" s="764"/>
      <c r="AO896" s="764"/>
      <c r="AP896" s="764"/>
      <c r="AQ896" s="764"/>
      <c r="AR896" s="764"/>
      <c r="AS896" s="764"/>
    </row>
    <row r="897" spans="1:45" ht="13.9">
      <c r="A897" s="764"/>
      <c r="B897" s="764"/>
      <c r="C897" s="764"/>
      <c r="D897" s="764"/>
      <c r="E897" s="764"/>
      <c r="F897" s="764"/>
      <c r="G897" s="764"/>
      <c r="H897" s="764"/>
      <c r="I897" s="764"/>
      <c r="J897" s="764"/>
      <c r="K897" s="764"/>
      <c r="L897" s="764"/>
      <c r="M897" s="764"/>
      <c r="N897" s="773"/>
      <c r="O897" s="764"/>
      <c r="P897" s="764"/>
      <c r="Q897" s="764"/>
      <c r="R897" s="764"/>
      <c r="S897" s="764"/>
      <c r="T897" s="764"/>
      <c r="U897" s="764"/>
      <c r="V897" s="764"/>
      <c r="W897" s="764"/>
      <c r="X897" s="764"/>
      <c r="Y897" s="764"/>
      <c r="Z897" s="764"/>
      <c r="AA897" s="764"/>
      <c r="AB897" s="764"/>
      <c r="AC897" s="764"/>
      <c r="AD897" s="794"/>
      <c r="AE897" s="764"/>
      <c r="AF897" s="764"/>
      <c r="AG897" s="764"/>
      <c r="AH897" s="764"/>
      <c r="AI897" s="764"/>
      <c r="AJ897" s="764"/>
      <c r="AK897" s="764"/>
      <c r="AL897" s="764"/>
      <c r="AM897" s="764"/>
      <c r="AN897" s="764"/>
      <c r="AO897" s="764"/>
      <c r="AP897" s="764"/>
      <c r="AQ897" s="764"/>
      <c r="AR897" s="764"/>
      <c r="AS897" s="764"/>
    </row>
    <row r="898" spans="1:45" ht="13.9">
      <c r="A898" s="764"/>
      <c r="B898" s="764"/>
      <c r="C898" s="764"/>
      <c r="D898" s="764"/>
      <c r="E898" s="764"/>
      <c r="F898" s="764"/>
      <c r="G898" s="764"/>
      <c r="H898" s="764"/>
      <c r="I898" s="764"/>
      <c r="J898" s="764"/>
      <c r="K898" s="764"/>
      <c r="L898" s="764"/>
      <c r="M898" s="764"/>
      <c r="N898" s="773"/>
      <c r="O898" s="764"/>
      <c r="P898" s="764"/>
      <c r="Q898" s="764"/>
      <c r="R898" s="764"/>
      <c r="S898" s="764"/>
      <c r="T898" s="764"/>
      <c r="U898" s="764"/>
      <c r="V898" s="764"/>
      <c r="W898" s="764"/>
      <c r="X898" s="764"/>
      <c r="Y898" s="764"/>
      <c r="Z898" s="764"/>
      <c r="AA898" s="764"/>
      <c r="AB898" s="764"/>
      <c r="AC898" s="764"/>
      <c r="AD898" s="794"/>
      <c r="AE898" s="764"/>
      <c r="AF898" s="764"/>
      <c r="AG898" s="764"/>
      <c r="AH898" s="764"/>
      <c r="AI898" s="764"/>
      <c r="AJ898" s="764"/>
      <c r="AK898" s="764"/>
      <c r="AL898" s="764"/>
      <c r="AM898" s="764"/>
      <c r="AN898" s="764"/>
      <c r="AO898" s="764"/>
      <c r="AP898" s="764"/>
      <c r="AQ898" s="764"/>
      <c r="AR898" s="764"/>
      <c r="AS898" s="764"/>
    </row>
    <row r="899" spans="1:45" ht="13.9">
      <c r="A899" s="764"/>
      <c r="B899" s="764"/>
      <c r="C899" s="764"/>
      <c r="D899" s="764"/>
      <c r="E899" s="764"/>
      <c r="F899" s="764"/>
      <c r="G899" s="764"/>
      <c r="H899" s="764"/>
      <c r="I899" s="764"/>
      <c r="J899" s="764"/>
      <c r="K899" s="764"/>
      <c r="L899" s="764"/>
      <c r="M899" s="764"/>
      <c r="N899" s="773"/>
      <c r="O899" s="764"/>
      <c r="P899" s="764"/>
      <c r="Q899" s="764"/>
      <c r="R899" s="764"/>
      <c r="S899" s="764"/>
      <c r="T899" s="764"/>
      <c r="U899" s="764"/>
      <c r="V899" s="764"/>
      <c r="W899" s="764"/>
      <c r="X899" s="764"/>
      <c r="Y899" s="764"/>
      <c r="Z899" s="764"/>
      <c r="AA899" s="764"/>
      <c r="AB899" s="764"/>
      <c r="AC899" s="764"/>
      <c r="AD899" s="794"/>
      <c r="AE899" s="764"/>
      <c r="AF899" s="764"/>
      <c r="AG899" s="764"/>
      <c r="AH899" s="764"/>
      <c r="AI899" s="764"/>
      <c r="AJ899" s="764"/>
      <c r="AK899" s="764"/>
      <c r="AL899" s="764"/>
      <c r="AM899" s="764"/>
      <c r="AN899" s="764"/>
      <c r="AO899" s="764"/>
      <c r="AP899" s="764"/>
      <c r="AQ899" s="764"/>
      <c r="AR899" s="764"/>
      <c r="AS899" s="764"/>
    </row>
    <row r="900" spans="1:45" ht="13.9">
      <c r="A900" s="764"/>
      <c r="B900" s="764"/>
      <c r="C900" s="764"/>
      <c r="D900" s="764"/>
      <c r="E900" s="764"/>
      <c r="F900" s="764"/>
      <c r="G900" s="764"/>
      <c r="H900" s="764"/>
      <c r="I900" s="764"/>
      <c r="J900" s="764"/>
      <c r="K900" s="764"/>
      <c r="L900" s="764"/>
      <c r="M900" s="764"/>
      <c r="N900" s="773"/>
      <c r="O900" s="764"/>
      <c r="P900" s="764"/>
      <c r="Q900" s="764"/>
      <c r="R900" s="764"/>
      <c r="S900" s="764"/>
      <c r="T900" s="764"/>
      <c r="U900" s="764"/>
      <c r="V900" s="764"/>
      <c r="W900" s="764"/>
      <c r="X900" s="764"/>
      <c r="Y900" s="764"/>
      <c r="Z900" s="764"/>
      <c r="AA900" s="764"/>
      <c r="AB900" s="764"/>
      <c r="AC900" s="764"/>
      <c r="AD900" s="794"/>
      <c r="AE900" s="764"/>
      <c r="AF900" s="764"/>
      <c r="AG900" s="764"/>
      <c r="AH900" s="764"/>
      <c r="AI900" s="764"/>
      <c r="AJ900" s="764"/>
      <c r="AK900" s="764"/>
      <c r="AL900" s="764"/>
      <c r="AM900" s="764"/>
      <c r="AN900" s="764"/>
      <c r="AO900" s="764"/>
      <c r="AP900" s="764"/>
      <c r="AQ900" s="764"/>
      <c r="AR900" s="764"/>
      <c r="AS900" s="764"/>
    </row>
    <row r="901" spans="1:45" ht="13.9">
      <c r="A901" s="764"/>
      <c r="B901" s="764"/>
      <c r="C901" s="764"/>
      <c r="D901" s="764"/>
      <c r="E901" s="764"/>
      <c r="F901" s="764"/>
      <c r="G901" s="764"/>
      <c r="H901" s="764"/>
      <c r="I901" s="764"/>
      <c r="J901" s="764"/>
      <c r="K901" s="764"/>
      <c r="L901" s="764"/>
      <c r="M901" s="764"/>
      <c r="N901" s="773"/>
      <c r="O901" s="764"/>
      <c r="P901" s="764"/>
      <c r="Q901" s="764"/>
      <c r="R901" s="764"/>
      <c r="S901" s="764"/>
      <c r="T901" s="764"/>
      <c r="U901" s="764"/>
      <c r="V901" s="764"/>
      <c r="W901" s="764"/>
      <c r="X901" s="764"/>
      <c r="Y901" s="764"/>
      <c r="Z901" s="764"/>
      <c r="AA901" s="764"/>
      <c r="AB901" s="764"/>
      <c r="AC901" s="764"/>
      <c r="AD901" s="794"/>
      <c r="AE901" s="764"/>
      <c r="AF901" s="764"/>
      <c r="AG901" s="764"/>
      <c r="AH901" s="764"/>
      <c r="AI901" s="764"/>
      <c r="AJ901" s="764"/>
      <c r="AK901" s="764"/>
      <c r="AL901" s="764"/>
      <c r="AM901" s="764"/>
      <c r="AN901" s="764"/>
      <c r="AO901" s="764"/>
      <c r="AP901" s="764"/>
      <c r="AQ901" s="764"/>
      <c r="AR901" s="764"/>
      <c r="AS901" s="764"/>
    </row>
    <row r="902" spans="1:45" ht="13.9">
      <c r="A902" s="764"/>
      <c r="B902" s="764"/>
      <c r="C902" s="764"/>
      <c r="D902" s="764"/>
      <c r="E902" s="764"/>
      <c r="F902" s="764"/>
      <c r="G902" s="764"/>
      <c r="H902" s="764"/>
      <c r="I902" s="764"/>
      <c r="J902" s="764"/>
      <c r="K902" s="764"/>
      <c r="L902" s="764"/>
      <c r="M902" s="764"/>
      <c r="N902" s="773"/>
      <c r="O902" s="764"/>
      <c r="P902" s="764"/>
      <c r="Q902" s="764"/>
      <c r="R902" s="764"/>
      <c r="S902" s="764"/>
      <c r="T902" s="764"/>
      <c r="U902" s="764"/>
      <c r="V902" s="764"/>
      <c r="W902" s="764"/>
      <c r="X902" s="764"/>
      <c r="Y902" s="764"/>
      <c r="Z902" s="764"/>
      <c r="AA902" s="764"/>
      <c r="AB902" s="764"/>
      <c r="AC902" s="764"/>
      <c r="AD902" s="794"/>
      <c r="AE902" s="764"/>
      <c r="AF902" s="764"/>
      <c r="AG902" s="764"/>
      <c r="AH902" s="764"/>
      <c r="AI902" s="764"/>
      <c r="AJ902" s="764"/>
      <c r="AK902" s="764"/>
      <c r="AL902" s="764"/>
      <c r="AM902" s="764"/>
      <c r="AN902" s="764"/>
      <c r="AO902" s="764"/>
      <c r="AP902" s="764"/>
      <c r="AQ902" s="764"/>
      <c r="AR902" s="764"/>
      <c r="AS902" s="764"/>
    </row>
    <row r="903" spans="1:45" ht="13.9">
      <c r="A903" s="764"/>
      <c r="B903" s="764"/>
      <c r="C903" s="764"/>
      <c r="D903" s="764"/>
      <c r="E903" s="764"/>
      <c r="F903" s="764"/>
      <c r="G903" s="764"/>
      <c r="H903" s="764"/>
      <c r="I903" s="764"/>
      <c r="J903" s="764"/>
      <c r="K903" s="764"/>
      <c r="L903" s="764"/>
      <c r="M903" s="764"/>
      <c r="N903" s="773"/>
      <c r="O903" s="764"/>
      <c r="P903" s="764"/>
      <c r="Q903" s="764"/>
      <c r="R903" s="764"/>
      <c r="S903" s="764"/>
      <c r="T903" s="764"/>
      <c r="U903" s="764"/>
      <c r="V903" s="764"/>
      <c r="W903" s="764"/>
      <c r="X903" s="764"/>
      <c r="Y903" s="764"/>
      <c r="Z903" s="764"/>
      <c r="AA903" s="764"/>
      <c r="AB903" s="764"/>
      <c r="AC903" s="764"/>
      <c r="AD903" s="794"/>
      <c r="AE903" s="764"/>
      <c r="AF903" s="764"/>
      <c r="AG903" s="764"/>
      <c r="AH903" s="764"/>
      <c r="AI903" s="764"/>
      <c r="AJ903" s="764"/>
      <c r="AK903" s="764"/>
      <c r="AL903" s="764"/>
      <c r="AM903" s="764"/>
      <c r="AN903" s="764"/>
      <c r="AO903" s="764"/>
      <c r="AP903" s="764"/>
      <c r="AQ903" s="764"/>
      <c r="AR903" s="764"/>
      <c r="AS903" s="764"/>
    </row>
    <row r="904" spans="1:45" ht="13.9">
      <c r="A904" s="764"/>
      <c r="B904" s="764"/>
      <c r="C904" s="764"/>
      <c r="D904" s="764"/>
      <c r="E904" s="764"/>
      <c r="F904" s="764"/>
      <c r="G904" s="764"/>
      <c r="H904" s="764"/>
      <c r="I904" s="764"/>
      <c r="J904" s="764"/>
      <c r="K904" s="764"/>
      <c r="L904" s="764"/>
      <c r="M904" s="764"/>
      <c r="N904" s="773"/>
      <c r="O904" s="764"/>
      <c r="P904" s="764"/>
      <c r="Q904" s="764"/>
      <c r="R904" s="764"/>
      <c r="S904" s="764"/>
      <c r="T904" s="764"/>
      <c r="U904" s="764"/>
      <c r="V904" s="764"/>
      <c r="W904" s="764"/>
      <c r="X904" s="764"/>
      <c r="Y904" s="764"/>
      <c r="Z904" s="764"/>
      <c r="AA904" s="764"/>
      <c r="AB904" s="764"/>
      <c r="AC904" s="764"/>
      <c r="AD904" s="794"/>
      <c r="AE904" s="764"/>
      <c r="AF904" s="764"/>
      <c r="AG904" s="764"/>
      <c r="AH904" s="764"/>
      <c r="AI904" s="764"/>
      <c r="AJ904" s="764"/>
      <c r="AK904" s="764"/>
      <c r="AL904" s="764"/>
      <c r="AM904" s="764"/>
      <c r="AN904" s="764"/>
      <c r="AO904" s="764"/>
      <c r="AP904" s="764"/>
      <c r="AQ904" s="764"/>
      <c r="AR904" s="764"/>
      <c r="AS904" s="764"/>
    </row>
    <row r="905" spans="1:45" ht="13.9">
      <c r="A905" s="764"/>
      <c r="B905" s="764"/>
      <c r="C905" s="764"/>
      <c r="D905" s="764"/>
      <c r="E905" s="764"/>
      <c r="F905" s="764"/>
      <c r="G905" s="764"/>
      <c r="H905" s="764"/>
      <c r="I905" s="764"/>
      <c r="J905" s="764"/>
      <c r="K905" s="764"/>
      <c r="L905" s="764"/>
      <c r="M905" s="764"/>
      <c r="N905" s="773"/>
      <c r="O905" s="764"/>
      <c r="P905" s="764"/>
      <c r="Q905" s="764"/>
      <c r="R905" s="764"/>
      <c r="S905" s="764"/>
      <c r="T905" s="764"/>
      <c r="U905" s="764"/>
      <c r="V905" s="764"/>
      <c r="W905" s="764"/>
      <c r="X905" s="764"/>
      <c r="Y905" s="764"/>
      <c r="Z905" s="764"/>
      <c r="AA905" s="764"/>
      <c r="AB905" s="764"/>
      <c r="AC905" s="764"/>
      <c r="AD905" s="794"/>
      <c r="AE905" s="764"/>
      <c r="AF905" s="764"/>
      <c r="AG905" s="764"/>
      <c r="AH905" s="764"/>
      <c r="AI905" s="764"/>
      <c r="AJ905" s="764"/>
      <c r="AK905" s="764"/>
      <c r="AL905" s="764"/>
      <c r="AM905" s="764"/>
      <c r="AN905" s="764"/>
      <c r="AO905" s="764"/>
      <c r="AP905" s="764"/>
      <c r="AQ905" s="764"/>
      <c r="AR905" s="764"/>
      <c r="AS905" s="764"/>
    </row>
    <row r="906" spans="1:45" ht="13.9">
      <c r="A906" s="764"/>
      <c r="B906" s="764"/>
      <c r="C906" s="764"/>
      <c r="D906" s="764"/>
      <c r="E906" s="764"/>
      <c r="F906" s="764"/>
      <c r="G906" s="764"/>
      <c r="H906" s="764"/>
      <c r="I906" s="764"/>
      <c r="J906" s="764"/>
      <c r="K906" s="764"/>
      <c r="L906" s="764"/>
      <c r="M906" s="764"/>
      <c r="N906" s="773"/>
      <c r="O906" s="764"/>
      <c r="P906" s="764"/>
      <c r="Q906" s="764"/>
      <c r="R906" s="764"/>
      <c r="S906" s="764"/>
      <c r="T906" s="764"/>
      <c r="U906" s="764"/>
      <c r="V906" s="764"/>
      <c r="W906" s="764"/>
      <c r="X906" s="764"/>
      <c r="Y906" s="764"/>
      <c r="Z906" s="764"/>
      <c r="AA906" s="764"/>
      <c r="AB906" s="764"/>
      <c r="AC906" s="764"/>
      <c r="AD906" s="794"/>
      <c r="AE906" s="764"/>
      <c r="AF906" s="764"/>
      <c r="AG906" s="764"/>
      <c r="AH906" s="764"/>
      <c r="AI906" s="764"/>
      <c r="AJ906" s="764"/>
      <c r="AK906" s="764"/>
      <c r="AL906" s="764"/>
      <c r="AM906" s="764"/>
      <c r="AN906" s="764"/>
      <c r="AO906" s="764"/>
      <c r="AP906" s="764"/>
      <c r="AQ906" s="764"/>
      <c r="AR906" s="764"/>
      <c r="AS906" s="764"/>
    </row>
    <row r="907" spans="1:45" ht="13.9">
      <c r="A907" s="764"/>
      <c r="B907" s="764"/>
      <c r="C907" s="764"/>
      <c r="D907" s="764"/>
      <c r="E907" s="764"/>
      <c r="F907" s="764"/>
      <c r="G907" s="764"/>
      <c r="H907" s="764"/>
      <c r="I907" s="764"/>
      <c r="J907" s="764"/>
      <c r="K907" s="764"/>
      <c r="L907" s="764"/>
      <c r="M907" s="764"/>
      <c r="N907" s="773"/>
      <c r="O907" s="764"/>
      <c r="P907" s="764"/>
      <c r="Q907" s="764"/>
      <c r="R907" s="764"/>
      <c r="S907" s="764"/>
      <c r="T907" s="764"/>
      <c r="U907" s="764"/>
      <c r="V907" s="764"/>
      <c r="W907" s="764"/>
      <c r="X907" s="764"/>
      <c r="Y907" s="764"/>
      <c r="Z907" s="764"/>
      <c r="AA907" s="764"/>
      <c r="AB907" s="764"/>
      <c r="AC907" s="764"/>
      <c r="AD907" s="794"/>
      <c r="AE907" s="764"/>
      <c r="AF907" s="764"/>
      <c r="AG907" s="764"/>
      <c r="AH907" s="764"/>
      <c r="AI907" s="764"/>
      <c r="AJ907" s="764"/>
      <c r="AK907" s="764"/>
      <c r="AL907" s="764"/>
      <c r="AM907" s="764"/>
      <c r="AN907" s="764"/>
      <c r="AO907" s="764"/>
      <c r="AP907" s="764"/>
      <c r="AQ907" s="764"/>
      <c r="AR907" s="764"/>
      <c r="AS907" s="764"/>
    </row>
    <row r="908" spans="1:45" ht="13.9">
      <c r="A908" s="764"/>
      <c r="B908" s="764"/>
      <c r="C908" s="764"/>
      <c r="D908" s="764"/>
      <c r="E908" s="764"/>
      <c r="F908" s="764"/>
      <c r="G908" s="764"/>
      <c r="H908" s="764"/>
      <c r="I908" s="764"/>
      <c r="J908" s="764"/>
      <c r="K908" s="764"/>
      <c r="L908" s="764"/>
      <c r="M908" s="764"/>
      <c r="N908" s="773"/>
      <c r="O908" s="764"/>
      <c r="P908" s="764"/>
      <c r="Q908" s="764"/>
      <c r="R908" s="764"/>
      <c r="S908" s="764"/>
      <c r="T908" s="764"/>
      <c r="U908" s="764"/>
      <c r="V908" s="764"/>
      <c r="W908" s="764"/>
      <c r="X908" s="764"/>
      <c r="Y908" s="764"/>
      <c r="Z908" s="764"/>
      <c r="AA908" s="764"/>
      <c r="AB908" s="764"/>
      <c r="AC908" s="764"/>
      <c r="AD908" s="794"/>
      <c r="AE908" s="764"/>
      <c r="AF908" s="764"/>
      <c r="AG908" s="764"/>
      <c r="AH908" s="764"/>
      <c r="AI908" s="764"/>
      <c r="AJ908" s="764"/>
      <c r="AK908" s="764"/>
      <c r="AL908" s="764"/>
      <c r="AM908" s="764"/>
      <c r="AN908" s="764"/>
      <c r="AO908" s="764"/>
      <c r="AP908" s="764"/>
      <c r="AQ908" s="764"/>
      <c r="AR908" s="764"/>
      <c r="AS908" s="764"/>
    </row>
    <row r="909" spans="1:45" ht="13.9">
      <c r="A909" s="764"/>
      <c r="B909" s="764"/>
      <c r="C909" s="764"/>
      <c r="D909" s="764"/>
      <c r="E909" s="764"/>
      <c r="F909" s="764"/>
      <c r="G909" s="764"/>
      <c r="H909" s="764"/>
      <c r="I909" s="764"/>
      <c r="J909" s="764"/>
      <c r="K909" s="764"/>
      <c r="L909" s="764"/>
      <c r="M909" s="764"/>
      <c r="N909" s="773"/>
      <c r="O909" s="764"/>
      <c r="P909" s="764"/>
      <c r="Q909" s="764"/>
      <c r="R909" s="764"/>
      <c r="S909" s="764"/>
      <c r="T909" s="764"/>
      <c r="U909" s="764"/>
      <c r="V909" s="764"/>
      <c r="W909" s="764"/>
      <c r="X909" s="764"/>
      <c r="Y909" s="764"/>
      <c r="Z909" s="764"/>
      <c r="AA909" s="764"/>
      <c r="AB909" s="764"/>
      <c r="AC909" s="764"/>
      <c r="AD909" s="794"/>
      <c r="AE909" s="764"/>
      <c r="AF909" s="764"/>
      <c r="AG909" s="764"/>
      <c r="AH909" s="764"/>
      <c r="AI909" s="764"/>
      <c r="AJ909" s="764"/>
      <c r="AK909" s="764"/>
      <c r="AL909" s="764"/>
      <c r="AM909" s="764"/>
      <c r="AN909" s="764"/>
      <c r="AO909" s="764"/>
      <c r="AP909" s="764"/>
      <c r="AQ909" s="764"/>
      <c r="AR909" s="764"/>
      <c r="AS909" s="764"/>
    </row>
    <row r="910" spans="1:45" ht="13.9">
      <c r="A910" s="764"/>
      <c r="B910" s="764"/>
      <c r="C910" s="764"/>
      <c r="D910" s="764"/>
      <c r="E910" s="764"/>
      <c r="F910" s="764"/>
      <c r="G910" s="764"/>
      <c r="H910" s="764"/>
      <c r="I910" s="764"/>
      <c r="J910" s="764"/>
      <c r="K910" s="764"/>
      <c r="L910" s="764"/>
      <c r="M910" s="764"/>
      <c r="N910" s="773"/>
      <c r="O910" s="764"/>
      <c r="P910" s="764"/>
      <c r="Q910" s="764"/>
      <c r="R910" s="764"/>
      <c r="S910" s="764"/>
      <c r="T910" s="764"/>
      <c r="U910" s="764"/>
      <c r="V910" s="764"/>
      <c r="W910" s="764"/>
      <c r="X910" s="764"/>
      <c r="Y910" s="764"/>
      <c r="Z910" s="764"/>
      <c r="AA910" s="764"/>
      <c r="AB910" s="764"/>
      <c r="AC910" s="764"/>
      <c r="AD910" s="794"/>
      <c r="AE910" s="764"/>
      <c r="AF910" s="764"/>
      <c r="AG910" s="764"/>
      <c r="AH910" s="764"/>
      <c r="AI910" s="764"/>
      <c r="AJ910" s="764"/>
      <c r="AK910" s="764"/>
      <c r="AL910" s="764"/>
      <c r="AM910" s="764"/>
      <c r="AN910" s="764"/>
      <c r="AO910" s="764"/>
      <c r="AP910" s="764"/>
      <c r="AQ910" s="764"/>
      <c r="AR910" s="764"/>
      <c r="AS910" s="764"/>
    </row>
    <row r="911" spans="1:45" ht="13.9">
      <c r="A911" s="764"/>
      <c r="B911" s="764"/>
      <c r="C911" s="764"/>
      <c r="D911" s="764"/>
      <c r="E911" s="764"/>
      <c r="F911" s="764"/>
      <c r="G911" s="764"/>
      <c r="H911" s="764"/>
      <c r="I911" s="764"/>
      <c r="J911" s="764"/>
      <c r="K911" s="764"/>
      <c r="L911" s="764"/>
      <c r="M911" s="764"/>
      <c r="N911" s="773"/>
      <c r="O911" s="764"/>
      <c r="P911" s="764"/>
      <c r="Q911" s="764"/>
      <c r="R911" s="764"/>
      <c r="S911" s="764"/>
      <c r="T911" s="764"/>
      <c r="U911" s="764"/>
      <c r="V911" s="764"/>
      <c r="W911" s="764"/>
      <c r="X911" s="764"/>
      <c r="Y911" s="764"/>
      <c r="Z911" s="764"/>
      <c r="AA911" s="764"/>
      <c r="AB911" s="764"/>
      <c r="AC911" s="764"/>
      <c r="AD911" s="794"/>
      <c r="AE911" s="764"/>
      <c r="AF911" s="764"/>
      <c r="AG911" s="764"/>
      <c r="AH911" s="764"/>
      <c r="AI911" s="764"/>
      <c r="AJ911" s="764"/>
      <c r="AK911" s="764"/>
      <c r="AL911" s="764"/>
      <c r="AM911" s="764"/>
      <c r="AN911" s="764"/>
      <c r="AO911" s="764"/>
      <c r="AP911" s="764"/>
      <c r="AQ911" s="764"/>
      <c r="AR911" s="764"/>
      <c r="AS911" s="764"/>
    </row>
    <row r="912" spans="1:45" ht="13.9">
      <c r="A912" s="764"/>
      <c r="B912" s="764"/>
      <c r="C912" s="764"/>
      <c r="D912" s="764"/>
      <c r="E912" s="764"/>
      <c r="F912" s="764"/>
      <c r="G912" s="764"/>
      <c r="H912" s="764"/>
      <c r="I912" s="764"/>
      <c r="J912" s="764"/>
      <c r="K912" s="764"/>
      <c r="L912" s="764"/>
      <c r="M912" s="764"/>
      <c r="N912" s="773"/>
      <c r="O912" s="764"/>
      <c r="P912" s="764"/>
      <c r="Q912" s="764"/>
      <c r="R912" s="764"/>
      <c r="S912" s="764"/>
      <c r="T912" s="764"/>
      <c r="U912" s="764"/>
      <c r="V912" s="764"/>
      <c r="W912" s="764"/>
      <c r="X912" s="764"/>
      <c r="Y912" s="764"/>
      <c r="Z912" s="764"/>
      <c r="AA912" s="764"/>
      <c r="AB912" s="764"/>
      <c r="AC912" s="764"/>
      <c r="AD912" s="794"/>
      <c r="AE912" s="764"/>
      <c r="AF912" s="764"/>
      <c r="AG912" s="764"/>
      <c r="AH912" s="764"/>
      <c r="AI912" s="764"/>
      <c r="AJ912" s="764"/>
      <c r="AK912" s="764"/>
      <c r="AL912" s="764"/>
      <c r="AM912" s="764"/>
      <c r="AN912" s="764"/>
      <c r="AO912" s="764"/>
      <c r="AP912" s="764"/>
      <c r="AQ912" s="764"/>
      <c r="AR912" s="764"/>
      <c r="AS912" s="764"/>
    </row>
    <row r="913" spans="1:45" ht="13.9">
      <c r="A913" s="764"/>
      <c r="B913" s="764"/>
      <c r="C913" s="764"/>
      <c r="D913" s="764"/>
      <c r="E913" s="764"/>
      <c r="F913" s="764"/>
      <c r="G913" s="764"/>
      <c r="H913" s="764"/>
      <c r="I913" s="764"/>
      <c r="J913" s="764"/>
      <c r="K913" s="764"/>
      <c r="L913" s="764"/>
      <c r="M913" s="764"/>
      <c r="N913" s="773"/>
      <c r="O913" s="764"/>
      <c r="P913" s="764"/>
      <c r="Q913" s="764"/>
      <c r="R913" s="764"/>
      <c r="S913" s="764"/>
      <c r="T913" s="764"/>
      <c r="U913" s="764"/>
      <c r="V913" s="764"/>
      <c r="W913" s="764"/>
      <c r="X913" s="764"/>
      <c r="Y913" s="764"/>
      <c r="Z913" s="764"/>
      <c r="AA913" s="764"/>
      <c r="AB913" s="764"/>
      <c r="AC913" s="764"/>
      <c r="AD913" s="794"/>
      <c r="AE913" s="764"/>
      <c r="AF913" s="764"/>
      <c r="AG913" s="764"/>
      <c r="AH913" s="764"/>
      <c r="AI913" s="764"/>
      <c r="AJ913" s="764"/>
      <c r="AK913" s="764"/>
      <c r="AL913" s="764"/>
      <c r="AM913" s="764"/>
      <c r="AN913" s="764"/>
      <c r="AO913" s="764"/>
      <c r="AP913" s="764"/>
      <c r="AQ913" s="764"/>
      <c r="AR913" s="764"/>
      <c r="AS913" s="764"/>
    </row>
    <row r="914" spans="1:45" ht="13.9">
      <c r="A914" s="764"/>
      <c r="B914" s="764"/>
      <c r="C914" s="764"/>
      <c r="D914" s="764"/>
      <c r="E914" s="764"/>
      <c r="F914" s="764"/>
      <c r="G914" s="764"/>
      <c r="H914" s="764"/>
      <c r="I914" s="764"/>
      <c r="J914" s="764"/>
      <c r="K914" s="764"/>
      <c r="L914" s="764"/>
      <c r="M914" s="764"/>
      <c r="N914" s="773"/>
      <c r="O914" s="764"/>
      <c r="P914" s="764"/>
      <c r="Q914" s="764"/>
      <c r="R914" s="764"/>
      <c r="S914" s="764"/>
      <c r="T914" s="764"/>
      <c r="U914" s="764"/>
      <c r="V914" s="764"/>
      <c r="W914" s="764"/>
      <c r="X914" s="764"/>
      <c r="Y914" s="764"/>
      <c r="Z914" s="764"/>
      <c r="AA914" s="764"/>
      <c r="AB914" s="764"/>
      <c r="AC914" s="764"/>
      <c r="AD914" s="794"/>
      <c r="AE914" s="764"/>
      <c r="AF914" s="764"/>
      <c r="AG914" s="764"/>
      <c r="AH914" s="764"/>
      <c r="AI914" s="764"/>
      <c r="AJ914" s="764"/>
      <c r="AK914" s="764"/>
      <c r="AL914" s="764"/>
      <c r="AM914" s="764"/>
      <c r="AN914" s="764"/>
      <c r="AO914" s="764"/>
      <c r="AP914" s="764"/>
      <c r="AQ914" s="764"/>
      <c r="AR914" s="764"/>
      <c r="AS914" s="764"/>
    </row>
    <row r="915" spans="1:45" ht="13.9">
      <c r="A915" s="764"/>
      <c r="B915" s="764"/>
      <c r="C915" s="764"/>
      <c r="D915" s="764"/>
      <c r="E915" s="764"/>
      <c r="F915" s="764"/>
      <c r="G915" s="764"/>
      <c r="H915" s="764"/>
      <c r="I915" s="764"/>
      <c r="J915" s="764"/>
      <c r="K915" s="764"/>
      <c r="L915" s="764"/>
      <c r="M915" s="764"/>
      <c r="N915" s="773"/>
      <c r="O915" s="764"/>
      <c r="P915" s="764"/>
      <c r="Q915" s="764"/>
      <c r="R915" s="764"/>
      <c r="S915" s="764"/>
      <c r="T915" s="764"/>
      <c r="U915" s="764"/>
      <c r="V915" s="764"/>
      <c r="W915" s="764"/>
      <c r="X915" s="764"/>
      <c r="Y915" s="764"/>
      <c r="Z915" s="764"/>
      <c r="AA915" s="764"/>
      <c r="AB915" s="764"/>
      <c r="AC915" s="764"/>
      <c r="AD915" s="794"/>
      <c r="AE915" s="764"/>
      <c r="AF915" s="764"/>
      <c r="AG915" s="764"/>
      <c r="AH915" s="764"/>
      <c r="AI915" s="764"/>
      <c r="AJ915" s="764"/>
      <c r="AK915" s="764"/>
      <c r="AL915" s="764"/>
      <c r="AM915" s="764"/>
      <c r="AN915" s="764"/>
      <c r="AO915" s="764"/>
      <c r="AP915" s="764"/>
      <c r="AQ915" s="764"/>
      <c r="AR915" s="764"/>
      <c r="AS915" s="764"/>
    </row>
    <row r="916" spans="1:45" ht="13.9">
      <c r="A916" s="764"/>
      <c r="B916" s="764"/>
      <c r="C916" s="764"/>
      <c r="D916" s="764"/>
      <c r="E916" s="764"/>
      <c r="F916" s="764"/>
      <c r="G916" s="764"/>
      <c r="H916" s="764"/>
      <c r="I916" s="764"/>
      <c r="J916" s="764"/>
      <c r="K916" s="764"/>
      <c r="L916" s="764"/>
      <c r="M916" s="764"/>
      <c r="N916" s="773"/>
      <c r="O916" s="764"/>
      <c r="P916" s="764"/>
      <c r="Q916" s="764"/>
      <c r="R916" s="764"/>
      <c r="S916" s="764"/>
      <c r="T916" s="764"/>
      <c r="U916" s="764"/>
      <c r="V916" s="764"/>
      <c r="W916" s="764"/>
      <c r="X916" s="764"/>
      <c r="Y916" s="764"/>
      <c r="Z916" s="764"/>
      <c r="AA916" s="764"/>
      <c r="AB916" s="764"/>
      <c r="AC916" s="764"/>
      <c r="AD916" s="794"/>
      <c r="AE916" s="764"/>
      <c r="AF916" s="764"/>
      <c r="AG916" s="764"/>
      <c r="AH916" s="764"/>
      <c r="AI916" s="764"/>
      <c r="AJ916" s="764"/>
      <c r="AK916" s="764"/>
      <c r="AL916" s="764"/>
      <c r="AM916" s="764"/>
      <c r="AN916" s="764"/>
      <c r="AO916" s="764"/>
      <c r="AP916" s="764"/>
      <c r="AQ916" s="764"/>
      <c r="AR916" s="764"/>
      <c r="AS916" s="764"/>
    </row>
    <row r="917" spans="1:45" ht="13.9">
      <c r="A917" s="764"/>
      <c r="B917" s="764"/>
      <c r="C917" s="764"/>
      <c r="D917" s="764"/>
      <c r="E917" s="764"/>
      <c r="F917" s="764"/>
      <c r="G917" s="764"/>
      <c r="H917" s="764"/>
      <c r="I917" s="764"/>
      <c r="J917" s="764"/>
      <c r="K917" s="764"/>
      <c r="L917" s="764"/>
      <c r="M917" s="764"/>
      <c r="N917" s="773"/>
      <c r="O917" s="764"/>
      <c r="P917" s="764"/>
      <c r="Q917" s="764"/>
      <c r="R917" s="764"/>
      <c r="S917" s="764"/>
      <c r="T917" s="764"/>
      <c r="U917" s="764"/>
      <c r="V917" s="764"/>
      <c r="W917" s="764"/>
      <c r="X917" s="764"/>
      <c r="Y917" s="764"/>
      <c r="Z917" s="764"/>
      <c r="AA917" s="764"/>
      <c r="AB917" s="764"/>
      <c r="AC917" s="764"/>
      <c r="AD917" s="794"/>
      <c r="AE917" s="764"/>
      <c r="AF917" s="764"/>
      <c r="AG917" s="764"/>
      <c r="AH917" s="764"/>
      <c r="AI917" s="764"/>
      <c r="AJ917" s="764"/>
      <c r="AK917" s="764"/>
      <c r="AL917" s="764"/>
      <c r="AM917" s="764"/>
      <c r="AN917" s="764"/>
      <c r="AO917" s="764"/>
      <c r="AP917" s="764"/>
      <c r="AQ917" s="764"/>
      <c r="AR917" s="764"/>
      <c r="AS917" s="764"/>
    </row>
    <row r="918" spans="1:45" ht="13.9">
      <c r="A918" s="764"/>
      <c r="B918" s="764"/>
      <c r="C918" s="764"/>
      <c r="D918" s="764"/>
      <c r="E918" s="764"/>
      <c r="F918" s="764"/>
      <c r="G918" s="764"/>
      <c r="H918" s="764"/>
      <c r="I918" s="764"/>
      <c r="J918" s="764"/>
      <c r="K918" s="764"/>
      <c r="L918" s="764"/>
      <c r="M918" s="764"/>
      <c r="N918" s="773"/>
      <c r="O918" s="764"/>
      <c r="P918" s="764"/>
      <c r="Q918" s="764"/>
      <c r="R918" s="764"/>
      <c r="S918" s="764"/>
      <c r="T918" s="764"/>
      <c r="U918" s="764"/>
      <c r="V918" s="764"/>
      <c r="W918" s="764"/>
      <c r="X918" s="764"/>
      <c r="Y918" s="764"/>
      <c r="Z918" s="764"/>
      <c r="AA918" s="764"/>
      <c r="AB918" s="764"/>
      <c r="AC918" s="764"/>
      <c r="AD918" s="794"/>
      <c r="AE918" s="764"/>
      <c r="AF918" s="764"/>
      <c r="AG918" s="764"/>
      <c r="AH918" s="764"/>
      <c r="AI918" s="764"/>
      <c r="AJ918" s="764"/>
      <c r="AK918" s="764"/>
      <c r="AL918" s="764"/>
      <c r="AM918" s="764"/>
      <c r="AN918" s="764"/>
      <c r="AO918" s="764"/>
      <c r="AP918" s="764"/>
      <c r="AQ918" s="764"/>
      <c r="AR918" s="764"/>
      <c r="AS918" s="764"/>
    </row>
    <row r="919" spans="1:45" ht="13.9">
      <c r="A919" s="764"/>
      <c r="B919" s="764"/>
      <c r="C919" s="764"/>
      <c r="D919" s="764"/>
      <c r="E919" s="764"/>
      <c r="F919" s="764"/>
      <c r="G919" s="764"/>
      <c r="H919" s="764"/>
      <c r="I919" s="764"/>
      <c r="J919" s="764"/>
      <c r="K919" s="764"/>
      <c r="L919" s="764"/>
      <c r="M919" s="764"/>
      <c r="N919" s="773"/>
      <c r="O919" s="764"/>
      <c r="P919" s="764"/>
      <c r="Q919" s="764"/>
      <c r="R919" s="764"/>
      <c r="S919" s="764"/>
      <c r="T919" s="764"/>
      <c r="U919" s="764"/>
      <c r="V919" s="764"/>
      <c r="W919" s="764"/>
      <c r="X919" s="764"/>
      <c r="Y919" s="764"/>
      <c r="Z919" s="764"/>
      <c r="AA919" s="764"/>
      <c r="AB919" s="764"/>
      <c r="AC919" s="764"/>
      <c r="AD919" s="794"/>
      <c r="AE919" s="764"/>
      <c r="AF919" s="764"/>
      <c r="AG919" s="764"/>
      <c r="AH919" s="764"/>
      <c r="AI919" s="764"/>
      <c r="AJ919" s="764"/>
      <c r="AK919" s="764"/>
      <c r="AL919" s="764"/>
      <c r="AM919" s="764"/>
      <c r="AN919" s="764"/>
      <c r="AO919" s="764"/>
      <c r="AP919" s="764"/>
      <c r="AQ919" s="764"/>
      <c r="AR919" s="764"/>
      <c r="AS919" s="764"/>
    </row>
    <row r="920" spans="1:45" ht="13.9">
      <c r="A920" s="764"/>
      <c r="B920" s="764"/>
      <c r="C920" s="764"/>
      <c r="D920" s="764"/>
      <c r="E920" s="764"/>
      <c r="F920" s="764"/>
      <c r="G920" s="764"/>
      <c r="H920" s="764"/>
      <c r="I920" s="764"/>
      <c r="J920" s="764"/>
      <c r="K920" s="764"/>
      <c r="L920" s="764"/>
      <c r="M920" s="764"/>
      <c r="N920" s="773"/>
      <c r="O920" s="764"/>
      <c r="P920" s="764"/>
      <c r="Q920" s="764"/>
      <c r="R920" s="764"/>
      <c r="S920" s="764"/>
      <c r="T920" s="764"/>
      <c r="U920" s="764"/>
      <c r="V920" s="764"/>
      <c r="W920" s="764"/>
      <c r="X920" s="764"/>
      <c r="Y920" s="764"/>
      <c r="Z920" s="764"/>
      <c r="AA920" s="764"/>
      <c r="AB920" s="764"/>
      <c r="AC920" s="764"/>
      <c r="AD920" s="794"/>
      <c r="AE920" s="764"/>
      <c r="AF920" s="764"/>
      <c r="AG920" s="764"/>
      <c r="AH920" s="764"/>
      <c r="AI920" s="764"/>
      <c r="AJ920" s="764"/>
      <c r="AK920" s="764"/>
      <c r="AL920" s="764"/>
      <c r="AM920" s="764"/>
      <c r="AN920" s="764"/>
      <c r="AO920" s="764"/>
      <c r="AP920" s="764"/>
      <c r="AQ920" s="764"/>
      <c r="AR920" s="764"/>
      <c r="AS920" s="764"/>
    </row>
    <row r="921" spans="1:45" ht="13.9">
      <c r="A921" s="764"/>
      <c r="B921" s="764"/>
      <c r="C921" s="764"/>
      <c r="D921" s="764"/>
      <c r="E921" s="764"/>
      <c r="F921" s="764"/>
      <c r="G921" s="764"/>
      <c r="H921" s="764"/>
      <c r="I921" s="764"/>
      <c r="J921" s="764"/>
      <c r="K921" s="764"/>
      <c r="L921" s="764"/>
      <c r="M921" s="764"/>
      <c r="N921" s="773"/>
      <c r="O921" s="764"/>
      <c r="P921" s="764"/>
      <c r="Q921" s="764"/>
      <c r="R921" s="764"/>
      <c r="S921" s="764"/>
      <c r="T921" s="764"/>
      <c r="U921" s="764"/>
      <c r="V921" s="764"/>
      <c r="W921" s="764"/>
      <c r="X921" s="764"/>
      <c r="Y921" s="764"/>
      <c r="Z921" s="764"/>
      <c r="AA921" s="764"/>
      <c r="AB921" s="764"/>
      <c r="AC921" s="764"/>
      <c r="AD921" s="794"/>
      <c r="AE921" s="764"/>
      <c r="AF921" s="764"/>
      <c r="AG921" s="764"/>
      <c r="AH921" s="764"/>
      <c r="AI921" s="764"/>
      <c r="AJ921" s="764"/>
      <c r="AK921" s="764"/>
      <c r="AL921" s="764"/>
      <c r="AM921" s="764"/>
      <c r="AN921" s="764"/>
      <c r="AO921" s="764"/>
      <c r="AP921" s="764"/>
      <c r="AQ921" s="764"/>
      <c r="AR921" s="764"/>
      <c r="AS921" s="764"/>
    </row>
    <row r="922" spans="1:45" ht="13.9">
      <c r="A922" s="764"/>
      <c r="B922" s="764"/>
      <c r="C922" s="764"/>
      <c r="D922" s="764"/>
      <c r="E922" s="764"/>
      <c r="F922" s="764"/>
      <c r="G922" s="764"/>
      <c r="H922" s="764"/>
      <c r="I922" s="764"/>
      <c r="J922" s="764"/>
      <c r="K922" s="764"/>
      <c r="L922" s="764"/>
      <c r="M922" s="764"/>
      <c r="N922" s="773"/>
      <c r="O922" s="764"/>
      <c r="P922" s="764"/>
      <c r="Q922" s="764"/>
      <c r="R922" s="764"/>
      <c r="S922" s="764"/>
      <c r="T922" s="764"/>
      <c r="U922" s="764"/>
      <c r="V922" s="764"/>
      <c r="W922" s="764"/>
      <c r="X922" s="764"/>
      <c r="Y922" s="764"/>
      <c r="Z922" s="764"/>
      <c r="AA922" s="764"/>
      <c r="AB922" s="764"/>
      <c r="AC922" s="764"/>
      <c r="AD922" s="794"/>
      <c r="AE922" s="764"/>
      <c r="AF922" s="764"/>
      <c r="AG922" s="764"/>
      <c r="AH922" s="764"/>
      <c r="AI922" s="764"/>
      <c r="AJ922" s="764"/>
      <c r="AK922" s="764"/>
      <c r="AL922" s="764"/>
      <c r="AM922" s="764"/>
      <c r="AN922" s="764"/>
      <c r="AO922" s="764"/>
      <c r="AP922" s="764"/>
      <c r="AQ922" s="764"/>
      <c r="AR922" s="764"/>
      <c r="AS922" s="764"/>
    </row>
    <row r="923" spans="1:45" ht="13.9">
      <c r="A923" s="764"/>
      <c r="B923" s="764"/>
      <c r="C923" s="764"/>
      <c r="D923" s="764"/>
      <c r="E923" s="764"/>
      <c r="F923" s="764"/>
      <c r="G923" s="764"/>
      <c r="H923" s="764"/>
      <c r="I923" s="764"/>
      <c r="J923" s="764"/>
      <c r="K923" s="764"/>
      <c r="L923" s="764"/>
      <c r="M923" s="764"/>
      <c r="N923" s="773"/>
      <c r="O923" s="764"/>
      <c r="P923" s="764"/>
      <c r="Q923" s="764"/>
      <c r="R923" s="764"/>
      <c r="S923" s="764"/>
      <c r="T923" s="764"/>
      <c r="U923" s="764"/>
      <c r="V923" s="764"/>
      <c r="W923" s="764"/>
      <c r="X923" s="764"/>
      <c r="Y923" s="764"/>
      <c r="Z923" s="764"/>
      <c r="AA923" s="764"/>
      <c r="AB923" s="764"/>
      <c r="AC923" s="764"/>
      <c r="AD923" s="794"/>
      <c r="AE923" s="764"/>
      <c r="AF923" s="764"/>
      <c r="AG923" s="764"/>
      <c r="AH923" s="764"/>
      <c r="AI923" s="764"/>
      <c r="AJ923" s="764"/>
      <c r="AK923" s="764"/>
      <c r="AL923" s="764"/>
      <c r="AM923" s="764"/>
      <c r="AN923" s="764"/>
      <c r="AO923" s="764"/>
      <c r="AP923" s="764"/>
      <c r="AQ923" s="764"/>
      <c r="AR923" s="764"/>
      <c r="AS923" s="764"/>
    </row>
    <row r="924" spans="1:45" ht="13.9">
      <c r="A924" s="764"/>
      <c r="B924" s="764"/>
      <c r="C924" s="764"/>
      <c r="D924" s="764"/>
      <c r="E924" s="764"/>
      <c r="F924" s="764"/>
      <c r="G924" s="764"/>
      <c r="H924" s="764"/>
      <c r="I924" s="764"/>
      <c r="J924" s="764"/>
      <c r="K924" s="764"/>
      <c r="L924" s="764"/>
      <c r="M924" s="764"/>
      <c r="N924" s="773"/>
      <c r="O924" s="764"/>
      <c r="P924" s="764"/>
      <c r="Q924" s="764"/>
      <c r="R924" s="764"/>
      <c r="S924" s="764"/>
      <c r="T924" s="764"/>
      <c r="U924" s="764"/>
      <c r="V924" s="764"/>
      <c r="W924" s="764"/>
      <c r="X924" s="764"/>
      <c r="Y924" s="764"/>
      <c r="Z924" s="764"/>
      <c r="AA924" s="764"/>
      <c r="AB924" s="764"/>
      <c r="AC924" s="764"/>
      <c r="AD924" s="794"/>
      <c r="AE924" s="764"/>
      <c r="AF924" s="764"/>
      <c r="AG924" s="764"/>
      <c r="AH924" s="764"/>
      <c r="AI924" s="764"/>
      <c r="AJ924" s="764"/>
      <c r="AK924" s="764"/>
      <c r="AL924" s="764"/>
      <c r="AM924" s="764"/>
      <c r="AN924" s="764"/>
      <c r="AO924" s="764"/>
      <c r="AP924" s="764"/>
      <c r="AQ924" s="764"/>
      <c r="AR924" s="764"/>
      <c r="AS924" s="764"/>
    </row>
    <row r="925" spans="1:45" ht="13.9">
      <c r="A925" s="764"/>
      <c r="B925" s="764"/>
      <c r="C925" s="764"/>
      <c r="D925" s="764"/>
      <c r="E925" s="764"/>
      <c r="F925" s="764"/>
      <c r="G925" s="764"/>
      <c r="H925" s="764"/>
      <c r="I925" s="764"/>
      <c r="J925" s="764"/>
      <c r="K925" s="764"/>
      <c r="L925" s="764"/>
      <c r="M925" s="764"/>
      <c r="N925" s="773"/>
      <c r="O925" s="764"/>
      <c r="P925" s="764"/>
      <c r="Q925" s="764"/>
      <c r="R925" s="764"/>
      <c r="S925" s="764"/>
      <c r="T925" s="764"/>
      <c r="U925" s="764"/>
      <c r="V925" s="764"/>
      <c r="W925" s="764"/>
      <c r="X925" s="764"/>
      <c r="Y925" s="764"/>
      <c r="Z925" s="764"/>
      <c r="AA925" s="764"/>
      <c r="AB925" s="764"/>
      <c r="AC925" s="764"/>
      <c r="AD925" s="794"/>
      <c r="AE925" s="764"/>
      <c r="AF925" s="764"/>
      <c r="AG925" s="764"/>
      <c r="AH925" s="764"/>
      <c r="AI925" s="764"/>
      <c r="AJ925" s="764"/>
      <c r="AK925" s="764"/>
      <c r="AL925" s="764"/>
      <c r="AM925" s="764"/>
      <c r="AN925" s="764"/>
      <c r="AO925" s="764"/>
      <c r="AP925" s="764"/>
      <c r="AQ925" s="764"/>
      <c r="AR925" s="764"/>
      <c r="AS925" s="764"/>
    </row>
    <row r="926" spans="1:45" ht="13.9">
      <c r="A926" s="764"/>
      <c r="B926" s="764"/>
      <c r="C926" s="764"/>
      <c r="D926" s="764"/>
      <c r="E926" s="764"/>
      <c r="F926" s="764"/>
      <c r="G926" s="764"/>
      <c r="H926" s="764"/>
      <c r="I926" s="764"/>
      <c r="J926" s="764"/>
      <c r="K926" s="764"/>
      <c r="L926" s="764"/>
      <c r="M926" s="764"/>
      <c r="N926" s="773"/>
      <c r="O926" s="764"/>
      <c r="P926" s="764"/>
      <c r="Q926" s="764"/>
      <c r="R926" s="764"/>
      <c r="S926" s="764"/>
      <c r="T926" s="764"/>
      <c r="U926" s="764"/>
      <c r="V926" s="764"/>
      <c r="W926" s="764"/>
      <c r="X926" s="764"/>
      <c r="Y926" s="764"/>
      <c r="Z926" s="764"/>
      <c r="AA926" s="764"/>
      <c r="AB926" s="764"/>
      <c r="AC926" s="764"/>
      <c r="AD926" s="794"/>
      <c r="AE926" s="764"/>
      <c r="AF926" s="764"/>
      <c r="AG926" s="764"/>
      <c r="AH926" s="764"/>
      <c r="AI926" s="764"/>
      <c r="AJ926" s="764"/>
      <c r="AK926" s="764"/>
      <c r="AL926" s="764"/>
      <c r="AM926" s="764"/>
      <c r="AN926" s="764"/>
      <c r="AO926" s="764"/>
      <c r="AP926" s="764"/>
      <c r="AQ926" s="764"/>
      <c r="AR926" s="764"/>
      <c r="AS926" s="764"/>
    </row>
    <row r="927" spans="1:45" ht="13.9">
      <c r="A927" s="764"/>
      <c r="B927" s="764"/>
      <c r="C927" s="764"/>
      <c r="D927" s="764"/>
      <c r="E927" s="764"/>
      <c r="F927" s="764"/>
      <c r="G927" s="764"/>
      <c r="H927" s="764"/>
      <c r="I927" s="764"/>
      <c r="J927" s="764"/>
      <c r="K927" s="764"/>
      <c r="L927" s="764"/>
      <c r="M927" s="764"/>
      <c r="N927" s="773"/>
      <c r="O927" s="764"/>
      <c r="P927" s="764"/>
      <c r="Q927" s="764"/>
      <c r="R927" s="764"/>
      <c r="S927" s="764"/>
      <c r="T927" s="764"/>
      <c r="U927" s="764"/>
      <c r="V927" s="764"/>
      <c r="W927" s="764"/>
      <c r="X927" s="764"/>
      <c r="Y927" s="764"/>
      <c r="Z927" s="764"/>
      <c r="AA927" s="764"/>
      <c r="AB927" s="764"/>
      <c r="AC927" s="764"/>
      <c r="AD927" s="794"/>
      <c r="AE927" s="764"/>
      <c r="AF927" s="764"/>
      <c r="AG927" s="764"/>
      <c r="AH927" s="764"/>
      <c r="AI927" s="764"/>
      <c r="AJ927" s="764"/>
      <c r="AK927" s="764"/>
      <c r="AL927" s="764"/>
      <c r="AM927" s="764"/>
      <c r="AN927" s="764"/>
      <c r="AO927" s="764"/>
      <c r="AP927" s="764"/>
      <c r="AQ927" s="764"/>
      <c r="AR927" s="764"/>
      <c r="AS927" s="764"/>
    </row>
    <row r="928" spans="1:45" ht="13.9">
      <c r="A928" s="764"/>
      <c r="B928" s="764"/>
      <c r="C928" s="764"/>
      <c r="D928" s="764"/>
      <c r="E928" s="764"/>
      <c r="F928" s="764"/>
      <c r="G928" s="764"/>
      <c r="H928" s="764"/>
      <c r="I928" s="764"/>
      <c r="J928" s="764"/>
      <c r="K928" s="764"/>
      <c r="L928" s="764"/>
      <c r="M928" s="764"/>
      <c r="N928" s="773"/>
      <c r="O928" s="764"/>
      <c r="P928" s="764"/>
      <c r="Q928" s="764"/>
      <c r="R928" s="764"/>
      <c r="S928" s="764"/>
      <c r="T928" s="764"/>
      <c r="U928" s="764"/>
      <c r="V928" s="764"/>
      <c r="W928" s="764"/>
      <c r="X928" s="764"/>
      <c r="Y928" s="764"/>
      <c r="Z928" s="764"/>
      <c r="AA928" s="764"/>
      <c r="AB928" s="764"/>
      <c r="AC928" s="764"/>
      <c r="AD928" s="794"/>
      <c r="AE928" s="764"/>
      <c r="AF928" s="764"/>
      <c r="AG928" s="764"/>
      <c r="AH928" s="764"/>
      <c r="AI928" s="764"/>
      <c r="AJ928" s="764"/>
      <c r="AK928" s="764"/>
      <c r="AL928" s="764"/>
      <c r="AM928" s="764"/>
      <c r="AN928" s="764"/>
      <c r="AO928" s="764"/>
      <c r="AP928" s="764"/>
      <c r="AQ928" s="764"/>
      <c r="AR928" s="764"/>
      <c r="AS928" s="764"/>
    </row>
    <row r="929" spans="1:45" ht="13.9">
      <c r="A929" s="764"/>
      <c r="B929" s="764"/>
      <c r="C929" s="764"/>
      <c r="D929" s="764"/>
      <c r="E929" s="764"/>
      <c r="F929" s="764"/>
      <c r="G929" s="764"/>
      <c r="H929" s="764"/>
      <c r="I929" s="764"/>
      <c r="J929" s="764"/>
      <c r="K929" s="764"/>
      <c r="L929" s="764"/>
      <c r="M929" s="764"/>
      <c r="N929" s="773"/>
      <c r="O929" s="764"/>
      <c r="P929" s="764"/>
      <c r="Q929" s="764"/>
      <c r="R929" s="764"/>
      <c r="S929" s="764"/>
      <c r="T929" s="764"/>
      <c r="U929" s="764"/>
      <c r="V929" s="764"/>
      <c r="W929" s="764"/>
      <c r="X929" s="764"/>
      <c r="Y929" s="764"/>
      <c r="Z929" s="764"/>
      <c r="AA929" s="764"/>
      <c r="AB929" s="764"/>
      <c r="AC929" s="764"/>
      <c r="AD929" s="794"/>
      <c r="AE929" s="764"/>
      <c r="AF929" s="764"/>
      <c r="AG929" s="764"/>
      <c r="AH929" s="764"/>
      <c r="AI929" s="764"/>
      <c r="AJ929" s="764"/>
      <c r="AK929" s="764"/>
      <c r="AL929" s="764"/>
      <c r="AM929" s="764"/>
      <c r="AN929" s="764"/>
      <c r="AO929" s="764"/>
      <c r="AP929" s="764"/>
      <c r="AQ929" s="764"/>
      <c r="AR929" s="764"/>
      <c r="AS929" s="764"/>
    </row>
    <row r="930" spans="1:45" ht="13.9">
      <c r="A930" s="764"/>
      <c r="B930" s="764"/>
      <c r="C930" s="764"/>
      <c r="D930" s="764"/>
      <c r="E930" s="764"/>
      <c r="F930" s="764"/>
      <c r="G930" s="764"/>
      <c r="H930" s="764"/>
      <c r="I930" s="764"/>
      <c r="J930" s="764"/>
      <c r="K930" s="764"/>
      <c r="L930" s="764"/>
      <c r="M930" s="764"/>
      <c r="N930" s="773"/>
      <c r="O930" s="764"/>
      <c r="P930" s="764"/>
      <c r="Q930" s="764"/>
      <c r="R930" s="764"/>
      <c r="S930" s="764"/>
      <c r="T930" s="764"/>
      <c r="U930" s="764"/>
      <c r="V930" s="764"/>
      <c r="W930" s="764"/>
      <c r="X930" s="764"/>
      <c r="Y930" s="764"/>
      <c r="Z930" s="764"/>
      <c r="AA930" s="764"/>
      <c r="AB930" s="764"/>
      <c r="AC930" s="764"/>
      <c r="AD930" s="794"/>
      <c r="AE930" s="764"/>
      <c r="AF930" s="764"/>
      <c r="AG930" s="764"/>
      <c r="AH930" s="764"/>
      <c r="AI930" s="764"/>
      <c r="AJ930" s="764"/>
      <c r="AK930" s="764"/>
      <c r="AL930" s="764"/>
      <c r="AM930" s="764"/>
      <c r="AN930" s="764"/>
      <c r="AO930" s="764"/>
      <c r="AP930" s="764"/>
      <c r="AQ930" s="764"/>
      <c r="AR930" s="764"/>
      <c r="AS930" s="764"/>
    </row>
    <row r="931" spans="1:45" ht="13.9">
      <c r="A931" s="764"/>
      <c r="B931" s="764"/>
      <c r="C931" s="764"/>
      <c r="D931" s="764"/>
      <c r="E931" s="764"/>
      <c r="F931" s="764"/>
      <c r="G931" s="764"/>
      <c r="H931" s="764"/>
      <c r="I931" s="764"/>
      <c r="J931" s="764"/>
      <c r="K931" s="764"/>
      <c r="L931" s="764"/>
      <c r="M931" s="764"/>
      <c r="N931" s="773"/>
      <c r="O931" s="764"/>
      <c r="P931" s="764"/>
      <c r="Q931" s="764"/>
      <c r="R931" s="764"/>
      <c r="S931" s="764"/>
      <c r="T931" s="764"/>
      <c r="U931" s="764"/>
      <c r="V931" s="764"/>
      <c r="W931" s="764"/>
      <c r="X931" s="764"/>
      <c r="Y931" s="764"/>
      <c r="Z931" s="764"/>
      <c r="AA931" s="764"/>
      <c r="AB931" s="764"/>
      <c r="AC931" s="764"/>
      <c r="AD931" s="794"/>
      <c r="AE931" s="764"/>
      <c r="AF931" s="764"/>
      <c r="AG931" s="764"/>
      <c r="AH931" s="764"/>
      <c r="AI931" s="764"/>
      <c r="AJ931" s="764"/>
      <c r="AK931" s="764"/>
      <c r="AL931" s="764"/>
      <c r="AM931" s="764"/>
      <c r="AN931" s="764"/>
      <c r="AO931" s="764"/>
      <c r="AP931" s="764"/>
      <c r="AQ931" s="764"/>
      <c r="AR931" s="764"/>
      <c r="AS931" s="764"/>
    </row>
    <row r="932" spans="1:45" ht="13.9">
      <c r="A932" s="764"/>
      <c r="B932" s="764"/>
      <c r="C932" s="764"/>
      <c r="D932" s="764"/>
      <c r="E932" s="764"/>
      <c r="F932" s="764"/>
      <c r="G932" s="764"/>
      <c r="H932" s="764"/>
      <c r="I932" s="764"/>
      <c r="J932" s="764"/>
      <c r="K932" s="764"/>
      <c r="L932" s="764"/>
      <c r="M932" s="764"/>
      <c r="N932" s="773"/>
      <c r="O932" s="764"/>
      <c r="P932" s="764"/>
      <c r="Q932" s="764"/>
      <c r="R932" s="764"/>
      <c r="S932" s="764"/>
      <c r="T932" s="764"/>
      <c r="U932" s="764"/>
      <c r="V932" s="764"/>
      <c r="W932" s="764"/>
      <c r="X932" s="764"/>
      <c r="Y932" s="764"/>
      <c r="Z932" s="764"/>
      <c r="AA932" s="764"/>
      <c r="AB932" s="764"/>
      <c r="AC932" s="764"/>
      <c r="AD932" s="794"/>
      <c r="AE932" s="764"/>
      <c r="AF932" s="764"/>
      <c r="AG932" s="764"/>
      <c r="AH932" s="764"/>
      <c r="AI932" s="764"/>
      <c r="AJ932" s="764"/>
      <c r="AK932" s="764"/>
      <c r="AL932" s="764"/>
      <c r="AM932" s="764"/>
      <c r="AN932" s="764"/>
      <c r="AO932" s="764"/>
      <c r="AP932" s="764"/>
      <c r="AQ932" s="764"/>
      <c r="AR932" s="764"/>
      <c r="AS932" s="764"/>
    </row>
    <row r="933" spans="1:45" ht="13.9">
      <c r="A933" s="764"/>
      <c r="B933" s="764"/>
      <c r="C933" s="764"/>
      <c r="D933" s="764"/>
      <c r="E933" s="764"/>
      <c r="F933" s="764"/>
      <c r="G933" s="764"/>
      <c r="H933" s="764"/>
      <c r="I933" s="764"/>
      <c r="J933" s="764"/>
      <c r="K933" s="764"/>
      <c r="L933" s="764"/>
      <c r="M933" s="764"/>
      <c r="N933" s="773"/>
      <c r="O933" s="764"/>
      <c r="P933" s="764"/>
      <c r="Q933" s="764"/>
      <c r="R933" s="764"/>
      <c r="S933" s="764"/>
      <c r="T933" s="764"/>
      <c r="U933" s="764"/>
      <c r="V933" s="764"/>
      <c r="W933" s="764"/>
      <c r="X933" s="764"/>
      <c r="Y933" s="764"/>
      <c r="Z933" s="764"/>
      <c r="AA933" s="764"/>
      <c r="AB933" s="764"/>
      <c r="AC933" s="764"/>
      <c r="AD933" s="794"/>
      <c r="AE933" s="764"/>
      <c r="AF933" s="764"/>
      <c r="AG933" s="764"/>
      <c r="AH933" s="764"/>
      <c r="AI933" s="764"/>
      <c r="AJ933" s="764"/>
      <c r="AK933" s="764"/>
      <c r="AL933" s="764"/>
      <c r="AM933" s="764"/>
      <c r="AN933" s="764"/>
      <c r="AO933" s="764"/>
      <c r="AP933" s="764"/>
      <c r="AQ933" s="764"/>
      <c r="AR933" s="764"/>
      <c r="AS933" s="764"/>
    </row>
    <row r="934" spans="1:45" ht="13.9">
      <c r="A934" s="764"/>
      <c r="B934" s="764"/>
      <c r="C934" s="764"/>
      <c r="D934" s="764"/>
      <c r="E934" s="764"/>
      <c r="F934" s="764"/>
      <c r="G934" s="764"/>
      <c r="H934" s="764"/>
      <c r="I934" s="764"/>
      <c r="J934" s="764"/>
      <c r="K934" s="764"/>
      <c r="L934" s="764"/>
      <c r="M934" s="764"/>
      <c r="N934" s="773"/>
      <c r="O934" s="764"/>
      <c r="P934" s="764"/>
      <c r="Q934" s="764"/>
      <c r="R934" s="764"/>
      <c r="S934" s="764"/>
      <c r="T934" s="764"/>
      <c r="U934" s="764"/>
      <c r="V934" s="764"/>
      <c r="W934" s="764"/>
      <c r="X934" s="764"/>
      <c r="Y934" s="764"/>
      <c r="Z934" s="764"/>
      <c r="AA934" s="764"/>
      <c r="AB934" s="764"/>
      <c r="AC934" s="764"/>
      <c r="AD934" s="794"/>
      <c r="AE934" s="764"/>
      <c r="AF934" s="764"/>
      <c r="AG934" s="764"/>
      <c r="AH934" s="764"/>
      <c r="AI934" s="764"/>
      <c r="AJ934" s="764"/>
      <c r="AK934" s="764"/>
      <c r="AL934" s="764"/>
      <c r="AM934" s="764"/>
      <c r="AN934" s="764"/>
      <c r="AO934" s="764"/>
      <c r="AP934" s="764"/>
      <c r="AQ934" s="764"/>
      <c r="AR934" s="764"/>
      <c r="AS934" s="764"/>
    </row>
    <row r="935" spans="1:45" ht="13.9">
      <c r="A935" s="764"/>
      <c r="B935" s="764"/>
      <c r="C935" s="764"/>
      <c r="D935" s="764"/>
      <c r="E935" s="764"/>
      <c r="F935" s="764"/>
      <c r="G935" s="764"/>
      <c r="H935" s="764"/>
      <c r="I935" s="764"/>
      <c r="J935" s="764"/>
      <c r="K935" s="764"/>
      <c r="L935" s="764"/>
      <c r="M935" s="764"/>
      <c r="N935" s="773"/>
      <c r="O935" s="764"/>
      <c r="P935" s="764"/>
      <c r="Q935" s="764"/>
      <c r="R935" s="764"/>
      <c r="S935" s="764"/>
      <c r="T935" s="764"/>
      <c r="U935" s="764"/>
      <c r="V935" s="764"/>
      <c r="W935" s="764"/>
      <c r="X935" s="764"/>
      <c r="Y935" s="764"/>
      <c r="Z935" s="764"/>
      <c r="AA935" s="764"/>
      <c r="AB935" s="764"/>
      <c r="AC935" s="764"/>
      <c r="AD935" s="794"/>
      <c r="AE935" s="764"/>
      <c r="AF935" s="764"/>
      <c r="AG935" s="764"/>
      <c r="AH935" s="764"/>
      <c r="AI935" s="764"/>
      <c r="AJ935" s="764"/>
      <c r="AK935" s="764"/>
      <c r="AL935" s="764"/>
      <c r="AM935" s="764"/>
      <c r="AN935" s="764"/>
      <c r="AO935" s="764"/>
      <c r="AP935" s="764"/>
      <c r="AQ935" s="764"/>
      <c r="AR935" s="764"/>
      <c r="AS935" s="764"/>
    </row>
    <row r="936" spans="1:45" ht="13.9">
      <c r="A936" s="764"/>
      <c r="B936" s="764"/>
      <c r="C936" s="764"/>
      <c r="D936" s="764"/>
      <c r="E936" s="764"/>
      <c r="F936" s="764"/>
      <c r="G936" s="764"/>
      <c r="H936" s="764"/>
      <c r="I936" s="764"/>
      <c r="J936" s="764"/>
      <c r="K936" s="764"/>
      <c r="L936" s="764"/>
      <c r="M936" s="764"/>
      <c r="N936" s="773"/>
      <c r="O936" s="764"/>
      <c r="P936" s="764"/>
      <c r="Q936" s="764"/>
      <c r="R936" s="764"/>
      <c r="S936" s="764"/>
      <c r="T936" s="764"/>
      <c r="U936" s="764"/>
      <c r="V936" s="764"/>
      <c r="W936" s="764"/>
      <c r="X936" s="764"/>
      <c r="Y936" s="764"/>
      <c r="Z936" s="764"/>
      <c r="AA936" s="764"/>
      <c r="AB936" s="764"/>
      <c r="AC936" s="764"/>
      <c r="AD936" s="794"/>
      <c r="AE936" s="764"/>
      <c r="AF936" s="764"/>
      <c r="AG936" s="764"/>
      <c r="AH936" s="764"/>
      <c r="AI936" s="764"/>
      <c r="AJ936" s="764"/>
      <c r="AK936" s="764"/>
      <c r="AL936" s="764"/>
      <c r="AM936" s="764"/>
      <c r="AN936" s="764"/>
      <c r="AO936" s="764"/>
      <c r="AP936" s="764"/>
      <c r="AQ936" s="764"/>
      <c r="AR936" s="764"/>
      <c r="AS936" s="764"/>
    </row>
    <row r="937" spans="1:45" ht="13.9">
      <c r="A937" s="764"/>
      <c r="B937" s="764"/>
      <c r="C937" s="764"/>
      <c r="D937" s="764"/>
      <c r="E937" s="764"/>
      <c r="F937" s="764"/>
      <c r="G937" s="764"/>
      <c r="H937" s="764"/>
      <c r="I937" s="764"/>
      <c r="J937" s="764"/>
      <c r="K937" s="764"/>
      <c r="L937" s="764"/>
      <c r="M937" s="764"/>
      <c r="N937" s="773"/>
      <c r="O937" s="764"/>
      <c r="P937" s="764"/>
      <c r="Q937" s="764"/>
      <c r="R937" s="764"/>
      <c r="S937" s="764"/>
      <c r="T937" s="764"/>
      <c r="U937" s="764"/>
      <c r="V937" s="764"/>
      <c r="W937" s="764"/>
      <c r="X937" s="764"/>
      <c r="Y937" s="764"/>
      <c r="Z937" s="764"/>
      <c r="AA937" s="764"/>
      <c r="AB937" s="764"/>
      <c r="AC937" s="764"/>
      <c r="AD937" s="794"/>
      <c r="AE937" s="764"/>
      <c r="AF937" s="764"/>
      <c r="AG937" s="764"/>
      <c r="AH937" s="764"/>
      <c r="AI937" s="764"/>
      <c r="AJ937" s="764"/>
      <c r="AK937" s="764"/>
      <c r="AL937" s="764"/>
      <c r="AM937" s="764"/>
      <c r="AN937" s="764"/>
      <c r="AO937" s="764"/>
      <c r="AP937" s="764"/>
      <c r="AQ937" s="764"/>
      <c r="AR937" s="764"/>
      <c r="AS937" s="764"/>
    </row>
    <row r="938" spans="1:45" ht="13.9">
      <c r="A938" s="764"/>
      <c r="B938" s="764"/>
      <c r="C938" s="764"/>
      <c r="D938" s="764"/>
      <c r="E938" s="764"/>
      <c r="F938" s="764"/>
      <c r="G938" s="764"/>
      <c r="H938" s="764"/>
      <c r="I938" s="764"/>
      <c r="J938" s="764"/>
      <c r="K938" s="764"/>
      <c r="L938" s="764"/>
      <c r="M938" s="764"/>
      <c r="N938" s="773"/>
      <c r="O938" s="764"/>
      <c r="P938" s="764"/>
      <c r="Q938" s="764"/>
      <c r="R938" s="764"/>
      <c r="S938" s="764"/>
      <c r="T938" s="764"/>
      <c r="U938" s="764"/>
      <c r="V938" s="764"/>
      <c r="W938" s="764"/>
      <c r="X938" s="764"/>
      <c r="Y938" s="764"/>
      <c r="Z938" s="764"/>
      <c r="AA938" s="764"/>
      <c r="AB938" s="764"/>
      <c r="AC938" s="764"/>
      <c r="AD938" s="794"/>
      <c r="AE938" s="764"/>
      <c r="AF938" s="764"/>
      <c r="AG938" s="764"/>
      <c r="AH938" s="764"/>
      <c r="AI938" s="764"/>
      <c r="AJ938" s="764"/>
      <c r="AK938" s="764"/>
      <c r="AL938" s="764"/>
      <c r="AM938" s="764"/>
      <c r="AN938" s="764"/>
      <c r="AO938" s="764"/>
      <c r="AP938" s="764"/>
      <c r="AQ938" s="764"/>
      <c r="AR938" s="764"/>
      <c r="AS938" s="764"/>
    </row>
    <row r="939" spans="1:45" ht="13.9">
      <c r="A939" s="764"/>
      <c r="B939" s="764"/>
      <c r="C939" s="764"/>
      <c r="D939" s="764"/>
      <c r="E939" s="764"/>
      <c r="F939" s="764"/>
      <c r="G939" s="764"/>
      <c r="H939" s="764"/>
      <c r="I939" s="764"/>
      <c r="J939" s="764"/>
      <c r="K939" s="764"/>
      <c r="L939" s="764"/>
      <c r="M939" s="764"/>
      <c r="N939" s="773"/>
      <c r="O939" s="764"/>
      <c r="P939" s="764"/>
      <c r="Q939" s="764"/>
      <c r="R939" s="764"/>
      <c r="S939" s="764"/>
      <c r="T939" s="764"/>
      <c r="U939" s="764"/>
      <c r="V939" s="764"/>
      <c r="W939" s="764"/>
      <c r="X939" s="764"/>
      <c r="Y939" s="764"/>
      <c r="Z939" s="764"/>
      <c r="AA939" s="764"/>
      <c r="AB939" s="764"/>
      <c r="AC939" s="764"/>
      <c r="AD939" s="794"/>
      <c r="AE939" s="764"/>
      <c r="AF939" s="764"/>
      <c r="AG939" s="764"/>
      <c r="AH939" s="764"/>
      <c r="AI939" s="764"/>
      <c r="AJ939" s="764"/>
      <c r="AK939" s="764"/>
      <c r="AL939" s="764"/>
      <c r="AM939" s="764"/>
      <c r="AN939" s="764"/>
      <c r="AO939" s="764"/>
      <c r="AP939" s="764"/>
      <c r="AQ939" s="764"/>
      <c r="AR939" s="764"/>
      <c r="AS939" s="764"/>
    </row>
    <row r="940" spans="1:45" ht="13.9">
      <c r="A940" s="764"/>
      <c r="B940" s="764"/>
      <c r="C940" s="764"/>
      <c r="D940" s="764"/>
      <c r="E940" s="764"/>
      <c r="F940" s="764"/>
      <c r="G940" s="764"/>
      <c r="H940" s="764"/>
      <c r="I940" s="764"/>
      <c r="J940" s="764"/>
      <c r="K940" s="764"/>
      <c r="L940" s="764"/>
      <c r="M940" s="764"/>
      <c r="N940" s="773"/>
      <c r="O940" s="764"/>
      <c r="P940" s="764"/>
      <c r="Q940" s="764"/>
      <c r="R940" s="764"/>
      <c r="S940" s="764"/>
      <c r="T940" s="764"/>
      <c r="U940" s="764"/>
      <c r="V940" s="764"/>
      <c r="W940" s="764"/>
      <c r="X940" s="764"/>
      <c r="Y940" s="764"/>
      <c r="Z940" s="764"/>
      <c r="AA940" s="764"/>
      <c r="AB940" s="764"/>
      <c r="AC940" s="764"/>
      <c r="AD940" s="794"/>
      <c r="AE940" s="764"/>
      <c r="AF940" s="764"/>
      <c r="AG940" s="764"/>
      <c r="AH940" s="764"/>
      <c r="AI940" s="764"/>
      <c r="AJ940" s="764"/>
      <c r="AK940" s="764"/>
      <c r="AL940" s="764"/>
      <c r="AM940" s="764"/>
      <c r="AN940" s="764"/>
      <c r="AO940" s="764"/>
      <c r="AP940" s="764"/>
      <c r="AQ940" s="764"/>
      <c r="AR940" s="764"/>
      <c r="AS940" s="764"/>
    </row>
    <row r="941" spans="1:45" ht="13.9">
      <c r="A941" s="764"/>
      <c r="B941" s="764"/>
      <c r="C941" s="764"/>
      <c r="D941" s="764"/>
      <c r="E941" s="764"/>
      <c r="F941" s="764"/>
      <c r="G941" s="764"/>
      <c r="H941" s="764"/>
      <c r="I941" s="764"/>
      <c r="J941" s="764"/>
      <c r="K941" s="764"/>
      <c r="L941" s="764"/>
      <c r="M941" s="764"/>
      <c r="N941" s="773"/>
      <c r="O941" s="764"/>
      <c r="P941" s="764"/>
      <c r="Q941" s="764"/>
      <c r="R941" s="764"/>
      <c r="S941" s="764"/>
      <c r="T941" s="764"/>
      <c r="U941" s="764"/>
      <c r="V941" s="764"/>
      <c r="W941" s="764"/>
      <c r="X941" s="764"/>
      <c r="Y941" s="764"/>
      <c r="Z941" s="764"/>
      <c r="AA941" s="764"/>
      <c r="AB941" s="764"/>
      <c r="AC941" s="764"/>
      <c r="AD941" s="794"/>
      <c r="AE941" s="764"/>
      <c r="AF941" s="764"/>
      <c r="AG941" s="764"/>
      <c r="AH941" s="764"/>
      <c r="AI941" s="764"/>
      <c r="AJ941" s="764"/>
      <c r="AK941" s="764"/>
      <c r="AL941" s="764"/>
      <c r="AM941" s="764"/>
      <c r="AN941" s="764"/>
      <c r="AO941" s="764"/>
      <c r="AP941" s="764"/>
      <c r="AQ941" s="764"/>
      <c r="AR941" s="764"/>
      <c r="AS941" s="764"/>
    </row>
    <row r="942" spans="1:45" ht="13.9">
      <c r="A942" s="764"/>
      <c r="B942" s="764"/>
      <c r="C942" s="764"/>
      <c r="D942" s="764"/>
      <c r="E942" s="764"/>
      <c r="F942" s="764"/>
      <c r="G942" s="764"/>
      <c r="H942" s="764"/>
      <c r="I942" s="764"/>
      <c r="J942" s="764"/>
      <c r="K942" s="764"/>
      <c r="L942" s="764"/>
      <c r="M942" s="764"/>
      <c r="N942" s="773"/>
      <c r="O942" s="764"/>
      <c r="P942" s="764"/>
      <c r="Q942" s="764"/>
      <c r="R942" s="764"/>
      <c r="S942" s="764"/>
      <c r="T942" s="764"/>
      <c r="U942" s="764"/>
      <c r="V942" s="764"/>
      <c r="W942" s="764"/>
      <c r="X942" s="764"/>
      <c r="Y942" s="764"/>
      <c r="Z942" s="764"/>
      <c r="AA942" s="764"/>
      <c r="AB942" s="764"/>
      <c r="AC942" s="764"/>
      <c r="AD942" s="794"/>
      <c r="AE942" s="764"/>
      <c r="AF942" s="764"/>
      <c r="AG942" s="764"/>
      <c r="AH942" s="764"/>
      <c r="AI942" s="764"/>
      <c r="AJ942" s="764"/>
      <c r="AK942" s="764"/>
      <c r="AL942" s="764"/>
      <c r="AM942" s="764"/>
      <c r="AN942" s="764"/>
      <c r="AO942" s="764"/>
      <c r="AP942" s="764"/>
      <c r="AQ942" s="764"/>
      <c r="AR942" s="764"/>
      <c r="AS942" s="764"/>
    </row>
    <row r="943" spans="1:45" ht="13.9">
      <c r="A943" s="764"/>
      <c r="B943" s="764"/>
      <c r="C943" s="764"/>
      <c r="D943" s="764"/>
      <c r="E943" s="764"/>
      <c r="F943" s="764"/>
      <c r="G943" s="764"/>
      <c r="H943" s="764"/>
      <c r="I943" s="764"/>
      <c r="J943" s="764"/>
      <c r="K943" s="764"/>
      <c r="L943" s="764"/>
      <c r="M943" s="764"/>
      <c r="N943" s="773"/>
      <c r="O943" s="764"/>
      <c r="P943" s="764"/>
      <c r="Q943" s="764"/>
      <c r="R943" s="764"/>
      <c r="S943" s="764"/>
      <c r="T943" s="764"/>
      <c r="U943" s="764"/>
      <c r="V943" s="764"/>
      <c r="W943" s="764"/>
      <c r="X943" s="764"/>
      <c r="Y943" s="764"/>
      <c r="Z943" s="764"/>
      <c r="AA943" s="764"/>
      <c r="AB943" s="764"/>
      <c r="AC943" s="764"/>
      <c r="AD943" s="794"/>
      <c r="AE943" s="764"/>
      <c r="AF943" s="764"/>
      <c r="AG943" s="764"/>
      <c r="AH943" s="764"/>
      <c r="AI943" s="764"/>
      <c r="AJ943" s="764"/>
      <c r="AK943" s="764"/>
      <c r="AL943" s="764"/>
      <c r="AM943" s="764"/>
      <c r="AN943" s="764"/>
      <c r="AO943" s="764"/>
      <c r="AP943" s="764"/>
      <c r="AQ943" s="764"/>
      <c r="AR943" s="764"/>
      <c r="AS943" s="764"/>
    </row>
    <row r="944" spans="1:45" ht="13.9">
      <c r="A944" s="764"/>
      <c r="B944" s="764"/>
      <c r="C944" s="764"/>
      <c r="D944" s="764"/>
      <c r="E944" s="764"/>
      <c r="F944" s="764"/>
      <c r="G944" s="764"/>
      <c r="H944" s="764"/>
      <c r="I944" s="764"/>
      <c r="J944" s="764"/>
      <c r="K944" s="764"/>
      <c r="L944" s="764"/>
      <c r="M944" s="764"/>
      <c r="N944" s="773"/>
      <c r="O944" s="764"/>
      <c r="P944" s="764"/>
      <c r="Q944" s="764"/>
      <c r="R944" s="764"/>
      <c r="S944" s="764"/>
      <c r="T944" s="764"/>
      <c r="U944" s="764"/>
      <c r="V944" s="764"/>
      <c r="W944" s="764"/>
      <c r="X944" s="764"/>
      <c r="Y944" s="764"/>
      <c r="Z944" s="764"/>
      <c r="AA944" s="764"/>
      <c r="AB944" s="764"/>
      <c r="AC944" s="764"/>
      <c r="AD944" s="794"/>
      <c r="AE944" s="764"/>
      <c r="AF944" s="764"/>
      <c r="AG944" s="764"/>
      <c r="AH944" s="764"/>
      <c r="AI944" s="764"/>
      <c r="AJ944" s="764"/>
      <c r="AK944" s="764"/>
      <c r="AL944" s="764"/>
      <c r="AM944" s="764"/>
      <c r="AN944" s="764"/>
      <c r="AO944" s="764"/>
      <c r="AP944" s="764"/>
      <c r="AQ944" s="764"/>
      <c r="AR944" s="764"/>
      <c r="AS944" s="764"/>
    </row>
    <row r="945" spans="1:45" ht="13.9">
      <c r="A945" s="764"/>
      <c r="B945" s="764"/>
      <c r="C945" s="764"/>
      <c r="D945" s="764"/>
      <c r="E945" s="764"/>
      <c r="F945" s="764"/>
      <c r="G945" s="764"/>
      <c r="H945" s="764"/>
      <c r="I945" s="764"/>
      <c r="J945" s="764"/>
      <c r="K945" s="764"/>
      <c r="L945" s="764"/>
      <c r="M945" s="764"/>
      <c r="N945" s="773"/>
      <c r="O945" s="764"/>
      <c r="P945" s="764"/>
      <c r="Q945" s="764"/>
      <c r="R945" s="764"/>
      <c r="S945" s="764"/>
      <c r="T945" s="764"/>
      <c r="U945" s="764"/>
      <c r="V945" s="764"/>
      <c r="W945" s="764"/>
      <c r="X945" s="764"/>
      <c r="Y945" s="764"/>
      <c r="Z945" s="764"/>
      <c r="AA945" s="764"/>
      <c r="AB945" s="764"/>
      <c r="AC945" s="764"/>
      <c r="AD945" s="794"/>
      <c r="AE945" s="764"/>
      <c r="AF945" s="764"/>
      <c r="AG945" s="764"/>
      <c r="AH945" s="764"/>
      <c r="AI945" s="764"/>
      <c r="AJ945" s="764"/>
      <c r="AK945" s="764"/>
      <c r="AL945" s="764"/>
      <c r="AM945" s="764"/>
      <c r="AN945" s="764"/>
      <c r="AO945" s="764"/>
      <c r="AP945" s="764"/>
      <c r="AQ945" s="764"/>
      <c r="AR945" s="764"/>
      <c r="AS945" s="764"/>
    </row>
    <row r="946" spans="1:45" ht="13.9">
      <c r="A946" s="764"/>
      <c r="B946" s="764"/>
      <c r="C946" s="764"/>
      <c r="D946" s="764"/>
      <c r="E946" s="764"/>
      <c r="F946" s="764"/>
      <c r="G946" s="764"/>
      <c r="H946" s="764"/>
      <c r="I946" s="764"/>
      <c r="J946" s="764"/>
      <c r="K946" s="764"/>
      <c r="L946" s="764"/>
      <c r="M946" s="764"/>
      <c r="N946" s="773"/>
      <c r="O946" s="764"/>
      <c r="P946" s="764"/>
      <c r="Q946" s="764"/>
      <c r="R946" s="764"/>
      <c r="S946" s="764"/>
      <c r="T946" s="764"/>
      <c r="U946" s="764"/>
      <c r="V946" s="764"/>
      <c r="W946" s="764"/>
      <c r="X946" s="764"/>
      <c r="Y946" s="764"/>
      <c r="Z946" s="764"/>
      <c r="AA946" s="764"/>
      <c r="AB946" s="764"/>
      <c r="AC946" s="764"/>
      <c r="AD946" s="794"/>
      <c r="AE946" s="764"/>
      <c r="AF946" s="764"/>
      <c r="AG946" s="764"/>
      <c r="AH946" s="764"/>
      <c r="AI946" s="764"/>
      <c r="AJ946" s="764"/>
      <c r="AK946" s="764"/>
      <c r="AL946" s="764"/>
      <c r="AM946" s="764"/>
      <c r="AN946" s="764"/>
      <c r="AO946" s="764"/>
      <c r="AP946" s="764"/>
      <c r="AQ946" s="764"/>
      <c r="AR946" s="764"/>
      <c r="AS946" s="764"/>
    </row>
    <row r="947" spans="1:45" ht="13.9">
      <c r="A947" s="764"/>
      <c r="B947" s="764"/>
      <c r="C947" s="764"/>
      <c r="D947" s="764"/>
      <c r="E947" s="764"/>
      <c r="F947" s="764"/>
      <c r="G947" s="764"/>
      <c r="H947" s="764"/>
      <c r="I947" s="764"/>
      <c r="J947" s="764"/>
      <c r="K947" s="764"/>
      <c r="L947" s="764"/>
      <c r="M947" s="764"/>
      <c r="N947" s="773"/>
      <c r="O947" s="764"/>
      <c r="P947" s="764"/>
      <c r="Q947" s="764"/>
      <c r="R947" s="764"/>
      <c r="S947" s="764"/>
      <c r="T947" s="764"/>
      <c r="U947" s="764"/>
      <c r="V947" s="764"/>
      <c r="W947" s="764"/>
      <c r="X947" s="764"/>
      <c r="Y947" s="764"/>
      <c r="Z947" s="764"/>
      <c r="AA947" s="764"/>
      <c r="AB947" s="764"/>
      <c r="AC947" s="764"/>
      <c r="AD947" s="794"/>
      <c r="AE947" s="764"/>
      <c r="AF947" s="764"/>
      <c r="AG947" s="764"/>
      <c r="AH947" s="764"/>
      <c r="AI947" s="764"/>
      <c r="AJ947" s="764"/>
      <c r="AK947" s="764"/>
      <c r="AL947" s="764"/>
      <c r="AM947" s="764"/>
      <c r="AN947" s="764"/>
      <c r="AO947" s="764"/>
      <c r="AP947" s="764"/>
      <c r="AQ947" s="764"/>
      <c r="AR947" s="764"/>
      <c r="AS947" s="764"/>
    </row>
    <row r="948" spans="1:45" ht="13.9">
      <c r="A948" s="764"/>
      <c r="B948" s="764"/>
      <c r="C948" s="764"/>
      <c r="D948" s="764"/>
      <c r="E948" s="764"/>
      <c r="F948" s="764"/>
      <c r="G948" s="764"/>
      <c r="H948" s="764"/>
      <c r="I948" s="764"/>
      <c r="J948" s="764"/>
      <c r="K948" s="764"/>
      <c r="L948" s="764"/>
      <c r="M948" s="764"/>
      <c r="N948" s="773"/>
      <c r="O948" s="764"/>
      <c r="P948" s="764"/>
      <c r="Q948" s="764"/>
      <c r="R948" s="764"/>
      <c r="S948" s="764"/>
      <c r="T948" s="764"/>
      <c r="U948" s="764"/>
      <c r="V948" s="764"/>
      <c r="W948" s="764"/>
      <c r="X948" s="764"/>
      <c r="Y948" s="764"/>
      <c r="Z948" s="764"/>
      <c r="AA948" s="764"/>
      <c r="AB948" s="764"/>
      <c r="AC948" s="764"/>
      <c r="AD948" s="794"/>
      <c r="AE948" s="764"/>
      <c r="AF948" s="764"/>
      <c r="AG948" s="764"/>
      <c r="AH948" s="764"/>
      <c r="AI948" s="764"/>
      <c r="AJ948" s="764"/>
      <c r="AK948" s="764"/>
      <c r="AL948" s="764"/>
      <c r="AM948" s="764"/>
      <c r="AN948" s="764"/>
      <c r="AO948" s="764"/>
      <c r="AP948" s="764"/>
      <c r="AQ948" s="764"/>
      <c r="AR948" s="764"/>
      <c r="AS948" s="764"/>
    </row>
    <row r="949" spans="1:45" ht="13.9">
      <c r="A949" s="764"/>
      <c r="B949" s="764"/>
      <c r="C949" s="764"/>
      <c r="D949" s="764"/>
      <c r="E949" s="764"/>
      <c r="F949" s="764"/>
      <c r="G949" s="764"/>
      <c r="H949" s="764"/>
      <c r="I949" s="764"/>
      <c r="J949" s="764"/>
      <c r="K949" s="764"/>
      <c r="L949" s="764"/>
      <c r="M949" s="764"/>
      <c r="N949" s="773"/>
      <c r="O949" s="764"/>
      <c r="P949" s="764"/>
      <c r="Q949" s="764"/>
      <c r="R949" s="764"/>
      <c r="S949" s="764"/>
      <c r="T949" s="764"/>
      <c r="U949" s="764"/>
      <c r="V949" s="764"/>
      <c r="W949" s="764"/>
      <c r="X949" s="764"/>
      <c r="Y949" s="764"/>
      <c r="Z949" s="764"/>
      <c r="AA949" s="764"/>
      <c r="AB949" s="764"/>
      <c r="AC949" s="764"/>
      <c r="AD949" s="794"/>
      <c r="AE949" s="764"/>
      <c r="AF949" s="764"/>
      <c r="AG949" s="764"/>
      <c r="AH949" s="764"/>
      <c r="AI949" s="764"/>
      <c r="AJ949" s="764"/>
      <c r="AK949" s="764"/>
      <c r="AL949" s="764"/>
      <c r="AM949" s="764"/>
      <c r="AN949" s="764"/>
      <c r="AO949" s="764"/>
      <c r="AP949" s="764"/>
      <c r="AQ949" s="764"/>
      <c r="AR949" s="764"/>
      <c r="AS949" s="764"/>
    </row>
    <row r="950" spans="1:45" ht="13.9">
      <c r="A950" s="764"/>
      <c r="B950" s="764"/>
      <c r="C950" s="764"/>
      <c r="D950" s="764"/>
      <c r="E950" s="764"/>
      <c r="F950" s="764"/>
      <c r="G950" s="764"/>
      <c r="H950" s="764"/>
      <c r="I950" s="764"/>
      <c r="J950" s="764"/>
      <c r="K950" s="764"/>
      <c r="L950" s="764"/>
      <c r="M950" s="764"/>
      <c r="N950" s="773"/>
      <c r="O950" s="764"/>
      <c r="P950" s="764"/>
      <c r="Q950" s="764"/>
      <c r="R950" s="764"/>
      <c r="S950" s="764"/>
      <c r="T950" s="764"/>
      <c r="U950" s="764"/>
      <c r="V950" s="764"/>
      <c r="W950" s="764"/>
      <c r="X950" s="764"/>
      <c r="Y950" s="764"/>
      <c r="Z950" s="764"/>
      <c r="AA950" s="764"/>
      <c r="AB950" s="764"/>
      <c r="AC950" s="764"/>
      <c r="AD950" s="794"/>
      <c r="AE950" s="764"/>
      <c r="AF950" s="764"/>
      <c r="AG950" s="764"/>
      <c r="AH950" s="764"/>
      <c r="AI950" s="764"/>
      <c r="AJ950" s="764"/>
      <c r="AK950" s="764"/>
      <c r="AL950" s="764"/>
      <c r="AM950" s="764"/>
      <c r="AN950" s="764"/>
      <c r="AO950" s="764"/>
      <c r="AP950" s="764"/>
      <c r="AQ950" s="764"/>
      <c r="AR950" s="764"/>
      <c r="AS950" s="764"/>
    </row>
    <row r="951" spans="1:45" ht="13.9">
      <c r="A951" s="764"/>
      <c r="B951" s="764"/>
      <c r="C951" s="764"/>
      <c r="D951" s="764"/>
      <c r="E951" s="764"/>
      <c r="F951" s="764"/>
      <c r="G951" s="764"/>
      <c r="H951" s="764"/>
      <c r="I951" s="764"/>
      <c r="J951" s="764"/>
      <c r="K951" s="764"/>
      <c r="L951" s="764"/>
      <c r="M951" s="764"/>
      <c r="N951" s="773"/>
      <c r="O951" s="764"/>
      <c r="P951" s="764"/>
      <c r="Q951" s="764"/>
      <c r="R951" s="764"/>
      <c r="S951" s="764"/>
      <c r="T951" s="764"/>
      <c r="U951" s="764"/>
      <c r="V951" s="764"/>
      <c r="W951" s="764"/>
      <c r="X951" s="764"/>
      <c r="Y951" s="764"/>
      <c r="Z951" s="764"/>
      <c r="AA951" s="764"/>
      <c r="AB951" s="764"/>
      <c r="AC951" s="764"/>
      <c r="AD951" s="794"/>
      <c r="AE951" s="764"/>
      <c r="AF951" s="764"/>
      <c r="AG951" s="764"/>
      <c r="AH951" s="764"/>
      <c r="AI951" s="764"/>
      <c r="AJ951" s="764"/>
      <c r="AK951" s="764"/>
      <c r="AL951" s="764"/>
      <c r="AM951" s="764"/>
      <c r="AN951" s="764"/>
      <c r="AO951" s="764"/>
      <c r="AP951" s="764"/>
      <c r="AQ951" s="764"/>
      <c r="AR951" s="764"/>
      <c r="AS951" s="764"/>
    </row>
    <row r="952" spans="1:45" ht="13.9">
      <c r="A952" s="764"/>
      <c r="B952" s="764"/>
      <c r="C952" s="764"/>
      <c r="D952" s="764"/>
      <c r="E952" s="764"/>
      <c r="F952" s="764"/>
      <c r="G952" s="764"/>
      <c r="H952" s="764"/>
      <c r="I952" s="764"/>
      <c r="J952" s="764"/>
      <c r="K952" s="764"/>
      <c r="L952" s="764"/>
      <c r="M952" s="764"/>
      <c r="N952" s="773"/>
      <c r="O952" s="764"/>
      <c r="P952" s="764"/>
      <c r="Q952" s="764"/>
      <c r="R952" s="764"/>
      <c r="S952" s="764"/>
      <c r="T952" s="764"/>
      <c r="U952" s="764"/>
      <c r="V952" s="764"/>
      <c r="W952" s="764"/>
      <c r="X952" s="764"/>
      <c r="Y952" s="764"/>
      <c r="Z952" s="764"/>
      <c r="AA952" s="764"/>
      <c r="AB952" s="764"/>
      <c r="AC952" s="764"/>
      <c r="AD952" s="794"/>
      <c r="AE952" s="764"/>
      <c r="AF952" s="764"/>
      <c r="AG952" s="764"/>
      <c r="AH952" s="764"/>
      <c r="AI952" s="764"/>
      <c r="AJ952" s="764"/>
      <c r="AK952" s="764"/>
      <c r="AL952" s="764"/>
      <c r="AM952" s="764"/>
      <c r="AN952" s="764"/>
      <c r="AO952" s="764"/>
      <c r="AP952" s="764"/>
      <c r="AQ952" s="764"/>
      <c r="AR952" s="764"/>
      <c r="AS952" s="764"/>
    </row>
    <row r="953" spans="1:45" ht="13.9">
      <c r="A953" s="764"/>
      <c r="B953" s="764"/>
      <c r="C953" s="764"/>
      <c r="D953" s="764"/>
      <c r="E953" s="764"/>
      <c r="F953" s="764"/>
      <c r="G953" s="764"/>
      <c r="H953" s="764"/>
      <c r="I953" s="764"/>
      <c r="J953" s="764"/>
      <c r="K953" s="764"/>
      <c r="L953" s="764"/>
      <c r="M953" s="764"/>
      <c r="N953" s="773"/>
      <c r="O953" s="764"/>
      <c r="P953" s="764"/>
      <c r="Q953" s="764"/>
      <c r="R953" s="764"/>
      <c r="S953" s="764"/>
      <c r="T953" s="764"/>
      <c r="U953" s="764"/>
      <c r="V953" s="764"/>
      <c r="W953" s="764"/>
      <c r="X953" s="764"/>
      <c r="Y953" s="764"/>
      <c r="Z953" s="764"/>
      <c r="AA953" s="764"/>
      <c r="AB953" s="764"/>
      <c r="AC953" s="764"/>
      <c r="AD953" s="794"/>
      <c r="AE953" s="764"/>
      <c r="AF953" s="764"/>
      <c r="AG953" s="764"/>
      <c r="AH953" s="764"/>
      <c r="AI953" s="764"/>
      <c r="AJ953" s="764"/>
      <c r="AK953" s="764"/>
      <c r="AL953" s="764"/>
      <c r="AM953" s="764"/>
      <c r="AN953" s="764"/>
      <c r="AO953" s="764"/>
      <c r="AP953" s="764"/>
      <c r="AQ953" s="764"/>
      <c r="AR953" s="764"/>
      <c r="AS953" s="764"/>
    </row>
    <row r="954" spans="1:45" ht="13.9">
      <c r="A954" s="764"/>
      <c r="B954" s="764"/>
      <c r="C954" s="764"/>
      <c r="D954" s="764"/>
      <c r="E954" s="764"/>
      <c r="F954" s="764"/>
      <c r="G954" s="764"/>
      <c r="H954" s="764"/>
      <c r="I954" s="764"/>
      <c r="J954" s="764"/>
      <c r="K954" s="764"/>
      <c r="L954" s="764"/>
      <c r="M954" s="764"/>
      <c r="N954" s="773"/>
      <c r="O954" s="764"/>
      <c r="P954" s="764"/>
      <c r="Q954" s="764"/>
      <c r="R954" s="764"/>
      <c r="S954" s="764"/>
      <c r="T954" s="764"/>
      <c r="U954" s="764"/>
      <c r="V954" s="764"/>
      <c r="W954" s="764"/>
      <c r="X954" s="764"/>
      <c r="Y954" s="764"/>
      <c r="Z954" s="764"/>
      <c r="AA954" s="764"/>
      <c r="AB954" s="764"/>
      <c r="AC954" s="764"/>
      <c r="AD954" s="794"/>
      <c r="AE954" s="764"/>
      <c r="AF954" s="764"/>
      <c r="AG954" s="764"/>
      <c r="AH954" s="764"/>
      <c r="AI954" s="764"/>
      <c r="AJ954" s="764"/>
      <c r="AK954" s="764"/>
      <c r="AL954" s="764"/>
      <c r="AM954" s="764"/>
      <c r="AN954" s="764"/>
      <c r="AO954" s="764"/>
      <c r="AP954" s="764"/>
      <c r="AQ954" s="764"/>
      <c r="AR954" s="764"/>
      <c r="AS954" s="764"/>
    </row>
    <row r="955" spans="1:45" ht="13.9">
      <c r="A955" s="764"/>
      <c r="B955" s="764"/>
      <c r="C955" s="764"/>
      <c r="D955" s="764"/>
      <c r="E955" s="764"/>
      <c r="F955" s="764"/>
      <c r="G955" s="764"/>
      <c r="H955" s="764"/>
      <c r="I955" s="764"/>
      <c r="J955" s="764"/>
      <c r="K955" s="764"/>
      <c r="L955" s="764"/>
      <c r="M955" s="764"/>
      <c r="N955" s="773"/>
      <c r="O955" s="764"/>
      <c r="P955" s="764"/>
      <c r="Q955" s="764"/>
      <c r="R955" s="764"/>
      <c r="S955" s="764"/>
      <c r="T955" s="764"/>
      <c r="U955" s="764"/>
      <c r="V955" s="764"/>
      <c r="W955" s="764"/>
      <c r="X955" s="764"/>
      <c r="Y955" s="764"/>
      <c r="Z955" s="764"/>
      <c r="AA955" s="764"/>
      <c r="AB955" s="764"/>
      <c r="AC955" s="764"/>
      <c r="AD955" s="794"/>
      <c r="AE955" s="764"/>
      <c r="AF955" s="764"/>
      <c r="AG955" s="764"/>
      <c r="AH955" s="764"/>
      <c r="AI955" s="764"/>
      <c r="AJ955" s="764"/>
      <c r="AK955" s="764"/>
      <c r="AL955" s="764"/>
      <c r="AM955" s="764"/>
      <c r="AN955" s="764"/>
      <c r="AO955" s="764"/>
      <c r="AP955" s="764"/>
      <c r="AQ955" s="764"/>
      <c r="AR955" s="764"/>
      <c r="AS955" s="764"/>
    </row>
    <row r="956" spans="1:45" ht="13.9">
      <c r="A956" s="764"/>
      <c r="B956" s="764"/>
      <c r="C956" s="764"/>
      <c r="D956" s="764"/>
      <c r="E956" s="764"/>
      <c r="F956" s="764"/>
      <c r="G956" s="764"/>
      <c r="H956" s="764"/>
      <c r="I956" s="764"/>
      <c r="J956" s="764"/>
      <c r="K956" s="764"/>
      <c r="L956" s="764"/>
      <c r="M956" s="764"/>
      <c r="N956" s="773"/>
      <c r="O956" s="764"/>
      <c r="P956" s="764"/>
      <c r="Q956" s="764"/>
      <c r="R956" s="764"/>
      <c r="S956" s="764"/>
      <c r="T956" s="764"/>
      <c r="U956" s="764"/>
      <c r="V956" s="764"/>
      <c r="W956" s="764"/>
      <c r="X956" s="764"/>
      <c r="Y956" s="764"/>
      <c r="Z956" s="764"/>
      <c r="AA956" s="764"/>
      <c r="AB956" s="764"/>
      <c r="AC956" s="764"/>
      <c r="AD956" s="794"/>
      <c r="AE956" s="764"/>
      <c r="AF956" s="764"/>
      <c r="AG956" s="764"/>
      <c r="AH956" s="764"/>
      <c r="AI956" s="764"/>
      <c r="AJ956" s="764"/>
      <c r="AK956" s="764"/>
      <c r="AL956" s="764"/>
      <c r="AM956" s="764"/>
      <c r="AN956" s="764"/>
      <c r="AO956" s="764"/>
      <c r="AP956" s="764"/>
      <c r="AQ956" s="764"/>
      <c r="AR956" s="764"/>
      <c r="AS956" s="764"/>
    </row>
    <row r="957" spans="1:45" ht="13.9">
      <c r="A957" s="764"/>
      <c r="B957" s="764"/>
      <c r="C957" s="764"/>
      <c r="D957" s="764"/>
      <c r="E957" s="764"/>
      <c r="F957" s="764"/>
      <c r="G957" s="764"/>
      <c r="H957" s="764"/>
      <c r="I957" s="764"/>
      <c r="J957" s="764"/>
      <c r="K957" s="764"/>
      <c r="L957" s="764"/>
      <c r="M957" s="764"/>
      <c r="N957" s="773"/>
      <c r="O957" s="764"/>
      <c r="P957" s="764"/>
      <c r="Q957" s="764"/>
      <c r="R957" s="764"/>
      <c r="S957" s="764"/>
      <c r="T957" s="764"/>
      <c r="U957" s="764"/>
      <c r="V957" s="764"/>
      <c r="W957" s="764"/>
      <c r="X957" s="764"/>
      <c r="Y957" s="764"/>
      <c r="Z957" s="764"/>
      <c r="AA957" s="764"/>
      <c r="AB957" s="764"/>
      <c r="AC957" s="764"/>
      <c r="AD957" s="794"/>
      <c r="AE957" s="764"/>
      <c r="AF957" s="764"/>
      <c r="AG957" s="764"/>
      <c r="AH957" s="764"/>
      <c r="AI957" s="764"/>
      <c r="AJ957" s="764"/>
      <c r="AK957" s="764"/>
      <c r="AL957" s="764"/>
      <c r="AM957" s="764"/>
      <c r="AN957" s="764"/>
      <c r="AO957" s="764"/>
      <c r="AP957" s="764"/>
      <c r="AQ957" s="764"/>
      <c r="AR957" s="764"/>
      <c r="AS957" s="764"/>
    </row>
    <row r="958" spans="1:45" ht="13.9">
      <c r="A958" s="764"/>
      <c r="B958" s="764"/>
      <c r="C958" s="764"/>
      <c r="D958" s="764"/>
      <c r="E958" s="764"/>
      <c r="F958" s="764"/>
      <c r="G958" s="764"/>
      <c r="H958" s="764"/>
      <c r="I958" s="764"/>
      <c r="J958" s="764"/>
      <c r="K958" s="764"/>
      <c r="L958" s="764"/>
      <c r="M958" s="764"/>
      <c r="N958" s="773"/>
      <c r="O958" s="764"/>
      <c r="P958" s="764"/>
      <c r="Q958" s="764"/>
      <c r="R958" s="764"/>
      <c r="S958" s="764"/>
      <c r="T958" s="764"/>
      <c r="U958" s="764"/>
      <c r="V958" s="764"/>
      <c r="W958" s="764"/>
      <c r="X958" s="764"/>
      <c r="Y958" s="764"/>
      <c r="Z958" s="764"/>
      <c r="AA958" s="764"/>
      <c r="AB958" s="764"/>
      <c r="AC958" s="764"/>
      <c r="AD958" s="794"/>
      <c r="AE958" s="764"/>
      <c r="AF958" s="764"/>
      <c r="AG958" s="764"/>
      <c r="AH958" s="764"/>
      <c r="AI958" s="764"/>
      <c r="AJ958" s="764"/>
      <c r="AK958" s="764"/>
      <c r="AL958" s="764"/>
      <c r="AM958" s="764"/>
      <c r="AN958" s="764"/>
      <c r="AO958" s="764"/>
      <c r="AP958" s="764"/>
      <c r="AQ958" s="764"/>
      <c r="AR958" s="764"/>
      <c r="AS958" s="764"/>
    </row>
    <row r="959" spans="1:45" ht="13.9">
      <c r="A959" s="764"/>
      <c r="B959" s="764"/>
      <c r="C959" s="764"/>
      <c r="D959" s="764"/>
      <c r="E959" s="764"/>
      <c r="F959" s="764"/>
      <c r="G959" s="764"/>
      <c r="H959" s="764"/>
      <c r="I959" s="764"/>
      <c r="J959" s="764"/>
      <c r="K959" s="764"/>
      <c r="L959" s="764"/>
      <c r="M959" s="764"/>
      <c r="N959" s="773"/>
      <c r="O959" s="764"/>
      <c r="P959" s="764"/>
      <c r="Q959" s="764"/>
      <c r="R959" s="764"/>
      <c r="S959" s="764"/>
      <c r="T959" s="764"/>
      <c r="U959" s="764"/>
      <c r="V959" s="764"/>
      <c r="W959" s="764"/>
      <c r="X959" s="764"/>
      <c r="Y959" s="764"/>
      <c r="Z959" s="764"/>
      <c r="AA959" s="764"/>
      <c r="AB959" s="764"/>
      <c r="AC959" s="764"/>
      <c r="AD959" s="794"/>
      <c r="AE959" s="764"/>
      <c r="AF959" s="764"/>
      <c r="AG959" s="764"/>
      <c r="AH959" s="764"/>
      <c r="AI959" s="764"/>
      <c r="AJ959" s="764"/>
      <c r="AK959" s="764"/>
      <c r="AL959" s="764"/>
      <c r="AM959" s="764"/>
      <c r="AN959" s="764"/>
      <c r="AO959" s="764"/>
      <c r="AP959" s="764"/>
      <c r="AQ959" s="764"/>
      <c r="AR959" s="764"/>
      <c r="AS959" s="764"/>
    </row>
    <row r="960" spans="1:45" ht="13.9">
      <c r="A960" s="764"/>
      <c r="B960" s="764"/>
      <c r="C960" s="764"/>
      <c r="D960" s="764"/>
      <c r="E960" s="764"/>
      <c r="F960" s="764"/>
      <c r="G960" s="764"/>
      <c r="H960" s="764"/>
      <c r="I960" s="764"/>
      <c r="J960" s="764"/>
      <c r="K960" s="764"/>
      <c r="L960" s="764"/>
      <c r="M960" s="764"/>
      <c r="N960" s="773"/>
      <c r="O960" s="764"/>
      <c r="P960" s="764"/>
      <c r="Q960" s="764"/>
      <c r="R960" s="764"/>
      <c r="S960" s="764"/>
      <c r="T960" s="764"/>
      <c r="U960" s="764"/>
      <c r="V960" s="764"/>
      <c r="W960" s="764"/>
      <c r="X960" s="764"/>
      <c r="Y960" s="764"/>
      <c r="Z960" s="764"/>
      <c r="AA960" s="764"/>
      <c r="AB960" s="764"/>
      <c r="AC960" s="764"/>
      <c r="AD960" s="794"/>
      <c r="AE960" s="764"/>
      <c r="AF960" s="764"/>
      <c r="AG960" s="764"/>
      <c r="AH960" s="764"/>
      <c r="AI960" s="764"/>
      <c r="AJ960" s="764"/>
      <c r="AK960" s="764"/>
      <c r="AL960" s="764"/>
      <c r="AM960" s="764"/>
      <c r="AN960" s="764"/>
      <c r="AO960" s="764"/>
      <c r="AP960" s="764"/>
      <c r="AQ960" s="764"/>
      <c r="AR960" s="764"/>
      <c r="AS960" s="764"/>
    </row>
    <row r="961" spans="1:45" ht="13.9">
      <c r="A961" s="764"/>
      <c r="B961" s="764"/>
      <c r="C961" s="764"/>
      <c r="D961" s="764"/>
      <c r="E961" s="764"/>
      <c r="F961" s="764"/>
      <c r="G961" s="764"/>
      <c r="H961" s="764"/>
      <c r="I961" s="764"/>
      <c r="J961" s="764"/>
      <c r="K961" s="764"/>
      <c r="L961" s="764"/>
      <c r="M961" s="764"/>
      <c r="N961" s="773"/>
      <c r="O961" s="764"/>
      <c r="P961" s="764"/>
      <c r="Q961" s="764"/>
      <c r="R961" s="764"/>
      <c r="S961" s="764"/>
      <c r="T961" s="764"/>
      <c r="U961" s="764"/>
      <c r="V961" s="764"/>
      <c r="W961" s="764"/>
      <c r="X961" s="764"/>
      <c r="Y961" s="764"/>
      <c r="Z961" s="764"/>
      <c r="AA961" s="764"/>
      <c r="AB961" s="764"/>
      <c r="AC961" s="764"/>
      <c r="AD961" s="794"/>
      <c r="AE961" s="764"/>
      <c r="AF961" s="764"/>
      <c r="AG961" s="764"/>
      <c r="AH961" s="764"/>
      <c r="AI961" s="764"/>
      <c r="AJ961" s="764"/>
      <c r="AK961" s="764"/>
      <c r="AL961" s="764"/>
      <c r="AM961" s="764"/>
      <c r="AN961" s="764"/>
      <c r="AO961" s="764"/>
      <c r="AP961" s="764"/>
      <c r="AQ961" s="764"/>
      <c r="AR961" s="764"/>
      <c r="AS961" s="764"/>
    </row>
    <row r="962" spans="1:45" ht="13.9">
      <c r="A962" s="764"/>
      <c r="B962" s="764"/>
      <c r="C962" s="764"/>
      <c r="D962" s="764"/>
      <c r="E962" s="764"/>
      <c r="F962" s="764"/>
      <c r="G962" s="764"/>
      <c r="H962" s="764"/>
      <c r="I962" s="764"/>
      <c r="J962" s="764"/>
      <c r="K962" s="764"/>
      <c r="L962" s="764"/>
      <c r="M962" s="764"/>
      <c r="N962" s="773"/>
      <c r="O962" s="764"/>
      <c r="P962" s="764"/>
      <c r="Q962" s="764"/>
      <c r="R962" s="764"/>
      <c r="S962" s="764"/>
      <c r="T962" s="764"/>
      <c r="U962" s="764"/>
      <c r="V962" s="764"/>
      <c r="W962" s="764"/>
      <c r="X962" s="764"/>
      <c r="Y962" s="764"/>
      <c r="Z962" s="764"/>
      <c r="AA962" s="764"/>
      <c r="AB962" s="764"/>
      <c r="AC962" s="764"/>
      <c r="AD962" s="794"/>
      <c r="AE962" s="764"/>
      <c r="AF962" s="764"/>
      <c r="AG962" s="764"/>
      <c r="AH962" s="764"/>
      <c r="AI962" s="764"/>
      <c r="AJ962" s="764"/>
      <c r="AK962" s="764"/>
      <c r="AL962" s="764"/>
      <c r="AM962" s="764"/>
      <c r="AN962" s="764"/>
      <c r="AO962" s="764"/>
      <c r="AP962" s="764"/>
      <c r="AQ962" s="764"/>
      <c r="AR962" s="764"/>
      <c r="AS962" s="764"/>
    </row>
    <row r="963" spans="1:45" ht="13.9">
      <c r="A963" s="764"/>
      <c r="B963" s="764"/>
      <c r="C963" s="764"/>
      <c r="D963" s="764"/>
      <c r="E963" s="764"/>
      <c r="F963" s="764"/>
      <c r="G963" s="764"/>
      <c r="H963" s="764"/>
      <c r="I963" s="764"/>
      <c r="J963" s="764"/>
      <c r="K963" s="764"/>
      <c r="L963" s="764"/>
      <c r="M963" s="764"/>
      <c r="N963" s="773"/>
      <c r="O963" s="764"/>
      <c r="P963" s="764"/>
      <c r="Q963" s="764"/>
      <c r="R963" s="764"/>
      <c r="S963" s="764"/>
      <c r="T963" s="764"/>
      <c r="U963" s="764"/>
      <c r="V963" s="764"/>
      <c r="W963" s="764"/>
      <c r="X963" s="764"/>
      <c r="Y963" s="764"/>
      <c r="Z963" s="764"/>
      <c r="AA963" s="764"/>
      <c r="AB963" s="764"/>
      <c r="AC963" s="764"/>
      <c r="AD963" s="794"/>
      <c r="AE963" s="764"/>
      <c r="AF963" s="764"/>
      <c r="AG963" s="764"/>
      <c r="AH963" s="764"/>
      <c r="AI963" s="764"/>
      <c r="AJ963" s="764"/>
      <c r="AK963" s="764"/>
      <c r="AL963" s="764"/>
      <c r="AM963" s="764"/>
      <c r="AN963" s="764"/>
      <c r="AO963" s="764"/>
      <c r="AP963" s="764"/>
      <c r="AQ963" s="764"/>
      <c r="AR963" s="764"/>
      <c r="AS963" s="764"/>
    </row>
    <row r="964" spans="1:45" ht="13.9">
      <c r="A964" s="764"/>
      <c r="B964" s="764"/>
      <c r="C964" s="764"/>
      <c r="D964" s="764"/>
      <c r="E964" s="764"/>
      <c r="F964" s="764"/>
      <c r="G964" s="764"/>
      <c r="H964" s="764"/>
      <c r="I964" s="764"/>
      <c r="J964" s="764"/>
      <c r="K964" s="764"/>
      <c r="L964" s="764"/>
      <c r="M964" s="764"/>
      <c r="N964" s="773"/>
      <c r="O964" s="764"/>
      <c r="P964" s="764"/>
      <c r="Q964" s="764"/>
      <c r="R964" s="764"/>
      <c r="S964" s="764"/>
      <c r="T964" s="764"/>
      <c r="U964" s="764"/>
      <c r="V964" s="764"/>
      <c r="W964" s="764"/>
      <c r="X964" s="764"/>
      <c r="Y964" s="764"/>
      <c r="Z964" s="764"/>
      <c r="AA964" s="764"/>
      <c r="AB964" s="764"/>
      <c r="AC964" s="764"/>
      <c r="AD964" s="794"/>
      <c r="AE964" s="764"/>
      <c r="AF964" s="764"/>
      <c r="AG964" s="764"/>
      <c r="AH964" s="764"/>
      <c r="AI964" s="764"/>
      <c r="AJ964" s="764"/>
      <c r="AK964" s="764"/>
      <c r="AL964" s="764"/>
      <c r="AM964" s="764"/>
      <c r="AN964" s="764"/>
      <c r="AO964" s="764"/>
      <c r="AP964" s="764"/>
      <c r="AQ964" s="764"/>
      <c r="AR964" s="764"/>
      <c r="AS964" s="764"/>
    </row>
    <row r="965" spans="1:45" ht="13.9">
      <c r="A965" s="764"/>
      <c r="B965" s="764"/>
      <c r="C965" s="764"/>
      <c r="D965" s="764"/>
      <c r="E965" s="764"/>
      <c r="F965" s="764"/>
      <c r="G965" s="764"/>
      <c r="H965" s="764"/>
      <c r="I965" s="764"/>
      <c r="J965" s="764"/>
      <c r="K965" s="764"/>
      <c r="L965" s="764"/>
      <c r="M965" s="764"/>
      <c r="N965" s="773"/>
      <c r="O965" s="764"/>
      <c r="P965" s="764"/>
      <c r="Q965" s="764"/>
      <c r="R965" s="764"/>
      <c r="S965" s="764"/>
      <c r="T965" s="764"/>
      <c r="U965" s="764"/>
      <c r="V965" s="764"/>
      <c r="W965" s="764"/>
      <c r="X965" s="764"/>
      <c r="Y965" s="764"/>
      <c r="Z965" s="764"/>
      <c r="AA965" s="764"/>
      <c r="AB965" s="764"/>
      <c r="AC965" s="764"/>
      <c r="AD965" s="794"/>
      <c r="AE965" s="764"/>
      <c r="AF965" s="764"/>
      <c r="AG965" s="764"/>
      <c r="AH965" s="764"/>
      <c r="AI965" s="764"/>
      <c r="AJ965" s="764"/>
      <c r="AK965" s="764"/>
      <c r="AL965" s="764"/>
      <c r="AM965" s="764"/>
      <c r="AN965" s="764"/>
      <c r="AO965" s="764"/>
      <c r="AP965" s="764"/>
      <c r="AQ965" s="764"/>
      <c r="AR965" s="764"/>
      <c r="AS965" s="764"/>
    </row>
    <row r="966" spans="1:45" ht="13.9">
      <c r="A966" s="764"/>
      <c r="B966" s="764"/>
      <c r="C966" s="764"/>
      <c r="D966" s="764"/>
      <c r="E966" s="764"/>
      <c r="F966" s="764"/>
      <c r="G966" s="764"/>
      <c r="H966" s="764"/>
      <c r="I966" s="764"/>
      <c r="J966" s="764"/>
      <c r="K966" s="764"/>
      <c r="L966" s="764"/>
      <c r="M966" s="764"/>
      <c r="N966" s="773"/>
      <c r="O966" s="764"/>
      <c r="P966" s="764"/>
      <c r="Q966" s="764"/>
      <c r="R966" s="764"/>
      <c r="S966" s="764"/>
      <c r="T966" s="764"/>
      <c r="U966" s="764"/>
      <c r="V966" s="764"/>
      <c r="W966" s="764"/>
      <c r="X966" s="764"/>
      <c r="Y966" s="764"/>
      <c r="Z966" s="764"/>
      <c r="AA966" s="764"/>
      <c r="AB966" s="764"/>
      <c r="AC966" s="764"/>
      <c r="AD966" s="794"/>
      <c r="AE966" s="764"/>
      <c r="AF966" s="764"/>
      <c r="AG966" s="764"/>
      <c r="AH966" s="764"/>
      <c r="AI966" s="764"/>
      <c r="AJ966" s="764"/>
      <c r="AK966" s="764"/>
      <c r="AL966" s="764"/>
      <c r="AM966" s="764"/>
      <c r="AN966" s="764"/>
      <c r="AO966" s="764"/>
      <c r="AP966" s="764"/>
      <c r="AQ966" s="764"/>
      <c r="AR966" s="764"/>
      <c r="AS966" s="764"/>
    </row>
    <row r="967" spans="1:45" ht="13.9">
      <c r="A967" s="764"/>
      <c r="B967" s="764"/>
      <c r="C967" s="764"/>
      <c r="D967" s="764"/>
      <c r="E967" s="764"/>
      <c r="F967" s="764"/>
      <c r="G967" s="764"/>
      <c r="H967" s="764"/>
      <c r="I967" s="764"/>
      <c r="J967" s="764"/>
      <c r="K967" s="764"/>
      <c r="L967" s="764"/>
      <c r="M967" s="764"/>
      <c r="N967" s="773"/>
      <c r="O967" s="764"/>
      <c r="P967" s="764"/>
      <c r="Q967" s="764"/>
      <c r="R967" s="764"/>
      <c r="S967" s="764"/>
      <c r="T967" s="764"/>
      <c r="U967" s="764"/>
      <c r="V967" s="764"/>
      <c r="W967" s="764"/>
      <c r="X967" s="764"/>
      <c r="Y967" s="764"/>
      <c r="Z967" s="764"/>
      <c r="AA967" s="764"/>
      <c r="AB967" s="764"/>
      <c r="AC967" s="764"/>
      <c r="AD967" s="794"/>
      <c r="AE967" s="764"/>
      <c r="AF967" s="764"/>
      <c r="AG967" s="764"/>
      <c r="AH967" s="764"/>
      <c r="AI967" s="764"/>
      <c r="AJ967" s="764"/>
      <c r="AK967" s="764"/>
      <c r="AL967" s="764"/>
      <c r="AM967" s="764"/>
      <c r="AN967" s="764"/>
      <c r="AO967" s="764"/>
      <c r="AP967" s="764"/>
      <c r="AQ967" s="764"/>
      <c r="AR967" s="764"/>
      <c r="AS967" s="764"/>
    </row>
    <row r="968" spans="1:45" ht="13.9">
      <c r="A968" s="764"/>
      <c r="B968" s="764"/>
      <c r="C968" s="764"/>
      <c r="D968" s="764"/>
      <c r="E968" s="764"/>
      <c r="F968" s="764"/>
      <c r="G968" s="764"/>
      <c r="H968" s="764"/>
      <c r="I968" s="764"/>
      <c r="J968" s="764"/>
      <c r="K968" s="764"/>
      <c r="L968" s="764"/>
      <c r="M968" s="764"/>
      <c r="N968" s="773"/>
      <c r="O968" s="764"/>
      <c r="P968" s="764"/>
      <c r="Q968" s="764"/>
      <c r="R968" s="764"/>
      <c r="S968" s="764"/>
      <c r="T968" s="764"/>
      <c r="U968" s="764"/>
      <c r="V968" s="764"/>
      <c r="W968" s="764"/>
      <c r="X968" s="764"/>
      <c r="Y968" s="764"/>
      <c r="Z968" s="764"/>
      <c r="AA968" s="764"/>
      <c r="AB968" s="764"/>
      <c r="AC968" s="764"/>
      <c r="AD968" s="794"/>
      <c r="AE968" s="764"/>
      <c r="AF968" s="764"/>
      <c r="AG968" s="764"/>
      <c r="AH968" s="764"/>
      <c r="AI968" s="764"/>
      <c r="AJ968" s="764"/>
      <c r="AK968" s="764"/>
      <c r="AL968" s="764"/>
      <c r="AM968" s="764"/>
      <c r="AN968" s="764"/>
      <c r="AO968" s="764"/>
      <c r="AP968" s="764"/>
      <c r="AQ968" s="764"/>
      <c r="AR968" s="764"/>
      <c r="AS968" s="764"/>
    </row>
    <row r="969" spans="1:45" ht="13.9">
      <c r="A969" s="764"/>
      <c r="B969" s="764"/>
      <c r="C969" s="764"/>
      <c r="D969" s="764"/>
      <c r="E969" s="764"/>
      <c r="F969" s="764"/>
      <c r="G969" s="764"/>
      <c r="H969" s="764"/>
      <c r="I969" s="764"/>
      <c r="J969" s="764"/>
      <c r="K969" s="764"/>
      <c r="L969" s="764"/>
      <c r="M969" s="764"/>
      <c r="N969" s="773"/>
      <c r="O969" s="764"/>
      <c r="P969" s="764"/>
      <c r="Q969" s="764"/>
      <c r="R969" s="764"/>
      <c r="S969" s="764"/>
      <c r="T969" s="764"/>
      <c r="U969" s="764"/>
      <c r="V969" s="764"/>
      <c r="W969" s="764"/>
      <c r="X969" s="764"/>
      <c r="Y969" s="764"/>
      <c r="Z969" s="764"/>
      <c r="AA969" s="764"/>
      <c r="AB969" s="764"/>
      <c r="AC969" s="764"/>
      <c r="AD969" s="794"/>
      <c r="AE969" s="764"/>
      <c r="AF969" s="764"/>
      <c r="AG969" s="764"/>
      <c r="AH969" s="764"/>
      <c r="AI969" s="764"/>
      <c r="AJ969" s="764"/>
      <c r="AK969" s="764"/>
      <c r="AL969" s="764"/>
      <c r="AM969" s="764"/>
      <c r="AN969" s="764"/>
      <c r="AO969" s="764"/>
      <c r="AP969" s="764"/>
      <c r="AQ969" s="764"/>
      <c r="AR969" s="764"/>
      <c r="AS969" s="764"/>
    </row>
    <row r="970" spans="1:45" ht="13.9">
      <c r="A970" s="764"/>
      <c r="B970" s="764"/>
      <c r="C970" s="764"/>
      <c r="D970" s="764"/>
      <c r="E970" s="764"/>
      <c r="F970" s="764"/>
      <c r="G970" s="764"/>
      <c r="H970" s="764"/>
      <c r="I970" s="764"/>
      <c r="J970" s="764"/>
      <c r="K970" s="764"/>
      <c r="L970" s="764"/>
      <c r="M970" s="764"/>
      <c r="N970" s="773"/>
      <c r="O970" s="764"/>
      <c r="P970" s="764"/>
      <c r="Q970" s="764"/>
      <c r="R970" s="764"/>
      <c r="S970" s="764"/>
      <c r="T970" s="764"/>
      <c r="U970" s="764"/>
      <c r="V970" s="764"/>
      <c r="W970" s="764"/>
      <c r="X970" s="764"/>
      <c r="Y970" s="764"/>
      <c r="Z970" s="764"/>
      <c r="AA970" s="764"/>
      <c r="AB970" s="764"/>
      <c r="AC970" s="764"/>
      <c r="AD970" s="794"/>
      <c r="AE970" s="764"/>
      <c r="AF970" s="764"/>
      <c r="AG970" s="764"/>
      <c r="AH970" s="764"/>
      <c r="AI970" s="764"/>
      <c r="AJ970" s="764"/>
      <c r="AK970" s="764"/>
      <c r="AL970" s="764"/>
      <c r="AM970" s="764"/>
      <c r="AN970" s="764"/>
      <c r="AO970" s="764"/>
      <c r="AP970" s="764"/>
      <c r="AQ970" s="764"/>
      <c r="AR970" s="764"/>
      <c r="AS970" s="764"/>
    </row>
    <row r="971" spans="1:45" ht="13.9">
      <c r="A971" s="764"/>
      <c r="B971" s="764"/>
      <c r="C971" s="764"/>
      <c r="D971" s="764"/>
      <c r="E971" s="764"/>
      <c r="F971" s="764"/>
      <c r="G971" s="764"/>
      <c r="H971" s="764"/>
      <c r="I971" s="764"/>
      <c r="J971" s="764"/>
      <c r="K971" s="764"/>
      <c r="L971" s="764"/>
      <c r="M971" s="764"/>
      <c r="N971" s="773"/>
      <c r="O971" s="764"/>
      <c r="P971" s="764"/>
      <c r="Q971" s="764"/>
      <c r="R971" s="764"/>
      <c r="S971" s="764"/>
      <c r="T971" s="764"/>
      <c r="U971" s="764"/>
      <c r="V971" s="764"/>
      <c r="W971" s="764"/>
      <c r="X971" s="764"/>
      <c r="Y971" s="764"/>
      <c r="Z971" s="764"/>
      <c r="AA971" s="764"/>
      <c r="AB971" s="764"/>
      <c r="AC971" s="764"/>
      <c r="AD971" s="794"/>
      <c r="AE971" s="764"/>
      <c r="AF971" s="764"/>
      <c r="AG971" s="764"/>
      <c r="AH971" s="764"/>
      <c r="AI971" s="764"/>
      <c r="AJ971" s="764"/>
      <c r="AK971" s="764"/>
      <c r="AL971" s="764"/>
      <c r="AM971" s="764"/>
      <c r="AN971" s="764"/>
      <c r="AO971" s="764"/>
      <c r="AP971" s="764"/>
      <c r="AQ971" s="764"/>
      <c r="AR971" s="764"/>
      <c r="AS971" s="764"/>
    </row>
    <row r="972" spans="1:45" ht="13.9">
      <c r="A972" s="764"/>
      <c r="B972" s="764"/>
      <c r="C972" s="764"/>
      <c r="D972" s="764"/>
      <c r="E972" s="764"/>
      <c r="F972" s="764"/>
      <c r="G972" s="764"/>
      <c r="H972" s="764"/>
      <c r="I972" s="764"/>
      <c r="J972" s="764"/>
      <c r="K972" s="764"/>
      <c r="L972" s="764"/>
      <c r="M972" s="764"/>
      <c r="N972" s="773"/>
      <c r="O972" s="764"/>
      <c r="P972" s="764"/>
      <c r="Q972" s="764"/>
      <c r="R972" s="764"/>
      <c r="S972" s="764"/>
      <c r="T972" s="764"/>
      <c r="U972" s="764"/>
      <c r="V972" s="764"/>
      <c r="W972" s="764"/>
      <c r="X972" s="764"/>
      <c r="Y972" s="764"/>
      <c r="Z972" s="764"/>
      <c r="AA972" s="764"/>
      <c r="AB972" s="764"/>
      <c r="AC972" s="764"/>
      <c r="AD972" s="794"/>
      <c r="AE972" s="764"/>
      <c r="AF972" s="764"/>
      <c r="AG972" s="764"/>
      <c r="AH972" s="764"/>
      <c r="AI972" s="764"/>
      <c r="AJ972" s="764"/>
      <c r="AK972" s="764"/>
      <c r="AL972" s="764"/>
      <c r="AM972" s="764"/>
      <c r="AN972" s="764"/>
      <c r="AO972" s="764"/>
      <c r="AP972" s="764"/>
      <c r="AQ972" s="764"/>
      <c r="AR972" s="764"/>
      <c r="AS972" s="764"/>
    </row>
    <row r="973" spans="1:45" ht="13.9">
      <c r="A973" s="764"/>
      <c r="B973" s="764"/>
      <c r="C973" s="764"/>
      <c r="D973" s="764"/>
      <c r="E973" s="764"/>
      <c r="F973" s="764"/>
      <c r="G973" s="764"/>
      <c r="H973" s="764"/>
      <c r="I973" s="764"/>
      <c r="J973" s="764"/>
      <c r="K973" s="764"/>
      <c r="L973" s="764"/>
      <c r="M973" s="764"/>
      <c r="N973" s="773"/>
      <c r="O973" s="764"/>
      <c r="P973" s="764"/>
      <c r="Q973" s="764"/>
      <c r="R973" s="764"/>
      <c r="S973" s="764"/>
      <c r="T973" s="764"/>
      <c r="U973" s="764"/>
      <c r="V973" s="764"/>
      <c r="W973" s="764"/>
      <c r="X973" s="764"/>
      <c r="Y973" s="764"/>
      <c r="Z973" s="764"/>
      <c r="AA973" s="764"/>
      <c r="AB973" s="764"/>
      <c r="AC973" s="764"/>
      <c r="AD973" s="794"/>
      <c r="AE973" s="764"/>
      <c r="AF973" s="764"/>
      <c r="AG973" s="764"/>
      <c r="AH973" s="764"/>
      <c r="AI973" s="764"/>
      <c r="AJ973" s="764"/>
      <c r="AK973" s="764"/>
      <c r="AL973" s="764"/>
      <c r="AM973" s="764"/>
      <c r="AN973" s="764"/>
      <c r="AO973" s="764"/>
      <c r="AP973" s="764"/>
      <c r="AQ973" s="764"/>
      <c r="AR973" s="764"/>
      <c r="AS973" s="764"/>
    </row>
    <row r="974" spans="1:45" ht="13.9">
      <c r="A974" s="764"/>
      <c r="B974" s="764"/>
      <c r="C974" s="764"/>
      <c r="D974" s="764"/>
      <c r="E974" s="764"/>
      <c r="F974" s="764"/>
      <c r="G974" s="764"/>
      <c r="H974" s="764"/>
      <c r="I974" s="764"/>
      <c r="J974" s="764"/>
      <c r="K974" s="764"/>
      <c r="L974" s="764"/>
      <c r="M974" s="764"/>
      <c r="N974" s="773"/>
      <c r="O974" s="764"/>
      <c r="P974" s="764"/>
      <c r="Q974" s="764"/>
      <c r="R974" s="764"/>
      <c r="S974" s="764"/>
      <c r="T974" s="764"/>
      <c r="U974" s="764"/>
      <c r="V974" s="764"/>
      <c r="W974" s="764"/>
      <c r="X974" s="764"/>
      <c r="Y974" s="764"/>
      <c r="Z974" s="764"/>
      <c r="AA974" s="764"/>
      <c r="AB974" s="764"/>
      <c r="AC974" s="764"/>
      <c r="AD974" s="794"/>
      <c r="AE974" s="764"/>
      <c r="AF974" s="764"/>
      <c r="AG974" s="764"/>
      <c r="AH974" s="764"/>
      <c r="AI974" s="764"/>
      <c r="AJ974" s="764"/>
      <c r="AK974" s="764"/>
      <c r="AL974" s="764"/>
      <c r="AM974" s="764"/>
      <c r="AN974" s="764"/>
      <c r="AO974" s="764"/>
      <c r="AP974" s="764"/>
      <c r="AQ974" s="764"/>
      <c r="AR974" s="764"/>
      <c r="AS974" s="764"/>
    </row>
    <row r="975" spans="1:45" ht="13.9">
      <c r="A975" s="764"/>
      <c r="B975" s="764"/>
      <c r="C975" s="764"/>
      <c r="D975" s="764"/>
      <c r="E975" s="764"/>
      <c r="F975" s="764"/>
      <c r="G975" s="764"/>
      <c r="H975" s="764"/>
      <c r="I975" s="764"/>
      <c r="J975" s="764"/>
      <c r="K975" s="764"/>
      <c r="L975" s="764"/>
      <c r="M975" s="764"/>
      <c r="N975" s="773"/>
      <c r="O975" s="764"/>
      <c r="P975" s="764"/>
      <c r="Q975" s="764"/>
      <c r="R975" s="764"/>
      <c r="S975" s="764"/>
      <c r="T975" s="764"/>
      <c r="U975" s="764"/>
      <c r="V975" s="764"/>
      <c r="W975" s="764"/>
      <c r="X975" s="764"/>
      <c r="Y975" s="764"/>
      <c r="Z975" s="764"/>
      <c r="AA975" s="764"/>
      <c r="AB975" s="764"/>
      <c r="AC975" s="764"/>
      <c r="AD975" s="794"/>
      <c r="AE975" s="764"/>
      <c r="AF975" s="764"/>
      <c r="AG975" s="764"/>
      <c r="AH975" s="764"/>
      <c r="AI975" s="764"/>
      <c r="AJ975" s="764"/>
      <c r="AK975" s="764"/>
      <c r="AL975" s="764"/>
      <c r="AM975" s="764"/>
      <c r="AN975" s="764"/>
      <c r="AO975" s="764"/>
      <c r="AP975" s="764"/>
      <c r="AQ975" s="764"/>
      <c r="AR975" s="764"/>
      <c r="AS975" s="764"/>
    </row>
    <row r="976" spans="1:45" ht="13.9">
      <c r="A976" s="764"/>
      <c r="B976" s="764"/>
      <c r="C976" s="764"/>
      <c r="D976" s="764"/>
      <c r="E976" s="764"/>
      <c r="F976" s="764"/>
      <c r="G976" s="764"/>
      <c r="H976" s="764"/>
      <c r="I976" s="764"/>
      <c r="J976" s="764"/>
      <c r="K976" s="764"/>
      <c r="L976" s="764"/>
      <c r="M976" s="764"/>
      <c r="N976" s="773"/>
      <c r="O976" s="764"/>
      <c r="P976" s="764"/>
      <c r="Q976" s="764"/>
      <c r="R976" s="764"/>
      <c r="S976" s="764"/>
      <c r="T976" s="764"/>
      <c r="U976" s="764"/>
      <c r="V976" s="764"/>
      <c r="W976" s="764"/>
      <c r="X976" s="764"/>
      <c r="Y976" s="764"/>
      <c r="Z976" s="764"/>
      <c r="AA976" s="764"/>
      <c r="AB976" s="764"/>
      <c r="AC976" s="764"/>
      <c r="AD976" s="794"/>
      <c r="AE976" s="764"/>
      <c r="AF976" s="764"/>
      <c r="AG976" s="764"/>
      <c r="AH976" s="764"/>
      <c r="AI976" s="764"/>
      <c r="AJ976" s="764"/>
      <c r="AK976" s="764"/>
      <c r="AL976" s="764"/>
      <c r="AM976" s="764"/>
      <c r="AN976" s="764"/>
      <c r="AO976" s="764"/>
      <c r="AP976" s="764"/>
      <c r="AQ976" s="764"/>
      <c r="AR976" s="764"/>
      <c r="AS976" s="764"/>
    </row>
    <row r="977" spans="1:45" ht="13.9">
      <c r="A977" s="764"/>
      <c r="B977" s="764"/>
      <c r="C977" s="764"/>
      <c r="D977" s="764"/>
      <c r="E977" s="764"/>
      <c r="F977" s="764"/>
      <c r="G977" s="764"/>
      <c r="H977" s="764"/>
      <c r="I977" s="764"/>
      <c r="J977" s="764"/>
      <c r="K977" s="764"/>
      <c r="L977" s="764"/>
      <c r="M977" s="764"/>
      <c r="N977" s="773"/>
      <c r="O977" s="764"/>
      <c r="P977" s="764"/>
      <c r="Q977" s="764"/>
      <c r="R977" s="764"/>
      <c r="S977" s="764"/>
      <c r="T977" s="764"/>
      <c r="U977" s="764"/>
      <c r="V977" s="764"/>
      <c r="W977" s="764"/>
      <c r="X977" s="764"/>
      <c r="Y977" s="764"/>
      <c r="Z977" s="764"/>
      <c r="AA977" s="764"/>
      <c r="AB977" s="764"/>
      <c r="AC977" s="764"/>
      <c r="AD977" s="794"/>
      <c r="AE977" s="764"/>
      <c r="AF977" s="764"/>
      <c r="AG977" s="764"/>
      <c r="AH977" s="764"/>
      <c r="AI977" s="764"/>
      <c r="AJ977" s="764"/>
      <c r="AK977" s="764"/>
      <c r="AL977" s="764"/>
      <c r="AM977" s="764"/>
      <c r="AN977" s="764"/>
      <c r="AO977" s="764"/>
      <c r="AP977" s="764"/>
      <c r="AQ977" s="764"/>
      <c r="AR977" s="764"/>
      <c r="AS977" s="764"/>
    </row>
    <row r="978" spans="1:45" ht="13.9">
      <c r="A978" s="764"/>
      <c r="B978" s="764"/>
      <c r="C978" s="764"/>
      <c r="D978" s="764"/>
      <c r="E978" s="764"/>
      <c r="F978" s="764"/>
      <c r="G978" s="764"/>
      <c r="H978" s="764"/>
      <c r="I978" s="764"/>
      <c r="J978" s="764"/>
      <c r="K978" s="764"/>
      <c r="L978" s="764"/>
      <c r="M978" s="764"/>
      <c r="N978" s="773"/>
      <c r="O978" s="764"/>
      <c r="P978" s="764"/>
      <c r="Q978" s="764"/>
      <c r="R978" s="764"/>
      <c r="S978" s="764"/>
      <c r="T978" s="764"/>
      <c r="U978" s="764"/>
      <c r="V978" s="764"/>
      <c r="W978" s="764"/>
      <c r="X978" s="764"/>
      <c r="Y978" s="764"/>
      <c r="Z978" s="764"/>
      <c r="AA978" s="764"/>
      <c r="AB978" s="764"/>
      <c r="AC978" s="764"/>
      <c r="AD978" s="794"/>
      <c r="AE978" s="764"/>
      <c r="AF978" s="764"/>
      <c r="AG978" s="764"/>
      <c r="AH978" s="764"/>
      <c r="AI978" s="764"/>
      <c r="AJ978" s="764"/>
      <c r="AK978" s="764"/>
      <c r="AL978" s="764"/>
      <c r="AM978" s="764"/>
      <c r="AN978" s="764"/>
      <c r="AO978" s="764"/>
      <c r="AP978" s="764"/>
      <c r="AQ978" s="764"/>
      <c r="AR978" s="764"/>
      <c r="AS978" s="764"/>
    </row>
    <row r="979" spans="1:45" ht="13.9">
      <c r="A979" s="764"/>
      <c r="B979" s="764"/>
      <c r="C979" s="764"/>
      <c r="D979" s="764"/>
      <c r="E979" s="764"/>
      <c r="F979" s="764"/>
      <c r="G979" s="764"/>
      <c r="H979" s="764"/>
      <c r="I979" s="764"/>
      <c r="J979" s="764"/>
      <c r="K979" s="764"/>
      <c r="L979" s="764"/>
      <c r="M979" s="764"/>
      <c r="N979" s="773"/>
      <c r="O979" s="764"/>
      <c r="P979" s="764"/>
      <c r="Q979" s="764"/>
      <c r="R979" s="764"/>
      <c r="S979" s="764"/>
      <c r="T979" s="764"/>
      <c r="U979" s="764"/>
      <c r="V979" s="764"/>
      <c r="W979" s="764"/>
      <c r="X979" s="764"/>
      <c r="Y979" s="764"/>
      <c r="Z979" s="764"/>
      <c r="AA979" s="764"/>
      <c r="AB979" s="764"/>
      <c r="AC979" s="764"/>
      <c r="AD979" s="794"/>
      <c r="AE979" s="764"/>
      <c r="AF979" s="764"/>
      <c r="AG979" s="764"/>
      <c r="AH979" s="764"/>
      <c r="AI979" s="764"/>
      <c r="AJ979" s="764"/>
      <c r="AK979" s="764"/>
      <c r="AL979" s="764"/>
      <c r="AM979" s="764"/>
      <c r="AN979" s="764"/>
      <c r="AO979" s="764"/>
      <c r="AP979" s="764"/>
      <c r="AQ979" s="764"/>
      <c r="AR979" s="764"/>
      <c r="AS979" s="764"/>
    </row>
    <row r="980" spans="1:45" ht="13.9">
      <c r="A980" s="764"/>
      <c r="B980" s="764"/>
      <c r="C980" s="764"/>
      <c r="D980" s="764"/>
      <c r="E980" s="764"/>
      <c r="F980" s="764"/>
      <c r="G980" s="764"/>
      <c r="H980" s="764"/>
      <c r="I980" s="764"/>
      <c r="J980" s="764"/>
      <c r="K980" s="764"/>
      <c r="L980" s="764"/>
      <c r="M980" s="764"/>
      <c r="N980" s="773"/>
      <c r="O980" s="764"/>
      <c r="P980" s="764"/>
      <c r="Q980" s="764"/>
      <c r="R980" s="764"/>
      <c r="S980" s="764"/>
      <c r="T980" s="764"/>
      <c r="U980" s="764"/>
      <c r="V980" s="764"/>
      <c r="W980" s="764"/>
      <c r="X980" s="764"/>
      <c r="Y980" s="764"/>
      <c r="Z980" s="764"/>
      <c r="AA980" s="764"/>
      <c r="AB980" s="764"/>
      <c r="AC980" s="764"/>
      <c r="AD980" s="794"/>
      <c r="AE980" s="764"/>
      <c r="AF980" s="764"/>
      <c r="AG980" s="764"/>
      <c r="AH980" s="764"/>
      <c r="AI980" s="764"/>
      <c r="AJ980" s="764"/>
      <c r="AK980" s="764"/>
      <c r="AL980" s="764"/>
      <c r="AM980" s="764"/>
      <c r="AN980" s="764"/>
      <c r="AO980" s="764"/>
      <c r="AP980" s="764"/>
      <c r="AQ980" s="764"/>
      <c r="AR980" s="764"/>
      <c r="AS980" s="764"/>
    </row>
    <row r="981" spans="1:45" ht="13.9">
      <c r="A981" s="764"/>
      <c r="B981" s="764"/>
      <c r="C981" s="764"/>
      <c r="D981" s="764"/>
      <c r="E981" s="764"/>
      <c r="F981" s="764"/>
      <c r="G981" s="764"/>
      <c r="H981" s="764"/>
      <c r="I981" s="764"/>
      <c r="J981" s="764"/>
      <c r="K981" s="764"/>
      <c r="L981" s="764"/>
      <c r="M981" s="764"/>
      <c r="N981" s="773"/>
      <c r="O981" s="764"/>
      <c r="P981" s="764"/>
      <c r="Q981" s="764"/>
      <c r="R981" s="764"/>
      <c r="S981" s="764"/>
      <c r="T981" s="764"/>
      <c r="U981" s="764"/>
      <c r="V981" s="764"/>
      <c r="W981" s="764"/>
      <c r="X981" s="764"/>
      <c r="Y981" s="764"/>
      <c r="Z981" s="764"/>
      <c r="AA981" s="764"/>
      <c r="AB981" s="764"/>
      <c r="AC981" s="764"/>
      <c r="AD981" s="794"/>
      <c r="AE981" s="764"/>
      <c r="AF981" s="764"/>
      <c r="AG981" s="764"/>
      <c r="AH981" s="764"/>
      <c r="AI981" s="764"/>
      <c r="AJ981" s="764"/>
      <c r="AK981" s="764"/>
      <c r="AL981" s="764"/>
      <c r="AM981" s="764"/>
      <c r="AN981" s="764"/>
      <c r="AO981" s="764"/>
      <c r="AP981" s="764"/>
      <c r="AQ981" s="764"/>
      <c r="AR981" s="764"/>
      <c r="AS981" s="764"/>
    </row>
    <row r="982" spans="1:45" ht="13.9">
      <c r="A982" s="764"/>
      <c r="B982" s="764"/>
      <c r="C982" s="764"/>
      <c r="D982" s="764"/>
      <c r="E982" s="764"/>
      <c r="F982" s="764"/>
      <c r="G982" s="764"/>
      <c r="H982" s="764"/>
      <c r="I982" s="764"/>
      <c r="J982" s="764"/>
      <c r="K982" s="764"/>
      <c r="L982" s="764"/>
      <c r="M982" s="764"/>
      <c r="N982" s="773"/>
      <c r="O982" s="764"/>
      <c r="P982" s="764"/>
      <c r="Q982" s="764"/>
      <c r="R982" s="764"/>
      <c r="S982" s="764"/>
      <c r="T982" s="764"/>
      <c r="U982" s="764"/>
      <c r="V982" s="764"/>
      <c r="W982" s="764"/>
      <c r="X982" s="764"/>
      <c r="Y982" s="764"/>
      <c r="Z982" s="764"/>
      <c r="AA982" s="764"/>
      <c r="AB982" s="764"/>
      <c r="AC982" s="764"/>
      <c r="AD982" s="794"/>
      <c r="AE982" s="764"/>
      <c r="AF982" s="764"/>
      <c r="AG982" s="764"/>
      <c r="AH982" s="764"/>
      <c r="AI982" s="764"/>
      <c r="AJ982" s="764"/>
      <c r="AK982" s="764"/>
      <c r="AL982" s="764"/>
      <c r="AM982" s="764"/>
      <c r="AN982" s="764"/>
      <c r="AO982" s="764"/>
      <c r="AP982" s="764"/>
      <c r="AQ982" s="764"/>
      <c r="AR982" s="764"/>
      <c r="AS982" s="764"/>
    </row>
    <row r="983" spans="1:45" ht="13.9">
      <c r="A983" s="764"/>
      <c r="B983" s="764"/>
      <c r="C983" s="764"/>
      <c r="D983" s="764"/>
      <c r="E983" s="764"/>
      <c r="F983" s="764"/>
      <c r="G983" s="764"/>
      <c r="H983" s="764"/>
      <c r="I983" s="764"/>
      <c r="J983" s="764"/>
      <c r="K983" s="764"/>
      <c r="L983" s="764"/>
      <c r="M983" s="764"/>
      <c r="N983" s="773"/>
      <c r="O983" s="764"/>
      <c r="P983" s="764"/>
      <c r="Q983" s="764"/>
      <c r="R983" s="764"/>
      <c r="S983" s="764"/>
      <c r="T983" s="764"/>
      <c r="U983" s="764"/>
      <c r="V983" s="764"/>
      <c r="W983" s="764"/>
      <c r="X983" s="764"/>
      <c r="Y983" s="764"/>
      <c r="Z983" s="764"/>
      <c r="AA983" s="764"/>
      <c r="AB983" s="764"/>
      <c r="AC983" s="764"/>
      <c r="AD983" s="794"/>
      <c r="AE983" s="764"/>
      <c r="AF983" s="764"/>
      <c r="AG983" s="764"/>
      <c r="AH983" s="764"/>
      <c r="AI983" s="764"/>
      <c r="AJ983" s="764"/>
      <c r="AK983" s="764"/>
      <c r="AL983" s="764"/>
      <c r="AM983" s="764"/>
      <c r="AN983" s="764"/>
      <c r="AO983" s="764"/>
      <c r="AP983" s="764"/>
      <c r="AQ983" s="764"/>
      <c r="AR983" s="764"/>
      <c r="AS983" s="764"/>
    </row>
    <row r="984" spans="1:45" ht="13.9">
      <c r="A984" s="764"/>
      <c r="B984" s="764"/>
      <c r="C984" s="764"/>
      <c r="D984" s="764"/>
      <c r="E984" s="764"/>
      <c r="F984" s="764"/>
      <c r="G984" s="764"/>
      <c r="H984" s="764"/>
      <c r="I984" s="764"/>
      <c r="J984" s="764"/>
      <c r="K984" s="764"/>
      <c r="L984" s="764"/>
      <c r="M984" s="764"/>
      <c r="N984" s="773"/>
      <c r="O984" s="764"/>
      <c r="P984" s="764"/>
      <c r="Q984" s="764"/>
      <c r="R984" s="764"/>
      <c r="S984" s="764"/>
      <c r="T984" s="764"/>
      <c r="U984" s="764"/>
      <c r="V984" s="764"/>
      <c r="W984" s="764"/>
      <c r="X984" s="764"/>
      <c r="Y984" s="764"/>
      <c r="Z984" s="764"/>
      <c r="AA984" s="764"/>
      <c r="AB984" s="764"/>
      <c r="AC984" s="764"/>
      <c r="AD984" s="794"/>
      <c r="AE984" s="764"/>
      <c r="AF984" s="764"/>
      <c r="AG984" s="764"/>
      <c r="AH984" s="764"/>
      <c r="AI984" s="764"/>
      <c r="AJ984" s="764"/>
      <c r="AK984" s="764"/>
      <c r="AL984" s="764"/>
      <c r="AM984" s="764"/>
      <c r="AN984" s="764"/>
      <c r="AO984" s="764"/>
      <c r="AP984" s="764"/>
      <c r="AQ984" s="764"/>
      <c r="AR984" s="764"/>
      <c r="AS984" s="764"/>
    </row>
    <row r="985" spans="1:45" ht="13.9">
      <c r="A985" s="764"/>
      <c r="B985" s="764"/>
      <c r="C985" s="764"/>
      <c r="D985" s="764"/>
      <c r="E985" s="764"/>
      <c r="F985" s="764"/>
      <c r="G985" s="764"/>
      <c r="H985" s="764"/>
      <c r="I985" s="764"/>
      <c r="J985" s="764"/>
      <c r="K985" s="764"/>
      <c r="L985" s="764"/>
      <c r="M985" s="764"/>
      <c r="N985" s="773"/>
      <c r="O985" s="764"/>
      <c r="P985" s="764"/>
      <c r="Q985" s="764"/>
      <c r="R985" s="764"/>
      <c r="S985" s="764"/>
      <c r="T985" s="764"/>
      <c r="U985" s="764"/>
      <c r="V985" s="764"/>
      <c r="W985" s="764"/>
      <c r="X985" s="764"/>
      <c r="Y985" s="764"/>
      <c r="Z985" s="764"/>
      <c r="AA985" s="764"/>
      <c r="AB985" s="764"/>
      <c r="AC985" s="764"/>
      <c r="AD985" s="794"/>
      <c r="AE985" s="764"/>
      <c r="AF985" s="764"/>
      <c r="AG985" s="764"/>
      <c r="AH985" s="764"/>
      <c r="AI985" s="764"/>
      <c r="AJ985" s="764"/>
      <c r="AK985" s="764"/>
      <c r="AL985" s="764"/>
      <c r="AM985" s="764"/>
      <c r="AN985" s="764"/>
      <c r="AO985" s="764"/>
      <c r="AP985" s="764"/>
      <c r="AQ985" s="764"/>
      <c r="AR985" s="764"/>
      <c r="AS985" s="764"/>
    </row>
    <row r="986" spans="1:45" ht="13.9">
      <c r="A986" s="764"/>
      <c r="B986" s="764"/>
      <c r="C986" s="764"/>
      <c r="D986" s="764"/>
      <c r="E986" s="764"/>
      <c r="F986" s="764"/>
      <c r="G986" s="764"/>
      <c r="H986" s="764"/>
      <c r="I986" s="764"/>
      <c r="J986" s="764"/>
      <c r="K986" s="764"/>
      <c r="L986" s="764"/>
      <c r="M986" s="764"/>
      <c r="N986" s="773"/>
      <c r="O986" s="764"/>
      <c r="P986" s="764"/>
      <c r="Q986" s="764"/>
      <c r="R986" s="764"/>
      <c r="S986" s="764"/>
      <c r="T986" s="764"/>
      <c r="U986" s="764"/>
      <c r="V986" s="764"/>
      <c r="W986" s="764"/>
      <c r="X986" s="764"/>
      <c r="Y986" s="764"/>
      <c r="Z986" s="764"/>
      <c r="AA986" s="764"/>
      <c r="AB986" s="764"/>
      <c r="AC986" s="764"/>
      <c r="AD986" s="794"/>
      <c r="AE986" s="764"/>
      <c r="AF986" s="764"/>
      <c r="AG986" s="764"/>
      <c r="AH986" s="764"/>
      <c r="AI986" s="764"/>
      <c r="AJ986" s="764"/>
      <c r="AK986" s="764"/>
      <c r="AL986" s="764"/>
      <c r="AM986" s="764"/>
      <c r="AN986" s="764"/>
      <c r="AO986" s="764"/>
      <c r="AP986" s="764"/>
      <c r="AQ986" s="764"/>
      <c r="AR986" s="764"/>
      <c r="AS986" s="764"/>
    </row>
    <row r="987" spans="1:45" ht="13.9">
      <c r="A987" s="764"/>
      <c r="B987" s="764"/>
      <c r="C987" s="764"/>
      <c r="D987" s="764"/>
      <c r="E987" s="764"/>
      <c r="F987" s="764"/>
      <c r="G987" s="764"/>
      <c r="H987" s="764"/>
      <c r="I987" s="764"/>
      <c r="J987" s="764"/>
      <c r="K987" s="764"/>
      <c r="L987" s="764"/>
      <c r="M987" s="764"/>
      <c r="N987" s="773"/>
      <c r="O987" s="764"/>
      <c r="P987" s="764"/>
      <c r="Q987" s="764"/>
      <c r="R987" s="764"/>
      <c r="S987" s="764"/>
      <c r="T987" s="764"/>
      <c r="U987" s="764"/>
      <c r="V987" s="764"/>
      <c r="W987" s="764"/>
      <c r="X987" s="764"/>
      <c r="Y987" s="764"/>
      <c r="Z987" s="764"/>
      <c r="AA987" s="764"/>
      <c r="AB987" s="764"/>
      <c r="AC987" s="764"/>
      <c r="AD987" s="794"/>
      <c r="AE987" s="764"/>
      <c r="AF987" s="764"/>
      <c r="AG987" s="764"/>
      <c r="AH987" s="764"/>
      <c r="AI987" s="764"/>
      <c r="AJ987" s="764"/>
      <c r="AK987" s="764"/>
      <c r="AL987" s="764"/>
      <c r="AM987" s="764"/>
      <c r="AN987" s="764"/>
      <c r="AO987" s="764"/>
      <c r="AP987" s="764"/>
      <c r="AQ987" s="764"/>
      <c r="AR987" s="764"/>
      <c r="AS987" s="764"/>
    </row>
    <row r="988" spans="1:45" ht="13.9">
      <c r="A988" s="764"/>
      <c r="B988" s="764"/>
      <c r="C988" s="764"/>
      <c r="D988" s="764"/>
      <c r="E988" s="764"/>
      <c r="F988" s="764"/>
      <c r="G988" s="764"/>
      <c r="H988" s="764"/>
      <c r="I988" s="764"/>
      <c r="J988" s="764"/>
      <c r="K988" s="764"/>
      <c r="L988" s="764"/>
      <c r="M988" s="764"/>
      <c r="N988" s="773"/>
      <c r="O988" s="764"/>
      <c r="P988" s="764"/>
      <c r="Q988" s="764"/>
      <c r="R988" s="764"/>
      <c r="S988" s="764"/>
      <c r="T988" s="764"/>
      <c r="U988" s="764"/>
      <c r="V988" s="764"/>
      <c r="W988" s="764"/>
      <c r="X988" s="764"/>
      <c r="Y988" s="764"/>
      <c r="Z988" s="764"/>
      <c r="AA988" s="764"/>
      <c r="AB988" s="764"/>
      <c r="AC988" s="764"/>
      <c r="AD988" s="794"/>
      <c r="AE988" s="764"/>
      <c r="AF988" s="764"/>
      <c r="AG988" s="764"/>
      <c r="AH988" s="764"/>
      <c r="AI988" s="764"/>
      <c r="AJ988" s="764"/>
      <c r="AK988" s="764"/>
      <c r="AL988" s="764"/>
      <c r="AM988" s="764"/>
      <c r="AN988" s="764"/>
      <c r="AO988" s="764"/>
      <c r="AP988" s="764"/>
      <c r="AQ988" s="764"/>
      <c r="AR988" s="764"/>
      <c r="AS988" s="764"/>
    </row>
    <row r="989" spans="1:45" ht="13.9">
      <c r="A989" s="764"/>
      <c r="B989" s="764"/>
      <c r="C989" s="764"/>
      <c r="D989" s="764"/>
      <c r="E989" s="764"/>
      <c r="F989" s="764"/>
      <c r="G989" s="764"/>
      <c r="H989" s="764"/>
      <c r="I989" s="764"/>
      <c r="J989" s="764"/>
      <c r="K989" s="764"/>
      <c r="L989" s="764"/>
      <c r="M989" s="764"/>
      <c r="N989" s="773"/>
      <c r="O989" s="764"/>
      <c r="P989" s="764"/>
      <c r="Q989" s="764"/>
      <c r="R989" s="764"/>
      <c r="S989" s="764"/>
      <c r="T989" s="764"/>
      <c r="U989" s="764"/>
      <c r="V989" s="764"/>
      <c r="W989" s="764"/>
      <c r="X989" s="764"/>
      <c r="Y989" s="764"/>
      <c r="Z989" s="764"/>
      <c r="AA989" s="764"/>
      <c r="AB989" s="764"/>
      <c r="AC989" s="764"/>
      <c r="AD989" s="794"/>
      <c r="AE989" s="764"/>
      <c r="AF989" s="764"/>
      <c r="AG989" s="764"/>
      <c r="AH989" s="764"/>
      <c r="AI989" s="764"/>
      <c r="AJ989" s="764"/>
      <c r="AK989" s="764"/>
      <c r="AL989" s="764"/>
      <c r="AM989" s="764"/>
      <c r="AN989" s="764"/>
      <c r="AO989" s="764"/>
      <c r="AP989" s="764"/>
      <c r="AQ989" s="764"/>
      <c r="AR989" s="764"/>
      <c r="AS989" s="764"/>
    </row>
    <row r="990" spans="1:45" ht="13.9">
      <c r="A990" s="764"/>
      <c r="B990" s="764"/>
      <c r="C990" s="764"/>
      <c r="D990" s="764"/>
      <c r="E990" s="764"/>
      <c r="F990" s="764"/>
      <c r="G990" s="764"/>
      <c r="H990" s="764"/>
      <c r="I990" s="764"/>
      <c r="J990" s="764"/>
      <c r="K990" s="764"/>
      <c r="L990" s="764"/>
      <c r="M990" s="764"/>
      <c r="N990" s="773"/>
      <c r="O990" s="764"/>
      <c r="P990" s="764"/>
      <c r="Q990" s="764"/>
      <c r="R990" s="764"/>
      <c r="S990" s="764"/>
      <c r="T990" s="764"/>
      <c r="U990" s="764"/>
      <c r="V990" s="764"/>
      <c r="W990" s="764"/>
      <c r="X990" s="764"/>
      <c r="Y990" s="764"/>
      <c r="Z990" s="764"/>
      <c r="AA990" s="764"/>
      <c r="AB990" s="764"/>
      <c r="AC990" s="764"/>
      <c r="AD990" s="794"/>
      <c r="AE990" s="764"/>
      <c r="AF990" s="764"/>
      <c r="AG990" s="764"/>
      <c r="AH990" s="764"/>
      <c r="AI990" s="764"/>
      <c r="AJ990" s="764"/>
      <c r="AK990" s="764"/>
      <c r="AL990" s="764"/>
      <c r="AM990" s="764"/>
      <c r="AN990" s="764"/>
      <c r="AO990" s="764"/>
      <c r="AP990" s="764"/>
      <c r="AQ990" s="764"/>
      <c r="AR990" s="764"/>
      <c r="AS990" s="764"/>
    </row>
    <row r="991" spans="1:45" ht="13.9">
      <c r="A991" s="764"/>
      <c r="B991" s="764"/>
      <c r="C991" s="764"/>
      <c r="D991" s="764"/>
      <c r="E991" s="764"/>
      <c r="F991" s="764"/>
      <c r="G991" s="764"/>
      <c r="H991" s="764"/>
      <c r="I991" s="764"/>
      <c r="J991" s="764"/>
      <c r="K991" s="764"/>
      <c r="L991" s="764"/>
      <c r="M991" s="764"/>
      <c r="N991" s="773"/>
      <c r="O991" s="764"/>
      <c r="P991" s="764"/>
      <c r="Q991" s="764"/>
      <c r="R991" s="764"/>
      <c r="S991" s="764"/>
      <c r="T991" s="764"/>
      <c r="U991" s="764"/>
      <c r="V991" s="764"/>
      <c r="W991" s="764"/>
      <c r="X991" s="764"/>
      <c r="Y991" s="764"/>
      <c r="Z991" s="764"/>
      <c r="AA991" s="764"/>
      <c r="AB991" s="764"/>
      <c r="AC991" s="764"/>
      <c r="AD991" s="794"/>
      <c r="AE991" s="764"/>
      <c r="AF991" s="764"/>
      <c r="AG991" s="764"/>
      <c r="AH991" s="764"/>
      <c r="AI991" s="764"/>
      <c r="AJ991" s="764"/>
      <c r="AK991" s="764"/>
      <c r="AL991" s="764"/>
      <c r="AM991" s="764"/>
      <c r="AN991" s="764"/>
      <c r="AO991" s="764"/>
      <c r="AP991" s="764"/>
      <c r="AQ991" s="764"/>
      <c r="AR991" s="764"/>
      <c r="AS991" s="764"/>
    </row>
    <row r="992" spans="1:45" ht="13.9">
      <c r="A992" s="764"/>
      <c r="B992" s="764"/>
      <c r="C992" s="764"/>
      <c r="D992" s="764"/>
      <c r="E992" s="764"/>
      <c r="F992" s="764"/>
      <c r="G992" s="764"/>
      <c r="H992" s="764"/>
      <c r="I992" s="764"/>
      <c r="J992" s="764"/>
      <c r="K992" s="764"/>
      <c r="L992" s="764"/>
      <c r="M992" s="764"/>
      <c r="N992" s="773"/>
      <c r="O992" s="764"/>
      <c r="P992" s="764"/>
      <c r="Q992" s="764"/>
      <c r="R992" s="764"/>
      <c r="S992" s="764"/>
      <c r="T992" s="764"/>
      <c r="U992" s="764"/>
      <c r="V992" s="764"/>
      <c r="W992" s="764"/>
      <c r="X992" s="764"/>
      <c r="Y992" s="764"/>
      <c r="Z992" s="764"/>
      <c r="AA992" s="764"/>
      <c r="AB992" s="764"/>
      <c r="AC992" s="764"/>
      <c r="AD992" s="794"/>
      <c r="AE992" s="764"/>
      <c r="AF992" s="764"/>
      <c r="AG992" s="764"/>
      <c r="AH992" s="764"/>
      <c r="AI992" s="764"/>
      <c r="AJ992" s="764"/>
      <c r="AK992" s="764"/>
      <c r="AL992" s="764"/>
      <c r="AM992" s="764"/>
      <c r="AN992" s="764"/>
      <c r="AO992" s="764"/>
      <c r="AP992" s="764"/>
      <c r="AQ992" s="764"/>
      <c r="AR992" s="764"/>
      <c r="AS992" s="764"/>
    </row>
    <row r="993" spans="1:45" ht="13.9">
      <c r="A993" s="764"/>
      <c r="B993" s="764"/>
      <c r="C993" s="764"/>
      <c r="D993" s="764"/>
      <c r="E993" s="764"/>
      <c r="F993" s="764"/>
      <c r="G993" s="764"/>
      <c r="H993" s="764"/>
      <c r="I993" s="764"/>
      <c r="J993" s="764"/>
      <c r="K993" s="764"/>
      <c r="L993" s="764"/>
      <c r="M993" s="764"/>
      <c r="N993" s="773"/>
      <c r="O993" s="764"/>
      <c r="P993" s="764"/>
      <c r="Q993" s="764"/>
      <c r="R993" s="764"/>
      <c r="S993" s="764"/>
      <c r="T993" s="764"/>
      <c r="U993" s="764"/>
      <c r="V993" s="764"/>
      <c r="W993" s="764"/>
      <c r="X993" s="764"/>
      <c r="Y993" s="764"/>
      <c r="Z993" s="764"/>
      <c r="AA993" s="764"/>
      <c r="AB993" s="764"/>
      <c r="AC993" s="764"/>
      <c r="AD993" s="794"/>
      <c r="AE993" s="764"/>
      <c r="AF993" s="764"/>
      <c r="AG993" s="764"/>
      <c r="AH993" s="764"/>
      <c r="AI993" s="764"/>
      <c r="AJ993" s="764"/>
      <c r="AK993" s="764"/>
      <c r="AL993" s="764"/>
      <c r="AM993" s="764"/>
      <c r="AN993" s="764"/>
      <c r="AO993" s="764"/>
      <c r="AP993" s="764"/>
      <c r="AQ993" s="764"/>
      <c r="AR993" s="764"/>
      <c r="AS993" s="764"/>
    </row>
    <row r="994" spans="1:45" ht="13.9">
      <c r="A994" s="764"/>
      <c r="B994" s="764"/>
      <c r="C994" s="764"/>
      <c r="D994" s="764"/>
      <c r="E994" s="764"/>
      <c r="F994" s="764"/>
      <c r="G994" s="764"/>
      <c r="H994" s="764"/>
      <c r="I994" s="764"/>
      <c r="J994" s="764"/>
      <c r="K994" s="764"/>
      <c r="L994" s="764"/>
      <c r="M994" s="764"/>
      <c r="N994" s="773"/>
      <c r="O994" s="764"/>
      <c r="P994" s="764"/>
      <c r="Q994" s="764"/>
      <c r="R994" s="764"/>
      <c r="S994" s="764"/>
      <c r="T994" s="764"/>
      <c r="U994" s="764"/>
      <c r="V994" s="764"/>
      <c r="W994" s="764"/>
      <c r="X994" s="764"/>
      <c r="Y994" s="764"/>
      <c r="Z994" s="764"/>
      <c r="AA994" s="764"/>
      <c r="AB994" s="764"/>
      <c r="AC994" s="764"/>
      <c r="AD994" s="794"/>
      <c r="AE994" s="764"/>
      <c r="AF994" s="764"/>
      <c r="AG994" s="764"/>
      <c r="AH994" s="764"/>
      <c r="AI994" s="764"/>
      <c r="AJ994" s="764"/>
      <c r="AK994" s="764"/>
      <c r="AL994" s="764"/>
      <c r="AM994" s="764"/>
      <c r="AN994" s="764"/>
      <c r="AO994" s="764"/>
      <c r="AP994" s="764"/>
      <c r="AQ994" s="764"/>
      <c r="AR994" s="764"/>
      <c r="AS994" s="764"/>
    </row>
    <row r="995" spans="1:45" ht="13.9">
      <c r="A995" s="764"/>
      <c r="B995" s="764"/>
      <c r="C995" s="764"/>
      <c r="D995" s="764"/>
      <c r="E995" s="764"/>
      <c r="F995" s="764"/>
      <c r="G995" s="764"/>
      <c r="H995" s="764"/>
      <c r="I995" s="764"/>
      <c r="J995" s="764"/>
      <c r="K995" s="764"/>
      <c r="L995" s="764"/>
      <c r="M995" s="764"/>
      <c r="N995" s="773"/>
      <c r="O995" s="764"/>
      <c r="P995" s="764"/>
      <c r="Q995" s="764"/>
      <c r="R995" s="764"/>
      <c r="S995" s="764"/>
      <c r="T995" s="764"/>
      <c r="U995" s="764"/>
      <c r="V995" s="764"/>
      <c r="W995" s="764"/>
      <c r="X995" s="764"/>
      <c r="Y995" s="764"/>
      <c r="Z995" s="764"/>
      <c r="AA995" s="764"/>
      <c r="AB995" s="764"/>
      <c r="AC995" s="764"/>
      <c r="AD995" s="794"/>
      <c r="AE995" s="764"/>
      <c r="AF995" s="764"/>
      <c r="AG995" s="764"/>
      <c r="AH995" s="764"/>
      <c r="AI995" s="764"/>
      <c r="AJ995" s="764"/>
      <c r="AK995" s="764"/>
      <c r="AL995" s="764"/>
      <c r="AM995" s="764"/>
      <c r="AN995" s="764"/>
      <c r="AO995" s="764"/>
      <c r="AP995" s="764"/>
      <c r="AQ995" s="764"/>
      <c r="AR995" s="764"/>
      <c r="AS995" s="764"/>
    </row>
    <row r="996" spans="1:45" ht="13.9">
      <c r="A996" s="764"/>
      <c r="B996" s="764"/>
      <c r="C996" s="764"/>
      <c r="D996" s="764"/>
      <c r="E996" s="764"/>
      <c r="F996" s="764"/>
      <c r="G996" s="764"/>
      <c r="H996" s="764"/>
      <c r="I996" s="764"/>
      <c r="J996" s="764"/>
      <c r="K996" s="764"/>
      <c r="L996" s="764"/>
      <c r="M996" s="764"/>
      <c r="N996" s="773"/>
      <c r="O996" s="764"/>
      <c r="P996" s="764"/>
      <c r="Q996" s="764"/>
      <c r="R996" s="764"/>
      <c r="S996" s="764"/>
      <c r="T996" s="764"/>
      <c r="U996" s="764"/>
      <c r="V996" s="764"/>
      <c r="W996" s="764"/>
      <c r="X996" s="764"/>
      <c r="Y996" s="764"/>
      <c r="Z996" s="764"/>
      <c r="AA996" s="764"/>
      <c r="AB996" s="764"/>
      <c r="AC996" s="764"/>
      <c r="AD996" s="794"/>
      <c r="AE996" s="764"/>
      <c r="AF996" s="764"/>
      <c r="AG996" s="764"/>
      <c r="AH996" s="764"/>
      <c r="AI996" s="764"/>
      <c r="AJ996" s="764"/>
      <c r="AK996" s="764"/>
      <c r="AL996" s="764"/>
      <c r="AM996" s="764"/>
      <c r="AN996" s="764"/>
      <c r="AO996" s="764"/>
      <c r="AP996" s="764"/>
      <c r="AQ996" s="764"/>
      <c r="AR996" s="764"/>
      <c r="AS996" s="764"/>
    </row>
    <row r="997" spans="1:45" ht="13.9">
      <c r="A997" s="764"/>
      <c r="B997" s="764"/>
      <c r="C997" s="764"/>
      <c r="D997" s="764"/>
      <c r="E997" s="764"/>
      <c r="F997" s="764"/>
      <c r="G997" s="764"/>
      <c r="H997" s="764"/>
      <c r="I997" s="764"/>
      <c r="J997" s="764"/>
      <c r="K997" s="764"/>
      <c r="L997" s="764"/>
      <c r="M997" s="764"/>
      <c r="N997" s="773"/>
      <c r="O997" s="764"/>
      <c r="P997" s="764"/>
      <c r="Q997" s="764"/>
      <c r="R997" s="764"/>
      <c r="S997" s="764"/>
      <c r="T997" s="764"/>
      <c r="U997" s="764"/>
      <c r="V997" s="764"/>
      <c r="W997" s="764"/>
      <c r="X997" s="764"/>
      <c r="Y997" s="764"/>
      <c r="Z997" s="764"/>
      <c r="AA997" s="764"/>
      <c r="AB997" s="764"/>
      <c r="AC997" s="764"/>
      <c r="AD997" s="794"/>
      <c r="AE997" s="764"/>
      <c r="AF997" s="764"/>
      <c r="AG997" s="764"/>
      <c r="AH997" s="764"/>
      <c r="AI997" s="764"/>
      <c r="AJ997" s="764"/>
      <c r="AK997" s="764"/>
      <c r="AL997" s="764"/>
      <c r="AM997" s="764"/>
      <c r="AN997" s="764"/>
      <c r="AO997" s="764"/>
      <c r="AP997" s="764"/>
      <c r="AQ997" s="764"/>
      <c r="AR997" s="764"/>
      <c r="AS997" s="764"/>
    </row>
    <row r="998" spans="1:45" ht="13.9">
      <c r="A998" s="764"/>
      <c r="B998" s="764"/>
      <c r="C998" s="764"/>
      <c r="D998" s="764"/>
      <c r="E998" s="764"/>
      <c r="F998" s="764"/>
      <c r="G998" s="764"/>
      <c r="H998" s="764"/>
      <c r="I998" s="764"/>
      <c r="J998" s="764"/>
      <c r="K998" s="764"/>
      <c r="L998" s="764"/>
      <c r="M998" s="764"/>
      <c r="N998" s="773"/>
      <c r="O998" s="764"/>
      <c r="P998" s="764"/>
      <c r="Q998" s="764"/>
      <c r="R998" s="764"/>
      <c r="S998" s="764"/>
      <c r="T998" s="764"/>
      <c r="U998" s="764"/>
      <c r="V998" s="764"/>
      <c r="W998" s="764"/>
      <c r="X998" s="764"/>
      <c r="Y998" s="764"/>
      <c r="Z998" s="764"/>
      <c r="AA998" s="764"/>
      <c r="AB998" s="764"/>
      <c r="AC998" s="764"/>
      <c r="AD998" s="794"/>
      <c r="AE998" s="764"/>
      <c r="AF998" s="764"/>
      <c r="AG998" s="764"/>
      <c r="AH998" s="764"/>
      <c r="AI998" s="764"/>
      <c r="AJ998" s="764"/>
      <c r="AK998" s="764"/>
      <c r="AL998" s="764"/>
      <c r="AM998" s="764"/>
      <c r="AN998" s="764"/>
      <c r="AO998" s="764"/>
      <c r="AP998" s="764"/>
      <c r="AQ998" s="764"/>
      <c r="AR998" s="764"/>
      <c r="AS998" s="764"/>
    </row>
    <row r="999" spans="1:45" ht="13.9">
      <c r="A999" s="764"/>
      <c r="B999" s="764"/>
      <c r="C999" s="764"/>
      <c r="D999" s="764"/>
      <c r="E999" s="764"/>
      <c r="F999" s="764"/>
      <c r="G999" s="764"/>
      <c r="H999" s="764"/>
      <c r="I999" s="764"/>
      <c r="J999" s="764"/>
      <c r="K999" s="764"/>
      <c r="L999" s="764"/>
      <c r="M999" s="764"/>
      <c r="N999" s="773"/>
      <c r="O999" s="764"/>
      <c r="P999" s="764"/>
      <c r="Q999" s="764"/>
      <c r="R999" s="764"/>
      <c r="S999" s="764"/>
      <c r="T999" s="764"/>
      <c r="U999" s="764"/>
      <c r="V999" s="764"/>
      <c r="W999" s="764"/>
      <c r="X999" s="764"/>
      <c r="Y999" s="764"/>
      <c r="Z999" s="764"/>
      <c r="AA999" s="764"/>
      <c r="AB999" s="764"/>
      <c r="AC999" s="764"/>
      <c r="AD999" s="794"/>
      <c r="AE999" s="764"/>
      <c r="AF999" s="764"/>
      <c r="AG999" s="764"/>
      <c r="AH999" s="764"/>
      <c r="AI999" s="764"/>
      <c r="AJ999" s="764"/>
      <c r="AK999" s="764"/>
      <c r="AL999" s="764"/>
      <c r="AM999" s="764"/>
      <c r="AN999" s="764"/>
      <c r="AO999" s="764"/>
      <c r="AP999" s="764"/>
      <c r="AQ999" s="764"/>
      <c r="AR999" s="764"/>
      <c r="AS999" s="764"/>
    </row>
    <row r="1000" spans="1:45" ht="13.9">
      <c r="A1000" s="764"/>
      <c r="B1000" s="764"/>
      <c r="C1000" s="764"/>
      <c r="D1000" s="764"/>
      <c r="E1000" s="764"/>
      <c r="F1000" s="764"/>
      <c r="G1000" s="764"/>
      <c r="H1000" s="764"/>
      <c r="I1000" s="764"/>
      <c r="J1000" s="764"/>
      <c r="K1000" s="764"/>
      <c r="L1000" s="764"/>
      <c r="M1000" s="764"/>
      <c r="N1000" s="773"/>
      <c r="O1000" s="764"/>
      <c r="P1000" s="764"/>
      <c r="Q1000" s="764"/>
      <c r="R1000" s="764"/>
      <c r="S1000" s="764"/>
      <c r="T1000" s="764"/>
      <c r="U1000" s="764"/>
      <c r="V1000" s="764"/>
      <c r="W1000" s="764"/>
      <c r="X1000" s="764"/>
      <c r="Y1000" s="764"/>
      <c r="Z1000" s="764"/>
      <c r="AA1000" s="764"/>
      <c r="AB1000" s="764"/>
      <c r="AC1000" s="764"/>
      <c r="AD1000" s="794"/>
      <c r="AE1000" s="764"/>
      <c r="AF1000" s="764"/>
      <c r="AG1000" s="764"/>
      <c r="AH1000" s="764"/>
      <c r="AI1000" s="764"/>
      <c r="AJ1000" s="764"/>
      <c r="AK1000" s="764"/>
      <c r="AL1000" s="764"/>
      <c r="AM1000" s="764"/>
      <c r="AN1000" s="764"/>
      <c r="AO1000" s="764"/>
      <c r="AP1000" s="764"/>
      <c r="AQ1000" s="764"/>
      <c r="AR1000" s="764"/>
      <c r="AS1000" s="764"/>
    </row>
    <row r="1001" spans="1:45" ht="13.9">
      <c r="A1001" s="764"/>
      <c r="B1001" s="764"/>
      <c r="C1001" s="764"/>
      <c r="D1001" s="764"/>
      <c r="E1001" s="764"/>
      <c r="F1001" s="764"/>
      <c r="G1001" s="764"/>
      <c r="H1001" s="764"/>
      <c r="I1001" s="764"/>
      <c r="J1001" s="764"/>
      <c r="K1001" s="764"/>
      <c r="L1001" s="764"/>
      <c r="M1001" s="764"/>
      <c r="N1001" s="773"/>
      <c r="O1001" s="764"/>
      <c r="P1001" s="764"/>
      <c r="Q1001" s="764"/>
      <c r="R1001" s="764"/>
      <c r="S1001" s="764"/>
      <c r="T1001" s="764"/>
      <c r="U1001" s="764"/>
      <c r="V1001" s="764"/>
      <c r="W1001" s="764"/>
      <c r="X1001" s="764"/>
      <c r="Y1001" s="764"/>
      <c r="Z1001" s="764"/>
      <c r="AA1001" s="764"/>
      <c r="AB1001" s="764"/>
      <c r="AC1001" s="764"/>
      <c r="AD1001" s="794"/>
      <c r="AE1001" s="764"/>
      <c r="AF1001" s="764"/>
      <c r="AG1001" s="764"/>
      <c r="AH1001" s="764"/>
      <c r="AI1001" s="764"/>
      <c r="AJ1001" s="764"/>
      <c r="AK1001" s="764"/>
      <c r="AL1001" s="764"/>
      <c r="AM1001" s="764"/>
      <c r="AN1001" s="764"/>
      <c r="AO1001" s="764"/>
      <c r="AP1001" s="764"/>
      <c r="AQ1001" s="764"/>
      <c r="AR1001" s="764"/>
      <c r="AS1001" s="764"/>
    </row>
    <row r="1002" spans="1:45" ht="13.9">
      <c r="A1002" s="764"/>
      <c r="B1002" s="764"/>
      <c r="C1002" s="764"/>
      <c r="D1002" s="764"/>
      <c r="E1002" s="764"/>
      <c r="F1002" s="764"/>
      <c r="G1002" s="764"/>
      <c r="H1002" s="764"/>
      <c r="I1002" s="764"/>
      <c r="J1002" s="764"/>
      <c r="K1002" s="764"/>
      <c r="L1002" s="764"/>
      <c r="M1002" s="764"/>
      <c r="N1002" s="773"/>
      <c r="O1002" s="764"/>
      <c r="P1002" s="764"/>
      <c r="Q1002" s="764"/>
      <c r="R1002" s="764"/>
      <c r="S1002" s="764"/>
      <c r="T1002" s="764"/>
      <c r="U1002" s="764"/>
      <c r="V1002" s="764"/>
      <c r="W1002" s="764"/>
      <c r="X1002" s="764"/>
      <c r="Y1002" s="764"/>
      <c r="Z1002" s="764"/>
      <c r="AA1002" s="764"/>
      <c r="AB1002" s="764"/>
      <c r="AC1002" s="764"/>
      <c r="AD1002" s="794"/>
      <c r="AE1002" s="764"/>
      <c r="AF1002" s="764"/>
      <c r="AG1002" s="764"/>
      <c r="AH1002" s="764"/>
      <c r="AI1002" s="764"/>
      <c r="AJ1002" s="764"/>
      <c r="AK1002" s="764"/>
      <c r="AL1002" s="764"/>
      <c r="AM1002" s="764"/>
      <c r="AN1002" s="764"/>
      <c r="AO1002" s="764"/>
      <c r="AP1002" s="764"/>
      <c r="AQ1002" s="764"/>
      <c r="AR1002" s="764"/>
      <c r="AS1002" s="764"/>
    </row>
    <row r="1003" spans="1:45" ht="13.9">
      <c r="A1003" s="764"/>
      <c r="B1003" s="764"/>
      <c r="C1003" s="764"/>
      <c r="D1003" s="764"/>
      <c r="E1003" s="764"/>
      <c r="F1003" s="764"/>
      <c r="G1003" s="764"/>
      <c r="H1003" s="764"/>
      <c r="I1003" s="764"/>
      <c r="J1003" s="764"/>
      <c r="K1003" s="764"/>
      <c r="L1003" s="764"/>
      <c r="M1003" s="764"/>
      <c r="N1003" s="773"/>
      <c r="O1003" s="764"/>
      <c r="P1003" s="764"/>
      <c r="Q1003" s="764"/>
      <c r="R1003" s="764"/>
      <c r="S1003" s="764"/>
      <c r="T1003" s="764"/>
      <c r="U1003" s="764"/>
      <c r="V1003" s="764"/>
      <c r="W1003" s="764"/>
      <c r="X1003" s="764"/>
      <c r="Y1003" s="764"/>
      <c r="Z1003" s="764"/>
      <c r="AA1003" s="764"/>
      <c r="AB1003" s="764"/>
      <c r="AC1003" s="764"/>
      <c r="AD1003" s="794"/>
      <c r="AE1003" s="764"/>
      <c r="AF1003" s="764"/>
      <c r="AG1003" s="764"/>
      <c r="AH1003" s="764"/>
      <c r="AI1003" s="764"/>
      <c r="AJ1003" s="764"/>
      <c r="AK1003" s="764"/>
      <c r="AL1003" s="764"/>
      <c r="AM1003" s="764"/>
      <c r="AN1003" s="764"/>
      <c r="AO1003" s="764"/>
      <c r="AP1003" s="764"/>
      <c r="AQ1003" s="764"/>
      <c r="AR1003" s="764"/>
      <c r="AS1003" s="764"/>
    </row>
    <row r="1004" spans="1:45" ht="15.75" customHeight="1">
      <c r="AD1004" s="794"/>
    </row>
    <row r="1005" spans="1:45" ht="15.75" customHeight="1">
      <c r="AD1005" s="794"/>
    </row>
    <row r="1006" spans="1:45" ht="15.75" customHeight="1">
      <c r="AD1006" s="794"/>
    </row>
    <row r="1007" spans="1:45" ht="15.75" customHeight="1">
      <c r="AD1007" s="794"/>
    </row>
    <row r="1008" spans="1:45" ht="15.75" customHeight="1">
      <c r="AD1008" s="794"/>
    </row>
    <row r="1009" spans="15:30" ht="15.75" customHeight="1">
      <c r="AD1009" s="794"/>
    </row>
    <row r="1010" spans="15:30" ht="15.75" customHeight="1">
      <c r="AD1010" s="794"/>
    </row>
    <row r="1011" spans="15:30" ht="15.75" customHeight="1">
      <c r="AD1011" s="794"/>
    </row>
    <row r="1012" spans="15:30" ht="15.75" customHeight="1">
      <c r="AD1012" s="794"/>
    </row>
    <row r="1013" spans="15:30" ht="15.75" customHeight="1">
      <c r="AD1013" s="794"/>
    </row>
    <row r="1014" spans="15:30" ht="15.75" customHeight="1">
      <c r="AD1014" s="794"/>
    </row>
    <row r="1015" spans="15:30" ht="15.75" customHeight="1">
      <c r="AD1015" s="794"/>
    </row>
    <row r="1016" spans="15:30" ht="15.75" customHeight="1">
      <c r="AD1016" s="794"/>
    </row>
    <row r="1017" spans="15:30" ht="15.75" customHeight="1">
      <c r="AD1017" s="794"/>
    </row>
    <row r="1018" spans="15:30" ht="15.75" customHeight="1">
      <c r="AD1018" s="794"/>
    </row>
    <row r="1019" spans="15:30" ht="15.75" customHeight="1">
      <c r="O1019" s="756" t="s">
        <v>9332</v>
      </c>
      <c r="AD1019" s="794"/>
    </row>
    <row r="1020" spans="15:30" ht="15.75" customHeight="1">
      <c r="AD1020" s="794"/>
    </row>
    <row r="1021" spans="15:30" ht="15.75" customHeight="1">
      <c r="AD1021" s="794"/>
    </row>
    <row r="1022" spans="15:30" ht="15.75" customHeight="1">
      <c r="AD1022" s="794"/>
    </row>
    <row r="1023" spans="15:30" ht="15.75" customHeight="1">
      <c r="AD1023" s="794"/>
    </row>
    <row r="1024" spans="15:30" ht="15.75" customHeight="1">
      <c r="AD1024" s="794"/>
    </row>
    <row r="1025" spans="30:30" ht="15.75" customHeight="1">
      <c r="AD1025" s="794"/>
    </row>
    <row r="1026" spans="30:30" ht="15.75" customHeight="1">
      <c r="AD1026" s="794"/>
    </row>
    <row r="1027" spans="30:30" ht="15.75" customHeight="1">
      <c r="AD1027" s="794"/>
    </row>
    <row r="1028" spans="30:30" ht="15.75" customHeight="1">
      <c r="AD1028" s="794"/>
    </row>
    <row r="1029" spans="30:30" ht="15.75" customHeight="1">
      <c r="AD1029" s="794"/>
    </row>
    <row r="1030" spans="30:30" ht="15.75" customHeight="1">
      <c r="AD1030" s="794"/>
    </row>
    <row r="1031" spans="30:30" ht="15.75" customHeight="1">
      <c r="AD1031" s="794"/>
    </row>
    <row r="1032" spans="30:30" ht="15.75" customHeight="1">
      <c r="AD1032" s="794"/>
    </row>
    <row r="1033" spans="30:30" ht="15.75" customHeight="1">
      <c r="AD1033" s="794"/>
    </row>
    <row r="1034" spans="30:30" ht="15.75" customHeight="1">
      <c r="AD1034" s="794"/>
    </row>
    <row r="1035" spans="30:30" ht="15.75" customHeight="1">
      <c r="AD1035" s="794"/>
    </row>
    <row r="1036" spans="30:30" ht="15.75" customHeight="1">
      <c r="AD1036" s="794"/>
    </row>
    <row r="1037" spans="30:30" ht="15.75" customHeight="1">
      <c r="AD1037" s="794"/>
    </row>
    <row r="1038" spans="30:30" ht="15.75" customHeight="1">
      <c r="AD1038" s="794"/>
    </row>
    <row r="1039" spans="30:30" ht="15.75" customHeight="1">
      <c r="AD1039" s="794"/>
    </row>
    <row r="1040" spans="30:30" ht="15.75" customHeight="1">
      <c r="AD1040" s="794"/>
    </row>
    <row r="1041" spans="30:30" ht="15.75" customHeight="1">
      <c r="AD1041" s="794"/>
    </row>
    <row r="1042" spans="30:30" ht="15.75" customHeight="1">
      <c r="AD1042" s="794"/>
    </row>
    <row r="1043" spans="30:30" ht="15.75" customHeight="1">
      <c r="AD1043" s="794"/>
    </row>
    <row r="1044" spans="30:30" ht="15.75" customHeight="1">
      <c r="AD1044" s="794"/>
    </row>
    <row r="1045" spans="30:30" ht="15.75" customHeight="1">
      <c r="AD1045" s="794"/>
    </row>
    <row r="1046" spans="30:30" ht="15.75" customHeight="1">
      <c r="AD1046" s="794"/>
    </row>
    <row r="1047" spans="30:30" ht="15.75" customHeight="1">
      <c r="AD1047" s="794"/>
    </row>
    <row r="1048" spans="30:30" ht="15.75" customHeight="1">
      <c r="AD1048" s="794"/>
    </row>
    <row r="1049" spans="30:30" ht="15.75" customHeight="1">
      <c r="AD1049" s="794"/>
    </row>
    <row r="1050" spans="30:30" ht="15.75" customHeight="1">
      <c r="AD1050" s="794"/>
    </row>
    <row r="1051" spans="30:30" ht="15.75" customHeight="1">
      <c r="AD1051" s="794"/>
    </row>
    <row r="1052" spans="30:30" ht="15.75" customHeight="1">
      <c r="AD1052" s="794"/>
    </row>
    <row r="1053" spans="30:30" ht="15.75" customHeight="1">
      <c r="AD1053" s="794"/>
    </row>
    <row r="1054" spans="30:30" ht="15.75" customHeight="1">
      <c r="AD1054" s="794"/>
    </row>
    <row r="1055" spans="30:30" ht="15.75" customHeight="1">
      <c r="AD1055" s="794"/>
    </row>
    <row r="1056" spans="30:30" ht="15.75" customHeight="1">
      <c r="AD1056" s="794"/>
    </row>
    <row r="1057" spans="30:30" ht="15.75" customHeight="1">
      <c r="AD1057" s="794"/>
    </row>
    <row r="1058" spans="30:30" ht="15.75" customHeight="1">
      <c r="AD1058" s="794"/>
    </row>
    <row r="1059" spans="30:30" ht="15.75" customHeight="1">
      <c r="AD1059" s="794"/>
    </row>
    <row r="1060" spans="30:30" ht="15.75" customHeight="1">
      <c r="AD1060" s="794"/>
    </row>
    <row r="1061" spans="30:30" ht="15.75" customHeight="1">
      <c r="AD1061" s="794"/>
    </row>
    <row r="1062" spans="30:30" ht="15.75" customHeight="1">
      <c r="AD1062" s="794"/>
    </row>
    <row r="1063" spans="30:30" ht="15.75" customHeight="1">
      <c r="AD1063" s="794"/>
    </row>
    <row r="1064" spans="30:30" ht="15.75" customHeight="1">
      <c r="AD1064" s="794"/>
    </row>
    <row r="1065" spans="30:30" ht="15.75" customHeight="1">
      <c r="AD1065" s="794"/>
    </row>
    <row r="1066" spans="30:30" ht="15.75" customHeight="1">
      <c r="AD1066" s="794"/>
    </row>
    <row r="1067" spans="30:30" ht="15.75" customHeight="1">
      <c r="AD1067" s="794"/>
    </row>
    <row r="1068" spans="30:30" ht="15.75" customHeight="1">
      <c r="AD1068" s="794"/>
    </row>
    <row r="1069" spans="30:30" ht="15.75" customHeight="1">
      <c r="AD1069" s="794"/>
    </row>
    <row r="1070" spans="30:30" ht="15.75" customHeight="1">
      <c r="AD1070" s="794"/>
    </row>
    <row r="1071" spans="30:30" ht="15.75" customHeight="1">
      <c r="AD1071" s="794"/>
    </row>
    <row r="1072" spans="30:30" ht="15.75" customHeight="1">
      <c r="AD1072" s="794"/>
    </row>
    <row r="1073" spans="30:30" ht="15.75" customHeight="1">
      <c r="AD1073" s="794"/>
    </row>
    <row r="1074" spans="30:30" ht="15.75" customHeight="1">
      <c r="AD1074" s="794"/>
    </row>
    <row r="1075" spans="30:30" ht="15.75" customHeight="1">
      <c r="AD1075" s="794"/>
    </row>
    <row r="1076" spans="30:30" ht="15.75" customHeight="1">
      <c r="AD1076" s="794"/>
    </row>
    <row r="1077" spans="30:30" ht="15.75" customHeight="1">
      <c r="AD1077" s="794"/>
    </row>
    <row r="1078" spans="30:30" ht="15.75" customHeight="1">
      <c r="AD1078" s="794"/>
    </row>
    <row r="1079" spans="30:30" ht="15.75" customHeight="1">
      <c r="AD1079" s="794"/>
    </row>
    <row r="1080" spans="30:30" ht="15.75" customHeight="1">
      <c r="AD1080" s="794"/>
    </row>
    <row r="1081" spans="30:30" ht="15.75" customHeight="1">
      <c r="AD1081" s="794"/>
    </row>
    <row r="1082" spans="30:30" ht="15.75" customHeight="1">
      <c r="AD1082" s="794"/>
    </row>
    <row r="1083" spans="30:30" ht="15.75" customHeight="1">
      <c r="AD1083" s="794"/>
    </row>
    <row r="1084" spans="30:30" ht="15.75" customHeight="1">
      <c r="AD1084" s="794"/>
    </row>
    <row r="1085" spans="30:30" ht="15.75" customHeight="1">
      <c r="AD1085" s="794"/>
    </row>
    <row r="1086" spans="30:30" ht="15.75" customHeight="1">
      <c r="AD1086" s="794"/>
    </row>
    <row r="1087" spans="30:30" ht="15.75" customHeight="1">
      <c r="AD1087" s="794"/>
    </row>
    <row r="1088" spans="30:30" ht="15.75" customHeight="1">
      <c r="AD1088" s="794"/>
    </row>
    <row r="1089" spans="30:30" ht="15.75" customHeight="1">
      <c r="AD1089" s="794"/>
    </row>
    <row r="1090" spans="30:30" ht="15.75" customHeight="1">
      <c r="AD1090" s="794"/>
    </row>
    <row r="1091" spans="30:30" ht="15.75" customHeight="1">
      <c r="AD1091" s="794"/>
    </row>
    <row r="1092" spans="30:30" ht="15.75" customHeight="1">
      <c r="AD1092" s="794"/>
    </row>
    <row r="1093" spans="30:30" ht="15.75" customHeight="1">
      <c r="AD1093" s="794"/>
    </row>
    <row r="1094" spans="30:30" ht="15.75" customHeight="1">
      <c r="AD1094" s="794"/>
    </row>
    <row r="1095" spans="30:30" ht="15.75" customHeight="1">
      <c r="AD1095" s="794"/>
    </row>
    <row r="1096" spans="30:30" ht="15.75" customHeight="1">
      <c r="AD1096" s="794"/>
    </row>
    <row r="1097" spans="30:30" ht="15.75" customHeight="1">
      <c r="AD1097" s="794"/>
    </row>
    <row r="1098" spans="30:30" ht="15.75" customHeight="1">
      <c r="AD1098" s="794"/>
    </row>
    <row r="1099" spans="30:30" ht="15.75" customHeight="1">
      <c r="AD1099" s="794"/>
    </row>
    <row r="1100" spans="30:30" ht="15.75" customHeight="1">
      <c r="AD1100" s="794"/>
    </row>
    <row r="1101" spans="30:30" ht="15.75" customHeight="1">
      <c r="AD1101" s="794"/>
    </row>
    <row r="1102" spans="30:30" ht="15.75" customHeight="1">
      <c r="AD1102" s="794"/>
    </row>
    <row r="1103" spans="30:30" ht="15.75" customHeight="1">
      <c r="AD1103" s="794"/>
    </row>
    <row r="1104" spans="30:30" ht="15.75" customHeight="1">
      <c r="AD1104" s="794"/>
    </row>
    <row r="1105" spans="30:30" ht="15.75" customHeight="1">
      <c r="AD1105" s="794"/>
    </row>
    <row r="1106" spans="30:30" ht="15.75" customHeight="1">
      <c r="AD1106" s="794"/>
    </row>
    <row r="1107" spans="30:30" ht="15.75" customHeight="1">
      <c r="AD1107" s="794"/>
    </row>
    <row r="1108" spans="30:30" ht="15.75" customHeight="1">
      <c r="AD1108" s="794"/>
    </row>
    <row r="1109" spans="30:30" ht="15.75" customHeight="1">
      <c r="AD1109" s="794"/>
    </row>
    <row r="1110" spans="30:30" ht="15.75" customHeight="1">
      <c r="AD1110" s="794"/>
    </row>
    <row r="1111" spans="30:30" ht="15.75" customHeight="1">
      <c r="AD1111" s="794"/>
    </row>
    <row r="1112" spans="30:30" ht="15.75" customHeight="1">
      <c r="AD1112" s="794"/>
    </row>
    <row r="1113" spans="30:30" ht="15.75" customHeight="1">
      <c r="AD1113" s="794"/>
    </row>
    <row r="1114" spans="30:30" ht="15.75" customHeight="1">
      <c r="AD1114" s="794"/>
    </row>
    <row r="1115" spans="30:30" ht="15.75" customHeight="1">
      <c r="AD1115" s="794"/>
    </row>
    <row r="1116" spans="30:30" ht="15.75" customHeight="1">
      <c r="AD1116" s="794"/>
    </row>
    <row r="1117" spans="30:30" ht="15.75" customHeight="1">
      <c r="AD1117" s="794"/>
    </row>
    <row r="1118" spans="30:30" ht="15.75" customHeight="1">
      <c r="AD1118" s="794"/>
    </row>
    <row r="1119" spans="30:30" ht="15.75" customHeight="1">
      <c r="AD1119" s="794"/>
    </row>
    <row r="1120" spans="30:30" ht="15.75" customHeight="1">
      <c r="AD1120" s="794"/>
    </row>
    <row r="1121" spans="30:30" ht="15.75" customHeight="1">
      <c r="AD1121" s="794"/>
    </row>
    <row r="1122" spans="30:30" ht="15.75" customHeight="1">
      <c r="AD1122" s="794"/>
    </row>
    <row r="1123" spans="30:30" ht="15.75" customHeight="1">
      <c r="AD1123" s="794"/>
    </row>
    <row r="1124" spans="30:30" ht="15.75" customHeight="1">
      <c r="AD1124" s="794"/>
    </row>
    <row r="1125" spans="30:30" ht="15.75" customHeight="1">
      <c r="AD1125" s="794"/>
    </row>
    <row r="1126" spans="30:30" ht="15.75" customHeight="1">
      <c r="AD1126" s="794"/>
    </row>
    <row r="1127" spans="30:30" ht="15.75" customHeight="1">
      <c r="AD1127" s="794"/>
    </row>
    <row r="1128" spans="30:30" ht="15.75" customHeight="1">
      <c r="AD1128" s="794"/>
    </row>
    <row r="1129" spans="30:30" ht="15.75" customHeight="1">
      <c r="AD1129" s="794"/>
    </row>
    <row r="1130" spans="30:30" ht="15.75" customHeight="1">
      <c r="AD1130" s="794"/>
    </row>
    <row r="1131" spans="30:30" ht="15.75" customHeight="1">
      <c r="AD1131" s="794"/>
    </row>
    <row r="1132" spans="30:30" ht="15.75" customHeight="1">
      <c r="AD1132" s="794"/>
    </row>
    <row r="1133" spans="30:30" ht="15.75" customHeight="1">
      <c r="AD1133" s="794"/>
    </row>
    <row r="1134" spans="30:30" ht="15.75" customHeight="1">
      <c r="AD1134" s="794"/>
    </row>
    <row r="1135" spans="30:30" ht="15.75" customHeight="1">
      <c r="AD1135" s="794"/>
    </row>
    <row r="1136" spans="30:30" ht="15.75" customHeight="1">
      <c r="AD1136" s="794"/>
    </row>
    <row r="1137" spans="30:30" ht="15.75" customHeight="1">
      <c r="AD1137" s="794"/>
    </row>
    <row r="1138" spans="30:30" ht="15.75" customHeight="1">
      <c r="AD1138" s="794"/>
    </row>
    <row r="1139" spans="30:30" ht="15.75" customHeight="1">
      <c r="AD1139" s="794"/>
    </row>
    <row r="1140" spans="30:30" ht="15.75" customHeight="1">
      <c r="AD1140" s="794"/>
    </row>
    <row r="1141" spans="30:30" ht="15.75" customHeight="1">
      <c r="AD1141" s="794"/>
    </row>
    <row r="1142" spans="30:30" ht="15.75" customHeight="1">
      <c r="AD1142" s="794"/>
    </row>
    <row r="1143" spans="30:30" ht="15.75" customHeight="1">
      <c r="AD1143" s="794"/>
    </row>
    <row r="1144" spans="30:30" ht="15.75" customHeight="1">
      <c r="AD1144" s="794"/>
    </row>
    <row r="1145" spans="30:30" ht="15.75" customHeight="1">
      <c r="AD1145" s="794"/>
    </row>
    <row r="1146" spans="30:30" ht="15.75" customHeight="1">
      <c r="AD1146" s="794"/>
    </row>
    <row r="1147" spans="30:30" ht="15.75" customHeight="1">
      <c r="AD1147" s="794"/>
    </row>
    <row r="1148" spans="30:30" ht="15.75" customHeight="1">
      <c r="AD1148" s="794"/>
    </row>
    <row r="1149" spans="30:30" ht="15.75" customHeight="1">
      <c r="AD1149" s="794"/>
    </row>
    <row r="1150" spans="30:30" ht="15.75" customHeight="1">
      <c r="AD1150" s="794"/>
    </row>
    <row r="1151" spans="30:30" ht="15.75" customHeight="1">
      <c r="AD1151" s="794"/>
    </row>
    <row r="1152" spans="30:30" ht="15.75" customHeight="1">
      <c r="AD1152" s="794"/>
    </row>
    <row r="1153" spans="30:30" ht="15.75" customHeight="1">
      <c r="AD1153" s="794"/>
    </row>
    <row r="1154" spans="30:30" ht="15.75" customHeight="1">
      <c r="AD1154" s="794"/>
    </row>
    <row r="1155" spans="30:30" ht="15.75" customHeight="1">
      <c r="AD1155" s="794"/>
    </row>
    <row r="1156" spans="30:30" ht="15.75" customHeight="1">
      <c r="AD1156" s="794"/>
    </row>
    <row r="1157" spans="30:30" ht="15.75" customHeight="1">
      <c r="AD1157" s="794"/>
    </row>
    <row r="1158" spans="30:30" ht="15.75" customHeight="1">
      <c r="AD1158" s="794"/>
    </row>
    <row r="1159" spans="30:30" ht="15.75" customHeight="1">
      <c r="AD1159" s="794"/>
    </row>
    <row r="1160" spans="30:30" ht="15.75" customHeight="1">
      <c r="AD1160" s="794"/>
    </row>
    <row r="1161" spans="30:30" ht="15.75" customHeight="1">
      <c r="AD1161" s="794"/>
    </row>
    <row r="1162" spans="30:30" ht="15.75" customHeight="1">
      <c r="AD1162" s="794"/>
    </row>
    <row r="1163" spans="30:30" ht="15.75" customHeight="1">
      <c r="AD1163" s="794"/>
    </row>
    <row r="1164" spans="30:30" ht="15.75" customHeight="1">
      <c r="AD1164" s="794"/>
    </row>
    <row r="1165" spans="30:30" ht="15.75" customHeight="1">
      <c r="AD1165" s="794"/>
    </row>
    <row r="1166" spans="30:30" ht="15.75" customHeight="1">
      <c r="AD1166" s="794"/>
    </row>
    <row r="1167" spans="30:30" ht="15.75" customHeight="1">
      <c r="AD1167" s="794"/>
    </row>
    <row r="1168" spans="30:30" ht="15.75" customHeight="1">
      <c r="AD1168" s="794"/>
    </row>
    <row r="1169" spans="30:30" ht="15.75" customHeight="1">
      <c r="AD1169" s="794"/>
    </row>
    <row r="1170" spans="30:30" ht="15.75" customHeight="1">
      <c r="AD1170" s="794"/>
    </row>
    <row r="1171" spans="30:30" ht="15.75" customHeight="1">
      <c r="AD1171" s="794"/>
    </row>
    <row r="1172" spans="30:30" ht="15.75" customHeight="1">
      <c r="AD1172" s="794"/>
    </row>
    <row r="1173" spans="30:30" ht="15.75" customHeight="1">
      <c r="AD1173" s="794"/>
    </row>
    <row r="1174" spans="30:30" ht="15.75" customHeight="1">
      <c r="AD1174" s="794"/>
    </row>
    <row r="1175" spans="30:30" ht="15.75" customHeight="1">
      <c r="AD1175" s="794"/>
    </row>
    <row r="1176" spans="30:30" ht="15.75" customHeight="1">
      <c r="AD1176" s="794"/>
    </row>
    <row r="1177" spans="30:30" ht="15.75" customHeight="1">
      <c r="AD1177" s="794"/>
    </row>
    <row r="1178" spans="30:30" ht="15.75" customHeight="1">
      <c r="AD1178" s="794"/>
    </row>
    <row r="1179" spans="30:30" ht="15.75" customHeight="1">
      <c r="AD1179" s="794"/>
    </row>
    <row r="1180" spans="30:30" ht="15.75" customHeight="1">
      <c r="AD1180" s="794"/>
    </row>
    <row r="1181" spans="30:30" ht="15.75" customHeight="1">
      <c r="AD1181" s="794"/>
    </row>
    <row r="1182" spans="30:30" ht="15.75" customHeight="1">
      <c r="AD1182" s="794"/>
    </row>
    <row r="1183" spans="30:30" ht="15.75" customHeight="1">
      <c r="AD1183" s="794"/>
    </row>
    <row r="1184" spans="30:30" ht="15.75" customHeight="1">
      <c r="AD1184" s="794"/>
    </row>
    <row r="1185" spans="30:30" ht="15.75" customHeight="1">
      <c r="AD1185" s="794"/>
    </row>
    <row r="1186" spans="30:30" ht="15.75" customHeight="1">
      <c r="AD1186" s="794"/>
    </row>
    <row r="1187" spans="30:30" ht="15.75" customHeight="1">
      <c r="AD1187" s="794"/>
    </row>
    <row r="1188" spans="30:30" ht="15.75" customHeight="1">
      <c r="AD1188" s="794"/>
    </row>
    <row r="1189" spans="30:30" ht="15.75" customHeight="1">
      <c r="AD1189" s="794"/>
    </row>
    <row r="1190" spans="30:30" ht="15.75" customHeight="1">
      <c r="AD1190" s="794"/>
    </row>
    <row r="1191" spans="30:30" ht="15.75" customHeight="1">
      <c r="AD1191" s="794"/>
    </row>
    <row r="1192" spans="30:30" ht="15.75" customHeight="1">
      <c r="AD1192" s="794"/>
    </row>
    <row r="1193" spans="30:30" ht="15.75" customHeight="1">
      <c r="AD1193" s="794"/>
    </row>
    <row r="1194" spans="30:30" ht="15.75" customHeight="1">
      <c r="AD1194" s="794"/>
    </row>
    <row r="1195" spans="30:30" ht="15.75" customHeight="1">
      <c r="AD1195" s="794"/>
    </row>
    <row r="1196" spans="30:30" ht="15.75" customHeight="1">
      <c r="AD1196" s="794"/>
    </row>
    <row r="1197" spans="30:30" ht="15.75" customHeight="1">
      <c r="AD1197" s="794"/>
    </row>
    <row r="1198" spans="30:30" ht="15.75" customHeight="1">
      <c r="AD1198" s="794"/>
    </row>
    <row r="1199" spans="30:30" ht="15.75" customHeight="1">
      <c r="AD1199" s="794"/>
    </row>
    <row r="1200" spans="30:30" ht="15.75" customHeight="1">
      <c r="AD1200" s="794"/>
    </row>
    <row r="1201" spans="30:30" ht="15.75" customHeight="1">
      <c r="AD1201" s="794"/>
    </row>
    <row r="1202" spans="30:30" ht="15.75" customHeight="1">
      <c r="AD1202" s="794"/>
    </row>
    <row r="1203" spans="30:30" ht="15.75" customHeight="1">
      <c r="AD1203" s="794"/>
    </row>
    <row r="1204" spans="30:30" ht="15.75" customHeight="1">
      <c r="AD1204" s="794"/>
    </row>
    <row r="1205" spans="30:30" ht="15.75" customHeight="1">
      <c r="AD1205" s="794"/>
    </row>
    <row r="1206" spans="30:30" ht="15.75" customHeight="1">
      <c r="AD1206" s="794"/>
    </row>
    <row r="1207" spans="30:30" ht="15.75" customHeight="1">
      <c r="AD1207" s="794"/>
    </row>
    <row r="1208" spans="30:30" ht="15.75" customHeight="1">
      <c r="AD1208" s="794"/>
    </row>
    <row r="1209" spans="30:30" ht="15.75" customHeight="1">
      <c r="AD1209" s="794"/>
    </row>
    <row r="1210" spans="30:30" ht="15.75" customHeight="1">
      <c r="AD1210" s="794"/>
    </row>
    <row r="1211" spans="30:30" ht="15.75" customHeight="1">
      <c r="AD1211" s="794"/>
    </row>
    <row r="1212" spans="30:30" ht="15.75" customHeight="1">
      <c r="AD1212" s="794"/>
    </row>
    <row r="1213" spans="30:30" ht="15.75" customHeight="1">
      <c r="AD1213" s="794"/>
    </row>
    <row r="1214" spans="30:30" ht="15.75" customHeight="1">
      <c r="AD1214" s="794"/>
    </row>
    <row r="1215" spans="30:30" ht="15.75" customHeight="1">
      <c r="AD1215" s="794"/>
    </row>
    <row r="1216" spans="30:30" ht="15.75" customHeight="1">
      <c r="AD1216" s="794"/>
    </row>
    <row r="1217" spans="30:30" ht="15.75" customHeight="1">
      <c r="AD1217" s="794"/>
    </row>
    <row r="1218" spans="30:30" ht="15.75" customHeight="1">
      <c r="AD1218" s="794"/>
    </row>
    <row r="1219" spans="30:30" ht="15.75" customHeight="1">
      <c r="AD1219" s="794"/>
    </row>
    <row r="1220" spans="30:30" ht="15.75" customHeight="1">
      <c r="AD1220" s="794"/>
    </row>
    <row r="1221" spans="30:30" ht="15.75" customHeight="1">
      <c r="AD1221" s="794"/>
    </row>
    <row r="1222" spans="30:30" ht="15.75" customHeight="1">
      <c r="AD1222" s="794"/>
    </row>
    <row r="1223" spans="30:30" ht="15.75" customHeight="1">
      <c r="AD1223" s="794"/>
    </row>
    <row r="1224" spans="30:30" ht="15.75" customHeight="1">
      <c r="AD1224" s="794"/>
    </row>
    <row r="1225" spans="30:30" ht="15.75" customHeight="1">
      <c r="AD1225" s="794"/>
    </row>
    <row r="1226" spans="30:30" ht="15.75" customHeight="1">
      <c r="AD1226" s="794"/>
    </row>
    <row r="1227" spans="30:30" ht="15.75" customHeight="1">
      <c r="AD1227" s="794"/>
    </row>
    <row r="1228" spans="30:30" ht="15.75" customHeight="1">
      <c r="AD1228" s="794"/>
    </row>
    <row r="1229" spans="30:30" ht="15.75" customHeight="1">
      <c r="AD1229" s="794"/>
    </row>
    <row r="1230" spans="30:30" ht="15.75" customHeight="1">
      <c r="AD1230" s="794"/>
    </row>
    <row r="1231" spans="30:30" ht="15.75" customHeight="1">
      <c r="AD1231" s="794"/>
    </row>
    <row r="1232" spans="30:30" ht="15.75" customHeight="1">
      <c r="AD1232" s="794"/>
    </row>
    <row r="1233" spans="30:30" ht="15.75" customHeight="1">
      <c r="AD1233" s="794"/>
    </row>
    <row r="1234" spans="30:30" ht="15.75" customHeight="1">
      <c r="AD1234" s="794"/>
    </row>
    <row r="1235" spans="30:30" ht="15.75" customHeight="1">
      <c r="AD1235" s="794"/>
    </row>
    <row r="1236" spans="30:30" ht="15.75" customHeight="1">
      <c r="AD1236" s="794"/>
    </row>
    <row r="1237" spans="30:30" ht="15.75" customHeight="1">
      <c r="AD1237" s="794"/>
    </row>
    <row r="1238" spans="30:30" ht="15.75" customHeight="1">
      <c r="AD1238" s="794"/>
    </row>
    <row r="1239" spans="30:30" ht="15.75" customHeight="1">
      <c r="AD1239" s="794"/>
    </row>
    <row r="1240" spans="30:30" ht="15.75" customHeight="1">
      <c r="AD1240" s="794"/>
    </row>
    <row r="1241" spans="30:30" ht="15.75" customHeight="1">
      <c r="AD1241" s="794"/>
    </row>
    <row r="1242" spans="30:30" ht="15.75" customHeight="1">
      <c r="AD1242" s="794"/>
    </row>
    <row r="1243" spans="30:30" ht="15.75" customHeight="1">
      <c r="AD1243" s="794"/>
    </row>
    <row r="1244" spans="30:30" ht="15.75" customHeight="1">
      <c r="AD1244" s="794"/>
    </row>
    <row r="1245" spans="30:30" ht="15.75" customHeight="1">
      <c r="AD1245" s="794"/>
    </row>
    <row r="1246" spans="30:30" ht="15.75" customHeight="1">
      <c r="AD1246" s="794"/>
    </row>
    <row r="1247" spans="30:30" ht="15.75" customHeight="1">
      <c r="AD1247" s="794"/>
    </row>
    <row r="1248" spans="30:30" ht="15.75" customHeight="1">
      <c r="AD1248" s="794"/>
    </row>
    <row r="1249" spans="30:30" ht="15.75" customHeight="1">
      <c r="AD1249" s="794"/>
    </row>
    <row r="1250" spans="30:30" ht="15.75" customHeight="1">
      <c r="AD1250" s="794"/>
    </row>
    <row r="1251" spans="30:30" ht="15.75" customHeight="1">
      <c r="AD1251" s="794"/>
    </row>
    <row r="1252" spans="30:30" ht="15.75" customHeight="1">
      <c r="AD1252" s="794"/>
    </row>
    <row r="1253" spans="30:30" ht="15.75" customHeight="1">
      <c r="AD1253" s="794"/>
    </row>
    <row r="1254" spans="30:30" ht="15.75" customHeight="1">
      <c r="AD1254" s="794"/>
    </row>
    <row r="1255" spans="30:30" ht="15.75" customHeight="1">
      <c r="AD1255" s="794"/>
    </row>
    <row r="1256" spans="30:30" ht="15.75" customHeight="1">
      <c r="AD1256" s="794"/>
    </row>
    <row r="1257" spans="30:30" ht="15.75" customHeight="1">
      <c r="AD1257" s="794"/>
    </row>
    <row r="1258" spans="30:30" ht="15.75" customHeight="1">
      <c r="AD1258" s="794"/>
    </row>
    <row r="1259" spans="30:30" ht="15.75" customHeight="1">
      <c r="AD1259" s="794"/>
    </row>
    <row r="1260" spans="30:30" ht="15.75" customHeight="1">
      <c r="AD1260" s="794"/>
    </row>
    <row r="1261" spans="30:30" ht="15.75" customHeight="1">
      <c r="AD1261" s="794"/>
    </row>
    <row r="1262" spans="30:30" ht="15.75" customHeight="1">
      <c r="AD1262" s="794"/>
    </row>
    <row r="1263" spans="30:30" ht="15.75" customHeight="1">
      <c r="AD1263" s="794"/>
    </row>
    <row r="1264" spans="30:30" ht="15.75" customHeight="1">
      <c r="AD1264" s="794"/>
    </row>
    <row r="1265" spans="30:30" ht="15.75" customHeight="1">
      <c r="AD1265" s="794"/>
    </row>
    <row r="1266" spans="30:30" ht="15.75" customHeight="1">
      <c r="AD1266" s="794"/>
    </row>
    <row r="1267" spans="30:30" ht="15.75" customHeight="1">
      <c r="AD1267" s="794"/>
    </row>
    <row r="1268" spans="30:30" ht="15.75" customHeight="1">
      <c r="AD1268" s="794"/>
    </row>
    <row r="1269" spans="30:30" ht="15.75" customHeight="1">
      <c r="AD1269" s="794"/>
    </row>
    <row r="1270" spans="30:30" ht="15.75" customHeight="1">
      <c r="AD1270" s="794"/>
    </row>
    <row r="1271" spans="30:30" ht="15.75" customHeight="1">
      <c r="AD1271" s="794"/>
    </row>
    <row r="1272" spans="30:30" ht="15.75" customHeight="1">
      <c r="AD1272" s="794"/>
    </row>
    <row r="1273" spans="30:30" ht="15.75" customHeight="1">
      <c r="AD1273" s="794"/>
    </row>
    <row r="1274" spans="30:30" ht="15.75" customHeight="1">
      <c r="AD1274" s="794"/>
    </row>
    <row r="1275" spans="30:30" ht="15.75" customHeight="1">
      <c r="AD1275" s="794"/>
    </row>
    <row r="1276" spans="30:30" ht="15.75" customHeight="1">
      <c r="AD1276" s="794"/>
    </row>
    <row r="1277" spans="30:30" ht="15.75" customHeight="1">
      <c r="AD1277" s="794"/>
    </row>
    <row r="1278" spans="30:30" ht="15.75" customHeight="1">
      <c r="AD1278" s="794"/>
    </row>
    <row r="1279" spans="30:30" ht="15.75" customHeight="1">
      <c r="AD1279" s="794"/>
    </row>
    <row r="1280" spans="30:30" ht="15.75" customHeight="1">
      <c r="AD1280" s="794"/>
    </row>
    <row r="1281" spans="30:30" ht="15.75" customHeight="1">
      <c r="AD1281" s="794"/>
    </row>
    <row r="1282" spans="30:30" ht="15.75" customHeight="1">
      <c r="AD1282" s="794"/>
    </row>
    <row r="1283" spans="30:30" ht="15.75" customHeight="1">
      <c r="AD1283" s="794"/>
    </row>
    <row r="1284" spans="30:30" ht="15.75" customHeight="1">
      <c r="AD1284" s="794"/>
    </row>
    <row r="1285" spans="30:30" ht="15.75" customHeight="1">
      <c r="AD1285" s="794"/>
    </row>
    <row r="1286" spans="30:30" ht="15.75" customHeight="1">
      <c r="AD1286" s="794"/>
    </row>
    <row r="1287" spans="30:30" ht="15.75" customHeight="1">
      <c r="AD1287" s="794"/>
    </row>
    <row r="1288" spans="30:30" ht="15.75" customHeight="1">
      <c r="AD1288" s="794"/>
    </row>
    <row r="1289" spans="30:30" ht="15.75" customHeight="1">
      <c r="AD1289" s="794"/>
    </row>
    <row r="1290" spans="30:30" ht="15.75" customHeight="1">
      <c r="AD1290" s="794"/>
    </row>
    <row r="1291" spans="30:30" ht="15.75" customHeight="1">
      <c r="AD1291" s="794"/>
    </row>
    <row r="1292" spans="30:30" ht="15.75" customHeight="1">
      <c r="AD1292" s="794"/>
    </row>
    <row r="1293" spans="30:30" ht="15.75" customHeight="1">
      <c r="AD1293" s="794"/>
    </row>
    <row r="1294" spans="30:30" ht="15.75" customHeight="1">
      <c r="AD1294" s="794"/>
    </row>
    <row r="1295" spans="30:30" ht="15.75" customHeight="1">
      <c r="AD1295" s="794"/>
    </row>
    <row r="1296" spans="30:30" ht="15.75" customHeight="1">
      <c r="AD1296" s="794"/>
    </row>
    <row r="1297" spans="30:30" ht="15.75" customHeight="1">
      <c r="AD1297" s="794"/>
    </row>
    <row r="1298" spans="30:30" ht="15.75" customHeight="1">
      <c r="AD1298" s="794"/>
    </row>
    <row r="1299" spans="30:30" ht="15.75" customHeight="1">
      <c r="AD1299" s="794"/>
    </row>
    <row r="1300" spans="30:30" ht="15.75" customHeight="1">
      <c r="AD1300" s="794"/>
    </row>
    <row r="1301" spans="30:30" ht="15.75" customHeight="1">
      <c r="AD1301" s="794"/>
    </row>
    <row r="1302" spans="30:30" ht="15.75" customHeight="1">
      <c r="AD1302" s="794"/>
    </row>
    <row r="1303" spans="30:30" ht="15.75" customHeight="1">
      <c r="AD1303" s="794"/>
    </row>
    <row r="1304" spans="30:30" ht="15.75" customHeight="1">
      <c r="AD1304" s="794"/>
    </row>
    <row r="1305" spans="30:30" ht="15.75" customHeight="1">
      <c r="AD1305" s="794"/>
    </row>
    <row r="1306" spans="30:30" ht="15.75" customHeight="1">
      <c r="AD1306" s="794"/>
    </row>
    <row r="1307" spans="30:30" ht="15.75" customHeight="1">
      <c r="AD1307" s="794"/>
    </row>
    <row r="1308" spans="30:30" ht="15.75" customHeight="1">
      <c r="AD1308" s="794"/>
    </row>
    <row r="1309" spans="30:30" ht="15.75" customHeight="1">
      <c r="AD1309" s="794"/>
    </row>
    <row r="1310" spans="30:30" ht="15.75" customHeight="1">
      <c r="AD1310" s="794"/>
    </row>
    <row r="1311" spans="30:30" ht="15.75" customHeight="1">
      <c r="AD1311" s="794"/>
    </row>
    <row r="1312" spans="30:30" ht="15.75" customHeight="1">
      <c r="AD1312" s="794"/>
    </row>
    <row r="1313" spans="30:30" ht="15.75" customHeight="1">
      <c r="AD1313" s="794"/>
    </row>
    <row r="1314" spans="30:30" ht="15.75" customHeight="1">
      <c r="AD1314" s="794"/>
    </row>
    <row r="1315" spans="30:30" ht="15.75" customHeight="1">
      <c r="AD1315" s="794"/>
    </row>
    <row r="1316" spans="30:30" ht="15.75" customHeight="1">
      <c r="AD1316" s="794"/>
    </row>
    <row r="1317" spans="30:30" ht="15.75" customHeight="1">
      <c r="AD1317" s="794"/>
    </row>
    <row r="1318" spans="30:30" ht="15.75" customHeight="1">
      <c r="AD1318" s="794"/>
    </row>
    <row r="1319" spans="30:30" ht="15.75" customHeight="1">
      <c r="AD1319" s="794"/>
    </row>
    <row r="1320" spans="30:30" ht="15.75" customHeight="1">
      <c r="AD1320" s="794"/>
    </row>
    <row r="1321" spans="30:30" ht="15.75" customHeight="1">
      <c r="AD1321" s="794"/>
    </row>
    <row r="1322" spans="30:30" ht="15.75" customHeight="1">
      <c r="AD1322" s="794"/>
    </row>
    <row r="1323" spans="30:30" ht="15.75" customHeight="1">
      <c r="AD1323" s="794"/>
    </row>
    <row r="1324" spans="30:30" ht="15.75" customHeight="1">
      <c r="AD1324" s="794"/>
    </row>
    <row r="1325" spans="30:30" ht="15.75" customHeight="1">
      <c r="AD1325" s="794"/>
    </row>
    <row r="1326" spans="30:30" ht="15.75" customHeight="1">
      <c r="AD1326" s="794"/>
    </row>
    <row r="1327" spans="30:30" ht="15.75" customHeight="1">
      <c r="AD1327" s="794"/>
    </row>
    <row r="1328" spans="30:30" ht="15.75" customHeight="1">
      <c r="AD1328" s="794"/>
    </row>
    <row r="1329" spans="30:30" ht="15.75" customHeight="1">
      <c r="AD1329" s="794"/>
    </row>
    <row r="1330" spans="30:30" ht="15.75" customHeight="1">
      <c r="AD1330" s="794"/>
    </row>
    <row r="1331" spans="30:30" ht="15.75" customHeight="1">
      <c r="AD1331" s="794"/>
    </row>
    <row r="1332" spans="30:30" ht="15.75" customHeight="1">
      <c r="AD1332" s="794"/>
    </row>
    <row r="1333" spans="30:30" ht="15.75" customHeight="1">
      <c r="AD1333" s="794"/>
    </row>
    <row r="1334" spans="30:30" ht="15.75" customHeight="1">
      <c r="AD1334" s="794"/>
    </row>
    <row r="1335" spans="30:30" ht="15.75" customHeight="1">
      <c r="AD1335" s="794"/>
    </row>
    <row r="1336" spans="30:30" ht="15.75" customHeight="1">
      <c r="AD1336" s="794"/>
    </row>
    <row r="1337" spans="30:30" ht="15.75" customHeight="1">
      <c r="AD1337" s="794"/>
    </row>
    <row r="1338" spans="30:30" ht="15.75" customHeight="1">
      <c r="AD1338" s="794"/>
    </row>
    <row r="1339" spans="30:30" ht="15.75" customHeight="1">
      <c r="AD1339" s="794"/>
    </row>
    <row r="1340" spans="30:30" ht="15.75" customHeight="1">
      <c r="AD1340" s="794"/>
    </row>
    <row r="1341" spans="30:30" ht="15.75" customHeight="1">
      <c r="AD1341" s="794"/>
    </row>
    <row r="1342" spans="30:30" ht="15.75" customHeight="1">
      <c r="AD1342" s="794"/>
    </row>
    <row r="1343" spans="30:30" ht="15.75" customHeight="1">
      <c r="AD1343" s="794"/>
    </row>
    <row r="1344" spans="30:30" ht="15.75" customHeight="1">
      <c r="AD1344" s="794"/>
    </row>
    <row r="1345" spans="30:30" ht="15.75" customHeight="1">
      <c r="AD1345" s="794"/>
    </row>
    <row r="1346" spans="30:30" ht="15.75" customHeight="1">
      <c r="AD1346" s="794"/>
    </row>
    <row r="1347" spans="30:30" ht="15.75" customHeight="1">
      <c r="AD1347" s="794"/>
    </row>
    <row r="1348" spans="30:30" ht="15.75" customHeight="1">
      <c r="AD1348" s="794"/>
    </row>
    <row r="1349" spans="30:30" ht="15.75" customHeight="1">
      <c r="AD1349" s="794"/>
    </row>
    <row r="1350" spans="30:30" ht="15.75" customHeight="1">
      <c r="AD1350" s="794"/>
    </row>
    <row r="1351" spans="30:30" ht="15.75" customHeight="1">
      <c r="AD1351" s="794"/>
    </row>
    <row r="1352" spans="30:30" ht="15.75" customHeight="1">
      <c r="AD1352" s="794"/>
    </row>
    <row r="1353" spans="30:30" ht="15.75" customHeight="1">
      <c r="AD1353" s="794"/>
    </row>
    <row r="1354" spans="30:30" ht="15.75" customHeight="1">
      <c r="AD1354" s="794"/>
    </row>
    <row r="1355" spans="30:30" ht="15.75" customHeight="1">
      <c r="AD1355" s="794"/>
    </row>
    <row r="1356" spans="30:30" ht="15.75" customHeight="1">
      <c r="AD1356" s="794"/>
    </row>
    <row r="1357" spans="30:30" ht="15.75" customHeight="1">
      <c r="AD1357" s="794"/>
    </row>
    <row r="1358" spans="30:30" ht="15.75" customHeight="1">
      <c r="AD1358" s="794"/>
    </row>
    <row r="1359" spans="30:30" ht="15.75" customHeight="1">
      <c r="AD1359" s="794"/>
    </row>
    <row r="1360" spans="30:30" ht="15.75" customHeight="1">
      <c r="AD1360" s="794"/>
    </row>
    <row r="1361" spans="30:30" ht="15.75" customHeight="1">
      <c r="AD1361" s="794"/>
    </row>
    <row r="1362" spans="30:30" ht="15.75" customHeight="1">
      <c r="AD1362" s="794"/>
    </row>
    <row r="1363" spans="30:30" ht="15.75" customHeight="1">
      <c r="AD1363" s="794"/>
    </row>
    <row r="1364" spans="30:30" ht="15.75" customHeight="1">
      <c r="AD1364" s="794"/>
    </row>
    <row r="1365" spans="30:30" ht="15.75" customHeight="1">
      <c r="AD1365" s="794"/>
    </row>
    <row r="1366" spans="30:30" ht="15.75" customHeight="1">
      <c r="AD1366" s="794"/>
    </row>
    <row r="1367" spans="30:30" ht="15.75" customHeight="1">
      <c r="AD1367" s="794"/>
    </row>
    <row r="1368" spans="30:30" ht="15.75" customHeight="1">
      <c r="AD1368" s="794"/>
    </row>
    <row r="1369" spans="30:30" ht="15.75" customHeight="1">
      <c r="AD1369" s="794"/>
    </row>
    <row r="1370" spans="30:30" ht="15.75" customHeight="1">
      <c r="AD1370" s="794"/>
    </row>
    <row r="1371" spans="30:30" ht="15.75" customHeight="1">
      <c r="AD1371" s="794"/>
    </row>
    <row r="1372" spans="30:30" ht="15.75" customHeight="1">
      <c r="AD1372" s="794"/>
    </row>
    <row r="1373" spans="30:30" ht="15.75" customHeight="1">
      <c r="AD1373" s="794"/>
    </row>
    <row r="1374" spans="30:30" ht="15.75" customHeight="1">
      <c r="AD1374" s="794"/>
    </row>
    <row r="1375" spans="30:30" ht="15.75" customHeight="1">
      <c r="AD1375" s="794"/>
    </row>
    <row r="1376" spans="30:30" ht="15.75" customHeight="1">
      <c r="AD1376" s="794"/>
    </row>
    <row r="1377" spans="30:30" ht="15.75" customHeight="1">
      <c r="AD1377" s="794"/>
    </row>
    <row r="1378" spans="30:30" ht="15.75" customHeight="1">
      <c r="AD1378" s="794"/>
    </row>
    <row r="1379" spans="30:30" ht="15.75" customHeight="1">
      <c r="AD1379" s="794"/>
    </row>
    <row r="1380" spans="30:30" ht="15.75" customHeight="1">
      <c r="AD1380" s="794"/>
    </row>
    <row r="1381" spans="30:30" ht="15.75" customHeight="1">
      <c r="AD1381" s="794"/>
    </row>
    <row r="1382" spans="30:30" ht="15.75" customHeight="1">
      <c r="AD1382" s="794"/>
    </row>
    <row r="1383" spans="30:30" ht="15.75" customHeight="1">
      <c r="AD1383" s="794"/>
    </row>
    <row r="1384" spans="30:30" ht="15.75" customHeight="1">
      <c r="AD1384" s="794"/>
    </row>
    <row r="1385" spans="30:30" ht="15.75" customHeight="1">
      <c r="AD1385" s="794"/>
    </row>
    <row r="1386" spans="30:30" ht="15.75" customHeight="1">
      <c r="AD1386" s="794"/>
    </row>
    <row r="1387" spans="30:30" ht="15.75" customHeight="1">
      <c r="AD1387" s="794"/>
    </row>
    <row r="1388" spans="30:30" ht="15.75" customHeight="1">
      <c r="AD1388" s="794"/>
    </row>
    <row r="1389" spans="30:30" ht="15.75" customHeight="1">
      <c r="AD1389" s="794"/>
    </row>
    <row r="1390" spans="30:30" ht="15.75" customHeight="1">
      <c r="AD1390" s="794"/>
    </row>
    <row r="1391" spans="30:30" ht="15.75" customHeight="1">
      <c r="AD1391" s="794"/>
    </row>
    <row r="1392" spans="30:30" ht="15.75" customHeight="1">
      <c r="AD1392" s="794"/>
    </row>
    <row r="1393" spans="30:30" ht="15.75" customHeight="1">
      <c r="AD1393" s="794"/>
    </row>
    <row r="1394" spans="30:30" ht="15.75" customHeight="1">
      <c r="AD1394" s="794"/>
    </row>
    <row r="1395" spans="30:30" ht="15.75" customHeight="1">
      <c r="AD1395" s="794"/>
    </row>
    <row r="1396" spans="30:30" ht="15.75" customHeight="1">
      <c r="AD1396" s="794"/>
    </row>
    <row r="1397" spans="30:30" ht="15.75" customHeight="1">
      <c r="AD1397" s="794"/>
    </row>
    <row r="1398" spans="30:30" ht="15.75" customHeight="1">
      <c r="AD1398" s="794"/>
    </row>
    <row r="1399" spans="30:30" ht="15.75" customHeight="1">
      <c r="AD1399" s="794"/>
    </row>
    <row r="1400" spans="30:30" ht="15.75" customHeight="1">
      <c r="AD1400" s="794"/>
    </row>
    <row r="1401" spans="30:30" ht="15.75" customHeight="1">
      <c r="AD1401" s="794"/>
    </row>
    <row r="1402" spans="30:30" ht="15.75" customHeight="1">
      <c r="AD1402" s="794"/>
    </row>
    <row r="1403" spans="30:30" ht="15.75" customHeight="1">
      <c r="AD1403" s="794"/>
    </row>
    <row r="1404" spans="30:30" ht="15.75" customHeight="1">
      <c r="AD1404" s="794"/>
    </row>
    <row r="1405" spans="30:30" ht="15.75" customHeight="1">
      <c r="AD1405" s="794"/>
    </row>
    <row r="1406" spans="30:30" ht="15.75" customHeight="1">
      <c r="AD1406" s="794"/>
    </row>
    <row r="1407" spans="30:30" ht="15.75" customHeight="1">
      <c r="AD1407" s="794"/>
    </row>
    <row r="1408" spans="30:30" ht="15.75" customHeight="1">
      <c r="AD1408" s="794"/>
    </row>
    <row r="1409" spans="30:30" ht="15.75" customHeight="1">
      <c r="AD1409" s="794"/>
    </row>
    <row r="1410" spans="30:30" ht="15.75" customHeight="1">
      <c r="AD1410" s="794"/>
    </row>
    <row r="1411" spans="30:30" ht="15.75" customHeight="1">
      <c r="AD1411" s="794"/>
    </row>
    <row r="1412" spans="30:30" ht="15.75" customHeight="1">
      <c r="AD1412" s="794"/>
    </row>
    <row r="1413" spans="30:30" ht="15.75" customHeight="1">
      <c r="AD1413" s="794"/>
    </row>
    <row r="1414" spans="30:30" ht="15.75" customHeight="1">
      <c r="AD1414" s="794"/>
    </row>
    <row r="1415" spans="30:30" ht="15.75" customHeight="1">
      <c r="AD1415" s="794"/>
    </row>
    <row r="1416" spans="30:30" ht="15.75" customHeight="1">
      <c r="AD1416" s="794"/>
    </row>
    <row r="1417" spans="30:30" ht="15.75" customHeight="1">
      <c r="AD1417" s="794"/>
    </row>
    <row r="1418" spans="30:30" ht="15.75" customHeight="1">
      <c r="AD1418" s="794"/>
    </row>
    <row r="1419" spans="30:30" ht="15.75" customHeight="1">
      <c r="AD1419" s="794"/>
    </row>
    <row r="1420" spans="30:30" ht="15.75" customHeight="1">
      <c r="AD1420" s="794"/>
    </row>
    <row r="1421" spans="30:30" ht="15.75" customHeight="1">
      <c r="AD1421" s="794"/>
    </row>
    <row r="1422" spans="30:30" ht="15.75" customHeight="1">
      <c r="AD1422" s="794"/>
    </row>
    <row r="1423" spans="30:30" ht="15.75" customHeight="1">
      <c r="AD1423" s="794"/>
    </row>
    <row r="1424" spans="30:30" ht="15.75" customHeight="1">
      <c r="AD1424" s="794"/>
    </row>
    <row r="1425" spans="30:30" ht="15.75" customHeight="1">
      <c r="AD1425" s="794"/>
    </row>
    <row r="1426" spans="30:30" ht="15.75" customHeight="1">
      <c r="AD1426" s="794"/>
    </row>
    <row r="1427" spans="30:30" ht="15.75" customHeight="1">
      <c r="AD1427" s="794"/>
    </row>
    <row r="1428" spans="30:30" ht="15.75" customHeight="1">
      <c r="AD1428" s="794"/>
    </row>
    <row r="1429" spans="30:30" ht="15.75" customHeight="1">
      <c r="AD1429" s="794"/>
    </row>
    <row r="1430" spans="30:30" ht="15.75" customHeight="1">
      <c r="AD1430" s="794"/>
    </row>
    <row r="1431" spans="30:30" ht="15.75" customHeight="1">
      <c r="AD1431" s="794"/>
    </row>
    <row r="1432" spans="30:30" ht="15.75" customHeight="1">
      <c r="AD1432" s="794"/>
    </row>
    <row r="1433" spans="30:30" ht="15.75" customHeight="1">
      <c r="AD1433" s="794"/>
    </row>
    <row r="1434" spans="30:30" ht="15.75" customHeight="1">
      <c r="AD1434" s="794"/>
    </row>
    <row r="1435" spans="30:30" ht="15.75" customHeight="1">
      <c r="AD1435" s="794"/>
    </row>
    <row r="1436" spans="30:30" ht="15.75" customHeight="1">
      <c r="AD1436" s="794"/>
    </row>
    <row r="1437" spans="30:30" ht="15.75" customHeight="1">
      <c r="AD1437" s="794"/>
    </row>
    <row r="1438" spans="30:30" ht="15.75" customHeight="1">
      <c r="AD1438" s="794"/>
    </row>
    <row r="1439" spans="30:30" ht="15.75" customHeight="1">
      <c r="AD1439" s="794"/>
    </row>
    <row r="1440" spans="30:30" ht="15.75" customHeight="1">
      <c r="AD1440" s="794"/>
    </row>
    <row r="1441" spans="30:30" ht="15.75" customHeight="1">
      <c r="AD1441" s="794"/>
    </row>
    <row r="1442" spans="30:30" ht="15.75" customHeight="1">
      <c r="AD1442" s="794"/>
    </row>
    <row r="1443" spans="30:30" ht="15.75" customHeight="1">
      <c r="AD1443" s="794"/>
    </row>
    <row r="1444" spans="30:30" ht="15.75" customHeight="1">
      <c r="AD1444" s="794"/>
    </row>
    <row r="1445" spans="30:30" ht="15.75" customHeight="1">
      <c r="AD1445" s="794"/>
    </row>
    <row r="1446" spans="30:30" ht="15.75" customHeight="1">
      <c r="AD1446" s="794"/>
    </row>
    <row r="1447" spans="30:30" ht="15.75" customHeight="1">
      <c r="AD1447" s="794"/>
    </row>
    <row r="1448" spans="30:30" ht="15.75" customHeight="1">
      <c r="AD1448" s="794"/>
    </row>
    <row r="1449" spans="30:30" ht="15.75" customHeight="1">
      <c r="AD1449" s="794"/>
    </row>
    <row r="1450" spans="30:30" ht="15.75" customHeight="1">
      <c r="AD1450" s="794"/>
    </row>
    <row r="1451" spans="30:30" ht="15.75" customHeight="1">
      <c r="AD1451" s="794"/>
    </row>
    <row r="1452" spans="30:30" ht="15.75" customHeight="1">
      <c r="AD1452" s="794"/>
    </row>
    <row r="1453" spans="30:30" ht="15.75" customHeight="1">
      <c r="AD1453" s="794"/>
    </row>
    <row r="1454" spans="30:30" ht="15.75" customHeight="1">
      <c r="AD1454" s="794"/>
    </row>
    <row r="1455" spans="30:30" ht="15.75" customHeight="1">
      <c r="AD1455" s="794"/>
    </row>
    <row r="1456" spans="30:30" ht="15.75" customHeight="1">
      <c r="AD1456" s="794"/>
    </row>
    <row r="1457" spans="30:30" ht="15.75" customHeight="1">
      <c r="AD1457" s="794"/>
    </row>
    <row r="1458" spans="30:30" ht="15.75" customHeight="1">
      <c r="AD1458" s="794"/>
    </row>
    <row r="1459" spans="30:30" ht="15.75" customHeight="1">
      <c r="AD1459" s="794"/>
    </row>
    <row r="1460" spans="30:30" ht="15.75" customHeight="1">
      <c r="AD1460" s="794"/>
    </row>
    <row r="1461" spans="30:30" ht="15.75" customHeight="1">
      <c r="AD1461" s="794"/>
    </row>
    <row r="1462" spans="30:30" ht="15.75" customHeight="1">
      <c r="AD1462" s="794"/>
    </row>
    <row r="1463" spans="30:30" ht="15.75" customHeight="1">
      <c r="AD1463" s="794"/>
    </row>
    <row r="1464" spans="30:30" ht="15.75" customHeight="1">
      <c r="AD1464" s="794"/>
    </row>
    <row r="1465" spans="30:30" ht="15.75" customHeight="1">
      <c r="AD1465" s="794"/>
    </row>
    <row r="1466" spans="30:30" ht="15.75" customHeight="1">
      <c r="AD1466" s="794"/>
    </row>
    <row r="1467" spans="30:30" ht="15.75" customHeight="1">
      <c r="AD1467" s="794"/>
    </row>
    <row r="1468" spans="30:30" ht="15.75" customHeight="1">
      <c r="AD1468" s="794"/>
    </row>
    <row r="1469" spans="30:30" ht="15.75" customHeight="1">
      <c r="AD1469" s="794"/>
    </row>
    <row r="1470" spans="30:30" ht="15.75" customHeight="1">
      <c r="AD1470" s="794"/>
    </row>
    <row r="1471" spans="30:30" ht="15.75" customHeight="1">
      <c r="AD1471" s="794"/>
    </row>
    <row r="1472" spans="30:30" ht="15.75" customHeight="1">
      <c r="AD1472" s="794"/>
    </row>
    <row r="1473" spans="30:30" ht="15.75" customHeight="1">
      <c r="AD1473" s="794"/>
    </row>
    <row r="1474" spans="30:30" ht="15.75" customHeight="1">
      <c r="AD1474" s="794"/>
    </row>
    <row r="1475" spans="30:30" ht="15.75" customHeight="1">
      <c r="AD1475" s="794"/>
    </row>
    <row r="1476" spans="30:30" ht="15.75" customHeight="1">
      <c r="AD1476" s="794"/>
    </row>
    <row r="1477" spans="30:30" ht="15.75" customHeight="1">
      <c r="AD1477" s="794"/>
    </row>
    <row r="1478" spans="30:30" ht="15.75" customHeight="1">
      <c r="AD1478" s="794"/>
    </row>
    <row r="1479" spans="30:30" ht="15.75" customHeight="1">
      <c r="AD1479" s="794"/>
    </row>
    <row r="1480" spans="30:30" ht="15.75" customHeight="1">
      <c r="AD1480" s="794"/>
    </row>
    <row r="1481" spans="30:30" ht="15.75" customHeight="1">
      <c r="AD1481" s="794"/>
    </row>
    <row r="1482" spans="30:30" ht="15.75" customHeight="1">
      <c r="AD1482" s="794"/>
    </row>
    <row r="1483" spans="30:30" ht="15.75" customHeight="1">
      <c r="AD1483" s="794"/>
    </row>
    <row r="1484" spans="30:30" ht="15.75" customHeight="1">
      <c r="AD1484" s="794"/>
    </row>
    <row r="1485" spans="30:30" ht="15.75" customHeight="1">
      <c r="AD1485" s="794"/>
    </row>
    <row r="1486" spans="30:30" ht="15.75" customHeight="1">
      <c r="AD1486" s="794"/>
    </row>
    <row r="1487" spans="30:30" ht="15.75" customHeight="1">
      <c r="AD1487" s="794"/>
    </row>
    <row r="1488" spans="30:30" ht="15.75" customHeight="1">
      <c r="AD1488" s="794"/>
    </row>
    <row r="1489" spans="30:30" ht="15.75" customHeight="1">
      <c r="AD1489" s="794"/>
    </row>
    <row r="1490" spans="30:30" ht="15.75" customHeight="1">
      <c r="AD1490" s="794"/>
    </row>
    <row r="1491" spans="30:30" ht="15.75" customHeight="1">
      <c r="AD1491" s="794"/>
    </row>
    <row r="1492" spans="30:30" ht="15.75" customHeight="1">
      <c r="AD1492" s="794"/>
    </row>
    <row r="1493" spans="30:30" ht="15.75" customHeight="1">
      <c r="AD1493" s="794"/>
    </row>
    <row r="1494" spans="30:30" ht="15.75" customHeight="1">
      <c r="AD1494" s="794"/>
    </row>
    <row r="1495" spans="30:30" ht="15.75" customHeight="1">
      <c r="AD1495" s="794"/>
    </row>
    <row r="1496" spans="30:30" ht="15.75" customHeight="1">
      <c r="AD1496" s="794"/>
    </row>
    <row r="1497" spans="30:30" ht="15.75" customHeight="1">
      <c r="AD1497" s="794"/>
    </row>
    <row r="1498" spans="30:30" ht="15.75" customHeight="1">
      <c r="AD1498" s="794"/>
    </row>
    <row r="1499" spans="30:30" ht="15.75" customHeight="1">
      <c r="AD1499" s="794"/>
    </row>
    <row r="1500" spans="30:30" ht="15.75" customHeight="1">
      <c r="AD1500" s="794"/>
    </row>
    <row r="1501" spans="30:30" ht="15.75" customHeight="1">
      <c r="AD1501" s="794"/>
    </row>
    <row r="1502" spans="30:30" ht="15.75" customHeight="1">
      <c r="AD1502" s="794"/>
    </row>
    <row r="1503" spans="30:30" ht="15.75" customHeight="1">
      <c r="AD1503" s="794"/>
    </row>
    <row r="1504" spans="30:30" ht="15.75" customHeight="1">
      <c r="AD1504" s="794"/>
    </row>
    <row r="1505" spans="30:30" ht="15.75" customHeight="1">
      <c r="AD1505" s="794"/>
    </row>
    <row r="1506" spans="30:30" ht="15.75" customHeight="1">
      <c r="AD1506" s="794"/>
    </row>
    <row r="1507" spans="30:30" ht="15.75" customHeight="1">
      <c r="AD1507" s="794"/>
    </row>
    <row r="1508" spans="30:30" ht="15.75" customHeight="1">
      <c r="AD1508" s="794"/>
    </row>
    <row r="1509" spans="30:30" ht="15.75" customHeight="1">
      <c r="AD1509" s="794"/>
    </row>
    <row r="1510" spans="30:30" ht="15.75" customHeight="1">
      <c r="AD1510" s="794"/>
    </row>
    <row r="1511" spans="30:30" ht="15.75" customHeight="1">
      <c r="AD1511" s="794"/>
    </row>
    <row r="1512" spans="30:30" ht="15.75" customHeight="1">
      <c r="AD1512" s="794"/>
    </row>
    <row r="1513" spans="30:30" ht="15.75" customHeight="1">
      <c r="AD1513" s="794"/>
    </row>
    <row r="1514" spans="30:30" ht="15.75" customHeight="1">
      <c r="AD1514" s="794"/>
    </row>
    <row r="1515" spans="30:30" ht="15.75" customHeight="1">
      <c r="AD1515" s="794"/>
    </row>
    <row r="1516" spans="30:30" ht="15.75" customHeight="1">
      <c r="AD1516" s="794"/>
    </row>
    <row r="1517" spans="30:30" ht="15.75" customHeight="1">
      <c r="AD1517" s="794"/>
    </row>
    <row r="1518" spans="30:30" ht="15.75" customHeight="1">
      <c r="AD1518" s="794"/>
    </row>
    <row r="1519" spans="30:30" ht="15.75" customHeight="1">
      <c r="AD1519" s="794"/>
    </row>
    <row r="1520" spans="30:30" ht="15.75" customHeight="1">
      <c r="AD1520" s="794"/>
    </row>
    <row r="1521" spans="30:30" ht="15.75" customHeight="1">
      <c r="AD1521" s="794"/>
    </row>
    <row r="1522" spans="30:30" ht="15.75" customHeight="1">
      <c r="AD1522" s="794"/>
    </row>
    <row r="1523" spans="30:30" ht="15.75" customHeight="1">
      <c r="AD1523" s="794"/>
    </row>
    <row r="1524" spans="30:30" ht="15.75" customHeight="1">
      <c r="AD1524" s="794"/>
    </row>
    <row r="1525" spans="30:30" ht="15.75" customHeight="1">
      <c r="AD1525" s="794"/>
    </row>
    <row r="1526" spans="30:30" ht="15.75" customHeight="1">
      <c r="AD1526" s="794"/>
    </row>
    <row r="1527" spans="30:30" ht="15.75" customHeight="1">
      <c r="AD1527" s="794"/>
    </row>
    <row r="1528" spans="30:30" ht="15.75" customHeight="1">
      <c r="AD1528" s="794"/>
    </row>
    <row r="1529" spans="30:30" ht="15.75" customHeight="1">
      <c r="AD1529" s="794"/>
    </row>
    <row r="1530" spans="30:30" ht="15.75" customHeight="1">
      <c r="AD1530" s="794"/>
    </row>
    <row r="1531" spans="30:30" ht="15.75" customHeight="1">
      <c r="AD1531" s="794"/>
    </row>
    <row r="1532" spans="30:30" ht="15.75" customHeight="1">
      <c r="AD1532" s="794"/>
    </row>
    <row r="1533" spans="30:30" ht="15.75" customHeight="1">
      <c r="AD1533" s="794"/>
    </row>
    <row r="1534" spans="30:30" ht="15.75" customHeight="1">
      <c r="AD1534" s="794"/>
    </row>
    <row r="1535" spans="30:30" ht="15.75" customHeight="1">
      <c r="AD1535" s="794"/>
    </row>
    <row r="1536" spans="30:30" ht="15.75" customHeight="1">
      <c r="AD1536" s="794"/>
    </row>
    <row r="1537" spans="30:30" ht="15.75" customHeight="1">
      <c r="AD1537" s="794"/>
    </row>
    <row r="1538" spans="30:30" ht="15.75" customHeight="1">
      <c r="AD1538" s="794"/>
    </row>
    <row r="1539" spans="30:30" ht="15.75" customHeight="1">
      <c r="AD1539" s="794"/>
    </row>
    <row r="1540" spans="30:30" ht="15.75" customHeight="1">
      <c r="AD1540" s="794"/>
    </row>
    <row r="1541" spans="30:30" ht="15.75" customHeight="1">
      <c r="AD1541" s="794"/>
    </row>
    <row r="1542" spans="30:30" ht="15.75" customHeight="1">
      <c r="AD1542" s="794"/>
    </row>
    <row r="1543" spans="30:30" ht="15.75" customHeight="1">
      <c r="AD1543" s="794"/>
    </row>
    <row r="1544" spans="30:30" ht="15.75" customHeight="1">
      <c r="AD1544" s="794"/>
    </row>
    <row r="1545" spans="30:30" ht="15.75" customHeight="1">
      <c r="AD1545" s="794"/>
    </row>
    <row r="1546" spans="30:30" ht="15.75" customHeight="1">
      <c r="AD1546" s="794"/>
    </row>
    <row r="1547" spans="30:30" ht="15.75" customHeight="1">
      <c r="AD1547" s="794"/>
    </row>
    <row r="1548" spans="30:30" ht="15.75" customHeight="1">
      <c r="AD1548" s="794"/>
    </row>
    <row r="1549" spans="30:30" ht="15.75" customHeight="1">
      <c r="AD1549" s="794"/>
    </row>
    <row r="1550" spans="30:30" ht="15.75" customHeight="1">
      <c r="AD1550" s="794"/>
    </row>
    <row r="1551" spans="30:30" ht="15.75" customHeight="1">
      <c r="AD1551" s="794"/>
    </row>
    <row r="1552" spans="30:30" ht="15.75" customHeight="1">
      <c r="AD1552" s="794"/>
    </row>
    <row r="1553" spans="30:30" ht="15.75" customHeight="1">
      <c r="AD1553" s="794"/>
    </row>
    <row r="1554" spans="30:30" ht="15.75" customHeight="1">
      <c r="AD1554" s="794"/>
    </row>
    <row r="1555" spans="30:30" ht="15.75" customHeight="1">
      <c r="AD1555" s="794"/>
    </row>
    <row r="1556" spans="30:30" ht="15.75" customHeight="1">
      <c r="AD1556" s="794"/>
    </row>
    <row r="1557" spans="30:30" ht="15.75" customHeight="1">
      <c r="AD1557" s="794"/>
    </row>
    <row r="1558" spans="30:30" ht="15.75" customHeight="1">
      <c r="AD1558" s="794"/>
    </row>
    <row r="1559" spans="30:30" ht="15.75" customHeight="1">
      <c r="AD1559" s="794"/>
    </row>
    <row r="1560" spans="30:30" ht="15.75" customHeight="1">
      <c r="AD1560" s="794"/>
    </row>
    <row r="1561" spans="30:30" ht="15.75" customHeight="1">
      <c r="AD1561" s="794"/>
    </row>
    <row r="1562" spans="30:30" ht="15.75" customHeight="1">
      <c r="AD1562" s="794"/>
    </row>
    <row r="1563" spans="30:30" ht="15.75" customHeight="1">
      <c r="AD1563" s="794"/>
    </row>
    <row r="1564" spans="30:30" ht="15.75" customHeight="1">
      <c r="AD1564" s="794"/>
    </row>
    <row r="1565" spans="30:30" ht="15.75" customHeight="1">
      <c r="AD1565" s="794"/>
    </row>
    <row r="1566" spans="30:30" ht="15.75" customHeight="1">
      <c r="AD1566" s="794"/>
    </row>
    <row r="1567" spans="30:30" ht="15.75" customHeight="1">
      <c r="AD1567" s="794"/>
    </row>
    <row r="1568" spans="30:30" ht="15.75" customHeight="1">
      <c r="AD1568" s="794"/>
    </row>
    <row r="1569" spans="30:30" ht="15.75" customHeight="1">
      <c r="AD1569" s="794"/>
    </row>
    <row r="1570" spans="30:30" ht="15.75" customHeight="1">
      <c r="AD1570" s="794"/>
    </row>
    <row r="1571" spans="30:30" ht="15.75" customHeight="1">
      <c r="AD1571" s="794"/>
    </row>
    <row r="1572" spans="30:30" ht="15.75" customHeight="1">
      <c r="AD1572" s="794"/>
    </row>
    <row r="1573" spans="30:30" ht="15.75" customHeight="1">
      <c r="AD1573" s="794"/>
    </row>
    <row r="1574" spans="30:30" ht="15.75" customHeight="1">
      <c r="AD1574" s="794"/>
    </row>
    <row r="1575" spans="30:30" ht="15.75" customHeight="1">
      <c r="AD1575" s="794"/>
    </row>
    <row r="1576" spans="30:30" ht="15.75" customHeight="1">
      <c r="AD1576" s="794"/>
    </row>
    <row r="1577" spans="30:30" ht="15.75" customHeight="1">
      <c r="AD1577" s="794"/>
    </row>
    <row r="1578" spans="30:30" ht="15.75" customHeight="1">
      <c r="AD1578" s="794"/>
    </row>
    <row r="1579" spans="30:30" ht="15.75" customHeight="1">
      <c r="AD1579" s="794"/>
    </row>
    <row r="1580" spans="30:30" ht="15.75" customHeight="1">
      <c r="AD1580" s="794"/>
    </row>
    <row r="1581" spans="30:30" ht="15.75" customHeight="1">
      <c r="AD1581" s="794"/>
    </row>
    <row r="1582" spans="30:30" ht="15.75" customHeight="1">
      <c r="AD1582" s="794"/>
    </row>
    <row r="1583" spans="30:30" ht="15.75" customHeight="1">
      <c r="AD1583" s="794"/>
    </row>
    <row r="1584" spans="30:30" ht="15.75" customHeight="1">
      <c r="AD1584" s="794"/>
    </row>
    <row r="1585" spans="30:30" ht="15.75" customHeight="1">
      <c r="AD1585" s="794"/>
    </row>
    <row r="1586" spans="30:30" ht="15.75" customHeight="1">
      <c r="AD1586" s="794"/>
    </row>
    <row r="1587" spans="30:30" ht="15.75" customHeight="1">
      <c r="AD1587" s="794"/>
    </row>
    <row r="1588" spans="30:30" ht="15.75" customHeight="1">
      <c r="AD1588" s="794"/>
    </row>
    <row r="1589" spans="30:30" ht="15.75" customHeight="1">
      <c r="AD1589" s="794"/>
    </row>
    <row r="1590" spans="30:30" ht="15.75" customHeight="1">
      <c r="AD1590" s="794"/>
    </row>
    <row r="1591" spans="30:30" ht="15.75" customHeight="1">
      <c r="AD1591" s="794"/>
    </row>
    <row r="1592" spans="30:30" ht="15.75" customHeight="1">
      <c r="AD1592" s="794"/>
    </row>
    <row r="1593" spans="30:30" ht="15.75" customHeight="1">
      <c r="AD1593" s="794"/>
    </row>
    <row r="1594" spans="30:30" ht="15.75" customHeight="1">
      <c r="AD1594" s="794"/>
    </row>
    <row r="1595" spans="30:30" ht="15.75" customHeight="1">
      <c r="AD1595" s="794"/>
    </row>
    <row r="1596" spans="30:30" ht="15.75" customHeight="1">
      <c r="AD1596" s="794"/>
    </row>
    <row r="1597" spans="30:30" ht="15.75" customHeight="1">
      <c r="AD1597" s="794"/>
    </row>
    <row r="1598" spans="30:30" ht="15.75" customHeight="1">
      <c r="AD1598" s="794"/>
    </row>
    <row r="1599" spans="30:30" ht="15.75" customHeight="1">
      <c r="AD1599" s="794"/>
    </row>
    <row r="1600" spans="30:30" ht="15.75" customHeight="1">
      <c r="AD1600" s="794"/>
    </row>
    <row r="1601" spans="30:30" ht="15.75" customHeight="1">
      <c r="AD1601" s="794"/>
    </row>
    <row r="1602" spans="30:30" ht="15.75" customHeight="1">
      <c r="AD1602" s="794"/>
    </row>
    <row r="1603" spans="30:30" ht="15.75" customHeight="1">
      <c r="AD1603" s="794"/>
    </row>
    <row r="1604" spans="30:30" ht="15.75" customHeight="1">
      <c r="AD1604" s="794"/>
    </row>
    <row r="1605" spans="30:30" ht="15.75" customHeight="1">
      <c r="AD1605" s="794"/>
    </row>
    <row r="1606" spans="30:30" ht="15.75" customHeight="1">
      <c r="AD1606" s="794"/>
    </row>
    <row r="1607" spans="30:30" ht="15.75" customHeight="1">
      <c r="AD1607" s="794"/>
    </row>
    <row r="1608" spans="30:30" ht="15.75" customHeight="1">
      <c r="AD1608" s="794"/>
    </row>
    <row r="1609" spans="30:30" ht="15.75" customHeight="1">
      <c r="AD1609" s="794"/>
    </row>
    <row r="1610" spans="30:30" ht="15.75" customHeight="1">
      <c r="AD1610" s="794"/>
    </row>
    <row r="1611" spans="30:30" ht="15.75" customHeight="1">
      <c r="AD1611" s="794"/>
    </row>
    <row r="1612" spans="30:30" ht="15.75" customHeight="1">
      <c r="AD1612" s="794"/>
    </row>
    <row r="1613" spans="30:30" ht="15.75" customHeight="1">
      <c r="AD1613" s="794"/>
    </row>
    <row r="1614" spans="30:30" ht="15.75" customHeight="1">
      <c r="AD1614" s="794"/>
    </row>
    <row r="1615" spans="30:30" ht="15.75" customHeight="1">
      <c r="AD1615" s="794"/>
    </row>
    <row r="1616" spans="30:30" ht="15.75" customHeight="1">
      <c r="AD1616" s="794"/>
    </row>
    <row r="1617" spans="30:30" ht="15.75" customHeight="1">
      <c r="AD1617" s="794"/>
    </row>
    <row r="1618" spans="30:30" ht="15.75" customHeight="1">
      <c r="AD1618" s="794"/>
    </row>
    <row r="1619" spans="30:30" ht="15.75" customHeight="1">
      <c r="AD1619" s="794"/>
    </row>
    <row r="1620" spans="30:30" ht="15.75" customHeight="1">
      <c r="AD1620" s="794"/>
    </row>
    <row r="1621" spans="30:30" ht="15.75" customHeight="1">
      <c r="AD1621" s="794"/>
    </row>
    <row r="1622" spans="30:30" ht="15.75" customHeight="1">
      <c r="AD1622" s="794"/>
    </row>
    <row r="1623" spans="30:30" ht="15.75" customHeight="1">
      <c r="AD1623" s="794"/>
    </row>
    <row r="1624" spans="30:30" ht="15.75" customHeight="1">
      <c r="AD1624" s="794"/>
    </row>
    <row r="1625" spans="30:30" ht="15.75" customHeight="1">
      <c r="AD1625" s="794"/>
    </row>
    <row r="1626" spans="30:30" ht="15.75" customHeight="1">
      <c r="AD1626" s="794"/>
    </row>
    <row r="1627" spans="30:30" ht="15.75" customHeight="1">
      <c r="AD1627" s="794"/>
    </row>
    <row r="1628" spans="30:30" ht="15.75" customHeight="1">
      <c r="AD1628" s="794"/>
    </row>
    <row r="1629" spans="30:30" ht="15.75" customHeight="1">
      <c r="AD1629" s="794"/>
    </row>
    <row r="1630" spans="30:30" ht="15.75" customHeight="1">
      <c r="AD1630" s="794"/>
    </row>
    <row r="1631" spans="30:30" ht="15.75" customHeight="1">
      <c r="AD1631" s="794"/>
    </row>
    <row r="1632" spans="30:30" ht="15.75" customHeight="1">
      <c r="AD1632" s="794"/>
    </row>
    <row r="1633" spans="30:30" ht="15.75" customHeight="1">
      <c r="AD1633" s="794"/>
    </row>
    <row r="1634" spans="30:30" ht="15.75" customHeight="1">
      <c r="AD1634" s="794"/>
    </row>
    <row r="1635" spans="30:30" ht="15.75" customHeight="1">
      <c r="AD1635" s="794"/>
    </row>
    <row r="1636" spans="30:30" ht="15.75" customHeight="1">
      <c r="AD1636" s="794"/>
    </row>
    <row r="1637" spans="30:30" ht="15.75" customHeight="1">
      <c r="AD1637" s="794"/>
    </row>
    <row r="1638" spans="30:30" ht="15.75" customHeight="1">
      <c r="AD1638" s="794"/>
    </row>
    <row r="1639" spans="30:30" ht="15.75" customHeight="1">
      <c r="AD1639" s="794"/>
    </row>
    <row r="1640" spans="30:30" ht="15.75" customHeight="1">
      <c r="AD1640" s="794"/>
    </row>
    <row r="1641" spans="30:30" ht="15.75" customHeight="1">
      <c r="AD1641" s="794"/>
    </row>
    <row r="1642" spans="30:30" ht="15.75" customHeight="1">
      <c r="AD1642" s="794"/>
    </row>
    <row r="1643" spans="30:30" ht="15.75" customHeight="1">
      <c r="AD1643" s="794"/>
    </row>
    <row r="1644" spans="30:30" ht="15.75" customHeight="1">
      <c r="AD1644" s="794"/>
    </row>
    <row r="1645" spans="30:30" ht="15.75" customHeight="1">
      <c r="AD1645" s="794"/>
    </row>
    <row r="1646" spans="30:30" ht="15.75" customHeight="1">
      <c r="AD1646" s="794"/>
    </row>
    <row r="1647" spans="30:30" ht="15.75" customHeight="1">
      <c r="AD1647" s="794"/>
    </row>
    <row r="1648" spans="30:30" ht="15.75" customHeight="1">
      <c r="AD1648" s="794"/>
    </row>
    <row r="1649" spans="30:30" ht="15.75" customHeight="1">
      <c r="AD1649" s="794"/>
    </row>
    <row r="1650" spans="30:30" ht="15.75" customHeight="1">
      <c r="AD1650" s="794"/>
    </row>
    <row r="1651" spans="30:30" ht="15.75" customHeight="1">
      <c r="AD1651" s="794"/>
    </row>
    <row r="1652" spans="30:30" ht="15.75" customHeight="1">
      <c r="AD1652" s="794"/>
    </row>
    <row r="1653" spans="30:30" ht="15.75" customHeight="1">
      <c r="AD1653" s="794"/>
    </row>
    <row r="1654" spans="30:30" ht="15.75" customHeight="1">
      <c r="AD1654" s="794"/>
    </row>
    <row r="1655" spans="30:30" ht="15.75" customHeight="1">
      <c r="AD1655" s="794"/>
    </row>
    <row r="1656" spans="30:30" ht="15.75" customHeight="1">
      <c r="AD1656" s="794"/>
    </row>
    <row r="1657" spans="30:30" ht="15.75" customHeight="1">
      <c r="AD1657" s="794"/>
    </row>
    <row r="1658" spans="30:30" ht="15.75" customHeight="1">
      <c r="AD1658" s="794"/>
    </row>
    <row r="1659" spans="30:30" ht="15.75" customHeight="1">
      <c r="AD1659" s="794"/>
    </row>
    <row r="1660" spans="30:30" ht="15.75" customHeight="1">
      <c r="AD1660" s="794"/>
    </row>
    <row r="1661" spans="30:30" ht="15.75" customHeight="1">
      <c r="AD1661" s="794"/>
    </row>
    <row r="1662" spans="30:30" ht="15.75" customHeight="1">
      <c r="AD1662" s="794"/>
    </row>
    <row r="1663" spans="30:30" ht="15.75" customHeight="1">
      <c r="AD1663" s="794"/>
    </row>
    <row r="1664" spans="30:30" ht="15.75" customHeight="1">
      <c r="AD1664" s="794"/>
    </row>
    <row r="1665" spans="30:30" ht="15.75" customHeight="1">
      <c r="AD1665" s="794"/>
    </row>
    <row r="1666" spans="30:30" ht="15.75" customHeight="1">
      <c r="AD1666" s="794"/>
    </row>
    <row r="1667" spans="30:30" ht="15.75" customHeight="1">
      <c r="AD1667" s="794"/>
    </row>
    <row r="1668" spans="30:30" ht="15.75" customHeight="1">
      <c r="AD1668" s="794"/>
    </row>
    <row r="1669" spans="30:30" ht="15.75" customHeight="1">
      <c r="AD1669" s="794"/>
    </row>
    <row r="1670" spans="30:30" ht="15.75" customHeight="1">
      <c r="AD1670" s="794"/>
    </row>
    <row r="1671" spans="30:30" ht="15.75" customHeight="1">
      <c r="AD1671" s="794"/>
    </row>
    <row r="1672" spans="30:30" ht="15.75" customHeight="1">
      <c r="AD1672" s="794"/>
    </row>
    <row r="1673" spans="30:30" ht="15.75" customHeight="1">
      <c r="AD1673" s="794"/>
    </row>
    <row r="1674" spans="30:30" ht="15.75" customHeight="1">
      <c r="AD1674" s="794"/>
    </row>
    <row r="1675" spans="30:30" ht="15.75" customHeight="1">
      <c r="AD1675" s="794"/>
    </row>
    <row r="1676" spans="30:30" ht="15.75" customHeight="1">
      <c r="AD1676" s="794"/>
    </row>
    <row r="1677" spans="30:30" ht="15.75" customHeight="1">
      <c r="AD1677" s="794"/>
    </row>
    <row r="1678" spans="30:30" ht="15.75" customHeight="1">
      <c r="AD1678" s="794"/>
    </row>
    <row r="1679" spans="30:30" ht="15.75" customHeight="1">
      <c r="AD1679" s="794"/>
    </row>
    <row r="1680" spans="30:30" ht="15.75" customHeight="1">
      <c r="AD1680" s="794"/>
    </row>
    <row r="1681" spans="30:30" ht="15.75" customHeight="1">
      <c r="AD1681" s="794"/>
    </row>
    <row r="1682" spans="30:30" ht="15.75" customHeight="1">
      <c r="AD1682" s="794"/>
    </row>
    <row r="1683" spans="30:30" ht="15.75" customHeight="1">
      <c r="AD1683" s="794"/>
    </row>
    <row r="1684" spans="30:30" ht="15.75" customHeight="1">
      <c r="AD1684" s="794"/>
    </row>
    <row r="1685" spans="30:30" ht="15.75" customHeight="1">
      <c r="AD1685" s="794"/>
    </row>
    <row r="1686" spans="30:30" ht="15.75" customHeight="1">
      <c r="AD1686" s="794"/>
    </row>
    <row r="1687" spans="30:30" ht="15.75" customHeight="1">
      <c r="AD1687" s="794"/>
    </row>
    <row r="1688" spans="30:30" ht="15.75" customHeight="1">
      <c r="AD1688" s="794"/>
    </row>
    <row r="1689" spans="30:30" ht="15.75" customHeight="1">
      <c r="AD1689" s="794"/>
    </row>
    <row r="1690" spans="30:30" ht="15.75" customHeight="1">
      <c r="AD1690" s="794"/>
    </row>
    <row r="1691" spans="30:30" ht="15.75" customHeight="1">
      <c r="AD1691" s="794"/>
    </row>
    <row r="1692" spans="30:30" ht="15.75" customHeight="1">
      <c r="AD1692" s="794"/>
    </row>
    <row r="1693" spans="30:30" ht="15.75" customHeight="1">
      <c r="AD1693" s="794"/>
    </row>
    <row r="1694" spans="30:30" ht="15.75" customHeight="1">
      <c r="AD1694" s="794"/>
    </row>
    <row r="1695" spans="30:30" ht="15.75" customHeight="1">
      <c r="AD1695" s="794"/>
    </row>
    <row r="1696" spans="30:30" ht="15.75" customHeight="1">
      <c r="AD1696" s="794"/>
    </row>
    <row r="1697" spans="30:30" ht="15.75" customHeight="1">
      <c r="AD1697" s="794"/>
    </row>
    <row r="1698" spans="30:30" ht="15.75" customHeight="1">
      <c r="AD1698" s="794"/>
    </row>
    <row r="1699" spans="30:30" ht="15.75" customHeight="1">
      <c r="AD1699" s="794"/>
    </row>
    <row r="1700" spans="30:30" ht="15.75" customHeight="1">
      <c r="AD1700" s="794"/>
    </row>
    <row r="1701" spans="30:30" ht="15.75" customHeight="1">
      <c r="AD1701" s="794"/>
    </row>
    <row r="1702" spans="30:30" ht="15.75" customHeight="1">
      <c r="AD1702" s="794"/>
    </row>
    <row r="1703" spans="30:30" ht="15.75" customHeight="1">
      <c r="AD1703" s="794"/>
    </row>
    <row r="1704" spans="30:30" ht="15.75" customHeight="1">
      <c r="AD1704" s="794"/>
    </row>
    <row r="1705" spans="30:30" ht="15.75" customHeight="1">
      <c r="AD1705" s="794"/>
    </row>
    <row r="1706" spans="30:30" ht="15.75" customHeight="1">
      <c r="AD1706" s="794"/>
    </row>
    <row r="1707" spans="30:30" ht="15.75" customHeight="1">
      <c r="AD1707" s="794"/>
    </row>
    <row r="1708" spans="30:30" ht="15.75" customHeight="1">
      <c r="AD1708" s="794"/>
    </row>
    <row r="1709" spans="30:30" ht="15.75" customHeight="1">
      <c r="AD1709" s="794"/>
    </row>
    <row r="1710" spans="30:30" ht="15.75" customHeight="1">
      <c r="AD1710" s="794"/>
    </row>
    <row r="1711" spans="30:30" ht="15.75" customHeight="1">
      <c r="AD1711" s="794"/>
    </row>
    <row r="1712" spans="30:30" ht="15.75" customHeight="1">
      <c r="AD1712" s="794"/>
    </row>
    <row r="1713" spans="30:30" ht="15.75" customHeight="1">
      <c r="AD1713" s="794"/>
    </row>
    <row r="1714" spans="30:30" ht="15.75" customHeight="1">
      <c r="AD1714" s="794"/>
    </row>
    <row r="1715" spans="30:30" ht="15.75" customHeight="1">
      <c r="AD1715" s="794"/>
    </row>
    <row r="1716" spans="30:30" ht="15.75" customHeight="1">
      <c r="AD1716" s="794"/>
    </row>
    <row r="1717" spans="30:30" ht="15.75" customHeight="1">
      <c r="AD1717" s="794"/>
    </row>
    <row r="1718" spans="30:30" ht="15.75" customHeight="1">
      <c r="AD1718" s="794"/>
    </row>
    <row r="1719" spans="30:30" ht="15.75" customHeight="1">
      <c r="AD1719" s="794"/>
    </row>
    <row r="1720" spans="30:30" ht="15.75" customHeight="1">
      <c r="AD1720" s="794"/>
    </row>
    <row r="1721" spans="30:30" ht="15.75" customHeight="1">
      <c r="AD1721" s="794"/>
    </row>
    <row r="1722" spans="30:30" ht="15.75" customHeight="1">
      <c r="AD1722" s="794"/>
    </row>
    <row r="1723" spans="30:30" ht="15.75" customHeight="1">
      <c r="AD1723" s="794"/>
    </row>
    <row r="1724" spans="30:30" ht="15.75" customHeight="1">
      <c r="AD1724" s="794"/>
    </row>
    <row r="1725" spans="30:30" ht="15.75" customHeight="1">
      <c r="AD1725" s="794"/>
    </row>
    <row r="1726" spans="30:30" ht="15.75" customHeight="1">
      <c r="AD1726" s="794"/>
    </row>
    <row r="1727" spans="30:30" ht="15.75" customHeight="1">
      <c r="AD1727" s="794"/>
    </row>
    <row r="1728" spans="30:30" ht="15.75" customHeight="1">
      <c r="AD1728" s="794"/>
    </row>
    <row r="1729" spans="30:30" ht="15.75" customHeight="1">
      <c r="AD1729" s="794"/>
    </row>
    <row r="1730" spans="30:30" ht="15.75" customHeight="1">
      <c r="AD1730" s="794"/>
    </row>
    <row r="1731" spans="30:30" ht="15.75" customHeight="1">
      <c r="AD1731" s="794"/>
    </row>
    <row r="1732" spans="30:30" ht="15.75" customHeight="1">
      <c r="AD1732" s="794"/>
    </row>
    <row r="1733" spans="30:30" ht="15.75" customHeight="1">
      <c r="AD1733" s="794"/>
    </row>
    <row r="1734" spans="30:30" ht="15.75" customHeight="1">
      <c r="AD1734" s="794"/>
    </row>
    <row r="1735" spans="30:30" ht="15.75" customHeight="1">
      <c r="AD1735" s="794"/>
    </row>
    <row r="1736" spans="30:30" ht="15.75" customHeight="1">
      <c r="AD1736" s="794"/>
    </row>
    <row r="1737" spans="30:30" ht="15.75" customHeight="1">
      <c r="AD1737" s="794"/>
    </row>
    <row r="1738" spans="30:30" ht="15.75" customHeight="1">
      <c r="AD1738" s="794"/>
    </row>
    <row r="1739" spans="30:30" ht="15.75" customHeight="1">
      <c r="AD1739" s="794"/>
    </row>
    <row r="1740" spans="30:30" ht="15.75" customHeight="1">
      <c r="AD1740" s="794"/>
    </row>
    <row r="1741" spans="30:30" ht="15.75" customHeight="1">
      <c r="AD1741" s="794"/>
    </row>
    <row r="1742" spans="30:30" ht="15.75" customHeight="1">
      <c r="AD1742" s="794"/>
    </row>
    <row r="1743" spans="30:30" ht="15.75" customHeight="1">
      <c r="AD1743" s="794"/>
    </row>
    <row r="1744" spans="30:30" ht="15.75" customHeight="1">
      <c r="AD1744" s="794"/>
    </row>
    <row r="1745" spans="30:30" ht="15.75" customHeight="1">
      <c r="AD1745" s="794"/>
    </row>
    <row r="1746" spans="30:30" ht="15.75" customHeight="1">
      <c r="AD1746" s="794"/>
    </row>
    <row r="1747" spans="30:30" ht="15.75" customHeight="1">
      <c r="AD1747" s="794"/>
    </row>
    <row r="1748" spans="30:30" ht="15.75" customHeight="1">
      <c r="AD1748" s="794"/>
    </row>
    <row r="1749" spans="30:30" ht="15.75" customHeight="1">
      <c r="AD1749" s="794"/>
    </row>
    <row r="1750" spans="30:30" ht="15.75" customHeight="1">
      <c r="AD1750" s="794"/>
    </row>
    <row r="1751" spans="30:30" ht="15.75" customHeight="1">
      <c r="AD1751" s="794"/>
    </row>
    <row r="1752" spans="30:30" ht="15.75" customHeight="1">
      <c r="AD1752" s="794"/>
    </row>
    <row r="1753" spans="30:30" ht="15.75" customHeight="1">
      <c r="AD1753" s="794"/>
    </row>
    <row r="1754" spans="30:30" ht="15.75" customHeight="1">
      <c r="AD1754" s="794"/>
    </row>
    <row r="1755" spans="30:30" ht="15.75" customHeight="1">
      <c r="AD1755" s="794"/>
    </row>
    <row r="1756" spans="30:30" ht="15.75" customHeight="1">
      <c r="AD1756" s="794"/>
    </row>
    <row r="1757" spans="30:30" ht="15.75" customHeight="1">
      <c r="AD1757" s="794"/>
    </row>
    <row r="1758" spans="30:30" ht="15.75" customHeight="1">
      <c r="AD1758" s="794"/>
    </row>
    <row r="1759" spans="30:30" ht="15.75" customHeight="1">
      <c r="AD1759" s="794"/>
    </row>
    <row r="1760" spans="30:30" ht="15.75" customHeight="1">
      <c r="AD1760" s="794"/>
    </row>
    <row r="1761" spans="30:30" ht="15.75" customHeight="1">
      <c r="AD1761" s="794"/>
    </row>
    <row r="1762" spans="30:30" ht="15.75" customHeight="1">
      <c r="AD1762" s="794"/>
    </row>
    <row r="1763" spans="30:30" ht="15.75" customHeight="1">
      <c r="AD1763" s="794"/>
    </row>
    <row r="1764" spans="30:30" ht="15.75" customHeight="1">
      <c r="AD1764" s="794"/>
    </row>
    <row r="1765" spans="30:30" ht="15.75" customHeight="1">
      <c r="AD1765" s="794"/>
    </row>
    <row r="1766" spans="30:30" ht="15.75" customHeight="1">
      <c r="AD1766" s="794"/>
    </row>
    <row r="1767" spans="30:30" ht="15.75" customHeight="1">
      <c r="AD1767" s="794"/>
    </row>
    <row r="1768" spans="30:30" ht="15.75" customHeight="1">
      <c r="AD1768" s="794"/>
    </row>
    <row r="1769" spans="30:30" ht="15.75" customHeight="1">
      <c r="AD1769" s="794"/>
    </row>
    <row r="1770" spans="30:30" ht="15.75" customHeight="1">
      <c r="AD1770" s="794"/>
    </row>
    <row r="1771" spans="30:30" ht="15.75" customHeight="1">
      <c r="AD1771" s="794"/>
    </row>
    <row r="1772" spans="30:30" ht="15.75" customHeight="1">
      <c r="AD1772" s="794"/>
    </row>
    <row r="1773" spans="30:30" ht="15.75" customHeight="1">
      <c r="AD1773" s="794"/>
    </row>
    <row r="1774" spans="30:30" ht="15.75" customHeight="1">
      <c r="AD1774" s="794"/>
    </row>
    <row r="1775" spans="30:30" ht="15.75" customHeight="1">
      <c r="AD1775" s="794"/>
    </row>
    <row r="1776" spans="30:30" ht="15.75" customHeight="1">
      <c r="AD1776" s="794"/>
    </row>
    <row r="1777" spans="30:30" ht="15.75" customHeight="1">
      <c r="AD1777" s="794"/>
    </row>
    <row r="1778" spans="30:30" ht="15.75" customHeight="1">
      <c r="AD1778" s="794"/>
    </row>
    <row r="1779" spans="30:30" ht="15.75" customHeight="1">
      <c r="AD1779" s="794"/>
    </row>
    <row r="1780" spans="30:30" ht="15.75" customHeight="1">
      <c r="AD1780" s="794"/>
    </row>
    <row r="1781" spans="30:30" ht="15.75" customHeight="1">
      <c r="AD1781" s="794"/>
    </row>
    <row r="1782" spans="30:30" ht="15.75" customHeight="1">
      <c r="AD1782" s="794"/>
    </row>
    <row r="1783" spans="30:30" ht="15.75" customHeight="1">
      <c r="AD1783" s="794"/>
    </row>
    <row r="1784" spans="30:30" ht="15.75" customHeight="1">
      <c r="AD1784" s="794"/>
    </row>
    <row r="1785" spans="30:30" ht="15.75" customHeight="1">
      <c r="AD1785" s="794"/>
    </row>
    <row r="1786" spans="30:30" ht="15.75" customHeight="1">
      <c r="AD1786" s="794"/>
    </row>
    <row r="1787" spans="30:30" ht="15.75" customHeight="1">
      <c r="AD1787" s="794"/>
    </row>
    <row r="1788" spans="30:30" ht="15.75" customHeight="1">
      <c r="AD1788" s="794"/>
    </row>
    <row r="1789" spans="30:30" ht="15.75" customHeight="1">
      <c r="AD1789" s="794"/>
    </row>
    <row r="1790" spans="30:30" ht="15.75" customHeight="1">
      <c r="AD1790" s="794"/>
    </row>
    <row r="1791" spans="30:30" ht="15.75" customHeight="1">
      <c r="AD1791" s="794"/>
    </row>
    <row r="1792" spans="30:30" ht="15.75" customHeight="1">
      <c r="AD1792" s="794"/>
    </row>
    <row r="1793" spans="30:30" ht="15.75" customHeight="1">
      <c r="AD1793" s="794"/>
    </row>
    <row r="1794" spans="30:30" ht="15.75" customHeight="1">
      <c r="AD1794" s="794"/>
    </row>
    <row r="1795" spans="30:30" ht="15.75" customHeight="1">
      <c r="AD1795" s="794"/>
    </row>
    <row r="1796" spans="30:30" ht="15.75" customHeight="1">
      <c r="AD1796" s="794"/>
    </row>
    <row r="1797" spans="30:30" ht="15.75" customHeight="1">
      <c r="AD1797" s="794"/>
    </row>
    <row r="1798" spans="30:30" ht="15.75" customHeight="1">
      <c r="AD1798" s="794"/>
    </row>
    <row r="1799" spans="30:30" ht="15.75" customHeight="1">
      <c r="AD1799" s="794"/>
    </row>
    <row r="1800" spans="30:30" ht="15.75" customHeight="1">
      <c r="AD1800" s="794"/>
    </row>
    <row r="1801" spans="30:30" ht="15.75" customHeight="1">
      <c r="AD1801" s="794"/>
    </row>
    <row r="1802" spans="30:30" ht="15.75" customHeight="1">
      <c r="AD1802" s="794"/>
    </row>
    <row r="1803" spans="30:30" ht="15.75" customHeight="1">
      <c r="AD1803" s="794"/>
    </row>
    <row r="1804" spans="30:30" ht="15.75" customHeight="1">
      <c r="AD1804" s="794"/>
    </row>
    <row r="1805" spans="30:30" ht="15.75" customHeight="1">
      <c r="AD1805" s="794"/>
    </row>
    <row r="1806" spans="30:30" ht="15.75" customHeight="1">
      <c r="AD1806" s="794"/>
    </row>
    <row r="1807" spans="30:30" ht="15.75" customHeight="1">
      <c r="AD1807" s="794"/>
    </row>
    <row r="1808" spans="30:30" ht="15.75" customHeight="1">
      <c r="AD1808" s="794"/>
    </row>
    <row r="1809" spans="30:30" ht="15.75" customHeight="1">
      <c r="AD1809" s="794"/>
    </row>
    <row r="1810" spans="30:30" ht="15.75" customHeight="1">
      <c r="AD1810" s="794"/>
    </row>
    <row r="1811" spans="30:30" ht="15.75" customHeight="1">
      <c r="AD1811" s="794"/>
    </row>
    <row r="1812" spans="30:30" ht="15.75" customHeight="1">
      <c r="AD1812" s="794"/>
    </row>
    <row r="1813" spans="30:30" ht="15.75" customHeight="1">
      <c r="AD1813" s="794"/>
    </row>
    <row r="1814" spans="30:30" ht="15.75" customHeight="1">
      <c r="AD1814" s="794"/>
    </row>
    <row r="1815" spans="30:30" ht="15.75" customHeight="1">
      <c r="AD1815" s="794"/>
    </row>
    <row r="1816" spans="30:30" ht="15.75" customHeight="1">
      <c r="AD1816" s="794"/>
    </row>
    <row r="1817" spans="30:30" ht="15.75" customHeight="1">
      <c r="AD1817" s="794"/>
    </row>
    <row r="1818" spans="30:30" ht="15.75" customHeight="1">
      <c r="AD1818" s="794"/>
    </row>
    <row r="1819" spans="30:30" ht="15.75" customHeight="1">
      <c r="AD1819" s="794"/>
    </row>
    <row r="1820" spans="30:30" ht="15.75" customHeight="1">
      <c r="AD1820" s="794"/>
    </row>
    <row r="1821" spans="30:30" ht="15.75" customHeight="1">
      <c r="AD1821" s="794"/>
    </row>
    <row r="1822" spans="30:30" ht="15.75" customHeight="1">
      <c r="AD1822" s="794"/>
    </row>
    <row r="1823" spans="30:30" ht="15.75" customHeight="1">
      <c r="AD1823" s="794"/>
    </row>
    <row r="1824" spans="30:30" ht="15.75" customHeight="1">
      <c r="AD1824" s="794"/>
    </row>
    <row r="1825" spans="30:30" ht="15.75" customHeight="1">
      <c r="AD1825" s="794"/>
    </row>
    <row r="1826" spans="30:30" ht="15.75" customHeight="1">
      <c r="AD1826" s="794"/>
    </row>
    <row r="1827" spans="30:30" ht="15.75" customHeight="1">
      <c r="AD1827" s="794"/>
    </row>
    <row r="1828" spans="30:30" ht="15.75" customHeight="1">
      <c r="AD1828" s="794"/>
    </row>
    <row r="1829" spans="30:30" ht="15.75" customHeight="1">
      <c r="AD1829" s="794"/>
    </row>
    <row r="1830" spans="30:30" ht="15.75" customHeight="1">
      <c r="AD1830" s="794"/>
    </row>
    <row r="1831" spans="30:30" ht="15.75" customHeight="1">
      <c r="AD1831" s="794"/>
    </row>
    <row r="1832" spans="30:30" ht="15.75" customHeight="1">
      <c r="AD1832" s="794"/>
    </row>
    <row r="1833" spans="30:30" ht="15.75" customHeight="1">
      <c r="AD1833" s="794"/>
    </row>
    <row r="1834" spans="30:30" ht="15.75" customHeight="1">
      <c r="AD1834" s="794"/>
    </row>
    <row r="1835" spans="30:30" ht="15.75" customHeight="1">
      <c r="AD1835" s="794"/>
    </row>
    <row r="1836" spans="30:30" ht="15.75" customHeight="1">
      <c r="AD1836" s="794"/>
    </row>
    <row r="1837" spans="30:30" ht="15.75" customHeight="1">
      <c r="AD1837" s="794"/>
    </row>
    <row r="1838" spans="30:30" ht="15.75" customHeight="1">
      <c r="AD1838" s="794"/>
    </row>
    <row r="1839" spans="30:30" ht="15.75" customHeight="1">
      <c r="AD1839" s="794"/>
    </row>
    <row r="1840" spans="30:30" ht="15.75" customHeight="1">
      <c r="AD1840" s="794"/>
    </row>
    <row r="1841" spans="30:30" ht="15.75" customHeight="1">
      <c r="AD1841" s="794"/>
    </row>
    <row r="1842" spans="30:30" ht="15.75" customHeight="1">
      <c r="AD1842" s="794"/>
    </row>
    <row r="1843" spans="30:30" ht="15.75" customHeight="1">
      <c r="AD1843" s="794"/>
    </row>
    <row r="1844" spans="30:30" ht="15.75" customHeight="1">
      <c r="AD1844" s="794"/>
    </row>
    <row r="1845" spans="30:30" ht="15.75" customHeight="1">
      <c r="AD1845" s="794"/>
    </row>
    <row r="1846" spans="30:30" ht="15.75" customHeight="1">
      <c r="AD1846" s="794"/>
    </row>
    <row r="1847" spans="30:30" ht="15.75" customHeight="1">
      <c r="AD1847" s="794"/>
    </row>
    <row r="1848" spans="30:30" ht="15.75" customHeight="1">
      <c r="AD1848" s="794"/>
    </row>
    <row r="1849" spans="30:30" ht="15.75" customHeight="1">
      <c r="AD1849" s="794"/>
    </row>
    <row r="1850" spans="30:30" ht="15.75" customHeight="1">
      <c r="AD1850" s="794"/>
    </row>
    <row r="1851" spans="30:30" ht="15.75" customHeight="1">
      <c r="AD1851" s="794"/>
    </row>
    <row r="1852" spans="30:30" ht="15.75" customHeight="1">
      <c r="AD1852" s="794"/>
    </row>
    <row r="1853" spans="30:30" ht="15.75" customHeight="1">
      <c r="AD1853" s="794"/>
    </row>
    <row r="1854" spans="30:30" ht="15.75" customHeight="1">
      <c r="AD1854" s="794"/>
    </row>
    <row r="1855" spans="30:30" ht="15.75" customHeight="1">
      <c r="AD1855" s="794"/>
    </row>
    <row r="1856" spans="30:30" ht="15.75" customHeight="1">
      <c r="AD1856" s="794"/>
    </row>
    <row r="1857" spans="30:30" ht="15.75" customHeight="1">
      <c r="AD1857" s="794"/>
    </row>
    <row r="1858" spans="30:30" ht="15.75" customHeight="1">
      <c r="AD1858" s="794"/>
    </row>
    <row r="1859" spans="30:30" ht="15.75" customHeight="1">
      <c r="AD1859" s="794"/>
    </row>
    <row r="1860" spans="30:30" ht="15.75" customHeight="1">
      <c r="AD1860" s="794"/>
    </row>
    <row r="1861" spans="30:30" ht="15.75" customHeight="1">
      <c r="AD1861" s="794"/>
    </row>
    <row r="1862" spans="30:30" ht="15.75" customHeight="1">
      <c r="AD1862" s="794"/>
    </row>
    <row r="1863" spans="30:30" ht="15.75" customHeight="1">
      <c r="AD1863" s="794"/>
    </row>
    <row r="1864" spans="30:30" ht="15.75" customHeight="1">
      <c r="AD1864" s="794"/>
    </row>
    <row r="1865" spans="30:30" ht="15.75" customHeight="1">
      <c r="AD1865" s="794"/>
    </row>
    <row r="1866" spans="30:30" ht="15.75" customHeight="1">
      <c r="AD1866" s="794"/>
    </row>
    <row r="1867" spans="30:30" ht="15.75" customHeight="1">
      <c r="AD1867" s="794"/>
    </row>
    <row r="1868" spans="30:30" ht="15.75" customHeight="1">
      <c r="AD1868" s="794"/>
    </row>
    <row r="1869" spans="30:30" ht="15.75" customHeight="1">
      <c r="AD1869" s="794"/>
    </row>
    <row r="1870" spans="30:30" ht="15.75" customHeight="1">
      <c r="AD1870" s="794"/>
    </row>
    <row r="1871" spans="30:30" ht="15.75" customHeight="1">
      <c r="AD1871" s="794"/>
    </row>
    <row r="1872" spans="30:30" ht="15.75" customHeight="1">
      <c r="AD1872" s="794"/>
    </row>
    <row r="1873" spans="30:30" ht="15.75" customHeight="1">
      <c r="AD1873" s="794"/>
    </row>
    <row r="1874" spans="30:30" ht="15.75" customHeight="1">
      <c r="AD1874" s="794"/>
    </row>
    <row r="1875" spans="30:30" ht="15.75" customHeight="1">
      <c r="AD1875" s="794"/>
    </row>
    <row r="1876" spans="30:30" ht="15.75" customHeight="1">
      <c r="AD1876" s="794"/>
    </row>
    <row r="1877" spans="30:30" ht="15.75" customHeight="1">
      <c r="AD1877" s="794"/>
    </row>
    <row r="1878" spans="30:30" ht="15.75" customHeight="1">
      <c r="AD1878" s="794"/>
    </row>
    <row r="1879" spans="30:30" ht="15.75" customHeight="1">
      <c r="AD1879" s="794"/>
    </row>
    <row r="1880" spans="30:30" ht="15.75" customHeight="1">
      <c r="AD1880" s="794"/>
    </row>
    <row r="1881" spans="30:30" ht="15.75" customHeight="1">
      <c r="AD1881" s="794"/>
    </row>
    <row r="1882" spans="30:30" ht="15.75" customHeight="1">
      <c r="AD1882" s="794"/>
    </row>
    <row r="1883" spans="30:30" ht="15.75" customHeight="1">
      <c r="AD1883" s="794"/>
    </row>
    <row r="1884" spans="30:30" ht="15.75" customHeight="1">
      <c r="AD1884" s="794"/>
    </row>
    <row r="1885" spans="30:30" ht="15.75" customHeight="1">
      <c r="AD1885" s="794"/>
    </row>
    <row r="1886" spans="30:30" ht="15.75" customHeight="1">
      <c r="AD1886" s="794"/>
    </row>
    <row r="1887" spans="30:30" ht="15.75" customHeight="1">
      <c r="AD1887" s="794"/>
    </row>
    <row r="1888" spans="30:30" ht="15.75" customHeight="1">
      <c r="AD1888" s="794"/>
    </row>
    <row r="1889" spans="30:30" ht="15.75" customHeight="1">
      <c r="AD1889" s="794"/>
    </row>
    <row r="1890" spans="30:30" ht="15.75" customHeight="1">
      <c r="AD1890" s="794"/>
    </row>
    <row r="1891" spans="30:30" ht="15.75" customHeight="1">
      <c r="AD1891" s="794"/>
    </row>
    <row r="1892" spans="30:30" ht="15.75" customHeight="1">
      <c r="AD1892" s="794"/>
    </row>
    <row r="1893" spans="30:30" ht="15.75" customHeight="1">
      <c r="AD1893" s="794"/>
    </row>
    <row r="1894" spans="30:30" ht="15.75" customHeight="1">
      <c r="AD1894" s="794"/>
    </row>
    <row r="1895" spans="30:30" ht="15.75" customHeight="1">
      <c r="AD1895" s="794"/>
    </row>
    <row r="1896" spans="30:30" ht="15.75" customHeight="1">
      <c r="AD1896" s="794"/>
    </row>
    <row r="1897" spans="30:30" ht="15.75" customHeight="1">
      <c r="AD1897" s="794"/>
    </row>
    <row r="1898" spans="30:30" ht="15.75" customHeight="1">
      <c r="AD1898" s="794"/>
    </row>
    <row r="1899" spans="30:30" ht="15.75" customHeight="1">
      <c r="AD1899" s="794"/>
    </row>
    <row r="1900" spans="30:30" ht="15.75" customHeight="1">
      <c r="AD1900" s="794"/>
    </row>
    <row r="1901" spans="30:30" ht="15.75" customHeight="1">
      <c r="AD1901" s="794"/>
    </row>
    <row r="1902" spans="30:30" ht="15.75" customHeight="1">
      <c r="AD1902" s="794"/>
    </row>
    <row r="1903" spans="30:30" ht="15.75" customHeight="1">
      <c r="AD1903" s="794"/>
    </row>
    <row r="1904" spans="30:30" ht="15.75" customHeight="1">
      <c r="AD1904" s="794"/>
    </row>
    <row r="1905" spans="30:30" ht="15.75" customHeight="1">
      <c r="AD1905" s="794"/>
    </row>
    <row r="1906" spans="30:30" ht="15.75" customHeight="1">
      <c r="AD1906" s="794"/>
    </row>
    <row r="1907" spans="30:30" ht="15.75" customHeight="1">
      <c r="AD1907" s="794"/>
    </row>
    <row r="1908" spans="30:30" ht="15.75" customHeight="1">
      <c r="AD1908" s="794"/>
    </row>
    <row r="1909" spans="30:30" ht="15.75" customHeight="1">
      <c r="AD1909" s="794"/>
    </row>
    <row r="1910" spans="30:30" ht="15.75" customHeight="1">
      <c r="AD1910" s="794"/>
    </row>
    <row r="1911" spans="30:30" ht="15.75" customHeight="1">
      <c r="AD1911" s="794"/>
    </row>
    <row r="1912" spans="30:30" ht="15.75" customHeight="1">
      <c r="AD1912" s="794"/>
    </row>
    <row r="1913" spans="30:30" ht="15.75" customHeight="1">
      <c r="AD1913" s="794"/>
    </row>
    <row r="1914" spans="30:30" ht="15.75" customHeight="1">
      <c r="AD1914" s="794"/>
    </row>
    <row r="1915" spans="30:30" ht="15.75" customHeight="1">
      <c r="AD1915" s="794"/>
    </row>
    <row r="1916" spans="30:30" ht="15.75" customHeight="1">
      <c r="AD1916" s="794"/>
    </row>
    <row r="1917" spans="30:30" ht="15.75" customHeight="1">
      <c r="AD1917" s="794"/>
    </row>
    <row r="1918" spans="30:30" ht="15.75" customHeight="1">
      <c r="AD1918" s="794"/>
    </row>
    <row r="1919" spans="30:30" ht="15.75" customHeight="1">
      <c r="AD1919" s="794"/>
    </row>
    <row r="1920" spans="30:30" ht="15.75" customHeight="1">
      <c r="AD1920" s="794"/>
    </row>
    <row r="1921" spans="30:30" ht="15.75" customHeight="1">
      <c r="AD1921" s="794"/>
    </row>
    <row r="1922" spans="30:30" ht="15.75" customHeight="1">
      <c r="AD1922" s="794"/>
    </row>
    <row r="1923" spans="30:30" ht="15.75" customHeight="1">
      <c r="AD1923" s="794"/>
    </row>
    <row r="1924" spans="30:30" ht="15.75" customHeight="1">
      <c r="AD1924" s="794"/>
    </row>
    <row r="1925" spans="30:30" ht="15.75" customHeight="1">
      <c r="AD1925" s="794"/>
    </row>
    <row r="1926" spans="30:30" ht="15.75" customHeight="1">
      <c r="AD1926" s="794"/>
    </row>
    <row r="1927" spans="30:30" ht="15.75" customHeight="1">
      <c r="AD1927" s="794"/>
    </row>
    <row r="1928" spans="30:30" ht="15.75" customHeight="1">
      <c r="AD1928" s="794"/>
    </row>
    <row r="1929" spans="30:30" ht="15.75" customHeight="1">
      <c r="AD1929" s="794"/>
    </row>
    <row r="1930" spans="30:30" ht="15.75" customHeight="1">
      <c r="AD1930" s="794"/>
    </row>
    <row r="1931" spans="30:30" ht="15.75" customHeight="1">
      <c r="AD1931" s="794"/>
    </row>
    <row r="1932" spans="30:30" ht="15.75" customHeight="1">
      <c r="AD1932" s="794"/>
    </row>
    <row r="1933" spans="30:30" ht="15.75" customHeight="1">
      <c r="AD1933" s="794"/>
    </row>
    <row r="1934" spans="30:30" ht="15.75" customHeight="1">
      <c r="AD1934" s="794"/>
    </row>
    <row r="1935" spans="30:30" ht="15.75" customHeight="1">
      <c r="AD1935" s="794"/>
    </row>
    <row r="1936" spans="30:30" ht="15.75" customHeight="1">
      <c r="AD1936" s="794"/>
    </row>
    <row r="1937" spans="30:30" ht="15.75" customHeight="1">
      <c r="AD1937" s="794"/>
    </row>
    <row r="1938" spans="30:30" ht="15.75" customHeight="1">
      <c r="AD1938" s="794"/>
    </row>
    <row r="1939" spans="30:30" ht="15.75" customHeight="1">
      <c r="AD1939" s="794"/>
    </row>
    <row r="1940" spans="30:30" ht="15.75" customHeight="1">
      <c r="AD1940" s="794"/>
    </row>
    <row r="1941" spans="30:30" ht="15.75" customHeight="1">
      <c r="AD1941" s="794"/>
    </row>
    <row r="1942" spans="30:30" ht="15.75" customHeight="1">
      <c r="AD1942" s="794"/>
    </row>
    <row r="1943" spans="30:30" ht="15.75" customHeight="1">
      <c r="AD1943" s="794"/>
    </row>
    <row r="1944" spans="30:30" ht="15.75" customHeight="1">
      <c r="AD1944" s="794"/>
    </row>
    <row r="1945" spans="30:30" ht="15.75" customHeight="1">
      <c r="AD1945" s="794"/>
    </row>
    <row r="1946" spans="30:30" ht="15.75" customHeight="1">
      <c r="AD1946" s="794"/>
    </row>
    <row r="1947" spans="30:30" ht="15.75" customHeight="1">
      <c r="AD1947" s="794"/>
    </row>
    <row r="1948" spans="30:30" ht="15.75" customHeight="1">
      <c r="AD1948" s="794"/>
    </row>
    <row r="1949" spans="30:30" ht="15.75" customHeight="1">
      <c r="AD1949" s="794"/>
    </row>
    <row r="1950" spans="30:30" ht="15.75" customHeight="1">
      <c r="AD1950" s="794"/>
    </row>
    <row r="1951" spans="30:30" ht="15.75" customHeight="1">
      <c r="AD1951" s="794"/>
    </row>
    <row r="1952" spans="30:30" ht="15.75" customHeight="1">
      <c r="AD1952" s="794"/>
    </row>
    <row r="1953" spans="30:30" ht="15.75" customHeight="1">
      <c r="AD1953" s="794"/>
    </row>
    <row r="1954" spans="30:30" ht="15.75" customHeight="1">
      <c r="AD1954" s="794"/>
    </row>
    <row r="1955" spans="30:30" ht="15.75" customHeight="1">
      <c r="AD1955" s="794"/>
    </row>
    <row r="1956" spans="30:30" ht="15.75" customHeight="1">
      <c r="AD1956" s="794"/>
    </row>
    <row r="1957" spans="30:30" ht="15.75" customHeight="1">
      <c r="AD1957" s="794"/>
    </row>
    <row r="1958" spans="30:30" ht="15.75" customHeight="1">
      <c r="AD1958" s="794"/>
    </row>
    <row r="1959" spans="30:30" ht="15.75" customHeight="1">
      <c r="AD1959" s="794"/>
    </row>
    <row r="1960" spans="30:30" ht="15.75" customHeight="1">
      <c r="AD1960" s="794"/>
    </row>
    <row r="1961" spans="30:30" ht="15.75" customHeight="1">
      <c r="AD1961" s="794"/>
    </row>
    <row r="1962" spans="30:30" ht="15.75" customHeight="1">
      <c r="AD1962" s="794"/>
    </row>
    <row r="1963" spans="30:30" ht="15.75" customHeight="1">
      <c r="AD1963" s="794"/>
    </row>
    <row r="1964" spans="30:30" ht="15.75" customHeight="1">
      <c r="AD1964" s="794"/>
    </row>
    <row r="1965" spans="30:30" ht="15.75" customHeight="1">
      <c r="AD1965" s="794"/>
    </row>
    <row r="1966" spans="30:30" ht="15.75" customHeight="1">
      <c r="AD1966" s="794"/>
    </row>
    <row r="1967" spans="30:30" ht="15.75" customHeight="1">
      <c r="AD1967" s="794"/>
    </row>
    <row r="1968" spans="30:30" ht="15.75" customHeight="1">
      <c r="AD1968" s="794"/>
    </row>
    <row r="1969" spans="30:30" ht="15.75" customHeight="1">
      <c r="AD1969" s="794"/>
    </row>
    <row r="1970" spans="30:30" ht="15.75" customHeight="1">
      <c r="AD1970" s="794"/>
    </row>
    <row r="1971" spans="30:30" ht="15.75" customHeight="1">
      <c r="AD1971" s="794"/>
    </row>
    <row r="1972" spans="30:30" ht="15.75" customHeight="1">
      <c r="AD1972" s="794"/>
    </row>
    <row r="1973" spans="30:30" ht="15.75" customHeight="1">
      <c r="AD1973" s="794"/>
    </row>
    <row r="1974" spans="30:30" ht="15.75" customHeight="1">
      <c r="AD1974" s="794"/>
    </row>
    <row r="1975" spans="30:30" ht="15.75" customHeight="1">
      <c r="AD1975" s="794"/>
    </row>
    <row r="1976" spans="30:30" ht="15.75" customHeight="1">
      <c r="AD1976" s="794"/>
    </row>
    <row r="1977" spans="30:30" ht="15.75" customHeight="1">
      <c r="AD1977" s="794"/>
    </row>
    <row r="1978" spans="30:30" ht="15.75" customHeight="1">
      <c r="AD1978" s="794"/>
    </row>
    <row r="1979" spans="30:30" ht="15.75" customHeight="1">
      <c r="AD1979" s="794"/>
    </row>
    <row r="1980" spans="30:30" ht="15.75" customHeight="1">
      <c r="AD1980" s="794"/>
    </row>
    <row r="1981" spans="30:30" ht="15.75" customHeight="1">
      <c r="AD1981" s="794"/>
    </row>
    <row r="1982" spans="30:30" ht="15.75" customHeight="1">
      <c r="AD1982" s="794"/>
    </row>
    <row r="1983" spans="30:30" ht="15.75" customHeight="1">
      <c r="AD1983" s="794"/>
    </row>
    <row r="1984" spans="30:30" ht="15.75" customHeight="1">
      <c r="AD1984" s="794"/>
    </row>
    <row r="1985" spans="30:30" ht="15.75" customHeight="1">
      <c r="AD1985" s="794"/>
    </row>
    <row r="1986" spans="30:30" ht="15.75" customHeight="1">
      <c r="AD1986" s="794"/>
    </row>
    <row r="1987" spans="30:30" ht="15.75" customHeight="1">
      <c r="AD1987" s="794"/>
    </row>
    <row r="1988" spans="30:30" ht="15.75" customHeight="1">
      <c r="AD1988" s="794"/>
    </row>
    <row r="1989" spans="30:30" ht="15.75" customHeight="1">
      <c r="AD1989" s="794"/>
    </row>
    <row r="1990" spans="30:30" ht="15.75" customHeight="1">
      <c r="AD1990" s="794"/>
    </row>
    <row r="1991" spans="30:30" ht="15.75" customHeight="1">
      <c r="AD1991" s="794"/>
    </row>
    <row r="1992" spans="30:30" ht="15.75" customHeight="1">
      <c r="AD1992" s="794"/>
    </row>
    <row r="1993" spans="30:30" ht="15.75" customHeight="1">
      <c r="AD1993" s="794"/>
    </row>
    <row r="1994" spans="30:30" ht="15.75" customHeight="1">
      <c r="AD1994" s="794"/>
    </row>
    <row r="1995" spans="30:30" ht="15.75" customHeight="1">
      <c r="AD1995" s="794"/>
    </row>
    <row r="1996" spans="30:30" ht="15.75" customHeight="1">
      <c r="AD1996" s="794"/>
    </row>
    <row r="1997" spans="30:30" ht="15.75" customHeight="1">
      <c r="AD1997" s="794"/>
    </row>
    <row r="1998" spans="30:30" ht="15.75" customHeight="1">
      <c r="AD1998" s="794"/>
    </row>
    <row r="1999" spans="30:30" ht="15.75" customHeight="1">
      <c r="AD1999" s="794"/>
    </row>
    <row r="2000" spans="30:30" ht="15.75" customHeight="1">
      <c r="AD2000" s="794"/>
    </row>
    <row r="2001" spans="30:30" ht="15.75" customHeight="1">
      <c r="AD2001" s="794"/>
    </row>
    <row r="2002" spans="30:30" ht="15.75" customHeight="1">
      <c r="AD2002" s="794"/>
    </row>
    <row r="2003" spans="30:30" ht="15.75" customHeight="1">
      <c r="AD2003" s="794"/>
    </row>
    <row r="2004" spans="30:30" ht="15.75" customHeight="1">
      <c r="AD2004" s="794"/>
    </row>
    <row r="2005" spans="30:30" ht="15.75" customHeight="1">
      <c r="AD2005" s="794"/>
    </row>
    <row r="2006" spans="30:30" ht="15.75" customHeight="1">
      <c r="AD2006" s="794"/>
    </row>
    <row r="2007" spans="30:30" ht="15.75" customHeight="1">
      <c r="AD2007" s="794"/>
    </row>
    <row r="2008" spans="30:30" ht="15.75" customHeight="1">
      <c r="AD2008" s="794"/>
    </row>
    <row r="2009" spans="30:30" ht="15.75" customHeight="1">
      <c r="AD2009" s="794"/>
    </row>
    <row r="2010" spans="30:30" ht="15.75" customHeight="1">
      <c r="AD2010" s="794"/>
    </row>
    <row r="2011" spans="30:30" ht="15.75" customHeight="1">
      <c r="AD2011" s="794"/>
    </row>
    <row r="2012" spans="30:30" ht="15.75" customHeight="1">
      <c r="AD2012" s="794"/>
    </row>
    <row r="2013" spans="30:30" ht="15.75" customHeight="1">
      <c r="AD2013" s="794"/>
    </row>
    <row r="2014" spans="30:30" ht="15.75" customHeight="1">
      <c r="AD2014" s="794"/>
    </row>
    <row r="2015" spans="30:30" ht="15.75" customHeight="1">
      <c r="AD2015" s="794"/>
    </row>
    <row r="2016" spans="30:30" ht="15.75" customHeight="1">
      <c r="AD2016" s="794"/>
    </row>
    <row r="2017" spans="30:30" ht="15.75" customHeight="1">
      <c r="AD2017" s="794"/>
    </row>
    <row r="2018" spans="30:30" ht="15.75" customHeight="1">
      <c r="AD2018" s="794"/>
    </row>
    <row r="2019" spans="30:30" ht="15.75" customHeight="1">
      <c r="AD2019" s="794"/>
    </row>
    <row r="2020" spans="30:30" ht="15.75" customHeight="1">
      <c r="AD2020" s="794"/>
    </row>
    <row r="2021" spans="30:30" ht="15.75" customHeight="1">
      <c r="AD2021" s="794"/>
    </row>
    <row r="2022" spans="30:30" ht="15.75" customHeight="1">
      <c r="AD2022" s="794"/>
    </row>
    <row r="2023" spans="30:30" ht="15.75" customHeight="1">
      <c r="AD2023" s="794"/>
    </row>
    <row r="2024" spans="30:30" ht="15.75" customHeight="1">
      <c r="AD2024" s="794"/>
    </row>
    <row r="2025" spans="30:30" ht="15.75" customHeight="1">
      <c r="AD2025" s="794"/>
    </row>
    <row r="2026" spans="30:30" ht="15.75" customHeight="1">
      <c r="AD2026" s="794"/>
    </row>
    <row r="2027" spans="30:30" ht="15.75" customHeight="1">
      <c r="AD2027" s="794"/>
    </row>
    <row r="2028" spans="30:30" ht="15.75" customHeight="1">
      <c r="AD2028" s="794"/>
    </row>
    <row r="2029" spans="30:30" ht="15.75" customHeight="1">
      <c r="AD2029" s="794"/>
    </row>
    <row r="2030" spans="30:30" ht="15.75" customHeight="1">
      <c r="AD2030" s="794"/>
    </row>
    <row r="2031" spans="30:30" ht="15.75" customHeight="1">
      <c r="AD2031" s="794"/>
    </row>
    <row r="2032" spans="30:30" ht="15.75" customHeight="1">
      <c r="AD2032" s="794"/>
    </row>
    <row r="2033" spans="30:30" ht="15.75" customHeight="1">
      <c r="AD2033" s="794"/>
    </row>
    <row r="2034" spans="30:30" ht="15.75" customHeight="1">
      <c r="AD2034" s="794"/>
    </row>
    <row r="2035" spans="30:30" ht="15.75" customHeight="1">
      <c r="AD2035" s="794"/>
    </row>
    <row r="2036" spans="30:30" ht="15.75" customHeight="1">
      <c r="AD2036" s="794"/>
    </row>
    <row r="2037" spans="30:30" ht="15.75" customHeight="1">
      <c r="AD2037" s="794"/>
    </row>
    <row r="2038" spans="30:30" ht="15.75" customHeight="1">
      <c r="AD2038" s="794"/>
    </row>
    <row r="2039" spans="30:30" ht="15.75" customHeight="1">
      <c r="AD2039" s="794"/>
    </row>
    <row r="2040" spans="30:30" ht="15.75" customHeight="1">
      <c r="AD2040" s="794"/>
    </row>
    <row r="2041" spans="30:30" ht="15.75" customHeight="1">
      <c r="AD2041" s="794"/>
    </row>
    <row r="2042" spans="30:30" ht="15.75" customHeight="1">
      <c r="AD2042" s="794"/>
    </row>
    <row r="2043" spans="30:30" ht="15.75" customHeight="1">
      <c r="AD2043" s="794"/>
    </row>
    <row r="2044" spans="30:30" ht="15.75" customHeight="1">
      <c r="AD2044" s="794"/>
    </row>
    <row r="2045" spans="30:30" ht="15.75" customHeight="1">
      <c r="AD2045" s="794"/>
    </row>
    <row r="2046" spans="30:30" ht="15.75" customHeight="1">
      <c r="AD2046" s="794"/>
    </row>
    <row r="2047" spans="30:30" ht="15.75" customHeight="1">
      <c r="AD2047" s="794"/>
    </row>
    <row r="2048" spans="30:30" ht="15.75" customHeight="1">
      <c r="AD2048" s="794"/>
    </row>
    <row r="2049" spans="30:30" ht="15.75" customHeight="1">
      <c r="AD2049" s="794"/>
    </row>
    <row r="2050" spans="30:30" ht="15.75" customHeight="1">
      <c r="AD2050" s="794"/>
    </row>
    <row r="2051" spans="30:30" ht="15.75" customHeight="1">
      <c r="AD2051" s="794"/>
    </row>
    <row r="2052" spans="30:30" ht="15.75" customHeight="1">
      <c r="AD2052" s="794"/>
    </row>
    <row r="2053" spans="30:30" ht="15.75" customHeight="1">
      <c r="AD2053" s="794"/>
    </row>
    <row r="2054" spans="30:30" ht="15.75" customHeight="1">
      <c r="AD2054" s="794"/>
    </row>
    <row r="2055" spans="30:30" ht="15.75" customHeight="1">
      <c r="AD2055" s="794"/>
    </row>
    <row r="2056" spans="30:30" ht="15.75" customHeight="1">
      <c r="AD2056" s="794"/>
    </row>
    <row r="2057" spans="30:30" ht="15.75" customHeight="1">
      <c r="AD2057" s="794"/>
    </row>
    <row r="2058" spans="30:30" ht="15.75" customHeight="1">
      <c r="AD2058" s="794"/>
    </row>
    <row r="2059" spans="30:30" ht="15.75" customHeight="1">
      <c r="AD2059" s="794"/>
    </row>
    <row r="2060" spans="30:30" ht="15.75" customHeight="1">
      <c r="AD2060" s="794"/>
    </row>
    <row r="2061" spans="30:30" ht="15.75" customHeight="1">
      <c r="AD2061" s="794"/>
    </row>
    <row r="2062" spans="30:30" ht="15.75" customHeight="1">
      <c r="AD2062" s="794"/>
    </row>
    <row r="2063" spans="30:30" ht="15.75" customHeight="1">
      <c r="AD2063" s="794"/>
    </row>
    <row r="2064" spans="30:30" ht="15.75" customHeight="1">
      <c r="AD2064" s="794"/>
    </row>
    <row r="2065" spans="30:30" ht="15.75" customHeight="1">
      <c r="AD2065" s="794"/>
    </row>
    <row r="2066" spans="30:30" ht="15.75" customHeight="1">
      <c r="AD2066" s="794"/>
    </row>
    <row r="2067" spans="30:30" ht="15.75" customHeight="1">
      <c r="AD2067" s="794"/>
    </row>
    <row r="2068" spans="30:30" ht="15.75" customHeight="1">
      <c r="AD2068" s="794"/>
    </row>
    <row r="2069" spans="30:30" ht="15.75" customHeight="1">
      <c r="AD2069" s="794"/>
    </row>
    <row r="2070" spans="30:30" ht="15.75" customHeight="1">
      <c r="AD2070" s="794"/>
    </row>
    <row r="2071" spans="30:30" ht="15.75" customHeight="1">
      <c r="AD2071" s="794"/>
    </row>
    <row r="2072" spans="30:30" ht="15.75" customHeight="1">
      <c r="AD2072" s="794"/>
    </row>
    <row r="2073" spans="30:30" ht="15.75" customHeight="1">
      <c r="AD2073" s="794"/>
    </row>
    <row r="2074" spans="30:30" ht="15.75" customHeight="1">
      <c r="AD2074" s="794"/>
    </row>
    <row r="2075" spans="30:30" ht="15.75" customHeight="1">
      <c r="AD2075" s="794"/>
    </row>
    <row r="2076" spans="30:30" ht="15.75" customHeight="1">
      <c r="AD2076" s="794"/>
    </row>
    <row r="2077" spans="30:30" ht="15.75" customHeight="1">
      <c r="AD2077" s="794"/>
    </row>
    <row r="2078" spans="30:30" ht="15.75" customHeight="1">
      <c r="AD2078" s="794"/>
    </row>
    <row r="2079" spans="30:30" ht="15.75" customHeight="1">
      <c r="AD2079" s="794"/>
    </row>
    <row r="2080" spans="30:30" ht="15.75" customHeight="1">
      <c r="AD2080" s="794"/>
    </row>
    <row r="2081" spans="30:30" ht="15.75" customHeight="1">
      <c r="AD2081" s="794"/>
    </row>
    <row r="2082" spans="30:30" ht="15.75" customHeight="1">
      <c r="AD2082" s="794"/>
    </row>
    <row r="2083" spans="30:30" ht="15.75" customHeight="1">
      <c r="AD2083" s="794"/>
    </row>
    <row r="2084" spans="30:30" ht="15.75" customHeight="1">
      <c r="AD2084" s="794"/>
    </row>
    <row r="2085" spans="30:30" ht="15.75" customHeight="1">
      <c r="AD2085" s="794"/>
    </row>
    <row r="2086" spans="30:30" ht="15.75" customHeight="1">
      <c r="AD2086" s="794"/>
    </row>
    <row r="2087" spans="30:30" ht="15.75" customHeight="1">
      <c r="AD2087" s="794"/>
    </row>
    <row r="2088" spans="30:30" ht="15.75" customHeight="1">
      <c r="AD2088" s="794"/>
    </row>
    <row r="2089" spans="30:30" ht="15.75" customHeight="1">
      <c r="AD2089" s="794"/>
    </row>
    <row r="2090" spans="30:30" ht="15.75" customHeight="1">
      <c r="AD2090" s="794"/>
    </row>
    <row r="2091" spans="30:30" ht="15.75" customHeight="1">
      <c r="AD2091" s="794"/>
    </row>
    <row r="2092" spans="30:30" ht="15.75" customHeight="1">
      <c r="AD2092" s="794"/>
    </row>
    <row r="2093" spans="30:30" ht="15.75" customHeight="1">
      <c r="AD2093" s="794"/>
    </row>
    <row r="2094" spans="30:30" ht="15.75" customHeight="1">
      <c r="AD2094" s="794"/>
    </row>
    <row r="2095" spans="30:30" ht="15.75" customHeight="1">
      <c r="AD2095" s="794"/>
    </row>
    <row r="2096" spans="30:30" ht="15.75" customHeight="1">
      <c r="AD2096" s="794"/>
    </row>
    <row r="2097" spans="30:30" ht="15.75" customHeight="1">
      <c r="AD2097" s="794"/>
    </row>
    <row r="2098" spans="30:30" ht="15.75" customHeight="1">
      <c r="AD2098" s="794"/>
    </row>
    <row r="2099" spans="30:30" ht="15.75" customHeight="1">
      <c r="AD2099" s="794"/>
    </row>
    <row r="2100" spans="30:30" ht="15.75" customHeight="1">
      <c r="AD2100" s="794"/>
    </row>
    <row r="2101" spans="30:30" ht="15.75" customHeight="1">
      <c r="AD2101" s="794"/>
    </row>
    <row r="2102" spans="30:30" ht="15.75" customHeight="1">
      <c r="AD2102" s="794"/>
    </row>
    <row r="2103" spans="30:30" ht="15.75" customHeight="1">
      <c r="AD2103" s="794"/>
    </row>
    <row r="2104" spans="30:30" ht="15.75" customHeight="1">
      <c r="AD2104" s="794"/>
    </row>
    <row r="2105" spans="30:30" ht="15.75" customHeight="1">
      <c r="AD2105" s="794"/>
    </row>
    <row r="2106" spans="30:30" ht="15.75" customHeight="1">
      <c r="AD2106" s="794"/>
    </row>
    <row r="2107" spans="30:30" ht="15.75" customHeight="1">
      <c r="AD2107" s="794"/>
    </row>
    <row r="2108" spans="30:30" ht="15.75" customHeight="1">
      <c r="AD2108" s="794"/>
    </row>
    <row r="2109" spans="30:30" ht="15.75" customHeight="1">
      <c r="AD2109" s="794"/>
    </row>
    <row r="2110" spans="30:30" ht="15.75" customHeight="1">
      <c r="AD2110" s="794"/>
    </row>
    <row r="2111" spans="30:30" ht="15.75" customHeight="1">
      <c r="AD2111" s="794"/>
    </row>
    <row r="2112" spans="30:30" ht="15.75" customHeight="1">
      <c r="AD2112" s="794"/>
    </row>
    <row r="2113" spans="30:30" ht="15.75" customHeight="1">
      <c r="AD2113" s="794"/>
    </row>
    <row r="2114" spans="30:30" ht="15.75" customHeight="1">
      <c r="AD2114" s="794"/>
    </row>
    <row r="2115" spans="30:30" ht="15.75" customHeight="1">
      <c r="AD2115" s="794"/>
    </row>
    <row r="2116" spans="30:30" ht="15.75" customHeight="1">
      <c r="AD2116" s="794"/>
    </row>
    <row r="2117" spans="30:30" ht="15.75" customHeight="1">
      <c r="AD2117" s="794"/>
    </row>
    <row r="2118" spans="30:30" ht="15.75" customHeight="1">
      <c r="AD2118" s="794"/>
    </row>
    <row r="2119" spans="30:30" ht="15.75" customHeight="1">
      <c r="AD2119" s="794"/>
    </row>
    <row r="2120" spans="30:30" ht="15.75" customHeight="1">
      <c r="AD2120" s="794"/>
    </row>
    <row r="2121" spans="30:30" ht="15.75" customHeight="1">
      <c r="AD2121" s="794"/>
    </row>
    <row r="2122" spans="30:30" ht="15.75" customHeight="1">
      <c r="AD2122" s="794"/>
    </row>
    <row r="2123" spans="30:30" ht="15.75" customHeight="1">
      <c r="AD2123" s="794"/>
    </row>
    <row r="2124" spans="30:30" ht="15.75" customHeight="1">
      <c r="AD2124" s="794"/>
    </row>
    <row r="2125" spans="30:30" ht="15.75" customHeight="1">
      <c r="AD2125" s="794"/>
    </row>
    <row r="2126" spans="30:30" ht="15.75" customHeight="1">
      <c r="AD2126" s="794"/>
    </row>
    <row r="2127" spans="30:30" ht="15.75" customHeight="1">
      <c r="AD2127" s="794"/>
    </row>
    <row r="2128" spans="30:30" ht="15.75" customHeight="1">
      <c r="AD2128" s="794"/>
    </row>
    <row r="2129" spans="30:30" ht="15.75" customHeight="1">
      <c r="AD2129" s="794"/>
    </row>
    <row r="2130" spans="30:30" ht="15.75" customHeight="1">
      <c r="AD2130" s="794"/>
    </row>
    <row r="2131" spans="30:30" ht="15.75" customHeight="1">
      <c r="AD2131" s="794"/>
    </row>
    <row r="2132" spans="30:30" ht="15.75" customHeight="1">
      <c r="AD2132" s="794"/>
    </row>
    <row r="2133" spans="30:30" ht="15.75" customHeight="1">
      <c r="AD2133" s="794"/>
    </row>
    <row r="2134" spans="30:30" ht="15.75" customHeight="1">
      <c r="AD2134" s="794"/>
    </row>
    <row r="2135" spans="30:30" ht="15.75" customHeight="1">
      <c r="AD2135" s="794"/>
    </row>
    <row r="2136" spans="30:30" ht="15.75" customHeight="1">
      <c r="AD2136" s="794"/>
    </row>
    <row r="2137" spans="30:30" ht="15.75" customHeight="1">
      <c r="AD2137" s="794"/>
    </row>
    <row r="2138" spans="30:30" ht="15.75" customHeight="1">
      <c r="AD2138" s="794"/>
    </row>
    <row r="2139" spans="30:30" ht="15.75" customHeight="1">
      <c r="AD2139" s="794"/>
    </row>
    <row r="2140" spans="30:30" ht="15.75" customHeight="1">
      <c r="AD2140" s="794"/>
    </row>
    <row r="2141" spans="30:30" ht="15.75" customHeight="1">
      <c r="AD2141" s="794"/>
    </row>
    <row r="2142" spans="30:30" ht="15.75" customHeight="1">
      <c r="AD2142" s="794"/>
    </row>
    <row r="2143" spans="30:30" ht="15.75" customHeight="1">
      <c r="AD2143" s="794"/>
    </row>
    <row r="2144" spans="30:30" ht="15.75" customHeight="1">
      <c r="AD2144" s="794"/>
    </row>
    <row r="2145" spans="30:30" ht="15.75" customHeight="1">
      <c r="AD2145" s="794"/>
    </row>
    <row r="2146" spans="30:30" ht="15.75" customHeight="1">
      <c r="AD2146" s="794"/>
    </row>
    <row r="2147" spans="30:30" ht="15.75" customHeight="1">
      <c r="AD2147" s="794"/>
    </row>
    <row r="2148" spans="30:30" ht="15.75" customHeight="1">
      <c r="AD2148" s="794"/>
    </row>
    <row r="2149" spans="30:30" ht="15.75" customHeight="1">
      <c r="AD2149" s="794"/>
    </row>
    <row r="2150" spans="30:30" ht="15.75" customHeight="1">
      <c r="AD2150" s="794"/>
    </row>
    <row r="2151" spans="30:30" ht="15.75" customHeight="1">
      <c r="AD2151" s="794"/>
    </row>
    <row r="2152" spans="30:30" ht="15.75" customHeight="1">
      <c r="AD2152" s="794"/>
    </row>
    <row r="2153" spans="30:30" ht="15.75" customHeight="1">
      <c r="AD2153" s="794"/>
    </row>
    <row r="2154" spans="30:30" ht="15.75" customHeight="1">
      <c r="AD2154" s="794"/>
    </row>
    <row r="2155" spans="30:30" ht="15.75" customHeight="1">
      <c r="AD2155" s="794"/>
    </row>
    <row r="2156" spans="30:30" ht="15.75" customHeight="1">
      <c r="AD2156" s="794"/>
    </row>
    <row r="2157" spans="30:30" ht="15.75" customHeight="1">
      <c r="AD2157" s="794"/>
    </row>
    <row r="2158" spans="30:30" ht="15.75" customHeight="1">
      <c r="AD2158" s="794"/>
    </row>
    <row r="2159" spans="30:30" ht="15.75" customHeight="1">
      <c r="AD2159" s="794"/>
    </row>
    <row r="2160" spans="30:30" ht="15.75" customHeight="1">
      <c r="AD2160" s="794"/>
    </row>
    <row r="2161" spans="30:30" ht="15.75" customHeight="1">
      <c r="AD2161" s="794"/>
    </row>
    <row r="2162" spans="30:30" ht="15.75" customHeight="1">
      <c r="AD2162" s="794"/>
    </row>
    <row r="2163" spans="30:30" ht="15.75" customHeight="1">
      <c r="AD2163" s="794"/>
    </row>
    <row r="2164" spans="30:30" ht="15.75" customHeight="1">
      <c r="AD2164" s="794"/>
    </row>
    <row r="2165" spans="30:30" ht="15.75" customHeight="1">
      <c r="AD2165" s="794"/>
    </row>
    <row r="2166" spans="30:30" ht="15.75" customHeight="1">
      <c r="AD2166" s="794"/>
    </row>
    <row r="2167" spans="30:30" ht="15.75" customHeight="1">
      <c r="AD2167" s="794"/>
    </row>
    <row r="2168" spans="30:30" ht="15.75" customHeight="1">
      <c r="AD2168" s="794"/>
    </row>
    <row r="2169" spans="30:30" ht="15.75" customHeight="1">
      <c r="AD2169" s="794"/>
    </row>
    <row r="2170" spans="30:30" ht="15.75" customHeight="1">
      <c r="AD2170" s="794"/>
    </row>
    <row r="2171" spans="30:30" ht="15.75" customHeight="1">
      <c r="AD2171" s="794"/>
    </row>
    <row r="2172" spans="30:30" ht="15.75" customHeight="1">
      <c r="AD2172" s="794"/>
    </row>
    <row r="2173" spans="30:30" ht="15.75" customHeight="1">
      <c r="AD2173" s="794"/>
    </row>
    <row r="2174" spans="30:30" ht="15.75" customHeight="1">
      <c r="AD2174" s="794"/>
    </row>
    <row r="2175" spans="30:30" ht="15.75" customHeight="1">
      <c r="AD2175" s="794"/>
    </row>
    <row r="2176" spans="30:30" ht="15.75" customHeight="1">
      <c r="AD2176" s="794"/>
    </row>
    <row r="2177" spans="30:30" ht="15.75" customHeight="1">
      <c r="AD2177" s="794"/>
    </row>
    <row r="2178" spans="30:30" ht="15.75" customHeight="1">
      <c r="AD2178" s="794"/>
    </row>
    <row r="2179" spans="30:30" ht="15.75" customHeight="1">
      <c r="AD2179" s="794"/>
    </row>
    <row r="2180" spans="30:30" ht="15.75" customHeight="1">
      <c r="AD2180" s="794"/>
    </row>
    <row r="2181" spans="30:30" ht="15.75" customHeight="1">
      <c r="AD2181" s="794"/>
    </row>
    <row r="2182" spans="30:30" ht="15.75" customHeight="1">
      <c r="AD2182" s="794"/>
    </row>
    <row r="2183" spans="30:30" ht="15.75" customHeight="1">
      <c r="AD2183" s="794"/>
    </row>
    <row r="2184" spans="30:30" ht="15.75" customHeight="1">
      <c r="AD2184" s="794"/>
    </row>
    <row r="2185" spans="30:30" ht="15.75" customHeight="1">
      <c r="AD2185" s="794"/>
    </row>
    <row r="2186" spans="30:30" ht="15.75" customHeight="1">
      <c r="AD2186" s="794"/>
    </row>
    <row r="2187" spans="30:30" ht="15.75" customHeight="1">
      <c r="AD2187" s="794"/>
    </row>
    <row r="2188" spans="30:30" ht="15.75" customHeight="1">
      <c r="AD2188" s="794"/>
    </row>
    <row r="2189" spans="30:30" ht="15.75" customHeight="1">
      <c r="AD2189" s="794"/>
    </row>
    <row r="2190" spans="30:30" ht="15.75" customHeight="1">
      <c r="AD2190" s="794"/>
    </row>
    <row r="2191" spans="30:30" ht="15.75" customHeight="1">
      <c r="AD2191" s="794"/>
    </row>
    <row r="2192" spans="30:30" ht="15.75" customHeight="1">
      <c r="AD2192" s="794"/>
    </row>
    <row r="2193" spans="30:30" ht="15.75" customHeight="1">
      <c r="AD2193" s="794"/>
    </row>
    <row r="2194" spans="30:30" ht="15.75" customHeight="1">
      <c r="AD2194" s="794"/>
    </row>
    <row r="2195" spans="30:30" ht="15.75" customHeight="1">
      <c r="AD2195" s="794"/>
    </row>
    <row r="2196" spans="30:30" ht="15.75" customHeight="1">
      <c r="AD2196" s="794"/>
    </row>
    <row r="2197" spans="30:30" ht="15.75" customHeight="1">
      <c r="AD2197" s="794"/>
    </row>
    <row r="2198" spans="30:30" ht="15.75" customHeight="1">
      <c r="AD2198" s="794"/>
    </row>
    <row r="2199" spans="30:30" ht="15.75" customHeight="1">
      <c r="AD2199" s="794"/>
    </row>
    <row r="2200" spans="30:30" ht="15.75" customHeight="1">
      <c r="AD2200" s="794"/>
    </row>
    <row r="2201" spans="30:30" ht="15.75" customHeight="1">
      <c r="AD2201" s="794"/>
    </row>
    <row r="2202" spans="30:30" ht="15.75" customHeight="1">
      <c r="AD2202" s="794"/>
    </row>
    <row r="2203" spans="30:30" ht="15.75" customHeight="1">
      <c r="AD2203" s="794"/>
    </row>
    <row r="2204" spans="30:30" ht="15.75" customHeight="1">
      <c r="AD2204" s="794"/>
    </row>
    <row r="2205" spans="30:30" ht="15.75" customHeight="1">
      <c r="AD2205" s="794"/>
    </row>
    <row r="2206" spans="30:30" ht="15.75" customHeight="1">
      <c r="AD2206" s="794"/>
    </row>
    <row r="2207" spans="30:30" ht="15.75" customHeight="1">
      <c r="AD2207" s="794"/>
    </row>
    <row r="2208" spans="30:30" ht="15.75" customHeight="1">
      <c r="AD2208" s="794"/>
    </row>
    <row r="2209" spans="30:30" ht="15.75" customHeight="1">
      <c r="AD2209" s="794"/>
    </row>
    <row r="2210" spans="30:30" ht="15.75" customHeight="1">
      <c r="AD2210" s="794"/>
    </row>
    <row r="2211" spans="30:30" ht="15.75" customHeight="1">
      <c r="AD2211" s="794"/>
    </row>
    <row r="2212" spans="30:30" ht="15.75" customHeight="1">
      <c r="AD2212" s="794"/>
    </row>
    <row r="2213" spans="30:30" ht="15.75" customHeight="1">
      <c r="AD2213" s="794"/>
    </row>
    <row r="2214" spans="30:30" ht="15.75" customHeight="1">
      <c r="AD2214" s="794"/>
    </row>
    <row r="2215" spans="30:30" ht="15.75" customHeight="1">
      <c r="AD2215" s="794"/>
    </row>
    <row r="2216" spans="30:30" ht="15.75" customHeight="1">
      <c r="AD2216" s="794"/>
    </row>
    <row r="2217" spans="30:30" ht="15.75" customHeight="1">
      <c r="AD2217" s="794"/>
    </row>
    <row r="2218" spans="30:30" ht="15.75" customHeight="1">
      <c r="AD2218" s="794"/>
    </row>
    <row r="2219" spans="30:30" ht="15.75" customHeight="1">
      <c r="AD2219" s="794"/>
    </row>
    <row r="2220" spans="30:30" ht="15.75" customHeight="1">
      <c r="AD2220" s="794"/>
    </row>
    <row r="2221" spans="30:30" ht="15.75" customHeight="1">
      <c r="AD2221" s="794"/>
    </row>
    <row r="2222" spans="30:30" ht="15.75" customHeight="1">
      <c r="AD2222" s="794"/>
    </row>
    <row r="2223" spans="30:30" ht="15.75" customHeight="1">
      <c r="AD2223" s="794"/>
    </row>
    <row r="2224" spans="30:30" ht="15.75" customHeight="1">
      <c r="AD2224" s="794"/>
    </row>
    <row r="2225" spans="30:30" ht="15.75" customHeight="1">
      <c r="AD2225" s="794"/>
    </row>
    <row r="2226" spans="30:30" ht="15.75" customHeight="1">
      <c r="AD2226" s="794"/>
    </row>
    <row r="2227" spans="30:30" ht="15.75" customHeight="1">
      <c r="AD2227" s="794"/>
    </row>
    <row r="2228" spans="30:30" ht="15.75" customHeight="1">
      <c r="AD2228" s="794"/>
    </row>
    <row r="2229" spans="30:30" ht="15.75" customHeight="1">
      <c r="AD2229" s="794"/>
    </row>
    <row r="2230" spans="30:30" ht="15.75" customHeight="1">
      <c r="AD2230" s="794"/>
    </row>
    <row r="2231" spans="30:30" ht="15.75" customHeight="1">
      <c r="AD2231" s="794"/>
    </row>
    <row r="2232" spans="30:30" ht="15.75" customHeight="1">
      <c r="AD2232" s="794"/>
    </row>
    <row r="2233" spans="30:30" ht="15.75" customHeight="1">
      <c r="AD2233" s="794"/>
    </row>
    <row r="2234" spans="30:30" ht="15.75" customHeight="1">
      <c r="AD2234" s="794"/>
    </row>
    <row r="2235" spans="30:30" ht="15.75" customHeight="1">
      <c r="AD2235" s="794"/>
    </row>
    <row r="2236" spans="30:30" ht="15.75" customHeight="1">
      <c r="AD2236" s="794"/>
    </row>
    <row r="2237" spans="30:30" ht="15.75" customHeight="1">
      <c r="AD2237" s="794"/>
    </row>
    <row r="2238" spans="30:30" ht="15.75" customHeight="1">
      <c r="AD2238" s="794"/>
    </row>
    <row r="2239" spans="30:30" ht="15.75" customHeight="1">
      <c r="AD2239" s="794"/>
    </row>
    <row r="2240" spans="30:30" ht="15.75" customHeight="1">
      <c r="AD2240" s="794"/>
    </row>
    <row r="2241" spans="30:30" ht="15.75" customHeight="1">
      <c r="AD2241" s="794"/>
    </row>
    <row r="2242" spans="30:30" ht="15.75" customHeight="1">
      <c r="AD2242" s="794"/>
    </row>
    <row r="2243" spans="30:30" ht="15.75" customHeight="1">
      <c r="AD2243" s="794"/>
    </row>
    <row r="2244" spans="30:30" ht="15.75" customHeight="1">
      <c r="AD2244" s="794"/>
    </row>
    <row r="2245" spans="30:30" ht="15.75" customHeight="1">
      <c r="AD2245" s="794"/>
    </row>
    <row r="2246" spans="30:30" ht="15.75" customHeight="1">
      <c r="AD2246" s="794"/>
    </row>
    <row r="2247" spans="30:30" ht="15.75" customHeight="1">
      <c r="AD2247" s="794"/>
    </row>
    <row r="2248" spans="30:30" ht="15.75" customHeight="1">
      <c r="AD2248" s="794"/>
    </row>
    <row r="2249" spans="30:30" ht="15.75" customHeight="1">
      <c r="AD2249" s="794"/>
    </row>
    <row r="2250" spans="30:30" ht="15.75" customHeight="1">
      <c r="AD2250" s="794"/>
    </row>
    <row r="2251" spans="30:30" ht="15.75" customHeight="1">
      <c r="AD2251" s="794"/>
    </row>
    <row r="2252" spans="30:30" ht="15.75" customHeight="1">
      <c r="AD2252" s="794"/>
    </row>
    <row r="2253" spans="30:30" ht="15.75" customHeight="1">
      <c r="AD2253" s="794"/>
    </row>
    <row r="2254" spans="30:30" ht="15.75" customHeight="1">
      <c r="AD2254" s="794"/>
    </row>
    <row r="2255" spans="30:30" ht="15.75" customHeight="1">
      <c r="AD2255" s="794"/>
    </row>
    <row r="2256" spans="30:30" ht="15.75" customHeight="1">
      <c r="AD2256" s="794"/>
    </row>
    <row r="2257" spans="30:30" ht="15.75" customHeight="1">
      <c r="AD2257" s="794"/>
    </row>
    <row r="2258" spans="30:30" ht="15.75" customHeight="1">
      <c r="AD2258" s="794"/>
    </row>
    <row r="2259" spans="30:30" ht="15.75" customHeight="1">
      <c r="AD2259" s="794"/>
    </row>
    <row r="2260" spans="30:30" ht="15.75" customHeight="1">
      <c r="AD2260" s="794"/>
    </row>
    <row r="2261" spans="30:30" ht="15.75" customHeight="1">
      <c r="AD2261" s="794"/>
    </row>
    <row r="2262" spans="30:30" ht="15.75" customHeight="1">
      <c r="AD2262" s="794"/>
    </row>
    <row r="2263" spans="30:30" ht="15.75" customHeight="1">
      <c r="AD2263" s="794"/>
    </row>
    <row r="2264" spans="30:30" ht="15.75" customHeight="1">
      <c r="AD2264" s="794"/>
    </row>
    <row r="2265" spans="30:30" ht="15.75" customHeight="1">
      <c r="AD2265" s="794"/>
    </row>
    <row r="2266" spans="30:30" ht="15.75" customHeight="1">
      <c r="AD2266" s="794"/>
    </row>
    <row r="2267" spans="30:30" ht="15.75" customHeight="1">
      <c r="AD2267" s="794"/>
    </row>
    <row r="2268" spans="30:30" ht="15.75" customHeight="1">
      <c r="AD2268" s="794"/>
    </row>
    <row r="2269" spans="30:30" ht="15.75" customHeight="1">
      <c r="AD2269" s="794"/>
    </row>
    <row r="2270" spans="30:30" ht="15.75" customHeight="1">
      <c r="AD2270" s="794"/>
    </row>
    <row r="2271" spans="30:30" ht="15.75" customHeight="1">
      <c r="AD2271" s="794"/>
    </row>
    <row r="2272" spans="30:30" ht="15.75" customHeight="1">
      <c r="AD2272" s="794"/>
    </row>
    <row r="2273" spans="30:30" ht="15.75" customHeight="1">
      <c r="AD2273" s="794"/>
    </row>
    <row r="2274" spans="30:30" ht="15.75" customHeight="1">
      <c r="AD2274" s="794"/>
    </row>
    <row r="2275" spans="30:30" ht="15.75" customHeight="1">
      <c r="AD2275" s="794"/>
    </row>
    <row r="2276" spans="30:30" ht="15.75" customHeight="1">
      <c r="AD2276" s="794"/>
    </row>
    <row r="2277" spans="30:30" ht="15.75" customHeight="1">
      <c r="AD2277" s="794"/>
    </row>
    <row r="2278" spans="30:30" ht="15.75" customHeight="1">
      <c r="AD2278" s="794"/>
    </row>
    <row r="2279" spans="30:30" ht="15.75" customHeight="1">
      <c r="AD2279" s="794"/>
    </row>
    <row r="2280" spans="30:30" ht="15.75" customHeight="1">
      <c r="AD2280" s="794"/>
    </row>
    <row r="2281" spans="30:30" ht="15.75" customHeight="1">
      <c r="AD2281" s="794"/>
    </row>
    <row r="2282" spans="30:30" ht="15.75" customHeight="1">
      <c r="AD2282" s="794"/>
    </row>
    <row r="2283" spans="30:30" ht="15.75" customHeight="1">
      <c r="AD2283" s="794"/>
    </row>
    <row r="2284" spans="30:30" ht="15.75" customHeight="1">
      <c r="AD2284" s="794"/>
    </row>
    <row r="2285" spans="30:30" ht="15.75" customHeight="1">
      <c r="AD2285" s="794"/>
    </row>
    <row r="2286" spans="30:30" ht="15.75" customHeight="1">
      <c r="AD2286" s="794"/>
    </row>
    <row r="2287" spans="30:30" ht="15.75" customHeight="1">
      <c r="AD2287" s="794"/>
    </row>
    <row r="2288" spans="30:30" ht="15.75" customHeight="1">
      <c r="AD2288" s="794"/>
    </row>
    <row r="2289" spans="30:30" ht="15.75" customHeight="1">
      <c r="AD2289" s="794"/>
    </row>
    <row r="2290" spans="30:30" ht="15.75" customHeight="1">
      <c r="AD2290" s="794"/>
    </row>
    <row r="2291" spans="30:30" ht="15.75" customHeight="1">
      <c r="AD2291" s="794"/>
    </row>
    <row r="2292" spans="30:30" ht="15.75" customHeight="1">
      <c r="AD2292" s="794"/>
    </row>
    <row r="2293" spans="30:30" ht="15.75" customHeight="1">
      <c r="AD2293" s="794"/>
    </row>
    <row r="2294" spans="30:30" ht="15.75" customHeight="1">
      <c r="AD2294" s="794"/>
    </row>
    <row r="2295" spans="30:30" ht="15.75" customHeight="1">
      <c r="AD2295" s="794"/>
    </row>
    <row r="2296" spans="30:30" ht="15.75" customHeight="1">
      <c r="AD2296" s="794"/>
    </row>
    <row r="2297" spans="30:30" ht="15.75" customHeight="1">
      <c r="AD2297" s="794"/>
    </row>
    <row r="2298" spans="30:30" ht="15.75" customHeight="1">
      <c r="AD2298" s="794"/>
    </row>
    <row r="2299" spans="30:30" ht="15.75" customHeight="1">
      <c r="AD2299" s="794"/>
    </row>
    <row r="2300" spans="30:30" ht="15.75" customHeight="1">
      <c r="AD2300" s="794"/>
    </row>
    <row r="2301" spans="30:30" ht="15.75" customHeight="1">
      <c r="AD2301" s="794"/>
    </row>
    <row r="2302" spans="30:30" ht="15.75" customHeight="1">
      <c r="AD2302" s="794"/>
    </row>
    <row r="2303" spans="30:30" ht="15.75" customHeight="1">
      <c r="AD2303" s="794"/>
    </row>
    <row r="2304" spans="30:30" ht="15.75" customHeight="1">
      <c r="AD2304" s="794"/>
    </row>
    <row r="2305" spans="30:30" ht="15.75" customHeight="1">
      <c r="AD2305" s="794"/>
    </row>
    <row r="2306" spans="30:30" ht="15.75" customHeight="1">
      <c r="AD2306" s="794"/>
    </row>
    <row r="2307" spans="30:30" ht="15.75" customHeight="1">
      <c r="AD2307" s="794"/>
    </row>
    <row r="2308" spans="30:30" ht="15.75" customHeight="1">
      <c r="AD2308" s="794"/>
    </row>
    <row r="2309" spans="30:30" ht="15.75" customHeight="1">
      <c r="AD2309" s="794"/>
    </row>
    <row r="2310" spans="30:30" ht="15.75" customHeight="1">
      <c r="AD2310" s="794"/>
    </row>
    <row r="2311" spans="30:30" ht="15.75" customHeight="1">
      <c r="AD2311" s="794"/>
    </row>
    <row r="2312" spans="30:30" ht="15.75" customHeight="1">
      <c r="AD2312" s="794"/>
    </row>
    <row r="2313" spans="30:30" ht="15.75" customHeight="1">
      <c r="AD2313" s="794"/>
    </row>
    <row r="2314" spans="30:30" ht="15.75" customHeight="1">
      <c r="AD2314" s="794"/>
    </row>
    <row r="2315" spans="30:30" ht="15.75" customHeight="1">
      <c r="AD2315" s="794"/>
    </row>
    <row r="2316" spans="30:30" ht="15.75" customHeight="1">
      <c r="AD2316" s="794"/>
    </row>
    <row r="2317" spans="30:30" ht="15.75" customHeight="1">
      <c r="AD2317" s="794"/>
    </row>
    <row r="2318" spans="30:30" ht="15.75" customHeight="1">
      <c r="AD2318" s="794"/>
    </row>
    <row r="2319" spans="30:30" ht="15.75" customHeight="1">
      <c r="AD2319" s="794"/>
    </row>
    <row r="2320" spans="30:30" ht="15.75" customHeight="1">
      <c r="AD2320" s="794"/>
    </row>
    <row r="2321" spans="30:30" ht="15.75" customHeight="1">
      <c r="AD2321" s="794"/>
    </row>
    <row r="2322" spans="30:30" ht="15.75" customHeight="1">
      <c r="AD2322" s="794"/>
    </row>
    <row r="2323" spans="30:30" ht="15.75" customHeight="1">
      <c r="AD2323" s="794"/>
    </row>
    <row r="2324" spans="30:30" ht="15.75" customHeight="1">
      <c r="AD2324" s="794"/>
    </row>
    <row r="2325" spans="30:30" ht="15.75" customHeight="1">
      <c r="AD2325" s="794"/>
    </row>
    <row r="2326" spans="30:30" ht="15.75" customHeight="1">
      <c r="AD2326" s="794"/>
    </row>
    <row r="2327" spans="30:30" ht="15.75" customHeight="1">
      <c r="AD2327" s="794"/>
    </row>
    <row r="2328" spans="30:30" ht="15.75" customHeight="1">
      <c r="AD2328" s="794"/>
    </row>
    <row r="2329" spans="30:30" ht="15.75" customHeight="1">
      <c r="AD2329" s="794"/>
    </row>
    <row r="2330" spans="30:30" ht="15.75" customHeight="1">
      <c r="AD2330" s="794"/>
    </row>
    <row r="2331" spans="30:30" ht="15.75" customHeight="1">
      <c r="AD2331" s="794"/>
    </row>
    <row r="2332" spans="30:30" ht="15.75" customHeight="1">
      <c r="AD2332" s="794"/>
    </row>
    <row r="2333" spans="30:30" ht="15.75" customHeight="1">
      <c r="AD2333" s="794"/>
    </row>
    <row r="2334" spans="30:30" ht="15.75" customHeight="1">
      <c r="AD2334" s="794"/>
    </row>
    <row r="2335" spans="30:30" ht="15.75" customHeight="1">
      <c r="AD2335" s="794"/>
    </row>
    <row r="2336" spans="30:30" ht="15.75" customHeight="1">
      <c r="AD2336" s="794"/>
    </row>
    <row r="2337" spans="30:30" ht="15.75" customHeight="1">
      <c r="AD2337" s="794"/>
    </row>
    <row r="2338" spans="30:30" ht="15.75" customHeight="1">
      <c r="AD2338" s="794"/>
    </row>
    <row r="2339" spans="30:30" ht="15.75" customHeight="1">
      <c r="AD2339" s="794"/>
    </row>
    <row r="2340" spans="30:30" ht="15.75" customHeight="1">
      <c r="AD2340" s="794"/>
    </row>
    <row r="2341" spans="30:30" ht="15.75" customHeight="1">
      <c r="AD2341" s="794"/>
    </row>
    <row r="2342" spans="30:30" ht="15.75" customHeight="1">
      <c r="AD2342" s="794"/>
    </row>
    <row r="2343" spans="30:30" ht="15.75" customHeight="1">
      <c r="AD2343" s="794"/>
    </row>
    <row r="2344" spans="30:30" ht="15.75" customHeight="1">
      <c r="AD2344" s="794"/>
    </row>
    <row r="2345" spans="30:30" ht="15.75" customHeight="1">
      <c r="AD2345" s="794"/>
    </row>
    <row r="2346" spans="30:30" ht="15.75" customHeight="1">
      <c r="AD2346" s="794"/>
    </row>
    <row r="2347" spans="30:30" ht="15.75" customHeight="1">
      <c r="AD2347" s="794"/>
    </row>
    <row r="2348" spans="30:30" ht="15.75" customHeight="1">
      <c r="AD2348" s="794"/>
    </row>
    <row r="2349" spans="30:30" ht="15.75" customHeight="1">
      <c r="AD2349" s="794"/>
    </row>
    <row r="2350" spans="30:30" ht="15.75" customHeight="1">
      <c r="AD2350" s="794"/>
    </row>
    <row r="2351" spans="30:30" ht="15.75" customHeight="1">
      <c r="AD2351" s="794"/>
    </row>
    <row r="2352" spans="30:30" ht="15.75" customHeight="1">
      <c r="AD2352" s="794"/>
    </row>
    <row r="2353" spans="30:30" ht="15.75" customHeight="1">
      <c r="AD2353" s="794"/>
    </row>
    <row r="2354" spans="30:30" ht="15.75" customHeight="1">
      <c r="AD2354" s="794"/>
    </row>
    <row r="2355" spans="30:30" ht="15.75" customHeight="1">
      <c r="AD2355" s="794"/>
    </row>
    <row r="2356" spans="30:30" ht="15.75" customHeight="1">
      <c r="AD2356" s="794"/>
    </row>
    <row r="2357" spans="30:30" ht="15.75" customHeight="1">
      <c r="AD2357" s="794"/>
    </row>
    <row r="2358" spans="30:30" ht="15.75" customHeight="1">
      <c r="AD2358" s="794"/>
    </row>
    <row r="2359" spans="30:30" ht="15.75" customHeight="1">
      <c r="AD2359" s="794"/>
    </row>
    <row r="2360" spans="30:30" ht="15.75" customHeight="1">
      <c r="AD2360" s="794"/>
    </row>
    <row r="2361" spans="30:30" ht="15.75" customHeight="1">
      <c r="AD2361" s="794"/>
    </row>
    <row r="2362" spans="30:30" ht="15.75" customHeight="1">
      <c r="AD2362" s="794"/>
    </row>
    <row r="2363" spans="30:30" ht="15.75" customHeight="1">
      <c r="AD2363" s="794"/>
    </row>
    <row r="2364" spans="30:30" ht="15.75" customHeight="1">
      <c r="AD2364" s="794"/>
    </row>
    <row r="2365" spans="30:30" ht="15.75" customHeight="1">
      <c r="AD2365" s="794"/>
    </row>
    <row r="2366" spans="30:30" ht="15.75" customHeight="1">
      <c r="AD2366" s="794"/>
    </row>
    <row r="2367" spans="30:30" ht="15.75" customHeight="1">
      <c r="AD2367" s="794"/>
    </row>
    <row r="2368" spans="30:30" ht="15.75" customHeight="1">
      <c r="AD2368" s="794"/>
    </row>
    <row r="2369" spans="30:30" ht="15.75" customHeight="1">
      <c r="AD2369" s="794"/>
    </row>
    <row r="2370" spans="30:30" ht="15.75" customHeight="1">
      <c r="AD2370" s="794"/>
    </row>
    <row r="2371" spans="30:30" ht="15.75" customHeight="1">
      <c r="AD2371" s="794"/>
    </row>
    <row r="2372" spans="30:30" ht="15.75" customHeight="1">
      <c r="AD2372" s="794"/>
    </row>
    <row r="2373" spans="30:30" ht="15.75" customHeight="1">
      <c r="AD2373" s="794"/>
    </row>
    <row r="2374" spans="30:30" ht="15.75" customHeight="1">
      <c r="AD2374" s="794"/>
    </row>
    <row r="2375" spans="30:30" ht="15.75" customHeight="1">
      <c r="AD2375" s="794"/>
    </row>
    <row r="2376" spans="30:30" ht="15.75" customHeight="1">
      <c r="AD2376" s="794"/>
    </row>
    <row r="2377" spans="30:30" ht="15.75" customHeight="1">
      <c r="AD2377" s="794"/>
    </row>
    <row r="2378" spans="30:30" ht="15.75" customHeight="1">
      <c r="AD2378" s="794"/>
    </row>
    <row r="2379" spans="30:30" ht="15.75" customHeight="1">
      <c r="AD2379" s="794"/>
    </row>
    <row r="2380" spans="30:30" ht="15.75" customHeight="1">
      <c r="AD2380" s="794"/>
    </row>
    <row r="2381" spans="30:30" ht="15.75" customHeight="1">
      <c r="AD2381" s="794"/>
    </row>
    <row r="2382" spans="30:30" ht="15.75" customHeight="1">
      <c r="AD2382" s="794"/>
    </row>
    <row r="2383" spans="30:30" ht="15.75" customHeight="1">
      <c r="AD2383" s="794"/>
    </row>
    <row r="2384" spans="30:30" ht="15.75" customHeight="1">
      <c r="AD2384" s="794"/>
    </row>
    <row r="2385" spans="30:30" ht="15.75" customHeight="1">
      <c r="AD2385" s="794"/>
    </row>
    <row r="2386" spans="30:30" ht="15.75" customHeight="1">
      <c r="AD2386" s="794"/>
    </row>
    <row r="2387" spans="30:30" ht="15.75" customHeight="1">
      <c r="AD2387" s="794"/>
    </row>
    <row r="2388" spans="30:30" ht="15.75" customHeight="1">
      <c r="AD2388" s="794"/>
    </row>
    <row r="2389" spans="30:30" ht="15.75" customHeight="1">
      <c r="AD2389" s="794"/>
    </row>
    <row r="2390" spans="30:30" ht="15.75" customHeight="1">
      <c r="AD2390" s="794"/>
    </row>
    <row r="2391" spans="30:30" ht="15.75" customHeight="1">
      <c r="AD2391" s="794"/>
    </row>
    <row r="2392" spans="30:30" ht="15.75" customHeight="1">
      <c r="AD2392" s="794"/>
    </row>
    <row r="2393" spans="30:30" ht="15.75" customHeight="1">
      <c r="AD2393" s="794"/>
    </row>
    <row r="2394" spans="30:30" ht="15.75" customHeight="1">
      <c r="AD2394" s="794"/>
    </row>
    <row r="2395" spans="30:30" ht="15.75" customHeight="1">
      <c r="AD2395" s="794"/>
    </row>
    <row r="2396" spans="30:30" ht="15.75" customHeight="1">
      <c r="AD2396" s="794"/>
    </row>
    <row r="2397" spans="30:30" ht="15.75" customHeight="1">
      <c r="AD2397" s="794"/>
    </row>
    <row r="2398" spans="30:30" ht="15.75" customHeight="1">
      <c r="AD2398" s="794"/>
    </row>
    <row r="2399" spans="30:30" ht="15.75" customHeight="1">
      <c r="AD2399" s="794"/>
    </row>
    <row r="2400" spans="30:30" ht="15.75" customHeight="1">
      <c r="AD2400" s="794"/>
    </row>
    <row r="2401" spans="30:30" ht="15.75" customHeight="1">
      <c r="AD2401" s="794"/>
    </row>
    <row r="2402" spans="30:30" ht="15.75" customHeight="1">
      <c r="AD2402" s="794"/>
    </row>
    <row r="2403" spans="30:30" ht="15.75" customHeight="1">
      <c r="AD2403" s="794"/>
    </row>
    <row r="2404" spans="30:30" ht="15.75" customHeight="1">
      <c r="AD2404" s="794"/>
    </row>
    <row r="2405" spans="30:30" ht="15.75" customHeight="1">
      <c r="AD2405" s="794"/>
    </row>
    <row r="2406" spans="30:30" ht="15.75" customHeight="1">
      <c r="AD2406" s="794"/>
    </row>
    <row r="2407" spans="30:30" ht="15.75" customHeight="1">
      <c r="AD2407" s="794"/>
    </row>
    <row r="2408" spans="30:30" ht="15.75" customHeight="1">
      <c r="AD2408" s="794"/>
    </row>
    <row r="2409" spans="30:30" ht="15.75" customHeight="1">
      <c r="AD2409" s="794"/>
    </row>
    <row r="2410" spans="30:30" ht="15.75" customHeight="1">
      <c r="AD2410" s="794"/>
    </row>
    <row r="2411" spans="30:30" ht="15.75" customHeight="1">
      <c r="AD2411" s="794"/>
    </row>
    <row r="2412" spans="30:30" ht="15.75" customHeight="1">
      <c r="AD2412" s="794"/>
    </row>
    <row r="2413" spans="30:30" ht="15.75" customHeight="1">
      <c r="AD2413" s="794"/>
    </row>
    <row r="2414" spans="30:30" ht="15.75" customHeight="1">
      <c r="AD2414" s="794"/>
    </row>
    <row r="2415" spans="30:30" ht="15.75" customHeight="1">
      <c r="AD2415" s="794"/>
    </row>
    <row r="2416" spans="30:30" ht="15.75" customHeight="1">
      <c r="AD2416" s="794"/>
    </row>
    <row r="2417" spans="30:30" ht="15.75" customHeight="1">
      <c r="AD2417" s="794"/>
    </row>
    <row r="2418" spans="30:30" ht="15.75" customHeight="1">
      <c r="AD2418" s="794"/>
    </row>
    <row r="2419" spans="30:30" ht="15.75" customHeight="1">
      <c r="AD2419" s="794"/>
    </row>
    <row r="2420" spans="30:30" ht="15.75" customHeight="1">
      <c r="AD2420" s="794"/>
    </row>
    <row r="2421" spans="30:30" ht="15.75" customHeight="1">
      <c r="AD2421" s="794"/>
    </row>
    <row r="2422" spans="30:30" ht="15.75" customHeight="1">
      <c r="AD2422" s="794"/>
    </row>
    <row r="2423" spans="30:30" ht="15.75" customHeight="1">
      <c r="AD2423" s="794"/>
    </row>
    <row r="2424" spans="30:30" ht="15.75" customHeight="1">
      <c r="AD2424" s="794"/>
    </row>
    <row r="2425" spans="30:30" ht="15.75" customHeight="1">
      <c r="AD2425" s="794"/>
    </row>
    <row r="2426" spans="30:30" ht="15.75" customHeight="1">
      <c r="AD2426" s="794"/>
    </row>
    <row r="2427" spans="30:30" ht="15.75" customHeight="1">
      <c r="AD2427" s="794"/>
    </row>
    <row r="2428" spans="30:30" ht="15.75" customHeight="1">
      <c r="AD2428" s="794"/>
    </row>
    <row r="2429" spans="30:30" ht="15.75" customHeight="1">
      <c r="AD2429" s="794"/>
    </row>
    <row r="2430" spans="30:30" ht="15.75" customHeight="1">
      <c r="AD2430" s="794"/>
    </row>
    <row r="2431" spans="30:30" ht="15.75" customHeight="1">
      <c r="AD2431" s="794"/>
    </row>
    <row r="2432" spans="30:30" ht="15.75" customHeight="1">
      <c r="AD2432" s="794"/>
    </row>
    <row r="2433" spans="30:30" ht="15.75" customHeight="1">
      <c r="AD2433" s="794"/>
    </row>
    <row r="2434" spans="30:30" ht="15.75" customHeight="1">
      <c r="AD2434" s="794"/>
    </row>
    <row r="2435" spans="30:30" ht="15.75" customHeight="1">
      <c r="AD2435" s="794"/>
    </row>
    <row r="2436" spans="30:30" ht="15.75" customHeight="1">
      <c r="AD2436" s="794"/>
    </row>
    <row r="2437" spans="30:30" ht="15.75" customHeight="1">
      <c r="AD2437" s="794"/>
    </row>
    <row r="2438" spans="30:30" ht="15.75" customHeight="1">
      <c r="AD2438" s="794"/>
    </row>
    <row r="2439" spans="30:30" ht="15.75" customHeight="1">
      <c r="AD2439" s="794"/>
    </row>
    <row r="2440" spans="30:30" ht="15.75" customHeight="1">
      <c r="AD2440" s="794"/>
    </row>
    <row r="2441" spans="30:30" ht="15.75" customHeight="1">
      <c r="AD2441" s="794"/>
    </row>
    <row r="2442" spans="30:30" ht="15.75" customHeight="1">
      <c r="AD2442" s="794"/>
    </row>
    <row r="2443" spans="30:30" ht="15.75" customHeight="1">
      <c r="AD2443" s="794"/>
    </row>
    <row r="2444" spans="30:30" ht="15.75" customHeight="1">
      <c r="AD2444" s="794"/>
    </row>
    <row r="2445" spans="30:30" ht="15.75" customHeight="1">
      <c r="AD2445" s="794"/>
    </row>
    <row r="2446" spans="30:30" ht="15.75" customHeight="1">
      <c r="AD2446" s="794"/>
    </row>
    <row r="2447" spans="30:30" ht="15.75" customHeight="1">
      <c r="AD2447" s="794"/>
    </row>
    <row r="2448" spans="30:30" ht="15.75" customHeight="1">
      <c r="AD2448" s="794"/>
    </row>
    <row r="2449" spans="30:30" ht="15.75" customHeight="1">
      <c r="AD2449" s="794"/>
    </row>
    <row r="2450" spans="30:30" ht="15.75" customHeight="1">
      <c r="AD2450" s="794"/>
    </row>
    <row r="2451" spans="30:30" ht="15.75" customHeight="1">
      <c r="AD2451" s="794"/>
    </row>
    <row r="2452" spans="30:30" ht="15.75" customHeight="1">
      <c r="AD2452" s="794"/>
    </row>
    <row r="2453" spans="30:30" ht="15.75" customHeight="1">
      <c r="AD2453" s="794"/>
    </row>
    <row r="2454" spans="30:30" ht="15.75" customHeight="1">
      <c r="AD2454" s="794"/>
    </row>
    <row r="2455" spans="30:30" ht="15.75" customHeight="1">
      <c r="AD2455" s="794"/>
    </row>
    <row r="2456" spans="30:30" ht="15.75" customHeight="1">
      <c r="AD2456" s="794"/>
    </row>
    <row r="2457" spans="30:30" ht="15.75" customHeight="1">
      <c r="AD2457" s="794"/>
    </row>
    <row r="2458" spans="30:30" ht="15.75" customHeight="1">
      <c r="AD2458" s="794"/>
    </row>
    <row r="2459" spans="30:30" ht="15.75" customHeight="1">
      <c r="AD2459" s="794"/>
    </row>
    <row r="2460" spans="30:30" ht="15.75" customHeight="1">
      <c r="AD2460" s="794"/>
    </row>
    <row r="2461" spans="30:30" ht="15.75" customHeight="1">
      <c r="AD2461" s="794"/>
    </row>
    <row r="2462" spans="30:30" ht="15.75" customHeight="1">
      <c r="AD2462" s="794"/>
    </row>
    <row r="2463" spans="30:30" ht="15.75" customHeight="1">
      <c r="AD2463" s="794"/>
    </row>
    <row r="2464" spans="30:30" ht="15.75" customHeight="1">
      <c r="AD2464" s="794"/>
    </row>
    <row r="2465" spans="30:30" ht="15.75" customHeight="1">
      <c r="AD2465" s="794"/>
    </row>
    <row r="2466" spans="30:30" ht="15.75" customHeight="1">
      <c r="AD2466" s="794"/>
    </row>
    <row r="2467" spans="30:30" ht="15.75" customHeight="1">
      <c r="AD2467" s="794"/>
    </row>
    <row r="2468" spans="30:30" ht="15.75" customHeight="1">
      <c r="AD2468" s="794"/>
    </row>
    <row r="2469" spans="30:30" ht="15.75" customHeight="1">
      <c r="AD2469" s="794"/>
    </row>
    <row r="2470" spans="30:30" ht="15.75" customHeight="1">
      <c r="AD2470" s="794"/>
    </row>
    <row r="2471" spans="30:30" ht="15.75" customHeight="1">
      <c r="AD2471" s="794"/>
    </row>
    <row r="2472" spans="30:30" ht="15.75" customHeight="1">
      <c r="AD2472" s="794"/>
    </row>
    <row r="2473" spans="30:30" ht="15.75" customHeight="1">
      <c r="AD2473" s="794"/>
    </row>
    <row r="2474" spans="30:30" ht="15.75" customHeight="1">
      <c r="AD2474" s="794"/>
    </row>
    <row r="2475" spans="30:30" ht="15.75" customHeight="1">
      <c r="AD2475" s="794"/>
    </row>
    <row r="2476" spans="30:30" ht="15.75" customHeight="1">
      <c r="AD2476" s="794"/>
    </row>
    <row r="2477" spans="30:30" ht="15.75" customHeight="1">
      <c r="AD2477" s="794"/>
    </row>
    <row r="2478" spans="30:30" ht="15.75" customHeight="1">
      <c r="AD2478" s="794"/>
    </row>
    <row r="2479" spans="30:30" ht="15.75" customHeight="1">
      <c r="AD2479" s="794"/>
    </row>
    <row r="2480" spans="30:30" ht="15.75" customHeight="1">
      <c r="AD2480" s="794"/>
    </row>
    <row r="2481" spans="30:30" ht="15.75" customHeight="1">
      <c r="AD2481" s="794"/>
    </row>
    <row r="2482" spans="30:30" ht="15.75" customHeight="1">
      <c r="AD2482" s="794"/>
    </row>
    <row r="2483" spans="30:30" ht="15.75" customHeight="1">
      <c r="AD2483" s="794"/>
    </row>
    <row r="2484" spans="30:30" ht="15.75" customHeight="1">
      <c r="AD2484" s="794"/>
    </row>
    <row r="2485" spans="30:30" ht="15.75" customHeight="1">
      <c r="AD2485" s="794"/>
    </row>
    <row r="2486" spans="30:30" ht="15.75" customHeight="1">
      <c r="AD2486" s="794"/>
    </row>
    <row r="2487" spans="30:30" ht="15.75" customHeight="1">
      <c r="AD2487" s="794"/>
    </row>
    <row r="2488" spans="30:30" ht="15.75" customHeight="1">
      <c r="AD2488" s="794"/>
    </row>
    <row r="2489" spans="30:30" ht="15.75" customHeight="1">
      <c r="AD2489" s="794"/>
    </row>
    <row r="2490" spans="30:30" ht="15.75" customHeight="1">
      <c r="AD2490" s="794"/>
    </row>
    <row r="2491" spans="30:30" ht="15.75" customHeight="1">
      <c r="AD2491" s="794"/>
    </row>
    <row r="2492" spans="30:30" ht="15.75" customHeight="1">
      <c r="AD2492" s="794"/>
    </row>
    <row r="2493" spans="30:30" ht="15.75" customHeight="1">
      <c r="AD2493" s="794"/>
    </row>
    <row r="2494" spans="30:30" ht="15.75" customHeight="1">
      <c r="AD2494" s="794"/>
    </row>
    <row r="2495" spans="30:30" ht="15.75" customHeight="1">
      <c r="AD2495" s="794"/>
    </row>
    <row r="2496" spans="30:30" ht="15.75" customHeight="1">
      <c r="AD2496" s="794"/>
    </row>
    <row r="2497" spans="30:30" ht="15.75" customHeight="1">
      <c r="AD2497" s="794"/>
    </row>
    <row r="2498" spans="30:30" ht="15.75" customHeight="1">
      <c r="AD2498" s="794"/>
    </row>
    <row r="2499" spans="30:30" ht="15.75" customHeight="1">
      <c r="AD2499" s="794"/>
    </row>
    <row r="2500" spans="30:30" ht="15.75" customHeight="1">
      <c r="AD2500" s="794"/>
    </row>
    <row r="2501" spans="30:30" ht="15.75" customHeight="1">
      <c r="AD2501" s="794"/>
    </row>
    <row r="2502" spans="30:30" ht="15.75" customHeight="1">
      <c r="AD2502" s="794"/>
    </row>
    <row r="2503" spans="30:30" ht="15.75" customHeight="1">
      <c r="AD2503" s="794"/>
    </row>
    <row r="2504" spans="30:30" ht="15.75" customHeight="1">
      <c r="AD2504" s="794"/>
    </row>
    <row r="2505" spans="30:30" ht="15.75" customHeight="1">
      <c r="AD2505" s="794"/>
    </row>
    <row r="2506" spans="30:30" ht="15.75" customHeight="1">
      <c r="AD2506" s="794"/>
    </row>
    <row r="2507" spans="30:30" ht="15.75" customHeight="1">
      <c r="AD2507" s="794"/>
    </row>
    <row r="2508" spans="30:30" ht="15.75" customHeight="1">
      <c r="AD2508" s="794"/>
    </row>
    <row r="2509" spans="30:30" ht="15.75" customHeight="1">
      <c r="AD2509" s="794"/>
    </row>
    <row r="2510" spans="30:30" ht="15.75" customHeight="1">
      <c r="AD2510" s="794"/>
    </row>
    <row r="2511" spans="30:30" ht="15.75" customHeight="1">
      <c r="AD2511" s="794"/>
    </row>
    <row r="2512" spans="30:30" ht="15.75" customHeight="1">
      <c r="AD2512" s="794"/>
    </row>
    <row r="2513" spans="30:30" ht="15.75" customHeight="1">
      <c r="AD2513" s="794"/>
    </row>
    <row r="2514" spans="30:30" ht="15.75" customHeight="1">
      <c r="AD2514" s="794"/>
    </row>
    <row r="2515" spans="30:30" ht="15.75" customHeight="1">
      <c r="AD2515" s="794"/>
    </row>
    <row r="2516" spans="30:30" ht="15.75" customHeight="1">
      <c r="AD2516" s="794"/>
    </row>
    <row r="2517" spans="30:30" ht="15.75" customHeight="1">
      <c r="AD2517" s="794"/>
    </row>
    <row r="2518" spans="30:30" ht="15.75" customHeight="1">
      <c r="AD2518" s="794"/>
    </row>
    <row r="2519" spans="30:30" ht="15.75" customHeight="1">
      <c r="AD2519" s="794"/>
    </row>
    <row r="2520" spans="30:30" ht="15.75" customHeight="1">
      <c r="AD2520" s="794"/>
    </row>
    <row r="2521" spans="30:30" ht="15.75" customHeight="1">
      <c r="AD2521" s="794"/>
    </row>
    <row r="2522" spans="30:30" ht="15.75" customHeight="1">
      <c r="AD2522" s="794"/>
    </row>
    <row r="2523" spans="30:30" ht="15.75" customHeight="1">
      <c r="AD2523" s="794"/>
    </row>
    <row r="2524" spans="30:30" ht="15.75" customHeight="1">
      <c r="AD2524" s="794"/>
    </row>
    <row r="2525" spans="30:30" ht="15.75" customHeight="1">
      <c r="AD2525" s="794"/>
    </row>
    <row r="2526" spans="30:30" ht="15.75" customHeight="1">
      <c r="AD2526" s="794"/>
    </row>
    <row r="2527" spans="30:30" ht="15.75" customHeight="1">
      <c r="AD2527" s="794"/>
    </row>
    <row r="2528" spans="30:30" ht="15.75" customHeight="1">
      <c r="AD2528" s="794"/>
    </row>
    <row r="2529" spans="30:30" ht="15.75" customHeight="1">
      <c r="AD2529" s="794"/>
    </row>
    <row r="2530" spans="30:30" ht="15.75" customHeight="1">
      <c r="AD2530" s="794"/>
    </row>
    <row r="2531" spans="30:30" ht="15.75" customHeight="1">
      <c r="AD2531" s="794"/>
    </row>
    <row r="2532" spans="30:30" ht="15.75" customHeight="1">
      <c r="AD2532" s="794"/>
    </row>
    <row r="2533" spans="30:30" ht="15.75" customHeight="1">
      <c r="AD2533" s="794"/>
    </row>
    <row r="2534" spans="30:30" ht="15.75" customHeight="1">
      <c r="AD2534" s="794"/>
    </row>
    <row r="2535" spans="30:30" ht="15.75" customHeight="1">
      <c r="AD2535" s="794"/>
    </row>
    <row r="2536" spans="30:30" ht="15.75" customHeight="1">
      <c r="AD2536" s="794"/>
    </row>
    <row r="2537" spans="30:30" ht="15.75" customHeight="1">
      <c r="AD2537" s="794"/>
    </row>
    <row r="2538" spans="30:30" ht="15.75" customHeight="1">
      <c r="AD2538" s="794"/>
    </row>
    <row r="2539" spans="30:30" ht="15.75" customHeight="1">
      <c r="AD2539" s="794"/>
    </row>
    <row r="2540" spans="30:30" ht="15.75" customHeight="1">
      <c r="AD2540" s="794"/>
    </row>
    <row r="2541" spans="30:30" ht="15.75" customHeight="1">
      <c r="AD2541" s="794"/>
    </row>
    <row r="2542" spans="30:30" ht="15.75" customHeight="1">
      <c r="AD2542" s="794"/>
    </row>
    <row r="2543" spans="30:30" ht="15.75" customHeight="1">
      <c r="AD2543" s="794"/>
    </row>
    <row r="2544" spans="30:30" ht="15.75" customHeight="1">
      <c r="AD2544" s="794"/>
    </row>
    <row r="2545" spans="30:30" ht="15.75" customHeight="1">
      <c r="AD2545" s="794"/>
    </row>
    <row r="2546" spans="30:30" ht="15.75" customHeight="1">
      <c r="AD2546" s="794"/>
    </row>
    <row r="2547" spans="30:30" ht="15.75" customHeight="1">
      <c r="AD2547" s="794"/>
    </row>
    <row r="2548" spans="30:30" ht="15.75" customHeight="1">
      <c r="AD2548" s="794"/>
    </row>
    <row r="2549" spans="30:30" ht="15.75" customHeight="1">
      <c r="AD2549" s="794"/>
    </row>
    <row r="2550" spans="30:30" ht="15.75" customHeight="1">
      <c r="AD2550" s="794"/>
    </row>
    <row r="2551" spans="30:30" ht="15.75" customHeight="1">
      <c r="AD2551" s="794"/>
    </row>
    <row r="2552" spans="30:30" ht="15.75" customHeight="1">
      <c r="AD2552" s="794"/>
    </row>
    <row r="2553" spans="30:30" ht="15.75" customHeight="1">
      <c r="AD2553" s="794"/>
    </row>
    <row r="2554" spans="30:30" ht="15.75" customHeight="1">
      <c r="AD2554" s="794"/>
    </row>
    <row r="2555" spans="30:30" ht="15.75" customHeight="1">
      <c r="AD2555" s="794"/>
    </row>
    <row r="2556" spans="30:30" ht="15.75" customHeight="1">
      <c r="AD2556" s="794"/>
    </row>
    <row r="2557" spans="30:30" ht="15.75" customHeight="1">
      <c r="AD2557" s="794"/>
    </row>
    <row r="2558" spans="30:30" ht="15.75" customHeight="1">
      <c r="AD2558" s="794"/>
    </row>
    <row r="2559" spans="30:30" ht="15.75" customHeight="1">
      <c r="AD2559" s="794"/>
    </row>
    <row r="2560" spans="30:30" ht="15.75" customHeight="1">
      <c r="AD2560" s="794"/>
    </row>
    <row r="2561" spans="30:30" ht="15.75" customHeight="1">
      <c r="AD2561" s="794"/>
    </row>
    <row r="2562" spans="30:30" ht="15.75" customHeight="1">
      <c r="AD2562" s="794"/>
    </row>
    <row r="2563" spans="30:30" ht="15.75" customHeight="1">
      <c r="AD2563" s="794"/>
    </row>
    <row r="2564" spans="30:30" ht="15.75" customHeight="1">
      <c r="AD2564" s="794"/>
    </row>
    <row r="2565" spans="30:30" ht="15.75" customHeight="1">
      <c r="AD2565" s="794"/>
    </row>
    <row r="2566" spans="30:30" ht="15.75" customHeight="1">
      <c r="AD2566" s="794"/>
    </row>
    <row r="2567" spans="30:30" ht="15.75" customHeight="1">
      <c r="AD2567" s="794"/>
    </row>
    <row r="2568" spans="30:30" ht="15.75" customHeight="1">
      <c r="AD2568" s="794"/>
    </row>
    <row r="2569" spans="30:30" ht="15.75" customHeight="1">
      <c r="AD2569" s="794"/>
    </row>
    <row r="2570" spans="30:30" ht="15.75" customHeight="1">
      <c r="AD2570" s="794"/>
    </row>
    <row r="2571" spans="30:30" ht="15.75" customHeight="1">
      <c r="AD2571" s="794"/>
    </row>
    <row r="2572" spans="30:30" ht="15.75" customHeight="1">
      <c r="AD2572" s="794"/>
    </row>
    <row r="2573" spans="30:30" ht="15.75" customHeight="1">
      <c r="AD2573" s="794"/>
    </row>
    <row r="2574" spans="30:30" ht="15.75" customHeight="1">
      <c r="AD2574" s="794"/>
    </row>
    <row r="2575" spans="30:30" ht="15.75" customHeight="1">
      <c r="AD2575" s="794"/>
    </row>
    <row r="2576" spans="30:30" ht="15.75" customHeight="1">
      <c r="AD2576" s="794"/>
    </row>
    <row r="2577" spans="30:30" ht="15.75" customHeight="1">
      <c r="AD2577" s="794"/>
    </row>
    <row r="2578" spans="30:30" ht="15.75" customHeight="1">
      <c r="AD2578" s="794"/>
    </row>
    <row r="2579" spans="30:30" ht="15.75" customHeight="1">
      <c r="AD2579" s="794"/>
    </row>
    <row r="2580" spans="30:30" ht="15.75" customHeight="1">
      <c r="AD2580" s="794"/>
    </row>
    <row r="2581" spans="30:30" ht="15.75" customHeight="1">
      <c r="AD2581" s="794"/>
    </row>
    <row r="2582" spans="30:30" ht="15.75" customHeight="1">
      <c r="AD2582" s="794"/>
    </row>
    <row r="2583" spans="30:30" ht="15.75" customHeight="1">
      <c r="AD2583" s="794"/>
    </row>
    <row r="2584" spans="30:30" ht="15.75" customHeight="1">
      <c r="AD2584" s="794"/>
    </row>
    <row r="2585" spans="30:30" ht="15.75" customHeight="1">
      <c r="AD2585" s="794"/>
    </row>
    <row r="2586" spans="30:30" ht="15.75" customHeight="1">
      <c r="AD2586" s="794"/>
    </row>
    <row r="2587" spans="30:30" ht="15.75" customHeight="1">
      <c r="AD2587" s="794"/>
    </row>
    <row r="2588" spans="30:30" ht="15.75" customHeight="1">
      <c r="AD2588" s="794"/>
    </row>
    <row r="2589" spans="30:30" ht="15.75" customHeight="1">
      <c r="AD2589" s="794"/>
    </row>
    <row r="2590" spans="30:30" ht="15.75" customHeight="1">
      <c r="AD2590" s="794"/>
    </row>
    <row r="2591" spans="30:30" ht="15.75" customHeight="1">
      <c r="AD2591" s="794"/>
    </row>
    <row r="2592" spans="30:30" ht="15.75" customHeight="1">
      <c r="AD2592" s="794"/>
    </row>
    <row r="2593" spans="30:30" ht="15.75" customHeight="1">
      <c r="AD2593" s="794"/>
    </row>
    <row r="2594" spans="30:30" ht="15.75" customHeight="1">
      <c r="AD2594" s="794"/>
    </row>
    <row r="2595" spans="30:30" ht="15.75" customHeight="1">
      <c r="AD2595" s="794"/>
    </row>
    <row r="2596" spans="30:30" ht="15.75" customHeight="1">
      <c r="AD2596" s="794"/>
    </row>
    <row r="2597" spans="30:30" ht="15.75" customHeight="1">
      <c r="AD2597" s="794"/>
    </row>
    <row r="2598" spans="30:30" ht="15.75" customHeight="1">
      <c r="AD2598" s="794"/>
    </row>
    <row r="2599" spans="30:30" ht="15.75" customHeight="1">
      <c r="AD2599" s="794"/>
    </row>
    <row r="2600" spans="30:30" ht="15.75" customHeight="1">
      <c r="AD2600" s="794"/>
    </row>
    <row r="2601" spans="30:30" ht="15.75" customHeight="1">
      <c r="AD2601" s="794"/>
    </row>
    <row r="2602" spans="30:30" ht="15.75" customHeight="1">
      <c r="AD2602" s="794"/>
    </row>
    <row r="2603" spans="30:30" ht="15.75" customHeight="1">
      <c r="AD2603" s="794"/>
    </row>
    <row r="2604" spans="30:30" ht="15.75" customHeight="1">
      <c r="AD2604" s="794"/>
    </row>
    <row r="2605" spans="30:30" ht="15.75" customHeight="1">
      <c r="AD2605" s="794"/>
    </row>
    <row r="2606" spans="30:30" ht="15.75" customHeight="1">
      <c r="AD2606" s="794"/>
    </row>
    <row r="2607" spans="30:30" ht="15.75" customHeight="1">
      <c r="AD2607" s="794"/>
    </row>
    <row r="2608" spans="30:30" ht="15.75" customHeight="1">
      <c r="AD2608" s="794"/>
    </row>
    <row r="2609" spans="30:30" ht="15.75" customHeight="1">
      <c r="AD2609" s="794"/>
    </row>
    <row r="2610" spans="30:30" ht="15.75" customHeight="1">
      <c r="AD2610" s="794"/>
    </row>
    <row r="2611" spans="30:30" ht="15.75" customHeight="1">
      <c r="AD2611" s="794"/>
    </row>
    <row r="2612" spans="30:30" ht="15.75" customHeight="1">
      <c r="AD2612" s="794"/>
    </row>
    <row r="2613" spans="30:30" ht="15.75" customHeight="1">
      <c r="AD2613" s="794"/>
    </row>
    <row r="2614" spans="30:30" ht="15.75" customHeight="1">
      <c r="AD2614" s="794"/>
    </row>
    <row r="2615" spans="30:30" ht="15.75" customHeight="1">
      <c r="AD2615" s="794"/>
    </row>
    <row r="2616" spans="30:30" ht="15.75" customHeight="1">
      <c r="AD2616" s="794"/>
    </row>
    <row r="2617" spans="30:30" ht="15.75" customHeight="1">
      <c r="AD2617" s="794"/>
    </row>
    <row r="2618" spans="30:30" ht="15.75" customHeight="1">
      <c r="AD2618" s="794"/>
    </row>
    <row r="2619" spans="30:30" ht="15.75" customHeight="1">
      <c r="AD2619" s="794"/>
    </row>
    <row r="2620" spans="30:30" ht="15.75" customHeight="1">
      <c r="AD2620" s="794"/>
    </row>
    <row r="2621" spans="30:30" ht="15.75" customHeight="1">
      <c r="AD2621" s="794"/>
    </row>
    <row r="2622" spans="30:30" ht="15.75" customHeight="1">
      <c r="AD2622" s="794"/>
    </row>
    <row r="2623" spans="30:30" ht="15.75" customHeight="1">
      <c r="AD2623" s="794"/>
    </row>
    <row r="2624" spans="30:30" ht="15.75" customHeight="1">
      <c r="AD2624" s="794"/>
    </row>
    <row r="2625" spans="30:30" ht="15.75" customHeight="1">
      <c r="AD2625" s="794"/>
    </row>
    <row r="2626" spans="30:30" ht="15.75" customHeight="1">
      <c r="AD2626" s="794"/>
    </row>
    <row r="2627" spans="30:30" ht="15.75" customHeight="1">
      <c r="AD2627" s="794"/>
    </row>
    <row r="2628" spans="30:30" ht="15.75" customHeight="1">
      <c r="AD2628" s="794"/>
    </row>
    <row r="2629" spans="30:30" ht="15.75" customHeight="1">
      <c r="AD2629" s="794"/>
    </row>
    <row r="2630" spans="30:30" ht="15.75" customHeight="1">
      <c r="AD2630" s="794"/>
    </row>
    <row r="2631" spans="30:30" ht="15.75" customHeight="1">
      <c r="AD2631" s="794"/>
    </row>
    <row r="2632" spans="30:30" ht="15.75" customHeight="1">
      <c r="AD2632" s="794"/>
    </row>
    <row r="2633" spans="30:30" ht="15.75" customHeight="1">
      <c r="AD2633" s="794"/>
    </row>
    <row r="2634" spans="30:30" ht="15.75" customHeight="1">
      <c r="AD2634" s="794"/>
    </row>
    <row r="2635" spans="30:30" ht="15.75" customHeight="1">
      <c r="AD2635" s="794"/>
    </row>
    <row r="2636" spans="30:30" ht="15.75" customHeight="1">
      <c r="AD2636" s="794"/>
    </row>
    <row r="2637" spans="30:30" ht="15.75" customHeight="1">
      <c r="AD2637" s="794"/>
    </row>
    <row r="2638" spans="30:30" ht="15.75" customHeight="1">
      <c r="AD2638" s="794"/>
    </row>
    <row r="2639" spans="30:30" ht="15.75" customHeight="1">
      <c r="AD2639" s="794"/>
    </row>
    <row r="2640" spans="30:30" ht="15.75" customHeight="1">
      <c r="AD2640" s="794"/>
    </row>
    <row r="2641" spans="30:30" ht="15.75" customHeight="1">
      <c r="AD2641" s="794"/>
    </row>
    <row r="2642" spans="30:30" ht="15.75" customHeight="1">
      <c r="AD2642" s="794"/>
    </row>
    <row r="2643" spans="30:30" ht="15.75" customHeight="1">
      <c r="AD2643" s="794"/>
    </row>
    <row r="2644" spans="30:30" ht="15.75" customHeight="1">
      <c r="AD2644" s="794"/>
    </row>
    <row r="2645" spans="30:30" ht="15.75" customHeight="1">
      <c r="AD2645" s="794"/>
    </row>
    <row r="2646" spans="30:30" ht="15.75" customHeight="1">
      <c r="AD2646" s="794"/>
    </row>
    <row r="2647" spans="30:30" ht="15.75" customHeight="1">
      <c r="AD2647" s="794"/>
    </row>
    <row r="2648" spans="30:30" ht="15.75" customHeight="1">
      <c r="AD2648" s="794"/>
    </row>
    <row r="2649" spans="30:30" ht="15.75" customHeight="1">
      <c r="AD2649" s="794"/>
    </row>
    <row r="2650" spans="30:30" ht="15.75" customHeight="1">
      <c r="AD2650" s="794"/>
    </row>
    <row r="2651" spans="30:30" ht="15.75" customHeight="1">
      <c r="AD2651" s="794"/>
    </row>
    <row r="2652" spans="30:30" ht="15.75" customHeight="1">
      <c r="AD2652" s="794"/>
    </row>
    <row r="2653" spans="30:30" ht="15.75" customHeight="1">
      <c r="AD2653" s="794"/>
    </row>
    <row r="2654" spans="30:30" ht="15.75" customHeight="1">
      <c r="AD2654" s="794"/>
    </row>
    <row r="2655" spans="30:30" ht="15.75" customHeight="1">
      <c r="AD2655" s="794"/>
    </row>
    <row r="2656" spans="30:30" ht="15.75" customHeight="1">
      <c r="AD2656" s="794"/>
    </row>
    <row r="2657" spans="30:30" ht="15.75" customHeight="1">
      <c r="AD2657" s="794"/>
    </row>
    <row r="2658" spans="30:30" ht="15.75" customHeight="1">
      <c r="AD2658" s="794"/>
    </row>
    <row r="2659" spans="30:30" ht="15.75" customHeight="1">
      <c r="AD2659" s="794"/>
    </row>
    <row r="2660" spans="30:30" ht="15.75" customHeight="1">
      <c r="AD2660" s="794"/>
    </row>
    <row r="2661" spans="30:30" ht="15.75" customHeight="1">
      <c r="AD2661" s="794"/>
    </row>
    <row r="2662" spans="30:30" ht="15.75" customHeight="1">
      <c r="AD2662" s="794"/>
    </row>
    <row r="2663" spans="30:30" ht="15.75" customHeight="1">
      <c r="AD2663" s="794"/>
    </row>
    <row r="2664" spans="30:30" ht="15.75" customHeight="1">
      <c r="AD2664" s="794"/>
    </row>
    <row r="2665" spans="30:30" ht="15.75" customHeight="1">
      <c r="AD2665" s="794"/>
    </row>
    <row r="2666" spans="30:30" ht="15.75" customHeight="1">
      <c r="AD2666" s="794"/>
    </row>
    <row r="2667" spans="30:30" ht="15.75" customHeight="1">
      <c r="AD2667" s="794"/>
    </row>
    <row r="2668" spans="30:30" ht="15.75" customHeight="1">
      <c r="AD2668" s="794"/>
    </row>
    <row r="2669" spans="30:30" ht="15.75" customHeight="1">
      <c r="AD2669" s="794"/>
    </row>
    <row r="2670" spans="30:30" ht="15.75" customHeight="1">
      <c r="AD2670" s="794"/>
    </row>
    <row r="2671" spans="30:30" ht="15.75" customHeight="1">
      <c r="AD2671" s="794"/>
    </row>
    <row r="2672" spans="30:30" ht="15.75" customHeight="1">
      <c r="AD2672" s="794"/>
    </row>
    <row r="2673" spans="30:30" ht="15.75" customHeight="1">
      <c r="AD2673" s="794"/>
    </row>
    <row r="2674" spans="30:30" ht="15.75" customHeight="1">
      <c r="AD2674" s="794"/>
    </row>
    <row r="2675" spans="30:30" ht="15.75" customHeight="1">
      <c r="AD2675" s="794"/>
    </row>
    <row r="2676" spans="30:30" ht="15.75" customHeight="1">
      <c r="AD2676" s="794"/>
    </row>
    <row r="2677" spans="30:30" ht="15.75" customHeight="1">
      <c r="AD2677" s="794"/>
    </row>
    <row r="2678" spans="30:30" ht="15.75" customHeight="1">
      <c r="AD2678" s="794"/>
    </row>
    <row r="2679" spans="30:30" ht="15.75" customHeight="1">
      <c r="AD2679" s="794"/>
    </row>
    <row r="2680" spans="30:30" ht="15.75" customHeight="1">
      <c r="AD2680" s="794"/>
    </row>
    <row r="2681" spans="30:30" ht="15.75" customHeight="1">
      <c r="AD2681" s="794"/>
    </row>
    <row r="2682" spans="30:30" ht="15.75" customHeight="1">
      <c r="AD2682" s="794"/>
    </row>
    <row r="2683" spans="30:30" ht="15.75" customHeight="1">
      <c r="AD2683" s="794"/>
    </row>
    <row r="2684" spans="30:30" ht="15.75" customHeight="1">
      <c r="AD2684" s="794"/>
    </row>
    <row r="2685" spans="30:30" ht="15.75" customHeight="1">
      <c r="AD2685" s="794"/>
    </row>
    <row r="2686" spans="30:30" ht="15.75" customHeight="1">
      <c r="AD2686" s="794"/>
    </row>
    <row r="2687" spans="30:30" ht="15.75" customHeight="1">
      <c r="AD2687" s="794"/>
    </row>
    <row r="2688" spans="30:30" ht="15.75" customHeight="1">
      <c r="AD2688" s="794"/>
    </row>
    <row r="2689" spans="30:30" ht="15.75" customHeight="1">
      <c r="AD2689" s="794"/>
    </row>
    <row r="2690" spans="30:30" ht="15.75" customHeight="1">
      <c r="AD2690" s="794"/>
    </row>
    <row r="2691" spans="30:30" ht="15.75" customHeight="1">
      <c r="AD2691" s="794"/>
    </row>
    <row r="2692" spans="30:30" ht="15.75" customHeight="1">
      <c r="AD2692" s="794"/>
    </row>
    <row r="2693" spans="30:30" ht="15.75" customHeight="1">
      <c r="AD2693" s="794"/>
    </row>
    <row r="2694" spans="30:30" ht="15.75" customHeight="1">
      <c r="AD2694" s="794"/>
    </row>
    <row r="2695" spans="30:30" ht="15.75" customHeight="1">
      <c r="AD2695" s="794"/>
    </row>
    <row r="2696" spans="30:30" ht="15.75" customHeight="1">
      <c r="AD2696" s="794"/>
    </row>
    <row r="2697" spans="30:30" ht="15.75" customHeight="1">
      <c r="AD2697" s="794"/>
    </row>
    <row r="2698" spans="30:30" ht="15.75" customHeight="1">
      <c r="AD2698" s="794"/>
    </row>
    <row r="2699" spans="30:30" ht="15.75" customHeight="1">
      <c r="AD2699" s="794"/>
    </row>
    <row r="2700" spans="30:30" ht="15.75" customHeight="1">
      <c r="AD2700" s="794"/>
    </row>
    <row r="2701" spans="30:30" ht="15.75" customHeight="1">
      <c r="AD2701" s="794"/>
    </row>
    <row r="2702" spans="30:30" ht="15.75" customHeight="1">
      <c r="AD2702" s="794"/>
    </row>
    <row r="2703" spans="30:30" ht="15.75" customHeight="1">
      <c r="AD2703" s="794"/>
    </row>
    <row r="2704" spans="30:30" ht="15.75" customHeight="1">
      <c r="AD2704" s="794"/>
    </row>
    <row r="2705" spans="30:30" ht="15.75" customHeight="1">
      <c r="AD2705" s="794"/>
    </row>
    <row r="2706" spans="30:30" ht="15.75" customHeight="1">
      <c r="AD2706" s="794"/>
    </row>
    <row r="2707" spans="30:30" ht="15.75" customHeight="1">
      <c r="AD2707" s="794"/>
    </row>
    <row r="2708" spans="30:30" ht="15.75" customHeight="1">
      <c r="AD2708" s="794"/>
    </row>
    <row r="2709" spans="30:30" ht="15.75" customHeight="1">
      <c r="AD2709" s="794"/>
    </row>
    <row r="2710" spans="30:30" ht="15.75" customHeight="1">
      <c r="AD2710" s="794"/>
    </row>
    <row r="2711" spans="30:30" ht="15.75" customHeight="1">
      <c r="AD2711" s="794"/>
    </row>
    <row r="2712" spans="30:30" ht="15.75" customHeight="1">
      <c r="AD2712" s="794"/>
    </row>
    <row r="2713" spans="30:30" ht="15.75" customHeight="1">
      <c r="AD2713" s="794"/>
    </row>
    <row r="2714" spans="30:30" ht="15.75" customHeight="1">
      <c r="AD2714" s="794"/>
    </row>
    <row r="2715" spans="30:30" ht="15.75" customHeight="1">
      <c r="AD2715" s="794"/>
    </row>
    <row r="2716" spans="30:30" ht="15.75" customHeight="1">
      <c r="AD2716" s="794"/>
    </row>
    <row r="2717" spans="30:30" ht="15.75" customHeight="1">
      <c r="AD2717" s="794"/>
    </row>
    <row r="2718" spans="30:30" ht="15.75" customHeight="1">
      <c r="AD2718" s="794"/>
    </row>
    <row r="2719" spans="30:30" ht="15.75" customHeight="1">
      <c r="AD2719" s="794"/>
    </row>
    <row r="2720" spans="30:30" ht="15.75" customHeight="1">
      <c r="AD2720" s="794"/>
    </row>
    <row r="2721" spans="30:30" ht="15.75" customHeight="1">
      <c r="AD2721" s="794"/>
    </row>
    <row r="2722" spans="30:30" ht="15.75" customHeight="1">
      <c r="AD2722" s="794"/>
    </row>
    <row r="2723" spans="30:30" ht="15.75" customHeight="1">
      <c r="AD2723" s="794"/>
    </row>
    <row r="2724" spans="30:30" ht="15.75" customHeight="1">
      <c r="AD2724" s="794"/>
    </row>
    <row r="2725" spans="30:30" ht="15.75" customHeight="1">
      <c r="AD2725" s="794"/>
    </row>
    <row r="2726" spans="30:30" ht="15.75" customHeight="1">
      <c r="AD2726" s="794"/>
    </row>
    <row r="2727" spans="30:30" ht="15.75" customHeight="1">
      <c r="AD2727" s="794"/>
    </row>
    <row r="2728" spans="30:30" ht="15.75" customHeight="1">
      <c r="AD2728" s="794"/>
    </row>
    <row r="2729" spans="30:30" ht="15.75" customHeight="1">
      <c r="AD2729" s="794"/>
    </row>
    <row r="2730" spans="30:30" ht="15.75" customHeight="1">
      <c r="AD2730" s="794"/>
    </row>
    <row r="2731" spans="30:30" ht="15.75" customHeight="1">
      <c r="AD2731" s="794"/>
    </row>
    <row r="2732" spans="30:30" ht="15.75" customHeight="1">
      <c r="AD2732" s="794"/>
    </row>
    <row r="2733" spans="30:30" ht="15.75" customHeight="1">
      <c r="AD2733" s="794"/>
    </row>
    <row r="2734" spans="30:30" ht="15.75" customHeight="1">
      <c r="AD2734" s="794"/>
    </row>
    <row r="2735" spans="30:30" ht="15.75" customHeight="1">
      <c r="AD2735" s="794"/>
    </row>
    <row r="2736" spans="30:30" ht="15.75" customHeight="1">
      <c r="AD2736" s="794"/>
    </row>
    <row r="2737" spans="30:30" ht="15.75" customHeight="1">
      <c r="AD2737" s="794"/>
    </row>
    <row r="2738" spans="30:30" ht="15.75" customHeight="1">
      <c r="AD2738" s="794"/>
    </row>
    <row r="2739" spans="30:30" ht="15.75" customHeight="1">
      <c r="AD2739" s="794"/>
    </row>
    <row r="2740" spans="30:30" ht="15.75" customHeight="1">
      <c r="AD2740" s="794"/>
    </row>
    <row r="2741" spans="30:30" ht="15.75" customHeight="1">
      <c r="AD2741" s="794"/>
    </row>
    <row r="2742" spans="30:30" ht="15.75" customHeight="1">
      <c r="AD2742" s="794"/>
    </row>
    <row r="2743" spans="30:30" ht="15.75" customHeight="1">
      <c r="AD2743" s="794"/>
    </row>
    <row r="2744" spans="30:30" ht="15.75" customHeight="1">
      <c r="AD2744" s="794"/>
    </row>
    <row r="2745" spans="30:30" ht="15.75" customHeight="1">
      <c r="AD2745" s="794"/>
    </row>
    <row r="2746" spans="30:30" ht="15.75" customHeight="1">
      <c r="AD2746" s="794"/>
    </row>
    <row r="2747" spans="30:30" ht="15.75" customHeight="1">
      <c r="AD2747" s="794"/>
    </row>
    <row r="2748" spans="30:30" ht="15.75" customHeight="1">
      <c r="AD2748" s="794"/>
    </row>
    <row r="2749" spans="30:30" ht="15.75" customHeight="1">
      <c r="AD2749" s="794"/>
    </row>
    <row r="2750" spans="30:30" ht="15.75" customHeight="1">
      <c r="AD2750" s="794"/>
    </row>
    <row r="2751" spans="30:30" ht="15.75" customHeight="1">
      <c r="AD2751" s="794"/>
    </row>
    <row r="2752" spans="30:30" ht="15.75" customHeight="1">
      <c r="AD2752" s="794"/>
    </row>
    <row r="2753" spans="30:30" ht="15.75" customHeight="1">
      <c r="AD2753" s="794"/>
    </row>
    <row r="2754" spans="30:30" ht="15.75" customHeight="1">
      <c r="AD2754" s="794"/>
    </row>
    <row r="2755" spans="30:30" ht="15.75" customHeight="1">
      <c r="AD2755" s="794"/>
    </row>
    <row r="2756" spans="30:30" ht="15.75" customHeight="1">
      <c r="AD2756" s="794"/>
    </row>
    <row r="2757" spans="30:30" ht="15.75" customHeight="1">
      <c r="AD2757" s="794"/>
    </row>
    <row r="2758" spans="30:30" ht="15.75" customHeight="1">
      <c r="AD2758" s="794"/>
    </row>
    <row r="2759" spans="30:30" ht="15.75" customHeight="1">
      <c r="AD2759" s="794"/>
    </row>
    <row r="2760" spans="30:30" ht="15.75" customHeight="1">
      <c r="AD2760" s="794"/>
    </row>
    <row r="2761" spans="30:30" ht="15.75" customHeight="1">
      <c r="AD2761" s="794"/>
    </row>
    <row r="2762" spans="30:30" ht="15.75" customHeight="1">
      <c r="AD2762" s="794"/>
    </row>
    <row r="2763" spans="30:30" ht="15.75" customHeight="1">
      <c r="AD2763" s="794"/>
    </row>
    <row r="2764" spans="30:30" ht="15.75" customHeight="1">
      <c r="AD2764" s="794"/>
    </row>
    <row r="2765" spans="30:30" ht="15.75" customHeight="1">
      <c r="AD2765" s="794"/>
    </row>
    <row r="2766" spans="30:30" ht="15.75" customHeight="1">
      <c r="AD2766" s="794"/>
    </row>
    <row r="2767" spans="30:30" ht="15.75" customHeight="1">
      <c r="AD2767" s="794"/>
    </row>
    <row r="2768" spans="30:30" ht="15.75" customHeight="1">
      <c r="AD2768" s="794"/>
    </row>
    <row r="2769" spans="30:30" ht="15.75" customHeight="1">
      <c r="AD2769" s="794"/>
    </row>
    <row r="2770" spans="30:30" ht="15.75" customHeight="1">
      <c r="AD2770" s="794"/>
    </row>
    <row r="2771" spans="30:30" ht="15.75" customHeight="1">
      <c r="AD2771" s="794"/>
    </row>
    <row r="2772" spans="30:30" ht="15.75" customHeight="1">
      <c r="AD2772" s="794"/>
    </row>
    <row r="2773" spans="30:30" ht="15.75" customHeight="1">
      <c r="AD2773" s="794"/>
    </row>
    <row r="2774" spans="30:30" ht="15.75" customHeight="1">
      <c r="AD2774" s="794"/>
    </row>
    <row r="2775" spans="30:30" ht="15.75" customHeight="1">
      <c r="AD2775" s="794"/>
    </row>
    <row r="2776" spans="30:30" ht="15.75" customHeight="1">
      <c r="AD2776" s="794"/>
    </row>
    <row r="2777" spans="30:30" ht="15.75" customHeight="1">
      <c r="AD2777" s="794"/>
    </row>
    <row r="2778" spans="30:30" ht="15.75" customHeight="1">
      <c r="AD2778" s="794"/>
    </row>
    <row r="2779" spans="30:30" ht="15.75" customHeight="1">
      <c r="AD2779" s="794"/>
    </row>
    <row r="2780" spans="30:30" ht="15.75" customHeight="1">
      <c r="AD2780" s="794"/>
    </row>
    <row r="2781" spans="30:30" ht="15.75" customHeight="1">
      <c r="AD2781" s="794"/>
    </row>
    <row r="2782" spans="30:30" ht="15.75" customHeight="1">
      <c r="AD2782" s="794"/>
    </row>
    <row r="2783" spans="30:30" ht="15.75" customHeight="1">
      <c r="AD2783" s="794"/>
    </row>
    <row r="2784" spans="30:30" ht="15.75" customHeight="1">
      <c r="AD2784" s="794"/>
    </row>
    <row r="2785" spans="30:30" ht="15.75" customHeight="1">
      <c r="AD2785" s="794"/>
    </row>
    <row r="2786" spans="30:30" ht="15.75" customHeight="1">
      <c r="AD2786" s="794"/>
    </row>
    <row r="2787" spans="30:30" ht="15.75" customHeight="1">
      <c r="AD2787" s="794"/>
    </row>
    <row r="2788" spans="30:30" ht="15.75" customHeight="1">
      <c r="AD2788" s="794"/>
    </row>
    <row r="2789" spans="30:30" ht="15.75" customHeight="1">
      <c r="AD2789" s="794"/>
    </row>
    <row r="2790" spans="30:30" ht="15.75" customHeight="1">
      <c r="AD2790" s="794"/>
    </row>
    <row r="2791" spans="30:30" ht="15.75" customHeight="1">
      <c r="AD2791" s="794"/>
    </row>
    <row r="2792" spans="30:30" ht="15.75" customHeight="1">
      <c r="AD2792" s="794"/>
    </row>
    <row r="2793" spans="30:30" ht="15.75" customHeight="1">
      <c r="AD2793" s="794"/>
    </row>
    <row r="2794" spans="30:30" ht="15.75" customHeight="1">
      <c r="AD2794" s="794"/>
    </row>
    <row r="2795" spans="30:30" ht="15.75" customHeight="1">
      <c r="AD2795" s="794"/>
    </row>
    <row r="2796" spans="30:30" ht="15.75" customHeight="1">
      <c r="AD2796" s="794"/>
    </row>
    <row r="2797" spans="30:30" ht="15.75" customHeight="1">
      <c r="AD2797" s="794"/>
    </row>
    <row r="2798" spans="30:30" ht="15.75" customHeight="1">
      <c r="AD2798" s="794"/>
    </row>
    <row r="2799" spans="30:30" ht="15.75" customHeight="1">
      <c r="AD2799" s="794"/>
    </row>
    <row r="2800" spans="30:30" ht="15.75" customHeight="1">
      <c r="AD2800" s="794"/>
    </row>
    <row r="2801" spans="30:30" ht="15.75" customHeight="1">
      <c r="AD2801" s="794"/>
    </row>
    <row r="2802" spans="30:30" ht="15.75" customHeight="1">
      <c r="AD2802" s="794"/>
    </row>
    <row r="2803" spans="30:30" ht="15.75" customHeight="1">
      <c r="AD2803" s="794"/>
    </row>
    <row r="2804" spans="30:30" ht="15.75" customHeight="1">
      <c r="AD2804" s="794"/>
    </row>
    <row r="2805" spans="30:30" ht="15.75" customHeight="1">
      <c r="AD2805" s="794"/>
    </row>
    <row r="2806" spans="30:30" ht="15.75" customHeight="1">
      <c r="AD2806" s="794"/>
    </row>
    <row r="2807" spans="30:30" ht="15.75" customHeight="1">
      <c r="AD2807" s="794"/>
    </row>
    <row r="2808" spans="30:30" ht="15.75" customHeight="1">
      <c r="AD2808" s="794"/>
    </row>
    <row r="2809" spans="30:30" ht="15.75" customHeight="1">
      <c r="AD2809" s="794"/>
    </row>
    <row r="2810" spans="30:30" ht="15.75" customHeight="1">
      <c r="AD2810" s="794"/>
    </row>
    <row r="2811" spans="30:30" ht="15.75" customHeight="1">
      <c r="AD2811" s="794"/>
    </row>
    <row r="2812" spans="30:30" ht="15.75" customHeight="1">
      <c r="AD2812" s="794"/>
    </row>
    <row r="2813" spans="30:30" ht="15.75" customHeight="1">
      <c r="AD2813" s="794"/>
    </row>
    <row r="2814" spans="30:30" ht="15.75" customHeight="1">
      <c r="AD2814" s="794"/>
    </row>
    <row r="2815" spans="30:30" ht="15.75" customHeight="1">
      <c r="AD2815" s="794"/>
    </row>
    <row r="2816" spans="30:30" ht="15.75" customHeight="1">
      <c r="AD2816" s="794"/>
    </row>
    <row r="2817" spans="30:30" ht="15.75" customHeight="1">
      <c r="AD2817" s="794"/>
    </row>
    <row r="2818" spans="30:30" ht="15.75" customHeight="1">
      <c r="AD2818" s="794"/>
    </row>
    <row r="2819" spans="30:30" ht="15.75" customHeight="1">
      <c r="AD2819" s="794"/>
    </row>
    <row r="2820" spans="30:30" ht="15.75" customHeight="1">
      <c r="AD2820" s="794"/>
    </row>
    <row r="2821" spans="30:30" ht="15.75" customHeight="1">
      <c r="AD2821" s="794"/>
    </row>
    <row r="2822" spans="30:30" ht="15.75" customHeight="1">
      <c r="AD2822" s="794"/>
    </row>
    <row r="2823" spans="30:30" ht="15.75" customHeight="1">
      <c r="AD2823" s="794"/>
    </row>
    <row r="2824" spans="30:30" ht="15.75" customHeight="1">
      <c r="AD2824" s="794"/>
    </row>
    <row r="2825" spans="30:30" ht="15.75" customHeight="1">
      <c r="AD2825" s="794"/>
    </row>
    <row r="2826" spans="30:30" ht="15.75" customHeight="1">
      <c r="AD2826" s="794"/>
    </row>
    <row r="2827" spans="30:30" ht="15.75" customHeight="1">
      <c r="AD2827" s="794"/>
    </row>
    <row r="2828" spans="30:30" ht="15.75" customHeight="1">
      <c r="AD2828" s="794"/>
    </row>
    <row r="2829" spans="30:30" ht="15.75" customHeight="1">
      <c r="AD2829" s="794"/>
    </row>
    <row r="2830" spans="30:30" ht="15.75" customHeight="1">
      <c r="AD2830" s="794"/>
    </row>
    <row r="2831" spans="30:30" ht="15.75" customHeight="1">
      <c r="AD2831" s="794"/>
    </row>
    <row r="2832" spans="30:30" ht="15.75" customHeight="1">
      <c r="AD2832" s="794"/>
    </row>
    <row r="2833" spans="30:30" ht="15.75" customHeight="1">
      <c r="AD2833" s="794"/>
    </row>
    <row r="2834" spans="30:30" ht="15.75" customHeight="1">
      <c r="AD2834" s="794"/>
    </row>
    <row r="2835" spans="30:30" ht="15.75" customHeight="1">
      <c r="AD2835" s="794"/>
    </row>
    <row r="2836" spans="30:30" ht="15.75" customHeight="1">
      <c r="AD2836" s="794"/>
    </row>
    <row r="2837" spans="30:30" ht="15.75" customHeight="1">
      <c r="AD2837" s="794"/>
    </row>
    <row r="2838" spans="30:30" ht="15.75" customHeight="1">
      <c r="AD2838" s="794"/>
    </row>
    <row r="2839" spans="30:30" ht="15.75" customHeight="1">
      <c r="AD2839" s="794"/>
    </row>
    <row r="2840" spans="30:30" ht="15.75" customHeight="1">
      <c r="AD2840" s="794"/>
    </row>
    <row r="2841" spans="30:30" ht="15.75" customHeight="1">
      <c r="AD2841" s="794"/>
    </row>
    <row r="2842" spans="30:30" ht="15.75" customHeight="1">
      <c r="AD2842" s="794"/>
    </row>
    <row r="2843" spans="30:30" ht="15.75" customHeight="1">
      <c r="AD2843" s="794"/>
    </row>
    <row r="2844" spans="30:30" ht="15.75" customHeight="1">
      <c r="AD2844" s="794"/>
    </row>
    <row r="2845" spans="30:30" ht="15.75" customHeight="1">
      <c r="AD2845" s="794"/>
    </row>
    <row r="2846" spans="30:30" ht="15.75" customHeight="1">
      <c r="AD2846" s="794"/>
    </row>
    <row r="2847" spans="30:30" ht="15.75" customHeight="1">
      <c r="AD2847" s="794"/>
    </row>
    <row r="2848" spans="30:30" ht="15.75" customHeight="1">
      <c r="AD2848" s="794"/>
    </row>
    <row r="2849" spans="30:30" ht="15.75" customHeight="1">
      <c r="AD2849" s="794"/>
    </row>
    <row r="2850" spans="30:30" ht="15.75" customHeight="1">
      <c r="AD2850" s="794"/>
    </row>
    <row r="2851" spans="30:30" ht="15.75" customHeight="1">
      <c r="AD2851" s="794"/>
    </row>
    <row r="2852" spans="30:30" ht="15.75" customHeight="1">
      <c r="AD2852" s="794"/>
    </row>
    <row r="2853" spans="30:30" ht="15.75" customHeight="1">
      <c r="AD2853" s="794"/>
    </row>
    <row r="2854" spans="30:30" ht="15.75" customHeight="1">
      <c r="AD2854" s="794"/>
    </row>
    <row r="2855" spans="30:30" ht="15.75" customHeight="1">
      <c r="AD2855" s="794"/>
    </row>
    <row r="2856" spans="30:30" ht="15.75" customHeight="1">
      <c r="AD2856" s="794"/>
    </row>
    <row r="2857" spans="30:30" ht="15.75" customHeight="1">
      <c r="AD2857" s="794"/>
    </row>
    <row r="2858" spans="30:30" ht="15.75" customHeight="1">
      <c r="AD2858" s="794"/>
    </row>
    <row r="2859" spans="30:30" ht="15.75" customHeight="1">
      <c r="AD2859" s="794"/>
    </row>
    <row r="2860" spans="30:30" ht="15.75" customHeight="1">
      <c r="AD2860" s="794"/>
    </row>
    <row r="2861" spans="30:30" ht="15.75" customHeight="1">
      <c r="AD2861" s="794"/>
    </row>
    <row r="2862" spans="30:30" ht="15.75" customHeight="1">
      <c r="AD2862" s="794"/>
    </row>
    <row r="2863" spans="30:30" ht="15.75" customHeight="1">
      <c r="AD2863" s="794"/>
    </row>
    <row r="2864" spans="30:30" ht="15.75" customHeight="1">
      <c r="AD2864" s="794"/>
    </row>
    <row r="2865" spans="30:30" ht="15.75" customHeight="1">
      <c r="AD2865" s="794"/>
    </row>
    <row r="2866" spans="30:30" ht="15.75" customHeight="1">
      <c r="AD2866" s="794"/>
    </row>
    <row r="2867" spans="30:30" ht="15.75" customHeight="1">
      <c r="AD2867" s="794"/>
    </row>
    <row r="2868" spans="30:30" ht="15.75" customHeight="1">
      <c r="AD2868" s="794"/>
    </row>
    <row r="2869" spans="30:30" ht="15.75" customHeight="1">
      <c r="AD2869" s="794"/>
    </row>
    <row r="2870" spans="30:30" ht="15.75" customHeight="1">
      <c r="AD2870" s="794"/>
    </row>
    <row r="2871" spans="30:30" ht="15.75" customHeight="1">
      <c r="AD2871" s="794"/>
    </row>
    <row r="2872" spans="30:30" ht="15.75" customHeight="1">
      <c r="AD2872" s="794"/>
    </row>
    <row r="2873" spans="30:30" ht="15.75" customHeight="1">
      <c r="AD2873" s="794"/>
    </row>
    <row r="2874" spans="30:30" ht="15.75" customHeight="1">
      <c r="AD2874" s="794"/>
    </row>
    <row r="2875" spans="30:30" ht="15.75" customHeight="1">
      <c r="AD2875" s="794"/>
    </row>
    <row r="2876" spans="30:30" ht="15.75" customHeight="1">
      <c r="AD2876" s="794"/>
    </row>
    <row r="2877" spans="30:30" ht="15.75" customHeight="1">
      <c r="AD2877" s="794"/>
    </row>
    <row r="2878" spans="30:30" ht="15.75" customHeight="1">
      <c r="AD2878" s="794"/>
    </row>
    <row r="2879" spans="30:30" ht="15.75" customHeight="1">
      <c r="AD2879" s="794"/>
    </row>
    <row r="2880" spans="30:30" ht="15.75" customHeight="1">
      <c r="AD2880" s="794"/>
    </row>
    <row r="2881" spans="30:30" ht="15.75" customHeight="1">
      <c r="AD2881" s="794"/>
    </row>
    <row r="2882" spans="30:30" ht="15.75" customHeight="1">
      <c r="AD2882" s="794"/>
    </row>
    <row r="2883" spans="30:30" ht="15.75" customHeight="1">
      <c r="AD2883" s="794"/>
    </row>
    <row r="2884" spans="30:30" ht="15.75" customHeight="1">
      <c r="AD2884" s="794"/>
    </row>
    <row r="2885" spans="30:30" ht="15.75" customHeight="1">
      <c r="AD2885" s="794"/>
    </row>
    <row r="2886" spans="30:30" ht="15.75" customHeight="1">
      <c r="AD2886" s="794"/>
    </row>
    <row r="2887" spans="30:30" ht="15.75" customHeight="1">
      <c r="AD2887" s="794"/>
    </row>
    <row r="2888" spans="30:30" ht="15.75" customHeight="1">
      <c r="AD2888" s="794"/>
    </row>
    <row r="2889" spans="30:30" ht="15.75" customHeight="1">
      <c r="AD2889" s="794"/>
    </row>
    <row r="2890" spans="30:30" ht="15.75" customHeight="1">
      <c r="AD2890" s="794"/>
    </row>
    <row r="2891" spans="30:30" ht="15.75" customHeight="1">
      <c r="AD2891" s="794"/>
    </row>
    <row r="2892" spans="30:30" ht="15.75" customHeight="1">
      <c r="AD2892" s="794"/>
    </row>
    <row r="2893" spans="30:30" ht="15.75" customHeight="1">
      <c r="AD2893" s="794"/>
    </row>
    <row r="2894" spans="30:30" ht="15.75" customHeight="1">
      <c r="AD2894" s="794"/>
    </row>
    <row r="2895" spans="30:30" ht="15.75" customHeight="1">
      <c r="AD2895" s="794"/>
    </row>
    <row r="2896" spans="30:30" ht="15.75" customHeight="1">
      <c r="AD2896" s="794"/>
    </row>
    <row r="2897" spans="30:30" ht="15.75" customHeight="1">
      <c r="AD2897" s="794"/>
    </row>
    <row r="2898" spans="30:30" ht="15.75" customHeight="1">
      <c r="AD2898" s="794"/>
    </row>
    <row r="2899" spans="30:30" ht="15.75" customHeight="1">
      <c r="AD2899" s="794"/>
    </row>
    <row r="2900" spans="30:30" ht="15.75" customHeight="1">
      <c r="AD2900" s="794"/>
    </row>
    <row r="2901" spans="30:30" ht="15.75" customHeight="1">
      <c r="AD2901" s="794"/>
    </row>
    <row r="2902" spans="30:30" ht="15.75" customHeight="1">
      <c r="AD2902" s="794"/>
    </row>
    <row r="2903" spans="30:30" ht="15.75" customHeight="1">
      <c r="AD2903" s="794"/>
    </row>
    <row r="2904" spans="30:30" ht="15.75" customHeight="1">
      <c r="AD2904" s="794"/>
    </row>
    <row r="2905" spans="30:30" ht="15.75" customHeight="1">
      <c r="AD2905" s="794"/>
    </row>
    <row r="2906" spans="30:30" ht="15.75" customHeight="1">
      <c r="AD2906" s="794"/>
    </row>
    <row r="2907" spans="30:30" ht="15.75" customHeight="1">
      <c r="AD2907" s="794"/>
    </row>
    <row r="2908" spans="30:30" ht="15.75" customHeight="1">
      <c r="AD2908" s="794"/>
    </row>
    <row r="2909" spans="30:30" ht="15.75" customHeight="1">
      <c r="AD2909" s="794"/>
    </row>
    <row r="2910" spans="30:30" ht="15.75" customHeight="1">
      <c r="AD2910" s="794"/>
    </row>
    <row r="2911" spans="30:30" ht="15.75" customHeight="1">
      <c r="AD2911" s="794"/>
    </row>
    <row r="2912" spans="30:30" ht="15.75" customHeight="1">
      <c r="AD2912" s="794"/>
    </row>
    <row r="2913" spans="30:30" ht="15.75" customHeight="1">
      <c r="AD2913" s="794"/>
    </row>
    <row r="2914" spans="30:30" ht="15.75" customHeight="1">
      <c r="AD2914" s="794"/>
    </row>
    <row r="2915" spans="30:30" ht="15.75" customHeight="1">
      <c r="AD2915" s="794"/>
    </row>
    <row r="2916" spans="30:30" ht="15.75" customHeight="1">
      <c r="AD2916" s="794"/>
    </row>
    <row r="2917" spans="30:30" ht="15.75" customHeight="1">
      <c r="AD2917" s="794"/>
    </row>
    <row r="2918" spans="30:30" ht="15.75" customHeight="1">
      <c r="AD2918" s="794"/>
    </row>
    <row r="2919" spans="30:30" ht="15.75" customHeight="1">
      <c r="AD2919" s="794"/>
    </row>
    <row r="2920" spans="30:30" ht="15.75" customHeight="1">
      <c r="AD2920" s="794"/>
    </row>
    <row r="2921" spans="30:30" ht="15.75" customHeight="1">
      <c r="AD2921" s="794"/>
    </row>
    <row r="2922" spans="30:30" ht="15.75" customHeight="1">
      <c r="AD2922" s="794"/>
    </row>
    <row r="2923" spans="30:30" ht="15.75" customHeight="1">
      <c r="AD2923" s="794"/>
    </row>
    <row r="2924" spans="30:30" ht="15.75" customHeight="1">
      <c r="AD2924" s="794"/>
    </row>
    <row r="2925" spans="30:30" ht="15.75" customHeight="1">
      <c r="AD2925" s="794"/>
    </row>
    <row r="2926" spans="30:30" ht="15.75" customHeight="1">
      <c r="AD2926" s="794"/>
    </row>
    <row r="2927" spans="30:30" ht="15.75" customHeight="1">
      <c r="AD2927" s="794"/>
    </row>
    <row r="2928" spans="30:30" ht="15.75" customHeight="1">
      <c r="AD2928" s="794"/>
    </row>
    <row r="2929" spans="30:30" ht="15.75" customHeight="1">
      <c r="AD2929" s="794"/>
    </row>
    <row r="2930" spans="30:30" ht="15.75" customHeight="1">
      <c r="AD2930" s="794"/>
    </row>
    <row r="2931" spans="30:30" ht="15.75" customHeight="1">
      <c r="AD2931" s="794"/>
    </row>
    <row r="2932" spans="30:30" ht="15.75" customHeight="1">
      <c r="AD2932" s="794"/>
    </row>
    <row r="2933" spans="30:30" ht="15.75" customHeight="1">
      <c r="AD2933" s="794"/>
    </row>
    <row r="2934" spans="30:30" ht="15.75" customHeight="1">
      <c r="AD2934" s="794"/>
    </row>
    <row r="2935" spans="30:30" ht="15.75" customHeight="1">
      <c r="AD2935" s="794"/>
    </row>
    <row r="2936" spans="30:30" ht="15.75" customHeight="1">
      <c r="AD2936" s="794"/>
    </row>
    <row r="2937" spans="30:30" ht="15.75" customHeight="1">
      <c r="AD2937" s="794"/>
    </row>
    <row r="2938" spans="30:30" ht="15.75" customHeight="1">
      <c r="AD2938" s="794"/>
    </row>
    <row r="2939" spans="30:30" ht="15.75" customHeight="1">
      <c r="AD2939" s="794"/>
    </row>
    <row r="2940" spans="30:30" ht="15.75" customHeight="1">
      <c r="AD2940" s="794"/>
    </row>
    <row r="2941" spans="30:30" ht="15.75" customHeight="1">
      <c r="AD2941" s="794"/>
    </row>
    <row r="2942" spans="30:30" ht="15.75" customHeight="1">
      <c r="AD2942" s="794"/>
    </row>
    <row r="2943" spans="30:30" ht="15.75" customHeight="1">
      <c r="AD2943" s="794"/>
    </row>
    <row r="2944" spans="30:30" ht="15.75" customHeight="1">
      <c r="AD2944" s="794"/>
    </row>
    <row r="2945" spans="30:30" ht="15.75" customHeight="1">
      <c r="AD2945" s="794"/>
    </row>
    <row r="2946" spans="30:30" ht="15.75" customHeight="1">
      <c r="AD2946" s="794"/>
    </row>
    <row r="2947" spans="30:30" ht="15.75" customHeight="1">
      <c r="AD2947" s="794"/>
    </row>
    <row r="2948" spans="30:30" ht="15.75" customHeight="1">
      <c r="AD2948" s="794"/>
    </row>
    <row r="2949" spans="30:30" ht="15.75" customHeight="1">
      <c r="AD2949" s="794"/>
    </row>
    <row r="2950" spans="30:30" ht="15.75" customHeight="1">
      <c r="AD2950" s="794"/>
    </row>
    <row r="2951" spans="30:30" ht="15.75" customHeight="1">
      <c r="AD2951" s="794"/>
    </row>
    <row r="2952" spans="30:30" ht="15.75" customHeight="1">
      <c r="AD2952" s="794"/>
    </row>
    <row r="2953" spans="30:30" ht="15.75" customHeight="1">
      <c r="AD2953" s="794"/>
    </row>
    <row r="2954" spans="30:30" ht="15.75" customHeight="1">
      <c r="AD2954" s="794"/>
    </row>
    <row r="2955" spans="30:30" ht="15.75" customHeight="1">
      <c r="AD2955" s="794"/>
    </row>
    <row r="2956" spans="30:30" ht="15.75" customHeight="1">
      <c r="AD2956" s="794"/>
    </row>
    <row r="2957" spans="30:30" ht="15.75" customHeight="1">
      <c r="AD2957" s="794"/>
    </row>
    <row r="2958" spans="30:30" ht="15.75" customHeight="1">
      <c r="AD2958" s="794"/>
    </row>
    <row r="2959" spans="30:30" ht="15.75" customHeight="1">
      <c r="AD2959" s="794"/>
    </row>
    <row r="2960" spans="30:30" ht="15.75" customHeight="1">
      <c r="AD2960" s="794"/>
    </row>
    <row r="2961" spans="30:30" ht="15.75" customHeight="1">
      <c r="AD2961" s="794"/>
    </row>
    <row r="2962" spans="30:30" ht="15.75" customHeight="1">
      <c r="AD2962" s="794"/>
    </row>
    <row r="2963" spans="30:30" ht="15.75" customHeight="1">
      <c r="AD2963" s="794"/>
    </row>
    <row r="2964" spans="30:30" ht="15.75" customHeight="1">
      <c r="AD2964" s="794"/>
    </row>
    <row r="2965" spans="30:30" ht="15.75" customHeight="1">
      <c r="AD2965" s="794"/>
    </row>
    <row r="2966" spans="30:30" ht="15.75" customHeight="1">
      <c r="AD2966" s="794"/>
    </row>
    <row r="2967" spans="30:30" ht="15.75" customHeight="1">
      <c r="AD2967" s="794"/>
    </row>
    <row r="2968" spans="30:30" ht="15.75" customHeight="1">
      <c r="AD2968" s="794"/>
    </row>
    <row r="2969" spans="30:30" ht="15.75" customHeight="1">
      <c r="AD2969" s="794"/>
    </row>
    <row r="2970" spans="30:30" ht="15.75" customHeight="1">
      <c r="AD2970" s="794"/>
    </row>
    <row r="2971" spans="30:30" ht="15.75" customHeight="1">
      <c r="AD2971" s="794"/>
    </row>
    <row r="2972" spans="30:30" ht="15.75" customHeight="1">
      <c r="AD2972" s="794"/>
    </row>
    <row r="2973" spans="30:30" ht="15.75" customHeight="1">
      <c r="AD2973" s="794"/>
    </row>
    <row r="2974" spans="30:30" ht="15.75" customHeight="1">
      <c r="AD2974" s="794"/>
    </row>
    <row r="2975" spans="30:30" ht="15.75" customHeight="1">
      <c r="AD2975" s="794"/>
    </row>
    <row r="2976" spans="30:30" ht="15.75" customHeight="1">
      <c r="AD2976" s="794"/>
    </row>
    <row r="2977" spans="30:30" ht="15.75" customHeight="1">
      <c r="AD2977" s="794"/>
    </row>
    <row r="2978" spans="30:30" ht="15.75" customHeight="1">
      <c r="AD2978" s="794"/>
    </row>
    <row r="2979" spans="30:30" ht="15.75" customHeight="1">
      <c r="AD2979" s="794"/>
    </row>
    <row r="2980" spans="30:30" ht="15.75" customHeight="1">
      <c r="AD2980" s="794"/>
    </row>
    <row r="2981" spans="30:30" ht="15.75" customHeight="1">
      <c r="AD2981" s="794"/>
    </row>
    <row r="2982" spans="30:30" ht="15.75" customHeight="1">
      <c r="AD2982" s="794"/>
    </row>
    <row r="2983" spans="30:30" ht="15.75" customHeight="1">
      <c r="AD2983" s="794"/>
    </row>
    <row r="2984" spans="30:30" ht="15.75" customHeight="1">
      <c r="AD2984" s="794"/>
    </row>
    <row r="2985" spans="30:30" ht="15.75" customHeight="1">
      <c r="AD2985" s="794"/>
    </row>
    <row r="2986" spans="30:30" ht="15.75" customHeight="1">
      <c r="AD2986" s="794"/>
    </row>
    <row r="2987" spans="30:30" ht="15.75" customHeight="1">
      <c r="AD2987" s="794"/>
    </row>
    <row r="2988" spans="30:30" ht="15.75" customHeight="1">
      <c r="AD2988" s="794"/>
    </row>
    <row r="2989" spans="30:30" ht="15.75" customHeight="1">
      <c r="AD2989" s="794"/>
    </row>
    <row r="2990" spans="30:30" ht="15.75" customHeight="1">
      <c r="AD2990" s="794"/>
    </row>
    <row r="2991" spans="30:30" ht="15.75" customHeight="1">
      <c r="AD2991" s="794"/>
    </row>
    <row r="2992" spans="30:30" ht="15.75" customHeight="1">
      <c r="AD2992" s="794"/>
    </row>
    <row r="2993" spans="30:30" ht="15.75" customHeight="1">
      <c r="AD2993" s="794"/>
    </row>
    <row r="2994" spans="30:30" ht="15.75" customHeight="1">
      <c r="AD2994" s="794"/>
    </row>
    <row r="2995" spans="30:30" ht="15.75" customHeight="1">
      <c r="AD2995" s="794"/>
    </row>
    <row r="2996" spans="30:30" ht="15.75" customHeight="1">
      <c r="AD2996" s="794"/>
    </row>
    <row r="2997" spans="30:30" ht="15.75" customHeight="1">
      <c r="AD2997" s="794"/>
    </row>
    <row r="2998" spans="30:30" ht="15.75" customHeight="1">
      <c r="AD2998" s="794"/>
    </row>
    <row r="2999" spans="30:30" ht="15.75" customHeight="1">
      <c r="AD2999" s="794"/>
    </row>
    <row r="3000" spans="30:30" ht="15.75" customHeight="1">
      <c r="AD3000" s="794"/>
    </row>
    <row r="3001" spans="30:30" ht="15.75" customHeight="1">
      <c r="AD3001" s="794"/>
    </row>
    <row r="3002" spans="30:30" ht="15.75" customHeight="1">
      <c r="AD3002" s="794"/>
    </row>
    <row r="3003" spans="30:30" ht="15.75" customHeight="1">
      <c r="AD3003" s="794"/>
    </row>
    <row r="3004" spans="30:30" ht="15.75" customHeight="1">
      <c r="AD3004" s="794"/>
    </row>
    <row r="3005" spans="30:30" ht="15.75" customHeight="1">
      <c r="AD3005" s="794"/>
    </row>
    <row r="3006" spans="30:30" ht="15.75" customHeight="1">
      <c r="AD3006" s="794"/>
    </row>
    <row r="3007" spans="30:30" ht="15.75" customHeight="1">
      <c r="AD3007" s="794"/>
    </row>
    <row r="3008" spans="30:30" ht="15.75" customHeight="1">
      <c r="AD3008" s="794"/>
    </row>
    <row r="3009" spans="30:30" ht="15.75" customHeight="1">
      <c r="AD3009" s="794"/>
    </row>
    <row r="3010" spans="30:30" ht="15.75" customHeight="1">
      <c r="AD3010" s="794"/>
    </row>
    <row r="3011" spans="30:30" ht="15.75" customHeight="1">
      <c r="AD3011" s="794"/>
    </row>
    <row r="3012" spans="30:30" ht="15.75" customHeight="1">
      <c r="AD3012" s="794"/>
    </row>
    <row r="3013" spans="30:30" ht="15.75" customHeight="1">
      <c r="AD3013" s="794"/>
    </row>
    <row r="3014" spans="30:30" ht="15.75" customHeight="1">
      <c r="AD3014" s="794"/>
    </row>
    <row r="3015" spans="30:30" ht="15.75" customHeight="1">
      <c r="AD3015" s="794"/>
    </row>
    <row r="3016" spans="30:30" ht="15.75" customHeight="1">
      <c r="AD3016" s="794"/>
    </row>
    <row r="3017" spans="30:30" ht="15.75" customHeight="1">
      <c r="AD3017" s="794"/>
    </row>
    <row r="3018" spans="30:30" ht="15.75" customHeight="1">
      <c r="AD3018" s="794"/>
    </row>
    <row r="3019" spans="30:30" ht="15.75" customHeight="1">
      <c r="AD3019" s="794"/>
    </row>
    <row r="3020" spans="30:30" ht="15.75" customHeight="1">
      <c r="AD3020" s="794"/>
    </row>
    <row r="3021" spans="30:30" ht="15.75" customHeight="1">
      <c r="AD3021" s="794"/>
    </row>
    <row r="3022" spans="30:30" ht="15.75" customHeight="1">
      <c r="AD3022" s="794"/>
    </row>
    <row r="3023" spans="30:30" ht="15.75" customHeight="1">
      <c r="AD3023" s="794"/>
    </row>
    <row r="3024" spans="30:30" ht="15.75" customHeight="1">
      <c r="AD3024" s="794"/>
    </row>
    <row r="3025" spans="30:30" ht="15.75" customHeight="1">
      <c r="AD3025" s="794"/>
    </row>
    <row r="3026" spans="30:30" ht="15.75" customHeight="1">
      <c r="AD3026" s="794"/>
    </row>
    <row r="3027" spans="30:30" ht="15.75" customHeight="1">
      <c r="AD3027" s="794"/>
    </row>
    <row r="3028" spans="30:30" ht="15.75" customHeight="1">
      <c r="AD3028" s="794"/>
    </row>
    <row r="3029" spans="30:30" ht="15.75" customHeight="1">
      <c r="AD3029" s="794"/>
    </row>
    <row r="3030" spans="30:30" ht="15.75" customHeight="1">
      <c r="AD3030" s="794"/>
    </row>
    <row r="3031" spans="30:30" ht="15.75" customHeight="1">
      <c r="AD3031" s="794"/>
    </row>
    <row r="3032" spans="30:30" ht="15.75" customHeight="1">
      <c r="AD3032" s="794"/>
    </row>
    <row r="3033" spans="30:30" ht="15.75" customHeight="1">
      <c r="AD3033" s="794"/>
    </row>
    <row r="3034" spans="30:30" ht="15.75" customHeight="1">
      <c r="AD3034" s="794"/>
    </row>
    <row r="3035" spans="30:30" ht="15.75" customHeight="1">
      <c r="AD3035" s="794"/>
    </row>
    <row r="3036" spans="30:30" ht="15.75" customHeight="1">
      <c r="AD3036" s="794"/>
    </row>
    <row r="3037" spans="30:30" ht="15.75" customHeight="1">
      <c r="AD3037" s="794"/>
    </row>
    <row r="3038" spans="30:30" ht="15.75" customHeight="1">
      <c r="AD3038" s="794"/>
    </row>
    <row r="3039" spans="30:30" ht="15.75" customHeight="1">
      <c r="AD3039" s="794"/>
    </row>
    <row r="3040" spans="30:30" ht="15.75" customHeight="1">
      <c r="AD3040" s="794"/>
    </row>
    <row r="3041" spans="30:30" ht="15.75" customHeight="1">
      <c r="AD3041" s="794"/>
    </row>
    <row r="3042" spans="30:30" ht="15.75" customHeight="1">
      <c r="AD3042" s="794"/>
    </row>
    <row r="3043" spans="30:30" ht="15.75" customHeight="1">
      <c r="AD3043" s="794"/>
    </row>
    <row r="3044" spans="30:30" ht="15.75" customHeight="1">
      <c r="AD3044" s="794"/>
    </row>
    <row r="3045" spans="30:30" ht="15.75" customHeight="1">
      <c r="AD3045" s="794"/>
    </row>
    <row r="3046" spans="30:30" ht="15.75" customHeight="1">
      <c r="AD3046" s="794"/>
    </row>
    <row r="3047" spans="30:30" ht="15.75" customHeight="1">
      <c r="AD3047" s="794"/>
    </row>
    <row r="3048" spans="30:30" ht="15.75" customHeight="1">
      <c r="AD3048" s="794"/>
    </row>
    <row r="3049" spans="30:30" ht="15.75" customHeight="1">
      <c r="AD3049" s="794"/>
    </row>
    <row r="3050" spans="30:30" ht="15.75" customHeight="1">
      <c r="AD3050" s="794"/>
    </row>
    <row r="3051" spans="30:30" ht="15.75" customHeight="1">
      <c r="AD3051" s="794"/>
    </row>
    <row r="3052" spans="30:30" ht="15.75" customHeight="1">
      <c r="AD3052" s="794"/>
    </row>
    <row r="3053" spans="30:30" ht="15.75" customHeight="1">
      <c r="AD3053" s="794"/>
    </row>
    <row r="3054" spans="30:30" ht="15.75" customHeight="1">
      <c r="AD3054" s="794"/>
    </row>
    <row r="3055" spans="30:30" ht="15.75" customHeight="1">
      <c r="AD3055" s="794"/>
    </row>
    <row r="3056" spans="30:30" ht="15.75" customHeight="1">
      <c r="AD3056" s="794"/>
    </row>
    <row r="3057" spans="30:30" ht="15.75" customHeight="1">
      <c r="AD3057" s="794"/>
    </row>
    <row r="3058" spans="30:30" ht="15.75" customHeight="1">
      <c r="AD3058" s="794"/>
    </row>
    <row r="3059" spans="30:30" ht="15.75" customHeight="1">
      <c r="AD3059" s="794"/>
    </row>
    <row r="3060" spans="30:30" ht="15.75" customHeight="1">
      <c r="AD3060" s="794"/>
    </row>
    <row r="3061" spans="30:30" ht="15.75" customHeight="1">
      <c r="AD3061" s="794"/>
    </row>
    <row r="3062" spans="30:30" ht="15.75" customHeight="1">
      <c r="AD3062" s="794"/>
    </row>
    <row r="3063" spans="30:30" ht="15.75" customHeight="1">
      <c r="AD3063" s="794"/>
    </row>
    <row r="3064" spans="30:30" ht="15.75" customHeight="1">
      <c r="AD3064" s="794"/>
    </row>
    <row r="3065" spans="30:30" ht="15.75" customHeight="1">
      <c r="AD3065" s="794"/>
    </row>
    <row r="3066" spans="30:30" ht="15.75" customHeight="1">
      <c r="AD3066" s="794"/>
    </row>
    <row r="3067" spans="30:30" ht="15.75" customHeight="1">
      <c r="AD3067" s="794"/>
    </row>
    <row r="3068" spans="30:30" ht="15.75" customHeight="1">
      <c r="AD3068" s="794"/>
    </row>
    <row r="3069" spans="30:30" ht="15.75" customHeight="1">
      <c r="AD3069" s="794"/>
    </row>
    <row r="3070" spans="30:30" ht="15.75" customHeight="1">
      <c r="AD3070" s="794"/>
    </row>
    <row r="3071" spans="30:30" ht="15.75" customHeight="1">
      <c r="AD3071" s="794"/>
    </row>
    <row r="3072" spans="30:30" ht="15.75" customHeight="1">
      <c r="AD3072" s="794"/>
    </row>
    <row r="3073" spans="30:30" ht="15.75" customHeight="1">
      <c r="AD3073" s="794"/>
    </row>
    <row r="3074" spans="30:30" ht="15.75" customHeight="1">
      <c r="AD3074" s="794"/>
    </row>
    <row r="3075" spans="30:30" ht="15.75" customHeight="1">
      <c r="AD3075" s="794"/>
    </row>
    <row r="3076" spans="30:30" ht="15.75" customHeight="1">
      <c r="AD3076" s="794"/>
    </row>
    <row r="3077" spans="30:30" ht="15.75" customHeight="1">
      <c r="AD3077" s="794"/>
    </row>
    <row r="3078" spans="30:30" ht="15.75" customHeight="1">
      <c r="AD3078" s="794"/>
    </row>
    <row r="3079" spans="30:30" ht="15.75" customHeight="1">
      <c r="AD3079" s="794"/>
    </row>
    <row r="3080" spans="30:30" ht="15.75" customHeight="1">
      <c r="AD3080" s="794"/>
    </row>
    <row r="3081" spans="30:30" ht="15.75" customHeight="1">
      <c r="AD3081" s="794"/>
    </row>
    <row r="3082" spans="30:30" ht="15.75" customHeight="1">
      <c r="AD3082" s="794"/>
    </row>
    <row r="3083" spans="30:30" ht="15.75" customHeight="1">
      <c r="AD3083" s="794"/>
    </row>
    <row r="3084" spans="30:30" ht="15.75" customHeight="1">
      <c r="AD3084" s="794"/>
    </row>
    <row r="3085" spans="30:30" ht="15.75" customHeight="1">
      <c r="AD3085" s="794"/>
    </row>
    <row r="3086" spans="30:30" ht="15.75" customHeight="1">
      <c r="AD3086" s="794"/>
    </row>
    <row r="3087" spans="30:30" ht="15.75" customHeight="1">
      <c r="AD3087" s="794"/>
    </row>
    <row r="3088" spans="30:30" ht="15.75" customHeight="1">
      <c r="AD3088" s="794"/>
    </row>
    <row r="3089" spans="30:30" ht="15.75" customHeight="1">
      <c r="AD3089" s="794"/>
    </row>
    <row r="3090" spans="30:30" ht="15.75" customHeight="1">
      <c r="AD3090" s="794"/>
    </row>
    <row r="3091" spans="30:30" ht="15.75" customHeight="1">
      <c r="AD3091" s="794"/>
    </row>
    <row r="3092" spans="30:30" ht="15.75" customHeight="1">
      <c r="AD3092" s="794"/>
    </row>
    <row r="3093" spans="30:30" ht="15.75" customHeight="1">
      <c r="AD3093" s="794"/>
    </row>
    <row r="3094" spans="30:30" ht="15.75" customHeight="1">
      <c r="AD3094" s="794"/>
    </row>
    <row r="3095" spans="30:30" ht="15.75" customHeight="1">
      <c r="AD3095" s="794"/>
    </row>
    <row r="3096" spans="30:30" ht="15.75" customHeight="1">
      <c r="AD3096" s="794"/>
    </row>
    <row r="3097" spans="30:30" ht="15.75" customHeight="1">
      <c r="AD3097" s="794"/>
    </row>
    <row r="3098" spans="30:30" ht="15.75" customHeight="1">
      <c r="AD3098" s="794"/>
    </row>
    <row r="3099" spans="30:30" ht="15.75" customHeight="1">
      <c r="AD3099" s="794"/>
    </row>
    <row r="3100" spans="30:30" ht="15.75" customHeight="1">
      <c r="AD3100" s="794"/>
    </row>
    <row r="3101" spans="30:30" ht="15.75" customHeight="1">
      <c r="AD3101" s="794"/>
    </row>
    <row r="3102" spans="30:30" ht="15.75" customHeight="1">
      <c r="AD3102" s="794"/>
    </row>
    <row r="3103" spans="30:30" ht="15.75" customHeight="1">
      <c r="AD3103" s="794"/>
    </row>
    <row r="3104" spans="30:30" ht="15.75" customHeight="1">
      <c r="AD3104" s="794"/>
    </row>
    <row r="3105" spans="30:30" ht="15.75" customHeight="1">
      <c r="AD3105" s="794"/>
    </row>
    <row r="3106" spans="30:30" ht="15.75" customHeight="1">
      <c r="AD3106" s="794"/>
    </row>
    <row r="3107" spans="30:30" ht="15.75" customHeight="1">
      <c r="AD3107" s="794"/>
    </row>
    <row r="3108" spans="30:30" ht="15.75" customHeight="1">
      <c r="AD3108" s="794"/>
    </row>
    <row r="3109" spans="30:30" ht="15.75" customHeight="1">
      <c r="AD3109" s="794"/>
    </row>
    <row r="3110" spans="30:30" ht="15.75" customHeight="1">
      <c r="AD3110" s="794"/>
    </row>
    <row r="3111" spans="30:30" ht="15.75" customHeight="1">
      <c r="AD3111" s="794"/>
    </row>
    <row r="3112" spans="30:30" ht="15.75" customHeight="1">
      <c r="AD3112" s="794"/>
    </row>
    <row r="3113" spans="30:30" ht="15.75" customHeight="1">
      <c r="AD3113" s="794"/>
    </row>
    <row r="3114" spans="30:30" ht="15.75" customHeight="1">
      <c r="AD3114" s="794"/>
    </row>
    <row r="3115" spans="30:30" ht="15.75" customHeight="1">
      <c r="AD3115" s="794"/>
    </row>
    <row r="3116" spans="30:30" ht="15.75" customHeight="1">
      <c r="AD3116" s="794"/>
    </row>
    <row r="3117" spans="30:30" ht="15.75" customHeight="1">
      <c r="AD3117" s="794"/>
    </row>
    <row r="3118" spans="30:30" ht="15.75" customHeight="1">
      <c r="AD3118" s="794"/>
    </row>
    <row r="3119" spans="30:30" ht="15.75" customHeight="1">
      <c r="AD3119" s="794"/>
    </row>
    <row r="3120" spans="30:30" ht="15.75" customHeight="1">
      <c r="AD3120" s="794"/>
    </row>
    <row r="3121" spans="30:30" ht="15.75" customHeight="1">
      <c r="AD3121" s="794"/>
    </row>
    <row r="3122" spans="30:30" ht="15.75" customHeight="1">
      <c r="AD3122" s="794"/>
    </row>
    <row r="3123" spans="30:30" ht="15.75" customHeight="1">
      <c r="AD3123" s="794"/>
    </row>
    <row r="3124" spans="30:30" ht="15.75" customHeight="1">
      <c r="AD3124" s="794"/>
    </row>
    <row r="3125" spans="30:30" ht="15.75" customHeight="1">
      <c r="AD3125" s="794"/>
    </row>
    <row r="3126" spans="30:30" ht="15.75" customHeight="1">
      <c r="AD3126" s="794"/>
    </row>
    <row r="3127" spans="30:30" ht="15.75" customHeight="1">
      <c r="AD3127" s="794"/>
    </row>
    <row r="3128" spans="30:30" ht="15.75" customHeight="1">
      <c r="AD3128" s="794"/>
    </row>
    <row r="3129" spans="30:30" ht="15.75" customHeight="1">
      <c r="AD3129" s="794"/>
    </row>
    <row r="3130" spans="30:30" ht="15.75" customHeight="1">
      <c r="AD3130" s="794"/>
    </row>
    <row r="3131" spans="30:30" ht="15.75" customHeight="1">
      <c r="AD3131" s="794"/>
    </row>
    <row r="3132" spans="30:30" ht="15.75" customHeight="1">
      <c r="AD3132" s="794"/>
    </row>
    <row r="3133" spans="30:30" ht="15.75" customHeight="1">
      <c r="AD3133" s="794"/>
    </row>
    <row r="3134" spans="30:30" ht="15.75" customHeight="1">
      <c r="AD3134" s="794"/>
    </row>
    <row r="3135" spans="30:30" ht="15.75" customHeight="1">
      <c r="AD3135" s="794"/>
    </row>
    <row r="3136" spans="30:30" ht="15.75" customHeight="1">
      <c r="AD3136" s="794"/>
    </row>
    <row r="3137" spans="30:30" ht="15.75" customHeight="1">
      <c r="AD3137" s="794"/>
    </row>
    <row r="3138" spans="30:30" ht="15.75" customHeight="1">
      <c r="AD3138" s="794"/>
    </row>
    <row r="3139" spans="30:30" ht="15.75" customHeight="1">
      <c r="AD3139" s="794"/>
    </row>
    <row r="3140" spans="30:30" ht="15.75" customHeight="1">
      <c r="AD3140" s="794"/>
    </row>
    <row r="3141" spans="30:30" ht="15.75" customHeight="1">
      <c r="AD3141" s="794"/>
    </row>
    <row r="3142" spans="30:30" ht="15.75" customHeight="1">
      <c r="AD3142" s="794"/>
    </row>
    <row r="3143" spans="30:30" ht="15.75" customHeight="1">
      <c r="AD3143" s="794"/>
    </row>
    <row r="3144" spans="30:30" ht="15.75" customHeight="1">
      <c r="AD3144" s="794"/>
    </row>
    <row r="3145" spans="30:30" ht="15.75" customHeight="1">
      <c r="AD3145" s="794"/>
    </row>
    <row r="3146" spans="30:30" ht="15.75" customHeight="1">
      <c r="AD3146" s="794"/>
    </row>
    <row r="3147" spans="30:30" ht="15.75" customHeight="1">
      <c r="AD3147" s="794"/>
    </row>
    <row r="3148" spans="30:30" ht="15.75" customHeight="1">
      <c r="AD3148" s="794"/>
    </row>
    <row r="3149" spans="30:30" ht="15.75" customHeight="1">
      <c r="AD3149" s="794"/>
    </row>
    <row r="3150" spans="30:30" ht="15.75" customHeight="1">
      <c r="AD3150" s="794"/>
    </row>
    <row r="3151" spans="30:30" ht="15.75" customHeight="1">
      <c r="AD3151" s="794"/>
    </row>
    <row r="3152" spans="30:30" ht="15.75" customHeight="1">
      <c r="AD3152" s="794"/>
    </row>
    <row r="3153" spans="30:30" ht="15.75" customHeight="1">
      <c r="AD3153" s="794"/>
    </row>
    <row r="3154" spans="30:30" ht="15.75" customHeight="1">
      <c r="AD3154" s="794"/>
    </row>
    <row r="3155" spans="30:30" ht="15.75" customHeight="1">
      <c r="AD3155" s="794"/>
    </row>
    <row r="3156" spans="30:30" ht="15.75" customHeight="1">
      <c r="AD3156" s="794"/>
    </row>
    <row r="3157" spans="30:30" ht="15.75" customHeight="1">
      <c r="AD3157" s="794"/>
    </row>
    <row r="3158" spans="30:30" ht="15.75" customHeight="1">
      <c r="AD3158" s="794"/>
    </row>
    <row r="3159" spans="30:30" ht="15.75" customHeight="1">
      <c r="AD3159" s="794"/>
    </row>
    <row r="3160" spans="30:30" ht="15.75" customHeight="1">
      <c r="AD3160" s="794"/>
    </row>
    <row r="3161" spans="30:30" ht="15.75" customHeight="1">
      <c r="AD3161" s="794"/>
    </row>
    <row r="3162" spans="30:30" ht="15.75" customHeight="1">
      <c r="AD3162" s="794"/>
    </row>
    <row r="3163" spans="30:30" ht="15.75" customHeight="1">
      <c r="AD3163" s="794"/>
    </row>
    <row r="3164" spans="30:30" ht="15.75" customHeight="1">
      <c r="AD3164" s="794"/>
    </row>
    <row r="3165" spans="30:30" ht="15.75" customHeight="1">
      <c r="AD3165" s="794"/>
    </row>
    <row r="3166" spans="30:30" ht="15.75" customHeight="1">
      <c r="AD3166" s="794"/>
    </row>
    <row r="3167" spans="30:30" ht="15.75" customHeight="1">
      <c r="AD3167" s="794"/>
    </row>
    <row r="3168" spans="30:30" ht="15.75" customHeight="1">
      <c r="AD3168" s="794"/>
    </row>
    <row r="3169" spans="30:30" ht="15.75" customHeight="1">
      <c r="AD3169" s="794"/>
    </row>
    <row r="3170" spans="30:30" ht="15.75" customHeight="1">
      <c r="AD3170" s="794"/>
    </row>
    <row r="3171" spans="30:30" ht="15.75" customHeight="1">
      <c r="AD3171" s="794"/>
    </row>
    <row r="3172" spans="30:30" ht="15.75" customHeight="1">
      <c r="AD3172" s="794"/>
    </row>
    <row r="3173" spans="30:30" ht="15.75" customHeight="1">
      <c r="AD3173" s="794"/>
    </row>
    <row r="3174" spans="30:30" ht="15.75" customHeight="1">
      <c r="AD3174" s="794"/>
    </row>
    <row r="3175" spans="30:30" ht="15.75" customHeight="1">
      <c r="AD3175" s="794"/>
    </row>
    <row r="3176" spans="30:30" ht="15.75" customHeight="1">
      <c r="AD3176" s="794"/>
    </row>
    <row r="3177" spans="30:30" ht="15.75" customHeight="1">
      <c r="AD3177" s="794"/>
    </row>
    <row r="3178" spans="30:30" ht="15.75" customHeight="1">
      <c r="AD3178" s="794"/>
    </row>
    <row r="3179" spans="30:30" ht="15.75" customHeight="1">
      <c r="AD3179" s="794"/>
    </row>
    <row r="3180" spans="30:30" ht="15.75" customHeight="1">
      <c r="AD3180" s="794"/>
    </row>
    <row r="3181" spans="30:30" ht="15.75" customHeight="1">
      <c r="AD3181" s="794"/>
    </row>
    <row r="3182" spans="30:30" ht="15.75" customHeight="1">
      <c r="AD3182" s="794"/>
    </row>
    <row r="3183" spans="30:30" ht="15.75" customHeight="1">
      <c r="AD3183" s="794"/>
    </row>
    <row r="3184" spans="30:30" ht="15.75" customHeight="1">
      <c r="AD3184" s="794"/>
    </row>
    <row r="3185" spans="30:30" ht="15.75" customHeight="1">
      <c r="AD3185" s="794"/>
    </row>
    <row r="3186" spans="30:30" ht="15.75" customHeight="1">
      <c r="AD3186" s="794"/>
    </row>
    <row r="3187" spans="30:30" ht="15.75" customHeight="1">
      <c r="AD3187" s="794"/>
    </row>
    <row r="3188" spans="30:30" ht="15.75" customHeight="1">
      <c r="AD3188" s="794"/>
    </row>
    <row r="3189" spans="30:30" ht="15.75" customHeight="1">
      <c r="AD3189" s="794"/>
    </row>
    <row r="3190" spans="30:30" ht="15.75" customHeight="1">
      <c r="AD3190" s="794"/>
    </row>
    <row r="3191" spans="30:30" ht="15.75" customHeight="1">
      <c r="AD3191" s="794"/>
    </row>
    <row r="3192" spans="30:30" ht="15.75" customHeight="1">
      <c r="AD3192" s="794"/>
    </row>
    <row r="3193" spans="30:30" ht="15.75" customHeight="1">
      <c r="AD3193" s="794"/>
    </row>
    <row r="3194" spans="30:30" ht="15.75" customHeight="1">
      <c r="AD3194" s="794"/>
    </row>
    <row r="3195" spans="30:30" ht="15.75" customHeight="1">
      <c r="AD3195" s="794"/>
    </row>
    <row r="3196" spans="30:30" ht="15.75" customHeight="1">
      <c r="AD3196" s="794"/>
    </row>
    <row r="3197" spans="30:30" ht="15.75" customHeight="1">
      <c r="AD3197" s="794"/>
    </row>
    <row r="3198" spans="30:30" ht="15.75" customHeight="1">
      <c r="AD3198" s="794"/>
    </row>
    <row r="3199" spans="30:30" ht="15.75" customHeight="1">
      <c r="AD3199" s="794"/>
    </row>
    <row r="3200" spans="30:30" ht="15.75" customHeight="1">
      <c r="AD3200" s="794"/>
    </row>
    <row r="3201" spans="30:30" ht="15.75" customHeight="1">
      <c r="AD3201" s="794"/>
    </row>
    <row r="3202" spans="30:30" ht="15.75" customHeight="1">
      <c r="AD3202" s="794"/>
    </row>
    <row r="3203" spans="30:30" ht="15.75" customHeight="1">
      <c r="AD3203" s="794"/>
    </row>
    <row r="3204" spans="30:30" ht="15.75" customHeight="1">
      <c r="AD3204" s="794"/>
    </row>
    <row r="3205" spans="30:30" ht="15.75" customHeight="1">
      <c r="AD3205" s="794"/>
    </row>
    <row r="3206" spans="30:30" ht="15.75" customHeight="1">
      <c r="AD3206" s="794"/>
    </row>
    <row r="3207" spans="30:30" ht="15.75" customHeight="1">
      <c r="AD3207" s="794"/>
    </row>
    <row r="3208" spans="30:30" ht="15.75" customHeight="1">
      <c r="AD3208" s="794"/>
    </row>
    <row r="3209" spans="30:30" ht="15.75" customHeight="1">
      <c r="AD3209" s="794"/>
    </row>
    <row r="3210" spans="30:30" ht="15.75" customHeight="1">
      <c r="AD3210" s="794"/>
    </row>
    <row r="3211" spans="30:30" ht="15.75" customHeight="1">
      <c r="AD3211" s="794"/>
    </row>
    <row r="3212" spans="30:30" ht="15.75" customHeight="1">
      <c r="AD3212" s="794"/>
    </row>
    <row r="3213" spans="30:30" ht="15.75" customHeight="1">
      <c r="AD3213" s="794"/>
    </row>
    <row r="3214" spans="30:30" ht="15.75" customHeight="1">
      <c r="AD3214" s="794"/>
    </row>
    <row r="3215" spans="30:30" ht="15.75" customHeight="1">
      <c r="AD3215" s="794"/>
    </row>
    <row r="3216" spans="30:30" ht="15.75" customHeight="1">
      <c r="AD3216" s="794"/>
    </row>
    <row r="3217" spans="30:30" ht="15.75" customHeight="1">
      <c r="AD3217" s="794"/>
    </row>
    <row r="3218" spans="30:30" ht="15.75" customHeight="1">
      <c r="AD3218" s="794"/>
    </row>
    <row r="3219" spans="30:30" ht="15.75" customHeight="1">
      <c r="AD3219" s="794"/>
    </row>
    <row r="3220" spans="30:30" ht="15.75" customHeight="1">
      <c r="AD3220" s="794"/>
    </row>
    <row r="3221" spans="30:30" ht="15.75" customHeight="1">
      <c r="AD3221" s="794"/>
    </row>
    <row r="3222" spans="30:30" ht="15.75" customHeight="1">
      <c r="AD3222" s="794"/>
    </row>
    <row r="3223" spans="30:30" ht="15.75" customHeight="1">
      <c r="AD3223" s="794"/>
    </row>
    <row r="3224" spans="30:30" ht="15.75" customHeight="1">
      <c r="AD3224" s="794"/>
    </row>
    <row r="3225" spans="30:30" ht="15.75" customHeight="1">
      <c r="AD3225" s="794"/>
    </row>
    <row r="3226" spans="30:30" ht="15.75" customHeight="1">
      <c r="AD3226" s="794"/>
    </row>
    <row r="3227" spans="30:30" ht="15.75" customHeight="1">
      <c r="AD3227" s="794"/>
    </row>
    <row r="3228" spans="30:30" ht="15.75" customHeight="1">
      <c r="AD3228" s="794"/>
    </row>
    <row r="3229" spans="30:30" ht="15.75" customHeight="1">
      <c r="AD3229" s="794"/>
    </row>
    <row r="3230" spans="30:30" ht="15.75" customHeight="1">
      <c r="AD3230" s="794"/>
    </row>
    <row r="3231" spans="30:30" ht="15.75" customHeight="1">
      <c r="AD3231" s="794"/>
    </row>
    <row r="3232" spans="30:30" ht="15.75" customHeight="1">
      <c r="AD3232" s="794"/>
    </row>
    <row r="3233" spans="30:30" ht="15.75" customHeight="1">
      <c r="AD3233" s="794"/>
    </row>
    <row r="3234" spans="30:30" ht="15.75" customHeight="1">
      <c r="AD3234" s="794"/>
    </row>
    <row r="3235" spans="30:30" ht="15.75" customHeight="1">
      <c r="AD3235" s="794"/>
    </row>
    <row r="3236" spans="30:30" ht="15.75" customHeight="1">
      <c r="AD3236" s="794"/>
    </row>
    <row r="3237" spans="30:30" ht="15.75" customHeight="1">
      <c r="AD3237" s="794"/>
    </row>
    <row r="3238" spans="30:30" ht="15.75" customHeight="1">
      <c r="AD3238" s="794"/>
    </row>
    <row r="3239" spans="30:30" ht="15.75" customHeight="1">
      <c r="AD3239" s="794"/>
    </row>
    <row r="3240" spans="30:30" ht="15.75" customHeight="1">
      <c r="AD3240" s="794"/>
    </row>
    <row r="3241" spans="30:30" ht="15.75" customHeight="1">
      <c r="AD3241" s="794"/>
    </row>
    <row r="3242" spans="30:30" ht="15.75" customHeight="1">
      <c r="AD3242" s="794"/>
    </row>
    <row r="3243" spans="30:30" ht="15.75" customHeight="1">
      <c r="AD3243" s="794"/>
    </row>
    <row r="3244" spans="30:30" ht="15.75" customHeight="1">
      <c r="AD3244" s="794"/>
    </row>
    <row r="3245" spans="30:30" ht="15.75" customHeight="1">
      <c r="AD3245" s="794"/>
    </row>
    <row r="3246" spans="30:30" ht="15.75" customHeight="1">
      <c r="AD3246" s="794"/>
    </row>
    <row r="3247" spans="30:30" ht="15.75" customHeight="1">
      <c r="AD3247" s="794"/>
    </row>
    <row r="3248" spans="30:30" ht="15.75" customHeight="1">
      <c r="AD3248" s="794"/>
    </row>
    <row r="3249" spans="30:30" ht="15.75" customHeight="1">
      <c r="AD3249" s="794"/>
    </row>
    <row r="3250" spans="30:30" ht="15.75" customHeight="1">
      <c r="AD3250" s="794"/>
    </row>
    <row r="3251" spans="30:30" ht="15.75" customHeight="1">
      <c r="AD3251" s="794"/>
    </row>
    <row r="3252" spans="30:30" ht="15.75" customHeight="1">
      <c r="AD3252" s="794"/>
    </row>
    <row r="3253" spans="30:30" ht="15.75" customHeight="1">
      <c r="AD3253" s="794"/>
    </row>
    <row r="3254" spans="30:30" ht="15.75" customHeight="1">
      <c r="AD3254" s="794"/>
    </row>
    <row r="3255" spans="30:30" ht="15.75" customHeight="1">
      <c r="AD3255" s="794"/>
    </row>
    <row r="3256" spans="30:30" ht="15.75" customHeight="1">
      <c r="AD3256" s="794"/>
    </row>
    <row r="3257" spans="30:30" ht="15.75" customHeight="1">
      <c r="AD3257" s="794"/>
    </row>
    <row r="3258" spans="30:30" ht="15.75" customHeight="1">
      <c r="AD3258" s="794"/>
    </row>
    <row r="3259" spans="30:30" ht="15.75" customHeight="1">
      <c r="AD3259" s="794"/>
    </row>
    <row r="3260" spans="30:30" ht="15.75" customHeight="1">
      <c r="AD3260" s="794"/>
    </row>
    <row r="3261" spans="30:30" ht="15.75" customHeight="1">
      <c r="AD3261" s="794"/>
    </row>
    <row r="3262" spans="30:30" ht="15.75" customHeight="1">
      <c r="AD3262" s="794"/>
    </row>
    <row r="3263" spans="30:30" ht="15.75" customHeight="1">
      <c r="AD3263" s="794"/>
    </row>
    <row r="3264" spans="30:30" ht="15.75" customHeight="1">
      <c r="AD3264" s="794"/>
    </row>
    <row r="3265" spans="30:30" ht="15.75" customHeight="1">
      <c r="AD3265" s="794"/>
    </row>
    <row r="3266" spans="30:30" ht="15.75" customHeight="1">
      <c r="AD3266" s="794"/>
    </row>
    <row r="3267" spans="30:30" ht="15.75" customHeight="1">
      <c r="AD3267" s="794"/>
    </row>
    <row r="3268" spans="30:30" ht="15.75" customHeight="1">
      <c r="AD3268" s="794"/>
    </row>
    <row r="3269" spans="30:30" ht="15.75" customHeight="1">
      <c r="AD3269" s="794"/>
    </row>
    <row r="3270" spans="30:30" ht="15.75" customHeight="1">
      <c r="AD3270" s="794"/>
    </row>
    <row r="3271" spans="30:30" ht="15.75" customHeight="1">
      <c r="AD3271" s="794"/>
    </row>
    <row r="3272" spans="30:30" ht="15.75" customHeight="1">
      <c r="AD3272" s="794"/>
    </row>
    <row r="3273" spans="30:30" ht="15.75" customHeight="1">
      <c r="AD3273" s="794"/>
    </row>
    <row r="3274" spans="30:30" ht="15.75" customHeight="1">
      <c r="AD3274" s="794"/>
    </row>
    <row r="3275" spans="30:30" ht="15.75" customHeight="1">
      <c r="AD3275" s="794"/>
    </row>
    <row r="3276" spans="30:30" ht="15.75" customHeight="1">
      <c r="AD3276" s="794"/>
    </row>
    <row r="3277" spans="30:30" ht="15.75" customHeight="1">
      <c r="AD3277" s="794"/>
    </row>
    <row r="3278" spans="30:30" ht="15.75" customHeight="1">
      <c r="AD3278" s="794"/>
    </row>
    <row r="3279" spans="30:30" ht="15.75" customHeight="1">
      <c r="AD3279" s="794"/>
    </row>
    <row r="3280" spans="30:30" ht="15.75" customHeight="1">
      <c r="AD3280" s="794"/>
    </row>
    <row r="3281" spans="30:30" ht="15.75" customHeight="1">
      <c r="AD3281" s="794"/>
    </row>
    <row r="3282" spans="30:30" ht="15.75" customHeight="1">
      <c r="AD3282" s="794"/>
    </row>
    <row r="3283" spans="30:30" ht="15.75" customHeight="1">
      <c r="AD3283" s="794"/>
    </row>
    <row r="3284" spans="30:30" ht="15.75" customHeight="1">
      <c r="AD3284" s="794"/>
    </row>
    <row r="3285" spans="30:30" ht="15.75" customHeight="1">
      <c r="AD3285" s="794"/>
    </row>
    <row r="3286" spans="30:30" ht="15.75" customHeight="1">
      <c r="AD3286" s="794"/>
    </row>
    <row r="3287" spans="30:30" ht="15.75" customHeight="1">
      <c r="AD3287" s="794"/>
    </row>
    <row r="3288" spans="30:30" ht="15.75" customHeight="1">
      <c r="AD3288" s="794"/>
    </row>
    <row r="3289" spans="30:30" ht="15.75" customHeight="1">
      <c r="AD3289" s="794"/>
    </row>
    <row r="3290" spans="30:30" ht="15.75" customHeight="1">
      <c r="AD3290" s="794"/>
    </row>
    <row r="3291" spans="30:30" ht="15.75" customHeight="1">
      <c r="AD3291" s="794"/>
    </row>
    <row r="3292" spans="30:30" ht="15.75" customHeight="1">
      <c r="AD3292" s="794"/>
    </row>
    <row r="3293" spans="30:30" ht="15.75" customHeight="1">
      <c r="AD3293" s="794"/>
    </row>
    <row r="3294" spans="30:30" ht="15.75" customHeight="1">
      <c r="AD3294" s="794"/>
    </row>
    <row r="3295" spans="30:30" ht="15.75" customHeight="1">
      <c r="AD3295" s="794"/>
    </row>
    <row r="3296" spans="30:30" ht="15.75" customHeight="1">
      <c r="AD3296" s="794"/>
    </row>
    <row r="3297" spans="30:30" ht="15.75" customHeight="1">
      <c r="AD3297" s="794"/>
    </row>
    <row r="3298" spans="30:30" ht="15.75" customHeight="1">
      <c r="AD3298" s="794"/>
    </row>
    <row r="3299" spans="30:30" ht="15.75" customHeight="1">
      <c r="AD3299" s="794"/>
    </row>
    <row r="3300" spans="30:30" ht="15.75" customHeight="1">
      <c r="AD3300" s="794"/>
    </row>
    <row r="3301" spans="30:30" ht="15.75" customHeight="1">
      <c r="AD3301" s="794"/>
    </row>
    <row r="3302" spans="30:30" ht="15.75" customHeight="1">
      <c r="AD3302" s="794"/>
    </row>
    <row r="3303" spans="30:30" ht="15.75" customHeight="1">
      <c r="AD3303" s="794"/>
    </row>
    <row r="3304" spans="30:30" ht="15.75" customHeight="1">
      <c r="AD3304" s="794"/>
    </row>
    <row r="3305" spans="30:30" ht="15.75" customHeight="1">
      <c r="AD3305" s="794"/>
    </row>
    <row r="3306" spans="30:30" ht="15.75" customHeight="1">
      <c r="AD3306" s="794"/>
    </row>
    <row r="3307" spans="30:30" ht="15.75" customHeight="1">
      <c r="AD3307" s="794"/>
    </row>
    <row r="3308" spans="30:30" ht="15.75" customHeight="1">
      <c r="AD3308" s="794"/>
    </row>
    <row r="3309" spans="30:30" ht="15.75" customHeight="1">
      <c r="AD3309" s="794"/>
    </row>
    <row r="3310" spans="30:30" ht="15.75" customHeight="1">
      <c r="AD3310" s="794"/>
    </row>
    <row r="3311" spans="30:30" ht="15.75" customHeight="1">
      <c r="AD3311" s="794"/>
    </row>
    <row r="3312" spans="30:30" ht="15.75" customHeight="1">
      <c r="AD3312" s="794"/>
    </row>
    <row r="3313" spans="30:30" ht="15.75" customHeight="1">
      <c r="AD3313" s="794"/>
    </row>
    <row r="3314" spans="30:30" ht="15.75" customHeight="1">
      <c r="AD3314" s="794"/>
    </row>
    <row r="3315" spans="30:30" ht="15.75" customHeight="1">
      <c r="AD3315" s="794"/>
    </row>
    <row r="3316" spans="30:30" ht="15.75" customHeight="1">
      <c r="AD3316" s="794"/>
    </row>
    <row r="3317" spans="30:30" ht="15.75" customHeight="1">
      <c r="AD3317" s="794"/>
    </row>
    <row r="3318" spans="30:30" ht="15.75" customHeight="1">
      <c r="AD3318" s="794"/>
    </row>
    <row r="3319" spans="30:30" ht="15.75" customHeight="1">
      <c r="AD3319" s="794"/>
    </row>
    <row r="3320" spans="30:30" ht="15.75" customHeight="1">
      <c r="AD3320" s="794"/>
    </row>
    <row r="3321" spans="30:30" ht="15.75" customHeight="1">
      <c r="AD3321" s="794"/>
    </row>
    <row r="3322" spans="30:30" ht="15.75" customHeight="1">
      <c r="AD3322" s="794"/>
    </row>
    <row r="3323" spans="30:30" ht="15.75" customHeight="1">
      <c r="AD3323" s="794"/>
    </row>
    <row r="3324" spans="30:30" ht="15.75" customHeight="1">
      <c r="AD3324" s="794"/>
    </row>
    <row r="3325" spans="30:30" ht="15.75" customHeight="1">
      <c r="AD3325" s="794"/>
    </row>
    <row r="3326" spans="30:30" ht="15.75" customHeight="1">
      <c r="AD3326" s="794"/>
    </row>
    <row r="3327" spans="30:30" ht="15.75" customHeight="1">
      <c r="AD3327" s="794"/>
    </row>
    <row r="3328" spans="30:30" ht="15.75" customHeight="1">
      <c r="AD3328" s="794"/>
    </row>
    <row r="3329" spans="30:30" ht="15.75" customHeight="1">
      <c r="AD3329" s="794"/>
    </row>
    <row r="3330" spans="30:30" ht="15.75" customHeight="1">
      <c r="AD3330" s="794"/>
    </row>
    <row r="3331" spans="30:30" ht="15.75" customHeight="1">
      <c r="AD3331" s="794"/>
    </row>
    <row r="3332" spans="30:30" ht="15.75" customHeight="1">
      <c r="AD3332" s="794"/>
    </row>
    <row r="3333" spans="30:30" ht="15.75" customHeight="1">
      <c r="AD3333" s="794"/>
    </row>
    <row r="3334" spans="30:30" ht="15.75" customHeight="1">
      <c r="AD3334" s="794"/>
    </row>
    <row r="3335" spans="30:30" ht="15.75" customHeight="1">
      <c r="AD3335" s="794"/>
    </row>
    <row r="3336" spans="30:30" ht="15.75" customHeight="1">
      <c r="AD3336" s="794"/>
    </row>
    <row r="3337" spans="30:30" ht="15.75" customHeight="1">
      <c r="AD3337" s="794"/>
    </row>
    <row r="3338" spans="30:30" ht="15.75" customHeight="1">
      <c r="AD3338" s="794"/>
    </row>
    <row r="3339" spans="30:30" ht="15.75" customHeight="1">
      <c r="AD3339" s="794"/>
    </row>
    <row r="3340" spans="30:30" ht="15.75" customHeight="1">
      <c r="AD3340" s="794"/>
    </row>
    <row r="3341" spans="30:30" ht="15.75" customHeight="1">
      <c r="AD3341" s="794"/>
    </row>
    <row r="3342" spans="30:30" ht="15.75" customHeight="1">
      <c r="AD3342" s="794"/>
    </row>
    <row r="3343" spans="30:30" ht="15.75" customHeight="1">
      <c r="AD3343" s="794"/>
    </row>
    <row r="3344" spans="30:30" ht="15.75" customHeight="1">
      <c r="AD3344" s="794"/>
    </row>
    <row r="3345" spans="30:30" ht="15.75" customHeight="1">
      <c r="AD3345" s="794"/>
    </row>
    <row r="3346" spans="30:30" ht="15.75" customHeight="1">
      <c r="AD3346" s="794"/>
    </row>
    <row r="3347" spans="30:30" ht="15.75" customHeight="1">
      <c r="AD3347" s="794"/>
    </row>
    <row r="3348" spans="30:30" ht="15.75" customHeight="1">
      <c r="AD3348" s="794"/>
    </row>
    <row r="3349" spans="30:30" ht="15.75" customHeight="1">
      <c r="AD3349" s="794"/>
    </row>
    <row r="3350" spans="30:30" ht="15.75" customHeight="1">
      <c r="AD3350" s="794"/>
    </row>
    <row r="3351" spans="30:30" ht="15.75" customHeight="1">
      <c r="AD3351" s="794"/>
    </row>
    <row r="3352" spans="30:30" ht="15.75" customHeight="1">
      <c r="AD3352" s="794"/>
    </row>
    <row r="3353" spans="30:30" ht="15.75" customHeight="1">
      <c r="AD3353" s="794"/>
    </row>
    <row r="3354" spans="30:30" ht="15.75" customHeight="1">
      <c r="AD3354" s="794"/>
    </row>
    <row r="3355" spans="30:30" ht="15.75" customHeight="1">
      <c r="AD3355" s="794"/>
    </row>
    <row r="3356" spans="30:30" ht="15.75" customHeight="1">
      <c r="AD3356" s="794"/>
    </row>
    <row r="3357" spans="30:30" ht="15.75" customHeight="1">
      <c r="AD3357" s="794"/>
    </row>
    <row r="3358" spans="30:30" ht="15.75" customHeight="1">
      <c r="AD3358" s="794"/>
    </row>
    <row r="3359" spans="30:30" ht="15.75" customHeight="1">
      <c r="AD3359" s="794"/>
    </row>
    <row r="3360" spans="30:30" ht="15.75" customHeight="1">
      <c r="AD3360" s="794"/>
    </row>
    <row r="3361" spans="30:30" ht="15.75" customHeight="1">
      <c r="AD3361" s="794"/>
    </row>
    <row r="3362" spans="30:30" ht="15.75" customHeight="1">
      <c r="AD3362" s="794"/>
    </row>
    <row r="3363" spans="30:30" ht="15.75" customHeight="1">
      <c r="AD3363" s="794"/>
    </row>
    <row r="3364" spans="30:30" ht="15.75" customHeight="1">
      <c r="AD3364" s="794"/>
    </row>
    <row r="3365" spans="30:30" ht="15.75" customHeight="1">
      <c r="AD3365" s="794"/>
    </row>
    <row r="3366" spans="30:30" ht="15.75" customHeight="1">
      <c r="AD3366" s="794"/>
    </row>
    <row r="3367" spans="30:30" ht="15.75" customHeight="1">
      <c r="AD3367" s="794"/>
    </row>
    <row r="3368" spans="30:30" ht="15.75" customHeight="1">
      <c r="AD3368" s="794"/>
    </row>
    <row r="3369" spans="30:30" ht="15.75" customHeight="1">
      <c r="AD3369" s="794"/>
    </row>
    <row r="3370" spans="30:30" ht="15.75" customHeight="1">
      <c r="AD3370" s="794"/>
    </row>
    <row r="3371" spans="30:30" ht="15.75" customHeight="1">
      <c r="AD3371" s="794"/>
    </row>
    <row r="3372" spans="30:30" ht="15.75" customHeight="1">
      <c r="AD3372" s="794"/>
    </row>
    <row r="3373" spans="30:30" ht="15.75" customHeight="1">
      <c r="AD3373" s="794"/>
    </row>
    <row r="3374" spans="30:30" ht="15.75" customHeight="1">
      <c r="AD3374" s="794"/>
    </row>
    <row r="3375" spans="30:30" ht="15.75" customHeight="1">
      <c r="AD3375" s="794"/>
    </row>
    <row r="3376" spans="30:30" ht="15.75" customHeight="1">
      <c r="AD3376" s="794"/>
    </row>
    <row r="3377" spans="30:30" ht="15.75" customHeight="1">
      <c r="AD3377" s="794"/>
    </row>
    <row r="3378" spans="30:30" ht="15.75" customHeight="1">
      <c r="AD3378" s="794"/>
    </row>
    <row r="3379" spans="30:30" ht="15.75" customHeight="1">
      <c r="AD3379" s="794"/>
    </row>
    <row r="3380" spans="30:30" ht="15.75" customHeight="1">
      <c r="AD3380" s="794"/>
    </row>
    <row r="3381" spans="30:30" ht="15.75" customHeight="1">
      <c r="AD3381" s="794"/>
    </row>
    <row r="3382" spans="30:30" ht="15.75" customHeight="1">
      <c r="AD3382" s="794"/>
    </row>
    <row r="3383" spans="30:30" ht="15.75" customHeight="1">
      <c r="AD3383" s="794"/>
    </row>
    <row r="3384" spans="30:30" ht="15.75" customHeight="1">
      <c r="AD3384" s="794"/>
    </row>
    <row r="3385" spans="30:30" ht="15.75" customHeight="1">
      <c r="AD3385" s="794"/>
    </row>
    <row r="3386" spans="30:30" ht="15.75" customHeight="1">
      <c r="AD3386" s="794"/>
    </row>
    <row r="3387" spans="30:30" ht="15.75" customHeight="1">
      <c r="AD3387" s="794"/>
    </row>
    <row r="3388" spans="30:30" ht="15.75" customHeight="1">
      <c r="AD3388" s="794"/>
    </row>
    <row r="3389" spans="30:30" ht="15.75" customHeight="1">
      <c r="AD3389" s="794"/>
    </row>
    <row r="3390" spans="30:30" ht="15.75" customHeight="1">
      <c r="AD3390" s="794"/>
    </row>
    <row r="3391" spans="30:30" ht="15.75" customHeight="1">
      <c r="AD3391" s="794"/>
    </row>
    <row r="3392" spans="30:30" ht="15.75" customHeight="1">
      <c r="AD3392" s="794"/>
    </row>
    <row r="3393" spans="30:30" ht="15.75" customHeight="1">
      <c r="AD3393" s="794"/>
    </row>
    <row r="3394" spans="30:30" ht="15.75" customHeight="1">
      <c r="AD3394" s="794"/>
    </row>
    <row r="3395" spans="30:30" ht="15.75" customHeight="1">
      <c r="AD3395" s="794"/>
    </row>
    <row r="3396" spans="30:30" ht="15.75" customHeight="1">
      <c r="AD3396" s="794"/>
    </row>
    <row r="3397" spans="30:30" ht="15.75" customHeight="1">
      <c r="AD3397" s="794"/>
    </row>
    <row r="3398" spans="30:30" ht="15.75" customHeight="1">
      <c r="AD3398" s="794"/>
    </row>
    <row r="3399" spans="30:30" ht="15.75" customHeight="1">
      <c r="AD3399" s="794"/>
    </row>
    <row r="3400" spans="30:30" ht="15.75" customHeight="1">
      <c r="AD3400" s="794"/>
    </row>
    <row r="3401" spans="30:30" ht="15.75" customHeight="1">
      <c r="AD3401" s="794"/>
    </row>
    <row r="3402" spans="30:30" ht="15.75" customHeight="1">
      <c r="AD3402" s="794"/>
    </row>
    <row r="3403" spans="30:30" ht="15.75" customHeight="1">
      <c r="AD3403" s="794"/>
    </row>
    <row r="3404" spans="30:30" ht="15.75" customHeight="1">
      <c r="AD3404" s="794"/>
    </row>
    <row r="3405" spans="30:30" ht="15.75" customHeight="1">
      <c r="AD3405" s="794"/>
    </row>
    <row r="3406" spans="30:30" ht="15.75" customHeight="1">
      <c r="AD3406" s="794"/>
    </row>
    <row r="3407" spans="30:30" ht="15.75" customHeight="1">
      <c r="AD3407" s="794"/>
    </row>
    <row r="3408" spans="30:30" ht="15.75" customHeight="1">
      <c r="AD3408" s="794"/>
    </row>
    <row r="3409" spans="30:30" ht="15.75" customHeight="1">
      <c r="AD3409" s="794"/>
    </row>
    <row r="3410" spans="30:30" ht="15.75" customHeight="1">
      <c r="AD3410" s="794"/>
    </row>
    <row r="3411" spans="30:30" ht="15.75" customHeight="1">
      <c r="AD3411" s="794"/>
    </row>
    <row r="3412" spans="30:30" ht="15.75" customHeight="1">
      <c r="AD3412" s="794"/>
    </row>
    <row r="3413" spans="30:30" ht="15.75" customHeight="1">
      <c r="AD3413" s="794"/>
    </row>
    <row r="3414" spans="30:30" ht="15.75" customHeight="1">
      <c r="AD3414" s="794"/>
    </row>
    <row r="3415" spans="30:30" ht="15.75" customHeight="1">
      <c r="AD3415" s="794"/>
    </row>
    <row r="3416" spans="30:30" ht="15.75" customHeight="1">
      <c r="AD3416" s="794"/>
    </row>
    <row r="3417" spans="30:30" ht="15.75" customHeight="1">
      <c r="AD3417" s="794"/>
    </row>
    <row r="3418" spans="30:30" ht="15.75" customHeight="1">
      <c r="AD3418" s="794"/>
    </row>
    <row r="3419" spans="30:30" ht="15.75" customHeight="1">
      <c r="AD3419" s="794"/>
    </row>
    <row r="3420" spans="30:30" ht="15.75" customHeight="1">
      <c r="AD3420" s="794"/>
    </row>
    <row r="3421" spans="30:30" ht="15.75" customHeight="1">
      <c r="AD3421" s="794"/>
    </row>
    <row r="3422" spans="30:30" ht="15.75" customHeight="1">
      <c r="AD3422" s="794"/>
    </row>
    <row r="3423" spans="30:30" ht="15.75" customHeight="1">
      <c r="AD3423" s="794"/>
    </row>
    <row r="3424" spans="30:30" ht="15.75" customHeight="1">
      <c r="AD3424" s="794"/>
    </row>
    <row r="3425" spans="30:30" ht="15.75" customHeight="1">
      <c r="AD3425" s="794"/>
    </row>
    <row r="3426" spans="30:30" ht="15.75" customHeight="1">
      <c r="AD3426" s="794"/>
    </row>
    <row r="3427" spans="30:30" ht="15.75" customHeight="1">
      <c r="AD3427" s="794"/>
    </row>
    <row r="3428" spans="30:30" ht="15.75" customHeight="1">
      <c r="AD3428" s="794"/>
    </row>
    <row r="3429" spans="30:30" ht="15.75" customHeight="1">
      <c r="AD3429" s="794"/>
    </row>
    <row r="3430" spans="30:30" ht="15.75" customHeight="1">
      <c r="AD3430" s="794"/>
    </row>
    <row r="3431" spans="30:30" ht="15.75" customHeight="1">
      <c r="AD3431" s="794"/>
    </row>
    <row r="3432" spans="30:30" ht="15.75" customHeight="1">
      <c r="AD3432" s="794"/>
    </row>
    <row r="3433" spans="30:30" ht="15.75" customHeight="1">
      <c r="AD3433" s="794"/>
    </row>
    <row r="3434" spans="30:30" ht="15.75" customHeight="1">
      <c r="AD3434" s="794"/>
    </row>
    <row r="3435" spans="30:30" ht="15.75" customHeight="1">
      <c r="AD3435" s="794"/>
    </row>
    <row r="3436" spans="30:30" ht="15.75" customHeight="1">
      <c r="AD3436" s="794"/>
    </row>
    <row r="3437" spans="30:30" ht="15.75" customHeight="1">
      <c r="AD3437" s="794"/>
    </row>
    <row r="3438" spans="30:30" ht="15.75" customHeight="1">
      <c r="AD3438" s="794"/>
    </row>
    <row r="3439" spans="30:30" ht="15.75" customHeight="1">
      <c r="AD3439" s="794"/>
    </row>
    <row r="3440" spans="30:30" ht="15.75" customHeight="1">
      <c r="AD3440" s="794"/>
    </row>
    <row r="3441" spans="30:30" ht="15.75" customHeight="1">
      <c r="AD3441" s="794"/>
    </row>
    <row r="3442" spans="30:30" ht="15.75" customHeight="1">
      <c r="AD3442" s="794"/>
    </row>
    <row r="3443" spans="30:30" ht="15.75" customHeight="1">
      <c r="AD3443" s="794"/>
    </row>
    <row r="3444" spans="30:30" ht="15.75" customHeight="1">
      <c r="AD3444" s="794"/>
    </row>
    <row r="3445" spans="30:30" ht="15.75" customHeight="1">
      <c r="AD3445" s="794"/>
    </row>
    <row r="3446" spans="30:30" ht="15.75" customHeight="1">
      <c r="AD3446" s="794"/>
    </row>
    <row r="3447" spans="30:30" ht="15.75" customHeight="1">
      <c r="AD3447" s="794"/>
    </row>
    <row r="3448" spans="30:30" ht="15.75" customHeight="1">
      <c r="AD3448" s="794"/>
    </row>
    <row r="3449" spans="30:30" ht="15.75" customHeight="1">
      <c r="AD3449" s="794"/>
    </row>
    <row r="3450" spans="30:30" ht="15.75" customHeight="1">
      <c r="AD3450" s="794"/>
    </row>
    <row r="3451" spans="30:30" ht="15.75" customHeight="1">
      <c r="AD3451" s="794"/>
    </row>
    <row r="3452" spans="30:30" ht="15.75" customHeight="1">
      <c r="AD3452" s="794"/>
    </row>
    <row r="3453" spans="30:30" ht="15.75" customHeight="1">
      <c r="AD3453" s="794"/>
    </row>
    <row r="3454" spans="30:30" ht="15.75" customHeight="1">
      <c r="AD3454" s="794"/>
    </row>
    <row r="3455" spans="30:30" ht="15.75" customHeight="1">
      <c r="AD3455" s="794"/>
    </row>
    <row r="3456" spans="30:30" ht="15.75" customHeight="1">
      <c r="AD3456" s="794"/>
    </row>
    <row r="3457" spans="30:30" ht="15.75" customHeight="1">
      <c r="AD3457" s="794"/>
    </row>
    <row r="3458" spans="30:30" ht="15.75" customHeight="1">
      <c r="AD3458" s="794"/>
    </row>
    <row r="3459" spans="30:30" ht="15.75" customHeight="1">
      <c r="AD3459" s="794"/>
    </row>
    <row r="3460" spans="30:30" ht="15.75" customHeight="1">
      <c r="AD3460" s="794"/>
    </row>
    <row r="3461" spans="30:30" ht="15.75" customHeight="1">
      <c r="AD3461" s="794"/>
    </row>
    <row r="3462" spans="30:30" ht="15.75" customHeight="1">
      <c r="AD3462" s="794"/>
    </row>
    <row r="3463" spans="30:30" ht="15.75" customHeight="1">
      <c r="AD3463" s="794"/>
    </row>
    <row r="3464" spans="30:30" ht="15.75" customHeight="1">
      <c r="AD3464" s="794"/>
    </row>
    <row r="3465" spans="30:30" ht="15.75" customHeight="1">
      <c r="AD3465" s="794"/>
    </row>
    <row r="3466" spans="30:30" ht="15.75" customHeight="1">
      <c r="AD3466" s="794"/>
    </row>
    <row r="3467" spans="30:30" ht="15.75" customHeight="1">
      <c r="AD3467" s="794"/>
    </row>
    <row r="3468" spans="30:30" ht="15.75" customHeight="1">
      <c r="AD3468" s="794"/>
    </row>
    <row r="3469" spans="30:30" ht="15.75" customHeight="1">
      <c r="AD3469" s="794"/>
    </row>
    <row r="3470" spans="30:30" ht="15.75" customHeight="1">
      <c r="AD3470" s="794"/>
    </row>
    <row r="3471" spans="30:30" ht="15.75" customHeight="1">
      <c r="AD3471" s="794"/>
    </row>
    <row r="3472" spans="30:30" ht="15.75" customHeight="1">
      <c r="AD3472" s="794"/>
    </row>
    <row r="3473" spans="30:30" ht="15.75" customHeight="1">
      <c r="AD3473" s="794"/>
    </row>
    <row r="3474" spans="30:30" ht="15.75" customHeight="1">
      <c r="AD3474" s="794"/>
    </row>
    <row r="3475" spans="30:30" ht="15.75" customHeight="1">
      <c r="AD3475" s="794"/>
    </row>
    <row r="3476" spans="30:30" ht="15.75" customHeight="1">
      <c r="AD3476" s="794"/>
    </row>
    <row r="3477" spans="30:30" ht="15.75" customHeight="1">
      <c r="AD3477" s="794"/>
    </row>
    <row r="3478" spans="30:30" ht="15.75" customHeight="1">
      <c r="AD3478" s="794"/>
    </row>
    <row r="3479" spans="30:30" ht="15.75" customHeight="1">
      <c r="AD3479" s="794"/>
    </row>
    <row r="3480" spans="30:30" ht="15.75" customHeight="1">
      <c r="AD3480" s="794"/>
    </row>
    <row r="3481" spans="30:30" ht="15.75" customHeight="1">
      <c r="AD3481" s="794"/>
    </row>
    <row r="3482" spans="30:30" ht="15.75" customHeight="1">
      <c r="AD3482" s="794"/>
    </row>
    <row r="3483" spans="30:30" ht="15.75" customHeight="1">
      <c r="AD3483" s="794"/>
    </row>
    <row r="3484" spans="30:30" ht="15.75" customHeight="1">
      <c r="AD3484" s="794"/>
    </row>
    <row r="3485" spans="30:30" ht="15.75" customHeight="1">
      <c r="AD3485" s="794"/>
    </row>
    <row r="3486" spans="30:30" ht="15.75" customHeight="1">
      <c r="AD3486" s="794"/>
    </row>
    <row r="3487" spans="30:30" ht="15.75" customHeight="1">
      <c r="AD3487" s="794"/>
    </row>
    <row r="3488" spans="30:30" ht="15.75" customHeight="1">
      <c r="AD3488" s="794"/>
    </row>
    <row r="3489" spans="30:30" ht="15.75" customHeight="1">
      <c r="AD3489" s="794"/>
    </row>
    <row r="3490" spans="30:30" ht="15.75" customHeight="1">
      <c r="AD3490" s="794"/>
    </row>
    <row r="3491" spans="30:30" ht="15.75" customHeight="1">
      <c r="AD3491" s="794"/>
    </row>
    <row r="3492" spans="30:30" ht="15.75" customHeight="1">
      <c r="AD3492" s="794"/>
    </row>
    <row r="3493" spans="30:30" ht="15.75" customHeight="1">
      <c r="AD3493" s="794"/>
    </row>
    <row r="3494" spans="30:30" ht="15.75" customHeight="1">
      <c r="AD3494" s="794"/>
    </row>
    <row r="3495" spans="30:30" ht="15.75" customHeight="1">
      <c r="AD3495" s="794"/>
    </row>
    <row r="3496" spans="30:30" ht="15.75" customHeight="1">
      <c r="AD3496" s="794"/>
    </row>
    <row r="3497" spans="30:30" ht="15.75" customHeight="1">
      <c r="AD3497" s="794"/>
    </row>
    <row r="3498" spans="30:30" ht="15.75" customHeight="1">
      <c r="AD3498" s="794"/>
    </row>
    <row r="3499" spans="30:30" ht="15.75" customHeight="1">
      <c r="AD3499" s="794"/>
    </row>
    <row r="3500" spans="30:30" ht="15.75" customHeight="1">
      <c r="AD3500" s="794"/>
    </row>
    <row r="3501" spans="30:30" ht="15.75" customHeight="1">
      <c r="AD3501" s="794"/>
    </row>
    <row r="3502" spans="30:30" ht="15.75" customHeight="1">
      <c r="AD3502" s="794"/>
    </row>
    <row r="3503" spans="30:30" ht="15.75" customHeight="1">
      <c r="AD3503" s="794"/>
    </row>
    <row r="3504" spans="30:30" ht="15.75" customHeight="1">
      <c r="AD3504" s="794"/>
    </row>
    <row r="3505" spans="30:30" ht="15.75" customHeight="1">
      <c r="AD3505" s="794"/>
    </row>
    <row r="3506" spans="30:30" ht="15.75" customHeight="1">
      <c r="AD3506" s="794"/>
    </row>
    <row r="3507" spans="30:30" ht="15.75" customHeight="1">
      <c r="AD3507" s="794"/>
    </row>
    <row r="3508" spans="30:30" ht="15.75" customHeight="1">
      <c r="AD3508" s="794"/>
    </row>
    <row r="3509" spans="30:30" ht="15.75" customHeight="1">
      <c r="AD3509" s="794"/>
    </row>
    <row r="3510" spans="30:30" ht="15.75" customHeight="1">
      <c r="AD3510" s="794"/>
    </row>
    <row r="3511" spans="30:30" ht="15.75" customHeight="1">
      <c r="AD3511" s="794"/>
    </row>
    <row r="3512" spans="30:30" ht="15.75" customHeight="1">
      <c r="AD3512" s="794"/>
    </row>
    <row r="3513" spans="30:30" ht="15.75" customHeight="1">
      <c r="AD3513" s="794"/>
    </row>
    <row r="3514" spans="30:30" ht="15.75" customHeight="1">
      <c r="AD3514" s="794"/>
    </row>
    <row r="3515" spans="30:30" ht="15.75" customHeight="1">
      <c r="AD3515" s="794"/>
    </row>
    <row r="3516" spans="30:30" ht="15.75" customHeight="1">
      <c r="AD3516" s="794"/>
    </row>
    <row r="3517" spans="30:30" ht="15.75" customHeight="1">
      <c r="AD3517" s="794"/>
    </row>
    <row r="3518" spans="30:30" ht="15.75" customHeight="1">
      <c r="AD3518" s="794"/>
    </row>
    <row r="3519" spans="30:30" ht="15.75" customHeight="1">
      <c r="AD3519" s="794"/>
    </row>
    <row r="3520" spans="30:30" ht="15.75" customHeight="1">
      <c r="AD3520" s="794"/>
    </row>
    <row r="3521" spans="30:30" ht="15.75" customHeight="1">
      <c r="AD3521" s="794"/>
    </row>
    <row r="3522" spans="30:30" ht="15.75" customHeight="1">
      <c r="AD3522" s="794"/>
    </row>
    <row r="3523" spans="30:30" ht="15.75" customHeight="1">
      <c r="AD3523" s="794"/>
    </row>
    <row r="3524" spans="30:30" ht="15.75" customHeight="1">
      <c r="AD3524" s="794"/>
    </row>
    <row r="3525" spans="30:30" ht="15.75" customHeight="1">
      <c r="AD3525" s="794"/>
    </row>
    <row r="3526" spans="30:30" ht="15.75" customHeight="1">
      <c r="AD3526" s="794"/>
    </row>
    <row r="3527" spans="30:30" ht="15.75" customHeight="1">
      <c r="AD3527" s="794"/>
    </row>
    <row r="3528" spans="30:30" ht="15.75" customHeight="1">
      <c r="AD3528" s="794"/>
    </row>
    <row r="3529" spans="30:30" ht="15.75" customHeight="1">
      <c r="AD3529" s="794"/>
    </row>
    <row r="3530" spans="30:30" ht="15.75" customHeight="1">
      <c r="AD3530" s="794"/>
    </row>
    <row r="3531" spans="30:30" ht="15.75" customHeight="1">
      <c r="AD3531" s="794"/>
    </row>
    <row r="3532" spans="30:30" ht="15.75" customHeight="1">
      <c r="AD3532" s="794"/>
    </row>
    <row r="3533" spans="30:30" ht="15.75" customHeight="1">
      <c r="AD3533" s="794"/>
    </row>
    <row r="3534" spans="30:30" ht="15.75" customHeight="1">
      <c r="AD3534" s="794"/>
    </row>
    <row r="3535" spans="30:30" ht="15.75" customHeight="1">
      <c r="AD3535" s="794"/>
    </row>
    <row r="3536" spans="30:30" ht="15.75" customHeight="1">
      <c r="AD3536" s="794"/>
    </row>
    <row r="3537" spans="30:30" ht="15.75" customHeight="1">
      <c r="AD3537" s="794"/>
    </row>
    <row r="3538" spans="30:30" ht="15.75" customHeight="1">
      <c r="AD3538" s="794"/>
    </row>
    <row r="3539" spans="30:30" ht="15.75" customHeight="1">
      <c r="AD3539" s="794"/>
    </row>
    <row r="3540" spans="30:30" ht="15.75" customHeight="1">
      <c r="AD3540" s="794"/>
    </row>
    <row r="3541" spans="30:30" ht="15.75" customHeight="1">
      <c r="AD3541" s="794"/>
    </row>
    <row r="3542" spans="30:30" ht="15.75" customHeight="1">
      <c r="AD3542" s="794"/>
    </row>
    <row r="3543" spans="30:30" ht="15.75" customHeight="1">
      <c r="AD3543" s="794"/>
    </row>
    <row r="3544" spans="30:30" ht="15.75" customHeight="1">
      <c r="AD3544" s="794"/>
    </row>
    <row r="3545" spans="30:30" ht="15.75" customHeight="1">
      <c r="AD3545" s="794"/>
    </row>
    <row r="3546" spans="30:30" ht="15.75" customHeight="1">
      <c r="AD3546" s="794"/>
    </row>
    <row r="3547" spans="30:30" ht="15.75" customHeight="1">
      <c r="AD3547" s="794"/>
    </row>
    <row r="3548" spans="30:30" ht="15.75" customHeight="1">
      <c r="AD3548" s="794"/>
    </row>
    <row r="3549" spans="30:30" ht="15.75" customHeight="1">
      <c r="AD3549" s="794"/>
    </row>
    <row r="3550" spans="30:30" ht="15.75" customHeight="1">
      <c r="AD3550" s="794"/>
    </row>
    <row r="3551" spans="30:30" ht="15.75" customHeight="1">
      <c r="AD3551" s="794"/>
    </row>
    <row r="3552" spans="30:30" ht="15.75" customHeight="1">
      <c r="AD3552" s="794"/>
    </row>
    <row r="3553" spans="30:30" ht="15.75" customHeight="1">
      <c r="AD3553" s="794"/>
    </row>
    <row r="3554" spans="30:30" ht="15.75" customHeight="1">
      <c r="AD3554" s="794"/>
    </row>
    <row r="3555" spans="30:30" ht="15.75" customHeight="1">
      <c r="AD3555" s="794"/>
    </row>
    <row r="3556" spans="30:30" ht="15.75" customHeight="1">
      <c r="AD3556" s="794"/>
    </row>
    <row r="3557" spans="30:30" ht="15.75" customHeight="1">
      <c r="AD3557" s="794"/>
    </row>
    <row r="3558" spans="30:30" ht="15.75" customHeight="1">
      <c r="AD3558" s="794"/>
    </row>
    <row r="3559" spans="30:30" ht="15.75" customHeight="1">
      <c r="AD3559" s="794"/>
    </row>
    <row r="3560" spans="30:30" ht="15.75" customHeight="1">
      <c r="AD3560" s="794"/>
    </row>
    <row r="3561" spans="30:30" ht="15.75" customHeight="1">
      <c r="AD3561" s="794"/>
    </row>
    <row r="3562" spans="30:30" ht="15.75" customHeight="1">
      <c r="AD3562" s="794"/>
    </row>
    <row r="3563" spans="30:30" ht="15.75" customHeight="1">
      <c r="AD3563" s="794"/>
    </row>
    <row r="3564" spans="30:30" ht="15.75" customHeight="1">
      <c r="AD3564" s="794"/>
    </row>
    <row r="3565" spans="30:30" ht="15.75" customHeight="1">
      <c r="AD3565" s="794"/>
    </row>
    <row r="3566" spans="30:30" ht="15.75" customHeight="1">
      <c r="AD3566" s="794"/>
    </row>
    <row r="3567" spans="30:30" ht="15.75" customHeight="1">
      <c r="AD3567" s="794"/>
    </row>
    <row r="3568" spans="30:30" ht="15.75" customHeight="1">
      <c r="AD3568" s="794"/>
    </row>
    <row r="3569" spans="30:30" ht="15.75" customHeight="1">
      <c r="AD3569" s="794"/>
    </row>
    <row r="3570" spans="30:30" ht="15.75" customHeight="1">
      <c r="AD3570" s="794"/>
    </row>
    <row r="3571" spans="30:30" ht="15.75" customHeight="1">
      <c r="AD3571" s="794"/>
    </row>
    <row r="3572" spans="30:30" ht="15.75" customHeight="1">
      <c r="AD3572" s="794"/>
    </row>
    <row r="3573" spans="30:30" ht="15.75" customHeight="1">
      <c r="AD3573" s="794"/>
    </row>
    <row r="3574" spans="30:30" ht="15.75" customHeight="1">
      <c r="AD3574" s="794"/>
    </row>
    <row r="3575" spans="30:30" ht="15.75" customHeight="1">
      <c r="AD3575" s="794"/>
    </row>
    <row r="3576" spans="30:30" ht="15.75" customHeight="1">
      <c r="AD3576" s="794"/>
    </row>
    <row r="3577" spans="30:30" ht="15.75" customHeight="1">
      <c r="AD3577" s="794"/>
    </row>
    <row r="3578" spans="30:30" ht="15.75" customHeight="1">
      <c r="AD3578" s="794"/>
    </row>
    <row r="3579" spans="30:30" ht="15.75" customHeight="1">
      <c r="AD3579" s="794"/>
    </row>
    <row r="3580" spans="30:30" ht="15.75" customHeight="1">
      <c r="AD3580" s="794"/>
    </row>
    <row r="3581" spans="30:30" ht="15.75" customHeight="1">
      <c r="AD3581" s="794"/>
    </row>
    <row r="3582" spans="30:30" ht="15.75" customHeight="1">
      <c r="AD3582" s="794"/>
    </row>
    <row r="3583" spans="30:30" ht="15.75" customHeight="1">
      <c r="AD3583" s="794"/>
    </row>
    <row r="3584" spans="30:30" ht="15.75" customHeight="1">
      <c r="AD3584" s="794"/>
    </row>
    <row r="3585" spans="30:30" ht="15.75" customHeight="1">
      <c r="AD3585" s="794"/>
    </row>
    <row r="3586" spans="30:30" ht="15.75" customHeight="1">
      <c r="AD3586" s="794"/>
    </row>
    <row r="3587" spans="30:30" ht="15.75" customHeight="1">
      <c r="AD3587" s="794"/>
    </row>
    <row r="3588" spans="30:30" ht="15.75" customHeight="1">
      <c r="AD3588" s="794"/>
    </row>
    <row r="3589" spans="30:30" ht="15.75" customHeight="1">
      <c r="AD3589" s="794"/>
    </row>
    <row r="3590" spans="30:30" ht="15.75" customHeight="1">
      <c r="AD3590" s="794"/>
    </row>
    <row r="3591" spans="30:30" ht="15.75" customHeight="1">
      <c r="AD3591" s="794"/>
    </row>
    <row r="3592" spans="30:30" ht="15.75" customHeight="1">
      <c r="AD3592" s="794"/>
    </row>
    <row r="3593" spans="30:30" ht="15.75" customHeight="1">
      <c r="AD3593" s="794"/>
    </row>
    <row r="3594" spans="30:30" ht="15.75" customHeight="1">
      <c r="AD3594" s="794"/>
    </row>
    <row r="3595" spans="30:30" ht="15.75" customHeight="1">
      <c r="AD3595" s="794"/>
    </row>
    <row r="3596" spans="30:30" ht="15.75" customHeight="1">
      <c r="AD3596" s="794"/>
    </row>
    <row r="3597" spans="30:30" ht="15.75" customHeight="1">
      <c r="AD3597" s="794"/>
    </row>
    <row r="3598" spans="30:30" ht="15.75" customHeight="1">
      <c r="AD3598" s="794"/>
    </row>
    <row r="3599" spans="30:30" ht="15.75" customHeight="1">
      <c r="AD3599" s="794"/>
    </row>
    <row r="3600" spans="30:30" ht="15.75" customHeight="1">
      <c r="AD3600" s="794"/>
    </row>
    <row r="3601" spans="30:30" ht="15.75" customHeight="1">
      <c r="AD3601" s="794"/>
    </row>
    <row r="3602" spans="30:30" ht="15.75" customHeight="1">
      <c r="AD3602" s="794"/>
    </row>
    <row r="3603" spans="30:30" ht="15.75" customHeight="1">
      <c r="AD3603" s="794"/>
    </row>
    <row r="3604" spans="30:30" ht="15.75" customHeight="1">
      <c r="AD3604" s="794"/>
    </row>
    <row r="3605" spans="30:30" ht="15.75" customHeight="1">
      <c r="AD3605" s="794"/>
    </row>
    <row r="3606" spans="30:30" ht="15.75" customHeight="1">
      <c r="AD3606" s="794"/>
    </row>
    <row r="3607" spans="30:30" ht="15.75" customHeight="1">
      <c r="AD3607" s="794"/>
    </row>
    <row r="3608" spans="30:30" ht="15.75" customHeight="1">
      <c r="AD3608" s="794"/>
    </row>
    <row r="3609" spans="30:30" ht="15.75" customHeight="1">
      <c r="AD3609" s="794"/>
    </row>
    <row r="3610" spans="30:30" ht="15.75" customHeight="1">
      <c r="AD3610" s="794"/>
    </row>
    <row r="3611" spans="30:30" ht="15.75" customHeight="1">
      <c r="AD3611" s="794"/>
    </row>
    <row r="3612" spans="30:30" ht="15.75" customHeight="1">
      <c r="AD3612" s="794"/>
    </row>
    <row r="3613" spans="30:30" ht="15.75" customHeight="1">
      <c r="AD3613" s="794"/>
    </row>
    <row r="3614" spans="30:30" ht="15.75" customHeight="1">
      <c r="AD3614" s="794"/>
    </row>
    <row r="3615" spans="30:30" ht="15.75" customHeight="1">
      <c r="AD3615" s="794"/>
    </row>
    <row r="3616" spans="30:30" ht="15.75" customHeight="1">
      <c r="AD3616" s="794"/>
    </row>
    <row r="3617" spans="30:30" ht="15.75" customHeight="1">
      <c r="AD3617" s="794"/>
    </row>
    <row r="3618" spans="30:30" ht="15.75" customHeight="1">
      <c r="AD3618" s="794"/>
    </row>
    <row r="3619" spans="30:30" ht="15.75" customHeight="1">
      <c r="AD3619" s="794"/>
    </row>
    <row r="3620" spans="30:30" ht="15.75" customHeight="1">
      <c r="AD3620" s="794"/>
    </row>
    <row r="3621" spans="30:30" ht="15.75" customHeight="1">
      <c r="AD3621" s="794"/>
    </row>
    <row r="3622" spans="30:30" ht="15.75" customHeight="1">
      <c r="AD3622" s="794"/>
    </row>
    <row r="3623" spans="30:30" ht="15.75" customHeight="1">
      <c r="AD3623" s="794"/>
    </row>
    <row r="3624" spans="30:30" ht="15.75" customHeight="1">
      <c r="AD3624" s="794"/>
    </row>
    <row r="3625" spans="30:30" ht="15.75" customHeight="1">
      <c r="AD3625" s="794"/>
    </row>
    <row r="3626" spans="30:30" ht="15.75" customHeight="1">
      <c r="AD3626" s="794"/>
    </row>
    <row r="3627" spans="30:30" ht="15.75" customHeight="1">
      <c r="AD3627" s="794"/>
    </row>
    <row r="3628" spans="30:30" ht="15.75" customHeight="1">
      <c r="AD3628" s="794"/>
    </row>
    <row r="3629" spans="30:30" ht="15.75" customHeight="1">
      <c r="AD3629" s="794"/>
    </row>
    <row r="3630" spans="30:30" ht="15.75" customHeight="1">
      <c r="AD3630" s="794"/>
    </row>
    <row r="3631" spans="30:30" ht="15.75" customHeight="1">
      <c r="AD3631" s="794"/>
    </row>
    <row r="3632" spans="30:30" ht="15.75" customHeight="1">
      <c r="AD3632" s="794"/>
    </row>
    <row r="3633" spans="30:30" ht="15.75" customHeight="1">
      <c r="AD3633" s="794"/>
    </row>
    <row r="3634" spans="30:30" ht="15.75" customHeight="1">
      <c r="AD3634" s="794"/>
    </row>
    <row r="3635" spans="30:30" ht="15.75" customHeight="1">
      <c r="AD3635" s="794"/>
    </row>
    <row r="3636" spans="30:30" ht="15.75" customHeight="1">
      <c r="AD3636" s="794"/>
    </row>
    <row r="3637" spans="30:30" ht="15.75" customHeight="1">
      <c r="AD3637" s="794"/>
    </row>
    <row r="3638" spans="30:30" ht="15.75" customHeight="1">
      <c r="AD3638" s="794"/>
    </row>
    <row r="3639" spans="30:30" ht="15.75" customHeight="1">
      <c r="AD3639" s="794"/>
    </row>
    <row r="3640" spans="30:30" ht="15.75" customHeight="1">
      <c r="AD3640" s="794"/>
    </row>
    <row r="3641" spans="30:30" ht="15.75" customHeight="1">
      <c r="AD3641" s="794"/>
    </row>
    <row r="3642" spans="30:30" ht="15.75" customHeight="1">
      <c r="AD3642" s="794"/>
    </row>
    <row r="3643" spans="30:30" ht="15.75" customHeight="1">
      <c r="AD3643" s="794"/>
    </row>
    <row r="3644" spans="30:30" ht="15.75" customHeight="1">
      <c r="AD3644" s="794"/>
    </row>
    <row r="3645" spans="30:30" ht="15.75" customHeight="1">
      <c r="AD3645" s="794"/>
    </row>
    <row r="3646" spans="30:30" ht="15.75" customHeight="1">
      <c r="AD3646" s="794"/>
    </row>
    <row r="3647" spans="30:30" ht="15.75" customHeight="1">
      <c r="AD3647" s="794"/>
    </row>
    <row r="3648" spans="30:30" ht="15.75" customHeight="1">
      <c r="AD3648" s="794"/>
    </row>
    <row r="3649" spans="30:30" ht="15.75" customHeight="1">
      <c r="AD3649" s="794"/>
    </row>
    <row r="3650" spans="30:30" ht="15.75" customHeight="1">
      <c r="AD3650" s="794"/>
    </row>
    <row r="3651" spans="30:30" ht="15.75" customHeight="1">
      <c r="AD3651" s="794"/>
    </row>
    <row r="3652" spans="30:30" ht="15.75" customHeight="1">
      <c r="AD3652" s="794"/>
    </row>
    <row r="3653" spans="30:30" ht="15.75" customHeight="1">
      <c r="AD3653" s="794"/>
    </row>
    <row r="3654" spans="30:30" ht="15.75" customHeight="1">
      <c r="AD3654" s="794"/>
    </row>
    <row r="3655" spans="30:30" ht="15.75" customHeight="1">
      <c r="AD3655" s="794"/>
    </row>
    <row r="3656" spans="30:30" ht="15.75" customHeight="1">
      <c r="AD3656" s="794"/>
    </row>
    <row r="3657" spans="30:30" ht="15.75" customHeight="1">
      <c r="AD3657" s="794"/>
    </row>
    <row r="3658" spans="30:30" ht="15.75" customHeight="1">
      <c r="AD3658" s="794"/>
    </row>
    <row r="3659" spans="30:30" ht="15.75" customHeight="1">
      <c r="AD3659" s="794"/>
    </row>
    <row r="3660" spans="30:30" ht="15.75" customHeight="1">
      <c r="AD3660" s="794"/>
    </row>
    <row r="3661" spans="30:30" ht="15.75" customHeight="1">
      <c r="AD3661" s="794"/>
    </row>
    <row r="3662" spans="30:30" ht="15.75" customHeight="1">
      <c r="AD3662" s="794"/>
    </row>
    <row r="3663" spans="30:30" ht="15.75" customHeight="1">
      <c r="AD3663" s="794"/>
    </row>
    <row r="3664" spans="30:30" ht="15.75" customHeight="1">
      <c r="AD3664" s="794"/>
    </row>
    <row r="3665" spans="30:30" ht="15.75" customHeight="1">
      <c r="AD3665" s="794"/>
    </row>
    <row r="3666" spans="30:30" ht="15.75" customHeight="1">
      <c r="AD3666" s="794"/>
    </row>
    <row r="3667" spans="30:30" ht="15.75" customHeight="1">
      <c r="AD3667" s="794"/>
    </row>
    <row r="3668" spans="30:30" ht="15.75" customHeight="1">
      <c r="AD3668" s="794"/>
    </row>
    <row r="3669" spans="30:30" ht="15.75" customHeight="1">
      <c r="AD3669" s="794"/>
    </row>
    <row r="3670" spans="30:30" ht="15.75" customHeight="1">
      <c r="AD3670" s="794"/>
    </row>
    <row r="3671" spans="30:30" ht="15.75" customHeight="1">
      <c r="AD3671" s="794"/>
    </row>
    <row r="3672" spans="30:30" ht="15.75" customHeight="1">
      <c r="AD3672" s="794"/>
    </row>
    <row r="3673" spans="30:30" ht="15.75" customHeight="1">
      <c r="AD3673" s="794"/>
    </row>
    <row r="3674" spans="30:30" ht="15.75" customHeight="1">
      <c r="AD3674" s="794"/>
    </row>
    <row r="3675" spans="30:30" ht="15.75" customHeight="1">
      <c r="AD3675" s="794"/>
    </row>
    <row r="3676" spans="30:30" ht="15.75" customHeight="1">
      <c r="AD3676" s="794"/>
    </row>
    <row r="3677" spans="30:30" ht="15.75" customHeight="1">
      <c r="AD3677" s="794"/>
    </row>
    <row r="3678" spans="30:30" ht="15.75" customHeight="1">
      <c r="AD3678" s="794"/>
    </row>
    <row r="3679" spans="30:30" ht="15.75" customHeight="1">
      <c r="AD3679" s="794"/>
    </row>
    <row r="3680" spans="30:30" ht="15.75" customHeight="1">
      <c r="AD3680" s="794"/>
    </row>
    <row r="3681" spans="30:30" ht="15.75" customHeight="1">
      <c r="AD3681" s="794"/>
    </row>
    <row r="3682" spans="30:30" ht="15.75" customHeight="1">
      <c r="AD3682" s="794"/>
    </row>
    <row r="3683" spans="30:30" ht="15.75" customHeight="1">
      <c r="AD3683" s="794"/>
    </row>
    <row r="3684" spans="30:30" ht="15.75" customHeight="1">
      <c r="AD3684" s="794"/>
    </row>
    <row r="3685" spans="30:30" ht="15.75" customHeight="1">
      <c r="AD3685" s="794"/>
    </row>
    <row r="3686" spans="30:30" ht="15.75" customHeight="1">
      <c r="AD3686" s="794"/>
    </row>
    <row r="3687" spans="30:30" ht="15.75" customHeight="1">
      <c r="AD3687" s="794"/>
    </row>
    <row r="3688" spans="30:30" ht="15.75" customHeight="1">
      <c r="AD3688" s="794"/>
    </row>
    <row r="3689" spans="30:30" ht="15.75" customHeight="1">
      <c r="AD3689" s="794"/>
    </row>
    <row r="3690" spans="30:30" ht="15.75" customHeight="1">
      <c r="AD3690" s="794"/>
    </row>
    <row r="3691" spans="30:30" ht="15.75" customHeight="1">
      <c r="AD3691" s="794"/>
    </row>
    <row r="3692" spans="30:30" ht="15.75" customHeight="1">
      <c r="AD3692" s="794"/>
    </row>
    <row r="3693" spans="30:30" ht="15.75" customHeight="1">
      <c r="AD3693" s="794"/>
    </row>
    <row r="3694" spans="30:30" ht="15.75" customHeight="1">
      <c r="AD3694" s="794"/>
    </row>
    <row r="3695" spans="30:30" ht="15.75" customHeight="1">
      <c r="AD3695" s="794"/>
    </row>
    <row r="3696" spans="30:30" ht="15.75" customHeight="1">
      <c r="AD3696" s="794"/>
    </row>
    <row r="3697" spans="30:30" ht="15.75" customHeight="1">
      <c r="AD3697" s="794"/>
    </row>
    <row r="3698" spans="30:30" ht="15.75" customHeight="1">
      <c r="AD3698" s="794"/>
    </row>
    <row r="3699" spans="30:30" ht="15.75" customHeight="1">
      <c r="AD3699" s="794"/>
    </row>
    <row r="3700" spans="30:30" ht="15.75" customHeight="1">
      <c r="AD3700" s="794"/>
    </row>
    <row r="3701" spans="30:30" ht="15.75" customHeight="1">
      <c r="AD3701" s="794"/>
    </row>
    <row r="3702" spans="30:30" ht="15.75" customHeight="1">
      <c r="AD3702" s="794"/>
    </row>
    <row r="3703" spans="30:30" ht="15.75" customHeight="1">
      <c r="AD3703" s="794"/>
    </row>
    <row r="3704" spans="30:30" ht="15.75" customHeight="1">
      <c r="AD3704" s="794"/>
    </row>
    <row r="3705" spans="30:30" ht="15.75" customHeight="1">
      <c r="AD3705" s="794"/>
    </row>
    <row r="3706" spans="30:30" ht="15.75" customHeight="1">
      <c r="AD3706" s="794"/>
    </row>
    <row r="3707" spans="30:30" ht="15.75" customHeight="1">
      <c r="AD3707" s="794"/>
    </row>
    <row r="3708" spans="30:30" ht="15.75" customHeight="1">
      <c r="AD3708" s="794"/>
    </row>
    <row r="3709" spans="30:30" ht="15.75" customHeight="1">
      <c r="AD3709" s="794"/>
    </row>
    <row r="3710" spans="30:30" ht="15.75" customHeight="1">
      <c r="AD3710" s="794"/>
    </row>
    <row r="3711" spans="30:30" ht="15.75" customHeight="1">
      <c r="AD3711" s="794"/>
    </row>
    <row r="3712" spans="30:30" ht="15.75" customHeight="1">
      <c r="AD3712" s="794"/>
    </row>
    <row r="3713" spans="30:30" ht="15.75" customHeight="1">
      <c r="AD3713" s="794"/>
    </row>
    <row r="3714" spans="30:30" ht="15.75" customHeight="1">
      <c r="AD3714" s="794"/>
    </row>
    <row r="3715" spans="30:30" ht="15.75" customHeight="1">
      <c r="AD3715" s="794"/>
    </row>
    <row r="3716" spans="30:30" ht="15.75" customHeight="1">
      <c r="AD3716" s="794"/>
    </row>
    <row r="3717" spans="30:30" ht="15.75" customHeight="1">
      <c r="AD3717" s="794"/>
    </row>
    <row r="3718" spans="30:30" ht="15.75" customHeight="1">
      <c r="AD3718" s="794"/>
    </row>
    <row r="3719" spans="30:30" ht="15.75" customHeight="1">
      <c r="AD3719" s="794"/>
    </row>
    <row r="3720" spans="30:30" ht="15.75" customHeight="1">
      <c r="AD3720" s="794"/>
    </row>
    <row r="3721" spans="30:30" ht="15.75" customHeight="1">
      <c r="AD3721" s="794"/>
    </row>
    <row r="3722" spans="30:30" ht="15.75" customHeight="1">
      <c r="AD3722" s="794"/>
    </row>
    <row r="3723" spans="30:30" ht="15.75" customHeight="1">
      <c r="AD3723" s="794"/>
    </row>
    <row r="3724" spans="30:30" ht="15.75" customHeight="1">
      <c r="AD3724" s="794"/>
    </row>
    <row r="3725" spans="30:30" ht="15.75" customHeight="1">
      <c r="AD3725" s="794"/>
    </row>
    <row r="3726" spans="30:30" ht="15.75" customHeight="1">
      <c r="AD3726" s="794"/>
    </row>
    <row r="3727" spans="30:30" ht="15.75" customHeight="1">
      <c r="AD3727" s="794"/>
    </row>
    <row r="3728" spans="30:30" ht="15.75" customHeight="1">
      <c r="AD3728" s="794"/>
    </row>
    <row r="3729" spans="30:30" ht="15.75" customHeight="1">
      <c r="AD3729" s="794"/>
    </row>
    <row r="3730" spans="30:30" ht="15.75" customHeight="1">
      <c r="AD3730" s="794"/>
    </row>
    <row r="3731" spans="30:30" ht="15.75" customHeight="1">
      <c r="AD3731" s="794"/>
    </row>
    <row r="3732" spans="30:30" ht="15.75" customHeight="1">
      <c r="AD3732" s="794"/>
    </row>
    <row r="3733" spans="30:30" ht="15.75" customHeight="1">
      <c r="AD3733" s="794"/>
    </row>
    <row r="3734" spans="30:30" ht="15.75" customHeight="1">
      <c r="AD3734" s="794"/>
    </row>
    <row r="3735" spans="30:30" ht="15.75" customHeight="1">
      <c r="AD3735" s="794"/>
    </row>
    <row r="3736" spans="30:30" ht="15.75" customHeight="1">
      <c r="AD3736" s="794"/>
    </row>
    <row r="3737" spans="30:30" ht="15.75" customHeight="1">
      <c r="AD3737" s="794"/>
    </row>
    <row r="3738" spans="30:30" ht="15.75" customHeight="1">
      <c r="AD3738" s="794"/>
    </row>
    <row r="3739" spans="30:30" ht="15.75" customHeight="1">
      <c r="AD3739" s="794"/>
    </row>
    <row r="3740" spans="30:30" ht="15.75" customHeight="1">
      <c r="AD3740" s="794"/>
    </row>
    <row r="3741" spans="30:30" ht="15.75" customHeight="1">
      <c r="AD3741" s="794"/>
    </row>
    <row r="3742" spans="30:30" ht="15.75" customHeight="1">
      <c r="AD3742" s="794"/>
    </row>
    <row r="3743" spans="30:30" ht="15.75" customHeight="1">
      <c r="AD3743" s="794"/>
    </row>
    <row r="3744" spans="30:30" ht="15.75" customHeight="1">
      <c r="AD3744" s="794"/>
    </row>
    <row r="3745" spans="30:30" ht="15.75" customHeight="1">
      <c r="AD3745" s="794"/>
    </row>
    <row r="3746" spans="30:30" ht="15.75" customHeight="1">
      <c r="AD3746" s="794"/>
    </row>
    <row r="3747" spans="30:30" ht="15.75" customHeight="1">
      <c r="AD3747" s="794"/>
    </row>
    <row r="3748" spans="30:30" ht="15.75" customHeight="1">
      <c r="AD3748" s="794"/>
    </row>
    <row r="3749" spans="30:30" ht="15.75" customHeight="1">
      <c r="AD3749" s="794"/>
    </row>
    <row r="3750" spans="30:30" ht="15.75" customHeight="1">
      <c r="AD3750" s="794"/>
    </row>
    <row r="3751" spans="30:30" ht="15.75" customHeight="1">
      <c r="AD3751" s="794"/>
    </row>
    <row r="3752" spans="30:30" ht="15.75" customHeight="1">
      <c r="AD3752" s="794"/>
    </row>
    <row r="3753" spans="30:30" ht="15.75" customHeight="1">
      <c r="AD3753" s="794"/>
    </row>
    <row r="3754" spans="30:30" ht="15.75" customHeight="1">
      <c r="AD3754" s="794"/>
    </row>
    <row r="3755" spans="30:30" ht="15.75" customHeight="1">
      <c r="AD3755" s="794"/>
    </row>
    <row r="3756" spans="30:30" ht="15.75" customHeight="1">
      <c r="AD3756" s="794"/>
    </row>
    <row r="3757" spans="30:30" ht="15.75" customHeight="1">
      <c r="AD3757" s="794"/>
    </row>
    <row r="3758" spans="30:30" ht="15.75" customHeight="1">
      <c r="AD3758" s="794"/>
    </row>
    <row r="3759" spans="30:30" ht="15.75" customHeight="1">
      <c r="AD3759" s="794"/>
    </row>
    <row r="3760" spans="30:30" ht="15.75" customHeight="1">
      <c r="AD3760" s="794"/>
    </row>
    <row r="3761" spans="30:30" ht="15.75" customHeight="1">
      <c r="AD3761" s="794"/>
    </row>
    <row r="3762" spans="30:30" ht="15.75" customHeight="1">
      <c r="AD3762" s="794"/>
    </row>
    <row r="3763" spans="30:30" ht="15.75" customHeight="1">
      <c r="AD3763" s="794"/>
    </row>
    <row r="3764" spans="30:30" ht="15.75" customHeight="1">
      <c r="AD3764" s="794"/>
    </row>
    <row r="3765" spans="30:30" ht="15.75" customHeight="1">
      <c r="AD3765" s="794"/>
    </row>
    <row r="3766" spans="30:30" ht="15.75" customHeight="1">
      <c r="AD3766" s="794"/>
    </row>
    <row r="3767" spans="30:30" ht="15.75" customHeight="1">
      <c r="AD3767" s="794"/>
    </row>
    <row r="3768" spans="30:30" ht="15.75" customHeight="1">
      <c r="AD3768" s="794"/>
    </row>
    <row r="3769" spans="30:30" ht="15.75" customHeight="1">
      <c r="AD3769" s="794"/>
    </row>
    <row r="3770" spans="30:30" ht="15.75" customHeight="1">
      <c r="AD3770" s="794"/>
    </row>
    <row r="3771" spans="30:30" ht="15.75" customHeight="1">
      <c r="AD3771" s="794"/>
    </row>
    <row r="3772" spans="30:30" ht="15.75" customHeight="1">
      <c r="AD3772" s="794"/>
    </row>
    <row r="3773" spans="30:30" ht="15.75" customHeight="1">
      <c r="AD3773" s="794"/>
    </row>
    <row r="3774" spans="30:30" ht="15.75" customHeight="1">
      <c r="AD3774" s="794"/>
    </row>
    <row r="3775" spans="30:30" ht="15.75" customHeight="1">
      <c r="AD3775" s="794"/>
    </row>
    <row r="3776" spans="30:30" ht="15.75" customHeight="1">
      <c r="AD3776" s="794"/>
    </row>
    <row r="3777" spans="30:30" ht="15.75" customHeight="1">
      <c r="AD3777" s="794"/>
    </row>
    <row r="3778" spans="30:30" ht="15.75" customHeight="1">
      <c r="AD3778" s="794"/>
    </row>
    <row r="3779" spans="30:30" ht="15.75" customHeight="1">
      <c r="AD3779" s="794"/>
    </row>
    <row r="3780" spans="30:30" ht="15.75" customHeight="1">
      <c r="AD3780" s="794"/>
    </row>
    <row r="3781" spans="30:30" ht="15.75" customHeight="1">
      <c r="AD3781" s="794"/>
    </row>
    <row r="3782" spans="30:30" ht="15.75" customHeight="1">
      <c r="AD3782" s="794"/>
    </row>
    <row r="3783" spans="30:30" ht="15.75" customHeight="1">
      <c r="AD3783" s="794"/>
    </row>
    <row r="3784" spans="30:30" ht="15.75" customHeight="1">
      <c r="AD3784" s="794"/>
    </row>
    <row r="3785" spans="30:30" ht="15.75" customHeight="1">
      <c r="AD3785" s="794"/>
    </row>
    <row r="3786" spans="30:30" ht="15.75" customHeight="1">
      <c r="AD3786" s="794"/>
    </row>
    <row r="3787" spans="30:30" ht="15.75" customHeight="1">
      <c r="AD3787" s="794"/>
    </row>
    <row r="3788" spans="30:30" ht="15.75" customHeight="1">
      <c r="AD3788" s="794"/>
    </row>
    <row r="3789" spans="30:30" ht="15.75" customHeight="1">
      <c r="AD3789" s="794"/>
    </row>
    <row r="3790" spans="30:30" ht="15.75" customHeight="1">
      <c r="AD3790" s="794"/>
    </row>
    <row r="3791" spans="30:30" ht="15.75" customHeight="1">
      <c r="AD3791" s="794"/>
    </row>
    <row r="3792" spans="30:30" ht="15.75" customHeight="1">
      <c r="AD3792" s="794"/>
    </row>
    <row r="3793" spans="30:30" ht="15.75" customHeight="1">
      <c r="AD3793" s="794"/>
    </row>
    <row r="3794" spans="30:30" ht="15.75" customHeight="1">
      <c r="AD3794" s="794"/>
    </row>
    <row r="3795" spans="30:30" ht="15.75" customHeight="1">
      <c r="AD3795" s="794"/>
    </row>
    <row r="3796" spans="30:30" ht="15.75" customHeight="1">
      <c r="AD3796" s="794"/>
    </row>
    <row r="3797" spans="30:30" ht="15.75" customHeight="1">
      <c r="AD3797" s="794"/>
    </row>
    <row r="3798" spans="30:30" ht="15.75" customHeight="1">
      <c r="AD3798" s="794"/>
    </row>
    <row r="3799" spans="30:30" ht="15.75" customHeight="1">
      <c r="AD3799" s="794"/>
    </row>
    <row r="3800" spans="30:30" ht="15.75" customHeight="1">
      <c r="AD3800" s="794"/>
    </row>
    <row r="3801" spans="30:30" ht="15.75" customHeight="1">
      <c r="AD3801" s="794"/>
    </row>
    <row r="3802" spans="30:30" ht="15.75" customHeight="1">
      <c r="AD3802" s="794"/>
    </row>
    <row r="3803" spans="30:30" ht="15.75" customHeight="1">
      <c r="AD3803" s="794"/>
    </row>
    <row r="3804" spans="30:30" ht="15.75" customHeight="1">
      <c r="AD3804" s="794"/>
    </row>
    <row r="3805" spans="30:30" ht="15.75" customHeight="1">
      <c r="AD3805" s="794"/>
    </row>
    <row r="3806" spans="30:30" ht="15.75" customHeight="1">
      <c r="AD3806" s="794"/>
    </row>
    <row r="3807" spans="30:30" ht="15.75" customHeight="1">
      <c r="AD3807" s="794"/>
    </row>
    <row r="3808" spans="30:30" ht="15.75" customHeight="1">
      <c r="AD3808" s="794"/>
    </row>
    <row r="3809" spans="30:30" ht="15.75" customHeight="1">
      <c r="AD3809" s="794"/>
    </row>
    <row r="3810" spans="30:30" ht="15.75" customHeight="1">
      <c r="AD3810" s="794"/>
    </row>
    <row r="3811" spans="30:30" ht="15.75" customHeight="1">
      <c r="AD3811" s="794"/>
    </row>
    <row r="3812" spans="30:30" ht="15.75" customHeight="1">
      <c r="AD3812" s="794"/>
    </row>
    <row r="3813" spans="30:30" ht="15.75" customHeight="1">
      <c r="AD3813" s="794"/>
    </row>
    <row r="3814" spans="30:30" ht="15.75" customHeight="1">
      <c r="AD3814" s="794"/>
    </row>
    <row r="3815" spans="30:30" ht="15.75" customHeight="1">
      <c r="AD3815" s="794"/>
    </row>
    <row r="3816" spans="30:30" ht="15.75" customHeight="1">
      <c r="AD3816" s="794"/>
    </row>
    <row r="3817" spans="30:30" ht="15.75" customHeight="1">
      <c r="AD3817" s="794"/>
    </row>
    <row r="3818" spans="30:30" ht="15.75" customHeight="1">
      <c r="AD3818" s="794"/>
    </row>
    <row r="3819" spans="30:30" ht="15.75" customHeight="1">
      <c r="AD3819" s="794"/>
    </row>
    <row r="3820" spans="30:30" ht="15.75" customHeight="1">
      <c r="AD3820" s="794"/>
    </row>
    <row r="3821" spans="30:30" ht="15.75" customHeight="1">
      <c r="AD3821" s="794"/>
    </row>
    <row r="3822" spans="30:30" ht="15.75" customHeight="1">
      <c r="AD3822" s="794"/>
    </row>
    <row r="3823" spans="30:30" ht="15.75" customHeight="1">
      <c r="AD3823" s="794"/>
    </row>
    <row r="3824" spans="30:30" ht="15.75" customHeight="1">
      <c r="AD3824" s="794"/>
    </row>
    <row r="3825" spans="30:30" ht="15.75" customHeight="1">
      <c r="AD3825" s="794"/>
    </row>
    <row r="3826" spans="30:30" ht="15.75" customHeight="1">
      <c r="AD3826" s="794"/>
    </row>
    <row r="3827" spans="30:30" ht="15.75" customHeight="1">
      <c r="AD3827" s="794"/>
    </row>
    <row r="3828" spans="30:30" ht="15.75" customHeight="1">
      <c r="AD3828" s="794"/>
    </row>
    <row r="3829" spans="30:30" ht="15.75" customHeight="1">
      <c r="AD3829" s="794"/>
    </row>
    <row r="3830" spans="30:30" ht="15.75" customHeight="1">
      <c r="AD3830" s="794"/>
    </row>
    <row r="3831" spans="30:30" ht="15.75" customHeight="1">
      <c r="AD3831" s="794"/>
    </row>
    <row r="3832" spans="30:30" ht="15.75" customHeight="1">
      <c r="AD3832" s="794"/>
    </row>
    <row r="3833" spans="30:30" ht="15.75" customHeight="1">
      <c r="AD3833" s="794"/>
    </row>
    <row r="3834" spans="30:30" ht="15.75" customHeight="1">
      <c r="AD3834" s="794"/>
    </row>
    <row r="3835" spans="30:30" ht="15.75" customHeight="1">
      <c r="AD3835" s="794"/>
    </row>
    <row r="3836" spans="30:30" ht="15.75" customHeight="1">
      <c r="AD3836" s="794"/>
    </row>
    <row r="3837" spans="30:30" ht="15.75" customHeight="1">
      <c r="AD3837" s="794"/>
    </row>
    <row r="3838" spans="30:30" ht="15.75" customHeight="1">
      <c r="AD3838" s="794"/>
    </row>
    <row r="3839" spans="30:30" ht="15.75" customHeight="1">
      <c r="AD3839" s="794"/>
    </row>
    <row r="3840" spans="30:30" ht="15.75" customHeight="1">
      <c r="AD3840" s="794"/>
    </row>
    <row r="3841" spans="30:30" ht="15.75" customHeight="1">
      <c r="AD3841" s="794"/>
    </row>
    <row r="3842" spans="30:30" ht="15.75" customHeight="1">
      <c r="AD3842" s="794"/>
    </row>
    <row r="3843" spans="30:30" ht="15.75" customHeight="1">
      <c r="AD3843" s="794"/>
    </row>
    <row r="3844" spans="30:30" ht="15.75" customHeight="1">
      <c r="AD3844" s="794"/>
    </row>
    <row r="3845" spans="30:30" ht="15.75" customHeight="1">
      <c r="AD3845" s="794"/>
    </row>
    <row r="3846" spans="30:30" ht="15.75" customHeight="1">
      <c r="AD3846" s="794"/>
    </row>
    <row r="3847" spans="30:30" ht="15.75" customHeight="1">
      <c r="AD3847" s="794"/>
    </row>
    <row r="3848" spans="30:30" ht="15.75" customHeight="1">
      <c r="AD3848" s="794"/>
    </row>
    <row r="3849" spans="30:30" ht="15.75" customHeight="1">
      <c r="AD3849" s="794"/>
    </row>
    <row r="3850" spans="30:30" ht="15.75" customHeight="1">
      <c r="AD3850" s="794"/>
    </row>
    <row r="3851" spans="30:30" ht="15.75" customHeight="1">
      <c r="AD3851" s="794"/>
    </row>
    <row r="3852" spans="30:30" ht="15.75" customHeight="1">
      <c r="AD3852" s="794"/>
    </row>
    <row r="3853" spans="30:30" ht="15.75" customHeight="1">
      <c r="AD3853" s="794"/>
    </row>
    <row r="3854" spans="30:30" ht="15.75" customHeight="1">
      <c r="AD3854" s="794"/>
    </row>
    <row r="3855" spans="30:30" ht="15.75" customHeight="1">
      <c r="AD3855" s="794"/>
    </row>
    <row r="3856" spans="30:30" ht="15.75" customHeight="1">
      <c r="AD3856" s="794"/>
    </row>
    <row r="3857" spans="30:30" ht="15.75" customHeight="1">
      <c r="AD3857" s="794"/>
    </row>
    <row r="3858" spans="30:30" ht="15.75" customHeight="1">
      <c r="AD3858" s="794"/>
    </row>
    <row r="3859" spans="30:30" ht="15.75" customHeight="1">
      <c r="AD3859" s="794"/>
    </row>
    <row r="3860" spans="30:30" ht="15.75" customHeight="1">
      <c r="AD3860" s="794"/>
    </row>
    <row r="3861" spans="30:30" ht="15.75" customHeight="1">
      <c r="AD3861" s="794"/>
    </row>
    <row r="3862" spans="30:30" ht="15.75" customHeight="1">
      <c r="AD3862" s="794"/>
    </row>
    <row r="3863" spans="30:30" ht="15.75" customHeight="1">
      <c r="AD3863" s="794"/>
    </row>
    <row r="3864" spans="30:30" ht="15.75" customHeight="1">
      <c r="AD3864" s="794"/>
    </row>
    <row r="3865" spans="30:30" ht="15.75" customHeight="1">
      <c r="AD3865" s="794"/>
    </row>
    <row r="3866" spans="30:30" ht="15.75" customHeight="1">
      <c r="AD3866" s="794"/>
    </row>
    <row r="3867" spans="30:30" ht="15.75" customHeight="1">
      <c r="AD3867" s="794"/>
    </row>
    <row r="3868" spans="30:30" ht="15.75" customHeight="1">
      <c r="AD3868" s="794"/>
    </row>
    <row r="3869" spans="30:30" ht="15.75" customHeight="1">
      <c r="AD3869" s="794"/>
    </row>
    <row r="3870" spans="30:30" ht="15.75" customHeight="1">
      <c r="AD3870" s="794"/>
    </row>
    <row r="3871" spans="30:30" ht="15.75" customHeight="1">
      <c r="AD3871" s="794"/>
    </row>
    <row r="3872" spans="30:30" ht="15.75" customHeight="1">
      <c r="AD3872" s="794"/>
    </row>
    <row r="3873" spans="30:30" ht="15.75" customHeight="1">
      <c r="AD3873" s="794"/>
    </row>
    <row r="3874" spans="30:30" ht="15.75" customHeight="1">
      <c r="AD3874" s="794"/>
    </row>
    <row r="3875" spans="30:30" ht="15.75" customHeight="1">
      <c r="AD3875" s="794"/>
    </row>
    <row r="3876" spans="30:30" ht="15.75" customHeight="1">
      <c r="AD3876" s="794"/>
    </row>
    <row r="3877" spans="30:30" ht="15.75" customHeight="1">
      <c r="AD3877" s="794"/>
    </row>
    <row r="3878" spans="30:30" ht="15.75" customHeight="1">
      <c r="AD3878" s="794"/>
    </row>
    <row r="3879" spans="30:30" ht="15.75" customHeight="1">
      <c r="AD3879" s="794"/>
    </row>
    <row r="3880" spans="30:30" ht="15.75" customHeight="1">
      <c r="AD3880" s="794"/>
    </row>
    <row r="3881" spans="30:30" ht="15.75" customHeight="1">
      <c r="AD3881" s="794"/>
    </row>
    <row r="3882" spans="30:30" ht="15.75" customHeight="1">
      <c r="AD3882" s="794"/>
    </row>
    <row r="3883" spans="30:30" ht="15.75" customHeight="1">
      <c r="AD3883" s="794"/>
    </row>
    <row r="3884" spans="30:30" ht="15.75" customHeight="1">
      <c r="AD3884" s="794"/>
    </row>
    <row r="3885" spans="30:30" ht="15.75" customHeight="1">
      <c r="AD3885" s="794"/>
    </row>
    <row r="3886" spans="30:30" ht="15.75" customHeight="1">
      <c r="AD3886" s="794"/>
    </row>
    <row r="3887" spans="30:30" ht="15.75" customHeight="1">
      <c r="AD3887" s="794"/>
    </row>
    <row r="3888" spans="30:30" ht="15.75" customHeight="1">
      <c r="AD3888" s="794"/>
    </row>
    <row r="3889" spans="30:30" ht="15.75" customHeight="1">
      <c r="AD3889" s="794"/>
    </row>
    <row r="3890" spans="30:30" ht="15.75" customHeight="1">
      <c r="AD3890" s="794"/>
    </row>
    <row r="3891" spans="30:30" ht="15.75" customHeight="1">
      <c r="AD3891" s="794"/>
    </row>
    <row r="3892" spans="30:30" ht="15.75" customHeight="1">
      <c r="AD3892" s="794"/>
    </row>
    <row r="3893" spans="30:30" ht="15.75" customHeight="1">
      <c r="AD3893" s="794"/>
    </row>
    <row r="3894" spans="30:30" ht="15.75" customHeight="1">
      <c r="AD3894" s="794"/>
    </row>
    <row r="3895" spans="30:30" ht="15.75" customHeight="1">
      <c r="AD3895" s="794"/>
    </row>
    <row r="3896" spans="30:30" ht="15.75" customHeight="1">
      <c r="AD3896" s="794"/>
    </row>
    <row r="3897" spans="30:30" ht="15.75" customHeight="1">
      <c r="AD3897" s="794"/>
    </row>
    <row r="3898" spans="30:30" ht="15.75" customHeight="1">
      <c r="AD3898" s="794"/>
    </row>
    <row r="3899" spans="30:30" ht="15.75" customHeight="1">
      <c r="AD3899" s="794"/>
    </row>
    <row r="3900" spans="30:30" ht="15.75" customHeight="1">
      <c r="AD3900" s="794"/>
    </row>
    <row r="3901" spans="30:30" ht="15.75" customHeight="1">
      <c r="AD3901" s="794"/>
    </row>
    <row r="3902" spans="30:30" ht="15.75" customHeight="1">
      <c r="AD3902" s="794"/>
    </row>
    <row r="3903" spans="30:30" ht="15.75" customHeight="1">
      <c r="AD3903" s="794"/>
    </row>
    <row r="3904" spans="30:30" ht="15.75" customHeight="1">
      <c r="AD3904" s="794"/>
    </row>
    <row r="3905" spans="30:30" ht="15.75" customHeight="1">
      <c r="AD3905" s="794"/>
    </row>
    <row r="3906" spans="30:30" ht="15.75" customHeight="1">
      <c r="AD3906" s="794"/>
    </row>
    <row r="3907" spans="30:30" ht="15.75" customHeight="1">
      <c r="AD3907" s="794"/>
    </row>
    <row r="3908" spans="30:30" ht="15.75" customHeight="1">
      <c r="AD3908" s="794"/>
    </row>
    <row r="3909" spans="30:30" ht="15.75" customHeight="1">
      <c r="AD3909" s="794"/>
    </row>
    <row r="3910" spans="30:30" ht="15.75" customHeight="1">
      <c r="AD3910" s="794"/>
    </row>
    <row r="3911" spans="30:30" ht="15.75" customHeight="1">
      <c r="AD3911" s="794"/>
    </row>
    <row r="3912" spans="30:30" ht="15.75" customHeight="1">
      <c r="AD3912" s="794"/>
    </row>
    <row r="3913" spans="30:30" ht="15.75" customHeight="1">
      <c r="AD3913" s="794"/>
    </row>
    <row r="3914" spans="30:30" ht="15.75" customHeight="1">
      <c r="AD3914" s="794"/>
    </row>
    <row r="3915" spans="30:30" ht="15.75" customHeight="1">
      <c r="AD3915" s="794"/>
    </row>
    <row r="3916" spans="30:30" ht="15.75" customHeight="1">
      <c r="AD3916" s="794"/>
    </row>
    <row r="3917" spans="30:30" ht="15.75" customHeight="1">
      <c r="AD3917" s="794"/>
    </row>
    <row r="3918" spans="30:30" ht="15.75" customHeight="1">
      <c r="AD3918" s="794"/>
    </row>
    <row r="3919" spans="30:30" ht="15.75" customHeight="1">
      <c r="AD3919" s="794"/>
    </row>
    <row r="3920" spans="30:30" ht="15.75" customHeight="1">
      <c r="AD3920" s="794"/>
    </row>
    <row r="3921" spans="30:30" ht="15.75" customHeight="1">
      <c r="AD3921" s="794"/>
    </row>
    <row r="3922" spans="30:30" ht="15.75" customHeight="1">
      <c r="AD3922" s="794"/>
    </row>
    <row r="3923" spans="30:30" ht="15.75" customHeight="1">
      <c r="AD3923" s="794"/>
    </row>
    <row r="3924" spans="30:30" ht="15.75" customHeight="1">
      <c r="AD3924" s="794"/>
    </row>
    <row r="3925" spans="30:30" ht="15.75" customHeight="1">
      <c r="AD3925" s="794"/>
    </row>
    <row r="3926" spans="30:30" ht="15.75" customHeight="1">
      <c r="AD3926" s="794"/>
    </row>
    <row r="3927" spans="30:30" ht="15.75" customHeight="1">
      <c r="AD3927" s="794"/>
    </row>
    <row r="3928" spans="30:30" ht="15.75" customHeight="1">
      <c r="AD3928" s="794"/>
    </row>
    <row r="3929" spans="30:30" ht="15.75" customHeight="1">
      <c r="AD3929" s="794"/>
    </row>
    <row r="3930" spans="30:30" ht="15.75" customHeight="1">
      <c r="AD3930" s="794"/>
    </row>
    <row r="3931" spans="30:30" ht="15.75" customHeight="1">
      <c r="AD3931" s="794"/>
    </row>
    <row r="3932" spans="30:30" ht="15.75" customHeight="1">
      <c r="AD3932" s="794"/>
    </row>
    <row r="3933" spans="30:30" ht="15.75" customHeight="1">
      <c r="AD3933" s="794"/>
    </row>
    <row r="3934" spans="30:30" ht="15.75" customHeight="1">
      <c r="AD3934" s="794"/>
    </row>
    <row r="3935" spans="30:30" ht="15.75" customHeight="1">
      <c r="AD3935" s="794"/>
    </row>
    <row r="3936" spans="30:30" ht="15.75" customHeight="1">
      <c r="AD3936" s="794"/>
    </row>
    <row r="3937" spans="30:30" ht="15.75" customHeight="1">
      <c r="AD3937" s="794"/>
    </row>
    <row r="3938" spans="30:30" ht="15.75" customHeight="1">
      <c r="AD3938" s="794"/>
    </row>
    <row r="3939" spans="30:30" ht="15.75" customHeight="1">
      <c r="AD3939" s="794"/>
    </row>
    <row r="3940" spans="30:30" ht="15.75" customHeight="1">
      <c r="AD3940" s="794"/>
    </row>
    <row r="3941" spans="30:30" ht="15.75" customHeight="1">
      <c r="AD3941" s="794"/>
    </row>
    <row r="3942" spans="30:30" ht="15.75" customHeight="1">
      <c r="AD3942" s="794"/>
    </row>
    <row r="3943" spans="30:30" ht="15.75" customHeight="1">
      <c r="AD3943" s="794"/>
    </row>
    <row r="3944" spans="30:30" ht="15.75" customHeight="1">
      <c r="AD3944" s="794"/>
    </row>
    <row r="3945" spans="30:30" ht="15.75" customHeight="1">
      <c r="AD3945" s="794"/>
    </row>
    <row r="3946" spans="30:30" ht="15.75" customHeight="1">
      <c r="AD3946" s="794"/>
    </row>
    <row r="3947" spans="30:30" ht="15.75" customHeight="1">
      <c r="AD3947" s="794"/>
    </row>
    <row r="3948" spans="30:30" ht="15.75" customHeight="1">
      <c r="AD3948" s="794"/>
    </row>
    <row r="3949" spans="30:30" ht="15.75" customHeight="1">
      <c r="AD3949" s="794"/>
    </row>
    <row r="3950" spans="30:30" ht="15.75" customHeight="1">
      <c r="AD3950" s="794"/>
    </row>
    <row r="3951" spans="30:30" ht="15.75" customHeight="1">
      <c r="AD3951" s="794"/>
    </row>
    <row r="3952" spans="30:30" ht="15.75" customHeight="1">
      <c r="AD3952" s="794"/>
    </row>
    <row r="3953" spans="30:30" ht="15.75" customHeight="1">
      <c r="AD3953" s="794"/>
    </row>
    <row r="3954" spans="30:30" ht="15.75" customHeight="1">
      <c r="AD3954" s="794"/>
    </row>
    <row r="3955" spans="30:30" ht="15.75" customHeight="1">
      <c r="AD3955" s="794"/>
    </row>
    <row r="3956" spans="30:30" ht="15.75" customHeight="1">
      <c r="AD3956" s="794"/>
    </row>
    <row r="3957" spans="30:30" ht="15.75" customHeight="1">
      <c r="AD3957" s="794"/>
    </row>
    <row r="3958" spans="30:30" ht="15.75" customHeight="1">
      <c r="AD3958" s="794"/>
    </row>
    <row r="3959" spans="30:30" ht="15.75" customHeight="1">
      <c r="AD3959" s="794"/>
    </row>
    <row r="3960" spans="30:30" ht="15.75" customHeight="1">
      <c r="AD3960" s="794"/>
    </row>
    <row r="3961" spans="30:30" ht="15.75" customHeight="1">
      <c r="AD3961" s="794"/>
    </row>
    <row r="3962" spans="30:30" ht="15.75" customHeight="1">
      <c r="AD3962" s="794"/>
    </row>
    <row r="3963" spans="30:30" ht="15.75" customHeight="1">
      <c r="AD3963" s="794"/>
    </row>
    <row r="3964" spans="30:30" ht="15.75" customHeight="1">
      <c r="AD3964" s="794"/>
    </row>
    <row r="3965" spans="30:30" ht="15.75" customHeight="1">
      <c r="AD3965" s="794"/>
    </row>
    <row r="3966" spans="30:30" ht="15.75" customHeight="1">
      <c r="AD3966" s="794"/>
    </row>
    <row r="3967" spans="30:30" ht="15.75" customHeight="1">
      <c r="AD3967" s="794"/>
    </row>
    <row r="3968" spans="30:30" ht="15.75" customHeight="1">
      <c r="AD3968" s="794"/>
    </row>
    <row r="3969" spans="30:30" ht="15.75" customHeight="1">
      <c r="AD3969" s="794"/>
    </row>
    <row r="3970" spans="30:30" ht="15.75" customHeight="1">
      <c r="AD3970" s="794"/>
    </row>
    <row r="3971" spans="30:30" ht="15.75" customHeight="1">
      <c r="AD3971" s="794"/>
    </row>
    <row r="3972" spans="30:30" ht="15.75" customHeight="1">
      <c r="AD3972" s="794"/>
    </row>
    <row r="3973" spans="30:30" ht="15.75" customHeight="1">
      <c r="AD3973" s="794"/>
    </row>
    <row r="3974" spans="30:30" ht="15.75" customHeight="1">
      <c r="AD3974" s="794"/>
    </row>
    <row r="3975" spans="30:30" ht="15.75" customHeight="1">
      <c r="AD3975" s="794"/>
    </row>
    <row r="3976" spans="30:30" ht="15.75" customHeight="1">
      <c r="AD3976" s="794"/>
    </row>
    <row r="3977" spans="30:30" ht="15.75" customHeight="1">
      <c r="AD3977" s="794"/>
    </row>
    <row r="3978" spans="30:30" ht="15.75" customHeight="1">
      <c r="AD3978" s="794"/>
    </row>
    <row r="3979" spans="30:30" ht="15.75" customHeight="1">
      <c r="AD3979" s="794"/>
    </row>
    <row r="3980" spans="30:30" ht="15.75" customHeight="1">
      <c r="AD3980" s="794"/>
    </row>
    <row r="3981" spans="30:30" ht="15.75" customHeight="1">
      <c r="AD3981" s="794"/>
    </row>
    <row r="3982" spans="30:30" ht="15.75" customHeight="1">
      <c r="AD3982" s="794"/>
    </row>
    <row r="3983" spans="30:30" ht="15.75" customHeight="1">
      <c r="AD3983" s="794"/>
    </row>
    <row r="3984" spans="30:30" ht="15.75" customHeight="1">
      <c r="AD3984" s="794"/>
    </row>
    <row r="3985" spans="30:30" ht="15.75" customHeight="1">
      <c r="AD3985" s="794"/>
    </row>
    <row r="3986" spans="30:30" ht="15.75" customHeight="1">
      <c r="AD3986" s="794"/>
    </row>
    <row r="3987" spans="30:30" ht="15.75" customHeight="1">
      <c r="AD3987" s="794"/>
    </row>
    <row r="3988" spans="30:30" ht="15.75" customHeight="1">
      <c r="AD3988" s="794"/>
    </row>
    <row r="3989" spans="30:30" ht="15.75" customHeight="1">
      <c r="AD3989" s="794"/>
    </row>
    <row r="3990" spans="30:30" ht="15.75" customHeight="1">
      <c r="AD3990" s="794"/>
    </row>
    <row r="3991" spans="30:30" ht="15.75" customHeight="1">
      <c r="AD3991" s="794"/>
    </row>
    <row r="3992" spans="30:30" ht="15.75" customHeight="1">
      <c r="AD3992" s="794"/>
    </row>
    <row r="3993" spans="30:30" ht="15.75" customHeight="1">
      <c r="AD3993" s="794"/>
    </row>
    <row r="3994" spans="30:30" ht="15.75" customHeight="1">
      <c r="AD3994" s="794"/>
    </row>
    <row r="3995" spans="30:30" ht="15.75" customHeight="1">
      <c r="AD3995" s="794"/>
    </row>
    <row r="3996" spans="30:30" ht="15.75" customHeight="1">
      <c r="AD3996" s="794"/>
    </row>
    <row r="3997" spans="30:30" ht="15.75" customHeight="1">
      <c r="AD3997" s="794"/>
    </row>
    <row r="3998" spans="30:30" ht="15.75" customHeight="1">
      <c r="AD3998" s="794"/>
    </row>
    <row r="3999" spans="30:30" ht="15.75" customHeight="1">
      <c r="AD3999" s="794"/>
    </row>
    <row r="4000" spans="30:30" ht="15.75" customHeight="1">
      <c r="AD4000" s="794"/>
    </row>
    <row r="4001" spans="30:30" ht="15.75" customHeight="1">
      <c r="AD4001" s="794"/>
    </row>
    <row r="4002" spans="30:30" ht="15.75" customHeight="1">
      <c r="AD4002" s="794"/>
    </row>
    <row r="4003" spans="30:30" ht="15.75" customHeight="1">
      <c r="AD4003" s="794"/>
    </row>
    <row r="4004" spans="30:30" ht="15.75" customHeight="1">
      <c r="AD4004" s="794"/>
    </row>
    <row r="4005" spans="30:30" ht="15.75" customHeight="1">
      <c r="AD4005" s="794"/>
    </row>
    <row r="4006" spans="30:30" ht="15.75" customHeight="1">
      <c r="AD4006" s="794"/>
    </row>
    <row r="4007" spans="30:30" ht="15.75" customHeight="1">
      <c r="AD4007" s="794"/>
    </row>
    <row r="4008" spans="30:30" ht="15.75" customHeight="1">
      <c r="AD4008" s="794"/>
    </row>
    <row r="4009" spans="30:30" ht="15.75" customHeight="1">
      <c r="AD4009" s="794"/>
    </row>
    <row r="4010" spans="30:30" ht="15.75" customHeight="1">
      <c r="AD4010" s="794"/>
    </row>
    <row r="4011" spans="30:30" ht="15.75" customHeight="1">
      <c r="AD4011" s="794"/>
    </row>
    <row r="4012" spans="30:30" ht="15.75" customHeight="1">
      <c r="AD4012" s="794"/>
    </row>
    <row r="4013" spans="30:30" ht="15.75" customHeight="1">
      <c r="AD4013" s="794"/>
    </row>
    <row r="4014" spans="30:30" ht="15.75" customHeight="1">
      <c r="AD4014" s="794"/>
    </row>
    <row r="4015" spans="30:30" ht="15.75" customHeight="1">
      <c r="AD4015" s="794"/>
    </row>
    <row r="4016" spans="30:30" ht="15.75" customHeight="1">
      <c r="AD4016" s="794"/>
    </row>
    <row r="4017" spans="30:30" ht="15.75" customHeight="1">
      <c r="AD4017" s="794"/>
    </row>
    <row r="4018" spans="30:30" ht="15.75" customHeight="1">
      <c r="AD4018" s="794"/>
    </row>
    <row r="4019" spans="30:30" ht="15.75" customHeight="1">
      <c r="AD4019" s="794"/>
    </row>
    <row r="4020" spans="30:30" ht="15.75" customHeight="1">
      <c r="AD4020" s="794"/>
    </row>
    <row r="4021" spans="30:30" ht="15.75" customHeight="1">
      <c r="AD4021" s="794"/>
    </row>
    <row r="4022" spans="30:30" ht="15.75" customHeight="1">
      <c r="AD4022" s="794"/>
    </row>
    <row r="4023" spans="30:30" ht="15.75" customHeight="1">
      <c r="AD4023" s="794"/>
    </row>
    <row r="4024" spans="30:30" ht="15.75" customHeight="1">
      <c r="AD4024" s="794"/>
    </row>
    <row r="4025" spans="30:30" ht="15.75" customHeight="1">
      <c r="AD4025" s="794"/>
    </row>
    <row r="4026" spans="30:30" ht="15.75" customHeight="1">
      <c r="AD4026" s="794"/>
    </row>
    <row r="4027" spans="30:30" ht="15.75" customHeight="1">
      <c r="AD4027" s="794"/>
    </row>
    <row r="4028" spans="30:30" ht="15.75" customHeight="1">
      <c r="AD4028" s="794"/>
    </row>
    <row r="4029" spans="30:30" ht="15.75" customHeight="1">
      <c r="AD4029" s="794"/>
    </row>
    <row r="4030" spans="30:30" ht="15.75" customHeight="1">
      <c r="AD4030" s="794"/>
    </row>
    <row r="4031" spans="30:30" ht="15.75" customHeight="1">
      <c r="AD4031" s="794"/>
    </row>
    <row r="4032" spans="30:30" ht="15.75" customHeight="1">
      <c r="AD4032" s="794"/>
    </row>
    <row r="4033" spans="30:30" ht="15.75" customHeight="1">
      <c r="AD4033" s="794"/>
    </row>
    <row r="4034" spans="30:30" ht="15.75" customHeight="1">
      <c r="AD4034" s="794"/>
    </row>
    <row r="4035" spans="30:30" ht="15.75" customHeight="1">
      <c r="AD4035" s="794"/>
    </row>
    <row r="4036" spans="30:30" ht="15.75" customHeight="1">
      <c r="AD4036" s="794"/>
    </row>
    <row r="4037" spans="30:30" ht="15.75" customHeight="1">
      <c r="AD4037" s="794"/>
    </row>
    <row r="4038" spans="30:30" ht="15.75" customHeight="1">
      <c r="AD4038" s="794"/>
    </row>
    <row r="4039" spans="30:30" ht="15.75" customHeight="1">
      <c r="AD4039" s="794"/>
    </row>
    <row r="4040" spans="30:30" ht="15.75" customHeight="1">
      <c r="AD4040" s="794"/>
    </row>
    <row r="4041" spans="30:30" ht="15.75" customHeight="1">
      <c r="AD4041" s="794"/>
    </row>
    <row r="4042" spans="30:30" ht="15.75" customHeight="1">
      <c r="AD4042" s="794"/>
    </row>
    <row r="4043" spans="30:30" ht="15.75" customHeight="1">
      <c r="AD4043" s="794"/>
    </row>
    <row r="4044" spans="30:30" ht="15.75" customHeight="1">
      <c r="AD4044" s="794"/>
    </row>
    <row r="4045" spans="30:30" ht="15.75" customHeight="1">
      <c r="AD4045" s="794"/>
    </row>
    <row r="4046" spans="30:30" ht="15.75" customHeight="1">
      <c r="AD4046" s="794"/>
    </row>
    <row r="4047" spans="30:30" ht="15.75" customHeight="1">
      <c r="AD4047" s="794"/>
    </row>
    <row r="4048" spans="30:30" ht="15.75" customHeight="1">
      <c r="AD4048" s="794"/>
    </row>
    <row r="4049" spans="30:30" ht="15.75" customHeight="1">
      <c r="AD4049" s="794"/>
    </row>
    <row r="4050" spans="30:30" ht="15.75" customHeight="1">
      <c r="AD4050" s="794"/>
    </row>
    <row r="4051" spans="30:30" ht="15.75" customHeight="1">
      <c r="AD4051" s="794"/>
    </row>
    <row r="4052" spans="30:30" ht="15.75" customHeight="1">
      <c r="AD4052" s="794"/>
    </row>
    <row r="4053" spans="30:30" ht="15.75" customHeight="1">
      <c r="AD4053" s="794"/>
    </row>
    <row r="4054" spans="30:30" ht="15.75" customHeight="1">
      <c r="AD4054" s="794"/>
    </row>
    <row r="4055" spans="30:30" ht="15.75" customHeight="1">
      <c r="AD4055" s="794"/>
    </row>
    <row r="4056" spans="30:30" ht="15.75" customHeight="1">
      <c r="AD4056" s="794"/>
    </row>
    <row r="4057" spans="30:30" ht="15.75" customHeight="1">
      <c r="AD4057" s="794"/>
    </row>
    <row r="4058" spans="30:30" ht="15.75" customHeight="1">
      <c r="AD4058" s="794"/>
    </row>
    <row r="4059" spans="30:30" ht="15.75" customHeight="1">
      <c r="AD4059" s="794"/>
    </row>
    <row r="4060" spans="30:30" ht="15.75" customHeight="1">
      <c r="AD4060" s="794"/>
    </row>
    <row r="4061" spans="30:30" ht="15.75" customHeight="1">
      <c r="AD4061" s="794"/>
    </row>
    <row r="4062" spans="30:30" ht="15.75" customHeight="1">
      <c r="AD4062" s="794"/>
    </row>
    <row r="4063" spans="30:30" ht="15.75" customHeight="1">
      <c r="AD4063" s="794"/>
    </row>
    <row r="4064" spans="30:30" ht="15.75" customHeight="1">
      <c r="AD4064" s="794"/>
    </row>
    <row r="4065" spans="30:30" ht="15.75" customHeight="1">
      <c r="AD4065" s="794"/>
    </row>
    <row r="4066" spans="30:30" ht="15.75" customHeight="1">
      <c r="AD4066" s="794"/>
    </row>
    <row r="4067" spans="30:30" ht="15.75" customHeight="1">
      <c r="AD4067" s="794"/>
    </row>
    <row r="4068" spans="30:30" ht="15.75" customHeight="1">
      <c r="AD4068" s="794"/>
    </row>
    <row r="4069" spans="30:30" ht="15.75" customHeight="1">
      <c r="AD4069" s="794"/>
    </row>
    <row r="4070" spans="30:30" ht="15.75" customHeight="1">
      <c r="AD4070" s="794"/>
    </row>
    <row r="4071" spans="30:30" ht="15.75" customHeight="1">
      <c r="AD4071" s="794"/>
    </row>
    <row r="4072" spans="30:30" ht="15.75" customHeight="1">
      <c r="AD4072" s="794"/>
    </row>
    <row r="4073" spans="30:30" ht="15.75" customHeight="1">
      <c r="AD4073" s="794"/>
    </row>
    <row r="4074" spans="30:30" ht="15.75" customHeight="1">
      <c r="AD4074" s="794"/>
    </row>
    <row r="4075" spans="30:30" ht="15.75" customHeight="1">
      <c r="AD4075" s="794"/>
    </row>
    <row r="4076" spans="30:30" ht="15.75" customHeight="1">
      <c r="AD4076" s="794"/>
    </row>
    <row r="4077" spans="30:30" ht="15.75" customHeight="1">
      <c r="AD4077" s="794"/>
    </row>
    <row r="4078" spans="30:30" ht="15.75" customHeight="1">
      <c r="AD4078" s="794"/>
    </row>
    <row r="4079" spans="30:30" ht="15.75" customHeight="1">
      <c r="AD4079" s="794"/>
    </row>
    <row r="4080" spans="30:30" ht="15.75" customHeight="1">
      <c r="AD4080" s="794"/>
    </row>
    <row r="4081" spans="30:30" ht="15.75" customHeight="1">
      <c r="AD4081" s="794"/>
    </row>
    <row r="4082" spans="30:30" ht="15.75" customHeight="1">
      <c r="AD4082" s="794"/>
    </row>
    <row r="4083" spans="30:30" ht="15.75" customHeight="1">
      <c r="AD4083" s="794"/>
    </row>
    <row r="4084" spans="30:30" ht="15.75" customHeight="1">
      <c r="AD4084" s="794"/>
    </row>
    <row r="4085" spans="30:30" ht="15.75" customHeight="1">
      <c r="AD4085" s="794"/>
    </row>
    <row r="4086" spans="30:30" ht="15.75" customHeight="1">
      <c r="AD4086" s="794"/>
    </row>
    <row r="4087" spans="30:30" ht="15.75" customHeight="1">
      <c r="AD4087" s="794"/>
    </row>
    <row r="4088" spans="30:30" ht="15.75" customHeight="1">
      <c r="AD4088" s="794"/>
    </row>
    <row r="4089" spans="30:30" ht="15.75" customHeight="1">
      <c r="AD4089" s="794"/>
    </row>
    <row r="4090" spans="30:30" ht="15.75" customHeight="1">
      <c r="AD4090" s="794"/>
    </row>
    <row r="4091" spans="30:30" ht="15.75" customHeight="1">
      <c r="AD4091" s="794"/>
    </row>
    <row r="4092" spans="30:30" ht="15.75" customHeight="1">
      <c r="AD4092" s="794"/>
    </row>
    <row r="4093" spans="30:30" ht="15.75" customHeight="1">
      <c r="AD4093" s="794"/>
    </row>
    <row r="4094" spans="30:30" ht="15.75" customHeight="1">
      <c r="AD4094" s="794"/>
    </row>
    <row r="4095" spans="30:30" ht="15.75" customHeight="1">
      <c r="AD4095" s="794"/>
    </row>
    <row r="4096" spans="30:30" ht="15.75" customHeight="1">
      <c r="AD4096" s="794"/>
    </row>
    <row r="4097" spans="30:30" ht="15.75" customHeight="1">
      <c r="AD4097" s="794"/>
    </row>
    <row r="4098" spans="30:30" ht="15.75" customHeight="1">
      <c r="AD4098" s="794"/>
    </row>
    <row r="4099" spans="30:30" ht="15.75" customHeight="1">
      <c r="AD4099" s="794"/>
    </row>
    <row r="4100" spans="30:30" ht="15.75" customHeight="1">
      <c r="AD4100" s="794"/>
    </row>
    <row r="4101" spans="30:30" ht="15.75" customHeight="1">
      <c r="AD4101" s="794"/>
    </row>
    <row r="4102" spans="30:30" ht="15.75" customHeight="1">
      <c r="AD4102" s="794"/>
    </row>
    <row r="4103" spans="30:30" ht="15.75" customHeight="1">
      <c r="AD4103" s="794"/>
    </row>
    <row r="4104" spans="30:30" ht="15.75" customHeight="1">
      <c r="AD4104" s="794"/>
    </row>
    <row r="4105" spans="30:30" ht="15.75" customHeight="1">
      <c r="AD4105" s="794"/>
    </row>
    <row r="4106" spans="30:30" ht="15.75" customHeight="1">
      <c r="AD4106" s="794"/>
    </row>
    <row r="4107" spans="30:30" ht="15.75" customHeight="1">
      <c r="AD4107" s="794"/>
    </row>
    <row r="4108" spans="30:30" ht="15.75" customHeight="1">
      <c r="AD4108" s="794"/>
    </row>
    <row r="4109" spans="30:30" ht="15.75" customHeight="1">
      <c r="AD4109" s="794"/>
    </row>
    <row r="4110" spans="30:30" ht="15.75" customHeight="1">
      <c r="AD4110" s="794"/>
    </row>
    <row r="4111" spans="30:30" ht="15.75" customHeight="1">
      <c r="AD4111" s="794"/>
    </row>
    <row r="4112" spans="30:30" ht="15.75" customHeight="1">
      <c r="AD4112" s="794"/>
    </row>
    <row r="4113" spans="30:30" ht="15.75" customHeight="1">
      <c r="AD4113" s="794"/>
    </row>
    <row r="4114" spans="30:30" ht="15.75" customHeight="1">
      <c r="AD4114" s="794"/>
    </row>
    <row r="4115" spans="30:30" ht="15.75" customHeight="1">
      <c r="AD4115" s="794"/>
    </row>
    <row r="4116" spans="30:30" ht="15.75" customHeight="1">
      <c r="AD4116" s="794"/>
    </row>
    <row r="4117" spans="30:30" ht="15.75" customHeight="1">
      <c r="AD4117" s="794"/>
    </row>
    <row r="4118" spans="30:30" ht="15.75" customHeight="1">
      <c r="AD4118" s="794"/>
    </row>
    <row r="4119" spans="30:30" ht="15.75" customHeight="1">
      <c r="AD4119" s="794"/>
    </row>
    <row r="4120" spans="30:30" ht="15.75" customHeight="1">
      <c r="AD4120" s="794"/>
    </row>
    <row r="4121" spans="30:30" ht="15.75" customHeight="1">
      <c r="AD4121" s="794"/>
    </row>
    <row r="4122" spans="30:30" ht="15.75" customHeight="1">
      <c r="AD4122" s="794"/>
    </row>
    <row r="4123" spans="30:30" ht="15.75" customHeight="1">
      <c r="AD4123" s="794"/>
    </row>
    <row r="4124" spans="30:30" ht="15.75" customHeight="1">
      <c r="AD4124" s="794"/>
    </row>
    <row r="4125" spans="30:30" ht="15.75" customHeight="1">
      <c r="AD4125" s="794"/>
    </row>
    <row r="4126" spans="30:30" ht="15.75" customHeight="1">
      <c r="AD4126" s="794"/>
    </row>
    <row r="4127" spans="30:30" ht="15.75" customHeight="1">
      <c r="AD4127" s="794"/>
    </row>
    <row r="4128" spans="30:30" ht="15.75" customHeight="1">
      <c r="AD4128" s="794"/>
    </row>
    <row r="4129" spans="30:30" ht="15.75" customHeight="1">
      <c r="AD4129" s="794"/>
    </row>
    <row r="4130" spans="30:30" ht="15.75" customHeight="1">
      <c r="AD4130" s="794"/>
    </row>
    <row r="4131" spans="30:30" ht="15.75" customHeight="1">
      <c r="AD4131" s="794"/>
    </row>
    <row r="4132" spans="30:30" ht="15.75" customHeight="1">
      <c r="AD4132" s="794"/>
    </row>
    <row r="4133" spans="30:30" ht="15.75" customHeight="1">
      <c r="AD4133" s="794"/>
    </row>
    <row r="4134" spans="30:30" ht="15.75" customHeight="1">
      <c r="AD4134" s="794"/>
    </row>
    <row r="4135" spans="30:30" ht="15.75" customHeight="1">
      <c r="AD4135" s="794"/>
    </row>
    <row r="4136" spans="30:30" ht="15.75" customHeight="1">
      <c r="AD4136" s="794"/>
    </row>
    <row r="4137" spans="30:30" ht="15.75" customHeight="1">
      <c r="AD4137" s="794"/>
    </row>
    <row r="4138" spans="30:30" ht="15.75" customHeight="1">
      <c r="AD4138" s="794"/>
    </row>
    <row r="4139" spans="30:30" ht="15.75" customHeight="1">
      <c r="AD4139" s="794"/>
    </row>
    <row r="4140" spans="30:30" ht="15.75" customHeight="1">
      <c r="AD4140" s="794"/>
    </row>
    <row r="4141" spans="30:30" ht="15.75" customHeight="1">
      <c r="AD4141" s="794"/>
    </row>
    <row r="4142" spans="30:30" ht="15.75" customHeight="1">
      <c r="AD4142" s="794"/>
    </row>
    <row r="4143" spans="30:30" ht="15.75" customHeight="1">
      <c r="AD4143" s="794"/>
    </row>
    <row r="4144" spans="30:30" ht="15.75" customHeight="1">
      <c r="AD4144" s="794"/>
    </row>
    <row r="4145" spans="30:30" ht="15.75" customHeight="1">
      <c r="AD4145" s="794"/>
    </row>
    <row r="4146" spans="30:30" ht="15.75" customHeight="1">
      <c r="AD4146" s="794"/>
    </row>
    <row r="4147" spans="30:30" ht="15.75" customHeight="1">
      <c r="AD4147" s="794"/>
    </row>
    <row r="4148" spans="30:30" ht="15.75" customHeight="1">
      <c r="AD4148" s="794"/>
    </row>
    <row r="4149" spans="30:30" ht="15.75" customHeight="1">
      <c r="AD4149" s="794"/>
    </row>
    <row r="4150" spans="30:30" ht="15.75" customHeight="1">
      <c r="AD4150" s="794"/>
    </row>
    <row r="4151" spans="30:30" ht="15.75" customHeight="1">
      <c r="AD4151" s="794"/>
    </row>
    <row r="4152" spans="30:30" ht="15.75" customHeight="1">
      <c r="AD4152" s="794"/>
    </row>
    <row r="4153" spans="30:30" ht="15.75" customHeight="1">
      <c r="AD4153" s="794"/>
    </row>
    <row r="4154" spans="30:30" ht="15.75" customHeight="1">
      <c r="AD4154" s="794"/>
    </row>
    <row r="4155" spans="30:30" ht="15.75" customHeight="1">
      <c r="AD4155" s="794"/>
    </row>
    <row r="4156" spans="30:30" ht="15.75" customHeight="1">
      <c r="AD4156" s="794"/>
    </row>
    <row r="4157" spans="30:30" ht="15.75" customHeight="1">
      <c r="AD4157" s="794"/>
    </row>
    <row r="4158" spans="30:30" ht="15.75" customHeight="1">
      <c r="AD4158" s="794"/>
    </row>
    <row r="4159" spans="30:30" ht="15.75" customHeight="1">
      <c r="AD4159" s="794"/>
    </row>
    <row r="4160" spans="30:30" ht="15.75" customHeight="1">
      <c r="AD4160" s="794"/>
    </row>
    <row r="4161" spans="30:30" ht="15.75" customHeight="1">
      <c r="AD4161" s="794"/>
    </row>
    <row r="4162" spans="30:30" ht="15.75" customHeight="1">
      <c r="AD4162" s="794"/>
    </row>
    <row r="4163" spans="30:30" ht="15.75" customHeight="1">
      <c r="AD4163" s="794"/>
    </row>
    <row r="4164" spans="30:30" ht="15.75" customHeight="1">
      <c r="AD4164" s="794"/>
    </row>
    <row r="4165" spans="30:30" ht="15.75" customHeight="1">
      <c r="AD4165" s="794"/>
    </row>
    <row r="4166" spans="30:30" ht="15.75" customHeight="1">
      <c r="AD4166" s="794"/>
    </row>
    <row r="4167" spans="30:30" ht="15.75" customHeight="1">
      <c r="AD4167" s="794"/>
    </row>
    <row r="4168" spans="30:30" ht="15.75" customHeight="1">
      <c r="AD4168" s="794"/>
    </row>
    <row r="4169" spans="30:30" ht="15.75" customHeight="1">
      <c r="AD4169" s="794"/>
    </row>
    <row r="4170" spans="30:30" ht="15.75" customHeight="1">
      <c r="AD4170" s="794"/>
    </row>
    <row r="4171" spans="30:30" ht="15.75" customHeight="1">
      <c r="AD4171" s="794"/>
    </row>
    <row r="4172" spans="30:30" ht="15.75" customHeight="1">
      <c r="AD4172" s="794"/>
    </row>
    <row r="4173" spans="30:30" ht="15.75" customHeight="1">
      <c r="AD4173" s="794"/>
    </row>
    <row r="4174" spans="30:30" ht="15.75" customHeight="1">
      <c r="AD4174" s="794"/>
    </row>
    <row r="4175" spans="30:30" ht="15.75" customHeight="1">
      <c r="AD4175" s="794"/>
    </row>
    <row r="4176" spans="30:30" ht="15.75" customHeight="1">
      <c r="AD4176" s="794"/>
    </row>
    <row r="4177" spans="30:30" ht="15.75" customHeight="1">
      <c r="AD4177" s="794"/>
    </row>
    <row r="4178" spans="30:30" ht="15.75" customHeight="1">
      <c r="AD4178" s="794"/>
    </row>
    <row r="4179" spans="30:30" ht="15.75" customHeight="1">
      <c r="AD4179" s="794"/>
    </row>
    <row r="4180" spans="30:30" ht="15.75" customHeight="1">
      <c r="AD4180" s="794"/>
    </row>
    <row r="4181" spans="30:30" ht="15.75" customHeight="1">
      <c r="AD4181" s="794"/>
    </row>
    <row r="4182" spans="30:30" ht="15.75" customHeight="1">
      <c r="AD4182" s="794"/>
    </row>
    <row r="4183" spans="30:30" ht="15.75" customHeight="1">
      <c r="AD4183" s="794"/>
    </row>
    <row r="4184" spans="30:30" ht="15.75" customHeight="1">
      <c r="AD4184" s="794"/>
    </row>
    <row r="4185" spans="30:30" ht="15.75" customHeight="1">
      <c r="AD4185" s="794"/>
    </row>
    <row r="4186" spans="30:30" ht="15.75" customHeight="1">
      <c r="AD4186" s="794"/>
    </row>
    <row r="4187" spans="30:30" ht="15.75" customHeight="1">
      <c r="AD4187" s="794"/>
    </row>
    <row r="4188" spans="30:30" ht="15.75" customHeight="1">
      <c r="AD4188" s="794"/>
    </row>
    <row r="4189" spans="30:30" ht="15.75" customHeight="1">
      <c r="AD4189" s="794"/>
    </row>
    <row r="4190" spans="30:30" ht="15.75" customHeight="1">
      <c r="AD4190" s="794"/>
    </row>
    <row r="4191" spans="30:30" ht="15.75" customHeight="1">
      <c r="AD4191" s="794"/>
    </row>
    <row r="4192" spans="30:30" ht="15.75" customHeight="1">
      <c r="AD4192" s="794"/>
    </row>
    <row r="4193" spans="30:30" ht="15.75" customHeight="1">
      <c r="AD4193" s="794"/>
    </row>
    <row r="4194" spans="30:30" ht="15.75" customHeight="1">
      <c r="AD4194" s="794"/>
    </row>
    <row r="4195" spans="30:30" ht="15.75" customHeight="1">
      <c r="AD4195" s="794"/>
    </row>
    <row r="4196" spans="30:30" ht="15.75" customHeight="1">
      <c r="AD4196" s="794"/>
    </row>
    <row r="4197" spans="30:30" ht="15.75" customHeight="1">
      <c r="AD4197" s="794"/>
    </row>
    <row r="4198" spans="30:30" ht="15.75" customHeight="1">
      <c r="AD4198" s="794"/>
    </row>
    <row r="4199" spans="30:30" ht="15.75" customHeight="1">
      <c r="AD4199" s="794"/>
    </row>
    <row r="4200" spans="30:30" ht="15.75" customHeight="1">
      <c r="AD4200" s="794"/>
    </row>
    <row r="4201" spans="30:30" ht="15.75" customHeight="1">
      <c r="AD4201" s="794"/>
    </row>
    <row r="4202" spans="30:30" ht="15.75" customHeight="1">
      <c r="AD4202" s="794"/>
    </row>
    <row r="4203" spans="30:30" ht="15.75" customHeight="1">
      <c r="AD4203" s="794"/>
    </row>
    <row r="4204" spans="30:30" ht="15.75" customHeight="1">
      <c r="AD4204" s="794"/>
    </row>
    <row r="4205" spans="30:30" ht="15.75" customHeight="1">
      <c r="AD4205" s="794"/>
    </row>
    <row r="4206" spans="30:30" ht="15.75" customHeight="1">
      <c r="AD4206" s="794"/>
    </row>
    <row r="4207" spans="30:30" ht="15.75" customHeight="1">
      <c r="AD4207" s="794"/>
    </row>
    <row r="4208" spans="30:30" ht="15.75" customHeight="1">
      <c r="AD4208" s="794"/>
    </row>
    <row r="4209" spans="30:30" ht="15.75" customHeight="1">
      <c r="AD4209" s="794"/>
    </row>
    <row r="4210" spans="30:30" ht="15.75" customHeight="1">
      <c r="AD4210" s="794"/>
    </row>
    <row r="4211" spans="30:30" ht="15.75" customHeight="1">
      <c r="AD4211" s="794"/>
    </row>
    <row r="4212" spans="30:30" ht="15.75" customHeight="1">
      <c r="AD4212" s="794"/>
    </row>
    <row r="4213" spans="30:30" ht="15.75" customHeight="1">
      <c r="AD4213" s="794"/>
    </row>
    <row r="4214" spans="30:30" ht="15.75" customHeight="1">
      <c r="AD4214" s="794"/>
    </row>
    <row r="4215" spans="30:30" ht="15.75" customHeight="1">
      <c r="AD4215" s="794"/>
    </row>
    <row r="4216" spans="30:30" ht="15.75" customHeight="1">
      <c r="AD4216" s="794"/>
    </row>
    <row r="4217" spans="30:30" ht="15.75" customHeight="1">
      <c r="AD4217" s="794"/>
    </row>
    <row r="4218" spans="30:30" ht="15.75" customHeight="1">
      <c r="AD4218" s="794"/>
    </row>
    <row r="4219" spans="30:30" ht="15.75" customHeight="1">
      <c r="AD4219" s="794"/>
    </row>
    <row r="4220" spans="30:30" ht="15.75" customHeight="1">
      <c r="AD4220" s="794"/>
    </row>
    <row r="4221" spans="30:30" ht="15.75" customHeight="1">
      <c r="AD4221" s="794"/>
    </row>
    <row r="4222" spans="30:30" ht="15.75" customHeight="1">
      <c r="AD4222" s="794"/>
    </row>
    <row r="4223" spans="30:30" ht="15.75" customHeight="1">
      <c r="AD4223" s="794"/>
    </row>
    <row r="4224" spans="30:30" ht="15.75" customHeight="1">
      <c r="AD4224" s="794"/>
    </row>
    <row r="4225" spans="30:30" ht="15.75" customHeight="1">
      <c r="AD4225" s="794"/>
    </row>
    <row r="4226" spans="30:30" ht="15.75" customHeight="1">
      <c r="AD4226" s="794"/>
    </row>
    <row r="4227" spans="30:30" ht="15.75" customHeight="1">
      <c r="AD4227" s="794"/>
    </row>
    <row r="4228" spans="30:30" ht="15.75" customHeight="1">
      <c r="AD4228" s="794"/>
    </row>
    <row r="4229" spans="30:30" ht="15.75" customHeight="1">
      <c r="AD4229" s="794"/>
    </row>
    <row r="4230" spans="30:30" ht="15.75" customHeight="1">
      <c r="AD4230" s="794"/>
    </row>
    <row r="4231" spans="30:30" ht="15.75" customHeight="1">
      <c r="AD4231" s="794"/>
    </row>
    <row r="4232" spans="30:30" ht="15.75" customHeight="1">
      <c r="AD4232" s="794"/>
    </row>
    <row r="4233" spans="30:30" ht="15.75" customHeight="1">
      <c r="AD4233" s="794"/>
    </row>
    <row r="4234" spans="30:30" ht="15.75" customHeight="1">
      <c r="AD4234" s="794"/>
    </row>
    <row r="4235" spans="30:30" ht="15.75" customHeight="1">
      <c r="AD4235" s="794"/>
    </row>
    <row r="4236" spans="30:30" ht="15.75" customHeight="1">
      <c r="AD4236" s="794"/>
    </row>
    <row r="4237" spans="30:30" ht="15.75" customHeight="1">
      <c r="AD4237" s="794"/>
    </row>
    <row r="4238" spans="30:30" ht="15.75" customHeight="1">
      <c r="AD4238" s="794"/>
    </row>
    <row r="4239" spans="30:30" ht="15.75" customHeight="1">
      <c r="AD4239" s="794"/>
    </row>
    <row r="4240" spans="30:30" ht="15.75" customHeight="1">
      <c r="AD4240" s="794"/>
    </row>
    <row r="4241" spans="30:30" ht="15.75" customHeight="1">
      <c r="AD4241" s="794"/>
    </row>
    <row r="4242" spans="30:30" ht="15.75" customHeight="1">
      <c r="AD4242" s="794"/>
    </row>
    <row r="4243" spans="30:30" ht="15.75" customHeight="1">
      <c r="AD4243" s="794"/>
    </row>
    <row r="4244" spans="30:30" ht="15.75" customHeight="1">
      <c r="AD4244" s="794"/>
    </row>
    <row r="4245" spans="30:30" ht="15.75" customHeight="1">
      <c r="AD4245" s="794"/>
    </row>
    <row r="4246" spans="30:30" ht="15.75" customHeight="1">
      <c r="AD4246" s="794"/>
    </row>
    <row r="4247" spans="30:30" ht="15.75" customHeight="1">
      <c r="AD4247" s="794"/>
    </row>
    <row r="4248" spans="30:30" ht="15.75" customHeight="1">
      <c r="AD4248" s="794"/>
    </row>
    <row r="4249" spans="30:30" ht="15.75" customHeight="1">
      <c r="AD4249" s="794"/>
    </row>
    <row r="4250" spans="30:30" ht="15.75" customHeight="1">
      <c r="AD4250" s="794"/>
    </row>
    <row r="4251" spans="30:30" ht="15.75" customHeight="1">
      <c r="AD4251" s="794"/>
    </row>
    <row r="4252" spans="30:30" ht="15.75" customHeight="1">
      <c r="AD4252" s="794"/>
    </row>
    <row r="4253" spans="30:30" ht="15.75" customHeight="1">
      <c r="AD4253" s="794"/>
    </row>
    <row r="4254" spans="30:30" ht="15.75" customHeight="1">
      <c r="AD4254" s="794"/>
    </row>
    <row r="4255" spans="30:30" ht="15.75" customHeight="1">
      <c r="AD4255" s="794"/>
    </row>
    <row r="4256" spans="30:30" ht="15.75" customHeight="1">
      <c r="AD4256" s="794"/>
    </row>
    <row r="4257" spans="30:30" ht="15.75" customHeight="1">
      <c r="AD4257" s="794"/>
    </row>
    <row r="4258" spans="30:30" ht="15.75" customHeight="1">
      <c r="AD4258" s="794"/>
    </row>
    <row r="4259" spans="30:30" ht="15.75" customHeight="1">
      <c r="AD4259" s="794"/>
    </row>
    <row r="4260" spans="30:30" ht="15.75" customHeight="1">
      <c r="AD4260" s="794"/>
    </row>
    <row r="4261" spans="30:30" ht="15.75" customHeight="1">
      <c r="AD4261" s="794"/>
    </row>
    <row r="4262" spans="30:30" ht="15.75" customHeight="1">
      <c r="AD4262" s="794"/>
    </row>
    <row r="4263" spans="30:30" ht="15.75" customHeight="1">
      <c r="AD4263" s="794"/>
    </row>
    <row r="4264" spans="30:30" ht="15.75" customHeight="1">
      <c r="AD4264" s="794"/>
    </row>
    <row r="4265" spans="30:30" ht="15.75" customHeight="1">
      <c r="AD4265" s="794"/>
    </row>
    <row r="4266" spans="30:30" ht="15.75" customHeight="1">
      <c r="AD4266" s="794"/>
    </row>
    <row r="4267" spans="30:30" ht="15.75" customHeight="1">
      <c r="AD4267" s="794"/>
    </row>
    <row r="4268" spans="30:30" ht="15.75" customHeight="1">
      <c r="AD4268" s="794"/>
    </row>
    <row r="4269" spans="30:30" ht="15.75" customHeight="1">
      <c r="AD4269" s="794"/>
    </row>
    <row r="4270" spans="30:30" ht="15.75" customHeight="1">
      <c r="AD4270" s="794"/>
    </row>
    <row r="4271" spans="30:30" ht="15.75" customHeight="1">
      <c r="AD4271" s="794"/>
    </row>
    <row r="4272" spans="30:30" ht="15.75" customHeight="1">
      <c r="AD4272" s="794"/>
    </row>
    <row r="4273" spans="30:30" ht="15.75" customHeight="1">
      <c r="AD4273" s="794"/>
    </row>
    <row r="4274" spans="30:30" ht="15.75" customHeight="1">
      <c r="AD4274" s="794"/>
    </row>
    <row r="4275" spans="30:30" ht="15.75" customHeight="1">
      <c r="AD4275" s="794"/>
    </row>
    <row r="4276" spans="30:30" ht="15.75" customHeight="1">
      <c r="AD4276" s="794"/>
    </row>
    <row r="4277" spans="30:30" ht="15.75" customHeight="1">
      <c r="AD4277" s="794"/>
    </row>
    <row r="4278" spans="30:30" ht="15.75" customHeight="1">
      <c r="AD4278" s="794"/>
    </row>
    <row r="4279" spans="30:30" ht="15.75" customHeight="1">
      <c r="AD4279" s="794"/>
    </row>
    <row r="4280" spans="30:30" ht="15.75" customHeight="1">
      <c r="AD4280" s="794"/>
    </row>
    <row r="4281" spans="30:30" ht="15.75" customHeight="1">
      <c r="AD4281" s="794"/>
    </row>
    <row r="4282" spans="30:30" ht="15.75" customHeight="1">
      <c r="AD4282" s="794"/>
    </row>
    <row r="4283" spans="30:30" ht="15.75" customHeight="1">
      <c r="AD4283" s="794"/>
    </row>
    <row r="4284" spans="30:30" ht="15.75" customHeight="1">
      <c r="AD4284" s="794"/>
    </row>
    <row r="4285" spans="30:30" ht="15.75" customHeight="1">
      <c r="AD4285" s="794"/>
    </row>
    <row r="4286" spans="30:30" ht="15.75" customHeight="1">
      <c r="AD4286" s="794"/>
    </row>
    <row r="4287" spans="30:30" ht="15.75" customHeight="1">
      <c r="AD4287" s="794"/>
    </row>
    <row r="4288" spans="30:30" ht="15.75" customHeight="1">
      <c r="AD4288" s="794"/>
    </row>
    <row r="4289" spans="30:30" ht="15.75" customHeight="1">
      <c r="AD4289" s="794"/>
    </row>
    <row r="4290" spans="30:30" ht="15.75" customHeight="1">
      <c r="AD4290" s="794"/>
    </row>
    <row r="4291" spans="30:30" ht="15.75" customHeight="1">
      <c r="AD4291" s="794"/>
    </row>
    <row r="4292" spans="30:30" ht="15.75" customHeight="1">
      <c r="AD4292" s="794"/>
    </row>
    <row r="4293" spans="30:30" ht="15.75" customHeight="1">
      <c r="AD4293" s="794"/>
    </row>
    <row r="4294" spans="30:30" ht="15.75" customHeight="1">
      <c r="AD4294" s="794"/>
    </row>
    <row r="4295" spans="30:30" ht="15.75" customHeight="1">
      <c r="AD4295" s="794"/>
    </row>
    <row r="4296" spans="30:30" ht="15.75" customHeight="1">
      <c r="AD4296" s="794"/>
    </row>
    <row r="4297" spans="30:30" ht="15.75" customHeight="1">
      <c r="AD4297" s="794"/>
    </row>
    <row r="4298" spans="30:30" ht="15.75" customHeight="1">
      <c r="AD4298" s="794"/>
    </row>
    <row r="4299" spans="30:30" ht="15.75" customHeight="1">
      <c r="AD4299" s="794"/>
    </row>
    <row r="4300" spans="30:30" ht="15.75" customHeight="1">
      <c r="AD4300" s="794"/>
    </row>
    <row r="4301" spans="30:30" ht="15.75" customHeight="1">
      <c r="AD4301" s="794"/>
    </row>
    <row r="4302" spans="30:30" ht="15.75" customHeight="1">
      <c r="AD4302" s="794"/>
    </row>
    <row r="4303" spans="30:30" ht="15.75" customHeight="1">
      <c r="AD4303" s="794"/>
    </row>
    <row r="4304" spans="30:30" ht="15.75" customHeight="1">
      <c r="AD4304" s="794"/>
    </row>
    <row r="4305" spans="30:30" ht="15.75" customHeight="1">
      <c r="AD4305" s="794"/>
    </row>
    <row r="4306" spans="30:30" ht="15.75" customHeight="1">
      <c r="AD4306" s="794"/>
    </row>
    <row r="4307" spans="30:30" ht="15.75" customHeight="1">
      <c r="AD4307" s="794"/>
    </row>
    <row r="4308" spans="30:30" ht="15.75" customHeight="1">
      <c r="AD4308" s="794"/>
    </row>
    <row r="4309" spans="30:30" ht="15.75" customHeight="1">
      <c r="AD4309" s="794"/>
    </row>
    <row r="4310" spans="30:30" ht="15.75" customHeight="1">
      <c r="AD4310" s="794"/>
    </row>
    <row r="4311" spans="30:30" ht="15.75" customHeight="1">
      <c r="AD4311" s="794"/>
    </row>
    <row r="4312" spans="30:30" ht="15.75" customHeight="1">
      <c r="AD4312" s="794"/>
    </row>
    <row r="4313" spans="30:30" ht="15.75" customHeight="1">
      <c r="AD4313" s="794"/>
    </row>
    <row r="4314" spans="30:30" ht="15.75" customHeight="1">
      <c r="AD4314" s="794"/>
    </row>
    <row r="4315" spans="30:30" ht="15.75" customHeight="1">
      <c r="AD4315" s="794"/>
    </row>
    <row r="4316" spans="30:30" ht="15.75" customHeight="1">
      <c r="AD4316" s="794"/>
    </row>
    <row r="4317" spans="30:30" ht="15.75" customHeight="1">
      <c r="AD4317" s="794"/>
    </row>
    <row r="4318" spans="30:30" ht="15.75" customHeight="1">
      <c r="AD4318" s="794"/>
    </row>
    <row r="4319" spans="30:30" ht="15.75" customHeight="1">
      <c r="AD4319" s="794"/>
    </row>
    <row r="4320" spans="30:30" ht="15.75" customHeight="1">
      <c r="AD4320" s="794"/>
    </row>
    <row r="4321" spans="30:30" ht="15.75" customHeight="1">
      <c r="AD4321" s="794"/>
    </row>
    <row r="4322" spans="30:30" ht="15.75" customHeight="1">
      <c r="AD4322" s="794"/>
    </row>
    <row r="4323" spans="30:30" ht="15.75" customHeight="1">
      <c r="AD4323" s="794"/>
    </row>
    <row r="4324" spans="30:30" ht="15.75" customHeight="1">
      <c r="AD4324" s="794"/>
    </row>
    <row r="4325" spans="30:30" ht="15.75" customHeight="1">
      <c r="AD4325" s="794"/>
    </row>
    <row r="4326" spans="30:30" ht="15.75" customHeight="1">
      <c r="AD4326" s="794"/>
    </row>
    <row r="4327" spans="30:30" ht="15.75" customHeight="1">
      <c r="AD4327" s="794"/>
    </row>
    <row r="4328" spans="30:30" ht="15.75" customHeight="1">
      <c r="AD4328" s="794"/>
    </row>
    <row r="4329" spans="30:30" ht="15.75" customHeight="1">
      <c r="AD4329" s="794"/>
    </row>
    <row r="4330" spans="30:30" ht="15.75" customHeight="1">
      <c r="AD4330" s="794"/>
    </row>
    <row r="4331" spans="30:30" ht="15.75" customHeight="1">
      <c r="AD4331" s="794"/>
    </row>
    <row r="4332" spans="30:30" ht="15.75" customHeight="1">
      <c r="AD4332" s="794"/>
    </row>
    <row r="4333" spans="30:30" ht="15.75" customHeight="1">
      <c r="AD4333" s="794"/>
    </row>
    <row r="4334" spans="30:30" ht="15.75" customHeight="1">
      <c r="AD4334" s="794"/>
    </row>
    <row r="4335" spans="30:30" ht="15.75" customHeight="1">
      <c r="AD4335" s="794"/>
    </row>
    <row r="4336" spans="30:30" ht="15.75" customHeight="1">
      <c r="AD4336" s="794"/>
    </row>
    <row r="4337" spans="30:30" ht="15.75" customHeight="1">
      <c r="AD4337" s="794"/>
    </row>
    <row r="4338" spans="30:30" ht="15.75" customHeight="1">
      <c r="AD4338" s="794"/>
    </row>
    <row r="4339" spans="30:30" ht="15.75" customHeight="1">
      <c r="AD4339" s="794"/>
    </row>
    <row r="4340" spans="30:30" ht="15.75" customHeight="1">
      <c r="AD4340" s="794"/>
    </row>
    <row r="4341" spans="30:30" ht="15.75" customHeight="1">
      <c r="AD4341" s="794"/>
    </row>
    <row r="4342" spans="30:30" ht="15.75" customHeight="1">
      <c r="AD4342" s="794"/>
    </row>
    <row r="4343" spans="30:30" ht="15.75" customHeight="1">
      <c r="AD4343" s="794"/>
    </row>
    <row r="4344" spans="30:30" ht="15.75" customHeight="1">
      <c r="AD4344" s="794"/>
    </row>
    <row r="4345" spans="30:30" ht="15.75" customHeight="1">
      <c r="AD4345" s="794"/>
    </row>
    <row r="4346" spans="30:30" ht="15.75" customHeight="1">
      <c r="AD4346" s="794"/>
    </row>
    <row r="4347" spans="30:30" ht="15.75" customHeight="1">
      <c r="AD4347" s="794"/>
    </row>
    <row r="4348" spans="30:30" ht="15.75" customHeight="1">
      <c r="AD4348" s="794"/>
    </row>
    <row r="4349" spans="30:30" ht="15.75" customHeight="1">
      <c r="AD4349" s="794"/>
    </row>
    <row r="4350" spans="30:30" ht="15.75" customHeight="1">
      <c r="AD4350" s="794"/>
    </row>
    <row r="4351" spans="30:30" ht="15.75" customHeight="1">
      <c r="AD4351" s="794"/>
    </row>
    <row r="4352" spans="30:30" ht="15.75" customHeight="1">
      <c r="AD4352" s="794"/>
    </row>
    <row r="4353" spans="30:30" ht="15.75" customHeight="1">
      <c r="AD4353" s="794"/>
    </row>
    <row r="4354" spans="30:30" ht="15.75" customHeight="1">
      <c r="AD4354" s="794"/>
    </row>
    <row r="4355" spans="30:30" ht="15.75" customHeight="1">
      <c r="AD4355" s="794"/>
    </row>
    <row r="4356" spans="30:30" ht="15.75" customHeight="1">
      <c r="AD4356" s="794"/>
    </row>
    <row r="4357" spans="30:30" ht="15.75" customHeight="1">
      <c r="AD4357" s="794"/>
    </row>
    <row r="4358" spans="30:30" ht="15.75" customHeight="1">
      <c r="AD4358" s="794"/>
    </row>
    <row r="4359" spans="30:30" ht="15.75" customHeight="1">
      <c r="AD4359" s="794"/>
    </row>
    <row r="4360" spans="30:30" ht="15.75" customHeight="1">
      <c r="AD4360" s="794"/>
    </row>
    <row r="4361" spans="30:30" ht="15.75" customHeight="1">
      <c r="AD4361" s="794"/>
    </row>
    <row r="4362" spans="30:30" ht="15.75" customHeight="1">
      <c r="AD4362" s="794"/>
    </row>
    <row r="4363" spans="30:30" ht="15.75" customHeight="1">
      <c r="AD4363" s="794"/>
    </row>
    <row r="4364" spans="30:30" ht="15.75" customHeight="1">
      <c r="AD4364" s="794"/>
    </row>
    <row r="4365" spans="30:30" ht="15.75" customHeight="1">
      <c r="AD4365" s="794"/>
    </row>
    <row r="4366" spans="30:30" ht="15.75" customHeight="1">
      <c r="AD4366" s="794"/>
    </row>
    <row r="4367" spans="30:30" ht="15.75" customHeight="1">
      <c r="AD4367" s="794"/>
    </row>
    <row r="4368" spans="30:30" ht="15.75" customHeight="1">
      <c r="AD4368" s="794"/>
    </row>
    <row r="4369" spans="30:30" ht="15.75" customHeight="1">
      <c r="AD4369" s="794"/>
    </row>
    <row r="4370" spans="30:30" ht="15.75" customHeight="1">
      <c r="AD4370" s="794"/>
    </row>
    <row r="4371" spans="30:30" ht="15.75" customHeight="1">
      <c r="AD4371" s="794"/>
    </row>
    <row r="4372" spans="30:30" ht="15.75" customHeight="1">
      <c r="AD4372" s="794"/>
    </row>
    <row r="4373" spans="30:30" ht="15.75" customHeight="1">
      <c r="AD4373" s="794"/>
    </row>
    <row r="4374" spans="30:30" ht="15.75" customHeight="1">
      <c r="AD4374" s="794"/>
    </row>
    <row r="4375" spans="30:30" ht="15.75" customHeight="1">
      <c r="AD4375" s="794"/>
    </row>
    <row r="4376" spans="30:30" ht="15.75" customHeight="1">
      <c r="AD4376" s="794"/>
    </row>
    <row r="4377" spans="30:30" ht="15.75" customHeight="1">
      <c r="AD4377" s="794"/>
    </row>
    <row r="4378" spans="30:30" ht="15.75" customHeight="1">
      <c r="AD4378" s="794"/>
    </row>
    <row r="4379" spans="30:30" ht="15.75" customHeight="1">
      <c r="AD4379" s="794"/>
    </row>
    <row r="4380" spans="30:30" ht="15.75" customHeight="1">
      <c r="AD4380" s="794"/>
    </row>
    <row r="4381" spans="30:30" ht="15.75" customHeight="1">
      <c r="AD4381" s="794"/>
    </row>
    <row r="4382" spans="30:30" ht="15.75" customHeight="1">
      <c r="AD4382" s="794"/>
    </row>
    <row r="4383" spans="30:30" ht="15.75" customHeight="1">
      <c r="AD4383" s="794"/>
    </row>
    <row r="4384" spans="30:30" ht="15.75" customHeight="1">
      <c r="AD4384" s="794"/>
    </row>
    <row r="4385" spans="30:30" ht="15.75" customHeight="1">
      <c r="AD4385" s="794"/>
    </row>
    <row r="4386" spans="30:30" ht="15.75" customHeight="1">
      <c r="AD4386" s="794"/>
    </row>
    <row r="4387" spans="30:30" ht="15.75" customHeight="1">
      <c r="AD4387" s="794"/>
    </row>
    <row r="4388" spans="30:30" ht="15.75" customHeight="1">
      <c r="AD4388" s="794"/>
    </row>
    <row r="4389" spans="30:30" ht="15.75" customHeight="1">
      <c r="AD4389" s="794"/>
    </row>
    <row r="4390" spans="30:30" ht="15.75" customHeight="1">
      <c r="AD4390" s="794"/>
    </row>
    <row r="4391" spans="30:30" ht="15.75" customHeight="1">
      <c r="AD4391" s="794"/>
    </row>
    <row r="4392" spans="30:30" ht="15.75" customHeight="1">
      <c r="AD4392" s="794"/>
    </row>
    <row r="4393" spans="30:30" ht="15.75" customHeight="1">
      <c r="AD4393" s="794"/>
    </row>
    <row r="4394" spans="30:30" ht="15.75" customHeight="1">
      <c r="AD4394" s="794"/>
    </row>
    <row r="4395" spans="30:30" ht="15.75" customHeight="1">
      <c r="AD4395" s="794"/>
    </row>
    <row r="4396" spans="30:30" ht="15.75" customHeight="1">
      <c r="AD4396" s="794"/>
    </row>
    <row r="4397" spans="30:30" ht="15.75" customHeight="1">
      <c r="AD4397" s="794"/>
    </row>
    <row r="4398" spans="30:30" ht="15.75" customHeight="1">
      <c r="AD4398" s="794"/>
    </row>
    <row r="4399" spans="30:30" ht="15.75" customHeight="1">
      <c r="AD4399" s="794"/>
    </row>
    <row r="4400" spans="30:30" ht="15.75" customHeight="1">
      <c r="AD4400" s="794"/>
    </row>
    <row r="4401" spans="30:30" ht="15.75" customHeight="1">
      <c r="AD4401" s="794"/>
    </row>
    <row r="4402" spans="30:30" ht="15.75" customHeight="1">
      <c r="AD4402" s="794"/>
    </row>
    <row r="4403" spans="30:30" ht="15.75" customHeight="1">
      <c r="AD4403" s="794"/>
    </row>
    <row r="4404" spans="30:30" ht="15.75" customHeight="1">
      <c r="AD4404" s="794"/>
    </row>
    <row r="4405" spans="30:30" ht="15.75" customHeight="1">
      <c r="AD4405" s="794"/>
    </row>
    <row r="4406" spans="30:30" ht="15.75" customHeight="1">
      <c r="AD4406" s="794"/>
    </row>
    <row r="4407" spans="30:30" ht="15.75" customHeight="1">
      <c r="AD4407" s="794"/>
    </row>
    <row r="4408" spans="30:30" ht="15.75" customHeight="1">
      <c r="AD4408" s="794"/>
    </row>
    <row r="4409" spans="30:30" ht="15.75" customHeight="1">
      <c r="AD4409" s="794"/>
    </row>
    <row r="4410" spans="30:30" ht="15.75" customHeight="1">
      <c r="AD4410" s="794"/>
    </row>
    <row r="4411" spans="30:30" ht="15.75" customHeight="1">
      <c r="AD4411" s="794"/>
    </row>
    <row r="4412" spans="30:30" ht="15.75" customHeight="1">
      <c r="AD4412" s="794"/>
    </row>
    <row r="4413" spans="30:30" ht="15.75" customHeight="1">
      <c r="AD4413" s="794"/>
    </row>
    <row r="4414" spans="30:30" ht="15.75" customHeight="1">
      <c r="AD4414" s="794"/>
    </row>
    <row r="4415" spans="30:30" ht="15.75" customHeight="1">
      <c r="AD4415" s="794"/>
    </row>
    <row r="4416" spans="30:30" ht="15.75" customHeight="1">
      <c r="AD4416" s="794"/>
    </row>
    <row r="4417" spans="30:30" ht="15.75" customHeight="1">
      <c r="AD4417" s="794"/>
    </row>
    <row r="4418" spans="30:30" ht="15.75" customHeight="1">
      <c r="AD4418" s="794"/>
    </row>
    <row r="4419" spans="30:30" ht="15.75" customHeight="1">
      <c r="AD4419" s="794"/>
    </row>
    <row r="4420" spans="30:30" ht="15.75" customHeight="1">
      <c r="AD4420" s="794"/>
    </row>
    <row r="4421" spans="30:30" ht="15.75" customHeight="1">
      <c r="AD4421" s="794"/>
    </row>
    <row r="4422" spans="30:30" ht="15.75" customHeight="1">
      <c r="AD4422" s="794"/>
    </row>
    <row r="4423" spans="30:30" ht="15.75" customHeight="1">
      <c r="AD4423" s="794"/>
    </row>
    <row r="4424" spans="30:30" ht="15.75" customHeight="1">
      <c r="AD4424" s="794"/>
    </row>
    <row r="4425" spans="30:30" ht="15.75" customHeight="1">
      <c r="AD4425" s="794"/>
    </row>
    <row r="4426" spans="30:30" ht="15.75" customHeight="1">
      <c r="AD4426" s="794"/>
    </row>
    <row r="4427" spans="30:30" ht="15.75" customHeight="1">
      <c r="AD4427" s="794"/>
    </row>
    <row r="4428" spans="30:30" ht="15.75" customHeight="1">
      <c r="AD4428" s="794"/>
    </row>
    <row r="4429" spans="30:30" ht="15.75" customHeight="1">
      <c r="AD4429" s="794"/>
    </row>
    <row r="4430" spans="30:30" ht="15.75" customHeight="1">
      <c r="AD4430" s="794"/>
    </row>
    <row r="4431" spans="30:30" ht="15.75" customHeight="1">
      <c r="AD4431" s="794"/>
    </row>
    <row r="4432" spans="30:30" ht="15.75" customHeight="1">
      <c r="AD4432" s="794"/>
    </row>
    <row r="4433" spans="30:30" ht="15.75" customHeight="1">
      <c r="AD4433" s="794"/>
    </row>
    <row r="4434" spans="30:30" ht="15.75" customHeight="1">
      <c r="AD4434" s="794"/>
    </row>
    <row r="4435" spans="30:30" ht="15.75" customHeight="1">
      <c r="AD4435" s="794"/>
    </row>
    <row r="4436" spans="30:30" ht="15.75" customHeight="1">
      <c r="AD4436" s="794"/>
    </row>
    <row r="4437" spans="30:30" ht="15.75" customHeight="1">
      <c r="AD4437" s="794"/>
    </row>
    <row r="4438" spans="30:30" ht="15.75" customHeight="1">
      <c r="AD4438" s="794"/>
    </row>
    <row r="4439" spans="30:30" ht="15.75" customHeight="1">
      <c r="AD4439" s="794"/>
    </row>
    <row r="4440" spans="30:30" ht="15.75" customHeight="1">
      <c r="AD4440" s="794"/>
    </row>
    <row r="4441" spans="30:30" ht="15.75" customHeight="1">
      <c r="AD4441" s="794"/>
    </row>
    <row r="4442" spans="30:30" ht="15.75" customHeight="1">
      <c r="AD4442" s="794"/>
    </row>
    <row r="4443" spans="30:30" ht="15.75" customHeight="1">
      <c r="AD4443" s="794"/>
    </row>
    <row r="4444" spans="30:30" ht="15.75" customHeight="1">
      <c r="AD4444" s="794"/>
    </row>
    <row r="4445" spans="30:30" ht="15.75" customHeight="1">
      <c r="AD4445" s="794"/>
    </row>
    <row r="4446" spans="30:30" ht="15.75" customHeight="1">
      <c r="AD4446" s="794"/>
    </row>
    <row r="4447" spans="30:30" ht="15.75" customHeight="1">
      <c r="AD4447" s="794"/>
    </row>
    <row r="4448" spans="30:30" ht="15.75" customHeight="1">
      <c r="AD4448" s="794"/>
    </row>
    <row r="4449" spans="30:30" ht="15.75" customHeight="1">
      <c r="AD4449" s="794"/>
    </row>
    <row r="4450" spans="30:30" ht="15.75" customHeight="1">
      <c r="AD4450" s="794"/>
    </row>
    <row r="4451" spans="30:30" ht="15.75" customHeight="1">
      <c r="AD4451" s="794"/>
    </row>
    <row r="4452" spans="30:30" ht="15.75" customHeight="1">
      <c r="AD4452" s="794"/>
    </row>
    <row r="4453" spans="30:30" ht="15.75" customHeight="1">
      <c r="AD4453" s="794"/>
    </row>
    <row r="4454" spans="30:30" ht="15.75" customHeight="1">
      <c r="AD4454" s="794"/>
    </row>
    <row r="4455" spans="30:30" ht="15.75" customHeight="1">
      <c r="AD4455" s="794"/>
    </row>
    <row r="4456" spans="30:30" ht="15.75" customHeight="1">
      <c r="AD4456" s="794"/>
    </row>
    <row r="4457" spans="30:30" ht="15.75" customHeight="1">
      <c r="AD4457" s="794"/>
    </row>
    <row r="4458" spans="30:30" ht="15.75" customHeight="1">
      <c r="AD4458" s="794"/>
    </row>
    <row r="4459" spans="30:30" ht="15.75" customHeight="1">
      <c r="AD4459" s="794"/>
    </row>
    <row r="4460" spans="30:30" ht="15.75" customHeight="1">
      <c r="AD4460" s="794"/>
    </row>
    <row r="4461" spans="30:30" ht="15.75" customHeight="1">
      <c r="AD4461" s="794"/>
    </row>
    <row r="4462" spans="30:30" ht="15.75" customHeight="1">
      <c r="AD4462" s="794"/>
    </row>
    <row r="4463" spans="30:30" ht="15.75" customHeight="1">
      <c r="AD4463" s="794"/>
    </row>
    <row r="4464" spans="30:30" ht="15.75" customHeight="1">
      <c r="AD4464" s="794"/>
    </row>
    <row r="4465" spans="30:30" ht="15.75" customHeight="1">
      <c r="AD4465" s="794"/>
    </row>
    <row r="4466" spans="30:30" ht="15.75" customHeight="1">
      <c r="AD4466" s="794"/>
    </row>
    <row r="4467" spans="30:30" ht="15.75" customHeight="1">
      <c r="AD4467" s="794"/>
    </row>
    <row r="4468" spans="30:30" ht="15.75" customHeight="1">
      <c r="AD4468" s="794"/>
    </row>
    <row r="4469" spans="30:30" ht="15.75" customHeight="1">
      <c r="AD4469" s="794"/>
    </row>
    <row r="4470" spans="30:30" ht="15.75" customHeight="1">
      <c r="AD4470" s="794"/>
    </row>
    <row r="4471" spans="30:30" ht="15.75" customHeight="1">
      <c r="AD4471" s="794"/>
    </row>
    <row r="4472" spans="30:30" ht="15.75" customHeight="1">
      <c r="AD4472" s="794"/>
    </row>
    <row r="4473" spans="30:30" ht="15.75" customHeight="1">
      <c r="AD4473" s="794"/>
    </row>
    <row r="4474" spans="30:30" ht="15.75" customHeight="1">
      <c r="AD4474" s="794"/>
    </row>
    <row r="4475" spans="30:30" ht="15.75" customHeight="1">
      <c r="AD4475" s="794"/>
    </row>
    <row r="4476" spans="30:30" ht="15.75" customHeight="1">
      <c r="AD4476" s="794"/>
    </row>
    <row r="4477" spans="30:30" ht="15.75" customHeight="1">
      <c r="AD4477" s="794"/>
    </row>
    <row r="4478" spans="30:30" ht="15.75" customHeight="1">
      <c r="AD4478" s="794"/>
    </row>
    <row r="4479" spans="30:30" ht="15.75" customHeight="1">
      <c r="AD4479" s="794"/>
    </row>
    <row r="4480" spans="30:30" ht="15.75" customHeight="1">
      <c r="AD4480" s="794"/>
    </row>
    <row r="4481" spans="30:30" ht="15.75" customHeight="1">
      <c r="AD4481" s="794"/>
    </row>
    <row r="4482" spans="30:30" ht="15.75" customHeight="1">
      <c r="AD4482" s="794"/>
    </row>
    <row r="4483" spans="30:30" ht="15.75" customHeight="1">
      <c r="AD4483" s="794"/>
    </row>
    <row r="4484" spans="30:30" ht="15.75" customHeight="1">
      <c r="AD4484" s="794"/>
    </row>
    <row r="4485" spans="30:30" ht="15.75" customHeight="1">
      <c r="AD4485" s="794"/>
    </row>
    <row r="4486" spans="30:30" ht="15.75" customHeight="1">
      <c r="AD4486" s="794"/>
    </row>
    <row r="4487" spans="30:30" ht="15.75" customHeight="1">
      <c r="AD4487" s="794"/>
    </row>
    <row r="4488" spans="30:30" ht="15.75" customHeight="1">
      <c r="AD4488" s="794"/>
    </row>
    <row r="4489" spans="30:30" ht="15.75" customHeight="1">
      <c r="AD4489" s="794"/>
    </row>
    <row r="4490" spans="30:30" ht="15.75" customHeight="1">
      <c r="AD4490" s="794"/>
    </row>
    <row r="4491" spans="30:30" ht="15.75" customHeight="1">
      <c r="AD4491" s="794"/>
    </row>
    <row r="4492" spans="30:30" ht="15.75" customHeight="1">
      <c r="AD4492" s="794"/>
    </row>
    <row r="4493" spans="30:30" ht="15.75" customHeight="1">
      <c r="AD4493" s="794"/>
    </row>
    <row r="4494" spans="30:30" ht="15.75" customHeight="1">
      <c r="AD4494" s="794"/>
    </row>
    <row r="4495" spans="30:30" ht="15.75" customHeight="1">
      <c r="AD4495" s="794"/>
    </row>
    <row r="4496" spans="30:30" ht="15.75" customHeight="1">
      <c r="AD4496" s="794"/>
    </row>
    <row r="4497" spans="30:30" ht="15.75" customHeight="1">
      <c r="AD4497" s="794"/>
    </row>
    <row r="4498" spans="30:30" ht="15.75" customHeight="1">
      <c r="AD4498" s="794"/>
    </row>
    <row r="4499" spans="30:30" ht="15.75" customHeight="1">
      <c r="AD4499" s="794"/>
    </row>
    <row r="4500" spans="30:30" ht="15.75" customHeight="1">
      <c r="AD4500" s="794"/>
    </row>
    <row r="4501" spans="30:30" ht="15.75" customHeight="1">
      <c r="AD4501" s="794"/>
    </row>
    <row r="4502" spans="30:30" ht="15.75" customHeight="1">
      <c r="AD4502" s="794"/>
    </row>
    <row r="4503" spans="30:30" ht="15.75" customHeight="1">
      <c r="AD4503" s="794"/>
    </row>
    <row r="4504" spans="30:30" ht="15.75" customHeight="1">
      <c r="AD4504" s="794"/>
    </row>
    <row r="4505" spans="30:30" ht="15.75" customHeight="1">
      <c r="AD4505" s="794"/>
    </row>
    <row r="4506" spans="30:30" ht="15.75" customHeight="1">
      <c r="AD4506" s="794"/>
    </row>
    <row r="4507" spans="30:30" ht="15.75" customHeight="1">
      <c r="AD4507" s="794"/>
    </row>
    <row r="4508" spans="30:30" ht="15.75" customHeight="1">
      <c r="AD4508" s="794"/>
    </row>
    <row r="4509" spans="30:30" ht="15.75" customHeight="1">
      <c r="AD4509" s="794"/>
    </row>
    <row r="4510" spans="30:30" ht="15.75" customHeight="1">
      <c r="AD4510" s="794"/>
    </row>
    <row r="4511" spans="30:30" ht="15.75" customHeight="1">
      <c r="AD4511" s="794"/>
    </row>
    <row r="4512" spans="30:30" ht="15.75" customHeight="1">
      <c r="AD4512" s="794"/>
    </row>
    <row r="4513" spans="30:30" ht="15.75" customHeight="1">
      <c r="AD4513" s="794"/>
    </row>
    <row r="4514" spans="30:30" ht="15.75" customHeight="1">
      <c r="AD4514" s="794"/>
    </row>
    <row r="4515" spans="30:30" ht="15.75" customHeight="1">
      <c r="AD4515" s="794"/>
    </row>
    <row r="4516" spans="30:30" ht="15.75" customHeight="1">
      <c r="AD4516" s="794"/>
    </row>
    <row r="4517" spans="30:30" ht="15.75" customHeight="1">
      <c r="AD4517" s="794"/>
    </row>
    <row r="4518" spans="30:30" ht="15.75" customHeight="1">
      <c r="AD4518" s="794"/>
    </row>
    <row r="4519" spans="30:30" ht="15.75" customHeight="1">
      <c r="AD4519" s="794"/>
    </row>
    <row r="4520" spans="30:30" ht="15.75" customHeight="1">
      <c r="AD4520" s="794"/>
    </row>
    <row r="4521" spans="30:30" ht="15.75" customHeight="1">
      <c r="AD4521" s="794"/>
    </row>
    <row r="4522" spans="30:30" ht="15.75" customHeight="1">
      <c r="AD4522" s="794"/>
    </row>
    <row r="4523" spans="30:30" ht="15.75" customHeight="1">
      <c r="AD4523" s="794"/>
    </row>
    <row r="4524" spans="30:30" ht="15.75" customHeight="1">
      <c r="AD4524" s="794"/>
    </row>
    <row r="4525" spans="30:30" ht="15.75" customHeight="1">
      <c r="AD4525" s="794"/>
    </row>
    <row r="4526" spans="30:30" ht="15.75" customHeight="1">
      <c r="AD4526" s="794"/>
    </row>
    <row r="4527" spans="30:30" ht="15.75" customHeight="1">
      <c r="AD4527" s="794"/>
    </row>
    <row r="4528" spans="30:30" ht="15.75" customHeight="1">
      <c r="AD4528" s="794"/>
    </row>
    <row r="4529" spans="30:30" ht="15.75" customHeight="1">
      <c r="AD4529" s="794"/>
    </row>
    <row r="4530" spans="30:30" ht="15.75" customHeight="1">
      <c r="AD4530" s="794"/>
    </row>
    <row r="4531" spans="30:30" ht="15.75" customHeight="1">
      <c r="AD4531" s="794"/>
    </row>
    <row r="4532" spans="30:30" ht="15.75" customHeight="1">
      <c r="AD4532" s="794"/>
    </row>
    <row r="4533" spans="30:30" ht="15.75" customHeight="1">
      <c r="AD4533" s="794"/>
    </row>
    <row r="4534" spans="30:30" ht="15.75" customHeight="1">
      <c r="AD4534" s="794"/>
    </row>
    <row r="4535" spans="30:30" ht="15.75" customHeight="1">
      <c r="AD4535" s="794"/>
    </row>
    <row r="4536" spans="30:30" ht="15.75" customHeight="1">
      <c r="AD4536" s="794"/>
    </row>
    <row r="4537" spans="30:30" ht="15.75" customHeight="1">
      <c r="AD4537" s="794"/>
    </row>
    <row r="4538" spans="30:30" ht="15.75" customHeight="1">
      <c r="AD4538" s="794"/>
    </row>
    <row r="4539" spans="30:30" ht="15.75" customHeight="1">
      <c r="AD4539" s="794"/>
    </row>
    <row r="4540" spans="30:30" ht="15.75" customHeight="1">
      <c r="AD4540" s="794"/>
    </row>
    <row r="4541" spans="30:30" ht="15.75" customHeight="1">
      <c r="AD4541" s="794"/>
    </row>
    <row r="4542" spans="30:30" ht="15.75" customHeight="1">
      <c r="AD4542" s="794"/>
    </row>
    <row r="4543" spans="30:30" ht="15.75" customHeight="1">
      <c r="AD4543" s="794"/>
    </row>
    <row r="4544" spans="30:30" ht="15.75" customHeight="1">
      <c r="AD4544" s="794"/>
    </row>
    <row r="4545" spans="30:30" ht="15.75" customHeight="1">
      <c r="AD4545" s="794"/>
    </row>
    <row r="4546" spans="30:30" ht="15.75" customHeight="1">
      <c r="AD4546" s="794"/>
    </row>
    <row r="4547" spans="30:30" ht="15.75" customHeight="1">
      <c r="AD4547" s="794"/>
    </row>
    <row r="4548" spans="30:30" ht="15.75" customHeight="1">
      <c r="AD4548" s="794"/>
    </row>
    <row r="4549" spans="30:30" ht="15.75" customHeight="1">
      <c r="AD4549" s="794"/>
    </row>
    <row r="4550" spans="30:30" ht="15.75" customHeight="1">
      <c r="AD4550" s="794"/>
    </row>
    <row r="4551" spans="30:30" ht="15.75" customHeight="1">
      <c r="AD4551" s="794"/>
    </row>
    <row r="4552" spans="30:30" ht="15.75" customHeight="1">
      <c r="AD4552" s="794"/>
    </row>
    <row r="4553" spans="30:30" ht="15.75" customHeight="1">
      <c r="AD4553" s="794"/>
    </row>
    <row r="4554" spans="30:30" ht="15.75" customHeight="1">
      <c r="AD4554" s="794"/>
    </row>
    <row r="4555" spans="30:30" ht="15.75" customHeight="1">
      <c r="AD4555" s="794"/>
    </row>
    <row r="4556" spans="30:30" ht="15.75" customHeight="1">
      <c r="AD4556" s="794"/>
    </row>
    <row r="4557" spans="30:30" ht="15.75" customHeight="1">
      <c r="AD4557" s="794"/>
    </row>
    <row r="4558" spans="30:30" ht="15.75" customHeight="1">
      <c r="AD4558" s="794"/>
    </row>
    <row r="4559" spans="30:30" ht="15.75" customHeight="1">
      <c r="AD4559" s="794"/>
    </row>
    <row r="4560" spans="30:30" ht="15.75" customHeight="1">
      <c r="AD4560" s="794"/>
    </row>
    <row r="4561" spans="30:30" ht="15.75" customHeight="1">
      <c r="AD4561" s="794"/>
    </row>
    <row r="4562" spans="30:30" ht="15.75" customHeight="1">
      <c r="AD4562" s="794"/>
    </row>
    <row r="4563" spans="30:30" ht="15.75" customHeight="1">
      <c r="AD4563" s="794"/>
    </row>
    <row r="4564" spans="30:30" ht="15.75" customHeight="1">
      <c r="AD4564" s="794"/>
    </row>
    <row r="4565" spans="30:30" ht="15.75" customHeight="1">
      <c r="AD4565" s="794"/>
    </row>
    <row r="4566" spans="30:30" ht="15.75" customHeight="1">
      <c r="AD4566" s="794"/>
    </row>
    <row r="4567" spans="30:30" ht="15.75" customHeight="1">
      <c r="AD4567" s="794"/>
    </row>
    <row r="4568" spans="30:30" ht="15.75" customHeight="1">
      <c r="AD4568" s="794"/>
    </row>
    <row r="4569" spans="30:30" ht="15.75" customHeight="1">
      <c r="AD4569" s="794"/>
    </row>
    <row r="4570" spans="30:30" ht="15.75" customHeight="1">
      <c r="AD4570" s="794"/>
    </row>
    <row r="4571" spans="30:30" ht="15.75" customHeight="1">
      <c r="AD4571" s="794"/>
    </row>
    <row r="4572" spans="30:30" ht="15.75" customHeight="1">
      <c r="AD4572" s="794"/>
    </row>
    <row r="4573" spans="30:30" ht="15.75" customHeight="1">
      <c r="AD4573" s="794"/>
    </row>
    <row r="4574" spans="30:30" ht="15.75" customHeight="1">
      <c r="AD4574" s="794"/>
    </row>
    <row r="4575" spans="30:30" ht="15.75" customHeight="1">
      <c r="AD4575" s="794"/>
    </row>
    <row r="4576" spans="30:30" ht="15.75" customHeight="1">
      <c r="AD4576" s="794"/>
    </row>
    <row r="4577" spans="30:30" ht="15.75" customHeight="1">
      <c r="AD4577" s="794"/>
    </row>
    <row r="4578" spans="30:30" ht="15.75" customHeight="1">
      <c r="AD4578" s="794"/>
    </row>
    <row r="4579" spans="30:30" ht="15.75" customHeight="1">
      <c r="AD4579" s="794"/>
    </row>
    <row r="4580" spans="30:30" ht="15.75" customHeight="1">
      <c r="AD4580" s="794"/>
    </row>
    <row r="4581" spans="30:30" ht="15.75" customHeight="1">
      <c r="AD4581" s="794"/>
    </row>
    <row r="4582" spans="30:30" ht="15.75" customHeight="1">
      <c r="AD4582" s="794"/>
    </row>
    <row r="4583" spans="30:30" ht="15.75" customHeight="1">
      <c r="AD4583" s="794"/>
    </row>
    <row r="4584" spans="30:30" ht="15.75" customHeight="1">
      <c r="AD4584" s="794"/>
    </row>
    <row r="4585" spans="30:30" ht="15.75" customHeight="1">
      <c r="AD4585" s="794"/>
    </row>
    <row r="4586" spans="30:30" ht="15.75" customHeight="1">
      <c r="AD4586" s="794"/>
    </row>
    <row r="4587" spans="30:30" ht="15.75" customHeight="1">
      <c r="AD4587" s="794"/>
    </row>
    <row r="4588" spans="30:30" ht="15.75" customHeight="1">
      <c r="AD4588" s="794"/>
    </row>
    <row r="4589" spans="30:30" ht="15.75" customHeight="1">
      <c r="AD4589" s="794"/>
    </row>
    <row r="4590" spans="30:30" ht="15.75" customHeight="1">
      <c r="AD4590" s="794"/>
    </row>
    <row r="4591" spans="30:30" ht="15.75" customHeight="1">
      <c r="AD4591" s="794"/>
    </row>
    <row r="4592" spans="30:30" ht="15.75" customHeight="1">
      <c r="AD4592" s="794"/>
    </row>
    <row r="4593" spans="30:30" ht="15.75" customHeight="1">
      <c r="AD4593" s="794"/>
    </row>
    <row r="4594" spans="30:30" ht="15.75" customHeight="1">
      <c r="AD4594" s="794"/>
    </row>
    <row r="4595" spans="30:30" ht="15.75" customHeight="1">
      <c r="AD4595" s="794"/>
    </row>
    <row r="4596" spans="30:30" ht="15.75" customHeight="1">
      <c r="AD4596" s="794"/>
    </row>
    <row r="4597" spans="30:30" ht="15.75" customHeight="1">
      <c r="AD4597" s="794"/>
    </row>
    <row r="4598" spans="30:30" ht="15.75" customHeight="1">
      <c r="AD4598" s="794"/>
    </row>
    <row r="4599" spans="30:30" ht="15.75" customHeight="1">
      <c r="AD4599" s="794"/>
    </row>
    <row r="4600" spans="30:30" ht="15.75" customHeight="1">
      <c r="AD4600" s="794"/>
    </row>
    <row r="4601" spans="30:30" ht="15.75" customHeight="1">
      <c r="AD4601" s="794"/>
    </row>
    <row r="4602" spans="30:30" ht="15.75" customHeight="1">
      <c r="AD4602" s="794"/>
    </row>
    <row r="4603" spans="30:30" ht="15.75" customHeight="1">
      <c r="AD4603" s="794"/>
    </row>
    <row r="4604" spans="30:30" ht="15.75" customHeight="1">
      <c r="AD4604" s="794"/>
    </row>
    <row r="4605" spans="30:30" ht="15.75" customHeight="1">
      <c r="AD4605" s="794"/>
    </row>
    <row r="4606" spans="30:30" ht="15.75" customHeight="1">
      <c r="AD4606" s="794"/>
    </row>
    <row r="4607" spans="30:30" ht="15.75" customHeight="1">
      <c r="AD4607" s="794"/>
    </row>
    <row r="4608" spans="30:30" ht="15.75" customHeight="1">
      <c r="AD4608" s="794"/>
    </row>
    <row r="4609" spans="30:30" ht="15.75" customHeight="1">
      <c r="AD4609" s="794"/>
    </row>
    <row r="4610" spans="30:30" ht="15.75" customHeight="1">
      <c r="AD4610" s="794"/>
    </row>
    <row r="4611" spans="30:30" ht="15.75" customHeight="1">
      <c r="AD4611" s="794"/>
    </row>
    <row r="4612" spans="30:30" ht="15.75" customHeight="1">
      <c r="AD4612" s="794"/>
    </row>
    <row r="4613" spans="30:30" ht="15.75" customHeight="1">
      <c r="AD4613" s="794"/>
    </row>
    <row r="4614" spans="30:30" ht="15.75" customHeight="1">
      <c r="AD4614" s="794"/>
    </row>
    <row r="4615" spans="30:30" ht="15.75" customHeight="1">
      <c r="AD4615" s="794"/>
    </row>
    <row r="4616" spans="30:30" ht="15.75" customHeight="1">
      <c r="AD4616" s="794"/>
    </row>
    <row r="4617" spans="30:30" ht="15.75" customHeight="1">
      <c r="AD4617" s="794"/>
    </row>
    <row r="4618" spans="30:30" ht="15.75" customHeight="1">
      <c r="AD4618" s="794"/>
    </row>
    <row r="4619" spans="30:30" ht="15.75" customHeight="1">
      <c r="AD4619" s="794"/>
    </row>
    <row r="4620" spans="30:30" ht="15.75" customHeight="1">
      <c r="AD4620" s="794"/>
    </row>
    <row r="4621" spans="30:30" ht="15.75" customHeight="1">
      <c r="AD4621" s="794"/>
    </row>
    <row r="4622" spans="30:30" ht="15.75" customHeight="1">
      <c r="AD4622" s="794"/>
    </row>
    <row r="4623" spans="30:30" ht="15.75" customHeight="1">
      <c r="AD4623" s="794"/>
    </row>
    <row r="4624" spans="30:30" ht="15.75" customHeight="1">
      <c r="AD4624" s="794"/>
    </row>
    <row r="4625" spans="30:30" ht="15.75" customHeight="1">
      <c r="AD4625" s="794"/>
    </row>
    <row r="4626" spans="30:30" ht="15.75" customHeight="1">
      <c r="AD4626" s="794"/>
    </row>
    <row r="4627" spans="30:30" ht="15.75" customHeight="1">
      <c r="AD4627" s="794"/>
    </row>
    <row r="4628" spans="30:30" ht="15.75" customHeight="1">
      <c r="AD4628" s="794"/>
    </row>
    <row r="4629" spans="30:30" ht="15.75" customHeight="1">
      <c r="AD4629" s="794"/>
    </row>
    <row r="4630" spans="30:30" ht="15.75" customHeight="1">
      <c r="AD4630" s="794"/>
    </row>
    <row r="4631" spans="30:30" ht="15.75" customHeight="1">
      <c r="AD4631" s="794"/>
    </row>
    <row r="4632" spans="30:30" ht="15.75" customHeight="1">
      <c r="AD4632" s="794"/>
    </row>
    <row r="4633" spans="30:30" ht="15.75" customHeight="1">
      <c r="AD4633" s="794"/>
    </row>
    <row r="4634" spans="30:30" ht="15.75" customHeight="1">
      <c r="AD4634" s="794"/>
    </row>
    <row r="4635" spans="30:30" ht="15.75" customHeight="1">
      <c r="AD4635" s="794"/>
    </row>
    <row r="4636" spans="30:30" ht="15.75" customHeight="1">
      <c r="AD4636" s="794"/>
    </row>
    <row r="4637" spans="30:30" ht="15.75" customHeight="1">
      <c r="AD4637" s="794"/>
    </row>
    <row r="4638" spans="30:30" ht="15.75" customHeight="1">
      <c r="AD4638" s="794"/>
    </row>
    <row r="4639" spans="30:30" ht="15.75" customHeight="1">
      <c r="AD4639" s="794"/>
    </row>
    <row r="4640" spans="30:30" ht="15.75" customHeight="1">
      <c r="AD4640" s="794"/>
    </row>
    <row r="4641" spans="30:30" ht="15.75" customHeight="1">
      <c r="AD4641" s="794"/>
    </row>
    <row r="4642" spans="30:30" ht="15.75" customHeight="1">
      <c r="AD4642" s="794"/>
    </row>
    <row r="4643" spans="30:30" ht="15.75" customHeight="1">
      <c r="AD4643" s="794"/>
    </row>
    <row r="4644" spans="30:30" ht="15.75" customHeight="1">
      <c r="AD4644" s="794"/>
    </row>
    <row r="4645" spans="30:30" ht="15.75" customHeight="1">
      <c r="AD4645" s="794"/>
    </row>
    <row r="4646" spans="30:30" ht="15.75" customHeight="1">
      <c r="AD4646" s="794"/>
    </row>
    <row r="4647" spans="30:30" ht="15.75" customHeight="1">
      <c r="AD4647" s="794"/>
    </row>
    <row r="4648" spans="30:30" ht="15.75" customHeight="1">
      <c r="AD4648" s="794"/>
    </row>
    <row r="4649" spans="30:30" ht="15.75" customHeight="1">
      <c r="AD4649" s="794"/>
    </row>
    <row r="4650" spans="30:30" ht="15.75" customHeight="1">
      <c r="AD4650" s="794"/>
    </row>
    <row r="4651" spans="30:30" ht="15.75" customHeight="1">
      <c r="AD4651" s="794"/>
    </row>
    <row r="4652" spans="30:30" ht="15.75" customHeight="1">
      <c r="AD4652" s="794"/>
    </row>
    <row r="4653" spans="30:30" ht="15.75" customHeight="1">
      <c r="AD4653" s="794"/>
    </row>
    <row r="4654" spans="30:30" ht="15.75" customHeight="1">
      <c r="AD4654" s="794"/>
    </row>
    <row r="4655" spans="30:30" ht="15.75" customHeight="1">
      <c r="AD4655" s="794"/>
    </row>
    <row r="4656" spans="30:30" ht="15.75" customHeight="1">
      <c r="AD4656" s="794"/>
    </row>
    <row r="4657" spans="30:30" ht="15.75" customHeight="1">
      <c r="AD4657" s="794"/>
    </row>
    <row r="4658" spans="30:30" ht="15.75" customHeight="1">
      <c r="AD4658" s="794"/>
    </row>
    <row r="4659" spans="30:30" ht="15.75" customHeight="1">
      <c r="AD4659" s="794"/>
    </row>
    <row r="4660" spans="30:30" ht="15.75" customHeight="1">
      <c r="AD4660" s="794"/>
    </row>
    <row r="4661" spans="30:30" ht="15.75" customHeight="1">
      <c r="AD4661" s="794"/>
    </row>
    <row r="4662" spans="30:30" ht="15.75" customHeight="1">
      <c r="AD4662" s="794"/>
    </row>
    <row r="4663" spans="30:30" ht="15.75" customHeight="1">
      <c r="AD4663" s="794"/>
    </row>
    <row r="4664" spans="30:30" ht="15.75" customHeight="1">
      <c r="AD4664" s="794"/>
    </row>
    <row r="4665" spans="30:30" ht="15.75" customHeight="1">
      <c r="AD4665" s="794"/>
    </row>
    <row r="4666" spans="30:30" ht="15.75" customHeight="1">
      <c r="AD4666" s="794"/>
    </row>
    <row r="4667" spans="30:30" ht="15.75" customHeight="1">
      <c r="AD4667" s="794"/>
    </row>
    <row r="4668" spans="30:30" ht="15.75" customHeight="1">
      <c r="AD4668" s="794"/>
    </row>
    <row r="4669" spans="30:30" ht="15.75" customHeight="1">
      <c r="AD4669" s="794"/>
    </row>
    <row r="4670" spans="30:30" ht="15.75" customHeight="1">
      <c r="AD4670" s="794"/>
    </row>
    <row r="4671" spans="30:30" ht="15.75" customHeight="1">
      <c r="AD4671" s="794"/>
    </row>
    <row r="4672" spans="30:30" ht="15.75" customHeight="1">
      <c r="AD4672" s="794"/>
    </row>
    <row r="4673" spans="30:30" ht="15.75" customHeight="1">
      <c r="AD4673" s="794"/>
    </row>
    <row r="4674" spans="30:30" ht="15.75" customHeight="1">
      <c r="AD4674" s="794"/>
    </row>
    <row r="4675" spans="30:30" ht="15.75" customHeight="1">
      <c r="AD4675" s="794"/>
    </row>
    <row r="4676" spans="30:30" ht="15.75" customHeight="1">
      <c r="AD4676" s="794"/>
    </row>
    <row r="4677" spans="30:30" ht="15.75" customHeight="1">
      <c r="AD4677" s="794"/>
    </row>
    <row r="4678" spans="30:30" ht="15.75" customHeight="1">
      <c r="AD4678" s="794"/>
    </row>
    <row r="4679" spans="30:30" ht="15.75" customHeight="1">
      <c r="AD4679" s="794"/>
    </row>
    <row r="4680" spans="30:30" ht="15.75" customHeight="1">
      <c r="AD4680" s="794"/>
    </row>
    <row r="4681" spans="30:30" ht="15.75" customHeight="1">
      <c r="AD4681" s="794"/>
    </row>
    <row r="4682" spans="30:30" ht="15.75" customHeight="1">
      <c r="AD4682" s="794"/>
    </row>
    <row r="4683" spans="30:30" ht="15.75" customHeight="1">
      <c r="AD4683" s="794"/>
    </row>
    <row r="4684" spans="30:30" ht="15.75" customHeight="1">
      <c r="AD4684" s="794"/>
    </row>
    <row r="4685" spans="30:30" ht="15.75" customHeight="1">
      <c r="AD4685" s="794"/>
    </row>
    <row r="4686" spans="30:30" ht="15.75" customHeight="1">
      <c r="AD4686" s="794"/>
    </row>
    <row r="4687" spans="30:30" ht="15.75" customHeight="1">
      <c r="AD4687" s="794"/>
    </row>
    <row r="4688" spans="30:30" ht="15.75" customHeight="1">
      <c r="AD4688" s="794"/>
    </row>
    <row r="4689" spans="30:30" ht="15.75" customHeight="1">
      <c r="AD4689" s="794"/>
    </row>
    <row r="4690" spans="30:30" ht="15.75" customHeight="1">
      <c r="AD4690" s="794"/>
    </row>
    <row r="4691" spans="30:30" ht="15.75" customHeight="1">
      <c r="AD4691" s="794"/>
    </row>
    <row r="4692" spans="30:30" ht="15.75" customHeight="1">
      <c r="AD4692" s="794"/>
    </row>
    <row r="4693" spans="30:30" ht="15.75" customHeight="1">
      <c r="AD4693" s="794"/>
    </row>
    <row r="4694" spans="30:30" ht="15.75" customHeight="1">
      <c r="AD4694" s="794"/>
    </row>
    <row r="4695" spans="30:30" ht="15.75" customHeight="1">
      <c r="AD4695" s="794"/>
    </row>
    <row r="4696" spans="30:30" ht="15.75" customHeight="1">
      <c r="AD4696" s="794"/>
    </row>
    <row r="4697" spans="30:30" ht="15.75" customHeight="1">
      <c r="AD4697" s="794"/>
    </row>
    <row r="4698" spans="30:30" ht="15.75" customHeight="1">
      <c r="AD4698" s="794"/>
    </row>
    <row r="4699" spans="30:30" ht="15.75" customHeight="1">
      <c r="AD4699" s="794"/>
    </row>
    <row r="4700" spans="30:30" ht="15.75" customHeight="1">
      <c r="AD4700" s="794"/>
    </row>
    <row r="4701" spans="30:30" ht="15.75" customHeight="1">
      <c r="AD4701" s="794"/>
    </row>
    <row r="4702" spans="30:30" ht="15.75" customHeight="1">
      <c r="AD4702" s="794"/>
    </row>
    <row r="4703" spans="30:30" ht="15.75" customHeight="1">
      <c r="AD4703" s="794"/>
    </row>
    <row r="4704" spans="30:30" ht="15.75" customHeight="1">
      <c r="AD4704" s="794"/>
    </row>
    <row r="4705" spans="30:30" ht="15.75" customHeight="1">
      <c r="AD4705" s="794"/>
    </row>
    <row r="4706" spans="30:30" ht="15.75" customHeight="1">
      <c r="AD4706" s="794"/>
    </row>
    <row r="4707" spans="30:30" ht="15.75" customHeight="1">
      <c r="AD4707" s="794"/>
    </row>
    <row r="4708" spans="30:30" ht="15.75" customHeight="1">
      <c r="AD4708" s="794"/>
    </row>
    <row r="4709" spans="30:30" ht="15.75" customHeight="1">
      <c r="AD4709" s="794"/>
    </row>
    <row r="4710" spans="30:30" ht="15.75" customHeight="1">
      <c r="AD4710" s="794"/>
    </row>
    <row r="4711" spans="30:30" ht="15.75" customHeight="1">
      <c r="AD4711" s="794"/>
    </row>
    <row r="4712" spans="30:30" ht="15.75" customHeight="1">
      <c r="AD4712" s="794"/>
    </row>
    <row r="4713" spans="30:30" ht="15.75" customHeight="1">
      <c r="AD4713" s="794"/>
    </row>
    <row r="4714" spans="30:30" ht="15.75" customHeight="1">
      <c r="AD4714" s="794"/>
    </row>
    <row r="4715" spans="30:30" ht="15.75" customHeight="1">
      <c r="AD4715" s="794"/>
    </row>
    <row r="4716" spans="30:30" ht="15.75" customHeight="1">
      <c r="AD4716" s="794"/>
    </row>
    <row r="4717" spans="30:30" ht="15.75" customHeight="1">
      <c r="AD4717" s="794"/>
    </row>
    <row r="4718" spans="30:30" ht="15.75" customHeight="1">
      <c r="AD4718" s="794"/>
    </row>
    <row r="4719" spans="30:30" ht="15.75" customHeight="1">
      <c r="AD4719" s="794"/>
    </row>
    <row r="4720" spans="30:30" ht="15.75" customHeight="1">
      <c r="AD4720" s="794"/>
    </row>
    <row r="4721" spans="30:30" ht="15.75" customHeight="1">
      <c r="AD4721" s="794"/>
    </row>
    <row r="4722" spans="30:30" ht="15.75" customHeight="1">
      <c r="AD4722" s="794"/>
    </row>
    <row r="4723" spans="30:30" ht="15.75" customHeight="1">
      <c r="AD4723" s="794"/>
    </row>
    <row r="4724" spans="30:30" ht="15.75" customHeight="1">
      <c r="AD4724" s="794"/>
    </row>
    <row r="4725" spans="30:30" ht="15.75" customHeight="1">
      <c r="AD4725" s="794"/>
    </row>
    <row r="4726" spans="30:30" ht="15.75" customHeight="1">
      <c r="AD4726" s="794"/>
    </row>
    <row r="4727" spans="30:30" ht="15.75" customHeight="1">
      <c r="AD4727" s="794"/>
    </row>
    <row r="4728" spans="30:30" ht="15.75" customHeight="1">
      <c r="AD4728" s="794"/>
    </row>
    <row r="4729" spans="30:30" ht="15.75" customHeight="1">
      <c r="AD4729" s="794"/>
    </row>
    <row r="4730" spans="30:30" ht="15.75" customHeight="1">
      <c r="AD4730" s="794"/>
    </row>
    <row r="4731" spans="30:30" ht="15.75" customHeight="1">
      <c r="AD4731" s="794"/>
    </row>
    <row r="4732" spans="30:30" ht="15.75" customHeight="1">
      <c r="AD4732" s="794"/>
    </row>
    <row r="4733" spans="30:30" ht="15.75" customHeight="1">
      <c r="AD4733" s="794"/>
    </row>
    <row r="4734" spans="30:30" ht="15.75" customHeight="1">
      <c r="AD4734" s="794"/>
    </row>
    <row r="4735" spans="30:30" ht="15.75" customHeight="1">
      <c r="AD4735" s="794"/>
    </row>
    <row r="4736" spans="30:30" ht="15.75" customHeight="1">
      <c r="AD4736" s="794"/>
    </row>
    <row r="4737" spans="30:30" ht="15.75" customHeight="1">
      <c r="AD4737" s="794"/>
    </row>
    <row r="4738" spans="30:30" ht="15.75" customHeight="1">
      <c r="AD4738" s="794"/>
    </row>
    <row r="4739" spans="30:30" ht="15.75" customHeight="1">
      <c r="AD4739" s="794"/>
    </row>
    <row r="4740" spans="30:30" ht="15.75" customHeight="1">
      <c r="AD4740" s="794"/>
    </row>
    <row r="4741" spans="30:30" ht="15.75" customHeight="1">
      <c r="AD4741" s="794"/>
    </row>
    <row r="4742" spans="30:30" ht="15.75" customHeight="1">
      <c r="AD4742" s="794"/>
    </row>
    <row r="4743" spans="30:30" ht="15.75" customHeight="1">
      <c r="AD4743" s="794"/>
    </row>
    <row r="4744" spans="30:30" ht="15.75" customHeight="1">
      <c r="AD4744" s="794"/>
    </row>
    <row r="4745" spans="30:30" ht="15.75" customHeight="1">
      <c r="AD4745" s="794"/>
    </row>
    <row r="4746" spans="30:30" ht="15.75" customHeight="1">
      <c r="AD4746" s="794"/>
    </row>
    <row r="4747" spans="30:30" ht="15.75" customHeight="1">
      <c r="AD4747" s="794"/>
    </row>
    <row r="4748" spans="30:30" ht="15.75" customHeight="1">
      <c r="AD4748" s="794"/>
    </row>
    <row r="4749" spans="30:30" ht="15.75" customHeight="1">
      <c r="AD4749" s="794"/>
    </row>
    <row r="4750" spans="30:30" ht="15.75" customHeight="1">
      <c r="AD4750" s="794"/>
    </row>
    <row r="4751" spans="30:30" ht="15.75" customHeight="1">
      <c r="AD4751" s="794"/>
    </row>
    <row r="4752" spans="30:30" ht="15.75" customHeight="1">
      <c r="AD4752" s="794"/>
    </row>
    <row r="4753" spans="30:30" ht="15.75" customHeight="1">
      <c r="AD4753" s="794"/>
    </row>
    <row r="4754" spans="30:30" ht="15.75" customHeight="1">
      <c r="AD4754" s="794"/>
    </row>
    <row r="4755" spans="30:30" ht="15.75" customHeight="1">
      <c r="AD4755" s="794"/>
    </row>
    <row r="4756" spans="30:30" ht="15.75" customHeight="1">
      <c r="AD4756" s="794"/>
    </row>
    <row r="4757" spans="30:30" ht="15.75" customHeight="1">
      <c r="AD4757" s="794"/>
    </row>
    <row r="4758" spans="30:30" ht="15.75" customHeight="1">
      <c r="AD4758" s="794"/>
    </row>
    <row r="4759" spans="30:30" ht="15.75" customHeight="1">
      <c r="AD4759" s="794"/>
    </row>
    <row r="4760" spans="30:30" ht="15.75" customHeight="1">
      <c r="AD4760" s="794"/>
    </row>
    <row r="4761" spans="30:30" ht="15.75" customHeight="1">
      <c r="AD4761" s="794"/>
    </row>
    <row r="4762" spans="30:30" ht="15.75" customHeight="1">
      <c r="AD4762" s="794"/>
    </row>
    <row r="4763" spans="30:30" ht="15.75" customHeight="1">
      <c r="AD4763" s="794"/>
    </row>
    <row r="4764" spans="30:30" ht="15.75" customHeight="1">
      <c r="AD4764" s="794"/>
    </row>
    <row r="4765" spans="30:30" ht="15.75" customHeight="1">
      <c r="AD4765" s="794"/>
    </row>
    <row r="4766" spans="30:30" ht="15.75" customHeight="1">
      <c r="AD4766" s="794"/>
    </row>
    <row r="4767" spans="30:30" ht="15.75" customHeight="1">
      <c r="AD4767" s="794"/>
    </row>
    <row r="4768" spans="30:30" ht="15.75" customHeight="1">
      <c r="AD4768" s="794"/>
    </row>
    <row r="4769" spans="30:30" ht="15.75" customHeight="1">
      <c r="AD4769" s="794"/>
    </row>
    <row r="4770" spans="30:30" ht="15.75" customHeight="1">
      <c r="AD4770" s="794"/>
    </row>
    <row r="4771" spans="30:30" ht="15.75" customHeight="1">
      <c r="AD4771" s="794"/>
    </row>
    <row r="4772" spans="30:30" ht="15.75" customHeight="1">
      <c r="AD4772" s="794"/>
    </row>
    <row r="4773" spans="30:30" ht="15.75" customHeight="1">
      <c r="AD4773" s="794"/>
    </row>
    <row r="4774" spans="30:30" ht="15.75" customHeight="1">
      <c r="AD4774" s="794"/>
    </row>
    <row r="4775" spans="30:30" ht="15.75" customHeight="1">
      <c r="AD4775" s="794"/>
    </row>
    <row r="4776" spans="30:30" ht="15.75" customHeight="1">
      <c r="AD4776" s="794"/>
    </row>
    <row r="4777" spans="30:30" ht="15.75" customHeight="1">
      <c r="AD4777" s="794"/>
    </row>
    <row r="4778" spans="30:30" ht="15.75" customHeight="1">
      <c r="AD4778" s="794"/>
    </row>
    <row r="4779" spans="30:30" ht="15.75" customHeight="1">
      <c r="AD4779" s="794"/>
    </row>
    <row r="4780" spans="30:30" ht="15.75" customHeight="1">
      <c r="AD4780" s="794"/>
    </row>
    <row r="4781" spans="30:30" ht="15.75" customHeight="1">
      <c r="AD4781" s="794"/>
    </row>
    <row r="4782" spans="30:30" ht="15.75" customHeight="1">
      <c r="AD4782" s="794"/>
    </row>
    <row r="4783" spans="30:30" ht="15.75" customHeight="1">
      <c r="AD4783" s="794"/>
    </row>
    <row r="4784" spans="30:30" ht="15.75" customHeight="1">
      <c r="AD4784" s="794"/>
    </row>
    <row r="4785" spans="30:30" ht="15.75" customHeight="1">
      <c r="AD4785" s="794"/>
    </row>
    <row r="4786" spans="30:30" ht="15.75" customHeight="1">
      <c r="AD4786" s="794"/>
    </row>
    <row r="4787" spans="30:30" ht="15.75" customHeight="1">
      <c r="AD4787" s="794"/>
    </row>
    <row r="4788" spans="30:30" ht="15.75" customHeight="1">
      <c r="AD4788" s="794"/>
    </row>
    <row r="4789" spans="30:30" ht="15.75" customHeight="1">
      <c r="AD4789" s="794"/>
    </row>
    <row r="4790" spans="30:30" ht="15.75" customHeight="1">
      <c r="AD4790" s="794"/>
    </row>
    <row r="4791" spans="30:30" ht="15.75" customHeight="1">
      <c r="AD4791" s="794"/>
    </row>
    <row r="4792" spans="30:30" ht="15.75" customHeight="1">
      <c r="AD4792" s="794"/>
    </row>
    <row r="4793" spans="30:30" ht="15.75" customHeight="1">
      <c r="AD4793" s="794"/>
    </row>
    <row r="4794" spans="30:30" ht="15.75" customHeight="1">
      <c r="AD4794" s="794"/>
    </row>
    <row r="4795" spans="30:30" ht="15.75" customHeight="1">
      <c r="AD4795" s="794"/>
    </row>
    <row r="4796" spans="30:30" ht="15.75" customHeight="1">
      <c r="AD4796" s="794"/>
    </row>
    <row r="4797" spans="30:30" ht="15.75" customHeight="1">
      <c r="AD4797" s="794"/>
    </row>
    <row r="4798" spans="30:30" ht="15.75" customHeight="1">
      <c r="AD4798" s="794"/>
    </row>
    <row r="4799" spans="30:30" ht="15.75" customHeight="1">
      <c r="AD4799" s="794"/>
    </row>
    <row r="4800" spans="30:30" ht="15.75" customHeight="1">
      <c r="AD4800" s="794"/>
    </row>
    <row r="4801" spans="30:30" ht="15.75" customHeight="1">
      <c r="AD4801" s="794"/>
    </row>
    <row r="4802" spans="30:30" ht="15.75" customHeight="1">
      <c r="AD4802" s="794"/>
    </row>
    <row r="4803" spans="30:30" ht="15.75" customHeight="1">
      <c r="AD4803" s="794"/>
    </row>
    <row r="4804" spans="30:30" ht="15.75" customHeight="1">
      <c r="AD4804" s="794"/>
    </row>
    <row r="4805" spans="30:30" ht="15.75" customHeight="1">
      <c r="AD4805" s="794"/>
    </row>
    <row r="4806" spans="30:30" ht="15.75" customHeight="1">
      <c r="AD4806" s="794"/>
    </row>
    <row r="4807" spans="30:30" ht="15.75" customHeight="1">
      <c r="AD4807" s="794"/>
    </row>
    <row r="4808" spans="30:30" ht="15.75" customHeight="1">
      <c r="AD4808" s="794"/>
    </row>
    <row r="4809" spans="30:30" ht="15.75" customHeight="1">
      <c r="AD4809" s="794"/>
    </row>
    <row r="4810" spans="30:30" ht="15.75" customHeight="1">
      <c r="AD4810" s="794"/>
    </row>
    <row r="4811" spans="30:30" ht="15.75" customHeight="1">
      <c r="AD4811" s="794"/>
    </row>
    <row r="4812" spans="30:30" ht="15.75" customHeight="1">
      <c r="AD4812" s="794"/>
    </row>
    <row r="4813" spans="30:30" ht="15.75" customHeight="1">
      <c r="AD4813" s="794"/>
    </row>
    <row r="4814" spans="30:30" ht="15.75" customHeight="1">
      <c r="AD4814" s="794"/>
    </row>
    <row r="4815" spans="30:30" ht="15.75" customHeight="1">
      <c r="AD4815" s="794"/>
    </row>
    <row r="4816" spans="30:30" ht="15.75" customHeight="1">
      <c r="AD4816" s="794"/>
    </row>
    <row r="4817" spans="30:30" ht="15.75" customHeight="1">
      <c r="AD4817" s="794"/>
    </row>
    <row r="4818" spans="30:30" ht="15.75" customHeight="1">
      <c r="AD4818" s="794"/>
    </row>
    <row r="4819" spans="30:30" ht="15.75" customHeight="1">
      <c r="AD4819" s="794"/>
    </row>
    <row r="4820" spans="30:30" ht="15.75" customHeight="1">
      <c r="AD4820" s="794"/>
    </row>
    <row r="4821" spans="30:30" ht="15.75" customHeight="1">
      <c r="AD4821" s="794"/>
    </row>
    <row r="4822" spans="30:30" ht="15.75" customHeight="1">
      <c r="AD4822" s="794"/>
    </row>
    <row r="4823" spans="30:30" ht="15.75" customHeight="1">
      <c r="AD4823" s="794"/>
    </row>
    <row r="4824" spans="30:30" ht="15.75" customHeight="1">
      <c r="AD4824" s="794"/>
    </row>
    <row r="4825" spans="30:30" ht="15.75" customHeight="1">
      <c r="AD4825" s="794"/>
    </row>
    <row r="4826" spans="30:30" ht="15.75" customHeight="1">
      <c r="AD4826" s="794"/>
    </row>
    <row r="4827" spans="30:30" ht="15.75" customHeight="1">
      <c r="AD4827" s="794"/>
    </row>
    <row r="4828" spans="30:30" ht="15.75" customHeight="1">
      <c r="AD4828" s="794"/>
    </row>
    <row r="4829" spans="30:30" ht="15.75" customHeight="1">
      <c r="AD4829" s="794"/>
    </row>
    <row r="4830" spans="30:30" ht="15.75" customHeight="1">
      <c r="AD4830" s="794"/>
    </row>
    <row r="4831" spans="30:30" ht="15.75" customHeight="1">
      <c r="AD4831" s="794"/>
    </row>
    <row r="4832" spans="30:30" ht="15.75" customHeight="1">
      <c r="AD4832" s="794"/>
    </row>
    <row r="4833" spans="30:30" ht="15.75" customHeight="1">
      <c r="AD4833" s="794"/>
    </row>
    <row r="4834" spans="30:30" ht="15.75" customHeight="1">
      <c r="AD4834" s="794"/>
    </row>
    <row r="4835" spans="30:30" ht="15.75" customHeight="1">
      <c r="AD4835" s="794"/>
    </row>
    <row r="4836" spans="30:30" ht="15.75" customHeight="1">
      <c r="AD4836" s="794"/>
    </row>
    <row r="4837" spans="30:30" ht="15.75" customHeight="1">
      <c r="AD4837" s="794"/>
    </row>
    <row r="4838" spans="30:30" ht="15.75" customHeight="1">
      <c r="AD4838" s="794"/>
    </row>
    <row r="4839" spans="30:30" ht="15.75" customHeight="1">
      <c r="AD4839" s="794"/>
    </row>
    <row r="4840" spans="30:30" ht="15.75" customHeight="1">
      <c r="AD4840" s="794"/>
    </row>
    <row r="4841" spans="30:30" ht="15.75" customHeight="1">
      <c r="AD4841" s="794"/>
    </row>
    <row r="4842" spans="30:30" ht="15.75" customHeight="1">
      <c r="AD4842" s="794"/>
    </row>
    <row r="4843" spans="30:30" ht="15.75" customHeight="1">
      <c r="AD4843" s="794"/>
    </row>
    <row r="4844" spans="30:30" ht="15.75" customHeight="1">
      <c r="AD4844" s="794"/>
    </row>
    <row r="4845" spans="30:30" ht="15.75" customHeight="1">
      <c r="AD4845" s="794"/>
    </row>
    <row r="4846" spans="30:30" ht="15.75" customHeight="1">
      <c r="AD4846" s="794"/>
    </row>
    <row r="4847" spans="30:30" ht="15.75" customHeight="1">
      <c r="AD4847" s="794"/>
    </row>
    <row r="4848" spans="30:30" ht="15.75" customHeight="1">
      <c r="AD4848" s="794"/>
    </row>
    <row r="4849" spans="30:30" ht="15.75" customHeight="1">
      <c r="AD4849" s="794"/>
    </row>
    <row r="4850" spans="30:30" ht="15.75" customHeight="1">
      <c r="AD4850" s="794"/>
    </row>
    <row r="4851" spans="30:30" ht="15.75" customHeight="1">
      <c r="AD4851" s="794"/>
    </row>
    <row r="4852" spans="30:30" ht="15.75" customHeight="1">
      <c r="AD4852" s="794"/>
    </row>
    <row r="4853" spans="30:30" ht="15.75" customHeight="1">
      <c r="AD4853" s="794"/>
    </row>
    <row r="4854" spans="30:30" ht="15.75" customHeight="1">
      <c r="AD4854" s="794"/>
    </row>
    <row r="4855" spans="30:30" ht="15.75" customHeight="1">
      <c r="AD4855" s="794"/>
    </row>
    <row r="4856" spans="30:30" ht="15.75" customHeight="1">
      <c r="AD4856" s="794"/>
    </row>
    <row r="4857" spans="30:30" ht="15.75" customHeight="1">
      <c r="AD4857" s="794"/>
    </row>
    <row r="4858" spans="30:30" ht="15.75" customHeight="1">
      <c r="AD4858" s="794"/>
    </row>
    <row r="4859" spans="30:30" ht="15.75" customHeight="1">
      <c r="AD4859" s="794"/>
    </row>
    <row r="4860" spans="30:30" ht="15.75" customHeight="1">
      <c r="AD4860" s="794"/>
    </row>
    <row r="4861" spans="30:30" ht="15.75" customHeight="1">
      <c r="AD4861" s="794"/>
    </row>
    <row r="4862" spans="30:30" ht="15.75" customHeight="1">
      <c r="AD4862" s="794"/>
    </row>
    <row r="4863" spans="30:30" ht="15.75" customHeight="1">
      <c r="AD4863" s="794"/>
    </row>
    <row r="4864" spans="30:30" ht="15.75" customHeight="1">
      <c r="AD4864" s="794"/>
    </row>
    <row r="4865" spans="30:30" ht="15.75" customHeight="1">
      <c r="AD4865" s="794"/>
    </row>
    <row r="4866" spans="30:30" ht="15.75" customHeight="1">
      <c r="AD4866" s="794"/>
    </row>
    <row r="4867" spans="30:30" ht="15.75" customHeight="1">
      <c r="AD4867" s="794"/>
    </row>
    <row r="4868" spans="30:30" ht="15.75" customHeight="1">
      <c r="AD4868" s="794"/>
    </row>
    <row r="4869" spans="30:30" ht="15.75" customHeight="1">
      <c r="AD4869" s="794"/>
    </row>
    <row r="4870" spans="30:30" ht="15.75" customHeight="1">
      <c r="AD4870" s="794"/>
    </row>
    <row r="4871" spans="30:30" ht="15.75" customHeight="1">
      <c r="AD4871" s="794"/>
    </row>
    <row r="4872" spans="30:30" ht="15.75" customHeight="1">
      <c r="AD4872" s="794"/>
    </row>
    <row r="4873" spans="30:30" ht="15.75" customHeight="1">
      <c r="AD4873" s="794"/>
    </row>
    <row r="4874" spans="30:30" ht="15.75" customHeight="1">
      <c r="AD4874" s="794"/>
    </row>
    <row r="4875" spans="30:30" ht="15.75" customHeight="1">
      <c r="AD4875" s="794"/>
    </row>
    <row r="4876" spans="30:30" ht="15.75" customHeight="1">
      <c r="AD4876" s="794"/>
    </row>
    <row r="4877" spans="30:30" ht="15.75" customHeight="1">
      <c r="AD4877" s="794"/>
    </row>
    <row r="4878" spans="30:30" ht="15.75" customHeight="1">
      <c r="AD4878" s="794"/>
    </row>
    <row r="4879" spans="30:30" ht="15.75" customHeight="1">
      <c r="AD4879" s="794"/>
    </row>
    <row r="4880" spans="30:30" ht="15.75" customHeight="1">
      <c r="AD4880" s="794"/>
    </row>
    <row r="4881" spans="30:30" ht="15.75" customHeight="1">
      <c r="AD4881" s="794"/>
    </row>
    <row r="4882" spans="30:30" ht="15.75" customHeight="1">
      <c r="AD4882" s="794"/>
    </row>
    <row r="4883" spans="30:30" ht="15.75" customHeight="1">
      <c r="AD4883" s="794"/>
    </row>
    <row r="4884" spans="30:30" ht="15.75" customHeight="1">
      <c r="AD4884" s="794"/>
    </row>
    <row r="4885" spans="30:30" ht="15.75" customHeight="1">
      <c r="AD4885" s="794"/>
    </row>
    <row r="4886" spans="30:30" ht="15.75" customHeight="1">
      <c r="AD4886" s="794"/>
    </row>
    <row r="4887" spans="30:30" ht="15.75" customHeight="1">
      <c r="AD4887" s="794"/>
    </row>
    <row r="4888" spans="30:30" ht="15.75" customHeight="1">
      <c r="AD4888" s="794"/>
    </row>
    <row r="4889" spans="30:30" ht="15.75" customHeight="1">
      <c r="AD4889" s="794"/>
    </row>
    <row r="4890" spans="30:30" ht="15.75" customHeight="1">
      <c r="AD4890" s="794"/>
    </row>
    <row r="4891" spans="30:30" ht="15.75" customHeight="1">
      <c r="AD4891" s="794"/>
    </row>
    <row r="4892" spans="30:30" ht="15.75" customHeight="1">
      <c r="AD4892" s="794"/>
    </row>
    <row r="4893" spans="30:30" ht="15.75" customHeight="1">
      <c r="AD4893" s="794"/>
    </row>
    <row r="4894" spans="30:30" ht="15.75" customHeight="1">
      <c r="AD4894" s="794"/>
    </row>
    <row r="4895" spans="30:30" ht="15.75" customHeight="1">
      <c r="AD4895" s="794"/>
    </row>
    <row r="4896" spans="30:30" ht="15.75" customHeight="1">
      <c r="AD4896" s="794"/>
    </row>
    <row r="4897" spans="30:30" ht="15.75" customHeight="1">
      <c r="AD4897" s="794"/>
    </row>
    <row r="4898" spans="30:30" ht="15.75" customHeight="1">
      <c r="AD4898" s="794"/>
    </row>
    <row r="4899" spans="30:30" ht="15.75" customHeight="1">
      <c r="AD4899" s="794"/>
    </row>
    <row r="4900" spans="30:30" ht="15.75" customHeight="1">
      <c r="AD4900" s="794"/>
    </row>
    <row r="4901" spans="30:30" ht="15.75" customHeight="1">
      <c r="AD4901" s="794"/>
    </row>
    <row r="4902" spans="30:30" ht="15.75" customHeight="1">
      <c r="AD4902" s="794"/>
    </row>
    <row r="4903" spans="30:30" ht="15.75" customHeight="1">
      <c r="AD4903" s="794"/>
    </row>
    <row r="4904" spans="30:30" ht="15.75" customHeight="1">
      <c r="AD4904" s="794"/>
    </row>
    <row r="4905" spans="30:30" ht="15.75" customHeight="1">
      <c r="AD4905" s="794"/>
    </row>
    <row r="4906" spans="30:30" ht="15.75" customHeight="1">
      <c r="AD4906" s="794"/>
    </row>
    <row r="4907" spans="30:30" ht="15.75" customHeight="1">
      <c r="AD4907" s="794"/>
    </row>
    <row r="4908" spans="30:30" ht="15.75" customHeight="1">
      <c r="AD4908" s="794"/>
    </row>
    <row r="4909" spans="30:30" ht="15.75" customHeight="1">
      <c r="AD4909" s="794"/>
    </row>
    <row r="4910" spans="30:30" ht="15.75" customHeight="1">
      <c r="AD4910" s="794"/>
    </row>
    <row r="4911" spans="30:30" ht="15.75" customHeight="1">
      <c r="AD4911" s="794"/>
    </row>
    <row r="4912" spans="30:30" ht="15.75" customHeight="1">
      <c r="AD4912" s="794"/>
    </row>
    <row r="4913" spans="30:30" ht="15.75" customHeight="1">
      <c r="AD4913" s="794"/>
    </row>
    <row r="4914" spans="30:30" ht="15.75" customHeight="1">
      <c r="AD4914" s="794"/>
    </row>
    <row r="4915" spans="30:30" ht="15.75" customHeight="1">
      <c r="AD4915" s="794"/>
    </row>
    <row r="4916" spans="30:30" ht="15.75" customHeight="1">
      <c r="AD4916" s="794"/>
    </row>
    <row r="4917" spans="30:30" ht="15.75" customHeight="1">
      <c r="AD4917" s="794"/>
    </row>
    <row r="4918" spans="30:30" ht="15.75" customHeight="1">
      <c r="AD4918" s="794"/>
    </row>
    <row r="4919" spans="30:30" ht="15.75" customHeight="1">
      <c r="AD4919" s="794"/>
    </row>
    <row r="4920" spans="30:30" ht="15.75" customHeight="1">
      <c r="AD4920" s="794"/>
    </row>
    <row r="4921" spans="30:30" ht="15.75" customHeight="1">
      <c r="AD4921" s="794"/>
    </row>
    <row r="4922" spans="30:30" ht="15.75" customHeight="1">
      <c r="AD4922" s="794"/>
    </row>
    <row r="4923" spans="30:30" ht="15.75" customHeight="1">
      <c r="AD4923" s="794"/>
    </row>
    <row r="4924" spans="30:30" ht="15.75" customHeight="1">
      <c r="AD4924" s="794"/>
    </row>
    <row r="4925" spans="30:30" ht="15.75" customHeight="1">
      <c r="AD4925" s="794"/>
    </row>
    <row r="4926" spans="30:30" ht="15.75" customHeight="1">
      <c r="AD4926" s="794"/>
    </row>
    <row r="4927" spans="30:30" ht="15.75" customHeight="1">
      <c r="AD4927" s="794"/>
    </row>
    <row r="4928" spans="30:30" ht="15.75" customHeight="1">
      <c r="AD4928" s="794"/>
    </row>
    <row r="4929" spans="30:30" ht="15.75" customHeight="1">
      <c r="AD4929" s="794"/>
    </row>
    <row r="4930" spans="30:30" ht="15.75" customHeight="1">
      <c r="AD4930" s="794"/>
    </row>
    <row r="4931" spans="30:30" ht="15.75" customHeight="1">
      <c r="AD4931" s="794"/>
    </row>
    <row r="4932" spans="30:30" ht="15.75" customHeight="1">
      <c r="AD4932" s="794"/>
    </row>
    <row r="4933" spans="30:30" ht="15.75" customHeight="1">
      <c r="AD4933" s="794"/>
    </row>
    <row r="4934" spans="30:30" ht="15.75" customHeight="1">
      <c r="AD4934" s="794"/>
    </row>
    <row r="4935" spans="30:30" ht="15.75" customHeight="1">
      <c r="AD4935" s="794"/>
    </row>
    <row r="4936" spans="30:30" ht="15.75" customHeight="1">
      <c r="AD4936" s="794"/>
    </row>
    <row r="4937" spans="30:30" ht="15.75" customHeight="1">
      <c r="AD4937" s="794"/>
    </row>
    <row r="4938" spans="30:30" ht="15.75" customHeight="1">
      <c r="AD4938" s="794"/>
    </row>
    <row r="4939" spans="30:30" ht="15.75" customHeight="1">
      <c r="AD4939" s="794"/>
    </row>
    <row r="4940" spans="30:30" ht="15.75" customHeight="1">
      <c r="AD4940" s="794"/>
    </row>
    <row r="4941" spans="30:30" ht="15.75" customHeight="1">
      <c r="AD4941" s="794"/>
    </row>
    <row r="4942" spans="30:30" ht="15.75" customHeight="1">
      <c r="AD4942" s="794"/>
    </row>
    <row r="4943" spans="30:30" ht="15.75" customHeight="1">
      <c r="AD4943" s="794"/>
    </row>
    <row r="4944" spans="30:30" ht="15.75" customHeight="1">
      <c r="AD4944" s="794"/>
    </row>
    <row r="4945" spans="30:30" ht="15.75" customHeight="1">
      <c r="AD4945" s="794"/>
    </row>
    <row r="4946" spans="30:30" ht="15.75" customHeight="1">
      <c r="AD4946" s="794"/>
    </row>
    <row r="4947" spans="30:30" ht="15.75" customHeight="1">
      <c r="AD4947" s="794"/>
    </row>
    <row r="4948" spans="30:30" ht="15.75" customHeight="1">
      <c r="AD4948" s="794"/>
    </row>
    <row r="4949" spans="30:30" ht="15.75" customHeight="1">
      <c r="AD4949" s="794"/>
    </row>
    <row r="4950" spans="30:30" ht="15.75" customHeight="1">
      <c r="AD4950" s="794"/>
    </row>
    <row r="4951" spans="30:30" ht="15.75" customHeight="1">
      <c r="AD4951" s="794"/>
    </row>
    <row r="4952" spans="30:30" ht="15.75" customHeight="1">
      <c r="AD4952" s="794"/>
    </row>
    <row r="4953" spans="30:30" ht="15.75" customHeight="1">
      <c r="AD4953" s="794"/>
    </row>
    <row r="4954" spans="30:30" ht="15.75" customHeight="1">
      <c r="AD4954" s="794"/>
    </row>
    <row r="4955" spans="30:30" ht="15.75" customHeight="1">
      <c r="AD4955" s="794"/>
    </row>
    <row r="4956" spans="30:30" ht="15.75" customHeight="1">
      <c r="AD4956" s="794"/>
    </row>
    <row r="4957" spans="30:30" ht="15.75" customHeight="1">
      <c r="AD4957" s="794"/>
    </row>
    <row r="4958" spans="30:30" ht="15.75" customHeight="1">
      <c r="AD4958" s="794"/>
    </row>
    <row r="4959" spans="30:30" ht="15.75" customHeight="1">
      <c r="AD4959" s="794"/>
    </row>
    <row r="4960" spans="30:30" ht="15.75" customHeight="1">
      <c r="AD4960" s="794"/>
    </row>
    <row r="4961" spans="30:30" ht="15.75" customHeight="1">
      <c r="AD4961" s="794"/>
    </row>
    <row r="4962" spans="30:30" ht="15.75" customHeight="1">
      <c r="AD4962" s="794"/>
    </row>
    <row r="4963" spans="30:30" ht="15.75" customHeight="1">
      <c r="AD4963" s="794"/>
    </row>
    <row r="4964" spans="30:30" ht="15.75" customHeight="1">
      <c r="AD4964" s="794"/>
    </row>
    <row r="4965" spans="30:30" ht="15.75" customHeight="1">
      <c r="AD4965" s="794"/>
    </row>
    <row r="4966" spans="30:30" ht="15.75" customHeight="1">
      <c r="AD4966" s="794"/>
    </row>
    <row r="4967" spans="30:30" ht="15.75" customHeight="1">
      <c r="AD4967" s="794"/>
    </row>
    <row r="4968" spans="30:30" ht="15.75" customHeight="1">
      <c r="AD4968" s="794"/>
    </row>
    <row r="4969" spans="30:30" ht="15.75" customHeight="1">
      <c r="AD4969" s="794"/>
    </row>
    <row r="4970" spans="30:30" ht="15.75" customHeight="1">
      <c r="AD4970" s="794"/>
    </row>
    <row r="4971" spans="30:30" ht="15.75" customHeight="1">
      <c r="AD4971" s="794"/>
    </row>
    <row r="4972" spans="30:30" ht="15.75" customHeight="1">
      <c r="AD4972" s="794"/>
    </row>
    <row r="4973" spans="30:30" ht="15.75" customHeight="1">
      <c r="AD4973" s="794"/>
    </row>
    <row r="4974" spans="30:30" ht="15.75" customHeight="1">
      <c r="AD4974" s="794"/>
    </row>
    <row r="4975" spans="30:30" ht="15.75" customHeight="1">
      <c r="AD4975" s="794"/>
    </row>
    <row r="4976" spans="30:30" ht="15.75" customHeight="1">
      <c r="AD4976" s="794"/>
    </row>
    <row r="4977" spans="30:30" ht="15.75" customHeight="1">
      <c r="AD4977" s="794"/>
    </row>
    <row r="4978" spans="30:30" ht="15.75" customHeight="1">
      <c r="AD4978" s="794"/>
    </row>
    <row r="4979" spans="30:30" ht="15.75" customHeight="1">
      <c r="AD4979" s="794"/>
    </row>
    <row r="4980" spans="30:30" ht="15.75" customHeight="1">
      <c r="AD4980" s="794"/>
    </row>
    <row r="4981" spans="30:30" ht="15.75" customHeight="1">
      <c r="AD4981" s="794"/>
    </row>
    <row r="4982" spans="30:30" ht="15.75" customHeight="1">
      <c r="AD4982" s="794"/>
    </row>
    <row r="4983" spans="30:30" ht="15.75" customHeight="1">
      <c r="AD4983" s="794"/>
    </row>
    <row r="4984" spans="30:30" ht="15.75" customHeight="1">
      <c r="AD4984" s="794"/>
    </row>
    <row r="4985" spans="30:30" ht="15.75" customHeight="1">
      <c r="AD4985" s="794"/>
    </row>
    <row r="4986" spans="30:30" ht="15.75" customHeight="1">
      <c r="AD4986" s="794"/>
    </row>
    <row r="4987" spans="30:30" ht="15.75" customHeight="1">
      <c r="AD4987" s="794"/>
    </row>
    <row r="4988" spans="30:30" ht="15.75" customHeight="1">
      <c r="AD4988" s="794"/>
    </row>
    <row r="4989" spans="30:30" ht="15.75" customHeight="1">
      <c r="AD4989" s="794"/>
    </row>
    <row r="4990" spans="30:30" ht="15.75" customHeight="1">
      <c r="AD4990" s="794"/>
    </row>
    <row r="4991" spans="30:30" ht="15.75" customHeight="1">
      <c r="AD4991" s="794"/>
    </row>
    <row r="4992" spans="30:30" ht="15.75" customHeight="1">
      <c r="AD4992" s="794"/>
    </row>
    <row r="4993" spans="30:30" ht="15.75" customHeight="1">
      <c r="AD4993" s="794"/>
    </row>
    <row r="4994" spans="30:30" ht="15.75" customHeight="1">
      <c r="AD4994" s="794"/>
    </row>
    <row r="4995" spans="30:30" ht="15.75" customHeight="1">
      <c r="AD4995" s="794"/>
    </row>
    <row r="4996" spans="30:30" ht="15.75" customHeight="1">
      <c r="AD4996" s="794"/>
    </row>
    <row r="4997" spans="30:30" ht="15.75" customHeight="1">
      <c r="AD4997" s="794"/>
    </row>
    <row r="4998" spans="30:30" ht="15.75" customHeight="1">
      <c r="AD4998" s="794"/>
    </row>
    <row r="4999" spans="30:30" ht="15.75" customHeight="1">
      <c r="AD4999" s="794"/>
    </row>
    <row r="5000" spans="30:30" ht="15.75" customHeight="1">
      <c r="AD5000" s="794"/>
    </row>
    <row r="5001" spans="30:30" ht="15.75" customHeight="1">
      <c r="AD5001" s="794"/>
    </row>
    <row r="5002" spans="30:30" ht="15.75" customHeight="1">
      <c r="AD5002" s="794"/>
    </row>
    <row r="5003" spans="30:30" ht="15.75" customHeight="1">
      <c r="AD5003" s="794"/>
    </row>
    <row r="5004" spans="30:30" ht="15.75" customHeight="1">
      <c r="AD5004" s="794"/>
    </row>
    <row r="5005" spans="30:30" ht="15.75" customHeight="1">
      <c r="AD5005" s="794"/>
    </row>
    <row r="5006" spans="30:30" ht="15.75" customHeight="1">
      <c r="AD5006" s="794"/>
    </row>
    <row r="5007" spans="30:30" ht="15.75" customHeight="1">
      <c r="AD5007" s="794"/>
    </row>
    <row r="5008" spans="30:30" ht="15.75" customHeight="1">
      <c r="AD5008" s="794"/>
    </row>
    <row r="5009" spans="30:30" ht="15.75" customHeight="1">
      <c r="AD5009" s="794"/>
    </row>
    <row r="5010" spans="30:30" ht="15.75" customHeight="1">
      <c r="AD5010" s="794"/>
    </row>
    <row r="5011" spans="30:30" ht="15.75" customHeight="1">
      <c r="AD5011" s="794"/>
    </row>
    <row r="5012" spans="30:30" ht="15.75" customHeight="1">
      <c r="AD5012" s="794"/>
    </row>
    <row r="5013" spans="30:30" ht="15.75" customHeight="1">
      <c r="AD5013" s="794"/>
    </row>
    <row r="5014" spans="30:30" ht="15.75" customHeight="1">
      <c r="AD5014" s="794"/>
    </row>
    <row r="5015" spans="30:30" ht="15.75" customHeight="1">
      <c r="AD5015" s="794"/>
    </row>
    <row r="5016" spans="30:30" ht="15.75" customHeight="1">
      <c r="AD5016" s="794"/>
    </row>
    <row r="5017" spans="30:30" ht="15.75" customHeight="1">
      <c r="AD5017" s="794"/>
    </row>
    <row r="5018" spans="30:30" ht="15.75" customHeight="1">
      <c r="AD5018" s="794"/>
    </row>
    <row r="5019" spans="30:30" ht="15.75" customHeight="1">
      <c r="AD5019" s="794"/>
    </row>
    <row r="5020" spans="30:30" ht="15.75" customHeight="1">
      <c r="AD5020" s="794"/>
    </row>
    <row r="5021" spans="30:30" ht="15.75" customHeight="1">
      <c r="AD5021" s="794"/>
    </row>
    <row r="5022" spans="30:30" ht="15.75" customHeight="1">
      <c r="AD5022" s="794"/>
    </row>
    <row r="5023" spans="30:30" ht="15.75" customHeight="1">
      <c r="AD5023" s="794"/>
    </row>
    <row r="5024" spans="30:30" ht="15.75" customHeight="1">
      <c r="AD5024" s="794"/>
    </row>
    <row r="5025" spans="30:30" ht="15.75" customHeight="1">
      <c r="AD5025" s="794"/>
    </row>
    <row r="5026" spans="30:30" ht="15.75" customHeight="1">
      <c r="AD5026" s="794"/>
    </row>
    <row r="5027" spans="30:30" ht="15.75" customHeight="1">
      <c r="AD5027" s="794"/>
    </row>
    <row r="5028" spans="30:30" ht="15.75" customHeight="1">
      <c r="AD5028" s="794"/>
    </row>
    <row r="5029" spans="30:30" ht="15.75" customHeight="1">
      <c r="AD5029" s="794"/>
    </row>
    <row r="5030" spans="30:30" ht="15.75" customHeight="1">
      <c r="AD5030" s="794"/>
    </row>
    <row r="5031" spans="30:30" ht="15.75" customHeight="1">
      <c r="AD5031" s="794"/>
    </row>
    <row r="5032" spans="30:30" ht="15.75" customHeight="1">
      <c r="AD5032" s="794"/>
    </row>
    <row r="5033" spans="30:30" ht="15.75" customHeight="1">
      <c r="AD5033" s="794"/>
    </row>
    <row r="5034" spans="30:30" ht="15.75" customHeight="1">
      <c r="AD5034" s="794"/>
    </row>
    <row r="5035" spans="30:30" ht="15.75" customHeight="1">
      <c r="AD5035" s="794"/>
    </row>
    <row r="5036" spans="30:30" ht="15.75" customHeight="1">
      <c r="AD5036" s="794"/>
    </row>
    <row r="5037" spans="30:30" ht="15.75" customHeight="1">
      <c r="AD5037" s="794"/>
    </row>
    <row r="5038" spans="30:30" ht="15.75" customHeight="1">
      <c r="AD5038" s="794"/>
    </row>
    <row r="5039" spans="30:30" ht="15.75" customHeight="1">
      <c r="AD5039" s="794"/>
    </row>
    <row r="5040" spans="30:30" ht="15.75" customHeight="1">
      <c r="AD5040" s="794"/>
    </row>
    <row r="5041" spans="30:30" ht="15.75" customHeight="1">
      <c r="AD5041" s="794"/>
    </row>
    <row r="5042" spans="30:30" ht="15.75" customHeight="1">
      <c r="AD5042" s="794"/>
    </row>
    <row r="5043" spans="30:30" ht="15.75" customHeight="1">
      <c r="AD5043" s="794"/>
    </row>
    <row r="5044" spans="30:30" ht="15.75" customHeight="1">
      <c r="AD5044" s="794"/>
    </row>
    <row r="5045" spans="30:30" ht="15.75" customHeight="1">
      <c r="AD5045" s="794"/>
    </row>
    <row r="5046" spans="30:30" ht="15.75" customHeight="1">
      <c r="AD5046" s="794"/>
    </row>
    <row r="5047" spans="30:30" ht="15.75" customHeight="1">
      <c r="AD5047" s="794"/>
    </row>
    <row r="5048" spans="30:30" ht="15.75" customHeight="1">
      <c r="AD5048" s="794"/>
    </row>
    <row r="5049" spans="30:30" ht="15.75" customHeight="1">
      <c r="AD5049" s="794"/>
    </row>
    <row r="5050" spans="30:30" ht="15.75" customHeight="1">
      <c r="AD5050" s="794"/>
    </row>
    <row r="5051" spans="30:30" ht="15.75" customHeight="1">
      <c r="AD5051" s="794"/>
    </row>
    <row r="5052" spans="30:30" ht="15.75" customHeight="1">
      <c r="AD5052" s="794"/>
    </row>
    <row r="5053" spans="30:30" ht="15.75" customHeight="1">
      <c r="AD5053" s="794"/>
    </row>
    <row r="5054" spans="30:30" ht="15.75" customHeight="1">
      <c r="AD5054" s="794"/>
    </row>
    <row r="5055" spans="30:30" ht="15.75" customHeight="1">
      <c r="AD5055" s="794"/>
    </row>
    <row r="5056" spans="30:30" ht="15.75" customHeight="1">
      <c r="AD5056" s="794"/>
    </row>
    <row r="5057" spans="30:30" ht="15.75" customHeight="1">
      <c r="AD5057" s="794"/>
    </row>
    <row r="5058" spans="30:30" ht="15.75" customHeight="1">
      <c r="AD5058" s="794"/>
    </row>
    <row r="5059" spans="30:30" ht="15.75" customHeight="1">
      <c r="AD5059" s="794"/>
    </row>
    <row r="5060" spans="30:30" ht="15.75" customHeight="1">
      <c r="AD5060" s="794"/>
    </row>
    <row r="5061" spans="30:30" ht="15.75" customHeight="1">
      <c r="AD5061" s="794"/>
    </row>
    <row r="5062" spans="30:30" ht="15.75" customHeight="1">
      <c r="AD5062" s="794"/>
    </row>
    <row r="5063" spans="30:30" ht="15.75" customHeight="1">
      <c r="AD5063" s="794"/>
    </row>
    <row r="5064" spans="30:30" ht="15.75" customHeight="1">
      <c r="AD5064" s="794"/>
    </row>
    <row r="5065" spans="30:30" ht="15.75" customHeight="1">
      <c r="AD5065" s="794"/>
    </row>
    <row r="5066" spans="30:30" ht="15.75" customHeight="1">
      <c r="AD5066" s="794"/>
    </row>
    <row r="5067" spans="30:30" ht="15.75" customHeight="1">
      <c r="AD5067" s="794"/>
    </row>
    <row r="5068" spans="30:30" ht="15.75" customHeight="1">
      <c r="AD5068" s="794"/>
    </row>
    <row r="5069" spans="30:30" ht="15.75" customHeight="1">
      <c r="AD5069" s="794"/>
    </row>
    <row r="5070" spans="30:30" ht="15.75" customHeight="1">
      <c r="AD5070" s="794"/>
    </row>
    <row r="5071" spans="30:30" ht="15.75" customHeight="1">
      <c r="AD5071" s="794"/>
    </row>
    <row r="5072" spans="30:30" ht="15.75" customHeight="1">
      <c r="AD5072" s="794"/>
    </row>
    <row r="5073" spans="30:30" ht="15.75" customHeight="1">
      <c r="AD5073" s="794"/>
    </row>
    <row r="5074" spans="30:30" ht="15.75" customHeight="1">
      <c r="AD5074" s="794"/>
    </row>
    <row r="5075" spans="30:30" ht="15.75" customHeight="1">
      <c r="AD5075" s="794"/>
    </row>
    <row r="5076" spans="30:30" ht="15.75" customHeight="1">
      <c r="AD5076" s="794"/>
    </row>
    <row r="5077" spans="30:30" ht="15.75" customHeight="1">
      <c r="AD5077" s="794"/>
    </row>
    <row r="5078" spans="30:30" ht="15.75" customHeight="1">
      <c r="AD5078" s="794"/>
    </row>
    <row r="5079" spans="30:30" ht="15.75" customHeight="1">
      <c r="AD5079" s="794"/>
    </row>
    <row r="5080" spans="30:30" ht="15.75" customHeight="1">
      <c r="AD5080" s="794"/>
    </row>
    <row r="5081" spans="30:30" ht="15.75" customHeight="1">
      <c r="AD5081" s="794"/>
    </row>
    <row r="5082" spans="30:30" ht="15.75" customHeight="1">
      <c r="AD5082" s="794"/>
    </row>
    <row r="5083" spans="30:30" ht="15.75" customHeight="1">
      <c r="AD5083" s="794"/>
    </row>
    <row r="5084" spans="30:30" ht="15.75" customHeight="1">
      <c r="AD5084" s="794"/>
    </row>
    <row r="5085" spans="30:30" ht="15.75" customHeight="1">
      <c r="AD5085" s="794"/>
    </row>
    <row r="5086" spans="30:30" ht="15.75" customHeight="1">
      <c r="AD5086" s="794"/>
    </row>
    <row r="5087" spans="30:30" ht="15.75" customHeight="1">
      <c r="AD5087" s="794"/>
    </row>
    <row r="5088" spans="30:30" ht="15.75" customHeight="1">
      <c r="AD5088" s="794"/>
    </row>
    <row r="5089" spans="30:30" ht="15.75" customHeight="1">
      <c r="AD5089" s="794"/>
    </row>
    <row r="5090" spans="30:30" ht="15.75" customHeight="1">
      <c r="AD5090" s="794"/>
    </row>
    <row r="5091" spans="30:30" ht="15.75" customHeight="1">
      <c r="AD5091" s="794"/>
    </row>
    <row r="5092" spans="30:30" ht="15.75" customHeight="1">
      <c r="AD5092" s="794"/>
    </row>
    <row r="5093" spans="30:30" ht="15.75" customHeight="1">
      <c r="AD5093" s="794"/>
    </row>
    <row r="5094" spans="30:30" ht="15.75" customHeight="1">
      <c r="AD5094" s="794"/>
    </row>
    <row r="5095" spans="30:30" ht="15.75" customHeight="1">
      <c r="AD5095" s="794"/>
    </row>
    <row r="5096" spans="30:30" ht="15.75" customHeight="1">
      <c r="AD5096" s="794"/>
    </row>
    <row r="5097" spans="30:30" ht="15.75" customHeight="1">
      <c r="AD5097" s="794"/>
    </row>
    <row r="5098" spans="30:30" ht="15.75" customHeight="1">
      <c r="AD5098" s="794"/>
    </row>
    <row r="5099" spans="30:30" ht="15.75" customHeight="1">
      <c r="AD5099" s="794"/>
    </row>
    <row r="5100" spans="30:30" ht="15.75" customHeight="1">
      <c r="AD5100" s="794"/>
    </row>
    <row r="5101" spans="30:30" ht="15.75" customHeight="1">
      <c r="AD5101" s="794"/>
    </row>
    <row r="5102" spans="30:30" ht="15.75" customHeight="1">
      <c r="AD5102" s="794"/>
    </row>
    <row r="5103" spans="30:30" ht="15.75" customHeight="1">
      <c r="AD5103" s="794"/>
    </row>
    <row r="5104" spans="30:30" ht="15.75" customHeight="1">
      <c r="AD5104" s="794"/>
    </row>
    <row r="5105" spans="30:30" ht="15.75" customHeight="1">
      <c r="AD5105" s="794"/>
    </row>
    <row r="5106" spans="30:30" ht="15.75" customHeight="1">
      <c r="AD5106" s="794"/>
    </row>
    <row r="5107" spans="30:30" ht="15.75" customHeight="1">
      <c r="AD5107" s="794"/>
    </row>
    <row r="5108" spans="30:30" ht="15.75" customHeight="1">
      <c r="AD5108" s="794"/>
    </row>
    <row r="5109" spans="30:30" ht="15.75" customHeight="1">
      <c r="AD5109" s="794"/>
    </row>
    <row r="5110" spans="30:30" ht="15.75" customHeight="1">
      <c r="AD5110" s="794"/>
    </row>
    <row r="5111" spans="30:30" ht="15.75" customHeight="1">
      <c r="AD5111" s="794"/>
    </row>
    <row r="5112" spans="30:30" ht="15.75" customHeight="1">
      <c r="AD5112" s="794"/>
    </row>
    <row r="5113" spans="30:30" ht="15.75" customHeight="1">
      <c r="AD5113" s="794"/>
    </row>
    <row r="5114" spans="30:30" ht="15.75" customHeight="1">
      <c r="AD5114" s="794"/>
    </row>
    <row r="5115" spans="30:30" ht="15.75" customHeight="1">
      <c r="AD5115" s="794"/>
    </row>
    <row r="5116" spans="30:30" ht="15.75" customHeight="1">
      <c r="AD5116" s="794"/>
    </row>
    <row r="5117" spans="30:30" ht="15.75" customHeight="1">
      <c r="AD5117" s="794"/>
    </row>
    <row r="5118" spans="30:30" ht="15.75" customHeight="1">
      <c r="AD5118" s="794"/>
    </row>
    <row r="5119" spans="30:30" ht="15.75" customHeight="1">
      <c r="AD5119" s="794"/>
    </row>
    <row r="5120" spans="30:30" ht="15.75" customHeight="1">
      <c r="AD5120" s="794"/>
    </row>
    <row r="5121" spans="30:30" ht="15.75" customHeight="1">
      <c r="AD5121" s="794"/>
    </row>
    <row r="5122" spans="30:30" ht="15.75" customHeight="1">
      <c r="AD5122" s="794"/>
    </row>
    <row r="5123" spans="30:30" ht="15.75" customHeight="1">
      <c r="AD5123" s="794"/>
    </row>
    <row r="5124" spans="30:30" ht="15.75" customHeight="1">
      <c r="AD5124" s="794"/>
    </row>
    <row r="5125" spans="30:30" ht="15.75" customHeight="1">
      <c r="AD5125" s="794"/>
    </row>
    <row r="5126" spans="30:30" ht="15.75" customHeight="1">
      <c r="AD5126" s="794"/>
    </row>
    <row r="5127" spans="30:30" ht="15.75" customHeight="1">
      <c r="AD5127" s="794"/>
    </row>
    <row r="5128" spans="30:30" ht="15.75" customHeight="1">
      <c r="AD5128" s="794"/>
    </row>
    <row r="5129" spans="30:30" ht="15.75" customHeight="1">
      <c r="AD5129" s="794"/>
    </row>
    <row r="5130" spans="30:30" ht="15.75" customHeight="1">
      <c r="AD5130" s="794"/>
    </row>
    <row r="5131" spans="30:30" ht="15.75" customHeight="1">
      <c r="AD5131" s="794"/>
    </row>
    <row r="5132" spans="30:30" ht="15.75" customHeight="1">
      <c r="AD5132" s="794"/>
    </row>
    <row r="5133" spans="30:30" ht="15.75" customHeight="1">
      <c r="AD5133" s="794"/>
    </row>
    <row r="5134" spans="30:30" ht="15.75" customHeight="1">
      <c r="AD5134" s="794"/>
    </row>
    <row r="5135" spans="30:30" ht="15.75" customHeight="1">
      <c r="AD5135" s="794"/>
    </row>
    <row r="5136" spans="30:30" ht="15.75" customHeight="1">
      <c r="AD5136" s="794"/>
    </row>
    <row r="5137" spans="30:30" ht="15.75" customHeight="1">
      <c r="AD5137" s="794"/>
    </row>
    <row r="5138" spans="30:30" ht="15.75" customHeight="1">
      <c r="AD5138" s="794"/>
    </row>
    <row r="5139" spans="30:30" ht="15.75" customHeight="1">
      <c r="AD5139" s="794"/>
    </row>
    <row r="5140" spans="30:30" ht="15.75" customHeight="1">
      <c r="AD5140" s="794"/>
    </row>
    <row r="5141" spans="30:30" ht="15.75" customHeight="1">
      <c r="AD5141" s="794"/>
    </row>
    <row r="5142" spans="30:30" ht="15.75" customHeight="1">
      <c r="AD5142" s="794"/>
    </row>
    <row r="5143" spans="30:30" ht="15.75" customHeight="1">
      <c r="AD5143" s="794"/>
    </row>
    <row r="5144" spans="30:30" ht="15.75" customHeight="1">
      <c r="AD5144" s="794"/>
    </row>
    <row r="5145" spans="30:30" ht="15.75" customHeight="1">
      <c r="AD5145" s="794"/>
    </row>
    <row r="5146" spans="30:30" ht="15.75" customHeight="1">
      <c r="AD5146" s="794"/>
    </row>
    <row r="5147" spans="30:30" ht="15.75" customHeight="1">
      <c r="AD5147" s="794"/>
    </row>
    <row r="5148" spans="30:30" ht="15.75" customHeight="1">
      <c r="AD5148" s="794"/>
    </row>
    <row r="5149" spans="30:30" ht="15.75" customHeight="1">
      <c r="AD5149" s="794"/>
    </row>
    <row r="5150" spans="30:30" ht="15.75" customHeight="1">
      <c r="AD5150" s="794"/>
    </row>
    <row r="5151" spans="30:30" ht="15.75" customHeight="1">
      <c r="AD5151" s="794"/>
    </row>
    <row r="5152" spans="30:30" ht="15.75" customHeight="1">
      <c r="AD5152" s="794"/>
    </row>
    <row r="5153" spans="30:30" ht="15.75" customHeight="1">
      <c r="AD5153" s="794"/>
    </row>
    <row r="5154" spans="30:30" ht="15.75" customHeight="1">
      <c r="AD5154" s="794"/>
    </row>
    <row r="5155" spans="30:30" ht="15.75" customHeight="1">
      <c r="AD5155" s="794"/>
    </row>
    <row r="5156" spans="30:30" ht="15.75" customHeight="1">
      <c r="AD5156" s="794"/>
    </row>
    <row r="5157" spans="30:30" ht="15.75" customHeight="1">
      <c r="AD5157" s="794"/>
    </row>
    <row r="5158" spans="30:30" ht="15.75" customHeight="1">
      <c r="AD5158" s="794"/>
    </row>
    <row r="5159" spans="30:30" ht="15.75" customHeight="1">
      <c r="AD5159" s="794"/>
    </row>
    <row r="5160" spans="30:30" ht="15.75" customHeight="1">
      <c r="AD5160" s="794"/>
    </row>
    <row r="5161" spans="30:30" ht="15.75" customHeight="1">
      <c r="AD5161" s="794"/>
    </row>
    <row r="5162" spans="30:30" ht="15.75" customHeight="1">
      <c r="AD5162" s="794"/>
    </row>
    <row r="5163" spans="30:30" ht="15.75" customHeight="1">
      <c r="AD5163" s="794"/>
    </row>
    <row r="5164" spans="30:30" ht="15.75" customHeight="1">
      <c r="AD5164" s="794"/>
    </row>
    <row r="5165" spans="30:30" ht="15.75" customHeight="1">
      <c r="AD5165" s="794"/>
    </row>
    <row r="5166" spans="30:30" ht="15.75" customHeight="1">
      <c r="AD5166" s="794"/>
    </row>
    <row r="5167" spans="30:30" ht="15.75" customHeight="1">
      <c r="AD5167" s="794"/>
    </row>
    <row r="5168" spans="30:30" ht="15.75" customHeight="1">
      <c r="AD5168" s="794"/>
    </row>
    <row r="5169" spans="30:30" ht="15.75" customHeight="1">
      <c r="AD5169" s="794"/>
    </row>
    <row r="5170" spans="30:30" ht="15.75" customHeight="1">
      <c r="AD5170" s="794"/>
    </row>
    <row r="5171" spans="30:30" ht="15.75" customHeight="1">
      <c r="AD5171" s="794"/>
    </row>
    <row r="5172" spans="30:30" ht="15.75" customHeight="1">
      <c r="AD5172" s="794"/>
    </row>
    <row r="5173" spans="30:30" ht="15.75" customHeight="1">
      <c r="AD5173" s="794"/>
    </row>
    <row r="5174" spans="30:30" ht="15.75" customHeight="1">
      <c r="AD5174" s="794"/>
    </row>
    <row r="5175" spans="30:30" ht="15.75" customHeight="1">
      <c r="AD5175" s="794"/>
    </row>
    <row r="5176" spans="30:30" ht="15.75" customHeight="1">
      <c r="AD5176" s="794"/>
    </row>
    <row r="5177" spans="30:30" ht="15.75" customHeight="1">
      <c r="AD5177" s="794"/>
    </row>
    <row r="5178" spans="30:30" ht="15.75" customHeight="1">
      <c r="AD5178" s="794"/>
    </row>
    <row r="5179" spans="30:30" ht="15.75" customHeight="1">
      <c r="AD5179" s="794"/>
    </row>
    <row r="5180" spans="30:30" ht="15.75" customHeight="1">
      <c r="AD5180" s="794"/>
    </row>
    <row r="5181" spans="30:30" ht="15.75" customHeight="1">
      <c r="AD5181" s="794"/>
    </row>
    <row r="5182" spans="30:30" ht="15.75" customHeight="1">
      <c r="AD5182" s="794"/>
    </row>
    <row r="5183" spans="30:30" ht="15.75" customHeight="1">
      <c r="AD5183" s="794"/>
    </row>
    <row r="5184" spans="30:30" ht="15.75" customHeight="1">
      <c r="AD5184" s="794"/>
    </row>
    <row r="5185" spans="30:30" ht="15.75" customHeight="1">
      <c r="AD5185" s="794"/>
    </row>
    <row r="5186" spans="30:30" ht="15.75" customHeight="1">
      <c r="AD5186" s="794"/>
    </row>
    <row r="5187" spans="30:30" ht="15.75" customHeight="1">
      <c r="AD5187" s="794"/>
    </row>
    <row r="5188" spans="30:30" ht="15.75" customHeight="1">
      <c r="AD5188" s="794"/>
    </row>
    <row r="5189" spans="30:30" ht="15.75" customHeight="1">
      <c r="AD5189" s="794"/>
    </row>
    <row r="5190" spans="30:30" ht="15.75" customHeight="1">
      <c r="AD5190" s="794"/>
    </row>
    <row r="5191" spans="30:30" ht="15.75" customHeight="1">
      <c r="AD5191" s="794"/>
    </row>
    <row r="5192" spans="30:30" ht="15.75" customHeight="1">
      <c r="AD5192" s="794"/>
    </row>
    <row r="5193" spans="30:30" ht="15.75" customHeight="1">
      <c r="AD5193" s="794"/>
    </row>
    <row r="5194" spans="30:30" ht="15.75" customHeight="1">
      <c r="AD5194" s="794"/>
    </row>
    <row r="5195" spans="30:30" ht="15.75" customHeight="1">
      <c r="AD5195" s="794"/>
    </row>
    <row r="5196" spans="30:30" ht="15.75" customHeight="1">
      <c r="AD5196" s="794"/>
    </row>
    <row r="5197" spans="30:30" ht="15.75" customHeight="1">
      <c r="AD5197" s="794"/>
    </row>
    <row r="5198" spans="30:30" ht="15.75" customHeight="1">
      <c r="AD5198" s="794"/>
    </row>
    <row r="5199" spans="30:30" ht="15.75" customHeight="1">
      <c r="AD5199" s="794"/>
    </row>
    <row r="5200" spans="30:30" ht="15.75" customHeight="1">
      <c r="AD5200" s="794"/>
    </row>
    <row r="5201" spans="30:30" ht="15.75" customHeight="1">
      <c r="AD5201" s="794"/>
    </row>
    <row r="5202" spans="30:30" ht="15.75" customHeight="1">
      <c r="AD5202" s="794"/>
    </row>
    <row r="5203" spans="30:30" ht="15.75" customHeight="1">
      <c r="AD5203" s="794"/>
    </row>
    <row r="5204" spans="30:30" ht="15.75" customHeight="1">
      <c r="AD5204" s="794"/>
    </row>
    <row r="5205" spans="30:30" ht="15.75" customHeight="1">
      <c r="AD5205" s="794"/>
    </row>
    <row r="5206" spans="30:30" ht="15.75" customHeight="1">
      <c r="AD5206" s="794"/>
    </row>
    <row r="5207" spans="30:30" ht="15.75" customHeight="1">
      <c r="AD5207" s="794"/>
    </row>
    <row r="5208" spans="30:30" ht="15.75" customHeight="1">
      <c r="AD5208" s="794"/>
    </row>
    <row r="5209" spans="30:30" ht="15.75" customHeight="1">
      <c r="AD5209" s="794"/>
    </row>
    <row r="5210" spans="30:30" ht="15.75" customHeight="1">
      <c r="AD5210" s="794"/>
    </row>
    <row r="5211" spans="30:30" ht="15.75" customHeight="1">
      <c r="AD5211" s="794"/>
    </row>
    <row r="5212" spans="30:30" ht="15.75" customHeight="1">
      <c r="AD5212" s="794"/>
    </row>
    <row r="5213" spans="30:30" ht="15.75" customHeight="1">
      <c r="AD5213" s="794"/>
    </row>
    <row r="5214" spans="30:30" ht="15.75" customHeight="1">
      <c r="AD5214" s="794"/>
    </row>
    <row r="5215" spans="30:30" ht="15.75" customHeight="1">
      <c r="AD5215" s="794"/>
    </row>
    <row r="5216" spans="30:30" ht="15.75" customHeight="1">
      <c r="AD5216" s="794"/>
    </row>
    <row r="5217" spans="30:30" ht="15.75" customHeight="1">
      <c r="AD5217" s="794"/>
    </row>
    <row r="5218" spans="30:30" ht="15.75" customHeight="1">
      <c r="AD5218" s="794"/>
    </row>
    <row r="5219" spans="30:30" ht="15.75" customHeight="1">
      <c r="AD5219" s="794"/>
    </row>
    <row r="5220" spans="30:30" ht="15.75" customHeight="1">
      <c r="AD5220" s="794"/>
    </row>
    <row r="5221" spans="30:30" ht="15.75" customHeight="1">
      <c r="AD5221" s="794"/>
    </row>
    <row r="5222" spans="30:30" ht="15.75" customHeight="1">
      <c r="AD5222" s="794"/>
    </row>
    <row r="5223" spans="30:30" ht="15.75" customHeight="1">
      <c r="AD5223" s="794"/>
    </row>
    <row r="5224" spans="30:30" ht="15.75" customHeight="1">
      <c r="AD5224" s="794"/>
    </row>
    <row r="5225" spans="30:30" ht="15.75" customHeight="1">
      <c r="AD5225" s="794"/>
    </row>
    <row r="5226" spans="30:30" ht="15.75" customHeight="1">
      <c r="AD5226" s="794"/>
    </row>
    <row r="5227" spans="30:30" ht="15.75" customHeight="1">
      <c r="AD5227" s="794"/>
    </row>
    <row r="5228" spans="30:30" ht="15.75" customHeight="1">
      <c r="AD5228" s="794"/>
    </row>
    <row r="5229" spans="30:30" ht="15.75" customHeight="1">
      <c r="AD5229" s="794"/>
    </row>
    <row r="5230" spans="30:30" ht="15.75" customHeight="1">
      <c r="AD5230" s="794"/>
    </row>
    <row r="5231" spans="30:30" ht="15.75" customHeight="1">
      <c r="AD5231" s="794"/>
    </row>
    <row r="5232" spans="30:30" ht="15.75" customHeight="1">
      <c r="AD5232" s="794"/>
    </row>
    <row r="5233" spans="30:30" ht="15.75" customHeight="1">
      <c r="AD5233" s="794"/>
    </row>
    <row r="5234" spans="30:30" ht="15.75" customHeight="1">
      <c r="AD5234" s="794"/>
    </row>
    <row r="5235" spans="30:30" ht="15.75" customHeight="1">
      <c r="AD5235" s="794"/>
    </row>
    <row r="5236" spans="30:30" ht="15.75" customHeight="1">
      <c r="AD5236" s="794"/>
    </row>
    <row r="5237" spans="30:30" ht="15.75" customHeight="1">
      <c r="AD5237" s="794"/>
    </row>
    <row r="5238" spans="30:30" ht="15.75" customHeight="1">
      <c r="AD5238" s="794"/>
    </row>
    <row r="5239" spans="30:30" ht="15.75" customHeight="1">
      <c r="AD5239" s="794"/>
    </row>
    <row r="5240" spans="30:30" ht="15.75" customHeight="1">
      <c r="AD5240" s="794"/>
    </row>
    <row r="5241" spans="30:30" ht="15.75" customHeight="1">
      <c r="AD5241" s="794"/>
    </row>
    <row r="5242" spans="30:30" ht="15.75" customHeight="1">
      <c r="AD5242" s="794"/>
    </row>
    <row r="5243" spans="30:30" ht="15.75" customHeight="1">
      <c r="AD5243" s="794"/>
    </row>
    <row r="5244" spans="30:30" ht="15.75" customHeight="1">
      <c r="AD5244" s="794"/>
    </row>
    <row r="5245" spans="30:30" ht="15.75" customHeight="1">
      <c r="AD5245" s="794"/>
    </row>
    <row r="5246" spans="30:30" ht="15.75" customHeight="1">
      <c r="AD5246" s="794"/>
    </row>
    <row r="5247" spans="30:30" ht="15.75" customHeight="1">
      <c r="AD5247" s="794"/>
    </row>
    <row r="5248" spans="30:30" ht="15.75" customHeight="1">
      <c r="AD5248" s="794"/>
    </row>
    <row r="5249" spans="30:30" ht="15.75" customHeight="1">
      <c r="AD5249" s="794"/>
    </row>
    <row r="5250" spans="30:30" ht="15.75" customHeight="1">
      <c r="AD5250" s="794"/>
    </row>
    <row r="5251" spans="30:30" ht="15.75" customHeight="1">
      <c r="AD5251" s="794"/>
    </row>
    <row r="5252" spans="30:30" ht="15.75" customHeight="1">
      <c r="AD5252" s="794"/>
    </row>
    <row r="5253" spans="30:30" ht="15.75" customHeight="1">
      <c r="AD5253" s="794"/>
    </row>
    <row r="5254" spans="30:30" ht="15.75" customHeight="1">
      <c r="AD5254" s="794"/>
    </row>
    <row r="5255" spans="30:30" ht="15.75" customHeight="1">
      <c r="AD5255" s="794"/>
    </row>
    <row r="5256" spans="30:30" ht="15.75" customHeight="1">
      <c r="AD5256" s="794"/>
    </row>
    <row r="5257" spans="30:30" ht="15.75" customHeight="1">
      <c r="AD5257" s="794"/>
    </row>
    <row r="5258" spans="30:30" ht="15.75" customHeight="1">
      <c r="AD5258" s="794"/>
    </row>
    <row r="5259" spans="30:30" ht="15.75" customHeight="1">
      <c r="AD5259" s="794"/>
    </row>
    <row r="5260" spans="30:30" ht="15.75" customHeight="1">
      <c r="AD5260" s="794"/>
    </row>
    <row r="5261" spans="30:30" ht="15.75" customHeight="1">
      <c r="AD5261" s="794"/>
    </row>
    <row r="5262" spans="30:30" ht="15.75" customHeight="1">
      <c r="AD5262" s="794"/>
    </row>
    <row r="5263" spans="30:30" ht="15.75" customHeight="1">
      <c r="AD5263" s="794"/>
    </row>
    <row r="5264" spans="30:30" ht="15.75" customHeight="1">
      <c r="AD5264" s="794"/>
    </row>
    <row r="5265" spans="30:30" ht="15.75" customHeight="1">
      <c r="AD5265" s="794"/>
    </row>
    <row r="5266" spans="30:30" ht="15.75" customHeight="1">
      <c r="AD5266" s="794"/>
    </row>
    <row r="5267" spans="30:30" ht="15.75" customHeight="1">
      <c r="AD5267" s="794"/>
    </row>
    <row r="5268" spans="30:30" ht="15.75" customHeight="1">
      <c r="AD5268" s="794"/>
    </row>
    <row r="5269" spans="30:30" ht="15.75" customHeight="1">
      <c r="AD5269" s="794"/>
    </row>
    <row r="5270" spans="30:30" ht="15.75" customHeight="1">
      <c r="AD5270" s="794"/>
    </row>
    <row r="5271" spans="30:30" ht="15.75" customHeight="1">
      <c r="AD5271" s="794"/>
    </row>
    <row r="5272" spans="30:30" ht="15.75" customHeight="1">
      <c r="AD5272" s="794"/>
    </row>
    <row r="5273" spans="30:30" ht="15.75" customHeight="1">
      <c r="AD5273" s="794"/>
    </row>
    <row r="5274" spans="30:30" ht="15.75" customHeight="1">
      <c r="AD5274" s="794"/>
    </row>
    <row r="5275" spans="30:30" ht="15.75" customHeight="1">
      <c r="AD5275" s="794"/>
    </row>
    <row r="5276" spans="30:30" ht="15.75" customHeight="1">
      <c r="AD5276" s="794"/>
    </row>
    <row r="5277" spans="30:30" ht="15.75" customHeight="1">
      <c r="AD5277" s="794"/>
    </row>
    <row r="5278" spans="30:30" ht="15.75" customHeight="1">
      <c r="AD5278" s="794"/>
    </row>
    <row r="5279" spans="30:30" ht="15.75" customHeight="1">
      <c r="AD5279" s="794"/>
    </row>
    <row r="5280" spans="30:30" ht="15.75" customHeight="1">
      <c r="AD5280" s="794"/>
    </row>
    <row r="5281" spans="30:30" ht="15.75" customHeight="1">
      <c r="AD5281" s="794"/>
    </row>
    <row r="5282" spans="30:30" ht="15.75" customHeight="1">
      <c r="AD5282" s="794"/>
    </row>
    <row r="5283" spans="30:30" ht="15.75" customHeight="1">
      <c r="AD5283" s="794"/>
    </row>
    <row r="5284" spans="30:30" ht="15.75" customHeight="1">
      <c r="AD5284" s="794"/>
    </row>
    <row r="5285" spans="30:30" ht="15.75" customHeight="1">
      <c r="AD5285" s="794"/>
    </row>
    <row r="5286" spans="30:30" ht="15.75" customHeight="1">
      <c r="AD5286" s="794"/>
    </row>
    <row r="5287" spans="30:30" ht="15.75" customHeight="1">
      <c r="AD5287" s="794"/>
    </row>
    <row r="5288" spans="30:30" ht="15.75" customHeight="1">
      <c r="AD5288" s="794"/>
    </row>
    <row r="5289" spans="30:30" ht="15.75" customHeight="1">
      <c r="AD5289" s="794"/>
    </row>
    <row r="5290" spans="30:30" ht="15.75" customHeight="1">
      <c r="AD5290" s="794"/>
    </row>
    <row r="5291" spans="30:30" ht="15.75" customHeight="1">
      <c r="AD5291" s="794"/>
    </row>
    <row r="5292" spans="30:30" ht="15.75" customHeight="1">
      <c r="AD5292" s="794"/>
    </row>
    <row r="5293" spans="30:30" ht="15.75" customHeight="1">
      <c r="AD5293" s="794"/>
    </row>
    <row r="5294" spans="30:30" ht="15.75" customHeight="1">
      <c r="AD5294" s="794"/>
    </row>
    <row r="5295" spans="30:30" ht="15.75" customHeight="1">
      <c r="AD5295" s="794"/>
    </row>
    <row r="5296" spans="30:30" ht="15.75" customHeight="1">
      <c r="AD5296" s="794"/>
    </row>
    <row r="5297" spans="30:30" ht="15.75" customHeight="1">
      <c r="AD5297" s="794"/>
    </row>
    <row r="5298" spans="30:30" ht="15.75" customHeight="1">
      <c r="AD5298" s="794"/>
    </row>
    <row r="5299" spans="30:30" ht="15.75" customHeight="1">
      <c r="AD5299" s="794"/>
    </row>
    <row r="5300" spans="30:30" ht="15.75" customHeight="1">
      <c r="AD5300" s="794"/>
    </row>
    <row r="5301" spans="30:30" ht="15.75" customHeight="1">
      <c r="AD5301" s="794"/>
    </row>
    <row r="5302" spans="30:30" ht="15.75" customHeight="1">
      <c r="AD5302" s="794"/>
    </row>
    <row r="5303" spans="30:30" ht="15.75" customHeight="1">
      <c r="AD5303" s="794"/>
    </row>
    <row r="5304" spans="30:30" ht="15.75" customHeight="1">
      <c r="AD5304" s="794"/>
    </row>
    <row r="5305" spans="30:30" ht="15.75" customHeight="1">
      <c r="AD5305" s="794"/>
    </row>
    <row r="5306" spans="30:30" ht="15.75" customHeight="1">
      <c r="AD5306" s="794"/>
    </row>
    <row r="5307" spans="30:30" ht="15.75" customHeight="1">
      <c r="AD5307" s="794"/>
    </row>
    <row r="5308" spans="30:30" ht="15.75" customHeight="1">
      <c r="AD5308" s="794"/>
    </row>
    <row r="5309" spans="30:30" ht="15.75" customHeight="1">
      <c r="AD5309" s="794"/>
    </row>
    <row r="5310" spans="30:30" ht="15.75" customHeight="1">
      <c r="AD5310" s="794"/>
    </row>
    <row r="5311" spans="30:30" ht="15.75" customHeight="1">
      <c r="AD5311" s="794"/>
    </row>
    <row r="5312" spans="30:30" ht="15.75" customHeight="1">
      <c r="AD5312" s="794"/>
    </row>
    <row r="5313" spans="30:30" ht="15.75" customHeight="1">
      <c r="AD5313" s="794"/>
    </row>
    <row r="5314" spans="30:30" ht="15.75" customHeight="1">
      <c r="AD5314" s="794"/>
    </row>
    <row r="5315" spans="30:30" ht="15.75" customHeight="1">
      <c r="AD5315" s="794"/>
    </row>
    <row r="5316" spans="30:30" ht="15.75" customHeight="1">
      <c r="AD5316" s="794"/>
    </row>
    <row r="5317" spans="30:30" ht="15.75" customHeight="1">
      <c r="AD5317" s="794"/>
    </row>
    <row r="5318" spans="30:30" ht="15.75" customHeight="1">
      <c r="AD5318" s="794"/>
    </row>
    <row r="5319" spans="30:30" ht="15.75" customHeight="1">
      <c r="AD5319" s="794"/>
    </row>
    <row r="5320" spans="30:30" ht="15.75" customHeight="1">
      <c r="AD5320" s="794"/>
    </row>
    <row r="5321" spans="30:30" ht="15.75" customHeight="1">
      <c r="AD5321" s="794"/>
    </row>
    <row r="5322" spans="30:30" ht="15.75" customHeight="1">
      <c r="AD5322" s="794"/>
    </row>
    <row r="5323" spans="30:30" ht="15.75" customHeight="1">
      <c r="AD5323" s="794"/>
    </row>
    <row r="5324" spans="30:30" ht="15.75" customHeight="1">
      <c r="AD5324" s="794"/>
    </row>
    <row r="5325" spans="30:30" ht="15.75" customHeight="1">
      <c r="AD5325" s="794"/>
    </row>
    <row r="5326" spans="30:30" ht="15.75" customHeight="1">
      <c r="AD5326" s="794"/>
    </row>
    <row r="5327" spans="30:30" ht="15.75" customHeight="1">
      <c r="AD5327" s="794"/>
    </row>
    <row r="5328" spans="30:30" ht="15.75" customHeight="1">
      <c r="AD5328" s="794"/>
    </row>
    <row r="5329" spans="30:30" ht="15.75" customHeight="1">
      <c r="AD5329" s="794"/>
    </row>
    <row r="5330" spans="30:30" ht="15.75" customHeight="1">
      <c r="AD5330" s="794"/>
    </row>
    <row r="5331" spans="30:30" ht="15.75" customHeight="1">
      <c r="AD5331" s="794"/>
    </row>
    <row r="5332" spans="30:30" ht="15.75" customHeight="1">
      <c r="AD5332" s="794"/>
    </row>
    <row r="5333" spans="30:30" ht="15.75" customHeight="1">
      <c r="AD5333" s="794"/>
    </row>
    <row r="5334" spans="30:30" ht="15.75" customHeight="1">
      <c r="AD5334" s="794"/>
    </row>
    <row r="5335" spans="30:30" ht="15.75" customHeight="1">
      <c r="AD5335" s="794"/>
    </row>
    <row r="5336" spans="30:30" ht="15.75" customHeight="1">
      <c r="AD5336" s="794"/>
    </row>
    <row r="5337" spans="30:30" ht="15.75" customHeight="1">
      <c r="AD5337" s="794"/>
    </row>
    <row r="5338" spans="30:30" ht="15.75" customHeight="1">
      <c r="AD5338" s="794"/>
    </row>
    <row r="5339" spans="30:30" ht="15.75" customHeight="1">
      <c r="AD5339" s="794"/>
    </row>
    <row r="5340" spans="30:30" ht="15.75" customHeight="1">
      <c r="AD5340" s="794"/>
    </row>
    <row r="5341" spans="30:30" ht="15.75" customHeight="1">
      <c r="AD5341" s="794"/>
    </row>
    <row r="5342" spans="30:30" ht="15.75" customHeight="1">
      <c r="AD5342" s="794"/>
    </row>
    <row r="5343" spans="30:30" ht="15.75" customHeight="1">
      <c r="AD5343" s="794"/>
    </row>
    <row r="5344" spans="30:30" ht="15.75" customHeight="1">
      <c r="AD5344" s="794"/>
    </row>
    <row r="5345" spans="30:30" ht="15.75" customHeight="1">
      <c r="AD5345" s="794"/>
    </row>
    <row r="5346" spans="30:30" ht="15.75" customHeight="1">
      <c r="AD5346" s="794"/>
    </row>
    <row r="5347" spans="30:30" ht="15.75" customHeight="1">
      <c r="AD5347" s="794"/>
    </row>
    <row r="5348" spans="30:30" ht="15.75" customHeight="1">
      <c r="AD5348" s="794"/>
    </row>
    <row r="5349" spans="30:30" ht="15.75" customHeight="1">
      <c r="AD5349" s="794"/>
    </row>
    <row r="5350" spans="30:30" ht="15.75" customHeight="1">
      <c r="AD5350" s="794"/>
    </row>
    <row r="5351" spans="30:30" ht="15.75" customHeight="1">
      <c r="AD5351" s="794"/>
    </row>
    <row r="5352" spans="30:30" ht="15.75" customHeight="1">
      <c r="AD5352" s="794"/>
    </row>
    <row r="5353" spans="30:30" ht="15.75" customHeight="1">
      <c r="AD5353" s="794"/>
    </row>
    <row r="5354" spans="30:30" ht="15.75" customHeight="1">
      <c r="AD5354" s="794"/>
    </row>
    <row r="5355" spans="30:30" ht="15.75" customHeight="1">
      <c r="AD5355" s="794"/>
    </row>
    <row r="5356" spans="30:30" ht="15.75" customHeight="1">
      <c r="AD5356" s="794"/>
    </row>
    <row r="5357" spans="30:30" ht="15.75" customHeight="1">
      <c r="AD5357" s="794"/>
    </row>
    <row r="5358" spans="30:30" ht="15.75" customHeight="1">
      <c r="AD5358" s="794"/>
    </row>
    <row r="5359" spans="30:30" ht="15.75" customHeight="1">
      <c r="AD5359" s="794"/>
    </row>
    <row r="5360" spans="30:30" ht="15.75" customHeight="1">
      <c r="AD5360" s="794"/>
    </row>
    <row r="5361" spans="30:30" ht="15.75" customHeight="1">
      <c r="AD5361" s="794"/>
    </row>
    <row r="5362" spans="30:30" ht="15.75" customHeight="1">
      <c r="AD5362" s="794"/>
    </row>
    <row r="5363" spans="30:30" ht="15.75" customHeight="1">
      <c r="AD5363" s="794"/>
    </row>
    <row r="5364" spans="30:30" ht="15.75" customHeight="1">
      <c r="AD5364" s="794"/>
    </row>
    <row r="5365" spans="30:30" ht="15.75" customHeight="1">
      <c r="AD5365" s="794"/>
    </row>
    <row r="5366" spans="30:30" ht="15.75" customHeight="1">
      <c r="AD5366" s="794"/>
    </row>
    <row r="5367" spans="30:30" ht="15.75" customHeight="1">
      <c r="AD5367" s="794"/>
    </row>
    <row r="5368" spans="30:30" ht="15.75" customHeight="1">
      <c r="AD5368" s="794"/>
    </row>
    <row r="5369" spans="30:30" ht="15.75" customHeight="1">
      <c r="AD5369" s="794"/>
    </row>
    <row r="5370" spans="30:30" ht="15.75" customHeight="1">
      <c r="AD5370" s="794"/>
    </row>
    <row r="5371" spans="30:30" ht="15.75" customHeight="1">
      <c r="AD5371" s="794"/>
    </row>
    <row r="5372" spans="30:30" ht="15.75" customHeight="1">
      <c r="AD5372" s="794"/>
    </row>
    <row r="5373" spans="30:30" ht="15.75" customHeight="1">
      <c r="AD5373" s="794"/>
    </row>
    <row r="5374" spans="30:30" ht="15.75" customHeight="1">
      <c r="AD5374" s="794"/>
    </row>
    <row r="5375" spans="30:30" ht="15.75" customHeight="1">
      <c r="AD5375" s="794"/>
    </row>
    <row r="5376" spans="30:30" ht="15.75" customHeight="1">
      <c r="AD5376" s="794"/>
    </row>
    <row r="5377" spans="30:30" ht="15.75" customHeight="1">
      <c r="AD5377" s="794"/>
    </row>
    <row r="5378" spans="30:30" ht="15.75" customHeight="1">
      <c r="AD5378" s="794"/>
    </row>
    <row r="5379" spans="30:30" ht="15.75" customHeight="1">
      <c r="AD5379" s="794"/>
    </row>
    <row r="5380" spans="30:30" ht="15.75" customHeight="1">
      <c r="AD5380" s="794"/>
    </row>
    <row r="5381" spans="30:30" ht="15.75" customHeight="1">
      <c r="AD5381" s="794"/>
    </row>
    <row r="5382" spans="30:30" ht="15.75" customHeight="1">
      <c r="AD5382" s="794"/>
    </row>
    <row r="5383" spans="30:30" ht="15.75" customHeight="1">
      <c r="AD5383" s="794"/>
    </row>
    <row r="5384" spans="30:30" ht="15.75" customHeight="1">
      <c r="AD5384" s="794"/>
    </row>
    <row r="5385" spans="30:30" ht="15.75" customHeight="1">
      <c r="AD5385" s="794"/>
    </row>
    <row r="5386" spans="30:30" ht="15.75" customHeight="1">
      <c r="AD5386" s="794"/>
    </row>
    <row r="5387" spans="30:30" ht="15.75" customHeight="1">
      <c r="AD5387" s="794"/>
    </row>
    <row r="5388" spans="30:30" ht="15.75" customHeight="1">
      <c r="AD5388" s="794"/>
    </row>
    <row r="5389" spans="30:30" ht="15.75" customHeight="1">
      <c r="AD5389" s="794"/>
    </row>
    <row r="5390" spans="30:30" ht="15.75" customHeight="1">
      <c r="AD5390" s="794"/>
    </row>
    <row r="5391" spans="30:30" ht="15.75" customHeight="1">
      <c r="AD5391" s="794"/>
    </row>
    <row r="5392" spans="30:30" ht="15.75" customHeight="1">
      <c r="AD5392" s="794"/>
    </row>
    <row r="5393" spans="30:30" ht="15.75" customHeight="1">
      <c r="AD5393" s="794"/>
    </row>
    <row r="5394" spans="30:30" ht="15.75" customHeight="1">
      <c r="AD5394" s="794"/>
    </row>
    <row r="5395" spans="30:30" ht="15.75" customHeight="1">
      <c r="AD5395" s="794"/>
    </row>
    <row r="5396" spans="30:30" ht="15.75" customHeight="1">
      <c r="AD5396" s="794"/>
    </row>
    <row r="5397" spans="30:30" ht="15.75" customHeight="1">
      <c r="AD5397" s="794"/>
    </row>
    <row r="5398" spans="30:30" ht="15.75" customHeight="1">
      <c r="AD5398" s="794"/>
    </row>
    <row r="5399" spans="30:30" ht="15.75" customHeight="1">
      <c r="AD5399" s="794"/>
    </row>
    <row r="5400" spans="30:30" ht="15.75" customHeight="1">
      <c r="AD5400" s="794"/>
    </row>
    <row r="5401" spans="30:30" ht="15.75" customHeight="1">
      <c r="AD5401" s="794"/>
    </row>
    <row r="5402" spans="30:30" ht="15.75" customHeight="1">
      <c r="AD5402" s="794"/>
    </row>
    <row r="5403" spans="30:30" ht="15.75" customHeight="1">
      <c r="AD5403" s="794"/>
    </row>
    <row r="5404" spans="30:30" ht="15.75" customHeight="1">
      <c r="AD5404" s="794"/>
    </row>
    <row r="5405" spans="30:30" ht="15.75" customHeight="1">
      <c r="AD5405" s="794"/>
    </row>
    <row r="5406" spans="30:30" ht="15.75" customHeight="1">
      <c r="AD5406" s="794"/>
    </row>
    <row r="5407" spans="30:30" ht="15.75" customHeight="1">
      <c r="AD5407" s="794"/>
    </row>
    <row r="5408" spans="30:30" ht="15.75" customHeight="1">
      <c r="AD5408" s="794"/>
    </row>
    <row r="5409" spans="30:30" ht="15.75" customHeight="1">
      <c r="AD5409" s="794"/>
    </row>
    <row r="5410" spans="30:30" ht="15.75" customHeight="1">
      <c r="AD5410" s="794"/>
    </row>
    <row r="5411" spans="30:30" ht="15.75" customHeight="1">
      <c r="AD5411" s="794"/>
    </row>
    <row r="5412" spans="30:30" ht="15.75" customHeight="1">
      <c r="AD5412" s="794"/>
    </row>
    <row r="5413" spans="30:30" ht="15.75" customHeight="1">
      <c r="AD5413" s="794"/>
    </row>
    <row r="5414" spans="30:30" ht="15.75" customHeight="1">
      <c r="AD5414" s="794"/>
    </row>
    <row r="5415" spans="30:30" ht="15.75" customHeight="1">
      <c r="AD5415" s="794"/>
    </row>
    <row r="5416" spans="30:30" ht="15.75" customHeight="1">
      <c r="AD5416" s="794"/>
    </row>
    <row r="5417" spans="30:30" ht="15.75" customHeight="1">
      <c r="AD5417" s="794"/>
    </row>
    <row r="5418" spans="30:30" ht="15.75" customHeight="1">
      <c r="AD5418" s="794"/>
    </row>
    <row r="5419" spans="30:30" ht="15.75" customHeight="1">
      <c r="AD5419" s="794"/>
    </row>
    <row r="5420" spans="30:30" ht="15.75" customHeight="1">
      <c r="AD5420" s="794"/>
    </row>
    <row r="5421" spans="30:30" ht="15.75" customHeight="1">
      <c r="AD5421" s="794"/>
    </row>
    <row r="5422" spans="30:30" ht="15.75" customHeight="1">
      <c r="AD5422" s="794"/>
    </row>
    <row r="5423" spans="30:30" ht="15.75" customHeight="1">
      <c r="AD5423" s="794"/>
    </row>
    <row r="5424" spans="30:30" ht="15.75" customHeight="1">
      <c r="AD5424" s="794"/>
    </row>
    <row r="5425" spans="30:30" ht="15.75" customHeight="1">
      <c r="AD5425" s="794"/>
    </row>
    <row r="5426" spans="30:30" ht="15.75" customHeight="1">
      <c r="AD5426" s="794"/>
    </row>
    <row r="5427" spans="30:30" ht="15.75" customHeight="1">
      <c r="AD5427" s="794"/>
    </row>
    <row r="5428" spans="30:30" ht="15.75" customHeight="1">
      <c r="AD5428" s="794"/>
    </row>
    <row r="5429" spans="30:30" ht="15.75" customHeight="1">
      <c r="AD5429" s="794"/>
    </row>
    <row r="5430" spans="30:30" ht="15.75" customHeight="1">
      <c r="AD5430" s="794"/>
    </row>
    <row r="5431" spans="30:30" ht="15.75" customHeight="1">
      <c r="AD5431" s="794"/>
    </row>
    <row r="5432" spans="30:30" ht="15.75" customHeight="1">
      <c r="AD5432" s="794"/>
    </row>
    <row r="5433" spans="30:30" ht="15.75" customHeight="1">
      <c r="AD5433" s="794"/>
    </row>
    <row r="5434" spans="30:30" ht="15.75" customHeight="1">
      <c r="AD5434" s="794"/>
    </row>
    <row r="5435" spans="30:30" ht="15.75" customHeight="1">
      <c r="AD5435" s="794"/>
    </row>
    <row r="5436" spans="30:30" ht="15.75" customHeight="1">
      <c r="AD5436" s="794"/>
    </row>
    <row r="5437" spans="30:30" ht="15.75" customHeight="1">
      <c r="AD5437" s="794"/>
    </row>
    <row r="5438" spans="30:30" ht="15.75" customHeight="1">
      <c r="AD5438" s="794"/>
    </row>
    <row r="5439" spans="30:30" ht="15.75" customHeight="1">
      <c r="AD5439" s="794"/>
    </row>
    <row r="5440" spans="30:30" ht="15.75" customHeight="1">
      <c r="AD5440" s="794"/>
    </row>
    <row r="5441" spans="30:30" ht="15.75" customHeight="1">
      <c r="AD5441" s="794"/>
    </row>
    <row r="5442" spans="30:30" ht="15.75" customHeight="1">
      <c r="AD5442" s="794"/>
    </row>
    <row r="5443" spans="30:30" ht="15.75" customHeight="1">
      <c r="AD5443" s="794"/>
    </row>
    <row r="5444" spans="30:30" ht="15.75" customHeight="1">
      <c r="AD5444" s="794"/>
    </row>
    <row r="5445" spans="30:30" ht="15.75" customHeight="1">
      <c r="AD5445" s="794"/>
    </row>
    <row r="5446" spans="30:30" ht="15.75" customHeight="1">
      <c r="AD5446" s="794"/>
    </row>
    <row r="5447" spans="30:30" ht="15.75" customHeight="1">
      <c r="AD5447" s="794"/>
    </row>
    <row r="5448" spans="30:30" ht="15.75" customHeight="1">
      <c r="AD5448" s="794"/>
    </row>
    <row r="5449" spans="30:30" ht="15.75" customHeight="1">
      <c r="AD5449" s="794"/>
    </row>
    <row r="5450" spans="30:30" ht="15.75" customHeight="1">
      <c r="AD5450" s="794"/>
    </row>
    <row r="5451" spans="30:30" ht="15.75" customHeight="1">
      <c r="AD5451" s="794"/>
    </row>
    <row r="5452" spans="30:30" ht="15.75" customHeight="1">
      <c r="AD5452" s="794"/>
    </row>
    <row r="5453" spans="30:30" ht="15.75" customHeight="1">
      <c r="AD5453" s="794"/>
    </row>
    <row r="5454" spans="30:30" ht="15.75" customHeight="1">
      <c r="AD5454" s="794"/>
    </row>
    <row r="5455" spans="30:30" ht="15.75" customHeight="1">
      <c r="AD5455" s="794"/>
    </row>
    <row r="5456" spans="30:30" ht="15.75" customHeight="1">
      <c r="AD5456" s="794"/>
    </row>
    <row r="5457" spans="30:30" ht="15.75" customHeight="1">
      <c r="AD5457" s="794"/>
    </row>
    <row r="5458" spans="30:30" ht="15.75" customHeight="1">
      <c r="AD5458" s="794"/>
    </row>
    <row r="5459" spans="30:30" ht="15.75" customHeight="1">
      <c r="AD5459" s="794"/>
    </row>
    <row r="5460" spans="30:30" ht="15.75" customHeight="1">
      <c r="AD5460" s="794"/>
    </row>
    <row r="5461" spans="30:30" ht="15.75" customHeight="1">
      <c r="AD5461" s="794"/>
    </row>
    <row r="5462" spans="30:30" ht="15.75" customHeight="1">
      <c r="AD5462" s="794"/>
    </row>
    <row r="5463" spans="30:30" ht="15.75" customHeight="1">
      <c r="AD5463" s="794"/>
    </row>
    <row r="5464" spans="30:30" ht="15.75" customHeight="1">
      <c r="AD5464" s="794"/>
    </row>
    <row r="5465" spans="30:30" ht="15.75" customHeight="1">
      <c r="AD5465" s="794"/>
    </row>
    <row r="5466" spans="30:30" ht="15.75" customHeight="1">
      <c r="AD5466" s="794"/>
    </row>
    <row r="5467" spans="30:30" ht="15.75" customHeight="1">
      <c r="AD5467" s="794"/>
    </row>
    <row r="5468" spans="30:30" ht="15.75" customHeight="1">
      <c r="AD5468" s="794"/>
    </row>
    <row r="5469" spans="30:30" ht="15.75" customHeight="1">
      <c r="AD5469" s="794"/>
    </row>
    <row r="5470" spans="30:30" ht="15.75" customHeight="1">
      <c r="AD5470" s="794"/>
    </row>
    <row r="5471" spans="30:30" ht="15.75" customHeight="1">
      <c r="AD5471" s="794"/>
    </row>
    <row r="5472" spans="30:30" ht="15.75" customHeight="1">
      <c r="AD5472" s="794"/>
    </row>
    <row r="5473" spans="30:30" ht="15.75" customHeight="1">
      <c r="AD5473" s="794"/>
    </row>
    <row r="5474" spans="30:30" ht="15.75" customHeight="1">
      <c r="AD5474" s="794"/>
    </row>
    <row r="5475" spans="30:30" ht="15.75" customHeight="1">
      <c r="AD5475" s="794"/>
    </row>
    <row r="5476" spans="30:30" ht="15.75" customHeight="1">
      <c r="AD5476" s="794"/>
    </row>
    <row r="5477" spans="30:30" ht="15.75" customHeight="1">
      <c r="AD5477" s="794"/>
    </row>
    <row r="5478" spans="30:30" ht="15.75" customHeight="1">
      <c r="AD5478" s="794"/>
    </row>
    <row r="5479" spans="30:30" ht="15.75" customHeight="1">
      <c r="AD5479" s="794"/>
    </row>
    <row r="5480" spans="30:30" ht="15.75" customHeight="1">
      <c r="AD5480" s="794"/>
    </row>
    <row r="5481" spans="30:30" ht="15.75" customHeight="1">
      <c r="AD5481" s="794"/>
    </row>
    <row r="5482" spans="30:30" ht="15.75" customHeight="1">
      <c r="AD5482" s="794"/>
    </row>
    <row r="5483" spans="30:30" ht="15.75" customHeight="1">
      <c r="AD5483" s="794"/>
    </row>
    <row r="5484" spans="30:30" ht="15.75" customHeight="1">
      <c r="AD5484" s="794"/>
    </row>
    <row r="5485" spans="30:30" ht="15.75" customHeight="1">
      <c r="AD5485" s="794"/>
    </row>
    <row r="5486" spans="30:30" ht="15.75" customHeight="1">
      <c r="AD5486" s="794"/>
    </row>
    <row r="5487" spans="30:30" ht="15.75" customHeight="1">
      <c r="AD5487" s="794"/>
    </row>
    <row r="5488" spans="30:30" ht="15.75" customHeight="1">
      <c r="AD5488" s="794"/>
    </row>
    <row r="5489" spans="30:30" ht="15.75" customHeight="1">
      <c r="AD5489" s="794"/>
    </row>
    <row r="5490" spans="30:30" ht="15.75" customHeight="1">
      <c r="AD5490" s="794"/>
    </row>
    <row r="5491" spans="30:30" ht="15.75" customHeight="1">
      <c r="AD5491" s="794"/>
    </row>
    <row r="5492" spans="30:30" ht="15.75" customHeight="1">
      <c r="AD5492" s="794"/>
    </row>
    <row r="5493" spans="30:30" ht="15.75" customHeight="1">
      <c r="AD5493" s="794"/>
    </row>
    <row r="5494" spans="30:30" ht="15.75" customHeight="1">
      <c r="AD5494" s="794"/>
    </row>
    <row r="5495" spans="30:30" ht="15.75" customHeight="1">
      <c r="AD5495" s="794"/>
    </row>
    <row r="5496" spans="30:30" ht="15.75" customHeight="1">
      <c r="AD5496" s="794"/>
    </row>
    <row r="5497" spans="30:30" ht="15.75" customHeight="1">
      <c r="AD5497" s="794"/>
    </row>
    <row r="5498" spans="30:30" ht="15.75" customHeight="1">
      <c r="AD5498" s="794"/>
    </row>
    <row r="5499" spans="30:30" ht="15.75" customHeight="1">
      <c r="AD5499" s="794"/>
    </row>
    <row r="5500" spans="30:30" ht="15.75" customHeight="1">
      <c r="AD5500" s="794"/>
    </row>
    <row r="5501" spans="30:30" ht="15.75" customHeight="1">
      <c r="AD5501" s="794"/>
    </row>
    <row r="5502" spans="30:30" ht="15.75" customHeight="1">
      <c r="AD5502" s="794"/>
    </row>
    <row r="5503" spans="30:30" ht="15.75" customHeight="1">
      <c r="AD5503" s="794"/>
    </row>
    <row r="5504" spans="30:30" ht="15.75" customHeight="1">
      <c r="AD5504" s="794"/>
    </row>
    <row r="5505" spans="30:30" ht="15.75" customHeight="1">
      <c r="AD5505" s="794"/>
    </row>
    <row r="5506" spans="30:30" ht="15.75" customHeight="1">
      <c r="AD5506" s="794"/>
    </row>
    <row r="5507" spans="30:30" ht="15.75" customHeight="1">
      <c r="AD5507" s="794"/>
    </row>
    <row r="5508" spans="30:30" ht="15.75" customHeight="1">
      <c r="AD5508" s="794"/>
    </row>
    <row r="5509" spans="30:30" ht="15.75" customHeight="1">
      <c r="AD5509" s="794"/>
    </row>
    <row r="5510" spans="30:30" ht="15.75" customHeight="1">
      <c r="AD5510" s="794"/>
    </row>
    <row r="5511" spans="30:30" ht="15.75" customHeight="1">
      <c r="AD5511" s="794"/>
    </row>
    <row r="5512" spans="30:30" ht="15.75" customHeight="1">
      <c r="AD5512" s="794"/>
    </row>
    <row r="5513" spans="30:30" ht="15.75" customHeight="1">
      <c r="AD5513" s="794"/>
    </row>
    <row r="5514" spans="30:30" ht="15.75" customHeight="1">
      <c r="AD5514" s="794"/>
    </row>
    <row r="5515" spans="30:30" ht="15.75" customHeight="1">
      <c r="AD5515" s="794"/>
    </row>
    <row r="5516" spans="30:30" ht="15.75" customHeight="1">
      <c r="AD5516" s="794"/>
    </row>
    <row r="5517" spans="30:30" ht="15.75" customHeight="1">
      <c r="AD5517" s="794"/>
    </row>
    <row r="5518" spans="30:30" ht="15.75" customHeight="1">
      <c r="AD5518" s="794"/>
    </row>
    <row r="5519" spans="30:30" ht="15.75" customHeight="1">
      <c r="AD5519" s="794"/>
    </row>
    <row r="5520" spans="30:30" ht="15.75" customHeight="1">
      <c r="AD5520" s="794"/>
    </row>
    <row r="5521" spans="30:30" ht="15.75" customHeight="1">
      <c r="AD5521" s="794"/>
    </row>
    <row r="5522" spans="30:30" ht="15.75" customHeight="1">
      <c r="AD5522" s="794"/>
    </row>
    <row r="5523" spans="30:30" ht="15.75" customHeight="1">
      <c r="AD5523" s="794"/>
    </row>
    <row r="5524" spans="30:30" ht="15.75" customHeight="1">
      <c r="AD5524" s="794"/>
    </row>
    <row r="5525" spans="30:30" ht="15.75" customHeight="1">
      <c r="AD5525" s="794"/>
    </row>
    <row r="5526" spans="30:30" ht="15.75" customHeight="1">
      <c r="AD5526" s="794"/>
    </row>
    <row r="5527" spans="30:30" ht="15.75" customHeight="1">
      <c r="AD5527" s="794"/>
    </row>
    <row r="5528" spans="30:30" ht="15.75" customHeight="1">
      <c r="AD5528" s="794"/>
    </row>
    <row r="5529" spans="30:30" ht="15.75" customHeight="1">
      <c r="AD5529" s="794"/>
    </row>
    <row r="5530" spans="30:30" ht="15.75" customHeight="1">
      <c r="AD5530" s="794"/>
    </row>
    <row r="5531" spans="30:30" ht="15.75" customHeight="1">
      <c r="AD5531" s="794"/>
    </row>
    <row r="5532" spans="30:30" ht="15.75" customHeight="1">
      <c r="AD5532" s="794"/>
    </row>
    <row r="5533" spans="30:30" ht="15.75" customHeight="1">
      <c r="AD5533" s="794"/>
    </row>
    <row r="5534" spans="30:30" ht="15.75" customHeight="1">
      <c r="AD5534" s="794"/>
    </row>
    <row r="5535" spans="30:30" ht="15.75" customHeight="1">
      <c r="AD5535" s="794"/>
    </row>
    <row r="5536" spans="30:30" ht="15.75" customHeight="1">
      <c r="AD5536" s="794"/>
    </row>
    <row r="5537" spans="30:30" ht="15.75" customHeight="1">
      <c r="AD5537" s="794"/>
    </row>
    <row r="5538" spans="30:30" ht="15.75" customHeight="1">
      <c r="AD5538" s="794"/>
    </row>
    <row r="5539" spans="30:30" ht="15.75" customHeight="1">
      <c r="AD5539" s="794"/>
    </row>
    <row r="5540" spans="30:30" ht="15.75" customHeight="1">
      <c r="AD5540" s="794"/>
    </row>
    <row r="5541" spans="30:30" ht="15.75" customHeight="1">
      <c r="AD5541" s="794"/>
    </row>
    <row r="5542" spans="30:30" ht="15.75" customHeight="1">
      <c r="AD5542" s="794"/>
    </row>
    <row r="5543" spans="30:30" ht="15.75" customHeight="1">
      <c r="AD5543" s="794"/>
    </row>
    <row r="5544" spans="30:30" ht="15.75" customHeight="1">
      <c r="AD5544" s="794"/>
    </row>
    <row r="5545" spans="30:30" ht="15.75" customHeight="1">
      <c r="AD5545" s="794"/>
    </row>
    <row r="5546" spans="30:30" ht="15.75" customHeight="1">
      <c r="AD5546" s="794"/>
    </row>
    <row r="5547" spans="30:30" ht="15.75" customHeight="1">
      <c r="AD5547" s="794"/>
    </row>
    <row r="5548" spans="30:30" ht="15.75" customHeight="1">
      <c r="AD5548" s="794"/>
    </row>
    <row r="5549" spans="30:30" ht="15.75" customHeight="1">
      <c r="AD5549" s="794"/>
    </row>
    <row r="5550" spans="30:30" ht="15.75" customHeight="1">
      <c r="AD5550" s="794"/>
    </row>
    <row r="5551" spans="30:30" ht="15.75" customHeight="1">
      <c r="AD5551" s="794"/>
    </row>
    <row r="5552" spans="30:30" ht="15.75" customHeight="1">
      <c r="AD5552" s="794"/>
    </row>
    <row r="5553" spans="30:30" ht="15.75" customHeight="1">
      <c r="AD5553" s="794"/>
    </row>
    <row r="5554" spans="30:30" ht="15.75" customHeight="1">
      <c r="AD5554" s="794"/>
    </row>
    <row r="5555" spans="30:30" ht="15.75" customHeight="1">
      <c r="AD5555" s="794"/>
    </row>
    <row r="5556" spans="30:30" ht="15.75" customHeight="1">
      <c r="AD5556" s="794"/>
    </row>
    <row r="5557" spans="30:30" ht="15.75" customHeight="1">
      <c r="AD5557" s="794"/>
    </row>
    <row r="5558" spans="30:30" ht="15.75" customHeight="1">
      <c r="AD5558" s="794"/>
    </row>
    <row r="5559" spans="30:30" ht="15.75" customHeight="1">
      <c r="AD5559" s="794"/>
    </row>
    <row r="5560" spans="30:30" ht="15.75" customHeight="1">
      <c r="AD5560" s="794"/>
    </row>
    <row r="5561" spans="30:30" ht="15.75" customHeight="1">
      <c r="AD5561" s="794"/>
    </row>
    <row r="5562" spans="30:30" ht="15.75" customHeight="1">
      <c r="AD5562" s="794"/>
    </row>
    <row r="5563" spans="30:30" ht="15.75" customHeight="1">
      <c r="AD5563" s="794"/>
    </row>
    <row r="5564" spans="30:30" ht="15.75" customHeight="1">
      <c r="AD5564" s="794"/>
    </row>
    <row r="5565" spans="30:30" ht="15.75" customHeight="1">
      <c r="AD5565" s="794"/>
    </row>
    <row r="5566" spans="30:30" ht="15.75" customHeight="1">
      <c r="AD5566" s="794"/>
    </row>
    <row r="5567" spans="30:30" ht="15.75" customHeight="1">
      <c r="AD5567" s="794"/>
    </row>
    <row r="5568" spans="30:30" ht="15.75" customHeight="1">
      <c r="AD5568" s="794"/>
    </row>
    <row r="5569" spans="30:30" ht="15.75" customHeight="1">
      <c r="AD5569" s="794"/>
    </row>
    <row r="5570" spans="30:30" ht="15.75" customHeight="1">
      <c r="AD5570" s="794"/>
    </row>
    <row r="5571" spans="30:30" ht="15.75" customHeight="1">
      <c r="AD5571" s="794"/>
    </row>
    <row r="5572" spans="30:30" ht="15.75" customHeight="1">
      <c r="AD5572" s="794"/>
    </row>
    <row r="5573" spans="30:30" ht="15.75" customHeight="1">
      <c r="AD5573" s="794"/>
    </row>
    <row r="5574" spans="30:30" ht="15.75" customHeight="1">
      <c r="AD5574" s="794"/>
    </row>
    <row r="5575" spans="30:30" ht="15.75" customHeight="1">
      <c r="AD5575" s="794"/>
    </row>
    <row r="5576" spans="30:30" ht="15.75" customHeight="1">
      <c r="AD5576" s="794"/>
    </row>
    <row r="5577" spans="30:30" ht="15.75" customHeight="1">
      <c r="AD5577" s="794"/>
    </row>
    <row r="5578" spans="30:30" ht="15.75" customHeight="1">
      <c r="AD5578" s="794"/>
    </row>
    <row r="5579" spans="30:30" ht="15.75" customHeight="1">
      <c r="AD5579" s="794"/>
    </row>
    <row r="5580" spans="30:30" ht="15.75" customHeight="1">
      <c r="AD5580" s="794"/>
    </row>
    <row r="5581" spans="30:30" ht="15.75" customHeight="1">
      <c r="AD5581" s="794"/>
    </row>
    <row r="5582" spans="30:30" ht="15.75" customHeight="1">
      <c r="AD5582" s="794"/>
    </row>
    <row r="5583" spans="30:30" ht="15.75" customHeight="1">
      <c r="AD5583" s="794"/>
    </row>
    <row r="5584" spans="30:30" ht="15.75" customHeight="1">
      <c r="AD5584" s="794"/>
    </row>
    <row r="5585" spans="30:30" ht="15.75" customHeight="1">
      <c r="AD5585" s="794"/>
    </row>
    <row r="5586" spans="30:30" ht="15.75" customHeight="1">
      <c r="AD5586" s="794"/>
    </row>
    <row r="5587" spans="30:30" ht="15.75" customHeight="1">
      <c r="AD5587" s="794"/>
    </row>
    <row r="5588" spans="30:30" ht="15.75" customHeight="1">
      <c r="AD5588" s="794"/>
    </row>
    <row r="5589" spans="30:30" ht="15.75" customHeight="1">
      <c r="AD5589" s="794"/>
    </row>
    <row r="5590" spans="30:30" ht="15.75" customHeight="1">
      <c r="AD5590" s="794"/>
    </row>
    <row r="5591" spans="30:30" ht="15.75" customHeight="1">
      <c r="AD5591" s="794"/>
    </row>
    <row r="5592" spans="30:30" ht="15.75" customHeight="1">
      <c r="AD5592" s="794"/>
    </row>
    <row r="5593" spans="30:30" ht="15.75" customHeight="1">
      <c r="AD5593" s="794"/>
    </row>
    <row r="5594" spans="30:30" ht="15.75" customHeight="1">
      <c r="AD5594" s="794"/>
    </row>
    <row r="5595" spans="30:30" ht="15.75" customHeight="1">
      <c r="AD5595" s="794"/>
    </row>
    <row r="5596" spans="30:30" ht="15.75" customHeight="1">
      <c r="AD5596" s="794"/>
    </row>
    <row r="5597" spans="30:30" ht="15.75" customHeight="1">
      <c r="AD5597" s="794"/>
    </row>
    <row r="5598" spans="30:30" ht="15.75" customHeight="1">
      <c r="AD5598" s="794"/>
    </row>
    <row r="5599" spans="30:30" ht="15.75" customHeight="1">
      <c r="AD5599" s="794"/>
    </row>
    <row r="5600" spans="30:30" ht="15.75" customHeight="1">
      <c r="AD5600" s="794"/>
    </row>
    <row r="5601" spans="30:30" ht="15.75" customHeight="1">
      <c r="AD5601" s="794"/>
    </row>
    <row r="5602" spans="30:30" ht="15.75" customHeight="1">
      <c r="AD5602" s="794"/>
    </row>
    <row r="5603" spans="30:30" ht="15.75" customHeight="1">
      <c r="AD5603" s="794"/>
    </row>
    <row r="5604" spans="30:30" ht="15.75" customHeight="1">
      <c r="AD5604" s="794"/>
    </row>
    <row r="5605" spans="30:30" ht="15.75" customHeight="1">
      <c r="AD5605" s="794"/>
    </row>
    <row r="5606" spans="30:30" ht="15.75" customHeight="1">
      <c r="AD5606" s="794"/>
    </row>
    <row r="5607" spans="30:30" ht="15.75" customHeight="1">
      <c r="AD5607" s="794"/>
    </row>
    <row r="5608" spans="30:30" ht="15.75" customHeight="1">
      <c r="AD5608" s="794"/>
    </row>
    <row r="5609" spans="30:30" ht="15.75" customHeight="1">
      <c r="AD5609" s="794"/>
    </row>
    <row r="5610" spans="30:30" ht="15.75" customHeight="1">
      <c r="AD5610" s="794"/>
    </row>
    <row r="5611" spans="30:30" ht="15.75" customHeight="1">
      <c r="AD5611" s="794"/>
    </row>
    <row r="5612" spans="30:30" ht="15.75" customHeight="1">
      <c r="AD5612" s="794"/>
    </row>
    <row r="5613" spans="30:30" ht="15.75" customHeight="1">
      <c r="AD5613" s="794"/>
    </row>
    <row r="5614" spans="30:30" ht="15.75" customHeight="1">
      <c r="AD5614" s="794"/>
    </row>
    <row r="5615" spans="30:30" ht="15.75" customHeight="1">
      <c r="AD5615" s="794"/>
    </row>
    <row r="5616" spans="30:30" ht="15.75" customHeight="1">
      <c r="AD5616" s="794"/>
    </row>
    <row r="5617" spans="30:30" ht="15.75" customHeight="1">
      <c r="AD5617" s="794"/>
    </row>
    <row r="5618" spans="30:30" ht="15.75" customHeight="1">
      <c r="AD5618" s="794"/>
    </row>
    <row r="5619" spans="30:30" ht="15.75" customHeight="1">
      <c r="AD5619" s="794"/>
    </row>
    <row r="5620" spans="30:30" ht="15.75" customHeight="1">
      <c r="AD5620" s="794"/>
    </row>
    <row r="5621" spans="30:30" ht="15.75" customHeight="1">
      <c r="AD5621" s="794"/>
    </row>
    <row r="5622" spans="30:30" ht="15.75" customHeight="1">
      <c r="AD5622" s="794"/>
    </row>
    <row r="5623" spans="30:30" ht="15.75" customHeight="1">
      <c r="AD5623" s="794"/>
    </row>
    <row r="5624" spans="30:30" ht="15.75" customHeight="1">
      <c r="AD5624" s="794"/>
    </row>
    <row r="5625" spans="30:30" ht="15.75" customHeight="1">
      <c r="AD5625" s="794"/>
    </row>
    <row r="5626" spans="30:30" ht="15.75" customHeight="1">
      <c r="AD5626" s="794"/>
    </row>
    <row r="5627" spans="30:30" ht="15.75" customHeight="1">
      <c r="AD5627" s="794"/>
    </row>
    <row r="5628" spans="30:30" ht="15.75" customHeight="1">
      <c r="AD5628" s="794"/>
    </row>
    <row r="5629" spans="30:30" ht="15.75" customHeight="1">
      <c r="AD5629" s="794"/>
    </row>
    <row r="5630" spans="30:30" ht="15.75" customHeight="1">
      <c r="AD5630" s="794"/>
    </row>
    <row r="5631" spans="30:30" ht="15.75" customHeight="1">
      <c r="AD5631" s="794"/>
    </row>
    <row r="5632" spans="30:30" ht="15.75" customHeight="1">
      <c r="AD5632" s="794"/>
    </row>
    <row r="5633" spans="30:30" ht="15.75" customHeight="1">
      <c r="AD5633" s="794"/>
    </row>
    <row r="5634" spans="30:30" ht="15.75" customHeight="1">
      <c r="AD5634" s="794"/>
    </row>
    <row r="5635" spans="30:30" ht="15.75" customHeight="1">
      <c r="AD5635" s="794"/>
    </row>
    <row r="5636" spans="30:30" ht="15.75" customHeight="1">
      <c r="AD5636" s="794"/>
    </row>
    <row r="5637" spans="30:30" ht="15.75" customHeight="1">
      <c r="AD5637" s="794"/>
    </row>
    <row r="5638" spans="30:30" ht="15.75" customHeight="1">
      <c r="AD5638" s="794"/>
    </row>
    <row r="5639" spans="30:30" ht="15.75" customHeight="1">
      <c r="AD5639" s="794"/>
    </row>
    <row r="5640" spans="30:30" ht="15.75" customHeight="1">
      <c r="AD5640" s="794"/>
    </row>
    <row r="5641" spans="30:30" ht="15.75" customHeight="1">
      <c r="AD5641" s="794"/>
    </row>
    <row r="5642" spans="30:30" ht="15.75" customHeight="1">
      <c r="AD5642" s="794"/>
    </row>
    <row r="5643" spans="30:30" ht="15.75" customHeight="1">
      <c r="AD5643" s="794"/>
    </row>
    <row r="5644" spans="30:30" ht="15.75" customHeight="1">
      <c r="AD5644" s="794"/>
    </row>
    <row r="5645" spans="30:30" ht="15.75" customHeight="1">
      <c r="AD5645" s="794"/>
    </row>
    <row r="5646" spans="30:30" ht="15.75" customHeight="1">
      <c r="AD5646" s="794"/>
    </row>
    <row r="5647" spans="30:30" ht="15.75" customHeight="1">
      <c r="AD5647" s="794"/>
    </row>
    <row r="5648" spans="30:30" ht="15.75" customHeight="1">
      <c r="AD5648" s="794"/>
    </row>
    <row r="5649" spans="30:30" ht="15.75" customHeight="1">
      <c r="AD5649" s="794"/>
    </row>
    <row r="5650" spans="30:30" ht="15.75" customHeight="1">
      <c r="AD5650" s="794"/>
    </row>
    <row r="5651" spans="30:30" ht="15.75" customHeight="1">
      <c r="AD5651" s="794"/>
    </row>
    <row r="5652" spans="30:30" ht="15.75" customHeight="1">
      <c r="AD5652" s="794"/>
    </row>
    <row r="5653" spans="30:30" ht="15.75" customHeight="1">
      <c r="AD5653" s="794"/>
    </row>
    <row r="5654" spans="30:30" ht="15.75" customHeight="1">
      <c r="AD5654" s="794"/>
    </row>
    <row r="5655" spans="30:30" ht="15.75" customHeight="1">
      <c r="AD5655" s="794"/>
    </row>
    <row r="5656" spans="30:30" ht="15.75" customHeight="1">
      <c r="AD5656" s="794"/>
    </row>
    <row r="5657" spans="30:30" ht="15.75" customHeight="1">
      <c r="AD5657" s="794"/>
    </row>
    <row r="5658" spans="30:30" ht="15.75" customHeight="1">
      <c r="AD5658" s="794"/>
    </row>
    <row r="5659" spans="30:30" ht="15.75" customHeight="1">
      <c r="AD5659" s="794"/>
    </row>
    <row r="5660" spans="30:30" ht="15.75" customHeight="1">
      <c r="AD5660" s="794"/>
    </row>
    <row r="5661" spans="30:30" ht="15.75" customHeight="1">
      <c r="AD5661" s="794"/>
    </row>
    <row r="5662" spans="30:30" ht="15.75" customHeight="1">
      <c r="AD5662" s="794"/>
    </row>
    <row r="5663" spans="30:30" ht="15.75" customHeight="1">
      <c r="AD5663" s="794"/>
    </row>
    <row r="5664" spans="30:30" ht="15.75" customHeight="1">
      <c r="AD5664" s="794"/>
    </row>
    <row r="5665" spans="30:30" ht="15.75" customHeight="1">
      <c r="AD5665" s="794"/>
    </row>
    <row r="5666" spans="30:30" ht="15.75" customHeight="1">
      <c r="AD5666" s="794"/>
    </row>
    <row r="5667" spans="30:30" ht="15.75" customHeight="1">
      <c r="AD5667" s="794"/>
    </row>
    <row r="5668" spans="30:30" ht="15.75" customHeight="1">
      <c r="AD5668" s="794"/>
    </row>
    <row r="5669" spans="30:30" ht="15.75" customHeight="1">
      <c r="AD5669" s="794"/>
    </row>
    <row r="5670" spans="30:30" ht="15.75" customHeight="1">
      <c r="AD5670" s="794"/>
    </row>
    <row r="5671" spans="30:30" ht="15.75" customHeight="1">
      <c r="AD5671" s="794"/>
    </row>
    <row r="5672" spans="30:30" ht="15.75" customHeight="1">
      <c r="AD5672" s="794"/>
    </row>
    <row r="5673" spans="30:30" ht="15.75" customHeight="1">
      <c r="AD5673" s="794"/>
    </row>
    <row r="5674" spans="30:30" ht="15.75" customHeight="1">
      <c r="AD5674" s="794"/>
    </row>
    <row r="5675" spans="30:30" ht="15.75" customHeight="1">
      <c r="AD5675" s="794"/>
    </row>
    <row r="5676" spans="30:30" ht="15.75" customHeight="1">
      <c r="AD5676" s="794"/>
    </row>
    <row r="5677" spans="30:30" ht="15.75" customHeight="1">
      <c r="AD5677" s="794"/>
    </row>
    <row r="5678" spans="30:30" ht="15.75" customHeight="1">
      <c r="AD5678" s="794"/>
    </row>
    <row r="5679" spans="30:30" ht="15.75" customHeight="1">
      <c r="AD5679" s="794"/>
    </row>
    <row r="5680" spans="30:30" ht="15.75" customHeight="1">
      <c r="AD5680" s="794"/>
    </row>
    <row r="5681" spans="30:30" ht="15.75" customHeight="1">
      <c r="AD5681" s="794"/>
    </row>
    <row r="5682" spans="30:30" ht="15.75" customHeight="1">
      <c r="AD5682" s="794"/>
    </row>
    <row r="5683" spans="30:30" ht="15.75" customHeight="1">
      <c r="AD5683" s="794"/>
    </row>
    <row r="5684" spans="30:30" ht="15.75" customHeight="1">
      <c r="AD5684" s="794"/>
    </row>
    <row r="5685" spans="30:30" ht="15.75" customHeight="1">
      <c r="AD5685" s="794"/>
    </row>
    <row r="5686" spans="30:30" ht="15.75" customHeight="1">
      <c r="AD5686" s="794"/>
    </row>
    <row r="5687" spans="30:30" ht="15.75" customHeight="1">
      <c r="AD5687" s="794"/>
    </row>
    <row r="5688" spans="30:30" ht="15.75" customHeight="1">
      <c r="AD5688" s="794"/>
    </row>
    <row r="5689" spans="30:30" ht="15.75" customHeight="1">
      <c r="AD5689" s="794"/>
    </row>
    <row r="5690" spans="30:30" ht="15.75" customHeight="1">
      <c r="AD5690" s="794"/>
    </row>
    <row r="5691" spans="30:30" ht="15.75" customHeight="1">
      <c r="AD5691" s="794"/>
    </row>
    <row r="5692" spans="30:30" ht="15.75" customHeight="1">
      <c r="AD5692" s="794"/>
    </row>
    <row r="5693" spans="30:30" ht="15.75" customHeight="1">
      <c r="AD5693" s="794"/>
    </row>
    <row r="5694" spans="30:30" ht="15.75" customHeight="1">
      <c r="AD5694" s="794"/>
    </row>
    <row r="5695" spans="30:30" ht="15.75" customHeight="1">
      <c r="AD5695" s="794"/>
    </row>
    <row r="5696" spans="30:30" ht="15.75" customHeight="1">
      <c r="AD5696" s="794"/>
    </row>
    <row r="5697" spans="30:30" ht="15.75" customHeight="1">
      <c r="AD5697" s="794"/>
    </row>
    <row r="5698" spans="30:30" ht="15.75" customHeight="1">
      <c r="AD5698" s="794"/>
    </row>
    <row r="5699" spans="30:30" ht="15.75" customHeight="1">
      <c r="AD5699" s="794"/>
    </row>
    <row r="5700" spans="30:30" ht="15.75" customHeight="1">
      <c r="AD5700" s="794"/>
    </row>
    <row r="5701" spans="30:30" ht="15.75" customHeight="1">
      <c r="AD5701" s="794"/>
    </row>
    <row r="5702" spans="30:30" ht="15.75" customHeight="1">
      <c r="AD5702" s="794"/>
    </row>
    <row r="5703" spans="30:30" ht="15.75" customHeight="1">
      <c r="AD5703" s="794"/>
    </row>
    <row r="5704" spans="30:30" ht="15.75" customHeight="1">
      <c r="AD5704" s="794"/>
    </row>
    <row r="5705" spans="30:30" ht="15.75" customHeight="1">
      <c r="AD5705" s="794"/>
    </row>
    <row r="5706" spans="30:30" ht="15.75" customHeight="1">
      <c r="AD5706" s="794"/>
    </row>
    <row r="5707" spans="30:30" ht="15.75" customHeight="1">
      <c r="AD5707" s="794"/>
    </row>
    <row r="5708" spans="30:30" ht="15.75" customHeight="1">
      <c r="AD5708" s="794"/>
    </row>
    <row r="5709" spans="30:30" ht="15.75" customHeight="1">
      <c r="AD5709" s="794"/>
    </row>
    <row r="5710" spans="30:30" ht="15.75" customHeight="1">
      <c r="AD5710" s="794"/>
    </row>
    <row r="5711" spans="30:30" ht="15.75" customHeight="1">
      <c r="AD5711" s="794"/>
    </row>
    <row r="5712" spans="30:30" ht="15.75" customHeight="1">
      <c r="AD5712" s="794"/>
    </row>
    <row r="5713" spans="30:30" ht="15.75" customHeight="1">
      <c r="AD5713" s="794"/>
    </row>
    <row r="5714" spans="30:30" ht="15.75" customHeight="1">
      <c r="AD5714" s="794"/>
    </row>
    <row r="5715" spans="30:30" ht="15.75" customHeight="1">
      <c r="AD5715" s="794"/>
    </row>
    <row r="5716" spans="30:30" ht="15.75" customHeight="1">
      <c r="AD5716" s="794"/>
    </row>
    <row r="5717" spans="30:30" ht="15.75" customHeight="1">
      <c r="AD5717" s="794"/>
    </row>
    <row r="5718" spans="30:30" ht="15.75" customHeight="1">
      <c r="AD5718" s="794"/>
    </row>
    <row r="5719" spans="30:30" ht="15.75" customHeight="1">
      <c r="AD5719" s="794"/>
    </row>
    <row r="5720" spans="30:30" ht="15.75" customHeight="1">
      <c r="AD5720" s="794"/>
    </row>
    <row r="5721" spans="30:30" ht="15.75" customHeight="1">
      <c r="AD5721" s="794"/>
    </row>
    <row r="5722" spans="30:30" ht="15.75" customHeight="1">
      <c r="AD5722" s="794"/>
    </row>
    <row r="5723" spans="30:30" ht="15.75" customHeight="1">
      <c r="AD5723" s="794"/>
    </row>
    <row r="5724" spans="30:30" ht="15.75" customHeight="1">
      <c r="AD5724" s="794"/>
    </row>
    <row r="5725" spans="30:30" ht="15.75" customHeight="1">
      <c r="AD5725" s="794"/>
    </row>
    <row r="5726" spans="30:30" ht="15.75" customHeight="1">
      <c r="AD5726" s="794"/>
    </row>
    <row r="5727" spans="30:30" ht="15.75" customHeight="1">
      <c r="AD5727" s="794"/>
    </row>
    <row r="5728" spans="30:30" ht="15.75" customHeight="1">
      <c r="AD5728" s="794"/>
    </row>
    <row r="5729" spans="30:30" ht="15.75" customHeight="1">
      <c r="AD5729" s="794"/>
    </row>
    <row r="5730" spans="30:30" ht="15.75" customHeight="1">
      <c r="AD5730" s="794"/>
    </row>
    <row r="5731" spans="30:30" ht="15.75" customHeight="1">
      <c r="AD5731" s="794"/>
    </row>
    <row r="5732" spans="30:30" ht="15.75" customHeight="1">
      <c r="AD5732" s="794"/>
    </row>
    <row r="5733" spans="30:30" ht="15.75" customHeight="1">
      <c r="AD5733" s="794"/>
    </row>
    <row r="5734" spans="30:30" ht="15.75" customHeight="1">
      <c r="AD5734" s="794"/>
    </row>
    <row r="5735" spans="30:30" ht="15.75" customHeight="1">
      <c r="AD5735" s="794"/>
    </row>
    <row r="5736" spans="30:30" ht="15.75" customHeight="1">
      <c r="AD5736" s="794"/>
    </row>
    <row r="5737" spans="30:30" ht="15.75" customHeight="1">
      <c r="AD5737" s="794"/>
    </row>
    <row r="5738" spans="30:30" ht="15.75" customHeight="1">
      <c r="AD5738" s="794"/>
    </row>
    <row r="5739" spans="30:30" ht="15.75" customHeight="1">
      <c r="AD5739" s="794"/>
    </row>
    <row r="5740" spans="30:30" ht="15.75" customHeight="1">
      <c r="AD5740" s="794"/>
    </row>
    <row r="5741" spans="30:30" ht="15.75" customHeight="1">
      <c r="AD5741" s="794"/>
    </row>
    <row r="5742" spans="30:30" ht="15.75" customHeight="1">
      <c r="AD5742" s="794"/>
    </row>
    <row r="5743" spans="30:30" ht="15.75" customHeight="1">
      <c r="AD5743" s="794"/>
    </row>
    <row r="5744" spans="30:30" ht="15.75" customHeight="1">
      <c r="AD5744" s="794"/>
    </row>
    <row r="5745" spans="30:30" ht="15.75" customHeight="1">
      <c r="AD5745" s="794"/>
    </row>
    <row r="5746" spans="30:30" ht="15.75" customHeight="1">
      <c r="AD5746" s="794"/>
    </row>
    <row r="5747" spans="30:30" ht="15.75" customHeight="1">
      <c r="AD5747" s="794"/>
    </row>
    <row r="5748" spans="30:30" ht="15.75" customHeight="1">
      <c r="AD5748" s="794"/>
    </row>
    <row r="5749" spans="30:30" ht="15.75" customHeight="1">
      <c r="AD5749" s="794"/>
    </row>
    <row r="5750" spans="30:30" ht="15.75" customHeight="1">
      <c r="AD5750" s="794"/>
    </row>
    <row r="5751" spans="30:30" ht="15.75" customHeight="1">
      <c r="AD5751" s="794"/>
    </row>
    <row r="5752" spans="30:30" ht="15.75" customHeight="1">
      <c r="AD5752" s="794"/>
    </row>
    <row r="5753" spans="30:30" ht="15.75" customHeight="1">
      <c r="AD5753" s="794"/>
    </row>
    <row r="5754" spans="30:30" ht="15.75" customHeight="1">
      <c r="AD5754" s="794"/>
    </row>
    <row r="5755" spans="30:30" ht="15.75" customHeight="1">
      <c r="AD5755" s="794"/>
    </row>
    <row r="5756" spans="30:30" ht="15.75" customHeight="1">
      <c r="AD5756" s="794"/>
    </row>
    <row r="5757" spans="30:30" ht="15.75" customHeight="1">
      <c r="AD5757" s="794"/>
    </row>
    <row r="5758" spans="30:30" ht="15.75" customHeight="1">
      <c r="AD5758" s="794"/>
    </row>
    <row r="5759" spans="30:30" ht="15.75" customHeight="1">
      <c r="AD5759" s="794"/>
    </row>
    <row r="5760" spans="30:30" ht="15.75" customHeight="1">
      <c r="AD5760" s="794"/>
    </row>
    <row r="5761" spans="30:30" ht="15.75" customHeight="1">
      <c r="AD5761" s="794"/>
    </row>
    <row r="5762" spans="30:30" ht="15.75" customHeight="1">
      <c r="AD5762" s="794"/>
    </row>
    <row r="5763" spans="30:30" ht="15.75" customHeight="1">
      <c r="AD5763" s="794"/>
    </row>
    <row r="5764" spans="30:30" ht="15.75" customHeight="1">
      <c r="AD5764" s="794"/>
    </row>
    <row r="5765" spans="30:30" ht="15.75" customHeight="1">
      <c r="AD5765" s="794"/>
    </row>
    <row r="5766" spans="30:30" ht="15.75" customHeight="1">
      <c r="AD5766" s="794"/>
    </row>
    <row r="5767" spans="30:30" ht="15.75" customHeight="1">
      <c r="AD5767" s="794"/>
    </row>
    <row r="5768" spans="30:30" ht="15.75" customHeight="1">
      <c r="AD5768" s="794"/>
    </row>
    <row r="5769" spans="30:30" ht="15.75" customHeight="1">
      <c r="AD5769" s="794"/>
    </row>
    <row r="5770" spans="30:30" ht="15.75" customHeight="1">
      <c r="AD5770" s="794"/>
    </row>
    <row r="5771" spans="30:30" ht="15.75" customHeight="1">
      <c r="AD5771" s="794"/>
    </row>
    <row r="5772" spans="30:30" ht="15.75" customHeight="1">
      <c r="AD5772" s="794"/>
    </row>
    <row r="5773" spans="30:30" ht="15.75" customHeight="1">
      <c r="AD5773" s="794"/>
    </row>
    <row r="5774" spans="30:30" ht="15.75" customHeight="1">
      <c r="AD5774" s="794"/>
    </row>
    <row r="5775" spans="30:30" ht="15.75" customHeight="1">
      <c r="AD5775" s="794"/>
    </row>
    <row r="5776" spans="30:30" ht="15.75" customHeight="1">
      <c r="AD5776" s="794"/>
    </row>
    <row r="5777" spans="30:30" ht="15.75" customHeight="1">
      <c r="AD5777" s="794"/>
    </row>
    <row r="5778" spans="30:30" ht="15.75" customHeight="1">
      <c r="AD5778" s="794"/>
    </row>
    <row r="5779" spans="30:30" ht="15.75" customHeight="1">
      <c r="AD5779" s="794"/>
    </row>
    <row r="5780" spans="30:30" ht="15.75" customHeight="1">
      <c r="AD5780" s="794"/>
    </row>
    <row r="5781" spans="30:30" ht="15.75" customHeight="1">
      <c r="AD5781" s="794"/>
    </row>
    <row r="5782" spans="30:30" ht="15.75" customHeight="1">
      <c r="AD5782" s="794"/>
    </row>
    <row r="5783" spans="30:30" ht="15.75" customHeight="1">
      <c r="AD5783" s="794"/>
    </row>
    <row r="5784" spans="30:30" ht="15.75" customHeight="1">
      <c r="AD5784" s="794"/>
    </row>
    <row r="5785" spans="30:30" ht="15.75" customHeight="1">
      <c r="AD5785" s="794"/>
    </row>
    <row r="5786" spans="30:30" ht="15.75" customHeight="1">
      <c r="AD5786" s="794"/>
    </row>
    <row r="5787" spans="30:30" ht="15.75" customHeight="1">
      <c r="AD5787" s="794"/>
    </row>
    <row r="5788" spans="30:30" ht="15.75" customHeight="1">
      <c r="AD5788" s="794"/>
    </row>
    <row r="5789" spans="30:30" ht="15.75" customHeight="1">
      <c r="AD5789" s="794"/>
    </row>
    <row r="5790" spans="30:30" ht="15.75" customHeight="1">
      <c r="AD5790" s="794"/>
    </row>
    <row r="5791" spans="30:30" ht="15.75" customHeight="1">
      <c r="AD5791" s="794"/>
    </row>
    <row r="5792" spans="30:30" ht="15.75" customHeight="1">
      <c r="AD5792" s="794"/>
    </row>
    <row r="5793" spans="30:30" ht="15.75" customHeight="1">
      <c r="AD5793" s="794"/>
    </row>
    <row r="5794" spans="30:30" ht="15.75" customHeight="1">
      <c r="AD5794" s="794"/>
    </row>
    <row r="5795" spans="30:30" ht="15.75" customHeight="1">
      <c r="AD5795" s="794"/>
    </row>
    <row r="5796" spans="30:30" ht="15.75" customHeight="1">
      <c r="AD5796" s="794"/>
    </row>
    <row r="5797" spans="30:30" ht="15.75" customHeight="1">
      <c r="AD5797" s="794"/>
    </row>
    <row r="5798" spans="30:30" ht="15.75" customHeight="1">
      <c r="AD5798" s="794"/>
    </row>
    <row r="5799" spans="30:30" ht="15.75" customHeight="1">
      <c r="AD5799" s="794"/>
    </row>
    <row r="5800" spans="30:30" ht="15.75" customHeight="1">
      <c r="AD5800" s="794"/>
    </row>
    <row r="5801" spans="30:30" ht="15.75" customHeight="1">
      <c r="AD5801" s="794"/>
    </row>
    <row r="5802" spans="30:30" ht="15.75" customHeight="1">
      <c r="AD5802" s="794"/>
    </row>
    <row r="5803" spans="30:30" ht="15.75" customHeight="1">
      <c r="AD5803" s="794"/>
    </row>
    <row r="5804" spans="30:30" ht="15.75" customHeight="1">
      <c r="AD5804" s="794"/>
    </row>
    <row r="5805" spans="30:30" ht="15.75" customHeight="1">
      <c r="AD5805" s="794"/>
    </row>
    <row r="5806" spans="30:30" ht="15.75" customHeight="1">
      <c r="AD5806" s="794"/>
    </row>
    <row r="5807" spans="30:30" ht="15.75" customHeight="1">
      <c r="AD5807" s="794"/>
    </row>
    <row r="5808" spans="30:30" ht="15.75" customHeight="1">
      <c r="AD5808" s="794"/>
    </row>
    <row r="5809" spans="30:30" ht="15.75" customHeight="1">
      <c r="AD5809" s="794"/>
    </row>
    <row r="5810" spans="30:30" ht="15.75" customHeight="1">
      <c r="AD5810" s="794"/>
    </row>
    <row r="5811" spans="30:30" ht="15.75" customHeight="1">
      <c r="AD5811" s="794"/>
    </row>
    <row r="5812" spans="30:30" ht="15.75" customHeight="1">
      <c r="AD5812" s="794"/>
    </row>
    <row r="5813" spans="30:30" ht="15.75" customHeight="1">
      <c r="AD5813" s="794"/>
    </row>
    <row r="5814" spans="30:30" ht="15.75" customHeight="1">
      <c r="AD5814" s="794"/>
    </row>
    <row r="5815" spans="30:30" ht="15.75" customHeight="1">
      <c r="AD5815" s="794"/>
    </row>
    <row r="5816" spans="30:30" ht="15.75" customHeight="1">
      <c r="AD5816" s="794"/>
    </row>
    <row r="5817" spans="30:30" ht="15.75" customHeight="1">
      <c r="AD5817" s="794"/>
    </row>
    <row r="5818" spans="30:30" ht="15.75" customHeight="1">
      <c r="AD5818" s="794"/>
    </row>
    <row r="5819" spans="30:30" ht="15.75" customHeight="1">
      <c r="AD5819" s="794"/>
    </row>
    <row r="5820" spans="30:30" ht="15.75" customHeight="1">
      <c r="AD5820" s="794"/>
    </row>
    <row r="5821" spans="30:30" ht="15.75" customHeight="1">
      <c r="AD5821" s="794"/>
    </row>
    <row r="5822" spans="30:30" ht="15.75" customHeight="1">
      <c r="AD5822" s="794"/>
    </row>
    <row r="5823" spans="30:30" ht="15.75" customHeight="1">
      <c r="AD5823" s="794"/>
    </row>
    <row r="5824" spans="30:30" ht="15.75" customHeight="1">
      <c r="AD5824" s="794"/>
    </row>
    <row r="5825" spans="30:30" ht="15.75" customHeight="1">
      <c r="AD5825" s="794"/>
    </row>
    <row r="5826" spans="30:30" ht="15.75" customHeight="1">
      <c r="AD5826" s="794"/>
    </row>
    <row r="5827" spans="30:30" ht="15.75" customHeight="1">
      <c r="AD5827" s="794"/>
    </row>
    <row r="5828" spans="30:30" ht="15.75" customHeight="1">
      <c r="AD5828" s="794"/>
    </row>
    <row r="5829" spans="30:30" ht="15.75" customHeight="1">
      <c r="AD5829" s="794"/>
    </row>
    <row r="5830" spans="30:30" ht="15.75" customHeight="1">
      <c r="AD5830" s="794"/>
    </row>
    <row r="5831" spans="30:30" ht="15.75" customHeight="1">
      <c r="AD5831" s="794"/>
    </row>
    <row r="5832" spans="30:30" ht="15.75" customHeight="1">
      <c r="AD5832" s="794"/>
    </row>
    <row r="5833" spans="30:30" ht="15.75" customHeight="1">
      <c r="AD5833" s="794"/>
    </row>
    <row r="5834" spans="30:30" ht="15.75" customHeight="1">
      <c r="AD5834" s="794"/>
    </row>
    <row r="5835" spans="30:30" ht="15.75" customHeight="1">
      <c r="AD5835" s="794"/>
    </row>
    <row r="5836" spans="30:30" ht="15.75" customHeight="1">
      <c r="AD5836" s="794"/>
    </row>
    <row r="5837" spans="30:30" ht="15.75" customHeight="1">
      <c r="AD5837" s="794"/>
    </row>
    <row r="5838" spans="30:30" ht="15.75" customHeight="1">
      <c r="AD5838" s="794"/>
    </row>
    <row r="5839" spans="30:30" ht="15.75" customHeight="1">
      <c r="AD5839" s="794"/>
    </row>
    <row r="5840" spans="30:30" ht="15.75" customHeight="1">
      <c r="AD5840" s="794"/>
    </row>
    <row r="5841" spans="30:30" ht="15.75" customHeight="1">
      <c r="AD5841" s="794"/>
    </row>
    <row r="5842" spans="30:30" ht="15.75" customHeight="1">
      <c r="AD5842" s="794"/>
    </row>
    <row r="5843" spans="30:30" ht="15.75" customHeight="1">
      <c r="AD5843" s="794"/>
    </row>
    <row r="5844" spans="30:30" ht="15.75" customHeight="1">
      <c r="AD5844" s="794"/>
    </row>
    <row r="5845" spans="30:30" ht="15.75" customHeight="1">
      <c r="AD5845" s="794"/>
    </row>
    <row r="5846" spans="30:30" ht="15.75" customHeight="1">
      <c r="AD5846" s="794"/>
    </row>
    <row r="5847" spans="30:30" ht="15.75" customHeight="1">
      <c r="AD5847" s="794"/>
    </row>
    <row r="5848" spans="30:30" ht="15.75" customHeight="1">
      <c r="AD5848" s="794"/>
    </row>
    <row r="5849" spans="30:30" ht="15.75" customHeight="1">
      <c r="AD5849" s="794"/>
    </row>
    <row r="5850" spans="30:30" ht="15.75" customHeight="1">
      <c r="AD5850" s="794"/>
    </row>
    <row r="5851" spans="30:30" ht="15.75" customHeight="1">
      <c r="AD5851" s="794"/>
    </row>
    <row r="5852" spans="30:30" ht="15.75" customHeight="1">
      <c r="AD5852" s="794"/>
    </row>
    <row r="5853" spans="30:30" ht="15.75" customHeight="1">
      <c r="AD5853" s="794"/>
    </row>
    <row r="5854" spans="30:30" ht="15.75" customHeight="1">
      <c r="AD5854" s="794"/>
    </row>
    <row r="5855" spans="30:30" ht="15.75" customHeight="1">
      <c r="AD5855" s="794"/>
    </row>
    <row r="5856" spans="30:30" ht="15.75" customHeight="1">
      <c r="AD5856" s="794"/>
    </row>
    <row r="5857" spans="30:30" ht="15.75" customHeight="1">
      <c r="AD5857" s="794"/>
    </row>
    <row r="5858" spans="30:30" ht="15.75" customHeight="1">
      <c r="AD5858" s="794"/>
    </row>
    <row r="5859" spans="30:30" ht="15.75" customHeight="1">
      <c r="AD5859" s="794"/>
    </row>
    <row r="5860" spans="30:30" ht="15.75" customHeight="1">
      <c r="AD5860" s="794"/>
    </row>
    <row r="5861" spans="30:30" ht="15.75" customHeight="1">
      <c r="AD5861" s="794"/>
    </row>
    <row r="5862" spans="30:30" ht="15.75" customHeight="1">
      <c r="AD5862" s="794"/>
    </row>
    <row r="5863" spans="30:30" ht="15.75" customHeight="1">
      <c r="AD5863" s="794"/>
    </row>
    <row r="5864" spans="30:30" ht="15.75" customHeight="1">
      <c r="AD5864" s="794"/>
    </row>
    <row r="5865" spans="30:30" ht="15.75" customHeight="1">
      <c r="AD5865" s="794"/>
    </row>
    <row r="5866" spans="30:30" ht="15.75" customHeight="1">
      <c r="AD5866" s="794"/>
    </row>
    <row r="5867" spans="30:30" ht="15.75" customHeight="1">
      <c r="AD5867" s="794"/>
    </row>
    <row r="5868" spans="30:30" ht="15.75" customHeight="1">
      <c r="AD5868" s="794"/>
    </row>
    <row r="5869" spans="30:30" ht="15.75" customHeight="1">
      <c r="AD5869" s="794"/>
    </row>
    <row r="5870" spans="30:30" ht="15.75" customHeight="1">
      <c r="AD5870" s="794"/>
    </row>
    <row r="5871" spans="30:30" ht="15.75" customHeight="1">
      <c r="AD5871" s="794"/>
    </row>
    <row r="5872" spans="30:30" ht="15.75" customHeight="1">
      <c r="AD5872" s="794"/>
    </row>
    <row r="5873" spans="30:30" ht="15.75" customHeight="1">
      <c r="AD5873" s="794"/>
    </row>
    <row r="5874" spans="30:30" ht="15.75" customHeight="1">
      <c r="AD5874" s="794"/>
    </row>
    <row r="5875" spans="30:30" ht="15.75" customHeight="1">
      <c r="AD5875" s="794"/>
    </row>
    <row r="5876" spans="30:30" ht="15.75" customHeight="1">
      <c r="AD5876" s="794"/>
    </row>
    <row r="5877" spans="30:30" ht="15.75" customHeight="1">
      <c r="AD5877" s="794"/>
    </row>
    <row r="5878" spans="30:30" ht="15.75" customHeight="1">
      <c r="AD5878" s="794"/>
    </row>
    <row r="5879" spans="30:30" ht="15.75" customHeight="1">
      <c r="AD5879" s="794"/>
    </row>
    <row r="5880" spans="30:30" ht="15.75" customHeight="1">
      <c r="AD5880" s="794"/>
    </row>
    <row r="5881" spans="30:30" ht="15.75" customHeight="1">
      <c r="AD5881" s="794"/>
    </row>
    <row r="5882" spans="30:30" ht="15.75" customHeight="1">
      <c r="AD5882" s="794"/>
    </row>
    <row r="5883" spans="30:30" ht="15.75" customHeight="1">
      <c r="AD5883" s="794"/>
    </row>
    <row r="5884" spans="30:30" ht="15.75" customHeight="1">
      <c r="AD5884" s="794"/>
    </row>
    <row r="5885" spans="30:30" ht="15.75" customHeight="1">
      <c r="AD5885" s="794"/>
    </row>
    <row r="5886" spans="30:30" ht="15.75" customHeight="1">
      <c r="AD5886" s="794"/>
    </row>
    <row r="5887" spans="30:30" ht="15.75" customHeight="1">
      <c r="AD5887" s="794"/>
    </row>
    <row r="5888" spans="30:30" ht="15.75" customHeight="1">
      <c r="AD5888" s="794"/>
    </row>
    <row r="5889" spans="30:30" ht="15.75" customHeight="1">
      <c r="AD5889" s="794"/>
    </row>
    <row r="5890" spans="30:30" ht="15.75" customHeight="1">
      <c r="AD5890" s="794"/>
    </row>
    <row r="5891" spans="30:30" ht="15.75" customHeight="1">
      <c r="AD5891" s="794"/>
    </row>
    <row r="5892" spans="30:30" ht="15.75" customHeight="1">
      <c r="AD5892" s="794"/>
    </row>
    <row r="5893" spans="30:30" ht="15.75" customHeight="1">
      <c r="AD5893" s="794"/>
    </row>
    <row r="5894" spans="30:30" ht="15.75" customHeight="1">
      <c r="AD5894" s="794"/>
    </row>
    <row r="5895" spans="30:30" ht="15.75" customHeight="1">
      <c r="AD5895" s="794"/>
    </row>
    <row r="5896" spans="30:30" ht="15.75" customHeight="1">
      <c r="AD5896" s="794"/>
    </row>
    <row r="5897" spans="30:30" ht="15.75" customHeight="1">
      <c r="AD5897" s="794"/>
    </row>
    <row r="5898" spans="30:30" ht="15.75" customHeight="1">
      <c r="AD5898" s="794"/>
    </row>
    <row r="5899" spans="30:30" ht="15.75" customHeight="1">
      <c r="AD5899" s="794"/>
    </row>
    <row r="5900" spans="30:30" ht="15.75" customHeight="1">
      <c r="AD5900" s="794"/>
    </row>
    <row r="5901" spans="30:30" ht="15.75" customHeight="1">
      <c r="AD5901" s="794"/>
    </row>
    <row r="5902" spans="30:30" ht="15.75" customHeight="1">
      <c r="AD5902" s="794"/>
    </row>
    <row r="5903" spans="30:30" ht="15.75" customHeight="1">
      <c r="AD5903" s="794"/>
    </row>
    <row r="5904" spans="30:30" ht="15.75" customHeight="1">
      <c r="AD5904" s="794"/>
    </row>
    <row r="5905" spans="30:30" ht="15.75" customHeight="1">
      <c r="AD5905" s="794"/>
    </row>
    <row r="5906" spans="30:30" ht="15.75" customHeight="1">
      <c r="AD5906" s="794"/>
    </row>
    <row r="5907" spans="30:30" ht="15.75" customHeight="1">
      <c r="AD5907" s="794"/>
    </row>
    <row r="5908" spans="30:30" ht="15.75" customHeight="1">
      <c r="AD5908" s="794"/>
    </row>
    <row r="5909" spans="30:30" ht="15.75" customHeight="1">
      <c r="AD5909" s="794"/>
    </row>
    <row r="5910" spans="30:30" ht="15.75" customHeight="1">
      <c r="AD5910" s="794"/>
    </row>
    <row r="5911" spans="30:30" ht="15.75" customHeight="1">
      <c r="AD5911" s="794"/>
    </row>
    <row r="5912" spans="30:30" ht="15.75" customHeight="1">
      <c r="AD5912" s="794"/>
    </row>
    <row r="5913" spans="30:30" ht="15.75" customHeight="1">
      <c r="AD5913" s="794"/>
    </row>
    <row r="5914" spans="30:30" ht="15.75" customHeight="1">
      <c r="AD5914" s="794"/>
    </row>
    <row r="5915" spans="30:30" ht="15.75" customHeight="1">
      <c r="AD5915" s="794"/>
    </row>
    <row r="5916" spans="30:30" ht="15.75" customHeight="1">
      <c r="AD5916" s="794"/>
    </row>
    <row r="5917" spans="30:30" ht="15.75" customHeight="1">
      <c r="AD5917" s="794"/>
    </row>
    <row r="5918" spans="30:30" ht="15.75" customHeight="1">
      <c r="AD5918" s="794"/>
    </row>
    <row r="5919" spans="30:30" ht="15.75" customHeight="1">
      <c r="AD5919" s="794"/>
    </row>
    <row r="5920" spans="30:30" ht="15.75" customHeight="1">
      <c r="AD5920" s="794"/>
    </row>
    <row r="5921" spans="30:30" ht="15.75" customHeight="1">
      <c r="AD5921" s="794"/>
    </row>
    <row r="5922" spans="30:30" ht="15.75" customHeight="1">
      <c r="AD5922" s="794"/>
    </row>
    <row r="5923" spans="30:30" ht="15.75" customHeight="1">
      <c r="AD5923" s="794"/>
    </row>
    <row r="5924" spans="30:30" ht="15.75" customHeight="1">
      <c r="AD5924" s="794"/>
    </row>
    <row r="5925" spans="30:30" ht="15.75" customHeight="1">
      <c r="AD5925" s="794"/>
    </row>
    <row r="5926" spans="30:30" ht="15.75" customHeight="1">
      <c r="AD5926" s="794"/>
    </row>
    <row r="5927" spans="30:30" ht="15.75" customHeight="1">
      <c r="AD5927" s="794"/>
    </row>
    <row r="5928" spans="30:30" ht="15.75" customHeight="1">
      <c r="AD5928" s="794"/>
    </row>
    <row r="5929" spans="30:30" ht="15.75" customHeight="1">
      <c r="AD5929" s="794"/>
    </row>
    <row r="5930" spans="30:30" ht="15.75" customHeight="1">
      <c r="AD5930" s="794"/>
    </row>
    <row r="5931" spans="30:30" ht="15.75" customHeight="1">
      <c r="AD5931" s="794"/>
    </row>
    <row r="5932" spans="30:30" ht="15.75" customHeight="1">
      <c r="AD5932" s="794"/>
    </row>
    <row r="5933" spans="30:30" ht="15.75" customHeight="1">
      <c r="AD5933" s="794"/>
    </row>
    <row r="5934" spans="30:30" ht="15.75" customHeight="1">
      <c r="AD5934" s="794"/>
    </row>
    <row r="5935" spans="30:30" ht="15.75" customHeight="1">
      <c r="AD5935" s="794"/>
    </row>
    <row r="5936" spans="30:30" ht="15.75" customHeight="1">
      <c r="AD5936" s="794"/>
    </row>
    <row r="5937" spans="30:30" ht="15.75" customHeight="1">
      <c r="AD5937" s="794"/>
    </row>
    <row r="5938" spans="30:30" ht="15.75" customHeight="1">
      <c r="AD5938" s="794"/>
    </row>
    <row r="5939" spans="30:30" ht="15.75" customHeight="1">
      <c r="AD5939" s="794"/>
    </row>
    <row r="5940" spans="30:30" ht="15.75" customHeight="1">
      <c r="AD5940" s="794"/>
    </row>
    <row r="5941" spans="30:30" ht="15.75" customHeight="1">
      <c r="AD5941" s="794"/>
    </row>
    <row r="5942" spans="30:30" ht="15.75" customHeight="1">
      <c r="AD5942" s="794"/>
    </row>
    <row r="5943" spans="30:30" ht="15.75" customHeight="1">
      <c r="AD5943" s="794"/>
    </row>
    <row r="5944" spans="30:30" ht="15.75" customHeight="1">
      <c r="AD5944" s="794"/>
    </row>
    <row r="5945" spans="30:30" ht="15.75" customHeight="1">
      <c r="AD5945" s="794"/>
    </row>
    <row r="5946" spans="30:30" ht="15.75" customHeight="1">
      <c r="AD5946" s="794"/>
    </row>
    <row r="5947" spans="30:30" ht="15.75" customHeight="1">
      <c r="AD5947" s="794"/>
    </row>
    <row r="5948" spans="30:30" ht="15.75" customHeight="1">
      <c r="AD5948" s="794"/>
    </row>
    <row r="5949" spans="30:30" ht="15.75" customHeight="1">
      <c r="AD5949" s="794"/>
    </row>
    <row r="5950" spans="30:30" ht="15.75" customHeight="1">
      <c r="AD5950" s="794"/>
    </row>
    <row r="5951" spans="30:30" ht="15.75" customHeight="1">
      <c r="AD5951" s="794"/>
    </row>
    <row r="5952" spans="30:30" ht="15.75" customHeight="1">
      <c r="AD5952" s="794"/>
    </row>
    <row r="5953" spans="30:30" ht="15.75" customHeight="1">
      <c r="AD5953" s="794"/>
    </row>
    <row r="5954" spans="30:30" ht="15.75" customHeight="1">
      <c r="AD5954" s="794"/>
    </row>
    <row r="5955" spans="30:30" ht="15.75" customHeight="1">
      <c r="AD5955" s="794"/>
    </row>
    <row r="5956" spans="30:30" ht="15.75" customHeight="1">
      <c r="AD5956" s="794"/>
    </row>
    <row r="5957" spans="30:30" ht="15.75" customHeight="1">
      <c r="AD5957" s="794"/>
    </row>
    <row r="5958" spans="30:30" ht="15.75" customHeight="1">
      <c r="AD5958" s="794"/>
    </row>
    <row r="5959" spans="30:30" ht="15.75" customHeight="1">
      <c r="AD5959" s="794"/>
    </row>
    <row r="5960" spans="30:30" ht="15.75" customHeight="1">
      <c r="AD5960" s="794"/>
    </row>
    <row r="5961" spans="30:30" ht="15.75" customHeight="1">
      <c r="AD5961" s="794"/>
    </row>
    <row r="5962" spans="30:30" ht="15.75" customHeight="1">
      <c r="AD5962" s="794"/>
    </row>
    <row r="5963" spans="30:30" ht="15.75" customHeight="1">
      <c r="AD5963" s="794"/>
    </row>
    <row r="5964" spans="30:30" ht="15.75" customHeight="1">
      <c r="AD5964" s="794"/>
    </row>
    <row r="5965" spans="30:30" ht="15.75" customHeight="1">
      <c r="AD5965" s="794"/>
    </row>
    <row r="5966" spans="30:30" ht="15.75" customHeight="1">
      <c r="AD5966" s="794"/>
    </row>
    <row r="5967" spans="30:30" ht="15.75" customHeight="1">
      <c r="AD5967" s="794"/>
    </row>
    <row r="5968" spans="30:30" ht="15.75" customHeight="1">
      <c r="AD5968" s="794"/>
    </row>
    <row r="5969" spans="30:30" ht="15.75" customHeight="1">
      <c r="AD5969" s="794"/>
    </row>
    <row r="5970" spans="30:30" ht="15.75" customHeight="1">
      <c r="AD5970" s="794"/>
    </row>
    <row r="5971" spans="30:30" ht="15.75" customHeight="1">
      <c r="AD5971" s="794"/>
    </row>
    <row r="5972" spans="30:30" ht="15.75" customHeight="1">
      <c r="AD5972" s="794"/>
    </row>
    <row r="5973" spans="30:30" ht="15.75" customHeight="1">
      <c r="AD5973" s="794"/>
    </row>
    <row r="5974" spans="30:30" ht="15.75" customHeight="1">
      <c r="AD5974" s="794"/>
    </row>
    <row r="5975" spans="30:30" ht="15.75" customHeight="1">
      <c r="AD5975" s="794"/>
    </row>
    <row r="5976" spans="30:30" ht="15.75" customHeight="1">
      <c r="AD5976" s="794"/>
    </row>
    <row r="5977" spans="30:30" ht="15.75" customHeight="1">
      <c r="AD5977" s="794"/>
    </row>
    <row r="5978" spans="30:30" ht="15.75" customHeight="1">
      <c r="AD5978" s="794"/>
    </row>
    <row r="5979" spans="30:30" ht="15.75" customHeight="1">
      <c r="AD5979" s="794"/>
    </row>
    <row r="5980" spans="30:30" ht="15.75" customHeight="1">
      <c r="AD5980" s="794"/>
    </row>
    <row r="5981" spans="30:30" ht="15.75" customHeight="1">
      <c r="AD5981" s="794"/>
    </row>
    <row r="5982" spans="30:30" ht="15.75" customHeight="1">
      <c r="AD5982" s="794"/>
    </row>
    <row r="5983" spans="30:30" ht="15.75" customHeight="1">
      <c r="AD5983" s="794"/>
    </row>
    <row r="5984" spans="30:30" ht="15.75" customHeight="1">
      <c r="AD5984" s="794"/>
    </row>
    <row r="5985" spans="30:30" ht="15.75" customHeight="1">
      <c r="AD5985" s="794"/>
    </row>
    <row r="5986" spans="30:30" ht="15.75" customHeight="1">
      <c r="AD5986" s="794"/>
    </row>
    <row r="5987" spans="30:30" ht="15.75" customHeight="1">
      <c r="AD5987" s="794"/>
    </row>
    <row r="5988" spans="30:30" ht="15.75" customHeight="1">
      <c r="AD5988" s="794"/>
    </row>
    <row r="5989" spans="30:30" ht="15.75" customHeight="1">
      <c r="AD5989" s="794"/>
    </row>
    <row r="5990" spans="30:30" ht="15.75" customHeight="1">
      <c r="AD5990" s="794"/>
    </row>
    <row r="5991" spans="30:30" ht="15.75" customHeight="1">
      <c r="AD5991" s="794"/>
    </row>
    <row r="5992" spans="30:30" ht="15.75" customHeight="1">
      <c r="AD5992" s="794"/>
    </row>
    <row r="5993" spans="30:30" ht="15.75" customHeight="1">
      <c r="AD5993" s="794"/>
    </row>
    <row r="5994" spans="30:30" ht="15.75" customHeight="1">
      <c r="AD5994" s="794"/>
    </row>
    <row r="5995" spans="30:30" ht="15.75" customHeight="1">
      <c r="AD5995" s="794"/>
    </row>
    <row r="5996" spans="30:30" ht="15.75" customHeight="1">
      <c r="AD5996" s="794"/>
    </row>
    <row r="5997" spans="30:30" ht="15.75" customHeight="1">
      <c r="AD5997" s="794"/>
    </row>
    <row r="5998" spans="30:30" ht="15.75" customHeight="1">
      <c r="AD5998" s="794"/>
    </row>
    <row r="5999" spans="30:30" ht="15.75" customHeight="1">
      <c r="AD5999" s="794"/>
    </row>
    <row r="6000" spans="30:30" ht="15.75" customHeight="1">
      <c r="AD6000" s="794"/>
    </row>
    <row r="6001" spans="30:30" ht="15.75" customHeight="1">
      <c r="AD6001" s="794"/>
    </row>
    <row r="6002" spans="30:30" ht="15.75" customHeight="1">
      <c r="AD6002" s="794"/>
    </row>
    <row r="6003" spans="30:30" ht="15.75" customHeight="1">
      <c r="AD6003" s="794"/>
    </row>
    <row r="6004" spans="30:30" ht="15.75" customHeight="1">
      <c r="AD6004" s="794"/>
    </row>
    <row r="6005" spans="30:30" ht="15.75" customHeight="1">
      <c r="AD6005" s="794"/>
    </row>
    <row r="6006" spans="30:30" ht="15.75" customHeight="1">
      <c r="AD6006" s="794"/>
    </row>
    <row r="6007" spans="30:30" ht="15.75" customHeight="1">
      <c r="AD6007" s="794"/>
    </row>
    <row r="6008" spans="30:30" ht="15.75" customHeight="1">
      <c r="AD6008" s="794"/>
    </row>
    <row r="6009" spans="30:30" ht="15.75" customHeight="1">
      <c r="AD6009" s="794"/>
    </row>
    <row r="6010" spans="30:30" ht="15.75" customHeight="1">
      <c r="AD6010" s="794"/>
    </row>
    <row r="6011" spans="30:30" ht="15.75" customHeight="1">
      <c r="AD6011" s="794"/>
    </row>
    <row r="6012" spans="30:30" ht="15.75" customHeight="1">
      <c r="AD6012" s="794"/>
    </row>
    <row r="6013" spans="30:30" ht="15.75" customHeight="1">
      <c r="AD6013" s="794"/>
    </row>
    <row r="6014" spans="30:30" ht="15.75" customHeight="1">
      <c r="AD6014" s="794"/>
    </row>
    <row r="6015" spans="30:30" ht="15.75" customHeight="1">
      <c r="AD6015" s="794"/>
    </row>
    <row r="6016" spans="30:30" ht="15.75" customHeight="1">
      <c r="AD6016" s="794"/>
    </row>
    <row r="6017" spans="30:30" ht="15.75" customHeight="1">
      <c r="AD6017" s="794"/>
    </row>
    <row r="6018" spans="30:30" ht="15.75" customHeight="1">
      <c r="AD6018" s="794"/>
    </row>
    <row r="6019" spans="30:30" ht="15.75" customHeight="1">
      <c r="AD6019" s="794"/>
    </row>
    <row r="6020" spans="30:30" ht="15.75" customHeight="1">
      <c r="AD6020" s="794"/>
    </row>
    <row r="6021" spans="30:30" ht="15.75" customHeight="1">
      <c r="AD6021" s="794"/>
    </row>
    <row r="6022" spans="30:30" ht="15.75" customHeight="1">
      <c r="AD6022" s="794"/>
    </row>
    <row r="6023" spans="30:30" ht="15.75" customHeight="1">
      <c r="AD6023" s="794"/>
    </row>
    <row r="6024" spans="30:30" ht="15.75" customHeight="1">
      <c r="AD6024" s="794"/>
    </row>
    <row r="6025" spans="30:30" ht="15.75" customHeight="1">
      <c r="AD6025" s="794"/>
    </row>
    <row r="6026" spans="30:30" ht="15.75" customHeight="1">
      <c r="AD6026" s="794"/>
    </row>
    <row r="6027" spans="30:30" ht="15.75" customHeight="1">
      <c r="AD6027" s="794"/>
    </row>
    <row r="6028" spans="30:30" ht="15.75" customHeight="1">
      <c r="AD6028" s="794"/>
    </row>
    <row r="6029" spans="30:30" ht="15.75" customHeight="1">
      <c r="AD6029" s="794"/>
    </row>
    <row r="6030" spans="30:30" ht="15.75" customHeight="1">
      <c r="AD6030" s="794"/>
    </row>
    <row r="6031" spans="30:30" ht="15.75" customHeight="1">
      <c r="AD6031" s="794"/>
    </row>
    <row r="6032" spans="30:30" ht="15.75" customHeight="1">
      <c r="AD6032" s="794"/>
    </row>
    <row r="6033" spans="30:30" ht="15.75" customHeight="1">
      <c r="AD6033" s="794"/>
    </row>
    <row r="6034" spans="30:30" ht="15.75" customHeight="1">
      <c r="AD6034" s="794"/>
    </row>
    <row r="6035" spans="30:30" ht="15.75" customHeight="1">
      <c r="AD6035" s="794"/>
    </row>
    <row r="6036" spans="30:30" ht="15.75" customHeight="1">
      <c r="AD6036" s="794"/>
    </row>
    <row r="6037" spans="30:30" ht="15.75" customHeight="1">
      <c r="AD6037" s="794"/>
    </row>
    <row r="6038" spans="30:30" ht="15.75" customHeight="1">
      <c r="AD6038" s="794"/>
    </row>
    <row r="6039" spans="30:30" ht="15.75" customHeight="1">
      <c r="AD6039" s="794"/>
    </row>
    <row r="6040" spans="30:30" ht="15.75" customHeight="1">
      <c r="AD6040" s="794"/>
    </row>
    <row r="6041" spans="30:30" ht="15.75" customHeight="1">
      <c r="AD6041" s="794"/>
    </row>
    <row r="6042" spans="30:30" ht="15.75" customHeight="1">
      <c r="AD6042" s="794"/>
    </row>
    <row r="6043" spans="30:30" ht="15.75" customHeight="1">
      <c r="AD6043" s="794"/>
    </row>
    <row r="6044" spans="30:30" ht="15.75" customHeight="1">
      <c r="AD6044" s="794"/>
    </row>
    <row r="6045" spans="30:30" ht="15.75" customHeight="1">
      <c r="AD6045" s="794"/>
    </row>
    <row r="6046" spans="30:30" ht="15.75" customHeight="1">
      <c r="AD6046" s="794"/>
    </row>
    <row r="6047" spans="30:30" ht="15.75" customHeight="1">
      <c r="AD6047" s="794"/>
    </row>
    <row r="6048" spans="30:30" ht="15.75" customHeight="1">
      <c r="AD6048" s="794"/>
    </row>
    <row r="6049" spans="30:30" ht="15.75" customHeight="1">
      <c r="AD6049" s="794"/>
    </row>
    <row r="6050" spans="30:30" ht="15.75" customHeight="1">
      <c r="AD6050" s="794"/>
    </row>
    <row r="6051" spans="30:30" ht="15.75" customHeight="1">
      <c r="AD6051" s="794"/>
    </row>
    <row r="6052" spans="30:30" ht="15.75" customHeight="1">
      <c r="AD6052" s="794"/>
    </row>
    <row r="6053" spans="30:30" ht="15.75" customHeight="1">
      <c r="AD6053" s="794"/>
    </row>
    <row r="6054" spans="30:30" ht="15.75" customHeight="1">
      <c r="AD6054" s="794"/>
    </row>
    <row r="6055" spans="30:30" ht="15.75" customHeight="1">
      <c r="AD6055" s="794"/>
    </row>
    <row r="6056" spans="30:30" ht="15.75" customHeight="1">
      <c r="AD6056" s="794"/>
    </row>
    <row r="6057" spans="30:30" ht="15.75" customHeight="1">
      <c r="AD6057" s="794"/>
    </row>
    <row r="6058" spans="30:30" ht="15.75" customHeight="1">
      <c r="AD6058" s="794"/>
    </row>
    <row r="6059" spans="30:30" ht="15.75" customHeight="1">
      <c r="AD6059" s="794"/>
    </row>
    <row r="6060" spans="30:30" ht="15.75" customHeight="1">
      <c r="AD6060" s="794"/>
    </row>
    <row r="6061" spans="30:30" ht="15.75" customHeight="1">
      <c r="AD6061" s="794"/>
    </row>
    <row r="6062" spans="30:30" ht="15.75" customHeight="1">
      <c r="AD6062" s="794"/>
    </row>
    <row r="6063" spans="30:30" ht="15.75" customHeight="1">
      <c r="AD6063" s="794"/>
    </row>
    <row r="6064" spans="30:30" ht="15.75" customHeight="1">
      <c r="AD6064" s="794"/>
    </row>
    <row r="6065" spans="30:30" ht="15.75" customHeight="1">
      <c r="AD6065" s="794"/>
    </row>
    <row r="6066" spans="30:30" ht="15.75" customHeight="1">
      <c r="AD6066" s="794"/>
    </row>
    <row r="6067" spans="30:30" ht="15.75" customHeight="1">
      <c r="AD6067" s="794"/>
    </row>
    <row r="6068" spans="30:30" ht="15.75" customHeight="1">
      <c r="AD6068" s="794"/>
    </row>
    <row r="6069" spans="30:30" ht="15.75" customHeight="1">
      <c r="AD6069" s="794"/>
    </row>
    <row r="6070" spans="30:30" ht="15.75" customHeight="1">
      <c r="AD6070" s="794"/>
    </row>
    <row r="6071" spans="30:30" ht="15.75" customHeight="1">
      <c r="AD6071" s="794"/>
    </row>
    <row r="6072" spans="30:30" ht="15.75" customHeight="1">
      <c r="AD6072" s="794"/>
    </row>
    <row r="6073" spans="30:30" ht="15.75" customHeight="1">
      <c r="AD6073" s="794"/>
    </row>
    <row r="6074" spans="30:30" ht="15.75" customHeight="1">
      <c r="AD6074" s="794"/>
    </row>
    <row r="6075" spans="30:30" ht="15.75" customHeight="1">
      <c r="AD6075" s="794"/>
    </row>
    <row r="6076" spans="30:30" ht="15.75" customHeight="1">
      <c r="AD6076" s="794"/>
    </row>
    <row r="6077" spans="30:30" ht="15.75" customHeight="1">
      <c r="AD6077" s="794"/>
    </row>
    <row r="6078" spans="30:30" ht="15.75" customHeight="1">
      <c r="AD6078" s="794"/>
    </row>
    <row r="6079" spans="30:30" ht="15.75" customHeight="1">
      <c r="AD6079" s="794"/>
    </row>
    <row r="6080" spans="30:30" ht="15.75" customHeight="1">
      <c r="AD6080" s="794"/>
    </row>
    <row r="6081" spans="30:30" ht="15.75" customHeight="1">
      <c r="AD6081" s="794"/>
    </row>
    <row r="6082" spans="30:30" ht="15.75" customHeight="1">
      <c r="AD6082" s="794"/>
    </row>
    <row r="6083" spans="30:30" ht="15.75" customHeight="1">
      <c r="AD6083" s="794"/>
    </row>
    <row r="6084" spans="30:30" ht="15.75" customHeight="1">
      <c r="AD6084" s="794"/>
    </row>
    <row r="6085" spans="30:30" ht="15.75" customHeight="1">
      <c r="AD6085" s="794"/>
    </row>
    <row r="6086" spans="30:30" ht="15.75" customHeight="1">
      <c r="AD6086" s="794"/>
    </row>
    <row r="6087" spans="30:30" ht="15.75" customHeight="1">
      <c r="AD6087" s="794"/>
    </row>
    <row r="6088" spans="30:30" ht="15.75" customHeight="1">
      <c r="AD6088" s="794"/>
    </row>
    <row r="6089" spans="30:30" ht="15.75" customHeight="1">
      <c r="AD6089" s="794"/>
    </row>
    <row r="6090" spans="30:30" ht="15.75" customHeight="1">
      <c r="AD6090" s="794"/>
    </row>
    <row r="6091" spans="30:30" ht="15.75" customHeight="1">
      <c r="AD6091" s="794"/>
    </row>
    <row r="6092" spans="30:30" ht="15.75" customHeight="1">
      <c r="AD6092" s="794"/>
    </row>
    <row r="6093" spans="30:30" ht="15.75" customHeight="1">
      <c r="AD6093" s="794"/>
    </row>
    <row r="6094" spans="30:30" ht="15.75" customHeight="1">
      <c r="AD6094" s="794"/>
    </row>
    <row r="6095" spans="30:30" ht="15.75" customHeight="1">
      <c r="AD6095" s="794"/>
    </row>
    <row r="6096" spans="30:30" ht="15.75" customHeight="1">
      <c r="AD6096" s="794"/>
    </row>
    <row r="6097" spans="30:30" ht="15.75" customHeight="1">
      <c r="AD6097" s="794"/>
    </row>
    <row r="6098" spans="30:30" ht="15.75" customHeight="1">
      <c r="AD6098" s="794"/>
    </row>
    <row r="6099" spans="30:30" ht="15.75" customHeight="1">
      <c r="AD6099" s="794"/>
    </row>
    <row r="6100" spans="30:30" ht="15.75" customHeight="1">
      <c r="AD6100" s="794"/>
    </row>
    <row r="6101" spans="30:30" ht="15.75" customHeight="1">
      <c r="AD6101" s="794"/>
    </row>
    <row r="6102" spans="30:30" ht="15.75" customHeight="1">
      <c r="AD6102" s="794"/>
    </row>
    <row r="6103" spans="30:30" ht="15.75" customHeight="1">
      <c r="AD6103" s="794"/>
    </row>
    <row r="6104" spans="30:30" ht="15.75" customHeight="1">
      <c r="AD6104" s="794"/>
    </row>
    <row r="6105" spans="30:30" ht="15.75" customHeight="1">
      <c r="AD6105" s="794"/>
    </row>
    <row r="6106" spans="30:30" ht="15.75" customHeight="1">
      <c r="AD6106" s="794"/>
    </row>
    <row r="6107" spans="30:30" ht="15.75" customHeight="1">
      <c r="AD6107" s="794"/>
    </row>
    <row r="6108" spans="30:30" ht="15.75" customHeight="1">
      <c r="AD6108" s="794"/>
    </row>
    <row r="6109" spans="30:30" ht="15.75" customHeight="1">
      <c r="AD6109" s="794"/>
    </row>
    <row r="6110" spans="30:30" ht="15.75" customHeight="1">
      <c r="AD6110" s="794"/>
    </row>
    <row r="6111" spans="30:30" ht="15.75" customHeight="1">
      <c r="AD6111" s="794"/>
    </row>
    <row r="6112" spans="30:30" ht="15.75" customHeight="1">
      <c r="AD6112" s="794"/>
    </row>
    <row r="6113" spans="30:30" ht="15.75" customHeight="1">
      <c r="AD6113" s="794"/>
    </row>
    <row r="6114" spans="30:30" ht="15.75" customHeight="1">
      <c r="AD6114" s="794"/>
    </row>
    <row r="6115" spans="30:30" ht="15.75" customHeight="1">
      <c r="AD6115" s="794"/>
    </row>
    <row r="6116" spans="30:30" ht="15.75" customHeight="1">
      <c r="AD6116" s="794"/>
    </row>
    <row r="6117" spans="30:30" ht="15.75" customHeight="1">
      <c r="AD6117" s="794"/>
    </row>
    <row r="6118" spans="30:30" ht="15.75" customHeight="1">
      <c r="AD6118" s="794"/>
    </row>
    <row r="6119" spans="30:30" ht="15.75" customHeight="1">
      <c r="AD6119" s="794"/>
    </row>
    <row r="6120" spans="30:30" ht="15.75" customHeight="1">
      <c r="AD6120" s="794"/>
    </row>
    <row r="6121" spans="30:30" ht="15.75" customHeight="1">
      <c r="AD6121" s="794"/>
    </row>
    <row r="6122" spans="30:30" ht="15.75" customHeight="1">
      <c r="AD6122" s="794"/>
    </row>
    <row r="6123" spans="30:30" ht="15.75" customHeight="1">
      <c r="AD6123" s="794"/>
    </row>
    <row r="6124" spans="30:30" ht="15.75" customHeight="1">
      <c r="AD6124" s="794"/>
    </row>
    <row r="6125" spans="30:30" ht="15.75" customHeight="1">
      <c r="AD6125" s="794"/>
    </row>
    <row r="6126" spans="30:30" ht="15.75" customHeight="1">
      <c r="AD6126" s="794"/>
    </row>
    <row r="6127" spans="30:30" ht="15.75" customHeight="1">
      <c r="AD6127" s="794"/>
    </row>
    <row r="6128" spans="30:30" ht="15.75" customHeight="1">
      <c r="AD6128" s="794"/>
    </row>
    <row r="6129" spans="30:30" ht="15.75" customHeight="1">
      <c r="AD6129" s="794"/>
    </row>
    <row r="6130" spans="30:30" ht="15.75" customHeight="1">
      <c r="AD6130" s="794"/>
    </row>
    <row r="6131" spans="30:30" ht="15.75" customHeight="1">
      <c r="AD6131" s="794"/>
    </row>
    <row r="6132" spans="30:30" ht="15.75" customHeight="1">
      <c r="AD6132" s="794"/>
    </row>
    <row r="6133" spans="30:30" ht="15.75" customHeight="1">
      <c r="AD6133" s="794"/>
    </row>
    <row r="6134" spans="30:30" ht="15.75" customHeight="1">
      <c r="AD6134" s="794"/>
    </row>
    <row r="6135" spans="30:30" ht="15.75" customHeight="1">
      <c r="AD6135" s="794"/>
    </row>
    <row r="6136" spans="30:30" ht="15.75" customHeight="1">
      <c r="AD6136" s="794"/>
    </row>
    <row r="6137" spans="30:30" ht="15.75" customHeight="1">
      <c r="AD6137" s="794"/>
    </row>
    <row r="6138" spans="30:30" ht="15.75" customHeight="1">
      <c r="AD6138" s="794"/>
    </row>
    <row r="6139" spans="30:30" ht="15.75" customHeight="1">
      <c r="AD6139" s="794"/>
    </row>
    <row r="6140" spans="30:30" ht="15.75" customHeight="1">
      <c r="AD6140" s="794"/>
    </row>
    <row r="6141" spans="30:30" ht="15.75" customHeight="1">
      <c r="AD6141" s="794"/>
    </row>
    <row r="6142" spans="30:30" ht="15.75" customHeight="1">
      <c r="AD6142" s="794"/>
    </row>
    <row r="6143" spans="30:30" ht="15.75" customHeight="1">
      <c r="AD6143" s="794"/>
    </row>
    <row r="6144" spans="30:30" ht="15.75" customHeight="1">
      <c r="AD6144" s="794"/>
    </row>
    <row r="6145" spans="30:30" ht="15.75" customHeight="1">
      <c r="AD6145" s="794"/>
    </row>
    <row r="6146" spans="30:30" ht="15.75" customHeight="1">
      <c r="AD6146" s="794"/>
    </row>
    <row r="6147" spans="30:30" ht="15.75" customHeight="1">
      <c r="AD6147" s="794"/>
    </row>
    <row r="6148" spans="30:30" ht="15.75" customHeight="1">
      <c r="AD6148" s="794"/>
    </row>
    <row r="6149" spans="30:30" ht="15.75" customHeight="1">
      <c r="AD6149" s="794"/>
    </row>
    <row r="6150" spans="30:30" ht="15.75" customHeight="1">
      <c r="AD6150" s="794"/>
    </row>
    <row r="6151" spans="30:30" ht="15.75" customHeight="1">
      <c r="AD6151" s="794"/>
    </row>
    <row r="6152" spans="30:30" ht="15.75" customHeight="1">
      <c r="AD6152" s="794"/>
    </row>
    <row r="6153" spans="30:30" ht="15.75" customHeight="1">
      <c r="AD6153" s="794"/>
    </row>
    <row r="6154" spans="30:30" ht="15.75" customHeight="1">
      <c r="AD6154" s="794"/>
    </row>
    <row r="6155" spans="30:30" ht="15.75" customHeight="1">
      <c r="AD6155" s="794"/>
    </row>
    <row r="6156" spans="30:30" ht="15.75" customHeight="1">
      <c r="AD6156" s="794"/>
    </row>
    <row r="6157" spans="30:30" ht="15.75" customHeight="1">
      <c r="AD6157" s="794"/>
    </row>
    <row r="6158" spans="30:30" ht="15.75" customHeight="1">
      <c r="AD6158" s="794"/>
    </row>
    <row r="6159" spans="30:30" ht="15.75" customHeight="1">
      <c r="AD6159" s="794"/>
    </row>
    <row r="6160" spans="30:30" ht="15.75" customHeight="1">
      <c r="AD6160" s="794"/>
    </row>
    <row r="6161" spans="30:30" ht="15.75" customHeight="1">
      <c r="AD6161" s="794"/>
    </row>
    <row r="6162" spans="30:30" ht="15.75" customHeight="1">
      <c r="AD6162" s="794"/>
    </row>
    <row r="6163" spans="30:30" ht="15.75" customHeight="1">
      <c r="AD6163" s="794"/>
    </row>
    <row r="6164" spans="30:30" ht="15.75" customHeight="1">
      <c r="AD6164" s="794"/>
    </row>
    <row r="6165" spans="30:30" ht="15.75" customHeight="1">
      <c r="AD6165" s="794"/>
    </row>
    <row r="6166" spans="30:30" ht="15.75" customHeight="1">
      <c r="AD6166" s="794"/>
    </row>
    <row r="6167" spans="30:30" ht="15.75" customHeight="1">
      <c r="AD6167" s="794"/>
    </row>
    <row r="6168" spans="30:30" ht="15.75" customHeight="1">
      <c r="AD6168" s="794"/>
    </row>
    <row r="6169" spans="30:30" ht="15.75" customHeight="1">
      <c r="AD6169" s="794"/>
    </row>
    <row r="6170" spans="30:30" ht="15.75" customHeight="1">
      <c r="AD6170" s="794"/>
    </row>
    <row r="6171" spans="30:30" ht="15.75" customHeight="1">
      <c r="AD6171" s="794"/>
    </row>
    <row r="6172" spans="30:30" ht="15.75" customHeight="1">
      <c r="AD6172" s="794"/>
    </row>
    <row r="6173" spans="30:30" ht="15.75" customHeight="1">
      <c r="AD6173" s="794"/>
    </row>
    <row r="6174" spans="30:30" ht="15.75" customHeight="1">
      <c r="AD6174" s="794"/>
    </row>
    <row r="6175" spans="30:30" ht="15.75" customHeight="1">
      <c r="AD6175" s="794"/>
    </row>
    <row r="6176" spans="30:30" ht="15.75" customHeight="1">
      <c r="AD6176" s="794"/>
    </row>
    <row r="6177" spans="30:30" ht="15.75" customHeight="1">
      <c r="AD6177" s="794"/>
    </row>
    <row r="6178" spans="30:30" ht="15.75" customHeight="1">
      <c r="AD6178" s="794"/>
    </row>
    <row r="6179" spans="30:30" ht="15.75" customHeight="1">
      <c r="AD6179" s="794"/>
    </row>
    <row r="6180" spans="30:30" ht="15.75" customHeight="1">
      <c r="AD6180" s="794"/>
    </row>
    <row r="6181" spans="30:30" ht="15.75" customHeight="1">
      <c r="AD6181" s="794"/>
    </row>
    <row r="6182" spans="30:30" ht="15.75" customHeight="1">
      <c r="AD6182" s="794"/>
    </row>
    <row r="6183" spans="30:30" ht="15.75" customHeight="1">
      <c r="AD6183" s="794"/>
    </row>
    <row r="6184" spans="30:30" ht="15.75" customHeight="1">
      <c r="AD6184" s="794"/>
    </row>
    <row r="6185" spans="30:30" ht="15.75" customHeight="1">
      <c r="AD6185" s="794"/>
    </row>
    <row r="6186" spans="30:30" ht="15.75" customHeight="1">
      <c r="AD6186" s="794"/>
    </row>
    <row r="6187" spans="30:30" ht="15.75" customHeight="1">
      <c r="AD6187" s="794"/>
    </row>
    <row r="6188" spans="30:30" ht="15.75" customHeight="1">
      <c r="AD6188" s="794"/>
    </row>
    <row r="6189" spans="30:30" ht="15.75" customHeight="1">
      <c r="AD6189" s="794"/>
    </row>
    <row r="6190" spans="30:30" ht="15.75" customHeight="1">
      <c r="AD6190" s="794"/>
    </row>
    <row r="6191" spans="30:30" ht="15.75" customHeight="1">
      <c r="AD6191" s="794"/>
    </row>
    <row r="6192" spans="30:30" ht="15.75" customHeight="1">
      <c r="AD6192" s="794"/>
    </row>
    <row r="6193" spans="30:30" ht="15.75" customHeight="1">
      <c r="AD6193" s="794"/>
    </row>
    <row r="6194" spans="30:30" ht="15.75" customHeight="1">
      <c r="AD6194" s="794"/>
    </row>
    <row r="6195" spans="30:30" ht="15.75" customHeight="1">
      <c r="AD6195" s="794"/>
    </row>
    <row r="6196" spans="30:30" ht="15.75" customHeight="1">
      <c r="AD6196" s="794"/>
    </row>
    <row r="6197" spans="30:30" ht="15.75" customHeight="1">
      <c r="AD6197" s="794"/>
    </row>
    <row r="6198" spans="30:30" ht="15.75" customHeight="1">
      <c r="AD6198" s="794"/>
    </row>
    <row r="6199" spans="30:30" ht="15.75" customHeight="1">
      <c r="AD6199" s="794"/>
    </row>
    <row r="6200" spans="30:30" ht="15.75" customHeight="1">
      <c r="AD6200" s="794"/>
    </row>
    <row r="6201" spans="30:30" ht="15.75" customHeight="1">
      <c r="AD6201" s="794"/>
    </row>
    <row r="6202" spans="30:30" ht="15.75" customHeight="1">
      <c r="AD6202" s="794"/>
    </row>
    <row r="6203" spans="30:30" ht="15.75" customHeight="1">
      <c r="AD6203" s="794"/>
    </row>
    <row r="6204" spans="30:30" ht="15.75" customHeight="1">
      <c r="AD6204" s="794"/>
    </row>
    <row r="6205" spans="30:30" ht="15.75" customHeight="1">
      <c r="AD6205" s="794"/>
    </row>
    <row r="6206" spans="30:30" ht="15.75" customHeight="1">
      <c r="AD6206" s="794"/>
    </row>
    <row r="6207" spans="30:30" ht="15.75" customHeight="1">
      <c r="AD6207" s="794"/>
    </row>
    <row r="6208" spans="30:30" ht="15.75" customHeight="1">
      <c r="AD6208" s="794"/>
    </row>
    <row r="6209" spans="30:30" ht="15.75" customHeight="1">
      <c r="AD6209" s="794"/>
    </row>
    <row r="6210" spans="30:30" ht="15.75" customHeight="1">
      <c r="AD6210" s="794"/>
    </row>
    <row r="6211" spans="30:30" ht="15.75" customHeight="1">
      <c r="AD6211" s="794"/>
    </row>
    <row r="6212" spans="30:30" ht="15.75" customHeight="1">
      <c r="AD6212" s="794"/>
    </row>
    <row r="6213" spans="30:30" ht="15.75" customHeight="1">
      <c r="AD6213" s="794"/>
    </row>
    <row r="6214" spans="30:30" ht="15.75" customHeight="1">
      <c r="AD6214" s="794"/>
    </row>
    <row r="6215" spans="30:30" ht="15.75" customHeight="1">
      <c r="AD6215" s="794"/>
    </row>
    <row r="6216" spans="30:30" ht="15.75" customHeight="1">
      <c r="AD6216" s="794"/>
    </row>
    <row r="6217" spans="30:30" ht="15.75" customHeight="1">
      <c r="AD6217" s="794"/>
    </row>
    <row r="6218" spans="30:30" ht="15.75" customHeight="1">
      <c r="AD6218" s="794"/>
    </row>
    <row r="6219" spans="30:30" ht="15.75" customHeight="1">
      <c r="AD6219" s="794"/>
    </row>
    <row r="6220" spans="30:30" ht="15.75" customHeight="1">
      <c r="AD6220" s="794"/>
    </row>
    <row r="6221" spans="30:30" ht="15.75" customHeight="1">
      <c r="AD6221" s="794"/>
    </row>
    <row r="6222" spans="30:30" ht="15.75" customHeight="1">
      <c r="AD6222" s="794"/>
    </row>
    <row r="6223" spans="30:30" ht="15.75" customHeight="1">
      <c r="AD6223" s="794"/>
    </row>
    <row r="6224" spans="30:30" ht="15.75" customHeight="1">
      <c r="AD6224" s="794"/>
    </row>
    <row r="6225" spans="30:30" ht="15.75" customHeight="1">
      <c r="AD6225" s="794"/>
    </row>
    <row r="6226" spans="30:30" ht="15.75" customHeight="1">
      <c r="AD6226" s="794"/>
    </row>
    <row r="6227" spans="30:30" ht="15.75" customHeight="1">
      <c r="AD6227" s="794"/>
    </row>
    <row r="6228" spans="30:30" ht="15.75" customHeight="1">
      <c r="AD6228" s="794"/>
    </row>
    <row r="6229" spans="30:30" ht="15.75" customHeight="1">
      <c r="AD6229" s="794"/>
    </row>
    <row r="6230" spans="30:30" ht="15.75" customHeight="1">
      <c r="AD6230" s="794"/>
    </row>
    <row r="6231" spans="30:30" ht="15.75" customHeight="1">
      <c r="AD6231" s="794"/>
    </row>
    <row r="6232" spans="30:30" ht="15.75" customHeight="1">
      <c r="AD6232" s="794"/>
    </row>
    <row r="6233" spans="30:30" ht="15.75" customHeight="1">
      <c r="AD6233" s="794"/>
    </row>
    <row r="6234" spans="30:30" ht="15.75" customHeight="1">
      <c r="AD6234" s="794"/>
    </row>
    <row r="6235" spans="30:30" ht="15.75" customHeight="1">
      <c r="AD6235" s="794"/>
    </row>
    <row r="6236" spans="30:30" ht="15.75" customHeight="1">
      <c r="AD6236" s="794"/>
    </row>
    <row r="6237" spans="30:30" ht="15.75" customHeight="1">
      <c r="AD6237" s="794"/>
    </row>
    <row r="6238" spans="30:30" ht="15.75" customHeight="1">
      <c r="AD6238" s="794"/>
    </row>
    <row r="6239" spans="30:30" ht="15.75" customHeight="1">
      <c r="AD6239" s="794"/>
    </row>
    <row r="6240" spans="30:30" ht="15.75" customHeight="1">
      <c r="AD6240" s="794"/>
    </row>
    <row r="6241" spans="30:30" ht="15.75" customHeight="1">
      <c r="AD6241" s="794"/>
    </row>
    <row r="6242" spans="30:30" ht="15.75" customHeight="1">
      <c r="AD6242" s="794"/>
    </row>
    <row r="6243" spans="30:30" ht="15.75" customHeight="1">
      <c r="AD6243" s="794"/>
    </row>
    <row r="6244" spans="30:30" ht="15.75" customHeight="1">
      <c r="AD6244" s="794"/>
    </row>
    <row r="6245" spans="30:30" ht="15.75" customHeight="1">
      <c r="AD6245" s="794"/>
    </row>
    <row r="6246" spans="30:30" ht="15.75" customHeight="1">
      <c r="AD6246" s="794"/>
    </row>
    <row r="6247" spans="30:30" ht="15.75" customHeight="1">
      <c r="AD6247" s="794"/>
    </row>
    <row r="6248" spans="30:30" ht="15.75" customHeight="1">
      <c r="AD6248" s="794"/>
    </row>
    <row r="6249" spans="30:30" ht="15.75" customHeight="1">
      <c r="AD6249" s="794"/>
    </row>
    <row r="6250" spans="30:30" ht="15.75" customHeight="1">
      <c r="AD6250" s="794"/>
    </row>
    <row r="6251" spans="30:30" ht="15.75" customHeight="1">
      <c r="AD6251" s="794"/>
    </row>
    <row r="6252" spans="30:30" ht="15.75" customHeight="1">
      <c r="AD6252" s="794"/>
    </row>
    <row r="6253" spans="30:30" ht="15.75" customHeight="1">
      <c r="AD6253" s="794"/>
    </row>
    <row r="6254" spans="30:30" ht="15.75" customHeight="1">
      <c r="AD6254" s="794"/>
    </row>
    <row r="6255" spans="30:30" ht="15.75" customHeight="1">
      <c r="AD6255" s="794"/>
    </row>
    <row r="6256" spans="30:30" ht="15.75" customHeight="1">
      <c r="AD6256" s="794"/>
    </row>
    <row r="6257" spans="30:30" ht="15.75" customHeight="1">
      <c r="AD6257" s="794"/>
    </row>
    <row r="6258" spans="30:30" ht="15.75" customHeight="1">
      <c r="AD6258" s="794"/>
    </row>
    <row r="6259" spans="30:30" ht="15.75" customHeight="1">
      <c r="AD6259" s="794"/>
    </row>
    <row r="6260" spans="30:30" ht="15.75" customHeight="1">
      <c r="AD6260" s="794"/>
    </row>
    <row r="6261" spans="30:30" ht="15.75" customHeight="1">
      <c r="AD6261" s="794"/>
    </row>
    <row r="6262" spans="30:30" ht="15.75" customHeight="1">
      <c r="AD6262" s="794"/>
    </row>
    <row r="6263" spans="30:30" ht="15.75" customHeight="1">
      <c r="AD6263" s="794"/>
    </row>
    <row r="6264" spans="30:30" ht="15.75" customHeight="1">
      <c r="AD6264" s="794"/>
    </row>
    <row r="6265" spans="30:30" ht="15.75" customHeight="1">
      <c r="AD6265" s="794"/>
    </row>
    <row r="6266" spans="30:30" ht="15.75" customHeight="1">
      <c r="AD6266" s="794"/>
    </row>
    <row r="6267" spans="30:30" ht="15.75" customHeight="1">
      <c r="AD6267" s="794"/>
    </row>
    <row r="6268" spans="30:30" ht="15.75" customHeight="1">
      <c r="AD6268" s="794"/>
    </row>
    <row r="6269" spans="30:30" ht="15.75" customHeight="1">
      <c r="AD6269" s="794"/>
    </row>
    <row r="6270" spans="30:30" ht="15.75" customHeight="1">
      <c r="AD6270" s="794"/>
    </row>
    <row r="6271" spans="30:30" ht="15.75" customHeight="1">
      <c r="AD6271" s="794"/>
    </row>
    <row r="6272" spans="30:30" ht="15.75" customHeight="1">
      <c r="AD6272" s="794"/>
    </row>
    <row r="6273" spans="30:30" ht="15.75" customHeight="1">
      <c r="AD6273" s="794"/>
    </row>
    <row r="6274" spans="30:30" ht="15.75" customHeight="1">
      <c r="AD6274" s="794"/>
    </row>
    <row r="6275" spans="30:30" ht="15.75" customHeight="1">
      <c r="AD6275" s="794"/>
    </row>
    <row r="6276" spans="30:30" ht="15.75" customHeight="1">
      <c r="AD6276" s="794"/>
    </row>
    <row r="6277" spans="30:30" ht="15.75" customHeight="1">
      <c r="AD6277" s="794"/>
    </row>
    <row r="6278" spans="30:30" ht="15.75" customHeight="1">
      <c r="AD6278" s="794"/>
    </row>
    <row r="6279" spans="30:30" ht="15.75" customHeight="1">
      <c r="AD6279" s="794"/>
    </row>
    <row r="6280" spans="30:30" ht="15.75" customHeight="1">
      <c r="AD6280" s="794"/>
    </row>
    <row r="6281" spans="30:30" ht="15.75" customHeight="1">
      <c r="AD6281" s="794"/>
    </row>
    <row r="6282" spans="30:30" ht="15.75" customHeight="1">
      <c r="AD6282" s="794"/>
    </row>
    <row r="6283" spans="30:30" ht="15.75" customHeight="1">
      <c r="AD6283" s="794"/>
    </row>
    <row r="6284" spans="30:30" ht="15.75" customHeight="1">
      <c r="AD6284" s="794"/>
    </row>
    <row r="6285" spans="30:30" ht="15.75" customHeight="1">
      <c r="AD6285" s="794"/>
    </row>
    <row r="6286" spans="30:30" ht="15.75" customHeight="1">
      <c r="AD6286" s="794"/>
    </row>
    <row r="6287" spans="30:30" ht="15.75" customHeight="1">
      <c r="AD6287" s="794"/>
    </row>
    <row r="6288" spans="30:30" ht="15.75" customHeight="1">
      <c r="AD6288" s="794"/>
    </row>
    <row r="6289" spans="30:30" ht="15.75" customHeight="1">
      <c r="AD6289" s="794"/>
    </row>
    <row r="6290" spans="30:30" ht="15.75" customHeight="1">
      <c r="AD6290" s="794"/>
    </row>
    <row r="6291" spans="30:30" ht="15.75" customHeight="1">
      <c r="AD6291" s="794"/>
    </row>
    <row r="6292" spans="30:30" ht="15.75" customHeight="1">
      <c r="AD6292" s="794"/>
    </row>
    <row r="6293" spans="30:30" ht="15.75" customHeight="1">
      <c r="AD6293" s="794"/>
    </row>
    <row r="6294" spans="30:30" ht="15.75" customHeight="1">
      <c r="AD6294" s="794"/>
    </row>
    <row r="6295" spans="30:30" ht="15.75" customHeight="1">
      <c r="AD6295" s="794"/>
    </row>
    <row r="6296" spans="30:30" ht="15.75" customHeight="1">
      <c r="AD6296" s="794"/>
    </row>
    <row r="6297" spans="30:30" ht="15.75" customHeight="1">
      <c r="AD6297" s="794"/>
    </row>
    <row r="6298" spans="30:30" ht="15.75" customHeight="1">
      <c r="AD6298" s="794"/>
    </row>
    <row r="6299" spans="30:30" ht="15.75" customHeight="1">
      <c r="AD6299" s="794"/>
    </row>
    <row r="6300" spans="30:30" ht="15.75" customHeight="1">
      <c r="AD6300" s="794"/>
    </row>
    <row r="6301" spans="30:30" ht="15.75" customHeight="1">
      <c r="AD6301" s="794"/>
    </row>
    <row r="6302" spans="30:30" ht="15.75" customHeight="1">
      <c r="AD6302" s="794"/>
    </row>
    <row r="6303" spans="30:30" ht="15.75" customHeight="1">
      <c r="AD6303" s="794"/>
    </row>
    <row r="6304" spans="30:30" ht="15.75" customHeight="1">
      <c r="AD6304" s="794"/>
    </row>
    <row r="6305" spans="30:30" ht="15.75" customHeight="1">
      <c r="AD6305" s="794"/>
    </row>
    <row r="6306" spans="30:30" ht="15.75" customHeight="1">
      <c r="AD6306" s="794"/>
    </row>
    <row r="6307" spans="30:30" ht="15.75" customHeight="1">
      <c r="AD6307" s="794"/>
    </row>
    <row r="6308" spans="30:30" ht="15.75" customHeight="1">
      <c r="AD6308" s="794"/>
    </row>
    <row r="6309" spans="30:30" ht="15.75" customHeight="1">
      <c r="AD6309" s="794"/>
    </row>
    <row r="6310" spans="30:30" ht="15.75" customHeight="1">
      <c r="AD6310" s="794"/>
    </row>
    <row r="6311" spans="30:30" ht="15.75" customHeight="1">
      <c r="AD6311" s="794"/>
    </row>
    <row r="6312" spans="30:30" ht="15.75" customHeight="1">
      <c r="AD6312" s="794"/>
    </row>
    <row r="6313" spans="30:30" ht="15.75" customHeight="1">
      <c r="AD6313" s="794"/>
    </row>
    <row r="6314" spans="30:30" ht="15.75" customHeight="1">
      <c r="AD6314" s="794"/>
    </row>
    <row r="6315" spans="30:30" ht="15.75" customHeight="1">
      <c r="AD6315" s="794"/>
    </row>
    <row r="6316" spans="30:30" ht="15.75" customHeight="1">
      <c r="AD6316" s="794"/>
    </row>
    <row r="6317" spans="30:30" ht="15.75" customHeight="1">
      <c r="AD6317" s="794"/>
    </row>
    <row r="6318" spans="30:30" ht="15.75" customHeight="1">
      <c r="AD6318" s="794"/>
    </row>
    <row r="6319" spans="30:30" ht="15.75" customHeight="1">
      <c r="AD6319" s="794"/>
    </row>
    <row r="6320" spans="30:30" ht="15.75" customHeight="1">
      <c r="AD6320" s="794"/>
    </row>
    <row r="6321" spans="30:30" ht="15.75" customHeight="1">
      <c r="AD6321" s="794"/>
    </row>
    <row r="6322" spans="30:30" ht="15.75" customHeight="1">
      <c r="AD6322" s="794"/>
    </row>
    <row r="6323" spans="30:30" ht="15.75" customHeight="1">
      <c r="AD6323" s="794"/>
    </row>
    <row r="6324" spans="30:30" ht="15.75" customHeight="1">
      <c r="AD6324" s="794"/>
    </row>
    <row r="6325" spans="30:30" ht="15.75" customHeight="1">
      <c r="AD6325" s="794"/>
    </row>
    <row r="6326" spans="30:30" ht="15.75" customHeight="1">
      <c r="AD6326" s="794"/>
    </row>
    <row r="6327" spans="30:30" ht="15.75" customHeight="1">
      <c r="AD6327" s="794"/>
    </row>
    <row r="6328" spans="30:30" ht="15.75" customHeight="1">
      <c r="AD6328" s="794"/>
    </row>
    <row r="6329" spans="30:30" ht="15.75" customHeight="1">
      <c r="AD6329" s="794"/>
    </row>
    <row r="6330" spans="30:30" ht="15.75" customHeight="1">
      <c r="AD6330" s="794"/>
    </row>
    <row r="6331" spans="30:30" ht="15.75" customHeight="1">
      <c r="AD6331" s="794"/>
    </row>
    <row r="6332" spans="30:30" ht="15.75" customHeight="1">
      <c r="AD6332" s="794"/>
    </row>
    <row r="6333" spans="30:30" ht="15.75" customHeight="1">
      <c r="AD6333" s="794"/>
    </row>
    <row r="6334" spans="30:30" ht="15.75" customHeight="1">
      <c r="AD6334" s="794"/>
    </row>
    <row r="6335" spans="30:30" ht="15.75" customHeight="1">
      <c r="AD6335" s="794"/>
    </row>
    <row r="6336" spans="30:30" ht="15.75" customHeight="1">
      <c r="AD6336" s="794"/>
    </row>
    <row r="6337" spans="30:30" ht="15.75" customHeight="1">
      <c r="AD6337" s="794"/>
    </row>
    <row r="6338" spans="30:30" ht="15.75" customHeight="1">
      <c r="AD6338" s="794"/>
    </row>
    <row r="6339" spans="30:30" ht="15.75" customHeight="1">
      <c r="AD6339" s="794"/>
    </row>
    <row r="6340" spans="30:30" ht="15.75" customHeight="1">
      <c r="AD6340" s="794"/>
    </row>
    <row r="6341" spans="30:30" ht="15.75" customHeight="1">
      <c r="AD6341" s="794"/>
    </row>
    <row r="6342" spans="30:30" ht="15.75" customHeight="1">
      <c r="AD6342" s="794"/>
    </row>
    <row r="6343" spans="30:30" ht="15.75" customHeight="1">
      <c r="AD6343" s="794"/>
    </row>
    <row r="6344" spans="30:30" ht="15.75" customHeight="1">
      <c r="AD6344" s="794"/>
    </row>
    <row r="6345" spans="30:30" ht="15.75" customHeight="1">
      <c r="AD6345" s="794"/>
    </row>
    <row r="6346" spans="30:30" ht="15.75" customHeight="1">
      <c r="AD6346" s="794"/>
    </row>
    <row r="6347" spans="30:30" ht="15.75" customHeight="1">
      <c r="AD6347" s="794"/>
    </row>
    <row r="6348" spans="30:30" ht="15.75" customHeight="1">
      <c r="AD6348" s="794"/>
    </row>
    <row r="6349" spans="30:30" ht="15.75" customHeight="1">
      <c r="AD6349" s="794"/>
    </row>
    <row r="6350" spans="30:30" ht="15.75" customHeight="1">
      <c r="AD6350" s="794"/>
    </row>
    <row r="6351" spans="30:30" ht="15.75" customHeight="1">
      <c r="AD6351" s="794"/>
    </row>
    <row r="6352" spans="30:30" ht="15.75" customHeight="1">
      <c r="AD6352" s="794"/>
    </row>
    <row r="6353" spans="30:30" ht="15.75" customHeight="1">
      <c r="AD6353" s="794"/>
    </row>
    <row r="6354" spans="30:30" ht="15.75" customHeight="1">
      <c r="AD6354" s="794"/>
    </row>
    <row r="6355" spans="30:30" ht="15.75" customHeight="1">
      <c r="AD6355" s="794"/>
    </row>
    <row r="6356" spans="30:30" ht="15.75" customHeight="1">
      <c r="AD6356" s="794"/>
    </row>
    <row r="6357" spans="30:30" ht="15.75" customHeight="1">
      <c r="AD6357" s="794"/>
    </row>
    <row r="6358" spans="30:30" ht="15.75" customHeight="1">
      <c r="AD6358" s="794"/>
    </row>
    <row r="6359" spans="30:30" ht="15.75" customHeight="1">
      <c r="AD6359" s="794"/>
    </row>
    <row r="6360" spans="30:30" ht="15.75" customHeight="1">
      <c r="AD6360" s="794"/>
    </row>
    <row r="6361" spans="30:30" ht="15.75" customHeight="1">
      <c r="AD6361" s="794"/>
    </row>
    <row r="6362" spans="30:30" ht="15.75" customHeight="1">
      <c r="AD6362" s="794"/>
    </row>
    <row r="6363" spans="30:30" ht="15.75" customHeight="1">
      <c r="AD6363" s="794"/>
    </row>
    <row r="6364" spans="30:30" ht="15.75" customHeight="1">
      <c r="AD6364" s="794"/>
    </row>
    <row r="6365" spans="30:30" ht="15.75" customHeight="1">
      <c r="AD6365" s="794"/>
    </row>
    <row r="6366" spans="30:30" ht="15.75" customHeight="1">
      <c r="AD6366" s="794"/>
    </row>
    <row r="6367" spans="30:30" ht="15.75" customHeight="1">
      <c r="AD6367" s="794"/>
    </row>
    <row r="6368" spans="30:30" ht="15.75" customHeight="1">
      <c r="AD6368" s="794"/>
    </row>
    <row r="6369" spans="30:30" ht="15.75" customHeight="1">
      <c r="AD6369" s="794"/>
    </row>
    <row r="6370" spans="30:30" ht="15.75" customHeight="1">
      <c r="AD6370" s="794"/>
    </row>
    <row r="6371" spans="30:30" ht="15.75" customHeight="1">
      <c r="AD6371" s="794"/>
    </row>
    <row r="6372" spans="30:30" ht="15.75" customHeight="1">
      <c r="AD6372" s="794"/>
    </row>
    <row r="6373" spans="30:30" ht="15.75" customHeight="1">
      <c r="AD6373" s="794"/>
    </row>
    <row r="6374" spans="30:30" ht="15.75" customHeight="1">
      <c r="AD6374" s="794"/>
    </row>
    <row r="6375" spans="30:30" ht="15.75" customHeight="1">
      <c r="AD6375" s="794"/>
    </row>
    <row r="6376" spans="30:30" ht="15.75" customHeight="1">
      <c r="AD6376" s="794"/>
    </row>
    <row r="6377" spans="30:30" ht="15.75" customHeight="1">
      <c r="AD6377" s="794"/>
    </row>
    <row r="6378" spans="30:30" ht="15.75" customHeight="1">
      <c r="AD6378" s="794"/>
    </row>
    <row r="6379" spans="30:30" ht="15.75" customHeight="1">
      <c r="AD6379" s="794"/>
    </row>
    <row r="6380" spans="30:30" ht="15.75" customHeight="1">
      <c r="AD6380" s="794"/>
    </row>
    <row r="6381" spans="30:30" ht="15.75" customHeight="1">
      <c r="AD6381" s="794"/>
    </row>
    <row r="6382" spans="30:30" ht="15.75" customHeight="1">
      <c r="AD6382" s="794"/>
    </row>
    <row r="6383" spans="30:30" ht="15.75" customHeight="1">
      <c r="AD6383" s="794"/>
    </row>
    <row r="6384" spans="30:30" ht="15.75" customHeight="1">
      <c r="AD6384" s="794"/>
    </row>
    <row r="6385" spans="30:30" ht="15.75" customHeight="1">
      <c r="AD6385" s="794"/>
    </row>
    <row r="6386" spans="30:30" ht="15.75" customHeight="1">
      <c r="AD6386" s="794"/>
    </row>
    <row r="6387" spans="30:30" ht="15.75" customHeight="1">
      <c r="AD6387" s="794"/>
    </row>
    <row r="6388" spans="30:30" ht="15.75" customHeight="1">
      <c r="AD6388" s="794"/>
    </row>
    <row r="6389" spans="30:30" ht="15.75" customHeight="1">
      <c r="AD6389" s="794"/>
    </row>
    <row r="6390" spans="30:30" ht="15.75" customHeight="1">
      <c r="AD6390" s="794"/>
    </row>
    <row r="6391" spans="30:30" ht="15.75" customHeight="1">
      <c r="AD6391" s="794"/>
    </row>
    <row r="6392" spans="30:30" ht="15.75" customHeight="1">
      <c r="AD6392" s="794"/>
    </row>
    <row r="6393" spans="30:30" ht="15.75" customHeight="1">
      <c r="AD6393" s="794"/>
    </row>
    <row r="6394" spans="30:30" ht="15.75" customHeight="1">
      <c r="AD6394" s="794"/>
    </row>
    <row r="6395" spans="30:30" ht="15.75" customHeight="1">
      <c r="AD6395" s="794"/>
    </row>
    <row r="6396" spans="30:30" ht="15.75" customHeight="1">
      <c r="AD6396" s="794"/>
    </row>
    <row r="6397" spans="30:30" ht="15.75" customHeight="1">
      <c r="AD6397" s="794"/>
    </row>
    <row r="6398" spans="30:30" ht="15.75" customHeight="1">
      <c r="AD6398" s="794"/>
    </row>
    <row r="6399" spans="30:30" ht="15.75" customHeight="1">
      <c r="AD6399" s="794"/>
    </row>
    <row r="6400" spans="30:30" ht="15.75" customHeight="1">
      <c r="AD6400" s="794"/>
    </row>
    <row r="6401" spans="30:30" ht="15.75" customHeight="1">
      <c r="AD6401" s="794"/>
    </row>
    <row r="6402" spans="30:30" ht="15.75" customHeight="1">
      <c r="AD6402" s="794"/>
    </row>
    <row r="6403" spans="30:30" ht="15.75" customHeight="1">
      <c r="AD6403" s="794"/>
    </row>
    <row r="6404" spans="30:30" ht="15.75" customHeight="1">
      <c r="AD6404" s="794"/>
    </row>
    <row r="6405" spans="30:30" ht="15.75" customHeight="1">
      <c r="AD6405" s="794"/>
    </row>
    <row r="6406" spans="30:30" ht="15.75" customHeight="1">
      <c r="AD6406" s="794"/>
    </row>
    <row r="6407" spans="30:30" ht="15.75" customHeight="1">
      <c r="AD6407" s="794"/>
    </row>
    <row r="6408" spans="30:30" ht="15.75" customHeight="1">
      <c r="AD6408" s="794"/>
    </row>
    <row r="6409" spans="30:30" ht="15.75" customHeight="1">
      <c r="AD6409" s="794"/>
    </row>
    <row r="6410" spans="30:30" ht="15.75" customHeight="1">
      <c r="AD6410" s="794"/>
    </row>
    <row r="6411" spans="30:30" ht="15.75" customHeight="1">
      <c r="AD6411" s="794"/>
    </row>
    <row r="6412" spans="30:30" ht="15.75" customHeight="1">
      <c r="AD6412" s="794"/>
    </row>
    <row r="6413" spans="30:30" ht="15.75" customHeight="1">
      <c r="AD6413" s="794"/>
    </row>
    <row r="6414" spans="30:30" ht="15.75" customHeight="1">
      <c r="AD6414" s="794"/>
    </row>
    <row r="6415" spans="30:30" ht="15.75" customHeight="1">
      <c r="AD6415" s="794"/>
    </row>
    <row r="6416" spans="30:30" ht="15.75" customHeight="1">
      <c r="AD6416" s="794"/>
    </row>
    <row r="6417" spans="30:30" ht="15.75" customHeight="1">
      <c r="AD6417" s="794"/>
    </row>
    <row r="6418" spans="30:30" ht="15.75" customHeight="1">
      <c r="AD6418" s="794"/>
    </row>
    <row r="6419" spans="30:30" ht="15.75" customHeight="1">
      <c r="AD6419" s="794"/>
    </row>
    <row r="6420" spans="30:30" ht="15.75" customHeight="1">
      <c r="AD6420" s="794"/>
    </row>
    <row r="6421" spans="30:30" ht="15.75" customHeight="1">
      <c r="AD6421" s="794"/>
    </row>
    <row r="6422" spans="30:30" ht="15.75" customHeight="1">
      <c r="AD6422" s="794"/>
    </row>
    <row r="6423" spans="30:30" ht="15.75" customHeight="1">
      <c r="AD6423" s="794"/>
    </row>
    <row r="6424" spans="30:30" ht="15.75" customHeight="1">
      <c r="AD6424" s="794"/>
    </row>
    <row r="6425" spans="30:30" ht="15.75" customHeight="1">
      <c r="AD6425" s="794"/>
    </row>
    <row r="6426" spans="30:30" ht="15.75" customHeight="1">
      <c r="AD6426" s="794"/>
    </row>
    <row r="6427" spans="30:30" ht="15.75" customHeight="1">
      <c r="AD6427" s="794"/>
    </row>
    <row r="6428" spans="30:30" ht="15.75" customHeight="1">
      <c r="AD6428" s="794"/>
    </row>
    <row r="6429" spans="30:30" ht="15.75" customHeight="1">
      <c r="AD6429" s="794"/>
    </row>
    <row r="6430" spans="30:30" ht="15.75" customHeight="1">
      <c r="AD6430" s="794"/>
    </row>
    <row r="6431" spans="30:30" ht="15.75" customHeight="1">
      <c r="AD6431" s="794"/>
    </row>
    <row r="6432" spans="30:30" ht="15.75" customHeight="1">
      <c r="AD6432" s="794"/>
    </row>
    <row r="6433" spans="30:30" ht="15.75" customHeight="1">
      <c r="AD6433" s="794"/>
    </row>
    <row r="6434" spans="30:30" ht="15.75" customHeight="1">
      <c r="AD6434" s="794"/>
    </row>
    <row r="6435" spans="30:30" ht="15.75" customHeight="1">
      <c r="AD6435" s="794"/>
    </row>
    <row r="6436" spans="30:30" ht="15.75" customHeight="1">
      <c r="AD6436" s="794"/>
    </row>
    <row r="6437" spans="30:30" ht="15.75" customHeight="1">
      <c r="AD6437" s="794"/>
    </row>
    <row r="6438" spans="30:30" ht="15.75" customHeight="1">
      <c r="AD6438" s="794"/>
    </row>
    <row r="6439" spans="30:30" ht="15.75" customHeight="1">
      <c r="AD6439" s="794"/>
    </row>
    <row r="6440" spans="30:30" ht="15.75" customHeight="1">
      <c r="AD6440" s="794"/>
    </row>
    <row r="6441" spans="30:30" ht="15.75" customHeight="1">
      <c r="AD6441" s="794"/>
    </row>
    <row r="6442" spans="30:30" ht="15.75" customHeight="1">
      <c r="AD6442" s="794"/>
    </row>
    <row r="6443" spans="30:30" ht="15.75" customHeight="1">
      <c r="AD6443" s="794"/>
    </row>
    <row r="6444" spans="30:30" ht="15.75" customHeight="1">
      <c r="AD6444" s="794"/>
    </row>
    <row r="6445" spans="30:30" ht="15.75" customHeight="1">
      <c r="AD6445" s="794"/>
    </row>
    <row r="6446" spans="30:30" ht="15.75" customHeight="1">
      <c r="AD6446" s="794"/>
    </row>
    <row r="6447" spans="30:30" ht="15.75" customHeight="1">
      <c r="AD6447" s="794"/>
    </row>
    <row r="6448" spans="30:30" ht="15.75" customHeight="1">
      <c r="AD6448" s="794"/>
    </row>
    <row r="6449" spans="30:30" ht="15.75" customHeight="1">
      <c r="AD6449" s="794"/>
    </row>
    <row r="6450" spans="30:30" ht="15.75" customHeight="1">
      <c r="AD6450" s="794"/>
    </row>
    <row r="6451" spans="30:30" ht="15.75" customHeight="1">
      <c r="AD6451" s="794"/>
    </row>
    <row r="6452" spans="30:30" ht="15.75" customHeight="1">
      <c r="AD6452" s="794"/>
    </row>
    <row r="6453" spans="30:30" ht="15.75" customHeight="1">
      <c r="AD6453" s="794"/>
    </row>
    <row r="6454" spans="30:30" ht="15.75" customHeight="1">
      <c r="AD6454" s="794"/>
    </row>
    <row r="6455" spans="30:30" ht="15.75" customHeight="1">
      <c r="AD6455" s="794"/>
    </row>
    <row r="6456" spans="30:30" ht="15.75" customHeight="1">
      <c r="AD6456" s="794"/>
    </row>
    <row r="6457" spans="30:30" ht="15.75" customHeight="1">
      <c r="AD6457" s="794"/>
    </row>
    <row r="6458" spans="30:30" ht="15.75" customHeight="1">
      <c r="AD6458" s="794"/>
    </row>
    <row r="6459" spans="30:30" ht="15.75" customHeight="1">
      <c r="AD6459" s="794"/>
    </row>
    <row r="6460" spans="30:30" ht="15.75" customHeight="1">
      <c r="AD6460" s="794"/>
    </row>
    <row r="6461" spans="30:30" ht="15.75" customHeight="1">
      <c r="AD6461" s="794"/>
    </row>
    <row r="6462" spans="30:30" ht="15.75" customHeight="1">
      <c r="AD6462" s="794"/>
    </row>
    <row r="6463" spans="30:30" ht="15.75" customHeight="1">
      <c r="AD6463" s="794"/>
    </row>
    <row r="6464" spans="30:30" ht="15.75" customHeight="1">
      <c r="AD6464" s="794"/>
    </row>
    <row r="6465" spans="30:30" ht="15.75" customHeight="1">
      <c r="AD6465" s="794"/>
    </row>
    <row r="6466" spans="30:30" ht="15.75" customHeight="1">
      <c r="AD6466" s="794"/>
    </row>
    <row r="6467" spans="30:30" ht="15.75" customHeight="1">
      <c r="AD6467" s="794"/>
    </row>
    <row r="6468" spans="30:30" ht="15.75" customHeight="1">
      <c r="AD6468" s="794"/>
    </row>
    <row r="6469" spans="30:30" ht="15.75" customHeight="1">
      <c r="AD6469" s="794"/>
    </row>
    <row r="6470" spans="30:30" ht="15.75" customHeight="1">
      <c r="AD6470" s="794"/>
    </row>
    <row r="6471" spans="30:30" ht="15.75" customHeight="1">
      <c r="AD6471" s="794"/>
    </row>
    <row r="6472" spans="30:30" ht="15.75" customHeight="1">
      <c r="AD6472" s="794"/>
    </row>
    <row r="6473" spans="30:30" ht="15.75" customHeight="1">
      <c r="AD6473" s="794"/>
    </row>
    <row r="6474" spans="30:30" ht="15.75" customHeight="1">
      <c r="AD6474" s="794"/>
    </row>
    <row r="6475" spans="30:30" ht="15.75" customHeight="1">
      <c r="AD6475" s="794"/>
    </row>
    <row r="6476" spans="30:30" ht="15.75" customHeight="1">
      <c r="AD6476" s="794"/>
    </row>
    <row r="6477" spans="30:30" ht="15.75" customHeight="1">
      <c r="AD6477" s="794"/>
    </row>
    <row r="6478" spans="30:30" ht="15.75" customHeight="1">
      <c r="AD6478" s="794"/>
    </row>
    <row r="6479" spans="30:30" ht="15.75" customHeight="1">
      <c r="AD6479" s="794"/>
    </row>
    <row r="6480" spans="30:30" ht="15.75" customHeight="1">
      <c r="AD6480" s="794"/>
    </row>
    <row r="6481" spans="30:30" ht="15.75" customHeight="1">
      <c r="AD6481" s="794"/>
    </row>
    <row r="6482" spans="30:30" ht="15.75" customHeight="1">
      <c r="AD6482" s="794"/>
    </row>
    <row r="6483" spans="30:30" ht="15.75" customHeight="1">
      <c r="AD6483" s="794"/>
    </row>
    <row r="6484" spans="30:30" ht="15.75" customHeight="1">
      <c r="AD6484" s="794"/>
    </row>
    <row r="6485" spans="30:30" ht="15.75" customHeight="1">
      <c r="AD6485" s="794"/>
    </row>
    <row r="6486" spans="30:30" ht="15.75" customHeight="1">
      <c r="AD6486" s="794"/>
    </row>
    <row r="6487" spans="30:30" ht="15.75" customHeight="1">
      <c r="AD6487" s="794"/>
    </row>
    <row r="6488" spans="30:30" ht="15.75" customHeight="1">
      <c r="AD6488" s="794"/>
    </row>
    <row r="6489" spans="30:30" ht="15.75" customHeight="1">
      <c r="AD6489" s="794"/>
    </row>
    <row r="6490" spans="30:30" ht="15.75" customHeight="1">
      <c r="AD6490" s="794"/>
    </row>
    <row r="6491" spans="30:30" ht="15.75" customHeight="1">
      <c r="AD6491" s="794"/>
    </row>
    <row r="6492" spans="30:30" ht="15.75" customHeight="1">
      <c r="AD6492" s="794"/>
    </row>
    <row r="6493" spans="30:30" ht="15.75" customHeight="1">
      <c r="AD6493" s="794"/>
    </row>
    <row r="6494" spans="30:30" ht="15.75" customHeight="1">
      <c r="AD6494" s="794"/>
    </row>
    <row r="6495" spans="30:30" ht="15.75" customHeight="1">
      <c r="AD6495" s="794"/>
    </row>
    <row r="6496" spans="30:30" ht="15.75" customHeight="1">
      <c r="AD6496" s="794"/>
    </row>
    <row r="6497" spans="30:30" ht="15.75" customHeight="1">
      <c r="AD6497" s="794"/>
    </row>
    <row r="6498" spans="30:30" ht="15.75" customHeight="1">
      <c r="AD6498" s="794"/>
    </row>
    <row r="6499" spans="30:30" ht="15.75" customHeight="1">
      <c r="AD6499" s="794"/>
    </row>
    <row r="6500" spans="30:30" ht="15.75" customHeight="1">
      <c r="AD6500" s="794"/>
    </row>
    <row r="6501" spans="30:30" ht="15.75" customHeight="1">
      <c r="AD6501" s="794"/>
    </row>
    <row r="6502" spans="30:30" ht="15.75" customHeight="1">
      <c r="AD6502" s="794"/>
    </row>
    <row r="6503" spans="30:30" ht="15.75" customHeight="1">
      <c r="AD6503" s="794"/>
    </row>
    <row r="6504" spans="30:30" ht="15.75" customHeight="1">
      <c r="AD6504" s="794"/>
    </row>
    <row r="6505" spans="30:30" ht="15.75" customHeight="1">
      <c r="AD6505" s="794"/>
    </row>
    <row r="6506" spans="30:30" ht="15.75" customHeight="1">
      <c r="AD6506" s="794"/>
    </row>
    <row r="6507" spans="30:30" ht="15.75" customHeight="1">
      <c r="AD6507" s="794"/>
    </row>
    <row r="6508" spans="30:30" ht="15.75" customHeight="1">
      <c r="AD6508" s="794"/>
    </row>
    <row r="6509" spans="30:30" ht="15.75" customHeight="1">
      <c r="AD6509" s="794"/>
    </row>
    <row r="6510" spans="30:30" ht="15.75" customHeight="1">
      <c r="AD6510" s="794"/>
    </row>
    <row r="6511" spans="30:30" ht="15.75" customHeight="1">
      <c r="AD6511" s="794"/>
    </row>
    <row r="6512" spans="30:30" ht="15.75" customHeight="1">
      <c r="AD6512" s="794"/>
    </row>
    <row r="6513" spans="30:30" ht="15.75" customHeight="1">
      <c r="AD6513" s="794"/>
    </row>
    <row r="6514" spans="30:30" ht="15.75" customHeight="1">
      <c r="AD6514" s="794"/>
    </row>
    <row r="6515" spans="30:30" ht="15.75" customHeight="1">
      <c r="AD6515" s="794"/>
    </row>
    <row r="6516" spans="30:30" ht="15.75" customHeight="1">
      <c r="AD6516" s="794"/>
    </row>
    <row r="6517" spans="30:30" ht="15.75" customHeight="1">
      <c r="AD6517" s="794"/>
    </row>
    <row r="6518" spans="30:30" ht="15.75" customHeight="1">
      <c r="AD6518" s="794"/>
    </row>
    <row r="6519" spans="30:30" ht="15.75" customHeight="1">
      <c r="AD6519" s="794"/>
    </row>
    <row r="6520" spans="30:30" ht="15.75" customHeight="1">
      <c r="AD6520" s="794"/>
    </row>
    <row r="6521" spans="30:30" ht="15.75" customHeight="1">
      <c r="AD6521" s="794"/>
    </row>
    <row r="6522" spans="30:30" ht="15.75" customHeight="1">
      <c r="AD6522" s="794"/>
    </row>
    <row r="6523" spans="30:30" ht="15.75" customHeight="1">
      <c r="AD6523" s="794"/>
    </row>
    <row r="6524" spans="30:30" ht="15.75" customHeight="1">
      <c r="AD6524" s="794"/>
    </row>
    <row r="6525" spans="30:30" ht="15.75" customHeight="1">
      <c r="AD6525" s="794"/>
    </row>
    <row r="6526" spans="30:30" ht="15.75" customHeight="1">
      <c r="AD6526" s="794"/>
    </row>
    <row r="6527" spans="30:30" ht="15.75" customHeight="1">
      <c r="AD6527" s="794"/>
    </row>
    <row r="6528" spans="30:30" ht="15.75" customHeight="1">
      <c r="AD6528" s="794"/>
    </row>
    <row r="6529" spans="30:30" ht="15.75" customHeight="1">
      <c r="AD6529" s="794"/>
    </row>
    <row r="6530" spans="30:30" ht="15.75" customHeight="1">
      <c r="AD6530" s="794"/>
    </row>
    <row r="6531" spans="30:30" ht="15.75" customHeight="1">
      <c r="AD6531" s="794"/>
    </row>
    <row r="6532" spans="30:30" ht="15.75" customHeight="1">
      <c r="AD6532" s="794"/>
    </row>
    <row r="6533" spans="30:30" ht="15.75" customHeight="1">
      <c r="AD6533" s="794"/>
    </row>
    <row r="6534" spans="30:30" ht="15.75" customHeight="1">
      <c r="AD6534" s="794"/>
    </row>
    <row r="6535" spans="30:30" ht="15.75" customHeight="1">
      <c r="AD6535" s="794"/>
    </row>
    <row r="6536" spans="30:30" ht="15.75" customHeight="1">
      <c r="AD6536" s="794"/>
    </row>
    <row r="6537" spans="30:30" ht="15.75" customHeight="1">
      <c r="AD6537" s="794"/>
    </row>
    <row r="6538" spans="30:30" ht="15.75" customHeight="1">
      <c r="AD6538" s="794"/>
    </row>
    <row r="6539" spans="30:30" ht="15.75" customHeight="1">
      <c r="AD6539" s="794"/>
    </row>
    <row r="6540" spans="30:30" ht="15.75" customHeight="1">
      <c r="AD6540" s="794"/>
    </row>
    <row r="6541" spans="30:30" ht="15.75" customHeight="1">
      <c r="AD6541" s="794"/>
    </row>
    <row r="6542" spans="30:30" ht="15.75" customHeight="1">
      <c r="AD6542" s="794"/>
    </row>
    <row r="6543" spans="30:30" ht="15.75" customHeight="1">
      <c r="AD6543" s="794"/>
    </row>
    <row r="6544" spans="30:30" ht="15.75" customHeight="1">
      <c r="AD6544" s="794"/>
    </row>
    <row r="6545" spans="30:30" ht="15.75" customHeight="1">
      <c r="AD6545" s="794"/>
    </row>
    <row r="6546" spans="30:30" ht="15.75" customHeight="1">
      <c r="AD6546" s="794"/>
    </row>
    <row r="6547" spans="30:30" ht="15.75" customHeight="1">
      <c r="AD6547" s="794"/>
    </row>
    <row r="6548" spans="30:30" ht="15.75" customHeight="1">
      <c r="AD6548" s="794"/>
    </row>
    <row r="6549" spans="30:30" ht="15.75" customHeight="1">
      <c r="AD6549" s="794"/>
    </row>
    <row r="6550" spans="30:30" ht="15.75" customHeight="1">
      <c r="AD6550" s="794"/>
    </row>
    <row r="6551" spans="30:30" ht="15.75" customHeight="1">
      <c r="AD6551" s="794"/>
    </row>
    <row r="6552" spans="30:30" ht="15.75" customHeight="1">
      <c r="AD6552" s="794"/>
    </row>
    <row r="6553" spans="30:30" ht="15.75" customHeight="1">
      <c r="AD6553" s="794"/>
    </row>
    <row r="6554" spans="30:30" ht="15.75" customHeight="1">
      <c r="AD6554" s="794"/>
    </row>
    <row r="6555" spans="30:30" ht="15.75" customHeight="1">
      <c r="AD6555" s="794"/>
    </row>
    <row r="6556" spans="30:30" ht="15.75" customHeight="1">
      <c r="AD6556" s="794"/>
    </row>
    <row r="6557" spans="30:30" ht="15.75" customHeight="1">
      <c r="AD6557" s="794"/>
    </row>
    <row r="6558" spans="30:30" ht="15.75" customHeight="1">
      <c r="AD6558" s="794"/>
    </row>
    <row r="6559" spans="30:30" ht="15.75" customHeight="1">
      <c r="AD6559" s="794"/>
    </row>
    <row r="6560" spans="30:30" ht="15.75" customHeight="1">
      <c r="AD6560" s="794"/>
    </row>
    <row r="6561" spans="30:30" ht="15.75" customHeight="1">
      <c r="AD6561" s="794"/>
    </row>
    <row r="6562" spans="30:30" ht="15.75" customHeight="1">
      <c r="AD6562" s="794"/>
    </row>
    <row r="6563" spans="30:30" ht="15.75" customHeight="1">
      <c r="AD6563" s="794"/>
    </row>
    <row r="6564" spans="30:30" ht="15.75" customHeight="1">
      <c r="AD6564" s="794"/>
    </row>
    <row r="6565" spans="30:30" ht="15.75" customHeight="1">
      <c r="AD6565" s="794"/>
    </row>
    <row r="6566" spans="30:30" ht="15.75" customHeight="1">
      <c r="AD6566" s="794"/>
    </row>
    <row r="6567" spans="30:30" ht="15.75" customHeight="1">
      <c r="AD6567" s="794"/>
    </row>
    <row r="6568" spans="30:30" ht="15.75" customHeight="1">
      <c r="AD6568" s="794"/>
    </row>
    <row r="6569" spans="30:30" ht="15.75" customHeight="1">
      <c r="AD6569" s="794"/>
    </row>
    <row r="6570" spans="30:30" ht="15.75" customHeight="1">
      <c r="AD6570" s="794"/>
    </row>
    <row r="6571" spans="30:30" ht="15.75" customHeight="1">
      <c r="AD6571" s="794"/>
    </row>
    <row r="6572" spans="30:30" ht="15.75" customHeight="1">
      <c r="AD6572" s="794"/>
    </row>
    <row r="6573" spans="30:30" ht="15.75" customHeight="1">
      <c r="AD6573" s="794"/>
    </row>
    <row r="6574" spans="30:30" ht="15.75" customHeight="1">
      <c r="AD6574" s="794"/>
    </row>
    <row r="6575" spans="30:30" ht="15.75" customHeight="1">
      <c r="AD6575" s="794"/>
    </row>
    <row r="6576" spans="30:30" ht="15.75" customHeight="1">
      <c r="AD6576" s="794"/>
    </row>
    <row r="6577" spans="30:30" ht="15.75" customHeight="1">
      <c r="AD6577" s="794"/>
    </row>
    <row r="6578" spans="30:30" ht="15.75" customHeight="1">
      <c r="AD6578" s="794"/>
    </row>
    <row r="6579" spans="30:30" ht="15.75" customHeight="1">
      <c r="AD6579" s="794"/>
    </row>
    <row r="6580" spans="30:30" ht="15.75" customHeight="1">
      <c r="AD6580" s="794"/>
    </row>
    <row r="6581" spans="30:30" ht="15.75" customHeight="1">
      <c r="AD6581" s="794"/>
    </row>
    <row r="6582" spans="30:30" ht="15.75" customHeight="1">
      <c r="AD6582" s="794"/>
    </row>
    <row r="6583" spans="30:30" ht="15.75" customHeight="1">
      <c r="AD6583" s="794"/>
    </row>
    <row r="6584" spans="30:30" ht="15.75" customHeight="1">
      <c r="AD6584" s="794"/>
    </row>
    <row r="6585" spans="30:30" ht="15.75" customHeight="1">
      <c r="AD6585" s="794"/>
    </row>
    <row r="6586" spans="30:30" ht="15.75" customHeight="1">
      <c r="AD6586" s="794"/>
    </row>
    <row r="6587" spans="30:30" ht="15.75" customHeight="1">
      <c r="AD6587" s="794"/>
    </row>
    <row r="6588" spans="30:30" ht="15.75" customHeight="1">
      <c r="AD6588" s="794"/>
    </row>
    <row r="6589" spans="30:30" ht="15.75" customHeight="1">
      <c r="AD6589" s="794"/>
    </row>
    <row r="6590" spans="30:30" ht="15.75" customHeight="1">
      <c r="AD6590" s="794"/>
    </row>
    <row r="6591" spans="30:30" ht="15.75" customHeight="1">
      <c r="AD6591" s="794"/>
    </row>
    <row r="6592" spans="30:30" ht="15.75" customHeight="1">
      <c r="AD6592" s="794"/>
    </row>
    <row r="6593" spans="30:30" ht="15.75" customHeight="1">
      <c r="AD6593" s="794"/>
    </row>
    <row r="6594" spans="30:30" ht="15.75" customHeight="1">
      <c r="AD6594" s="794"/>
    </row>
    <row r="6595" spans="30:30" ht="15.75" customHeight="1">
      <c r="AD6595" s="794"/>
    </row>
    <row r="6596" spans="30:30" ht="15.75" customHeight="1">
      <c r="AD6596" s="794"/>
    </row>
    <row r="6597" spans="30:30" ht="15.75" customHeight="1">
      <c r="AD6597" s="794"/>
    </row>
    <row r="6598" spans="30:30" ht="15.75" customHeight="1">
      <c r="AD6598" s="794"/>
    </row>
    <row r="6599" spans="30:30" ht="15.75" customHeight="1">
      <c r="AD6599" s="794"/>
    </row>
    <row r="6600" spans="30:30" ht="15.75" customHeight="1">
      <c r="AD6600" s="794"/>
    </row>
    <row r="6601" spans="30:30" ht="15.75" customHeight="1">
      <c r="AD6601" s="794"/>
    </row>
    <row r="6602" spans="30:30" ht="15.75" customHeight="1">
      <c r="AD6602" s="794"/>
    </row>
    <row r="6603" spans="30:30" ht="15.75" customHeight="1">
      <c r="AD6603" s="794"/>
    </row>
    <row r="6604" spans="30:30" ht="15.75" customHeight="1">
      <c r="AD6604" s="794"/>
    </row>
    <row r="6605" spans="30:30" ht="15.75" customHeight="1">
      <c r="AD6605" s="794"/>
    </row>
    <row r="6606" spans="30:30" ht="15.75" customHeight="1">
      <c r="AD6606" s="794"/>
    </row>
    <row r="6607" spans="30:30" ht="15.75" customHeight="1">
      <c r="AD6607" s="794"/>
    </row>
    <row r="6608" spans="30:30" ht="15.75" customHeight="1">
      <c r="AD6608" s="794"/>
    </row>
    <row r="6609" spans="30:30" ht="15.75" customHeight="1">
      <c r="AD6609" s="794"/>
    </row>
    <row r="6610" spans="30:30" ht="15.75" customHeight="1">
      <c r="AD6610" s="794"/>
    </row>
    <row r="6611" spans="30:30" ht="15.75" customHeight="1">
      <c r="AD6611" s="794"/>
    </row>
    <row r="6612" spans="30:30" ht="15.75" customHeight="1">
      <c r="AD6612" s="794"/>
    </row>
    <row r="6613" spans="30:30" ht="15.75" customHeight="1">
      <c r="AD6613" s="794"/>
    </row>
    <row r="6614" spans="30:30" ht="15.75" customHeight="1">
      <c r="AD6614" s="794"/>
    </row>
    <row r="6615" spans="30:30" ht="15.75" customHeight="1">
      <c r="AD6615" s="794"/>
    </row>
    <row r="6616" spans="30:30" ht="15.75" customHeight="1">
      <c r="AD6616" s="794"/>
    </row>
    <row r="6617" spans="30:30" ht="15.75" customHeight="1">
      <c r="AD6617" s="794"/>
    </row>
    <row r="6618" spans="30:30" ht="15.75" customHeight="1">
      <c r="AD6618" s="794"/>
    </row>
    <row r="6619" spans="30:30" ht="15.75" customHeight="1">
      <c r="AD6619" s="794"/>
    </row>
    <row r="6620" spans="30:30" ht="15.75" customHeight="1">
      <c r="AD6620" s="794"/>
    </row>
    <row r="6621" spans="30:30" ht="15.75" customHeight="1">
      <c r="AD6621" s="794"/>
    </row>
    <row r="6622" spans="30:30" ht="15.75" customHeight="1">
      <c r="AD6622" s="794"/>
    </row>
    <row r="6623" spans="30:30" ht="15.75" customHeight="1">
      <c r="AD6623" s="794"/>
    </row>
    <row r="6624" spans="30:30" ht="15.75" customHeight="1">
      <c r="AD6624" s="794"/>
    </row>
    <row r="6625" spans="30:30" ht="15.75" customHeight="1">
      <c r="AD6625" s="794"/>
    </row>
    <row r="6626" spans="30:30" ht="15.75" customHeight="1">
      <c r="AD6626" s="794"/>
    </row>
    <row r="6627" spans="30:30" ht="15.75" customHeight="1">
      <c r="AD6627" s="794"/>
    </row>
    <row r="6628" spans="30:30" ht="15.75" customHeight="1">
      <c r="AD6628" s="794"/>
    </row>
    <row r="6629" spans="30:30" ht="15.75" customHeight="1">
      <c r="AD6629" s="794"/>
    </row>
    <row r="6630" spans="30:30" ht="15.75" customHeight="1">
      <c r="AD6630" s="794"/>
    </row>
    <row r="6631" spans="30:30" ht="15.75" customHeight="1">
      <c r="AD6631" s="794"/>
    </row>
    <row r="6632" spans="30:30" ht="15.75" customHeight="1">
      <c r="AD6632" s="794"/>
    </row>
    <row r="6633" spans="30:30" ht="15.75" customHeight="1">
      <c r="AD6633" s="794"/>
    </row>
    <row r="6634" spans="30:30" ht="15.75" customHeight="1">
      <c r="AD6634" s="794"/>
    </row>
    <row r="6635" spans="30:30" ht="15.75" customHeight="1">
      <c r="AD6635" s="794"/>
    </row>
    <row r="6636" spans="30:30" ht="15.75" customHeight="1">
      <c r="AD6636" s="794"/>
    </row>
    <row r="6637" spans="30:30" ht="15.75" customHeight="1">
      <c r="AD6637" s="794"/>
    </row>
    <row r="6638" spans="30:30" ht="15.75" customHeight="1">
      <c r="AD6638" s="794"/>
    </row>
    <row r="6639" spans="30:30" ht="15.75" customHeight="1">
      <c r="AD6639" s="794"/>
    </row>
    <row r="6640" spans="30:30" ht="15.75" customHeight="1">
      <c r="AD6640" s="794"/>
    </row>
    <row r="6641" spans="30:30" ht="15.75" customHeight="1">
      <c r="AD6641" s="794"/>
    </row>
    <row r="6642" spans="30:30" ht="15.75" customHeight="1">
      <c r="AD6642" s="794"/>
    </row>
    <row r="6643" spans="30:30" ht="15.75" customHeight="1">
      <c r="AD6643" s="794"/>
    </row>
    <row r="6644" spans="30:30" ht="15.75" customHeight="1">
      <c r="AD6644" s="794"/>
    </row>
    <row r="6645" spans="30:30" ht="15.75" customHeight="1">
      <c r="AD6645" s="794"/>
    </row>
    <row r="6646" spans="30:30" ht="15.75" customHeight="1">
      <c r="AD6646" s="794"/>
    </row>
    <row r="6647" spans="30:30" ht="15.75" customHeight="1">
      <c r="AD6647" s="794"/>
    </row>
    <row r="6648" spans="30:30" ht="15.75" customHeight="1">
      <c r="AD6648" s="794"/>
    </row>
    <row r="6649" spans="30:30" ht="15.75" customHeight="1">
      <c r="AD6649" s="794"/>
    </row>
    <row r="6650" spans="30:30" ht="15.75" customHeight="1">
      <c r="AD6650" s="794"/>
    </row>
    <row r="6651" spans="30:30" ht="15.75" customHeight="1">
      <c r="AD6651" s="794"/>
    </row>
    <row r="6652" spans="30:30" ht="15.75" customHeight="1">
      <c r="AD6652" s="794"/>
    </row>
    <row r="6653" spans="30:30" ht="15.75" customHeight="1">
      <c r="AD6653" s="794"/>
    </row>
    <row r="6654" spans="30:30" ht="15.75" customHeight="1">
      <c r="AD6654" s="794"/>
    </row>
    <row r="6655" spans="30:30" ht="15.75" customHeight="1">
      <c r="AD6655" s="794"/>
    </row>
    <row r="6656" spans="30:30" ht="15.75" customHeight="1">
      <c r="AD6656" s="794"/>
    </row>
    <row r="6657" spans="30:30" ht="15.75" customHeight="1">
      <c r="AD6657" s="794"/>
    </row>
    <row r="6658" spans="30:30" ht="15.75" customHeight="1">
      <c r="AD6658" s="794"/>
    </row>
    <row r="6659" spans="30:30" ht="15.75" customHeight="1">
      <c r="AD6659" s="794"/>
    </row>
    <row r="6660" spans="30:30" ht="15.75" customHeight="1">
      <c r="AD6660" s="794"/>
    </row>
    <row r="6661" spans="30:30" ht="15.75" customHeight="1">
      <c r="AD6661" s="794"/>
    </row>
    <row r="6662" spans="30:30" ht="15.75" customHeight="1">
      <c r="AD6662" s="794"/>
    </row>
    <row r="6663" spans="30:30" ht="15.75" customHeight="1">
      <c r="AD6663" s="794"/>
    </row>
    <row r="6664" spans="30:30" ht="15.75" customHeight="1">
      <c r="AD6664" s="794"/>
    </row>
    <row r="6665" spans="30:30" ht="15.75" customHeight="1">
      <c r="AD6665" s="794"/>
    </row>
    <row r="6666" spans="30:30" ht="15.75" customHeight="1">
      <c r="AD6666" s="794"/>
    </row>
    <row r="6667" spans="30:30" ht="15.75" customHeight="1">
      <c r="AD6667" s="794"/>
    </row>
    <row r="6668" spans="30:30" ht="15.75" customHeight="1">
      <c r="AD6668" s="794"/>
    </row>
    <row r="6669" spans="30:30" ht="15.75" customHeight="1">
      <c r="AD6669" s="794"/>
    </row>
    <row r="6670" spans="30:30" ht="15.75" customHeight="1">
      <c r="AD6670" s="794"/>
    </row>
    <row r="6671" spans="30:30" ht="15.75" customHeight="1">
      <c r="AD6671" s="794"/>
    </row>
    <row r="6672" spans="30:30" ht="15.75" customHeight="1">
      <c r="AD6672" s="794"/>
    </row>
    <row r="6673" spans="30:30" ht="15.75" customHeight="1">
      <c r="AD6673" s="794"/>
    </row>
    <row r="6674" spans="30:30" ht="15.75" customHeight="1">
      <c r="AD6674" s="794"/>
    </row>
    <row r="6675" spans="30:30" ht="15.75" customHeight="1">
      <c r="AD6675" s="794"/>
    </row>
    <row r="6676" spans="30:30" ht="15.75" customHeight="1">
      <c r="AD6676" s="794"/>
    </row>
    <row r="6677" spans="30:30" ht="15.75" customHeight="1">
      <c r="AD6677" s="794"/>
    </row>
    <row r="6678" spans="30:30" ht="15.75" customHeight="1">
      <c r="AD6678" s="794"/>
    </row>
    <row r="6679" spans="30:30" ht="15.75" customHeight="1">
      <c r="AD6679" s="794"/>
    </row>
    <row r="6680" spans="30:30" ht="15.75" customHeight="1">
      <c r="AD6680" s="794"/>
    </row>
    <row r="6681" spans="30:30" ht="15.75" customHeight="1">
      <c r="AD6681" s="794"/>
    </row>
    <row r="6682" spans="30:30" ht="15.75" customHeight="1">
      <c r="AD6682" s="794"/>
    </row>
    <row r="6683" spans="30:30" ht="15.75" customHeight="1">
      <c r="AD6683" s="794"/>
    </row>
    <row r="6684" spans="30:30" ht="15.75" customHeight="1">
      <c r="AD6684" s="794"/>
    </row>
    <row r="6685" spans="30:30" ht="15.75" customHeight="1">
      <c r="AD6685" s="794"/>
    </row>
    <row r="6686" spans="30:30" ht="15.75" customHeight="1">
      <c r="AD6686" s="794"/>
    </row>
    <row r="6687" spans="30:30" ht="15.75" customHeight="1">
      <c r="AD6687" s="794"/>
    </row>
    <row r="6688" spans="30:30" ht="15.75" customHeight="1">
      <c r="AD6688" s="794"/>
    </row>
    <row r="6689" spans="30:30" ht="15.75" customHeight="1">
      <c r="AD6689" s="794"/>
    </row>
    <row r="6690" spans="30:30" ht="15.75" customHeight="1">
      <c r="AD6690" s="794"/>
    </row>
    <row r="6691" spans="30:30" ht="15.75" customHeight="1">
      <c r="AD6691" s="794"/>
    </row>
    <row r="6692" spans="30:30" ht="15.75" customHeight="1">
      <c r="AD6692" s="794"/>
    </row>
    <row r="6693" spans="30:30" ht="15.75" customHeight="1">
      <c r="AD6693" s="794"/>
    </row>
    <row r="6694" spans="30:30" ht="15.75" customHeight="1">
      <c r="AD6694" s="794"/>
    </row>
    <row r="6695" spans="30:30" ht="15.75" customHeight="1">
      <c r="AD6695" s="794"/>
    </row>
    <row r="6696" spans="30:30" ht="15.75" customHeight="1">
      <c r="AD6696" s="794"/>
    </row>
    <row r="6697" spans="30:30" ht="15.75" customHeight="1">
      <c r="AD6697" s="794"/>
    </row>
    <row r="6698" spans="30:30" ht="15.75" customHeight="1">
      <c r="AD6698" s="794"/>
    </row>
    <row r="6699" spans="30:30" ht="15.75" customHeight="1">
      <c r="AD6699" s="794"/>
    </row>
    <row r="6700" spans="30:30" ht="15.75" customHeight="1">
      <c r="AD6700" s="794"/>
    </row>
    <row r="6701" spans="30:30" ht="15.75" customHeight="1">
      <c r="AD6701" s="794"/>
    </row>
    <row r="6702" spans="30:30" ht="15.75" customHeight="1">
      <c r="AD6702" s="794"/>
    </row>
    <row r="6703" spans="30:30" ht="15.75" customHeight="1">
      <c r="AD6703" s="794"/>
    </row>
    <row r="6704" spans="30:30" ht="15.75" customHeight="1">
      <c r="AD6704" s="794"/>
    </row>
    <row r="6705" spans="30:30" ht="15.75" customHeight="1">
      <c r="AD6705" s="794"/>
    </row>
    <row r="6706" spans="30:30" ht="15.75" customHeight="1">
      <c r="AD6706" s="794"/>
    </row>
    <row r="6707" spans="30:30" ht="15.75" customHeight="1">
      <c r="AD6707" s="794"/>
    </row>
    <row r="6708" spans="30:30" ht="15.75" customHeight="1">
      <c r="AD6708" s="794"/>
    </row>
    <row r="6709" spans="30:30" ht="15.75" customHeight="1">
      <c r="AD6709" s="794"/>
    </row>
    <row r="6710" spans="30:30" ht="15.75" customHeight="1">
      <c r="AD6710" s="794"/>
    </row>
    <row r="6711" spans="30:30" ht="15.75" customHeight="1">
      <c r="AD6711" s="794"/>
    </row>
    <row r="6712" spans="30:30" ht="15.75" customHeight="1">
      <c r="AD6712" s="794"/>
    </row>
    <row r="6713" spans="30:30" ht="15.75" customHeight="1">
      <c r="AD6713" s="794"/>
    </row>
    <row r="6714" spans="30:30" ht="15.75" customHeight="1">
      <c r="AD6714" s="794"/>
    </row>
    <row r="6715" spans="30:30" ht="15.75" customHeight="1">
      <c r="AD6715" s="794"/>
    </row>
    <row r="6716" spans="30:30" ht="15.75" customHeight="1">
      <c r="AD6716" s="794"/>
    </row>
    <row r="6717" spans="30:30" ht="15.75" customHeight="1">
      <c r="AD6717" s="794"/>
    </row>
    <row r="6718" spans="30:30" ht="15.75" customHeight="1">
      <c r="AD6718" s="794"/>
    </row>
    <row r="6719" spans="30:30" ht="15.75" customHeight="1">
      <c r="AD6719" s="794"/>
    </row>
    <row r="6720" spans="30:30" ht="15.75" customHeight="1">
      <c r="AD6720" s="794"/>
    </row>
    <row r="6721" spans="30:30" ht="15.75" customHeight="1">
      <c r="AD6721" s="794"/>
    </row>
    <row r="6722" spans="30:30" ht="15.75" customHeight="1">
      <c r="AD6722" s="794"/>
    </row>
    <row r="6723" spans="30:30" ht="15.75" customHeight="1">
      <c r="AD6723" s="794"/>
    </row>
    <row r="6724" spans="30:30" ht="15.75" customHeight="1">
      <c r="AD6724" s="794"/>
    </row>
    <row r="6725" spans="30:30" ht="15.75" customHeight="1">
      <c r="AD6725" s="794"/>
    </row>
    <row r="6726" spans="30:30" ht="15.75" customHeight="1">
      <c r="AD6726" s="794"/>
    </row>
    <row r="6727" spans="30:30" ht="15.75" customHeight="1">
      <c r="AD6727" s="794"/>
    </row>
    <row r="6728" spans="30:30" ht="15.75" customHeight="1">
      <c r="AD6728" s="794"/>
    </row>
    <row r="6729" spans="30:30" ht="15.75" customHeight="1">
      <c r="AD6729" s="794"/>
    </row>
    <row r="6730" spans="30:30" ht="15.75" customHeight="1">
      <c r="AD6730" s="794"/>
    </row>
    <row r="6731" spans="30:30" ht="15.75" customHeight="1">
      <c r="AD6731" s="794"/>
    </row>
    <row r="6732" spans="30:30" ht="15.75" customHeight="1">
      <c r="AD6732" s="794"/>
    </row>
    <row r="6733" spans="30:30" ht="15.75" customHeight="1">
      <c r="AD6733" s="794"/>
    </row>
    <row r="6734" spans="30:30" ht="15.75" customHeight="1">
      <c r="AD6734" s="794"/>
    </row>
    <row r="6735" spans="30:30" ht="15.75" customHeight="1">
      <c r="AD6735" s="794"/>
    </row>
    <row r="6736" spans="30:30" ht="15.75" customHeight="1">
      <c r="AD6736" s="794"/>
    </row>
    <row r="6737" spans="30:30" ht="15.75" customHeight="1">
      <c r="AD6737" s="794"/>
    </row>
    <row r="6738" spans="30:30" ht="15.75" customHeight="1">
      <c r="AD6738" s="794"/>
    </row>
    <row r="6739" spans="30:30" ht="15.75" customHeight="1">
      <c r="AD6739" s="794"/>
    </row>
    <row r="6740" spans="30:30" ht="15.75" customHeight="1">
      <c r="AD6740" s="794"/>
    </row>
    <row r="6741" spans="30:30" ht="15.75" customHeight="1">
      <c r="AD6741" s="794"/>
    </row>
    <row r="6742" spans="30:30" ht="15.75" customHeight="1">
      <c r="AD6742" s="794"/>
    </row>
    <row r="6743" spans="30:30" ht="15.75" customHeight="1">
      <c r="AD6743" s="794"/>
    </row>
    <row r="6744" spans="30:30" ht="15.75" customHeight="1">
      <c r="AD6744" s="794"/>
    </row>
    <row r="6745" spans="30:30" ht="15.75" customHeight="1">
      <c r="AD6745" s="794"/>
    </row>
    <row r="6746" spans="30:30" ht="15.75" customHeight="1">
      <c r="AD6746" s="794"/>
    </row>
    <row r="6747" spans="30:30" ht="15.75" customHeight="1">
      <c r="AD6747" s="794"/>
    </row>
    <row r="6748" spans="30:30" ht="15.75" customHeight="1">
      <c r="AD6748" s="794"/>
    </row>
    <row r="6749" spans="30:30" ht="15.75" customHeight="1">
      <c r="AD6749" s="794"/>
    </row>
    <row r="6750" spans="30:30" ht="15.75" customHeight="1">
      <c r="AD6750" s="794"/>
    </row>
    <row r="6751" spans="30:30" ht="15.75" customHeight="1">
      <c r="AD6751" s="794"/>
    </row>
    <row r="6752" spans="30:30" ht="15.75" customHeight="1">
      <c r="AD6752" s="794"/>
    </row>
    <row r="6753" spans="30:30" ht="15.75" customHeight="1">
      <c r="AD6753" s="794"/>
    </row>
    <row r="6754" spans="30:30" ht="15.75" customHeight="1">
      <c r="AD6754" s="794"/>
    </row>
    <row r="6755" spans="30:30" ht="15.75" customHeight="1">
      <c r="AD6755" s="794"/>
    </row>
    <row r="6756" spans="30:30" ht="15.75" customHeight="1">
      <c r="AD6756" s="794"/>
    </row>
    <row r="6757" spans="30:30" ht="15.75" customHeight="1">
      <c r="AD6757" s="794"/>
    </row>
    <row r="6758" spans="30:30" ht="15.75" customHeight="1">
      <c r="AD6758" s="794"/>
    </row>
    <row r="6759" spans="30:30" ht="15.75" customHeight="1">
      <c r="AD6759" s="794"/>
    </row>
    <row r="6760" spans="30:30" ht="15.75" customHeight="1">
      <c r="AD6760" s="794"/>
    </row>
    <row r="6761" spans="30:30" ht="15.75" customHeight="1">
      <c r="AD6761" s="794"/>
    </row>
    <row r="6762" spans="30:30" ht="15.75" customHeight="1">
      <c r="AD6762" s="794"/>
    </row>
    <row r="6763" spans="30:30" ht="15.75" customHeight="1">
      <c r="AD6763" s="794"/>
    </row>
    <row r="6764" spans="30:30" ht="15.75" customHeight="1">
      <c r="AD6764" s="794"/>
    </row>
    <row r="6765" spans="30:30" ht="15.75" customHeight="1">
      <c r="AD6765" s="794"/>
    </row>
    <row r="6766" spans="30:30" ht="15.75" customHeight="1">
      <c r="AD6766" s="794"/>
    </row>
    <row r="6767" spans="30:30" ht="15.75" customHeight="1">
      <c r="AD6767" s="794"/>
    </row>
    <row r="6768" spans="30:30" ht="15.75" customHeight="1">
      <c r="AD6768" s="794"/>
    </row>
    <row r="6769" spans="30:30" ht="15.75" customHeight="1">
      <c r="AD6769" s="794"/>
    </row>
    <row r="6770" spans="30:30" ht="15.75" customHeight="1">
      <c r="AD6770" s="794"/>
    </row>
    <row r="6771" spans="30:30" ht="15.75" customHeight="1">
      <c r="AD6771" s="794"/>
    </row>
    <row r="6772" spans="30:30" ht="15.75" customHeight="1">
      <c r="AD6772" s="794"/>
    </row>
    <row r="6773" spans="30:30" ht="15.75" customHeight="1">
      <c r="AD6773" s="794"/>
    </row>
    <row r="6774" spans="30:30" ht="15.75" customHeight="1">
      <c r="AD6774" s="794"/>
    </row>
    <row r="6775" spans="30:30" ht="15.75" customHeight="1">
      <c r="AD6775" s="794"/>
    </row>
    <row r="6776" spans="30:30" ht="15.75" customHeight="1">
      <c r="AD6776" s="794"/>
    </row>
    <row r="6777" spans="30:30" ht="15.75" customHeight="1">
      <c r="AD6777" s="794"/>
    </row>
    <row r="6778" spans="30:30" ht="15.75" customHeight="1">
      <c r="AD6778" s="794"/>
    </row>
    <row r="6779" spans="30:30" ht="15.75" customHeight="1">
      <c r="AD6779" s="794"/>
    </row>
    <row r="6780" spans="30:30" ht="15.75" customHeight="1">
      <c r="AD6780" s="794"/>
    </row>
    <row r="6781" spans="30:30" ht="15.75" customHeight="1">
      <c r="AD6781" s="794"/>
    </row>
    <row r="6782" spans="30:30" ht="15.75" customHeight="1">
      <c r="AD6782" s="794"/>
    </row>
    <row r="6783" spans="30:30" ht="15.75" customHeight="1">
      <c r="AD6783" s="794"/>
    </row>
    <row r="6784" spans="30:30" ht="15.75" customHeight="1">
      <c r="AD6784" s="794"/>
    </row>
    <row r="6785" spans="30:30" ht="15.75" customHeight="1">
      <c r="AD6785" s="794"/>
    </row>
    <row r="6786" spans="30:30" ht="15.75" customHeight="1">
      <c r="AD6786" s="794"/>
    </row>
    <row r="6787" spans="30:30" ht="15.75" customHeight="1">
      <c r="AD6787" s="794"/>
    </row>
    <row r="6788" spans="30:30" ht="15.75" customHeight="1">
      <c r="AD6788" s="794"/>
    </row>
    <row r="6789" spans="30:30" ht="15.75" customHeight="1">
      <c r="AD6789" s="794"/>
    </row>
    <row r="6790" spans="30:30" ht="15.75" customHeight="1">
      <c r="AD6790" s="794"/>
    </row>
    <row r="6791" spans="30:30" ht="15.75" customHeight="1">
      <c r="AD6791" s="794"/>
    </row>
    <row r="6792" spans="30:30" ht="15.75" customHeight="1">
      <c r="AD6792" s="794"/>
    </row>
    <row r="6793" spans="30:30" ht="15.75" customHeight="1">
      <c r="AD6793" s="794"/>
    </row>
    <row r="6794" spans="30:30" ht="15.75" customHeight="1">
      <c r="AD6794" s="794"/>
    </row>
    <row r="6795" spans="30:30" ht="15.75" customHeight="1">
      <c r="AD6795" s="794"/>
    </row>
    <row r="6796" spans="30:30" ht="15.75" customHeight="1">
      <c r="AD6796" s="794"/>
    </row>
    <row r="6797" spans="30:30" ht="15.75" customHeight="1">
      <c r="AD6797" s="794"/>
    </row>
    <row r="6798" spans="30:30" ht="15.75" customHeight="1">
      <c r="AD6798" s="794"/>
    </row>
    <row r="6799" spans="30:30" ht="15.75" customHeight="1">
      <c r="AD6799" s="794"/>
    </row>
    <row r="6800" spans="30:30" ht="15.75" customHeight="1">
      <c r="AD6800" s="794"/>
    </row>
    <row r="6801" spans="30:30" ht="15.75" customHeight="1">
      <c r="AD6801" s="794"/>
    </row>
    <row r="6802" spans="30:30" ht="15.75" customHeight="1">
      <c r="AD6802" s="794"/>
    </row>
    <row r="6803" spans="30:30" ht="15.75" customHeight="1">
      <c r="AD6803" s="794"/>
    </row>
    <row r="6804" spans="30:30" ht="15.75" customHeight="1">
      <c r="AD6804" s="794"/>
    </row>
    <row r="6805" spans="30:30" ht="15.75" customHeight="1">
      <c r="AD6805" s="794"/>
    </row>
    <row r="6806" spans="30:30" ht="15.75" customHeight="1">
      <c r="AD6806" s="794"/>
    </row>
    <row r="6807" spans="30:30" ht="15.75" customHeight="1">
      <c r="AD6807" s="794"/>
    </row>
    <row r="6808" spans="30:30" ht="15.75" customHeight="1">
      <c r="AD6808" s="794"/>
    </row>
    <row r="6809" spans="30:30" ht="15.75" customHeight="1">
      <c r="AD6809" s="794"/>
    </row>
    <row r="6810" spans="30:30" ht="15.75" customHeight="1">
      <c r="AD6810" s="794"/>
    </row>
    <row r="6811" spans="30:30" ht="15.75" customHeight="1">
      <c r="AD6811" s="794"/>
    </row>
    <row r="6812" spans="30:30" ht="15.75" customHeight="1">
      <c r="AD6812" s="794"/>
    </row>
    <row r="6813" spans="30:30" ht="15.75" customHeight="1">
      <c r="AD6813" s="794"/>
    </row>
    <row r="6814" spans="30:30" ht="15.75" customHeight="1">
      <c r="AD6814" s="794"/>
    </row>
    <row r="6815" spans="30:30" ht="15.75" customHeight="1">
      <c r="AD6815" s="794"/>
    </row>
    <row r="6816" spans="30:30" ht="15.75" customHeight="1">
      <c r="AD6816" s="794"/>
    </row>
    <row r="6817" spans="30:30" ht="15.75" customHeight="1">
      <c r="AD6817" s="794"/>
    </row>
    <row r="6818" spans="30:30" ht="15.75" customHeight="1">
      <c r="AD6818" s="794"/>
    </row>
    <row r="6819" spans="30:30" ht="15.75" customHeight="1">
      <c r="AD6819" s="794"/>
    </row>
    <row r="6820" spans="30:30" ht="15.75" customHeight="1">
      <c r="AD6820" s="794"/>
    </row>
    <row r="6821" spans="30:30" ht="15.75" customHeight="1">
      <c r="AD6821" s="794"/>
    </row>
    <row r="6822" spans="30:30" ht="15.75" customHeight="1">
      <c r="AD6822" s="794"/>
    </row>
    <row r="6823" spans="30:30" ht="15.75" customHeight="1">
      <c r="AD6823" s="794"/>
    </row>
    <row r="6824" spans="30:30" ht="15.75" customHeight="1">
      <c r="AD6824" s="794"/>
    </row>
    <row r="6825" spans="30:30" ht="15.75" customHeight="1">
      <c r="AD6825" s="794"/>
    </row>
    <row r="6826" spans="30:30" ht="15.75" customHeight="1">
      <c r="AD6826" s="794"/>
    </row>
    <row r="6827" spans="30:30" ht="15.75" customHeight="1">
      <c r="AD6827" s="794"/>
    </row>
    <row r="6828" spans="30:30" ht="15.75" customHeight="1">
      <c r="AD6828" s="794"/>
    </row>
    <row r="6829" spans="30:30" ht="15.75" customHeight="1">
      <c r="AD6829" s="794"/>
    </row>
    <row r="6830" spans="30:30" ht="15.75" customHeight="1">
      <c r="AD6830" s="794"/>
    </row>
    <row r="6831" spans="30:30" ht="15.75" customHeight="1">
      <c r="AD6831" s="794"/>
    </row>
    <row r="6832" spans="30:30" ht="15.75" customHeight="1">
      <c r="AD6832" s="794"/>
    </row>
    <row r="6833" spans="30:30" ht="15.75" customHeight="1">
      <c r="AD6833" s="794"/>
    </row>
    <row r="6834" spans="30:30" ht="15.75" customHeight="1">
      <c r="AD6834" s="794"/>
    </row>
    <row r="6835" spans="30:30" ht="15.75" customHeight="1">
      <c r="AD6835" s="794"/>
    </row>
    <row r="6836" spans="30:30" ht="15.75" customHeight="1">
      <c r="AD6836" s="794"/>
    </row>
    <row r="6837" spans="30:30" ht="15.75" customHeight="1">
      <c r="AD6837" s="794"/>
    </row>
    <row r="6838" spans="30:30" ht="15.75" customHeight="1">
      <c r="AD6838" s="794"/>
    </row>
    <row r="6839" spans="30:30" ht="15.75" customHeight="1">
      <c r="AD6839" s="794"/>
    </row>
    <row r="6840" spans="30:30" ht="15.75" customHeight="1">
      <c r="AD6840" s="794"/>
    </row>
    <row r="6841" spans="30:30" ht="15.75" customHeight="1">
      <c r="AD6841" s="794"/>
    </row>
    <row r="6842" spans="30:30" ht="15.75" customHeight="1">
      <c r="AD6842" s="794"/>
    </row>
    <row r="6843" spans="30:30" ht="15.75" customHeight="1">
      <c r="AD6843" s="794"/>
    </row>
    <row r="6844" spans="30:30" ht="15.75" customHeight="1">
      <c r="AD6844" s="794"/>
    </row>
    <row r="6845" spans="30:30" ht="15.75" customHeight="1">
      <c r="AD6845" s="794"/>
    </row>
    <row r="6846" spans="30:30" ht="15.75" customHeight="1">
      <c r="AD6846" s="794"/>
    </row>
    <row r="6847" spans="30:30" ht="15.75" customHeight="1">
      <c r="AD6847" s="794"/>
    </row>
    <row r="6848" spans="30:30" ht="15.75" customHeight="1">
      <c r="AD6848" s="794"/>
    </row>
    <row r="6849" spans="30:30" ht="15.75" customHeight="1">
      <c r="AD6849" s="794"/>
    </row>
    <row r="6850" spans="30:30" ht="15.75" customHeight="1">
      <c r="AD6850" s="794"/>
    </row>
    <row r="6851" spans="30:30" ht="15.75" customHeight="1">
      <c r="AD6851" s="794"/>
    </row>
    <row r="6852" spans="30:30" ht="15.75" customHeight="1">
      <c r="AD6852" s="794"/>
    </row>
    <row r="6853" spans="30:30" ht="15.75" customHeight="1">
      <c r="AD6853" s="794"/>
    </row>
    <row r="6854" spans="30:30" ht="15.75" customHeight="1">
      <c r="AD6854" s="794"/>
    </row>
    <row r="6855" spans="30:30" ht="15.75" customHeight="1">
      <c r="AD6855" s="794"/>
    </row>
    <row r="6856" spans="30:30" ht="15.75" customHeight="1">
      <c r="AD6856" s="794"/>
    </row>
    <row r="6857" spans="30:30" ht="15.75" customHeight="1">
      <c r="AD6857" s="794"/>
    </row>
    <row r="6858" spans="30:30" ht="15.75" customHeight="1">
      <c r="AD6858" s="794"/>
    </row>
    <row r="6859" spans="30:30" ht="15.75" customHeight="1">
      <c r="AD6859" s="794"/>
    </row>
    <row r="6860" spans="30:30" ht="15.75" customHeight="1">
      <c r="AD6860" s="794"/>
    </row>
    <row r="6861" spans="30:30" ht="15.75" customHeight="1">
      <c r="AD6861" s="794"/>
    </row>
    <row r="6862" spans="30:30" ht="15.75" customHeight="1">
      <c r="AD6862" s="794"/>
    </row>
    <row r="6863" spans="30:30" ht="15.75" customHeight="1">
      <c r="AD6863" s="794"/>
    </row>
    <row r="6864" spans="30:30" ht="15.75" customHeight="1">
      <c r="AD6864" s="794"/>
    </row>
    <row r="6865" spans="30:30" ht="15.75" customHeight="1">
      <c r="AD6865" s="794"/>
    </row>
    <row r="6866" spans="30:30" ht="15.75" customHeight="1">
      <c r="AD6866" s="794"/>
    </row>
    <row r="6867" spans="30:30" ht="15.75" customHeight="1">
      <c r="AD6867" s="794"/>
    </row>
    <row r="6868" spans="30:30" ht="15.75" customHeight="1">
      <c r="AD6868" s="794"/>
    </row>
    <row r="6869" spans="30:30" ht="15.75" customHeight="1">
      <c r="AD6869" s="794"/>
    </row>
    <row r="6870" spans="30:30" ht="15.75" customHeight="1">
      <c r="AD6870" s="794"/>
    </row>
    <row r="6871" spans="30:30" ht="15.75" customHeight="1">
      <c r="AD6871" s="794"/>
    </row>
    <row r="6872" spans="30:30" ht="15.75" customHeight="1">
      <c r="AD6872" s="794"/>
    </row>
    <row r="6873" spans="30:30" ht="15.75" customHeight="1">
      <c r="AD6873" s="794"/>
    </row>
    <row r="6874" spans="30:30" ht="15.75" customHeight="1">
      <c r="AD6874" s="794"/>
    </row>
    <row r="6875" spans="30:30" ht="15.75" customHeight="1">
      <c r="AD6875" s="794"/>
    </row>
    <row r="6876" spans="30:30" ht="15.75" customHeight="1">
      <c r="AD6876" s="794"/>
    </row>
    <row r="6877" spans="30:30" ht="15.75" customHeight="1">
      <c r="AD6877" s="794"/>
    </row>
    <row r="6878" spans="30:30" ht="15.75" customHeight="1">
      <c r="AD6878" s="794"/>
    </row>
    <row r="6879" spans="30:30" ht="15.75" customHeight="1">
      <c r="AD6879" s="794"/>
    </row>
    <row r="6880" spans="30:30" ht="15.75" customHeight="1">
      <c r="AD6880" s="794"/>
    </row>
    <row r="6881" spans="30:30" ht="15.75" customHeight="1">
      <c r="AD6881" s="794"/>
    </row>
    <row r="6882" spans="30:30" ht="15.75" customHeight="1">
      <c r="AD6882" s="794"/>
    </row>
    <row r="6883" spans="30:30" ht="15.75" customHeight="1">
      <c r="AD6883" s="794"/>
    </row>
    <row r="6884" spans="30:30" ht="15.75" customHeight="1">
      <c r="AD6884" s="794"/>
    </row>
    <row r="6885" spans="30:30" ht="15.75" customHeight="1">
      <c r="AD6885" s="794"/>
    </row>
    <row r="6886" spans="30:30" ht="15.75" customHeight="1">
      <c r="AD6886" s="794"/>
    </row>
    <row r="6887" spans="30:30" ht="15.75" customHeight="1">
      <c r="AD6887" s="794"/>
    </row>
    <row r="6888" spans="30:30" ht="15.75" customHeight="1">
      <c r="AD6888" s="794"/>
    </row>
    <row r="6889" spans="30:30" ht="15.75" customHeight="1">
      <c r="AD6889" s="794"/>
    </row>
    <row r="6890" spans="30:30" ht="15.75" customHeight="1">
      <c r="AD6890" s="794"/>
    </row>
    <row r="6891" spans="30:30" ht="15.75" customHeight="1">
      <c r="AD6891" s="794"/>
    </row>
    <row r="6892" spans="30:30" ht="15.75" customHeight="1">
      <c r="AD6892" s="794"/>
    </row>
    <row r="6893" spans="30:30" ht="15.75" customHeight="1">
      <c r="AD6893" s="794"/>
    </row>
    <row r="6894" spans="30:30" ht="15.75" customHeight="1">
      <c r="AD6894" s="794"/>
    </row>
    <row r="6895" spans="30:30" ht="15.75" customHeight="1">
      <c r="AD6895" s="794"/>
    </row>
    <row r="6896" spans="30:30" ht="15.75" customHeight="1">
      <c r="AD6896" s="794"/>
    </row>
    <row r="6897" spans="30:30" ht="15.75" customHeight="1">
      <c r="AD6897" s="794"/>
    </row>
    <row r="6898" spans="30:30" ht="15.75" customHeight="1">
      <c r="AD6898" s="794"/>
    </row>
    <row r="6899" spans="30:30" ht="15.75" customHeight="1">
      <c r="AD6899" s="794"/>
    </row>
    <row r="6900" spans="30:30" ht="15.75" customHeight="1">
      <c r="AD6900" s="794"/>
    </row>
    <row r="6901" spans="30:30" ht="15.75" customHeight="1">
      <c r="AD6901" s="794"/>
    </row>
    <row r="6902" spans="30:30" ht="15.75" customHeight="1">
      <c r="AD6902" s="794"/>
    </row>
    <row r="6903" spans="30:30" ht="15.75" customHeight="1">
      <c r="AD6903" s="794"/>
    </row>
    <row r="6904" spans="30:30" ht="15.75" customHeight="1">
      <c r="AD6904" s="794"/>
    </row>
    <row r="6905" spans="30:30" ht="15.75" customHeight="1">
      <c r="AD6905" s="794"/>
    </row>
    <row r="6906" spans="30:30" ht="15.75" customHeight="1">
      <c r="AD6906" s="794"/>
    </row>
    <row r="6907" spans="30:30" ht="15.75" customHeight="1">
      <c r="AD6907" s="794"/>
    </row>
    <row r="6908" spans="30:30" ht="15.75" customHeight="1">
      <c r="AD6908" s="794"/>
    </row>
    <row r="6909" spans="30:30" ht="15.75" customHeight="1">
      <c r="AD6909" s="794"/>
    </row>
    <row r="6910" spans="30:30" ht="15.75" customHeight="1">
      <c r="AD6910" s="794"/>
    </row>
    <row r="6911" spans="30:30" ht="15.75" customHeight="1">
      <c r="AD6911" s="794"/>
    </row>
    <row r="6912" spans="30:30" ht="15.75" customHeight="1">
      <c r="AD6912" s="794"/>
    </row>
    <row r="6913" spans="30:30" ht="15.75" customHeight="1">
      <c r="AD6913" s="794"/>
    </row>
    <row r="6914" spans="30:30" ht="15.75" customHeight="1">
      <c r="AD6914" s="794"/>
    </row>
    <row r="6915" spans="30:30" ht="15.75" customHeight="1">
      <c r="AD6915" s="794"/>
    </row>
    <row r="6916" spans="30:30" ht="15.75" customHeight="1">
      <c r="AD6916" s="794"/>
    </row>
    <row r="6917" spans="30:30" ht="15.75" customHeight="1">
      <c r="AD6917" s="794"/>
    </row>
    <row r="6918" spans="30:30" ht="15.75" customHeight="1">
      <c r="AD6918" s="794"/>
    </row>
    <row r="6919" spans="30:30" ht="15.75" customHeight="1">
      <c r="AD6919" s="794"/>
    </row>
    <row r="6920" spans="30:30" ht="15.75" customHeight="1">
      <c r="AD6920" s="794"/>
    </row>
    <row r="6921" spans="30:30" ht="15.75" customHeight="1">
      <c r="AD6921" s="794"/>
    </row>
    <row r="6922" spans="30:30" ht="15.75" customHeight="1">
      <c r="AD6922" s="794"/>
    </row>
    <row r="6923" spans="30:30" ht="15.75" customHeight="1">
      <c r="AD6923" s="794"/>
    </row>
    <row r="6924" spans="30:30" ht="15.75" customHeight="1">
      <c r="AD6924" s="794"/>
    </row>
    <row r="6925" spans="30:30" ht="15.75" customHeight="1">
      <c r="AD6925" s="794"/>
    </row>
    <row r="6926" spans="30:30" ht="15.75" customHeight="1">
      <c r="AD6926" s="794"/>
    </row>
    <row r="6927" spans="30:30" ht="15.75" customHeight="1">
      <c r="AD6927" s="794"/>
    </row>
    <row r="6928" spans="30:30" ht="15.75" customHeight="1">
      <c r="AD6928" s="794"/>
    </row>
    <row r="6929" spans="30:30" ht="15.75" customHeight="1">
      <c r="AD6929" s="794"/>
    </row>
    <row r="6930" spans="30:30" ht="15.75" customHeight="1">
      <c r="AD6930" s="794"/>
    </row>
    <row r="6931" spans="30:30" ht="15.75" customHeight="1">
      <c r="AD6931" s="794"/>
    </row>
    <row r="6932" spans="30:30" ht="15.75" customHeight="1">
      <c r="AD6932" s="794"/>
    </row>
    <row r="6933" spans="30:30" ht="15.75" customHeight="1">
      <c r="AD6933" s="794"/>
    </row>
    <row r="6934" spans="30:30" ht="15.75" customHeight="1">
      <c r="AD6934" s="794"/>
    </row>
    <row r="6935" spans="30:30" ht="15.75" customHeight="1">
      <c r="AD6935" s="794"/>
    </row>
    <row r="6936" spans="30:30" ht="15.75" customHeight="1">
      <c r="AD6936" s="794"/>
    </row>
    <row r="6937" spans="30:30" ht="15.75" customHeight="1">
      <c r="AD6937" s="794"/>
    </row>
    <row r="6938" spans="30:30" ht="15.75" customHeight="1">
      <c r="AD6938" s="794"/>
    </row>
    <row r="6939" spans="30:30" ht="15.75" customHeight="1">
      <c r="AD6939" s="794"/>
    </row>
    <row r="6940" spans="30:30" ht="15.75" customHeight="1">
      <c r="AD6940" s="794"/>
    </row>
    <row r="6941" spans="30:30" ht="15.75" customHeight="1">
      <c r="AD6941" s="794"/>
    </row>
    <row r="6942" spans="30:30" ht="15.75" customHeight="1">
      <c r="AD6942" s="794"/>
    </row>
    <row r="6943" spans="30:30" ht="15.75" customHeight="1">
      <c r="AD6943" s="794"/>
    </row>
    <row r="6944" spans="30:30" ht="15.75" customHeight="1">
      <c r="AD6944" s="794"/>
    </row>
    <row r="6945" spans="30:30" ht="15.75" customHeight="1">
      <c r="AD6945" s="794"/>
    </row>
    <row r="6946" spans="30:30" ht="15.75" customHeight="1">
      <c r="AD6946" s="794"/>
    </row>
    <row r="6947" spans="30:30" ht="15.75" customHeight="1">
      <c r="AD6947" s="794"/>
    </row>
    <row r="6948" spans="30:30" ht="15.75" customHeight="1">
      <c r="AD6948" s="794"/>
    </row>
    <row r="6949" spans="30:30" ht="15.75" customHeight="1">
      <c r="AD6949" s="794"/>
    </row>
    <row r="6950" spans="30:30" ht="15.75" customHeight="1">
      <c r="AD6950" s="794"/>
    </row>
    <row r="6951" spans="30:30" ht="15.75" customHeight="1">
      <c r="AD6951" s="794"/>
    </row>
    <row r="6952" spans="30:30" ht="15.75" customHeight="1">
      <c r="AD6952" s="794"/>
    </row>
    <row r="6953" spans="30:30" ht="15.75" customHeight="1">
      <c r="AD6953" s="794"/>
    </row>
    <row r="6954" spans="30:30" ht="15.75" customHeight="1">
      <c r="AD6954" s="794"/>
    </row>
    <row r="6955" spans="30:30" ht="15.75" customHeight="1">
      <c r="AD6955" s="794"/>
    </row>
    <row r="6956" spans="30:30" ht="15.75" customHeight="1">
      <c r="AD6956" s="794"/>
    </row>
    <row r="6957" spans="30:30" ht="15.75" customHeight="1">
      <c r="AD6957" s="794"/>
    </row>
    <row r="6958" spans="30:30" ht="15.75" customHeight="1">
      <c r="AD6958" s="794"/>
    </row>
    <row r="6959" spans="30:30" ht="15.75" customHeight="1">
      <c r="AD6959" s="794"/>
    </row>
    <row r="6960" spans="30:30" ht="15.75" customHeight="1">
      <c r="AD6960" s="794"/>
    </row>
    <row r="6961" spans="30:30" ht="15.75" customHeight="1">
      <c r="AD6961" s="794"/>
    </row>
    <row r="6962" spans="30:30" ht="15.75" customHeight="1">
      <c r="AD6962" s="794"/>
    </row>
    <row r="6963" spans="30:30" ht="15.75" customHeight="1">
      <c r="AD6963" s="794"/>
    </row>
    <row r="6964" spans="30:30" ht="15.75" customHeight="1">
      <c r="AD6964" s="794"/>
    </row>
    <row r="6965" spans="30:30" ht="15.75" customHeight="1">
      <c r="AD6965" s="794"/>
    </row>
    <row r="6966" spans="30:30" ht="15.75" customHeight="1">
      <c r="AD6966" s="794"/>
    </row>
    <row r="6967" spans="30:30" ht="15.75" customHeight="1">
      <c r="AD6967" s="794"/>
    </row>
    <row r="6968" spans="30:30" ht="15.75" customHeight="1">
      <c r="AD6968" s="794"/>
    </row>
    <row r="6969" spans="30:30" ht="15.75" customHeight="1">
      <c r="AD6969" s="794"/>
    </row>
    <row r="6970" spans="30:30" ht="15.75" customHeight="1">
      <c r="AD6970" s="794"/>
    </row>
    <row r="6971" spans="30:30" ht="15.75" customHeight="1">
      <c r="AD6971" s="794"/>
    </row>
    <row r="6972" spans="30:30" ht="15.75" customHeight="1">
      <c r="AD6972" s="794"/>
    </row>
    <row r="6973" spans="30:30" ht="15.75" customHeight="1">
      <c r="AD6973" s="794"/>
    </row>
    <row r="6974" spans="30:30" ht="15.75" customHeight="1">
      <c r="AD6974" s="794"/>
    </row>
    <row r="6975" spans="30:30" ht="15.75" customHeight="1">
      <c r="AD6975" s="794"/>
    </row>
    <row r="6976" spans="30:30" ht="15.75" customHeight="1">
      <c r="AD6976" s="794"/>
    </row>
    <row r="6977" spans="30:30" ht="15.75" customHeight="1">
      <c r="AD6977" s="794"/>
    </row>
    <row r="6978" spans="30:30" ht="15.75" customHeight="1">
      <c r="AD6978" s="794"/>
    </row>
    <row r="6979" spans="30:30" ht="15.75" customHeight="1">
      <c r="AD6979" s="794"/>
    </row>
    <row r="6980" spans="30:30" ht="15.75" customHeight="1">
      <c r="AD6980" s="794"/>
    </row>
    <row r="6981" spans="30:30" ht="15.75" customHeight="1">
      <c r="AD6981" s="794"/>
    </row>
    <row r="6982" spans="30:30" ht="15.75" customHeight="1">
      <c r="AD6982" s="794"/>
    </row>
    <row r="6983" spans="30:30" ht="15.75" customHeight="1">
      <c r="AD6983" s="794"/>
    </row>
    <row r="6984" spans="30:30" ht="15.75" customHeight="1">
      <c r="AD6984" s="794"/>
    </row>
    <row r="6985" spans="30:30" ht="15.75" customHeight="1">
      <c r="AD6985" s="794"/>
    </row>
    <row r="6986" spans="30:30" ht="15.75" customHeight="1">
      <c r="AD6986" s="794"/>
    </row>
    <row r="6987" spans="30:30" ht="15.75" customHeight="1">
      <c r="AD6987" s="794"/>
    </row>
    <row r="6988" spans="30:30" ht="15.75" customHeight="1">
      <c r="AD6988" s="794"/>
    </row>
    <row r="6989" spans="30:30" ht="15.75" customHeight="1">
      <c r="AD6989" s="794"/>
    </row>
    <row r="6990" spans="30:30" ht="15.75" customHeight="1">
      <c r="AD6990" s="794"/>
    </row>
    <row r="6991" spans="30:30" ht="15.75" customHeight="1">
      <c r="AD6991" s="794"/>
    </row>
    <row r="6992" spans="30:30" ht="15.75" customHeight="1">
      <c r="AD6992" s="794"/>
    </row>
    <row r="6993" spans="30:30" ht="15.75" customHeight="1">
      <c r="AD6993" s="794"/>
    </row>
    <row r="6994" spans="30:30" ht="15.75" customHeight="1">
      <c r="AD6994" s="794"/>
    </row>
    <row r="6995" spans="30:30" ht="15.75" customHeight="1">
      <c r="AD6995" s="794"/>
    </row>
    <row r="6996" spans="30:30" ht="15.75" customHeight="1">
      <c r="AD6996" s="794"/>
    </row>
    <row r="6997" spans="30:30" ht="15.75" customHeight="1">
      <c r="AD6997" s="794"/>
    </row>
    <row r="6998" spans="30:30" ht="15.75" customHeight="1">
      <c r="AD6998" s="794"/>
    </row>
    <row r="6999" spans="30:30" ht="15.75" customHeight="1">
      <c r="AD6999" s="794"/>
    </row>
    <row r="7000" spans="30:30" ht="15.75" customHeight="1">
      <c r="AD7000" s="794"/>
    </row>
    <row r="7001" spans="30:30" ht="15.75" customHeight="1">
      <c r="AD7001" s="794"/>
    </row>
    <row r="7002" spans="30:30" ht="15.75" customHeight="1">
      <c r="AD7002" s="794"/>
    </row>
    <row r="7003" spans="30:30" ht="15.75" customHeight="1">
      <c r="AD7003" s="794"/>
    </row>
    <row r="7004" spans="30:30" ht="15.75" customHeight="1">
      <c r="AD7004" s="794"/>
    </row>
    <row r="7005" spans="30:30" ht="15.75" customHeight="1">
      <c r="AD7005" s="794"/>
    </row>
    <row r="7006" spans="30:30" ht="15.75" customHeight="1">
      <c r="AD7006" s="794"/>
    </row>
    <row r="7007" spans="30:30" ht="15.75" customHeight="1">
      <c r="AD7007" s="794"/>
    </row>
    <row r="7008" spans="30:30" ht="15.75" customHeight="1">
      <c r="AD7008" s="794"/>
    </row>
    <row r="7009" spans="30:30" ht="15.75" customHeight="1">
      <c r="AD7009" s="794"/>
    </row>
    <row r="7010" spans="30:30" ht="15.75" customHeight="1">
      <c r="AD7010" s="794"/>
    </row>
    <row r="7011" spans="30:30" ht="15.75" customHeight="1">
      <c r="AD7011" s="794"/>
    </row>
    <row r="7012" spans="30:30" ht="15.75" customHeight="1">
      <c r="AD7012" s="794"/>
    </row>
    <row r="7013" spans="30:30" ht="15.75" customHeight="1">
      <c r="AD7013" s="794"/>
    </row>
    <row r="7014" spans="30:30" ht="15.75" customHeight="1">
      <c r="AD7014" s="794"/>
    </row>
    <row r="7015" spans="30:30" ht="15.75" customHeight="1">
      <c r="AD7015" s="794"/>
    </row>
    <row r="7016" spans="30:30" ht="15.75" customHeight="1">
      <c r="AD7016" s="794"/>
    </row>
    <row r="7017" spans="30:30" ht="15.75" customHeight="1">
      <c r="AD7017" s="794"/>
    </row>
    <row r="7018" spans="30:30" ht="15.75" customHeight="1">
      <c r="AD7018" s="794"/>
    </row>
    <row r="7019" spans="30:30" ht="15.75" customHeight="1">
      <c r="AD7019" s="794"/>
    </row>
    <row r="7020" spans="30:30" ht="15.75" customHeight="1">
      <c r="AD7020" s="794"/>
    </row>
    <row r="7021" spans="30:30" ht="15.75" customHeight="1">
      <c r="AD7021" s="794"/>
    </row>
    <row r="7022" spans="30:30" ht="15.75" customHeight="1">
      <c r="AD7022" s="794"/>
    </row>
    <row r="7023" spans="30:30" ht="15.75" customHeight="1">
      <c r="AD7023" s="794"/>
    </row>
    <row r="7024" spans="30:30" ht="15.75" customHeight="1">
      <c r="AD7024" s="794"/>
    </row>
    <row r="7025" spans="30:30" ht="15.75" customHeight="1">
      <c r="AD7025" s="794"/>
    </row>
    <row r="7026" spans="30:30" ht="15.75" customHeight="1">
      <c r="AD7026" s="794"/>
    </row>
    <row r="7027" spans="30:30" ht="15.75" customHeight="1">
      <c r="AD7027" s="794"/>
    </row>
    <row r="7028" spans="30:30" ht="15.75" customHeight="1">
      <c r="AD7028" s="794"/>
    </row>
    <row r="7029" spans="30:30" ht="15.75" customHeight="1">
      <c r="AD7029" s="794"/>
    </row>
    <row r="7030" spans="30:30" ht="15.75" customHeight="1">
      <c r="AD7030" s="794"/>
    </row>
    <row r="7031" spans="30:30" ht="15.75" customHeight="1">
      <c r="AD7031" s="794"/>
    </row>
    <row r="7032" spans="30:30" ht="15.75" customHeight="1">
      <c r="AD7032" s="794"/>
    </row>
    <row r="7033" spans="30:30" ht="15.75" customHeight="1">
      <c r="AD7033" s="794"/>
    </row>
    <row r="7034" spans="30:30" ht="15.75" customHeight="1">
      <c r="AD7034" s="794"/>
    </row>
    <row r="7035" spans="30:30" ht="15.75" customHeight="1">
      <c r="AD7035" s="794"/>
    </row>
    <row r="7036" spans="30:30" ht="15.75" customHeight="1">
      <c r="AD7036" s="794"/>
    </row>
    <row r="7037" spans="30:30" ht="15.75" customHeight="1">
      <c r="AD7037" s="794"/>
    </row>
    <row r="7038" spans="30:30" ht="15.75" customHeight="1">
      <c r="AD7038" s="794"/>
    </row>
    <row r="7039" spans="30:30" ht="15.75" customHeight="1">
      <c r="AD7039" s="794"/>
    </row>
    <row r="7040" spans="30:30" ht="15.75" customHeight="1">
      <c r="AD7040" s="794"/>
    </row>
    <row r="7041" spans="30:30" ht="15.75" customHeight="1">
      <c r="AD7041" s="794"/>
    </row>
    <row r="7042" spans="30:30" ht="15.75" customHeight="1">
      <c r="AD7042" s="794"/>
    </row>
    <row r="7043" spans="30:30" ht="15.75" customHeight="1">
      <c r="AD7043" s="794"/>
    </row>
    <row r="7044" spans="30:30" ht="15.75" customHeight="1">
      <c r="AD7044" s="794"/>
    </row>
    <row r="7045" spans="30:30" ht="15.75" customHeight="1">
      <c r="AD7045" s="794"/>
    </row>
    <row r="7046" spans="30:30" ht="15.75" customHeight="1">
      <c r="AD7046" s="794"/>
    </row>
    <row r="7047" spans="30:30" ht="15.75" customHeight="1">
      <c r="AD7047" s="794"/>
    </row>
    <row r="7048" spans="30:30" ht="15.75" customHeight="1">
      <c r="AD7048" s="794"/>
    </row>
    <row r="7049" spans="30:30" ht="15.75" customHeight="1">
      <c r="AD7049" s="794"/>
    </row>
    <row r="7050" spans="30:30" ht="15.75" customHeight="1">
      <c r="AD7050" s="794"/>
    </row>
    <row r="7051" spans="30:30" ht="15.75" customHeight="1">
      <c r="AD7051" s="794"/>
    </row>
    <row r="7052" spans="30:30" ht="15.75" customHeight="1">
      <c r="AD7052" s="794"/>
    </row>
    <row r="7053" spans="30:30" ht="15.75" customHeight="1">
      <c r="AD7053" s="794"/>
    </row>
    <row r="7054" spans="30:30" ht="15.75" customHeight="1">
      <c r="AD7054" s="794"/>
    </row>
    <row r="7055" spans="30:30" ht="15.75" customHeight="1">
      <c r="AD7055" s="794"/>
    </row>
    <row r="7056" spans="30:30" ht="15.75" customHeight="1">
      <c r="AD7056" s="794"/>
    </row>
    <row r="7057" spans="30:30" ht="15.75" customHeight="1">
      <c r="AD7057" s="794"/>
    </row>
    <row r="7058" spans="30:30" ht="15.75" customHeight="1">
      <c r="AD7058" s="794"/>
    </row>
    <row r="7059" spans="30:30" ht="15.75" customHeight="1">
      <c r="AD7059" s="794"/>
    </row>
    <row r="7060" spans="30:30" ht="15.75" customHeight="1">
      <c r="AD7060" s="794"/>
    </row>
    <row r="7061" spans="30:30" ht="15.75" customHeight="1">
      <c r="AD7061" s="794"/>
    </row>
    <row r="7062" spans="30:30" ht="15.75" customHeight="1">
      <c r="AD7062" s="794"/>
    </row>
    <row r="7063" spans="30:30" ht="15.75" customHeight="1">
      <c r="AD7063" s="794"/>
    </row>
    <row r="7064" spans="30:30" ht="15.75" customHeight="1">
      <c r="AD7064" s="794"/>
    </row>
    <row r="7065" spans="30:30" ht="15.75" customHeight="1">
      <c r="AD7065" s="794"/>
    </row>
    <row r="7066" spans="30:30" ht="15.75" customHeight="1">
      <c r="AD7066" s="794"/>
    </row>
    <row r="7067" spans="30:30" ht="15.75" customHeight="1">
      <c r="AD7067" s="794"/>
    </row>
    <row r="7068" spans="30:30" ht="15.75" customHeight="1">
      <c r="AD7068" s="794"/>
    </row>
    <row r="7069" spans="30:30" ht="15.75" customHeight="1">
      <c r="AD7069" s="794"/>
    </row>
    <row r="7070" spans="30:30" ht="15.75" customHeight="1">
      <c r="AD7070" s="794"/>
    </row>
    <row r="7071" spans="30:30" ht="15.75" customHeight="1">
      <c r="AD7071" s="794"/>
    </row>
    <row r="7072" spans="30:30" ht="15.75" customHeight="1">
      <c r="AD7072" s="794"/>
    </row>
    <row r="7073" spans="30:30" ht="15.75" customHeight="1">
      <c r="AD7073" s="794"/>
    </row>
    <row r="7074" spans="30:30" ht="15.75" customHeight="1">
      <c r="AD7074" s="794"/>
    </row>
    <row r="7075" spans="30:30" ht="15.75" customHeight="1">
      <c r="AD7075" s="794"/>
    </row>
    <row r="7076" spans="30:30" ht="15.75" customHeight="1">
      <c r="AD7076" s="794"/>
    </row>
    <row r="7077" spans="30:30" ht="15.75" customHeight="1">
      <c r="AD7077" s="794"/>
    </row>
    <row r="7078" spans="30:30" ht="15.75" customHeight="1">
      <c r="AD7078" s="794"/>
    </row>
    <row r="7079" spans="30:30" ht="15.75" customHeight="1">
      <c r="AD7079" s="794"/>
    </row>
    <row r="7080" spans="30:30" ht="15.75" customHeight="1">
      <c r="AD7080" s="794"/>
    </row>
    <row r="7081" spans="30:30" ht="15.75" customHeight="1">
      <c r="AD7081" s="794"/>
    </row>
    <row r="7082" spans="30:30" ht="15.75" customHeight="1">
      <c r="AD7082" s="794"/>
    </row>
    <row r="7083" spans="30:30" ht="15.75" customHeight="1">
      <c r="AD7083" s="794"/>
    </row>
    <row r="7084" spans="30:30" ht="15.75" customHeight="1">
      <c r="AD7084" s="794"/>
    </row>
    <row r="7085" spans="30:30" ht="15.75" customHeight="1">
      <c r="AD7085" s="794"/>
    </row>
    <row r="7086" spans="30:30" ht="15.75" customHeight="1">
      <c r="AD7086" s="794"/>
    </row>
    <row r="7087" spans="30:30" ht="15.75" customHeight="1">
      <c r="AD7087" s="794"/>
    </row>
    <row r="7088" spans="30:30" ht="15.75" customHeight="1">
      <c r="AD7088" s="794"/>
    </row>
    <row r="7089" spans="30:30" ht="15.75" customHeight="1">
      <c r="AD7089" s="794"/>
    </row>
    <row r="7090" spans="30:30" ht="15.75" customHeight="1">
      <c r="AD7090" s="794"/>
    </row>
    <row r="7091" spans="30:30" ht="15.75" customHeight="1">
      <c r="AD7091" s="794"/>
    </row>
    <row r="7092" spans="30:30" ht="15.75" customHeight="1">
      <c r="AD7092" s="794"/>
    </row>
    <row r="7093" spans="30:30" ht="15.75" customHeight="1">
      <c r="AD7093" s="794"/>
    </row>
    <row r="7094" spans="30:30" ht="15.75" customHeight="1">
      <c r="AD7094" s="794"/>
    </row>
    <row r="7095" spans="30:30" ht="15.75" customHeight="1">
      <c r="AD7095" s="794"/>
    </row>
    <row r="7096" spans="30:30" ht="15.75" customHeight="1">
      <c r="AD7096" s="794"/>
    </row>
    <row r="7097" spans="30:30" ht="15.75" customHeight="1">
      <c r="AD7097" s="794"/>
    </row>
    <row r="7098" spans="30:30" ht="15.75" customHeight="1">
      <c r="AD7098" s="794"/>
    </row>
    <row r="7099" spans="30:30" ht="15.75" customHeight="1">
      <c r="AD7099" s="794"/>
    </row>
    <row r="7100" spans="30:30" ht="15.75" customHeight="1">
      <c r="AD7100" s="794"/>
    </row>
    <row r="7101" spans="30:30" ht="15.75" customHeight="1">
      <c r="AD7101" s="794"/>
    </row>
    <row r="7102" spans="30:30" ht="15.75" customHeight="1">
      <c r="AD7102" s="794"/>
    </row>
    <row r="7103" spans="30:30" ht="15.75" customHeight="1">
      <c r="AD7103" s="794"/>
    </row>
    <row r="7104" spans="30:30" ht="15.75" customHeight="1">
      <c r="AD7104" s="794"/>
    </row>
    <row r="7105" spans="30:30" ht="15.75" customHeight="1">
      <c r="AD7105" s="794"/>
    </row>
    <row r="7106" spans="30:30" ht="15.75" customHeight="1">
      <c r="AD7106" s="794"/>
    </row>
    <row r="7107" spans="30:30" ht="15.75" customHeight="1">
      <c r="AD7107" s="794"/>
    </row>
    <row r="7108" spans="30:30" ht="15.75" customHeight="1">
      <c r="AD7108" s="794"/>
    </row>
    <row r="7109" spans="30:30" ht="15.75" customHeight="1">
      <c r="AD7109" s="794"/>
    </row>
    <row r="7110" spans="30:30" ht="15.75" customHeight="1">
      <c r="AD7110" s="794"/>
    </row>
    <row r="7111" spans="30:30" ht="15.75" customHeight="1">
      <c r="AD7111" s="794"/>
    </row>
    <row r="7112" spans="30:30" ht="15.75" customHeight="1">
      <c r="AD7112" s="794"/>
    </row>
    <row r="7113" spans="30:30" ht="15.75" customHeight="1">
      <c r="AD7113" s="794"/>
    </row>
    <row r="7114" spans="30:30" ht="15.75" customHeight="1">
      <c r="AD7114" s="794"/>
    </row>
    <row r="7115" spans="30:30" ht="15.75" customHeight="1">
      <c r="AD7115" s="794"/>
    </row>
    <row r="7116" spans="30:30" ht="15.75" customHeight="1">
      <c r="AD7116" s="794"/>
    </row>
    <row r="7117" spans="30:30" ht="15.75" customHeight="1">
      <c r="AD7117" s="794"/>
    </row>
    <row r="7118" spans="30:30" ht="15.75" customHeight="1">
      <c r="AD7118" s="794"/>
    </row>
    <row r="7119" spans="30:30" ht="15.75" customHeight="1">
      <c r="AD7119" s="794"/>
    </row>
    <row r="7120" spans="30:30" ht="15.75" customHeight="1">
      <c r="AD7120" s="794"/>
    </row>
    <row r="7121" spans="30:30" ht="15.75" customHeight="1">
      <c r="AD7121" s="794"/>
    </row>
    <row r="7122" spans="30:30" ht="15.75" customHeight="1">
      <c r="AD7122" s="794"/>
    </row>
    <row r="7123" spans="30:30" ht="15.75" customHeight="1">
      <c r="AD7123" s="794"/>
    </row>
    <row r="7124" spans="30:30" ht="15.75" customHeight="1">
      <c r="AD7124" s="794"/>
    </row>
    <row r="7125" spans="30:30" ht="15.75" customHeight="1">
      <c r="AD7125" s="794"/>
    </row>
    <row r="7126" spans="30:30" ht="15.75" customHeight="1">
      <c r="AD7126" s="794"/>
    </row>
    <row r="7127" spans="30:30" ht="15.75" customHeight="1">
      <c r="AD7127" s="794"/>
    </row>
    <row r="7128" spans="30:30" ht="15.75" customHeight="1">
      <c r="AD7128" s="794"/>
    </row>
    <row r="7129" spans="30:30" ht="15.75" customHeight="1">
      <c r="AD7129" s="794"/>
    </row>
    <row r="7130" spans="30:30" ht="15.75" customHeight="1">
      <c r="AD7130" s="794"/>
    </row>
    <row r="7131" spans="30:30" ht="15.75" customHeight="1">
      <c r="AD7131" s="794"/>
    </row>
    <row r="7132" spans="30:30" ht="15.75" customHeight="1">
      <c r="AD7132" s="794"/>
    </row>
    <row r="7133" spans="30:30" ht="15.75" customHeight="1">
      <c r="AD7133" s="794"/>
    </row>
    <row r="7134" spans="30:30" ht="15.75" customHeight="1">
      <c r="AD7134" s="794"/>
    </row>
    <row r="7135" spans="30:30" ht="15.75" customHeight="1">
      <c r="AD7135" s="794"/>
    </row>
    <row r="7136" spans="30:30" ht="15.75" customHeight="1">
      <c r="AD7136" s="794"/>
    </row>
    <row r="7137" spans="30:30" ht="15.75" customHeight="1">
      <c r="AD7137" s="794"/>
    </row>
    <row r="7138" spans="30:30" ht="15.75" customHeight="1">
      <c r="AD7138" s="794"/>
    </row>
    <row r="7139" spans="30:30" ht="15.75" customHeight="1">
      <c r="AD7139" s="794"/>
    </row>
    <row r="7140" spans="30:30" ht="15.75" customHeight="1">
      <c r="AD7140" s="794"/>
    </row>
    <row r="7141" spans="30:30" ht="15.75" customHeight="1">
      <c r="AD7141" s="794"/>
    </row>
    <row r="7142" spans="30:30" ht="15.75" customHeight="1">
      <c r="AD7142" s="794"/>
    </row>
    <row r="7143" spans="30:30" ht="15.75" customHeight="1">
      <c r="AD7143" s="794"/>
    </row>
    <row r="7144" spans="30:30" ht="15.75" customHeight="1">
      <c r="AD7144" s="794"/>
    </row>
    <row r="7145" spans="30:30" ht="15.75" customHeight="1">
      <c r="AD7145" s="794"/>
    </row>
    <row r="7146" spans="30:30" ht="15.75" customHeight="1">
      <c r="AD7146" s="794"/>
    </row>
    <row r="7147" spans="30:30" ht="15.75" customHeight="1">
      <c r="AD7147" s="794"/>
    </row>
    <row r="7148" spans="30:30" ht="15.75" customHeight="1">
      <c r="AD7148" s="794"/>
    </row>
    <row r="7149" spans="30:30" ht="15.75" customHeight="1">
      <c r="AD7149" s="794"/>
    </row>
    <row r="7150" spans="30:30" ht="15.75" customHeight="1">
      <c r="AD7150" s="794"/>
    </row>
    <row r="7151" spans="30:30" ht="15.75" customHeight="1">
      <c r="AD7151" s="794"/>
    </row>
    <row r="7152" spans="30:30" ht="15.75" customHeight="1">
      <c r="AD7152" s="794"/>
    </row>
    <row r="7153" spans="30:30" ht="15.75" customHeight="1">
      <c r="AD7153" s="794"/>
    </row>
    <row r="7154" spans="30:30" ht="15.75" customHeight="1">
      <c r="AD7154" s="794"/>
    </row>
    <row r="7155" spans="30:30" ht="15.75" customHeight="1">
      <c r="AD7155" s="794"/>
    </row>
    <row r="7156" spans="30:30" ht="15.75" customHeight="1">
      <c r="AD7156" s="794"/>
    </row>
    <row r="7157" spans="30:30" ht="15.75" customHeight="1">
      <c r="AD7157" s="794"/>
    </row>
    <row r="7158" spans="30:30" ht="15.75" customHeight="1">
      <c r="AD7158" s="794"/>
    </row>
    <row r="7159" spans="30:30" ht="15.75" customHeight="1">
      <c r="AD7159" s="794"/>
    </row>
    <row r="7160" spans="30:30" ht="15.75" customHeight="1">
      <c r="AD7160" s="794"/>
    </row>
    <row r="7161" spans="30:30" ht="15.75" customHeight="1">
      <c r="AD7161" s="794"/>
    </row>
    <row r="7162" spans="30:30" ht="15.75" customHeight="1">
      <c r="AD7162" s="794"/>
    </row>
    <row r="7163" spans="30:30" ht="15.75" customHeight="1">
      <c r="AD7163" s="794"/>
    </row>
    <row r="7164" spans="30:30" ht="15.75" customHeight="1">
      <c r="AD7164" s="794"/>
    </row>
    <row r="7165" spans="30:30" ht="15.75" customHeight="1">
      <c r="AD7165" s="794"/>
    </row>
    <row r="7166" spans="30:30" ht="15.75" customHeight="1">
      <c r="AD7166" s="794"/>
    </row>
    <row r="7167" spans="30:30" ht="15.75" customHeight="1">
      <c r="AD7167" s="794"/>
    </row>
    <row r="7168" spans="30:30" ht="15.75" customHeight="1">
      <c r="AD7168" s="794"/>
    </row>
    <row r="7169" spans="30:30" ht="15.75" customHeight="1">
      <c r="AD7169" s="794"/>
    </row>
    <row r="7170" spans="30:30" ht="15.75" customHeight="1">
      <c r="AD7170" s="794"/>
    </row>
    <row r="7171" spans="30:30" ht="15.75" customHeight="1">
      <c r="AD7171" s="794"/>
    </row>
    <row r="7172" spans="30:30" ht="15.75" customHeight="1">
      <c r="AD7172" s="794"/>
    </row>
    <row r="7173" spans="30:30" ht="15.75" customHeight="1">
      <c r="AD7173" s="794"/>
    </row>
    <row r="7174" spans="30:30" ht="15.75" customHeight="1">
      <c r="AD7174" s="794"/>
    </row>
    <row r="7175" spans="30:30" ht="15.75" customHeight="1">
      <c r="AD7175" s="794"/>
    </row>
    <row r="7176" spans="30:30" ht="15.75" customHeight="1">
      <c r="AD7176" s="794"/>
    </row>
    <row r="7177" spans="30:30" ht="15.75" customHeight="1">
      <c r="AD7177" s="794"/>
    </row>
    <row r="7178" spans="30:30" ht="15.75" customHeight="1">
      <c r="AD7178" s="794"/>
    </row>
    <row r="7179" spans="30:30" ht="15.75" customHeight="1">
      <c r="AD7179" s="794"/>
    </row>
    <row r="7180" spans="30:30" ht="15.75" customHeight="1">
      <c r="AD7180" s="794"/>
    </row>
    <row r="7181" spans="30:30" ht="15.75" customHeight="1">
      <c r="AD7181" s="794"/>
    </row>
    <row r="7182" spans="30:30" ht="15.75" customHeight="1">
      <c r="AD7182" s="794"/>
    </row>
    <row r="7183" spans="30:30" ht="15.75" customHeight="1">
      <c r="AD7183" s="794"/>
    </row>
    <row r="7184" spans="30:30" ht="15.75" customHeight="1">
      <c r="AD7184" s="794"/>
    </row>
    <row r="7185" spans="30:30" ht="15.75" customHeight="1">
      <c r="AD7185" s="794"/>
    </row>
    <row r="7186" spans="30:30" ht="15.75" customHeight="1">
      <c r="AD7186" s="794"/>
    </row>
    <row r="7187" spans="30:30" ht="15.75" customHeight="1">
      <c r="AD7187" s="794"/>
    </row>
    <row r="7188" spans="30:30" ht="15.75" customHeight="1">
      <c r="AD7188" s="794"/>
    </row>
    <row r="7189" spans="30:30" ht="15.75" customHeight="1">
      <c r="AD7189" s="794"/>
    </row>
    <row r="7190" spans="30:30" ht="15.75" customHeight="1">
      <c r="AD7190" s="794"/>
    </row>
    <row r="7191" spans="30:30" ht="15.75" customHeight="1">
      <c r="AD7191" s="794"/>
    </row>
    <row r="7192" spans="30:30" ht="15.75" customHeight="1">
      <c r="AD7192" s="794"/>
    </row>
    <row r="7193" spans="30:30" ht="15.75" customHeight="1">
      <c r="AD7193" s="794"/>
    </row>
    <row r="7194" spans="30:30" ht="15.75" customHeight="1">
      <c r="AD7194" s="794"/>
    </row>
    <row r="7195" spans="30:30" ht="15.75" customHeight="1">
      <c r="AD7195" s="794"/>
    </row>
    <row r="7196" spans="30:30" ht="15.75" customHeight="1">
      <c r="AD7196" s="794"/>
    </row>
    <row r="7197" spans="30:30" ht="15.75" customHeight="1">
      <c r="AD7197" s="794"/>
    </row>
    <row r="7198" spans="30:30" ht="15.75" customHeight="1">
      <c r="AD7198" s="794"/>
    </row>
    <row r="7199" spans="30:30" ht="15.75" customHeight="1">
      <c r="AD7199" s="794"/>
    </row>
    <row r="7200" spans="30:30" ht="15.75" customHeight="1">
      <c r="AD7200" s="794"/>
    </row>
    <row r="7201" spans="30:30" ht="15.75" customHeight="1">
      <c r="AD7201" s="794"/>
    </row>
    <row r="7202" spans="30:30" ht="15.75" customHeight="1">
      <c r="AD7202" s="794"/>
    </row>
    <row r="7203" spans="30:30" ht="15.75" customHeight="1">
      <c r="AD7203" s="794"/>
    </row>
    <row r="7204" spans="30:30" ht="15.75" customHeight="1">
      <c r="AD7204" s="794"/>
    </row>
    <row r="7205" spans="30:30" ht="15.75" customHeight="1">
      <c r="AD7205" s="794"/>
    </row>
    <row r="7206" spans="30:30" ht="15.75" customHeight="1">
      <c r="AD7206" s="794"/>
    </row>
    <row r="7207" spans="30:30" ht="15.75" customHeight="1">
      <c r="AD7207" s="794"/>
    </row>
    <row r="7208" spans="30:30" ht="15.75" customHeight="1">
      <c r="AD7208" s="794"/>
    </row>
    <row r="7209" spans="30:30" ht="15.75" customHeight="1">
      <c r="AD7209" s="794"/>
    </row>
    <row r="7210" spans="30:30" ht="15.75" customHeight="1">
      <c r="AD7210" s="794"/>
    </row>
    <row r="7211" spans="30:30" ht="15.75" customHeight="1">
      <c r="AD7211" s="794"/>
    </row>
    <row r="7212" spans="30:30" ht="15.75" customHeight="1">
      <c r="AD7212" s="794"/>
    </row>
    <row r="7213" spans="30:30" ht="15.75" customHeight="1">
      <c r="AD7213" s="794"/>
    </row>
    <row r="7214" spans="30:30" ht="15.75" customHeight="1">
      <c r="AD7214" s="794"/>
    </row>
    <row r="7215" spans="30:30" ht="15.75" customHeight="1">
      <c r="AD7215" s="794"/>
    </row>
    <row r="7216" spans="30:30" ht="15.75" customHeight="1">
      <c r="AD7216" s="794"/>
    </row>
    <row r="7217" spans="30:30" ht="15.75" customHeight="1">
      <c r="AD7217" s="794"/>
    </row>
    <row r="7218" spans="30:30" ht="15.75" customHeight="1">
      <c r="AD7218" s="794"/>
    </row>
    <row r="7219" spans="30:30" ht="15.75" customHeight="1">
      <c r="AD7219" s="794"/>
    </row>
    <row r="7220" spans="30:30" ht="15.75" customHeight="1">
      <c r="AD7220" s="794"/>
    </row>
    <row r="7221" spans="30:30" ht="15.75" customHeight="1">
      <c r="AD7221" s="794"/>
    </row>
    <row r="7222" spans="30:30" ht="15.75" customHeight="1">
      <c r="AD7222" s="794"/>
    </row>
    <row r="7223" spans="30:30" ht="15.75" customHeight="1">
      <c r="AD7223" s="794"/>
    </row>
    <row r="7224" spans="30:30" ht="15.75" customHeight="1">
      <c r="AD7224" s="794"/>
    </row>
    <row r="7225" spans="30:30" ht="15.75" customHeight="1">
      <c r="AD7225" s="794"/>
    </row>
    <row r="7226" spans="30:30" ht="15.75" customHeight="1">
      <c r="AD7226" s="794"/>
    </row>
    <row r="7227" spans="30:30" ht="15.75" customHeight="1">
      <c r="AD7227" s="794"/>
    </row>
    <row r="7228" spans="30:30" ht="15.75" customHeight="1">
      <c r="AD7228" s="794"/>
    </row>
    <row r="7229" spans="30:30" ht="15.75" customHeight="1">
      <c r="AD7229" s="794"/>
    </row>
    <row r="7230" spans="30:30" ht="15.75" customHeight="1">
      <c r="AD7230" s="794"/>
    </row>
    <row r="7231" spans="30:30" ht="15.75" customHeight="1">
      <c r="AD7231" s="794"/>
    </row>
    <row r="7232" spans="30:30" ht="15.75" customHeight="1">
      <c r="AD7232" s="794"/>
    </row>
    <row r="7233" spans="30:30" ht="15.75" customHeight="1">
      <c r="AD7233" s="794"/>
    </row>
    <row r="7234" spans="30:30" ht="15.75" customHeight="1">
      <c r="AD7234" s="794"/>
    </row>
    <row r="7235" spans="30:30" ht="15.75" customHeight="1">
      <c r="AD7235" s="794"/>
    </row>
    <row r="7236" spans="30:30" ht="15.75" customHeight="1">
      <c r="AD7236" s="794"/>
    </row>
    <row r="7237" spans="30:30" ht="15.75" customHeight="1">
      <c r="AD7237" s="794"/>
    </row>
    <row r="7238" spans="30:30" ht="15.75" customHeight="1">
      <c r="AD7238" s="794"/>
    </row>
    <row r="7239" spans="30:30" ht="15.75" customHeight="1">
      <c r="AD7239" s="794"/>
    </row>
    <row r="7240" spans="30:30" ht="15.75" customHeight="1">
      <c r="AD7240" s="794"/>
    </row>
    <row r="7241" spans="30:30" ht="15.75" customHeight="1">
      <c r="AD7241" s="794"/>
    </row>
    <row r="7242" spans="30:30" ht="15.75" customHeight="1">
      <c r="AD7242" s="794"/>
    </row>
    <row r="7243" spans="30:30" ht="15.75" customHeight="1">
      <c r="AD7243" s="794"/>
    </row>
    <row r="7244" spans="30:30" ht="15.75" customHeight="1">
      <c r="AD7244" s="794"/>
    </row>
    <row r="7245" spans="30:30" ht="15.75" customHeight="1">
      <c r="AD7245" s="794"/>
    </row>
    <row r="7246" spans="30:30" ht="15.75" customHeight="1">
      <c r="AD7246" s="794"/>
    </row>
    <row r="7247" spans="30:30" ht="15.75" customHeight="1">
      <c r="AD7247" s="794"/>
    </row>
    <row r="7248" spans="30:30" ht="15.75" customHeight="1">
      <c r="AD7248" s="794"/>
    </row>
    <row r="7249" spans="30:30" ht="15.75" customHeight="1">
      <c r="AD7249" s="794"/>
    </row>
    <row r="7250" spans="30:30" ht="15.75" customHeight="1">
      <c r="AD7250" s="794"/>
    </row>
    <row r="7251" spans="30:30" ht="15.75" customHeight="1">
      <c r="AD7251" s="794"/>
    </row>
    <row r="7252" spans="30:30" ht="15.75" customHeight="1">
      <c r="AD7252" s="794"/>
    </row>
    <row r="7253" spans="30:30" ht="15.75" customHeight="1">
      <c r="AD7253" s="794"/>
    </row>
    <row r="7254" spans="30:30" ht="15.75" customHeight="1">
      <c r="AD7254" s="794"/>
    </row>
    <row r="7255" spans="30:30" ht="15.75" customHeight="1">
      <c r="AD7255" s="794"/>
    </row>
    <row r="7256" spans="30:30" ht="15.75" customHeight="1">
      <c r="AD7256" s="794"/>
    </row>
    <row r="7257" spans="30:30" ht="15.75" customHeight="1">
      <c r="AD7257" s="794"/>
    </row>
    <row r="7258" spans="30:30" ht="15.75" customHeight="1">
      <c r="AD7258" s="794"/>
    </row>
    <row r="7259" spans="30:30" ht="15.75" customHeight="1">
      <c r="AD7259" s="794"/>
    </row>
    <row r="7260" spans="30:30" ht="15.75" customHeight="1">
      <c r="AD7260" s="794"/>
    </row>
    <row r="7261" spans="30:30" ht="15.75" customHeight="1">
      <c r="AD7261" s="794"/>
    </row>
    <row r="7262" spans="30:30" ht="15.75" customHeight="1">
      <c r="AD7262" s="794"/>
    </row>
    <row r="7263" spans="30:30" ht="15.75" customHeight="1">
      <c r="AD7263" s="794"/>
    </row>
    <row r="7264" spans="30:30" ht="15.75" customHeight="1">
      <c r="AD7264" s="794"/>
    </row>
    <row r="7265" spans="30:30" ht="15.75" customHeight="1">
      <c r="AD7265" s="794"/>
    </row>
    <row r="7266" spans="30:30" ht="15.75" customHeight="1">
      <c r="AD7266" s="794"/>
    </row>
    <row r="7267" spans="30:30" ht="15.75" customHeight="1">
      <c r="AD7267" s="794"/>
    </row>
    <row r="7268" spans="30:30" ht="15.75" customHeight="1">
      <c r="AD7268" s="794"/>
    </row>
    <row r="7269" spans="30:30" ht="15.75" customHeight="1">
      <c r="AD7269" s="794"/>
    </row>
    <row r="7270" spans="30:30" ht="15.75" customHeight="1">
      <c r="AD7270" s="794"/>
    </row>
    <row r="7271" spans="30:30" ht="15.75" customHeight="1">
      <c r="AD7271" s="794"/>
    </row>
    <row r="7272" spans="30:30" ht="15.75" customHeight="1">
      <c r="AD7272" s="794"/>
    </row>
    <row r="7273" spans="30:30" ht="15.75" customHeight="1">
      <c r="AD7273" s="794"/>
    </row>
    <row r="7274" spans="30:30" ht="15.75" customHeight="1">
      <c r="AD7274" s="794"/>
    </row>
    <row r="7275" spans="30:30" ht="15.75" customHeight="1">
      <c r="AD7275" s="794"/>
    </row>
    <row r="7276" spans="30:30" ht="15.75" customHeight="1">
      <c r="AD7276" s="794"/>
    </row>
    <row r="7277" spans="30:30" ht="15.75" customHeight="1">
      <c r="AD7277" s="794"/>
    </row>
    <row r="7278" spans="30:30" ht="15.75" customHeight="1">
      <c r="AD7278" s="794"/>
    </row>
    <row r="7279" spans="30:30" ht="15.75" customHeight="1">
      <c r="AD7279" s="794"/>
    </row>
    <row r="7280" spans="30:30" ht="15.75" customHeight="1">
      <c r="AD7280" s="794"/>
    </row>
    <row r="7281" spans="30:30" ht="15.75" customHeight="1">
      <c r="AD7281" s="794"/>
    </row>
    <row r="7282" spans="30:30" ht="15.75" customHeight="1">
      <c r="AD7282" s="794"/>
    </row>
    <row r="7283" spans="30:30" ht="15.75" customHeight="1">
      <c r="AD7283" s="794"/>
    </row>
    <row r="7284" spans="30:30" ht="15.75" customHeight="1">
      <c r="AD7284" s="794"/>
    </row>
    <row r="7285" spans="30:30" ht="15.75" customHeight="1">
      <c r="AD7285" s="794"/>
    </row>
    <row r="7286" spans="30:30" ht="15.75" customHeight="1">
      <c r="AD7286" s="794"/>
    </row>
    <row r="7287" spans="30:30" ht="15.75" customHeight="1">
      <c r="AD7287" s="794"/>
    </row>
    <row r="7288" spans="30:30" ht="15.75" customHeight="1">
      <c r="AD7288" s="794"/>
    </row>
    <row r="7289" spans="30:30" ht="15.75" customHeight="1">
      <c r="AD7289" s="794"/>
    </row>
    <row r="7290" spans="30:30" ht="15.75" customHeight="1">
      <c r="AD7290" s="794"/>
    </row>
    <row r="7291" spans="30:30" ht="15.75" customHeight="1">
      <c r="AD7291" s="794"/>
    </row>
    <row r="7292" spans="30:30" ht="15.75" customHeight="1">
      <c r="AD7292" s="794"/>
    </row>
    <row r="7293" spans="30:30" ht="15.75" customHeight="1">
      <c r="AD7293" s="794"/>
    </row>
    <row r="7294" spans="30:30" ht="15.75" customHeight="1">
      <c r="AD7294" s="794"/>
    </row>
    <row r="7295" spans="30:30" ht="15.75" customHeight="1">
      <c r="AD7295" s="794"/>
    </row>
    <row r="7296" spans="30:30" ht="15.75" customHeight="1">
      <c r="AD7296" s="794"/>
    </row>
    <row r="7297" spans="30:30" ht="15.75" customHeight="1">
      <c r="AD7297" s="794"/>
    </row>
    <row r="7298" spans="30:30" ht="15.75" customHeight="1">
      <c r="AD7298" s="794"/>
    </row>
    <row r="7299" spans="30:30" ht="15.75" customHeight="1">
      <c r="AD7299" s="794"/>
    </row>
    <row r="7300" spans="30:30" ht="15.75" customHeight="1">
      <c r="AD7300" s="794"/>
    </row>
    <row r="7301" spans="30:30" ht="15.75" customHeight="1">
      <c r="AD7301" s="794"/>
    </row>
    <row r="7302" spans="30:30" ht="15.75" customHeight="1">
      <c r="AD7302" s="794"/>
    </row>
    <row r="7303" spans="30:30" ht="15.75" customHeight="1">
      <c r="AD7303" s="794"/>
    </row>
    <row r="7304" spans="30:30" ht="15.75" customHeight="1">
      <c r="AD7304" s="794"/>
    </row>
    <row r="7305" spans="30:30" ht="15.75" customHeight="1">
      <c r="AD7305" s="794"/>
    </row>
    <row r="7306" spans="30:30" ht="15.75" customHeight="1">
      <c r="AD7306" s="794"/>
    </row>
    <row r="7307" spans="30:30" ht="15.75" customHeight="1">
      <c r="AD7307" s="794"/>
    </row>
    <row r="7308" spans="30:30" ht="15.75" customHeight="1">
      <c r="AD7308" s="794"/>
    </row>
    <row r="7309" spans="30:30" ht="15.75" customHeight="1">
      <c r="AD7309" s="794"/>
    </row>
    <row r="7310" spans="30:30" ht="15.75" customHeight="1">
      <c r="AD7310" s="794"/>
    </row>
    <row r="7311" spans="30:30" ht="15.75" customHeight="1">
      <c r="AD7311" s="794"/>
    </row>
    <row r="7312" spans="30:30" ht="15.75" customHeight="1">
      <c r="AD7312" s="794"/>
    </row>
    <row r="7313" spans="30:30" ht="15.75" customHeight="1">
      <c r="AD7313" s="794"/>
    </row>
    <row r="7314" spans="30:30" ht="15.75" customHeight="1">
      <c r="AD7314" s="794"/>
    </row>
    <row r="7315" spans="30:30" ht="15.75" customHeight="1">
      <c r="AD7315" s="794"/>
    </row>
    <row r="7316" spans="30:30" ht="15.75" customHeight="1">
      <c r="AD7316" s="794"/>
    </row>
    <row r="7317" spans="30:30" ht="15.75" customHeight="1">
      <c r="AD7317" s="794"/>
    </row>
    <row r="7318" spans="30:30" ht="15.75" customHeight="1">
      <c r="AD7318" s="794"/>
    </row>
    <row r="7319" spans="30:30" ht="15.75" customHeight="1">
      <c r="AD7319" s="794"/>
    </row>
    <row r="7320" spans="30:30" ht="15.75" customHeight="1">
      <c r="AD7320" s="794"/>
    </row>
    <row r="7321" spans="30:30" ht="15.75" customHeight="1">
      <c r="AD7321" s="794"/>
    </row>
    <row r="7322" spans="30:30" ht="15.75" customHeight="1">
      <c r="AD7322" s="794"/>
    </row>
    <row r="7323" spans="30:30" ht="15.75" customHeight="1">
      <c r="AD7323" s="794"/>
    </row>
    <row r="7324" spans="30:30" ht="15.75" customHeight="1">
      <c r="AD7324" s="794"/>
    </row>
    <row r="7325" spans="30:30" ht="15.75" customHeight="1">
      <c r="AD7325" s="794"/>
    </row>
    <row r="7326" spans="30:30" ht="15.75" customHeight="1">
      <c r="AD7326" s="794"/>
    </row>
    <row r="7327" spans="30:30" ht="15.75" customHeight="1">
      <c r="AD7327" s="794"/>
    </row>
    <row r="7328" spans="30:30" ht="15.75" customHeight="1">
      <c r="AD7328" s="794"/>
    </row>
    <row r="7329" spans="30:30" ht="15.75" customHeight="1">
      <c r="AD7329" s="794"/>
    </row>
    <row r="7330" spans="30:30" ht="15.75" customHeight="1">
      <c r="AD7330" s="794"/>
    </row>
    <row r="7331" spans="30:30" ht="15.75" customHeight="1">
      <c r="AD7331" s="794"/>
    </row>
    <row r="7332" spans="30:30" ht="15.75" customHeight="1">
      <c r="AD7332" s="794"/>
    </row>
    <row r="7333" spans="30:30" ht="15.75" customHeight="1">
      <c r="AD7333" s="794"/>
    </row>
    <row r="7334" spans="30:30" ht="15.75" customHeight="1">
      <c r="AD7334" s="794"/>
    </row>
    <row r="7335" spans="30:30" ht="15.75" customHeight="1">
      <c r="AD7335" s="794"/>
    </row>
    <row r="7336" spans="30:30" ht="15.75" customHeight="1">
      <c r="AD7336" s="794"/>
    </row>
    <row r="7337" spans="30:30" ht="15.75" customHeight="1">
      <c r="AD7337" s="794"/>
    </row>
    <row r="7338" spans="30:30" ht="15.75" customHeight="1">
      <c r="AD7338" s="794"/>
    </row>
    <row r="7339" spans="30:30" ht="15.75" customHeight="1">
      <c r="AD7339" s="794"/>
    </row>
    <row r="7340" spans="30:30" ht="15.75" customHeight="1">
      <c r="AD7340" s="794"/>
    </row>
    <row r="7341" spans="30:30" ht="15.75" customHeight="1">
      <c r="AD7341" s="794"/>
    </row>
    <row r="7342" spans="30:30" ht="15.75" customHeight="1">
      <c r="AD7342" s="794"/>
    </row>
    <row r="7343" spans="30:30" ht="15.75" customHeight="1">
      <c r="AD7343" s="794"/>
    </row>
    <row r="7344" spans="30:30" ht="15.75" customHeight="1">
      <c r="AD7344" s="794"/>
    </row>
    <row r="7345" spans="30:30" ht="15.75" customHeight="1">
      <c r="AD7345" s="794"/>
    </row>
    <row r="7346" spans="30:30" ht="15.75" customHeight="1">
      <c r="AD7346" s="794"/>
    </row>
    <row r="7347" spans="30:30" ht="15.75" customHeight="1">
      <c r="AD7347" s="794"/>
    </row>
    <row r="7348" spans="30:30" ht="15.75" customHeight="1">
      <c r="AD7348" s="794"/>
    </row>
    <row r="7349" spans="30:30" ht="15.75" customHeight="1">
      <c r="AD7349" s="794"/>
    </row>
    <row r="7350" spans="30:30" ht="15.75" customHeight="1">
      <c r="AD7350" s="794"/>
    </row>
    <row r="7351" spans="30:30" ht="15.75" customHeight="1">
      <c r="AD7351" s="794"/>
    </row>
    <row r="7352" spans="30:30" ht="15.75" customHeight="1">
      <c r="AD7352" s="794"/>
    </row>
    <row r="7353" spans="30:30" ht="15.75" customHeight="1">
      <c r="AD7353" s="794"/>
    </row>
    <row r="7354" spans="30:30" ht="15.75" customHeight="1">
      <c r="AD7354" s="794"/>
    </row>
    <row r="7355" spans="30:30" ht="15.75" customHeight="1">
      <c r="AD7355" s="794"/>
    </row>
    <row r="7356" spans="30:30" ht="15.75" customHeight="1">
      <c r="AD7356" s="794"/>
    </row>
    <row r="7357" spans="30:30" ht="15.75" customHeight="1">
      <c r="AD7357" s="794"/>
    </row>
    <row r="7358" spans="30:30" ht="15.75" customHeight="1">
      <c r="AD7358" s="794"/>
    </row>
    <row r="7359" spans="30:30" ht="15.75" customHeight="1">
      <c r="AD7359" s="794"/>
    </row>
    <row r="7360" spans="30:30" ht="15.75" customHeight="1">
      <c r="AD7360" s="794"/>
    </row>
    <row r="7361" spans="30:30" ht="15.75" customHeight="1">
      <c r="AD7361" s="794"/>
    </row>
    <row r="7362" spans="30:30" ht="15.75" customHeight="1">
      <c r="AD7362" s="794"/>
    </row>
    <row r="7363" spans="30:30" ht="15.75" customHeight="1">
      <c r="AD7363" s="794"/>
    </row>
    <row r="7364" spans="30:30" ht="15.75" customHeight="1">
      <c r="AD7364" s="794"/>
    </row>
    <row r="7365" spans="30:30" ht="15.75" customHeight="1">
      <c r="AD7365" s="794"/>
    </row>
    <row r="7366" spans="30:30" ht="15.75" customHeight="1">
      <c r="AD7366" s="794"/>
    </row>
    <row r="7367" spans="30:30" ht="15.75" customHeight="1">
      <c r="AD7367" s="794"/>
    </row>
    <row r="7368" spans="30:30" ht="15.75" customHeight="1">
      <c r="AD7368" s="794"/>
    </row>
    <row r="7369" spans="30:30" ht="15.75" customHeight="1">
      <c r="AD7369" s="794"/>
    </row>
    <row r="7370" spans="30:30" ht="15.75" customHeight="1">
      <c r="AD7370" s="794"/>
    </row>
    <row r="7371" spans="30:30" ht="15.75" customHeight="1">
      <c r="AD7371" s="794"/>
    </row>
    <row r="7372" spans="30:30" ht="15.75" customHeight="1">
      <c r="AD7372" s="794"/>
    </row>
    <row r="7373" spans="30:30" ht="15.75" customHeight="1">
      <c r="AD7373" s="794"/>
    </row>
    <row r="7374" spans="30:30" ht="15.75" customHeight="1">
      <c r="AD7374" s="794"/>
    </row>
    <row r="7375" spans="30:30" ht="15.75" customHeight="1">
      <c r="AD7375" s="794"/>
    </row>
    <row r="7376" spans="30:30" ht="15.75" customHeight="1">
      <c r="AD7376" s="794"/>
    </row>
    <row r="7377" spans="30:30" ht="15.75" customHeight="1">
      <c r="AD7377" s="794"/>
    </row>
    <row r="7378" spans="30:30" ht="15.75" customHeight="1">
      <c r="AD7378" s="794"/>
    </row>
    <row r="7379" spans="30:30" ht="15.75" customHeight="1">
      <c r="AD7379" s="794"/>
    </row>
    <row r="7380" spans="30:30" ht="15.75" customHeight="1">
      <c r="AD7380" s="794"/>
    </row>
    <row r="7381" spans="30:30" ht="15.75" customHeight="1">
      <c r="AD7381" s="794"/>
    </row>
    <row r="7382" spans="30:30" ht="15.75" customHeight="1">
      <c r="AD7382" s="794"/>
    </row>
    <row r="7383" spans="30:30" ht="15.75" customHeight="1">
      <c r="AD7383" s="794"/>
    </row>
    <row r="7384" spans="30:30" ht="15.75" customHeight="1">
      <c r="AD7384" s="794"/>
    </row>
    <row r="7385" spans="30:30" ht="15.75" customHeight="1">
      <c r="AD7385" s="794"/>
    </row>
    <row r="7386" spans="30:30" ht="15.75" customHeight="1">
      <c r="AD7386" s="794"/>
    </row>
    <row r="7387" spans="30:30" ht="15.75" customHeight="1">
      <c r="AD7387" s="794"/>
    </row>
    <row r="7388" spans="30:30" ht="15.75" customHeight="1">
      <c r="AD7388" s="794"/>
    </row>
    <row r="7389" spans="30:30" ht="15.75" customHeight="1">
      <c r="AD7389" s="794"/>
    </row>
    <row r="7390" spans="30:30" ht="15.75" customHeight="1">
      <c r="AD7390" s="794"/>
    </row>
    <row r="7391" spans="30:30" ht="15.75" customHeight="1">
      <c r="AD7391" s="794"/>
    </row>
    <row r="7392" spans="30:30" ht="15.75" customHeight="1">
      <c r="AD7392" s="794"/>
    </row>
    <row r="7393" spans="30:30" ht="15.75" customHeight="1">
      <c r="AD7393" s="794"/>
    </row>
    <row r="7394" spans="30:30" ht="15.75" customHeight="1">
      <c r="AD7394" s="794"/>
    </row>
    <row r="7395" spans="30:30" ht="15.75" customHeight="1">
      <c r="AD7395" s="794"/>
    </row>
    <row r="7396" spans="30:30" ht="15.75" customHeight="1">
      <c r="AD7396" s="794"/>
    </row>
    <row r="7397" spans="30:30" ht="15.75" customHeight="1">
      <c r="AD7397" s="794"/>
    </row>
    <row r="7398" spans="30:30" ht="15.75" customHeight="1">
      <c r="AD7398" s="794"/>
    </row>
    <row r="7399" spans="30:30" ht="15.75" customHeight="1">
      <c r="AD7399" s="794"/>
    </row>
    <row r="7400" spans="30:30" ht="15.75" customHeight="1">
      <c r="AD7400" s="794"/>
    </row>
    <row r="7401" spans="30:30" ht="15.75" customHeight="1">
      <c r="AD7401" s="794"/>
    </row>
    <row r="7402" spans="30:30" ht="15.75" customHeight="1">
      <c r="AD7402" s="794"/>
    </row>
    <row r="7403" spans="30:30" ht="15.75" customHeight="1">
      <c r="AD7403" s="794"/>
    </row>
    <row r="7404" spans="30:30" ht="15.75" customHeight="1">
      <c r="AD7404" s="794"/>
    </row>
    <row r="7405" spans="30:30" ht="15.75" customHeight="1">
      <c r="AD7405" s="794"/>
    </row>
    <row r="7406" spans="30:30" ht="15.75" customHeight="1">
      <c r="AD7406" s="794"/>
    </row>
    <row r="7407" spans="30:30" ht="15.75" customHeight="1">
      <c r="AD7407" s="794"/>
    </row>
    <row r="7408" spans="30:30" ht="15.75" customHeight="1">
      <c r="AD7408" s="794"/>
    </row>
    <row r="7409" spans="30:30" ht="15.75" customHeight="1">
      <c r="AD7409" s="794"/>
    </row>
    <row r="7410" spans="30:30" ht="15.75" customHeight="1">
      <c r="AD7410" s="794"/>
    </row>
    <row r="7411" spans="30:30" ht="15.75" customHeight="1">
      <c r="AD7411" s="794"/>
    </row>
    <row r="7412" spans="30:30" ht="15.75" customHeight="1">
      <c r="AD7412" s="794"/>
    </row>
    <row r="7413" spans="30:30" ht="15.75" customHeight="1">
      <c r="AD7413" s="794"/>
    </row>
    <row r="7414" spans="30:30" ht="15.75" customHeight="1">
      <c r="AD7414" s="794"/>
    </row>
    <row r="7415" spans="30:30" ht="15.75" customHeight="1">
      <c r="AD7415" s="794"/>
    </row>
    <row r="7416" spans="30:30" ht="15.75" customHeight="1">
      <c r="AD7416" s="794"/>
    </row>
    <row r="7417" spans="30:30" ht="15.75" customHeight="1">
      <c r="AD7417" s="794"/>
    </row>
    <row r="7418" spans="30:30" ht="15.75" customHeight="1">
      <c r="AD7418" s="794"/>
    </row>
    <row r="7419" spans="30:30" ht="15.75" customHeight="1">
      <c r="AD7419" s="794"/>
    </row>
    <row r="7420" spans="30:30" ht="15.75" customHeight="1">
      <c r="AD7420" s="794"/>
    </row>
    <row r="7421" spans="30:30" ht="15.75" customHeight="1">
      <c r="AD7421" s="794"/>
    </row>
    <row r="7422" spans="30:30" ht="15.75" customHeight="1">
      <c r="AD7422" s="794"/>
    </row>
    <row r="7423" spans="30:30" ht="15.75" customHeight="1">
      <c r="AD7423" s="794"/>
    </row>
    <row r="7424" spans="30:30" ht="15.75" customHeight="1">
      <c r="AD7424" s="794"/>
    </row>
    <row r="7425" spans="30:30" ht="15.75" customHeight="1">
      <c r="AD7425" s="794"/>
    </row>
    <row r="7426" spans="30:30" ht="15.75" customHeight="1">
      <c r="AD7426" s="794"/>
    </row>
    <row r="7427" spans="30:30" ht="15.75" customHeight="1">
      <c r="AD7427" s="794"/>
    </row>
    <row r="7428" spans="30:30" ht="15.75" customHeight="1">
      <c r="AD7428" s="794"/>
    </row>
    <row r="7429" spans="30:30" ht="15.75" customHeight="1">
      <c r="AD7429" s="794"/>
    </row>
    <row r="7430" spans="30:30" ht="15.75" customHeight="1">
      <c r="AD7430" s="794"/>
    </row>
    <row r="7431" spans="30:30" ht="15.75" customHeight="1">
      <c r="AD7431" s="794"/>
    </row>
    <row r="7432" spans="30:30" ht="15.75" customHeight="1">
      <c r="AD7432" s="794"/>
    </row>
    <row r="7433" spans="30:30" ht="15.75" customHeight="1">
      <c r="AD7433" s="794"/>
    </row>
    <row r="7434" spans="30:30" ht="15.75" customHeight="1">
      <c r="AD7434" s="794"/>
    </row>
    <row r="7435" spans="30:30" ht="15.75" customHeight="1">
      <c r="AD7435" s="794"/>
    </row>
    <row r="7436" spans="30:30" ht="15.75" customHeight="1">
      <c r="AD7436" s="794"/>
    </row>
    <row r="7437" spans="30:30" ht="15.75" customHeight="1">
      <c r="AD7437" s="794"/>
    </row>
    <row r="7438" spans="30:30" ht="15.75" customHeight="1">
      <c r="AD7438" s="794"/>
    </row>
    <row r="7439" spans="30:30" ht="15.75" customHeight="1">
      <c r="AD7439" s="794"/>
    </row>
    <row r="7440" spans="30:30" ht="15.75" customHeight="1">
      <c r="AD7440" s="794"/>
    </row>
    <row r="7441" spans="30:30" ht="15.75" customHeight="1">
      <c r="AD7441" s="794"/>
    </row>
    <row r="7442" spans="30:30" ht="15.75" customHeight="1">
      <c r="AD7442" s="794"/>
    </row>
    <row r="7443" spans="30:30" ht="15.75" customHeight="1">
      <c r="AD7443" s="794"/>
    </row>
    <row r="7444" spans="30:30" ht="15.75" customHeight="1">
      <c r="AD7444" s="794"/>
    </row>
    <row r="7445" spans="30:30" ht="15.75" customHeight="1">
      <c r="AD7445" s="794"/>
    </row>
    <row r="7446" spans="30:30" ht="15.75" customHeight="1">
      <c r="AD7446" s="794"/>
    </row>
    <row r="7447" spans="30:30" ht="15.75" customHeight="1">
      <c r="AD7447" s="794"/>
    </row>
    <row r="7448" spans="30:30" ht="15.75" customHeight="1">
      <c r="AD7448" s="794"/>
    </row>
    <row r="7449" spans="30:30" ht="15.75" customHeight="1">
      <c r="AD7449" s="794"/>
    </row>
    <row r="7450" spans="30:30" ht="15.75" customHeight="1">
      <c r="AD7450" s="794"/>
    </row>
    <row r="7451" spans="30:30" ht="15.75" customHeight="1">
      <c r="AD7451" s="794"/>
    </row>
    <row r="7452" spans="30:30" ht="15.75" customHeight="1">
      <c r="AD7452" s="794"/>
    </row>
    <row r="7453" spans="30:30" ht="15.75" customHeight="1">
      <c r="AD7453" s="794"/>
    </row>
    <row r="7454" spans="30:30" ht="15.75" customHeight="1">
      <c r="AD7454" s="794"/>
    </row>
    <row r="7455" spans="30:30" ht="15.75" customHeight="1">
      <c r="AD7455" s="794"/>
    </row>
    <row r="7456" spans="30:30" ht="15.75" customHeight="1">
      <c r="AD7456" s="794"/>
    </row>
    <row r="7457" spans="30:30" ht="15.75" customHeight="1">
      <c r="AD7457" s="794"/>
    </row>
    <row r="7458" spans="30:30" ht="15.75" customHeight="1">
      <c r="AD7458" s="794"/>
    </row>
    <row r="7459" spans="30:30" ht="15.75" customHeight="1">
      <c r="AD7459" s="794"/>
    </row>
    <row r="7460" spans="30:30" ht="15.75" customHeight="1">
      <c r="AD7460" s="794"/>
    </row>
    <row r="7461" spans="30:30" ht="15.75" customHeight="1">
      <c r="AD7461" s="794"/>
    </row>
    <row r="7462" spans="30:30" ht="15.75" customHeight="1">
      <c r="AD7462" s="794"/>
    </row>
    <row r="7463" spans="30:30" ht="15.75" customHeight="1">
      <c r="AD7463" s="794"/>
    </row>
    <row r="7464" spans="30:30" ht="15.75" customHeight="1">
      <c r="AD7464" s="794"/>
    </row>
    <row r="7465" spans="30:30" ht="15.75" customHeight="1">
      <c r="AD7465" s="794"/>
    </row>
    <row r="7466" spans="30:30" ht="15.75" customHeight="1">
      <c r="AD7466" s="794"/>
    </row>
    <row r="7467" spans="30:30" ht="15.75" customHeight="1">
      <c r="AD7467" s="794"/>
    </row>
    <row r="7468" spans="30:30" ht="15.75" customHeight="1">
      <c r="AD7468" s="794"/>
    </row>
    <row r="7469" spans="30:30" ht="15.75" customHeight="1">
      <c r="AD7469" s="794"/>
    </row>
    <row r="7470" spans="30:30" ht="15.75" customHeight="1">
      <c r="AD7470" s="794"/>
    </row>
    <row r="7471" spans="30:30" ht="15.75" customHeight="1">
      <c r="AD7471" s="794"/>
    </row>
    <row r="7472" spans="30:30" ht="15.75" customHeight="1">
      <c r="AD7472" s="794"/>
    </row>
    <row r="7473" spans="30:30" ht="15.75" customHeight="1">
      <c r="AD7473" s="794"/>
    </row>
    <row r="7474" spans="30:30" ht="15.75" customHeight="1">
      <c r="AD7474" s="794"/>
    </row>
    <row r="7475" spans="30:30" ht="15.75" customHeight="1">
      <c r="AD7475" s="794"/>
    </row>
    <row r="7476" spans="30:30" ht="15.75" customHeight="1">
      <c r="AD7476" s="794"/>
    </row>
    <row r="7477" spans="30:30" ht="15.75" customHeight="1">
      <c r="AD7477" s="794"/>
    </row>
    <row r="7478" spans="30:30" ht="15.75" customHeight="1">
      <c r="AD7478" s="794"/>
    </row>
    <row r="7479" spans="30:30" ht="15.75" customHeight="1">
      <c r="AD7479" s="794"/>
    </row>
    <row r="7480" spans="30:30" ht="15.75" customHeight="1">
      <c r="AD7480" s="794"/>
    </row>
    <row r="7481" spans="30:30" ht="15.75" customHeight="1">
      <c r="AD7481" s="794"/>
    </row>
    <row r="7482" spans="30:30" ht="15.75" customHeight="1">
      <c r="AD7482" s="794"/>
    </row>
    <row r="7483" spans="30:30" ht="15.75" customHeight="1">
      <c r="AD7483" s="794"/>
    </row>
    <row r="7484" spans="30:30" ht="15.75" customHeight="1">
      <c r="AD7484" s="794"/>
    </row>
    <row r="7485" spans="30:30" ht="15.75" customHeight="1">
      <c r="AD7485" s="794"/>
    </row>
    <row r="7486" spans="30:30" ht="15.75" customHeight="1">
      <c r="AD7486" s="794"/>
    </row>
    <row r="7487" spans="30:30" ht="15.75" customHeight="1">
      <c r="AD7487" s="794"/>
    </row>
    <row r="7488" spans="30:30" ht="15.75" customHeight="1">
      <c r="AD7488" s="794"/>
    </row>
    <row r="7489" spans="30:30" ht="15.75" customHeight="1">
      <c r="AD7489" s="794"/>
    </row>
    <row r="7490" spans="30:30" ht="15.75" customHeight="1">
      <c r="AD7490" s="794"/>
    </row>
    <row r="7491" spans="30:30" ht="15.75" customHeight="1">
      <c r="AD7491" s="794"/>
    </row>
    <row r="7492" spans="30:30" ht="15.75" customHeight="1">
      <c r="AD7492" s="794"/>
    </row>
    <row r="7493" spans="30:30" ht="15.75" customHeight="1">
      <c r="AD7493" s="794"/>
    </row>
    <row r="7494" spans="30:30" ht="15.75" customHeight="1">
      <c r="AD7494" s="794"/>
    </row>
    <row r="7495" spans="30:30" ht="15.75" customHeight="1">
      <c r="AD7495" s="794"/>
    </row>
    <row r="7496" spans="30:30" ht="15.75" customHeight="1">
      <c r="AD7496" s="794"/>
    </row>
    <row r="7497" spans="30:30" ht="15.75" customHeight="1">
      <c r="AD7497" s="794"/>
    </row>
    <row r="7498" spans="30:30" ht="15.75" customHeight="1">
      <c r="AD7498" s="794"/>
    </row>
    <row r="7499" spans="30:30" ht="15.75" customHeight="1">
      <c r="AD7499" s="794"/>
    </row>
    <row r="7500" spans="30:30" ht="15.75" customHeight="1">
      <c r="AD7500" s="794"/>
    </row>
    <row r="7501" spans="30:30" ht="15.75" customHeight="1">
      <c r="AD7501" s="794"/>
    </row>
    <row r="7502" spans="30:30" ht="15.75" customHeight="1">
      <c r="AD7502" s="794"/>
    </row>
    <row r="7503" spans="30:30" ht="15.75" customHeight="1">
      <c r="AD7503" s="794"/>
    </row>
    <row r="7504" spans="30:30" ht="15.75" customHeight="1">
      <c r="AD7504" s="794"/>
    </row>
    <row r="7505" spans="30:30" ht="15.75" customHeight="1">
      <c r="AD7505" s="794"/>
    </row>
    <row r="7506" spans="30:30" ht="15.75" customHeight="1">
      <c r="AD7506" s="794"/>
    </row>
    <row r="7507" spans="30:30" ht="15.75" customHeight="1">
      <c r="AD7507" s="794"/>
    </row>
    <row r="7508" spans="30:30" ht="15.75" customHeight="1">
      <c r="AD7508" s="794"/>
    </row>
    <row r="7509" spans="30:30" ht="15.75" customHeight="1">
      <c r="AD7509" s="794"/>
    </row>
    <row r="7510" spans="30:30" ht="15.75" customHeight="1">
      <c r="AD7510" s="794"/>
    </row>
    <row r="7511" spans="30:30" ht="15.75" customHeight="1">
      <c r="AD7511" s="794"/>
    </row>
    <row r="7512" spans="30:30" ht="15.75" customHeight="1">
      <c r="AD7512" s="794"/>
    </row>
    <row r="7513" spans="30:30" ht="15.75" customHeight="1">
      <c r="AD7513" s="794"/>
    </row>
    <row r="7514" spans="30:30" ht="15.75" customHeight="1">
      <c r="AD7514" s="794"/>
    </row>
    <row r="7515" spans="30:30" ht="15.75" customHeight="1">
      <c r="AD7515" s="794"/>
    </row>
    <row r="7516" spans="30:30" ht="15.75" customHeight="1">
      <c r="AD7516" s="794"/>
    </row>
    <row r="7517" spans="30:30" ht="15.75" customHeight="1">
      <c r="AD7517" s="794"/>
    </row>
    <row r="7518" spans="30:30" ht="15.75" customHeight="1">
      <c r="AD7518" s="794"/>
    </row>
    <row r="7519" spans="30:30" ht="15.75" customHeight="1">
      <c r="AD7519" s="794"/>
    </row>
    <row r="7520" spans="30:30" ht="15.75" customHeight="1">
      <c r="AD7520" s="794"/>
    </row>
    <row r="7521" spans="30:30" ht="15.75" customHeight="1">
      <c r="AD7521" s="794"/>
    </row>
    <row r="7522" spans="30:30" ht="15.75" customHeight="1">
      <c r="AD7522" s="794"/>
    </row>
    <row r="7523" spans="30:30" ht="15.75" customHeight="1">
      <c r="AD7523" s="794"/>
    </row>
    <row r="7524" spans="30:30" ht="15.75" customHeight="1">
      <c r="AD7524" s="794"/>
    </row>
    <row r="7525" spans="30:30" ht="15.75" customHeight="1">
      <c r="AD7525" s="794"/>
    </row>
    <row r="7526" spans="30:30" ht="15.75" customHeight="1">
      <c r="AD7526" s="794"/>
    </row>
    <row r="7527" spans="30:30" ht="15.75" customHeight="1">
      <c r="AD7527" s="794"/>
    </row>
    <row r="7528" spans="30:30" ht="15.75" customHeight="1">
      <c r="AD7528" s="794"/>
    </row>
    <row r="7529" spans="30:30" ht="15.75" customHeight="1">
      <c r="AD7529" s="794"/>
    </row>
    <row r="7530" spans="30:30" ht="15.75" customHeight="1">
      <c r="AD7530" s="794"/>
    </row>
    <row r="7531" spans="30:30" ht="15.75" customHeight="1">
      <c r="AD7531" s="794"/>
    </row>
    <row r="7532" spans="30:30" ht="15.75" customHeight="1">
      <c r="AD7532" s="794"/>
    </row>
    <row r="7533" spans="30:30" ht="15.75" customHeight="1">
      <c r="AD7533" s="794"/>
    </row>
    <row r="7534" spans="30:30" ht="15.75" customHeight="1">
      <c r="AD7534" s="794"/>
    </row>
    <row r="7535" spans="30:30" ht="15.75" customHeight="1">
      <c r="AD7535" s="794"/>
    </row>
    <row r="7536" spans="30:30" ht="15.75" customHeight="1">
      <c r="AD7536" s="794"/>
    </row>
    <row r="7537" spans="30:30" ht="15.75" customHeight="1">
      <c r="AD7537" s="794"/>
    </row>
    <row r="7538" spans="30:30" ht="15.75" customHeight="1">
      <c r="AD7538" s="794"/>
    </row>
    <row r="7539" spans="30:30" ht="15.75" customHeight="1">
      <c r="AD7539" s="794"/>
    </row>
    <row r="7540" spans="30:30" ht="15.75" customHeight="1">
      <c r="AD7540" s="794"/>
    </row>
    <row r="7541" spans="30:30" ht="15.75" customHeight="1">
      <c r="AD7541" s="794"/>
    </row>
    <row r="7542" spans="30:30" ht="15.75" customHeight="1">
      <c r="AD7542" s="794"/>
    </row>
    <row r="7543" spans="30:30" ht="15.75" customHeight="1">
      <c r="AD7543" s="794"/>
    </row>
    <row r="7544" spans="30:30" ht="15.75" customHeight="1">
      <c r="AD7544" s="794"/>
    </row>
    <row r="7545" spans="30:30" ht="15.75" customHeight="1">
      <c r="AD7545" s="794"/>
    </row>
    <row r="7546" spans="30:30" ht="15.75" customHeight="1">
      <c r="AD7546" s="794"/>
    </row>
    <row r="7547" spans="30:30" ht="15.75" customHeight="1">
      <c r="AD7547" s="794"/>
    </row>
    <row r="7548" spans="30:30" ht="15.75" customHeight="1">
      <c r="AD7548" s="794"/>
    </row>
    <row r="7549" spans="30:30" ht="15.75" customHeight="1">
      <c r="AD7549" s="794"/>
    </row>
    <row r="7550" spans="30:30" ht="15.75" customHeight="1">
      <c r="AD7550" s="794"/>
    </row>
    <row r="7551" spans="30:30" ht="15.75" customHeight="1">
      <c r="AD7551" s="794"/>
    </row>
    <row r="7552" spans="30:30" ht="15.75" customHeight="1">
      <c r="AD7552" s="794"/>
    </row>
    <row r="7553" spans="30:30" ht="15.75" customHeight="1">
      <c r="AD7553" s="794"/>
    </row>
    <row r="7554" spans="30:30" ht="15.75" customHeight="1">
      <c r="AD7554" s="794"/>
    </row>
    <row r="7555" spans="30:30" ht="15.75" customHeight="1">
      <c r="AD7555" s="794"/>
    </row>
    <row r="7556" spans="30:30" ht="15.75" customHeight="1">
      <c r="AD7556" s="794"/>
    </row>
    <row r="7557" spans="30:30" ht="15.75" customHeight="1">
      <c r="AD7557" s="794"/>
    </row>
    <row r="7558" spans="30:30" ht="15.75" customHeight="1">
      <c r="AD7558" s="794"/>
    </row>
    <row r="7559" spans="30:30" ht="15.75" customHeight="1">
      <c r="AD7559" s="794"/>
    </row>
    <row r="7560" spans="30:30" ht="15.75" customHeight="1">
      <c r="AD7560" s="794"/>
    </row>
    <row r="7561" spans="30:30" ht="15.75" customHeight="1">
      <c r="AD7561" s="794"/>
    </row>
    <row r="7562" spans="30:30" ht="15.75" customHeight="1">
      <c r="AD7562" s="794"/>
    </row>
    <row r="7563" spans="30:30" ht="15.75" customHeight="1">
      <c r="AD7563" s="794"/>
    </row>
    <row r="7564" spans="30:30" ht="15.75" customHeight="1">
      <c r="AD7564" s="794"/>
    </row>
    <row r="7565" spans="30:30" ht="15.75" customHeight="1">
      <c r="AD7565" s="794"/>
    </row>
    <row r="7566" spans="30:30" ht="15.75" customHeight="1">
      <c r="AD7566" s="794"/>
    </row>
    <row r="7567" spans="30:30" ht="15.75" customHeight="1">
      <c r="AD7567" s="794"/>
    </row>
    <row r="7568" spans="30:30" ht="15.75" customHeight="1">
      <c r="AD7568" s="794"/>
    </row>
    <row r="7569" spans="30:30" ht="15.75" customHeight="1">
      <c r="AD7569" s="794"/>
    </row>
    <row r="7570" spans="30:30" ht="15.75" customHeight="1">
      <c r="AD7570" s="794"/>
    </row>
    <row r="7571" spans="30:30" ht="15.75" customHeight="1">
      <c r="AD7571" s="794"/>
    </row>
    <row r="7572" spans="30:30" ht="15.75" customHeight="1">
      <c r="AD7572" s="794"/>
    </row>
    <row r="7573" spans="30:30" ht="15.75" customHeight="1">
      <c r="AD7573" s="794"/>
    </row>
    <row r="7574" spans="30:30" ht="15.75" customHeight="1">
      <c r="AD7574" s="794"/>
    </row>
    <row r="7575" spans="30:30" ht="15.75" customHeight="1">
      <c r="AD7575" s="794"/>
    </row>
    <row r="7576" spans="30:30" ht="15.75" customHeight="1">
      <c r="AD7576" s="794"/>
    </row>
    <row r="7577" spans="30:30" ht="15.75" customHeight="1">
      <c r="AD7577" s="794"/>
    </row>
    <row r="7578" spans="30:30" ht="15.75" customHeight="1">
      <c r="AD7578" s="794"/>
    </row>
    <row r="7579" spans="30:30" ht="15.75" customHeight="1">
      <c r="AD7579" s="794"/>
    </row>
    <row r="7580" spans="30:30" ht="15.75" customHeight="1">
      <c r="AD7580" s="794"/>
    </row>
    <row r="7581" spans="30:30" ht="15.75" customHeight="1">
      <c r="AD7581" s="794"/>
    </row>
    <row r="7582" spans="30:30" ht="15.75" customHeight="1">
      <c r="AD7582" s="794"/>
    </row>
    <row r="7583" spans="30:30" ht="15.75" customHeight="1">
      <c r="AD7583" s="794"/>
    </row>
    <row r="7584" spans="30:30" ht="15.75" customHeight="1">
      <c r="AD7584" s="794"/>
    </row>
    <row r="7585" spans="30:30" ht="15.75" customHeight="1">
      <c r="AD7585" s="794"/>
    </row>
    <row r="7586" spans="30:30" ht="15.75" customHeight="1">
      <c r="AD7586" s="794"/>
    </row>
    <row r="7587" spans="30:30" ht="15.75" customHeight="1">
      <c r="AD7587" s="794"/>
    </row>
    <row r="7588" spans="30:30" ht="15.75" customHeight="1">
      <c r="AD7588" s="794"/>
    </row>
    <row r="7589" spans="30:30" ht="15.75" customHeight="1">
      <c r="AD7589" s="794"/>
    </row>
    <row r="7590" spans="30:30" ht="15.75" customHeight="1">
      <c r="AD7590" s="794"/>
    </row>
    <row r="7591" spans="30:30" ht="15.75" customHeight="1">
      <c r="AD7591" s="794"/>
    </row>
    <row r="7592" spans="30:30" ht="15.75" customHeight="1">
      <c r="AD7592" s="794"/>
    </row>
    <row r="7593" spans="30:30" ht="15.75" customHeight="1">
      <c r="AD7593" s="794"/>
    </row>
    <row r="7594" spans="30:30" ht="15.75" customHeight="1">
      <c r="AD7594" s="794"/>
    </row>
    <row r="7595" spans="30:30" ht="15.75" customHeight="1">
      <c r="AD7595" s="794"/>
    </row>
    <row r="7596" spans="30:30" ht="15.75" customHeight="1">
      <c r="AD7596" s="794"/>
    </row>
    <row r="7597" spans="30:30" ht="15.75" customHeight="1">
      <c r="AD7597" s="794"/>
    </row>
    <row r="7598" spans="30:30" ht="15.75" customHeight="1">
      <c r="AD7598" s="794"/>
    </row>
    <row r="7599" spans="30:30" ht="15.75" customHeight="1">
      <c r="AD7599" s="794"/>
    </row>
    <row r="7600" spans="30:30" ht="15.75" customHeight="1">
      <c r="AD7600" s="794"/>
    </row>
    <row r="7601" spans="30:30" ht="15.75" customHeight="1">
      <c r="AD7601" s="794"/>
    </row>
    <row r="7602" spans="30:30" ht="15.75" customHeight="1">
      <c r="AD7602" s="794"/>
    </row>
    <row r="7603" spans="30:30" ht="15.75" customHeight="1">
      <c r="AD7603" s="794"/>
    </row>
    <row r="7604" spans="30:30" ht="15.75" customHeight="1">
      <c r="AD7604" s="794"/>
    </row>
    <row r="7605" spans="30:30" ht="15.75" customHeight="1">
      <c r="AD7605" s="794"/>
    </row>
    <row r="7606" spans="30:30" ht="15.75" customHeight="1">
      <c r="AD7606" s="794"/>
    </row>
    <row r="7607" spans="30:30" ht="15.75" customHeight="1">
      <c r="AD7607" s="794"/>
    </row>
    <row r="7608" spans="30:30" ht="15.75" customHeight="1">
      <c r="AD7608" s="794"/>
    </row>
    <row r="7609" spans="30:30" ht="15.75" customHeight="1">
      <c r="AD7609" s="794"/>
    </row>
    <row r="7610" spans="30:30" ht="15.75" customHeight="1">
      <c r="AD7610" s="794"/>
    </row>
    <row r="7611" spans="30:30" ht="15.75" customHeight="1">
      <c r="AD7611" s="794"/>
    </row>
    <row r="7612" spans="30:30" ht="15.75" customHeight="1">
      <c r="AD7612" s="794"/>
    </row>
    <row r="7613" spans="30:30" ht="15.75" customHeight="1">
      <c r="AD7613" s="794"/>
    </row>
    <row r="7614" spans="30:30" ht="15.75" customHeight="1">
      <c r="AD7614" s="794"/>
    </row>
    <row r="7615" spans="30:30" ht="15.75" customHeight="1">
      <c r="AD7615" s="794"/>
    </row>
    <row r="7616" spans="30:30" ht="15.75" customHeight="1">
      <c r="AD7616" s="794"/>
    </row>
    <row r="7617" spans="30:30" ht="15.75" customHeight="1">
      <c r="AD7617" s="794"/>
    </row>
    <row r="7618" spans="30:30" ht="15.75" customHeight="1">
      <c r="AD7618" s="794"/>
    </row>
    <row r="7619" spans="30:30" ht="15.75" customHeight="1">
      <c r="AD7619" s="794"/>
    </row>
    <row r="7620" spans="30:30" ht="15.75" customHeight="1">
      <c r="AD7620" s="794"/>
    </row>
    <row r="7621" spans="30:30" ht="15.75" customHeight="1">
      <c r="AD7621" s="794"/>
    </row>
    <row r="7622" spans="30:30" ht="15.75" customHeight="1">
      <c r="AD7622" s="794"/>
    </row>
    <row r="7623" spans="30:30" ht="15.75" customHeight="1">
      <c r="AD7623" s="794"/>
    </row>
    <row r="7624" spans="30:30" ht="15.75" customHeight="1">
      <c r="AD7624" s="794"/>
    </row>
    <row r="7625" spans="30:30" ht="15.75" customHeight="1">
      <c r="AD7625" s="794"/>
    </row>
    <row r="7626" spans="30:30" ht="15.75" customHeight="1">
      <c r="AD7626" s="794"/>
    </row>
    <row r="7627" spans="30:30" ht="15.75" customHeight="1">
      <c r="AD7627" s="794"/>
    </row>
    <row r="7628" spans="30:30" ht="15.75" customHeight="1">
      <c r="AD7628" s="794"/>
    </row>
    <row r="7629" spans="30:30" ht="15.75" customHeight="1">
      <c r="AD7629" s="794"/>
    </row>
    <row r="7630" spans="30:30" ht="15.75" customHeight="1">
      <c r="AD7630" s="794"/>
    </row>
    <row r="7631" spans="30:30" ht="15.75" customHeight="1">
      <c r="AD7631" s="794"/>
    </row>
    <row r="7632" spans="30:30" ht="15.75" customHeight="1">
      <c r="AD7632" s="794"/>
    </row>
    <row r="7633" spans="30:30" ht="15.75" customHeight="1">
      <c r="AD7633" s="794"/>
    </row>
    <row r="7634" spans="30:30" ht="15.75" customHeight="1">
      <c r="AD7634" s="794"/>
    </row>
    <row r="7635" spans="30:30" ht="15.75" customHeight="1">
      <c r="AD7635" s="794"/>
    </row>
    <row r="7636" spans="30:30" ht="15.75" customHeight="1">
      <c r="AD7636" s="794"/>
    </row>
    <row r="7637" spans="30:30" ht="15.75" customHeight="1">
      <c r="AD7637" s="794"/>
    </row>
    <row r="7638" spans="30:30" ht="15.75" customHeight="1">
      <c r="AD7638" s="794"/>
    </row>
    <row r="7639" spans="30:30" ht="15.75" customHeight="1">
      <c r="AD7639" s="794"/>
    </row>
    <row r="7640" spans="30:30" ht="15.75" customHeight="1">
      <c r="AD7640" s="794"/>
    </row>
    <row r="7641" spans="30:30" ht="15.75" customHeight="1">
      <c r="AD7641" s="794"/>
    </row>
    <row r="7642" spans="30:30" ht="15.75" customHeight="1">
      <c r="AD7642" s="794"/>
    </row>
    <row r="7643" spans="30:30" ht="15.75" customHeight="1">
      <c r="AD7643" s="794"/>
    </row>
    <row r="7644" spans="30:30" ht="15.75" customHeight="1">
      <c r="AD7644" s="794"/>
    </row>
    <row r="7645" spans="30:30" ht="15.75" customHeight="1">
      <c r="AD7645" s="794"/>
    </row>
    <row r="7646" spans="30:30" ht="15.75" customHeight="1">
      <c r="AD7646" s="794"/>
    </row>
    <row r="7647" spans="30:30" ht="15.75" customHeight="1">
      <c r="AD7647" s="794"/>
    </row>
    <row r="7648" spans="30:30" ht="15.75" customHeight="1">
      <c r="AD7648" s="794"/>
    </row>
    <row r="7649" spans="30:30" ht="15.75" customHeight="1">
      <c r="AD7649" s="794"/>
    </row>
    <row r="7650" spans="30:30" ht="15.75" customHeight="1">
      <c r="AD7650" s="794"/>
    </row>
    <row r="7651" spans="30:30" ht="15.75" customHeight="1">
      <c r="AD7651" s="794"/>
    </row>
    <row r="7652" spans="30:30" ht="15.75" customHeight="1">
      <c r="AD7652" s="794"/>
    </row>
    <row r="7653" spans="30:30" ht="15.75" customHeight="1">
      <c r="AD7653" s="794"/>
    </row>
    <row r="7654" spans="30:30" ht="15.75" customHeight="1">
      <c r="AD7654" s="794"/>
    </row>
    <row r="7655" spans="30:30" ht="15.75" customHeight="1">
      <c r="AD7655" s="794"/>
    </row>
    <row r="7656" spans="30:30" ht="15.75" customHeight="1">
      <c r="AD7656" s="794"/>
    </row>
    <row r="7657" spans="30:30" ht="15.75" customHeight="1">
      <c r="AD7657" s="794"/>
    </row>
    <row r="7658" spans="30:30" ht="15.75" customHeight="1">
      <c r="AD7658" s="794"/>
    </row>
    <row r="7659" spans="30:30" ht="15.75" customHeight="1">
      <c r="AD7659" s="794"/>
    </row>
    <row r="7660" spans="30:30" ht="15.75" customHeight="1">
      <c r="AD7660" s="794"/>
    </row>
    <row r="7661" spans="30:30" ht="15.75" customHeight="1">
      <c r="AD7661" s="794"/>
    </row>
    <row r="7662" spans="30:30" ht="15.75" customHeight="1">
      <c r="AD7662" s="794"/>
    </row>
    <row r="7663" spans="30:30" ht="15.75" customHeight="1">
      <c r="AD7663" s="794"/>
    </row>
    <row r="7664" spans="30:30" ht="15.75" customHeight="1">
      <c r="AD7664" s="794"/>
    </row>
    <row r="7665" spans="30:30" ht="15.75" customHeight="1">
      <c r="AD7665" s="794"/>
    </row>
    <row r="7666" spans="30:30" ht="15.75" customHeight="1">
      <c r="AD7666" s="794"/>
    </row>
    <row r="7667" spans="30:30" ht="15.75" customHeight="1">
      <c r="AD7667" s="794"/>
    </row>
    <row r="7668" spans="30:30" ht="15.75" customHeight="1">
      <c r="AD7668" s="794"/>
    </row>
    <row r="7669" spans="30:30" ht="15.75" customHeight="1">
      <c r="AD7669" s="794"/>
    </row>
    <row r="7670" spans="30:30" ht="15.75" customHeight="1">
      <c r="AD7670" s="794"/>
    </row>
    <row r="7671" spans="30:30" ht="15.75" customHeight="1">
      <c r="AD7671" s="794"/>
    </row>
    <row r="7672" spans="30:30" ht="15.75" customHeight="1">
      <c r="AD7672" s="794"/>
    </row>
    <row r="7673" spans="30:30" ht="15.75" customHeight="1">
      <c r="AD7673" s="794"/>
    </row>
    <row r="7674" spans="30:30" ht="15.75" customHeight="1">
      <c r="AD7674" s="794"/>
    </row>
    <row r="7675" spans="30:30" ht="15.75" customHeight="1">
      <c r="AD7675" s="794"/>
    </row>
    <row r="7676" spans="30:30" ht="15.75" customHeight="1">
      <c r="AD7676" s="794"/>
    </row>
    <row r="7677" spans="30:30" ht="15.75" customHeight="1">
      <c r="AD7677" s="794"/>
    </row>
    <row r="7678" spans="30:30" ht="15.75" customHeight="1">
      <c r="AD7678" s="794"/>
    </row>
    <row r="7679" spans="30:30" ht="15.75" customHeight="1">
      <c r="AD7679" s="794"/>
    </row>
    <row r="7680" spans="30:30" ht="15.75" customHeight="1">
      <c r="AD7680" s="794"/>
    </row>
    <row r="7681" spans="30:30" ht="15.75" customHeight="1">
      <c r="AD7681" s="794"/>
    </row>
    <row r="7682" spans="30:30" ht="15.75" customHeight="1">
      <c r="AD7682" s="794"/>
    </row>
    <row r="7683" spans="30:30" ht="15.75" customHeight="1">
      <c r="AD7683" s="794"/>
    </row>
    <row r="7684" spans="30:30" ht="15.75" customHeight="1">
      <c r="AD7684" s="794"/>
    </row>
    <row r="7685" spans="30:30" ht="15.75" customHeight="1">
      <c r="AD7685" s="794"/>
    </row>
    <row r="7686" spans="30:30" ht="15.75" customHeight="1">
      <c r="AD7686" s="794"/>
    </row>
    <row r="7687" spans="30:30" ht="15.75" customHeight="1">
      <c r="AD7687" s="794"/>
    </row>
    <row r="7688" spans="30:30" ht="15.75" customHeight="1">
      <c r="AD7688" s="794"/>
    </row>
    <row r="7689" spans="30:30" ht="15.75" customHeight="1">
      <c r="AD7689" s="794"/>
    </row>
    <row r="7690" spans="30:30" ht="15.75" customHeight="1">
      <c r="AD7690" s="794"/>
    </row>
    <row r="7691" spans="30:30" ht="15.75" customHeight="1">
      <c r="AD7691" s="794"/>
    </row>
    <row r="7692" spans="30:30" ht="15.75" customHeight="1">
      <c r="AD7692" s="794"/>
    </row>
    <row r="7693" spans="30:30" ht="15.75" customHeight="1">
      <c r="AD7693" s="794"/>
    </row>
    <row r="7694" spans="30:30" ht="15.75" customHeight="1">
      <c r="AD7694" s="794"/>
    </row>
    <row r="7695" spans="30:30" ht="15.75" customHeight="1">
      <c r="AD7695" s="794"/>
    </row>
    <row r="7696" spans="30:30" ht="15.75" customHeight="1">
      <c r="AD7696" s="794"/>
    </row>
    <row r="7697" spans="30:30" ht="15.75" customHeight="1">
      <c r="AD7697" s="794"/>
    </row>
    <row r="7698" spans="30:30" ht="15.75" customHeight="1">
      <c r="AD7698" s="794"/>
    </row>
    <row r="7699" spans="30:30" ht="15.75" customHeight="1">
      <c r="AD7699" s="794"/>
    </row>
    <row r="7700" spans="30:30" ht="15.75" customHeight="1">
      <c r="AD7700" s="794"/>
    </row>
    <row r="7701" spans="30:30" ht="15.75" customHeight="1">
      <c r="AD7701" s="794"/>
    </row>
    <row r="7702" spans="30:30" ht="15.75" customHeight="1">
      <c r="AD7702" s="794"/>
    </row>
    <row r="7703" spans="30:30" ht="15.75" customHeight="1">
      <c r="AD7703" s="794"/>
    </row>
    <row r="7704" spans="30:30" ht="15.75" customHeight="1">
      <c r="AD7704" s="794"/>
    </row>
    <row r="7705" spans="30:30" ht="15.75" customHeight="1">
      <c r="AD7705" s="794"/>
    </row>
    <row r="7706" spans="30:30" ht="15.75" customHeight="1">
      <c r="AD7706" s="794"/>
    </row>
    <row r="7707" spans="30:30" ht="15.75" customHeight="1">
      <c r="AD7707" s="794"/>
    </row>
    <row r="7708" spans="30:30" ht="15.75" customHeight="1">
      <c r="AD7708" s="794"/>
    </row>
    <row r="7709" spans="30:30" ht="15.75" customHeight="1">
      <c r="AD7709" s="794"/>
    </row>
    <row r="7710" spans="30:30" ht="15.75" customHeight="1">
      <c r="AD7710" s="794"/>
    </row>
    <row r="7711" spans="30:30" ht="15.75" customHeight="1">
      <c r="AD7711" s="794"/>
    </row>
    <row r="7712" spans="30:30" ht="15.75" customHeight="1">
      <c r="AD7712" s="794"/>
    </row>
    <row r="7713" spans="30:30" ht="15.75" customHeight="1">
      <c r="AD7713" s="794"/>
    </row>
    <row r="7714" spans="30:30" ht="15.75" customHeight="1">
      <c r="AD7714" s="794"/>
    </row>
    <row r="7715" spans="30:30" ht="15.75" customHeight="1">
      <c r="AD7715" s="794"/>
    </row>
    <row r="7716" spans="30:30" ht="15.75" customHeight="1">
      <c r="AD7716" s="794"/>
    </row>
    <row r="7717" spans="30:30" ht="15.75" customHeight="1">
      <c r="AD7717" s="794"/>
    </row>
    <row r="7718" spans="30:30" ht="15.75" customHeight="1">
      <c r="AD7718" s="794"/>
    </row>
    <row r="7719" spans="30:30" ht="15.75" customHeight="1">
      <c r="AD7719" s="794"/>
    </row>
    <row r="7720" spans="30:30" ht="15.75" customHeight="1">
      <c r="AD7720" s="794"/>
    </row>
    <row r="7721" spans="30:30" ht="15.75" customHeight="1">
      <c r="AD7721" s="794"/>
    </row>
    <row r="7722" spans="30:30" ht="15.75" customHeight="1">
      <c r="AD7722" s="794"/>
    </row>
    <row r="7723" spans="30:30" ht="15.75" customHeight="1">
      <c r="AD7723" s="794"/>
    </row>
    <row r="7724" spans="30:30" ht="15.75" customHeight="1">
      <c r="AD7724" s="794"/>
    </row>
    <row r="7725" spans="30:30" ht="15.75" customHeight="1">
      <c r="AD7725" s="794"/>
    </row>
    <row r="7726" spans="30:30" ht="15.75" customHeight="1">
      <c r="AD7726" s="794"/>
    </row>
    <row r="7727" spans="30:30" ht="15.75" customHeight="1">
      <c r="AD7727" s="794"/>
    </row>
    <row r="7728" spans="30:30" ht="15.75" customHeight="1">
      <c r="AD7728" s="794"/>
    </row>
    <row r="7729" spans="30:30" ht="15.75" customHeight="1">
      <c r="AD7729" s="794"/>
    </row>
    <row r="7730" spans="30:30" ht="15.75" customHeight="1">
      <c r="AD7730" s="794"/>
    </row>
    <row r="7731" spans="30:30" ht="15.75" customHeight="1">
      <c r="AD7731" s="794"/>
    </row>
    <row r="7732" spans="30:30" ht="15.75" customHeight="1">
      <c r="AD7732" s="794"/>
    </row>
    <row r="7733" spans="30:30" ht="15.75" customHeight="1">
      <c r="AD7733" s="794"/>
    </row>
    <row r="7734" spans="30:30" ht="15.75" customHeight="1">
      <c r="AD7734" s="794"/>
    </row>
    <row r="7735" spans="30:30" ht="15.75" customHeight="1">
      <c r="AD7735" s="794"/>
    </row>
    <row r="7736" spans="30:30" ht="15.75" customHeight="1">
      <c r="AD7736" s="794"/>
    </row>
    <row r="7737" spans="30:30" ht="15.75" customHeight="1">
      <c r="AD7737" s="794"/>
    </row>
    <row r="7738" spans="30:30" ht="15.75" customHeight="1">
      <c r="AD7738" s="794"/>
    </row>
    <row r="7739" spans="30:30" ht="15.75" customHeight="1">
      <c r="AD7739" s="794"/>
    </row>
    <row r="7740" spans="30:30" ht="15.75" customHeight="1">
      <c r="AD7740" s="794"/>
    </row>
    <row r="7741" spans="30:30" ht="15.75" customHeight="1">
      <c r="AD7741" s="794"/>
    </row>
    <row r="7742" spans="30:30" ht="15.75" customHeight="1">
      <c r="AD7742" s="794"/>
    </row>
    <row r="7743" spans="30:30" ht="15.75" customHeight="1">
      <c r="AD7743" s="794"/>
    </row>
    <row r="7744" spans="30:30" ht="15.75" customHeight="1">
      <c r="AD7744" s="794"/>
    </row>
    <row r="7745" spans="30:30" ht="15.75" customHeight="1">
      <c r="AD7745" s="794"/>
    </row>
    <row r="7746" spans="30:30" ht="15.75" customHeight="1">
      <c r="AD7746" s="794"/>
    </row>
    <row r="7747" spans="30:30" ht="15.75" customHeight="1">
      <c r="AD7747" s="794"/>
    </row>
    <row r="7748" spans="30:30" ht="15.75" customHeight="1">
      <c r="AD7748" s="794"/>
    </row>
    <row r="7749" spans="30:30" ht="15.75" customHeight="1">
      <c r="AD7749" s="794"/>
    </row>
    <row r="7750" spans="30:30" ht="15.75" customHeight="1">
      <c r="AD7750" s="794"/>
    </row>
    <row r="7751" spans="30:30" ht="15.75" customHeight="1">
      <c r="AD7751" s="794"/>
    </row>
    <row r="7752" spans="30:30" ht="15.75" customHeight="1">
      <c r="AD7752" s="794"/>
    </row>
    <row r="7753" spans="30:30" ht="15.75" customHeight="1">
      <c r="AD7753" s="794"/>
    </row>
    <row r="7754" spans="30:30" ht="15.75" customHeight="1">
      <c r="AD7754" s="794"/>
    </row>
    <row r="7755" spans="30:30" ht="15.75" customHeight="1">
      <c r="AD7755" s="794"/>
    </row>
    <row r="7756" spans="30:30" ht="15.75" customHeight="1">
      <c r="AD7756" s="794"/>
    </row>
    <row r="7757" spans="30:30" ht="15.75" customHeight="1">
      <c r="AD7757" s="794"/>
    </row>
    <row r="7758" spans="30:30" ht="15.75" customHeight="1">
      <c r="AD7758" s="794"/>
    </row>
    <row r="7759" spans="30:30" ht="15.75" customHeight="1">
      <c r="AD7759" s="794"/>
    </row>
    <row r="7760" spans="30:30" ht="15.75" customHeight="1">
      <c r="AD7760" s="794"/>
    </row>
    <row r="7761" spans="30:30" ht="15.75" customHeight="1">
      <c r="AD7761" s="794"/>
    </row>
    <row r="7762" spans="30:30" ht="15.75" customHeight="1">
      <c r="AD7762" s="794"/>
    </row>
    <row r="7763" spans="30:30" ht="15.75" customHeight="1">
      <c r="AD7763" s="794"/>
    </row>
    <row r="7764" spans="30:30" ht="15.75" customHeight="1">
      <c r="AD7764" s="794"/>
    </row>
    <row r="7765" spans="30:30" ht="15.75" customHeight="1">
      <c r="AD7765" s="794"/>
    </row>
    <row r="7766" spans="30:30" ht="15.75" customHeight="1">
      <c r="AD7766" s="794"/>
    </row>
    <row r="7767" spans="30:30" ht="15.75" customHeight="1">
      <c r="AD7767" s="794"/>
    </row>
    <row r="7768" spans="30:30" ht="15.75" customHeight="1">
      <c r="AD7768" s="794"/>
    </row>
    <row r="7769" spans="30:30" ht="15.75" customHeight="1">
      <c r="AD7769" s="794"/>
    </row>
    <row r="7770" spans="30:30" ht="15.75" customHeight="1">
      <c r="AD7770" s="794"/>
    </row>
    <row r="7771" spans="30:30" ht="15.75" customHeight="1">
      <c r="AD7771" s="794"/>
    </row>
    <row r="7772" spans="30:30" ht="15.75" customHeight="1">
      <c r="AD7772" s="794"/>
    </row>
    <row r="7773" spans="30:30" ht="15.75" customHeight="1">
      <c r="AD7773" s="794"/>
    </row>
    <row r="7774" spans="30:30" ht="15.75" customHeight="1">
      <c r="AD7774" s="794"/>
    </row>
    <row r="7775" spans="30:30" ht="15.75" customHeight="1">
      <c r="AD7775" s="794"/>
    </row>
    <row r="7776" spans="30:30" ht="15.75" customHeight="1">
      <c r="AD7776" s="794"/>
    </row>
    <row r="7777" spans="30:30" ht="15.75" customHeight="1">
      <c r="AD7777" s="794"/>
    </row>
    <row r="7778" spans="30:30" ht="15.75" customHeight="1">
      <c r="AD7778" s="794"/>
    </row>
    <row r="7779" spans="30:30" ht="15.75" customHeight="1">
      <c r="AD7779" s="794"/>
    </row>
    <row r="7780" spans="30:30" ht="15.75" customHeight="1">
      <c r="AD7780" s="794"/>
    </row>
    <row r="7781" spans="30:30" ht="15.75" customHeight="1">
      <c r="AD7781" s="794"/>
    </row>
    <row r="7782" spans="30:30" ht="15.75" customHeight="1">
      <c r="AD7782" s="794"/>
    </row>
    <row r="7783" spans="30:30" ht="15.75" customHeight="1">
      <c r="AD7783" s="794"/>
    </row>
    <row r="7784" spans="30:30" ht="15.75" customHeight="1">
      <c r="AD7784" s="794"/>
    </row>
    <row r="7785" spans="30:30" ht="15.75" customHeight="1">
      <c r="AD7785" s="794"/>
    </row>
    <row r="7786" spans="30:30" ht="15.75" customHeight="1">
      <c r="AD7786" s="794"/>
    </row>
    <row r="7787" spans="30:30" ht="15.75" customHeight="1">
      <c r="AD7787" s="794"/>
    </row>
    <row r="7788" spans="30:30" ht="15.75" customHeight="1">
      <c r="AD7788" s="794"/>
    </row>
    <row r="7789" spans="30:30" ht="15.75" customHeight="1">
      <c r="AD7789" s="794"/>
    </row>
    <row r="7790" spans="30:30" ht="15.75" customHeight="1">
      <c r="AD7790" s="794"/>
    </row>
    <row r="7791" spans="30:30" ht="15.75" customHeight="1">
      <c r="AD7791" s="794"/>
    </row>
    <row r="7792" spans="30:30" ht="15.75" customHeight="1">
      <c r="AD7792" s="794"/>
    </row>
    <row r="7793" spans="30:30" ht="15.75" customHeight="1">
      <c r="AD7793" s="794"/>
    </row>
    <row r="7794" spans="30:30" ht="15.75" customHeight="1">
      <c r="AD7794" s="794"/>
    </row>
    <row r="7795" spans="30:30" ht="15.75" customHeight="1">
      <c r="AD7795" s="794"/>
    </row>
    <row r="7796" spans="30:30" ht="15.75" customHeight="1">
      <c r="AD7796" s="794"/>
    </row>
    <row r="7797" spans="30:30" ht="15.75" customHeight="1">
      <c r="AD7797" s="794"/>
    </row>
    <row r="7798" spans="30:30" ht="15.75" customHeight="1">
      <c r="AD7798" s="794"/>
    </row>
    <row r="7799" spans="30:30" ht="15.75" customHeight="1">
      <c r="AD7799" s="794"/>
    </row>
    <row r="7800" spans="30:30" ht="15.75" customHeight="1">
      <c r="AD7800" s="794"/>
    </row>
    <row r="7801" spans="30:30" ht="15.75" customHeight="1">
      <c r="AD7801" s="794"/>
    </row>
    <row r="7802" spans="30:30" ht="15.75" customHeight="1">
      <c r="AD7802" s="794"/>
    </row>
    <row r="7803" spans="30:30" ht="15.75" customHeight="1">
      <c r="AD7803" s="794"/>
    </row>
    <row r="7804" spans="30:30" ht="15.75" customHeight="1">
      <c r="AD7804" s="794"/>
    </row>
    <row r="7805" spans="30:30" ht="15.75" customHeight="1">
      <c r="AD7805" s="794"/>
    </row>
    <row r="7806" spans="30:30" ht="15.75" customHeight="1">
      <c r="AD7806" s="794"/>
    </row>
    <row r="7807" spans="30:30" ht="15.75" customHeight="1">
      <c r="AD7807" s="794"/>
    </row>
    <row r="7808" spans="30:30" ht="15.75" customHeight="1">
      <c r="AD7808" s="794"/>
    </row>
    <row r="7809" spans="30:30" ht="15.75" customHeight="1">
      <c r="AD7809" s="794"/>
    </row>
    <row r="7810" spans="30:30" ht="15.75" customHeight="1">
      <c r="AD7810" s="794"/>
    </row>
    <row r="7811" spans="30:30" ht="15.75" customHeight="1">
      <c r="AD7811" s="794"/>
    </row>
    <row r="7812" spans="30:30" ht="15.75" customHeight="1">
      <c r="AD7812" s="794"/>
    </row>
    <row r="7813" spans="30:30" ht="15.75" customHeight="1">
      <c r="AD7813" s="794"/>
    </row>
    <row r="7814" spans="30:30" ht="15.75" customHeight="1">
      <c r="AD7814" s="794"/>
    </row>
    <row r="7815" spans="30:30" ht="15.75" customHeight="1">
      <c r="AD7815" s="794"/>
    </row>
    <row r="7816" spans="30:30" ht="15.75" customHeight="1">
      <c r="AD7816" s="794"/>
    </row>
    <row r="7817" spans="30:30" ht="15.75" customHeight="1">
      <c r="AD7817" s="794"/>
    </row>
    <row r="7818" spans="30:30" ht="15.75" customHeight="1">
      <c r="AD7818" s="794"/>
    </row>
    <row r="7819" spans="30:30" ht="15.75" customHeight="1">
      <c r="AD7819" s="794"/>
    </row>
    <row r="7820" spans="30:30" ht="15.75" customHeight="1">
      <c r="AD7820" s="794"/>
    </row>
    <row r="7821" spans="30:30" ht="15.75" customHeight="1">
      <c r="AD7821" s="794"/>
    </row>
    <row r="7822" spans="30:30" ht="15.75" customHeight="1">
      <c r="AD7822" s="794"/>
    </row>
    <row r="7823" spans="30:30" ht="15.75" customHeight="1">
      <c r="AD7823" s="794"/>
    </row>
    <row r="7824" spans="30:30" ht="15.75" customHeight="1">
      <c r="AD7824" s="794"/>
    </row>
    <row r="7825" spans="30:30" ht="15.75" customHeight="1">
      <c r="AD7825" s="794"/>
    </row>
    <row r="7826" spans="30:30" ht="15.75" customHeight="1">
      <c r="AD7826" s="794"/>
    </row>
    <row r="7827" spans="30:30" ht="15.75" customHeight="1">
      <c r="AD7827" s="794"/>
    </row>
    <row r="7828" spans="30:30" ht="15.75" customHeight="1">
      <c r="AD7828" s="794"/>
    </row>
    <row r="7829" spans="30:30" ht="15.75" customHeight="1">
      <c r="AD7829" s="794"/>
    </row>
    <row r="7830" spans="30:30" ht="15.75" customHeight="1">
      <c r="AD7830" s="794"/>
    </row>
    <row r="7831" spans="30:30" ht="15.75" customHeight="1">
      <c r="AD7831" s="794"/>
    </row>
    <row r="7832" spans="30:30" ht="15.75" customHeight="1">
      <c r="AD7832" s="794"/>
    </row>
    <row r="7833" spans="30:30" ht="15.75" customHeight="1">
      <c r="AD7833" s="794"/>
    </row>
    <row r="7834" spans="30:30" ht="15.75" customHeight="1">
      <c r="AD7834" s="794"/>
    </row>
    <row r="7835" spans="30:30" ht="15.75" customHeight="1">
      <c r="AD7835" s="794"/>
    </row>
    <row r="7836" spans="30:30" ht="15.75" customHeight="1">
      <c r="AD7836" s="794"/>
    </row>
    <row r="7837" spans="30:30" ht="15.75" customHeight="1">
      <c r="AD7837" s="794"/>
    </row>
    <row r="7838" spans="30:30" ht="15.75" customHeight="1">
      <c r="AD7838" s="794"/>
    </row>
    <row r="7839" spans="30:30" ht="15.75" customHeight="1">
      <c r="AD7839" s="794"/>
    </row>
    <row r="7840" spans="30:30" ht="15.75" customHeight="1">
      <c r="AD7840" s="794"/>
    </row>
    <row r="7841" spans="30:30" ht="15.75" customHeight="1">
      <c r="AD7841" s="794"/>
    </row>
    <row r="7842" spans="30:30" ht="15.75" customHeight="1">
      <c r="AD7842" s="794"/>
    </row>
    <row r="7843" spans="30:30" ht="15.75" customHeight="1">
      <c r="AD7843" s="794"/>
    </row>
    <row r="7844" spans="30:30" ht="15.75" customHeight="1">
      <c r="AD7844" s="794"/>
    </row>
    <row r="7845" spans="30:30" ht="15.75" customHeight="1">
      <c r="AD7845" s="794"/>
    </row>
    <row r="7846" spans="30:30" ht="15.75" customHeight="1">
      <c r="AD7846" s="794"/>
    </row>
    <row r="7847" spans="30:30" ht="15.75" customHeight="1">
      <c r="AD7847" s="794"/>
    </row>
    <row r="7848" spans="30:30" ht="15.75" customHeight="1">
      <c r="AD7848" s="794"/>
    </row>
    <row r="7849" spans="30:30" ht="15.75" customHeight="1">
      <c r="AD7849" s="794"/>
    </row>
    <row r="7850" spans="30:30" ht="15.75" customHeight="1">
      <c r="AD7850" s="794"/>
    </row>
    <row r="7851" spans="30:30" ht="15.75" customHeight="1">
      <c r="AD7851" s="794"/>
    </row>
    <row r="7852" spans="30:30" ht="15.75" customHeight="1">
      <c r="AD7852" s="794"/>
    </row>
    <row r="7853" spans="30:30" ht="15.75" customHeight="1">
      <c r="AD7853" s="794"/>
    </row>
    <row r="7854" spans="30:30" ht="15.75" customHeight="1">
      <c r="AD7854" s="794"/>
    </row>
    <row r="7855" spans="30:30" ht="15.75" customHeight="1">
      <c r="AD7855" s="794"/>
    </row>
    <row r="7856" spans="30:30" ht="15.75" customHeight="1">
      <c r="AD7856" s="794"/>
    </row>
    <row r="7857" spans="30:30" ht="15.75" customHeight="1">
      <c r="AD7857" s="794"/>
    </row>
    <row r="7858" spans="30:30" ht="15.75" customHeight="1">
      <c r="AD7858" s="794"/>
    </row>
    <row r="7859" spans="30:30" ht="15.75" customHeight="1">
      <c r="AD7859" s="794"/>
    </row>
    <row r="7860" spans="30:30" ht="15.75" customHeight="1">
      <c r="AD7860" s="794"/>
    </row>
    <row r="7861" spans="30:30" ht="15.75" customHeight="1">
      <c r="AD7861" s="794"/>
    </row>
    <row r="7862" spans="30:30" ht="15.75" customHeight="1">
      <c r="AD7862" s="794"/>
    </row>
    <row r="7863" spans="30:30" ht="15.75" customHeight="1">
      <c r="AD7863" s="794"/>
    </row>
    <row r="7864" spans="30:30" ht="15.75" customHeight="1">
      <c r="AD7864" s="794"/>
    </row>
    <row r="7865" spans="30:30" ht="15.75" customHeight="1">
      <c r="AD7865" s="794"/>
    </row>
    <row r="7866" spans="30:30" ht="15.75" customHeight="1">
      <c r="AD7866" s="794"/>
    </row>
    <row r="7867" spans="30:30" ht="15.75" customHeight="1">
      <c r="AD7867" s="794"/>
    </row>
    <row r="7868" spans="30:30" ht="15.75" customHeight="1">
      <c r="AD7868" s="794"/>
    </row>
    <row r="7869" spans="30:30" ht="15.75" customHeight="1">
      <c r="AD7869" s="794"/>
    </row>
    <row r="7870" spans="30:30" ht="15.75" customHeight="1">
      <c r="AD7870" s="794"/>
    </row>
    <row r="7871" spans="30:30" ht="15.75" customHeight="1">
      <c r="AD7871" s="794"/>
    </row>
    <row r="7872" spans="30:30" ht="15.75" customHeight="1">
      <c r="AD7872" s="794"/>
    </row>
    <row r="7873" spans="30:30" ht="15.75" customHeight="1">
      <c r="AD7873" s="794"/>
    </row>
    <row r="7874" spans="30:30" ht="15.75" customHeight="1">
      <c r="AD7874" s="794"/>
    </row>
    <row r="7875" spans="30:30" ht="15.75" customHeight="1">
      <c r="AD7875" s="794"/>
    </row>
    <row r="7876" spans="30:30" ht="15.75" customHeight="1">
      <c r="AD7876" s="794"/>
    </row>
    <row r="7877" spans="30:30" ht="15.75" customHeight="1">
      <c r="AD7877" s="794"/>
    </row>
    <row r="7878" spans="30:30" ht="15.75" customHeight="1">
      <c r="AD7878" s="794"/>
    </row>
    <row r="7879" spans="30:30" ht="15.75" customHeight="1">
      <c r="AD7879" s="794"/>
    </row>
    <row r="7880" spans="30:30" ht="15.75" customHeight="1">
      <c r="AD7880" s="794"/>
    </row>
    <row r="7881" spans="30:30" ht="15.75" customHeight="1">
      <c r="AD7881" s="794"/>
    </row>
    <row r="7882" spans="30:30" ht="15.75" customHeight="1">
      <c r="AD7882" s="794"/>
    </row>
    <row r="7883" spans="30:30" ht="15.75" customHeight="1">
      <c r="AD7883" s="794"/>
    </row>
    <row r="7884" spans="30:30" ht="15.75" customHeight="1">
      <c r="AD7884" s="794"/>
    </row>
    <row r="7885" spans="30:30" ht="15.75" customHeight="1">
      <c r="AD7885" s="794"/>
    </row>
    <row r="7886" spans="30:30" ht="15.75" customHeight="1">
      <c r="AD7886" s="794"/>
    </row>
    <row r="7887" spans="30:30" ht="15.75" customHeight="1">
      <c r="AD7887" s="794"/>
    </row>
    <row r="7888" spans="30:30" ht="15.75" customHeight="1">
      <c r="AD7888" s="794"/>
    </row>
    <row r="7889" spans="30:30" ht="15.75" customHeight="1">
      <c r="AD7889" s="794"/>
    </row>
    <row r="7890" spans="30:30" ht="15.75" customHeight="1">
      <c r="AD7890" s="794"/>
    </row>
    <row r="7891" spans="30:30" ht="15.75" customHeight="1">
      <c r="AD7891" s="794"/>
    </row>
    <row r="7892" spans="30:30" ht="15.75" customHeight="1">
      <c r="AD7892" s="794"/>
    </row>
    <row r="7893" spans="30:30" ht="15.75" customHeight="1">
      <c r="AD7893" s="794"/>
    </row>
    <row r="7894" spans="30:30" ht="15.75" customHeight="1">
      <c r="AD7894" s="794"/>
    </row>
    <row r="7895" spans="30:30" ht="15.75" customHeight="1">
      <c r="AD7895" s="794"/>
    </row>
    <row r="7896" spans="30:30" ht="15.75" customHeight="1">
      <c r="AD7896" s="794"/>
    </row>
    <row r="7897" spans="30:30" ht="15.75" customHeight="1">
      <c r="AD7897" s="794"/>
    </row>
    <row r="7898" spans="30:30" ht="15.75" customHeight="1">
      <c r="AD7898" s="794"/>
    </row>
    <row r="7899" spans="30:30" ht="15.75" customHeight="1">
      <c r="AD7899" s="794"/>
    </row>
    <row r="7900" spans="30:30" ht="15.75" customHeight="1">
      <c r="AD7900" s="794"/>
    </row>
    <row r="7901" spans="30:30" ht="15.75" customHeight="1">
      <c r="AD7901" s="794"/>
    </row>
    <row r="7902" spans="30:30" ht="15.75" customHeight="1">
      <c r="AD7902" s="794"/>
    </row>
    <row r="7903" spans="30:30" ht="15.75" customHeight="1">
      <c r="AD7903" s="794"/>
    </row>
    <row r="7904" spans="30:30" ht="15.75" customHeight="1">
      <c r="AD7904" s="794"/>
    </row>
    <row r="7905" spans="30:30" ht="15.75" customHeight="1">
      <c r="AD7905" s="794"/>
    </row>
    <row r="7906" spans="30:30" ht="15.75" customHeight="1">
      <c r="AD7906" s="794"/>
    </row>
    <row r="7907" spans="30:30" ht="15.75" customHeight="1">
      <c r="AD7907" s="794"/>
    </row>
    <row r="7908" spans="30:30" ht="15.75" customHeight="1">
      <c r="AD7908" s="794"/>
    </row>
    <row r="7909" spans="30:30" ht="15.75" customHeight="1">
      <c r="AD7909" s="794"/>
    </row>
    <row r="7910" spans="30:30" ht="15.75" customHeight="1">
      <c r="AD7910" s="794"/>
    </row>
    <row r="7911" spans="30:30" ht="15.75" customHeight="1">
      <c r="AD7911" s="794"/>
    </row>
    <row r="7912" spans="30:30" ht="15.75" customHeight="1">
      <c r="AD7912" s="794"/>
    </row>
    <row r="7913" spans="30:30" ht="15.75" customHeight="1">
      <c r="AD7913" s="794"/>
    </row>
    <row r="7914" spans="30:30" ht="15.75" customHeight="1">
      <c r="AD7914" s="794"/>
    </row>
    <row r="7915" spans="30:30" ht="15.75" customHeight="1">
      <c r="AD7915" s="794"/>
    </row>
    <row r="7916" spans="30:30" ht="15.75" customHeight="1">
      <c r="AD7916" s="794"/>
    </row>
    <row r="7917" spans="30:30" ht="15.75" customHeight="1">
      <c r="AD7917" s="794"/>
    </row>
    <row r="7918" spans="30:30" ht="15.75" customHeight="1">
      <c r="AD7918" s="794"/>
    </row>
    <row r="7919" spans="30:30" ht="15.75" customHeight="1">
      <c r="AD7919" s="794"/>
    </row>
    <row r="7920" spans="30:30" ht="15.75" customHeight="1">
      <c r="AD7920" s="794"/>
    </row>
    <row r="7921" spans="30:30" ht="15.75" customHeight="1">
      <c r="AD7921" s="794"/>
    </row>
    <row r="7922" spans="30:30" ht="15.75" customHeight="1">
      <c r="AD7922" s="794"/>
    </row>
    <row r="7923" spans="30:30" ht="15.75" customHeight="1">
      <c r="AD7923" s="794"/>
    </row>
    <row r="7924" spans="30:30" ht="15.75" customHeight="1">
      <c r="AD7924" s="794"/>
    </row>
    <row r="7925" spans="30:30" ht="15.75" customHeight="1">
      <c r="AD7925" s="794"/>
    </row>
    <row r="7926" spans="30:30" ht="15.75" customHeight="1">
      <c r="AD7926" s="794"/>
    </row>
    <row r="7927" spans="30:30" ht="15.75" customHeight="1">
      <c r="AD7927" s="794"/>
    </row>
    <row r="7928" spans="30:30" ht="15.75" customHeight="1">
      <c r="AD7928" s="794"/>
    </row>
    <row r="7929" spans="30:30" ht="15.75" customHeight="1">
      <c r="AD7929" s="794"/>
    </row>
    <row r="7930" spans="30:30" ht="15.75" customHeight="1">
      <c r="AD7930" s="794"/>
    </row>
    <row r="7931" spans="30:30" ht="15.75" customHeight="1">
      <c r="AD7931" s="794"/>
    </row>
    <row r="7932" spans="30:30" ht="15.75" customHeight="1">
      <c r="AD7932" s="794"/>
    </row>
    <row r="7933" spans="30:30" ht="15.75" customHeight="1">
      <c r="AD7933" s="794"/>
    </row>
    <row r="7934" spans="30:30" ht="15.75" customHeight="1">
      <c r="AD7934" s="794"/>
    </row>
    <row r="7935" spans="30:30" ht="15.75" customHeight="1">
      <c r="AD7935" s="794"/>
    </row>
    <row r="7936" spans="30:30" ht="15.75" customHeight="1">
      <c r="AD7936" s="794"/>
    </row>
    <row r="7937" spans="30:30" ht="15.75" customHeight="1">
      <c r="AD7937" s="794"/>
    </row>
    <row r="7938" spans="30:30" ht="15.75" customHeight="1">
      <c r="AD7938" s="794"/>
    </row>
    <row r="7939" spans="30:30" ht="15.75" customHeight="1">
      <c r="AD7939" s="794"/>
    </row>
    <row r="7940" spans="30:30" ht="15.75" customHeight="1">
      <c r="AD7940" s="794"/>
    </row>
    <row r="7941" spans="30:30" ht="15.75" customHeight="1">
      <c r="AD7941" s="794"/>
    </row>
    <row r="7942" spans="30:30" ht="15.75" customHeight="1">
      <c r="AD7942" s="794"/>
    </row>
    <row r="7943" spans="30:30" ht="15.75" customHeight="1">
      <c r="AD7943" s="794"/>
    </row>
    <row r="7944" spans="30:30" ht="15.75" customHeight="1">
      <c r="AD7944" s="794"/>
    </row>
    <row r="7945" spans="30:30" ht="15.75" customHeight="1">
      <c r="AD7945" s="794"/>
    </row>
    <row r="7946" spans="30:30" ht="15.75" customHeight="1">
      <c r="AD7946" s="794"/>
    </row>
    <row r="7947" spans="30:30" ht="15.75" customHeight="1">
      <c r="AD7947" s="794"/>
    </row>
    <row r="7948" spans="30:30" ht="15.75" customHeight="1">
      <c r="AD7948" s="794"/>
    </row>
    <row r="7949" spans="30:30" ht="15.75" customHeight="1">
      <c r="AD7949" s="794"/>
    </row>
    <row r="7950" spans="30:30" ht="15.75" customHeight="1">
      <c r="AD7950" s="794"/>
    </row>
    <row r="7951" spans="30:30" ht="15.75" customHeight="1">
      <c r="AD7951" s="794"/>
    </row>
    <row r="7952" spans="30:30" ht="15.75" customHeight="1">
      <c r="AD7952" s="794"/>
    </row>
    <row r="7953" spans="30:30" ht="15.75" customHeight="1">
      <c r="AD7953" s="794"/>
    </row>
    <row r="7954" spans="30:30" ht="15.75" customHeight="1">
      <c r="AD7954" s="794"/>
    </row>
    <row r="7955" spans="30:30" ht="15.75" customHeight="1">
      <c r="AD7955" s="794"/>
    </row>
    <row r="7956" spans="30:30" ht="15.75" customHeight="1">
      <c r="AD7956" s="794"/>
    </row>
    <row r="7957" spans="30:30" ht="15.75" customHeight="1">
      <c r="AD7957" s="794"/>
    </row>
    <row r="7958" spans="30:30" ht="15.75" customHeight="1">
      <c r="AD7958" s="794"/>
    </row>
    <row r="7959" spans="30:30" ht="15.75" customHeight="1">
      <c r="AD7959" s="794"/>
    </row>
    <row r="7960" spans="30:30" ht="15.75" customHeight="1">
      <c r="AD7960" s="794"/>
    </row>
    <row r="7961" spans="30:30" ht="15.75" customHeight="1">
      <c r="AD7961" s="794"/>
    </row>
    <row r="7962" spans="30:30" ht="15.75" customHeight="1">
      <c r="AD7962" s="794"/>
    </row>
    <row r="7963" spans="30:30" ht="15.75" customHeight="1">
      <c r="AD7963" s="794"/>
    </row>
    <row r="7964" spans="30:30" ht="15.75" customHeight="1">
      <c r="AD7964" s="794"/>
    </row>
    <row r="7965" spans="30:30" ht="15.75" customHeight="1">
      <c r="AD7965" s="794"/>
    </row>
    <row r="7966" spans="30:30" ht="15.75" customHeight="1">
      <c r="AD7966" s="794"/>
    </row>
    <row r="7967" spans="30:30" ht="15.75" customHeight="1">
      <c r="AD7967" s="794"/>
    </row>
    <row r="7968" spans="30:30" ht="15.75" customHeight="1">
      <c r="AD7968" s="794"/>
    </row>
    <row r="7969" spans="30:30" ht="15.75" customHeight="1">
      <c r="AD7969" s="794"/>
    </row>
    <row r="7970" spans="30:30" ht="15.75" customHeight="1">
      <c r="AD7970" s="794"/>
    </row>
    <row r="7971" spans="30:30" ht="15.75" customHeight="1">
      <c r="AD7971" s="794"/>
    </row>
    <row r="7972" spans="30:30" ht="15.75" customHeight="1">
      <c r="AD7972" s="794"/>
    </row>
    <row r="7973" spans="30:30" ht="15.75" customHeight="1">
      <c r="AD7973" s="794"/>
    </row>
    <row r="7974" spans="30:30" ht="15.75" customHeight="1">
      <c r="AD7974" s="794"/>
    </row>
    <row r="7975" spans="30:30" ht="15.75" customHeight="1">
      <c r="AD7975" s="794"/>
    </row>
    <row r="7976" spans="30:30" ht="15.75" customHeight="1">
      <c r="AD7976" s="794"/>
    </row>
    <row r="7977" spans="30:30" ht="15.75" customHeight="1">
      <c r="AD7977" s="794"/>
    </row>
    <row r="7978" spans="30:30" ht="15.75" customHeight="1">
      <c r="AD7978" s="794"/>
    </row>
    <row r="7979" spans="30:30" ht="15.75" customHeight="1">
      <c r="AD7979" s="794"/>
    </row>
    <row r="7980" spans="30:30" ht="15.75" customHeight="1">
      <c r="AD7980" s="794"/>
    </row>
    <row r="7981" spans="30:30" ht="15.75" customHeight="1">
      <c r="AD7981" s="794"/>
    </row>
    <row r="7982" spans="30:30" ht="15.75" customHeight="1">
      <c r="AD7982" s="794"/>
    </row>
    <row r="7983" spans="30:30" ht="15.75" customHeight="1">
      <c r="AD7983" s="794"/>
    </row>
    <row r="7984" spans="30:30" ht="15.75" customHeight="1">
      <c r="AD7984" s="794"/>
    </row>
    <row r="7985" spans="30:30" ht="15.75" customHeight="1">
      <c r="AD7985" s="794"/>
    </row>
    <row r="7986" spans="30:30" ht="15.75" customHeight="1">
      <c r="AD7986" s="794"/>
    </row>
    <row r="7987" spans="30:30" ht="15.75" customHeight="1">
      <c r="AD7987" s="794"/>
    </row>
    <row r="7988" spans="30:30" ht="15.75" customHeight="1">
      <c r="AD7988" s="794"/>
    </row>
    <row r="7989" spans="30:30" ht="15.75" customHeight="1">
      <c r="AD7989" s="794"/>
    </row>
    <row r="7990" spans="30:30" ht="15.75" customHeight="1">
      <c r="AD7990" s="794"/>
    </row>
    <row r="7991" spans="30:30" ht="15.75" customHeight="1">
      <c r="AD7991" s="794"/>
    </row>
    <row r="7992" spans="30:30" ht="15.75" customHeight="1">
      <c r="AD7992" s="794"/>
    </row>
    <row r="7993" spans="30:30" ht="15.75" customHeight="1">
      <c r="AD7993" s="794"/>
    </row>
    <row r="7994" spans="30:30" ht="15.75" customHeight="1">
      <c r="AD7994" s="794"/>
    </row>
    <row r="7995" spans="30:30" ht="15.75" customHeight="1">
      <c r="AD7995" s="794"/>
    </row>
    <row r="7996" spans="30:30" ht="15.75" customHeight="1">
      <c r="AD7996" s="794"/>
    </row>
    <row r="7997" spans="30:30" ht="15.75" customHeight="1">
      <c r="AD7997" s="794"/>
    </row>
    <row r="7998" spans="30:30" ht="15.75" customHeight="1">
      <c r="AD7998" s="794"/>
    </row>
    <row r="7999" spans="30:30" ht="15.75" customHeight="1">
      <c r="AD7999" s="794"/>
    </row>
    <row r="8000" spans="30:30" ht="15.75" customHeight="1">
      <c r="AD8000" s="794"/>
    </row>
    <row r="8001" spans="30:30" ht="15.75" customHeight="1">
      <c r="AD8001" s="794"/>
    </row>
    <row r="8002" spans="30:30" ht="15.75" customHeight="1">
      <c r="AD8002" s="794"/>
    </row>
    <row r="8003" spans="30:30" ht="15.75" customHeight="1">
      <c r="AD8003" s="794"/>
    </row>
    <row r="8004" spans="30:30" ht="15.75" customHeight="1">
      <c r="AD8004" s="794"/>
    </row>
    <row r="8005" spans="30:30" ht="15.75" customHeight="1">
      <c r="AD8005" s="794"/>
    </row>
    <row r="8006" spans="30:30" ht="15.75" customHeight="1">
      <c r="AD8006" s="794"/>
    </row>
    <row r="8007" spans="30:30" ht="15.75" customHeight="1">
      <c r="AD8007" s="794"/>
    </row>
    <row r="8008" spans="30:30" ht="15.75" customHeight="1">
      <c r="AD8008" s="794"/>
    </row>
    <row r="8009" spans="30:30" ht="15.75" customHeight="1">
      <c r="AD8009" s="794"/>
    </row>
    <row r="8010" spans="30:30" ht="15.75" customHeight="1">
      <c r="AD8010" s="794"/>
    </row>
    <row r="8011" spans="30:30" ht="15.75" customHeight="1">
      <c r="AD8011" s="794"/>
    </row>
    <row r="8012" spans="30:30" ht="15.75" customHeight="1">
      <c r="AD8012" s="794"/>
    </row>
    <row r="8013" spans="30:30" ht="15.75" customHeight="1">
      <c r="AD8013" s="794"/>
    </row>
    <row r="8014" spans="30:30" ht="15.75" customHeight="1">
      <c r="AD8014" s="794"/>
    </row>
    <row r="8015" spans="30:30" ht="15.75" customHeight="1">
      <c r="AD8015" s="794"/>
    </row>
    <row r="8016" spans="30:30" ht="15.75" customHeight="1">
      <c r="AD8016" s="794"/>
    </row>
    <row r="8017" spans="30:30" ht="15.75" customHeight="1">
      <c r="AD8017" s="794"/>
    </row>
    <row r="8018" spans="30:30" ht="15.75" customHeight="1">
      <c r="AD8018" s="794"/>
    </row>
    <row r="8019" spans="30:30" ht="15.75" customHeight="1">
      <c r="AD8019" s="794"/>
    </row>
    <row r="8020" spans="30:30" ht="15.75" customHeight="1">
      <c r="AD8020" s="794"/>
    </row>
    <row r="8021" spans="30:30" ht="15.75" customHeight="1">
      <c r="AD8021" s="794"/>
    </row>
    <row r="8022" spans="30:30" ht="15.75" customHeight="1">
      <c r="AD8022" s="794"/>
    </row>
    <row r="8023" spans="30:30" ht="15.75" customHeight="1">
      <c r="AD8023" s="794"/>
    </row>
    <row r="8024" spans="30:30" ht="15.75" customHeight="1">
      <c r="AD8024" s="794"/>
    </row>
    <row r="8025" spans="30:30" ht="15.75" customHeight="1">
      <c r="AD8025" s="794"/>
    </row>
    <row r="8026" spans="30:30" ht="15.75" customHeight="1">
      <c r="AD8026" s="794"/>
    </row>
    <row r="8027" spans="30:30" ht="15.75" customHeight="1">
      <c r="AD8027" s="794"/>
    </row>
    <row r="8028" spans="30:30" ht="15.75" customHeight="1">
      <c r="AD8028" s="794"/>
    </row>
    <row r="8029" spans="30:30" ht="15.75" customHeight="1">
      <c r="AD8029" s="794"/>
    </row>
    <row r="8030" spans="30:30" ht="15.75" customHeight="1">
      <c r="AD8030" s="794"/>
    </row>
    <row r="8031" spans="30:30" ht="15.75" customHeight="1">
      <c r="AD8031" s="794"/>
    </row>
    <row r="8032" spans="30:30" ht="15.75" customHeight="1">
      <c r="AD8032" s="794"/>
    </row>
    <row r="8033" spans="30:30" ht="15.75" customHeight="1">
      <c r="AD8033" s="794"/>
    </row>
    <row r="8034" spans="30:30" ht="15.75" customHeight="1">
      <c r="AD8034" s="794"/>
    </row>
    <row r="8035" spans="30:30" ht="15.75" customHeight="1">
      <c r="AD8035" s="794"/>
    </row>
    <row r="8036" spans="30:30" ht="15.75" customHeight="1">
      <c r="AD8036" s="794"/>
    </row>
    <row r="8037" spans="30:30" ht="15.75" customHeight="1">
      <c r="AD8037" s="794"/>
    </row>
    <row r="8038" spans="30:30" ht="15.75" customHeight="1">
      <c r="AD8038" s="794"/>
    </row>
    <row r="8039" spans="30:30" ht="15.75" customHeight="1">
      <c r="AD8039" s="794"/>
    </row>
    <row r="8040" spans="30:30" ht="15.75" customHeight="1">
      <c r="AD8040" s="794"/>
    </row>
    <row r="8041" spans="30:30" ht="15.75" customHeight="1">
      <c r="AD8041" s="794"/>
    </row>
    <row r="8042" spans="30:30" ht="15.75" customHeight="1">
      <c r="AD8042" s="794"/>
    </row>
    <row r="8043" spans="30:30" ht="15.75" customHeight="1">
      <c r="AD8043" s="794"/>
    </row>
    <row r="8044" spans="30:30" ht="15.75" customHeight="1">
      <c r="AD8044" s="794"/>
    </row>
    <row r="8045" spans="30:30" ht="15.75" customHeight="1">
      <c r="AD8045" s="794"/>
    </row>
    <row r="8046" spans="30:30" ht="15.75" customHeight="1">
      <c r="AD8046" s="794"/>
    </row>
    <row r="8047" spans="30:30" ht="15.75" customHeight="1">
      <c r="AD8047" s="794"/>
    </row>
    <row r="8048" spans="30:30" ht="15.75" customHeight="1">
      <c r="AD8048" s="794"/>
    </row>
    <row r="8049" spans="30:30" ht="15.75" customHeight="1">
      <c r="AD8049" s="794"/>
    </row>
    <row r="8050" spans="30:30" ht="15.75" customHeight="1">
      <c r="AD8050" s="794"/>
    </row>
    <row r="8051" spans="30:30" ht="15.75" customHeight="1">
      <c r="AD8051" s="794"/>
    </row>
    <row r="8052" spans="30:30" ht="15.75" customHeight="1">
      <c r="AD8052" s="794"/>
    </row>
    <row r="8053" spans="30:30" ht="15.75" customHeight="1">
      <c r="AD8053" s="794"/>
    </row>
    <row r="8054" spans="30:30" ht="15.75" customHeight="1">
      <c r="AD8054" s="794"/>
    </row>
    <row r="8055" spans="30:30" ht="15.75" customHeight="1">
      <c r="AD8055" s="794"/>
    </row>
    <row r="8056" spans="30:30" ht="15.75" customHeight="1">
      <c r="AD8056" s="794"/>
    </row>
    <row r="8057" spans="30:30" ht="15.75" customHeight="1">
      <c r="AD8057" s="794"/>
    </row>
    <row r="8058" spans="30:30" ht="15.75" customHeight="1">
      <c r="AD8058" s="794"/>
    </row>
    <row r="8059" spans="30:30" ht="15.75" customHeight="1">
      <c r="AD8059" s="794"/>
    </row>
    <row r="8060" spans="30:30" ht="15.75" customHeight="1">
      <c r="AD8060" s="794"/>
    </row>
    <row r="8061" spans="30:30" ht="15.75" customHeight="1">
      <c r="AD8061" s="794"/>
    </row>
    <row r="8062" spans="30:30" ht="15.75" customHeight="1">
      <c r="AD8062" s="794"/>
    </row>
    <row r="8063" spans="30:30" ht="15.75" customHeight="1">
      <c r="AD8063" s="794"/>
    </row>
    <row r="8064" spans="30:30" ht="15.75" customHeight="1">
      <c r="AD8064" s="794"/>
    </row>
    <row r="8065" spans="30:30" ht="15.75" customHeight="1">
      <c r="AD8065" s="794"/>
    </row>
    <row r="8066" spans="30:30" ht="15.75" customHeight="1">
      <c r="AD8066" s="794"/>
    </row>
    <row r="8067" spans="30:30" ht="15.75" customHeight="1">
      <c r="AD8067" s="794"/>
    </row>
    <row r="8068" spans="30:30" ht="15.75" customHeight="1">
      <c r="AD8068" s="794"/>
    </row>
    <row r="8069" spans="30:30" ht="15.75" customHeight="1">
      <c r="AD8069" s="794"/>
    </row>
    <row r="8070" spans="30:30" ht="15.75" customHeight="1">
      <c r="AD8070" s="794"/>
    </row>
    <row r="8071" spans="30:30" ht="15.75" customHeight="1">
      <c r="AD8071" s="794"/>
    </row>
    <row r="8072" spans="30:30" ht="15.75" customHeight="1">
      <c r="AD8072" s="794"/>
    </row>
    <row r="8073" spans="30:30" ht="15.75" customHeight="1">
      <c r="AD8073" s="794"/>
    </row>
    <row r="8074" spans="30:30" ht="15.75" customHeight="1">
      <c r="AD8074" s="794"/>
    </row>
    <row r="8075" spans="30:30" ht="15.75" customHeight="1">
      <c r="AD8075" s="794"/>
    </row>
    <row r="8076" spans="30:30" ht="15.75" customHeight="1">
      <c r="AD8076" s="794"/>
    </row>
    <row r="8077" spans="30:30" ht="15.75" customHeight="1">
      <c r="AD8077" s="794"/>
    </row>
    <row r="8078" spans="30:30" ht="15.75" customHeight="1">
      <c r="AD8078" s="794"/>
    </row>
    <row r="8079" spans="30:30" ht="15.75" customHeight="1">
      <c r="AD8079" s="794"/>
    </row>
    <row r="8080" spans="30:30" ht="15.75" customHeight="1">
      <c r="AD8080" s="794"/>
    </row>
    <row r="8081" spans="30:30" ht="15.75" customHeight="1">
      <c r="AD8081" s="794"/>
    </row>
    <row r="8082" spans="30:30" ht="15.75" customHeight="1">
      <c r="AD8082" s="794"/>
    </row>
    <row r="8083" spans="30:30" ht="15.75" customHeight="1">
      <c r="AD8083" s="794"/>
    </row>
    <row r="8084" spans="30:30" ht="15.75" customHeight="1">
      <c r="AD8084" s="794"/>
    </row>
    <row r="8085" spans="30:30" ht="15.75" customHeight="1">
      <c r="AD8085" s="794"/>
    </row>
    <row r="8086" spans="30:30" ht="15.75" customHeight="1">
      <c r="AD8086" s="794"/>
    </row>
    <row r="8087" spans="30:30" ht="15.75" customHeight="1">
      <c r="AD8087" s="794"/>
    </row>
    <row r="8088" spans="30:30" ht="15.75" customHeight="1">
      <c r="AD8088" s="794"/>
    </row>
    <row r="8089" spans="30:30" ht="15.75" customHeight="1">
      <c r="AD8089" s="794"/>
    </row>
    <row r="8090" spans="30:30" ht="15.75" customHeight="1">
      <c r="AD8090" s="794"/>
    </row>
    <row r="8091" spans="30:30" ht="15.75" customHeight="1">
      <c r="AD8091" s="794"/>
    </row>
    <row r="8092" spans="30:30" ht="15.75" customHeight="1">
      <c r="AD8092" s="794"/>
    </row>
    <row r="8093" spans="30:30" ht="15.75" customHeight="1">
      <c r="AD8093" s="794"/>
    </row>
    <row r="8094" spans="30:30" ht="15.75" customHeight="1">
      <c r="AD8094" s="794"/>
    </row>
    <row r="8095" spans="30:30" ht="15.75" customHeight="1">
      <c r="AD8095" s="794"/>
    </row>
    <row r="8096" spans="30:30" ht="15.75" customHeight="1">
      <c r="AD8096" s="794"/>
    </row>
    <row r="8097" spans="30:30" ht="15.75" customHeight="1">
      <c r="AD8097" s="794"/>
    </row>
    <row r="8098" spans="30:30" ht="15.75" customHeight="1">
      <c r="AD8098" s="794"/>
    </row>
    <row r="8099" spans="30:30" ht="15.75" customHeight="1">
      <c r="AD8099" s="794"/>
    </row>
    <row r="8100" spans="30:30" ht="15.75" customHeight="1">
      <c r="AD8100" s="794"/>
    </row>
    <row r="8101" spans="30:30" ht="15.75" customHeight="1">
      <c r="AD8101" s="794"/>
    </row>
    <row r="8102" spans="30:30" ht="15.75" customHeight="1">
      <c r="AD8102" s="794"/>
    </row>
    <row r="8103" spans="30:30" ht="15.75" customHeight="1">
      <c r="AD8103" s="794"/>
    </row>
    <row r="8104" spans="30:30" ht="15.75" customHeight="1">
      <c r="AD8104" s="794"/>
    </row>
    <row r="8105" spans="30:30" ht="15.75" customHeight="1">
      <c r="AD8105" s="794"/>
    </row>
    <row r="8106" spans="30:30" ht="15.75" customHeight="1">
      <c r="AD8106" s="794"/>
    </row>
    <row r="8107" spans="30:30" ht="15.75" customHeight="1">
      <c r="AD8107" s="794"/>
    </row>
    <row r="8108" spans="30:30" ht="15.75" customHeight="1">
      <c r="AD8108" s="794"/>
    </row>
    <row r="8109" spans="30:30" ht="15.75" customHeight="1">
      <c r="AD8109" s="794"/>
    </row>
    <row r="8110" spans="30:30" ht="15.75" customHeight="1">
      <c r="AD8110" s="794"/>
    </row>
    <row r="8111" spans="30:30" ht="15.75" customHeight="1">
      <c r="AD8111" s="794"/>
    </row>
    <row r="8112" spans="30:30" ht="15.75" customHeight="1">
      <c r="AD8112" s="794"/>
    </row>
    <row r="8113" spans="30:30" ht="15.75" customHeight="1">
      <c r="AD8113" s="794"/>
    </row>
    <row r="8114" spans="30:30" ht="15.75" customHeight="1">
      <c r="AD8114" s="794"/>
    </row>
    <row r="8115" spans="30:30" ht="15.75" customHeight="1">
      <c r="AD8115" s="794"/>
    </row>
    <row r="8116" spans="30:30" ht="15.75" customHeight="1">
      <c r="AD8116" s="794"/>
    </row>
    <row r="8117" spans="30:30" ht="15.75" customHeight="1">
      <c r="AD8117" s="794"/>
    </row>
    <row r="8118" spans="30:30" ht="15.75" customHeight="1">
      <c r="AD8118" s="794"/>
    </row>
    <row r="8119" spans="30:30" ht="15.75" customHeight="1">
      <c r="AD8119" s="794"/>
    </row>
    <row r="8120" spans="30:30" ht="15.75" customHeight="1">
      <c r="AD8120" s="794"/>
    </row>
    <row r="8121" spans="30:30" ht="15.75" customHeight="1">
      <c r="AD8121" s="794"/>
    </row>
    <row r="8122" spans="30:30" ht="15.75" customHeight="1">
      <c r="AD8122" s="794"/>
    </row>
    <row r="8123" spans="30:30" ht="15.75" customHeight="1">
      <c r="AD8123" s="794"/>
    </row>
    <row r="8124" spans="30:30" ht="15.75" customHeight="1">
      <c r="AD8124" s="794"/>
    </row>
    <row r="8125" spans="30:30" ht="15.75" customHeight="1">
      <c r="AD8125" s="794"/>
    </row>
    <row r="8126" spans="30:30" ht="15.75" customHeight="1">
      <c r="AD8126" s="794"/>
    </row>
    <row r="8127" spans="30:30" ht="15.75" customHeight="1">
      <c r="AD8127" s="794"/>
    </row>
    <row r="8128" spans="30:30" ht="15.75" customHeight="1">
      <c r="AD8128" s="794"/>
    </row>
    <row r="8129" spans="30:30" ht="15.75" customHeight="1">
      <c r="AD8129" s="794"/>
    </row>
    <row r="8130" spans="30:30" ht="15.75" customHeight="1">
      <c r="AD8130" s="794"/>
    </row>
    <row r="8131" spans="30:30" ht="15.75" customHeight="1">
      <c r="AD8131" s="794"/>
    </row>
    <row r="8132" spans="30:30" ht="15.75" customHeight="1">
      <c r="AD8132" s="794"/>
    </row>
    <row r="8133" spans="30:30" ht="15.75" customHeight="1">
      <c r="AD8133" s="794"/>
    </row>
    <row r="8134" spans="30:30" ht="15.75" customHeight="1">
      <c r="AD8134" s="794"/>
    </row>
    <row r="8135" spans="30:30" ht="15.75" customHeight="1">
      <c r="AD8135" s="794"/>
    </row>
    <row r="8136" spans="30:30" ht="15.75" customHeight="1">
      <c r="AD8136" s="794"/>
    </row>
    <row r="8137" spans="30:30" ht="15.75" customHeight="1">
      <c r="AD8137" s="794"/>
    </row>
    <row r="8138" spans="30:30" ht="15.75" customHeight="1">
      <c r="AD8138" s="794"/>
    </row>
    <row r="8139" spans="30:30" ht="15.75" customHeight="1">
      <c r="AD8139" s="794"/>
    </row>
    <row r="8140" spans="30:30" ht="15.75" customHeight="1">
      <c r="AD8140" s="794"/>
    </row>
    <row r="8141" spans="30:30" ht="15.75" customHeight="1">
      <c r="AD8141" s="794"/>
    </row>
    <row r="8142" spans="30:30" ht="15.75" customHeight="1">
      <c r="AD8142" s="794"/>
    </row>
    <row r="8143" spans="30:30" ht="15.75" customHeight="1">
      <c r="AD8143" s="794"/>
    </row>
    <row r="8144" spans="30:30" ht="15.75" customHeight="1">
      <c r="AD8144" s="794"/>
    </row>
    <row r="8145" spans="30:30" ht="15.75" customHeight="1">
      <c r="AD8145" s="794"/>
    </row>
    <row r="8146" spans="30:30" ht="15.75" customHeight="1">
      <c r="AD8146" s="794"/>
    </row>
    <row r="8147" spans="30:30" ht="15.75" customHeight="1">
      <c r="AD8147" s="794"/>
    </row>
    <row r="8148" spans="30:30" ht="15.75" customHeight="1">
      <c r="AD8148" s="794"/>
    </row>
    <row r="8149" spans="30:30" ht="15.75" customHeight="1">
      <c r="AD8149" s="794"/>
    </row>
    <row r="8150" spans="30:30" ht="15.75" customHeight="1">
      <c r="AD8150" s="794"/>
    </row>
    <row r="8151" spans="30:30" ht="15.75" customHeight="1">
      <c r="AD8151" s="794"/>
    </row>
    <row r="8152" spans="30:30" ht="15.75" customHeight="1">
      <c r="AD8152" s="794"/>
    </row>
    <row r="8153" spans="30:30" ht="15.75" customHeight="1">
      <c r="AD8153" s="794"/>
    </row>
    <row r="8154" spans="30:30" ht="15.75" customHeight="1">
      <c r="AD8154" s="794"/>
    </row>
    <row r="8155" spans="30:30" ht="15.75" customHeight="1">
      <c r="AD8155" s="794"/>
    </row>
    <row r="8156" spans="30:30" ht="15.75" customHeight="1">
      <c r="AD8156" s="794"/>
    </row>
    <row r="8157" spans="30:30" ht="15.75" customHeight="1">
      <c r="AD8157" s="794"/>
    </row>
    <row r="8158" spans="30:30" ht="15.75" customHeight="1">
      <c r="AD8158" s="794"/>
    </row>
    <row r="8159" spans="30:30" ht="15.75" customHeight="1">
      <c r="AD8159" s="794"/>
    </row>
    <row r="8160" spans="30:30" ht="15.75" customHeight="1">
      <c r="AD8160" s="794"/>
    </row>
    <row r="8161" spans="30:30" ht="15.75" customHeight="1">
      <c r="AD8161" s="794"/>
    </row>
    <row r="8162" spans="30:30" ht="15.75" customHeight="1">
      <c r="AD8162" s="794"/>
    </row>
    <row r="8163" spans="30:30" ht="15.75" customHeight="1">
      <c r="AD8163" s="794"/>
    </row>
    <row r="8164" spans="30:30" ht="15.75" customHeight="1">
      <c r="AD8164" s="794"/>
    </row>
    <row r="8165" spans="30:30" ht="15.75" customHeight="1">
      <c r="AD8165" s="794"/>
    </row>
    <row r="8166" spans="30:30" ht="15.75" customHeight="1">
      <c r="AD8166" s="794"/>
    </row>
    <row r="8167" spans="30:30" ht="15.75" customHeight="1">
      <c r="AD8167" s="794"/>
    </row>
    <row r="8168" spans="30:30" ht="15.75" customHeight="1">
      <c r="AD8168" s="794"/>
    </row>
    <row r="8169" spans="30:30" ht="15.75" customHeight="1">
      <c r="AD8169" s="794"/>
    </row>
    <row r="8170" spans="30:30" ht="15.75" customHeight="1">
      <c r="AD8170" s="794"/>
    </row>
    <row r="8171" spans="30:30" ht="15.75" customHeight="1">
      <c r="AD8171" s="794"/>
    </row>
    <row r="8172" spans="30:30" ht="15.75" customHeight="1">
      <c r="AD8172" s="794"/>
    </row>
    <row r="8173" spans="30:30" ht="15.75" customHeight="1">
      <c r="AD8173" s="794"/>
    </row>
    <row r="8174" spans="30:30" ht="15.75" customHeight="1">
      <c r="AD8174" s="794"/>
    </row>
    <row r="8175" spans="30:30" ht="15.75" customHeight="1">
      <c r="AD8175" s="794"/>
    </row>
    <row r="8176" spans="30:30" ht="15.75" customHeight="1">
      <c r="AD8176" s="794"/>
    </row>
    <row r="8177" spans="30:30" ht="15.75" customHeight="1">
      <c r="AD8177" s="794"/>
    </row>
    <row r="8178" spans="30:30" ht="15.75" customHeight="1">
      <c r="AD8178" s="794"/>
    </row>
    <row r="8179" spans="30:30" ht="15.75" customHeight="1">
      <c r="AD8179" s="794"/>
    </row>
    <row r="8180" spans="30:30" ht="15.75" customHeight="1">
      <c r="AD8180" s="794"/>
    </row>
    <row r="8181" spans="30:30" ht="15.75" customHeight="1">
      <c r="AD8181" s="794"/>
    </row>
    <row r="8182" spans="30:30" ht="15.75" customHeight="1">
      <c r="AD8182" s="794"/>
    </row>
    <row r="8183" spans="30:30" ht="15.75" customHeight="1">
      <c r="AD8183" s="794"/>
    </row>
    <row r="8184" spans="30:30" ht="15.75" customHeight="1">
      <c r="AD8184" s="794"/>
    </row>
    <row r="8185" spans="30:30" ht="15.75" customHeight="1">
      <c r="AD8185" s="794"/>
    </row>
    <row r="8186" spans="30:30" ht="15.75" customHeight="1">
      <c r="AD8186" s="794"/>
    </row>
    <row r="8187" spans="30:30" ht="15.75" customHeight="1">
      <c r="AD8187" s="794"/>
    </row>
    <row r="8188" spans="30:30" ht="15.75" customHeight="1">
      <c r="AD8188" s="794"/>
    </row>
    <row r="8189" spans="30:30" ht="15.75" customHeight="1">
      <c r="AD8189" s="794"/>
    </row>
    <row r="8190" spans="30:30" ht="15.75" customHeight="1">
      <c r="AD8190" s="794"/>
    </row>
    <row r="8191" spans="30:30" ht="15.75" customHeight="1">
      <c r="AD8191" s="794"/>
    </row>
    <row r="8192" spans="30:30" ht="15.75" customHeight="1">
      <c r="AD8192" s="794"/>
    </row>
    <row r="8193" spans="30:30" ht="15.75" customHeight="1">
      <c r="AD8193" s="794"/>
    </row>
    <row r="8194" spans="30:30" ht="15.75" customHeight="1">
      <c r="AD8194" s="794"/>
    </row>
    <row r="8195" spans="30:30" ht="15.75" customHeight="1">
      <c r="AD8195" s="794"/>
    </row>
    <row r="8196" spans="30:30" ht="15.75" customHeight="1">
      <c r="AD8196" s="794"/>
    </row>
    <row r="8197" spans="30:30" ht="15.75" customHeight="1">
      <c r="AD8197" s="794"/>
    </row>
    <row r="8198" spans="30:30" ht="15.75" customHeight="1">
      <c r="AD8198" s="794"/>
    </row>
    <row r="8199" spans="30:30" ht="15.75" customHeight="1">
      <c r="AD8199" s="794"/>
    </row>
    <row r="8200" spans="30:30" ht="15.75" customHeight="1">
      <c r="AD8200" s="794"/>
    </row>
    <row r="8201" spans="30:30" ht="15.75" customHeight="1">
      <c r="AD8201" s="794"/>
    </row>
    <row r="8202" spans="30:30" ht="15.75" customHeight="1">
      <c r="AD8202" s="794"/>
    </row>
    <row r="8203" spans="30:30" ht="15.75" customHeight="1">
      <c r="AD8203" s="794"/>
    </row>
    <row r="8204" spans="30:30" ht="15.75" customHeight="1">
      <c r="AD8204" s="794"/>
    </row>
    <row r="8205" spans="30:30" ht="15.75" customHeight="1">
      <c r="AD8205" s="794"/>
    </row>
    <row r="8206" spans="30:30" ht="15.75" customHeight="1">
      <c r="AD8206" s="794"/>
    </row>
    <row r="8207" spans="30:30" ht="15.75" customHeight="1">
      <c r="AD8207" s="794"/>
    </row>
    <row r="8208" spans="30:30" ht="15.75" customHeight="1">
      <c r="AD8208" s="794"/>
    </row>
    <row r="8209" spans="30:30" ht="15.75" customHeight="1">
      <c r="AD8209" s="794"/>
    </row>
    <row r="8210" spans="30:30" ht="15.75" customHeight="1">
      <c r="AD8210" s="794"/>
    </row>
    <row r="8211" spans="30:30" ht="15.75" customHeight="1">
      <c r="AD8211" s="794"/>
    </row>
    <row r="8212" spans="30:30" ht="15.75" customHeight="1">
      <c r="AD8212" s="794"/>
    </row>
    <row r="8213" spans="30:30" ht="15.75" customHeight="1">
      <c r="AD8213" s="794"/>
    </row>
    <row r="8214" spans="30:30" ht="15.75" customHeight="1">
      <c r="AD8214" s="794"/>
    </row>
    <row r="8215" spans="30:30" ht="15.75" customHeight="1">
      <c r="AD8215" s="794"/>
    </row>
    <row r="8216" spans="30:30" ht="15.75" customHeight="1">
      <c r="AD8216" s="794"/>
    </row>
    <row r="8217" spans="30:30" ht="15.75" customHeight="1">
      <c r="AD8217" s="794"/>
    </row>
    <row r="8218" spans="30:30" ht="15.75" customHeight="1">
      <c r="AD8218" s="794"/>
    </row>
    <row r="8219" spans="30:30" ht="15.75" customHeight="1">
      <c r="AD8219" s="794"/>
    </row>
    <row r="8220" spans="30:30" ht="15.75" customHeight="1">
      <c r="AD8220" s="794"/>
    </row>
    <row r="8221" spans="30:30" ht="15.75" customHeight="1">
      <c r="AD8221" s="794"/>
    </row>
    <row r="8222" spans="30:30" ht="15.75" customHeight="1">
      <c r="AD8222" s="794"/>
    </row>
    <row r="8223" spans="30:30" ht="15.75" customHeight="1">
      <c r="AD8223" s="794"/>
    </row>
    <row r="8224" spans="30:30" ht="15.75" customHeight="1">
      <c r="AD8224" s="794"/>
    </row>
    <row r="8225" spans="30:30" ht="15.75" customHeight="1">
      <c r="AD8225" s="794"/>
    </row>
    <row r="8226" spans="30:30" ht="15.75" customHeight="1">
      <c r="AD8226" s="794"/>
    </row>
    <row r="8227" spans="30:30" ht="15.75" customHeight="1">
      <c r="AD8227" s="794"/>
    </row>
    <row r="8228" spans="30:30" ht="15.75" customHeight="1">
      <c r="AD8228" s="794"/>
    </row>
    <row r="8229" spans="30:30" ht="15.75" customHeight="1">
      <c r="AD8229" s="794"/>
    </row>
    <row r="8230" spans="30:30" ht="15.75" customHeight="1">
      <c r="AD8230" s="794"/>
    </row>
    <row r="8231" spans="30:30" ht="15.75" customHeight="1">
      <c r="AD8231" s="794"/>
    </row>
    <row r="8232" spans="30:30" ht="15.75" customHeight="1">
      <c r="AD8232" s="794"/>
    </row>
    <row r="8233" spans="30:30" ht="15.75" customHeight="1">
      <c r="AD8233" s="794"/>
    </row>
    <row r="8234" spans="30:30" ht="15.75" customHeight="1">
      <c r="AD8234" s="794"/>
    </row>
    <row r="8235" spans="30:30" ht="15.75" customHeight="1">
      <c r="AD8235" s="794"/>
    </row>
    <row r="8236" spans="30:30" ht="15.75" customHeight="1">
      <c r="AD8236" s="794"/>
    </row>
    <row r="8237" spans="30:30" ht="15.75" customHeight="1">
      <c r="AD8237" s="794"/>
    </row>
    <row r="8238" spans="30:30" ht="15.75" customHeight="1">
      <c r="AD8238" s="794"/>
    </row>
    <row r="8239" spans="30:30" ht="15.75" customHeight="1">
      <c r="AD8239" s="794"/>
    </row>
    <row r="8240" spans="30:30" ht="15.75" customHeight="1">
      <c r="AD8240" s="794"/>
    </row>
    <row r="8241" spans="30:30" ht="15.75" customHeight="1">
      <c r="AD8241" s="794"/>
    </row>
    <row r="8242" spans="30:30" ht="15.75" customHeight="1">
      <c r="AD8242" s="794"/>
    </row>
    <row r="8243" spans="30:30" ht="15.75" customHeight="1">
      <c r="AD8243" s="794"/>
    </row>
    <row r="8244" spans="30:30" ht="15.75" customHeight="1">
      <c r="AD8244" s="794"/>
    </row>
    <row r="8245" spans="30:30" ht="15.75" customHeight="1">
      <c r="AD8245" s="794"/>
    </row>
    <row r="8246" spans="30:30" ht="15.75" customHeight="1">
      <c r="AD8246" s="794"/>
    </row>
    <row r="8247" spans="30:30" ht="15.75" customHeight="1">
      <c r="AD8247" s="794"/>
    </row>
    <row r="8248" spans="30:30" ht="15.75" customHeight="1">
      <c r="AD8248" s="794"/>
    </row>
    <row r="8249" spans="30:30" ht="15.75" customHeight="1">
      <c r="AD8249" s="794"/>
    </row>
    <row r="8250" spans="30:30" ht="15.75" customHeight="1">
      <c r="AD8250" s="794"/>
    </row>
    <row r="8251" spans="30:30" ht="15.75" customHeight="1">
      <c r="AD8251" s="794"/>
    </row>
    <row r="8252" spans="30:30" ht="15.75" customHeight="1">
      <c r="AD8252" s="794"/>
    </row>
    <row r="8253" spans="30:30" ht="15.75" customHeight="1">
      <c r="AD8253" s="794"/>
    </row>
    <row r="8254" spans="30:30" ht="15.75" customHeight="1">
      <c r="AD8254" s="794"/>
    </row>
    <row r="8255" spans="30:30" ht="15.75" customHeight="1">
      <c r="AD8255" s="794"/>
    </row>
    <row r="8256" spans="30:30" ht="15.75" customHeight="1">
      <c r="AD8256" s="794"/>
    </row>
    <row r="8257" spans="30:30" ht="15.75" customHeight="1">
      <c r="AD8257" s="794"/>
    </row>
    <row r="8258" spans="30:30" ht="15.75" customHeight="1">
      <c r="AD8258" s="794"/>
    </row>
    <row r="8259" spans="30:30" ht="15.75" customHeight="1">
      <c r="AD8259" s="794"/>
    </row>
    <row r="8260" spans="30:30" ht="15.75" customHeight="1">
      <c r="AD8260" s="794"/>
    </row>
    <row r="8261" spans="30:30" ht="15.75" customHeight="1">
      <c r="AD8261" s="794"/>
    </row>
    <row r="8262" spans="30:30" ht="15.75" customHeight="1">
      <c r="AD8262" s="794"/>
    </row>
    <row r="8263" spans="30:30" ht="15.75" customHeight="1">
      <c r="AD8263" s="794"/>
    </row>
    <row r="8264" spans="30:30" ht="15.75" customHeight="1">
      <c r="AD8264" s="794"/>
    </row>
    <row r="8265" spans="30:30" ht="15.75" customHeight="1">
      <c r="AD8265" s="794"/>
    </row>
    <row r="8266" spans="30:30" ht="15.75" customHeight="1">
      <c r="AD8266" s="794"/>
    </row>
    <row r="8267" spans="30:30" ht="15.75" customHeight="1">
      <c r="AD8267" s="794"/>
    </row>
    <row r="8268" spans="30:30" ht="15.75" customHeight="1">
      <c r="AD8268" s="794"/>
    </row>
    <row r="8269" spans="30:30" ht="15.75" customHeight="1">
      <c r="AD8269" s="794"/>
    </row>
    <row r="8270" spans="30:30" ht="15.75" customHeight="1">
      <c r="AD8270" s="794"/>
    </row>
    <row r="8271" spans="30:30" ht="15.75" customHeight="1">
      <c r="AD8271" s="794"/>
    </row>
    <row r="8272" spans="30:30" ht="15.75" customHeight="1">
      <c r="AD8272" s="794"/>
    </row>
    <row r="8273" spans="30:30" ht="15.75" customHeight="1">
      <c r="AD8273" s="794"/>
    </row>
    <row r="8274" spans="30:30" ht="15.75" customHeight="1">
      <c r="AD8274" s="794"/>
    </row>
    <row r="8275" spans="30:30" ht="15.75" customHeight="1">
      <c r="AD8275" s="794"/>
    </row>
    <row r="8276" spans="30:30" ht="15.75" customHeight="1">
      <c r="AD8276" s="794"/>
    </row>
    <row r="8277" spans="30:30" ht="15.75" customHeight="1">
      <c r="AD8277" s="794"/>
    </row>
    <row r="8278" spans="30:30" ht="15.75" customHeight="1">
      <c r="AD8278" s="794"/>
    </row>
    <row r="8279" spans="30:30" ht="15.75" customHeight="1">
      <c r="AD8279" s="794"/>
    </row>
    <row r="8280" spans="30:30" ht="15.75" customHeight="1">
      <c r="AD8280" s="794"/>
    </row>
    <row r="8281" spans="30:30" ht="15.75" customHeight="1">
      <c r="AD8281" s="794"/>
    </row>
    <row r="8282" spans="30:30" ht="15.75" customHeight="1">
      <c r="AD8282" s="794"/>
    </row>
    <row r="8283" spans="30:30" ht="15.75" customHeight="1">
      <c r="AD8283" s="794"/>
    </row>
    <row r="8284" spans="30:30" ht="15.75" customHeight="1">
      <c r="AD8284" s="794"/>
    </row>
    <row r="8285" spans="30:30" ht="15.75" customHeight="1">
      <c r="AD8285" s="794"/>
    </row>
    <row r="8286" spans="30:30" ht="15.75" customHeight="1">
      <c r="AD8286" s="794"/>
    </row>
    <row r="8287" spans="30:30" ht="15.75" customHeight="1">
      <c r="AD8287" s="794"/>
    </row>
    <row r="8288" spans="30:30" ht="15.75" customHeight="1">
      <c r="AD8288" s="794"/>
    </row>
    <row r="8289" spans="30:30" ht="15.75" customHeight="1">
      <c r="AD8289" s="794"/>
    </row>
    <row r="8290" spans="30:30" ht="15.75" customHeight="1">
      <c r="AD8290" s="794"/>
    </row>
    <row r="8291" spans="30:30" ht="15.75" customHeight="1">
      <c r="AD8291" s="794"/>
    </row>
    <row r="8292" spans="30:30" ht="15.75" customHeight="1">
      <c r="AD8292" s="794"/>
    </row>
    <row r="8293" spans="30:30" ht="15.75" customHeight="1">
      <c r="AD8293" s="794"/>
    </row>
    <row r="8294" spans="30:30" ht="15.75" customHeight="1">
      <c r="AD8294" s="794"/>
    </row>
    <row r="8295" spans="30:30" ht="15.75" customHeight="1">
      <c r="AD8295" s="794"/>
    </row>
    <row r="8296" spans="30:30" ht="15.75" customHeight="1">
      <c r="AD8296" s="794"/>
    </row>
    <row r="8297" spans="30:30" ht="15.75" customHeight="1">
      <c r="AD8297" s="794"/>
    </row>
    <row r="8298" spans="30:30" ht="15.75" customHeight="1">
      <c r="AD8298" s="794"/>
    </row>
    <row r="8299" spans="30:30" ht="15.75" customHeight="1">
      <c r="AD8299" s="794"/>
    </row>
    <row r="8300" spans="30:30" ht="15.75" customHeight="1">
      <c r="AD8300" s="794"/>
    </row>
    <row r="8301" spans="30:30" ht="15.75" customHeight="1">
      <c r="AD8301" s="794"/>
    </row>
    <row r="8302" spans="30:30" ht="15.75" customHeight="1">
      <c r="AD8302" s="794"/>
    </row>
    <row r="8303" spans="30:30" ht="15.75" customHeight="1">
      <c r="AD8303" s="794"/>
    </row>
    <row r="8304" spans="30:30" ht="15.75" customHeight="1">
      <c r="AD8304" s="794"/>
    </row>
    <row r="8305" spans="30:30" ht="15.75" customHeight="1">
      <c r="AD8305" s="794"/>
    </row>
    <row r="8306" spans="30:30" ht="15.75" customHeight="1">
      <c r="AD8306" s="794"/>
    </row>
    <row r="8307" spans="30:30" ht="15.75" customHeight="1">
      <c r="AD8307" s="794"/>
    </row>
    <row r="8308" spans="30:30" ht="15.75" customHeight="1">
      <c r="AD8308" s="794"/>
    </row>
    <row r="8309" spans="30:30" ht="15.75" customHeight="1">
      <c r="AD8309" s="794"/>
    </row>
    <row r="8310" spans="30:30" ht="15.75" customHeight="1">
      <c r="AD8310" s="794"/>
    </row>
    <row r="8311" spans="30:30" ht="15.75" customHeight="1">
      <c r="AD8311" s="794"/>
    </row>
    <row r="8312" spans="30:30" ht="15.75" customHeight="1">
      <c r="AD8312" s="794"/>
    </row>
    <row r="8313" spans="30:30" ht="15.75" customHeight="1">
      <c r="AD8313" s="794"/>
    </row>
    <row r="8314" spans="30:30" ht="15.75" customHeight="1">
      <c r="AD8314" s="794"/>
    </row>
    <row r="8315" spans="30:30" ht="15.75" customHeight="1">
      <c r="AD8315" s="794"/>
    </row>
    <row r="8316" spans="30:30" ht="15.75" customHeight="1">
      <c r="AD8316" s="794"/>
    </row>
    <row r="8317" spans="30:30" ht="15.75" customHeight="1">
      <c r="AD8317" s="794"/>
    </row>
    <row r="8318" spans="30:30" ht="15.75" customHeight="1">
      <c r="AD8318" s="794"/>
    </row>
    <row r="8319" spans="30:30" ht="15.75" customHeight="1">
      <c r="AD8319" s="794"/>
    </row>
    <row r="8320" spans="30:30" ht="15.75" customHeight="1">
      <c r="AD8320" s="794"/>
    </row>
    <row r="8321" spans="30:30" ht="15.75" customHeight="1">
      <c r="AD8321" s="794"/>
    </row>
    <row r="8322" spans="30:30" ht="15.75" customHeight="1">
      <c r="AD8322" s="794"/>
    </row>
    <row r="8323" spans="30:30" ht="15.75" customHeight="1">
      <c r="AD8323" s="794"/>
    </row>
    <row r="8324" spans="30:30" ht="15.75" customHeight="1">
      <c r="AD8324" s="794"/>
    </row>
    <row r="8325" spans="30:30" ht="15.75" customHeight="1">
      <c r="AD8325" s="794"/>
    </row>
    <row r="8326" spans="30:30" ht="15.75" customHeight="1">
      <c r="AD8326" s="794"/>
    </row>
    <row r="8327" spans="30:30" ht="15.75" customHeight="1">
      <c r="AD8327" s="794"/>
    </row>
    <row r="8328" spans="30:30" ht="15.75" customHeight="1">
      <c r="AD8328" s="794"/>
    </row>
    <row r="8329" spans="30:30" ht="15.75" customHeight="1">
      <c r="AD8329" s="794"/>
    </row>
    <row r="8330" spans="30:30" ht="15.75" customHeight="1">
      <c r="AD8330" s="794"/>
    </row>
    <row r="8331" spans="30:30" ht="15.75" customHeight="1">
      <c r="AD8331" s="794"/>
    </row>
    <row r="8332" spans="30:30" ht="15.75" customHeight="1">
      <c r="AD8332" s="794"/>
    </row>
    <row r="8333" spans="30:30" ht="15.75" customHeight="1">
      <c r="AD8333" s="794"/>
    </row>
    <row r="8334" spans="30:30" ht="15.75" customHeight="1">
      <c r="AD8334" s="794"/>
    </row>
    <row r="8335" spans="30:30" ht="15.75" customHeight="1">
      <c r="AD8335" s="794"/>
    </row>
    <row r="8336" spans="30:30" ht="15.75" customHeight="1">
      <c r="AD8336" s="794"/>
    </row>
    <row r="8337" spans="30:30" ht="15.75" customHeight="1">
      <c r="AD8337" s="794"/>
    </row>
    <row r="8338" spans="30:30" ht="15.75" customHeight="1">
      <c r="AD8338" s="794"/>
    </row>
    <row r="8339" spans="30:30" ht="15.75" customHeight="1">
      <c r="AD8339" s="794"/>
    </row>
    <row r="8340" spans="30:30" ht="15.75" customHeight="1">
      <c r="AD8340" s="794"/>
    </row>
    <row r="8341" spans="30:30" ht="15.75" customHeight="1">
      <c r="AD8341" s="794"/>
    </row>
    <row r="8342" spans="30:30" ht="15.75" customHeight="1">
      <c r="AD8342" s="794"/>
    </row>
    <row r="8343" spans="30:30" ht="15.75" customHeight="1">
      <c r="AD8343" s="794"/>
    </row>
    <row r="8344" spans="30:30" ht="15.75" customHeight="1">
      <c r="AD8344" s="794"/>
    </row>
    <row r="8345" spans="30:30" ht="15.75" customHeight="1">
      <c r="AD8345" s="794"/>
    </row>
    <row r="8346" spans="30:30" ht="15.75" customHeight="1">
      <c r="AD8346" s="794"/>
    </row>
    <row r="8347" spans="30:30" ht="15.75" customHeight="1">
      <c r="AD8347" s="794"/>
    </row>
    <row r="8348" spans="30:30" ht="15.75" customHeight="1">
      <c r="AD8348" s="794"/>
    </row>
    <row r="8349" spans="30:30" ht="15.75" customHeight="1">
      <c r="AD8349" s="794"/>
    </row>
    <row r="8350" spans="30:30" ht="15.75" customHeight="1">
      <c r="AD8350" s="794"/>
    </row>
    <row r="8351" spans="30:30" ht="15.75" customHeight="1">
      <c r="AD8351" s="794"/>
    </row>
    <row r="8352" spans="30:30" ht="15.75" customHeight="1">
      <c r="AD8352" s="794"/>
    </row>
    <row r="8353" spans="30:30" ht="15.75" customHeight="1">
      <c r="AD8353" s="794"/>
    </row>
    <row r="8354" spans="30:30" ht="15.75" customHeight="1">
      <c r="AD8354" s="794"/>
    </row>
    <row r="8355" spans="30:30" ht="15.75" customHeight="1">
      <c r="AD8355" s="794"/>
    </row>
    <row r="8356" spans="30:30" ht="15.75" customHeight="1">
      <c r="AD8356" s="794"/>
    </row>
    <row r="8357" spans="30:30" ht="15.75" customHeight="1">
      <c r="AD8357" s="794"/>
    </row>
    <row r="8358" spans="30:30" ht="15.75" customHeight="1">
      <c r="AD8358" s="794"/>
    </row>
    <row r="8359" spans="30:30" ht="15.75" customHeight="1">
      <c r="AD8359" s="794"/>
    </row>
    <row r="8360" spans="30:30" ht="15.75" customHeight="1">
      <c r="AD8360" s="794"/>
    </row>
    <row r="8361" spans="30:30" ht="15.75" customHeight="1">
      <c r="AD8361" s="794"/>
    </row>
    <row r="8362" spans="30:30" ht="15.75" customHeight="1">
      <c r="AD8362" s="794"/>
    </row>
    <row r="8363" spans="30:30" ht="15.75" customHeight="1">
      <c r="AD8363" s="794"/>
    </row>
    <row r="8364" spans="30:30" ht="15.75" customHeight="1">
      <c r="AD8364" s="794"/>
    </row>
    <row r="8365" spans="30:30" ht="15.75" customHeight="1">
      <c r="AD8365" s="794"/>
    </row>
    <row r="8366" spans="30:30" ht="15.75" customHeight="1">
      <c r="AD8366" s="794"/>
    </row>
    <row r="8367" spans="30:30" ht="15.75" customHeight="1">
      <c r="AD8367" s="794"/>
    </row>
    <row r="8368" spans="30:30" ht="15.75" customHeight="1">
      <c r="AD8368" s="794"/>
    </row>
    <row r="8369" spans="30:30" ht="15.75" customHeight="1">
      <c r="AD8369" s="794"/>
    </row>
    <row r="8370" spans="30:30" ht="15.75" customHeight="1">
      <c r="AD8370" s="794"/>
    </row>
    <row r="8371" spans="30:30" ht="15.75" customHeight="1">
      <c r="AD8371" s="794"/>
    </row>
    <row r="8372" spans="30:30" ht="15.75" customHeight="1">
      <c r="AD8372" s="794"/>
    </row>
    <row r="8373" spans="30:30" ht="15.75" customHeight="1">
      <c r="AD8373" s="794"/>
    </row>
    <row r="8374" spans="30:30" ht="15.75" customHeight="1">
      <c r="AD8374" s="794"/>
    </row>
    <row r="8375" spans="30:30" ht="15.75" customHeight="1">
      <c r="AD8375" s="794"/>
    </row>
    <row r="8376" spans="30:30" ht="15.75" customHeight="1">
      <c r="AD8376" s="794"/>
    </row>
    <row r="8377" spans="30:30" ht="15.75" customHeight="1">
      <c r="AD8377" s="794"/>
    </row>
    <row r="8378" spans="30:30" ht="15.75" customHeight="1">
      <c r="AD8378" s="794"/>
    </row>
    <row r="8379" spans="30:30" ht="15.75" customHeight="1">
      <c r="AD8379" s="794"/>
    </row>
    <row r="8380" spans="30:30" ht="15.75" customHeight="1">
      <c r="AD8380" s="794"/>
    </row>
    <row r="8381" spans="30:30" ht="15.75" customHeight="1">
      <c r="AD8381" s="794"/>
    </row>
    <row r="8382" spans="30:30" ht="15.75" customHeight="1">
      <c r="AD8382" s="794"/>
    </row>
    <row r="8383" spans="30:30" ht="15.75" customHeight="1">
      <c r="AD8383" s="794"/>
    </row>
    <row r="8384" spans="30:30" ht="15.75" customHeight="1">
      <c r="AD8384" s="794"/>
    </row>
    <row r="8385" spans="30:30" ht="15.75" customHeight="1">
      <c r="AD8385" s="794"/>
    </row>
    <row r="8386" spans="30:30" ht="15.75" customHeight="1">
      <c r="AD8386" s="794"/>
    </row>
    <row r="8387" spans="30:30" ht="15.75" customHeight="1">
      <c r="AD8387" s="794"/>
    </row>
    <row r="8388" spans="30:30" ht="15.75" customHeight="1">
      <c r="AD8388" s="794"/>
    </row>
    <row r="8389" spans="30:30" ht="15.75" customHeight="1">
      <c r="AD8389" s="794"/>
    </row>
    <row r="8390" spans="30:30" ht="15.75" customHeight="1">
      <c r="AD8390" s="794"/>
    </row>
    <row r="8391" spans="30:30" ht="15.75" customHeight="1">
      <c r="AD8391" s="794"/>
    </row>
    <row r="8392" spans="30:30" ht="15.75" customHeight="1">
      <c r="AD8392" s="794"/>
    </row>
    <row r="8393" spans="30:30" ht="15.75" customHeight="1">
      <c r="AD8393" s="794"/>
    </row>
    <row r="8394" spans="30:30" ht="15.75" customHeight="1">
      <c r="AD8394" s="794"/>
    </row>
    <row r="8395" spans="30:30" ht="15.75" customHeight="1">
      <c r="AD8395" s="794"/>
    </row>
    <row r="8396" spans="30:30" ht="15.75" customHeight="1">
      <c r="AD8396" s="794"/>
    </row>
    <row r="8397" spans="30:30" ht="15.75" customHeight="1">
      <c r="AD8397" s="794"/>
    </row>
    <row r="8398" spans="30:30" ht="15.75" customHeight="1">
      <c r="AD8398" s="794"/>
    </row>
    <row r="8399" spans="30:30" ht="15.75" customHeight="1">
      <c r="AD8399" s="794"/>
    </row>
    <row r="8400" spans="30:30" ht="15.75" customHeight="1">
      <c r="AD8400" s="794"/>
    </row>
    <row r="8401" spans="30:30" ht="15.75" customHeight="1">
      <c r="AD8401" s="794"/>
    </row>
    <row r="8402" spans="30:30" ht="15.75" customHeight="1">
      <c r="AD8402" s="794"/>
    </row>
    <row r="8403" spans="30:30" ht="15.75" customHeight="1">
      <c r="AD8403" s="794"/>
    </row>
    <row r="8404" spans="30:30" ht="15.75" customHeight="1">
      <c r="AD8404" s="794"/>
    </row>
    <row r="8405" spans="30:30" ht="15.75" customHeight="1">
      <c r="AD8405" s="794"/>
    </row>
    <row r="8406" spans="30:30" ht="15.75" customHeight="1">
      <c r="AD8406" s="794"/>
    </row>
    <row r="8407" spans="30:30" ht="15.75" customHeight="1">
      <c r="AD8407" s="794"/>
    </row>
    <row r="8408" spans="30:30" ht="15.75" customHeight="1">
      <c r="AD8408" s="794"/>
    </row>
    <row r="8409" spans="30:30" ht="15.75" customHeight="1">
      <c r="AD8409" s="794"/>
    </row>
    <row r="8410" spans="30:30" ht="15.75" customHeight="1">
      <c r="AD8410" s="794"/>
    </row>
    <row r="8411" spans="30:30" ht="15.75" customHeight="1">
      <c r="AD8411" s="794"/>
    </row>
    <row r="8412" spans="30:30" ht="15.75" customHeight="1">
      <c r="AD8412" s="794"/>
    </row>
    <row r="8413" spans="30:30" ht="15.75" customHeight="1">
      <c r="AD8413" s="794"/>
    </row>
    <row r="8414" spans="30:30" ht="15.75" customHeight="1">
      <c r="AD8414" s="794"/>
    </row>
    <row r="8415" spans="30:30" ht="15.75" customHeight="1">
      <c r="AD8415" s="794"/>
    </row>
    <row r="8416" spans="30:30" ht="15.75" customHeight="1">
      <c r="AD8416" s="794"/>
    </row>
    <row r="8417" spans="30:30" ht="15.75" customHeight="1">
      <c r="AD8417" s="794"/>
    </row>
    <row r="8418" spans="30:30" ht="15.75" customHeight="1">
      <c r="AD8418" s="794"/>
    </row>
    <row r="8419" spans="30:30" ht="15.75" customHeight="1">
      <c r="AD8419" s="794"/>
    </row>
    <row r="8420" spans="30:30" ht="15.75" customHeight="1">
      <c r="AD8420" s="794"/>
    </row>
    <row r="8421" spans="30:30" ht="15.75" customHeight="1">
      <c r="AD8421" s="794"/>
    </row>
    <row r="8422" spans="30:30" ht="15.75" customHeight="1">
      <c r="AD8422" s="794"/>
    </row>
    <row r="8423" spans="30:30" ht="15.75" customHeight="1">
      <c r="AD8423" s="794"/>
    </row>
    <row r="8424" spans="30:30" ht="15.75" customHeight="1">
      <c r="AD8424" s="794"/>
    </row>
    <row r="8425" spans="30:30" ht="15.75" customHeight="1">
      <c r="AD8425" s="794"/>
    </row>
    <row r="8426" spans="30:30" ht="15.75" customHeight="1">
      <c r="AD8426" s="794"/>
    </row>
    <row r="8427" spans="30:30" ht="15.75" customHeight="1">
      <c r="AD8427" s="794"/>
    </row>
    <row r="8428" spans="30:30" ht="15.75" customHeight="1">
      <c r="AD8428" s="794"/>
    </row>
    <row r="8429" spans="30:30" ht="15.75" customHeight="1">
      <c r="AD8429" s="794"/>
    </row>
    <row r="8430" spans="30:30" ht="15.75" customHeight="1">
      <c r="AD8430" s="794"/>
    </row>
    <row r="8431" spans="30:30" ht="15.75" customHeight="1">
      <c r="AD8431" s="794"/>
    </row>
    <row r="8432" spans="30:30" ht="15.75" customHeight="1">
      <c r="AD8432" s="794"/>
    </row>
    <row r="8433" spans="30:30" ht="15.75" customHeight="1">
      <c r="AD8433" s="794"/>
    </row>
    <row r="8434" spans="30:30" ht="15.75" customHeight="1">
      <c r="AD8434" s="794"/>
    </row>
    <row r="8435" spans="30:30" ht="15.75" customHeight="1">
      <c r="AD8435" s="794"/>
    </row>
    <row r="8436" spans="30:30" ht="15.75" customHeight="1">
      <c r="AD8436" s="794"/>
    </row>
    <row r="8437" spans="30:30" ht="15.75" customHeight="1">
      <c r="AD8437" s="794"/>
    </row>
    <row r="8438" spans="30:30" ht="15.75" customHeight="1">
      <c r="AD8438" s="794"/>
    </row>
    <row r="8439" spans="30:30" ht="15.75" customHeight="1">
      <c r="AD8439" s="794"/>
    </row>
    <row r="8440" spans="30:30" ht="15.75" customHeight="1">
      <c r="AD8440" s="794"/>
    </row>
    <row r="8441" spans="30:30" ht="15.75" customHeight="1">
      <c r="AD8441" s="794"/>
    </row>
    <row r="8442" spans="30:30" ht="15.75" customHeight="1">
      <c r="AD8442" s="794"/>
    </row>
    <row r="8443" spans="30:30" ht="15.75" customHeight="1">
      <c r="AD8443" s="794"/>
    </row>
    <row r="8444" spans="30:30" ht="15.75" customHeight="1">
      <c r="AD8444" s="794"/>
    </row>
    <row r="8445" spans="30:30" ht="15.75" customHeight="1">
      <c r="AD8445" s="794"/>
    </row>
    <row r="8446" spans="30:30" ht="15.75" customHeight="1">
      <c r="AD8446" s="794"/>
    </row>
    <row r="8447" spans="30:30" ht="15.75" customHeight="1">
      <c r="AD8447" s="794"/>
    </row>
    <row r="8448" spans="30:30" ht="15.75" customHeight="1">
      <c r="AD8448" s="794"/>
    </row>
    <row r="8449" spans="30:30" ht="15.75" customHeight="1">
      <c r="AD8449" s="794"/>
    </row>
    <row r="8450" spans="30:30" ht="15.75" customHeight="1">
      <c r="AD8450" s="794"/>
    </row>
    <row r="8451" spans="30:30" ht="15.75" customHeight="1">
      <c r="AD8451" s="794"/>
    </row>
    <row r="8452" spans="30:30" ht="15.75" customHeight="1">
      <c r="AD8452" s="794"/>
    </row>
    <row r="8453" spans="30:30" ht="15.75" customHeight="1">
      <c r="AD8453" s="794"/>
    </row>
    <row r="8454" spans="30:30" ht="15.75" customHeight="1">
      <c r="AD8454" s="794"/>
    </row>
    <row r="8455" spans="30:30" ht="15.75" customHeight="1">
      <c r="AD8455" s="794"/>
    </row>
    <row r="8456" spans="30:30" ht="15.75" customHeight="1">
      <c r="AD8456" s="794"/>
    </row>
    <row r="8457" spans="30:30" ht="15.75" customHeight="1">
      <c r="AD8457" s="794"/>
    </row>
    <row r="8458" spans="30:30" ht="15.75" customHeight="1">
      <c r="AD8458" s="794"/>
    </row>
    <row r="8459" spans="30:30" ht="15.75" customHeight="1">
      <c r="AD8459" s="794"/>
    </row>
    <row r="8460" spans="30:30" ht="15.75" customHeight="1">
      <c r="AD8460" s="794"/>
    </row>
    <row r="8461" spans="30:30" ht="15.75" customHeight="1">
      <c r="AD8461" s="794"/>
    </row>
    <row r="8462" spans="30:30" ht="15.75" customHeight="1">
      <c r="AD8462" s="794"/>
    </row>
    <row r="8463" spans="30:30" ht="15.75" customHeight="1">
      <c r="AD8463" s="794"/>
    </row>
    <row r="8464" spans="30:30" ht="15.75" customHeight="1">
      <c r="AD8464" s="794"/>
    </row>
    <row r="8465" spans="30:30" ht="15.75" customHeight="1">
      <c r="AD8465" s="794"/>
    </row>
    <row r="8466" spans="30:30" ht="15.75" customHeight="1">
      <c r="AD8466" s="794"/>
    </row>
    <row r="8467" spans="30:30" ht="15.75" customHeight="1">
      <c r="AD8467" s="794"/>
    </row>
    <row r="8468" spans="30:30" ht="15.75" customHeight="1">
      <c r="AD8468" s="794"/>
    </row>
    <row r="8469" spans="30:30" ht="15.75" customHeight="1">
      <c r="AD8469" s="794"/>
    </row>
    <row r="8470" spans="30:30" ht="15.75" customHeight="1">
      <c r="AD8470" s="794"/>
    </row>
    <row r="8471" spans="30:30" ht="15.75" customHeight="1">
      <c r="AD8471" s="794"/>
    </row>
    <row r="8472" spans="30:30" ht="15.75" customHeight="1">
      <c r="AD8472" s="794"/>
    </row>
    <row r="8473" spans="30:30" ht="15.75" customHeight="1">
      <c r="AD8473" s="794"/>
    </row>
    <row r="8474" spans="30:30" ht="15.75" customHeight="1">
      <c r="AD8474" s="794"/>
    </row>
    <row r="8475" spans="30:30" ht="15.75" customHeight="1">
      <c r="AD8475" s="794"/>
    </row>
    <row r="8476" spans="30:30" ht="15.75" customHeight="1">
      <c r="AD8476" s="794"/>
    </row>
    <row r="8477" spans="30:30" ht="15.75" customHeight="1">
      <c r="AD8477" s="794"/>
    </row>
    <row r="8478" spans="30:30" ht="15.75" customHeight="1">
      <c r="AD8478" s="794"/>
    </row>
    <row r="8479" spans="30:30" ht="15.75" customHeight="1">
      <c r="AD8479" s="794"/>
    </row>
    <row r="8480" spans="30:30" ht="15.75" customHeight="1">
      <c r="AD8480" s="794"/>
    </row>
    <row r="8481" spans="30:30" ht="15.75" customHeight="1">
      <c r="AD8481" s="794"/>
    </row>
    <row r="8482" spans="30:30" ht="15.75" customHeight="1">
      <c r="AD8482" s="794"/>
    </row>
    <row r="8483" spans="30:30" ht="15.75" customHeight="1">
      <c r="AD8483" s="794"/>
    </row>
    <row r="8484" spans="30:30" ht="15.75" customHeight="1">
      <c r="AD8484" s="794"/>
    </row>
    <row r="8485" spans="30:30" ht="15.75" customHeight="1">
      <c r="AD8485" s="794"/>
    </row>
    <row r="8486" spans="30:30" ht="15.75" customHeight="1">
      <c r="AD8486" s="794"/>
    </row>
    <row r="8487" spans="30:30" ht="15.75" customHeight="1">
      <c r="AD8487" s="794"/>
    </row>
    <row r="8488" spans="30:30" ht="15.75" customHeight="1">
      <c r="AD8488" s="794"/>
    </row>
    <row r="8489" spans="30:30" ht="15.75" customHeight="1">
      <c r="AD8489" s="794"/>
    </row>
    <row r="8490" spans="30:30" ht="15.75" customHeight="1">
      <c r="AD8490" s="794"/>
    </row>
    <row r="8491" spans="30:30" ht="15.75" customHeight="1">
      <c r="AD8491" s="794"/>
    </row>
    <row r="8492" spans="30:30" ht="15.75" customHeight="1">
      <c r="AD8492" s="794"/>
    </row>
    <row r="8493" spans="30:30" ht="15.75" customHeight="1">
      <c r="AD8493" s="794"/>
    </row>
    <row r="8494" spans="30:30" ht="15.75" customHeight="1">
      <c r="AD8494" s="794"/>
    </row>
    <row r="8495" spans="30:30" ht="15.75" customHeight="1">
      <c r="AD8495" s="794"/>
    </row>
    <row r="8496" spans="30:30" ht="15.75" customHeight="1">
      <c r="AD8496" s="794"/>
    </row>
    <row r="8497" spans="30:30" ht="15.75" customHeight="1">
      <c r="AD8497" s="794"/>
    </row>
    <row r="8498" spans="30:30" ht="15.75" customHeight="1">
      <c r="AD8498" s="794"/>
    </row>
    <row r="8499" spans="30:30" ht="15.75" customHeight="1">
      <c r="AD8499" s="794"/>
    </row>
    <row r="8500" spans="30:30" ht="15.75" customHeight="1">
      <c r="AD8500" s="794"/>
    </row>
    <row r="8501" spans="30:30" ht="15.75" customHeight="1">
      <c r="AD8501" s="794"/>
    </row>
    <row r="8502" spans="30:30" ht="15.75" customHeight="1">
      <c r="AD8502" s="794"/>
    </row>
    <row r="8503" spans="30:30" ht="15.75" customHeight="1">
      <c r="AD8503" s="794"/>
    </row>
    <row r="8504" spans="30:30" ht="15.75" customHeight="1">
      <c r="AD8504" s="794"/>
    </row>
    <row r="8505" spans="30:30" ht="15.75" customHeight="1">
      <c r="AD8505" s="794"/>
    </row>
    <row r="8506" spans="30:30" ht="15.75" customHeight="1">
      <c r="AD8506" s="794"/>
    </row>
    <row r="8507" spans="30:30" ht="15.75" customHeight="1">
      <c r="AD8507" s="794"/>
    </row>
    <row r="8508" spans="30:30" ht="15.75" customHeight="1">
      <c r="AD8508" s="794"/>
    </row>
    <row r="8509" spans="30:30" ht="15.75" customHeight="1">
      <c r="AD8509" s="794"/>
    </row>
    <row r="8510" spans="30:30" ht="15.75" customHeight="1">
      <c r="AD8510" s="794"/>
    </row>
    <row r="8511" spans="30:30" ht="15.75" customHeight="1">
      <c r="AD8511" s="794"/>
    </row>
    <row r="8512" spans="30:30" ht="15.75" customHeight="1">
      <c r="AD8512" s="794"/>
    </row>
    <row r="8513" spans="30:30" ht="15.75" customHeight="1">
      <c r="AD8513" s="794"/>
    </row>
    <row r="8514" spans="30:30" ht="15.75" customHeight="1">
      <c r="AD8514" s="794"/>
    </row>
    <row r="8515" spans="30:30" ht="15.75" customHeight="1">
      <c r="AD8515" s="794"/>
    </row>
    <row r="8516" spans="30:30" ht="15.75" customHeight="1">
      <c r="AD8516" s="794"/>
    </row>
    <row r="8517" spans="30:30" ht="15.75" customHeight="1">
      <c r="AD8517" s="794"/>
    </row>
    <row r="8518" spans="30:30" ht="15.75" customHeight="1">
      <c r="AD8518" s="794"/>
    </row>
    <row r="8519" spans="30:30" ht="15.75" customHeight="1">
      <c r="AD8519" s="794"/>
    </row>
    <row r="8520" spans="30:30" ht="15.75" customHeight="1">
      <c r="AD8520" s="794"/>
    </row>
    <row r="8521" spans="30:30" ht="15.75" customHeight="1">
      <c r="AD8521" s="794"/>
    </row>
    <row r="8522" spans="30:30" ht="15.75" customHeight="1">
      <c r="AD8522" s="794"/>
    </row>
    <row r="8523" spans="30:30" ht="15.75" customHeight="1">
      <c r="AD8523" s="794"/>
    </row>
    <row r="8524" spans="30:30" ht="15.75" customHeight="1">
      <c r="AD8524" s="794"/>
    </row>
    <row r="8525" spans="30:30" ht="15.75" customHeight="1">
      <c r="AD8525" s="794"/>
    </row>
    <row r="8526" spans="30:30" ht="15.75" customHeight="1">
      <c r="AD8526" s="794"/>
    </row>
    <row r="8527" spans="30:30" ht="15.75" customHeight="1">
      <c r="AD8527" s="794"/>
    </row>
    <row r="8528" spans="30:30" ht="15.75" customHeight="1">
      <c r="AD8528" s="794"/>
    </row>
    <row r="8529" spans="30:30" ht="15.75" customHeight="1">
      <c r="AD8529" s="794"/>
    </row>
    <row r="8530" spans="30:30" ht="15.75" customHeight="1">
      <c r="AD8530" s="794"/>
    </row>
    <row r="8531" spans="30:30" ht="15.75" customHeight="1">
      <c r="AD8531" s="794"/>
    </row>
    <row r="8532" spans="30:30" ht="15.75" customHeight="1">
      <c r="AD8532" s="794"/>
    </row>
    <row r="8533" spans="30:30" ht="15.75" customHeight="1">
      <c r="AD8533" s="794"/>
    </row>
    <row r="8534" spans="30:30" ht="15.75" customHeight="1">
      <c r="AD8534" s="794"/>
    </row>
    <row r="8535" spans="30:30" ht="15.75" customHeight="1">
      <c r="AD8535" s="794"/>
    </row>
    <row r="8536" spans="30:30" ht="15.75" customHeight="1">
      <c r="AD8536" s="794"/>
    </row>
    <row r="8537" spans="30:30" ht="15.75" customHeight="1">
      <c r="AD8537" s="794"/>
    </row>
    <row r="8538" spans="30:30" ht="15.75" customHeight="1">
      <c r="AD8538" s="794"/>
    </row>
    <row r="8539" spans="30:30" ht="15.75" customHeight="1">
      <c r="AD8539" s="794"/>
    </row>
    <row r="8540" spans="30:30" ht="15.75" customHeight="1">
      <c r="AD8540" s="794"/>
    </row>
    <row r="8541" spans="30:30" ht="15.75" customHeight="1">
      <c r="AD8541" s="794"/>
    </row>
    <row r="8542" spans="30:30" ht="15.75" customHeight="1">
      <c r="AD8542" s="794"/>
    </row>
    <row r="8543" spans="30:30" ht="15.75" customHeight="1">
      <c r="AD8543" s="794"/>
    </row>
    <row r="8544" spans="30:30" ht="15.75" customHeight="1">
      <c r="AD8544" s="794"/>
    </row>
    <row r="8545" spans="30:30" ht="15.75" customHeight="1">
      <c r="AD8545" s="794"/>
    </row>
    <row r="8546" spans="30:30" ht="15.75" customHeight="1">
      <c r="AD8546" s="794"/>
    </row>
    <row r="8547" spans="30:30" ht="15.75" customHeight="1">
      <c r="AD8547" s="794"/>
    </row>
    <row r="8548" spans="30:30" ht="15.75" customHeight="1">
      <c r="AD8548" s="794"/>
    </row>
    <row r="8549" spans="30:30" ht="15.75" customHeight="1">
      <c r="AD8549" s="794"/>
    </row>
    <row r="8550" spans="30:30" ht="15.75" customHeight="1">
      <c r="AD8550" s="794"/>
    </row>
    <row r="8551" spans="30:30" ht="15.75" customHeight="1">
      <c r="AD8551" s="794"/>
    </row>
    <row r="8552" spans="30:30" ht="15.75" customHeight="1">
      <c r="AD8552" s="794"/>
    </row>
    <row r="8553" spans="30:30" ht="15.75" customHeight="1">
      <c r="AD8553" s="794"/>
    </row>
    <row r="8554" spans="30:30" ht="15.75" customHeight="1">
      <c r="AD8554" s="794"/>
    </row>
    <row r="8555" spans="30:30" ht="15.75" customHeight="1">
      <c r="AD8555" s="794"/>
    </row>
    <row r="8556" spans="30:30" ht="15.75" customHeight="1">
      <c r="AD8556" s="794"/>
    </row>
    <row r="8557" spans="30:30" ht="15.75" customHeight="1">
      <c r="AD8557" s="794"/>
    </row>
    <row r="8558" spans="30:30" ht="15.75" customHeight="1">
      <c r="AD8558" s="794"/>
    </row>
    <row r="8559" spans="30:30" ht="15.75" customHeight="1">
      <c r="AD8559" s="794"/>
    </row>
    <row r="8560" spans="30:30" ht="15.75" customHeight="1">
      <c r="AD8560" s="794"/>
    </row>
    <row r="8561" spans="30:30" ht="15.75" customHeight="1">
      <c r="AD8561" s="794"/>
    </row>
    <row r="8562" spans="30:30" ht="15.75" customHeight="1">
      <c r="AD8562" s="794"/>
    </row>
    <row r="8563" spans="30:30" ht="15.75" customHeight="1">
      <c r="AD8563" s="794"/>
    </row>
    <row r="8564" spans="30:30" ht="15.75" customHeight="1">
      <c r="AD8564" s="794"/>
    </row>
    <row r="8565" spans="30:30" ht="15.75" customHeight="1">
      <c r="AD8565" s="794"/>
    </row>
    <row r="8566" spans="30:30" ht="15.75" customHeight="1">
      <c r="AD8566" s="794"/>
    </row>
    <row r="8567" spans="30:30" ht="15.75" customHeight="1">
      <c r="AD8567" s="794"/>
    </row>
    <row r="8568" spans="30:30" ht="15.75" customHeight="1">
      <c r="AD8568" s="794"/>
    </row>
    <row r="8569" spans="30:30" ht="15.75" customHeight="1">
      <c r="AD8569" s="794"/>
    </row>
    <row r="8570" spans="30:30" ht="15.75" customHeight="1">
      <c r="AD8570" s="794"/>
    </row>
    <row r="8571" spans="30:30" ht="15.75" customHeight="1">
      <c r="AD8571" s="794"/>
    </row>
    <row r="8572" spans="30:30" ht="15.75" customHeight="1">
      <c r="AD8572" s="794"/>
    </row>
    <row r="8573" spans="30:30" ht="15.75" customHeight="1">
      <c r="AD8573" s="794"/>
    </row>
    <row r="8574" spans="30:30" ht="15.75" customHeight="1">
      <c r="AD8574" s="794"/>
    </row>
    <row r="8575" spans="30:30" ht="15.75" customHeight="1">
      <c r="AD8575" s="794"/>
    </row>
    <row r="8576" spans="30:30" ht="15.75" customHeight="1">
      <c r="AD8576" s="794"/>
    </row>
    <row r="8577" spans="30:30" ht="15.75" customHeight="1">
      <c r="AD8577" s="794"/>
    </row>
    <row r="8578" spans="30:30" ht="15.75" customHeight="1">
      <c r="AD8578" s="794"/>
    </row>
    <row r="8579" spans="30:30" ht="15.75" customHeight="1">
      <c r="AD8579" s="794"/>
    </row>
    <row r="8580" spans="30:30" ht="15.75" customHeight="1">
      <c r="AD8580" s="794"/>
    </row>
    <row r="8581" spans="30:30" ht="15.75" customHeight="1">
      <c r="AD8581" s="794"/>
    </row>
    <row r="8582" spans="30:30" ht="15.75" customHeight="1">
      <c r="AD8582" s="794"/>
    </row>
    <row r="8583" spans="30:30" ht="15.75" customHeight="1">
      <c r="AD8583" s="794"/>
    </row>
    <row r="8584" spans="30:30" ht="15.75" customHeight="1">
      <c r="AD8584" s="794"/>
    </row>
    <row r="8585" spans="30:30" ht="15.75" customHeight="1">
      <c r="AD8585" s="794"/>
    </row>
    <row r="8586" spans="30:30" ht="15.75" customHeight="1">
      <c r="AD8586" s="794"/>
    </row>
    <row r="8587" spans="30:30" ht="15.75" customHeight="1">
      <c r="AD8587" s="794"/>
    </row>
    <row r="8588" spans="30:30" ht="15.75" customHeight="1">
      <c r="AD8588" s="794"/>
    </row>
    <row r="8589" spans="30:30" ht="15.75" customHeight="1">
      <c r="AD8589" s="794"/>
    </row>
    <row r="8590" spans="30:30" ht="15.75" customHeight="1">
      <c r="AD8590" s="794"/>
    </row>
    <row r="8591" spans="30:30" ht="15.75" customHeight="1">
      <c r="AD8591" s="794"/>
    </row>
    <row r="8592" spans="30:30" ht="15.75" customHeight="1">
      <c r="AD8592" s="794"/>
    </row>
    <row r="8593" spans="30:30" ht="15.75" customHeight="1">
      <c r="AD8593" s="794"/>
    </row>
    <row r="8594" spans="30:30" ht="15.75" customHeight="1">
      <c r="AD8594" s="794"/>
    </row>
    <row r="8595" spans="30:30" ht="15.75" customHeight="1">
      <c r="AD8595" s="794"/>
    </row>
    <row r="8596" spans="30:30" ht="15.75" customHeight="1">
      <c r="AD8596" s="794"/>
    </row>
    <row r="8597" spans="30:30" ht="15.75" customHeight="1">
      <c r="AD8597" s="794"/>
    </row>
    <row r="8598" spans="30:30" ht="15.75" customHeight="1">
      <c r="AD8598" s="794"/>
    </row>
    <row r="8599" spans="30:30" ht="15.75" customHeight="1">
      <c r="AD8599" s="794"/>
    </row>
    <row r="8600" spans="30:30" ht="15.75" customHeight="1">
      <c r="AD8600" s="794"/>
    </row>
    <row r="8601" spans="30:30" ht="15.75" customHeight="1">
      <c r="AD8601" s="794"/>
    </row>
    <row r="8602" spans="30:30" ht="15.75" customHeight="1">
      <c r="AD8602" s="794"/>
    </row>
    <row r="8603" spans="30:30" ht="15.75" customHeight="1">
      <c r="AD8603" s="794"/>
    </row>
    <row r="8604" spans="30:30" ht="15.75" customHeight="1">
      <c r="AD8604" s="794"/>
    </row>
    <row r="8605" spans="30:30" ht="15.75" customHeight="1">
      <c r="AD8605" s="794"/>
    </row>
    <row r="8606" spans="30:30" ht="15.75" customHeight="1">
      <c r="AD8606" s="794"/>
    </row>
    <row r="8607" spans="30:30" ht="15.75" customHeight="1">
      <c r="AD8607" s="794"/>
    </row>
    <row r="8608" spans="30:30" ht="15.75" customHeight="1">
      <c r="AD8608" s="794"/>
    </row>
    <row r="8609" spans="30:30" ht="15.75" customHeight="1">
      <c r="AD8609" s="794"/>
    </row>
    <row r="8610" spans="30:30" ht="15.75" customHeight="1">
      <c r="AD8610" s="794"/>
    </row>
    <row r="8611" spans="30:30" ht="15.75" customHeight="1">
      <c r="AD8611" s="794"/>
    </row>
    <row r="8612" spans="30:30" ht="15.75" customHeight="1">
      <c r="AD8612" s="794"/>
    </row>
    <row r="8613" spans="30:30" ht="15.75" customHeight="1">
      <c r="AD8613" s="794"/>
    </row>
    <row r="8614" spans="30:30" ht="15.75" customHeight="1">
      <c r="AD8614" s="794"/>
    </row>
    <row r="8615" spans="30:30" ht="15.75" customHeight="1">
      <c r="AD8615" s="794"/>
    </row>
    <row r="8616" spans="30:30" ht="15.75" customHeight="1">
      <c r="AD8616" s="794"/>
    </row>
    <row r="8617" spans="30:30" ht="15.75" customHeight="1">
      <c r="AD8617" s="794"/>
    </row>
    <row r="8618" spans="30:30" ht="15.75" customHeight="1">
      <c r="AD8618" s="794"/>
    </row>
    <row r="8619" spans="30:30" ht="15.75" customHeight="1">
      <c r="AD8619" s="794"/>
    </row>
    <row r="8620" spans="30:30" ht="15.75" customHeight="1">
      <c r="AD8620" s="794"/>
    </row>
    <row r="8621" spans="30:30" ht="15.75" customHeight="1">
      <c r="AD8621" s="794"/>
    </row>
    <row r="8622" spans="30:30" ht="15.75" customHeight="1">
      <c r="AD8622" s="794"/>
    </row>
    <row r="8623" spans="30:30" ht="15.75" customHeight="1">
      <c r="AD8623" s="794"/>
    </row>
    <row r="8624" spans="30:30" ht="15.75" customHeight="1">
      <c r="AD8624" s="794"/>
    </row>
    <row r="8625" spans="30:30" ht="15.75" customHeight="1">
      <c r="AD8625" s="794"/>
    </row>
    <row r="8626" spans="30:30" ht="15.75" customHeight="1">
      <c r="AD8626" s="794"/>
    </row>
    <row r="8627" spans="30:30" ht="15.75" customHeight="1">
      <c r="AD8627" s="794"/>
    </row>
    <row r="8628" spans="30:30" ht="15.75" customHeight="1">
      <c r="AD8628" s="794"/>
    </row>
    <row r="8629" spans="30:30" ht="15.75" customHeight="1">
      <c r="AD8629" s="794"/>
    </row>
    <row r="8630" spans="30:30" ht="15.75" customHeight="1">
      <c r="AD8630" s="794"/>
    </row>
    <row r="8631" spans="30:30" ht="15.75" customHeight="1">
      <c r="AD8631" s="794"/>
    </row>
    <row r="8632" spans="30:30" ht="15.75" customHeight="1">
      <c r="AD8632" s="794"/>
    </row>
    <row r="8633" spans="30:30" ht="15.75" customHeight="1">
      <c r="AD8633" s="794"/>
    </row>
    <row r="8634" spans="30:30" ht="15.75" customHeight="1">
      <c r="AD8634" s="794"/>
    </row>
    <row r="8635" spans="30:30" ht="15.75" customHeight="1">
      <c r="AD8635" s="794"/>
    </row>
    <row r="8636" spans="30:30" ht="15.75" customHeight="1">
      <c r="AD8636" s="794"/>
    </row>
    <row r="8637" spans="30:30" ht="15.75" customHeight="1">
      <c r="AD8637" s="794"/>
    </row>
    <row r="8638" spans="30:30" ht="15.75" customHeight="1">
      <c r="AD8638" s="794"/>
    </row>
    <row r="8639" spans="30:30" ht="15.75" customHeight="1">
      <c r="AD8639" s="794"/>
    </row>
    <row r="8640" spans="30:30" ht="15.75" customHeight="1">
      <c r="AD8640" s="794"/>
    </row>
    <row r="8641" spans="30:30" ht="15.75" customHeight="1">
      <c r="AD8641" s="794"/>
    </row>
    <row r="8642" spans="30:30" ht="15.75" customHeight="1">
      <c r="AD8642" s="794"/>
    </row>
    <row r="8643" spans="30:30" ht="15.75" customHeight="1">
      <c r="AD8643" s="794"/>
    </row>
    <row r="8644" spans="30:30" ht="15.75" customHeight="1">
      <c r="AD8644" s="794"/>
    </row>
    <row r="8645" spans="30:30" ht="15.75" customHeight="1">
      <c r="AD8645" s="794"/>
    </row>
    <row r="8646" spans="30:30" ht="15.75" customHeight="1">
      <c r="AD8646" s="794"/>
    </row>
    <row r="8647" spans="30:30" ht="15.75" customHeight="1">
      <c r="AD8647" s="794"/>
    </row>
    <row r="8648" spans="30:30" ht="15.75" customHeight="1">
      <c r="AD8648" s="794"/>
    </row>
    <row r="8649" spans="30:30" ht="15.75" customHeight="1">
      <c r="AD8649" s="794"/>
    </row>
    <row r="8650" spans="30:30" ht="15.75" customHeight="1">
      <c r="AD8650" s="794"/>
    </row>
    <row r="8651" spans="30:30" ht="15.75" customHeight="1">
      <c r="AD8651" s="794"/>
    </row>
    <row r="8652" spans="30:30" ht="15.75" customHeight="1">
      <c r="AD8652" s="794"/>
    </row>
    <row r="8653" spans="30:30" ht="15.75" customHeight="1">
      <c r="AD8653" s="794"/>
    </row>
    <row r="8654" spans="30:30" ht="15.75" customHeight="1">
      <c r="AD8654" s="794"/>
    </row>
    <row r="8655" spans="30:30" ht="15.75" customHeight="1">
      <c r="AD8655" s="794"/>
    </row>
    <row r="8656" spans="30:30" ht="15.75" customHeight="1">
      <c r="AD8656" s="794"/>
    </row>
    <row r="8657" spans="30:30" ht="15.75" customHeight="1">
      <c r="AD8657" s="794"/>
    </row>
    <row r="8658" spans="30:30" ht="15.75" customHeight="1">
      <c r="AD8658" s="794"/>
    </row>
    <row r="8659" spans="30:30" ht="15.75" customHeight="1">
      <c r="AD8659" s="794"/>
    </row>
    <row r="8660" spans="30:30" ht="15.75" customHeight="1">
      <c r="AD8660" s="794"/>
    </row>
    <row r="8661" spans="30:30" ht="15.75" customHeight="1">
      <c r="AD8661" s="794"/>
    </row>
    <row r="8662" spans="30:30" ht="15.75" customHeight="1">
      <c r="AD8662" s="794"/>
    </row>
    <row r="8663" spans="30:30" ht="15.75" customHeight="1">
      <c r="AD8663" s="794"/>
    </row>
    <row r="8664" spans="30:30" ht="15.75" customHeight="1">
      <c r="AD8664" s="794"/>
    </row>
    <row r="8665" spans="30:30" ht="15.75" customHeight="1">
      <c r="AD8665" s="794"/>
    </row>
    <row r="8666" spans="30:30" ht="15.75" customHeight="1">
      <c r="AD8666" s="794"/>
    </row>
    <row r="8667" spans="30:30" ht="15.75" customHeight="1">
      <c r="AD8667" s="794"/>
    </row>
    <row r="8668" spans="30:30" ht="15.75" customHeight="1">
      <c r="AD8668" s="794"/>
    </row>
    <row r="8669" spans="30:30" ht="15.75" customHeight="1">
      <c r="AD8669" s="794"/>
    </row>
    <row r="8670" spans="30:30" ht="15.75" customHeight="1">
      <c r="AD8670" s="794"/>
    </row>
    <row r="8671" spans="30:30" ht="15.75" customHeight="1">
      <c r="AD8671" s="794"/>
    </row>
    <row r="8672" spans="30:30" ht="15.75" customHeight="1">
      <c r="AD8672" s="794"/>
    </row>
    <row r="8673" spans="30:30" ht="15.75" customHeight="1">
      <c r="AD8673" s="794"/>
    </row>
    <row r="8674" spans="30:30" ht="15.75" customHeight="1">
      <c r="AD8674" s="794"/>
    </row>
    <row r="8675" spans="30:30" ht="15.75" customHeight="1">
      <c r="AD8675" s="794"/>
    </row>
    <row r="8676" spans="30:30" ht="15.75" customHeight="1">
      <c r="AD8676" s="794"/>
    </row>
    <row r="8677" spans="30:30" ht="15.75" customHeight="1">
      <c r="AD8677" s="794"/>
    </row>
    <row r="8678" spans="30:30" ht="15.75" customHeight="1">
      <c r="AD8678" s="794"/>
    </row>
    <row r="8679" spans="30:30" ht="15.75" customHeight="1">
      <c r="AD8679" s="794"/>
    </row>
    <row r="8680" spans="30:30" ht="15.75" customHeight="1">
      <c r="AD8680" s="794"/>
    </row>
    <row r="8681" spans="30:30" ht="15.75" customHeight="1">
      <c r="AD8681" s="794"/>
    </row>
    <row r="8682" spans="30:30" ht="15.75" customHeight="1">
      <c r="AD8682" s="794"/>
    </row>
    <row r="8683" spans="30:30" ht="15.75" customHeight="1">
      <c r="AD8683" s="794"/>
    </row>
    <row r="8684" spans="30:30" ht="15.75" customHeight="1">
      <c r="AD8684" s="794"/>
    </row>
    <row r="8685" spans="30:30" ht="15.75" customHeight="1">
      <c r="AD8685" s="794"/>
    </row>
    <row r="8686" spans="30:30" ht="15.75" customHeight="1">
      <c r="AD8686" s="794"/>
    </row>
    <row r="8687" spans="30:30" ht="15.75" customHeight="1">
      <c r="AD8687" s="794"/>
    </row>
    <row r="8688" spans="30:30" ht="15.75" customHeight="1">
      <c r="AD8688" s="794"/>
    </row>
    <row r="8689" spans="30:30" ht="15.75" customHeight="1">
      <c r="AD8689" s="794"/>
    </row>
    <row r="8690" spans="30:30" ht="15.75" customHeight="1">
      <c r="AD8690" s="794"/>
    </row>
    <row r="8691" spans="30:30" ht="15.75" customHeight="1">
      <c r="AD8691" s="794"/>
    </row>
    <row r="8692" spans="30:30" ht="15.75" customHeight="1">
      <c r="AD8692" s="794"/>
    </row>
    <row r="8693" spans="30:30" ht="15.75" customHeight="1">
      <c r="AD8693" s="794"/>
    </row>
    <row r="8694" spans="30:30" ht="15.75" customHeight="1">
      <c r="AD8694" s="794"/>
    </row>
    <row r="8695" spans="30:30" ht="15.75" customHeight="1">
      <c r="AD8695" s="794"/>
    </row>
    <row r="8696" spans="30:30" ht="15.75" customHeight="1">
      <c r="AD8696" s="794"/>
    </row>
    <row r="8697" spans="30:30" ht="15.75" customHeight="1">
      <c r="AD8697" s="794"/>
    </row>
    <row r="8698" spans="30:30" ht="15.75" customHeight="1">
      <c r="AD8698" s="794"/>
    </row>
    <row r="8699" spans="30:30" ht="15.75" customHeight="1">
      <c r="AD8699" s="794"/>
    </row>
    <row r="8700" spans="30:30" ht="15.75" customHeight="1">
      <c r="AD8700" s="794"/>
    </row>
    <row r="8701" spans="30:30" ht="15.75" customHeight="1">
      <c r="AD8701" s="794"/>
    </row>
    <row r="8702" spans="30:30" ht="15.75" customHeight="1">
      <c r="AD8702" s="794"/>
    </row>
    <row r="8703" spans="30:30" ht="15.75" customHeight="1">
      <c r="AD8703" s="794"/>
    </row>
    <row r="8704" spans="30:30" ht="15.75" customHeight="1">
      <c r="AD8704" s="794"/>
    </row>
    <row r="8705" spans="30:30" ht="15.75" customHeight="1">
      <c r="AD8705" s="794"/>
    </row>
    <row r="8706" spans="30:30" ht="15.75" customHeight="1">
      <c r="AD8706" s="794"/>
    </row>
    <row r="8707" spans="30:30" ht="15.75" customHeight="1">
      <c r="AD8707" s="794"/>
    </row>
    <row r="8708" spans="30:30" ht="15.75" customHeight="1">
      <c r="AD8708" s="794"/>
    </row>
    <row r="8709" spans="30:30" ht="15.75" customHeight="1">
      <c r="AD8709" s="794"/>
    </row>
    <row r="8710" spans="30:30" ht="15.75" customHeight="1">
      <c r="AD8710" s="794"/>
    </row>
    <row r="8711" spans="30:30" ht="15.75" customHeight="1">
      <c r="AD8711" s="794"/>
    </row>
    <row r="8712" spans="30:30" ht="15.75" customHeight="1">
      <c r="AD8712" s="794"/>
    </row>
    <row r="8713" spans="30:30" ht="15.75" customHeight="1">
      <c r="AD8713" s="794"/>
    </row>
    <row r="8714" spans="30:30" ht="15.75" customHeight="1">
      <c r="AD8714" s="794"/>
    </row>
    <row r="8715" spans="30:30" ht="15.75" customHeight="1">
      <c r="AD8715" s="794"/>
    </row>
    <row r="8716" spans="30:30" ht="15.75" customHeight="1">
      <c r="AD8716" s="794"/>
    </row>
    <row r="8717" spans="30:30" ht="15.75" customHeight="1">
      <c r="AD8717" s="794"/>
    </row>
    <row r="8718" spans="30:30" ht="15.75" customHeight="1">
      <c r="AD8718" s="794"/>
    </row>
    <row r="8719" spans="30:30" ht="15.75" customHeight="1">
      <c r="AD8719" s="794"/>
    </row>
    <row r="8720" spans="30:30" ht="15.75" customHeight="1">
      <c r="AD8720" s="794"/>
    </row>
    <row r="8721" spans="30:30" ht="15.75" customHeight="1">
      <c r="AD8721" s="794"/>
    </row>
    <row r="8722" spans="30:30" ht="15.75" customHeight="1">
      <c r="AD8722" s="794"/>
    </row>
    <row r="8723" spans="30:30" ht="15.75" customHeight="1">
      <c r="AD8723" s="794"/>
    </row>
    <row r="8724" spans="30:30" ht="15.75" customHeight="1">
      <c r="AD8724" s="794"/>
    </row>
    <row r="8725" spans="30:30" ht="15.75" customHeight="1">
      <c r="AD8725" s="794"/>
    </row>
    <row r="8726" spans="30:30" ht="15.75" customHeight="1">
      <c r="AD8726" s="794"/>
    </row>
    <row r="8727" spans="30:30" ht="15.75" customHeight="1">
      <c r="AD8727" s="794"/>
    </row>
    <row r="8728" spans="30:30" ht="15.75" customHeight="1">
      <c r="AD8728" s="794"/>
    </row>
    <row r="8729" spans="30:30" ht="15.75" customHeight="1">
      <c r="AD8729" s="794"/>
    </row>
    <row r="8730" spans="30:30" ht="15.75" customHeight="1">
      <c r="AD8730" s="794"/>
    </row>
    <row r="8731" spans="30:30" ht="15.75" customHeight="1">
      <c r="AD8731" s="794"/>
    </row>
    <row r="8732" spans="30:30" ht="15.75" customHeight="1">
      <c r="AD8732" s="794"/>
    </row>
    <row r="8733" spans="30:30" ht="15.75" customHeight="1">
      <c r="AD8733" s="794"/>
    </row>
    <row r="8734" spans="30:30" ht="15.75" customHeight="1">
      <c r="AD8734" s="794"/>
    </row>
    <row r="8735" spans="30:30" ht="15.75" customHeight="1">
      <c r="AD8735" s="794"/>
    </row>
    <row r="8736" spans="30:30" ht="15.75" customHeight="1">
      <c r="AD8736" s="794"/>
    </row>
    <row r="8737" spans="30:30" ht="15.75" customHeight="1">
      <c r="AD8737" s="794"/>
    </row>
    <row r="8738" spans="30:30" ht="15.75" customHeight="1">
      <c r="AD8738" s="794"/>
    </row>
    <row r="8739" spans="30:30" ht="15.75" customHeight="1">
      <c r="AD8739" s="794"/>
    </row>
    <row r="8740" spans="30:30" ht="15.75" customHeight="1">
      <c r="AD8740" s="794"/>
    </row>
    <row r="8741" spans="30:30" ht="15.75" customHeight="1">
      <c r="AD8741" s="794"/>
    </row>
    <row r="8742" spans="30:30" ht="15.75" customHeight="1">
      <c r="AD8742" s="794"/>
    </row>
    <row r="8743" spans="30:30" ht="15.75" customHeight="1">
      <c r="AD8743" s="794"/>
    </row>
    <row r="8744" spans="30:30" ht="15.75" customHeight="1">
      <c r="AD8744" s="794"/>
    </row>
    <row r="8745" spans="30:30" ht="15.75" customHeight="1">
      <c r="AD8745" s="794"/>
    </row>
    <row r="8746" spans="30:30" ht="15.75" customHeight="1">
      <c r="AD8746" s="794"/>
    </row>
    <row r="8747" spans="30:30" ht="15.75" customHeight="1">
      <c r="AD8747" s="794"/>
    </row>
    <row r="8748" spans="30:30" ht="15.75" customHeight="1">
      <c r="AD8748" s="794"/>
    </row>
    <row r="8749" spans="30:30" ht="15.75" customHeight="1">
      <c r="AD8749" s="794"/>
    </row>
    <row r="8750" spans="30:30" ht="15.75" customHeight="1">
      <c r="AD8750" s="794"/>
    </row>
    <row r="8751" spans="30:30" ht="15.75" customHeight="1">
      <c r="AD8751" s="794"/>
    </row>
    <row r="8752" spans="30:30" ht="15.75" customHeight="1">
      <c r="AD8752" s="794"/>
    </row>
    <row r="8753" spans="30:30" ht="15.75" customHeight="1">
      <c r="AD8753" s="794"/>
    </row>
    <row r="8754" spans="30:30" ht="15.75" customHeight="1">
      <c r="AD8754" s="794"/>
    </row>
    <row r="8755" spans="30:30" ht="15.75" customHeight="1">
      <c r="AD8755" s="794"/>
    </row>
    <row r="8756" spans="30:30" ht="15.75" customHeight="1">
      <c r="AD8756" s="794"/>
    </row>
    <row r="8757" spans="30:30" ht="15.75" customHeight="1">
      <c r="AD8757" s="794"/>
    </row>
    <row r="8758" spans="30:30" ht="15.75" customHeight="1">
      <c r="AD8758" s="794"/>
    </row>
    <row r="8759" spans="30:30" ht="15.75" customHeight="1">
      <c r="AD8759" s="794"/>
    </row>
    <row r="8760" spans="30:30" ht="15.75" customHeight="1">
      <c r="AD8760" s="794"/>
    </row>
    <row r="8761" spans="30:30" ht="15.75" customHeight="1">
      <c r="AD8761" s="794"/>
    </row>
    <row r="8762" spans="30:30" ht="15.75" customHeight="1">
      <c r="AD8762" s="794"/>
    </row>
    <row r="8763" spans="30:30" ht="15.75" customHeight="1">
      <c r="AD8763" s="794"/>
    </row>
    <row r="8764" spans="30:30" ht="15.75" customHeight="1">
      <c r="AD8764" s="794"/>
    </row>
    <row r="8765" spans="30:30" ht="15.75" customHeight="1">
      <c r="AD8765" s="794"/>
    </row>
    <row r="8766" spans="30:30" ht="15.75" customHeight="1">
      <c r="AD8766" s="794"/>
    </row>
    <row r="8767" spans="30:30" ht="15.75" customHeight="1">
      <c r="AD8767" s="794"/>
    </row>
    <row r="8768" spans="30:30" ht="15.75" customHeight="1">
      <c r="AD8768" s="794"/>
    </row>
    <row r="8769" spans="30:30" ht="15.75" customHeight="1">
      <c r="AD8769" s="794"/>
    </row>
    <row r="8770" spans="30:30" ht="15.75" customHeight="1">
      <c r="AD8770" s="794"/>
    </row>
    <row r="8771" spans="30:30" ht="15.75" customHeight="1">
      <c r="AD8771" s="794"/>
    </row>
    <row r="8772" spans="30:30" ht="15.75" customHeight="1">
      <c r="AD8772" s="794"/>
    </row>
    <row r="8773" spans="30:30" ht="15.75" customHeight="1">
      <c r="AD8773" s="794"/>
    </row>
    <row r="8774" spans="30:30" ht="15.75" customHeight="1">
      <c r="AD8774" s="794"/>
    </row>
    <row r="8775" spans="30:30" ht="15.75" customHeight="1">
      <c r="AD8775" s="794"/>
    </row>
    <row r="8776" spans="30:30" ht="15.75" customHeight="1">
      <c r="AD8776" s="794"/>
    </row>
    <row r="8777" spans="30:30" ht="15.75" customHeight="1">
      <c r="AD8777" s="794"/>
    </row>
    <row r="8778" spans="30:30" ht="15.75" customHeight="1">
      <c r="AD8778" s="794"/>
    </row>
    <row r="8779" spans="30:30" ht="15.75" customHeight="1">
      <c r="AD8779" s="794"/>
    </row>
    <row r="8780" spans="30:30" ht="15.75" customHeight="1">
      <c r="AD8780" s="794"/>
    </row>
    <row r="8781" spans="30:30" ht="15.75" customHeight="1">
      <c r="AD8781" s="794"/>
    </row>
    <row r="8782" spans="30:30" ht="15.75" customHeight="1">
      <c r="AD8782" s="794"/>
    </row>
    <row r="8783" spans="30:30" ht="15.75" customHeight="1">
      <c r="AD8783" s="794"/>
    </row>
    <row r="8784" spans="30:30" ht="15.75" customHeight="1">
      <c r="AD8784" s="794"/>
    </row>
    <row r="8785" spans="30:30" ht="15.75" customHeight="1">
      <c r="AD8785" s="794"/>
    </row>
    <row r="8786" spans="30:30" ht="15.75" customHeight="1">
      <c r="AD8786" s="794"/>
    </row>
    <row r="8787" spans="30:30" ht="15.75" customHeight="1">
      <c r="AD8787" s="794"/>
    </row>
    <row r="8788" spans="30:30" ht="15.75" customHeight="1">
      <c r="AD8788" s="794"/>
    </row>
    <row r="8789" spans="30:30" ht="15.75" customHeight="1">
      <c r="AD8789" s="794"/>
    </row>
    <row r="8790" spans="30:30" ht="15.75" customHeight="1">
      <c r="AD8790" s="794"/>
    </row>
    <row r="8791" spans="30:30" ht="15.75" customHeight="1">
      <c r="AD8791" s="794"/>
    </row>
    <row r="8792" spans="30:30" ht="15.75" customHeight="1">
      <c r="AD8792" s="794"/>
    </row>
    <row r="8793" spans="30:30" ht="15.75" customHeight="1">
      <c r="AD8793" s="794"/>
    </row>
    <row r="8794" spans="30:30" ht="15.75" customHeight="1">
      <c r="AD8794" s="794"/>
    </row>
    <row r="8795" spans="30:30" ht="15.75" customHeight="1">
      <c r="AD8795" s="794"/>
    </row>
    <row r="8796" spans="30:30" ht="15.75" customHeight="1">
      <c r="AD8796" s="794"/>
    </row>
    <row r="8797" spans="30:30" ht="15.75" customHeight="1">
      <c r="AD8797" s="794"/>
    </row>
    <row r="8798" spans="30:30" ht="15.75" customHeight="1">
      <c r="AD8798" s="794"/>
    </row>
    <row r="8799" spans="30:30" ht="15.75" customHeight="1">
      <c r="AD8799" s="794"/>
    </row>
    <row r="8800" spans="30:30" ht="15.75" customHeight="1">
      <c r="AD8800" s="794"/>
    </row>
    <row r="8801" spans="30:30" ht="15.75" customHeight="1">
      <c r="AD8801" s="794"/>
    </row>
    <row r="8802" spans="30:30" ht="15.75" customHeight="1">
      <c r="AD8802" s="794"/>
    </row>
    <row r="8803" spans="30:30" ht="15.75" customHeight="1">
      <c r="AD8803" s="794"/>
    </row>
    <row r="8804" spans="30:30" ht="15.75" customHeight="1">
      <c r="AD8804" s="794"/>
    </row>
    <row r="8805" spans="30:30" ht="15.75" customHeight="1">
      <c r="AD8805" s="794"/>
    </row>
    <row r="8806" spans="30:30" ht="15.75" customHeight="1">
      <c r="AD8806" s="794"/>
    </row>
    <row r="8807" spans="30:30" ht="15.75" customHeight="1">
      <c r="AD8807" s="794"/>
    </row>
    <row r="8808" spans="30:30" ht="15.75" customHeight="1">
      <c r="AD8808" s="794"/>
    </row>
    <row r="8809" spans="30:30" ht="15.75" customHeight="1">
      <c r="AD8809" s="794"/>
    </row>
    <row r="8810" spans="30:30" ht="15.75" customHeight="1">
      <c r="AD8810" s="794"/>
    </row>
    <row r="8811" spans="30:30" ht="15.75" customHeight="1">
      <c r="AD8811" s="794"/>
    </row>
    <row r="8812" spans="30:30" ht="15.75" customHeight="1">
      <c r="AD8812" s="794"/>
    </row>
    <row r="8813" spans="30:30" ht="15.75" customHeight="1">
      <c r="AD8813" s="794"/>
    </row>
    <row r="8814" spans="30:30" ht="15.75" customHeight="1">
      <c r="AD8814" s="794"/>
    </row>
    <row r="8815" spans="30:30" ht="15.75" customHeight="1">
      <c r="AD8815" s="794"/>
    </row>
    <row r="8816" spans="30:30" ht="15.75" customHeight="1">
      <c r="AD8816" s="794"/>
    </row>
    <row r="8817" spans="30:30" ht="15.75" customHeight="1">
      <c r="AD8817" s="794"/>
    </row>
    <row r="8818" spans="30:30" ht="15.75" customHeight="1">
      <c r="AD8818" s="794"/>
    </row>
    <row r="8819" spans="30:30" ht="15.75" customHeight="1">
      <c r="AD8819" s="794"/>
    </row>
    <row r="8820" spans="30:30" ht="15.75" customHeight="1">
      <c r="AD8820" s="794"/>
    </row>
    <row r="8821" spans="30:30" ht="15.75" customHeight="1">
      <c r="AD8821" s="794"/>
    </row>
    <row r="8822" spans="30:30" ht="15.75" customHeight="1">
      <c r="AD8822" s="794"/>
    </row>
    <row r="8823" spans="30:30" ht="15.75" customHeight="1">
      <c r="AD8823" s="794"/>
    </row>
    <row r="8824" spans="30:30" ht="15.75" customHeight="1">
      <c r="AD8824" s="794"/>
    </row>
    <row r="8825" spans="30:30" ht="15.75" customHeight="1">
      <c r="AD8825" s="794"/>
    </row>
    <row r="8826" spans="30:30" ht="15.75" customHeight="1">
      <c r="AD8826" s="794"/>
    </row>
    <row r="8827" spans="30:30" ht="15.75" customHeight="1">
      <c r="AD8827" s="794"/>
    </row>
    <row r="8828" spans="30:30" ht="15.75" customHeight="1">
      <c r="AD8828" s="794"/>
    </row>
    <row r="8829" spans="30:30" ht="15.75" customHeight="1">
      <c r="AD8829" s="794"/>
    </row>
    <row r="8830" spans="30:30" ht="15.75" customHeight="1">
      <c r="AD8830" s="794"/>
    </row>
    <row r="8831" spans="30:30" ht="15.75" customHeight="1">
      <c r="AD8831" s="794"/>
    </row>
    <row r="8832" spans="30:30" ht="15.75" customHeight="1">
      <c r="AD8832" s="794"/>
    </row>
    <row r="8833" spans="30:30" ht="15.75" customHeight="1">
      <c r="AD8833" s="794"/>
    </row>
    <row r="8834" spans="30:30" ht="15.75" customHeight="1">
      <c r="AD8834" s="794"/>
    </row>
    <row r="8835" spans="30:30" ht="15.75" customHeight="1">
      <c r="AD8835" s="794"/>
    </row>
    <row r="8836" spans="30:30" ht="15.75" customHeight="1">
      <c r="AD8836" s="794"/>
    </row>
    <row r="8837" spans="30:30" ht="15.75" customHeight="1">
      <c r="AD8837" s="794"/>
    </row>
    <row r="8838" spans="30:30" ht="15.75" customHeight="1">
      <c r="AD8838" s="794"/>
    </row>
    <row r="8839" spans="30:30" ht="15.75" customHeight="1">
      <c r="AD8839" s="794"/>
    </row>
    <row r="8840" spans="30:30" ht="15.75" customHeight="1">
      <c r="AD8840" s="794"/>
    </row>
    <row r="8841" spans="30:30" ht="15.75" customHeight="1">
      <c r="AD8841" s="794"/>
    </row>
    <row r="8842" spans="30:30" ht="15.75" customHeight="1">
      <c r="AD8842" s="794"/>
    </row>
    <row r="8843" spans="30:30" ht="15.75" customHeight="1">
      <c r="AD8843" s="794"/>
    </row>
    <row r="8844" spans="30:30" ht="15.75" customHeight="1">
      <c r="AD8844" s="794"/>
    </row>
    <row r="8845" spans="30:30" ht="15.75" customHeight="1">
      <c r="AD8845" s="794"/>
    </row>
    <row r="8846" spans="30:30" ht="15.75" customHeight="1">
      <c r="AD8846" s="794"/>
    </row>
    <row r="8847" spans="30:30" ht="15.75" customHeight="1">
      <c r="AD8847" s="794"/>
    </row>
    <row r="8848" spans="30:30" ht="15.75" customHeight="1">
      <c r="AD8848" s="794"/>
    </row>
    <row r="8849" spans="30:30" ht="15.75" customHeight="1">
      <c r="AD8849" s="794"/>
    </row>
    <row r="8850" spans="30:30" ht="15.75" customHeight="1">
      <c r="AD8850" s="794"/>
    </row>
    <row r="8851" spans="30:30" ht="15.75" customHeight="1">
      <c r="AD8851" s="794"/>
    </row>
    <row r="8852" spans="30:30" ht="15.75" customHeight="1">
      <c r="AD8852" s="794"/>
    </row>
    <row r="8853" spans="30:30" ht="15.75" customHeight="1">
      <c r="AD8853" s="794"/>
    </row>
    <row r="8854" spans="30:30" ht="15.75" customHeight="1">
      <c r="AD8854" s="794"/>
    </row>
    <row r="8855" spans="30:30" ht="15.75" customHeight="1">
      <c r="AD8855" s="794"/>
    </row>
    <row r="8856" spans="30:30" ht="15.75" customHeight="1">
      <c r="AD8856" s="794"/>
    </row>
    <row r="8857" spans="30:30" ht="15.75" customHeight="1">
      <c r="AD8857" s="794"/>
    </row>
    <row r="8858" spans="30:30" ht="15.75" customHeight="1">
      <c r="AD8858" s="794"/>
    </row>
    <row r="8859" spans="30:30" ht="15.75" customHeight="1">
      <c r="AD8859" s="794"/>
    </row>
    <row r="8860" spans="30:30" ht="15.75" customHeight="1">
      <c r="AD8860" s="794"/>
    </row>
    <row r="8861" spans="30:30" ht="15.75" customHeight="1">
      <c r="AD8861" s="794"/>
    </row>
    <row r="8862" spans="30:30" ht="15.75" customHeight="1">
      <c r="AD8862" s="794"/>
    </row>
    <row r="8863" spans="30:30" ht="15.75" customHeight="1">
      <c r="AD8863" s="794"/>
    </row>
    <row r="8864" spans="30:30" ht="15.75" customHeight="1">
      <c r="AD8864" s="794"/>
    </row>
    <row r="8865" spans="30:30" ht="15.75" customHeight="1">
      <c r="AD8865" s="794"/>
    </row>
    <row r="8866" spans="30:30" ht="15.75" customHeight="1">
      <c r="AD8866" s="794"/>
    </row>
    <row r="8867" spans="30:30" ht="15.75" customHeight="1">
      <c r="AD8867" s="794"/>
    </row>
    <row r="8868" spans="30:30" ht="15.75" customHeight="1">
      <c r="AD8868" s="794"/>
    </row>
    <row r="8869" spans="30:30" ht="15.75" customHeight="1">
      <c r="AD8869" s="794"/>
    </row>
    <row r="8870" spans="30:30" ht="15.75" customHeight="1">
      <c r="AD8870" s="794"/>
    </row>
    <row r="8871" spans="30:30" ht="15.75" customHeight="1">
      <c r="AD8871" s="794"/>
    </row>
    <row r="8872" spans="30:30" ht="15.75" customHeight="1">
      <c r="AD8872" s="794"/>
    </row>
    <row r="8873" spans="30:30" ht="15.75" customHeight="1">
      <c r="AD8873" s="794"/>
    </row>
    <row r="8874" spans="30:30" ht="15.75" customHeight="1">
      <c r="AD8874" s="794"/>
    </row>
    <row r="8875" spans="30:30" ht="15.75" customHeight="1">
      <c r="AD8875" s="794"/>
    </row>
    <row r="8876" spans="30:30" ht="15.75" customHeight="1">
      <c r="AD8876" s="794"/>
    </row>
    <row r="8877" spans="30:30" ht="15.75" customHeight="1">
      <c r="AD8877" s="794"/>
    </row>
    <row r="8878" spans="30:30" ht="15.75" customHeight="1">
      <c r="AD8878" s="794"/>
    </row>
    <row r="8879" spans="30:30" ht="15.75" customHeight="1">
      <c r="AD8879" s="794"/>
    </row>
    <row r="8880" spans="30:30" ht="15.75" customHeight="1">
      <c r="AD8880" s="794"/>
    </row>
    <row r="8881" spans="30:30" ht="15.75" customHeight="1">
      <c r="AD8881" s="794"/>
    </row>
    <row r="8882" spans="30:30" ht="15.75" customHeight="1">
      <c r="AD8882" s="794"/>
    </row>
    <row r="8883" spans="30:30" ht="15.75" customHeight="1">
      <c r="AD8883" s="794"/>
    </row>
    <row r="8884" spans="30:30" ht="15.75" customHeight="1">
      <c r="AD8884" s="794"/>
    </row>
    <row r="8885" spans="30:30" ht="15.75" customHeight="1">
      <c r="AD8885" s="794"/>
    </row>
    <row r="8886" spans="30:30" ht="15.75" customHeight="1">
      <c r="AD8886" s="794"/>
    </row>
    <row r="8887" spans="30:30" ht="15.75" customHeight="1">
      <c r="AD8887" s="794"/>
    </row>
    <row r="8888" spans="30:30" ht="15.75" customHeight="1">
      <c r="AD8888" s="794"/>
    </row>
    <row r="8889" spans="30:30" ht="15.75" customHeight="1">
      <c r="AD8889" s="794"/>
    </row>
    <row r="8890" spans="30:30" ht="15.75" customHeight="1">
      <c r="AD8890" s="794"/>
    </row>
    <row r="8891" spans="30:30" ht="15.75" customHeight="1">
      <c r="AD8891" s="794"/>
    </row>
    <row r="8892" spans="30:30" ht="15.75" customHeight="1">
      <c r="AD8892" s="794"/>
    </row>
    <row r="8893" spans="30:30" ht="15.75" customHeight="1">
      <c r="AD8893" s="794"/>
    </row>
    <row r="8894" spans="30:30" ht="15.75" customHeight="1">
      <c r="AD8894" s="794"/>
    </row>
    <row r="8895" spans="30:30" ht="15.75" customHeight="1">
      <c r="AD8895" s="794"/>
    </row>
    <row r="8896" spans="30:30" ht="15.75" customHeight="1">
      <c r="AD8896" s="794"/>
    </row>
    <row r="8897" spans="30:30" ht="15.75" customHeight="1">
      <c r="AD8897" s="794"/>
    </row>
    <row r="8898" spans="30:30" ht="15.75" customHeight="1">
      <c r="AD8898" s="794"/>
    </row>
    <row r="8899" spans="30:30" ht="15.75" customHeight="1">
      <c r="AD8899" s="794"/>
    </row>
    <row r="8900" spans="30:30" ht="15.75" customHeight="1">
      <c r="AD8900" s="794"/>
    </row>
    <row r="8901" spans="30:30" ht="15.75" customHeight="1">
      <c r="AD8901" s="794"/>
    </row>
    <row r="8902" spans="30:30" ht="15.75" customHeight="1">
      <c r="AD8902" s="794"/>
    </row>
    <row r="8903" spans="30:30" ht="15.75" customHeight="1">
      <c r="AD8903" s="794"/>
    </row>
    <row r="8904" spans="30:30" ht="15.75" customHeight="1">
      <c r="AD8904" s="794"/>
    </row>
    <row r="8905" spans="30:30" ht="15.75" customHeight="1">
      <c r="AD8905" s="794"/>
    </row>
    <row r="8906" spans="30:30" ht="15.75" customHeight="1">
      <c r="AD8906" s="794"/>
    </row>
    <row r="8907" spans="30:30" ht="15.75" customHeight="1">
      <c r="AD8907" s="794"/>
    </row>
    <row r="8908" spans="30:30" ht="15.75" customHeight="1">
      <c r="AD8908" s="794"/>
    </row>
    <row r="8909" spans="30:30" ht="15.75" customHeight="1">
      <c r="AD8909" s="794"/>
    </row>
    <row r="8910" spans="30:30" ht="15.75" customHeight="1">
      <c r="AD8910" s="794"/>
    </row>
    <row r="8911" spans="30:30" ht="15.75" customHeight="1">
      <c r="AD8911" s="794"/>
    </row>
    <row r="8912" spans="30:30" ht="15.75" customHeight="1">
      <c r="AD8912" s="794"/>
    </row>
    <row r="8913" spans="30:30" ht="15.75" customHeight="1">
      <c r="AD8913" s="794"/>
    </row>
    <row r="8914" spans="30:30" ht="15.75" customHeight="1">
      <c r="AD8914" s="794"/>
    </row>
    <row r="8915" spans="30:30" ht="15.75" customHeight="1">
      <c r="AD8915" s="794"/>
    </row>
    <row r="8916" spans="30:30" ht="15.75" customHeight="1">
      <c r="AD8916" s="794"/>
    </row>
    <row r="8917" spans="30:30" ht="15.75" customHeight="1">
      <c r="AD8917" s="794"/>
    </row>
    <row r="8918" spans="30:30" ht="15.75" customHeight="1">
      <c r="AD8918" s="794"/>
    </row>
    <row r="8919" spans="30:30" ht="15.75" customHeight="1">
      <c r="AD8919" s="794"/>
    </row>
    <row r="8920" spans="30:30" ht="15.75" customHeight="1">
      <c r="AD8920" s="794"/>
    </row>
    <row r="8921" spans="30:30" ht="15.75" customHeight="1">
      <c r="AD8921" s="794"/>
    </row>
    <row r="8922" spans="30:30" ht="15.75" customHeight="1">
      <c r="AD8922" s="794"/>
    </row>
    <row r="8923" spans="30:30" ht="15.75" customHeight="1">
      <c r="AD8923" s="794"/>
    </row>
    <row r="8924" spans="30:30" ht="15.75" customHeight="1">
      <c r="AD8924" s="794"/>
    </row>
    <row r="8925" spans="30:30" ht="15.75" customHeight="1">
      <c r="AD8925" s="794"/>
    </row>
    <row r="8926" spans="30:30" ht="15.75" customHeight="1">
      <c r="AD8926" s="794"/>
    </row>
    <row r="8927" spans="30:30" ht="15.75" customHeight="1">
      <c r="AD8927" s="794"/>
    </row>
    <row r="8928" spans="30:30" ht="15.75" customHeight="1">
      <c r="AD8928" s="794"/>
    </row>
    <row r="8929" spans="30:30" ht="15.75" customHeight="1">
      <c r="AD8929" s="794"/>
    </row>
    <row r="8930" spans="30:30" ht="15.75" customHeight="1">
      <c r="AD8930" s="794"/>
    </row>
    <row r="8931" spans="30:30" ht="15.75" customHeight="1">
      <c r="AD8931" s="794"/>
    </row>
    <row r="8932" spans="30:30" ht="15.75" customHeight="1">
      <c r="AD8932" s="794"/>
    </row>
    <row r="8933" spans="30:30" ht="15.75" customHeight="1">
      <c r="AD8933" s="794"/>
    </row>
    <row r="8934" spans="30:30" ht="15.75" customHeight="1">
      <c r="AD8934" s="794"/>
    </row>
    <row r="8935" spans="30:30" ht="15.75" customHeight="1">
      <c r="AD8935" s="794"/>
    </row>
    <row r="8936" spans="30:30" ht="15.75" customHeight="1">
      <c r="AD8936" s="794"/>
    </row>
    <row r="8937" spans="30:30" ht="15.75" customHeight="1">
      <c r="AD8937" s="794"/>
    </row>
    <row r="8938" spans="30:30" ht="15.75" customHeight="1">
      <c r="AD8938" s="794"/>
    </row>
    <row r="8939" spans="30:30" ht="15.75" customHeight="1">
      <c r="AD8939" s="794"/>
    </row>
    <row r="8940" spans="30:30" ht="15.75" customHeight="1">
      <c r="AD8940" s="794"/>
    </row>
    <row r="8941" spans="30:30" ht="15.75" customHeight="1">
      <c r="AD8941" s="794"/>
    </row>
    <row r="8942" spans="30:30" ht="15.75" customHeight="1">
      <c r="AD8942" s="794"/>
    </row>
    <row r="8943" spans="30:30" ht="15.75" customHeight="1">
      <c r="AD8943" s="794"/>
    </row>
    <row r="8944" spans="30:30" ht="15.75" customHeight="1">
      <c r="AD8944" s="794"/>
    </row>
    <row r="8945" spans="30:30" ht="15.75" customHeight="1">
      <c r="AD8945" s="794"/>
    </row>
    <row r="8946" spans="30:30" ht="15.75" customHeight="1">
      <c r="AD8946" s="794"/>
    </row>
    <row r="8947" spans="30:30" ht="15.75" customHeight="1">
      <c r="AD8947" s="794"/>
    </row>
    <row r="8948" spans="30:30" ht="15.75" customHeight="1">
      <c r="AD8948" s="794"/>
    </row>
    <row r="8949" spans="30:30" ht="15.75" customHeight="1">
      <c r="AD8949" s="794"/>
    </row>
    <row r="8950" spans="30:30" ht="15.75" customHeight="1">
      <c r="AD8950" s="794"/>
    </row>
    <row r="8951" spans="30:30" ht="15.75" customHeight="1">
      <c r="AD8951" s="794"/>
    </row>
    <row r="8952" spans="30:30" ht="15.75" customHeight="1">
      <c r="AD8952" s="794"/>
    </row>
    <row r="8953" spans="30:30" ht="15.75" customHeight="1">
      <c r="AD8953" s="794"/>
    </row>
    <row r="8954" spans="30:30" ht="15.75" customHeight="1">
      <c r="AD8954" s="794"/>
    </row>
    <row r="8955" spans="30:30" ht="15.75" customHeight="1">
      <c r="AD8955" s="794"/>
    </row>
    <row r="8956" spans="30:30" ht="15.75" customHeight="1">
      <c r="AD8956" s="794"/>
    </row>
    <row r="8957" spans="30:30" ht="15.75" customHeight="1">
      <c r="AD8957" s="794"/>
    </row>
    <row r="8958" spans="30:30" ht="15.75" customHeight="1">
      <c r="AD8958" s="794"/>
    </row>
    <row r="8959" spans="30:30" ht="15.75" customHeight="1">
      <c r="AD8959" s="794"/>
    </row>
    <row r="8960" spans="30:30" ht="15.75" customHeight="1">
      <c r="AD8960" s="794"/>
    </row>
    <row r="8961" spans="30:30" ht="15.75" customHeight="1">
      <c r="AD8961" s="794"/>
    </row>
    <row r="8962" spans="30:30" ht="15.75" customHeight="1">
      <c r="AD8962" s="794"/>
    </row>
    <row r="8963" spans="30:30" ht="15.75" customHeight="1">
      <c r="AD8963" s="794"/>
    </row>
    <row r="8964" spans="30:30" ht="15.75" customHeight="1">
      <c r="AD8964" s="794"/>
    </row>
    <row r="8965" spans="30:30" ht="15.75" customHeight="1">
      <c r="AD8965" s="794"/>
    </row>
    <row r="8966" spans="30:30" ht="15.75" customHeight="1">
      <c r="AD8966" s="794"/>
    </row>
    <row r="8967" spans="30:30" ht="15.75" customHeight="1">
      <c r="AD8967" s="794"/>
    </row>
    <row r="8968" spans="30:30" ht="15.75" customHeight="1">
      <c r="AD8968" s="794"/>
    </row>
    <row r="8969" spans="30:30" ht="15.75" customHeight="1">
      <c r="AD8969" s="794"/>
    </row>
    <row r="8970" spans="30:30" ht="15.75" customHeight="1">
      <c r="AD8970" s="794"/>
    </row>
    <row r="8971" spans="30:30" ht="15.75" customHeight="1">
      <c r="AD8971" s="794"/>
    </row>
    <row r="8972" spans="30:30" ht="15.75" customHeight="1">
      <c r="AD8972" s="794"/>
    </row>
    <row r="8973" spans="30:30" ht="15.75" customHeight="1">
      <c r="AD8973" s="794"/>
    </row>
    <row r="8974" spans="30:30" ht="15.75" customHeight="1">
      <c r="AD8974" s="794"/>
    </row>
    <row r="8975" spans="30:30" ht="15.75" customHeight="1">
      <c r="AD8975" s="794"/>
    </row>
    <row r="8976" spans="30:30" ht="15.75" customHeight="1">
      <c r="AD8976" s="794"/>
    </row>
    <row r="8977" spans="30:30" ht="15.75" customHeight="1">
      <c r="AD8977" s="794"/>
    </row>
    <row r="8978" spans="30:30" ht="15.75" customHeight="1">
      <c r="AD8978" s="794"/>
    </row>
    <row r="8979" spans="30:30" ht="15.75" customHeight="1">
      <c r="AD8979" s="794"/>
    </row>
    <row r="8980" spans="30:30" ht="15.75" customHeight="1">
      <c r="AD8980" s="794"/>
    </row>
    <row r="8981" spans="30:30" ht="15.75" customHeight="1">
      <c r="AD8981" s="794"/>
    </row>
    <row r="8982" spans="30:30" ht="15.75" customHeight="1">
      <c r="AD8982" s="794"/>
    </row>
    <row r="8983" spans="30:30" ht="15.75" customHeight="1">
      <c r="AD8983" s="794"/>
    </row>
    <row r="8984" spans="30:30" ht="15.75" customHeight="1">
      <c r="AD8984" s="794"/>
    </row>
    <row r="8985" spans="30:30" ht="15.75" customHeight="1">
      <c r="AD8985" s="794"/>
    </row>
    <row r="8986" spans="30:30" ht="15.75" customHeight="1">
      <c r="AD8986" s="794"/>
    </row>
    <row r="8987" spans="30:30" ht="15.75" customHeight="1">
      <c r="AD8987" s="794"/>
    </row>
    <row r="8988" spans="30:30" ht="15.75" customHeight="1">
      <c r="AD8988" s="794"/>
    </row>
    <row r="8989" spans="30:30" ht="15.75" customHeight="1">
      <c r="AD8989" s="794"/>
    </row>
    <row r="8990" spans="30:30" ht="15.75" customHeight="1">
      <c r="AD8990" s="794"/>
    </row>
    <row r="8991" spans="30:30" ht="15.75" customHeight="1">
      <c r="AD8991" s="794"/>
    </row>
    <row r="8992" spans="30:30" ht="15.75" customHeight="1">
      <c r="AD8992" s="794"/>
    </row>
    <row r="8993" spans="30:30" ht="15.75" customHeight="1">
      <c r="AD8993" s="794"/>
    </row>
    <row r="8994" spans="30:30" ht="15.75" customHeight="1">
      <c r="AD8994" s="794"/>
    </row>
    <row r="8995" spans="30:30" ht="15.75" customHeight="1">
      <c r="AD8995" s="794"/>
    </row>
    <row r="8996" spans="30:30" ht="15.75" customHeight="1">
      <c r="AD8996" s="794"/>
    </row>
    <row r="8997" spans="30:30" ht="15.75" customHeight="1">
      <c r="AD8997" s="794"/>
    </row>
    <row r="8998" spans="30:30" ht="15.75" customHeight="1">
      <c r="AD8998" s="794"/>
    </row>
    <row r="8999" spans="30:30" ht="15.75" customHeight="1">
      <c r="AD8999" s="794"/>
    </row>
    <row r="9000" spans="30:30" ht="15.75" customHeight="1">
      <c r="AD9000" s="794"/>
    </row>
    <row r="9001" spans="30:30" ht="15.75" customHeight="1">
      <c r="AD9001" s="794"/>
    </row>
    <row r="9002" spans="30:30" ht="15.75" customHeight="1">
      <c r="AD9002" s="794"/>
    </row>
    <row r="9003" spans="30:30" ht="15.75" customHeight="1">
      <c r="AD9003" s="794"/>
    </row>
    <row r="9004" spans="30:30" ht="15.75" customHeight="1">
      <c r="AD9004" s="794"/>
    </row>
    <row r="9005" spans="30:30" ht="15.75" customHeight="1">
      <c r="AD9005" s="794"/>
    </row>
    <row r="9006" spans="30:30" ht="15.75" customHeight="1">
      <c r="AD9006" s="794"/>
    </row>
    <row r="9007" spans="30:30" ht="15.75" customHeight="1">
      <c r="AD9007" s="794"/>
    </row>
    <row r="9008" spans="30:30" ht="15.75" customHeight="1">
      <c r="AD9008" s="794"/>
    </row>
    <row r="9009" spans="30:30" ht="15.75" customHeight="1">
      <c r="AD9009" s="794"/>
    </row>
    <row r="9010" spans="30:30" ht="15.75" customHeight="1">
      <c r="AD9010" s="794"/>
    </row>
    <row r="9011" spans="30:30" ht="15.75" customHeight="1">
      <c r="AD9011" s="794"/>
    </row>
    <row r="9012" spans="30:30" ht="15.75" customHeight="1">
      <c r="AD9012" s="794"/>
    </row>
    <row r="9013" spans="30:30" ht="15.75" customHeight="1">
      <c r="AD9013" s="794"/>
    </row>
    <row r="9014" spans="30:30" ht="15.75" customHeight="1">
      <c r="AD9014" s="794"/>
    </row>
    <row r="9015" spans="30:30" ht="15.75" customHeight="1">
      <c r="AD9015" s="794"/>
    </row>
    <row r="9016" spans="30:30" ht="15.75" customHeight="1">
      <c r="AD9016" s="794"/>
    </row>
    <row r="9017" spans="30:30" ht="15.75" customHeight="1">
      <c r="AD9017" s="794"/>
    </row>
    <row r="9018" spans="30:30" ht="15.75" customHeight="1">
      <c r="AD9018" s="794"/>
    </row>
    <row r="9019" spans="30:30" ht="15.75" customHeight="1">
      <c r="AD9019" s="794"/>
    </row>
    <row r="9020" spans="30:30" ht="15.75" customHeight="1">
      <c r="AD9020" s="794"/>
    </row>
    <row r="9021" spans="30:30" ht="15.75" customHeight="1">
      <c r="AD9021" s="794"/>
    </row>
    <row r="9022" spans="30:30" ht="15.75" customHeight="1">
      <c r="AD9022" s="794"/>
    </row>
    <row r="9023" spans="30:30" ht="15.75" customHeight="1">
      <c r="AD9023" s="794"/>
    </row>
    <row r="9024" spans="30:30" ht="15.75" customHeight="1">
      <c r="AD9024" s="794"/>
    </row>
    <row r="9025" spans="30:30" ht="15.75" customHeight="1">
      <c r="AD9025" s="794"/>
    </row>
    <row r="9026" spans="30:30" ht="15.75" customHeight="1">
      <c r="AD9026" s="794"/>
    </row>
    <row r="9027" spans="30:30" ht="15.75" customHeight="1">
      <c r="AD9027" s="794"/>
    </row>
    <row r="9028" spans="30:30" ht="15.75" customHeight="1">
      <c r="AD9028" s="794"/>
    </row>
    <row r="9029" spans="30:30" ht="15.75" customHeight="1">
      <c r="AD9029" s="794"/>
    </row>
    <row r="9030" spans="30:30" ht="15.75" customHeight="1">
      <c r="AD9030" s="794"/>
    </row>
    <row r="9031" spans="30:30" ht="15.75" customHeight="1">
      <c r="AD9031" s="794"/>
    </row>
    <row r="9032" spans="30:30" ht="15.75" customHeight="1">
      <c r="AD9032" s="794"/>
    </row>
    <row r="9033" spans="30:30" ht="15.75" customHeight="1">
      <c r="AD9033" s="794"/>
    </row>
    <row r="9034" spans="30:30" ht="15.75" customHeight="1">
      <c r="AD9034" s="794"/>
    </row>
    <row r="9035" spans="30:30" ht="15.75" customHeight="1">
      <c r="AD9035" s="794"/>
    </row>
    <row r="9036" spans="30:30" ht="15.75" customHeight="1">
      <c r="AD9036" s="794"/>
    </row>
    <row r="9037" spans="30:30" ht="15.75" customHeight="1">
      <c r="AD9037" s="794"/>
    </row>
    <row r="9038" spans="30:30" ht="15.75" customHeight="1">
      <c r="AD9038" s="794"/>
    </row>
    <row r="9039" spans="30:30" ht="15.75" customHeight="1">
      <c r="AD9039" s="794"/>
    </row>
    <row r="9040" spans="30:30" ht="15.75" customHeight="1">
      <c r="AD9040" s="794"/>
    </row>
    <row r="9041" spans="30:30" ht="15.75" customHeight="1">
      <c r="AD9041" s="794"/>
    </row>
    <row r="9042" spans="30:30" ht="15.75" customHeight="1">
      <c r="AD9042" s="794"/>
    </row>
    <row r="9043" spans="30:30" ht="15.75" customHeight="1">
      <c r="AD9043" s="794"/>
    </row>
    <row r="9044" spans="30:30" ht="15.75" customHeight="1">
      <c r="AD9044" s="794"/>
    </row>
    <row r="9045" spans="30:30" ht="15.75" customHeight="1">
      <c r="AD9045" s="794"/>
    </row>
    <row r="9046" spans="30:30" ht="15.75" customHeight="1">
      <c r="AD9046" s="794"/>
    </row>
    <row r="9047" spans="30:30" ht="15.75" customHeight="1">
      <c r="AD9047" s="794"/>
    </row>
    <row r="9048" spans="30:30" ht="15.75" customHeight="1">
      <c r="AD9048" s="794"/>
    </row>
    <row r="9049" spans="30:30" ht="15.75" customHeight="1">
      <c r="AD9049" s="794"/>
    </row>
    <row r="9050" spans="30:30" ht="15.75" customHeight="1">
      <c r="AD9050" s="794"/>
    </row>
    <row r="9051" spans="30:30" ht="15.75" customHeight="1">
      <c r="AD9051" s="794"/>
    </row>
    <row r="9052" spans="30:30" ht="15.75" customHeight="1">
      <c r="AD9052" s="794"/>
    </row>
    <row r="9053" spans="30:30" ht="15.75" customHeight="1">
      <c r="AD9053" s="794"/>
    </row>
    <row r="9054" spans="30:30" ht="15.75" customHeight="1">
      <c r="AD9054" s="794"/>
    </row>
    <row r="9055" spans="30:30" ht="15.75" customHeight="1">
      <c r="AD9055" s="794"/>
    </row>
    <row r="9056" spans="30:30" ht="15.75" customHeight="1">
      <c r="AD9056" s="794"/>
    </row>
    <row r="9057" spans="30:30" ht="15.75" customHeight="1">
      <c r="AD9057" s="794"/>
    </row>
    <row r="9058" spans="30:30" ht="15.75" customHeight="1">
      <c r="AD9058" s="794"/>
    </row>
    <row r="9059" spans="30:30" ht="15.75" customHeight="1">
      <c r="AD9059" s="794"/>
    </row>
    <row r="9060" spans="30:30" ht="15.75" customHeight="1">
      <c r="AD9060" s="794"/>
    </row>
    <row r="9061" spans="30:30" ht="15.75" customHeight="1">
      <c r="AD9061" s="794"/>
    </row>
    <row r="9062" spans="30:30" ht="15.75" customHeight="1">
      <c r="AD9062" s="794"/>
    </row>
    <row r="9063" spans="30:30" ht="15.75" customHeight="1">
      <c r="AD9063" s="794"/>
    </row>
    <row r="9064" spans="30:30" ht="15.75" customHeight="1">
      <c r="AD9064" s="794"/>
    </row>
    <row r="9065" spans="30:30" ht="15.75" customHeight="1">
      <c r="AD9065" s="794"/>
    </row>
    <row r="9066" spans="30:30" ht="15.75" customHeight="1">
      <c r="AD9066" s="794"/>
    </row>
    <row r="9067" spans="30:30" ht="15.75" customHeight="1">
      <c r="AD9067" s="794"/>
    </row>
    <row r="9068" spans="30:30" ht="15.75" customHeight="1">
      <c r="AD9068" s="794"/>
    </row>
    <row r="9069" spans="30:30" ht="15.75" customHeight="1">
      <c r="AD9069" s="794"/>
    </row>
    <row r="9070" spans="30:30" ht="15.75" customHeight="1">
      <c r="AD9070" s="794"/>
    </row>
    <row r="9071" spans="30:30" ht="15.75" customHeight="1">
      <c r="AD9071" s="794"/>
    </row>
    <row r="9072" spans="30:30" ht="15.75" customHeight="1">
      <c r="AD9072" s="794"/>
    </row>
    <row r="9073" spans="30:30" ht="15.75" customHeight="1">
      <c r="AD9073" s="794"/>
    </row>
    <row r="9074" spans="30:30" ht="15.75" customHeight="1">
      <c r="AD9074" s="794"/>
    </row>
    <row r="9075" spans="30:30" ht="15.75" customHeight="1">
      <c r="AD9075" s="794"/>
    </row>
    <row r="9076" spans="30:30" ht="15.75" customHeight="1">
      <c r="AD9076" s="794"/>
    </row>
    <row r="9077" spans="30:30" ht="15.75" customHeight="1">
      <c r="AD9077" s="794"/>
    </row>
    <row r="9078" spans="30:30" ht="15.75" customHeight="1">
      <c r="AD9078" s="794"/>
    </row>
    <row r="9079" spans="30:30" ht="15.75" customHeight="1">
      <c r="AD9079" s="794"/>
    </row>
    <row r="9080" spans="30:30" ht="15.75" customHeight="1">
      <c r="AD9080" s="794"/>
    </row>
    <row r="9081" spans="30:30" ht="15.75" customHeight="1">
      <c r="AD9081" s="794"/>
    </row>
    <row r="9082" spans="30:30" ht="15.75" customHeight="1">
      <c r="AD9082" s="794"/>
    </row>
    <row r="9083" spans="30:30" ht="15.75" customHeight="1">
      <c r="AD9083" s="794"/>
    </row>
    <row r="9084" spans="30:30" ht="15.75" customHeight="1">
      <c r="AD9084" s="794"/>
    </row>
    <row r="9085" spans="30:30" ht="15.75" customHeight="1">
      <c r="AD9085" s="794"/>
    </row>
    <row r="9086" spans="30:30" ht="15.75" customHeight="1">
      <c r="AD9086" s="794"/>
    </row>
    <row r="9087" spans="30:30" ht="15.75" customHeight="1">
      <c r="AD9087" s="794"/>
    </row>
    <row r="9088" spans="30:30" ht="15.75" customHeight="1">
      <c r="AD9088" s="794"/>
    </row>
    <row r="9089" spans="30:30" ht="15.75" customHeight="1">
      <c r="AD9089" s="794"/>
    </row>
    <row r="9090" spans="30:30" ht="15.75" customHeight="1">
      <c r="AD9090" s="794"/>
    </row>
    <row r="9091" spans="30:30" ht="15.75" customHeight="1">
      <c r="AD9091" s="794"/>
    </row>
    <row r="9092" spans="30:30" ht="15.75" customHeight="1">
      <c r="AD9092" s="794"/>
    </row>
    <row r="9093" spans="30:30" ht="15.75" customHeight="1">
      <c r="AD9093" s="794"/>
    </row>
    <row r="9094" spans="30:30" ht="15.75" customHeight="1">
      <c r="AD9094" s="794"/>
    </row>
    <row r="9095" spans="30:30" ht="15.75" customHeight="1">
      <c r="AD9095" s="794"/>
    </row>
    <row r="9096" spans="30:30" ht="15.75" customHeight="1">
      <c r="AD9096" s="794"/>
    </row>
    <row r="9097" spans="30:30" ht="15.75" customHeight="1">
      <c r="AD9097" s="794"/>
    </row>
    <row r="9098" spans="30:30" ht="15.75" customHeight="1">
      <c r="AD9098" s="794"/>
    </row>
    <row r="9099" spans="30:30" ht="15.75" customHeight="1">
      <c r="AD9099" s="794"/>
    </row>
    <row r="9100" spans="30:30" ht="15.75" customHeight="1">
      <c r="AD9100" s="794"/>
    </row>
    <row r="9101" spans="30:30" ht="15.75" customHeight="1">
      <c r="AD9101" s="794"/>
    </row>
    <row r="9102" spans="30:30" ht="15.75" customHeight="1">
      <c r="AD9102" s="794"/>
    </row>
    <row r="9103" spans="30:30" ht="15.75" customHeight="1">
      <c r="AD9103" s="794"/>
    </row>
    <row r="9104" spans="30:30" ht="15.75" customHeight="1">
      <c r="AD9104" s="794"/>
    </row>
    <row r="9105" spans="30:30" ht="15.75" customHeight="1">
      <c r="AD9105" s="794"/>
    </row>
    <row r="9106" spans="30:30" ht="15.75" customHeight="1">
      <c r="AD9106" s="794"/>
    </row>
    <row r="9107" spans="30:30" ht="15.75" customHeight="1">
      <c r="AD9107" s="794"/>
    </row>
    <row r="9108" spans="30:30" ht="15.75" customHeight="1">
      <c r="AD9108" s="794"/>
    </row>
    <row r="9109" spans="30:30" ht="15.75" customHeight="1">
      <c r="AD9109" s="794"/>
    </row>
    <row r="9110" spans="30:30" ht="15.75" customHeight="1">
      <c r="AD9110" s="794"/>
    </row>
    <row r="9111" spans="30:30" ht="15.75" customHeight="1">
      <c r="AD9111" s="794"/>
    </row>
    <row r="9112" spans="30:30" ht="15.75" customHeight="1">
      <c r="AD9112" s="794"/>
    </row>
    <row r="9113" spans="30:30" ht="15.75" customHeight="1">
      <c r="AD9113" s="794"/>
    </row>
    <row r="9114" spans="30:30" ht="15.75" customHeight="1">
      <c r="AD9114" s="794"/>
    </row>
    <row r="9115" spans="30:30" ht="15.75" customHeight="1">
      <c r="AD9115" s="794"/>
    </row>
    <row r="9116" spans="30:30" ht="15.75" customHeight="1">
      <c r="AD9116" s="794"/>
    </row>
    <row r="9117" spans="30:30" ht="15.75" customHeight="1">
      <c r="AD9117" s="794"/>
    </row>
    <row r="9118" spans="30:30" ht="15.75" customHeight="1">
      <c r="AD9118" s="794"/>
    </row>
    <row r="9119" spans="30:30" ht="15.75" customHeight="1">
      <c r="AD9119" s="794"/>
    </row>
    <row r="9120" spans="30:30" ht="15.75" customHeight="1">
      <c r="AD9120" s="794"/>
    </row>
    <row r="9121" spans="30:30" ht="15.75" customHeight="1">
      <c r="AD9121" s="794"/>
    </row>
    <row r="9122" spans="30:30" ht="15.75" customHeight="1">
      <c r="AD9122" s="794"/>
    </row>
    <row r="9123" spans="30:30" ht="15.75" customHeight="1">
      <c r="AD9123" s="794"/>
    </row>
    <row r="9124" spans="30:30" ht="15.75" customHeight="1">
      <c r="AD9124" s="794"/>
    </row>
    <row r="9125" spans="30:30" ht="15.75" customHeight="1">
      <c r="AD9125" s="794"/>
    </row>
    <row r="9126" spans="30:30" ht="15.75" customHeight="1">
      <c r="AD9126" s="794"/>
    </row>
    <row r="9127" spans="30:30" ht="15.75" customHeight="1">
      <c r="AD9127" s="794"/>
    </row>
    <row r="9128" spans="30:30" ht="15.75" customHeight="1">
      <c r="AD9128" s="794"/>
    </row>
    <row r="9129" spans="30:30" ht="15.75" customHeight="1">
      <c r="AD9129" s="794"/>
    </row>
    <row r="9130" spans="30:30" ht="15.75" customHeight="1">
      <c r="AD9130" s="794"/>
    </row>
    <row r="9131" spans="30:30" ht="15.75" customHeight="1">
      <c r="AD9131" s="794"/>
    </row>
    <row r="9132" spans="30:30" ht="15.75" customHeight="1">
      <c r="AD9132" s="794"/>
    </row>
    <row r="9133" spans="30:30" ht="15.75" customHeight="1">
      <c r="AD9133" s="794"/>
    </row>
    <row r="9134" spans="30:30" ht="15.75" customHeight="1">
      <c r="AD9134" s="794"/>
    </row>
    <row r="9135" spans="30:30" ht="15.75" customHeight="1">
      <c r="AD9135" s="794"/>
    </row>
    <row r="9136" spans="30:30" ht="15.75" customHeight="1">
      <c r="AD9136" s="794"/>
    </row>
    <row r="9137" spans="30:30" ht="15.75" customHeight="1">
      <c r="AD9137" s="794"/>
    </row>
    <row r="9138" spans="30:30" ht="15.75" customHeight="1">
      <c r="AD9138" s="794"/>
    </row>
    <row r="9139" spans="30:30" ht="15.75" customHeight="1">
      <c r="AD9139" s="794"/>
    </row>
    <row r="9140" spans="30:30" ht="15.75" customHeight="1">
      <c r="AD9140" s="794"/>
    </row>
    <row r="9141" spans="30:30" ht="15.75" customHeight="1">
      <c r="AD9141" s="794"/>
    </row>
    <row r="9142" spans="30:30" ht="15.75" customHeight="1">
      <c r="AD9142" s="794"/>
    </row>
    <row r="9143" spans="30:30" ht="15.75" customHeight="1">
      <c r="AD9143" s="794"/>
    </row>
    <row r="9144" spans="30:30" ht="15.75" customHeight="1">
      <c r="AD9144" s="794"/>
    </row>
    <row r="9145" spans="30:30" ht="15.75" customHeight="1">
      <c r="AD9145" s="794"/>
    </row>
    <row r="9146" spans="30:30" ht="15.75" customHeight="1">
      <c r="AD9146" s="794"/>
    </row>
    <row r="9147" spans="30:30" ht="15.75" customHeight="1">
      <c r="AD9147" s="794"/>
    </row>
    <row r="9148" spans="30:30" ht="15.75" customHeight="1">
      <c r="AD9148" s="794"/>
    </row>
    <row r="9149" spans="30:30" ht="15.75" customHeight="1">
      <c r="AD9149" s="794"/>
    </row>
    <row r="9150" spans="30:30" ht="15.75" customHeight="1">
      <c r="AD9150" s="794"/>
    </row>
    <row r="9151" spans="30:30" ht="15.75" customHeight="1">
      <c r="AD9151" s="794"/>
    </row>
    <row r="9152" spans="30:30" ht="15.75" customHeight="1">
      <c r="AD9152" s="794"/>
    </row>
    <row r="9153" spans="30:30" ht="15.75" customHeight="1">
      <c r="AD9153" s="794"/>
    </row>
    <row r="9154" spans="30:30" ht="15.75" customHeight="1">
      <c r="AD9154" s="794"/>
    </row>
    <row r="9155" spans="30:30" ht="15.75" customHeight="1">
      <c r="AD9155" s="794"/>
    </row>
    <row r="9156" spans="30:30" ht="15.75" customHeight="1">
      <c r="AD9156" s="794"/>
    </row>
    <row r="9157" spans="30:30" ht="15.75" customHeight="1">
      <c r="AD9157" s="794"/>
    </row>
    <row r="9158" spans="30:30" ht="15.75" customHeight="1">
      <c r="AD9158" s="794"/>
    </row>
    <row r="9159" spans="30:30" ht="15.75" customHeight="1">
      <c r="AD9159" s="794"/>
    </row>
    <row r="9160" spans="30:30" ht="15.75" customHeight="1">
      <c r="AD9160" s="794"/>
    </row>
    <row r="9161" spans="30:30" ht="15.75" customHeight="1">
      <c r="AD9161" s="794"/>
    </row>
    <row r="9162" spans="30:30" ht="15.75" customHeight="1">
      <c r="AD9162" s="794"/>
    </row>
    <row r="9163" spans="30:30" ht="15.75" customHeight="1">
      <c r="AD9163" s="794"/>
    </row>
    <row r="9164" spans="30:30" ht="15.75" customHeight="1">
      <c r="AD9164" s="794"/>
    </row>
    <row r="9165" spans="30:30" ht="15.75" customHeight="1">
      <c r="AD9165" s="794"/>
    </row>
    <row r="9166" spans="30:30" ht="15.75" customHeight="1">
      <c r="AD9166" s="794"/>
    </row>
    <row r="9167" spans="30:30" ht="15.75" customHeight="1">
      <c r="AD9167" s="794"/>
    </row>
    <row r="9168" spans="30:30" ht="15.75" customHeight="1">
      <c r="AD9168" s="794"/>
    </row>
    <row r="9169" spans="30:30" ht="15.75" customHeight="1">
      <c r="AD9169" s="794"/>
    </row>
    <row r="9170" spans="30:30" ht="15.75" customHeight="1">
      <c r="AD9170" s="794"/>
    </row>
    <row r="9171" spans="30:30" ht="15.75" customHeight="1">
      <c r="AD9171" s="794"/>
    </row>
    <row r="9172" spans="30:30" ht="15.75" customHeight="1">
      <c r="AD9172" s="794"/>
    </row>
    <row r="9173" spans="30:30" ht="15.75" customHeight="1">
      <c r="AD9173" s="794"/>
    </row>
    <row r="9174" spans="30:30" ht="15.75" customHeight="1">
      <c r="AD9174" s="794"/>
    </row>
    <row r="9175" spans="30:30" ht="15.75" customHeight="1">
      <c r="AD9175" s="794"/>
    </row>
    <row r="9176" spans="30:30" ht="15.75" customHeight="1">
      <c r="AD9176" s="794"/>
    </row>
    <row r="9177" spans="30:30" ht="15.75" customHeight="1">
      <c r="AD9177" s="794"/>
    </row>
    <row r="9178" spans="30:30" ht="15.75" customHeight="1">
      <c r="AD9178" s="794"/>
    </row>
    <row r="9179" spans="30:30" ht="15.75" customHeight="1">
      <c r="AD9179" s="794"/>
    </row>
    <row r="9180" spans="30:30" ht="15.75" customHeight="1">
      <c r="AD9180" s="794"/>
    </row>
    <row r="9181" spans="30:30" ht="15.75" customHeight="1">
      <c r="AD9181" s="794"/>
    </row>
    <row r="9182" spans="30:30" ht="15.75" customHeight="1">
      <c r="AD9182" s="794"/>
    </row>
    <row r="9183" spans="30:30" ht="15.75" customHeight="1">
      <c r="AD9183" s="794"/>
    </row>
    <row r="9184" spans="30:30" ht="15.75" customHeight="1">
      <c r="AD9184" s="794"/>
    </row>
    <row r="9185" spans="30:30" ht="15.75" customHeight="1">
      <c r="AD9185" s="794"/>
    </row>
    <row r="9186" spans="30:30" ht="15.75" customHeight="1">
      <c r="AD9186" s="794"/>
    </row>
    <row r="9187" spans="30:30" ht="15.75" customHeight="1">
      <c r="AD9187" s="794"/>
    </row>
    <row r="9188" spans="30:30" ht="15.75" customHeight="1">
      <c r="AD9188" s="794"/>
    </row>
    <row r="9189" spans="30:30" ht="15.75" customHeight="1">
      <c r="AD9189" s="794"/>
    </row>
    <row r="9190" spans="30:30" ht="15.75" customHeight="1">
      <c r="AD9190" s="794"/>
    </row>
    <row r="9191" spans="30:30" ht="15.75" customHeight="1">
      <c r="AD9191" s="794"/>
    </row>
    <row r="9192" spans="30:30" ht="15.75" customHeight="1">
      <c r="AD9192" s="794"/>
    </row>
    <row r="9193" spans="30:30" ht="15.75" customHeight="1">
      <c r="AD9193" s="794"/>
    </row>
    <row r="9194" spans="30:30" ht="15.75" customHeight="1">
      <c r="AD9194" s="794"/>
    </row>
    <row r="9195" spans="30:30" ht="15.75" customHeight="1">
      <c r="AD9195" s="794"/>
    </row>
    <row r="9196" spans="30:30" ht="15.75" customHeight="1">
      <c r="AD9196" s="794"/>
    </row>
    <row r="9197" spans="30:30" ht="15.75" customHeight="1">
      <c r="AD9197" s="794"/>
    </row>
    <row r="9198" spans="30:30" ht="15.75" customHeight="1">
      <c r="AD9198" s="794"/>
    </row>
    <row r="9199" spans="30:30" ht="15.75" customHeight="1">
      <c r="AD9199" s="794"/>
    </row>
    <row r="9200" spans="30:30" ht="15.75" customHeight="1">
      <c r="AD9200" s="794"/>
    </row>
    <row r="9201" spans="30:30" ht="15.75" customHeight="1">
      <c r="AD9201" s="794"/>
    </row>
    <row r="9202" spans="30:30" ht="15.75" customHeight="1">
      <c r="AD9202" s="794"/>
    </row>
    <row r="9203" spans="30:30" ht="15.75" customHeight="1">
      <c r="AD9203" s="794"/>
    </row>
    <row r="9204" spans="30:30" ht="15.75" customHeight="1">
      <c r="AD9204" s="794"/>
    </row>
    <row r="9205" spans="30:30" ht="15.75" customHeight="1">
      <c r="AD9205" s="794"/>
    </row>
    <row r="9206" spans="30:30" ht="15.75" customHeight="1">
      <c r="AD9206" s="794"/>
    </row>
    <row r="9207" spans="30:30" ht="15.75" customHeight="1">
      <c r="AD9207" s="794"/>
    </row>
    <row r="9208" spans="30:30" ht="15.75" customHeight="1">
      <c r="AD9208" s="794"/>
    </row>
    <row r="9209" spans="30:30" ht="15.75" customHeight="1">
      <c r="AD9209" s="794"/>
    </row>
    <row r="9210" spans="30:30" ht="15.75" customHeight="1">
      <c r="AD9210" s="794"/>
    </row>
    <row r="9211" spans="30:30" ht="15.75" customHeight="1">
      <c r="AD9211" s="794"/>
    </row>
    <row r="9212" spans="30:30" ht="15.75" customHeight="1">
      <c r="AD9212" s="794"/>
    </row>
    <row r="9213" spans="30:30" ht="15.75" customHeight="1">
      <c r="AD9213" s="794"/>
    </row>
    <row r="9214" spans="30:30" ht="15.75" customHeight="1">
      <c r="AD9214" s="794"/>
    </row>
    <row r="9215" spans="30:30" ht="15.75" customHeight="1">
      <c r="AD9215" s="794"/>
    </row>
    <row r="9216" spans="30:30" ht="15.75" customHeight="1">
      <c r="AD9216" s="794"/>
    </row>
    <row r="9217" spans="30:30" ht="15.75" customHeight="1">
      <c r="AD9217" s="794"/>
    </row>
    <row r="9218" spans="30:30" ht="15.75" customHeight="1">
      <c r="AD9218" s="794"/>
    </row>
    <row r="9219" spans="30:30" ht="15.75" customHeight="1">
      <c r="AD9219" s="794"/>
    </row>
    <row r="9220" spans="30:30" ht="15.75" customHeight="1">
      <c r="AD9220" s="794"/>
    </row>
    <row r="9221" spans="30:30" ht="15.75" customHeight="1">
      <c r="AD9221" s="794"/>
    </row>
    <row r="9222" spans="30:30" ht="15.75" customHeight="1">
      <c r="AD9222" s="794"/>
    </row>
    <row r="9223" spans="30:30" ht="15.75" customHeight="1">
      <c r="AD9223" s="794"/>
    </row>
    <row r="9224" spans="30:30" ht="15.75" customHeight="1">
      <c r="AD9224" s="794"/>
    </row>
    <row r="9225" spans="30:30" ht="15.75" customHeight="1">
      <c r="AD9225" s="794"/>
    </row>
    <row r="9226" spans="30:30" ht="15.75" customHeight="1">
      <c r="AD9226" s="794"/>
    </row>
    <row r="9227" spans="30:30" ht="15.75" customHeight="1">
      <c r="AD9227" s="794"/>
    </row>
    <row r="9228" spans="30:30" ht="15.75" customHeight="1">
      <c r="AD9228" s="794"/>
    </row>
    <row r="9229" spans="30:30" ht="15.75" customHeight="1">
      <c r="AD9229" s="794"/>
    </row>
    <row r="9230" spans="30:30" ht="15.75" customHeight="1">
      <c r="AD9230" s="794"/>
    </row>
    <row r="9231" spans="30:30" ht="15.75" customHeight="1">
      <c r="AD9231" s="794"/>
    </row>
    <row r="9232" spans="30:30" ht="15.75" customHeight="1">
      <c r="AD9232" s="794"/>
    </row>
    <row r="9233" spans="30:30" ht="15.75" customHeight="1">
      <c r="AD9233" s="794"/>
    </row>
    <row r="9234" spans="30:30" ht="15.75" customHeight="1">
      <c r="AD9234" s="794"/>
    </row>
    <row r="9235" spans="30:30" ht="15.75" customHeight="1">
      <c r="AD9235" s="794"/>
    </row>
    <row r="9236" spans="30:30" ht="15.75" customHeight="1">
      <c r="AD9236" s="794"/>
    </row>
    <row r="9237" spans="30:30" ht="15.75" customHeight="1">
      <c r="AD9237" s="794"/>
    </row>
    <row r="9238" spans="30:30" ht="15.75" customHeight="1">
      <c r="AD9238" s="794"/>
    </row>
    <row r="9239" spans="30:30" ht="15.75" customHeight="1">
      <c r="AD9239" s="794"/>
    </row>
    <row r="9240" spans="30:30" ht="15.75" customHeight="1">
      <c r="AD9240" s="794"/>
    </row>
    <row r="9241" spans="30:30" ht="15.75" customHeight="1">
      <c r="AD9241" s="794"/>
    </row>
    <row r="9242" spans="30:30" ht="15.75" customHeight="1">
      <c r="AD9242" s="794"/>
    </row>
    <row r="9243" spans="30:30" ht="15.75" customHeight="1">
      <c r="AD9243" s="794"/>
    </row>
    <row r="9244" spans="30:30" ht="15.75" customHeight="1">
      <c r="AD9244" s="794"/>
    </row>
    <row r="9245" spans="30:30" ht="15.75" customHeight="1">
      <c r="AD9245" s="794"/>
    </row>
    <row r="9246" spans="30:30" ht="15.75" customHeight="1">
      <c r="AD9246" s="794"/>
    </row>
    <row r="9247" spans="30:30" ht="15.75" customHeight="1">
      <c r="AD9247" s="794"/>
    </row>
    <row r="9248" spans="30:30" ht="15.75" customHeight="1">
      <c r="AD9248" s="794"/>
    </row>
    <row r="9249" spans="30:30" ht="15.75" customHeight="1">
      <c r="AD9249" s="794"/>
    </row>
    <row r="9250" spans="30:30" ht="15.75" customHeight="1">
      <c r="AD9250" s="794"/>
    </row>
    <row r="9251" spans="30:30" ht="15.75" customHeight="1">
      <c r="AD9251" s="794"/>
    </row>
    <row r="9252" spans="30:30" ht="15.75" customHeight="1">
      <c r="AD9252" s="794"/>
    </row>
    <row r="9253" spans="30:30" ht="15.75" customHeight="1">
      <c r="AD9253" s="794"/>
    </row>
    <row r="9254" spans="30:30" ht="15.75" customHeight="1">
      <c r="AD9254" s="794"/>
    </row>
    <row r="9255" spans="30:30" ht="15.75" customHeight="1">
      <c r="AD9255" s="794"/>
    </row>
    <row r="9256" spans="30:30" ht="15.75" customHeight="1">
      <c r="AD9256" s="794"/>
    </row>
    <row r="9257" spans="30:30" ht="15.75" customHeight="1">
      <c r="AD9257" s="794"/>
    </row>
    <row r="9258" spans="30:30" ht="15.75" customHeight="1">
      <c r="AD9258" s="794"/>
    </row>
    <row r="9259" spans="30:30" ht="15.75" customHeight="1">
      <c r="AD9259" s="794"/>
    </row>
    <row r="9260" spans="30:30" ht="15.75" customHeight="1">
      <c r="AD9260" s="794"/>
    </row>
    <row r="9261" spans="30:30" ht="15.75" customHeight="1">
      <c r="AD9261" s="794"/>
    </row>
    <row r="9262" spans="30:30" ht="15.75" customHeight="1">
      <c r="AD9262" s="794"/>
    </row>
    <row r="9263" spans="30:30" ht="15.75" customHeight="1">
      <c r="AD9263" s="794"/>
    </row>
    <row r="9264" spans="30:30" ht="15.75" customHeight="1">
      <c r="AD9264" s="794"/>
    </row>
    <row r="9265" spans="30:30" ht="15.75" customHeight="1">
      <c r="AD9265" s="794"/>
    </row>
    <row r="9266" spans="30:30" ht="15.75" customHeight="1">
      <c r="AD9266" s="794"/>
    </row>
    <row r="9267" spans="30:30" ht="15.75" customHeight="1">
      <c r="AD9267" s="794"/>
    </row>
    <row r="9268" spans="30:30" ht="15.75" customHeight="1">
      <c r="AD9268" s="794"/>
    </row>
    <row r="9269" spans="30:30" ht="15.75" customHeight="1">
      <c r="AD9269" s="794"/>
    </row>
    <row r="9270" spans="30:30" ht="15.75" customHeight="1">
      <c r="AD9270" s="794"/>
    </row>
    <row r="9271" spans="30:30" ht="15.75" customHeight="1">
      <c r="AD9271" s="794"/>
    </row>
    <row r="9272" spans="30:30" ht="15.75" customHeight="1">
      <c r="AD9272" s="794"/>
    </row>
    <row r="9273" spans="30:30" ht="15.75" customHeight="1">
      <c r="AD9273" s="794"/>
    </row>
    <row r="9274" spans="30:30" ht="15.75" customHeight="1">
      <c r="AD9274" s="794"/>
    </row>
    <row r="9275" spans="30:30" ht="15.75" customHeight="1">
      <c r="AD9275" s="794"/>
    </row>
    <row r="9276" spans="30:30" ht="15.75" customHeight="1">
      <c r="AD9276" s="794"/>
    </row>
    <row r="9277" spans="30:30" ht="15.75" customHeight="1">
      <c r="AD9277" s="794"/>
    </row>
    <row r="9278" spans="30:30" ht="15.75" customHeight="1">
      <c r="AD9278" s="794"/>
    </row>
    <row r="9279" spans="30:30" ht="15.75" customHeight="1">
      <c r="AD9279" s="794"/>
    </row>
    <row r="9280" spans="30:30" ht="15.75" customHeight="1">
      <c r="AD9280" s="794"/>
    </row>
    <row r="9281" spans="30:30" ht="15.75" customHeight="1">
      <c r="AD9281" s="794"/>
    </row>
    <row r="9282" spans="30:30" ht="15.75" customHeight="1">
      <c r="AD9282" s="794"/>
    </row>
    <row r="9283" spans="30:30" ht="15.75" customHeight="1">
      <c r="AD9283" s="794"/>
    </row>
    <row r="9284" spans="30:30" ht="15.75" customHeight="1">
      <c r="AD9284" s="794"/>
    </row>
    <row r="9285" spans="30:30" ht="15.75" customHeight="1">
      <c r="AD9285" s="794"/>
    </row>
    <row r="9286" spans="30:30" ht="15.75" customHeight="1">
      <c r="AD9286" s="794"/>
    </row>
    <row r="9287" spans="30:30" ht="15.75" customHeight="1">
      <c r="AD9287" s="794"/>
    </row>
    <row r="9288" spans="30:30" ht="15.75" customHeight="1">
      <c r="AD9288" s="794"/>
    </row>
    <row r="9289" spans="30:30" ht="15.75" customHeight="1">
      <c r="AD9289" s="794"/>
    </row>
    <row r="9290" spans="30:30" ht="15.75" customHeight="1">
      <c r="AD9290" s="794"/>
    </row>
    <row r="9291" spans="30:30" ht="15.75" customHeight="1">
      <c r="AD9291" s="794"/>
    </row>
    <row r="9292" spans="30:30" ht="15.75" customHeight="1">
      <c r="AD9292" s="794"/>
    </row>
    <row r="9293" spans="30:30" ht="15.75" customHeight="1">
      <c r="AD9293" s="794"/>
    </row>
    <row r="9294" spans="30:30" ht="15.75" customHeight="1">
      <c r="AD9294" s="794"/>
    </row>
    <row r="9295" spans="30:30" ht="15.75" customHeight="1">
      <c r="AD9295" s="794"/>
    </row>
    <row r="9296" spans="30:30" ht="15.75" customHeight="1">
      <c r="AD9296" s="794"/>
    </row>
    <row r="9297" spans="30:30" ht="15.75" customHeight="1">
      <c r="AD9297" s="794"/>
    </row>
    <row r="9298" spans="30:30" ht="15.75" customHeight="1">
      <c r="AD9298" s="794"/>
    </row>
    <row r="9299" spans="30:30" ht="15.75" customHeight="1">
      <c r="AD9299" s="794"/>
    </row>
    <row r="9300" spans="30:30" ht="15.75" customHeight="1">
      <c r="AD9300" s="794"/>
    </row>
    <row r="9301" spans="30:30" ht="15.75" customHeight="1">
      <c r="AD9301" s="794"/>
    </row>
    <row r="9302" spans="30:30" ht="15.75" customHeight="1">
      <c r="AD9302" s="794"/>
    </row>
    <row r="9303" spans="30:30" ht="15.75" customHeight="1">
      <c r="AD9303" s="794"/>
    </row>
    <row r="9304" spans="30:30" ht="15.75" customHeight="1">
      <c r="AD9304" s="794"/>
    </row>
    <row r="9305" spans="30:30" ht="15.75" customHeight="1">
      <c r="AD9305" s="794"/>
    </row>
    <row r="9306" spans="30:30" ht="15.75" customHeight="1">
      <c r="AD9306" s="794"/>
    </row>
    <row r="9307" spans="30:30" ht="15.75" customHeight="1">
      <c r="AD9307" s="794"/>
    </row>
    <row r="9308" spans="30:30" ht="15.75" customHeight="1">
      <c r="AD9308" s="794"/>
    </row>
    <row r="9309" spans="30:30" ht="15.75" customHeight="1">
      <c r="AD9309" s="794"/>
    </row>
    <row r="9310" spans="30:30" ht="15.75" customHeight="1">
      <c r="AD9310" s="794"/>
    </row>
    <row r="9311" spans="30:30" ht="15.75" customHeight="1">
      <c r="AD9311" s="794"/>
    </row>
    <row r="9312" spans="30:30" ht="15.75" customHeight="1">
      <c r="AD9312" s="794"/>
    </row>
    <row r="9313" spans="30:30" ht="15.75" customHeight="1">
      <c r="AD9313" s="794"/>
    </row>
    <row r="9314" spans="30:30" ht="15.75" customHeight="1">
      <c r="AD9314" s="794"/>
    </row>
    <row r="9315" spans="30:30" ht="15.75" customHeight="1">
      <c r="AD9315" s="794"/>
    </row>
    <row r="9316" spans="30:30" ht="15.75" customHeight="1">
      <c r="AD9316" s="794"/>
    </row>
    <row r="9317" spans="30:30" ht="15.75" customHeight="1">
      <c r="AD9317" s="794"/>
    </row>
    <row r="9318" spans="30:30" ht="15.75" customHeight="1">
      <c r="AD9318" s="794"/>
    </row>
    <row r="9319" spans="30:30" ht="15.75" customHeight="1">
      <c r="AD9319" s="794"/>
    </row>
    <row r="9320" spans="30:30" ht="15.75" customHeight="1">
      <c r="AD9320" s="794"/>
    </row>
    <row r="9321" spans="30:30" ht="15.75" customHeight="1">
      <c r="AD9321" s="794"/>
    </row>
    <row r="9322" spans="30:30" ht="15.75" customHeight="1">
      <c r="AD9322" s="794"/>
    </row>
    <row r="9323" spans="30:30" ht="15.75" customHeight="1">
      <c r="AD9323" s="794"/>
    </row>
    <row r="9324" spans="30:30" ht="15.75" customHeight="1">
      <c r="AD9324" s="794"/>
    </row>
    <row r="9325" spans="30:30" ht="15.75" customHeight="1">
      <c r="AD9325" s="794"/>
    </row>
    <row r="9326" spans="30:30" ht="15.75" customHeight="1">
      <c r="AD9326" s="794"/>
    </row>
    <row r="9327" spans="30:30" ht="15.75" customHeight="1">
      <c r="AD9327" s="794"/>
    </row>
    <row r="9328" spans="30:30" ht="15.75" customHeight="1">
      <c r="AD9328" s="794"/>
    </row>
    <row r="9329" spans="30:30" ht="15.75" customHeight="1">
      <c r="AD9329" s="794"/>
    </row>
    <row r="9330" spans="30:30" ht="15.75" customHeight="1">
      <c r="AD9330" s="794"/>
    </row>
    <row r="9331" spans="30:30" ht="15.75" customHeight="1">
      <c r="AD9331" s="794"/>
    </row>
    <row r="9332" spans="30:30" ht="15.75" customHeight="1">
      <c r="AD9332" s="794"/>
    </row>
    <row r="9333" spans="30:30" ht="15.75" customHeight="1">
      <c r="AD9333" s="794"/>
    </row>
    <row r="9334" spans="30:30" ht="15.75" customHeight="1">
      <c r="AD9334" s="794"/>
    </row>
    <row r="9335" spans="30:30" ht="15.75" customHeight="1">
      <c r="AD9335" s="794"/>
    </row>
    <row r="9336" spans="30:30" ht="15.75" customHeight="1">
      <c r="AD9336" s="794"/>
    </row>
    <row r="9337" spans="30:30" ht="15.75" customHeight="1">
      <c r="AD9337" s="794"/>
    </row>
    <row r="9338" spans="30:30" ht="15.75" customHeight="1">
      <c r="AD9338" s="794"/>
    </row>
    <row r="9339" spans="30:30" ht="15.75" customHeight="1">
      <c r="AD9339" s="794"/>
    </row>
    <row r="9340" spans="30:30" ht="15.75" customHeight="1">
      <c r="AD9340" s="794"/>
    </row>
    <row r="9341" spans="30:30" ht="15.75" customHeight="1">
      <c r="AD9341" s="794"/>
    </row>
    <row r="9342" spans="30:30" ht="15.75" customHeight="1">
      <c r="AD9342" s="794"/>
    </row>
    <row r="9343" spans="30:30" ht="15.75" customHeight="1">
      <c r="AD9343" s="794"/>
    </row>
    <row r="9344" spans="30:30" ht="15.75" customHeight="1">
      <c r="AD9344" s="794"/>
    </row>
    <row r="9345" spans="30:30" ht="15.75" customHeight="1">
      <c r="AD9345" s="794"/>
    </row>
    <row r="9346" spans="30:30" ht="15.75" customHeight="1">
      <c r="AD9346" s="794"/>
    </row>
    <row r="9347" spans="30:30" ht="15.75" customHeight="1">
      <c r="AD9347" s="794"/>
    </row>
    <row r="9348" spans="30:30" ht="15.75" customHeight="1">
      <c r="AD9348" s="794"/>
    </row>
    <row r="9349" spans="30:30" ht="15.75" customHeight="1">
      <c r="AD9349" s="794"/>
    </row>
    <row r="9350" spans="30:30" ht="15.75" customHeight="1">
      <c r="AD9350" s="794"/>
    </row>
    <row r="9351" spans="30:30" ht="15.75" customHeight="1">
      <c r="AD9351" s="794"/>
    </row>
    <row r="9352" spans="30:30" ht="15.75" customHeight="1">
      <c r="AD9352" s="794"/>
    </row>
    <row r="9353" spans="30:30" ht="15.75" customHeight="1">
      <c r="AD9353" s="794"/>
    </row>
    <row r="9354" spans="30:30" ht="15.75" customHeight="1">
      <c r="AD9354" s="794"/>
    </row>
    <row r="9355" spans="30:30" ht="15.75" customHeight="1">
      <c r="AD9355" s="794"/>
    </row>
    <row r="9356" spans="30:30" ht="15.75" customHeight="1">
      <c r="AD9356" s="794"/>
    </row>
    <row r="9357" spans="30:30" ht="15.75" customHeight="1">
      <c r="AD9357" s="794"/>
    </row>
    <row r="9358" spans="30:30" ht="15.75" customHeight="1">
      <c r="AD9358" s="794"/>
    </row>
    <row r="9359" spans="30:30" ht="15.75" customHeight="1">
      <c r="AD9359" s="794"/>
    </row>
    <row r="9360" spans="30:30" ht="15.75" customHeight="1">
      <c r="AD9360" s="794"/>
    </row>
    <row r="9361" spans="30:30" ht="15.75" customHeight="1">
      <c r="AD9361" s="794"/>
    </row>
    <row r="9362" spans="30:30" ht="15.75" customHeight="1">
      <c r="AD9362" s="794"/>
    </row>
    <row r="9363" spans="30:30" ht="15.75" customHeight="1">
      <c r="AD9363" s="794"/>
    </row>
    <row r="9364" spans="30:30" ht="15.75" customHeight="1">
      <c r="AD9364" s="794"/>
    </row>
    <row r="9365" spans="30:30" ht="15.75" customHeight="1">
      <c r="AD9365" s="794"/>
    </row>
    <row r="9366" spans="30:30" ht="15.75" customHeight="1">
      <c r="AD9366" s="794"/>
    </row>
    <row r="9367" spans="30:30" ht="15.75" customHeight="1">
      <c r="AD9367" s="794"/>
    </row>
    <row r="9368" spans="30:30" ht="15.75" customHeight="1">
      <c r="AD9368" s="794"/>
    </row>
    <row r="9369" spans="30:30" ht="15.75" customHeight="1">
      <c r="AD9369" s="794"/>
    </row>
    <row r="9370" spans="30:30" ht="15.75" customHeight="1">
      <c r="AD9370" s="794"/>
    </row>
    <row r="9371" spans="30:30" ht="15.75" customHeight="1">
      <c r="AD9371" s="794"/>
    </row>
    <row r="9372" spans="30:30" ht="15.75" customHeight="1">
      <c r="AD9372" s="794"/>
    </row>
    <row r="9373" spans="30:30" ht="15.75" customHeight="1">
      <c r="AD9373" s="794"/>
    </row>
    <row r="9374" spans="30:30" ht="15.75" customHeight="1">
      <c r="AD9374" s="794"/>
    </row>
    <row r="9375" spans="30:30" ht="15.75" customHeight="1">
      <c r="AD9375" s="794"/>
    </row>
    <row r="9376" spans="30:30" ht="15.75" customHeight="1">
      <c r="AD9376" s="794"/>
    </row>
    <row r="9377" spans="30:30" ht="15.75" customHeight="1">
      <c r="AD9377" s="794"/>
    </row>
    <row r="9378" spans="30:30" ht="15.75" customHeight="1">
      <c r="AD9378" s="794"/>
    </row>
    <row r="9379" spans="30:30" ht="15.75" customHeight="1">
      <c r="AD9379" s="794"/>
    </row>
    <row r="9380" spans="30:30" ht="15.75" customHeight="1">
      <c r="AD9380" s="794"/>
    </row>
    <row r="9381" spans="30:30" ht="15.75" customHeight="1">
      <c r="AD9381" s="794"/>
    </row>
    <row r="9382" spans="30:30" ht="15.75" customHeight="1">
      <c r="AD9382" s="794"/>
    </row>
    <row r="9383" spans="30:30" ht="15.75" customHeight="1">
      <c r="AD9383" s="794"/>
    </row>
    <row r="9384" spans="30:30" ht="15.75" customHeight="1">
      <c r="AD9384" s="794"/>
    </row>
    <row r="9385" spans="30:30" ht="15.75" customHeight="1">
      <c r="AD9385" s="794"/>
    </row>
    <row r="9386" spans="30:30" ht="15.75" customHeight="1">
      <c r="AD9386" s="794"/>
    </row>
    <row r="9387" spans="30:30" ht="15.75" customHeight="1">
      <c r="AD9387" s="794"/>
    </row>
    <row r="9388" spans="30:30" ht="15.75" customHeight="1">
      <c r="AD9388" s="794"/>
    </row>
    <row r="9389" spans="30:30" ht="15.75" customHeight="1">
      <c r="AD9389" s="794"/>
    </row>
    <row r="9390" spans="30:30" ht="15.75" customHeight="1">
      <c r="AD9390" s="794"/>
    </row>
    <row r="9391" spans="30:30" ht="15.75" customHeight="1">
      <c r="AD9391" s="794"/>
    </row>
    <row r="9392" spans="30:30" ht="15.75" customHeight="1">
      <c r="AD9392" s="794"/>
    </row>
    <row r="9393" spans="30:30" ht="15.75" customHeight="1">
      <c r="AD9393" s="794"/>
    </row>
    <row r="9394" spans="30:30" ht="15.75" customHeight="1">
      <c r="AD9394" s="794"/>
    </row>
    <row r="9395" spans="30:30" ht="15.75" customHeight="1">
      <c r="AD9395" s="794"/>
    </row>
    <row r="9396" spans="30:30" ht="15.75" customHeight="1">
      <c r="AD9396" s="794"/>
    </row>
    <row r="9397" spans="30:30" ht="15.75" customHeight="1">
      <c r="AD9397" s="794"/>
    </row>
    <row r="9398" spans="30:30" ht="15.75" customHeight="1">
      <c r="AD9398" s="794"/>
    </row>
    <row r="9399" spans="30:30" ht="15.75" customHeight="1">
      <c r="AD9399" s="794"/>
    </row>
    <row r="9400" spans="30:30" ht="15.75" customHeight="1">
      <c r="AD9400" s="794"/>
    </row>
    <row r="9401" spans="30:30" ht="15.75" customHeight="1">
      <c r="AD9401" s="794"/>
    </row>
    <row r="9402" spans="30:30" ht="15.75" customHeight="1">
      <c r="AD9402" s="794"/>
    </row>
    <row r="9403" spans="30:30" ht="15.75" customHeight="1">
      <c r="AD9403" s="794"/>
    </row>
    <row r="9404" spans="30:30" ht="15.75" customHeight="1">
      <c r="AD9404" s="794"/>
    </row>
    <row r="9405" spans="30:30" ht="15.75" customHeight="1">
      <c r="AD9405" s="794"/>
    </row>
    <row r="9406" spans="30:30" ht="15.75" customHeight="1">
      <c r="AD9406" s="794"/>
    </row>
    <row r="9407" spans="30:30" ht="15.75" customHeight="1">
      <c r="AD9407" s="794"/>
    </row>
    <row r="9408" spans="30:30" ht="15.75" customHeight="1">
      <c r="AD9408" s="794"/>
    </row>
    <row r="9409" spans="30:30" ht="15.75" customHeight="1">
      <c r="AD9409" s="794"/>
    </row>
    <row r="9410" spans="30:30" ht="15.75" customHeight="1">
      <c r="AD9410" s="794"/>
    </row>
    <row r="9411" spans="30:30" ht="15.75" customHeight="1">
      <c r="AD9411" s="794"/>
    </row>
    <row r="9412" spans="30:30" ht="15.75" customHeight="1">
      <c r="AD9412" s="794"/>
    </row>
    <row r="9413" spans="30:30" ht="15.75" customHeight="1">
      <c r="AD9413" s="794"/>
    </row>
    <row r="9414" spans="30:30" ht="15.75" customHeight="1">
      <c r="AD9414" s="794"/>
    </row>
    <row r="9415" spans="30:30" ht="15.75" customHeight="1">
      <c r="AD9415" s="794"/>
    </row>
    <row r="9416" spans="30:30" ht="15.75" customHeight="1">
      <c r="AD9416" s="794"/>
    </row>
    <row r="9417" spans="30:30" ht="15.75" customHeight="1">
      <c r="AD9417" s="794"/>
    </row>
    <row r="9418" spans="30:30" ht="15.75" customHeight="1">
      <c r="AD9418" s="794"/>
    </row>
    <row r="9419" spans="30:30" ht="15.75" customHeight="1">
      <c r="AD9419" s="794"/>
    </row>
    <row r="9420" spans="30:30" ht="15.75" customHeight="1">
      <c r="AD9420" s="794"/>
    </row>
    <row r="9421" spans="30:30" ht="15.75" customHeight="1">
      <c r="AD9421" s="794"/>
    </row>
    <row r="9422" spans="30:30" ht="15.75" customHeight="1">
      <c r="AD9422" s="794"/>
    </row>
    <row r="9423" spans="30:30" ht="15.75" customHeight="1">
      <c r="AD9423" s="794"/>
    </row>
    <row r="9424" spans="30:30" ht="15.75" customHeight="1">
      <c r="AD9424" s="794"/>
    </row>
    <row r="9425" spans="30:30" ht="15.75" customHeight="1">
      <c r="AD9425" s="794"/>
    </row>
    <row r="9426" spans="30:30" ht="15.75" customHeight="1">
      <c r="AD9426" s="794"/>
    </row>
    <row r="9427" spans="30:30" ht="15.75" customHeight="1">
      <c r="AD9427" s="794"/>
    </row>
    <row r="9428" spans="30:30" ht="15.75" customHeight="1">
      <c r="AD9428" s="794"/>
    </row>
    <row r="9429" spans="30:30" ht="15.75" customHeight="1">
      <c r="AD9429" s="794"/>
    </row>
    <row r="9430" spans="30:30" ht="15.75" customHeight="1">
      <c r="AD9430" s="794"/>
    </row>
    <row r="9431" spans="30:30" ht="15.75" customHeight="1">
      <c r="AD9431" s="794"/>
    </row>
    <row r="9432" spans="30:30" ht="15.75" customHeight="1">
      <c r="AD9432" s="794"/>
    </row>
    <row r="9433" spans="30:30" ht="15.75" customHeight="1">
      <c r="AD9433" s="794"/>
    </row>
    <row r="9434" spans="30:30" ht="15.75" customHeight="1">
      <c r="AD9434" s="794"/>
    </row>
    <row r="9435" spans="30:30" ht="15.75" customHeight="1">
      <c r="AD9435" s="794"/>
    </row>
    <row r="9436" spans="30:30" ht="15.75" customHeight="1">
      <c r="AD9436" s="794"/>
    </row>
    <row r="9437" spans="30:30" ht="15.75" customHeight="1">
      <c r="AD9437" s="794"/>
    </row>
    <row r="9438" spans="30:30" ht="15.75" customHeight="1">
      <c r="AD9438" s="794"/>
    </row>
    <row r="9439" spans="30:30" ht="15.75" customHeight="1">
      <c r="AD9439" s="794"/>
    </row>
    <row r="9440" spans="30:30" ht="15.75" customHeight="1">
      <c r="AD9440" s="794"/>
    </row>
    <row r="9441" spans="30:30" ht="15.75" customHeight="1">
      <c r="AD9441" s="794"/>
    </row>
    <row r="9442" spans="30:30" ht="15.75" customHeight="1">
      <c r="AD9442" s="794"/>
    </row>
    <row r="9443" spans="30:30" ht="15.75" customHeight="1">
      <c r="AD9443" s="794"/>
    </row>
    <row r="9444" spans="30:30" ht="15.75" customHeight="1">
      <c r="AD9444" s="794"/>
    </row>
    <row r="9445" spans="30:30" ht="15.75" customHeight="1">
      <c r="AD9445" s="794"/>
    </row>
    <row r="9446" spans="30:30" ht="15.75" customHeight="1">
      <c r="AD9446" s="794"/>
    </row>
    <row r="9447" spans="30:30" ht="15.75" customHeight="1">
      <c r="AD9447" s="794"/>
    </row>
    <row r="9448" spans="30:30" ht="15.75" customHeight="1">
      <c r="AD9448" s="794"/>
    </row>
    <row r="9449" spans="30:30" ht="15.75" customHeight="1">
      <c r="AD9449" s="794"/>
    </row>
    <row r="9450" spans="30:30" ht="15.75" customHeight="1">
      <c r="AD9450" s="794"/>
    </row>
    <row r="9451" spans="30:30" ht="15.75" customHeight="1">
      <c r="AD9451" s="794"/>
    </row>
    <row r="9452" spans="30:30" ht="15.75" customHeight="1">
      <c r="AD9452" s="794"/>
    </row>
    <row r="9453" spans="30:30" ht="15.75" customHeight="1">
      <c r="AD9453" s="794"/>
    </row>
    <row r="9454" spans="30:30" ht="15.75" customHeight="1">
      <c r="AD9454" s="794"/>
    </row>
    <row r="9455" spans="30:30" ht="15.75" customHeight="1">
      <c r="AD9455" s="794"/>
    </row>
    <row r="9456" spans="30:30" ht="15.75" customHeight="1">
      <c r="AD9456" s="794"/>
    </row>
    <row r="9457" spans="30:30" ht="15.75" customHeight="1">
      <c r="AD9457" s="794"/>
    </row>
    <row r="9458" spans="30:30" ht="15.75" customHeight="1">
      <c r="AD9458" s="794"/>
    </row>
    <row r="9459" spans="30:30" ht="15.75" customHeight="1">
      <c r="AD9459" s="794"/>
    </row>
    <row r="9460" spans="30:30" ht="15.75" customHeight="1">
      <c r="AD9460" s="794"/>
    </row>
    <row r="9461" spans="30:30" ht="15.75" customHeight="1">
      <c r="AD9461" s="794"/>
    </row>
    <row r="9462" spans="30:30" ht="15.75" customHeight="1">
      <c r="AD9462" s="794"/>
    </row>
    <row r="9463" spans="30:30" ht="15.75" customHeight="1">
      <c r="AD9463" s="794"/>
    </row>
    <row r="9464" spans="30:30" ht="15.75" customHeight="1">
      <c r="AD9464" s="794"/>
    </row>
    <row r="9465" spans="30:30" ht="15.75" customHeight="1">
      <c r="AD9465" s="794"/>
    </row>
    <row r="9466" spans="30:30" ht="15.75" customHeight="1">
      <c r="AD9466" s="794"/>
    </row>
    <row r="9467" spans="30:30" ht="15.75" customHeight="1">
      <c r="AD9467" s="794"/>
    </row>
    <row r="9468" spans="30:30" ht="15.75" customHeight="1">
      <c r="AD9468" s="794"/>
    </row>
    <row r="9469" spans="30:30" ht="15.75" customHeight="1">
      <c r="AD9469" s="794"/>
    </row>
    <row r="9470" spans="30:30" ht="15.75" customHeight="1">
      <c r="AD9470" s="794"/>
    </row>
    <row r="9471" spans="30:30" ht="15.75" customHeight="1">
      <c r="AD9471" s="794"/>
    </row>
    <row r="9472" spans="30:30" ht="15.75" customHeight="1">
      <c r="AD9472" s="794"/>
    </row>
    <row r="9473" spans="30:30" ht="15.75" customHeight="1">
      <c r="AD9473" s="794"/>
    </row>
    <row r="9474" spans="30:30" ht="15.75" customHeight="1">
      <c r="AD9474" s="794"/>
    </row>
    <row r="9475" spans="30:30" ht="15.75" customHeight="1">
      <c r="AD9475" s="794"/>
    </row>
    <row r="9476" spans="30:30" ht="15.75" customHeight="1">
      <c r="AD9476" s="794"/>
    </row>
    <row r="9477" spans="30:30" ht="15.75" customHeight="1">
      <c r="AD9477" s="794"/>
    </row>
    <row r="9478" spans="30:30" ht="15.75" customHeight="1">
      <c r="AD9478" s="794"/>
    </row>
    <row r="9479" spans="30:30" ht="15.75" customHeight="1">
      <c r="AD9479" s="794"/>
    </row>
    <row r="9480" spans="30:30" ht="15.75" customHeight="1">
      <c r="AD9480" s="794"/>
    </row>
    <row r="9481" spans="30:30" ht="15.75" customHeight="1">
      <c r="AD9481" s="794"/>
    </row>
    <row r="9482" spans="30:30" ht="15.75" customHeight="1">
      <c r="AD9482" s="794"/>
    </row>
    <row r="9483" spans="30:30" ht="15.75" customHeight="1">
      <c r="AD9483" s="794"/>
    </row>
    <row r="9484" spans="30:30" ht="15.75" customHeight="1">
      <c r="AD9484" s="794"/>
    </row>
    <row r="9485" spans="30:30" ht="15.75" customHeight="1">
      <c r="AD9485" s="794"/>
    </row>
    <row r="9486" spans="30:30" ht="15.75" customHeight="1">
      <c r="AD9486" s="794"/>
    </row>
    <row r="9487" spans="30:30" ht="15.75" customHeight="1">
      <c r="AD9487" s="794"/>
    </row>
    <row r="9488" spans="30:30" ht="15.75" customHeight="1">
      <c r="AD9488" s="794"/>
    </row>
    <row r="9489" spans="30:30" ht="15.75" customHeight="1">
      <c r="AD9489" s="794"/>
    </row>
    <row r="9490" spans="30:30" ht="15.75" customHeight="1">
      <c r="AD9490" s="794"/>
    </row>
    <row r="9491" spans="30:30" ht="15.75" customHeight="1">
      <c r="AD9491" s="794"/>
    </row>
    <row r="9492" spans="30:30" ht="15.75" customHeight="1">
      <c r="AD9492" s="794"/>
    </row>
    <row r="9493" spans="30:30" ht="15.75" customHeight="1">
      <c r="AD9493" s="794"/>
    </row>
    <row r="9494" spans="30:30" ht="15.75" customHeight="1">
      <c r="AD9494" s="794"/>
    </row>
    <row r="9495" spans="30:30" ht="15.75" customHeight="1">
      <c r="AD9495" s="794"/>
    </row>
    <row r="9496" spans="30:30" ht="15.75" customHeight="1">
      <c r="AD9496" s="794"/>
    </row>
    <row r="9497" spans="30:30" ht="15.75" customHeight="1">
      <c r="AD9497" s="794"/>
    </row>
    <row r="9498" spans="30:30" ht="15.75" customHeight="1">
      <c r="AD9498" s="794"/>
    </row>
    <row r="9499" spans="30:30" ht="15.75" customHeight="1">
      <c r="AD9499" s="794"/>
    </row>
    <row r="9500" spans="30:30" ht="15.75" customHeight="1">
      <c r="AD9500" s="794"/>
    </row>
    <row r="9501" spans="30:30" ht="15.75" customHeight="1">
      <c r="AD9501" s="794"/>
    </row>
    <row r="9502" spans="30:30" ht="15.75" customHeight="1">
      <c r="AD9502" s="794"/>
    </row>
    <row r="9503" spans="30:30" ht="15.75" customHeight="1">
      <c r="AD9503" s="794"/>
    </row>
    <row r="9504" spans="30:30" ht="15.75" customHeight="1">
      <c r="AD9504" s="794"/>
    </row>
    <row r="9505" spans="30:30" ht="15.75" customHeight="1">
      <c r="AD9505" s="794"/>
    </row>
    <row r="9506" spans="30:30" ht="15.75" customHeight="1">
      <c r="AD9506" s="794"/>
    </row>
    <row r="9507" spans="30:30" ht="15.75" customHeight="1">
      <c r="AD9507" s="794"/>
    </row>
    <row r="9508" spans="30:30" ht="15.75" customHeight="1">
      <c r="AD9508" s="794"/>
    </row>
    <row r="9509" spans="30:30" ht="15.75" customHeight="1">
      <c r="AD9509" s="794"/>
    </row>
    <row r="9510" spans="30:30" ht="15.75" customHeight="1">
      <c r="AD9510" s="794"/>
    </row>
    <row r="9511" spans="30:30" ht="15.75" customHeight="1">
      <c r="AD9511" s="794"/>
    </row>
    <row r="9512" spans="30:30" ht="15.75" customHeight="1">
      <c r="AD9512" s="794"/>
    </row>
    <row r="9513" spans="30:30" ht="15.75" customHeight="1">
      <c r="AD9513" s="794"/>
    </row>
    <row r="9514" spans="30:30" ht="15.75" customHeight="1">
      <c r="AD9514" s="794"/>
    </row>
    <row r="9515" spans="30:30" ht="15.75" customHeight="1">
      <c r="AD9515" s="794"/>
    </row>
    <row r="9516" spans="30:30" ht="15.75" customHeight="1">
      <c r="AD9516" s="794"/>
    </row>
    <row r="9517" spans="30:30" ht="15.75" customHeight="1">
      <c r="AD9517" s="794"/>
    </row>
    <row r="9518" spans="30:30" ht="15.75" customHeight="1">
      <c r="AD9518" s="794"/>
    </row>
    <row r="9519" spans="30:30" ht="15.75" customHeight="1">
      <c r="AD9519" s="794"/>
    </row>
    <row r="9520" spans="30:30" ht="15.75" customHeight="1">
      <c r="AD9520" s="794"/>
    </row>
    <row r="9521" spans="30:30" ht="15.75" customHeight="1">
      <c r="AD9521" s="794"/>
    </row>
    <row r="9522" spans="30:30" ht="15.75" customHeight="1">
      <c r="AD9522" s="794"/>
    </row>
    <row r="9523" spans="30:30" ht="15.75" customHeight="1">
      <c r="AD9523" s="794"/>
    </row>
    <row r="9524" spans="30:30" ht="15.75" customHeight="1">
      <c r="AD9524" s="794"/>
    </row>
    <row r="9525" spans="30:30" ht="15.75" customHeight="1">
      <c r="AD9525" s="794"/>
    </row>
    <row r="9526" spans="30:30" ht="15.75" customHeight="1">
      <c r="AD9526" s="794"/>
    </row>
    <row r="9527" spans="30:30" ht="15.75" customHeight="1">
      <c r="AD9527" s="794"/>
    </row>
    <row r="9528" spans="30:30" ht="15.75" customHeight="1">
      <c r="AD9528" s="794"/>
    </row>
    <row r="9529" spans="30:30" ht="15.75" customHeight="1">
      <c r="AD9529" s="794"/>
    </row>
    <row r="9530" spans="30:30" ht="15.75" customHeight="1">
      <c r="AD9530" s="794"/>
    </row>
    <row r="9531" spans="30:30" ht="15.75" customHeight="1">
      <c r="AD9531" s="794"/>
    </row>
    <row r="9532" spans="30:30" ht="15.75" customHeight="1">
      <c r="AD9532" s="794"/>
    </row>
    <row r="9533" spans="30:30" ht="15.75" customHeight="1">
      <c r="AD9533" s="794"/>
    </row>
    <row r="9534" spans="30:30" ht="15.75" customHeight="1">
      <c r="AD9534" s="794"/>
    </row>
    <row r="9535" spans="30:30" ht="15.75" customHeight="1">
      <c r="AD9535" s="794"/>
    </row>
    <row r="9536" spans="30:30" ht="15.75" customHeight="1">
      <c r="AD9536" s="794"/>
    </row>
    <row r="9537" spans="30:30" ht="15.75" customHeight="1">
      <c r="AD9537" s="794"/>
    </row>
    <row r="9538" spans="30:30" ht="15.75" customHeight="1">
      <c r="AD9538" s="794"/>
    </row>
    <row r="9539" spans="30:30" ht="15.75" customHeight="1">
      <c r="AD9539" s="794"/>
    </row>
    <row r="9540" spans="30:30" ht="15.75" customHeight="1">
      <c r="AD9540" s="794"/>
    </row>
    <row r="9541" spans="30:30" ht="15.75" customHeight="1">
      <c r="AD9541" s="794"/>
    </row>
    <row r="9542" spans="30:30" ht="15.75" customHeight="1">
      <c r="AD9542" s="794"/>
    </row>
    <row r="9543" spans="30:30" ht="15.75" customHeight="1">
      <c r="AD9543" s="794"/>
    </row>
    <row r="9544" spans="30:30" ht="15.75" customHeight="1">
      <c r="AD9544" s="794"/>
    </row>
    <row r="9545" spans="30:30" ht="15.75" customHeight="1">
      <c r="AD9545" s="794"/>
    </row>
    <row r="9546" spans="30:30" ht="15.75" customHeight="1">
      <c r="AD9546" s="794"/>
    </row>
    <row r="9547" spans="30:30" ht="15.75" customHeight="1">
      <c r="AD9547" s="794"/>
    </row>
    <row r="9548" spans="30:30" ht="15.75" customHeight="1">
      <c r="AD9548" s="794"/>
    </row>
    <row r="9549" spans="30:30" ht="15.75" customHeight="1">
      <c r="AD9549" s="794"/>
    </row>
    <row r="9550" spans="30:30" ht="15.75" customHeight="1">
      <c r="AD9550" s="794"/>
    </row>
    <row r="9551" spans="30:30" ht="15.75" customHeight="1">
      <c r="AD9551" s="794"/>
    </row>
    <row r="9552" spans="30:30" ht="15.75" customHeight="1">
      <c r="AD9552" s="794"/>
    </row>
    <row r="9553" spans="30:30" ht="15.75" customHeight="1">
      <c r="AD9553" s="794"/>
    </row>
    <row r="9554" spans="30:30" ht="15.75" customHeight="1">
      <c r="AD9554" s="794"/>
    </row>
    <row r="9555" spans="30:30" ht="15.75" customHeight="1">
      <c r="AD9555" s="794"/>
    </row>
    <row r="9556" spans="30:30" ht="15.75" customHeight="1">
      <c r="AD9556" s="794"/>
    </row>
    <row r="9557" spans="30:30" ht="15.75" customHeight="1">
      <c r="AD9557" s="794"/>
    </row>
    <row r="9558" spans="30:30" ht="15.75" customHeight="1">
      <c r="AD9558" s="794"/>
    </row>
    <row r="9559" spans="30:30" ht="15.75" customHeight="1">
      <c r="AD9559" s="794"/>
    </row>
    <row r="9560" spans="30:30" ht="15.75" customHeight="1">
      <c r="AD9560" s="794"/>
    </row>
    <row r="9561" spans="30:30" ht="15.75" customHeight="1">
      <c r="AD9561" s="794"/>
    </row>
    <row r="9562" spans="30:30" ht="15.75" customHeight="1">
      <c r="AD9562" s="794"/>
    </row>
    <row r="9563" spans="30:30" ht="15.75" customHeight="1">
      <c r="AD9563" s="794"/>
    </row>
    <row r="9564" spans="30:30" ht="15.75" customHeight="1">
      <c r="AD9564" s="794"/>
    </row>
    <row r="9565" spans="30:30" ht="15.75" customHeight="1">
      <c r="AD9565" s="794"/>
    </row>
    <row r="9566" spans="30:30" ht="15.75" customHeight="1">
      <c r="AD9566" s="794"/>
    </row>
    <row r="9567" spans="30:30" ht="15.75" customHeight="1">
      <c r="AD9567" s="794"/>
    </row>
    <row r="9568" spans="30:30" ht="15.75" customHeight="1">
      <c r="AD9568" s="794"/>
    </row>
    <row r="9569" spans="30:30" ht="15.75" customHeight="1">
      <c r="AD9569" s="794"/>
    </row>
    <row r="9570" spans="30:30" ht="15.75" customHeight="1">
      <c r="AD9570" s="794"/>
    </row>
    <row r="9571" spans="30:30" ht="15.75" customHeight="1">
      <c r="AD9571" s="794"/>
    </row>
    <row r="9572" spans="30:30" ht="15.75" customHeight="1">
      <c r="AD9572" s="794"/>
    </row>
    <row r="9573" spans="30:30" ht="15.75" customHeight="1">
      <c r="AD9573" s="794"/>
    </row>
    <row r="9574" spans="30:30" ht="15.75" customHeight="1">
      <c r="AD9574" s="794"/>
    </row>
    <row r="9575" spans="30:30" ht="15.75" customHeight="1">
      <c r="AD9575" s="794"/>
    </row>
    <row r="9576" spans="30:30" ht="15.75" customHeight="1">
      <c r="AD9576" s="794"/>
    </row>
    <row r="9577" spans="30:30" ht="15.75" customHeight="1">
      <c r="AD9577" s="794"/>
    </row>
    <row r="9578" spans="30:30" ht="15.75" customHeight="1">
      <c r="AD9578" s="794"/>
    </row>
    <row r="9579" spans="30:30" ht="15.75" customHeight="1">
      <c r="AD9579" s="794"/>
    </row>
    <row r="9580" spans="30:30" ht="15.75" customHeight="1">
      <c r="AD9580" s="794"/>
    </row>
    <row r="9581" spans="30:30" ht="15.75" customHeight="1">
      <c r="AD9581" s="794"/>
    </row>
    <row r="9582" spans="30:30" ht="15.75" customHeight="1">
      <c r="AD9582" s="794"/>
    </row>
    <row r="9583" spans="30:30" ht="15.75" customHeight="1">
      <c r="AD9583" s="794"/>
    </row>
    <row r="9584" spans="30:30" ht="15.75" customHeight="1">
      <c r="AD9584" s="794"/>
    </row>
    <row r="9585" spans="30:30" ht="15.75" customHeight="1">
      <c r="AD9585" s="794"/>
    </row>
    <row r="9586" spans="30:30" ht="15.75" customHeight="1">
      <c r="AD9586" s="794"/>
    </row>
    <row r="9587" spans="30:30" ht="15.75" customHeight="1">
      <c r="AD9587" s="794"/>
    </row>
    <row r="9588" spans="30:30" ht="15.75" customHeight="1">
      <c r="AD9588" s="794"/>
    </row>
    <row r="9589" spans="30:30" ht="15.75" customHeight="1">
      <c r="AD9589" s="794"/>
    </row>
    <row r="9590" spans="30:30" ht="15.75" customHeight="1">
      <c r="AD9590" s="794"/>
    </row>
    <row r="9591" spans="30:30" ht="15.75" customHeight="1">
      <c r="AD9591" s="794"/>
    </row>
    <row r="9592" spans="30:30" ht="15.75" customHeight="1">
      <c r="AD9592" s="794"/>
    </row>
    <row r="9593" spans="30:30" ht="15.75" customHeight="1">
      <c r="AD9593" s="794"/>
    </row>
    <row r="9594" spans="30:30" ht="15.75" customHeight="1">
      <c r="AD9594" s="794"/>
    </row>
    <row r="9595" spans="30:30" ht="15.75" customHeight="1">
      <c r="AD9595" s="794"/>
    </row>
    <row r="9596" spans="30:30" ht="15.75" customHeight="1">
      <c r="AD9596" s="794"/>
    </row>
    <row r="9597" spans="30:30" ht="15.75" customHeight="1">
      <c r="AD9597" s="794"/>
    </row>
    <row r="9598" spans="30:30" ht="15.75" customHeight="1">
      <c r="AD9598" s="794"/>
    </row>
    <row r="9599" spans="30:30" ht="15.75" customHeight="1">
      <c r="AD9599" s="794"/>
    </row>
    <row r="9600" spans="30:30" ht="15.75" customHeight="1">
      <c r="AD9600" s="794"/>
    </row>
    <row r="9601" spans="30:30" ht="15.75" customHeight="1">
      <c r="AD9601" s="794"/>
    </row>
    <row r="9602" spans="30:30" ht="15.75" customHeight="1">
      <c r="AD9602" s="794"/>
    </row>
    <row r="9603" spans="30:30" ht="15.75" customHeight="1">
      <c r="AD9603" s="794"/>
    </row>
    <row r="9604" spans="30:30" ht="15.75" customHeight="1">
      <c r="AD9604" s="794"/>
    </row>
    <row r="9605" spans="30:30" ht="15.75" customHeight="1">
      <c r="AD9605" s="794"/>
    </row>
    <row r="9606" spans="30:30" ht="15.75" customHeight="1">
      <c r="AD9606" s="794"/>
    </row>
    <row r="9607" spans="30:30" ht="15.75" customHeight="1">
      <c r="AD9607" s="794"/>
    </row>
    <row r="9608" spans="30:30" ht="15.75" customHeight="1">
      <c r="AD9608" s="794"/>
    </row>
    <row r="9609" spans="30:30" ht="15.75" customHeight="1">
      <c r="AD9609" s="794"/>
    </row>
    <row r="9610" spans="30:30" ht="15.75" customHeight="1">
      <c r="AD9610" s="794"/>
    </row>
    <row r="9611" spans="30:30" ht="15.75" customHeight="1">
      <c r="AD9611" s="794"/>
    </row>
    <row r="9612" spans="30:30" ht="15.75" customHeight="1">
      <c r="AD9612" s="794"/>
    </row>
    <row r="9613" spans="30:30" ht="15.75" customHeight="1">
      <c r="AD9613" s="794"/>
    </row>
    <row r="9614" spans="30:30" ht="15.75" customHeight="1">
      <c r="AD9614" s="794"/>
    </row>
    <row r="9615" spans="30:30" ht="15.75" customHeight="1">
      <c r="AD9615" s="794"/>
    </row>
    <row r="9616" spans="30:30" ht="15.75" customHeight="1">
      <c r="AD9616" s="794"/>
    </row>
    <row r="9617" spans="30:30" ht="15.75" customHeight="1">
      <c r="AD9617" s="794"/>
    </row>
    <row r="9618" spans="30:30" ht="15.75" customHeight="1">
      <c r="AD9618" s="794"/>
    </row>
    <row r="9619" spans="30:30" ht="15.75" customHeight="1">
      <c r="AD9619" s="794"/>
    </row>
    <row r="9620" spans="30:30" ht="15.75" customHeight="1">
      <c r="AD9620" s="794"/>
    </row>
    <row r="9621" spans="30:30" ht="15.75" customHeight="1">
      <c r="AD9621" s="794"/>
    </row>
    <row r="9622" spans="30:30" ht="15.75" customHeight="1">
      <c r="AD9622" s="794"/>
    </row>
    <row r="9623" spans="30:30" ht="15.75" customHeight="1">
      <c r="AD9623" s="794"/>
    </row>
    <row r="9624" spans="30:30" ht="15.75" customHeight="1">
      <c r="AD9624" s="794"/>
    </row>
    <row r="9625" spans="30:30" ht="15.75" customHeight="1">
      <c r="AD9625" s="794"/>
    </row>
    <row r="9626" spans="30:30" ht="15.75" customHeight="1">
      <c r="AD9626" s="794"/>
    </row>
    <row r="9627" spans="30:30" ht="15.75" customHeight="1">
      <c r="AD9627" s="794"/>
    </row>
    <row r="9628" spans="30:30" ht="15.75" customHeight="1">
      <c r="AD9628" s="794"/>
    </row>
    <row r="9629" spans="30:30" ht="15.75" customHeight="1">
      <c r="AD9629" s="794"/>
    </row>
    <row r="9630" spans="30:30" ht="15.75" customHeight="1">
      <c r="AD9630" s="794"/>
    </row>
    <row r="9631" spans="30:30" ht="15.75" customHeight="1">
      <c r="AD9631" s="794"/>
    </row>
    <row r="9632" spans="30:30" ht="15.75" customHeight="1">
      <c r="AD9632" s="794"/>
    </row>
    <row r="9633" spans="30:30" ht="15.75" customHeight="1">
      <c r="AD9633" s="794"/>
    </row>
    <row r="9634" spans="30:30" ht="15.75" customHeight="1">
      <c r="AD9634" s="794"/>
    </row>
    <row r="9635" spans="30:30" ht="15.75" customHeight="1">
      <c r="AD9635" s="794"/>
    </row>
    <row r="9636" spans="30:30" ht="15.75" customHeight="1">
      <c r="AD9636" s="794"/>
    </row>
    <row r="9637" spans="30:30" ht="15.75" customHeight="1">
      <c r="AD9637" s="794"/>
    </row>
    <row r="9638" spans="30:30" ht="15.75" customHeight="1">
      <c r="AD9638" s="794"/>
    </row>
    <row r="9639" spans="30:30" ht="15.75" customHeight="1">
      <c r="AD9639" s="794"/>
    </row>
    <row r="9640" spans="30:30" ht="15.75" customHeight="1">
      <c r="AD9640" s="794"/>
    </row>
    <row r="9641" spans="30:30" ht="15.75" customHeight="1">
      <c r="AD9641" s="794"/>
    </row>
    <row r="9642" spans="30:30" ht="15.75" customHeight="1">
      <c r="AD9642" s="794"/>
    </row>
    <row r="9643" spans="30:30" ht="15.75" customHeight="1">
      <c r="AD9643" s="794"/>
    </row>
    <row r="9644" spans="30:30" ht="15.75" customHeight="1">
      <c r="AD9644" s="794"/>
    </row>
    <row r="9645" spans="30:30" ht="15.75" customHeight="1">
      <c r="AD9645" s="794"/>
    </row>
    <row r="9646" spans="30:30" ht="15.75" customHeight="1">
      <c r="AD9646" s="794"/>
    </row>
    <row r="9647" spans="30:30" ht="15.75" customHeight="1">
      <c r="AD9647" s="794"/>
    </row>
    <row r="9648" spans="30:30" ht="15.75" customHeight="1">
      <c r="AD9648" s="794"/>
    </row>
    <row r="9649" spans="30:30" ht="15.75" customHeight="1">
      <c r="AD9649" s="794"/>
    </row>
    <row r="9650" spans="30:30" ht="15.75" customHeight="1">
      <c r="AD9650" s="794"/>
    </row>
    <row r="9651" spans="30:30" ht="15.75" customHeight="1">
      <c r="AD9651" s="794"/>
    </row>
    <row r="9652" spans="30:30" ht="15.75" customHeight="1">
      <c r="AD9652" s="794"/>
    </row>
    <row r="9653" spans="30:30" ht="15.75" customHeight="1">
      <c r="AD9653" s="794"/>
    </row>
    <row r="9654" spans="30:30" ht="15.75" customHeight="1">
      <c r="AD9654" s="794"/>
    </row>
    <row r="9655" spans="30:30" ht="15.75" customHeight="1">
      <c r="AD9655" s="794"/>
    </row>
    <row r="9656" spans="30:30" ht="15.75" customHeight="1">
      <c r="AD9656" s="794"/>
    </row>
    <row r="9657" spans="30:30" ht="15.75" customHeight="1">
      <c r="AD9657" s="794"/>
    </row>
    <row r="9658" spans="30:30" ht="15.75" customHeight="1">
      <c r="AD9658" s="794"/>
    </row>
    <row r="9659" spans="30:30" ht="15.75" customHeight="1">
      <c r="AD9659" s="794"/>
    </row>
    <row r="9660" spans="30:30" ht="15.75" customHeight="1">
      <c r="AD9660" s="794"/>
    </row>
    <row r="9661" spans="30:30" ht="15.75" customHeight="1">
      <c r="AD9661" s="794"/>
    </row>
    <row r="9662" spans="30:30" ht="15.75" customHeight="1">
      <c r="AD9662" s="794"/>
    </row>
    <row r="9663" spans="30:30" ht="15.75" customHeight="1">
      <c r="AD9663" s="794"/>
    </row>
    <row r="9664" spans="30:30" ht="15.75" customHeight="1">
      <c r="AD9664" s="794"/>
    </row>
    <row r="9665" spans="30:30" ht="15.75" customHeight="1">
      <c r="AD9665" s="794"/>
    </row>
    <row r="9666" spans="30:30" ht="15.75" customHeight="1">
      <c r="AD9666" s="794"/>
    </row>
    <row r="9667" spans="30:30" ht="15.75" customHeight="1">
      <c r="AD9667" s="794"/>
    </row>
    <row r="9668" spans="30:30" ht="15.75" customHeight="1">
      <c r="AD9668" s="794"/>
    </row>
    <row r="9669" spans="30:30" ht="15.75" customHeight="1">
      <c r="AD9669" s="794"/>
    </row>
    <row r="9670" spans="30:30" ht="15.75" customHeight="1">
      <c r="AD9670" s="794"/>
    </row>
    <row r="9671" spans="30:30" ht="15.75" customHeight="1">
      <c r="AD9671" s="794"/>
    </row>
    <row r="9672" spans="30:30" ht="15.75" customHeight="1">
      <c r="AD9672" s="794"/>
    </row>
    <row r="9673" spans="30:30" ht="15.75" customHeight="1">
      <c r="AD9673" s="794"/>
    </row>
    <row r="9674" spans="30:30" ht="15.75" customHeight="1">
      <c r="AD9674" s="794"/>
    </row>
    <row r="9675" spans="30:30" ht="15.75" customHeight="1">
      <c r="AD9675" s="794"/>
    </row>
    <row r="9676" spans="30:30" ht="15.75" customHeight="1">
      <c r="AD9676" s="794"/>
    </row>
    <row r="9677" spans="30:30" ht="15.75" customHeight="1">
      <c r="AD9677" s="794"/>
    </row>
    <row r="9678" spans="30:30" ht="15.75" customHeight="1">
      <c r="AD9678" s="794"/>
    </row>
    <row r="9679" spans="30:30" ht="15.75" customHeight="1">
      <c r="AD9679" s="794"/>
    </row>
    <row r="9680" spans="30:30" ht="15.75" customHeight="1">
      <c r="AD9680" s="794"/>
    </row>
    <row r="9681" spans="30:30" ht="15.75" customHeight="1">
      <c r="AD9681" s="794"/>
    </row>
    <row r="9682" spans="30:30" ht="15.75" customHeight="1">
      <c r="AD9682" s="794"/>
    </row>
    <row r="9683" spans="30:30" ht="15.75" customHeight="1">
      <c r="AD9683" s="794"/>
    </row>
    <row r="9684" spans="30:30" ht="15.75" customHeight="1">
      <c r="AD9684" s="794"/>
    </row>
    <row r="9685" spans="30:30" ht="15.75" customHeight="1">
      <c r="AD9685" s="794"/>
    </row>
    <row r="9686" spans="30:30" ht="15.75" customHeight="1">
      <c r="AD9686" s="794"/>
    </row>
    <row r="9687" spans="30:30" ht="15.75" customHeight="1">
      <c r="AD9687" s="794"/>
    </row>
    <row r="9688" spans="30:30" ht="15.75" customHeight="1">
      <c r="AD9688" s="794"/>
    </row>
    <row r="9689" spans="30:30" ht="15.75" customHeight="1">
      <c r="AD9689" s="794"/>
    </row>
    <row r="9690" spans="30:30" ht="15.75" customHeight="1">
      <c r="AD9690" s="794"/>
    </row>
    <row r="9691" spans="30:30" ht="15.75" customHeight="1">
      <c r="AD9691" s="794"/>
    </row>
    <row r="9692" spans="30:30" ht="15.75" customHeight="1">
      <c r="AD9692" s="794"/>
    </row>
    <row r="9693" spans="30:30" ht="15.75" customHeight="1">
      <c r="AD9693" s="794"/>
    </row>
    <row r="9694" spans="30:30" ht="15.75" customHeight="1">
      <c r="AD9694" s="794"/>
    </row>
    <row r="9695" spans="30:30" ht="15.75" customHeight="1">
      <c r="AD9695" s="794"/>
    </row>
    <row r="9696" spans="30:30" ht="15.75" customHeight="1">
      <c r="AD9696" s="794"/>
    </row>
    <row r="9697" spans="30:30" ht="15.75" customHeight="1">
      <c r="AD9697" s="794"/>
    </row>
    <row r="9698" spans="30:30" ht="15.75" customHeight="1">
      <c r="AD9698" s="794"/>
    </row>
    <row r="9699" spans="30:30" ht="15.75" customHeight="1">
      <c r="AD9699" s="794"/>
    </row>
    <row r="9700" spans="30:30" ht="15.75" customHeight="1">
      <c r="AD9700" s="794"/>
    </row>
    <row r="9701" spans="30:30" ht="15.75" customHeight="1">
      <c r="AD9701" s="794"/>
    </row>
    <row r="9702" spans="30:30" ht="15.75" customHeight="1">
      <c r="AD9702" s="794"/>
    </row>
    <row r="9703" spans="30:30" ht="15.75" customHeight="1">
      <c r="AD9703" s="794"/>
    </row>
    <row r="9704" spans="30:30" ht="15.75" customHeight="1">
      <c r="AD9704" s="794"/>
    </row>
    <row r="9705" spans="30:30" ht="15.75" customHeight="1">
      <c r="AD9705" s="794"/>
    </row>
    <row r="9706" spans="30:30" ht="15.75" customHeight="1">
      <c r="AD9706" s="794"/>
    </row>
    <row r="9707" spans="30:30" ht="15.75" customHeight="1">
      <c r="AD9707" s="794"/>
    </row>
    <row r="9708" spans="30:30" ht="15.75" customHeight="1">
      <c r="AD9708" s="794"/>
    </row>
    <row r="9709" spans="30:30" ht="15.75" customHeight="1">
      <c r="AD9709" s="794"/>
    </row>
    <row r="9710" spans="30:30" ht="15.75" customHeight="1">
      <c r="AD9710" s="794"/>
    </row>
    <row r="9711" spans="30:30" ht="15.75" customHeight="1">
      <c r="AD9711" s="794"/>
    </row>
    <row r="9712" spans="30:30" ht="15.75" customHeight="1">
      <c r="AD9712" s="794"/>
    </row>
    <row r="9713" spans="30:30" ht="15.75" customHeight="1">
      <c r="AD9713" s="794"/>
    </row>
    <row r="9714" spans="30:30" ht="15.75" customHeight="1">
      <c r="AD9714" s="794"/>
    </row>
    <row r="9715" spans="30:30" ht="15.75" customHeight="1">
      <c r="AD9715" s="794"/>
    </row>
    <row r="9716" spans="30:30" ht="15.75" customHeight="1">
      <c r="AD9716" s="794"/>
    </row>
    <row r="9717" spans="30:30" ht="15.75" customHeight="1">
      <c r="AD9717" s="794"/>
    </row>
    <row r="9718" spans="30:30" ht="15.75" customHeight="1">
      <c r="AD9718" s="794"/>
    </row>
    <row r="9719" spans="30:30" ht="15.75" customHeight="1">
      <c r="AD9719" s="794"/>
    </row>
    <row r="9720" spans="30:30" ht="15.75" customHeight="1">
      <c r="AD9720" s="794"/>
    </row>
    <row r="9721" spans="30:30" ht="15.75" customHeight="1">
      <c r="AD9721" s="794"/>
    </row>
    <row r="9722" spans="30:30" ht="15.75" customHeight="1">
      <c r="AD9722" s="794"/>
    </row>
    <row r="9723" spans="30:30" ht="15.75" customHeight="1">
      <c r="AD9723" s="794"/>
    </row>
    <row r="9724" spans="30:30" ht="15.75" customHeight="1">
      <c r="AD9724" s="794"/>
    </row>
    <row r="9725" spans="30:30" ht="15.75" customHeight="1">
      <c r="AD9725" s="794"/>
    </row>
    <row r="9726" spans="30:30" ht="15.75" customHeight="1">
      <c r="AD9726" s="794"/>
    </row>
    <row r="9727" spans="30:30" ht="15.75" customHeight="1">
      <c r="AD9727" s="794"/>
    </row>
    <row r="9728" spans="30:30" ht="15.75" customHeight="1">
      <c r="AD9728" s="794"/>
    </row>
    <row r="9729" spans="30:30" ht="15.75" customHeight="1">
      <c r="AD9729" s="794"/>
    </row>
    <row r="9730" spans="30:30" ht="15.75" customHeight="1">
      <c r="AD9730" s="794"/>
    </row>
    <row r="9731" spans="30:30" ht="15.75" customHeight="1">
      <c r="AD9731" s="794"/>
    </row>
    <row r="9732" spans="30:30" ht="15.75" customHeight="1">
      <c r="AD9732" s="794"/>
    </row>
    <row r="9733" spans="30:30" ht="15.75" customHeight="1">
      <c r="AD9733" s="794"/>
    </row>
    <row r="9734" spans="30:30" ht="15.75" customHeight="1">
      <c r="AD9734" s="794"/>
    </row>
    <row r="9735" spans="30:30" ht="15.75" customHeight="1">
      <c r="AD9735" s="794"/>
    </row>
    <row r="9736" spans="30:30" ht="15.75" customHeight="1">
      <c r="AD9736" s="794"/>
    </row>
    <row r="9737" spans="30:30" ht="15.75" customHeight="1">
      <c r="AD9737" s="794"/>
    </row>
    <row r="9738" spans="30:30" ht="15.75" customHeight="1">
      <c r="AD9738" s="794"/>
    </row>
    <row r="9739" spans="30:30" ht="15.75" customHeight="1">
      <c r="AD9739" s="794"/>
    </row>
    <row r="9740" spans="30:30" ht="15.75" customHeight="1">
      <c r="AD9740" s="794"/>
    </row>
    <row r="9741" spans="30:30" ht="15.75" customHeight="1">
      <c r="AD9741" s="794"/>
    </row>
    <row r="9742" spans="30:30" ht="15.75" customHeight="1">
      <c r="AD9742" s="794"/>
    </row>
    <row r="9743" spans="30:30" ht="15.75" customHeight="1">
      <c r="AD9743" s="794"/>
    </row>
    <row r="9744" spans="30:30" ht="15.75" customHeight="1">
      <c r="AD9744" s="794"/>
    </row>
    <row r="9745" spans="30:30" ht="15.75" customHeight="1">
      <c r="AD9745" s="794"/>
    </row>
    <row r="9746" spans="30:30" ht="15.75" customHeight="1">
      <c r="AD9746" s="794"/>
    </row>
    <row r="9747" spans="30:30" ht="15.75" customHeight="1">
      <c r="AD9747" s="794"/>
    </row>
    <row r="9748" spans="30:30" ht="15.75" customHeight="1">
      <c r="AD9748" s="794"/>
    </row>
    <row r="9749" spans="30:30" ht="15.75" customHeight="1">
      <c r="AD9749" s="794"/>
    </row>
    <row r="9750" spans="30:30" ht="15.75" customHeight="1">
      <c r="AD9750" s="794"/>
    </row>
    <row r="9751" spans="30:30" ht="15.75" customHeight="1">
      <c r="AD9751" s="794"/>
    </row>
    <row r="9752" spans="30:30" ht="15.75" customHeight="1">
      <c r="AD9752" s="794"/>
    </row>
    <row r="9753" spans="30:30" ht="15.75" customHeight="1">
      <c r="AD9753" s="794"/>
    </row>
    <row r="9754" spans="30:30" ht="15.75" customHeight="1">
      <c r="AD9754" s="794"/>
    </row>
    <row r="9755" spans="30:30" ht="15.75" customHeight="1">
      <c r="AD9755" s="794"/>
    </row>
    <row r="9756" spans="30:30" ht="15.75" customHeight="1">
      <c r="AD9756" s="794"/>
    </row>
    <row r="9757" spans="30:30" ht="15.75" customHeight="1">
      <c r="AD9757" s="794"/>
    </row>
    <row r="9758" spans="30:30" ht="15.75" customHeight="1">
      <c r="AD9758" s="794"/>
    </row>
    <row r="9759" spans="30:30" ht="15.75" customHeight="1">
      <c r="AD9759" s="794"/>
    </row>
    <row r="9760" spans="30:30" ht="15.75" customHeight="1">
      <c r="AD9760" s="794"/>
    </row>
    <row r="9761" spans="30:30" ht="15.75" customHeight="1">
      <c r="AD9761" s="794"/>
    </row>
    <row r="9762" spans="30:30" ht="15.75" customHeight="1">
      <c r="AD9762" s="794"/>
    </row>
    <row r="9763" spans="30:30" ht="15.75" customHeight="1">
      <c r="AD9763" s="794"/>
    </row>
    <row r="9764" spans="30:30" ht="15.75" customHeight="1">
      <c r="AD9764" s="794"/>
    </row>
    <row r="9765" spans="30:30" ht="15.75" customHeight="1">
      <c r="AD9765" s="794"/>
    </row>
    <row r="9766" spans="30:30" ht="15.75" customHeight="1">
      <c r="AD9766" s="794"/>
    </row>
    <row r="9767" spans="30:30" ht="15.75" customHeight="1">
      <c r="AD9767" s="794"/>
    </row>
    <row r="9768" spans="30:30" ht="15.75" customHeight="1">
      <c r="AD9768" s="794"/>
    </row>
    <row r="9769" spans="30:30" ht="15.75" customHeight="1">
      <c r="AD9769" s="794"/>
    </row>
    <row r="9770" spans="30:30" ht="15.75" customHeight="1">
      <c r="AD9770" s="794"/>
    </row>
    <row r="9771" spans="30:30" ht="15.75" customHeight="1">
      <c r="AD9771" s="794"/>
    </row>
    <row r="9772" spans="30:30" ht="15.75" customHeight="1">
      <c r="AD9772" s="794"/>
    </row>
    <row r="9773" spans="30:30" ht="15.75" customHeight="1">
      <c r="AD9773" s="794"/>
    </row>
    <row r="9774" spans="30:30" ht="15.75" customHeight="1">
      <c r="AD9774" s="794"/>
    </row>
    <row r="9775" spans="30:30" ht="15.75" customHeight="1">
      <c r="AD9775" s="794"/>
    </row>
    <row r="9776" spans="30:30" ht="15.75" customHeight="1">
      <c r="AD9776" s="794"/>
    </row>
    <row r="9777" spans="30:30" ht="15.75" customHeight="1">
      <c r="AD9777" s="794"/>
    </row>
    <row r="9778" spans="30:30" ht="15.75" customHeight="1">
      <c r="AD9778" s="794"/>
    </row>
    <row r="9779" spans="30:30" ht="15.75" customHeight="1">
      <c r="AD9779" s="794"/>
    </row>
    <row r="9780" spans="30:30" ht="15.75" customHeight="1">
      <c r="AD9780" s="794"/>
    </row>
    <row r="9781" spans="30:30" ht="15.75" customHeight="1">
      <c r="AD9781" s="794"/>
    </row>
    <row r="9782" spans="30:30" ht="15.75" customHeight="1">
      <c r="AD9782" s="794"/>
    </row>
    <row r="9783" spans="30:30" ht="15.75" customHeight="1">
      <c r="AD9783" s="794"/>
    </row>
    <row r="9784" spans="30:30" ht="15.75" customHeight="1">
      <c r="AD9784" s="794"/>
    </row>
    <row r="9785" spans="30:30" ht="15.75" customHeight="1">
      <c r="AD9785" s="794"/>
    </row>
    <row r="9786" spans="30:30" ht="15.75" customHeight="1">
      <c r="AD9786" s="794"/>
    </row>
    <row r="9787" spans="30:30" ht="15.75" customHeight="1">
      <c r="AD9787" s="794"/>
    </row>
    <row r="9788" spans="30:30" ht="15.75" customHeight="1">
      <c r="AD9788" s="794"/>
    </row>
    <row r="9789" spans="30:30" ht="15.75" customHeight="1">
      <c r="AD9789" s="794"/>
    </row>
    <row r="9790" spans="30:30" ht="15.75" customHeight="1">
      <c r="AD9790" s="794"/>
    </row>
    <row r="9791" spans="30:30" ht="15.75" customHeight="1">
      <c r="AD9791" s="794"/>
    </row>
    <row r="9792" spans="30:30" ht="15.75" customHeight="1">
      <c r="AD9792" s="794"/>
    </row>
    <row r="9793" spans="30:30" ht="15.75" customHeight="1">
      <c r="AD9793" s="794"/>
    </row>
    <row r="9794" spans="30:30" ht="15.75" customHeight="1">
      <c r="AD9794" s="794"/>
    </row>
    <row r="9795" spans="30:30" ht="15.75" customHeight="1">
      <c r="AD9795" s="794"/>
    </row>
    <row r="9796" spans="30:30" ht="15.75" customHeight="1">
      <c r="AD9796" s="794"/>
    </row>
    <row r="9797" spans="30:30" ht="15.75" customHeight="1">
      <c r="AD9797" s="794"/>
    </row>
    <row r="9798" spans="30:30" ht="15.75" customHeight="1">
      <c r="AD9798" s="794"/>
    </row>
    <row r="9799" spans="30:30" ht="15.75" customHeight="1">
      <c r="AD9799" s="794"/>
    </row>
    <row r="9800" spans="30:30" ht="15.75" customHeight="1">
      <c r="AD9800" s="794"/>
    </row>
    <row r="9801" spans="30:30" ht="15.75" customHeight="1">
      <c r="AD9801" s="794"/>
    </row>
    <row r="9802" spans="30:30" ht="15.75" customHeight="1">
      <c r="AD9802" s="794"/>
    </row>
    <row r="9803" spans="30:30" ht="15.75" customHeight="1">
      <c r="AD9803" s="794"/>
    </row>
    <row r="9804" spans="30:30" ht="15.75" customHeight="1">
      <c r="AD9804" s="794"/>
    </row>
    <row r="9805" spans="30:30" ht="15.75" customHeight="1">
      <c r="AD9805" s="794"/>
    </row>
    <row r="9806" spans="30:30" ht="15.75" customHeight="1">
      <c r="AD9806" s="794"/>
    </row>
    <row r="9807" spans="30:30" ht="15.75" customHeight="1">
      <c r="AD9807" s="794"/>
    </row>
    <row r="9808" spans="30:30" ht="15.75" customHeight="1">
      <c r="AD9808" s="794"/>
    </row>
    <row r="9809" spans="30:30" ht="15.75" customHeight="1">
      <c r="AD9809" s="794"/>
    </row>
    <row r="9810" spans="30:30" ht="15.75" customHeight="1">
      <c r="AD9810" s="794"/>
    </row>
    <row r="9811" spans="30:30" ht="15.75" customHeight="1">
      <c r="AD9811" s="794"/>
    </row>
    <row r="9812" spans="30:30" ht="15.75" customHeight="1">
      <c r="AD9812" s="794"/>
    </row>
    <row r="9813" spans="30:30" ht="15.75" customHeight="1">
      <c r="AD9813" s="794"/>
    </row>
    <row r="9814" spans="30:30" ht="15.75" customHeight="1">
      <c r="AD9814" s="794"/>
    </row>
    <row r="9815" spans="30:30" ht="15.75" customHeight="1">
      <c r="AD9815" s="794"/>
    </row>
    <row r="9816" spans="30:30" ht="15.75" customHeight="1">
      <c r="AD9816" s="794"/>
    </row>
    <row r="9817" spans="30:30" ht="15.75" customHeight="1">
      <c r="AD9817" s="794"/>
    </row>
    <row r="9818" spans="30:30" ht="15.75" customHeight="1">
      <c r="AD9818" s="794"/>
    </row>
    <row r="9819" spans="30:30" ht="15.75" customHeight="1">
      <c r="AD9819" s="794"/>
    </row>
    <row r="9820" spans="30:30" ht="15.75" customHeight="1">
      <c r="AD9820" s="794"/>
    </row>
    <row r="9821" spans="30:30" ht="15.75" customHeight="1">
      <c r="AD9821" s="794"/>
    </row>
    <row r="9822" spans="30:30" ht="15.75" customHeight="1">
      <c r="AD9822" s="794"/>
    </row>
    <row r="9823" spans="30:30" ht="15.75" customHeight="1">
      <c r="AD9823" s="794"/>
    </row>
    <row r="9824" spans="30:30" ht="15.75" customHeight="1">
      <c r="AD9824" s="794"/>
    </row>
    <row r="9825" spans="30:30" ht="15.75" customHeight="1">
      <c r="AD9825" s="794"/>
    </row>
    <row r="9826" spans="30:30" ht="15.75" customHeight="1">
      <c r="AD9826" s="794"/>
    </row>
    <row r="9827" spans="30:30" ht="15.75" customHeight="1">
      <c r="AD9827" s="794"/>
    </row>
    <row r="9828" spans="30:30" ht="15.75" customHeight="1">
      <c r="AD9828" s="794"/>
    </row>
    <row r="9829" spans="30:30" ht="15.75" customHeight="1">
      <c r="AD9829" s="794"/>
    </row>
    <row r="9830" spans="30:30" ht="15.75" customHeight="1">
      <c r="AD9830" s="794"/>
    </row>
    <row r="9831" spans="30:30" ht="15.75" customHeight="1">
      <c r="AD9831" s="794"/>
    </row>
    <row r="9832" spans="30:30" ht="15.75" customHeight="1">
      <c r="AD9832" s="794"/>
    </row>
    <row r="9833" spans="30:30" ht="15.75" customHeight="1">
      <c r="AD9833" s="794"/>
    </row>
    <row r="9834" spans="30:30" ht="15.75" customHeight="1">
      <c r="AD9834" s="794"/>
    </row>
    <row r="9835" spans="30:30" ht="15.75" customHeight="1">
      <c r="AD9835" s="794"/>
    </row>
    <row r="9836" spans="30:30" ht="15.75" customHeight="1">
      <c r="AD9836" s="794"/>
    </row>
    <row r="9837" spans="30:30" ht="15.75" customHeight="1">
      <c r="AD9837" s="794"/>
    </row>
    <row r="9838" spans="30:30" ht="15.75" customHeight="1">
      <c r="AD9838" s="794"/>
    </row>
    <row r="9839" spans="30:30" ht="15.75" customHeight="1">
      <c r="AD9839" s="794"/>
    </row>
    <row r="9840" spans="30:30" ht="15.75" customHeight="1">
      <c r="AD9840" s="794"/>
    </row>
    <row r="9841" spans="30:30" ht="15.75" customHeight="1">
      <c r="AD9841" s="794"/>
    </row>
    <row r="9842" spans="30:30" ht="15.75" customHeight="1">
      <c r="AD9842" s="794"/>
    </row>
    <row r="9843" spans="30:30" ht="15.75" customHeight="1">
      <c r="AD9843" s="794"/>
    </row>
    <row r="9844" spans="30:30" ht="15.75" customHeight="1">
      <c r="AD9844" s="794"/>
    </row>
    <row r="9845" spans="30:30" ht="15.75" customHeight="1">
      <c r="AD9845" s="794"/>
    </row>
    <row r="9846" spans="30:30" ht="15.75" customHeight="1">
      <c r="AD9846" s="794"/>
    </row>
    <row r="9847" spans="30:30" ht="15.75" customHeight="1">
      <c r="AD9847" s="794"/>
    </row>
    <row r="9848" spans="30:30" ht="15.75" customHeight="1">
      <c r="AD9848" s="794"/>
    </row>
    <row r="9849" spans="30:30" ht="15.75" customHeight="1">
      <c r="AD9849" s="794"/>
    </row>
    <row r="9850" spans="30:30" ht="15.75" customHeight="1">
      <c r="AD9850" s="794"/>
    </row>
    <row r="9851" spans="30:30" ht="15.75" customHeight="1">
      <c r="AD9851" s="794"/>
    </row>
    <row r="9852" spans="30:30" ht="15.75" customHeight="1">
      <c r="AD9852" s="794"/>
    </row>
    <row r="9853" spans="30:30" ht="15.75" customHeight="1">
      <c r="AD9853" s="794"/>
    </row>
    <row r="9854" spans="30:30" ht="15.75" customHeight="1">
      <c r="AD9854" s="794"/>
    </row>
    <row r="9855" spans="30:30" ht="15.75" customHeight="1">
      <c r="AD9855" s="794"/>
    </row>
    <row r="9856" spans="30:30" ht="15.75" customHeight="1">
      <c r="AD9856" s="794"/>
    </row>
    <row r="9857" spans="30:30" ht="15.75" customHeight="1">
      <c r="AD9857" s="794"/>
    </row>
    <row r="9858" spans="30:30" ht="15.75" customHeight="1">
      <c r="AD9858" s="794"/>
    </row>
    <row r="9859" spans="30:30" ht="15.75" customHeight="1">
      <c r="AD9859" s="794"/>
    </row>
    <row r="9860" spans="30:30" ht="15.75" customHeight="1">
      <c r="AD9860" s="794"/>
    </row>
    <row r="9861" spans="30:30" ht="15.75" customHeight="1">
      <c r="AD9861" s="794"/>
    </row>
    <row r="9862" spans="30:30" ht="15.75" customHeight="1">
      <c r="AD9862" s="794"/>
    </row>
    <row r="9863" spans="30:30" ht="15.75" customHeight="1">
      <c r="AD9863" s="794"/>
    </row>
    <row r="9864" spans="30:30" ht="15.75" customHeight="1">
      <c r="AD9864" s="794"/>
    </row>
    <row r="9865" spans="30:30" ht="15.75" customHeight="1">
      <c r="AD9865" s="794"/>
    </row>
    <row r="9866" spans="30:30" ht="15.75" customHeight="1">
      <c r="AD9866" s="794"/>
    </row>
    <row r="9867" spans="30:30" ht="15.75" customHeight="1">
      <c r="AD9867" s="794"/>
    </row>
    <row r="9868" spans="30:30" ht="15.75" customHeight="1">
      <c r="AD9868" s="794"/>
    </row>
    <row r="9869" spans="30:30" ht="15.75" customHeight="1">
      <c r="AD9869" s="794"/>
    </row>
    <row r="9870" spans="30:30" ht="15.75" customHeight="1">
      <c r="AD9870" s="794"/>
    </row>
    <row r="9871" spans="30:30" ht="15.75" customHeight="1">
      <c r="AD9871" s="794"/>
    </row>
    <row r="9872" spans="30:30" ht="15.75" customHeight="1">
      <c r="AD9872" s="794"/>
    </row>
    <row r="9873" spans="30:30" ht="15.75" customHeight="1">
      <c r="AD9873" s="794"/>
    </row>
    <row r="9874" spans="30:30" ht="15.75" customHeight="1">
      <c r="AD9874" s="794"/>
    </row>
    <row r="9875" spans="30:30" ht="15.75" customHeight="1">
      <c r="AD9875" s="794"/>
    </row>
    <row r="9876" spans="30:30" ht="15.75" customHeight="1">
      <c r="AD9876" s="794"/>
    </row>
    <row r="9877" spans="30:30" ht="15.75" customHeight="1">
      <c r="AD9877" s="794"/>
    </row>
    <row r="9878" spans="30:30" ht="15.75" customHeight="1">
      <c r="AD9878" s="794"/>
    </row>
    <row r="9879" spans="30:30" ht="15.75" customHeight="1">
      <c r="AD9879" s="794"/>
    </row>
    <row r="9880" spans="30:30" ht="15.75" customHeight="1">
      <c r="AD9880" s="794"/>
    </row>
    <row r="9881" spans="30:30" ht="15.75" customHeight="1">
      <c r="AD9881" s="794"/>
    </row>
    <row r="9882" spans="30:30" ht="15.75" customHeight="1">
      <c r="AD9882" s="794"/>
    </row>
    <row r="9883" spans="30:30" ht="15.75" customHeight="1">
      <c r="AD9883" s="794"/>
    </row>
    <row r="9884" spans="30:30" ht="15.75" customHeight="1">
      <c r="AD9884" s="794"/>
    </row>
    <row r="9885" spans="30:30" ht="15.75" customHeight="1">
      <c r="AD9885" s="794"/>
    </row>
    <row r="9886" spans="30:30" ht="15.75" customHeight="1">
      <c r="AD9886" s="794"/>
    </row>
    <row r="9887" spans="30:30" ht="15.75" customHeight="1">
      <c r="AD9887" s="794"/>
    </row>
    <row r="9888" spans="30:30" ht="15.75" customHeight="1">
      <c r="AD9888" s="794"/>
    </row>
    <row r="9889" spans="30:30" ht="15.75" customHeight="1">
      <c r="AD9889" s="794"/>
    </row>
    <row r="9890" spans="30:30" ht="15.75" customHeight="1">
      <c r="AD9890" s="794"/>
    </row>
    <row r="9891" spans="30:30" ht="15.75" customHeight="1">
      <c r="AD9891" s="794"/>
    </row>
    <row r="9892" spans="30:30" ht="15.75" customHeight="1">
      <c r="AD9892" s="794"/>
    </row>
    <row r="9893" spans="30:30" ht="15.75" customHeight="1">
      <c r="AD9893" s="794"/>
    </row>
    <row r="9894" spans="30:30" ht="15.75" customHeight="1">
      <c r="AD9894" s="794"/>
    </row>
    <row r="9895" spans="30:30" ht="15.75" customHeight="1">
      <c r="AD9895" s="794"/>
    </row>
    <row r="9896" spans="30:30" ht="15.75" customHeight="1">
      <c r="AD9896" s="794"/>
    </row>
    <row r="9897" spans="30:30" ht="15.75" customHeight="1">
      <c r="AD9897" s="794"/>
    </row>
    <row r="9898" spans="30:30" ht="15.75" customHeight="1">
      <c r="AD9898" s="794"/>
    </row>
    <row r="9899" spans="30:30" ht="15.75" customHeight="1">
      <c r="AD9899" s="794"/>
    </row>
    <row r="9900" spans="30:30" ht="15.75" customHeight="1">
      <c r="AD9900" s="794"/>
    </row>
    <row r="9901" spans="30:30" ht="15.75" customHeight="1">
      <c r="AD9901" s="794"/>
    </row>
    <row r="9902" spans="30:30" ht="15.75" customHeight="1">
      <c r="AD9902" s="794"/>
    </row>
    <row r="9903" spans="30:30" ht="15.75" customHeight="1">
      <c r="AD9903" s="794"/>
    </row>
    <row r="9904" spans="30:30" ht="15.75" customHeight="1">
      <c r="AD9904" s="794"/>
    </row>
    <row r="9905" spans="30:30" ht="15.75" customHeight="1">
      <c r="AD9905" s="794"/>
    </row>
    <row r="9906" spans="30:30" ht="15.75" customHeight="1">
      <c r="AD9906" s="794"/>
    </row>
    <row r="9907" spans="30:30" ht="15.75" customHeight="1">
      <c r="AD9907" s="794"/>
    </row>
    <row r="9908" spans="30:30" ht="15.75" customHeight="1">
      <c r="AD9908" s="794"/>
    </row>
    <row r="9909" spans="30:30" ht="15.75" customHeight="1">
      <c r="AD9909" s="794"/>
    </row>
    <row r="9910" spans="30:30" ht="15.75" customHeight="1">
      <c r="AD9910" s="794"/>
    </row>
    <row r="9911" spans="30:30" ht="15.75" customHeight="1">
      <c r="AD9911" s="794"/>
    </row>
    <row r="9912" spans="30:30" ht="15.75" customHeight="1">
      <c r="AD9912" s="794"/>
    </row>
    <row r="9913" spans="30:30" ht="15.75" customHeight="1">
      <c r="AD9913" s="794"/>
    </row>
    <row r="9914" spans="30:30" ht="15.75" customHeight="1">
      <c r="AD9914" s="794"/>
    </row>
    <row r="9915" spans="30:30" ht="15.75" customHeight="1">
      <c r="AD9915" s="794"/>
    </row>
    <row r="9916" spans="30:30" ht="15.75" customHeight="1">
      <c r="AD9916" s="794"/>
    </row>
    <row r="9917" spans="30:30" ht="15.75" customHeight="1">
      <c r="AD9917" s="794"/>
    </row>
    <row r="9918" spans="30:30" ht="15.75" customHeight="1">
      <c r="AD9918" s="794"/>
    </row>
    <row r="9919" spans="30:30" ht="15.75" customHeight="1">
      <c r="AD9919" s="794"/>
    </row>
    <row r="9920" spans="30:30" ht="15.75" customHeight="1">
      <c r="AD9920" s="794"/>
    </row>
    <row r="9921" spans="30:30" ht="15.75" customHeight="1">
      <c r="AD9921" s="794"/>
    </row>
    <row r="9922" spans="30:30" ht="15.75" customHeight="1">
      <c r="AD9922" s="794"/>
    </row>
    <row r="9923" spans="30:30" ht="15.75" customHeight="1">
      <c r="AD9923" s="794"/>
    </row>
    <row r="9924" spans="30:30" ht="15.75" customHeight="1">
      <c r="AD9924" s="794"/>
    </row>
    <row r="9925" spans="30:30" ht="15.75" customHeight="1">
      <c r="AD9925" s="794"/>
    </row>
    <row r="9926" spans="30:30" ht="15.75" customHeight="1">
      <c r="AD9926" s="794"/>
    </row>
    <row r="9927" spans="30:30" ht="15.75" customHeight="1">
      <c r="AD9927" s="794"/>
    </row>
    <row r="9928" spans="30:30" ht="15.75" customHeight="1">
      <c r="AD9928" s="794"/>
    </row>
    <row r="9929" spans="30:30" ht="15.75" customHeight="1">
      <c r="AD9929" s="794"/>
    </row>
    <row r="9930" spans="30:30" ht="15.75" customHeight="1">
      <c r="AD9930" s="794"/>
    </row>
    <row r="9931" spans="30:30" ht="15.75" customHeight="1">
      <c r="AD9931" s="794"/>
    </row>
    <row r="9932" spans="30:30" ht="15.75" customHeight="1">
      <c r="AD9932" s="794"/>
    </row>
    <row r="9933" spans="30:30" ht="15.75" customHeight="1">
      <c r="AD9933" s="794"/>
    </row>
    <row r="9934" spans="30:30" ht="15.75" customHeight="1">
      <c r="AD9934" s="794"/>
    </row>
    <row r="9935" spans="30:30" ht="15.75" customHeight="1">
      <c r="AD9935" s="794"/>
    </row>
    <row r="9936" spans="30:30" ht="15.75" customHeight="1">
      <c r="AD9936" s="794"/>
    </row>
    <row r="9937" spans="30:30" ht="15.75" customHeight="1">
      <c r="AD9937" s="794"/>
    </row>
    <row r="9938" spans="30:30" ht="15.75" customHeight="1">
      <c r="AD9938" s="794"/>
    </row>
    <row r="9939" spans="30:30" ht="15.75" customHeight="1">
      <c r="AD9939" s="794"/>
    </row>
    <row r="9940" spans="30:30" ht="15.75" customHeight="1">
      <c r="AD9940" s="794"/>
    </row>
    <row r="9941" spans="30:30" ht="15.75" customHeight="1">
      <c r="AD9941" s="794"/>
    </row>
    <row r="9942" spans="30:30" ht="15.75" customHeight="1">
      <c r="AD9942" s="794"/>
    </row>
    <row r="9943" spans="30:30" ht="15.75" customHeight="1">
      <c r="AD9943" s="794"/>
    </row>
    <row r="9944" spans="30:30" ht="15.75" customHeight="1">
      <c r="AD9944" s="794"/>
    </row>
    <row r="9945" spans="30:30" ht="15.75" customHeight="1">
      <c r="AD9945" s="794"/>
    </row>
    <row r="9946" spans="30:30" ht="15.75" customHeight="1">
      <c r="AD9946" s="794"/>
    </row>
    <row r="9947" spans="30:30" ht="15.75" customHeight="1">
      <c r="AD9947" s="794"/>
    </row>
    <row r="9948" spans="30:30" ht="15.75" customHeight="1">
      <c r="AD9948" s="794"/>
    </row>
    <row r="9949" spans="30:30" ht="15.75" customHeight="1">
      <c r="AD9949" s="794"/>
    </row>
    <row r="9950" spans="30:30" ht="15.75" customHeight="1">
      <c r="AD9950" s="794"/>
    </row>
    <row r="9951" spans="30:30" ht="15.75" customHeight="1">
      <c r="AD9951" s="794"/>
    </row>
    <row r="9952" spans="30:30" ht="15.75" customHeight="1">
      <c r="AD9952" s="794"/>
    </row>
    <row r="9953" spans="30:30" ht="15.75" customHeight="1">
      <c r="AD9953" s="794"/>
    </row>
    <row r="9954" spans="30:30" ht="15.75" customHeight="1">
      <c r="AD9954" s="794"/>
    </row>
    <row r="9955" spans="30:30" ht="15.75" customHeight="1">
      <c r="AD9955" s="794"/>
    </row>
    <row r="9956" spans="30:30" ht="15.75" customHeight="1">
      <c r="AD9956" s="794"/>
    </row>
    <row r="9957" spans="30:30" ht="15.75" customHeight="1">
      <c r="AD9957" s="794"/>
    </row>
    <row r="9958" spans="30:30" ht="15.75" customHeight="1">
      <c r="AD9958" s="794"/>
    </row>
    <row r="9959" spans="30:30" ht="15.75" customHeight="1">
      <c r="AD9959" s="794"/>
    </row>
    <row r="9960" spans="30:30" ht="15.75" customHeight="1">
      <c r="AD9960" s="794"/>
    </row>
    <row r="9961" spans="30:30" ht="15.75" customHeight="1">
      <c r="AD9961" s="794"/>
    </row>
    <row r="9962" spans="30:30" ht="15.75" customHeight="1">
      <c r="AD9962" s="794"/>
    </row>
    <row r="9963" spans="30:30" ht="15.75" customHeight="1">
      <c r="AD9963" s="794"/>
    </row>
    <row r="9964" spans="30:30" ht="15.75" customHeight="1">
      <c r="AD9964" s="794"/>
    </row>
    <row r="9965" spans="30:30" ht="15.75" customHeight="1">
      <c r="AD9965" s="794"/>
    </row>
    <row r="9966" spans="30:30" ht="15.75" customHeight="1">
      <c r="AD9966" s="794"/>
    </row>
    <row r="9967" spans="30:30" ht="15.75" customHeight="1">
      <c r="AD9967" s="794"/>
    </row>
    <row r="9968" spans="30:30" ht="15.75" customHeight="1">
      <c r="AD9968" s="794"/>
    </row>
    <row r="9969" spans="30:30" ht="15.75" customHeight="1">
      <c r="AD9969" s="794"/>
    </row>
    <row r="9970" spans="30:30" ht="15.75" customHeight="1">
      <c r="AD9970" s="794"/>
    </row>
    <row r="9971" spans="30:30" ht="15.75" customHeight="1">
      <c r="AD9971" s="794"/>
    </row>
    <row r="9972" spans="30:30" ht="15.75" customHeight="1">
      <c r="AD9972" s="794"/>
    </row>
    <row r="9973" spans="30:30" ht="15.75" customHeight="1">
      <c r="AD9973" s="794"/>
    </row>
    <row r="9974" spans="30:30" ht="15.75" customHeight="1">
      <c r="AD9974" s="794"/>
    </row>
    <row r="9975" spans="30:30" ht="15.75" customHeight="1">
      <c r="AD9975" s="794"/>
    </row>
    <row r="9976" spans="30:30" ht="15.75" customHeight="1">
      <c r="AD9976" s="794"/>
    </row>
    <row r="9977" spans="30:30" ht="15.75" customHeight="1">
      <c r="AD9977" s="794"/>
    </row>
    <row r="9978" spans="30:30" ht="15.75" customHeight="1">
      <c r="AD9978" s="794"/>
    </row>
    <row r="9979" spans="30:30" ht="15.75" customHeight="1">
      <c r="AD9979" s="794"/>
    </row>
    <row r="9980" spans="30:30" ht="15.75" customHeight="1">
      <c r="AD9980" s="794"/>
    </row>
    <row r="9981" spans="30:30" ht="15.75" customHeight="1">
      <c r="AD9981" s="794"/>
    </row>
    <row r="9982" spans="30:30" ht="15.75" customHeight="1">
      <c r="AD9982" s="794"/>
    </row>
    <row r="9983" spans="30:30" ht="15.75" customHeight="1">
      <c r="AD9983" s="794"/>
    </row>
    <row r="9984" spans="30:30" ht="15.75" customHeight="1">
      <c r="AD9984" s="794"/>
    </row>
    <row r="9985" spans="30:30" ht="15.75" customHeight="1">
      <c r="AD9985" s="794"/>
    </row>
    <row r="9986" spans="30:30" ht="15.75" customHeight="1">
      <c r="AD9986" s="794"/>
    </row>
    <row r="9987" spans="30:30" ht="15.75" customHeight="1">
      <c r="AD9987" s="794"/>
    </row>
    <row r="9988" spans="30:30" ht="15.75" customHeight="1">
      <c r="AD9988" s="794"/>
    </row>
    <row r="9989" spans="30:30" ht="15.75" customHeight="1">
      <c r="AD9989" s="794"/>
    </row>
    <row r="9990" spans="30:30" ht="15.75" customHeight="1">
      <c r="AD9990" s="794"/>
    </row>
    <row r="9991" spans="30:30" ht="15.75" customHeight="1">
      <c r="AD9991" s="794"/>
    </row>
    <row r="9992" spans="30:30" ht="15.75" customHeight="1">
      <c r="AD9992" s="794"/>
    </row>
    <row r="9993" spans="30:30" ht="15.75" customHeight="1">
      <c r="AD9993" s="794"/>
    </row>
    <row r="9994" spans="30:30" ht="15.75" customHeight="1">
      <c r="AD9994" s="794"/>
    </row>
    <row r="9995" spans="30:30" ht="15.75" customHeight="1">
      <c r="AD9995" s="794"/>
    </row>
    <row r="9996" spans="30:30" ht="15.75" customHeight="1">
      <c r="AD9996" s="794"/>
    </row>
    <row r="9997" spans="30:30" ht="15.75" customHeight="1">
      <c r="AD9997" s="794"/>
    </row>
    <row r="9998" spans="30:30" ht="15.75" customHeight="1">
      <c r="AD9998" s="794"/>
    </row>
    <row r="9999" spans="30:30" ht="15.75" customHeight="1">
      <c r="AD9999" s="794"/>
    </row>
    <row r="10000" spans="30:30" ht="15.75" customHeight="1">
      <c r="AD10000" s="794"/>
    </row>
    <row r="10001" spans="30:30" ht="15.75" customHeight="1">
      <c r="AD10001" s="794"/>
    </row>
    <row r="10002" spans="30:30" ht="15.75" customHeight="1">
      <c r="AD10002" s="794"/>
    </row>
    <row r="10003" spans="30:30" ht="15.75" customHeight="1">
      <c r="AD10003" s="794"/>
    </row>
    <row r="10004" spans="30:30" ht="15.75" customHeight="1">
      <c r="AD10004" s="794"/>
    </row>
    <row r="10005" spans="30:30" ht="15.75" customHeight="1">
      <c r="AD10005" s="794"/>
    </row>
    <row r="10006" spans="30:30" ht="15.75" customHeight="1">
      <c r="AD10006" s="794"/>
    </row>
    <row r="10007" spans="30:30" ht="15.75" customHeight="1">
      <c r="AD10007" s="794"/>
    </row>
    <row r="10008" spans="30:30" ht="15.75" customHeight="1">
      <c r="AD10008" s="794"/>
    </row>
    <row r="10009" spans="30:30" ht="15.75" customHeight="1">
      <c r="AD10009" s="794"/>
    </row>
    <row r="10010" spans="30:30" ht="15.75" customHeight="1">
      <c r="AD10010" s="794"/>
    </row>
    <row r="10011" spans="30:30" ht="15.75" customHeight="1">
      <c r="AD10011" s="794"/>
    </row>
    <row r="10012" spans="30:30" ht="15.75" customHeight="1">
      <c r="AD10012" s="794"/>
    </row>
    <row r="10013" spans="30:30" ht="15.75" customHeight="1">
      <c r="AD10013" s="794"/>
    </row>
    <row r="10014" spans="30:30" ht="15.75" customHeight="1">
      <c r="AD10014" s="794"/>
    </row>
    <row r="10015" spans="30:30" ht="15.75" customHeight="1">
      <c r="AD10015" s="794"/>
    </row>
    <row r="10016" spans="30:30" ht="15.75" customHeight="1">
      <c r="AD10016" s="794"/>
    </row>
    <row r="10017" spans="30:30" ht="15.75" customHeight="1">
      <c r="AD10017" s="794"/>
    </row>
    <row r="10018" spans="30:30" ht="15.75" customHeight="1">
      <c r="AD10018" s="794"/>
    </row>
    <row r="10019" spans="30:30" ht="15.75" customHeight="1">
      <c r="AD10019" s="794"/>
    </row>
    <row r="10020" spans="30:30" ht="15.75" customHeight="1">
      <c r="AD10020" s="794"/>
    </row>
    <row r="10021" spans="30:30" ht="15.75" customHeight="1">
      <c r="AD10021" s="794"/>
    </row>
    <row r="10022" spans="30:30" ht="15.75" customHeight="1">
      <c r="AD10022" s="794"/>
    </row>
    <row r="10023" spans="30:30" ht="15.75" customHeight="1">
      <c r="AD10023" s="794"/>
    </row>
    <row r="10024" spans="30:30" ht="15.75" customHeight="1">
      <c r="AD10024" s="794"/>
    </row>
    <row r="10025" spans="30:30" ht="15.75" customHeight="1">
      <c r="AD10025" s="794"/>
    </row>
    <row r="10026" spans="30:30" ht="15.75" customHeight="1">
      <c r="AD10026" s="794"/>
    </row>
    <row r="10027" spans="30:30" ht="15.75" customHeight="1">
      <c r="AD10027" s="794"/>
    </row>
    <row r="10028" spans="30:30" ht="15.75" customHeight="1">
      <c r="AD10028" s="794"/>
    </row>
    <row r="10029" spans="30:30" ht="15.75" customHeight="1">
      <c r="AD10029" s="794"/>
    </row>
    <row r="10030" spans="30:30" ht="15.75" customHeight="1">
      <c r="AD10030" s="794"/>
    </row>
    <row r="10031" spans="30:30" ht="15.75" customHeight="1">
      <c r="AD10031" s="794"/>
    </row>
    <row r="10032" spans="30:30" ht="15.75" customHeight="1">
      <c r="AD10032" s="794"/>
    </row>
    <row r="10033" spans="30:30" ht="15.75" customHeight="1">
      <c r="AD10033" s="794"/>
    </row>
    <row r="10034" spans="30:30" ht="15.75" customHeight="1">
      <c r="AD10034" s="794"/>
    </row>
    <row r="10035" spans="30:30" ht="15.75" customHeight="1">
      <c r="AD10035" s="794"/>
    </row>
    <row r="10036" spans="30:30" ht="15.75" customHeight="1">
      <c r="AD10036" s="794"/>
    </row>
    <row r="10037" spans="30:30" ht="15.75" customHeight="1">
      <c r="AD10037" s="794"/>
    </row>
    <row r="10038" spans="30:30" ht="15.75" customHeight="1">
      <c r="AD10038" s="794"/>
    </row>
    <row r="10039" spans="30:30" ht="15.75" customHeight="1">
      <c r="AD10039" s="794"/>
    </row>
    <row r="10040" spans="30:30" ht="15.75" customHeight="1">
      <c r="AD10040" s="794"/>
    </row>
    <row r="10041" spans="30:30" ht="15.75" customHeight="1">
      <c r="AD10041" s="794"/>
    </row>
    <row r="10042" spans="30:30" ht="15.75" customHeight="1">
      <c r="AD10042" s="794"/>
    </row>
    <row r="10043" spans="30:30" ht="15.75" customHeight="1">
      <c r="AD10043" s="794"/>
    </row>
    <row r="10044" spans="30:30" ht="15.75" customHeight="1">
      <c r="AD10044" s="794"/>
    </row>
    <row r="10045" spans="30:30" ht="15.75" customHeight="1">
      <c r="AD10045" s="794"/>
    </row>
    <row r="10046" spans="30:30" ht="15.75" customHeight="1">
      <c r="AD10046" s="794"/>
    </row>
    <row r="10047" spans="30:30" ht="15.75" customHeight="1">
      <c r="AD10047" s="794"/>
    </row>
    <row r="10048" spans="30:30" ht="15.75" customHeight="1">
      <c r="AD10048" s="794"/>
    </row>
    <row r="10049" spans="30:30" ht="15.75" customHeight="1">
      <c r="AD10049" s="794"/>
    </row>
    <row r="10050" spans="30:30" ht="15.75" customHeight="1">
      <c r="AD10050" s="794"/>
    </row>
    <row r="10051" spans="30:30" ht="15.75" customHeight="1">
      <c r="AD10051" s="794"/>
    </row>
    <row r="10052" spans="30:30" ht="15.75" customHeight="1">
      <c r="AD10052" s="794"/>
    </row>
    <row r="10053" spans="30:30" ht="15.75" customHeight="1">
      <c r="AD10053" s="794"/>
    </row>
    <row r="10054" spans="30:30" ht="15.75" customHeight="1">
      <c r="AD10054" s="794"/>
    </row>
    <row r="10055" spans="30:30" ht="15.75" customHeight="1">
      <c r="AD10055" s="794"/>
    </row>
    <row r="10056" spans="30:30" ht="15.75" customHeight="1">
      <c r="AD10056" s="794"/>
    </row>
    <row r="10057" spans="30:30" ht="15.75" customHeight="1">
      <c r="AD10057" s="794"/>
    </row>
    <row r="10058" spans="30:30" ht="15.75" customHeight="1">
      <c r="AD10058" s="794"/>
    </row>
    <row r="10059" spans="30:30" ht="15.75" customHeight="1">
      <c r="AD10059" s="794"/>
    </row>
    <row r="10060" spans="30:30" ht="15.75" customHeight="1">
      <c r="AD10060" s="794"/>
    </row>
    <row r="10061" spans="30:30" ht="15.75" customHeight="1">
      <c r="AD10061" s="794"/>
    </row>
    <row r="10062" spans="30:30" ht="15.75" customHeight="1">
      <c r="AD10062" s="794"/>
    </row>
    <row r="10063" spans="30:30" ht="15.75" customHeight="1">
      <c r="AD10063" s="794"/>
    </row>
    <row r="10064" spans="30:30" ht="15.75" customHeight="1">
      <c r="AD10064" s="794"/>
    </row>
    <row r="10065" spans="30:30" ht="15.75" customHeight="1">
      <c r="AD10065" s="794"/>
    </row>
    <row r="10066" spans="30:30" ht="15.75" customHeight="1">
      <c r="AD10066" s="794"/>
    </row>
    <row r="10067" spans="30:30" ht="15.75" customHeight="1">
      <c r="AD10067" s="794"/>
    </row>
    <row r="10068" spans="30:30" ht="15.75" customHeight="1">
      <c r="AD10068" s="794"/>
    </row>
    <row r="10069" spans="30:30" ht="15.75" customHeight="1">
      <c r="AD10069" s="794"/>
    </row>
    <row r="10070" spans="30:30" ht="15.75" customHeight="1">
      <c r="AD10070" s="794"/>
    </row>
    <row r="10071" spans="30:30" ht="15.75" customHeight="1">
      <c r="AD10071" s="794"/>
    </row>
    <row r="10072" spans="30:30" ht="15.75" customHeight="1">
      <c r="AD10072" s="794"/>
    </row>
    <row r="10073" spans="30:30" ht="15.75" customHeight="1">
      <c r="AD10073" s="794"/>
    </row>
    <row r="10074" spans="30:30" ht="15.75" customHeight="1">
      <c r="AD10074" s="794"/>
    </row>
    <row r="10075" spans="30:30" ht="15.75" customHeight="1">
      <c r="AD10075" s="794"/>
    </row>
    <row r="10076" spans="30:30" ht="15.75" customHeight="1">
      <c r="AD10076" s="794"/>
    </row>
    <row r="10077" spans="30:30" ht="15.75" customHeight="1">
      <c r="AD10077" s="794"/>
    </row>
    <row r="10078" spans="30:30" ht="15.75" customHeight="1">
      <c r="AD10078" s="794"/>
    </row>
    <row r="10079" spans="30:30" ht="15.75" customHeight="1">
      <c r="AD10079" s="794"/>
    </row>
    <row r="10080" spans="30:30" ht="15.75" customHeight="1">
      <c r="AD10080" s="794"/>
    </row>
    <row r="10081" spans="30:30" ht="15.75" customHeight="1">
      <c r="AD10081" s="794"/>
    </row>
    <row r="10082" spans="30:30" ht="15.75" customHeight="1">
      <c r="AD10082" s="794"/>
    </row>
    <row r="10083" spans="30:30" ht="15.75" customHeight="1">
      <c r="AD10083" s="794"/>
    </row>
    <row r="10084" spans="30:30" ht="15.75" customHeight="1">
      <c r="AD10084" s="794"/>
    </row>
    <row r="10085" spans="30:30" ht="15.75" customHeight="1">
      <c r="AD10085" s="794"/>
    </row>
    <row r="10086" spans="30:30" ht="15.75" customHeight="1">
      <c r="AD10086" s="794"/>
    </row>
    <row r="10087" spans="30:30" ht="15.75" customHeight="1">
      <c r="AD10087" s="794"/>
    </row>
    <row r="10088" spans="30:30" ht="15.75" customHeight="1">
      <c r="AD10088" s="794"/>
    </row>
    <row r="10089" spans="30:30" ht="15.75" customHeight="1">
      <c r="AD10089" s="794"/>
    </row>
    <row r="10090" spans="30:30" ht="15.75" customHeight="1">
      <c r="AD10090" s="794"/>
    </row>
    <row r="10091" spans="30:30" ht="15.75" customHeight="1">
      <c r="AD10091" s="794"/>
    </row>
    <row r="10092" spans="30:30" ht="15.75" customHeight="1">
      <c r="AD10092" s="794"/>
    </row>
    <row r="10093" spans="30:30" ht="15.75" customHeight="1">
      <c r="AD10093" s="794"/>
    </row>
    <row r="10094" spans="30:30" ht="15.75" customHeight="1">
      <c r="AD10094" s="794"/>
    </row>
    <row r="10095" spans="30:30" ht="15.75" customHeight="1">
      <c r="AD10095" s="794"/>
    </row>
    <row r="10096" spans="30:30" ht="15.75" customHeight="1">
      <c r="AD10096" s="794"/>
    </row>
    <row r="10097" spans="30:30" ht="15.75" customHeight="1">
      <c r="AD10097" s="794"/>
    </row>
    <row r="10098" spans="30:30" ht="15.75" customHeight="1">
      <c r="AD10098" s="794"/>
    </row>
    <row r="10099" spans="30:30" ht="15.75" customHeight="1">
      <c r="AD10099" s="794"/>
    </row>
    <row r="10100" spans="30:30" ht="15.75" customHeight="1">
      <c r="AD10100" s="794"/>
    </row>
    <row r="10101" spans="30:30" ht="15.75" customHeight="1">
      <c r="AD10101" s="794"/>
    </row>
    <row r="10102" spans="30:30" ht="15.75" customHeight="1">
      <c r="AD10102" s="794"/>
    </row>
    <row r="10103" spans="30:30" ht="15.75" customHeight="1">
      <c r="AD10103" s="794"/>
    </row>
    <row r="10104" spans="30:30" ht="15.75" customHeight="1">
      <c r="AD10104" s="794"/>
    </row>
    <row r="10105" spans="30:30" ht="15.75" customHeight="1">
      <c r="AD10105" s="794"/>
    </row>
    <row r="10106" spans="30:30" ht="15.75" customHeight="1">
      <c r="AD10106" s="794"/>
    </row>
    <row r="10107" spans="30:30" ht="15.75" customHeight="1">
      <c r="AD10107" s="794"/>
    </row>
    <row r="10108" spans="30:30" ht="15.75" customHeight="1">
      <c r="AD10108" s="794"/>
    </row>
    <row r="10109" spans="30:30" ht="15.75" customHeight="1">
      <c r="AD10109" s="794"/>
    </row>
    <row r="10110" spans="30:30" ht="15.75" customHeight="1">
      <c r="AD10110" s="794"/>
    </row>
    <row r="10111" spans="30:30" ht="15.75" customHeight="1">
      <c r="AD10111" s="794"/>
    </row>
    <row r="10112" spans="30:30" ht="15.75" customHeight="1">
      <c r="AD10112" s="794"/>
    </row>
    <row r="10113" spans="30:30" ht="15.75" customHeight="1">
      <c r="AD10113" s="794"/>
    </row>
    <row r="10114" spans="30:30" ht="15.75" customHeight="1">
      <c r="AD10114" s="794"/>
    </row>
    <row r="10115" spans="30:30" ht="15.75" customHeight="1">
      <c r="AD10115" s="794"/>
    </row>
    <row r="10116" spans="30:30" ht="15.75" customHeight="1">
      <c r="AD10116" s="794"/>
    </row>
    <row r="10117" spans="30:30" ht="15.75" customHeight="1">
      <c r="AD10117" s="794"/>
    </row>
    <row r="10118" spans="30:30" ht="15.75" customHeight="1">
      <c r="AD10118" s="794"/>
    </row>
    <row r="10119" spans="30:30" ht="15.75" customHeight="1">
      <c r="AD10119" s="794"/>
    </row>
    <row r="10120" spans="30:30" ht="15.75" customHeight="1">
      <c r="AD10120" s="794"/>
    </row>
    <row r="10121" spans="30:30" ht="15.75" customHeight="1">
      <c r="AD10121" s="794"/>
    </row>
    <row r="10122" spans="30:30" ht="15.75" customHeight="1">
      <c r="AD10122" s="794"/>
    </row>
    <row r="10123" spans="30:30" ht="15.75" customHeight="1">
      <c r="AD10123" s="794"/>
    </row>
    <row r="10124" spans="30:30" ht="15.75" customHeight="1">
      <c r="AD10124" s="794"/>
    </row>
    <row r="10125" spans="30:30" ht="15.75" customHeight="1">
      <c r="AD10125" s="794"/>
    </row>
    <row r="10126" spans="30:30" ht="15.75" customHeight="1">
      <c r="AD10126" s="794"/>
    </row>
    <row r="10127" spans="30:30" ht="15.75" customHeight="1">
      <c r="AD10127" s="794"/>
    </row>
    <row r="10128" spans="30:30" ht="15.75" customHeight="1">
      <c r="AD10128" s="794"/>
    </row>
    <row r="10129" spans="30:30" ht="15.75" customHeight="1">
      <c r="AD10129" s="794"/>
    </row>
    <row r="10130" spans="30:30" ht="15.75" customHeight="1">
      <c r="AD10130" s="794"/>
    </row>
    <row r="10131" spans="30:30" ht="15.75" customHeight="1">
      <c r="AD10131" s="794"/>
    </row>
    <row r="10132" spans="30:30" ht="15.75" customHeight="1">
      <c r="AD10132" s="794"/>
    </row>
    <row r="10133" spans="30:30" ht="15.75" customHeight="1">
      <c r="AD10133" s="794"/>
    </row>
    <row r="10134" spans="30:30" ht="15.75" customHeight="1">
      <c r="AD10134" s="794"/>
    </row>
    <row r="10135" spans="30:30" ht="15.75" customHeight="1">
      <c r="AD10135" s="794"/>
    </row>
    <row r="10136" spans="30:30" ht="15.75" customHeight="1">
      <c r="AD10136" s="794"/>
    </row>
    <row r="10137" spans="30:30" ht="15.75" customHeight="1">
      <c r="AD10137" s="794"/>
    </row>
    <row r="10138" spans="30:30" ht="15.75" customHeight="1">
      <c r="AD10138" s="794"/>
    </row>
    <row r="10139" spans="30:30" ht="15.75" customHeight="1">
      <c r="AD10139" s="794"/>
    </row>
    <row r="10140" spans="30:30" ht="15.75" customHeight="1">
      <c r="AD10140" s="794"/>
    </row>
    <row r="10141" spans="30:30" ht="15.75" customHeight="1">
      <c r="AD10141" s="794"/>
    </row>
    <row r="10142" spans="30:30" ht="15.75" customHeight="1">
      <c r="AD10142" s="794"/>
    </row>
    <row r="10143" spans="30:30" ht="15.75" customHeight="1">
      <c r="AD10143" s="794"/>
    </row>
    <row r="10144" spans="30:30" ht="15.75" customHeight="1">
      <c r="AD10144" s="794"/>
    </row>
    <row r="10145" spans="30:30" ht="15.75" customHeight="1">
      <c r="AD10145" s="794"/>
    </row>
    <row r="10146" spans="30:30" ht="15.75" customHeight="1">
      <c r="AD10146" s="794"/>
    </row>
    <row r="10147" spans="30:30" ht="15.75" customHeight="1">
      <c r="AD10147" s="794"/>
    </row>
    <row r="10148" spans="30:30" ht="15.75" customHeight="1">
      <c r="AD10148" s="794"/>
    </row>
    <row r="10149" spans="30:30" ht="15.75" customHeight="1">
      <c r="AD10149" s="794"/>
    </row>
    <row r="10150" spans="30:30" ht="15.75" customHeight="1">
      <c r="AD10150" s="794"/>
    </row>
    <row r="10151" spans="30:30" ht="15.75" customHeight="1">
      <c r="AD10151" s="794"/>
    </row>
    <row r="10152" spans="30:30" ht="15.75" customHeight="1">
      <c r="AD10152" s="794"/>
    </row>
    <row r="10153" spans="30:30" ht="15.75" customHeight="1">
      <c r="AD10153" s="794"/>
    </row>
    <row r="10154" spans="30:30" ht="15.75" customHeight="1">
      <c r="AD10154" s="794"/>
    </row>
    <row r="10155" spans="30:30" ht="15.75" customHeight="1">
      <c r="AD10155" s="794"/>
    </row>
    <row r="10156" spans="30:30" ht="15.75" customHeight="1">
      <c r="AD10156" s="794"/>
    </row>
    <row r="10157" spans="30:30" ht="15.75" customHeight="1">
      <c r="AD10157" s="794"/>
    </row>
    <row r="10158" spans="30:30" ht="15.75" customHeight="1">
      <c r="AD10158" s="794"/>
    </row>
    <row r="10159" spans="30:30" ht="15.75" customHeight="1">
      <c r="AD10159" s="794"/>
    </row>
    <row r="10160" spans="30:30" ht="15.75" customHeight="1">
      <c r="AD10160" s="794"/>
    </row>
    <row r="10161" spans="30:30" ht="15.75" customHeight="1">
      <c r="AD10161" s="794"/>
    </row>
    <row r="10162" spans="30:30" ht="15.75" customHeight="1">
      <c r="AD10162" s="794"/>
    </row>
    <row r="10163" spans="30:30" ht="15.75" customHeight="1">
      <c r="AD10163" s="794"/>
    </row>
    <row r="10164" spans="30:30" ht="15.75" customHeight="1">
      <c r="AD10164" s="794"/>
    </row>
    <row r="10165" spans="30:30" ht="15.75" customHeight="1">
      <c r="AD10165" s="794"/>
    </row>
    <row r="10166" spans="30:30" ht="15.75" customHeight="1">
      <c r="AD10166" s="794"/>
    </row>
    <row r="10167" spans="30:30" ht="15.75" customHeight="1">
      <c r="AD10167" s="794"/>
    </row>
    <row r="10168" spans="30:30" ht="15.75" customHeight="1">
      <c r="AD10168" s="794"/>
    </row>
    <row r="10169" spans="30:30" ht="15.75" customHeight="1">
      <c r="AD10169" s="794"/>
    </row>
    <row r="10170" spans="30:30" ht="15.75" customHeight="1">
      <c r="AD10170" s="794"/>
    </row>
    <row r="10171" spans="30:30" ht="15.75" customHeight="1">
      <c r="AD10171" s="794"/>
    </row>
    <row r="10172" spans="30:30" ht="15.75" customHeight="1">
      <c r="AD10172" s="794"/>
    </row>
    <row r="10173" spans="30:30" ht="15.75" customHeight="1">
      <c r="AD10173" s="794"/>
    </row>
    <row r="10174" spans="30:30" ht="15.75" customHeight="1">
      <c r="AD10174" s="794"/>
    </row>
    <row r="10175" spans="30:30" ht="15.75" customHeight="1">
      <c r="AD10175" s="794"/>
    </row>
    <row r="10176" spans="30:30" ht="15.75" customHeight="1">
      <c r="AD10176" s="794"/>
    </row>
    <row r="10177" spans="30:30" ht="15.75" customHeight="1">
      <c r="AD10177" s="794"/>
    </row>
    <row r="10178" spans="30:30" ht="15.75" customHeight="1">
      <c r="AD10178" s="794"/>
    </row>
    <row r="10179" spans="30:30" ht="15.75" customHeight="1">
      <c r="AD10179" s="794"/>
    </row>
    <row r="10180" spans="30:30" ht="15.75" customHeight="1">
      <c r="AD10180" s="794"/>
    </row>
    <row r="10181" spans="30:30" ht="15.75" customHeight="1">
      <c r="AD10181" s="794"/>
    </row>
    <row r="10182" spans="30:30" ht="15.75" customHeight="1">
      <c r="AD10182" s="794"/>
    </row>
    <row r="10183" spans="30:30" ht="15.75" customHeight="1">
      <c r="AD10183" s="794"/>
    </row>
    <row r="10184" spans="30:30" ht="15.75" customHeight="1">
      <c r="AD10184" s="794"/>
    </row>
    <row r="10185" spans="30:30" ht="15.75" customHeight="1">
      <c r="AD10185" s="794"/>
    </row>
    <row r="10186" spans="30:30" ht="15.75" customHeight="1">
      <c r="AD10186" s="794"/>
    </row>
    <row r="10187" spans="30:30" ht="15.75" customHeight="1">
      <c r="AD10187" s="794"/>
    </row>
    <row r="10188" spans="30:30" ht="15.75" customHeight="1">
      <c r="AD10188" s="794"/>
    </row>
    <row r="10189" spans="30:30" ht="15.75" customHeight="1">
      <c r="AD10189" s="794"/>
    </row>
    <row r="10190" spans="30:30" ht="15.75" customHeight="1">
      <c r="AD10190" s="794"/>
    </row>
    <row r="10191" spans="30:30" ht="15.75" customHeight="1">
      <c r="AD10191" s="794"/>
    </row>
    <row r="10192" spans="30:30" ht="15.75" customHeight="1">
      <c r="AD10192" s="794"/>
    </row>
    <row r="10193" spans="30:30" ht="15.75" customHeight="1">
      <c r="AD10193" s="794"/>
    </row>
    <row r="10194" spans="30:30" ht="15.75" customHeight="1">
      <c r="AD10194" s="794"/>
    </row>
    <row r="10195" spans="30:30" ht="15.75" customHeight="1">
      <c r="AD10195" s="794"/>
    </row>
    <row r="10196" spans="30:30" ht="15.75" customHeight="1">
      <c r="AD10196" s="794"/>
    </row>
    <row r="10197" spans="30:30" ht="15.75" customHeight="1">
      <c r="AD10197" s="794"/>
    </row>
    <row r="10198" spans="30:30" ht="15.75" customHeight="1">
      <c r="AD10198" s="794"/>
    </row>
    <row r="10199" spans="30:30" ht="15.75" customHeight="1">
      <c r="AD10199" s="794"/>
    </row>
    <row r="10200" spans="30:30" ht="15.75" customHeight="1">
      <c r="AD10200" s="794"/>
    </row>
    <row r="10201" spans="30:30" ht="15.75" customHeight="1">
      <c r="AD10201" s="794"/>
    </row>
    <row r="10202" spans="30:30" ht="15.75" customHeight="1">
      <c r="AD10202" s="794"/>
    </row>
    <row r="10203" spans="30:30" ht="15.75" customHeight="1">
      <c r="AD10203" s="794"/>
    </row>
    <row r="10204" spans="30:30" ht="15.75" customHeight="1">
      <c r="AD10204" s="794"/>
    </row>
    <row r="10205" spans="30:30" ht="15.75" customHeight="1">
      <c r="AD10205" s="794"/>
    </row>
    <row r="10206" spans="30:30" ht="15.75" customHeight="1">
      <c r="AD10206" s="794"/>
    </row>
    <row r="10207" spans="30:30" ht="15.75" customHeight="1">
      <c r="AD10207" s="794"/>
    </row>
    <row r="10208" spans="30:30" ht="15.75" customHeight="1">
      <c r="AD10208" s="794"/>
    </row>
    <row r="10209" spans="30:30" ht="15.75" customHeight="1">
      <c r="AD10209" s="794"/>
    </row>
    <row r="10210" spans="30:30" ht="15.75" customHeight="1">
      <c r="AD10210" s="794"/>
    </row>
    <row r="10211" spans="30:30" ht="15.75" customHeight="1">
      <c r="AD10211" s="794"/>
    </row>
    <row r="10212" spans="30:30" ht="15.75" customHeight="1">
      <c r="AD10212" s="794"/>
    </row>
    <row r="10213" spans="30:30" ht="15.75" customHeight="1">
      <c r="AD10213" s="794"/>
    </row>
    <row r="10214" spans="30:30" ht="15.75" customHeight="1">
      <c r="AD10214" s="794"/>
    </row>
    <row r="10215" spans="30:30" ht="15.75" customHeight="1">
      <c r="AD10215" s="794"/>
    </row>
    <row r="10216" spans="30:30" ht="15.75" customHeight="1">
      <c r="AD10216" s="794"/>
    </row>
    <row r="10217" spans="30:30" ht="15.75" customHeight="1">
      <c r="AD10217" s="794"/>
    </row>
    <row r="10218" spans="30:30" ht="15.75" customHeight="1">
      <c r="AD10218" s="794"/>
    </row>
    <row r="10219" spans="30:30" ht="15.75" customHeight="1">
      <c r="AD10219" s="794"/>
    </row>
    <row r="10220" spans="30:30" ht="15.75" customHeight="1">
      <c r="AD10220" s="794"/>
    </row>
    <row r="10221" spans="30:30" ht="15.75" customHeight="1">
      <c r="AD10221" s="794"/>
    </row>
    <row r="10222" spans="30:30" ht="15.75" customHeight="1">
      <c r="AD10222" s="794"/>
    </row>
    <row r="10223" spans="30:30" ht="15.75" customHeight="1">
      <c r="AD10223" s="794"/>
    </row>
    <row r="10224" spans="30:30" ht="15.75" customHeight="1">
      <c r="AD10224" s="794"/>
    </row>
    <row r="10225" spans="30:30" ht="15.75" customHeight="1">
      <c r="AD10225" s="794"/>
    </row>
    <row r="10226" spans="30:30" ht="15.75" customHeight="1">
      <c r="AD10226" s="794"/>
    </row>
    <row r="10227" spans="30:30" ht="15.75" customHeight="1">
      <c r="AD10227" s="794"/>
    </row>
    <row r="10228" spans="30:30" ht="15.75" customHeight="1">
      <c r="AD10228" s="794"/>
    </row>
    <row r="10229" spans="30:30" ht="15.75" customHeight="1">
      <c r="AD10229" s="794"/>
    </row>
    <row r="10230" spans="30:30" ht="15.75" customHeight="1">
      <c r="AD10230" s="794"/>
    </row>
    <row r="10231" spans="30:30" ht="15.75" customHeight="1">
      <c r="AD10231" s="794"/>
    </row>
    <row r="10232" spans="30:30" ht="15.75" customHeight="1">
      <c r="AD10232" s="794"/>
    </row>
    <row r="10233" spans="30:30" ht="15.75" customHeight="1">
      <c r="AD10233" s="794"/>
    </row>
    <row r="10234" spans="30:30" ht="15.75" customHeight="1">
      <c r="AD10234" s="794"/>
    </row>
    <row r="10235" spans="30:30" ht="15.75" customHeight="1">
      <c r="AD10235" s="794"/>
    </row>
    <row r="10236" spans="30:30" ht="15.75" customHeight="1">
      <c r="AD10236" s="794"/>
    </row>
    <row r="10237" spans="30:30" ht="15.75" customHeight="1">
      <c r="AD10237" s="794"/>
    </row>
    <row r="10238" spans="30:30" ht="15.75" customHeight="1">
      <c r="AD10238" s="794"/>
    </row>
    <row r="10239" spans="30:30" ht="15.75" customHeight="1">
      <c r="AD10239" s="794"/>
    </row>
    <row r="10240" spans="30:30" ht="15.75" customHeight="1">
      <c r="AD10240" s="794"/>
    </row>
    <row r="10241" spans="30:30" ht="15.75" customHeight="1">
      <c r="AD10241" s="794"/>
    </row>
    <row r="10242" spans="30:30" ht="15.75" customHeight="1">
      <c r="AD10242" s="794"/>
    </row>
    <row r="10243" spans="30:30" ht="15.75" customHeight="1">
      <c r="AD10243" s="794"/>
    </row>
    <row r="10244" spans="30:30" ht="15.75" customHeight="1">
      <c r="AD10244" s="794"/>
    </row>
    <row r="10245" spans="30:30" ht="15.75" customHeight="1">
      <c r="AD10245" s="794"/>
    </row>
    <row r="10246" spans="30:30" ht="15.75" customHeight="1">
      <c r="AD10246" s="794"/>
    </row>
    <row r="10247" spans="30:30" ht="15.75" customHeight="1">
      <c r="AD10247" s="794"/>
    </row>
    <row r="10248" spans="30:30" ht="15.75" customHeight="1">
      <c r="AD10248" s="794"/>
    </row>
    <row r="10249" spans="30:30" ht="15.75" customHeight="1">
      <c r="AD10249" s="794"/>
    </row>
    <row r="10250" spans="30:30" ht="15.75" customHeight="1">
      <c r="AD10250" s="794"/>
    </row>
    <row r="10251" spans="30:30" ht="15.75" customHeight="1">
      <c r="AD10251" s="794"/>
    </row>
    <row r="10252" spans="30:30" ht="15.75" customHeight="1">
      <c r="AD10252" s="794"/>
    </row>
    <row r="10253" spans="30:30" ht="15.75" customHeight="1">
      <c r="AD10253" s="794"/>
    </row>
    <row r="10254" spans="30:30" ht="15.75" customHeight="1">
      <c r="AD10254" s="794"/>
    </row>
    <row r="10255" spans="30:30" ht="15.75" customHeight="1">
      <c r="AD10255" s="794"/>
    </row>
    <row r="10256" spans="30:30" ht="15.75" customHeight="1">
      <c r="AD10256" s="794"/>
    </row>
    <row r="10257" spans="30:30" ht="15.75" customHeight="1">
      <c r="AD10257" s="794"/>
    </row>
    <row r="10258" spans="30:30" ht="15.75" customHeight="1">
      <c r="AD10258" s="794"/>
    </row>
    <row r="10259" spans="30:30" ht="15.75" customHeight="1">
      <c r="AD10259" s="794"/>
    </row>
    <row r="10260" spans="30:30" ht="15.75" customHeight="1">
      <c r="AD10260" s="794"/>
    </row>
    <row r="10261" spans="30:30" ht="15.75" customHeight="1">
      <c r="AD10261" s="794"/>
    </row>
    <row r="10262" spans="30:30" ht="15.75" customHeight="1">
      <c r="AD10262" s="794"/>
    </row>
    <row r="10263" spans="30:30" ht="15.75" customHeight="1">
      <c r="AD10263" s="794"/>
    </row>
    <row r="10264" spans="30:30" ht="15.75" customHeight="1">
      <c r="AD10264" s="794"/>
    </row>
    <row r="10265" spans="30:30" ht="15.75" customHeight="1">
      <c r="AD10265" s="794"/>
    </row>
    <row r="10266" spans="30:30" ht="15.75" customHeight="1">
      <c r="AD10266" s="794"/>
    </row>
    <row r="10267" spans="30:30" ht="15.75" customHeight="1">
      <c r="AD10267" s="794"/>
    </row>
    <row r="10268" spans="30:30" ht="15.75" customHeight="1">
      <c r="AD10268" s="794"/>
    </row>
    <row r="10269" spans="30:30" ht="15.75" customHeight="1">
      <c r="AD10269" s="794"/>
    </row>
    <row r="10270" spans="30:30" ht="15.75" customHeight="1">
      <c r="AD10270" s="794"/>
    </row>
    <row r="10271" spans="30:30" ht="15.75" customHeight="1">
      <c r="AD10271" s="794"/>
    </row>
    <row r="10272" spans="30:30" ht="15.75" customHeight="1">
      <c r="AD10272" s="794"/>
    </row>
    <row r="10273" spans="30:30" ht="15.75" customHeight="1">
      <c r="AD10273" s="794"/>
    </row>
    <row r="10274" spans="30:30" ht="15.75" customHeight="1">
      <c r="AD10274" s="794"/>
    </row>
    <row r="10275" spans="30:30" ht="15.75" customHeight="1">
      <c r="AD10275" s="794"/>
    </row>
    <row r="10276" spans="30:30" ht="15.75" customHeight="1">
      <c r="AD10276" s="794"/>
    </row>
    <row r="10277" spans="30:30" ht="15.75" customHeight="1">
      <c r="AD10277" s="794"/>
    </row>
    <row r="10278" spans="30:30" ht="15.75" customHeight="1">
      <c r="AD10278" s="794"/>
    </row>
    <row r="10279" spans="30:30" ht="15.75" customHeight="1">
      <c r="AD10279" s="794"/>
    </row>
    <row r="10280" spans="30:30" ht="15.75" customHeight="1">
      <c r="AD10280" s="794"/>
    </row>
    <row r="10281" spans="30:30" ht="15.75" customHeight="1">
      <c r="AD10281" s="794"/>
    </row>
    <row r="10282" spans="30:30" ht="15.75" customHeight="1">
      <c r="AD10282" s="794"/>
    </row>
    <row r="10283" spans="30:30" ht="15.75" customHeight="1">
      <c r="AD10283" s="794"/>
    </row>
    <row r="10284" spans="30:30" ht="15.75" customHeight="1">
      <c r="AD10284" s="794"/>
    </row>
    <row r="10285" spans="30:30" ht="15.75" customHeight="1">
      <c r="AD10285" s="794"/>
    </row>
    <row r="10286" spans="30:30" ht="15.75" customHeight="1">
      <c r="AD10286" s="794"/>
    </row>
    <row r="10287" spans="30:30" ht="15.75" customHeight="1">
      <c r="AD10287" s="794"/>
    </row>
    <row r="10288" spans="30:30" ht="15.75" customHeight="1">
      <c r="AD10288" s="794"/>
    </row>
    <row r="10289" spans="30:30" ht="15.75" customHeight="1">
      <c r="AD10289" s="794"/>
    </row>
    <row r="10290" spans="30:30" ht="15.75" customHeight="1">
      <c r="AD10290" s="794"/>
    </row>
    <row r="10291" spans="30:30" ht="15.75" customHeight="1">
      <c r="AD10291" s="794"/>
    </row>
    <row r="10292" spans="30:30" ht="15.75" customHeight="1">
      <c r="AD10292" s="794"/>
    </row>
    <row r="10293" spans="30:30" ht="15.75" customHeight="1">
      <c r="AD10293" s="794"/>
    </row>
    <row r="10294" spans="30:30" ht="15.75" customHeight="1">
      <c r="AD10294" s="794"/>
    </row>
    <row r="10295" spans="30:30" ht="15.75" customHeight="1">
      <c r="AD10295" s="794"/>
    </row>
    <row r="10296" spans="30:30" ht="15.75" customHeight="1">
      <c r="AD10296" s="794"/>
    </row>
    <row r="10297" spans="30:30" ht="15.75" customHeight="1">
      <c r="AD10297" s="794"/>
    </row>
    <row r="10298" spans="30:30" ht="15.75" customHeight="1">
      <c r="AD10298" s="794"/>
    </row>
    <row r="10299" spans="30:30" ht="15.75" customHeight="1">
      <c r="AD10299" s="794"/>
    </row>
    <row r="10300" spans="30:30" ht="15.75" customHeight="1">
      <c r="AD10300" s="794"/>
    </row>
    <row r="10301" spans="30:30" ht="15.75" customHeight="1">
      <c r="AD10301" s="794"/>
    </row>
    <row r="10302" spans="30:30" ht="15.75" customHeight="1">
      <c r="AD10302" s="794"/>
    </row>
    <row r="10303" spans="30:30" ht="15.75" customHeight="1">
      <c r="AD10303" s="794"/>
    </row>
    <row r="10304" spans="30:30" ht="15.75" customHeight="1">
      <c r="AD10304" s="794"/>
    </row>
    <row r="10305" spans="30:30" ht="15.75" customHeight="1">
      <c r="AD10305" s="794"/>
    </row>
    <row r="10306" spans="30:30" ht="15.75" customHeight="1">
      <c r="AD10306" s="794"/>
    </row>
    <row r="10307" spans="30:30" ht="15.75" customHeight="1">
      <c r="AD10307" s="794"/>
    </row>
    <row r="10308" spans="30:30" ht="15.75" customHeight="1">
      <c r="AD10308" s="794"/>
    </row>
    <row r="10309" spans="30:30" ht="15.75" customHeight="1">
      <c r="AD10309" s="794"/>
    </row>
    <row r="10310" spans="30:30" ht="15.75" customHeight="1">
      <c r="AD10310" s="794"/>
    </row>
    <row r="10311" spans="30:30" ht="15.75" customHeight="1">
      <c r="AD10311" s="794"/>
    </row>
    <row r="10312" spans="30:30" ht="15.75" customHeight="1">
      <c r="AD10312" s="794"/>
    </row>
    <row r="10313" spans="30:30" ht="15.75" customHeight="1">
      <c r="AD10313" s="794"/>
    </row>
    <row r="10314" spans="30:30" ht="15.75" customHeight="1">
      <c r="AD10314" s="794"/>
    </row>
    <row r="10315" spans="30:30" ht="15.75" customHeight="1">
      <c r="AD10315" s="794"/>
    </row>
    <row r="10316" spans="30:30" ht="15.75" customHeight="1">
      <c r="AD10316" s="794"/>
    </row>
    <row r="10317" spans="30:30" ht="15.75" customHeight="1">
      <c r="AD10317" s="794"/>
    </row>
    <row r="10318" spans="30:30" ht="15.75" customHeight="1">
      <c r="AD10318" s="794"/>
    </row>
    <row r="10319" spans="30:30" ht="15.75" customHeight="1">
      <c r="AD10319" s="794"/>
    </row>
    <row r="10320" spans="30:30" ht="15.75" customHeight="1">
      <c r="AD10320" s="794"/>
    </row>
    <row r="10321" spans="30:30" ht="15.75" customHeight="1">
      <c r="AD10321" s="794"/>
    </row>
    <row r="10322" spans="30:30" ht="15.75" customHeight="1">
      <c r="AD10322" s="794"/>
    </row>
    <row r="10323" spans="30:30" ht="15.75" customHeight="1">
      <c r="AD10323" s="794"/>
    </row>
    <row r="10324" spans="30:30" ht="15.75" customHeight="1">
      <c r="AD10324" s="794"/>
    </row>
    <row r="10325" spans="30:30" ht="15.75" customHeight="1">
      <c r="AD10325" s="794"/>
    </row>
    <row r="10326" spans="30:30" ht="15.75" customHeight="1">
      <c r="AD10326" s="794"/>
    </row>
    <row r="10327" spans="30:30" ht="15.75" customHeight="1">
      <c r="AD10327" s="794"/>
    </row>
    <row r="10328" spans="30:30" ht="15.75" customHeight="1">
      <c r="AD10328" s="794"/>
    </row>
    <row r="10329" spans="30:30" ht="15.75" customHeight="1">
      <c r="AD10329" s="794"/>
    </row>
    <row r="10330" spans="30:30" ht="15.75" customHeight="1">
      <c r="AD10330" s="794"/>
    </row>
    <row r="10331" spans="30:30" ht="15.75" customHeight="1">
      <c r="AD10331" s="794"/>
    </row>
    <row r="10332" spans="30:30" ht="15.75" customHeight="1">
      <c r="AD10332" s="794"/>
    </row>
    <row r="10333" spans="30:30" ht="15.75" customHeight="1">
      <c r="AD10333" s="794"/>
    </row>
    <row r="10334" spans="30:30" ht="15.75" customHeight="1">
      <c r="AD10334" s="794"/>
    </row>
    <row r="10335" spans="30:30" ht="15.75" customHeight="1">
      <c r="AD10335" s="794"/>
    </row>
    <row r="10336" spans="30:30" ht="15.75" customHeight="1">
      <c r="AD10336" s="794"/>
    </row>
    <row r="10337" spans="30:30" ht="15.75" customHeight="1">
      <c r="AD10337" s="794"/>
    </row>
    <row r="10338" spans="30:30" ht="15.75" customHeight="1">
      <c r="AD10338" s="794"/>
    </row>
    <row r="10339" spans="30:30" ht="15.75" customHeight="1">
      <c r="AD10339" s="794"/>
    </row>
    <row r="10340" spans="30:30" ht="15.75" customHeight="1">
      <c r="AD10340" s="794"/>
    </row>
    <row r="10341" spans="30:30" ht="15.75" customHeight="1">
      <c r="AD10341" s="794"/>
    </row>
    <row r="10342" spans="30:30" ht="15.75" customHeight="1">
      <c r="AD10342" s="794"/>
    </row>
    <row r="10343" spans="30:30" ht="15.75" customHeight="1">
      <c r="AD10343" s="794"/>
    </row>
    <row r="10344" spans="30:30" ht="15.75" customHeight="1">
      <c r="AD10344" s="794"/>
    </row>
    <row r="10345" spans="30:30" ht="15.75" customHeight="1">
      <c r="AD10345" s="794"/>
    </row>
    <row r="10346" spans="30:30" ht="15.75" customHeight="1">
      <c r="AD10346" s="794"/>
    </row>
    <row r="10347" spans="30:30" ht="15.75" customHeight="1">
      <c r="AD10347" s="794"/>
    </row>
    <row r="10348" spans="30:30" ht="15.75" customHeight="1">
      <c r="AD10348" s="794"/>
    </row>
    <row r="10349" spans="30:30" ht="15.75" customHeight="1">
      <c r="AD10349" s="794"/>
    </row>
    <row r="10350" spans="30:30" ht="15.75" customHeight="1">
      <c r="AD10350" s="794"/>
    </row>
    <row r="10351" spans="30:30" ht="15.75" customHeight="1">
      <c r="AD10351" s="794"/>
    </row>
    <row r="10352" spans="30:30" ht="15.75" customHeight="1">
      <c r="AD10352" s="794"/>
    </row>
    <row r="10353" spans="30:30" ht="15.75" customHeight="1">
      <c r="AD10353" s="794"/>
    </row>
    <row r="10354" spans="30:30" ht="15.75" customHeight="1">
      <c r="AD10354" s="794"/>
    </row>
    <row r="10355" spans="30:30" ht="15.75" customHeight="1">
      <c r="AD10355" s="794"/>
    </row>
    <row r="10356" spans="30:30" ht="15.75" customHeight="1">
      <c r="AD10356" s="794"/>
    </row>
    <row r="10357" spans="30:30" ht="15.75" customHeight="1">
      <c r="AD10357" s="794"/>
    </row>
    <row r="10358" spans="30:30" ht="15.75" customHeight="1">
      <c r="AD10358" s="794"/>
    </row>
    <row r="10359" spans="30:30" ht="15.75" customHeight="1">
      <c r="AD10359" s="794"/>
    </row>
    <row r="10360" spans="30:30" ht="15.75" customHeight="1">
      <c r="AD10360" s="794"/>
    </row>
    <row r="10361" spans="30:30" ht="15.75" customHeight="1">
      <c r="AD10361" s="794"/>
    </row>
    <row r="10362" spans="30:30" ht="15.75" customHeight="1">
      <c r="AD10362" s="794"/>
    </row>
    <row r="10363" spans="30:30" ht="15.75" customHeight="1">
      <c r="AD10363" s="794"/>
    </row>
    <row r="10364" spans="30:30" ht="15.75" customHeight="1">
      <c r="AD10364" s="794"/>
    </row>
    <row r="10365" spans="30:30" ht="15.75" customHeight="1">
      <c r="AD10365" s="794"/>
    </row>
    <row r="10366" spans="30:30" ht="15.75" customHeight="1">
      <c r="AD10366" s="794"/>
    </row>
    <row r="10367" spans="30:30" ht="15.75" customHeight="1">
      <c r="AD10367" s="794"/>
    </row>
    <row r="10368" spans="30:30" ht="15.75" customHeight="1">
      <c r="AD10368" s="794"/>
    </row>
    <row r="10369" spans="30:30" ht="15.75" customHeight="1">
      <c r="AD10369" s="794"/>
    </row>
    <row r="10370" spans="30:30" ht="15.75" customHeight="1">
      <c r="AD10370" s="794"/>
    </row>
    <row r="10371" spans="30:30" ht="15.75" customHeight="1">
      <c r="AD10371" s="794"/>
    </row>
    <row r="10372" spans="30:30" ht="15.75" customHeight="1">
      <c r="AD10372" s="794"/>
    </row>
    <row r="10373" spans="30:30" ht="15.75" customHeight="1">
      <c r="AD10373" s="794"/>
    </row>
    <row r="10374" spans="30:30" ht="15.75" customHeight="1">
      <c r="AD10374" s="794"/>
    </row>
    <row r="10375" spans="30:30" ht="15.75" customHeight="1">
      <c r="AD10375" s="794"/>
    </row>
    <row r="10376" spans="30:30" ht="15.75" customHeight="1">
      <c r="AD10376" s="794"/>
    </row>
    <row r="10377" spans="30:30" ht="15.75" customHeight="1">
      <c r="AD10377" s="794"/>
    </row>
    <row r="10378" spans="30:30" ht="15.75" customHeight="1">
      <c r="AD10378" s="794"/>
    </row>
    <row r="10379" spans="30:30" ht="15.75" customHeight="1">
      <c r="AD10379" s="794"/>
    </row>
    <row r="10380" spans="30:30" ht="15.75" customHeight="1">
      <c r="AD10380" s="794"/>
    </row>
    <row r="10381" spans="30:30" ht="15.75" customHeight="1">
      <c r="AD10381" s="794"/>
    </row>
    <row r="10382" spans="30:30" ht="15.75" customHeight="1">
      <c r="AD10382" s="794"/>
    </row>
    <row r="10383" spans="30:30" ht="15.75" customHeight="1">
      <c r="AD10383" s="794"/>
    </row>
    <row r="10384" spans="30:30" ht="15.75" customHeight="1">
      <c r="AD10384" s="794"/>
    </row>
    <row r="10385" spans="30:30" ht="15.75" customHeight="1">
      <c r="AD10385" s="794"/>
    </row>
    <row r="10386" spans="30:30" ht="15.75" customHeight="1">
      <c r="AD10386" s="794"/>
    </row>
    <row r="10387" spans="30:30" ht="15.75" customHeight="1">
      <c r="AD10387" s="794"/>
    </row>
    <row r="10388" spans="30:30" ht="15.75" customHeight="1">
      <c r="AD10388" s="794"/>
    </row>
    <row r="10389" spans="30:30" ht="15.75" customHeight="1">
      <c r="AD10389" s="794"/>
    </row>
    <row r="10390" spans="30:30" ht="15.75" customHeight="1">
      <c r="AD10390" s="794"/>
    </row>
    <row r="10391" spans="30:30" ht="15.75" customHeight="1">
      <c r="AD10391" s="794"/>
    </row>
    <row r="10392" spans="30:30" ht="15.75" customHeight="1">
      <c r="AD10392" s="794"/>
    </row>
    <row r="10393" spans="30:30" ht="15.75" customHeight="1">
      <c r="AD10393" s="794"/>
    </row>
    <row r="10394" spans="30:30" ht="15.75" customHeight="1">
      <c r="AD10394" s="794"/>
    </row>
    <row r="10395" spans="30:30" ht="15.75" customHeight="1">
      <c r="AD10395" s="794"/>
    </row>
    <row r="10396" spans="30:30" ht="15.75" customHeight="1">
      <c r="AD10396" s="794"/>
    </row>
    <row r="10397" spans="30:30" ht="15.75" customHeight="1">
      <c r="AD10397" s="794"/>
    </row>
    <row r="10398" spans="30:30" ht="15.75" customHeight="1">
      <c r="AD10398" s="794"/>
    </row>
    <row r="10399" spans="30:30" ht="15.75" customHeight="1">
      <c r="AD10399" s="794"/>
    </row>
    <row r="10400" spans="30:30" ht="15.75" customHeight="1">
      <c r="AD10400" s="794"/>
    </row>
    <row r="10401" spans="30:30" ht="15.75" customHeight="1">
      <c r="AD10401" s="794"/>
    </row>
    <row r="10402" spans="30:30" ht="15.75" customHeight="1">
      <c r="AD10402" s="794"/>
    </row>
    <row r="10403" spans="30:30" ht="15.75" customHeight="1">
      <c r="AD10403" s="794"/>
    </row>
    <row r="10404" spans="30:30" ht="15.75" customHeight="1">
      <c r="AD10404" s="794"/>
    </row>
    <row r="10405" spans="30:30" ht="15.75" customHeight="1">
      <c r="AD10405" s="794"/>
    </row>
    <row r="10406" spans="30:30" ht="15.75" customHeight="1">
      <c r="AD10406" s="794"/>
    </row>
    <row r="10407" spans="30:30" ht="15.75" customHeight="1">
      <c r="AD10407" s="794"/>
    </row>
    <row r="10408" spans="30:30" ht="15.75" customHeight="1">
      <c r="AD10408" s="794"/>
    </row>
    <row r="10409" spans="30:30" ht="15.75" customHeight="1">
      <c r="AD10409" s="794"/>
    </row>
    <row r="10410" spans="30:30" ht="15.75" customHeight="1">
      <c r="AD10410" s="794"/>
    </row>
    <row r="10411" spans="30:30" ht="15.75" customHeight="1">
      <c r="AD10411" s="794"/>
    </row>
    <row r="10412" spans="30:30" ht="15.75" customHeight="1">
      <c r="AD10412" s="794"/>
    </row>
    <row r="10413" spans="30:30" ht="15.75" customHeight="1">
      <c r="AD10413" s="794"/>
    </row>
    <row r="10414" spans="30:30" ht="15.75" customHeight="1">
      <c r="AD10414" s="794"/>
    </row>
    <row r="10415" spans="30:30" ht="15.75" customHeight="1">
      <c r="AD10415" s="794"/>
    </row>
    <row r="10416" spans="30:30" ht="15.75" customHeight="1">
      <c r="AD10416" s="794"/>
    </row>
    <row r="10417" spans="30:30" ht="15.75" customHeight="1">
      <c r="AD10417" s="794"/>
    </row>
    <row r="10418" spans="30:30" ht="15.75" customHeight="1">
      <c r="AD10418" s="794"/>
    </row>
    <row r="10419" spans="30:30" ht="15.75" customHeight="1">
      <c r="AD10419" s="794"/>
    </row>
    <row r="10420" spans="30:30" ht="15.75" customHeight="1">
      <c r="AD10420" s="794"/>
    </row>
    <row r="10421" spans="30:30" ht="15.75" customHeight="1">
      <c r="AD10421" s="794"/>
    </row>
    <row r="10422" spans="30:30" ht="15.75" customHeight="1">
      <c r="AD10422" s="794"/>
    </row>
    <row r="10423" spans="30:30" ht="15.75" customHeight="1">
      <c r="AD10423" s="794"/>
    </row>
    <row r="10424" spans="30:30" ht="15.75" customHeight="1">
      <c r="AD10424" s="794"/>
    </row>
    <row r="10425" spans="30:30" ht="15.75" customHeight="1">
      <c r="AD10425" s="794"/>
    </row>
    <row r="10426" spans="30:30" ht="15.75" customHeight="1">
      <c r="AD10426" s="794"/>
    </row>
    <row r="10427" spans="30:30" ht="15.75" customHeight="1">
      <c r="AD10427" s="794"/>
    </row>
    <row r="10428" spans="30:30" ht="15.75" customHeight="1">
      <c r="AD10428" s="794"/>
    </row>
    <row r="10429" spans="30:30" ht="15.75" customHeight="1">
      <c r="AD10429" s="794"/>
    </row>
    <row r="10430" spans="30:30" ht="15.75" customHeight="1">
      <c r="AD10430" s="794"/>
    </row>
    <row r="10431" spans="30:30" ht="15.75" customHeight="1">
      <c r="AD10431" s="794"/>
    </row>
    <row r="10432" spans="30:30" ht="15.75" customHeight="1">
      <c r="AD10432" s="794"/>
    </row>
    <row r="10433" spans="30:30" ht="15.75" customHeight="1">
      <c r="AD10433" s="794"/>
    </row>
    <row r="10434" spans="30:30" ht="15.75" customHeight="1">
      <c r="AD10434" s="794"/>
    </row>
    <row r="10435" spans="30:30" ht="15.75" customHeight="1">
      <c r="AD10435" s="794"/>
    </row>
    <row r="10436" spans="30:30" ht="15.75" customHeight="1">
      <c r="AD10436" s="794"/>
    </row>
    <row r="10437" spans="30:30" ht="15.75" customHeight="1">
      <c r="AD10437" s="794"/>
    </row>
    <row r="10438" spans="30:30" ht="15.75" customHeight="1">
      <c r="AD10438" s="794"/>
    </row>
    <row r="10439" spans="30:30" ht="15.75" customHeight="1">
      <c r="AD10439" s="794"/>
    </row>
    <row r="10440" spans="30:30" ht="15.75" customHeight="1">
      <c r="AD10440" s="794"/>
    </row>
    <row r="10441" spans="30:30" ht="15.75" customHeight="1">
      <c r="AD10441" s="794"/>
    </row>
    <row r="10442" spans="30:30" ht="15.75" customHeight="1">
      <c r="AD10442" s="794"/>
    </row>
    <row r="10443" spans="30:30" ht="15.75" customHeight="1">
      <c r="AD10443" s="794"/>
    </row>
    <row r="10444" spans="30:30" ht="15.75" customHeight="1">
      <c r="AD10444" s="794"/>
    </row>
    <row r="10445" spans="30:30" ht="15.75" customHeight="1">
      <c r="AD10445" s="794"/>
    </row>
    <row r="10446" spans="30:30" ht="15.75" customHeight="1">
      <c r="AD10446" s="794"/>
    </row>
    <row r="10447" spans="30:30" ht="15.75" customHeight="1">
      <c r="AD10447" s="794"/>
    </row>
    <row r="10448" spans="30:30" ht="15.75" customHeight="1">
      <c r="AD10448" s="794"/>
    </row>
    <row r="10449" spans="30:30" ht="15.75" customHeight="1">
      <c r="AD10449" s="794"/>
    </row>
    <row r="10450" spans="30:30" ht="15.75" customHeight="1">
      <c r="AD10450" s="794"/>
    </row>
    <row r="10451" spans="30:30" ht="15.75" customHeight="1">
      <c r="AD10451" s="794"/>
    </row>
    <row r="10452" spans="30:30" ht="15.75" customHeight="1">
      <c r="AD10452" s="794"/>
    </row>
    <row r="10453" spans="30:30" ht="15.75" customHeight="1">
      <c r="AD10453" s="794"/>
    </row>
    <row r="10454" spans="30:30" ht="15.75" customHeight="1">
      <c r="AD10454" s="794"/>
    </row>
    <row r="10455" spans="30:30" ht="15.75" customHeight="1">
      <c r="AD10455" s="794"/>
    </row>
    <row r="10456" spans="30:30" ht="15.75" customHeight="1">
      <c r="AD10456" s="794"/>
    </row>
    <row r="10457" spans="30:30" ht="15.75" customHeight="1">
      <c r="AD10457" s="794"/>
    </row>
    <row r="10458" spans="30:30" ht="15.75" customHeight="1">
      <c r="AD10458" s="794"/>
    </row>
    <row r="10459" spans="30:30" ht="15.75" customHeight="1">
      <c r="AD10459" s="794"/>
    </row>
    <row r="10460" spans="30:30" ht="15.75" customHeight="1">
      <c r="AD10460" s="794"/>
    </row>
    <row r="10461" spans="30:30" ht="15.75" customHeight="1">
      <c r="AD10461" s="794"/>
    </row>
    <row r="10462" spans="30:30" ht="15.75" customHeight="1">
      <c r="AD10462" s="794"/>
    </row>
    <row r="10463" spans="30:30" ht="15.75" customHeight="1">
      <c r="AD10463" s="794"/>
    </row>
    <row r="10464" spans="30:30" ht="15.75" customHeight="1">
      <c r="AD10464" s="794"/>
    </row>
    <row r="10465" spans="30:30" ht="15.75" customHeight="1">
      <c r="AD10465" s="794"/>
    </row>
    <row r="10466" spans="30:30" ht="15.75" customHeight="1">
      <c r="AD10466" s="794"/>
    </row>
    <row r="10467" spans="30:30" ht="15.75" customHeight="1">
      <c r="AD10467" s="794"/>
    </row>
    <row r="10468" spans="30:30" ht="15.75" customHeight="1">
      <c r="AD10468" s="794"/>
    </row>
    <row r="10469" spans="30:30" ht="15.75" customHeight="1">
      <c r="AD10469" s="794"/>
    </row>
    <row r="10470" spans="30:30" ht="15.75" customHeight="1">
      <c r="AD10470" s="794"/>
    </row>
    <row r="10471" spans="30:30" ht="15.75" customHeight="1">
      <c r="AD10471" s="794"/>
    </row>
    <row r="10472" spans="30:30" ht="15.75" customHeight="1">
      <c r="AD10472" s="794"/>
    </row>
    <row r="10473" spans="30:30" ht="15.75" customHeight="1">
      <c r="AD10473" s="794"/>
    </row>
    <row r="10474" spans="30:30" ht="15.75" customHeight="1">
      <c r="AD10474" s="794"/>
    </row>
    <row r="10475" spans="30:30" ht="15.75" customHeight="1">
      <c r="AD10475" s="794"/>
    </row>
    <row r="10476" spans="30:30" ht="15.75" customHeight="1">
      <c r="AD10476" s="794"/>
    </row>
    <row r="10477" spans="30:30" ht="15.75" customHeight="1">
      <c r="AD10477" s="794"/>
    </row>
    <row r="10478" spans="30:30" ht="15.75" customHeight="1">
      <c r="AD10478" s="794"/>
    </row>
    <row r="10479" spans="30:30" ht="15.75" customHeight="1">
      <c r="AD10479" s="794"/>
    </row>
    <row r="10480" spans="30:30" ht="15.75" customHeight="1">
      <c r="AD10480" s="794"/>
    </row>
    <row r="10481" spans="30:30" ht="15.75" customHeight="1">
      <c r="AD10481" s="794"/>
    </row>
    <row r="10482" spans="30:30" ht="15.75" customHeight="1">
      <c r="AD10482" s="794"/>
    </row>
    <row r="10483" spans="30:30" ht="15.75" customHeight="1">
      <c r="AD10483" s="794"/>
    </row>
    <row r="10484" spans="30:30" ht="15.75" customHeight="1">
      <c r="AD10484" s="794"/>
    </row>
    <row r="10485" spans="30:30" ht="15.75" customHeight="1">
      <c r="AD10485" s="794"/>
    </row>
    <row r="10486" spans="30:30" ht="15.75" customHeight="1">
      <c r="AD10486" s="794"/>
    </row>
    <row r="10487" spans="30:30" ht="15.75" customHeight="1">
      <c r="AD10487" s="794"/>
    </row>
    <row r="10488" spans="30:30" ht="15.75" customHeight="1">
      <c r="AD10488" s="794"/>
    </row>
    <row r="10489" spans="30:30" ht="15.75" customHeight="1">
      <c r="AD10489" s="794"/>
    </row>
    <row r="10490" spans="30:30" ht="15.75" customHeight="1">
      <c r="AD10490" s="794"/>
    </row>
    <row r="10491" spans="30:30" ht="15.75" customHeight="1">
      <c r="AD10491" s="794"/>
    </row>
    <row r="10492" spans="30:30" ht="15.75" customHeight="1">
      <c r="AD10492" s="794"/>
    </row>
    <row r="10493" spans="30:30" ht="15.75" customHeight="1">
      <c r="AD10493" s="794"/>
    </row>
    <row r="10494" spans="30:30" ht="15.75" customHeight="1">
      <c r="AD10494" s="794"/>
    </row>
    <row r="10495" spans="30:30" ht="15.75" customHeight="1">
      <c r="AD10495" s="794"/>
    </row>
    <row r="10496" spans="30:30" ht="15.75" customHeight="1">
      <c r="AD10496" s="794"/>
    </row>
    <row r="10497" spans="30:30" ht="15.75" customHeight="1">
      <c r="AD10497" s="794"/>
    </row>
    <row r="10498" spans="30:30" ht="15.75" customHeight="1">
      <c r="AD10498" s="794"/>
    </row>
    <row r="10499" spans="30:30" ht="15.75" customHeight="1">
      <c r="AD10499" s="794"/>
    </row>
    <row r="10500" spans="30:30" ht="15.75" customHeight="1">
      <c r="AD10500" s="794"/>
    </row>
    <row r="10501" spans="30:30" ht="15.75" customHeight="1">
      <c r="AD10501" s="794"/>
    </row>
    <row r="10502" spans="30:30" ht="15.75" customHeight="1">
      <c r="AD10502" s="794"/>
    </row>
    <row r="10503" spans="30:30" ht="15.75" customHeight="1">
      <c r="AD10503" s="794"/>
    </row>
    <row r="10504" spans="30:30" ht="15.75" customHeight="1">
      <c r="AD10504" s="794"/>
    </row>
    <row r="10505" spans="30:30" ht="15.75" customHeight="1">
      <c r="AD10505" s="794"/>
    </row>
    <row r="10506" spans="30:30" ht="15.75" customHeight="1">
      <c r="AD10506" s="794"/>
    </row>
    <row r="10507" spans="30:30" ht="15.75" customHeight="1">
      <c r="AD10507" s="794"/>
    </row>
    <row r="10508" spans="30:30" ht="15.75" customHeight="1">
      <c r="AD10508" s="794"/>
    </row>
    <row r="10509" spans="30:30" ht="15.75" customHeight="1">
      <c r="AD10509" s="794"/>
    </row>
    <row r="10510" spans="30:30" ht="15.75" customHeight="1">
      <c r="AD10510" s="794"/>
    </row>
    <row r="10511" spans="30:30" ht="15.75" customHeight="1">
      <c r="AD10511" s="794"/>
    </row>
    <row r="10512" spans="30:30" ht="15.75" customHeight="1">
      <c r="AD10512" s="794"/>
    </row>
    <row r="10513" spans="30:30" ht="15.75" customHeight="1">
      <c r="AD10513" s="794"/>
    </row>
    <row r="10514" spans="30:30" ht="15.75" customHeight="1">
      <c r="AD10514" s="794"/>
    </row>
    <row r="10515" spans="30:30" ht="15.75" customHeight="1">
      <c r="AD10515" s="794"/>
    </row>
    <row r="10516" spans="30:30" ht="15.75" customHeight="1">
      <c r="AD10516" s="794"/>
    </row>
    <row r="10517" spans="30:30" ht="15.75" customHeight="1">
      <c r="AD10517" s="794"/>
    </row>
    <row r="10518" spans="30:30" ht="15.75" customHeight="1">
      <c r="AD10518" s="794"/>
    </row>
    <row r="10519" spans="30:30" ht="15.75" customHeight="1">
      <c r="AD10519" s="794"/>
    </row>
    <row r="10520" spans="30:30" ht="15.75" customHeight="1">
      <c r="AD10520" s="794"/>
    </row>
    <row r="10521" spans="30:30" ht="15.75" customHeight="1">
      <c r="AD10521" s="794"/>
    </row>
    <row r="10522" spans="30:30" ht="15.75" customHeight="1">
      <c r="AD10522" s="794"/>
    </row>
    <row r="10523" spans="30:30" ht="15.75" customHeight="1">
      <c r="AD10523" s="794"/>
    </row>
    <row r="10524" spans="30:30" ht="15.75" customHeight="1">
      <c r="AD10524" s="794"/>
    </row>
    <row r="10525" spans="30:30" ht="15.75" customHeight="1">
      <c r="AD10525" s="794"/>
    </row>
    <row r="10526" spans="30:30" ht="15.75" customHeight="1">
      <c r="AD10526" s="794"/>
    </row>
    <row r="10527" spans="30:30" ht="15.75" customHeight="1">
      <c r="AD10527" s="794"/>
    </row>
    <row r="10528" spans="30:30" ht="15.75" customHeight="1">
      <c r="AD10528" s="794"/>
    </row>
    <row r="10529" spans="30:30" ht="15.75" customHeight="1">
      <c r="AD10529" s="794"/>
    </row>
    <row r="10530" spans="30:30" ht="15.75" customHeight="1">
      <c r="AD10530" s="794"/>
    </row>
    <row r="10531" spans="30:30" ht="15.75" customHeight="1">
      <c r="AD10531" s="794"/>
    </row>
    <row r="10532" spans="30:30" ht="15.75" customHeight="1">
      <c r="AD10532" s="794"/>
    </row>
    <row r="10533" spans="30:30" ht="15.75" customHeight="1">
      <c r="AD10533" s="794"/>
    </row>
    <row r="10534" spans="30:30" ht="15.75" customHeight="1">
      <c r="AD10534" s="794"/>
    </row>
    <row r="10535" spans="30:30" ht="15.75" customHeight="1">
      <c r="AD10535" s="794"/>
    </row>
    <row r="10536" spans="30:30" ht="15.75" customHeight="1">
      <c r="AD10536" s="794"/>
    </row>
    <row r="10537" spans="30:30" ht="15.75" customHeight="1">
      <c r="AD10537" s="794"/>
    </row>
    <row r="10538" spans="30:30" ht="15.75" customHeight="1">
      <c r="AD10538" s="794"/>
    </row>
    <row r="10539" spans="30:30" ht="15.75" customHeight="1">
      <c r="AD10539" s="794"/>
    </row>
    <row r="10540" spans="30:30" ht="15.75" customHeight="1">
      <c r="AD10540" s="794"/>
    </row>
    <row r="10541" spans="30:30" ht="15.75" customHeight="1">
      <c r="AD10541" s="794"/>
    </row>
    <row r="10542" spans="30:30" ht="15.75" customHeight="1">
      <c r="AD10542" s="794"/>
    </row>
    <row r="10543" spans="30:30" ht="15.75" customHeight="1">
      <c r="AD10543" s="794"/>
    </row>
    <row r="10544" spans="30:30" ht="15.75" customHeight="1">
      <c r="AD10544" s="794"/>
    </row>
    <row r="10545" spans="30:30" ht="15.75" customHeight="1">
      <c r="AD10545" s="794"/>
    </row>
    <row r="10546" spans="30:30" ht="15.75" customHeight="1">
      <c r="AD10546" s="794"/>
    </row>
    <row r="10547" spans="30:30" ht="15.75" customHeight="1">
      <c r="AD10547" s="794"/>
    </row>
    <row r="10548" spans="30:30" ht="15.75" customHeight="1">
      <c r="AD10548" s="794"/>
    </row>
    <row r="10549" spans="30:30" ht="15.75" customHeight="1">
      <c r="AD10549" s="794"/>
    </row>
    <row r="10550" spans="30:30" ht="15.75" customHeight="1">
      <c r="AD10550" s="794"/>
    </row>
    <row r="10551" spans="30:30" ht="15.75" customHeight="1">
      <c r="AD10551" s="794"/>
    </row>
    <row r="10552" spans="30:30" ht="15.75" customHeight="1">
      <c r="AD10552" s="794"/>
    </row>
    <row r="10553" spans="30:30" ht="15.75" customHeight="1">
      <c r="AD10553" s="794"/>
    </row>
    <row r="10554" spans="30:30" ht="15.75" customHeight="1">
      <c r="AD10554" s="794"/>
    </row>
    <row r="10555" spans="30:30" ht="15.75" customHeight="1">
      <c r="AD10555" s="794"/>
    </row>
    <row r="10556" spans="30:30" ht="15.75" customHeight="1">
      <c r="AD10556" s="794"/>
    </row>
    <row r="10557" spans="30:30" ht="15.75" customHeight="1">
      <c r="AD10557" s="794"/>
    </row>
    <row r="10558" spans="30:30" ht="15.75" customHeight="1">
      <c r="AD10558" s="794"/>
    </row>
    <row r="10559" spans="30:30" ht="15.75" customHeight="1">
      <c r="AD10559" s="794"/>
    </row>
    <row r="10560" spans="30:30" ht="15.75" customHeight="1">
      <c r="AD10560" s="794"/>
    </row>
    <row r="10561" spans="30:30" ht="15.75" customHeight="1">
      <c r="AD10561" s="794"/>
    </row>
    <row r="10562" spans="30:30" ht="15.75" customHeight="1">
      <c r="AD10562" s="794"/>
    </row>
    <row r="10563" spans="30:30" ht="15.75" customHeight="1">
      <c r="AD10563" s="794"/>
    </row>
    <row r="10564" spans="30:30" ht="15.75" customHeight="1">
      <c r="AD10564" s="794"/>
    </row>
    <row r="10565" spans="30:30" ht="15.75" customHeight="1">
      <c r="AD10565" s="794"/>
    </row>
    <row r="10566" spans="30:30" ht="15.75" customHeight="1">
      <c r="AD10566" s="794"/>
    </row>
    <row r="10567" spans="30:30" ht="15.75" customHeight="1">
      <c r="AD10567" s="794"/>
    </row>
    <row r="10568" spans="30:30" ht="15.75" customHeight="1">
      <c r="AD10568" s="794"/>
    </row>
    <row r="10569" spans="30:30" ht="15.75" customHeight="1">
      <c r="AD10569" s="794"/>
    </row>
    <row r="10570" spans="30:30" ht="15.75" customHeight="1">
      <c r="AD10570" s="794"/>
    </row>
    <row r="10571" spans="30:30" ht="15.75" customHeight="1">
      <c r="AD10571" s="794"/>
    </row>
    <row r="10572" spans="30:30" ht="15.75" customHeight="1">
      <c r="AD10572" s="794"/>
    </row>
    <row r="10573" spans="30:30" ht="15.75" customHeight="1">
      <c r="AD10573" s="794"/>
    </row>
    <row r="10574" spans="30:30" ht="15.75" customHeight="1">
      <c r="AD10574" s="794"/>
    </row>
    <row r="10575" spans="30:30" ht="15.75" customHeight="1">
      <c r="AD10575" s="794"/>
    </row>
    <row r="10576" spans="30:30" ht="15.75" customHeight="1">
      <c r="AD10576" s="794"/>
    </row>
    <row r="10577" spans="30:30" ht="15.75" customHeight="1">
      <c r="AD10577" s="794"/>
    </row>
    <row r="10578" spans="30:30" ht="15.75" customHeight="1">
      <c r="AD10578" s="794"/>
    </row>
    <row r="10579" spans="30:30" ht="15.75" customHeight="1">
      <c r="AD10579" s="794"/>
    </row>
    <row r="10580" spans="30:30" ht="15.75" customHeight="1">
      <c r="AD10580" s="794"/>
    </row>
    <row r="10581" spans="30:30" ht="15.75" customHeight="1">
      <c r="AD10581" s="794"/>
    </row>
    <row r="10582" spans="30:30" ht="15.75" customHeight="1">
      <c r="AD10582" s="794"/>
    </row>
    <row r="10583" spans="30:30" ht="15.75" customHeight="1">
      <c r="AD10583" s="794"/>
    </row>
    <row r="10584" spans="30:30" ht="15.75" customHeight="1">
      <c r="AD10584" s="794"/>
    </row>
    <row r="10585" spans="30:30" ht="15.75" customHeight="1">
      <c r="AD10585" s="794"/>
    </row>
    <row r="10586" spans="30:30" ht="15.75" customHeight="1">
      <c r="AD10586" s="794"/>
    </row>
    <row r="10587" spans="30:30" ht="15.75" customHeight="1">
      <c r="AD10587" s="794"/>
    </row>
    <row r="10588" spans="30:30" ht="15.75" customHeight="1">
      <c r="AD10588" s="794"/>
    </row>
    <row r="10589" spans="30:30" ht="15.75" customHeight="1">
      <c r="AD10589" s="794"/>
    </row>
    <row r="10590" spans="30:30" ht="15.75" customHeight="1">
      <c r="AD10590" s="794"/>
    </row>
    <row r="10591" spans="30:30" ht="15.75" customHeight="1">
      <c r="AD10591" s="794"/>
    </row>
    <row r="10592" spans="30:30" ht="15.75" customHeight="1">
      <c r="AD10592" s="794"/>
    </row>
    <row r="10593" spans="30:30" ht="15.75" customHeight="1">
      <c r="AD10593" s="794"/>
    </row>
    <row r="10594" spans="30:30" ht="15.75" customHeight="1">
      <c r="AD10594" s="794"/>
    </row>
    <row r="10595" spans="30:30" ht="15.75" customHeight="1">
      <c r="AD10595" s="794"/>
    </row>
    <row r="10596" spans="30:30" ht="15.75" customHeight="1">
      <c r="AD10596" s="794"/>
    </row>
    <row r="10597" spans="30:30" ht="15.75" customHeight="1">
      <c r="AD10597" s="794"/>
    </row>
    <row r="10598" spans="30:30" ht="15.75" customHeight="1">
      <c r="AD10598" s="794"/>
    </row>
    <row r="10599" spans="30:30" ht="15.75" customHeight="1">
      <c r="AD10599" s="794"/>
    </row>
    <row r="10600" spans="30:30" ht="15.75" customHeight="1">
      <c r="AD10600" s="794"/>
    </row>
    <row r="10601" spans="30:30" ht="15.75" customHeight="1">
      <c r="AD10601" s="794"/>
    </row>
    <row r="10602" spans="30:30" ht="15.75" customHeight="1">
      <c r="AD10602" s="794"/>
    </row>
    <row r="10603" spans="30:30" ht="15.75" customHeight="1">
      <c r="AD10603" s="794"/>
    </row>
    <row r="10604" spans="30:30" ht="15.75" customHeight="1">
      <c r="AD10604" s="794"/>
    </row>
    <row r="10605" spans="30:30" ht="15.75" customHeight="1">
      <c r="AD10605" s="794"/>
    </row>
    <row r="10606" spans="30:30" ht="15.75" customHeight="1">
      <c r="AD10606" s="794"/>
    </row>
    <row r="10607" spans="30:30" ht="15.75" customHeight="1">
      <c r="AD10607" s="794"/>
    </row>
    <row r="10608" spans="30:30" ht="15.75" customHeight="1">
      <c r="AD10608" s="794"/>
    </row>
    <row r="10609" spans="30:30" ht="15.75" customHeight="1">
      <c r="AD10609" s="794"/>
    </row>
    <row r="10610" spans="30:30" ht="15.75" customHeight="1">
      <c r="AD10610" s="794"/>
    </row>
    <row r="10611" spans="30:30" ht="15.75" customHeight="1">
      <c r="AD10611" s="794"/>
    </row>
    <row r="10612" spans="30:30" ht="15.75" customHeight="1">
      <c r="AD10612" s="794"/>
    </row>
    <row r="10613" spans="30:30" ht="15.75" customHeight="1">
      <c r="AD10613" s="794"/>
    </row>
    <row r="10614" spans="30:30" ht="15.75" customHeight="1">
      <c r="AD10614" s="794"/>
    </row>
    <row r="10615" spans="30:30" ht="15.75" customHeight="1">
      <c r="AD10615" s="794"/>
    </row>
    <row r="10616" spans="30:30" ht="15.75" customHeight="1">
      <c r="AD10616" s="794"/>
    </row>
    <row r="10617" spans="30:30" ht="15.75" customHeight="1">
      <c r="AD10617" s="794"/>
    </row>
    <row r="10618" spans="30:30" ht="15.75" customHeight="1">
      <c r="AD10618" s="794"/>
    </row>
    <row r="10619" spans="30:30" ht="15.75" customHeight="1">
      <c r="AD10619" s="794"/>
    </row>
    <row r="10620" spans="30:30" ht="15.75" customHeight="1">
      <c r="AD10620" s="794"/>
    </row>
    <row r="10621" spans="30:30" ht="15.75" customHeight="1">
      <c r="AD10621" s="794"/>
    </row>
    <row r="10622" spans="30:30" ht="15.75" customHeight="1">
      <c r="AD10622" s="794"/>
    </row>
    <row r="10623" spans="30:30" ht="15.75" customHeight="1">
      <c r="AD10623" s="794"/>
    </row>
    <row r="10624" spans="30:30" ht="15.75" customHeight="1">
      <c r="AD10624" s="794"/>
    </row>
    <row r="10625" spans="30:30" ht="15.75" customHeight="1">
      <c r="AD10625" s="794"/>
    </row>
    <row r="10626" spans="30:30" ht="15.75" customHeight="1">
      <c r="AD10626" s="794"/>
    </row>
    <row r="10627" spans="30:30" ht="15.75" customHeight="1">
      <c r="AD10627" s="794"/>
    </row>
    <row r="10628" spans="30:30" ht="15.75" customHeight="1">
      <c r="AD10628" s="794"/>
    </row>
    <row r="10629" spans="30:30" ht="15.75" customHeight="1">
      <c r="AD10629" s="794"/>
    </row>
    <row r="10630" spans="30:30" ht="15.75" customHeight="1">
      <c r="AD10630" s="794"/>
    </row>
    <row r="10631" spans="30:30" ht="15.75" customHeight="1">
      <c r="AD10631" s="794"/>
    </row>
    <row r="10632" spans="30:30" ht="15.75" customHeight="1">
      <c r="AD10632" s="794"/>
    </row>
    <row r="10633" spans="30:30" ht="15.75" customHeight="1">
      <c r="AD10633" s="794"/>
    </row>
    <row r="10634" spans="30:30" ht="15.75" customHeight="1">
      <c r="AD10634" s="794"/>
    </row>
    <row r="10635" spans="30:30" ht="15.75" customHeight="1">
      <c r="AD10635" s="794"/>
    </row>
    <row r="10636" spans="30:30" ht="15.75" customHeight="1">
      <c r="AD10636" s="794"/>
    </row>
    <row r="10637" spans="30:30" ht="15.75" customHeight="1">
      <c r="AD10637" s="794"/>
    </row>
    <row r="10638" spans="30:30" ht="15.75" customHeight="1">
      <c r="AD10638" s="794"/>
    </row>
    <row r="10639" spans="30:30" ht="15.75" customHeight="1">
      <c r="AD10639" s="794"/>
    </row>
    <row r="10640" spans="30:30" ht="15.75" customHeight="1">
      <c r="AD10640" s="794"/>
    </row>
    <row r="10641" spans="30:30" ht="15.75" customHeight="1">
      <c r="AD10641" s="794"/>
    </row>
    <row r="10642" spans="30:30" ht="15.75" customHeight="1">
      <c r="AD10642" s="794"/>
    </row>
    <row r="10643" spans="30:30" ht="15.75" customHeight="1">
      <c r="AD10643" s="794"/>
    </row>
    <row r="10644" spans="30:30" ht="15.75" customHeight="1">
      <c r="AD10644" s="794"/>
    </row>
    <row r="10645" spans="30:30" ht="15.75" customHeight="1">
      <c r="AD10645" s="794"/>
    </row>
    <row r="10646" spans="30:30" ht="15.75" customHeight="1">
      <c r="AD10646" s="794"/>
    </row>
    <row r="10647" spans="30:30" ht="15.75" customHeight="1">
      <c r="AD10647" s="794"/>
    </row>
    <row r="10648" spans="30:30" ht="15.75" customHeight="1">
      <c r="AD10648" s="794"/>
    </row>
    <row r="10649" spans="30:30" ht="15.75" customHeight="1">
      <c r="AD10649" s="794"/>
    </row>
    <row r="10650" spans="30:30" ht="15.75" customHeight="1">
      <c r="AD10650" s="794"/>
    </row>
    <row r="10651" spans="30:30" ht="15.75" customHeight="1">
      <c r="AD10651" s="794"/>
    </row>
    <row r="10652" spans="30:30" ht="15.75" customHeight="1">
      <c r="AD10652" s="794"/>
    </row>
    <row r="10653" spans="30:30" ht="15.75" customHeight="1">
      <c r="AD10653" s="794"/>
    </row>
    <row r="10654" spans="30:30" ht="15.75" customHeight="1">
      <c r="AD10654" s="794"/>
    </row>
    <row r="10655" spans="30:30" ht="15.75" customHeight="1">
      <c r="AD10655" s="794"/>
    </row>
    <row r="10656" spans="30:30" ht="15.75" customHeight="1">
      <c r="AD10656" s="794"/>
    </row>
    <row r="10657" spans="30:30" ht="15.75" customHeight="1">
      <c r="AD10657" s="794"/>
    </row>
    <row r="10658" spans="30:30" ht="15.75" customHeight="1">
      <c r="AD10658" s="794"/>
    </row>
    <row r="10659" spans="30:30" ht="15.75" customHeight="1">
      <c r="AD10659" s="794"/>
    </row>
    <row r="10660" spans="30:30" ht="15.75" customHeight="1">
      <c r="AD10660" s="794"/>
    </row>
    <row r="10661" spans="30:30" ht="15.75" customHeight="1">
      <c r="AD10661" s="794"/>
    </row>
    <row r="10662" spans="30:30" ht="15.75" customHeight="1">
      <c r="AD10662" s="794"/>
    </row>
    <row r="10663" spans="30:30" ht="15.75" customHeight="1">
      <c r="AD10663" s="794"/>
    </row>
    <row r="10664" spans="30:30" ht="15.75" customHeight="1">
      <c r="AD10664" s="794"/>
    </row>
    <row r="10665" spans="30:30" ht="15.75" customHeight="1">
      <c r="AD10665" s="794"/>
    </row>
    <row r="10666" spans="30:30" ht="15.75" customHeight="1">
      <c r="AD10666" s="794"/>
    </row>
    <row r="10667" spans="30:30" ht="15.75" customHeight="1">
      <c r="AD10667" s="794"/>
    </row>
    <row r="10668" spans="30:30" ht="15.75" customHeight="1">
      <c r="AD10668" s="794"/>
    </row>
    <row r="10669" spans="30:30" ht="15.75" customHeight="1">
      <c r="AD10669" s="794"/>
    </row>
    <row r="10670" spans="30:30" ht="15.75" customHeight="1">
      <c r="AD10670" s="794"/>
    </row>
    <row r="10671" spans="30:30" ht="15.75" customHeight="1">
      <c r="AD10671" s="794"/>
    </row>
    <row r="10672" spans="30:30" ht="15.75" customHeight="1">
      <c r="AD10672" s="794"/>
    </row>
    <row r="10673" spans="30:30" ht="15.75" customHeight="1">
      <c r="AD10673" s="794"/>
    </row>
    <row r="10674" spans="30:30" ht="15.75" customHeight="1">
      <c r="AD10674" s="794"/>
    </row>
    <row r="10675" spans="30:30" ht="15.75" customHeight="1">
      <c r="AD10675" s="794"/>
    </row>
    <row r="10676" spans="30:30" ht="15.75" customHeight="1">
      <c r="AD10676" s="794"/>
    </row>
    <row r="10677" spans="30:30" ht="15.75" customHeight="1">
      <c r="AD10677" s="794"/>
    </row>
    <row r="10678" spans="30:30" ht="15.75" customHeight="1">
      <c r="AD10678" s="794"/>
    </row>
    <row r="10679" spans="30:30" ht="15.75" customHeight="1">
      <c r="AD10679" s="794"/>
    </row>
    <row r="10680" spans="30:30" ht="15.75" customHeight="1">
      <c r="AD10680" s="794"/>
    </row>
    <row r="10681" spans="30:30" ht="15.75" customHeight="1">
      <c r="AD10681" s="794"/>
    </row>
    <row r="10682" spans="30:30" ht="15.75" customHeight="1">
      <c r="AD10682" s="794"/>
    </row>
    <row r="10683" spans="30:30" ht="15.75" customHeight="1">
      <c r="AD10683" s="794"/>
    </row>
    <row r="10684" spans="30:30" ht="15.75" customHeight="1">
      <c r="AD10684" s="794"/>
    </row>
    <row r="10685" spans="30:30" ht="15.75" customHeight="1">
      <c r="AD10685" s="794"/>
    </row>
    <row r="10686" spans="30:30" ht="15.75" customHeight="1">
      <c r="AD10686" s="794"/>
    </row>
    <row r="10687" spans="30:30" ht="15.75" customHeight="1">
      <c r="AD10687" s="794"/>
    </row>
    <row r="10688" spans="30:30" ht="15.75" customHeight="1">
      <c r="AD10688" s="794"/>
    </row>
    <row r="10689" spans="30:30" ht="15.75" customHeight="1">
      <c r="AD10689" s="794"/>
    </row>
    <row r="10690" spans="30:30" ht="15.75" customHeight="1">
      <c r="AD10690" s="794"/>
    </row>
    <row r="10691" spans="30:30" ht="15.75" customHeight="1">
      <c r="AD10691" s="794"/>
    </row>
    <row r="10692" spans="30:30" ht="15.75" customHeight="1">
      <c r="AD10692" s="794"/>
    </row>
    <row r="10693" spans="30:30" ht="15.75" customHeight="1">
      <c r="AD10693" s="794"/>
    </row>
    <row r="10694" spans="30:30" ht="15.75" customHeight="1">
      <c r="AD10694" s="794"/>
    </row>
    <row r="10695" spans="30:30" ht="15.75" customHeight="1">
      <c r="AD10695" s="794"/>
    </row>
    <row r="10696" spans="30:30" ht="15.75" customHeight="1">
      <c r="AD10696" s="794"/>
    </row>
    <row r="10697" spans="30:30" ht="15.75" customHeight="1">
      <c r="AD10697" s="794"/>
    </row>
    <row r="10698" spans="30:30" ht="15.75" customHeight="1">
      <c r="AD10698" s="794"/>
    </row>
    <row r="10699" spans="30:30" ht="15.75" customHeight="1">
      <c r="AD10699" s="794"/>
    </row>
    <row r="10700" spans="30:30" ht="15.75" customHeight="1">
      <c r="AD10700" s="794"/>
    </row>
    <row r="10701" spans="30:30" ht="15.75" customHeight="1">
      <c r="AD10701" s="794"/>
    </row>
    <row r="10702" spans="30:30" ht="15.75" customHeight="1">
      <c r="AD10702" s="794"/>
    </row>
    <row r="10703" spans="30:30" ht="15.75" customHeight="1">
      <c r="AD10703" s="794"/>
    </row>
    <row r="10704" spans="30:30" ht="15.75" customHeight="1">
      <c r="AD10704" s="794"/>
    </row>
    <row r="10705" spans="30:30" ht="15.75" customHeight="1">
      <c r="AD10705" s="794"/>
    </row>
    <row r="10706" spans="30:30" ht="15.75" customHeight="1">
      <c r="AD10706" s="794"/>
    </row>
    <row r="10707" spans="30:30" ht="15.75" customHeight="1">
      <c r="AD10707" s="794"/>
    </row>
    <row r="10708" spans="30:30" ht="15.75" customHeight="1">
      <c r="AD10708" s="794"/>
    </row>
    <row r="10709" spans="30:30" ht="15.75" customHeight="1">
      <c r="AD10709" s="794"/>
    </row>
    <row r="10710" spans="30:30" ht="15.75" customHeight="1">
      <c r="AD10710" s="794"/>
    </row>
    <row r="10711" spans="30:30" ht="15.75" customHeight="1">
      <c r="AD10711" s="794"/>
    </row>
    <row r="10712" spans="30:30" ht="15.75" customHeight="1">
      <c r="AD10712" s="794"/>
    </row>
    <row r="10713" spans="30:30" ht="15.75" customHeight="1">
      <c r="AD10713" s="794"/>
    </row>
    <row r="10714" spans="30:30" ht="15.75" customHeight="1">
      <c r="AD10714" s="794"/>
    </row>
    <row r="10715" spans="30:30" ht="15.75" customHeight="1">
      <c r="AD10715" s="794"/>
    </row>
    <row r="10716" spans="30:30" ht="15.75" customHeight="1">
      <c r="AD10716" s="794"/>
    </row>
    <row r="10717" spans="30:30" ht="15.75" customHeight="1">
      <c r="AD10717" s="794"/>
    </row>
    <row r="10718" spans="30:30" ht="15.75" customHeight="1">
      <c r="AD10718" s="794"/>
    </row>
    <row r="10719" spans="30:30" ht="15.75" customHeight="1">
      <c r="AD10719" s="794"/>
    </row>
    <row r="10720" spans="30:30" ht="15.75" customHeight="1">
      <c r="AD10720" s="794"/>
    </row>
    <row r="10721" spans="30:30" ht="15.75" customHeight="1">
      <c r="AD10721" s="794"/>
    </row>
    <row r="10722" spans="30:30" ht="15.75" customHeight="1">
      <c r="AD10722" s="794"/>
    </row>
    <row r="10723" spans="30:30" ht="15.75" customHeight="1">
      <c r="AD10723" s="794"/>
    </row>
    <row r="10724" spans="30:30" ht="15.75" customHeight="1">
      <c r="AD10724" s="794"/>
    </row>
    <row r="10725" spans="30:30" ht="15.75" customHeight="1">
      <c r="AD10725" s="794"/>
    </row>
    <row r="10726" spans="30:30" ht="15.75" customHeight="1">
      <c r="AD10726" s="794"/>
    </row>
    <row r="10727" spans="30:30" ht="15.75" customHeight="1">
      <c r="AD10727" s="794"/>
    </row>
    <row r="10728" spans="30:30" ht="15.75" customHeight="1">
      <c r="AD10728" s="794"/>
    </row>
    <row r="10729" spans="30:30" ht="15.75" customHeight="1">
      <c r="AD10729" s="794"/>
    </row>
    <row r="10730" spans="30:30" ht="15.75" customHeight="1">
      <c r="AD10730" s="794"/>
    </row>
    <row r="10731" spans="30:30" ht="15.75" customHeight="1">
      <c r="AD10731" s="794"/>
    </row>
    <row r="10732" spans="30:30" ht="15.75" customHeight="1">
      <c r="AD10732" s="794"/>
    </row>
    <row r="10733" spans="30:30" ht="15.75" customHeight="1">
      <c r="AD10733" s="794"/>
    </row>
    <row r="10734" spans="30:30" ht="15.75" customHeight="1">
      <c r="AD10734" s="794"/>
    </row>
    <row r="10735" spans="30:30" ht="15.75" customHeight="1">
      <c r="AD10735" s="794"/>
    </row>
    <row r="10736" spans="30:30" ht="15.75" customHeight="1">
      <c r="AD10736" s="794"/>
    </row>
    <row r="10737" spans="30:30" ht="15.75" customHeight="1">
      <c r="AD10737" s="794"/>
    </row>
    <row r="10738" spans="30:30" ht="15.75" customHeight="1">
      <c r="AD10738" s="794"/>
    </row>
    <row r="10739" spans="30:30" ht="15.75" customHeight="1">
      <c r="AD10739" s="794"/>
    </row>
    <row r="10740" spans="30:30" ht="15.75" customHeight="1">
      <c r="AD10740" s="794"/>
    </row>
    <row r="10741" spans="30:30" ht="15.75" customHeight="1">
      <c r="AD10741" s="794"/>
    </row>
    <row r="10742" spans="30:30" ht="15.75" customHeight="1">
      <c r="AD10742" s="794"/>
    </row>
    <row r="10743" spans="30:30" ht="15.75" customHeight="1">
      <c r="AD10743" s="794"/>
    </row>
    <row r="10744" spans="30:30" ht="15.75" customHeight="1">
      <c r="AD10744" s="794"/>
    </row>
    <row r="10745" spans="30:30" ht="15.75" customHeight="1">
      <c r="AD10745" s="794"/>
    </row>
    <row r="10746" spans="30:30" ht="15.75" customHeight="1">
      <c r="AD10746" s="794"/>
    </row>
    <row r="10747" spans="30:30" ht="15.75" customHeight="1">
      <c r="AD10747" s="794"/>
    </row>
    <row r="10748" spans="30:30" ht="15.75" customHeight="1">
      <c r="AD10748" s="794"/>
    </row>
    <row r="10749" spans="30:30" ht="15.75" customHeight="1">
      <c r="AD10749" s="794"/>
    </row>
    <row r="10750" spans="30:30" ht="15.75" customHeight="1">
      <c r="AD10750" s="794"/>
    </row>
    <row r="10751" spans="30:30" ht="15.75" customHeight="1">
      <c r="AD10751" s="794"/>
    </row>
    <row r="10752" spans="30:30" ht="15.75" customHeight="1">
      <c r="AD10752" s="794"/>
    </row>
    <row r="10753" spans="30:30" ht="15.75" customHeight="1">
      <c r="AD10753" s="794"/>
    </row>
    <row r="10754" spans="30:30" ht="15.75" customHeight="1">
      <c r="AD10754" s="794"/>
    </row>
    <row r="10755" spans="30:30" ht="15.75" customHeight="1">
      <c r="AD10755" s="794"/>
    </row>
    <row r="10756" spans="30:30" ht="15.75" customHeight="1">
      <c r="AD10756" s="794"/>
    </row>
    <row r="10757" spans="30:30" ht="15.75" customHeight="1">
      <c r="AD10757" s="794"/>
    </row>
    <row r="10758" spans="30:30" ht="15.75" customHeight="1">
      <c r="AD10758" s="794"/>
    </row>
    <row r="10759" spans="30:30" ht="15.75" customHeight="1">
      <c r="AD10759" s="794"/>
    </row>
    <row r="10760" spans="30:30" ht="15.75" customHeight="1">
      <c r="AD10760" s="794"/>
    </row>
    <row r="10761" spans="30:30" ht="15.75" customHeight="1">
      <c r="AD10761" s="794"/>
    </row>
    <row r="10762" spans="30:30" ht="15.75" customHeight="1">
      <c r="AD10762" s="794"/>
    </row>
    <row r="10763" spans="30:30" ht="15.75" customHeight="1">
      <c r="AD10763" s="794"/>
    </row>
    <row r="10764" spans="30:30" ht="15.75" customHeight="1">
      <c r="AD10764" s="794"/>
    </row>
    <row r="10765" spans="30:30" ht="15.75" customHeight="1">
      <c r="AD10765" s="794"/>
    </row>
    <row r="10766" spans="30:30" ht="15.75" customHeight="1">
      <c r="AD10766" s="794"/>
    </row>
    <row r="10767" spans="30:30" ht="15.75" customHeight="1">
      <c r="AD10767" s="794"/>
    </row>
    <row r="10768" spans="30:30" ht="15.75" customHeight="1">
      <c r="AD10768" s="794"/>
    </row>
    <row r="10769" spans="30:30" ht="15.75" customHeight="1">
      <c r="AD10769" s="794"/>
    </row>
    <row r="10770" spans="30:30" ht="15.75" customHeight="1">
      <c r="AD10770" s="794"/>
    </row>
    <row r="10771" spans="30:30" ht="15.75" customHeight="1">
      <c r="AD10771" s="794"/>
    </row>
    <row r="10772" spans="30:30" ht="15.75" customHeight="1">
      <c r="AD10772" s="794"/>
    </row>
    <row r="10773" spans="30:30" ht="15.75" customHeight="1">
      <c r="AD10773" s="794"/>
    </row>
    <row r="10774" spans="30:30" ht="15.75" customHeight="1">
      <c r="AD10774" s="794"/>
    </row>
    <row r="10775" spans="30:30" ht="15.75" customHeight="1">
      <c r="AD10775" s="794"/>
    </row>
    <row r="10776" spans="30:30" ht="15.75" customHeight="1">
      <c r="AD10776" s="794"/>
    </row>
    <row r="10777" spans="30:30" ht="15.75" customHeight="1">
      <c r="AD10777" s="794"/>
    </row>
    <row r="10778" spans="30:30" ht="15.75" customHeight="1">
      <c r="AD10778" s="794"/>
    </row>
    <row r="10779" spans="30:30" ht="15.75" customHeight="1">
      <c r="AD10779" s="794"/>
    </row>
    <row r="10780" spans="30:30" ht="15.75" customHeight="1">
      <c r="AD10780" s="794"/>
    </row>
    <row r="10781" spans="30:30" ht="15.75" customHeight="1">
      <c r="AD10781" s="794"/>
    </row>
    <row r="10782" spans="30:30" ht="15.75" customHeight="1">
      <c r="AD10782" s="794"/>
    </row>
    <row r="10783" spans="30:30" ht="15.75" customHeight="1">
      <c r="AD10783" s="794"/>
    </row>
    <row r="10784" spans="30:30" ht="15.75" customHeight="1">
      <c r="AD10784" s="794"/>
    </row>
    <row r="10785" spans="30:30" ht="15.75" customHeight="1">
      <c r="AD10785" s="794"/>
    </row>
    <row r="10786" spans="30:30" ht="15.75" customHeight="1">
      <c r="AD10786" s="794"/>
    </row>
    <row r="10787" spans="30:30" ht="15.75" customHeight="1">
      <c r="AD10787" s="794"/>
    </row>
    <row r="10788" spans="30:30" ht="15.75" customHeight="1">
      <c r="AD10788" s="794"/>
    </row>
    <row r="10789" spans="30:30" ht="15.75" customHeight="1">
      <c r="AD10789" s="794"/>
    </row>
    <row r="10790" spans="30:30" ht="15.75" customHeight="1">
      <c r="AD10790" s="794"/>
    </row>
    <row r="10791" spans="30:30" ht="15.75" customHeight="1">
      <c r="AD10791" s="794"/>
    </row>
    <row r="10792" spans="30:30" ht="15.75" customHeight="1">
      <c r="AD10792" s="794"/>
    </row>
    <row r="10793" spans="30:30" ht="15.75" customHeight="1">
      <c r="AD10793" s="794"/>
    </row>
    <row r="10794" spans="30:30" ht="15.75" customHeight="1">
      <c r="AD10794" s="794"/>
    </row>
    <row r="10795" spans="30:30" ht="15.75" customHeight="1">
      <c r="AD10795" s="794"/>
    </row>
    <row r="10796" spans="30:30" ht="15.75" customHeight="1">
      <c r="AD10796" s="794"/>
    </row>
    <row r="10797" spans="30:30" ht="15.75" customHeight="1">
      <c r="AD10797" s="794"/>
    </row>
    <row r="10798" spans="30:30" ht="15.75" customHeight="1">
      <c r="AD10798" s="794"/>
    </row>
    <row r="10799" spans="30:30" ht="15.75" customHeight="1">
      <c r="AD10799" s="794"/>
    </row>
    <row r="10800" spans="30:30" ht="15.75" customHeight="1">
      <c r="AD10800" s="794"/>
    </row>
    <row r="10801" spans="30:30" ht="15.75" customHeight="1">
      <c r="AD10801" s="794"/>
    </row>
    <row r="10802" spans="30:30" ht="15.75" customHeight="1">
      <c r="AD10802" s="794"/>
    </row>
    <row r="10803" spans="30:30" ht="15.75" customHeight="1">
      <c r="AD10803" s="794"/>
    </row>
    <row r="10804" spans="30:30" ht="15.75" customHeight="1">
      <c r="AD10804" s="794"/>
    </row>
    <row r="10805" spans="30:30" ht="15.75" customHeight="1">
      <c r="AD10805" s="794"/>
    </row>
    <row r="10806" spans="30:30" ht="15.75" customHeight="1">
      <c r="AD10806" s="794"/>
    </row>
    <row r="10807" spans="30:30" ht="15.75" customHeight="1">
      <c r="AD10807" s="794"/>
    </row>
    <row r="10808" spans="30:30" ht="15.75" customHeight="1">
      <c r="AD10808" s="794"/>
    </row>
    <row r="10809" spans="30:30" ht="15.75" customHeight="1">
      <c r="AD10809" s="794"/>
    </row>
    <row r="10810" spans="30:30" ht="15.75" customHeight="1">
      <c r="AD10810" s="794"/>
    </row>
    <row r="10811" spans="30:30" ht="15.75" customHeight="1">
      <c r="AD10811" s="794"/>
    </row>
    <row r="10812" spans="30:30" ht="15.75" customHeight="1">
      <c r="AD10812" s="794"/>
    </row>
    <row r="10813" spans="30:30" ht="15.75" customHeight="1">
      <c r="AD10813" s="794"/>
    </row>
    <row r="10814" spans="30:30" ht="15.75" customHeight="1">
      <c r="AD10814" s="794"/>
    </row>
    <row r="10815" spans="30:30" ht="15.75" customHeight="1">
      <c r="AD10815" s="794"/>
    </row>
    <row r="10816" spans="30:30" ht="15.75" customHeight="1">
      <c r="AD10816" s="794"/>
    </row>
    <row r="10817" spans="30:30" ht="15.75" customHeight="1">
      <c r="AD10817" s="794"/>
    </row>
    <row r="10818" spans="30:30" ht="15.75" customHeight="1">
      <c r="AD10818" s="794"/>
    </row>
    <row r="10819" spans="30:30" ht="15.75" customHeight="1">
      <c r="AD10819" s="794"/>
    </row>
    <row r="10820" spans="30:30" ht="15.75" customHeight="1">
      <c r="AD10820" s="794"/>
    </row>
    <row r="10821" spans="30:30" ht="15.75" customHeight="1">
      <c r="AD10821" s="794"/>
    </row>
    <row r="10822" spans="30:30" ht="15.75" customHeight="1">
      <c r="AD10822" s="794"/>
    </row>
    <row r="10823" spans="30:30" ht="15.75" customHeight="1">
      <c r="AD10823" s="794"/>
    </row>
    <row r="10824" spans="30:30" ht="15.75" customHeight="1">
      <c r="AD10824" s="794"/>
    </row>
    <row r="10825" spans="30:30" ht="15.75" customHeight="1">
      <c r="AD10825" s="794"/>
    </row>
    <row r="10826" spans="30:30" ht="15.75" customHeight="1">
      <c r="AD10826" s="794"/>
    </row>
    <row r="10827" spans="30:30" ht="15.75" customHeight="1">
      <c r="AD10827" s="794"/>
    </row>
    <row r="10828" spans="30:30" ht="15.75" customHeight="1">
      <c r="AD10828" s="794"/>
    </row>
    <row r="10829" spans="30:30" ht="15.75" customHeight="1">
      <c r="AD10829" s="794"/>
    </row>
    <row r="10830" spans="30:30" ht="15.75" customHeight="1">
      <c r="AD10830" s="794"/>
    </row>
    <row r="10831" spans="30:30" ht="15.75" customHeight="1">
      <c r="AD10831" s="794"/>
    </row>
    <row r="10832" spans="30:30" ht="15.75" customHeight="1">
      <c r="AD10832" s="794"/>
    </row>
    <row r="10833" spans="30:30" ht="15.75" customHeight="1">
      <c r="AD10833" s="794"/>
    </row>
    <row r="10834" spans="30:30" ht="15.75" customHeight="1">
      <c r="AD10834" s="794"/>
    </row>
    <row r="10835" spans="30:30" ht="15.75" customHeight="1">
      <c r="AD10835" s="794"/>
    </row>
    <row r="10836" spans="30:30" ht="15.75" customHeight="1">
      <c r="AD10836" s="794"/>
    </row>
    <row r="10837" spans="30:30" ht="15.75" customHeight="1">
      <c r="AD10837" s="794"/>
    </row>
    <row r="10838" spans="30:30" ht="15.75" customHeight="1">
      <c r="AD10838" s="794"/>
    </row>
    <row r="10839" spans="30:30" ht="15.75" customHeight="1">
      <c r="AD10839" s="794"/>
    </row>
    <row r="10840" spans="30:30" ht="15.75" customHeight="1">
      <c r="AD10840" s="794"/>
    </row>
    <row r="10841" spans="30:30" ht="15.75" customHeight="1">
      <c r="AD10841" s="794"/>
    </row>
    <row r="10842" spans="30:30" ht="15.75" customHeight="1">
      <c r="AD10842" s="794"/>
    </row>
    <row r="10843" spans="30:30" ht="15.75" customHeight="1">
      <c r="AD10843" s="794"/>
    </row>
    <row r="10844" spans="30:30" ht="15.75" customHeight="1">
      <c r="AD10844" s="794"/>
    </row>
    <row r="10845" spans="30:30" ht="15.75" customHeight="1">
      <c r="AD10845" s="794"/>
    </row>
    <row r="10846" spans="30:30" ht="15.75" customHeight="1">
      <c r="AD10846" s="794"/>
    </row>
    <row r="10847" spans="30:30" ht="15.75" customHeight="1">
      <c r="AD10847" s="794"/>
    </row>
    <row r="10848" spans="30:30" ht="15.75" customHeight="1">
      <c r="AD10848" s="794"/>
    </row>
    <row r="10849" spans="30:30" ht="15.75" customHeight="1">
      <c r="AD10849" s="794"/>
    </row>
    <row r="10850" spans="30:30" ht="15.75" customHeight="1">
      <c r="AD10850" s="794"/>
    </row>
    <row r="10851" spans="30:30" ht="15.75" customHeight="1">
      <c r="AD10851" s="794"/>
    </row>
    <row r="10852" spans="30:30" ht="15.75" customHeight="1">
      <c r="AD10852" s="794"/>
    </row>
    <row r="10853" spans="30:30" ht="15.75" customHeight="1">
      <c r="AD10853" s="794"/>
    </row>
    <row r="10854" spans="30:30" ht="15.75" customHeight="1">
      <c r="AD10854" s="794"/>
    </row>
    <row r="10855" spans="30:30" ht="15.75" customHeight="1">
      <c r="AD10855" s="794"/>
    </row>
    <row r="10856" spans="30:30" ht="15.75" customHeight="1">
      <c r="AD10856" s="794"/>
    </row>
    <row r="10857" spans="30:30" ht="15.75" customHeight="1">
      <c r="AD10857" s="794"/>
    </row>
    <row r="10858" spans="30:30" ht="15.75" customHeight="1">
      <c r="AD10858" s="794"/>
    </row>
    <row r="10859" spans="30:30" ht="15.75" customHeight="1">
      <c r="AD10859" s="794"/>
    </row>
    <row r="10860" spans="30:30" ht="15.75" customHeight="1">
      <c r="AD10860" s="794"/>
    </row>
    <row r="10861" spans="30:30" ht="15.75" customHeight="1">
      <c r="AD10861" s="794"/>
    </row>
    <row r="10862" spans="30:30" ht="15.75" customHeight="1">
      <c r="AD10862" s="794"/>
    </row>
    <row r="10863" spans="30:30" ht="15.75" customHeight="1">
      <c r="AD10863" s="794"/>
    </row>
    <row r="10864" spans="30:30" ht="15.75" customHeight="1">
      <c r="AD10864" s="794"/>
    </row>
    <row r="10865" spans="30:30" ht="15.75" customHeight="1">
      <c r="AD10865" s="794"/>
    </row>
    <row r="10866" spans="30:30" ht="15.75" customHeight="1">
      <c r="AD10866" s="794"/>
    </row>
    <row r="10867" spans="30:30" ht="15.75" customHeight="1">
      <c r="AD10867" s="794"/>
    </row>
    <row r="10868" spans="30:30" ht="15.75" customHeight="1">
      <c r="AD10868" s="794"/>
    </row>
    <row r="10869" spans="30:30" ht="15.75" customHeight="1">
      <c r="AD10869" s="794"/>
    </row>
    <row r="10870" spans="30:30" ht="15.75" customHeight="1">
      <c r="AD10870" s="794"/>
    </row>
    <row r="10871" spans="30:30" ht="15.75" customHeight="1">
      <c r="AD10871" s="794"/>
    </row>
    <row r="10872" spans="30:30" ht="15.75" customHeight="1">
      <c r="AD10872" s="794"/>
    </row>
    <row r="10873" spans="30:30" ht="15.75" customHeight="1">
      <c r="AD10873" s="794"/>
    </row>
    <row r="10874" spans="30:30" ht="15.75" customHeight="1">
      <c r="AD10874" s="794"/>
    </row>
    <row r="10875" spans="30:30" ht="15.75" customHeight="1">
      <c r="AD10875" s="794"/>
    </row>
    <row r="10876" spans="30:30" ht="15.75" customHeight="1">
      <c r="AD10876" s="794"/>
    </row>
    <row r="10877" spans="30:30" ht="15.75" customHeight="1">
      <c r="AD10877" s="794"/>
    </row>
    <row r="10878" spans="30:30" ht="15.75" customHeight="1">
      <c r="AD10878" s="794"/>
    </row>
    <row r="10879" spans="30:30" ht="15.75" customHeight="1">
      <c r="AD10879" s="794"/>
    </row>
    <row r="10880" spans="30:30" ht="15.75" customHeight="1">
      <c r="AD10880" s="794"/>
    </row>
    <row r="10881" spans="30:30" ht="15.75" customHeight="1">
      <c r="AD10881" s="794"/>
    </row>
    <row r="10882" spans="30:30" ht="15.75" customHeight="1">
      <c r="AD10882" s="794"/>
    </row>
    <row r="10883" spans="30:30" ht="15.75" customHeight="1">
      <c r="AD10883" s="794"/>
    </row>
    <row r="10884" spans="30:30" ht="15.75" customHeight="1">
      <c r="AD10884" s="794"/>
    </row>
    <row r="10885" spans="30:30" ht="15.75" customHeight="1">
      <c r="AD10885" s="794"/>
    </row>
    <row r="10886" spans="30:30" ht="15.75" customHeight="1">
      <c r="AD10886" s="794"/>
    </row>
    <row r="10887" spans="30:30" ht="15.75" customHeight="1">
      <c r="AD10887" s="794"/>
    </row>
    <row r="10888" spans="30:30" ht="15.75" customHeight="1">
      <c r="AD10888" s="794"/>
    </row>
    <row r="10889" spans="30:30" ht="15.75" customHeight="1">
      <c r="AD10889" s="794"/>
    </row>
    <row r="10890" spans="30:30" ht="15.75" customHeight="1">
      <c r="AD10890" s="794"/>
    </row>
    <row r="10891" spans="30:30" ht="15.75" customHeight="1">
      <c r="AD10891" s="794"/>
    </row>
    <row r="10892" spans="30:30" ht="15.75" customHeight="1">
      <c r="AD10892" s="794"/>
    </row>
    <row r="10893" spans="30:30" ht="15.75" customHeight="1">
      <c r="AD10893" s="794"/>
    </row>
    <row r="10894" spans="30:30" ht="15.75" customHeight="1">
      <c r="AD10894" s="794"/>
    </row>
    <row r="10895" spans="30:30" ht="15.75" customHeight="1">
      <c r="AD10895" s="794"/>
    </row>
    <row r="10896" spans="30:30" ht="15.75" customHeight="1">
      <c r="AD10896" s="794"/>
    </row>
    <row r="10897" spans="30:30" ht="15.75" customHeight="1">
      <c r="AD10897" s="794"/>
    </row>
    <row r="10898" spans="30:30" ht="15.75" customHeight="1">
      <c r="AD10898" s="794"/>
    </row>
    <row r="10899" spans="30:30" ht="15.75" customHeight="1">
      <c r="AD10899" s="794"/>
    </row>
    <row r="10900" spans="30:30" ht="15.75" customHeight="1">
      <c r="AD10900" s="794"/>
    </row>
    <row r="10901" spans="30:30" ht="15.75" customHeight="1">
      <c r="AD10901" s="794"/>
    </row>
    <row r="10902" spans="30:30" ht="15.75" customHeight="1">
      <c r="AD10902" s="794"/>
    </row>
    <row r="10903" spans="30:30" ht="15.75" customHeight="1">
      <c r="AD10903" s="794"/>
    </row>
    <row r="10904" spans="30:30" ht="15.75" customHeight="1">
      <c r="AD10904" s="794"/>
    </row>
    <row r="10905" spans="30:30" ht="15.75" customHeight="1">
      <c r="AD10905" s="794"/>
    </row>
    <row r="10906" spans="30:30" ht="15.75" customHeight="1">
      <c r="AD10906" s="794"/>
    </row>
    <row r="10907" spans="30:30" ht="15.75" customHeight="1">
      <c r="AD10907" s="794"/>
    </row>
    <row r="10908" spans="30:30" ht="15.75" customHeight="1">
      <c r="AD10908" s="794"/>
    </row>
    <row r="10909" spans="30:30" ht="15.75" customHeight="1">
      <c r="AD10909" s="794"/>
    </row>
    <row r="10910" spans="30:30" ht="15.75" customHeight="1">
      <c r="AD10910" s="794"/>
    </row>
    <row r="10911" spans="30:30" ht="15.75" customHeight="1">
      <c r="AD10911" s="794"/>
    </row>
    <row r="10912" spans="30:30" ht="15.75" customHeight="1">
      <c r="AD10912" s="794"/>
    </row>
    <row r="10913" spans="30:30" ht="15.75" customHeight="1">
      <c r="AD10913" s="794"/>
    </row>
    <row r="10914" spans="30:30" ht="15.75" customHeight="1">
      <c r="AD10914" s="794"/>
    </row>
    <row r="10915" spans="30:30" ht="15.75" customHeight="1">
      <c r="AD10915" s="794"/>
    </row>
    <row r="10916" spans="30:30" ht="15.75" customHeight="1">
      <c r="AD10916" s="794"/>
    </row>
    <row r="10917" spans="30:30" ht="15.75" customHeight="1">
      <c r="AD10917" s="794"/>
    </row>
    <row r="10918" spans="30:30" ht="15.75" customHeight="1">
      <c r="AD10918" s="794"/>
    </row>
    <row r="10919" spans="30:30" ht="15.75" customHeight="1">
      <c r="AD10919" s="794"/>
    </row>
    <row r="10920" spans="30:30" ht="15.75" customHeight="1">
      <c r="AD10920" s="794"/>
    </row>
    <row r="10921" spans="30:30" ht="15.75" customHeight="1">
      <c r="AD10921" s="794"/>
    </row>
    <row r="10922" spans="30:30" ht="15.75" customHeight="1">
      <c r="AD10922" s="794"/>
    </row>
    <row r="10923" spans="30:30" ht="15.75" customHeight="1">
      <c r="AD10923" s="794"/>
    </row>
    <row r="10924" spans="30:30" ht="15.75" customHeight="1">
      <c r="AD10924" s="794"/>
    </row>
    <row r="10925" spans="30:30" ht="15.75" customHeight="1">
      <c r="AD10925" s="794"/>
    </row>
    <row r="10926" spans="30:30" ht="15.75" customHeight="1">
      <c r="AD10926" s="794"/>
    </row>
    <row r="10927" spans="30:30" ht="15.75" customHeight="1">
      <c r="AD10927" s="794"/>
    </row>
    <row r="10928" spans="30:30" ht="15.75" customHeight="1">
      <c r="AD10928" s="794"/>
    </row>
    <row r="10929" spans="30:30" ht="15.75" customHeight="1">
      <c r="AD10929" s="794"/>
    </row>
    <row r="10930" spans="30:30" ht="15.75" customHeight="1">
      <c r="AD10930" s="794"/>
    </row>
    <row r="10931" spans="30:30" ht="15.75" customHeight="1">
      <c r="AD10931" s="794"/>
    </row>
    <row r="10932" spans="30:30" ht="15.75" customHeight="1">
      <c r="AD10932" s="794"/>
    </row>
    <row r="10933" spans="30:30" ht="15.75" customHeight="1">
      <c r="AD10933" s="794"/>
    </row>
    <row r="10934" spans="30:30" ht="15.75" customHeight="1">
      <c r="AD10934" s="794"/>
    </row>
    <row r="10935" spans="30:30" ht="15.75" customHeight="1">
      <c r="AD10935" s="794"/>
    </row>
    <row r="10936" spans="30:30" ht="15.75" customHeight="1">
      <c r="AD10936" s="794"/>
    </row>
    <row r="10937" spans="30:30" ht="15.75" customHeight="1">
      <c r="AD10937" s="794"/>
    </row>
    <row r="10938" spans="30:30" ht="15.75" customHeight="1">
      <c r="AD10938" s="794"/>
    </row>
    <row r="10939" spans="30:30" ht="15.75" customHeight="1">
      <c r="AD10939" s="794"/>
    </row>
    <row r="10940" spans="30:30" ht="15.75" customHeight="1">
      <c r="AD10940" s="794"/>
    </row>
    <row r="10941" spans="30:30" ht="15.75" customHeight="1">
      <c r="AD10941" s="794"/>
    </row>
    <row r="10942" spans="30:30" ht="15.75" customHeight="1">
      <c r="AD10942" s="794"/>
    </row>
    <row r="10943" spans="30:30" ht="15.75" customHeight="1">
      <c r="AD10943" s="794"/>
    </row>
    <row r="10944" spans="30:30" ht="15.75" customHeight="1">
      <c r="AD10944" s="794"/>
    </row>
    <row r="10945" spans="30:30" ht="15.75" customHeight="1">
      <c r="AD10945" s="794"/>
    </row>
    <row r="10946" spans="30:30" ht="15.75" customHeight="1">
      <c r="AD10946" s="794"/>
    </row>
    <row r="10947" spans="30:30" ht="15.75" customHeight="1">
      <c r="AD10947" s="794"/>
    </row>
    <row r="10948" spans="30:30" ht="15.75" customHeight="1">
      <c r="AD10948" s="794"/>
    </row>
    <row r="10949" spans="30:30" ht="15.75" customHeight="1">
      <c r="AD10949" s="794"/>
    </row>
    <row r="10950" spans="30:30" ht="15.75" customHeight="1">
      <c r="AD10950" s="794"/>
    </row>
    <row r="10951" spans="30:30" ht="15.75" customHeight="1">
      <c r="AD10951" s="794"/>
    </row>
    <row r="10952" spans="30:30" ht="15.75" customHeight="1">
      <c r="AD10952" s="794"/>
    </row>
    <row r="10953" spans="30:30" ht="15.75" customHeight="1">
      <c r="AD10953" s="794"/>
    </row>
    <row r="10954" spans="30:30" ht="15.75" customHeight="1">
      <c r="AD10954" s="794"/>
    </row>
    <row r="10955" spans="30:30" ht="15.75" customHeight="1">
      <c r="AD10955" s="794"/>
    </row>
    <row r="10956" spans="30:30" ht="15.75" customHeight="1">
      <c r="AD10956" s="794"/>
    </row>
    <row r="10957" spans="30:30" ht="15.75" customHeight="1">
      <c r="AD10957" s="794"/>
    </row>
    <row r="10958" spans="30:30" ht="15.75" customHeight="1">
      <c r="AD10958" s="794"/>
    </row>
    <row r="10959" spans="30:30" ht="15.75" customHeight="1">
      <c r="AD10959" s="794"/>
    </row>
    <row r="10960" spans="30:30" ht="15.75" customHeight="1">
      <c r="AD10960" s="794"/>
    </row>
    <row r="10961" spans="30:30" ht="15.75" customHeight="1">
      <c r="AD10961" s="794"/>
    </row>
    <row r="10962" spans="30:30" ht="15.75" customHeight="1">
      <c r="AD10962" s="794"/>
    </row>
    <row r="10963" spans="30:30" ht="15.75" customHeight="1">
      <c r="AD10963" s="794"/>
    </row>
    <row r="10964" spans="30:30" ht="15.75" customHeight="1">
      <c r="AD10964" s="794"/>
    </row>
    <row r="10965" spans="30:30" ht="15.75" customHeight="1">
      <c r="AD10965" s="794"/>
    </row>
    <row r="10966" spans="30:30" ht="15.75" customHeight="1">
      <c r="AD10966" s="794"/>
    </row>
    <row r="10967" spans="30:30" ht="15.75" customHeight="1">
      <c r="AD10967" s="794"/>
    </row>
    <row r="10968" spans="30:30" ht="15.75" customHeight="1">
      <c r="AD10968" s="794"/>
    </row>
    <row r="10969" spans="30:30" ht="15.75" customHeight="1">
      <c r="AD10969" s="794"/>
    </row>
    <row r="10970" spans="30:30" ht="15.75" customHeight="1">
      <c r="AD10970" s="794"/>
    </row>
    <row r="10971" spans="30:30" ht="15.75" customHeight="1">
      <c r="AD10971" s="794"/>
    </row>
    <row r="10972" spans="30:30" ht="15.75" customHeight="1">
      <c r="AD10972" s="794"/>
    </row>
    <row r="10973" spans="30:30" ht="15.75" customHeight="1">
      <c r="AD10973" s="794"/>
    </row>
    <row r="10974" spans="30:30" ht="15.75" customHeight="1">
      <c r="AD10974" s="794"/>
    </row>
    <row r="10975" spans="30:30" ht="15.75" customHeight="1">
      <c r="AD10975" s="794"/>
    </row>
    <row r="10976" spans="30:30" ht="15.75" customHeight="1">
      <c r="AD10976" s="794"/>
    </row>
    <row r="10977" spans="30:30" ht="15.75" customHeight="1">
      <c r="AD10977" s="794"/>
    </row>
    <row r="10978" spans="30:30" ht="15.75" customHeight="1">
      <c r="AD10978" s="794"/>
    </row>
    <row r="10979" spans="30:30" ht="15.75" customHeight="1">
      <c r="AD10979" s="794"/>
    </row>
    <row r="10980" spans="30:30" ht="15.75" customHeight="1">
      <c r="AD10980" s="794"/>
    </row>
    <row r="10981" spans="30:30" ht="15.75" customHeight="1">
      <c r="AD10981" s="794"/>
    </row>
    <row r="10982" spans="30:30" ht="15.75" customHeight="1">
      <c r="AD10982" s="794"/>
    </row>
    <row r="10983" spans="30:30" ht="15.75" customHeight="1">
      <c r="AD10983" s="794"/>
    </row>
    <row r="10984" spans="30:30" ht="15.75" customHeight="1">
      <c r="AD10984" s="794"/>
    </row>
    <row r="10985" spans="30:30" ht="15.75" customHeight="1">
      <c r="AD10985" s="794"/>
    </row>
    <row r="10986" spans="30:30" ht="15.75" customHeight="1">
      <c r="AD10986" s="794"/>
    </row>
    <row r="10987" spans="30:30" ht="15.75" customHeight="1">
      <c r="AD10987" s="794"/>
    </row>
    <row r="10988" spans="30:30" ht="15.75" customHeight="1">
      <c r="AD10988" s="794"/>
    </row>
    <row r="10989" spans="30:30" ht="15.75" customHeight="1">
      <c r="AD10989" s="794"/>
    </row>
    <row r="10990" spans="30:30" ht="15.75" customHeight="1">
      <c r="AD10990" s="794"/>
    </row>
    <row r="10991" spans="30:30" ht="15.75" customHeight="1">
      <c r="AD10991" s="794"/>
    </row>
    <row r="10992" spans="30:30" ht="15.75" customHeight="1">
      <c r="AD10992" s="794"/>
    </row>
    <row r="10993" spans="30:30" ht="15.75" customHeight="1">
      <c r="AD10993" s="794"/>
    </row>
    <row r="10994" spans="30:30" ht="15.75" customHeight="1">
      <c r="AD10994" s="794"/>
    </row>
    <row r="10995" spans="30:30" ht="15.75" customHeight="1">
      <c r="AD10995" s="794"/>
    </row>
    <row r="10996" spans="30:30" ht="15.75" customHeight="1">
      <c r="AD10996" s="794"/>
    </row>
    <row r="10997" spans="30:30" ht="15.75" customHeight="1">
      <c r="AD10997" s="794"/>
    </row>
    <row r="10998" spans="30:30" ht="15.75" customHeight="1">
      <c r="AD10998" s="794"/>
    </row>
    <row r="10999" spans="30:30" ht="15.75" customHeight="1">
      <c r="AD10999" s="794"/>
    </row>
    <row r="11000" spans="30:30" ht="15.75" customHeight="1">
      <c r="AD11000" s="794"/>
    </row>
    <row r="11001" spans="30:30" ht="15.75" customHeight="1">
      <c r="AD11001" s="794"/>
    </row>
    <row r="11002" spans="30:30" ht="15.75" customHeight="1">
      <c r="AD11002" s="794"/>
    </row>
    <row r="11003" spans="30:30" ht="15.75" customHeight="1">
      <c r="AD11003" s="794"/>
    </row>
    <row r="11004" spans="30:30" ht="15.75" customHeight="1">
      <c r="AD11004" s="794"/>
    </row>
    <row r="11005" spans="30:30" ht="15.75" customHeight="1">
      <c r="AD11005" s="794"/>
    </row>
    <row r="11006" spans="30:30" ht="15.75" customHeight="1">
      <c r="AD11006" s="794"/>
    </row>
    <row r="11007" spans="30:30" ht="15.75" customHeight="1">
      <c r="AD11007" s="794"/>
    </row>
    <row r="11008" spans="30:30" ht="15.75" customHeight="1">
      <c r="AD11008" s="794"/>
    </row>
    <row r="11009" spans="30:30" ht="15.75" customHeight="1">
      <c r="AD11009" s="794"/>
    </row>
    <row r="11010" spans="30:30" ht="15.75" customHeight="1">
      <c r="AD11010" s="794"/>
    </row>
    <row r="11011" spans="30:30" ht="15.75" customHeight="1">
      <c r="AD11011" s="794"/>
    </row>
    <row r="11012" spans="30:30" ht="15.75" customHeight="1">
      <c r="AD11012" s="794"/>
    </row>
    <row r="11013" spans="30:30" ht="15.75" customHeight="1">
      <c r="AD11013" s="794"/>
    </row>
    <row r="11014" spans="30:30" ht="15.75" customHeight="1">
      <c r="AD11014" s="794"/>
    </row>
    <row r="11015" spans="30:30" ht="15.75" customHeight="1">
      <c r="AD11015" s="794"/>
    </row>
    <row r="11016" spans="30:30" ht="15.75" customHeight="1">
      <c r="AD11016" s="794"/>
    </row>
    <row r="11017" spans="30:30" ht="15.75" customHeight="1">
      <c r="AD11017" s="794"/>
    </row>
    <row r="11018" spans="30:30" ht="15.75" customHeight="1">
      <c r="AD11018" s="794"/>
    </row>
    <row r="11019" spans="30:30" ht="15.75" customHeight="1">
      <c r="AD11019" s="794"/>
    </row>
    <row r="11020" spans="30:30" ht="15.75" customHeight="1">
      <c r="AD11020" s="794"/>
    </row>
    <row r="11021" spans="30:30" ht="15.75" customHeight="1">
      <c r="AD11021" s="794"/>
    </row>
    <row r="11022" spans="30:30" ht="15.75" customHeight="1">
      <c r="AD11022" s="794"/>
    </row>
    <row r="11023" spans="30:30" ht="15.75" customHeight="1">
      <c r="AD11023" s="794"/>
    </row>
    <row r="11024" spans="30:30" ht="15.75" customHeight="1">
      <c r="AD11024" s="794"/>
    </row>
    <row r="11025" spans="30:30" ht="15.75" customHeight="1">
      <c r="AD11025" s="794"/>
    </row>
    <row r="11026" spans="30:30" ht="15.75" customHeight="1">
      <c r="AD11026" s="794"/>
    </row>
    <row r="11027" spans="30:30" ht="15.75" customHeight="1">
      <c r="AD11027" s="794"/>
    </row>
    <row r="11028" spans="30:30" ht="15.75" customHeight="1">
      <c r="AD11028" s="794"/>
    </row>
    <row r="11029" spans="30:30" ht="15.75" customHeight="1">
      <c r="AD11029" s="794"/>
    </row>
    <row r="11030" spans="30:30" ht="15.75" customHeight="1">
      <c r="AD11030" s="794"/>
    </row>
    <row r="11031" spans="30:30" ht="15.75" customHeight="1">
      <c r="AD11031" s="794"/>
    </row>
    <row r="11032" spans="30:30" ht="15.75" customHeight="1">
      <c r="AD11032" s="794"/>
    </row>
    <row r="11033" spans="30:30" ht="15.75" customHeight="1">
      <c r="AD11033" s="794"/>
    </row>
    <row r="11034" spans="30:30" ht="15.75" customHeight="1">
      <c r="AD11034" s="794"/>
    </row>
    <row r="11035" spans="30:30" ht="15.75" customHeight="1">
      <c r="AD11035" s="794"/>
    </row>
    <row r="11036" spans="30:30" ht="15.75" customHeight="1">
      <c r="AD11036" s="794"/>
    </row>
    <row r="11037" spans="30:30" ht="15.75" customHeight="1">
      <c r="AD11037" s="794"/>
    </row>
    <row r="11038" spans="30:30" ht="15.75" customHeight="1">
      <c r="AD11038" s="794"/>
    </row>
    <row r="11039" spans="30:30" ht="15.75" customHeight="1">
      <c r="AD11039" s="794"/>
    </row>
    <row r="11040" spans="30:30" ht="15.75" customHeight="1">
      <c r="AD11040" s="794"/>
    </row>
    <row r="11041" spans="30:30" ht="15.75" customHeight="1">
      <c r="AD11041" s="794"/>
    </row>
    <row r="11042" spans="30:30" ht="15.75" customHeight="1">
      <c r="AD11042" s="794"/>
    </row>
    <row r="11043" spans="30:30" ht="15.75" customHeight="1">
      <c r="AD11043" s="794"/>
    </row>
    <row r="11044" spans="30:30" ht="15.75" customHeight="1">
      <c r="AD11044" s="794"/>
    </row>
    <row r="11045" spans="30:30" ht="15.75" customHeight="1">
      <c r="AD11045" s="794"/>
    </row>
    <row r="11046" spans="30:30" ht="15.75" customHeight="1">
      <c r="AD11046" s="794"/>
    </row>
    <row r="11047" spans="30:30" ht="15.75" customHeight="1">
      <c r="AD11047" s="794"/>
    </row>
    <row r="11048" spans="30:30" ht="15.75" customHeight="1">
      <c r="AD11048" s="794"/>
    </row>
    <row r="11049" spans="30:30" ht="15.75" customHeight="1">
      <c r="AD11049" s="794"/>
    </row>
    <row r="11050" spans="30:30" ht="15.75" customHeight="1">
      <c r="AD11050" s="794"/>
    </row>
    <row r="11051" spans="30:30" ht="15.75" customHeight="1">
      <c r="AD11051" s="794"/>
    </row>
    <row r="11052" spans="30:30" ht="15.75" customHeight="1">
      <c r="AD11052" s="794"/>
    </row>
    <row r="11053" spans="30:30" ht="15.75" customHeight="1">
      <c r="AD11053" s="794"/>
    </row>
    <row r="11054" spans="30:30" ht="15.75" customHeight="1">
      <c r="AD11054" s="794"/>
    </row>
    <row r="11055" spans="30:30" ht="15.75" customHeight="1">
      <c r="AD11055" s="794"/>
    </row>
    <row r="11056" spans="30:30" ht="15.75" customHeight="1">
      <c r="AD11056" s="794"/>
    </row>
    <row r="11057" spans="30:30" ht="15.75" customHeight="1">
      <c r="AD11057" s="794"/>
    </row>
    <row r="11058" spans="30:30" ht="15.75" customHeight="1">
      <c r="AD11058" s="794"/>
    </row>
    <row r="11059" spans="30:30" ht="15.75" customHeight="1">
      <c r="AD11059" s="794"/>
    </row>
    <row r="11060" spans="30:30" ht="15.75" customHeight="1">
      <c r="AD11060" s="794"/>
    </row>
    <row r="11061" spans="30:30" ht="15.75" customHeight="1">
      <c r="AD11061" s="794"/>
    </row>
    <row r="11062" spans="30:30" ht="15.75" customHeight="1">
      <c r="AD11062" s="794"/>
    </row>
    <row r="11063" spans="30:30" ht="15.75" customHeight="1">
      <c r="AD11063" s="794"/>
    </row>
    <row r="11064" spans="30:30" ht="15.75" customHeight="1">
      <c r="AD11064" s="794"/>
    </row>
    <row r="11065" spans="30:30" ht="15.75" customHeight="1">
      <c r="AD11065" s="794"/>
    </row>
    <row r="11066" spans="30:30" ht="15.75" customHeight="1">
      <c r="AD11066" s="794"/>
    </row>
    <row r="11067" spans="30:30" ht="15.75" customHeight="1">
      <c r="AD11067" s="794"/>
    </row>
    <row r="11068" spans="30:30" ht="15.75" customHeight="1">
      <c r="AD11068" s="794"/>
    </row>
    <row r="11069" spans="30:30" ht="15.75" customHeight="1">
      <c r="AD11069" s="794"/>
    </row>
    <row r="11070" spans="30:30" ht="15.75" customHeight="1">
      <c r="AD11070" s="794"/>
    </row>
    <row r="11071" spans="30:30" ht="15.75" customHeight="1">
      <c r="AD11071" s="794"/>
    </row>
    <row r="11072" spans="30:30" ht="15.75" customHeight="1">
      <c r="AD11072" s="794"/>
    </row>
    <row r="11073" spans="30:30" ht="15.75" customHeight="1">
      <c r="AD11073" s="794"/>
    </row>
    <row r="11074" spans="30:30" ht="15.75" customHeight="1">
      <c r="AD11074" s="794"/>
    </row>
    <row r="11075" spans="30:30" ht="15.75" customHeight="1">
      <c r="AD11075" s="794"/>
    </row>
    <row r="11076" spans="30:30" ht="15.75" customHeight="1">
      <c r="AD11076" s="794"/>
    </row>
    <row r="11077" spans="30:30" ht="15.75" customHeight="1">
      <c r="AD11077" s="794"/>
    </row>
    <row r="11078" spans="30:30" ht="15.75" customHeight="1">
      <c r="AD11078" s="794"/>
    </row>
    <row r="11079" spans="30:30" ht="15.75" customHeight="1">
      <c r="AD11079" s="794"/>
    </row>
    <row r="11080" spans="30:30" ht="15.75" customHeight="1">
      <c r="AD11080" s="794"/>
    </row>
    <row r="11081" spans="30:30" ht="15.75" customHeight="1">
      <c r="AD11081" s="794"/>
    </row>
    <row r="11082" spans="30:30" ht="15.75" customHeight="1">
      <c r="AD11082" s="794"/>
    </row>
    <row r="11083" spans="30:30" ht="15.75" customHeight="1">
      <c r="AD11083" s="794"/>
    </row>
    <row r="11084" spans="30:30" ht="15.75" customHeight="1">
      <c r="AD11084" s="794"/>
    </row>
    <row r="11085" spans="30:30" ht="15.75" customHeight="1">
      <c r="AD11085" s="794"/>
    </row>
    <row r="11086" spans="30:30" ht="15.75" customHeight="1">
      <c r="AD11086" s="794"/>
    </row>
    <row r="11087" spans="30:30" ht="15.75" customHeight="1">
      <c r="AD11087" s="794"/>
    </row>
    <row r="11088" spans="30:30" ht="15.75" customHeight="1">
      <c r="AD11088" s="794"/>
    </row>
    <row r="11089" spans="30:30" ht="15.75" customHeight="1">
      <c r="AD11089" s="794"/>
    </row>
    <row r="11090" spans="30:30" ht="15.75" customHeight="1">
      <c r="AD11090" s="794"/>
    </row>
    <row r="11091" spans="30:30" ht="15.75" customHeight="1">
      <c r="AD11091" s="794"/>
    </row>
    <row r="11092" spans="30:30" ht="15.75" customHeight="1">
      <c r="AD11092" s="794"/>
    </row>
    <row r="11093" spans="30:30" ht="15.75" customHeight="1">
      <c r="AD11093" s="794"/>
    </row>
    <row r="11094" spans="30:30" ht="15.75" customHeight="1">
      <c r="AD11094" s="794"/>
    </row>
    <row r="11095" spans="30:30" ht="15.75" customHeight="1">
      <c r="AD11095" s="794"/>
    </row>
    <row r="11096" spans="30:30" ht="15.75" customHeight="1">
      <c r="AD11096" s="794"/>
    </row>
    <row r="11097" spans="30:30" ht="15.75" customHeight="1">
      <c r="AD11097" s="794"/>
    </row>
    <row r="11098" spans="30:30" ht="15.75" customHeight="1">
      <c r="AD11098" s="794"/>
    </row>
    <row r="11099" spans="30:30" ht="15.75" customHeight="1">
      <c r="AD11099" s="794"/>
    </row>
    <row r="11100" spans="30:30" ht="15.75" customHeight="1">
      <c r="AD11100" s="794"/>
    </row>
    <row r="11101" spans="30:30" ht="15.75" customHeight="1">
      <c r="AD11101" s="794"/>
    </row>
    <row r="11102" spans="30:30" ht="15.75" customHeight="1">
      <c r="AD11102" s="794"/>
    </row>
    <row r="11103" spans="30:30" ht="15.75" customHeight="1">
      <c r="AD11103" s="794"/>
    </row>
    <row r="11104" spans="30:30" ht="15.75" customHeight="1">
      <c r="AD11104" s="794"/>
    </row>
    <row r="11105" spans="30:30" ht="15.75" customHeight="1">
      <c r="AD11105" s="794"/>
    </row>
    <row r="11106" spans="30:30" ht="15.75" customHeight="1">
      <c r="AD11106" s="794"/>
    </row>
    <row r="11107" spans="30:30" ht="15.75" customHeight="1">
      <c r="AD11107" s="794"/>
    </row>
    <row r="11108" spans="30:30" ht="15.75" customHeight="1">
      <c r="AD11108" s="794"/>
    </row>
    <row r="11109" spans="30:30" ht="15.75" customHeight="1">
      <c r="AD11109" s="794"/>
    </row>
    <row r="11110" spans="30:30" ht="15.75" customHeight="1">
      <c r="AD11110" s="794"/>
    </row>
    <row r="11111" spans="30:30" ht="15.75" customHeight="1">
      <c r="AD11111" s="794"/>
    </row>
    <row r="11112" spans="30:30" ht="15.75" customHeight="1">
      <c r="AD11112" s="794"/>
    </row>
    <row r="11113" spans="30:30" ht="15.75" customHeight="1">
      <c r="AD11113" s="794"/>
    </row>
    <row r="11114" spans="30:30" ht="15.75" customHeight="1">
      <c r="AD11114" s="794"/>
    </row>
    <row r="11115" spans="30:30" ht="15.75" customHeight="1">
      <c r="AD11115" s="794"/>
    </row>
    <row r="11116" spans="30:30" ht="15.75" customHeight="1">
      <c r="AD11116" s="794"/>
    </row>
    <row r="11117" spans="30:30" ht="15.75" customHeight="1">
      <c r="AD11117" s="794"/>
    </row>
    <row r="11118" spans="30:30" ht="15.75" customHeight="1">
      <c r="AD11118" s="794"/>
    </row>
    <row r="11119" spans="30:30" ht="15.75" customHeight="1">
      <c r="AD11119" s="794"/>
    </row>
    <row r="11120" spans="30:30" ht="15.75" customHeight="1">
      <c r="AD11120" s="794"/>
    </row>
    <row r="11121" spans="30:30" ht="15.75" customHeight="1">
      <c r="AD11121" s="794"/>
    </row>
    <row r="11122" spans="30:30" ht="15.75" customHeight="1">
      <c r="AD11122" s="794"/>
    </row>
    <row r="11123" spans="30:30" ht="15.75" customHeight="1">
      <c r="AD11123" s="794"/>
    </row>
    <row r="11124" spans="30:30" ht="15.75" customHeight="1">
      <c r="AD11124" s="794"/>
    </row>
    <row r="11125" spans="30:30" ht="15.75" customHeight="1">
      <c r="AD11125" s="794"/>
    </row>
    <row r="11126" spans="30:30" ht="15.75" customHeight="1">
      <c r="AD11126" s="794"/>
    </row>
    <row r="11127" spans="30:30" ht="15.75" customHeight="1">
      <c r="AD11127" s="794"/>
    </row>
    <row r="11128" spans="30:30" ht="15.75" customHeight="1">
      <c r="AD11128" s="794"/>
    </row>
    <row r="11129" spans="30:30" ht="15.75" customHeight="1">
      <c r="AD11129" s="794"/>
    </row>
    <row r="11130" spans="30:30" ht="15.75" customHeight="1">
      <c r="AD11130" s="794"/>
    </row>
    <row r="11131" spans="30:30" ht="15.75" customHeight="1">
      <c r="AD11131" s="794"/>
    </row>
    <row r="11132" spans="30:30" ht="15.75" customHeight="1">
      <c r="AD11132" s="794"/>
    </row>
    <row r="11133" spans="30:30" ht="15.75" customHeight="1">
      <c r="AD11133" s="794"/>
    </row>
    <row r="11134" spans="30:30" ht="15.75" customHeight="1">
      <c r="AD11134" s="794"/>
    </row>
    <row r="11135" spans="30:30" ht="15.75" customHeight="1">
      <c r="AD11135" s="794"/>
    </row>
    <row r="11136" spans="30:30" ht="15.75" customHeight="1">
      <c r="AD11136" s="794"/>
    </row>
    <row r="11137" spans="30:30" ht="15.75" customHeight="1">
      <c r="AD11137" s="794"/>
    </row>
    <row r="11138" spans="30:30" ht="15.75" customHeight="1">
      <c r="AD11138" s="794"/>
    </row>
    <row r="11139" spans="30:30" ht="15.75" customHeight="1">
      <c r="AD11139" s="794"/>
    </row>
    <row r="11140" spans="30:30" ht="15.75" customHeight="1">
      <c r="AD11140" s="794"/>
    </row>
    <row r="11141" spans="30:30" ht="15.75" customHeight="1">
      <c r="AD11141" s="794"/>
    </row>
    <row r="11142" spans="30:30" ht="15.75" customHeight="1">
      <c r="AD11142" s="794"/>
    </row>
    <row r="11143" spans="30:30" ht="15.75" customHeight="1">
      <c r="AD11143" s="794"/>
    </row>
    <row r="11144" spans="30:30" ht="15.75" customHeight="1">
      <c r="AD11144" s="794"/>
    </row>
    <row r="11145" spans="30:30" ht="15.75" customHeight="1">
      <c r="AD11145" s="794"/>
    </row>
    <row r="11146" spans="30:30" ht="15.75" customHeight="1">
      <c r="AD11146" s="794"/>
    </row>
    <row r="11147" spans="30:30" ht="15.75" customHeight="1">
      <c r="AD11147" s="794"/>
    </row>
    <row r="11148" spans="30:30" ht="15.75" customHeight="1">
      <c r="AD11148" s="794"/>
    </row>
    <row r="11149" spans="30:30" ht="15.75" customHeight="1">
      <c r="AD11149" s="794"/>
    </row>
    <row r="11150" spans="30:30" ht="15.75" customHeight="1">
      <c r="AD11150" s="794"/>
    </row>
    <row r="11151" spans="30:30" ht="15.75" customHeight="1">
      <c r="AD11151" s="794"/>
    </row>
    <row r="11152" spans="30:30" ht="15.75" customHeight="1">
      <c r="AD11152" s="794"/>
    </row>
    <row r="11153" spans="30:30" ht="15.75" customHeight="1">
      <c r="AD11153" s="794"/>
    </row>
    <row r="11154" spans="30:30" ht="15.75" customHeight="1">
      <c r="AD11154" s="794"/>
    </row>
    <row r="11155" spans="30:30" ht="15.75" customHeight="1">
      <c r="AD11155" s="794"/>
    </row>
    <row r="11156" spans="30:30" ht="15.75" customHeight="1">
      <c r="AD11156" s="794"/>
    </row>
    <row r="11157" spans="30:30" ht="15.75" customHeight="1">
      <c r="AD11157" s="794"/>
    </row>
    <row r="11158" spans="30:30" ht="15.75" customHeight="1">
      <c r="AD11158" s="794"/>
    </row>
    <row r="11159" spans="30:30" ht="15.75" customHeight="1">
      <c r="AD11159" s="794"/>
    </row>
    <row r="11160" spans="30:30" ht="15.75" customHeight="1">
      <c r="AD11160" s="794"/>
    </row>
    <row r="11161" spans="30:30" ht="15.75" customHeight="1">
      <c r="AD11161" s="794"/>
    </row>
    <row r="11162" spans="30:30" ht="15.75" customHeight="1">
      <c r="AD11162" s="794"/>
    </row>
    <row r="11163" spans="30:30" ht="15.75" customHeight="1">
      <c r="AD11163" s="794"/>
    </row>
    <row r="11164" spans="30:30" ht="15.75" customHeight="1">
      <c r="AD11164" s="794"/>
    </row>
    <row r="11165" spans="30:30" ht="15.75" customHeight="1">
      <c r="AD11165" s="794"/>
    </row>
    <row r="11166" spans="30:30" ht="15.75" customHeight="1">
      <c r="AD11166" s="794"/>
    </row>
    <row r="11167" spans="30:30" ht="15.75" customHeight="1">
      <c r="AD11167" s="794"/>
    </row>
    <row r="11168" spans="30:30" ht="15.75" customHeight="1">
      <c r="AD11168" s="794"/>
    </row>
    <row r="11169" spans="30:30" ht="15.75" customHeight="1">
      <c r="AD11169" s="794"/>
    </row>
    <row r="11170" spans="30:30" ht="15.75" customHeight="1">
      <c r="AD11170" s="794"/>
    </row>
    <row r="11171" spans="30:30" ht="15.75" customHeight="1">
      <c r="AD11171" s="794"/>
    </row>
    <row r="11172" spans="30:30" ht="15.75" customHeight="1">
      <c r="AD11172" s="794"/>
    </row>
    <row r="11173" spans="30:30" ht="15.75" customHeight="1">
      <c r="AD11173" s="794"/>
    </row>
    <row r="11174" spans="30:30" ht="15.75" customHeight="1">
      <c r="AD11174" s="794"/>
    </row>
    <row r="11175" spans="30:30" ht="15.75" customHeight="1">
      <c r="AD11175" s="794"/>
    </row>
    <row r="11176" spans="30:30" ht="15.75" customHeight="1">
      <c r="AD11176" s="794"/>
    </row>
    <row r="11177" spans="30:30" ht="15.75" customHeight="1">
      <c r="AD11177" s="794"/>
    </row>
    <row r="11178" spans="30:30" ht="15.75" customHeight="1">
      <c r="AD11178" s="794"/>
    </row>
    <row r="11179" spans="30:30" ht="15.75" customHeight="1">
      <c r="AD11179" s="794"/>
    </row>
    <row r="11180" spans="30:30" ht="15.75" customHeight="1">
      <c r="AD11180" s="794"/>
    </row>
    <row r="11181" spans="30:30" ht="15.75" customHeight="1">
      <c r="AD11181" s="794"/>
    </row>
    <row r="11182" spans="30:30" ht="15.75" customHeight="1">
      <c r="AD11182" s="794"/>
    </row>
    <row r="11183" spans="30:30" ht="15.75" customHeight="1">
      <c r="AD11183" s="794"/>
    </row>
    <row r="11184" spans="30:30" ht="15.75" customHeight="1">
      <c r="AD11184" s="794"/>
    </row>
    <row r="11185" spans="30:30" ht="15.75" customHeight="1">
      <c r="AD11185" s="794"/>
    </row>
    <row r="11186" spans="30:30" ht="15.75" customHeight="1">
      <c r="AD11186" s="794"/>
    </row>
    <row r="11187" spans="30:30" ht="15.75" customHeight="1">
      <c r="AD11187" s="794"/>
    </row>
    <row r="11188" spans="30:30" ht="15.75" customHeight="1">
      <c r="AD11188" s="794"/>
    </row>
    <row r="11189" spans="30:30" ht="15.75" customHeight="1">
      <c r="AD11189" s="794"/>
    </row>
    <row r="11190" spans="30:30" ht="15.75" customHeight="1">
      <c r="AD11190" s="794"/>
    </row>
    <row r="11191" spans="30:30" ht="15.75" customHeight="1">
      <c r="AD11191" s="794"/>
    </row>
    <row r="11192" spans="30:30" ht="15.75" customHeight="1">
      <c r="AD11192" s="794"/>
    </row>
    <row r="11193" spans="30:30" ht="15.75" customHeight="1">
      <c r="AD11193" s="794"/>
    </row>
    <row r="11194" spans="30:30" ht="15.75" customHeight="1">
      <c r="AD11194" s="794"/>
    </row>
    <row r="11195" spans="30:30" ht="15.75" customHeight="1">
      <c r="AD11195" s="794"/>
    </row>
    <row r="11196" spans="30:30" ht="15.75" customHeight="1">
      <c r="AD11196" s="794"/>
    </row>
    <row r="11197" spans="30:30" ht="15.75" customHeight="1">
      <c r="AD11197" s="794"/>
    </row>
    <row r="11198" spans="30:30" ht="15.75" customHeight="1">
      <c r="AD11198" s="794"/>
    </row>
    <row r="11199" spans="30:30" ht="15.75" customHeight="1">
      <c r="AD11199" s="794"/>
    </row>
    <row r="11200" spans="30:30" ht="15.75" customHeight="1">
      <c r="AD11200" s="794"/>
    </row>
    <row r="11201" spans="30:30" ht="15.75" customHeight="1">
      <c r="AD11201" s="794"/>
    </row>
    <row r="11202" spans="30:30" ht="15.75" customHeight="1">
      <c r="AD11202" s="794"/>
    </row>
    <row r="11203" spans="30:30" ht="15.75" customHeight="1">
      <c r="AD11203" s="794"/>
    </row>
    <row r="11204" spans="30:30" ht="15.75" customHeight="1">
      <c r="AD11204" s="794"/>
    </row>
    <row r="11205" spans="30:30" ht="15.75" customHeight="1">
      <c r="AD11205" s="794"/>
    </row>
    <row r="11206" spans="30:30" ht="15.75" customHeight="1">
      <c r="AD11206" s="794"/>
    </row>
    <row r="11207" spans="30:30" ht="15.75" customHeight="1">
      <c r="AD11207" s="794"/>
    </row>
    <row r="11208" spans="30:30" ht="15.75" customHeight="1">
      <c r="AD11208" s="794"/>
    </row>
    <row r="11209" spans="30:30" ht="15.75" customHeight="1">
      <c r="AD11209" s="794"/>
    </row>
    <row r="11210" spans="30:30" ht="15.75" customHeight="1">
      <c r="AD11210" s="794"/>
    </row>
    <row r="11211" spans="30:30" ht="15.75" customHeight="1">
      <c r="AD11211" s="794"/>
    </row>
    <row r="11212" spans="30:30" ht="15.75" customHeight="1">
      <c r="AD11212" s="794"/>
    </row>
    <row r="11213" spans="30:30" ht="15.75" customHeight="1">
      <c r="AD11213" s="794"/>
    </row>
    <row r="11214" spans="30:30" ht="15.75" customHeight="1">
      <c r="AD11214" s="794"/>
    </row>
    <row r="11215" spans="30:30" ht="15.75" customHeight="1">
      <c r="AD11215" s="794"/>
    </row>
    <row r="11216" spans="30:30" ht="15.75" customHeight="1">
      <c r="AD11216" s="794"/>
    </row>
    <row r="11217" spans="30:30" ht="15.75" customHeight="1">
      <c r="AD11217" s="794"/>
    </row>
    <row r="11218" spans="30:30" ht="15.75" customHeight="1">
      <c r="AD11218" s="794"/>
    </row>
    <row r="11219" spans="30:30" ht="15.75" customHeight="1">
      <c r="AD11219" s="794"/>
    </row>
    <row r="11220" spans="30:30" ht="15.75" customHeight="1">
      <c r="AD11220" s="794"/>
    </row>
    <row r="11221" spans="30:30" ht="15.75" customHeight="1">
      <c r="AD11221" s="794"/>
    </row>
    <row r="11222" spans="30:30" ht="15.75" customHeight="1">
      <c r="AD11222" s="794"/>
    </row>
    <row r="11223" spans="30:30" ht="15.75" customHeight="1">
      <c r="AD11223" s="794"/>
    </row>
    <row r="11224" spans="30:30" ht="15.75" customHeight="1">
      <c r="AD11224" s="794"/>
    </row>
    <row r="11225" spans="30:30" ht="15.75" customHeight="1">
      <c r="AD11225" s="794"/>
    </row>
    <row r="11226" spans="30:30" ht="15.75" customHeight="1">
      <c r="AD11226" s="794"/>
    </row>
    <row r="11227" spans="30:30" ht="15.75" customHeight="1">
      <c r="AD11227" s="794"/>
    </row>
    <row r="11228" spans="30:30" ht="15.75" customHeight="1">
      <c r="AD11228" s="794"/>
    </row>
    <row r="11229" spans="30:30" ht="15.75" customHeight="1">
      <c r="AD11229" s="794"/>
    </row>
    <row r="11230" spans="30:30" ht="15.75" customHeight="1">
      <c r="AD11230" s="794"/>
    </row>
    <row r="11231" spans="30:30" ht="15.75" customHeight="1">
      <c r="AD11231" s="794"/>
    </row>
    <row r="11232" spans="30:30" ht="15.75" customHeight="1">
      <c r="AD11232" s="794"/>
    </row>
    <row r="11233" spans="30:30" ht="15.75" customHeight="1">
      <c r="AD11233" s="794"/>
    </row>
    <row r="11234" spans="30:30" ht="15.75" customHeight="1">
      <c r="AD11234" s="794"/>
    </row>
    <row r="11235" spans="30:30" ht="15.75" customHeight="1">
      <c r="AD11235" s="794"/>
    </row>
    <row r="11236" spans="30:30" ht="15.75" customHeight="1">
      <c r="AD11236" s="794"/>
    </row>
    <row r="11237" spans="30:30" ht="15.75" customHeight="1">
      <c r="AD11237" s="794"/>
    </row>
    <row r="11238" spans="30:30" ht="15.75" customHeight="1">
      <c r="AD11238" s="794"/>
    </row>
    <row r="11239" spans="30:30" ht="15.75" customHeight="1">
      <c r="AD11239" s="794"/>
    </row>
    <row r="11240" spans="30:30" ht="15.75" customHeight="1">
      <c r="AD11240" s="794"/>
    </row>
    <row r="11241" spans="30:30" ht="15.75" customHeight="1">
      <c r="AD11241" s="794"/>
    </row>
    <row r="11242" spans="30:30" ht="15.75" customHeight="1">
      <c r="AD11242" s="794"/>
    </row>
    <row r="11243" spans="30:30" ht="15.75" customHeight="1">
      <c r="AD11243" s="794"/>
    </row>
    <row r="11244" spans="30:30" ht="15.75" customHeight="1">
      <c r="AD11244" s="794"/>
    </row>
    <row r="11245" spans="30:30" ht="15.75" customHeight="1">
      <c r="AD11245" s="794"/>
    </row>
    <row r="11246" spans="30:30" ht="15.75" customHeight="1">
      <c r="AD11246" s="794"/>
    </row>
    <row r="11247" spans="30:30" ht="15.75" customHeight="1">
      <c r="AD11247" s="794"/>
    </row>
    <row r="11248" spans="30:30" ht="15.75" customHeight="1">
      <c r="AD11248" s="794"/>
    </row>
    <row r="11249" spans="30:30" ht="15.75" customHeight="1">
      <c r="AD11249" s="794"/>
    </row>
    <row r="11250" spans="30:30" ht="15.75" customHeight="1">
      <c r="AD11250" s="794"/>
    </row>
    <row r="11251" spans="30:30" ht="15.75" customHeight="1">
      <c r="AD11251" s="794"/>
    </row>
    <row r="11252" spans="30:30" ht="15.75" customHeight="1">
      <c r="AD11252" s="794"/>
    </row>
    <row r="11253" spans="30:30" ht="15.75" customHeight="1">
      <c r="AD11253" s="794"/>
    </row>
    <row r="11254" spans="30:30" ht="15.75" customHeight="1">
      <c r="AD11254" s="794"/>
    </row>
    <row r="11255" spans="30:30" ht="15.75" customHeight="1">
      <c r="AD11255" s="794"/>
    </row>
    <row r="11256" spans="30:30" ht="15.75" customHeight="1">
      <c r="AD11256" s="794"/>
    </row>
    <row r="11257" spans="30:30" ht="15.75" customHeight="1">
      <c r="AD11257" s="794"/>
    </row>
    <row r="11258" spans="30:30" ht="15.75" customHeight="1">
      <c r="AD11258" s="794"/>
    </row>
    <row r="11259" spans="30:30" ht="15.75" customHeight="1">
      <c r="AD11259" s="794"/>
    </row>
    <row r="11260" spans="30:30" ht="15.75" customHeight="1">
      <c r="AD11260" s="794"/>
    </row>
    <row r="11261" spans="30:30" ht="15.75" customHeight="1">
      <c r="AD11261" s="794"/>
    </row>
    <row r="11262" spans="30:30" ht="15.75" customHeight="1">
      <c r="AD11262" s="794"/>
    </row>
    <row r="11263" spans="30:30" ht="15.75" customHeight="1">
      <c r="AD11263" s="794"/>
    </row>
    <row r="11264" spans="30:30" ht="15.75" customHeight="1">
      <c r="AD11264" s="794"/>
    </row>
    <row r="11265" spans="30:30" ht="15.75" customHeight="1">
      <c r="AD11265" s="794"/>
    </row>
    <row r="11266" spans="30:30" ht="15.75" customHeight="1">
      <c r="AD11266" s="794"/>
    </row>
    <row r="11267" spans="30:30" ht="15.75" customHeight="1">
      <c r="AD11267" s="794"/>
    </row>
    <row r="11268" spans="30:30" ht="15.75" customHeight="1">
      <c r="AD11268" s="794"/>
    </row>
    <row r="11269" spans="30:30" ht="15.75" customHeight="1">
      <c r="AD11269" s="794"/>
    </row>
    <row r="11270" spans="30:30" ht="15.75" customHeight="1">
      <c r="AD11270" s="794"/>
    </row>
    <row r="11271" spans="30:30" ht="15.75" customHeight="1">
      <c r="AD11271" s="794"/>
    </row>
    <row r="11272" spans="30:30" ht="15.75" customHeight="1">
      <c r="AD11272" s="794"/>
    </row>
    <row r="11273" spans="30:30" ht="15.75" customHeight="1">
      <c r="AD11273" s="794"/>
    </row>
    <row r="11274" spans="30:30" ht="15.75" customHeight="1">
      <c r="AD11274" s="794"/>
    </row>
    <row r="11275" spans="30:30" ht="15.75" customHeight="1">
      <c r="AD11275" s="794"/>
    </row>
    <row r="11276" spans="30:30" ht="15.75" customHeight="1">
      <c r="AD11276" s="794"/>
    </row>
    <row r="11277" spans="30:30" ht="15.75" customHeight="1">
      <c r="AD11277" s="794"/>
    </row>
    <row r="11278" spans="30:30" ht="15.75" customHeight="1">
      <c r="AD11278" s="794"/>
    </row>
    <row r="11279" spans="30:30" ht="15.75" customHeight="1">
      <c r="AD11279" s="794"/>
    </row>
    <row r="11280" spans="30:30" ht="15.75" customHeight="1">
      <c r="AD11280" s="794"/>
    </row>
    <row r="11281" spans="30:30" ht="15.75" customHeight="1">
      <c r="AD11281" s="794"/>
    </row>
    <row r="11282" spans="30:30" ht="15.75" customHeight="1">
      <c r="AD11282" s="794"/>
    </row>
    <row r="11283" spans="30:30" ht="15.75" customHeight="1">
      <c r="AD11283" s="794"/>
    </row>
    <row r="11284" spans="30:30" ht="15.75" customHeight="1">
      <c r="AD11284" s="794"/>
    </row>
    <row r="11285" spans="30:30" ht="15.75" customHeight="1">
      <c r="AD11285" s="794"/>
    </row>
    <row r="11286" spans="30:30" ht="15.75" customHeight="1">
      <c r="AD11286" s="794"/>
    </row>
    <row r="11287" spans="30:30" ht="15.75" customHeight="1">
      <c r="AD11287" s="794"/>
    </row>
    <row r="11288" spans="30:30" ht="15.75" customHeight="1">
      <c r="AD11288" s="794"/>
    </row>
    <row r="11289" spans="30:30" ht="15.75" customHeight="1">
      <c r="AD11289" s="794"/>
    </row>
    <row r="11290" spans="30:30" ht="15.75" customHeight="1">
      <c r="AD11290" s="794"/>
    </row>
    <row r="11291" spans="30:30" ht="15.75" customHeight="1">
      <c r="AD11291" s="794"/>
    </row>
    <row r="11292" spans="30:30" ht="15.75" customHeight="1">
      <c r="AD11292" s="794"/>
    </row>
    <row r="11293" spans="30:30" ht="15.75" customHeight="1">
      <c r="AD11293" s="794"/>
    </row>
    <row r="11294" spans="30:30" ht="15.75" customHeight="1">
      <c r="AD11294" s="794"/>
    </row>
    <row r="11295" spans="30:30" ht="15.75" customHeight="1">
      <c r="AD11295" s="794"/>
    </row>
    <row r="11296" spans="30:30" ht="15.75" customHeight="1">
      <c r="AD11296" s="794"/>
    </row>
    <row r="11297" spans="30:30" ht="15.75" customHeight="1">
      <c r="AD11297" s="794"/>
    </row>
    <row r="11298" spans="30:30" ht="15.75" customHeight="1">
      <c r="AD11298" s="794"/>
    </row>
    <row r="11299" spans="30:30" ht="15.75" customHeight="1">
      <c r="AD11299" s="794"/>
    </row>
    <row r="11300" spans="30:30" ht="15.75" customHeight="1">
      <c r="AD11300" s="794"/>
    </row>
    <row r="11301" spans="30:30" ht="15.75" customHeight="1">
      <c r="AD11301" s="794"/>
    </row>
    <row r="11302" spans="30:30" ht="15.75" customHeight="1">
      <c r="AD11302" s="794"/>
    </row>
    <row r="11303" spans="30:30" ht="15.75" customHeight="1">
      <c r="AD11303" s="794"/>
    </row>
    <row r="11304" spans="30:30" ht="15.75" customHeight="1">
      <c r="AD11304" s="794"/>
    </row>
    <row r="11305" spans="30:30" ht="15.75" customHeight="1">
      <c r="AD11305" s="794"/>
    </row>
    <row r="11306" spans="30:30" ht="15.75" customHeight="1">
      <c r="AD11306" s="794"/>
    </row>
    <row r="11307" spans="30:30" ht="15.75" customHeight="1">
      <c r="AD11307" s="794"/>
    </row>
    <row r="11308" spans="30:30" ht="15.75" customHeight="1">
      <c r="AD11308" s="794"/>
    </row>
    <row r="11309" spans="30:30" ht="15.75" customHeight="1">
      <c r="AD11309" s="794"/>
    </row>
    <row r="11310" spans="30:30" ht="15.75" customHeight="1">
      <c r="AD11310" s="794"/>
    </row>
    <row r="11311" spans="30:30" ht="15.75" customHeight="1">
      <c r="AD11311" s="794"/>
    </row>
    <row r="11312" spans="30:30" ht="15.75" customHeight="1">
      <c r="AD11312" s="794"/>
    </row>
    <row r="11313" spans="30:30" ht="15.75" customHeight="1">
      <c r="AD11313" s="794"/>
    </row>
    <row r="11314" spans="30:30" ht="15.75" customHeight="1">
      <c r="AD11314" s="794"/>
    </row>
    <row r="11315" spans="30:30" ht="15.75" customHeight="1">
      <c r="AD11315" s="794"/>
    </row>
    <row r="11316" spans="30:30" ht="15.75" customHeight="1">
      <c r="AD11316" s="794"/>
    </row>
    <row r="11317" spans="30:30" ht="15.75" customHeight="1">
      <c r="AD11317" s="794"/>
    </row>
    <row r="11318" spans="30:30" ht="15.75" customHeight="1">
      <c r="AD11318" s="794"/>
    </row>
    <row r="11319" spans="30:30" ht="15.75" customHeight="1">
      <c r="AD11319" s="794"/>
    </row>
    <row r="11320" spans="30:30" ht="15.75" customHeight="1">
      <c r="AD11320" s="794"/>
    </row>
    <row r="11321" spans="30:30" ht="15.75" customHeight="1">
      <c r="AD11321" s="794"/>
    </row>
    <row r="11322" spans="30:30" ht="15.75" customHeight="1">
      <c r="AD11322" s="794"/>
    </row>
    <row r="11323" spans="30:30" ht="15.75" customHeight="1">
      <c r="AD11323" s="794"/>
    </row>
    <row r="11324" spans="30:30" ht="15.75" customHeight="1">
      <c r="AD11324" s="794"/>
    </row>
    <row r="11325" spans="30:30" ht="15.75" customHeight="1">
      <c r="AD11325" s="794"/>
    </row>
    <row r="11326" spans="30:30" ht="15.75" customHeight="1">
      <c r="AD11326" s="794"/>
    </row>
    <row r="11327" spans="30:30" ht="15.75" customHeight="1">
      <c r="AD11327" s="794"/>
    </row>
    <row r="11328" spans="30:30" ht="15.75" customHeight="1">
      <c r="AD11328" s="794"/>
    </row>
    <row r="11329" spans="30:30" ht="15.75" customHeight="1">
      <c r="AD11329" s="794"/>
    </row>
    <row r="11330" spans="30:30" ht="15.75" customHeight="1">
      <c r="AD11330" s="794"/>
    </row>
    <row r="11331" spans="30:30" ht="15.75" customHeight="1">
      <c r="AD11331" s="794"/>
    </row>
    <row r="11332" spans="30:30" ht="15.75" customHeight="1">
      <c r="AD11332" s="794"/>
    </row>
    <row r="11333" spans="30:30" ht="15.75" customHeight="1">
      <c r="AD11333" s="794"/>
    </row>
    <row r="11334" spans="30:30" ht="15.75" customHeight="1">
      <c r="AD11334" s="794"/>
    </row>
    <row r="11335" spans="30:30" ht="15.75" customHeight="1">
      <c r="AD11335" s="794"/>
    </row>
    <row r="11336" spans="30:30" ht="15.75" customHeight="1">
      <c r="AD11336" s="794"/>
    </row>
    <row r="11337" spans="30:30" ht="15.75" customHeight="1">
      <c r="AD11337" s="794"/>
    </row>
    <row r="11338" spans="30:30" ht="15.75" customHeight="1">
      <c r="AD11338" s="794"/>
    </row>
    <row r="11339" spans="30:30" ht="15.75" customHeight="1">
      <c r="AD11339" s="794"/>
    </row>
    <row r="11340" spans="30:30" ht="15.75" customHeight="1">
      <c r="AD11340" s="794"/>
    </row>
    <row r="11341" spans="30:30" ht="15.75" customHeight="1">
      <c r="AD11341" s="794"/>
    </row>
    <row r="11342" spans="30:30" ht="15.75" customHeight="1">
      <c r="AD11342" s="794"/>
    </row>
    <row r="11343" spans="30:30" ht="15.75" customHeight="1">
      <c r="AD11343" s="794"/>
    </row>
    <row r="11344" spans="30:30" ht="15.75" customHeight="1">
      <c r="AD11344" s="794"/>
    </row>
    <row r="11345" spans="30:30" ht="15.75" customHeight="1">
      <c r="AD11345" s="794"/>
    </row>
    <row r="11346" spans="30:30" ht="15.75" customHeight="1">
      <c r="AD11346" s="794"/>
    </row>
    <row r="11347" spans="30:30" ht="15.75" customHeight="1">
      <c r="AD11347" s="794"/>
    </row>
    <row r="11348" spans="30:30" ht="15.75" customHeight="1">
      <c r="AD11348" s="794"/>
    </row>
    <row r="11349" spans="30:30" ht="15.75" customHeight="1">
      <c r="AD11349" s="794"/>
    </row>
    <row r="11350" spans="30:30" ht="15.75" customHeight="1">
      <c r="AD11350" s="794"/>
    </row>
    <row r="11351" spans="30:30" ht="15.75" customHeight="1">
      <c r="AD11351" s="794"/>
    </row>
    <row r="11352" spans="30:30" ht="15.75" customHeight="1">
      <c r="AD11352" s="794"/>
    </row>
    <row r="11353" spans="30:30" ht="15.75" customHeight="1">
      <c r="AD11353" s="794"/>
    </row>
    <row r="11354" spans="30:30" ht="15.75" customHeight="1">
      <c r="AD11354" s="794"/>
    </row>
    <row r="11355" spans="30:30" ht="15.75" customHeight="1">
      <c r="AD11355" s="794"/>
    </row>
    <row r="11356" spans="30:30" ht="15.75" customHeight="1">
      <c r="AD11356" s="794"/>
    </row>
    <row r="11357" spans="30:30" ht="15.75" customHeight="1">
      <c r="AD11357" s="794"/>
    </row>
    <row r="11358" spans="30:30" ht="15.75" customHeight="1">
      <c r="AD11358" s="794"/>
    </row>
    <row r="11359" spans="30:30" ht="15.75" customHeight="1">
      <c r="AD11359" s="794"/>
    </row>
    <row r="11360" spans="30:30" ht="15.75" customHeight="1">
      <c r="AD11360" s="794"/>
    </row>
    <row r="11361" spans="30:30" ht="15.75" customHeight="1">
      <c r="AD11361" s="794"/>
    </row>
    <row r="11362" spans="30:30" ht="15.75" customHeight="1">
      <c r="AD11362" s="794"/>
    </row>
    <row r="11363" spans="30:30" ht="15.75" customHeight="1">
      <c r="AD11363" s="794"/>
    </row>
    <row r="11364" spans="30:30" ht="15.75" customHeight="1">
      <c r="AD11364" s="794"/>
    </row>
    <row r="11365" spans="30:30" ht="15.75" customHeight="1">
      <c r="AD11365" s="794"/>
    </row>
    <row r="11366" spans="30:30" ht="15.75" customHeight="1">
      <c r="AD11366" s="794"/>
    </row>
    <row r="11367" spans="30:30" ht="15.75" customHeight="1">
      <c r="AD11367" s="794"/>
    </row>
    <row r="11368" spans="30:30" ht="15.75" customHeight="1">
      <c r="AD11368" s="794"/>
    </row>
    <row r="11369" spans="30:30" ht="15.75" customHeight="1">
      <c r="AD11369" s="794"/>
    </row>
    <row r="11370" spans="30:30" ht="15.75" customHeight="1">
      <c r="AD11370" s="794"/>
    </row>
    <row r="11371" spans="30:30" ht="15.75" customHeight="1">
      <c r="AD11371" s="794"/>
    </row>
    <row r="11372" spans="30:30" ht="15.75" customHeight="1">
      <c r="AD11372" s="794"/>
    </row>
    <row r="11373" spans="30:30" ht="15.75" customHeight="1">
      <c r="AD11373" s="794"/>
    </row>
    <row r="11374" spans="30:30" ht="15.75" customHeight="1">
      <c r="AD11374" s="794"/>
    </row>
    <row r="11375" spans="30:30" ht="15.75" customHeight="1">
      <c r="AD11375" s="794"/>
    </row>
    <row r="11376" spans="30:30" ht="15.75" customHeight="1">
      <c r="AD11376" s="794"/>
    </row>
    <row r="11377" spans="30:30" ht="15.75" customHeight="1">
      <c r="AD11377" s="794"/>
    </row>
    <row r="11378" spans="30:30" ht="15.75" customHeight="1">
      <c r="AD11378" s="794"/>
    </row>
    <row r="11379" spans="30:30" ht="15.75" customHeight="1">
      <c r="AD11379" s="794"/>
    </row>
    <row r="11380" spans="30:30" ht="15.75" customHeight="1">
      <c r="AD11380" s="794"/>
    </row>
    <row r="11381" spans="30:30" ht="15.75" customHeight="1">
      <c r="AD11381" s="794"/>
    </row>
    <row r="11382" spans="30:30" ht="15.75" customHeight="1">
      <c r="AD11382" s="794"/>
    </row>
    <row r="11383" spans="30:30" ht="15.75" customHeight="1">
      <c r="AD11383" s="794"/>
    </row>
    <row r="11384" spans="30:30" ht="15.75" customHeight="1">
      <c r="AD11384" s="794"/>
    </row>
    <row r="11385" spans="30:30" ht="15.75" customHeight="1">
      <c r="AD11385" s="794"/>
    </row>
    <row r="11386" spans="30:30" ht="15.75" customHeight="1">
      <c r="AD11386" s="794"/>
    </row>
    <row r="11387" spans="30:30" ht="15.75" customHeight="1">
      <c r="AD11387" s="794"/>
    </row>
    <row r="11388" spans="30:30" ht="15.75" customHeight="1">
      <c r="AD11388" s="794"/>
    </row>
    <row r="11389" spans="30:30" ht="15.75" customHeight="1">
      <c r="AD11389" s="794"/>
    </row>
    <row r="11390" spans="30:30" ht="15.75" customHeight="1">
      <c r="AD11390" s="794"/>
    </row>
    <row r="11391" spans="30:30" ht="15.75" customHeight="1">
      <c r="AD11391" s="794"/>
    </row>
    <row r="11392" spans="30:30" ht="15.75" customHeight="1">
      <c r="AD11392" s="794"/>
    </row>
    <row r="11393" spans="30:30" ht="15.75" customHeight="1">
      <c r="AD11393" s="794"/>
    </row>
    <row r="11394" spans="30:30" ht="15.75" customHeight="1">
      <c r="AD11394" s="794"/>
    </row>
    <row r="11395" spans="30:30" ht="15.75" customHeight="1">
      <c r="AD11395" s="794"/>
    </row>
    <row r="11396" spans="30:30" ht="15.75" customHeight="1">
      <c r="AD11396" s="794"/>
    </row>
    <row r="11397" spans="30:30" ht="15.75" customHeight="1">
      <c r="AD11397" s="794"/>
    </row>
    <row r="11398" spans="30:30" ht="15.75" customHeight="1">
      <c r="AD11398" s="794"/>
    </row>
    <row r="11399" spans="30:30" ht="15.75" customHeight="1">
      <c r="AD11399" s="794"/>
    </row>
    <row r="11400" spans="30:30" ht="15.75" customHeight="1">
      <c r="AD11400" s="794"/>
    </row>
    <row r="11401" spans="30:30" ht="15.75" customHeight="1">
      <c r="AD11401" s="794"/>
    </row>
    <row r="11402" spans="30:30" ht="15.75" customHeight="1">
      <c r="AD11402" s="794"/>
    </row>
    <row r="11403" spans="30:30" ht="15.75" customHeight="1">
      <c r="AD11403" s="794"/>
    </row>
    <row r="11404" spans="30:30" ht="15.75" customHeight="1">
      <c r="AD11404" s="794"/>
    </row>
    <row r="11405" spans="30:30" ht="15.75" customHeight="1">
      <c r="AD11405" s="794"/>
    </row>
    <row r="11406" spans="30:30" ht="15.75" customHeight="1">
      <c r="AD11406" s="794"/>
    </row>
    <row r="11407" spans="30:30" ht="15.75" customHeight="1">
      <c r="AD11407" s="794"/>
    </row>
    <row r="11408" spans="30:30" ht="15.75" customHeight="1">
      <c r="AD11408" s="794"/>
    </row>
    <row r="11409" spans="30:30" ht="15.75" customHeight="1">
      <c r="AD11409" s="794"/>
    </row>
    <row r="11410" spans="30:30" ht="15.75" customHeight="1">
      <c r="AD11410" s="794"/>
    </row>
    <row r="11411" spans="30:30" ht="15.75" customHeight="1">
      <c r="AD11411" s="794"/>
    </row>
    <row r="11412" spans="30:30" ht="15.75" customHeight="1">
      <c r="AD11412" s="794"/>
    </row>
    <row r="11413" spans="30:30" ht="15.75" customHeight="1">
      <c r="AD11413" s="794"/>
    </row>
    <row r="11414" spans="30:30" ht="15.75" customHeight="1">
      <c r="AD11414" s="794"/>
    </row>
    <row r="11415" spans="30:30" ht="15.75" customHeight="1">
      <c r="AD11415" s="794"/>
    </row>
    <row r="11416" spans="30:30" ht="15.75" customHeight="1">
      <c r="AD11416" s="794"/>
    </row>
    <row r="11417" spans="30:30" ht="15.75" customHeight="1">
      <c r="AD11417" s="794"/>
    </row>
    <row r="11418" spans="30:30" ht="15.75" customHeight="1">
      <c r="AD11418" s="794"/>
    </row>
    <row r="11419" spans="30:30" ht="15.75" customHeight="1">
      <c r="AD11419" s="794"/>
    </row>
    <row r="11420" spans="30:30" ht="15.75" customHeight="1">
      <c r="AD11420" s="794"/>
    </row>
    <row r="11421" spans="30:30" ht="15.75" customHeight="1">
      <c r="AD11421" s="794"/>
    </row>
    <row r="11422" spans="30:30" ht="15.75" customHeight="1">
      <c r="AD11422" s="794"/>
    </row>
    <row r="11423" spans="30:30" ht="15.75" customHeight="1">
      <c r="AD11423" s="794"/>
    </row>
    <row r="11424" spans="30:30" ht="15.75" customHeight="1">
      <c r="AD11424" s="794"/>
    </row>
    <row r="11425" spans="30:30" ht="15.75" customHeight="1">
      <c r="AD11425" s="794"/>
    </row>
    <row r="11426" spans="30:30" ht="15.75" customHeight="1">
      <c r="AD11426" s="794"/>
    </row>
    <row r="11427" spans="30:30" ht="15.75" customHeight="1">
      <c r="AD11427" s="794"/>
    </row>
    <row r="11428" spans="30:30" ht="15.75" customHeight="1">
      <c r="AD11428" s="794"/>
    </row>
    <row r="11429" spans="30:30" ht="15.75" customHeight="1">
      <c r="AD11429" s="794"/>
    </row>
    <row r="11430" spans="30:30" ht="15.75" customHeight="1">
      <c r="AD11430" s="794"/>
    </row>
    <row r="11431" spans="30:30" ht="15.75" customHeight="1">
      <c r="AD11431" s="794"/>
    </row>
    <row r="11432" spans="30:30" ht="15.75" customHeight="1">
      <c r="AD11432" s="794"/>
    </row>
    <row r="11433" spans="30:30" ht="15.75" customHeight="1">
      <c r="AD11433" s="794"/>
    </row>
    <row r="11434" spans="30:30" ht="15.75" customHeight="1">
      <c r="AD11434" s="794"/>
    </row>
    <row r="11435" spans="30:30" ht="15.75" customHeight="1">
      <c r="AD11435" s="794"/>
    </row>
    <row r="11436" spans="30:30" ht="15.75" customHeight="1">
      <c r="AD11436" s="794"/>
    </row>
    <row r="11437" spans="30:30" ht="15.75" customHeight="1">
      <c r="AD11437" s="794"/>
    </row>
    <row r="11438" spans="30:30" ht="15.75" customHeight="1">
      <c r="AD11438" s="794"/>
    </row>
    <row r="11439" spans="30:30" ht="15.75" customHeight="1">
      <c r="AD11439" s="794"/>
    </row>
    <row r="11440" spans="30:30" ht="15.75" customHeight="1">
      <c r="AD11440" s="794"/>
    </row>
    <row r="11441" spans="30:30" ht="15.75" customHeight="1">
      <c r="AD11441" s="794"/>
    </row>
    <row r="11442" spans="30:30" ht="15.75" customHeight="1">
      <c r="AD11442" s="794"/>
    </row>
    <row r="11443" spans="30:30" ht="15.75" customHeight="1">
      <c r="AD11443" s="794"/>
    </row>
    <row r="11444" spans="30:30" ht="15.75" customHeight="1">
      <c r="AD11444" s="794"/>
    </row>
    <row r="11445" spans="30:30" ht="15.75" customHeight="1">
      <c r="AD11445" s="794"/>
    </row>
    <row r="11446" spans="30:30" ht="15.75" customHeight="1">
      <c r="AD11446" s="794"/>
    </row>
    <row r="11447" spans="30:30" ht="15.75" customHeight="1">
      <c r="AD11447" s="794"/>
    </row>
    <row r="11448" spans="30:30" ht="15.75" customHeight="1">
      <c r="AD11448" s="794"/>
    </row>
    <row r="11449" spans="30:30" ht="15.75" customHeight="1">
      <c r="AD11449" s="794"/>
    </row>
    <row r="11450" spans="30:30" ht="15.75" customHeight="1">
      <c r="AD11450" s="794"/>
    </row>
    <row r="11451" spans="30:30" ht="15.75" customHeight="1">
      <c r="AD11451" s="794"/>
    </row>
    <row r="11452" spans="30:30" ht="15.75" customHeight="1">
      <c r="AD11452" s="794"/>
    </row>
    <row r="11453" spans="30:30" ht="15.75" customHeight="1">
      <c r="AD11453" s="794"/>
    </row>
    <row r="11454" spans="30:30" ht="15.75" customHeight="1">
      <c r="AD11454" s="794"/>
    </row>
    <row r="11455" spans="30:30" ht="15.75" customHeight="1">
      <c r="AD11455" s="794"/>
    </row>
    <row r="11456" spans="30:30" ht="15.75" customHeight="1">
      <c r="AD11456" s="794"/>
    </row>
    <row r="11457" spans="30:30" ht="15.75" customHeight="1">
      <c r="AD11457" s="794"/>
    </row>
    <row r="11458" spans="30:30" ht="15.75" customHeight="1">
      <c r="AD11458" s="794"/>
    </row>
    <row r="11459" spans="30:30" ht="15.75" customHeight="1">
      <c r="AD11459" s="794"/>
    </row>
    <row r="11460" spans="30:30" ht="15.75" customHeight="1">
      <c r="AD11460" s="794"/>
    </row>
    <row r="11461" spans="30:30" ht="15.75" customHeight="1">
      <c r="AD11461" s="794"/>
    </row>
    <row r="11462" spans="30:30" ht="15.75" customHeight="1">
      <c r="AD11462" s="794"/>
    </row>
    <row r="11463" spans="30:30" ht="15.75" customHeight="1">
      <c r="AD11463" s="794"/>
    </row>
    <row r="11464" spans="30:30" ht="15.75" customHeight="1">
      <c r="AD11464" s="794"/>
    </row>
    <row r="11465" spans="30:30" ht="15.75" customHeight="1">
      <c r="AD11465" s="794"/>
    </row>
    <row r="11466" spans="30:30" ht="15.75" customHeight="1">
      <c r="AD11466" s="794"/>
    </row>
    <row r="11467" spans="30:30" ht="15.75" customHeight="1">
      <c r="AD11467" s="794"/>
    </row>
    <row r="11468" spans="30:30" ht="15.75" customHeight="1">
      <c r="AD11468" s="794"/>
    </row>
    <row r="11469" spans="30:30" ht="15.75" customHeight="1">
      <c r="AD11469" s="794"/>
    </row>
    <row r="11470" spans="30:30" ht="15.75" customHeight="1">
      <c r="AD11470" s="794"/>
    </row>
    <row r="11471" spans="30:30" ht="15.75" customHeight="1">
      <c r="AD11471" s="794"/>
    </row>
    <row r="11472" spans="30:30" ht="15.75" customHeight="1">
      <c r="AD11472" s="794"/>
    </row>
    <row r="11473" spans="30:30" ht="15.75" customHeight="1">
      <c r="AD11473" s="794"/>
    </row>
    <row r="11474" spans="30:30" ht="15.75" customHeight="1">
      <c r="AD11474" s="794"/>
    </row>
    <row r="11475" spans="30:30" ht="15.75" customHeight="1">
      <c r="AD11475" s="794"/>
    </row>
    <row r="11476" spans="30:30" ht="15.75" customHeight="1">
      <c r="AD11476" s="794"/>
    </row>
    <row r="11477" spans="30:30" ht="15.75" customHeight="1">
      <c r="AD11477" s="794"/>
    </row>
    <row r="11478" spans="30:30" ht="15.75" customHeight="1">
      <c r="AD11478" s="794"/>
    </row>
    <row r="11479" spans="30:30" ht="15.75" customHeight="1">
      <c r="AD11479" s="794"/>
    </row>
    <row r="11480" spans="30:30" ht="15.75" customHeight="1">
      <c r="AD11480" s="794"/>
    </row>
    <row r="11481" spans="30:30" ht="15.75" customHeight="1">
      <c r="AD11481" s="794"/>
    </row>
    <row r="11482" spans="30:30" ht="15.75" customHeight="1">
      <c r="AD11482" s="794"/>
    </row>
    <row r="11483" spans="30:30" ht="15.75" customHeight="1">
      <c r="AD11483" s="794"/>
    </row>
    <row r="11484" spans="30:30" ht="15.75" customHeight="1">
      <c r="AD11484" s="794"/>
    </row>
    <row r="11485" spans="30:30" ht="15.75" customHeight="1">
      <c r="AD11485" s="794"/>
    </row>
    <row r="11486" spans="30:30" ht="15.75" customHeight="1">
      <c r="AD11486" s="794"/>
    </row>
    <row r="11487" spans="30:30" ht="15.75" customHeight="1">
      <c r="AD11487" s="794"/>
    </row>
    <row r="11488" spans="30:30" ht="15.75" customHeight="1">
      <c r="AD11488" s="794"/>
    </row>
    <row r="11489" spans="30:30" ht="15.75" customHeight="1">
      <c r="AD11489" s="794"/>
    </row>
    <row r="11490" spans="30:30" ht="15.75" customHeight="1">
      <c r="AD11490" s="794"/>
    </row>
    <row r="11491" spans="30:30" ht="15.75" customHeight="1">
      <c r="AD11491" s="794"/>
    </row>
    <row r="11492" spans="30:30" ht="15.75" customHeight="1">
      <c r="AD11492" s="794"/>
    </row>
    <row r="11493" spans="30:30" ht="15.75" customHeight="1">
      <c r="AD11493" s="794"/>
    </row>
    <row r="11494" spans="30:30" ht="15.75" customHeight="1">
      <c r="AD11494" s="794"/>
    </row>
    <row r="11495" spans="30:30" ht="15.75" customHeight="1">
      <c r="AD11495" s="794"/>
    </row>
    <row r="11496" spans="30:30" ht="15.75" customHeight="1">
      <c r="AD11496" s="794"/>
    </row>
    <row r="11497" spans="30:30" ht="15.75" customHeight="1">
      <c r="AD11497" s="794"/>
    </row>
    <row r="11498" spans="30:30" ht="15.75" customHeight="1">
      <c r="AD11498" s="794"/>
    </row>
    <row r="11499" spans="30:30" ht="15.75" customHeight="1">
      <c r="AD11499" s="794"/>
    </row>
    <row r="11500" spans="30:30" ht="15.75" customHeight="1">
      <c r="AD11500" s="794"/>
    </row>
    <row r="11501" spans="30:30" ht="15.75" customHeight="1">
      <c r="AD11501" s="794"/>
    </row>
    <row r="11502" spans="30:30" ht="15.75" customHeight="1">
      <c r="AD11502" s="794"/>
    </row>
    <row r="11503" spans="30:30" ht="15.75" customHeight="1">
      <c r="AD11503" s="794"/>
    </row>
    <row r="11504" spans="30:30" ht="15.75" customHeight="1">
      <c r="AD11504" s="794"/>
    </row>
    <row r="11505" spans="30:30" ht="15.75" customHeight="1">
      <c r="AD11505" s="794"/>
    </row>
    <row r="11506" spans="30:30" ht="15.75" customHeight="1">
      <c r="AD11506" s="794"/>
    </row>
    <row r="11507" spans="30:30" ht="15.75" customHeight="1">
      <c r="AD11507" s="794"/>
    </row>
    <row r="11508" spans="30:30" ht="15.75" customHeight="1">
      <c r="AD11508" s="794"/>
    </row>
    <row r="11509" spans="30:30" ht="15.75" customHeight="1">
      <c r="AD11509" s="794"/>
    </row>
    <row r="11510" spans="30:30" ht="15.75" customHeight="1">
      <c r="AD11510" s="794"/>
    </row>
    <row r="11511" spans="30:30" ht="15.75" customHeight="1">
      <c r="AD11511" s="794"/>
    </row>
    <row r="11512" spans="30:30" ht="15.75" customHeight="1">
      <c r="AD11512" s="794"/>
    </row>
    <row r="11513" spans="30:30" ht="15.75" customHeight="1">
      <c r="AD11513" s="794"/>
    </row>
    <row r="11514" spans="30:30" ht="15.75" customHeight="1">
      <c r="AD11514" s="794"/>
    </row>
    <row r="11515" spans="30:30" ht="15.75" customHeight="1">
      <c r="AD11515" s="794"/>
    </row>
    <row r="11516" spans="30:30" ht="15.75" customHeight="1">
      <c r="AD11516" s="794"/>
    </row>
    <row r="11517" spans="30:30" ht="15.75" customHeight="1">
      <c r="AD11517" s="794"/>
    </row>
    <row r="11518" spans="30:30" ht="15.75" customHeight="1">
      <c r="AD11518" s="794"/>
    </row>
    <row r="11519" spans="30:30" ht="15.75" customHeight="1">
      <c r="AD11519" s="794"/>
    </row>
    <row r="11520" spans="30:30" ht="15.75" customHeight="1">
      <c r="AD11520" s="794"/>
    </row>
    <row r="11521" spans="30:30" ht="15.75" customHeight="1">
      <c r="AD11521" s="794"/>
    </row>
    <row r="11522" spans="30:30" ht="15.75" customHeight="1">
      <c r="AD11522" s="794"/>
    </row>
    <row r="11523" spans="30:30" ht="15.75" customHeight="1">
      <c r="AD11523" s="794"/>
    </row>
    <row r="11524" spans="30:30" ht="15.75" customHeight="1">
      <c r="AD11524" s="794"/>
    </row>
    <row r="11525" spans="30:30" ht="15.75" customHeight="1">
      <c r="AD11525" s="794"/>
    </row>
    <row r="11526" spans="30:30" ht="15.75" customHeight="1">
      <c r="AD11526" s="794"/>
    </row>
    <row r="11527" spans="30:30" ht="15.75" customHeight="1">
      <c r="AD11527" s="794"/>
    </row>
    <row r="11528" spans="30:30" ht="15.75" customHeight="1">
      <c r="AD11528" s="794"/>
    </row>
    <row r="11529" spans="30:30" ht="15.75" customHeight="1">
      <c r="AD11529" s="794"/>
    </row>
    <row r="11530" spans="30:30" ht="15.75" customHeight="1">
      <c r="AD11530" s="794"/>
    </row>
    <row r="11531" spans="30:30" ht="15.75" customHeight="1">
      <c r="AD11531" s="794"/>
    </row>
    <row r="11532" spans="30:30" ht="15.75" customHeight="1">
      <c r="AD11532" s="794"/>
    </row>
    <row r="11533" spans="30:30" ht="15.75" customHeight="1">
      <c r="AD11533" s="794"/>
    </row>
    <row r="11534" spans="30:30" ht="15.75" customHeight="1">
      <c r="AD11534" s="794"/>
    </row>
    <row r="11535" spans="30:30" ht="15.75" customHeight="1">
      <c r="AD11535" s="794"/>
    </row>
    <row r="11536" spans="30:30" ht="15.75" customHeight="1">
      <c r="AD11536" s="794"/>
    </row>
    <row r="11537" spans="30:30" ht="15.75" customHeight="1">
      <c r="AD11537" s="794"/>
    </row>
    <row r="11538" spans="30:30" ht="15.75" customHeight="1">
      <c r="AD11538" s="794"/>
    </row>
    <row r="11539" spans="30:30" ht="15.75" customHeight="1">
      <c r="AD11539" s="794"/>
    </row>
    <row r="11540" spans="30:30" ht="15.75" customHeight="1">
      <c r="AD11540" s="794"/>
    </row>
    <row r="11541" spans="30:30" ht="15.75" customHeight="1">
      <c r="AD11541" s="794"/>
    </row>
    <row r="11542" spans="30:30" ht="15.75" customHeight="1">
      <c r="AD11542" s="794"/>
    </row>
    <row r="11543" spans="30:30" ht="15.75" customHeight="1">
      <c r="AD11543" s="794"/>
    </row>
    <row r="11544" spans="30:30" ht="15.75" customHeight="1">
      <c r="AD11544" s="794"/>
    </row>
    <row r="11545" spans="30:30" ht="15.75" customHeight="1">
      <c r="AD11545" s="794"/>
    </row>
    <row r="11546" spans="30:30" ht="15.75" customHeight="1">
      <c r="AD11546" s="794"/>
    </row>
    <row r="11547" spans="30:30" ht="15.75" customHeight="1">
      <c r="AD11547" s="794"/>
    </row>
    <row r="11548" spans="30:30" ht="15.75" customHeight="1">
      <c r="AD11548" s="794"/>
    </row>
    <row r="11549" spans="30:30" ht="15.75" customHeight="1">
      <c r="AD11549" s="794"/>
    </row>
    <row r="11550" spans="30:30" ht="15.75" customHeight="1">
      <c r="AD11550" s="794"/>
    </row>
    <row r="11551" spans="30:30" ht="15.75" customHeight="1">
      <c r="AD11551" s="794"/>
    </row>
    <row r="11552" spans="30:30" ht="15.75" customHeight="1">
      <c r="AD11552" s="794"/>
    </row>
    <row r="11553" spans="30:30" ht="15.75" customHeight="1">
      <c r="AD11553" s="794"/>
    </row>
    <row r="11554" spans="30:30" ht="15.75" customHeight="1">
      <c r="AD11554" s="794"/>
    </row>
    <row r="11555" spans="30:30" ht="15.75" customHeight="1">
      <c r="AD11555" s="794"/>
    </row>
    <row r="11556" spans="30:30" ht="15.75" customHeight="1">
      <c r="AD11556" s="794"/>
    </row>
    <row r="11557" spans="30:30" ht="15.75" customHeight="1">
      <c r="AD11557" s="794"/>
    </row>
    <row r="11558" spans="30:30" ht="15.75" customHeight="1">
      <c r="AD11558" s="794"/>
    </row>
    <row r="11559" spans="30:30" ht="15.75" customHeight="1">
      <c r="AD11559" s="794"/>
    </row>
    <row r="11560" spans="30:30" ht="15.75" customHeight="1">
      <c r="AD11560" s="794"/>
    </row>
    <row r="11561" spans="30:30" ht="15.75" customHeight="1">
      <c r="AD11561" s="794"/>
    </row>
    <row r="11562" spans="30:30" ht="15.75" customHeight="1">
      <c r="AD11562" s="794"/>
    </row>
    <row r="11563" spans="30:30" ht="15.75" customHeight="1">
      <c r="AD11563" s="794"/>
    </row>
    <row r="11564" spans="30:30" ht="15.75" customHeight="1">
      <c r="AD11564" s="794"/>
    </row>
    <row r="11565" spans="30:30" ht="15.75" customHeight="1">
      <c r="AD11565" s="794"/>
    </row>
    <row r="11566" spans="30:30" ht="15.75" customHeight="1">
      <c r="AD11566" s="794"/>
    </row>
    <row r="11567" spans="30:30" ht="15.75" customHeight="1">
      <c r="AD11567" s="794"/>
    </row>
    <row r="11568" spans="30:30" ht="15.75" customHeight="1">
      <c r="AD11568" s="794"/>
    </row>
    <row r="11569" spans="30:30" ht="15.75" customHeight="1">
      <c r="AD11569" s="794"/>
    </row>
    <row r="11570" spans="30:30" ht="15.75" customHeight="1">
      <c r="AD11570" s="794"/>
    </row>
    <row r="11571" spans="30:30" ht="15.75" customHeight="1">
      <c r="AD11571" s="794"/>
    </row>
    <row r="11572" spans="30:30" ht="15.75" customHeight="1">
      <c r="AD11572" s="794"/>
    </row>
    <row r="11573" spans="30:30" ht="15.75" customHeight="1">
      <c r="AD11573" s="794"/>
    </row>
    <row r="11574" spans="30:30" ht="15.75" customHeight="1">
      <c r="AD11574" s="794"/>
    </row>
    <row r="11575" spans="30:30" ht="15.75" customHeight="1">
      <c r="AD11575" s="794"/>
    </row>
    <row r="11576" spans="30:30" ht="15.75" customHeight="1">
      <c r="AD11576" s="794"/>
    </row>
    <row r="11577" spans="30:30" ht="15.75" customHeight="1">
      <c r="AD11577" s="794"/>
    </row>
    <row r="11578" spans="30:30" ht="15.75" customHeight="1">
      <c r="AD11578" s="794"/>
    </row>
    <row r="11579" spans="30:30" ht="15.75" customHeight="1">
      <c r="AD11579" s="794"/>
    </row>
    <row r="11580" spans="30:30" ht="15.75" customHeight="1">
      <c r="AD11580" s="794"/>
    </row>
    <row r="11581" spans="30:30" ht="15.75" customHeight="1">
      <c r="AD11581" s="794"/>
    </row>
    <row r="11582" spans="30:30" ht="15.75" customHeight="1">
      <c r="AD11582" s="794"/>
    </row>
    <row r="11583" spans="30:30" ht="15.75" customHeight="1">
      <c r="AD11583" s="794"/>
    </row>
    <row r="11584" spans="30:30" ht="15.75" customHeight="1">
      <c r="AD11584" s="794"/>
    </row>
    <row r="11585" spans="30:30" ht="15.75" customHeight="1">
      <c r="AD11585" s="794"/>
    </row>
    <row r="11586" spans="30:30" ht="15.75" customHeight="1">
      <c r="AD11586" s="794"/>
    </row>
    <row r="11587" spans="30:30" ht="15.75" customHeight="1">
      <c r="AD11587" s="794"/>
    </row>
    <row r="11588" spans="30:30" ht="15.75" customHeight="1">
      <c r="AD11588" s="794"/>
    </row>
    <row r="11589" spans="30:30" ht="15.75" customHeight="1">
      <c r="AD11589" s="794"/>
    </row>
    <row r="11590" spans="30:30" ht="15.75" customHeight="1">
      <c r="AD11590" s="794"/>
    </row>
    <row r="11591" spans="30:30" ht="15.75" customHeight="1">
      <c r="AD11591" s="794"/>
    </row>
    <row r="11592" spans="30:30" ht="15.75" customHeight="1">
      <c r="AD11592" s="794"/>
    </row>
    <row r="11593" spans="30:30" ht="15.75" customHeight="1">
      <c r="AD11593" s="794"/>
    </row>
    <row r="11594" spans="30:30" ht="15.75" customHeight="1">
      <c r="AD11594" s="794"/>
    </row>
    <row r="11595" spans="30:30" ht="15.75" customHeight="1">
      <c r="AD11595" s="794"/>
    </row>
    <row r="11596" spans="30:30" ht="15.75" customHeight="1">
      <c r="AD11596" s="794"/>
    </row>
    <row r="11597" spans="30:30" ht="15.75" customHeight="1">
      <c r="AD11597" s="794"/>
    </row>
    <row r="11598" spans="30:30" ht="15.75" customHeight="1">
      <c r="AD11598" s="794"/>
    </row>
    <row r="11599" spans="30:30" ht="15.75" customHeight="1">
      <c r="AD11599" s="794"/>
    </row>
    <row r="11600" spans="30:30" ht="15.75" customHeight="1">
      <c r="AD11600" s="794"/>
    </row>
    <row r="11601" spans="30:30" ht="15.75" customHeight="1">
      <c r="AD11601" s="794"/>
    </row>
    <row r="11602" spans="30:30" ht="15.75" customHeight="1">
      <c r="AD11602" s="794"/>
    </row>
    <row r="11603" spans="30:30" ht="15.75" customHeight="1">
      <c r="AD11603" s="794"/>
    </row>
    <row r="11604" spans="30:30" ht="15.75" customHeight="1">
      <c r="AD11604" s="794"/>
    </row>
    <row r="11605" spans="30:30" ht="15.75" customHeight="1">
      <c r="AD11605" s="794"/>
    </row>
    <row r="11606" spans="30:30" ht="15.75" customHeight="1">
      <c r="AD11606" s="794"/>
    </row>
    <row r="11607" spans="30:30" ht="15.75" customHeight="1">
      <c r="AD11607" s="794"/>
    </row>
    <row r="11608" spans="30:30" ht="15.75" customHeight="1">
      <c r="AD11608" s="794"/>
    </row>
    <row r="11609" spans="30:30" ht="15.75" customHeight="1">
      <c r="AD11609" s="794"/>
    </row>
    <row r="11610" spans="30:30" ht="15.75" customHeight="1">
      <c r="AD11610" s="794"/>
    </row>
    <row r="11611" spans="30:30" ht="15.75" customHeight="1">
      <c r="AD11611" s="794"/>
    </row>
    <row r="11612" spans="30:30" ht="15.75" customHeight="1">
      <c r="AD11612" s="794"/>
    </row>
    <row r="11613" spans="30:30" ht="15.75" customHeight="1">
      <c r="AD11613" s="794"/>
    </row>
    <row r="11614" spans="30:30" ht="15.75" customHeight="1">
      <c r="AD11614" s="794"/>
    </row>
    <row r="11615" spans="30:30" ht="15.75" customHeight="1">
      <c r="AD11615" s="794"/>
    </row>
    <row r="11616" spans="30:30" ht="15.75" customHeight="1">
      <c r="AD11616" s="794"/>
    </row>
    <row r="11617" spans="30:30" ht="15.75" customHeight="1">
      <c r="AD11617" s="794"/>
    </row>
    <row r="11618" spans="30:30" ht="15.75" customHeight="1">
      <c r="AD11618" s="794"/>
    </row>
    <row r="11619" spans="30:30" ht="15.75" customHeight="1">
      <c r="AD11619" s="794"/>
    </row>
    <row r="11620" spans="30:30" ht="15.75" customHeight="1">
      <c r="AD11620" s="794"/>
    </row>
    <row r="11621" spans="30:30" ht="15.75" customHeight="1">
      <c r="AD11621" s="794"/>
    </row>
    <row r="11622" spans="30:30" ht="15.75" customHeight="1">
      <c r="AD11622" s="794"/>
    </row>
    <row r="11623" spans="30:30" ht="15.75" customHeight="1">
      <c r="AD11623" s="794"/>
    </row>
    <row r="11624" spans="30:30" ht="15.75" customHeight="1">
      <c r="AD11624" s="794"/>
    </row>
    <row r="11625" spans="30:30" ht="15.75" customHeight="1">
      <c r="AD11625" s="794"/>
    </row>
    <row r="11626" spans="30:30" ht="15.75" customHeight="1">
      <c r="AD11626" s="794"/>
    </row>
    <row r="11627" spans="30:30" ht="15.75" customHeight="1">
      <c r="AD11627" s="794"/>
    </row>
    <row r="11628" spans="30:30" ht="15.75" customHeight="1">
      <c r="AD11628" s="794"/>
    </row>
    <row r="11629" spans="30:30" ht="15.75" customHeight="1">
      <c r="AD11629" s="794"/>
    </row>
    <row r="11630" spans="30:30" ht="15.75" customHeight="1">
      <c r="AD11630" s="794"/>
    </row>
    <row r="11631" spans="30:30" ht="15.75" customHeight="1">
      <c r="AD11631" s="794"/>
    </row>
    <row r="11632" spans="30:30" ht="15.75" customHeight="1">
      <c r="AD11632" s="794"/>
    </row>
    <row r="11633" spans="30:30" ht="15.75" customHeight="1">
      <c r="AD11633" s="794"/>
    </row>
    <row r="11634" spans="30:30" ht="15.75" customHeight="1">
      <c r="AD11634" s="794"/>
    </row>
    <row r="11635" spans="30:30" ht="15.75" customHeight="1">
      <c r="AD11635" s="794"/>
    </row>
    <row r="11636" spans="30:30" ht="15.75" customHeight="1">
      <c r="AD11636" s="794"/>
    </row>
    <row r="11637" spans="30:30" ht="15.75" customHeight="1">
      <c r="AD11637" s="794"/>
    </row>
    <row r="11638" spans="30:30" ht="15.75" customHeight="1">
      <c r="AD11638" s="794"/>
    </row>
    <row r="11639" spans="30:30" ht="15.75" customHeight="1">
      <c r="AD11639" s="794"/>
    </row>
    <row r="11640" spans="30:30" ht="15.75" customHeight="1">
      <c r="AD11640" s="794"/>
    </row>
    <row r="11641" spans="30:30" ht="15.75" customHeight="1">
      <c r="AD11641" s="794"/>
    </row>
    <row r="11642" spans="30:30" ht="15.75" customHeight="1">
      <c r="AD11642" s="794"/>
    </row>
    <row r="11643" spans="30:30" ht="15.75" customHeight="1">
      <c r="AD11643" s="794"/>
    </row>
    <row r="11644" spans="30:30" ht="15.75" customHeight="1">
      <c r="AD11644" s="794"/>
    </row>
    <row r="11645" spans="30:30" ht="15.75" customHeight="1">
      <c r="AD11645" s="794"/>
    </row>
    <row r="11646" spans="30:30" ht="15.75" customHeight="1">
      <c r="AD11646" s="794"/>
    </row>
    <row r="11647" spans="30:30" ht="15.75" customHeight="1">
      <c r="AD11647" s="794"/>
    </row>
    <row r="11648" spans="30:30" ht="15.75" customHeight="1">
      <c r="AD11648" s="794"/>
    </row>
    <row r="11649" spans="30:30" ht="15.75" customHeight="1">
      <c r="AD11649" s="794"/>
    </row>
    <row r="11650" spans="30:30" ht="15.75" customHeight="1">
      <c r="AD11650" s="794"/>
    </row>
    <row r="11651" spans="30:30" ht="15.75" customHeight="1">
      <c r="AD11651" s="794"/>
    </row>
    <row r="11652" spans="30:30" ht="15.75" customHeight="1">
      <c r="AD11652" s="794"/>
    </row>
    <row r="11653" spans="30:30" ht="15.75" customHeight="1">
      <c r="AD11653" s="794"/>
    </row>
    <row r="11654" spans="30:30" ht="15.75" customHeight="1">
      <c r="AD11654" s="794"/>
    </row>
    <row r="11655" spans="30:30" ht="15.75" customHeight="1">
      <c r="AD11655" s="794"/>
    </row>
    <row r="11656" spans="30:30" ht="15.75" customHeight="1">
      <c r="AD11656" s="794"/>
    </row>
    <row r="11657" spans="30:30" ht="15.75" customHeight="1">
      <c r="AD11657" s="794"/>
    </row>
    <row r="11658" spans="30:30" ht="15.75" customHeight="1">
      <c r="AD11658" s="794"/>
    </row>
    <row r="11659" spans="30:30" ht="15.75" customHeight="1">
      <c r="AD11659" s="794"/>
    </row>
    <row r="11660" spans="30:30" ht="15.75" customHeight="1">
      <c r="AD11660" s="794"/>
    </row>
    <row r="11661" spans="30:30" ht="15.75" customHeight="1">
      <c r="AD11661" s="794"/>
    </row>
    <row r="11662" spans="30:30" ht="15.75" customHeight="1">
      <c r="AD11662" s="794"/>
    </row>
    <row r="11663" spans="30:30" ht="15.75" customHeight="1">
      <c r="AD11663" s="794"/>
    </row>
    <row r="11664" spans="30:30" ht="15.75" customHeight="1">
      <c r="AD11664" s="794"/>
    </row>
    <row r="11665" spans="30:30" ht="15.75" customHeight="1">
      <c r="AD11665" s="794"/>
    </row>
    <row r="11666" spans="30:30" ht="15.75" customHeight="1">
      <c r="AD11666" s="794"/>
    </row>
    <row r="11667" spans="30:30" ht="15.75" customHeight="1">
      <c r="AD11667" s="794"/>
    </row>
    <row r="11668" spans="30:30" ht="15.75" customHeight="1">
      <c r="AD11668" s="794"/>
    </row>
    <row r="11669" spans="30:30" ht="15.75" customHeight="1">
      <c r="AD11669" s="794"/>
    </row>
    <row r="11670" spans="30:30" ht="15.75" customHeight="1">
      <c r="AD11670" s="794"/>
    </row>
    <row r="11671" spans="30:30" ht="15.75" customHeight="1">
      <c r="AD11671" s="794"/>
    </row>
    <row r="11672" spans="30:30" ht="15.75" customHeight="1">
      <c r="AD11672" s="794"/>
    </row>
    <row r="11673" spans="30:30" ht="15.75" customHeight="1">
      <c r="AD11673" s="794"/>
    </row>
    <row r="11674" spans="30:30" ht="15.75" customHeight="1">
      <c r="AD11674" s="794"/>
    </row>
    <row r="11675" spans="30:30" ht="15.75" customHeight="1">
      <c r="AD11675" s="794"/>
    </row>
    <row r="11676" spans="30:30" ht="15.75" customHeight="1">
      <c r="AD11676" s="794"/>
    </row>
    <row r="11677" spans="30:30" ht="15.75" customHeight="1">
      <c r="AD11677" s="794"/>
    </row>
    <row r="11678" spans="30:30" ht="15.75" customHeight="1">
      <c r="AD11678" s="794"/>
    </row>
    <row r="11679" spans="30:30" ht="15.75" customHeight="1">
      <c r="AD11679" s="794"/>
    </row>
    <row r="11680" spans="30:30" ht="15.75" customHeight="1">
      <c r="AD11680" s="794"/>
    </row>
    <row r="11681" spans="30:30" ht="15.75" customHeight="1">
      <c r="AD11681" s="794"/>
    </row>
    <row r="11682" spans="30:30" ht="15.75" customHeight="1">
      <c r="AD11682" s="794"/>
    </row>
    <row r="11683" spans="30:30" ht="15.75" customHeight="1">
      <c r="AD11683" s="794"/>
    </row>
    <row r="11684" spans="30:30" ht="15.75" customHeight="1">
      <c r="AD11684" s="794"/>
    </row>
    <row r="11685" spans="30:30" ht="15.75" customHeight="1">
      <c r="AD11685" s="794"/>
    </row>
    <row r="11686" spans="30:30" ht="15.75" customHeight="1">
      <c r="AD11686" s="794"/>
    </row>
    <row r="11687" spans="30:30" ht="15.75" customHeight="1">
      <c r="AD11687" s="794"/>
    </row>
    <row r="11688" spans="30:30" ht="15.75" customHeight="1">
      <c r="AD11688" s="794"/>
    </row>
    <row r="11689" spans="30:30" ht="15.75" customHeight="1">
      <c r="AD11689" s="794"/>
    </row>
    <row r="11690" spans="30:30" ht="15.75" customHeight="1">
      <c r="AD11690" s="794"/>
    </row>
    <row r="11691" spans="30:30" ht="15.75" customHeight="1">
      <c r="AD11691" s="794"/>
    </row>
    <row r="11692" spans="30:30" ht="15.75" customHeight="1">
      <c r="AD11692" s="794"/>
    </row>
    <row r="11693" spans="30:30" ht="15.75" customHeight="1">
      <c r="AD11693" s="794"/>
    </row>
    <row r="11694" spans="30:30" ht="15.75" customHeight="1">
      <c r="AD11694" s="794"/>
    </row>
    <row r="11695" spans="30:30" ht="15.75" customHeight="1">
      <c r="AD11695" s="794"/>
    </row>
    <row r="11696" spans="30:30" ht="15.75" customHeight="1">
      <c r="AD11696" s="794"/>
    </row>
    <row r="11697" spans="30:30" ht="15.75" customHeight="1">
      <c r="AD11697" s="794"/>
    </row>
    <row r="11698" spans="30:30" ht="15.75" customHeight="1">
      <c r="AD11698" s="794"/>
    </row>
    <row r="11699" spans="30:30" ht="15.75" customHeight="1">
      <c r="AD11699" s="794"/>
    </row>
    <row r="11700" spans="30:30" ht="15.75" customHeight="1">
      <c r="AD11700" s="794"/>
    </row>
    <row r="11701" spans="30:30" ht="15.75" customHeight="1">
      <c r="AD11701" s="794"/>
    </row>
    <row r="11702" spans="30:30" ht="15.75" customHeight="1">
      <c r="AD11702" s="794"/>
    </row>
    <row r="11703" spans="30:30" ht="15.75" customHeight="1">
      <c r="AD11703" s="794"/>
    </row>
    <row r="11704" spans="30:30" ht="15.75" customHeight="1">
      <c r="AD11704" s="794"/>
    </row>
    <row r="11705" spans="30:30" ht="15.75" customHeight="1">
      <c r="AD11705" s="794"/>
    </row>
    <row r="11706" spans="30:30" ht="15.75" customHeight="1">
      <c r="AD11706" s="794"/>
    </row>
    <row r="11707" spans="30:30" ht="15.75" customHeight="1">
      <c r="AD11707" s="794"/>
    </row>
    <row r="11708" spans="30:30" ht="15.75" customHeight="1">
      <c r="AD11708" s="794"/>
    </row>
    <row r="11709" spans="30:30" ht="15.75" customHeight="1">
      <c r="AD11709" s="794"/>
    </row>
    <row r="11710" spans="30:30" ht="15.75" customHeight="1">
      <c r="AD11710" s="794"/>
    </row>
    <row r="11711" spans="30:30" ht="15.75" customHeight="1">
      <c r="AD11711" s="794"/>
    </row>
    <row r="11712" spans="30:30" ht="15.75" customHeight="1">
      <c r="AD11712" s="794"/>
    </row>
    <row r="11713" spans="30:30" ht="15.75" customHeight="1">
      <c r="AD11713" s="794"/>
    </row>
    <row r="11714" spans="30:30" ht="15.75" customHeight="1">
      <c r="AD11714" s="794"/>
    </row>
    <row r="11715" spans="30:30" ht="15.75" customHeight="1">
      <c r="AD11715" s="794"/>
    </row>
    <row r="11716" spans="30:30" ht="15.75" customHeight="1">
      <c r="AD11716" s="794"/>
    </row>
    <row r="11717" spans="30:30" ht="15.75" customHeight="1">
      <c r="AD11717" s="794"/>
    </row>
    <row r="11718" spans="30:30" ht="15.75" customHeight="1">
      <c r="AD11718" s="794"/>
    </row>
    <row r="11719" spans="30:30" ht="15.75" customHeight="1">
      <c r="AD11719" s="794"/>
    </row>
    <row r="11720" spans="30:30" ht="15.75" customHeight="1">
      <c r="AD11720" s="794"/>
    </row>
    <row r="11721" spans="30:30" ht="15.75" customHeight="1">
      <c r="AD11721" s="794"/>
    </row>
    <row r="11722" spans="30:30" ht="15.75" customHeight="1">
      <c r="AD11722" s="794"/>
    </row>
    <row r="11723" spans="30:30" ht="15.75" customHeight="1">
      <c r="AD11723" s="794"/>
    </row>
    <row r="11724" spans="30:30" ht="15.75" customHeight="1">
      <c r="AD11724" s="794"/>
    </row>
    <row r="11725" spans="30:30" ht="15.75" customHeight="1">
      <c r="AD11725" s="794"/>
    </row>
    <row r="11726" spans="30:30" ht="15.75" customHeight="1">
      <c r="AD11726" s="794"/>
    </row>
    <row r="11727" spans="30:30" ht="15.75" customHeight="1">
      <c r="AD11727" s="794"/>
    </row>
    <row r="11728" spans="30:30" ht="15.75" customHeight="1">
      <c r="AD11728" s="794"/>
    </row>
    <row r="11729" spans="30:30" ht="15.75" customHeight="1">
      <c r="AD11729" s="794"/>
    </row>
    <row r="11730" spans="30:30" ht="15.75" customHeight="1">
      <c r="AD11730" s="794"/>
    </row>
    <row r="11731" spans="30:30" ht="15.75" customHeight="1">
      <c r="AD11731" s="794"/>
    </row>
    <row r="11732" spans="30:30" ht="15.75" customHeight="1">
      <c r="AD11732" s="794"/>
    </row>
    <row r="11733" spans="30:30" ht="15.75" customHeight="1">
      <c r="AD11733" s="794"/>
    </row>
    <row r="11734" spans="30:30" ht="15.75" customHeight="1">
      <c r="AD11734" s="794"/>
    </row>
    <row r="11735" spans="30:30" ht="15.75" customHeight="1">
      <c r="AD11735" s="794"/>
    </row>
    <row r="11736" spans="30:30" ht="15.75" customHeight="1">
      <c r="AD11736" s="794"/>
    </row>
    <row r="11737" spans="30:30" ht="15.75" customHeight="1">
      <c r="AD11737" s="794"/>
    </row>
    <row r="11738" spans="30:30" ht="15.75" customHeight="1">
      <c r="AD11738" s="794"/>
    </row>
    <row r="11739" spans="30:30" ht="15.75" customHeight="1">
      <c r="AD11739" s="794"/>
    </row>
    <row r="11740" spans="30:30" ht="15.75" customHeight="1">
      <c r="AD11740" s="794"/>
    </row>
    <row r="11741" spans="30:30" ht="15.75" customHeight="1">
      <c r="AD11741" s="794"/>
    </row>
    <row r="11742" spans="30:30" ht="15.75" customHeight="1">
      <c r="AD11742" s="794"/>
    </row>
    <row r="11743" spans="30:30" ht="15.75" customHeight="1">
      <c r="AD11743" s="794"/>
    </row>
    <row r="11744" spans="30:30" ht="15.75" customHeight="1">
      <c r="AD11744" s="794"/>
    </row>
    <row r="11745" spans="30:30" ht="15.75" customHeight="1">
      <c r="AD11745" s="794"/>
    </row>
    <row r="11746" spans="30:30" ht="15.75" customHeight="1">
      <c r="AD11746" s="794"/>
    </row>
    <row r="11747" spans="30:30" ht="15.75" customHeight="1">
      <c r="AD11747" s="794"/>
    </row>
    <row r="11748" spans="30:30" ht="15.75" customHeight="1">
      <c r="AD11748" s="794"/>
    </row>
    <row r="11749" spans="30:30" ht="15.75" customHeight="1">
      <c r="AD11749" s="794"/>
    </row>
    <row r="11750" spans="30:30" ht="15.75" customHeight="1">
      <c r="AD11750" s="794"/>
    </row>
    <row r="11751" spans="30:30" ht="15.75" customHeight="1">
      <c r="AD11751" s="794"/>
    </row>
    <row r="11752" spans="30:30" ht="15.75" customHeight="1">
      <c r="AD11752" s="794"/>
    </row>
    <row r="11753" spans="30:30" ht="15.75" customHeight="1">
      <c r="AD11753" s="794"/>
    </row>
    <row r="11754" spans="30:30" ht="15.75" customHeight="1">
      <c r="AD11754" s="794"/>
    </row>
    <row r="11755" spans="30:30" ht="15.75" customHeight="1">
      <c r="AD11755" s="794"/>
    </row>
    <row r="11756" spans="30:30" ht="15.75" customHeight="1">
      <c r="AD11756" s="794"/>
    </row>
    <row r="11757" spans="30:30" ht="15.75" customHeight="1">
      <c r="AD11757" s="794"/>
    </row>
    <row r="11758" spans="30:30" ht="15.75" customHeight="1">
      <c r="AD11758" s="794"/>
    </row>
    <row r="11759" spans="30:30" ht="15.75" customHeight="1">
      <c r="AD11759" s="794"/>
    </row>
    <row r="11760" spans="30:30" ht="15.75" customHeight="1">
      <c r="AD11760" s="794"/>
    </row>
    <row r="11761" spans="30:30" ht="15.75" customHeight="1">
      <c r="AD11761" s="794"/>
    </row>
    <row r="11762" spans="30:30" ht="15.75" customHeight="1">
      <c r="AD11762" s="794"/>
    </row>
    <row r="11763" spans="30:30" ht="15.75" customHeight="1">
      <c r="AD11763" s="794"/>
    </row>
    <row r="11764" spans="30:30" ht="15.75" customHeight="1">
      <c r="AD11764" s="794"/>
    </row>
    <row r="11765" spans="30:30" ht="15.75" customHeight="1">
      <c r="AD11765" s="794"/>
    </row>
    <row r="11766" spans="30:30" ht="15.75" customHeight="1">
      <c r="AD11766" s="794"/>
    </row>
    <row r="11767" spans="30:30" ht="15.75" customHeight="1">
      <c r="AD11767" s="794"/>
    </row>
    <row r="11768" spans="30:30" ht="15.75" customHeight="1">
      <c r="AD11768" s="794"/>
    </row>
    <row r="11769" spans="30:30" ht="15.75" customHeight="1">
      <c r="AD11769" s="794"/>
    </row>
    <row r="11770" spans="30:30" ht="15.75" customHeight="1">
      <c r="AD11770" s="794"/>
    </row>
    <row r="11771" spans="30:30" ht="15.75" customHeight="1">
      <c r="AD11771" s="794"/>
    </row>
    <row r="11772" spans="30:30" ht="15.75" customHeight="1">
      <c r="AD11772" s="794"/>
    </row>
    <row r="11773" spans="30:30" ht="15.75" customHeight="1">
      <c r="AD11773" s="794"/>
    </row>
    <row r="11774" spans="30:30" ht="15.75" customHeight="1">
      <c r="AD11774" s="794"/>
    </row>
    <row r="11775" spans="30:30" ht="15.75" customHeight="1">
      <c r="AD11775" s="794"/>
    </row>
    <row r="11776" spans="30:30" ht="15.75" customHeight="1">
      <c r="AD11776" s="794"/>
    </row>
    <row r="11777" spans="30:30" ht="15.75" customHeight="1">
      <c r="AD11777" s="794"/>
    </row>
    <row r="11778" spans="30:30" ht="15.75" customHeight="1">
      <c r="AD11778" s="794"/>
    </row>
    <row r="11779" spans="30:30" ht="15.75" customHeight="1">
      <c r="AD11779" s="794"/>
    </row>
    <row r="11780" spans="30:30" ht="15.75" customHeight="1">
      <c r="AD11780" s="794"/>
    </row>
    <row r="11781" spans="30:30" ht="15.75" customHeight="1">
      <c r="AD11781" s="794"/>
    </row>
    <row r="11782" spans="30:30" ht="15.75" customHeight="1">
      <c r="AD11782" s="794"/>
    </row>
    <row r="11783" spans="30:30" ht="15.75" customHeight="1">
      <c r="AD11783" s="794"/>
    </row>
    <row r="11784" spans="30:30" ht="15.75" customHeight="1">
      <c r="AD11784" s="794"/>
    </row>
    <row r="11785" spans="30:30" ht="15.75" customHeight="1">
      <c r="AD11785" s="794"/>
    </row>
    <row r="11786" spans="30:30" ht="15.75" customHeight="1">
      <c r="AD11786" s="794"/>
    </row>
    <row r="11787" spans="30:30" ht="15.75" customHeight="1">
      <c r="AD11787" s="794"/>
    </row>
    <row r="11788" spans="30:30" ht="15.75" customHeight="1">
      <c r="AD11788" s="794"/>
    </row>
    <row r="11789" spans="30:30" ht="15.75" customHeight="1">
      <c r="AD11789" s="794"/>
    </row>
    <row r="11790" spans="30:30" ht="15.75" customHeight="1">
      <c r="AD11790" s="794"/>
    </row>
    <row r="11791" spans="30:30" ht="15.75" customHeight="1">
      <c r="AD11791" s="794"/>
    </row>
    <row r="11792" spans="30:30" ht="15.75" customHeight="1">
      <c r="AD11792" s="794"/>
    </row>
    <row r="11793" spans="30:30" ht="15.75" customHeight="1">
      <c r="AD11793" s="794"/>
    </row>
    <row r="11794" spans="30:30" ht="15.75" customHeight="1">
      <c r="AD11794" s="794"/>
    </row>
    <row r="11795" spans="30:30" ht="15.75" customHeight="1">
      <c r="AD11795" s="794"/>
    </row>
    <row r="11796" spans="30:30" ht="15.75" customHeight="1">
      <c r="AD11796" s="794"/>
    </row>
    <row r="11797" spans="30:30" ht="15.75" customHeight="1">
      <c r="AD11797" s="794"/>
    </row>
    <row r="11798" spans="30:30" ht="15.75" customHeight="1">
      <c r="AD11798" s="794"/>
    </row>
    <row r="11799" spans="30:30" ht="15.75" customHeight="1">
      <c r="AD11799" s="794"/>
    </row>
    <row r="11800" spans="30:30" ht="15.75" customHeight="1">
      <c r="AD11800" s="794"/>
    </row>
    <row r="11801" spans="30:30" ht="15.75" customHeight="1">
      <c r="AD11801" s="794"/>
    </row>
    <row r="11802" spans="30:30" ht="15.75" customHeight="1">
      <c r="AD11802" s="794"/>
    </row>
    <row r="11803" spans="30:30" ht="15.75" customHeight="1">
      <c r="AD11803" s="794"/>
    </row>
    <row r="11804" spans="30:30" ht="15.75" customHeight="1">
      <c r="AD11804" s="794"/>
    </row>
    <row r="11805" spans="30:30" ht="15.75" customHeight="1">
      <c r="AD11805" s="794"/>
    </row>
    <row r="11806" spans="30:30" ht="15.75" customHeight="1">
      <c r="AD11806" s="794"/>
    </row>
    <row r="11807" spans="30:30" ht="15.75" customHeight="1">
      <c r="AD11807" s="794"/>
    </row>
    <row r="11808" spans="30:30" ht="15.75" customHeight="1">
      <c r="AD11808" s="794"/>
    </row>
    <row r="11809" spans="30:30" ht="15.75" customHeight="1">
      <c r="AD11809" s="794"/>
    </row>
    <row r="11810" spans="30:30" ht="15.75" customHeight="1">
      <c r="AD11810" s="794"/>
    </row>
    <row r="11811" spans="30:30" ht="15.75" customHeight="1">
      <c r="AD11811" s="794"/>
    </row>
    <row r="11812" spans="30:30" ht="15.75" customHeight="1">
      <c r="AD11812" s="794"/>
    </row>
    <row r="11813" spans="30:30" ht="15.75" customHeight="1">
      <c r="AD11813" s="794"/>
    </row>
    <row r="11814" spans="30:30" ht="15.75" customHeight="1">
      <c r="AD11814" s="794"/>
    </row>
    <row r="11815" spans="30:30" ht="15.75" customHeight="1">
      <c r="AD11815" s="794"/>
    </row>
    <row r="11816" spans="30:30" ht="15.75" customHeight="1">
      <c r="AD11816" s="794"/>
    </row>
    <row r="11817" spans="30:30" ht="15.75" customHeight="1">
      <c r="AD11817" s="794"/>
    </row>
    <row r="11818" spans="30:30" ht="15.75" customHeight="1">
      <c r="AD11818" s="794"/>
    </row>
    <row r="11819" spans="30:30" ht="15.75" customHeight="1">
      <c r="AD11819" s="794"/>
    </row>
    <row r="11820" spans="30:30" ht="15.75" customHeight="1">
      <c r="AD11820" s="794"/>
    </row>
    <row r="11821" spans="30:30" ht="15.75" customHeight="1">
      <c r="AD11821" s="794"/>
    </row>
    <row r="11822" spans="30:30" ht="15.75" customHeight="1">
      <c r="AD11822" s="794"/>
    </row>
    <row r="11823" spans="30:30" ht="15.75" customHeight="1">
      <c r="AD11823" s="794"/>
    </row>
    <row r="11824" spans="30:30" ht="15.75" customHeight="1">
      <c r="AD11824" s="794"/>
    </row>
    <row r="11825" spans="30:30" ht="15.75" customHeight="1">
      <c r="AD11825" s="794"/>
    </row>
    <row r="11826" spans="30:30" ht="15.75" customHeight="1">
      <c r="AD11826" s="794"/>
    </row>
    <row r="11827" spans="30:30" ht="15.75" customHeight="1">
      <c r="AD11827" s="794"/>
    </row>
    <row r="11828" spans="30:30" ht="15.75" customHeight="1">
      <c r="AD11828" s="794"/>
    </row>
    <row r="11829" spans="30:30" ht="15.75" customHeight="1">
      <c r="AD11829" s="794"/>
    </row>
    <row r="11830" spans="30:30" ht="15.75" customHeight="1">
      <c r="AD11830" s="794"/>
    </row>
    <row r="11831" spans="30:30" ht="15.75" customHeight="1">
      <c r="AD11831" s="794"/>
    </row>
    <row r="11832" spans="30:30" ht="15.75" customHeight="1">
      <c r="AD11832" s="794"/>
    </row>
    <row r="11833" spans="30:30" ht="15.75" customHeight="1">
      <c r="AD11833" s="794"/>
    </row>
    <row r="11834" spans="30:30" ht="15.75" customHeight="1">
      <c r="AD11834" s="794"/>
    </row>
    <row r="11835" spans="30:30" ht="15.75" customHeight="1">
      <c r="AD11835" s="794"/>
    </row>
    <row r="11836" spans="30:30" ht="15.75" customHeight="1">
      <c r="AD11836" s="794"/>
    </row>
    <row r="11837" spans="30:30" ht="15.75" customHeight="1">
      <c r="AD11837" s="794"/>
    </row>
    <row r="11838" spans="30:30" ht="15.75" customHeight="1">
      <c r="AD11838" s="794"/>
    </row>
    <row r="11839" spans="30:30" ht="15.75" customHeight="1">
      <c r="AD11839" s="794"/>
    </row>
    <row r="11840" spans="30:30" ht="15.75" customHeight="1">
      <c r="AD11840" s="794"/>
    </row>
    <row r="11841" spans="30:30" ht="15.75" customHeight="1">
      <c r="AD11841" s="794"/>
    </row>
    <row r="11842" spans="30:30" ht="15.75" customHeight="1">
      <c r="AD11842" s="794"/>
    </row>
    <row r="11843" spans="30:30" ht="15.75" customHeight="1">
      <c r="AD11843" s="794"/>
    </row>
    <row r="11844" spans="30:30" ht="15.75" customHeight="1">
      <c r="AD11844" s="794"/>
    </row>
    <row r="11845" spans="30:30" ht="15.75" customHeight="1">
      <c r="AD11845" s="794"/>
    </row>
    <row r="11846" spans="30:30" ht="15.75" customHeight="1">
      <c r="AD11846" s="794"/>
    </row>
    <row r="11847" spans="30:30" ht="15.75" customHeight="1">
      <c r="AD11847" s="794"/>
    </row>
    <row r="11848" spans="30:30" ht="15.75" customHeight="1">
      <c r="AD11848" s="794"/>
    </row>
    <row r="11849" spans="30:30" ht="15.75" customHeight="1">
      <c r="AD11849" s="794"/>
    </row>
    <row r="11850" spans="30:30" ht="15.75" customHeight="1">
      <c r="AD11850" s="794"/>
    </row>
    <row r="11851" spans="30:30" ht="15.75" customHeight="1">
      <c r="AD11851" s="794"/>
    </row>
    <row r="11852" spans="30:30" ht="15.75" customHeight="1">
      <c r="AD11852" s="794"/>
    </row>
    <row r="11853" spans="30:30" ht="15.75" customHeight="1">
      <c r="AD11853" s="794"/>
    </row>
    <row r="11854" spans="30:30" ht="15.75" customHeight="1">
      <c r="AD11854" s="794"/>
    </row>
    <row r="11855" spans="30:30" ht="15.75" customHeight="1">
      <c r="AD11855" s="794"/>
    </row>
    <row r="11856" spans="30:30" ht="15.75" customHeight="1">
      <c r="AD11856" s="794"/>
    </row>
    <row r="11857" spans="30:30" ht="15.75" customHeight="1">
      <c r="AD11857" s="794"/>
    </row>
    <row r="11858" spans="30:30" ht="15.75" customHeight="1">
      <c r="AD11858" s="794"/>
    </row>
    <row r="11859" spans="30:30" ht="15.75" customHeight="1">
      <c r="AD11859" s="794"/>
    </row>
    <row r="11860" spans="30:30" ht="15.75" customHeight="1">
      <c r="AD11860" s="794"/>
    </row>
    <row r="11861" spans="30:30" ht="15.75" customHeight="1">
      <c r="AD11861" s="794"/>
    </row>
    <row r="11862" spans="30:30" ht="15.75" customHeight="1">
      <c r="AD11862" s="794"/>
    </row>
    <row r="11863" spans="30:30" ht="15.75" customHeight="1">
      <c r="AD11863" s="794"/>
    </row>
    <row r="11864" spans="30:30" ht="15.75" customHeight="1">
      <c r="AD11864" s="794"/>
    </row>
    <row r="11865" spans="30:30" ht="15.75" customHeight="1">
      <c r="AD11865" s="794"/>
    </row>
    <row r="11866" spans="30:30" ht="15.75" customHeight="1">
      <c r="AD11866" s="794"/>
    </row>
    <row r="11867" spans="30:30" ht="15.75" customHeight="1">
      <c r="AD11867" s="794"/>
    </row>
    <row r="11868" spans="30:30" ht="15.75" customHeight="1">
      <c r="AD11868" s="794"/>
    </row>
    <row r="11869" spans="30:30" ht="15.75" customHeight="1">
      <c r="AD11869" s="794"/>
    </row>
    <row r="11870" spans="30:30" ht="15.75" customHeight="1">
      <c r="AD11870" s="794"/>
    </row>
    <row r="11871" spans="30:30" ht="15.75" customHeight="1">
      <c r="AD11871" s="794"/>
    </row>
    <row r="11872" spans="30:30" ht="15.75" customHeight="1">
      <c r="AD11872" s="794"/>
    </row>
    <row r="11873" spans="30:30" ht="15.75" customHeight="1">
      <c r="AD11873" s="794"/>
    </row>
    <row r="11874" spans="30:30" ht="15.75" customHeight="1">
      <c r="AD11874" s="794"/>
    </row>
    <row r="11875" spans="30:30" ht="15.75" customHeight="1">
      <c r="AD11875" s="794"/>
    </row>
    <row r="11876" spans="30:30" ht="15.75" customHeight="1">
      <c r="AD11876" s="794"/>
    </row>
    <row r="11877" spans="30:30" ht="15.75" customHeight="1">
      <c r="AD11877" s="794"/>
    </row>
    <row r="11878" spans="30:30" ht="15.75" customHeight="1">
      <c r="AD11878" s="794"/>
    </row>
    <row r="11879" spans="30:30" ht="15.75" customHeight="1">
      <c r="AD11879" s="794"/>
    </row>
    <row r="11880" spans="30:30" ht="15.75" customHeight="1">
      <c r="AD11880" s="794"/>
    </row>
    <row r="11881" spans="30:30" ht="15.75" customHeight="1">
      <c r="AD11881" s="794"/>
    </row>
    <row r="11882" spans="30:30" ht="15.75" customHeight="1">
      <c r="AD11882" s="794"/>
    </row>
    <row r="11883" spans="30:30" ht="15.75" customHeight="1">
      <c r="AD11883" s="794"/>
    </row>
    <row r="11884" spans="30:30" ht="15.75" customHeight="1">
      <c r="AD11884" s="794"/>
    </row>
    <row r="11885" spans="30:30" ht="15.75" customHeight="1">
      <c r="AD11885" s="794"/>
    </row>
    <row r="11886" spans="30:30" ht="15.75" customHeight="1">
      <c r="AD11886" s="794"/>
    </row>
    <row r="11887" spans="30:30" ht="15.75" customHeight="1">
      <c r="AD11887" s="794"/>
    </row>
    <row r="11888" spans="30:30" ht="15.75" customHeight="1">
      <c r="AD11888" s="794"/>
    </row>
    <row r="11889" spans="30:30" ht="15.75" customHeight="1">
      <c r="AD11889" s="794"/>
    </row>
    <row r="11890" spans="30:30" ht="15.75" customHeight="1">
      <c r="AD11890" s="794"/>
    </row>
    <row r="11891" spans="30:30" ht="15.75" customHeight="1">
      <c r="AD11891" s="794"/>
    </row>
    <row r="11892" spans="30:30" ht="15.75" customHeight="1">
      <c r="AD11892" s="794"/>
    </row>
    <row r="11893" spans="30:30" ht="15.75" customHeight="1">
      <c r="AD11893" s="794"/>
    </row>
    <row r="11894" spans="30:30" ht="15.75" customHeight="1">
      <c r="AD11894" s="794"/>
    </row>
    <row r="11895" spans="30:30" ht="15.75" customHeight="1">
      <c r="AD11895" s="794"/>
    </row>
    <row r="11896" spans="30:30" ht="15.75" customHeight="1">
      <c r="AD11896" s="794"/>
    </row>
    <row r="11897" spans="30:30" ht="15.75" customHeight="1">
      <c r="AD11897" s="794"/>
    </row>
    <row r="11898" spans="30:30" ht="15.75" customHeight="1">
      <c r="AD11898" s="794"/>
    </row>
    <row r="11899" spans="30:30" ht="15.75" customHeight="1">
      <c r="AD11899" s="794"/>
    </row>
    <row r="11900" spans="30:30" ht="15.75" customHeight="1">
      <c r="AD11900" s="794"/>
    </row>
    <row r="11901" spans="30:30" ht="15.75" customHeight="1">
      <c r="AD11901" s="794"/>
    </row>
    <row r="11902" spans="30:30" ht="15.75" customHeight="1">
      <c r="AD11902" s="794"/>
    </row>
    <row r="11903" spans="30:30" ht="15.75" customHeight="1">
      <c r="AD11903" s="794"/>
    </row>
    <row r="11904" spans="30:30" ht="15.75" customHeight="1">
      <c r="AD11904" s="794"/>
    </row>
    <row r="11905" spans="30:30" ht="15.75" customHeight="1">
      <c r="AD11905" s="794"/>
    </row>
    <row r="11906" spans="30:30" ht="15.75" customHeight="1">
      <c r="AD11906" s="794"/>
    </row>
    <row r="11907" spans="30:30" ht="15.75" customHeight="1">
      <c r="AD11907" s="794"/>
    </row>
    <row r="11908" spans="30:30" ht="15.75" customHeight="1">
      <c r="AD11908" s="794"/>
    </row>
    <row r="11909" spans="30:30" ht="15.75" customHeight="1">
      <c r="AD11909" s="794"/>
    </row>
    <row r="11910" spans="30:30" ht="15.75" customHeight="1">
      <c r="AD11910" s="794"/>
    </row>
    <row r="11911" spans="30:30" ht="15.75" customHeight="1">
      <c r="AD11911" s="794"/>
    </row>
    <row r="11912" spans="30:30" ht="15.75" customHeight="1">
      <c r="AD11912" s="794"/>
    </row>
    <row r="11913" spans="30:30" ht="15.75" customHeight="1">
      <c r="AD11913" s="794"/>
    </row>
    <row r="11914" spans="30:30" ht="15.75" customHeight="1">
      <c r="AD11914" s="794"/>
    </row>
    <row r="11915" spans="30:30" ht="15.75" customHeight="1">
      <c r="AD11915" s="794"/>
    </row>
    <row r="11916" spans="30:30" ht="15.75" customHeight="1">
      <c r="AD11916" s="794"/>
    </row>
    <row r="11917" spans="30:30" ht="15.75" customHeight="1">
      <c r="AD11917" s="794"/>
    </row>
    <row r="11918" spans="30:30" ht="15.75" customHeight="1">
      <c r="AD11918" s="794"/>
    </row>
    <row r="11919" spans="30:30" ht="15.75" customHeight="1">
      <c r="AD11919" s="794"/>
    </row>
    <row r="11920" spans="30:30" ht="15.75" customHeight="1">
      <c r="AD11920" s="794"/>
    </row>
    <row r="11921" spans="30:30" ht="15.75" customHeight="1">
      <c r="AD11921" s="794"/>
    </row>
    <row r="11922" spans="30:30" ht="15.75" customHeight="1">
      <c r="AD11922" s="794"/>
    </row>
    <row r="11923" spans="30:30" ht="15.75" customHeight="1">
      <c r="AD11923" s="794"/>
    </row>
    <row r="11924" spans="30:30" ht="15.75" customHeight="1">
      <c r="AD11924" s="794"/>
    </row>
    <row r="11925" spans="30:30" ht="15.75" customHeight="1">
      <c r="AD11925" s="794"/>
    </row>
    <row r="11926" spans="30:30" ht="15.75" customHeight="1">
      <c r="AD11926" s="794"/>
    </row>
    <row r="11927" spans="30:30" ht="15.75" customHeight="1">
      <c r="AD11927" s="794"/>
    </row>
    <row r="11928" spans="30:30" ht="15.75" customHeight="1">
      <c r="AD11928" s="794"/>
    </row>
    <row r="11929" spans="30:30" ht="15.75" customHeight="1">
      <c r="AD11929" s="794"/>
    </row>
    <row r="11930" spans="30:30" ht="15.75" customHeight="1">
      <c r="AD11930" s="794"/>
    </row>
    <row r="11931" spans="30:30" ht="15.75" customHeight="1">
      <c r="AD11931" s="794"/>
    </row>
    <row r="11932" spans="30:30" ht="15.75" customHeight="1">
      <c r="AD11932" s="794"/>
    </row>
    <row r="11933" spans="30:30" ht="15.75" customHeight="1">
      <c r="AD11933" s="794"/>
    </row>
    <row r="11934" spans="30:30" ht="15.75" customHeight="1">
      <c r="AD11934" s="794"/>
    </row>
    <row r="11935" spans="30:30" ht="15.75" customHeight="1">
      <c r="AD11935" s="794"/>
    </row>
    <row r="11936" spans="30:30" ht="15.75" customHeight="1">
      <c r="AD11936" s="794"/>
    </row>
    <row r="11937" spans="30:30" ht="15.75" customHeight="1">
      <c r="AD11937" s="794"/>
    </row>
    <row r="11938" spans="30:30" ht="15.75" customHeight="1">
      <c r="AD11938" s="794"/>
    </row>
    <row r="11939" spans="30:30" ht="15.75" customHeight="1">
      <c r="AD11939" s="794"/>
    </row>
    <row r="11940" spans="30:30" ht="15.75" customHeight="1">
      <c r="AD11940" s="794"/>
    </row>
    <row r="11941" spans="30:30" ht="15.75" customHeight="1">
      <c r="AD11941" s="794"/>
    </row>
    <row r="11942" spans="30:30" ht="15.75" customHeight="1">
      <c r="AD11942" s="794"/>
    </row>
    <row r="11943" spans="30:30" ht="15.75" customHeight="1">
      <c r="AD11943" s="794"/>
    </row>
    <row r="11944" spans="30:30" ht="15.75" customHeight="1">
      <c r="AD11944" s="794"/>
    </row>
    <row r="11945" spans="30:30" ht="15.75" customHeight="1">
      <c r="AD11945" s="794"/>
    </row>
    <row r="11946" spans="30:30" ht="15.75" customHeight="1">
      <c r="AD11946" s="794"/>
    </row>
    <row r="11947" spans="30:30" ht="15.75" customHeight="1">
      <c r="AD11947" s="794"/>
    </row>
    <row r="11948" spans="30:30" ht="15.75" customHeight="1">
      <c r="AD11948" s="794"/>
    </row>
    <row r="11949" spans="30:30" ht="15.75" customHeight="1">
      <c r="AD11949" s="794"/>
    </row>
    <row r="11950" spans="30:30" ht="15.75" customHeight="1">
      <c r="AD11950" s="794"/>
    </row>
    <row r="11951" spans="30:30" ht="15.75" customHeight="1">
      <c r="AD11951" s="794"/>
    </row>
    <row r="11952" spans="30:30" ht="15.75" customHeight="1">
      <c r="AD11952" s="794"/>
    </row>
    <row r="11953" spans="30:30" ht="15.75" customHeight="1">
      <c r="AD11953" s="794"/>
    </row>
    <row r="11954" spans="30:30" ht="15.75" customHeight="1">
      <c r="AD11954" s="794"/>
    </row>
    <row r="11955" spans="30:30" ht="15.75" customHeight="1">
      <c r="AD11955" s="794"/>
    </row>
    <row r="11956" spans="30:30" ht="15.75" customHeight="1">
      <c r="AD11956" s="794"/>
    </row>
    <row r="11957" spans="30:30" ht="15.75" customHeight="1">
      <c r="AD11957" s="794"/>
    </row>
    <row r="11958" spans="30:30" ht="15.75" customHeight="1">
      <c r="AD11958" s="794"/>
    </row>
    <row r="11959" spans="30:30" ht="15.75" customHeight="1">
      <c r="AD11959" s="794"/>
    </row>
    <row r="11960" spans="30:30" ht="15.75" customHeight="1">
      <c r="AD11960" s="794"/>
    </row>
    <row r="11961" spans="30:30" ht="15.75" customHeight="1">
      <c r="AD11961" s="794"/>
    </row>
    <row r="11962" spans="30:30" ht="15.75" customHeight="1">
      <c r="AD11962" s="794"/>
    </row>
    <row r="11963" spans="30:30" ht="15.75" customHeight="1">
      <c r="AD11963" s="794"/>
    </row>
    <row r="11964" spans="30:30" ht="15.75" customHeight="1">
      <c r="AD11964" s="794"/>
    </row>
    <row r="11965" spans="30:30" ht="15.75" customHeight="1">
      <c r="AD11965" s="794"/>
    </row>
    <row r="11966" spans="30:30" ht="15.75" customHeight="1">
      <c r="AD11966" s="794"/>
    </row>
    <row r="11967" spans="30:30" ht="15.75" customHeight="1">
      <c r="AD11967" s="794"/>
    </row>
    <row r="11968" spans="30:30" ht="15.75" customHeight="1">
      <c r="AD11968" s="794"/>
    </row>
    <row r="11969" spans="30:30" ht="15.75" customHeight="1">
      <c r="AD11969" s="794"/>
    </row>
    <row r="11970" spans="30:30" ht="15.75" customHeight="1">
      <c r="AD11970" s="794"/>
    </row>
    <row r="11971" spans="30:30" ht="15.75" customHeight="1">
      <c r="AD11971" s="794"/>
    </row>
    <row r="11972" spans="30:30" ht="15.75" customHeight="1">
      <c r="AD11972" s="794"/>
    </row>
    <row r="11973" spans="30:30" ht="15.75" customHeight="1">
      <c r="AD11973" s="794"/>
    </row>
    <row r="11974" spans="30:30" ht="15.75" customHeight="1">
      <c r="AD11974" s="794"/>
    </row>
    <row r="11975" spans="30:30" ht="15.75" customHeight="1">
      <c r="AD11975" s="794"/>
    </row>
    <row r="11976" spans="30:30" ht="15.75" customHeight="1">
      <c r="AD11976" s="794"/>
    </row>
    <row r="11977" spans="30:30" ht="15.75" customHeight="1">
      <c r="AD11977" s="794"/>
    </row>
    <row r="11978" spans="30:30" ht="15.75" customHeight="1">
      <c r="AD11978" s="794"/>
    </row>
    <row r="11979" spans="30:30" ht="15.75" customHeight="1">
      <c r="AD11979" s="794"/>
    </row>
    <row r="11980" spans="30:30" ht="15.75" customHeight="1">
      <c r="AD11980" s="794"/>
    </row>
    <row r="11981" spans="30:30" ht="15.75" customHeight="1">
      <c r="AD11981" s="794"/>
    </row>
    <row r="11982" spans="30:30" ht="15.75" customHeight="1">
      <c r="AD11982" s="794"/>
    </row>
    <row r="11983" spans="30:30" ht="15.75" customHeight="1">
      <c r="AD11983" s="794"/>
    </row>
    <row r="11984" spans="30:30" ht="15.75" customHeight="1">
      <c r="AD11984" s="794"/>
    </row>
    <row r="11985" spans="30:30" ht="15.75" customHeight="1">
      <c r="AD11985" s="794"/>
    </row>
    <row r="11986" spans="30:30" ht="15.75" customHeight="1">
      <c r="AD11986" s="794"/>
    </row>
    <row r="11987" spans="30:30" ht="15.75" customHeight="1">
      <c r="AD11987" s="794"/>
    </row>
    <row r="11988" spans="30:30" ht="15.75" customHeight="1">
      <c r="AD11988" s="794"/>
    </row>
    <row r="11989" spans="30:30" ht="15.75" customHeight="1">
      <c r="AD11989" s="794"/>
    </row>
    <row r="11990" spans="30:30" ht="15.75" customHeight="1">
      <c r="AD11990" s="794"/>
    </row>
    <row r="11991" spans="30:30" ht="15.75" customHeight="1">
      <c r="AD11991" s="794"/>
    </row>
    <row r="11992" spans="30:30" ht="15.75" customHeight="1">
      <c r="AD11992" s="794"/>
    </row>
    <row r="11993" spans="30:30" ht="15.75" customHeight="1">
      <c r="AD11993" s="794"/>
    </row>
    <row r="11994" spans="30:30" ht="15.75" customHeight="1">
      <c r="AD11994" s="794"/>
    </row>
    <row r="11995" spans="30:30" ht="15.75" customHeight="1">
      <c r="AD11995" s="794"/>
    </row>
    <row r="11996" spans="30:30" ht="15.75" customHeight="1">
      <c r="AD11996" s="794"/>
    </row>
    <row r="11997" spans="30:30" ht="15.75" customHeight="1">
      <c r="AD11997" s="794"/>
    </row>
    <row r="11998" spans="30:30" ht="15.75" customHeight="1">
      <c r="AD11998" s="794"/>
    </row>
    <row r="11999" spans="30:30" ht="15.75" customHeight="1">
      <c r="AD11999" s="794"/>
    </row>
    <row r="12000" spans="30:30" ht="15.75" customHeight="1">
      <c r="AD12000" s="794"/>
    </row>
    <row r="12001" spans="30:30" ht="15.75" customHeight="1">
      <c r="AD12001" s="794"/>
    </row>
    <row r="12002" spans="30:30" ht="15.75" customHeight="1">
      <c r="AD12002" s="794"/>
    </row>
    <row r="12003" spans="30:30" ht="15.75" customHeight="1">
      <c r="AD12003" s="794"/>
    </row>
    <row r="12004" spans="30:30" ht="15.75" customHeight="1">
      <c r="AD12004" s="794"/>
    </row>
    <row r="12005" spans="30:30" ht="15.75" customHeight="1">
      <c r="AD12005" s="794"/>
    </row>
    <row r="12006" spans="30:30" ht="15.75" customHeight="1">
      <c r="AD12006" s="794"/>
    </row>
    <row r="12007" spans="30:30" ht="15.75" customHeight="1">
      <c r="AD12007" s="794"/>
    </row>
    <row r="12008" spans="30:30" ht="15.75" customHeight="1">
      <c r="AD12008" s="794"/>
    </row>
    <row r="12009" spans="30:30" ht="15.75" customHeight="1">
      <c r="AD12009" s="794"/>
    </row>
    <row r="12010" spans="30:30" ht="15.75" customHeight="1">
      <c r="AD12010" s="794"/>
    </row>
    <row r="12011" spans="30:30" ht="15.75" customHeight="1">
      <c r="AD12011" s="794"/>
    </row>
    <row r="12012" spans="30:30" ht="15.75" customHeight="1">
      <c r="AD12012" s="794"/>
    </row>
    <row r="12013" spans="30:30" ht="15.75" customHeight="1">
      <c r="AD12013" s="794"/>
    </row>
    <row r="12014" spans="30:30" ht="15.75" customHeight="1">
      <c r="AD12014" s="794"/>
    </row>
    <row r="12015" spans="30:30" ht="15.75" customHeight="1">
      <c r="AD12015" s="794"/>
    </row>
    <row r="12016" spans="30:30" ht="15.75" customHeight="1">
      <c r="AD12016" s="794"/>
    </row>
    <row r="12017" spans="30:30" ht="15.75" customHeight="1">
      <c r="AD12017" s="794"/>
    </row>
    <row r="12018" spans="30:30" ht="15.75" customHeight="1">
      <c r="AD12018" s="794"/>
    </row>
    <row r="12019" spans="30:30" ht="15.75" customHeight="1">
      <c r="AD12019" s="794"/>
    </row>
    <row r="12020" spans="30:30" ht="15.75" customHeight="1">
      <c r="AD12020" s="794"/>
    </row>
    <row r="12021" spans="30:30" ht="15.75" customHeight="1">
      <c r="AD12021" s="794"/>
    </row>
    <row r="12022" spans="30:30" ht="15.75" customHeight="1">
      <c r="AD12022" s="794"/>
    </row>
    <row r="12023" spans="30:30" ht="15.75" customHeight="1">
      <c r="AD12023" s="794"/>
    </row>
    <row r="12024" spans="30:30" ht="15.75" customHeight="1">
      <c r="AD12024" s="794"/>
    </row>
    <row r="12025" spans="30:30" ht="15.75" customHeight="1">
      <c r="AD12025" s="794"/>
    </row>
    <row r="12026" spans="30:30" ht="15.75" customHeight="1">
      <c r="AD12026" s="794"/>
    </row>
    <row r="12027" spans="30:30" ht="15.75" customHeight="1">
      <c r="AD12027" s="794"/>
    </row>
    <row r="12028" spans="30:30" ht="15.75" customHeight="1">
      <c r="AD12028" s="794"/>
    </row>
    <row r="12029" spans="30:30" ht="15.75" customHeight="1">
      <c r="AD12029" s="794"/>
    </row>
    <row r="12030" spans="30:30" ht="15.75" customHeight="1">
      <c r="AD12030" s="794"/>
    </row>
    <row r="12031" spans="30:30" ht="15.75" customHeight="1">
      <c r="AD12031" s="794"/>
    </row>
    <row r="12032" spans="30:30" ht="15.75" customHeight="1">
      <c r="AD12032" s="794"/>
    </row>
    <row r="12033" spans="30:30" ht="15.75" customHeight="1">
      <c r="AD12033" s="794"/>
    </row>
    <row r="12034" spans="30:30" ht="15.75" customHeight="1">
      <c r="AD12034" s="794"/>
    </row>
    <row r="12035" spans="30:30" ht="15.75" customHeight="1">
      <c r="AD12035" s="794"/>
    </row>
    <row r="12036" spans="30:30" ht="15.75" customHeight="1">
      <c r="AD12036" s="794"/>
    </row>
    <row r="12037" spans="30:30" ht="15.75" customHeight="1">
      <c r="AD12037" s="794"/>
    </row>
    <row r="12038" spans="30:30" ht="15.75" customHeight="1">
      <c r="AD12038" s="794"/>
    </row>
    <row r="12039" spans="30:30" ht="15.75" customHeight="1">
      <c r="AD12039" s="794"/>
    </row>
    <row r="12040" spans="30:30" ht="15.75" customHeight="1">
      <c r="AD12040" s="794"/>
    </row>
    <row r="12041" spans="30:30" ht="15.75" customHeight="1">
      <c r="AD12041" s="794"/>
    </row>
    <row r="12042" spans="30:30" ht="15.75" customHeight="1">
      <c r="AD12042" s="794"/>
    </row>
    <row r="12043" spans="30:30" ht="15.75" customHeight="1">
      <c r="AD12043" s="794"/>
    </row>
    <row r="12044" spans="30:30" ht="15.75" customHeight="1">
      <c r="AD12044" s="794"/>
    </row>
    <row r="12045" spans="30:30" ht="15.75" customHeight="1">
      <c r="AD12045" s="794"/>
    </row>
    <row r="12046" spans="30:30" ht="15.75" customHeight="1">
      <c r="AD12046" s="794"/>
    </row>
    <row r="12047" spans="30:30" ht="15.75" customHeight="1">
      <c r="AD12047" s="794"/>
    </row>
    <row r="12048" spans="30:30" ht="15.75" customHeight="1">
      <c r="AD12048" s="794"/>
    </row>
    <row r="12049" spans="30:30" ht="15.75" customHeight="1">
      <c r="AD12049" s="794"/>
    </row>
    <row r="12050" spans="30:30" ht="15.75" customHeight="1">
      <c r="AD12050" s="794"/>
    </row>
    <row r="12051" spans="30:30" ht="15.75" customHeight="1">
      <c r="AD12051" s="794"/>
    </row>
    <row r="12052" spans="30:30" ht="15.75" customHeight="1">
      <c r="AD12052" s="794"/>
    </row>
    <row r="12053" spans="30:30" ht="15.75" customHeight="1">
      <c r="AD12053" s="794"/>
    </row>
    <row r="12054" spans="30:30" ht="15.75" customHeight="1">
      <c r="AD12054" s="794"/>
    </row>
    <row r="12055" spans="30:30" ht="15.75" customHeight="1">
      <c r="AD12055" s="794"/>
    </row>
    <row r="12056" spans="30:30" ht="15.75" customHeight="1">
      <c r="AD12056" s="794"/>
    </row>
    <row r="12057" spans="30:30" ht="15.75" customHeight="1">
      <c r="AD12057" s="794"/>
    </row>
    <row r="12058" spans="30:30" ht="15.75" customHeight="1">
      <c r="AD12058" s="794"/>
    </row>
    <row r="12059" spans="30:30" ht="15.75" customHeight="1">
      <c r="AD12059" s="794"/>
    </row>
    <row r="12060" spans="30:30" ht="15.75" customHeight="1">
      <c r="AD12060" s="794"/>
    </row>
    <row r="12061" spans="30:30" ht="15.75" customHeight="1">
      <c r="AD12061" s="794"/>
    </row>
    <row r="12062" spans="30:30" ht="15.75" customHeight="1">
      <c r="AD12062" s="794"/>
    </row>
    <row r="12063" spans="30:30" ht="15.75" customHeight="1">
      <c r="AD12063" s="794"/>
    </row>
    <row r="12064" spans="30:30" ht="15.75" customHeight="1">
      <c r="AD12064" s="794"/>
    </row>
    <row r="12065" spans="30:30" ht="15.75" customHeight="1">
      <c r="AD12065" s="794"/>
    </row>
    <row r="12066" spans="30:30" ht="15.75" customHeight="1">
      <c r="AD12066" s="794"/>
    </row>
    <row r="12067" spans="30:30" ht="15.75" customHeight="1">
      <c r="AD12067" s="794"/>
    </row>
    <row r="12068" spans="30:30" ht="15.75" customHeight="1">
      <c r="AD12068" s="794"/>
    </row>
    <row r="12069" spans="30:30" ht="15.75" customHeight="1">
      <c r="AD12069" s="794"/>
    </row>
    <row r="12070" spans="30:30" ht="15.75" customHeight="1">
      <c r="AD12070" s="794"/>
    </row>
    <row r="12071" spans="30:30" ht="15.75" customHeight="1">
      <c r="AD12071" s="794"/>
    </row>
    <row r="12072" spans="30:30" ht="15.75" customHeight="1">
      <c r="AD12072" s="794"/>
    </row>
    <row r="12073" spans="30:30" ht="15.75" customHeight="1">
      <c r="AD12073" s="794"/>
    </row>
    <row r="12074" spans="30:30" ht="15.75" customHeight="1">
      <c r="AD12074" s="794"/>
    </row>
    <row r="12075" spans="30:30" ht="15.75" customHeight="1">
      <c r="AD12075" s="794"/>
    </row>
    <row r="12076" spans="30:30" ht="15.75" customHeight="1">
      <c r="AD12076" s="794"/>
    </row>
    <row r="12077" spans="30:30" ht="15.75" customHeight="1">
      <c r="AD12077" s="794"/>
    </row>
    <row r="12078" spans="30:30" ht="15.75" customHeight="1">
      <c r="AD12078" s="794"/>
    </row>
    <row r="12079" spans="30:30" ht="15.75" customHeight="1">
      <c r="AD12079" s="794"/>
    </row>
    <row r="12080" spans="30:30" ht="15.75" customHeight="1">
      <c r="AD12080" s="794"/>
    </row>
    <row r="12081" spans="30:30" ht="15.75" customHeight="1">
      <c r="AD12081" s="794"/>
    </row>
    <row r="12082" spans="30:30" ht="15.75" customHeight="1">
      <c r="AD12082" s="794"/>
    </row>
    <row r="12083" spans="30:30" ht="15.75" customHeight="1">
      <c r="AD12083" s="794"/>
    </row>
    <row r="12084" spans="30:30" ht="15.75" customHeight="1">
      <c r="AD12084" s="794"/>
    </row>
    <row r="12085" spans="30:30" ht="15.75" customHeight="1">
      <c r="AD12085" s="794"/>
    </row>
    <row r="12086" spans="30:30" ht="15.75" customHeight="1">
      <c r="AD12086" s="794"/>
    </row>
    <row r="12087" spans="30:30" ht="15.75" customHeight="1">
      <c r="AD12087" s="794"/>
    </row>
    <row r="12088" spans="30:30" ht="15.75" customHeight="1">
      <c r="AD12088" s="794"/>
    </row>
    <row r="12089" spans="30:30" ht="15.75" customHeight="1">
      <c r="AD12089" s="794"/>
    </row>
    <row r="12090" spans="30:30" ht="15.75" customHeight="1">
      <c r="AD12090" s="794"/>
    </row>
    <row r="12091" spans="30:30" ht="15.75" customHeight="1">
      <c r="AD12091" s="794"/>
    </row>
    <row r="12092" spans="30:30" ht="15.75" customHeight="1">
      <c r="AD12092" s="794"/>
    </row>
    <row r="12093" spans="30:30" ht="15.75" customHeight="1">
      <c r="AD12093" s="794"/>
    </row>
    <row r="12094" spans="30:30" ht="15.75" customHeight="1">
      <c r="AD12094" s="794"/>
    </row>
    <row r="12095" spans="30:30" ht="15.75" customHeight="1">
      <c r="AD12095" s="794"/>
    </row>
    <row r="12096" spans="30:30" ht="15.75" customHeight="1">
      <c r="AD12096" s="794"/>
    </row>
    <row r="12097" spans="30:30" ht="15.75" customHeight="1">
      <c r="AD12097" s="794"/>
    </row>
    <row r="12098" spans="30:30" ht="15.75" customHeight="1">
      <c r="AD12098" s="794"/>
    </row>
    <row r="12099" spans="30:30" ht="15.75" customHeight="1">
      <c r="AD12099" s="794"/>
    </row>
    <row r="12100" spans="30:30" ht="15.75" customHeight="1">
      <c r="AD12100" s="794"/>
    </row>
    <row r="12101" spans="30:30" ht="15.75" customHeight="1">
      <c r="AD12101" s="794"/>
    </row>
    <row r="12102" spans="30:30" ht="15.75" customHeight="1">
      <c r="AD12102" s="794"/>
    </row>
    <row r="12103" spans="30:30" ht="15.75" customHeight="1">
      <c r="AD12103" s="794"/>
    </row>
    <row r="12104" spans="30:30" ht="15.75" customHeight="1">
      <c r="AD12104" s="794"/>
    </row>
    <row r="12105" spans="30:30" ht="15.75" customHeight="1">
      <c r="AD12105" s="794"/>
    </row>
    <row r="12106" spans="30:30" ht="15.75" customHeight="1">
      <c r="AD12106" s="794"/>
    </row>
    <row r="12107" spans="30:30" ht="15.75" customHeight="1">
      <c r="AD12107" s="794"/>
    </row>
    <row r="12108" spans="30:30" ht="15.75" customHeight="1">
      <c r="AD12108" s="794"/>
    </row>
    <row r="12109" spans="30:30" ht="15.75" customHeight="1">
      <c r="AD12109" s="794"/>
    </row>
    <row r="12110" spans="30:30" ht="15.75" customHeight="1">
      <c r="AD12110" s="794"/>
    </row>
    <row r="12111" spans="30:30" ht="15.75" customHeight="1">
      <c r="AD12111" s="794"/>
    </row>
    <row r="12112" spans="30:30" ht="15.75" customHeight="1">
      <c r="AD12112" s="794"/>
    </row>
    <row r="12113" spans="30:30" ht="15.75" customHeight="1">
      <c r="AD12113" s="794"/>
    </row>
    <row r="12114" spans="30:30" ht="15.75" customHeight="1">
      <c r="AD12114" s="794"/>
    </row>
    <row r="12115" spans="30:30" ht="15.75" customHeight="1">
      <c r="AD12115" s="794"/>
    </row>
    <row r="12116" spans="30:30" ht="15.75" customHeight="1">
      <c r="AD12116" s="794"/>
    </row>
    <row r="12117" spans="30:30" ht="15.75" customHeight="1">
      <c r="AD12117" s="794"/>
    </row>
    <row r="12118" spans="30:30" ht="15.75" customHeight="1">
      <c r="AD12118" s="794"/>
    </row>
    <row r="12119" spans="30:30" ht="15.75" customHeight="1">
      <c r="AD12119" s="794"/>
    </row>
    <row r="12120" spans="30:30" ht="15.75" customHeight="1">
      <c r="AD12120" s="794"/>
    </row>
    <row r="12121" spans="30:30" ht="15.75" customHeight="1">
      <c r="AD12121" s="794"/>
    </row>
    <row r="12122" spans="30:30" ht="15.75" customHeight="1">
      <c r="AD12122" s="794"/>
    </row>
    <row r="12123" spans="30:30" ht="15.75" customHeight="1">
      <c r="AD12123" s="794"/>
    </row>
    <row r="12124" spans="30:30" ht="15.75" customHeight="1">
      <c r="AD12124" s="794"/>
    </row>
    <row r="12125" spans="30:30" ht="15.75" customHeight="1">
      <c r="AD12125" s="794"/>
    </row>
    <row r="12126" spans="30:30" ht="15.75" customHeight="1">
      <c r="AD12126" s="794"/>
    </row>
    <row r="12127" spans="30:30" ht="15.75" customHeight="1">
      <c r="AD12127" s="794"/>
    </row>
    <row r="12128" spans="30:30" ht="15.75" customHeight="1">
      <c r="AD12128" s="794"/>
    </row>
    <row r="12129" spans="30:30" ht="15.75" customHeight="1">
      <c r="AD12129" s="794"/>
    </row>
    <row r="12130" spans="30:30" ht="15.75" customHeight="1">
      <c r="AD12130" s="794"/>
    </row>
    <row r="12131" spans="30:30" ht="15.75" customHeight="1">
      <c r="AD12131" s="794"/>
    </row>
    <row r="12132" spans="30:30" ht="15.75" customHeight="1">
      <c r="AD12132" s="794"/>
    </row>
    <row r="12133" spans="30:30" ht="15.75" customHeight="1">
      <c r="AD12133" s="794"/>
    </row>
    <row r="12134" spans="30:30" ht="15.75" customHeight="1">
      <c r="AD12134" s="794"/>
    </row>
    <row r="12135" spans="30:30" ht="15.75" customHeight="1">
      <c r="AD12135" s="794"/>
    </row>
    <row r="12136" spans="30:30" ht="15.75" customHeight="1">
      <c r="AD12136" s="794"/>
    </row>
    <row r="12137" spans="30:30" ht="15.75" customHeight="1">
      <c r="AD12137" s="794"/>
    </row>
    <row r="12138" spans="30:30" ht="15.75" customHeight="1">
      <c r="AD12138" s="794"/>
    </row>
    <row r="12139" spans="30:30" ht="15.75" customHeight="1">
      <c r="AD12139" s="794"/>
    </row>
    <row r="12140" spans="30:30" ht="15.75" customHeight="1">
      <c r="AD12140" s="794"/>
    </row>
    <row r="12141" spans="30:30" ht="15.75" customHeight="1">
      <c r="AD12141" s="794"/>
    </row>
    <row r="12142" spans="30:30" ht="15.75" customHeight="1">
      <c r="AD12142" s="794"/>
    </row>
    <row r="12143" spans="30:30" ht="15.75" customHeight="1">
      <c r="AD12143" s="794"/>
    </row>
    <row r="12144" spans="30:30" ht="15.75" customHeight="1">
      <c r="AD12144" s="794"/>
    </row>
    <row r="12145" spans="30:30" ht="15.75" customHeight="1">
      <c r="AD12145" s="794"/>
    </row>
    <row r="12146" spans="30:30" ht="15.75" customHeight="1">
      <c r="AD12146" s="794"/>
    </row>
    <row r="12147" spans="30:30" ht="15.75" customHeight="1">
      <c r="AD12147" s="794"/>
    </row>
    <row r="12148" spans="30:30" ht="15.75" customHeight="1">
      <c r="AD12148" s="794"/>
    </row>
    <row r="12149" spans="30:30" ht="15.75" customHeight="1">
      <c r="AD12149" s="794"/>
    </row>
    <row r="12150" spans="30:30" ht="15.75" customHeight="1">
      <c r="AD12150" s="794"/>
    </row>
    <row r="12151" spans="30:30" ht="15.75" customHeight="1">
      <c r="AD12151" s="794"/>
    </row>
    <row r="12152" spans="30:30" ht="15.75" customHeight="1">
      <c r="AD12152" s="794"/>
    </row>
    <row r="12153" spans="30:30" ht="15.75" customHeight="1">
      <c r="AD12153" s="794"/>
    </row>
    <row r="12154" spans="30:30" ht="15.75" customHeight="1">
      <c r="AD12154" s="794"/>
    </row>
    <row r="12155" spans="30:30" ht="15.75" customHeight="1">
      <c r="AD12155" s="794"/>
    </row>
    <row r="12156" spans="30:30" ht="15.75" customHeight="1">
      <c r="AD12156" s="794"/>
    </row>
    <row r="12157" spans="30:30" ht="15.75" customHeight="1">
      <c r="AD12157" s="794"/>
    </row>
    <row r="12158" spans="30:30" ht="15.75" customHeight="1">
      <c r="AD12158" s="794"/>
    </row>
    <row r="12159" spans="30:30" ht="15.75" customHeight="1">
      <c r="AD12159" s="794"/>
    </row>
    <row r="12160" spans="30:30" ht="15.75" customHeight="1">
      <c r="AD12160" s="794"/>
    </row>
    <row r="12161" spans="30:30" ht="15.75" customHeight="1">
      <c r="AD12161" s="794"/>
    </row>
    <row r="12162" spans="30:30" ht="15.75" customHeight="1">
      <c r="AD12162" s="794"/>
    </row>
    <row r="12163" spans="30:30" ht="15.75" customHeight="1">
      <c r="AD12163" s="794"/>
    </row>
    <row r="12164" spans="30:30" ht="15.75" customHeight="1">
      <c r="AD12164" s="794"/>
    </row>
    <row r="12165" spans="30:30" ht="15.75" customHeight="1">
      <c r="AD12165" s="794"/>
    </row>
    <row r="12166" spans="30:30" ht="15.75" customHeight="1">
      <c r="AD12166" s="794"/>
    </row>
    <row r="12167" spans="30:30" ht="15.75" customHeight="1">
      <c r="AD12167" s="794"/>
    </row>
    <row r="12168" spans="30:30" ht="15.75" customHeight="1">
      <c r="AD12168" s="794"/>
    </row>
    <row r="12169" spans="30:30" ht="15.75" customHeight="1">
      <c r="AD12169" s="794"/>
    </row>
    <row r="12170" spans="30:30" ht="15.75" customHeight="1">
      <c r="AD12170" s="794"/>
    </row>
    <row r="12171" spans="30:30" ht="15.75" customHeight="1">
      <c r="AD12171" s="794"/>
    </row>
    <row r="12172" spans="30:30" ht="15.75" customHeight="1">
      <c r="AD12172" s="794"/>
    </row>
    <row r="12173" spans="30:30" ht="15.75" customHeight="1">
      <c r="AD12173" s="794"/>
    </row>
    <row r="12174" spans="30:30" ht="15.75" customHeight="1">
      <c r="AD12174" s="794"/>
    </row>
    <row r="12175" spans="30:30" ht="15.75" customHeight="1">
      <c r="AD12175" s="794"/>
    </row>
    <row r="12176" spans="30:30" ht="15.75" customHeight="1">
      <c r="AD12176" s="794"/>
    </row>
    <row r="12177" spans="30:30" ht="15.75" customHeight="1">
      <c r="AD12177" s="794"/>
    </row>
    <row r="12178" spans="30:30" ht="15.75" customHeight="1">
      <c r="AD12178" s="794"/>
    </row>
    <row r="12179" spans="30:30" ht="15.75" customHeight="1">
      <c r="AD12179" s="794"/>
    </row>
    <row r="12180" spans="30:30" ht="15.75" customHeight="1">
      <c r="AD12180" s="794"/>
    </row>
    <row r="12181" spans="30:30" ht="15.75" customHeight="1">
      <c r="AD12181" s="794"/>
    </row>
    <row r="12182" spans="30:30" ht="15.75" customHeight="1">
      <c r="AD12182" s="794"/>
    </row>
    <row r="12183" spans="30:30" ht="15.75" customHeight="1">
      <c r="AD12183" s="794"/>
    </row>
    <row r="12184" spans="30:30" ht="15.75" customHeight="1">
      <c r="AD12184" s="794"/>
    </row>
    <row r="12185" spans="30:30" ht="15.75" customHeight="1">
      <c r="AD12185" s="794"/>
    </row>
    <row r="12186" spans="30:30" ht="15.75" customHeight="1">
      <c r="AD12186" s="794"/>
    </row>
    <row r="12187" spans="30:30" ht="15.75" customHeight="1">
      <c r="AD12187" s="794"/>
    </row>
    <row r="12188" spans="30:30" ht="15.75" customHeight="1">
      <c r="AD12188" s="794"/>
    </row>
    <row r="12189" spans="30:30" ht="15.75" customHeight="1">
      <c r="AD12189" s="794"/>
    </row>
    <row r="12190" spans="30:30" ht="15.75" customHeight="1">
      <c r="AD12190" s="794"/>
    </row>
    <row r="12191" spans="30:30" ht="15.75" customHeight="1">
      <c r="AD12191" s="794"/>
    </row>
    <row r="12192" spans="30:30" ht="15.75" customHeight="1">
      <c r="AD12192" s="794"/>
    </row>
    <row r="12193" spans="30:30" ht="15.75" customHeight="1">
      <c r="AD12193" s="794"/>
    </row>
    <row r="12194" spans="30:30" ht="15.75" customHeight="1">
      <c r="AD12194" s="794"/>
    </row>
    <row r="12195" spans="30:30" ht="15.75" customHeight="1">
      <c r="AD12195" s="794"/>
    </row>
    <row r="12196" spans="30:30" ht="15.75" customHeight="1">
      <c r="AD12196" s="794"/>
    </row>
    <row r="12197" spans="30:30" ht="15.75" customHeight="1">
      <c r="AD12197" s="794"/>
    </row>
    <row r="12198" spans="30:30" ht="15.75" customHeight="1">
      <c r="AD12198" s="794"/>
    </row>
    <row r="12199" spans="30:30" ht="15.75" customHeight="1">
      <c r="AD12199" s="794"/>
    </row>
    <row r="12200" spans="30:30" ht="15.75" customHeight="1">
      <c r="AD12200" s="794"/>
    </row>
    <row r="12201" spans="30:30" ht="15.75" customHeight="1">
      <c r="AD12201" s="794"/>
    </row>
    <row r="12202" spans="30:30" ht="15.75" customHeight="1">
      <c r="AD12202" s="794"/>
    </row>
    <row r="12203" spans="30:30" ht="15.75" customHeight="1">
      <c r="AD12203" s="794"/>
    </row>
    <row r="12204" spans="30:30" ht="15.75" customHeight="1">
      <c r="AD12204" s="794"/>
    </row>
    <row r="12205" spans="30:30" ht="15.75" customHeight="1">
      <c r="AD12205" s="794"/>
    </row>
    <row r="12206" spans="30:30" ht="15.75" customHeight="1">
      <c r="AD12206" s="794"/>
    </row>
    <row r="12207" spans="30:30" ht="15.75" customHeight="1">
      <c r="AD12207" s="794"/>
    </row>
    <row r="12208" spans="30:30" ht="15.75" customHeight="1">
      <c r="AD12208" s="794"/>
    </row>
    <row r="12209" spans="30:30" ht="15.75" customHeight="1">
      <c r="AD12209" s="794"/>
    </row>
    <row r="12210" spans="30:30" ht="15.75" customHeight="1">
      <c r="AD12210" s="794"/>
    </row>
    <row r="12211" spans="30:30" ht="15.75" customHeight="1">
      <c r="AD12211" s="794"/>
    </row>
    <row r="12212" spans="30:30" ht="15.75" customHeight="1">
      <c r="AD12212" s="794"/>
    </row>
    <row r="12213" spans="30:30" ht="15.75" customHeight="1">
      <c r="AD12213" s="794"/>
    </row>
    <row r="12214" spans="30:30" ht="15.75" customHeight="1">
      <c r="AD12214" s="794"/>
    </row>
    <row r="12215" spans="30:30" ht="15.75" customHeight="1">
      <c r="AD12215" s="794"/>
    </row>
    <row r="12216" spans="30:30" ht="15.75" customHeight="1">
      <c r="AD12216" s="794"/>
    </row>
    <row r="12217" spans="30:30" ht="15.75" customHeight="1">
      <c r="AD12217" s="794"/>
    </row>
    <row r="12218" spans="30:30" ht="15.75" customHeight="1">
      <c r="AD12218" s="794"/>
    </row>
    <row r="12219" spans="30:30" ht="15.75" customHeight="1">
      <c r="AD12219" s="794"/>
    </row>
    <row r="12220" spans="30:30" ht="15.75" customHeight="1">
      <c r="AD12220" s="794"/>
    </row>
    <row r="12221" spans="30:30" ht="15.75" customHeight="1">
      <c r="AD12221" s="794"/>
    </row>
    <row r="12222" spans="30:30" ht="15.75" customHeight="1">
      <c r="AD12222" s="794"/>
    </row>
    <row r="12223" spans="30:30" ht="15.75" customHeight="1">
      <c r="AD12223" s="794"/>
    </row>
    <row r="12224" spans="30:30" ht="15.75" customHeight="1">
      <c r="AD12224" s="794"/>
    </row>
    <row r="12225" spans="30:30" ht="15.75" customHeight="1">
      <c r="AD12225" s="794"/>
    </row>
    <row r="12226" spans="30:30" ht="15.75" customHeight="1">
      <c r="AD12226" s="794"/>
    </row>
    <row r="12227" spans="30:30" ht="15.75" customHeight="1">
      <c r="AD12227" s="794"/>
    </row>
    <row r="12228" spans="30:30" ht="15.75" customHeight="1">
      <c r="AD12228" s="794"/>
    </row>
    <row r="12229" spans="30:30" ht="15.75" customHeight="1">
      <c r="AD12229" s="794"/>
    </row>
    <row r="12230" spans="30:30" ht="15.75" customHeight="1">
      <c r="AD12230" s="794"/>
    </row>
    <row r="12231" spans="30:30" ht="15.75" customHeight="1">
      <c r="AD12231" s="794"/>
    </row>
    <row r="12232" spans="30:30" ht="15.75" customHeight="1">
      <c r="AD12232" s="794"/>
    </row>
    <row r="12233" spans="30:30" ht="15.75" customHeight="1">
      <c r="AD12233" s="794"/>
    </row>
    <row r="12234" spans="30:30" ht="15.75" customHeight="1">
      <c r="AD12234" s="794"/>
    </row>
    <row r="12235" spans="30:30" ht="15.75" customHeight="1">
      <c r="AD12235" s="794"/>
    </row>
    <row r="12236" spans="30:30" ht="15.75" customHeight="1">
      <c r="AD12236" s="794"/>
    </row>
    <row r="12237" spans="30:30" ht="15.75" customHeight="1">
      <c r="AD12237" s="794"/>
    </row>
    <row r="12238" spans="30:30" ht="15.75" customHeight="1">
      <c r="AD12238" s="794"/>
    </row>
    <row r="12239" spans="30:30" ht="15.75" customHeight="1">
      <c r="AD12239" s="794"/>
    </row>
    <row r="12240" spans="30:30" ht="15.75" customHeight="1">
      <c r="AD12240" s="794"/>
    </row>
    <row r="12241" spans="30:30" ht="15.75" customHeight="1">
      <c r="AD12241" s="794"/>
    </row>
    <row r="12242" spans="30:30" ht="15.75" customHeight="1">
      <c r="AD12242" s="794"/>
    </row>
    <row r="12243" spans="30:30" ht="15.75" customHeight="1">
      <c r="AD12243" s="794"/>
    </row>
    <row r="12244" spans="30:30" ht="15.75" customHeight="1">
      <c r="AD12244" s="794"/>
    </row>
    <row r="12245" spans="30:30" ht="15.75" customHeight="1">
      <c r="AD12245" s="794"/>
    </row>
    <row r="12246" spans="30:30" ht="15.75" customHeight="1">
      <c r="AD12246" s="794"/>
    </row>
    <row r="12247" spans="30:30" ht="15.75" customHeight="1">
      <c r="AD12247" s="794"/>
    </row>
    <row r="12248" spans="30:30" ht="15.75" customHeight="1">
      <c r="AD12248" s="794"/>
    </row>
    <row r="12249" spans="30:30" ht="15.75" customHeight="1">
      <c r="AD12249" s="794"/>
    </row>
    <row r="12250" spans="30:30" ht="15.75" customHeight="1">
      <c r="AD12250" s="794"/>
    </row>
    <row r="12251" spans="30:30" ht="15.75" customHeight="1">
      <c r="AD12251" s="794"/>
    </row>
    <row r="12252" spans="30:30" ht="15.75" customHeight="1">
      <c r="AD12252" s="794"/>
    </row>
    <row r="12253" spans="30:30" ht="15.75" customHeight="1">
      <c r="AD12253" s="794"/>
    </row>
    <row r="12254" spans="30:30" ht="15.75" customHeight="1">
      <c r="AD12254" s="794"/>
    </row>
    <row r="12255" spans="30:30" ht="15.75" customHeight="1">
      <c r="AD12255" s="794"/>
    </row>
    <row r="12256" spans="30:30" ht="15.75" customHeight="1">
      <c r="AD12256" s="794"/>
    </row>
    <row r="12257" spans="30:30" ht="15.75" customHeight="1">
      <c r="AD12257" s="794"/>
    </row>
    <row r="12258" spans="30:30" ht="15.75" customHeight="1">
      <c r="AD12258" s="794"/>
    </row>
    <row r="12259" spans="30:30" ht="15.75" customHeight="1">
      <c r="AD12259" s="794"/>
    </row>
    <row r="12260" spans="30:30" ht="15.75" customHeight="1">
      <c r="AD12260" s="794"/>
    </row>
    <row r="12261" spans="30:30" ht="15.75" customHeight="1">
      <c r="AD12261" s="794"/>
    </row>
    <row r="12262" spans="30:30" ht="15.75" customHeight="1">
      <c r="AD12262" s="794"/>
    </row>
    <row r="12263" spans="30:30" ht="15.75" customHeight="1">
      <c r="AD12263" s="794"/>
    </row>
    <row r="12264" spans="30:30" ht="15.75" customHeight="1">
      <c r="AD12264" s="794"/>
    </row>
    <row r="12265" spans="30:30" ht="15.75" customHeight="1">
      <c r="AD12265" s="794"/>
    </row>
    <row r="12266" spans="30:30" ht="15.75" customHeight="1">
      <c r="AD12266" s="794"/>
    </row>
    <row r="12267" spans="30:30" ht="15.75" customHeight="1">
      <c r="AD12267" s="794"/>
    </row>
    <row r="12268" spans="30:30" ht="15.75" customHeight="1">
      <c r="AD12268" s="794"/>
    </row>
    <row r="12269" spans="30:30" ht="15.75" customHeight="1">
      <c r="AD12269" s="794"/>
    </row>
    <row r="12270" spans="30:30" ht="15.75" customHeight="1">
      <c r="AD12270" s="794"/>
    </row>
    <row r="12271" spans="30:30" ht="15.75" customHeight="1">
      <c r="AD12271" s="794"/>
    </row>
    <row r="12272" spans="30:30" ht="15.75" customHeight="1">
      <c r="AD12272" s="794"/>
    </row>
    <row r="12273" spans="30:30" ht="15.75" customHeight="1">
      <c r="AD12273" s="794"/>
    </row>
    <row r="12274" spans="30:30" ht="15.75" customHeight="1">
      <c r="AD12274" s="794"/>
    </row>
    <row r="12275" spans="30:30" ht="15.75" customHeight="1">
      <c r="AD12275" s="794"/>
    </row>
    <row r="12276" spans="30:30" ht="15.75" customHeight="1">
      <c r="AD12276" s="794"/>
    </row>
    <row r="12277" spans="30:30" ht="15.75" customHeight="1">
      <c r="AD12277" s="794"/>
    </row>
    <row r="12278" spans="30:30" ht="15.75" customHeight="1">
      <c r="AD12278" s="794"/>
    </row>
    <row r="12279" spans="30:30" ht="15.75" customHeight="1">
      <c r="AD12279" s="794"/>
    </row>
    <row r="12280" spans="30:30" ht="15.75" customHeight="1">
      <c r="AD12280" s="794"/>
    </row>
    <row r="12281" spans="30:30" ht="15.75" customHeight="1">
      <c r="AD12281" s="794"/>
    </row>
    <row r="12282" spans="30:30" ht="15.75" customHeight="1">
      <c r="AD12282" s="794"/>
    </row>
    <row r="12283" spans="30:30" ht="15.75" customHeight="1">
      <c r="AD12283" s="794"/>
    </row>
    <row r="12284" spans="30:30" ht="15.75" customHeight="1">
      <c r="AD12284" s="794"/>
    </row>
    <row r="12285" spans="30:30" ht="15.75" customHeight="1">
      <c r="AD12285" s="794"/>
    </row>
    <row r="12286" spans="30:30" ht="15.75" customHeight="1">
      <c r="AD12286" s="794"/>
    </row>
    <row r="12287" spans="30:30" ht="15.75" customHeight="1">
      <c r="AD12287" s="794"/>
    </row>
    <row r="12288" spans="30:30" ht="15.75" customHeight="1">
      <c r="AD12288" s="794"/>
    </row>
    <row r="12289" spans="30:30" ht="15.75" customHeight="1">
      <c r="AD12289" s="794"/>
    </row>
    <row r="12290" spans="30:30" ht="15.75" customHeight="1">
      <c r="AD12290" s="794"/>
    </row>
    <row r="12291" spans="30:30" ht="15.75" customHeight="1">
      <c r="AD12291" s="794"/>
    </row>
    <row r="12292" spans="30:30" ht="15.75" customHeight="1">
      <c r="AD12292" s="794"/>
    </row>
    <row r="12293" spans="30:30" ht="15.75" customHeight="1">
      <c r="AD12293" s="794"/>
    </row>
    <row r="12294" spans="30:30" ht="15.75" customHeight="1">
      <c r="AD12294" s="794"/>
    </row>
    <row r="12295" spans="30:30" ht="15.75" customHeight="1">
      <c r="AD12295" s="794"/>
    </row>
    <row r="12296" spans="30:30" ht="15.75" customHeight="1">
      <c r="AD12296" s="794"/>
    </row>
    <row r="12297" spans="30:30" ht="15.75" customHeight="1">
      <c r="AD12297" s="794"/>
    </row>
    <row r="12298" spans="30:30" ht="15.75" customHeight="1">
      <c r="AD12298" s="794"/>
    </row>
    <row r="12299" spans="30:30" ht="15.75" customHeight="1">
      <c r="AD12299" s="794"/>
    </row>
    <row r="12300" spans="30:30" ht="15.75" customHeight="1">
      <c r="AD12300" s="794"/>
    </row>
    <row r="12301" spans="30:30" ht="15.75" customHeight="1">
      <c r="AD12301" s="794"/>
    </row>
    <row r="12302" spans="30:30" ht="15.75" customHeight="1">
      <c r="AD12302" s="794"/>
    </row>
    <row r="12303" spans="30:30" ht="15.75" customHeight="1">
      <c r="AD12303" s="794"/>
    </row>
    <row r="12304" spans="30:30" ht="15.75" customHeight="1">
      <c r="AD12304" s="794"/>
    </row>
    <row r="12305" spans="30:30" ht="15.75" customHeight="1">
      <c r="AD12305" s="794"/>
    </row>
    <row r="12306" spans="30:30" ht="15.75" customHeight="1">
      <c r="AD12306" s="794"/>
    </row>
    <row r="12307" spans="30:30" ht="15.75" customHeight="1">
      <c r="AD12307" s="794"/>
    </row>
    <row r="12308" spans="30:30" ht="15.75" customHeight="1">
      <c r="AD12308" s="794"/>
    </row>
    <row r="12309" spans="30:30" ht="15.75" customHeight="1">
      <c r="AD12309" s="794"/>
    </row>
    <row r="12310" spans="30:30" ht="15.75" customHeight="1">
      <c r="AD12310" s="794"/>
    </row>
    <row r="12311" spans="30:30" ht="15.75" customHeight="1">
      <c r="AD12311" s="794"/>
    </row>
    <row r="12312" spans="30:30" ht="15.75" customHeight="1">
      <c r="AD12312" s="794"/>
    </row>
    <row r="12313" spans="30:30" ht="15.75" customHeight="1">
      <c r="AD12313" s="794"/>
    </row>
    <row r="12314" spans="30:30" ht="15.75" customHeight="1">
      <c r="AD12314" s="794"/>
    </row>
    <row r="12315" spans="30:30" ht="15.75" customHeight="1">
      <c r="AD12315" s="794"/>
    </row>
    <row r="12316" spans="30:30" ht="15.75" customHeight="1">
      <c r="AD12316" s="794"/>
    </row>
    <row r="12317" spans="30:30" ht="15.75" customHeight="1">
      <c r="AD12317" s="794"/>
    </row>
    <row r="12318" spans="30:30" ht="15.75" customHeight="1">
      <c r="AD12318" s="794"/>
    </row>
    <row r="12319" spans="30:30" ht="15.75" customHeight="1">
      <c r="AD12319" s="794"/>
    </row>
    <row r="12320" spans="30:30" ht="15.75" customHeight="1">
      <c r="AD12320" s="794"/>
    </row>
    <row r="12321" spans="30:30" ht="15.75" customHeight="1">
      <c r="AD12321" s="794"/>
    </row>
    <row r="12322" spans="30:30" ht="15.75" customHeight="1">
      <c r="AD12322" s="794"/>
    </row>
    <row r="12323" spans="30:30" ht="15.75" customHeight="1">
      <c r="AD12323" s="794"/>
    </row>
    <row r="12324" spans="30:30" ht="15.75" customHeight="1">
      <c r="AD12324" s="794"/>
    </row>
    <row r="12325" spans="30:30" ht="15.75" customHeight="1">
      <c r="AD12325" s="794"/>
    </row>
    <row r="12326" spans="30:30" ht="15.75" customHeight="1">
      <c r="AD12326" s="794"/>
    </row>
    <row r="12327" spans="30:30" ht="15.75" customHeight="1">
      <c r="AD12327" s="794"/>
    </row>
    <row r="12328" spans="30:30" ht="15.75" customHeight="1">
      <c r="AD12328" s="794"/>
    </row>
    <row r="12329" spans="30:30" ht="15.75" customHeight="1">
      <c r="AD12329" s="794"/>
    </row>
    <row r="12330" spans="30:30" ht="15.75" customHeight="1">
      <c r="AD12330" s="794"/>
    </row>
    <row r="12331" spans="30:30" ht="15.75" customHeight="1">
      <c r="AD12331" s="794"/>
    </row>
    <row r="12332" spans="30:30" ht="15.75" customHeight="1">
      <c r="AD12332" s="794"/>
    </row>
    <row r="12333" spans="30:30" ht="15.75" customHeight="1">
      <c r="AD12333" s="794"/>
    </row>
    <row r="12334" spans="30:30" ht="15.75" customHeight="1">
      <c r="AD12334" s="794"/>
    </row>
    <row r="12335" spans="30:30" ht="15.75" customHeight="1">
      <c r="AD12335" s="794"/>
    </row>
    <row r="12336" spans="30:30" ht="15.75" customHeight="1">
      <c r="AD12336" s="794"/>
    </row>
    <row r="12337" spans="30:30" ht="15.75" customHeight="1">
      <c r="AD12337" s="794"/>
    </row>
    <row r="12338" spans="30:30" ht="15.75" customHeight="1">
      <c r="AD12338" s="794"/>
    </row>
    <row r="12339" spans="30:30" ht="15.75" customHeight="1">
      <c r="AD12339" s="794"/>
    </row>
    <row r="12340" spans="30:30" ht="15.75" customHeight="1">
      <c r="AD12340" s="794"/>
    </row>
    <row r="12341" spans="30:30" ht="15.75" customHeight="1">
      <c r="AD12341" s="794"/>
    </row>
    <row r="12342" spans="30:30" ht="15.75" customHeight="1">
      <c r="AD12342" s="794"/>
    </row>
    <row r="12343" spans="30:30" ht="15.75" customHeight="1">
      <c r="AD12343" s="794"/>
    </row>
    <row r="12344" spans="30:30" ht="15.75" customHeight="1">
      <c r="AD12344" s="794"/>
    </row>
    <row r="12345" spans="30:30" ht="15.75" customHeight="1">
      <c r="AD12345" s="794"/>
    </row>
    <row r="12346" spans="30:30" ht="15.75" customHeight="1">
      <c r="AD12346" s="794"/>
    </row>
    <row r="12347" spans="30:30" ht="15.75" customHeight="1">
      <c r="AD12347" s="794"/>
    </row>
    <row r="12348" spans="30:30" ht="15.75" customHeight="1">
      <c r="AD12348" s="794"/>
    </row>
    <row r="12349" spans="30:30" ht="15.75" customHeight="1">
      <c r="AD12349" s="794"/>
    </row>
    <row r="12350" spans="30:30" ht="15.75" customHeight="1">
      <c r="AD12350" s="794"/>
    </row>
    <row r="12351" spans="30:30" ht="15.75" customHeight="1">
      <c r="AD12351" s="794"/>
    </row>
    <row r="12352" spans="30:30" ht="15.75" customHeight="1">
      <c r="AD12352" s="794"/>
    </row>
    <row r="12353" spans="30:30" ht="15.75" customHeight="1">
      <c r="AD12353" s="794"/>
    </row>
    <row r="12354" spans="30:30" ht="15.75" customHeight="1">
      <c r="AD12354" s="794"/>
    </row>
    <row r="12355" spans="30:30" ht="15.75" customHeight="1">
      <c r="AD12355" s="794"/>
    </row>
    <row r="12356" spans="30:30" ht="15.75" customHeight="1">
      <c r="AD12356" s="794"/>
    </row>
    <row r="12357" spans="30:30" ht="15.75" customHeight="1">
      <c r="AD12357" s="794"/>
    </row>
    <row r="12358" spans="30:30" ht="15.75" customHeight="1">
      <c r="AD12358" s="794"/>
    </row>
    <row r="12359" spans="30:30" ht="15.75" customHeight="1">
      <c r="AD12359" s="794"/>
    </row>
    <row r="12360" spans="30:30" ht="15.75" customHeight="1">
      <c r="AD12360" s="794"/>
    </row>
    <row r="12361" spans="30:30" ht="15.75" customHeight="1">
      <c r="AD12361" s="794"/>
    </row>
    <row r="12362" spans="30:30" ht="15.75" customHeight="1">
      <c r="AD12362" s="794"/>
    </row>
    <row r="12363" spans="30:30" ht="15.75" customHeight="1">
      <c r="AD12363" s="794"/>
    </row>
    <row r="12364" spans="30:30" ht="15.75" customHeight="1">
      <c r="AD12364" s="794"/>
    </row>
    <row r="12365" spans="30:30" ht="15.75" customHeight="1">
      <c r="AD12365" s="794"/>
    </row>
    <row r="12366" spans="30:30" ht="15.75" customHeight="1">
      <c r="AD12366" s="794"/>
    </row>
    <row r="12367" spans="30:30" ht="15.75" customHeight="1">
      <c r="AD12367" s="794"/>
    </row>
    <row r="12368" spans="30:30" ht="15.75" customHeight="1">
      <c r="AD12368" s="794"/>
    </row>
    <row r="12369" spans="30:30" ht="15.75" customHeight="1">
      <c r="AD12369" s="794"/>
    </row>
    <row r="12370" spans="30:30" ht="15.75" customHeight="1">
      <c r="AD12370" s="794"/>
    </row>
    <row r="12371" spans="30:30" ht="15.75" customHeight="1">
      <c r="AD12371" s="794"/>
    </row>
    <row r="12372" spans="30:30" ht="15.75" customHeight="1">
      <c r="AD12372" s="794"/>
    </row>
    <row r="12373" spans="30:30" ht="15.75" customHeight="1">
      <c r="AD12373" s="794"/>
    </row>
    <row r="12374" spans="30:30" ht="15.75" customHeight="1">
      <c r="AD12374" s="794"/>
    </row>
    <row r="12375" spans="30:30" ht="15.75" customHeight="1">
      <c r="AD12375" s="794"/>
    </row>
    <row r="12376" spans="30:30" ht="15.75" customHeight="1">
      <c r="AD12376" s="794"/>
    </row>
    <row r="12377" spans="30:30" ht="15.75" customHeight="1">
      <c r="AD12377" s="794"/>
    </row>
    <row r="12378" spans="30:30" ht="15.75" customHeight="1">
      <c r="AD12378" s="794"/>
    </row>
    <row r="12379" spans="30:30" ht="15.75" customHeight="1">
      <c r="AD12379" s="794"/>
    </row>
    <row r="12380" spans="30:30" ht="15.75" customHeight="1">
      <c r="AD12380" s="794"/>
    </row>
    <row r="12381" spans="30:30" ht="15.75" customHeight="1">
      <c r="AD12381" s="794"/>
    </row>
    <row r="12382" spans="30:30" ht="15.75" customHeight="1">
      <c r="AD12382" s="794"/>
    </row>
    <row r="12383" spans="30:30" ht="15.75" customHeight="1">
      <c r="AD12383" s="794"/>
    </row>
    <row r="12384" spans="30:30" ht="15.75" customHeight="1">
      <c r="AD12384" s="794"/>
    </row>
    <row r="12385" spans="30:30" ht="15.75" customHeight="1">
      <c r="AD12385" s="794"/>
    </row>
    <row r="12386" spans="30:30" ht="15.75" customHeight="1">
      <c r="AD12386" s="794"/>
    </row>
    <row r="12387" spans="30:30" ht="15.75" customHeight="1">
      <c r="AD12387" s="794"/>
    </row>
    <row r="12388" spans="30:30" ht="15.75" customHeight="1">
      <c r="AD12388" s="794"/>
    </row>
    <row r="12389" spans="30:30" ht="15.75" customHeight="1">
      <c r="AD12389" s="794"/>
    </row>
    <row r="12390" spans="30:30" ht="15.75" customHeight="1">
      <c r="AD12390" s="794"/>
    </row>
    <row r="12391" spans="30:30" ht="15.75" customHeight="1">
      <c r="AD12391" s="794"/>
    </row>
    <row r="12392" spans="30:30" ht="15.75" customHeight="1">
      <c r="AD12392" s="794"/>
    </row>
    <row r="12393" spans="30:30" ht="15.75" customHeight="1">
      <c r="AD12393" s="794"/>
    </row>
    <row r="12394" spans="30:30" ht="15.75" customHeight="1">
      <c r="AD12394" s="794"/>
    </row>
    <row r="12395" spans="30:30" ht="15.75" customHeight="1">
      <c r="AD12395" s="794"/>
    </row>
    <row r="12396" spans="30:30" ht="15.75" customHeight="1">
      <c r="AD12396" s="794"/>
    </row>
    <row r="12397" spans="30:30" ht="15.75" customHeight="1">
      <c r="AD12397" s="794"/>
    </row>
    <row r="12398" spans="30:30" ht="15.75" customHeight="1">
      <c r="AD12398" s="794"/>
    </row>
    <row r="12399" spans="30:30" ht="15.75" customHeight="1">
      <c r="AD12399" s="794"/>
    </row>
    <row r="12400" spans="30:30" ht="15.75" customHeight="1">
      <c r="AD12400" s="794"/>
    </row>
    <row r="12401" spans="30:30" ht="15.75" customHeight="1">
      <c r="AD12401" s="794"/>
    </row>
    <row r="12402" spans="30:30" ht="15.75" customHeight="1">
      <c r="AD12402" s="794"/>
    </row>
    <row r="12403" spans="30:30" ht="15.75" customHeight="1">
      <c r="AD12403" s="794"/>
    </row>
    <row r="12404" spans="30:30" ht="15.75" customHeight="1">
      <c r="AD12404" s="794"/>
    </row>
    <row r="12405" spans="30:30" ht="15.75" customHeight="1">
      <c r="AD12405" s="794"/>
    </row>
    <row r="12406" spans="30:30" ht="15.75" customHeight="1">
      <c r="AD12406" s="794"/>
    </row>
    <row r="12407" spans="30:30" ht="15.75" customHeight="1">
      <c r="AD12407" s="794"/>
    </row>
    <row r="12408" spans="30:30" ht="15.75" customHeight="1">
      <c r="AD12408" s="794"/>
    </row>
    <row r="12409" spans="30:30" ht="15.75" customHeight="1">
      <c r="AD12409" s="794"/>
    </row>
    <row r="12410" spans="30:30" ht="15.75" customHeight="1">
      <c r="AD12410" s="794"/>
    </row>
    <row r="12411" spans="30:30" ht="15.75" customHeight="1">
      <c r="AD12411" s="794"/>
    </row>
    <row r="12412" spans="30:30" ht="15.75" customHeight="1">
      <c r="AD12412" s="794"/>
    </row>
    <row r="12413" spans="30:30" ht="15.75" customHeight="1">
      <c r="AD12413" s="794"/>
    </row>
    <row r="12414" spans="30:30" ht="15.75" customHeight="1">
      <c r="AD12414" s="794"/>
    </row>
    <row r="12415" spans="30:30" ht="15.75" customHeight="1">
      <c r="AD12415" s="794"/>
    </row>
    <row r="12416" spans="30:30" ht="15.75" customHeight="1">
      <c r="AD12416" s="794"/>
    </row>
    <row r="12417" spans="30:30" ht="15.75" customHeight="1">
      <c r="AD12417" s="794"/>
    </row>
    <row r="12418" spans="30:30" ht="15.75" customHeight="1">
      <c r="AD12418" s="794"/>
    </row>
    <row r="12419" spans="30:30" ht="15.75" customHeight="1">
      <c r="AD12419" s="794"/>
    </row>
    <row r="12420" spans="30:30" ht="15.75" customHeight="1">
      <c r="AD12420" s="794"/>
    </row>
    <row r="12421" spans="30:30" ht="15.75" customHeight="1">
      <c r="AD12421" s="794"/>
    </row>
    <row r="12422" spans="30:30" ht="15.75" customHeight="1">
      <c r="AD12422" s="794"/>
    </row>
    <row r="12423" spans="30:30" ht="15.75" customHeight="1">
      <c r="AD12423" s="794"/>
    </row>
    <row r="12424" spans="30:30" ht="15.75" customHeight="1">
      <c r="AD12424" s="794"/>
    </row>
    <row r="12425" spans="30:30" ht="15.75" customHeight="1">
      <c r="AD12425" s="794"/>
    </row>
    <row r="12426" spans="30:30" ht="15.75" customHeight="1">
      <c r="AD12426" s="794"/>
    </row>
    <row r="12427" spans="30:30" ht="15.75" customHeight="1">
      <c r="AD12427" s="794"/>
    </row>
    <row r="12428" spans="30:30" ht="15.75" customHeight="1">
      <c r="AD12428" s="794"/>
    </row>
    <row r="12429" spans="30:30" ht="15.75" customHeight="1">
      <c r="AD12429" s="794"/>
    </row>
    <row r="12430" spans="30:30" ht="15.75" customHeight="1">
      <c r="AD12430" s="794"/>
    </row>
    <row r="12431" spans="30:30" ht="15.75" customHeight="1">
      <c r="AD12431" s="794"/>
    </row>
    <row r="12432" spans="30:30" ht="15.75" customHeight="1">
      <c r="AD12432" s="794"/>
    </row>
    <row r="12433" spans="30:30" ht="15.75" customHeight="1">
      <c r="AD12433" s="794"/>
    </row>
    <row r="12434" spans="30:30" ht="15.75" customHeight="1">
      <c r="AD12434" s="794"/>
    </row>
    <row r="12435" spans="30:30" ht="15.75" customHeight="1">
      <c r="AD12435" s="794"/>
    </row>
    <row r="12436" spans="30:30" ht="15.75" customHeight="1">
      <c r="AD12436" s="794"/>
    </row>
    <row r="12437" spans="30:30" ht="15.75" customHeight="1">
      <c r="AD12437" s="794"/>
    </row>
    <row r="12438" spans="30:30" ht="15.75" customHeight="1">
      <c r="AD12438" s="794"/>
    </row>
    <row r="12439" spans="30:30" ht="15.75" customHeight="1">
      <c r="AD12439" s="794"/>
    </row>
    <row r="12440" spans="30:30" ht="15.75" customHeight="1">
      <c r="AD12440" s="794"/>
    </row>
    <row r="12441" spans="30:30" ht="15.75" customHeight="1">
      <c r="AD12441" s="794"/>
    </row>
    <row r="12442" spans="30:30" ht="15.75" customHeight="1">
      <c r="AD12442" s="794"/>
    </row>
    <row r="12443" spans="30:30" ht="15.75" customHeight="1">
      <c r="AD12443" s="794"/>
    </row>
    <row r="12444" spans="30:30" ht="15.75" customHeight="1">
      <c r="AD12444" s="794"/>
    </row>
    <row r="12445" spans="30:30" ht="15.75" customHeight="1">
      <c r="AD12445" s="794"/>
    </row>
    <row r="12446" spans="30:30" ht="15.75" customHeight="1">
      <c r="AD12446" s="794"/>
    </row>
    <row r="12447" spans="30:30" ht="15.75" customHeight="1">
      <c r="AD12447" s="794"/>
    </row>
    <row r="12448" spans="30:30" ht="15.75" customHeight="1">
      <c r="AD12448" s="794"/>
    </row>
    <row r="12449" spans="30:30" ht="15.75" customHeight="1">
      <c r="AD12449" s="794"/>
    </row>
    <row r="12450" spans="30:30" ht="15.75" customHeight="1">
      <c r="AD12450" s="794"/>
    </row>
    <row r="12451" spans="30:30" ht="15.75" customHeight="1">
      <c r="AD12451" s="794"/>
    </row>
    <row r="12452" spans="30:30" ht="15.75" customHeight="1">
      <c r="AD12452" s="794"/>
    </row>
    <row r="12453" spans="30:30" ht="15.75" customHeight="1">
      <c r="AD12453" s="794"/>
    </row>
    <row r="12454" spans="30:30" ht="15.75" customHeight="1">
      <c r="AD12454" s="794"/>
    </row>
    <row r="12455" spans="30:30" ht="15.75" customHeight="1">
      <c r="AD12455" s="794"/>
    </row>
    <row r="12456" spans="30:30" ht="15.75" customHeight="1">
      <c r="AD12456" s="794"/>
    </row>
    <row r="12457" spans="30:30" ht="15.75" customHeight="1">
      <c r="AD12457" s="794"/>
    </row>
    <row r="12458" spans="30:30" ht="15.75" customHeight="1">
      <c r="AD12458" s="794"/>
    </row>
    <row r="12459" spans="30:30" ht="15.75" customHeight="1">
      <c r="AD12459" s="794"/>
    </row>
    <row r="12460" spans="30:30" ht="15.75" customHeight="1">
      <c r="AD12460" s="794"/>
    </row>
    <row r="12461" spans="30:30" ht="15.75" customHeight="1">
      <c r="AD12461" s="794"/>
    </row>
    <row r="12462" spans="30:30" ht="15.75" customHeight="1">
      <c r="AD12462" s="794"/>
    </row>
    <row r="12463" spans="30:30" ht="15.75" customHeight="1">
      <c r="AD12463" s="794"/>
    </row>
    <row r="12464" spans="30:30" ht="15.75" customHeight="1">
      <c r="AD12464" s="794"/>
    </row>
    <row r="12465" spans="30:30" ht="15.75" customHeight="1">
      <c r="AD12465" s="794"/>
    </row>
    <row r="12466" spans="30:30" ht="15.75" customHeight="1">
      <c r="AD12466" s="794"/>
    </row>
    <row r="12467" spans="30:30" ht="15.75" customHeight="1">
      <c r="AD12467" s="794"/>
    </row>
    <row r="12468" spans="30:30" ht="15.75" customHeight="1">
      <c r="AD12468" s="794"/>
    </row>
    <row r="12469" spans="30:30" ht="15.75" customHeight="1">
      <c r="AD12469" s="794"/>
    </row>
    <row r="12470" spans="30:30" ht="15.75" customHeight="1">
      <c r="AD12470" s="794"/>
    </row>
    <row r="12471" spans="30:30" ht="15.75" customHeight="1">
      <c r="AD12471" s="794"/>
    </row>
    <row r="12472" spans="30:30" ht="15.75" customHeight="1">
      <c r="AD12472" s="794"/>
    </row>
    <row r="12473" spans="30:30" ht="15.75" customHeight="1">
      <c r="AD12473" s="794"/>
    </row>
    <row r="12474" spans="30:30" ht="15.75" customHeight="1">
      <c r="AD12474" s="794"/>
    </row>
    <row r="12475" spans="30:30" ht="15.75" customHeight="1">
      <c r="AD12475" s="794"/>
    </row>
    <row r="12476" spans="30:30" ht="15.75" customHeight="1">
      <c r="AD12476" s="794"/>
    </row>
    <row r="12477" spans="30:30" ht="15.75" customHeight="1">
      <c r="AD12477" s="794"/>
    </row>
    <row r="12478" spans="30:30" ht="15.75" customHeight="1">
      <c r="AD12478" s="794"/>
    </row>
    <row r="12479" spans="30:30" ht="15.75" customHeight="1">
      <c r="AD12479" s="794"/>
    </row>
    <row r="12480" spans="30:30" ht="15.75" customHeight="1">
      <c r="AD12480" s="794"/>
    </row>
    <row r="12481" spans="30:30" ht="15.75" customHeight="1">
      <c r="AD12481" s="794"/>
    </row>
    <row r="12482" spans="30:30" ht="15.75" customHeight="1">
      <c r="AD12482" s="794"/>
    </row>
    <row r="12483" spans="30:30" ht="15.75" customHeight="1">
      <c r="AD12483" s="794"/>
    </row>
    <row r="12484" spans="30:30" ht="15.75" customHeight="1">
      <c r="AD12484" s="794"/>
    </row>
    <row r="12485" spans="30:30" ht="15.75" customHeight="1">
      <c r="AD12485" s="794"/>
    </row>
    <row r="12486" spans="30:30" ht="15.75" customHeight="1">
      <c r="AD12486" s="794"/>
    </row>
    <row r="12487" spans="30:30" ht="15.75" customHeight="1">
      <c r="AD12487" s="794"/>
    </row>
    <row r="12488" spans="30:30" ht="15.75" customHeight="1">
      <c r="AD12488" s="794"/>
    </row>
    <row r="12489" spans="30:30" ht="15.75" customHeight="1">
      <c r="AD12489" s="794"/>
    </row>
    <row r="12490" spans="30:30" ht="15.75" customHeight="1">
      <c r="AD12490" s="794"/>
    </row>
    <row r="12491" spans="30:30" ht="15.75" customHeight="1">
      <c r="AD12491" s="794"/>
    </row>
    <row r="12492" spans="30:30" ht="15.75" customHeight="1">
      <c r="AD12492" s="794"/>
    </row>
    <row r="12493" spans="30:30" ht="15.75" customHeight="1">
      <c r="AD12493" s="794"/>
    </row>
    <row r="12494" spans="30:30" ht="15.75" customHeight="1">
      <c r="AD12494" s="794"/>
    </row>
    <row r="12495" spans="30:30" ht="15.75" customHeight="1">
      <c r="AD12495" s="794"/>
    </row>
    <row r="12496" spans="30:30" ht="15.75" customHeight="1">
      <c r="AD12496" s="794"/>
    </row>
    <row r="12497" spans="30:30" ht="15.75" customHeight="1">
      <c r="AD12497" s="794"/>
    </row>
    <row r="12498" spans="30:30" ht="15.75" customHeight="1">
      <c r="AD12498" s="794"/>
    </row>
    <row r="12499" spans="30:30" ht="15.75" customHeight="1">
      <c r="AD12499" s="794"/>
    </row>
    <row r="12500" spans="30:30" ht="15.75" customHeight="1">
      <c r="AD12500" s="794"/>
    </row>
    <row r="12501" spans="30:30" ht="15.75" customHeight="1">
      <c r="AD12501" s="794"/>
    </row>
    <row r="12502" spans="30:30" ht="15.75" customHeight="1">
      <c r="AD12502" s="794"/>
    </row>
    <row r="12503" spans="30:30" ht="15.75" customHeight="1">
      <c r="AD12503" s="794"/>
    </row>
    <row r="12504" spans="30:30" ht="15.75" customHeight="1">
      <c r="AD12504" s="794"/>
    </row>
    <row r="12505" spans="30:30" ht="15.75" customHeight="1">
      <c r="AD12505" s="794"/>
    </row>
    <row r="12506" spans="30:30" ht="15.75" customHeight="1">
      <c r="AD12506" s="794"/>
    </row>
    <row r="12507" spans="30:30" ht="15.75" customHeight="1">
      <c r="AD12507" s="794"/>
    </row>
    <row r="12508" spans="30:30" ht="15.75" customHeight="1">
      <c r="AD12508" s="794"/>
    </row>
    <row r="12509" spans="30:30" ht="15.75" customHeight="1">
      <c r="AD12509" s="794"/>
    </row>
    <row r="12510" spans="30:30" ht="15.75" customHeight="1">
      <c r="AD12510" s="794"/>
    </row>
    <row r="12511" spans="30:30" ht="15.75" customHeight="1">
      <c r="AD12511" s="794"/>
    </row>
    <row r="12512" spans="30:30" ht="15.75" customHeight="1">
      <c r="AD12512" s="794"/>
    </row>
    <row r="12513" spans="30:30" ht="15.75" customHeight="1">
      <c r="AD12513" s="794"/>
    </row>
    <row r="12514" spans="30:30" ht="15.75" customHeight="1">
      <c r="AD12514" s="794"/>
    </row>
    <row r="12515" spans="30:30" ht="15.75" customHeight="1">
      <c r="AD12515" s="794"/>
    </row>
    <row r="12516" spans="30:30" ht="15.75" customHeight="1">
      <c r="AD12516" s="794"/>
    </row>
    <row r="12517" spans="30:30" ht="15.75" customHeight="1">
      <c r="AD12517" s="794"/>
    </row>
    <row r="12518" spans="30:30" ht="15.75" customHeight="1">
      <c r="AD12518" s="794"/>
    </row>
    <row r="12519" spans="30:30" ht="15.75" customHeight="1">
      <c r="AD12519" s="794"/>
    </row>
    <row r="12520" spans="30:30" ht="15.75" customHeight="1">
      <c r="AD12520" s="794"/>
    </row>
    <row r="12521" spans="30:30" ht="15.75" customHeight="1">
      <c r="AD12521" s="794"/>
    </row>
    <row r="12522" spans="30:30" ht="15.75" customHeight="1">
      <c r="AD12522" s="794"/>
    </row>
    <row r="12523" spans="30:30" ht="15.75" customHeight="1">
      <c r="AD12523" s="794"/>
    </row>
    <row r="12524" spans="30:30" ht="15.75" customHeight="1">
      <c r="AD12524" s="794"/>
    </row>
    <row r="12525" spans="30:30" ht="15.75" customHeight="1">
      <c r="AD12525" s="794"/>
    </row>
    <row r="12526" spans="30:30" ht="15.75" customHeight="1">
      <c r="AD12526" s="794"/>
    </row>
    <row r="12527" spans="30:30" ht="15.75" customHeight="1">
      <c r="AD12527" s="794"/>
    </row>
    <row r="12528" spans="30:30" ht="15.75" customHeight="1">
      <c r="AD12528" s="794"/>
    </row>
    <row r="12529" spans="30:30" ht="15.75" customHeight="1">
      <c r="AD12529" s="794"/>
    </row>
    <row r="12530" spans="30:30" ht="15.75" customHeight="1">
      <c r="AD12530" s="794"/>
    </row>
    <row r="12531" spans="30:30" ht="15.75" customHeight="1">
      <c r="AD12531" s="794"/>
    </row>
    <row r="12532" spans="30:30" ht="15.75" customHeight="1">
      <c r="AD12532" s="794"/>
    </row>
    <row r="12533" spans="30:30" ht="15.75" customHeight="1">
      <c r="AD12533" s="794"/>
    </row>
    <row r="12534" spans="30:30" ht="15.75" customHeight="1">
      <c r="AD12534" s="794"/>
    </row>
    <row r="12535" spans="30:30" ht="15.75" customHeight="1">
      <c r="AD12535" s="794"/>
    </row>
    <row r="12536" spans="30:30" ht="15.75" customHeight="1">
      <c r="AD12536" s="794"/>
    </row>
    <row r="12537" spans="30:30" ht="15.75" customHeight="1">
      <c r="AD12537" s="794"/>
    </row>
    <row r="12538" spans="30:30" ht="15.75" customHeight="1">
      <c r="AD12538" s="794"/>
    </row>
    <row r="12539" spans="30:30" ht="15.75" customHeight="1">
      <c r="AD12539" s="794"/>
    </row>
    <row r="12540" spans="30:30" ht="15.75" customHeight="1">
      <c r="AD12540" s="794"/>
    </row>
    <row r="12541" spans="30:30" ht="15.75" customHeight="1">
      <c r="AD12541" s="794"/>
    </row>
    <row r="12542" spans="30:30" ht="15.75" customHeight="1">
      <c r="AD12542" s="794"/>
    </row>
    <row r="12543" spans="30:30" ht="15.75" customHeight="1">
      <c r="AD12543" s="794"/>
    </row>
    <row r="12544" spans="30:30" ht="15.75" customHeight="1">
      <c r="AD12544" s="794"/>
    </row>
    <row r="12545" spans="30:30" ht="15.75" customHeight="1">
      <c r="AD12545" s="794"/>
    </row>
    <row r="12546" spans="30:30" ht="15.75" customHeight="1">
      <c r="AD12546" s="794"/>
    </row>
    <row r="12547" spans="30:30" ht="15.75" customHeight="1">
      <c r="AD12547" s="794"/>
    </row>
    <row r="12548" spans="30:30" ht="15.75" customHeight="1">
      <c r="AD12548" s="794"/>
    </row>
    <row r="12549" spans="30:30" ht="15.75" customHeight="1">
      <c r="AD12549" s="794"/>
    </row>
    <row r="12550" spans="30:30" ht="15.75" customHeight="1">
      <c r="AD12550" s="794"/>
    </row>
    <row r="12551" spans="30:30" ht="15.75" customHeight="1">
      <c r="AD12551" s="794"/>
    </row>
    <row r="12552" spans="30:30" ht="15.75" customHeight="1">
      <c r="AD12552" s="794"/>
    </row>
    <row r="12553" spans="30:30" ht="15.75" customHeight="1">
      <c r="AD12553" s="794"/>
    </row>
    <row r="12554" spans="30:30" ht="15.75" customHeight="1">
      <c r="AD12554" s="794"/>
    </row>
    <row r="12555" spans="30:30" ht="15.75" customHeight="1">
      <c r="AD12555" s="794"/>
    </row>
    <row r="12556" spans="30:30" ht="15.75" customHeight="1">
      <c r="AD12556" s="794"/>
    </row>
    <row r="12557" spans="30:30" ht="15.75" customHeight="1">
      <c r="AD12557" s="794"/>
    </row>
    <row r="12558" spans="30:30" ht="15.75" customHeight="1">
      <c r="AD12558" s="794"/>
    </row>
    <row r="12559" spans="30:30" ht="15.75" customHeight="1">
      <c r="AD12559" s="794"/>
    </row>
    <row r="12560" spans="30:30" ht="15.75" customHeight="1">
      <c r="AD12560" s="794"/>
    </row>
    <row r="12561" spans="30:30" ht="15.75" customHeight="1">
      <c r="AD12561" s="794"/>
    </row>
    <row r="12562" spans="30:30" ht="15.75" customHeight="1">
      <c r="AD12562" s="794"/>
    </row>
    <row r="12563" spans="30:30" ht="15.75" customHeight="1">
      <c r="AD12563" s="794"/>
    </row>
    <row r="12564" spans="30:30" ht="15.75" customHeight="1">
      <c r="AD12564" s="794"/>
    </row>
    <row r="12565" spans="30:30" ht="15.75" customHeight="1">
      <c r="AD12565" s="794"/>
    </row>
    <row r="12566" spans="30:30" ht="15.75" customHeight="1">
      <c r="AD12566" s="794"/>
    </row>
    <row r="12567" spans="30:30" ht="15.75" customHeight="1">
      <c r="AD12567" s="794"/>
    </row>
    <row r="12568" spans="30:30" ht="15.75" customHeight="1">
      <c r="AD12568" s="794"/>
    </row>
    <row r="12569" spans="30:30" ht="15.75" customHeight="1">
      <c r="AD12569" s="794"/>
    </row>
    <row r="12570" spans="30:30" ht="15.75" customHeight="1">
      <c r="AD12570" s="794"/>
    </row>
    <row r="12571" spans="30:30" ht="15.75" customHeight="1">
      <c r="AD12571" s="794"/>
    </row>
    <row r="12572" spans="30:30" ht="15.75" customHeight="1">
      <c r="AD12572" s="794"/>
    </row>
    <row r="12573" spans="30:30" ht="15.75" customHeight="1">
      <c r="AD12573" s="794"/>
    </row>
    <row r="12574" spans="30:30" ht="15.75" customHeight="1">
      <c r="AD12574" s="794"/>
    </row>
    <row r="12575" spans="30:30" ht="15.75" customHeight="1">
      <c r="AD12575" s="794"/>
    </row>
    <row r="12576" spans="30:30" ht="15.75" customHeight="1">
      <c r="AD12576" s="794"/>
    </row>
    <row r="12577" spans="30:30" ht="15.75" customHeight="1">
      <c r="AD12577" s="794"/>
    </row>
    <row r="12578" spans="30:30" ht="15.75" customHeight="1">
      <c r="AD12578" s="794"/>
    </row>
    <row r="12579" spans="30:30" ht="15.75" customHeight="1">
      <c r="AD12579" s="794"/>
    </row>
    <row r="12580" spans="30:30" ht="15.75" customHeight="1">
      <c r="AD12580" s="794"/>
    </row>
    <row r="12581" spans="30:30" ht="15.75" customHeight="1">
      <c r="AD12581" s="794"/>
    </row>
    <row r="12582" spans="30:30" ht="15.75" customHeight="1">
      <c r="AD12582" s="794"/>
    </row>
    <row r="12583" spans="30:30" ht="15.75" customHeight="1">
      <c r="AD12583" s="794"/>
    </row>
    <row r="12584" spans="30:30" ht="15.75" customHeight="1">
      <c r="AD12584" s="794"/>
    </row>
    <row r="12585" spans="30:30" ht="15.75" customHeight="1">
      <c r="AD12585" s="794"/>
    </row>
    <row r="12586" spans="30:30" ht="15.75" customHeight="1">
      <c r="AD12586" s="794"/>
    </row>
    <row r="12587" spans="30:30" ht="15.75" customHeight="1">
      <c r="AD12587" s="794"/>
    </row>
    <row r="12588" spans="30:30" ht="15.75" customHeight="1">
      <c r="AD12588" s="794"/>
    </row>
    <row r="12589" spans="30:30" ht="15.75" customHeight="1">
      <c r="AD12589" s="794"/>
    </row>
    <row r="12590" spans="30:30" ht="15.75" customHeight="1">
      <c r="AD12590" s="794"/>
    </row>
    <row r="12591" spans="30:30" ht="15.75" customHeight="1">
      <c r="AD12591" s="794"/>
    </row>
    <row r="12592" spans="30:30" ht="15.75" customHeight="1">
      <c r="AD12592" s="794"/>
    </row>
    <row r="12593" spans="30:30" ht="15.75" customHeight="1">
      <c r="AD12593" s="794"/>
    </row>
    <row r="12594" spans="30:30" ht="15.75" customHeight="1">
      <c r="AD12594" s="794"/>
    </row>
    <row r="12595" spans="30:30" ht="15.75" customHeight="1">
      <c r="AD12595" s="794"/>
    </row>
    <row r="12596" spans="30:30" ht="15.75" customHeight="1">
      <c r="AD12596" s="794"/>
    </row>
    <row r="12597" spans="30:30" ht="15.75" customHeight="1">
      <c r="AD12597" s="794"/>
    </row>
    <row r="12598" spans="30:30" ht="15.75" customHeight="1">
      <c r="AD12598" s="794"/>
    </row>
    <row r="12599" spans="30:30" ht="15.75" customHeight="1">
      <c r="AD12599" s="794"/>
    </row>
    <row r="12600" spans="30:30" ht="15.75" customHeight="1">
      <c r="AD12600" s="794"/>
    </row>
    <row r="12601" spans="30:30" ht="15.75" customHeight="1">
      <c r="AD12601" s="794"/>
    </row>
    <row r="12602" spans="30:30" ht="15.75" customHeight="1">
      <c r="AD12602" s="794"/>
    </row>
    <row r="12603" spans="30:30" ht="15.75" customHeight="1">
      <c r="AD12603" s="794"/>
    </row>
    <row r="12604" spans="30:30" ht="15.75" customHeight="1">
      <c r="AD12604" s="794"/>
    </row>
    <row r="12605" spans="30:30" ht="15.75" customHeight="1">
      <c r="AD12605" s="794"/>
    </row>
    <row r="12606" spans="30:30" ht="15.75" customHeight="1">
      <c r="AD12606" s="794"/>
    </row>
    <row r="12607" spans="30:30" ht="15.75" customHeight="1">
      <c r="AD12607" s="794"/>
    </row>
    <row r="12608" spans="30:30" ht="15.75" customHeight="1">
      <c r="AD12608" s="794"/>
    </row>
    <row r="12609" spans="30:30" ht="15.75" customHeight="1">
      <c r="AD12609" s="794"/>
    </row>
    <row r="12610" spans="30:30" ht="15.75" customHeight="1">
      <c r="AD12610" s="794"/>
    </row>
    <row r="12611" spans="30:30" ht="15.75" customHeight="1">
      <c r="AD12611" s="794"/>
    </row>
    <row r="12612" spans="30:30" ht="15.75" customHeight="1">
      <c r="AD12612" s="794"/>
    </row>
    <row r="12613" spans="30:30" ht="15.75" customHeight="1">
      <c r="AD12613" s="794"/>
    </row>
    <row r="12614" spans="30:30" ht="15.75" customHeight="1">
      <c r="AD12614" s="794"/>
    </row>
    <row r="12615" spans="30:30" ht="15.75" customHeight="1">
      <c r="AD12615" s="794"/>
    </row>
    <row r="12616" spans="30:30" ht="15.75" customHeight="1">
      <c r="AD12616" s="794"/>
    </row>
    <row r="12617" spans="30:30" ht="15.75" customHeight="1">
      <c r="AD12617" s="794"/>
    </row>
    <row r="12618" spans="30:30" ht="15.75" customHeight="1">
      <c r="AD12618" s="794"/>
    </row>
    <row r="12619" spans="30:30" ht="15.75" customHeight="1">
      <c r="AD12619" s="794"/>
    </row>
    <row r="12620" spans="30:30" ht="15.75" customHeight="1">
      <c r="AD12620" s="794"/>
    </row>
    <row r="12621" spans="30:30" ht="15.75" customHeight="1">
      <c r="AD12621" s="794"/>
    </row>
    <row r="12622" spans="30:30" ht="15.75" customHeight="1">
      <c r="AD12622" s="794"/>
    </row>
    <row r="12623" spans="30:30" ht="15.75" customHeight="1">
      <c r="AD12623" s="794"/>
    </row>
    <row r="12624" spans="30:30" ht="15.75" customHeight="1">
      <c r="AD12624" s="794"/>
    </row>
    <row r="12625" spans="30:30" ht="15.75" customHeight="1">
      <c r="AD12625" s="794"/>
    </row>
    <row r="12626" spans="30:30" ht="15.75" customHeight="1">
      <c r="AD12626" s="794"/>
    </row>
    <row r="12627" spans="30:30" ht="15.75" customHeight="1">
      <c r="AD12627" s="794"/>
    </row>
    <row r="12628" spans="30:30" ht="15.75" customHeight="1">
      <c r="AD12628" s="794"/>
    </row>
    <row r="12629" spans="30:30" ht="15.75" customHeight="1">
      <c r="AD12629" s="794"/>
    </row>
    <row r="12630" spans="30:30" ht="15.75" customHeight="1">
      <c r="AD12630" s="794"/>
    </row>
    <row r="12631" spans="30:30" ht="15.75" customHeight="1">
      <c r="AD12631" s="794"/>
    </row>
    <row r="12632" spans="30:30" ht="15.75" customHeight="1">
      <c r="AD12632" s="794"/>
    </row>
    <row r="12633" spans="30:30" ht="15.75" customHeight="1">
      <c r="AD12633" s="794"/>
    </row>
    <row r="12634" spans="30:30" ht="15.75" customHeight="1">
      <c r="AD12634" s="794"/>
    </row>
    <row r="12635" spans="30:30" ht="15.75" customHeight="1">
      <c r="AD12635" s="794"/>
    </row>
    <row r="12636" spans="30:30" ht="15.75" customHeight="1">
      <c r="AD12636" s="794"/>
    </row>
    <row r="12637" spans="30:30" ht="15.75" customHeight="1">
      <c r="AD12637" s="794"/>
    </row>
    <row r="12638" spans="30:30" ht="15.75" customHeight="1">
      <c r="AD12638" s="794"/>
    </row>
    <row r="12639" spans="30:30" ht="15.75" customHeight="1">
      <c r="AD12639" s="794"/>
    </row>
    <row r="12640" spans="30:30" ht="15.75" customHeight="1">
      <c r="AD12640" s="794"/>
    </row>
    <row r="12641" spans="30:30" ht="15.75" customHeight="1">
      <c r="AD12641" s="794"/>
    </row>
    <row r="12642" spans="30:30" ht="15.75" customHeight="1">
      <c r="AD12642" s="794"/>
    </row>
    <row r="12643" spans="30:30" ht="15.75" customHeight="1">
      <c r="AD12643" s="794"/>
    </row>
    <row r="12644" spans="30:30" ht="15.75" customHeight="1">
      <c r="AD12644" s="794"/>
    </row>
    <row r="12645" spans="30:30" ht="15.75" customHeight="1">
      <c r="AD12645" s="794"/>
    </row>
    <row r="12646" spans="30:30" ht="15.75" customHeight="1">
      <c r="AD12646" s="794"/>
    </row>
    <row r="12647" spans="30:30" ht="15.75" customHeight="1">
      <c r="AD12647" s="794"/>
    </row>
    <row r="12648" spans="30:30" ht="15.75" customHeight="1">
      <c r="AD12648" s="794"/>
    </row>
    <row r="12649" spans="30:30" ht="15.75" customHeight="1">
      <c r="AD12649" s="794"/>
    </row>
    <row r="12650" spans="30:30" ht="15.75" customHeight="1">
      <c r="AD12650" s="794"/>
    </row>
    <row r="12651" spans="30:30" ht="15.75" customHeight="1">
      <c r="AD12651" s="794"/>
    </row>
    <row r="12652" spans="30:30" ht="15.75" customHeight="1">
      <c r="AD12652" s="794"/>
    </row>
    <row r="12653" spans="30:30" ht="15.75" customHeight="1">
      <c r="AD12653" s="794"/>
    </row>
    <row r="12654" spans="30:30" ht="15.75" customHeight="1">
      <c r="AD12654" s="794"/>
    </row>
    <row r="12655" spans="30:30" ht="15.75" customHeight="1">
      <c r="AD12655" s="794"/>
    </row>
    <row r="12656" spans="30:30" ht="15.75" customHeight="1">
      <c r="AD12656" s="794"/>
    </row>
    <row r="12657" spans="30:30" ht="15.75" customHeight="1">
      <c r="AD12657" s="794"/>
    </row>
    <row r="12658" spans="30:30" ht="15.75" customHeight="1">
      <c r="AD12658" s="794"/>
    </row>
    <row r="12659" spans="30:30" ht="15.75" customHeight="1">
      <c r="AD12659" s="794"/>
    </row>
    <row r="12660" spans="30:30" ht="15.75" customHeight="1">
      <c r="AD12660" s="794"/>
    </row>
    <row r="12661" spans="30:30" ht="15.75" customHeight="1">
      <c r="AD12661" s="794"/>
    </row>
    <row r="12662" spans="30:30" ht="15.75" customHeight="1">
      <c r="AD12662" s="794"/>
    </row>
    <row r="12663" spans="30:30" ht="15.75" customHeight="1">
      <c r="AD12663" s="794"/>
    </row>
    <row r="12664" spans="30:30" ht="15.75" customHeight="1">
      <c r="AD12664" s="794"/>
    </row>
    <row r="12665" spans="30:30" ht="15.75" customHeight="1">
      <c r="AD12665" s="794"/>
    </row>
    <row r="12666" spans="30:30" ht="15.75" customHeight="1">
      <c r="AD12666" s="794"/>
    </row>
    <row r="12667" spans="30:30" ht="15.75" customHeight="1">
      <c r="AD12667" s="794"/>
    </row>
    <row r="12668" spans="30:30" ht="15.75" customHeight="1">
      <c r="AD12668" s="794"/>
    </row>
    <row r="12669" spans="30:30" ht="15.75" customHeight="1">
      <c r="AD12669" s="794"/>
    </row>
    <row r="12670" spans="30:30" ht="15.75" customHeight="1">
      <c r="AD12670" s="794"/>
    </row>
    <row r="12671" spans="30:30" ht="15.75" customHeight="1">
      <c r="AD12671" s="794"/>
    </row>
    <row r="12672" spans="30:30" ht="15.75" customHeight="1">
      <c r="AD12672" s="794"/>
    </row>
    <row r="12673" spans="30:30" ht="15.75" customHeight="1">
      <c r="AD12673" s="794"/>
    </row>
    <row r="12674" spans="30:30" ht="15.75" customHeight="1">
      <c r="AD12674" s="794"/>
    </row>
    <row r="12675" spans="30:30" ht="15.75" customHeight="1">
      <c r="AD12675" s="794"/>
    </row>
    <row r="12676" spans="30:30" ht="15.75" customHeight="1">
      <c r="AD12676" s="794"/>
    </row>
    <row r="12677" spans="30:30" ht="15.75" customHeight="1">
      <c r="AD12677" s="794"/>
    </row>
    <row r="12678" spans="30:30" ht="15.75" customHeight="1">
      <c r="AD12678" s="794"/>
    </row>
    <row r="12679" spans="30:30" ht="15.75" customHeight="1">
      <c r="AD12679" s="794"/>
    </row>
    <row r="12680" spans="30:30" ht="15.75" customHeight="1">
      <c r="AD12680" s="794"/>
    </row>
    <row r="12681" spans="30:30" ht="15.75" customHeight="1">
      <c r="AD12681" s="794"/>
    </row>
    <row r="12682" spans="30:30" ht="15.75" customHeight="1">
      <c r="AD12682" s="794"/>
    </row>
    <row r="12683" spans="30:30" ht="15.75" customHeight="1">
      <c r="AD12683" s="794"/>
    </row>
    <row r="12684" spans="30:30" ht="15.75" customHeight="1">
      <c r="AD12684" s="794"/>
    </row>
    <row r="12685" spans="30:30" ht="15.75" customHeight="1">
      <c r="AD12685" s="794"/>
    </row>
    <row r="12686" spans="30:30" ht="15.75" customHeight="1">
      <c r="AD12686" s="794"/>
    </row>
    <row r="12687" spans="30:30" ht="15.75" customHeight="1">
      <c r="AD12687" s="794"/>
    </row>
    <row r="12688" spans="30:30" ht="15.75" customHeight="1">
      <c r="AD12688" s="794"/>
    </row>
    <row r="12689" spans="30:30" ht="15.75" customHeight="1">
      <c r="AD12689" s="794"/>
    </row>
    <row r="12690" spans="30:30" ht="15.75" customHeight="1">
      <c r="AD12690" s="794"/>
    </row>
    <row r="12691" spans="30:30" ht="15.75" customHeight="1">
      <c r="AD12691" s="794"/>
    </row>
    <row r="12692" spans="30:30" ht="15.75" customHeight="1">
      <c r="AD12692" s="794"/>
    </row>
    <row r="12693" spans="30:30" ht="15.75" customHeight="1">
      <c r="AD12693" s="794"/>
    </row>
    <row r="12694" spans="30:30" ht="15.75" customHeight="1">
      <c r="AD12694" s="794"/>
    </row>
    <row r="12695" spans="30:30" ht="15.75" customHeight="1">
      <c r="AD12695" s="794"/>
    </row>
    <row r="12696" spans="30:30" ht="15.75" customHeight="1">
      <c r="AD12696" s="794"/>
    </row>
    <row r="12697" spans="30:30" ht="15.75" customHeight="1">
      <c r="AD12697" s="794"/>
    </row>
    <row r="12698" spans="30:30" ht="15.75" customHeight="1">
      <c r="AD12698" s="794"/>
    </row>
    <row r="12699" spans="30:30" ht="15.75" customHeight="1">
      <c r="AD12699" s="794"/>
    </row>
    <row r="12700" spans="30:30" ht="15.75" customHeight="1">
      <c r="AD12700" s="794"/>
    </row>
    <row r="12701" spans="30:30" ht="15.75" customHeight="1">
      <c r="AD12701" s="794"/>
    </row>
    <row r="12702" spans="30:30" ht="15.75" customHeight="1">
      <c r="AD12702" s="794"/>
    </row>
    <row r="12703" spans="30:30" ht="15.75" customHeight="1">
      <c r="AD12703" s="794"/>
    </row>
    <row r="12704" spans="30:30" ht="15.75" customHeight="1">
      <c r="AD12704" s="794"/>
    </row>
    <row r="12705" spans="30:30" ht="15.75" customHeight="1">
      <c r="AD12705" s="794"/>
    </row>
    <row r="12706" spans="30:30" ht="15.75" customHeight="1">
      <c r="AD12706" s="794"/>
    </row>
    <row r="12707" spans="30:30" ht="15.75" customHeight="1">
      <c r="AD12707" s="794"/>
    </row>
    <row r="12708" spans="30:30" ht="15.75" customHeight="1">
      <c r="AD12708" s="794"/>
    </row>
    <row r="12709" spans="30:30" ht="15.75" customHeight="1">
      <c r="AD12709" s="794"/>
    </row>
    <row r="12710" spans="30:30" ht="15.75" customHeight="1">
      <c r="AD12710" s="794"/>
    </row>
    <row r="12711" spans="30:30" ht="15.75" customHeight="1">
      <c r="AD12711" s="794"/>
    </row>
    <row r="12712" spans="30:30" ht="15.75" customHeight="1">
      <c r="AD12712" s="794"/>
    </row>
    <row r="12713" spans="30:30" ht="15.75" customHeight="1">
      <c r="AD12713" s="794"/>
    </row>
    <row r="12714" spans="30:30" ht="15.75" customHeight="1">
      <c r="AD12714" s="794"/>
    </row>
    <row r="12715" spans="30:30" ht="15.75" customHeight="1">
      <c r="AD12715" s="794"/>
    </row>
    <row r="12716" spans="30:30" ht="15.75" customHeight="1">
      <c r="AD12716" s="794"/>
    </row>
    <row r="12717" spans="30:30" ht="15.75" customHeight="1">
      <c r="AD12717" s="794"/>
    </row>
    <row r="12718" spans="30:30" ht="15.75" customHeight="1">
      <c r="AD12718" s="794"/>
    </row>
    <row r="12719" spans="30:30" ht="15.75" customHeight="1">
      <c r="AD12719" s="794"/>
    </row>
    <row r="12720" spans="30:30" ht="15.75" customHeight="1">
      <c r="AD12720" s="794"/>
    </row>
    <row r="12721" spans="30:30" ht="15.75" customHeight="1">
      <c r="AD12721" s="794"/>
    </row>
    <row r="12722" spans="30:30" ht="15.75" customHeight="1">
      <c r="AD12722" s="794"/>
    </row>
    <row r="12723" spans="30:30" ht="15.75" customHeight="1">
      <c r="AD12723" s="794"/>
    </row>
    <row r="12724" spans="30:30" ht="15.75" customHeight="1">
      <c r="AD12724" s="794"/>
    </row>
    <row r="12725" spans="30:30" ht="15.75" customHeight="1">
      <c r="AD12725" s="794"/>
    </row>
    <row r="12726" spans="30:30" ht="15.75" customHeight="1">
      <c r="AD12726" s="794"/>
    </row>
    <row r="12727" spans="30:30" ht="15.75" customHeight="1">
      <c r="AD12727" s="794"/>
    </row>
    <row r="12728" spans="30:30" ht="15.75" customHeight="1">
      <c r="AD12728" s="794"/>
    </row>
    <row r="12729" spans="30:30" ht="15.75" customHeight="1">
      <c r="AD12729" s="794"/>
    </row>
    <row r="12730" spans="30:30" ht="15.75" customHeight="1">
      <c r="AD12730" s="794"/>
    </row>
    <row r="12731" spans="30:30" ht="15.75" customHeight="1">
      <c r="AD12731" s="794"/>
    </row>
    <row r="12732" spans="30:30" ht="15.75" customHeight="1">
      <c r="AD12732" s="794"/>
    </row>
    <row r="12733" spans="30:30" ht="15.75" customHeight="1">
      <c r="AD12733" s="794"/>
    </row>
    <row r="12734" spans="30:30" ht="15.75" customHeight="1">
      <c r="AD12734" s="794"/>
    </row>
    <row r="12735" spans="30:30" ht="15.75" customHeight="1">
      <c r="AD12735" s="794"/>
    </row>
    <row r="12736" spans="30:30" ht="15.75" customHeight="1">
      <c r="AD12736" s="794"/>
    </row>
    <row r="12737" spans="30:30" ht="15.75" customHeight="1">
      <c r="AD12737" s="794"/>
    </row>
    <row r="12738" spans="30:30" ht="15.75" customHeight="1">
      <c r="AD12738" s="794"/>
    </row>
    <row r="12739" spans="30:30" ht="15.75" customHeight="1">
      <c r="AD12739" s="794"/>
    </row>
    <row r="12740" spans="30:30" ht="15.75" customHeight="1">
      <c r="AD12740" s="794"/>
    </row>
    <row r="12741" spans="30:30" ht="15.75" customHeight="1">
      <c r="AD12741" s="794"/>
    </row>
    <row r="12742" spans="30:30" ht="15.75" customHeight="1">
      <c r="AD12742" s="794"/>
    </row>
    <row r="12743" spans="30:30" ht="15.75" customHeight="1">
      <c r="AD12743" s="794"/>
    </row>
    <row r="12744" spans="30:30" ht="15.75" customHeight="1">
      <c r="AD12744" s="794"/>
    </row>
    <row r="12745" spans="30:30" ht="15.75" customHeight="1">
      <c r="AD12745" s="794"/>
    </row>
    <row r="12746" spans="30:30" ht="15.75" customHeight="1">
      <c r="AD12746" s="794"/>
    </row>
    <row r="12747" spans="30:30" ht="15.75" customHeight="1">
      <c r="AD12747" s="794"/>
    </row>
    <row r="12748" spans="30:30" ht="15.75" customHeight="1">
      <c r="AD12748" s="794"/>
    </row>
    <row r="12749" spans="30:30" ht="15.75" customHeight="1">
      <c r="AD12749" s="794"/>
    </row>
    <row r="12750" spans="30:30" ht="15.75" customHeight="1">
      <c r="AD12750" s="794"/>
    </row>
    <row r="12751" spans="30:30" ht="15.75" customHeight="1">
      <c r="AD12751" s="794"/>
    </row>
    <row r="12752" spans="30:30" ht="15.75" customHeight="1">
      <c r="AD12752" s="794"/>
    </row>
    <row r="12753" spans="30:30" ht="15.75" customHeight="1">
      <c r="AD12753" s="794"/>
    </row>
    <row r="12754" spans="30:30" ht="15.75" customHeight="1">
      <c r="AD12754" s="794"/>
    </row>
    <row r="12755" spans="30:30" ht="15.75" customHeight="1">
      <c r="AD12755" s="794"/>
    </row>
    <row r="12756" spans="30:30" ht="15.75" customHeight="1">
      <c r="AD12756" s="794"/>
    </row>
    <row r="12757" spans="30:30" ht="15.75" customHeight="1">
      <c r="AD12757" s="794"/>
    </row>
    <row r="12758" spans="30:30" ht="15.75" customHeight="1">
      <c r="AD12758" s="794"/>
    </row>
    <row r="12759" spans="30:30" ht="15.75" customHeight="1">
      <c r="AD12759" s="794"/>
    </row>
    <row r="12760" spans="30:30" ht="15.75" customHeight="1">
      <c r="AD12760" s="794"/>
    </row>
    <row r="12761" spans="30:30" ht="15.75" customHeight="1">
      <c r="AD12761" s="794"/>
    </row>
    <row r="12762" spans="30:30" ht="15.75" customHeight="1">
      <c r="AD12762" s="794"/>
    </row>
    <row r="12763" spans="30:30" ht="15.75" customHeight="1">
      <c r="AD12763" s="794"/>
    </row>
    <row r="12764" spans="30:30" ht="15.75" customHeight="1">
      <c r="AD12764" s="794"/>
    </row>
    <row r="12765" spans="30:30" ht="15.75" customHeight="1">
      <c r="AD12765" s="794"/>
    </row>
    <row r="12766" spans="30:30" ht="15.75" customHeight="1">
      <c r="AD12766" s="794"/>
    </row>
    <row r="12767" spans="30:30" ht="15.75" customHeight="1">
      <c r="AD12767" s="794"/>
    </row>
    <row r="12768" spans="30:30" ht="15.75" customHeight="1">
      <c r="AD12768" s="794"/>
    </row>
    <row r="12769" spans="30:30" ht="15.75" customHeight="1">
      <c r="AD12769" s="794"/>
    </row>
    <row r="12770" spans="30:30" ht="15.75" customHeight="1">
      <c r="AD12770" s="794"/>
    </row>
    <row r="12771" spans="30:30" ht="15.75" customHeight="1">
      <c r="AD12771" s="794"/>
    </row>
    <row r="12772" spans="30:30" ht="15.75" customHeight="1">
      <c r="AD12772" s="794"/>
    </row>
    <row r="12773" spans="30:30" ht="15.75" customHeight="1">
      <c r="AD12773" s="794"/>
    </row>
    <row r="12774" spans="30:30" ht="15.75" customHeight="1">
      <c r="AD12774" s="794"/>
    </row>
    <row r="12775" spans="30:30" ht="15.75" customHeight="1">
      <c r="AD12775" s="794"/>
    </row>
    <row r="12776" spans="30:30" ht="15.75" customHeight="1">
      <c r="AD12776" s="794"/>
    </row>
    <row r="12777" spans="30:30" ht="15.75" customHeight="1">
      <c r="AD12777" s="794"/>
    </row>
    <row r="12778" spans="30:30" ht="15.75" customHeight="1">
      <c r="AD12778" s="794"/>
    </row>
    <row r="12779" spans="30:30" ht="15.75" customHeight="1">
      <c r="AD12779" s="794"/>
    </row>
    <row r="12780" spans="30:30" ht="15.75" customHeight="1">
      <c r="AD12780" s="794"/>
    </row>
    <row r="12781" spans="30:30" ht="15.75" customHeight="1">
      <c r="AD12781" s="794"/>
    </row>
    <row r="12782" spans="30:30" ht="15.75" customHeight="1">
      <c r="AD12782" s="794"/>
    </row>
    <row r="12783" spans="30:30" ht="15.75" customHeight="1">
      <c r="AD12783" s="794"/>
    </row>
    <row r="12784" spans="30:30" ht="15.75" customHeight="1">
      <c r="AD12784" s="794"/>
    </row>
    <row r="12785" spans="30:30" ht="15.75" customHeight="1">
      <c r="AD12785" s="794"/>
    </row>
    <row r="12786" spans="30:30" ht="15.75" customHeight="1">
      <c r="AD12786" s="794"/>
    </row>
    <row r="12787" spans="30:30" ht="15.75" customHeight="1">
      <c r="AD12787" s="794"/>
    </row>
    <row r="12788" spans="30:30" ht="15.75" customHeight="1">
      <c r="AD12788" s="794"/>
    </row>
    <row r="12789" spans="30:30" ht="15.75" customHeight="1">
      <c r="AD12789" s="794"/>
    </row>
    <row r="12790" spans="30:30" ht="15.75" customHeight="1">
      <c r="AD12790" s="794"/>
    </row>
    <row r="12791" spans="30:30" ht="15.75" customHeight="1">
      <c r="AD12791" s="794"/>
    </row>
    <row r="12792" spans="30:30" ht="15.75" customHeight="1">
      <c r="AD12792" s="794"/>
    </row>
    <row r="12793" spans="30:30" ht="15.75" customHeight="1">
      <c r="AD12793" s="794"/>
    </row>
    <row r="12794" spans="30:30" ht="15.75" customHeight="1">
      <c r="AD12794" s="794"/>
    </row>
    <row r="12795" spans="30:30" ht="15.75" customHeight="1">
      <c r="AD12795" s="794"/>
    </row>
    <row r="12796" spans="30:30" ht="15.75" customHeight="1">
      <c r="AD12796" s="794"/>
    </row>
    <row r="12797" spans="30:30" ht="15.75" customHeight="1">
      <c r="AD12797" s="794"/>
    </row>
    <row r="12798" spans="30:30" ht="15.75" customHeight="1">
      <c r="AD12798" s="794"/>
    </row>
    <row r="12799" spans="30:30" ht="15.75" customHeight="1">
      <c r="AD12799" s="794"/>
    </row>
    <row r="12800" spans="30:30" ht="15.75" customHeight="1">
      <c r="AD12800" s="794"/>
    </row>
    <row r="12801" spans="30:30" ht="15.75" customHeight="1">
      <c r="AD12801" s="794"/>
    </row>
    <row r="12802" spans="30:30" ht="15.75" customHeight="1">
      <c r="AD12802" s="794"/>
    </row>
    <row r="12803" spans="30:30" ht="15.75" customHeight="1">
      <c r="AD12803" s="794"/>
    </row>
    <row r="12804" spans="30:30" ht="15.75" customHeight="1">
      <c r="AD12804" s="794"/>
    </row>
    <row r="12805" spans="30:30" ht="15.75" customHeight="1">
      <c r="AD12805" s="794"/>
    </row>
    <row r="12806" spans="30:30" ht="15.75" customHeight="1">
      <c r="AD12806" s="794"/>
    </row>
    <row r="12807" spans="30:30" ht="15.75" customHeight="1">
      <c r="AD12807" s="794"/>
    </row>
    <row r="12808" spans="30:30" ht="15.75" customHeight="1">
      <c r="AD12808" s="794"/>
    </row>
    <row r="12809" spans="30:30" ht="15.75" customHeight="1">
      <c r="AD12809" s="794"/>
    </row>
    <row r="12810" spans="30:30" ht="15.75" customHeight="1">
      <c r="AD12810" s="794"/>
    </row>
    <row r="12811" spans="30:30" ht="15.75" customHeight="1">
      <c r="AD12811" s="794"/>
    </row>
    <row r="12812" spans="30:30" ht="15.75" customHeight="1">
      <c r="AD12812" s="794"/>
    </row>
    <row r="12813" spans="30:30" ht="15.75" customHeight="1">
      <c r="AD12813" s="794"/>
    </row>
    <row r="12814" spans="30:30" ht="15.75" customHeight="1">
      <c r="AD12814" s="794"/>
    </row>
    <row r="12815" spans="30:30" ht="15.75" customHeight="1">
      <c r="AD12815" s="794"/>
    </row>
    <row r="12816" spans="30:30" ht="15.75" customHeight="1">
      <c r="AD12816" s="794"/>
    </row>
    <row r="12817" spans="30:30" ht="15.75" customHeight="1">
      <c r="AD12817" s="794"/>
    </row>
    <row r="12818" spans="30:30" ht="15.75" customHeight="1">
      <c r="AD12818" s="794"/>
    </row>
    <row r="12819" spans="30:30" ht="15.75" customHeight="1">
      <c r="AD12819" s="794"/>
    </row>
    <row r="12820" spans="30:30" ht="15.75" customHeight="1">
      <c r="AD12820" s="794"/>
    </row>
    <row r="12821" spans="30:30" ht="15.75" customHeight="1">
      <c r="AD12821" s="794"/>
    </row>
    <row r="12822" spans="30:30" ht="15.75" customHeight="1">
      <c r="AD12822" s="794"/>
    </row>
    <row r="12823" spans="30:30" ht="15.75" customHeight="1">
      <c r="AD12823" s="794"/>
    </row>
    <row r="12824" spans="30:30" ht="15.75" customHeight="1">
      <c r="AD12824" s="794"/>
    </row>
    <row r="12825" spans="30:30" ht="15.75" customHeight="1">
      <c r="AD12825" s="794"/>
    </row>
    <row r="12826" spans="30:30" ht="15.75" customHeight="1">
      <c r="AD12826" s="794"/>
    </row>
    <row r="12827" spans="30:30" ht="15.75" customHeight="1">
      <c r="AD12827" s="794"/>
    </row>
    <row r="12828" spans="30:30" ht="15.75" customHeight="1">
      <c r="AD12828" s="794"/>
    </row>
    <row r="12829" spans="30:30" ht="15.75" customHeight="1">
      <c r="AD12829" s="794"/>
    </row>
    <row r="12830" spans="30:30" ht="15.75" customHeight="1">
      <c r="AD12830" s="794"/>
    </row>
    <row r="12831" spans="30:30" ht="15.75" customHeight="1">
      <c r="AD12831" s="794"/>
    </row>
    <row r="12832" spans="30:30" ht="15.75" customHeight="1">
      <c r="AD12832" s="794"/>
    </row>
    <row r="12833" spans="30:30" ht="15.75" customHeight="1">
      <c r="AD12833" s="794"/>
    </row>
    <row r="12834" spans="30:30" ht="15.75" customHeight="1">
      <c r="AD12834" s="794"/>
    </row>
    <row r="12835" spans="30:30" ht="15.75" customHeight="1">
      <c r="AD12835" s="794"/>
    </row>
    <row r="12836" spans="30:30" ht="15.75" customHeight="1">
      <c r="AD12836" s="794"/>
    </row>
    <row r="12837" spans="30:30" ht="15.75" customHeight="1">
      <c r="AD12837" s="794"/>
    </row>
    <row r="12838" spans="30:30" ht="15.75" customHeight="1">
      <c r="AD12838" s="794"/>
    </row>
    <row r="12839" spans="30:30" ht="15.75" customHeight="1">
      <c r="AD12839" s="794"/>
    </row>
    <row r="12840" spans="30:30" ht="15.75" customHeight="1">
      <c r="AD12840" s="794"/>
    </row>
    <row r="12841" spans="30:30" ht="15.75" customHeight="1">
      <c r="AD12841" s="794"/>
    </row>
    <row r="12842" spans="30:30" ht="15.75" customHeight="1">
      <c r="AD12842" s="794"/>
    </row>
    <row r="12843" spans="30:30" ht="15.75" customHeight="1">
      <c r="AD12843" s="794"/>
    </row>
    <row r="12844" spans="30:30" ht="15.75" customHeight="1">
      <c r="AD12844" s="794"/>
    </row>
    <row r="12845" spans="30:30" ht="15.75" customHeight="1">
      <c r="AD12845" s="794"/>
    </row>
    <row r="12846" spans="30:30" ht="15.75" customHeight="1">
      <c r="AD12846" s="794"/>
    </row>
    <row r="12847" spans="30:30" ht="15.75" customHeight="1">
      <c r="AD12847" s="794"/>
    </row>
    <row r="12848" spans="30:30" ht="15.75" customHeight="1">
      <c r="AD12848" s="794"/>
    </row>
    <row r="12849" spans="30:30" ht="15.75" customHeight="1">
      <c r="AD12849" s="794"/>
    </row>
    <row r="12850" spans="30:30" ht="15.75" customHeight="1">
      <c r="AD12850" s="794"/>
    </row>
    <row r="12851" spans="30:30" ht="15.75" customHeight="1">
      <c r="AD12851" s="794"/>
    </row>
    <row r="12852" spans="30:30" ht="15.75" customHeight="1">
      <c r="AD12852" s="794"/>
    </row>
    <row r="12853" spans="30:30" ht="15.75" customHeight="1">
      <c r="AD12853" s="794"/>
    </row>
    <row r="12854" spans="30:30" ht="15.75" customHeight="1">
      <c r="AD12854" s="794"/>
    </row>
    <row r="12855" spans="30:30" ht="15.75" customHeight="1">
      <c r="AD12855" s="794"/>
    </row>
    <row r="12856" spans="30:30" ht="15.75" customHeight="1">
      <c r="AD12856" s="794"/>
    </row>
    <row r="12857" spans="30:30" ht="15.75" customHeight="1">
      <c r="AD12857" s="794"/>
    </row>
    <row r="12858" spans="30:30" ht="15.75" customHeight="1">
      <c r="AD12858" s="794"/>
    </row>
    <row r="12859" spans="30:30" ht="15.75" customHeight="1">
      <c r="AD12859" s="794"/>
    </row>
    <row r="12860" spans="30:30" ht="15.75" customHeight="1">
      <c r="AD12860" s="794"/>
    </row>
    <row r="12861" spans="30:30" ht="15.75" customHeight="1">
      <c r="AD12861" s="794"/>
    </row>
    <row r="12862" spans="30:30" ht="15.75" customHeight="1">
      <c r="AD12862" s="794"/>
    </row>
    <row r="12863" spans="30:30" ht="15.75" customHeight="1">
      <c r="AD12863" s="794"/>
    </row>
    <row r="12864" spans="30:30" ht="15.75" customHeight="1">
      <c r="AD12864" s="794"/>
    </row>
    <row r="12865" spans="30:30" ht="15.75" customHeight="1">
      <c r="AD12865" s="794"/>
    </row>
    <row r="12866" spans="30:30" ht="15.75" customHeight="1">
      <c r="AD12866" s="794"/>
    </row>
    <row r="12867" spans="30:30" ht="15.75" customHeight="1">
      <c r="AD12867" s="794"/>
    </row>
    <row r="12868" spans="30:30" ht="15.75" customHeight="1">
      <c r="AD12868" s="794"/>
    </row>
    <row r="12869" spans="30:30" ht="15.75" customHeight="1">
      <c r="AD12869" s="794"/>
    </row>
    <row r="12870" spans="30:30" ht="15.75" customHeight="1">
      <c r="AD12870" s="794"/>
    </row>
    <row r="12871" spans="30:30" ht="15.75" customHeight="1">
      <c r="AD12871" s="794"/>
    </row>
    <row r="12872" spans="30:30" ht="15.75" customHeight="1">
      <c r="AD12872" s="794"/>
    </row>
    <row r="12873" spans="30:30" ht="15.75" customHeight="1">
      <c r="AD12873" s="794"/>
    </row>
    <row r="12874" spans="30:30" ht="15.75" customHeight="1">
      <c r="AD12874" s="794"/>
    </row>
    <row r="12875" spans="30:30" ht="15.75" customHeight="1">
      <c r="AD12875" s="794"/>
    </row>
    <row r="12876" spans="30:30" ht="15.75" customHeight="1">
      <c r="AD12876" s="794"/>
    </row>
    <row r="12877" spans="30:30" ht="15.75" customHeight="1">
      <c r="AD12877" s="794"/>
    </row>
    <row r="12878" spans="30:30" ht="15.75" customHeight="1">
      <c r="AD12878" s="794"/>
    </row>
    <row r="12879" spans="30:30" ht="15.75" customHeight="1">
      <c r="AD12879" s="794"/>
    </row>
    <row r="12880" spans="30:30" ht="15.75" customHeight="1">
      <c r="AD12880" s="794"/>
    </row>
    <row r="12881" spans="30:30" ht="15.75" customHeight="1">
      <c r="AD12881" s="794"/>
    </row>
    <row r="12882" spans="30:30" ht="15.75" customHeight="1">
      <c r="AD12882" s="794"/>
    </row>
    <row r="12883" spans="30:30" ht="15.75" customHeight="1">
      <c r="AD12883" s="794"/>
    </row>
    <row r="12884" spans="30:30" ht="15.75" customHeight="1">
      <c r="AD12884" s="794"/>
    </row>
    <row r="12885" spans="30:30" ht="15.75" customHeight="1">
      <c r="AD12885" s="794"/>
    </row>
    <row r="12886" spans="30:30" ht="15.75" customHeight="1">
      <c r="AD12886" s="794"/>
    </row>
    <row r="12887" spans="30:30" ht="15.75" customHeight="1">
      <c r="AD12887" s="794"/>
    </row>
    <row r="12888" spans="30:30" ht="15.75" customHeight="1">
      <c r="AD12888" s="794"/>
    </row>
    <row r="12889" spans="30:30" ht="15.75" customHeight="1">
      <c r="AD12889" s="794"/>
    </row>
    <row r="12890" spans="30:30" ht="15.75" customHeight="1">
      <c r="AD12890" s="794"/>
    </row>
    <row r="12891" spans="30:30" ht="15.75" customHeight="1">
      <c r="AD12891" s="794"/>
    </row>
    <row r="12892" spans="30:30" ht="15.75" customHeight="1">
      <c r="AD12892" s="794"/>
    </row>
    <row r="12893" spans="30:30" ht="15.75" customHeight="1">
      <c r="AD12893" s="794"/>
    </row>
    <row r="12894" spans="30:30" ht="15.75" customHeight="1">
      <c r="AD12894" s="794"/>
    </row>
    <row r="12895" spans="30:30" ht="15.75" customHeight="1">
      <c r="AD12895" s="794"/>
    </row>
    <row r="12896" spans="30:30" ht="15.75" customHeight="1">
      <c r="AD12896" s="794"/>
    </row>
    <row r="12897" spans="30:30" ht="15.75" customHeight="1">
      <c r="AD12897" s="794"/>
    </row>
    <row r="12898" spans="30:30" ht="15.75" customHeight="1">
      <c r="AD12898" s="794"/>
    </row>
    <row r="12899" spans="30:30" ht="15.75" customHeight="1">
      <c r="AD12899" s="794"/>
    </row>
    <row r="12900" spans="30:30" ht="15.75" customHeight="1">
      <c r="AD12900" s="794"/>
    </row>
    <row r="12901" spans="30:30" ht="15.75" customHeight="1">
      <c r="AD12901" s="794"/>
    </row>
    <row r="12902" spans="30:30" ht="15.75" customHeight="1">
      <c r="AD12902" s="794"/>
    </row>
    <row r="12903" spans="30:30" ht="15.75" customHeight="1">
      <c r="AD12903" s="794"/>
    </row>
    <row r="12904" spans="30:30" ht="15.75" customHeight="1">
      <c r="AD12904" s="794"/>
    </row>
    <row r="12905" spans="30:30" ht="15.75" customHeight="1">
      <c r="AD12905" s="794"/>
    </row>
    <row r="12906" spans="30:30" ht="15.75" customHeight="1">
      <c r="AD12906" s="794"/>
    </row>
    <row r="12907" spans="30:30" ht="15.75" customHeight="1">
      <c r="AD12907" s="794"/>
    </row>
    <row r="12908" spans="30:30" ht="15.75" customHeight="1">
      <c r="AD12908" s="794"/>
    </row>
    <row r="12909" spans="30:30" ht="15.75" customHeight="1">
      <c r="AD12909" s="794"/>
    </row>
    <row r="12910" spans="30:30" ht="15.75" customHeight="1">
      <c r="AD12910" s="794"/>
    </row>
    <row r="12911" spans="30:30" ht="15.75" customHeight="1">
      <c r="AD12911" s="794"/>
    </row>
    <row r="12912" spans="30:30" ht="15.75" customHeight="1">
      <c r="AD12912" s="794"/>
    </row>
    <row r="12913" spans="30:30" ht="15.75" customHeight="1">
      <c r="AD12913" s="794"/>
    </row>
    <row r="12914" spans="30:30" ht="15.75" customHeight="1">
      <c r="AD12914" s="794"/>
    </row>
    <row r="12915" spans="30:30" ht="15.75" customHeight="1">
      <c r="AD12915" s="794"/>
    </row>
    <row r="12916" spans="30:30" ht="15.75" customHeight="1">
      <c r="AD12916" s="794"/>
    </row>
    <row r="12917" spans="30:30" ht="15.75" customHeight="1">
      <c r="AD12917" s="794"/>
    </row>
    <row r="12918" spans="30:30" ht="15.75" customHeight="1">
      <c r="AD12918" s="794"/>
    </row>
    <row r="12919" spans="30:30" ht="15.75" customHeight="1">
      <c r="AD12919" s="794"/>
    </row>
    <row r="12920" spans="30:30" ht="15.75" customHeight="1">
      <c r="AD12920" s="794"/>
    </row>
    <row r="12921" spans="30:30" ht="15.75" customHeight="1">
      <c r="AD12921" s="794"/>
    </row>
    <row r="12922" spans="30:30" ht="15.75" customHeight="1">
      <c r="AD12922" s="794"/>
    </row>
    <row r="12923" spans="30:30" ht="15.75" customHeight="1">
      <c r="AD12923" s="794"/>
    </row>
    <row r="12924" spans="30:30" ht="15.75" customHeight="1">
      <c r="AD12924" s="794"/>
    </row>
    <row r="12925" spans="30:30" ht="15.75" customHeight="1">
      <c r="AD12925" s="794"/>
    </row>
    <row r="12926" spans="30:30" ht="15.75" customHeight="1">
      <c r="AD12926" s="794"/>
    </row>
    <row r="12927" spans="30:30" ht="15.75" customHeight="1">
      <c r="AD12927" s="794"/>
    </row>
    <row r="12928" spans="30:30" ht="15.75" customHeight="1">
      <c r="AD12928" s="794"/>
    </row>
    <row r="12929" spans="30:30" ht="15.75" customHeight="1">
      <c r="AD12929" s="794"/>
    </row>
    <row r="12930" spans="30:30" ht="15.75" customHeight="1">
      <c r="AD12930" s="794"/>
    </row>
    <row r="12931" spans="30:30" ht="15.75" customHeight="1">
      <c r="AD12931" s="794"/>
    </row>
    <row r="12932" spans="30:30" ht="15.75" customHeight="1">
      <c r="AD12932" s="794"/>
    </row>
    <row r="12933" spans="30:30" ht="15.75" customHeight="1">
      <c r="AD12933" s="794"/>
    </row>
    <row r="12934" spans="30:30" ht="15.75" customHeight="1">
      <c r="AD12934" s="794"/>
    </row>
    <row r="12935" spans="30:30" ht="15.75" customHeight="1">
      <c r="AD12935" s="794"/>
    </row>
    <row r="12936" spans="30:30" ht="15.75" customHeight="1">
      <c r="AD12936" s="794"/>
    </row>
    <row r="12937" spans="30:30" ht="15.75" customHeight="1">
      <c r="AD12937" s="794"/>
    </row>
    <row r="12938" spans="30:30" ht="15.75" customHeight="1">
      <c r="AD12938" s="794"/>
    </row>
    <row r="12939" spans="30:30" ht="15.75" customHeight="1">
      <c r="AD12939" s="794"/>
    </row>
    <row r="12940" spans="30:30" ht="15.75" customHeight="1">
      <c r="AD12940" s="794"/>
    </row>
    <row r="12941" spans="30:30" ht="15.75" customHeight="1">
      <c r="AD12941" s="794"/>
    </row>
    <row r="12942" spans="30:30" ht="15.75" customHeight="1">
      <c r="AD12942" s="794"/>
    </row>
    <row r="12943" spans="30:30" ht="15.75" customHeight="1">
      <c r="AD12943" s="794"/>
    </row>
    <row r="12944" spans="30:30" ht="15.75" customHeight="1">
      <c r="AD12944" s="794"/>
    </row>
    <row r="12945" spans="30:30" ht="15.75" customHeight="1">
      <c r="AD12945" s="794"/>
    </row>
    <row r="12946" spans="30:30" ht="15.75" customHeight="1">
      <c r="AD12946" s="794"/>
    </row>
    <row r="12947" spans="30:30" ht="15.75" customHeight="1">
      <c r="AD12947" s="794"/>
    </row>
    <row r="12948" spans="30:30" ht="15.75" customHeight="1">
      <c r="AD12948" s="794"/>
    </row>
    <row r="12949" spans="30:30" ht="15.75" customHeight="1">
      <c r="AD12949" s="794"/>
    </row>
    <row r="12950" spans="30:30" ht="15.75" customHeight="1">
      <c r="AD12950" s="794"/>
    </row>
    <row r="12951" spans="30:30" ht="15.75" customHeight="1">
      <c r="AD12951" s="794"/>
    </row>
    <row r="12952" spans="30:30" ht="15.75" customHeight="1">
      <c r="AD12952" s="794"/>
    </row>
    <row r="12953" spans="30:30" ht="15.75" customHeight="1">
      <c r="AD12953" s="794"/>
    </row>
    <row r="12954" spans="30:30" ht="15.75" customHeight="1">
      <c r="AD12954" s="794"/>
    </row>
    <row r="12955" spans="30:30" ht="15.75" customHeight="1">
      <c r="AD12955" s="794"/>
    </row>
    <row r="12956" spans="30:30" ht="15.75" customHeight="1">
      <c r="AD12956" s="794"/>
    </row>
    <row r="12957" spans="30:30" ht="15.75" customHeight="1">
      <c r="AD12957" s="794"/>
    </row>
    <row r="12958" spans="30:30" ht="15.75" customHeight="1">
      <c r="AD12958" s="794"/>
    </row>
    <row r="12959" spans="30:30" ht="15.75" customHeight="1">
      <c r="AD12959" s="794"/>
    </row>
    <row r="12960" spans="30:30" ht="15.75" customHeight="1">
      <c r="AD12960" s="794"/>
    </row>
    <row r="12961" spans="30:30" ht="15.75" customHeight="1">
      <c r="AD12961" s="794"/>
    </row>
    <row r="12962" spans="30:30" ht="15.75" customHeight="1">
      <c r="AD12962" s="794"/>
    </row>
    <row r="12963" spans="30:30" ht="15.75" customHeight="1">
      <c r="AD12963" s="794"/>
    </row>
    <row r="12964" spans="30:30" ht="15.75" customHeight="1">
      <c r="AD12964" s="794"/>
    </row>
    <row r="12965" spans="30:30" ht="15.75" customHeight="1">
      <c r="AD12965" s="794"/>
    </row>
    <row r="12966" spans="30:30" ht="15.75" customHeight="1">
      <c r="AD12966" s="794"/>
    </row>
    <row r="12967" spans="30:30" ht="15.75" customHeight="1">
      <c r="AD12967" s="794"/>
    </row>
    <row r="12968" spans="30:30" ht="15.75" customHeight="1">
      <c r="AD12968" s="794"/>
    </row>
    <row r="12969" spans="30:30" ht="15.75" customHeight="1">
      <c r="AD12969" s="794"/>
    </row>
    <row r="12970" spans="30:30" ht="15.75" customHeight="1">
      <c r="AD12970" s="794"/>
    </row>
    <row r="12971" spans="30:30" ht="15.75" customHeight="1">
      <c r="AD12971" s="794"/>
    </row>
    <row r="12972" spans="30:30" ht="15.75" customHeight="1">
      <c r="AD12972" s="794"/>
    </row>
    <row r="12973" spans="30:30" ht="15.75" customHeight="1">
      <c r="AD12973" s="794"/>
    </row>
    <row r="12974" spans="30:30" ht="15.75" customHeight="1">
      <c r="AD12974" s="794"/>
    </row>
    <row r="12975" spans="30:30" ht="15.75" customHeight="1">
      <c r="AD12975" s="794"/>
    </row>
    <row r="12976" spans="30:30" ht="15.75" customHeight="1">
      <c r="AD12976" s="794"/>
    </row>
    <row r="12977" spans="30:30" ht="15.75" customHeight="1">
      <c r="AD12977" s="794"/>
    </row>
    <row r="12978" spans="30:30" ht="15.75" customHeight="1">
      <c r="AD12978" s="794"/>
    </row>
    <row r="12979" spans="30:30" ht="15.75" customHeight="1">
      <c r="AD12979" s="794"/>
    </row>
    <row r="12980" spans="30:30" ht="15.75" customHeight="1">
      <c r="AD12980" s="794"/>
    </row>
    <row r="12981" spans="30:30" ht="15.75" customHeight="1">
      <c r="AD12981" s="794"/>
    </row>
    <row r="12982" spans="30:30" ht="15.75" customHeight="1">
      <c r="AD12982" s="794"/>
    </row>
    <row r="12983" spans="30:30" ht="15.75" customHeight="1">
      <c r="AD12983" s="794"/>
    </row>
    <row r="12984" spans="30:30" ht="15.75" customHeight="1">
      <c r="AD12984" s="794"/>
    </row>
    <row r="12985" spans="30:30" ht="15.75" customHeight="1">
      <c r="AD12985" s="794"/>
    </row>
    <row r="12986" spans="30:30" ht="15.75" customHeight="1">
      <c r="AD12986" s="794"/>
    </row>
    <row r="12987" spans="30:30" ht="15.75" customHeight="1">
      <c r="AD12987" s="794"/>
    </row>
    <row r="12988" spans="30:30" ht="15.75" customHeight="1">
      <c r="AD12988" s="794"/>
    </row>
    <row r="12989" spans="30:30" ht="15.75" customHeight="1">
      <c r="AD12989" s="794"/>
    </row>
    <row r="12990" spans="30:30" ht="15.75" customHeight="1">
      <c r="AD12990" s="794"/>
    </row>
    <row r="12991" spans="30:30" ht="15.75" customHeight="1">
      <c r="AD12991" s="794"/>
    </row>
    <row r="12992" spans="30:30" ht="15.75" customHeight="1">
      <c r="AD12992" s="794"/>
    </row>
    <row r="12993" spans="30:30" ht="15.75" customHeight="1">
      <c r="AD12993" s="794"/>
    </row>
    <row r="12994" spans="30:30" ht="15.75" customHeight="1">
      <c r="AD12994" s="794"/>
    </row>
    <row r="12995" spans="30:30" ht="15.75" customHeight="1">
      <c r="AD12995" s="794"/>
    </row>
    <row r="12996" spans="30:30" ht="15.75" customHeight="1">
      <c r="AD12996" s="794"/>
    </row>
    <row r="12997" spans="30:30" ht="15.75" customHeight="1">
      <c r="AD12997" s="794"/>
    </row>
    <row r="12998" spans="30:30" ht="15.75" customHeight="1">
      <c r="AD12998" s="794"/>
    </row>
    <row r="12999" spans="30:30" ht="15.75" customHeight="1">
      <c r="AD12999" s="794"/>
    </row>
    <row r="13000" spans="30:30" ht="15.75" customHeight="1">
      <c r="AD13000" s="794"/>
    </row>
    <row r="13001" spans="30:30" ht="15.75" customHeight="1">
      <c r="AD13001" s="794"/>
    </row>
    <row r="13002" spans="30:30" ht="15.75" customHeight="1">
      <c r="AD13002" s="794"/>
    </row>
    <row r="13003" spans="30:30" ht="15.75" customHeight="1">
      <c r="AD13003" s="794"/>
    </row>
    <row r="13004" spans="30:30" ht="15.75" customHeight="1">
      <c r="AD13004" s="794"/>
    </row>
    <row r="13005" spans="30:30" ht="15.75" customHeight="1">
      <c r="AD13005" s="794"/>
    </row>
    <row r="13006" spans="30:30" ht="15.75" customHeight="1">
      <c r="AD13006" s="794"/>
    </row>
    <row r="13007" spans="30:30" ht="15.75" customHeight="1">
      <c r="AD13007" s="794"/>
    </row>
    <row r="13008" spans="30:30" ht="15.75" customHeight="1">
      <c r="AD13008" s="794"/>
    </row>
    <row r="13009" spans="30:30" ht="15.75" customHeight="1">
      <c r="AD13009" s="794"/>
    </row>
    <row r="13010" spans="30:30" ht="15.75" customHeight="1">
      <c r="AD13010" s="794"/>
    </row>
    <row r="13011" spans="30:30" ht="15.75" customHeight="1">
      <c r="AD13011" s="794"/>
    </row>
    <row r="13012" spans="30:30" ht="15.75" customHeight="1">
      <c r="AD13012" s="794"/>
    </row>
    <row r="13013" spans="30:30" ht="15.75" customHeight="1">
      <c r="AD13013" s="794"/>
    </row>
    <row r="13014" spans="30:30" ht="15.75" customHeight="1">
      <c r="AD13014" s="794"/>
    </row>
    <row r="13015" spans="30:30" ht="15.75" customHeight="1">
      <c r="AD13015" s="794"/>
    </row>
    <row r="13016" spans="30:30" ht="15.75" customHeight="1">
      <c r="AD13016" s="794"/>
    </row>
    <row r="13017" spans="30:30" ht="15.75" customHeight="1">
      <c r="AD13017" s="794"/>
    </row>
    <row r="13018" spans="30:30" ht="15.75" customHeight="1">
      <c r="AD13018" s="794"/>
    </row>
    <row r="13019" spans="30:30" ht="15.75" customHeight="1">
      <c r="AD13019" s="794"/>
    </row>
    <row r="13020" spans="30:30" ht="15.75" customHeight="1">
      <c r="AD13020" s="794"/>
    </row>
    <row r="13021" spans="30:30" ht="15.75" customHeight="1">
      <c r="AD13021" s="794"/>
    </row>
    <row r="13022" spans="30:30" ht="15.75" customHeight="1">
      <c r="AD13022" s="794"/>
    </row>
    <row r="13023" spans="30:30" ht="15.75" customHeight="1">
      <c r="AD13023" s="794"/>
    </row>
    <row r="13024" spans="30:30" ht="15.75" customHeight="1">
      <c r="AD13024" s="794"/>
    </row>
    <row r="13025" spans="30:30" ht="15.75" customHeight="1">
      <c r="AD13025" s="794"/>
    </row>
    <row r="13026" spans="30:30" ht="15.75" customHeight="1">
      <c r="AD13026" s="794"/>
    </row>
    <row r="13027" spans="30:30" ht="15.75" customHeight="1">
      <c r="AD13027" s="794"/>
    </row>
    <row r="13028" spans="30:30" ht="15.75" customHeight="1">
      <c r="AD13028" s="794"/>
    </row>
    <row r="13029" spans="30:30" ht="15.75" customHeight="1">
      <c r="AD13029" s="794"/>
    </row>
    <row r="13030" spans="30:30" ht="15.75" customHeight="1">
      <c r="AD13030" s="794"/>
    </row>
    <row r="13031" spans="30:30" ht="15.75" customHeight="1">
      <c r="AD13031" s="794"/>
    </row>
    <row r="13032" spans="30:30" ht="15.75" customHeight="1">
      <c r="AD13032" s="794"/>
    </row>
    <row r="13033" spans="30:30" ht="15.75" customHeight="1">
      <c r="AD13033" s="794"/>
    </row>
    <row r="13034" spans="30:30" ht="15.75" customHeight="1">
      <c r="AD13034" s="794"/>
    </row>
    <row r="13035" spans="30:30" ht="15.75" customHeight="1">
      <c r="AD13035" s="794"/>
    </row>
    <row r="13036" spans="30:30" ht="15.75" customHeight="1">
      <c r="AD13036" s="794"/>
    </row>
    <row r="13037" spans="30:30" ht="15.75" customHeight="1">
      <c r="AD13037" s="794"/>
    </row>
    <row r="13038" spans="30:30" ht="15.75" customHeight="1">
      <c r="AD13038" s="794"/>
    </row>
    <row r="13039" spans="30:30" ht="15.75" customHeight="1">
      <c r="AD13039" s="794"/>
    </row>
    <row r="13040" spans="30:30" ht="15.75" customHeight="1">
      <c r="AD13040" s="794"/>
    </row>
    <row r="13041" spans="30:30" ht="15.75" customHeight="1">
      <c r="AD13041" s="794"/>
    </row>
    <row r="13042" spans="30:30" ht="15.75" customHeight="1">
      <c r="AD13042" s="794"/>
    </row>
    <row r="13043" spans="30:30" ht="15.75" customHeight="1">
      <c r="AD13043" s="794"/>
    </row>
    <row r="13044" spans="30:30" ht="15.75" customHeight="1">
      <c r="AD13044" s="794"/>
    </row>
    <row r="13045" spans="30:30" ht="15.75" customHeight="1">
      <c r="AD13045" s="794"/>
    </row>
    <row r="13046" spans="30:30" ht="15.75" customHeight="1">
      <c r="AD13046" s="794"/>
    </row>
    <row r="13047" spans="30:30" ht="15.75" customHeight="1">
      <c r="AD13047" s="794"/>
    </row>
    <row r="13048" spans="30:30" ht="15.75" customHeight="1">
      <c r="AD13048" s="794"/>
    </row>
    <row r="13049" spans="30:30" ht="15.75" customHeight="1">
      <c r="AD13049" s="794"/>
    </row>
    <row r="13050" spans="30:30" ht="15.75" customHeight="1">
      <c r="AD13050" s="794"/>
    </row>
    <row r="13051" spans="30:30" ht="15.75" customHeight="1">
      <c r="AD13051" s="794"/>
    </row>
    <row r="13052" spans="30:30" ht="15.75" customHeight="1">
      <c r="AD13052" s="794"/>
    </row>
    <row r="13053" spans="30:30" ht="15.75" customHeight="1">
      <c r="AD13053" s="794"/>
    </row>
    <row r="13054" spans="30:30" ht="15.75" customHeight="1">
      <c r="AD13054" s="794"/>
    </row>
    <row r="13055" spans="30:30" ht="15.75" customHeight="1">
      <c r="AD13055" s="794"/>
    </row>
    <row r="13056" spans="30:30" ht="15.75" customHeight="1">
      <c r="AD13056" s="794"/>
    </row>
    <row r="13057" spans="30:30" ht="15.75" customHeight="1">
      <c r="AD13057" s="794"/>
    </row>
    <row r="13058" spans="30:30" ht="15.75" customHeight="1">
      <c r="AD13058" s="794"/>
    </row>
    <row r="13059" spans="30:30" ht="15.75" customHeight="1">
      <c r="AD13059" s="794"/>
    </row>
    <row r="13060" spans="30:30" ht="15.75" customHeight="1">
      <c r="AD13060" s="794"/>
    </row>
    <row r="13061" spans="30:30" ht="15.75" customHeight="1">
      <c r="AD13061" s="794"/>
    </row>
    <row r="13062" spans="30:30" ht="15.75" customHeight="1">
      <c r="AD13062" s="794"/>
    </row>
    <row r="13063" spans="30:30" ht="15.75" customHeight="1">
      <c r="AD13063" s="794"/>
    </row>
    <row r="13064" spans="30:30" ht="15.75" customHeight="1">
      <c r="AD13064" s="794"/>
    </row>
    <row r="13065" spans="30:30" ht="15.75" customHeight="1">
      <c r="AD13065" s="794"/>
    </row>
    <row r="13066" spans="30:30" ht="15.75" customHeight="1">
      <c r="AD13066" s="794"/>
    </row>
    <row r="13067" spans="30:30" ht="15.75" customHeight="1">
      <c r="AD13067" s="794"/>
    </row>
    <row r="13068" spans="30:30" ht="15.75" customHeight="1">
      <c r="AD13068" s="794"/>
    </row>
    <row r="13069" spans="30:30" ht="15.75" customHeight="1">
      <c r="AD13069" s="794"/>
    </row>
    <row r="13070" spans="30:30" ht="15.75" customHeight="1">
      <c r="AD13070" s="794"/>
    </row>
    <row r="13071" spans="30:30" ht="15.75" customHeight="1">
      <c r="AD13071" s="794"/>
    </row>
    <row r="13072" spans="30:30" ht="15.75" customHeight="1">
      <c r="AD13072" s="794"/>
    </row>
    <row r="13073" spans="30:30" ht="15.75" customHeight="1">
      <c r="AD13073" s="794"/>
    </row>
    <row r="13074" spans="30:30" ht="15.75" customHeight="1">
      <c r="AD13074" s="794"/>
    </row>
    <row r="13075" spans="30:30" ht="15.75" customHeight="1">
      <c r="AD13075" s="794"/>
    </row>
    <row r="13076" spans="30:30" ht="15.75" customHeight="1">
      <c r="AD13076" s="794"/>
    </row>
    <row r="13077" spans="30:30" ht="15.75" customHeight="1">
      <c r="AD13077" s="794"/>
    </row>
    <row r="13078" spans="30:30" ht="15.75" customHeight="1">
      <c r="AD13078" s="794"/>
    </row>
    <row r="13079" spans="30:30" ht="15.75" customHeight="1">
      <c r="AD13079" s="794"/>
    </row>
    <row r="13080" spans="30:30" ht="15.75" customHeight="1">
      <c r="AD13080" s="794"/>
    </row>
    <row r="13081" spans="30:30" ht="15.75" customHeight="1">
      <c r="AD13081" s="794"/>
    </row>
    <row r="13082" spans="30:30" ht="15.75" customHeight="1">
      <c r="AD13082" s="794"/>
    </row>
    <row r="13083" spans="30:30" ht="15.75" customHeight="1">
      <c r="AD13083" s="794"/>
    </row>
    <row r="13084" spans="30:30" ht="15.75" customHeight="1">
      <c r="AD13084" s="794"/>
    </row>
    <row r="13085" spans="30:30" ht="15.75" customHeight="1">
      <c r="AD13085" s="794"/>
    </row>
    <row r="13086" spans="30:30" ht="15.75" customHeight="1">
      <c r="AD13086" s="794"/>
    </row>
    <row r="13087" spans="30:30" ht="15.75" customHeight="1">
      <c r="AD13087" s="794"/>
    </row>
    <row r="13088" spans="30:30" ht="15.75" customHeight="1">
      <c r="AD13088" s="794"/>
    </row>
    <row r="13089" spans="30:30" ht="15.75" customHeight="1">
      <c r="AD13089" s="794"/>
    </row>
    <row r="13090" spans="30:30" ht="15.75" customHeight="1">
      <c r="AD13090" s="794"/>
    </row>
    <row r="13091" spans="30:30" ht="15.75" customHeight="1">
      <c r="AD13091" s="794"/>
    </row>
    <row r="13092" spans="30:30" ht="15.75" customHeight="1">
      <c r="AD13092" s="794"/>
    </row>
    <row r="13093" spans="30:30" ht="15.75" customHeight="1">
      <c r="AD13093" s="794"/>
    </row>
    <row r="13094" spans="30:30" ht="15.75" customHeight="1">
      <c r="AD13094" s="794"/>
    </row>
    <row r="13095" spans="30:30" ht="15.75" customHeight="1">
      <c r="AD13095" s="794"/>
    </row>
    <row r="13096" spans="30:30" ht="15.75" customHeight="1">
      <c r="AD13096" s="794"/>
    </row>
    <row r="13097" spans="30:30" ht="15.75" customHeight="1">
      <c r="AD13097" s="794"/>
    </row>
    <row r="13098" spans="30:30" ht="15.75" customHeight="1">
      <c r="AD13098" s="794"/>
    </row>
    <row r="13099" spans="30:30" ht="15.75" customHeight="1">
      <c r="AD13099" s="794"/>
    </row>
    <row r="13100" spans="30:30" ht="15.75" customHeight="1">
      <c r="AD13100" s="794"/>
    </row>
    <row r="13101" spans="30:30" ht="15.75" customHeight="1">
      <c r="AD13101" s="794"/>
    </row>
    <row r="13102" spans="30:30" ht="15.75" customHeight="1">
      <c r="AD13102" s="794"/>
    </row>
    <row r="13103" spans="30:30" ht="15.75" customHeight="1">
      <c r="AD13103" s="794"/>
    </row>
    <row r="13104" spans="30:30" ht="15.75" customHeight="1">
      <c r="AD13104" s="794"/>
    </row>
    <row r="13105" spans="30:30" ht="15.75" customHeight="1">
      <c r="AD13105" s="794"/>
    </row>
    <row r="13106" spans="30:30" ht="15.75" customHeight="1">
      <c r="AD13106" s="794"/>
    </row>
    <row r="13107" spans="30:30" ht="15.75" customHeight="1">
      <c r="AD13107" s="794"/>
    </row>
    <row r="13108" spans="30:30" ht="15.75" customHeight="1">
      <c r="AD13108" s="794"/>
    </row>
    <row r="13109" spans="30:30" ht="15.75" customHeight="1">
      <c r="AD13109" s="794"/>
    </row>
    <row r="13110" spans="30:30" ht="15.75" customHeight="1">
      <c r="AD13110" s="794"/>
    </row>
    <row r="13111" spans="30:30" ht="15.75" customHeight="1">
      <c r="AD13111" s="794"/>
    </row>
    <row r="13112" spans="30:30" ht="15.75" customHeight="1">
      <c r="AD13112" s="794"/>
    </row>
    <row r="13113" spans="30:30" ht="15.75" customHeight="1">
      <c r="AD13113" s="794"/>
    </row>
    <row r="13114" spans="30:30" ht="15.75" customHeight="1">
      <c r="AD13114" s="794"/>
    </row>
    <row r="13115" spans="30:30" ht="15.75" customHeight="1">
      <c r="AD13115" s="794"/>
    </row>
    <row r="13116" spans="30:30" ht="15.75" customHeight="1">
      <c r="AD13116" s="794"/>
    </row>
    <row r="13117" spans="30:30" ht="15.75" customHeight="1">
      <c r="AD13117" s="794"/>
    </row>
    <row r="13118" spans="30:30" ht="15.75" customHeight="1">
      <c r="AD13118" s="794"/>
    </row>
    <row r="13119" spans="30:30" ht="15.75" customHeight="1">
      <c r="AD13119" s="794"/>
    </row>
    <row r="13120" spans="30:30" ht="15.75" customHeight="1">
      <c r="AD13120" s="794"/>
    </row>
    <row r="13121" spans="30:30" ht="15.75" customHeight="1">
      <c r="AD13121" s="794"/>
    </row>
    <row r="13122" spans="30:30" ht="15.75" customHeight="1">
      <c r="AD13122" s="794"/>
    </row>
    <row r="13123" spans="30:30" ht="15.75" customHeight="1">
      <c r="AD13123" s="794"/>
    </row>
    <row r="13124" spans="30:30" ht="15.75" customHeight="1">
      <c r="AD13124" s="794"/>
    </row>
    <row r="13125" spans="30:30" ht="15.75" customHeight="1">
      <c r="AD13125" s="794"/>
    </row>
    <row r="13126" spans="30:30" ht="15.75" customHeight="1">
      <c r="AD13126" s="794"/>
    </row>
    <row r="13127" spans="30:30" ht="15.75" customHeight="1">
      <c r="AD13127" s="794"/>
    </row>
    <row r="13128" spans="30:30" ht="15.75" customHeight="1">
      <c r="AD13128" s="794"/>
    </row>
    <row r="13129" spans="30:30" ht="15.75" customHeight="1">
      <c r="AD13129" s="794"/>
    </row>
    <row r="13130" spans="30:30" ht="15.75" customHeight="1">
      <c r="AD13130" s="794"/>
    </row>
    <row r="13131" spans="30:30" ht="15.75" customHeight="1">
      <c r="AD13131" s="794"/>
    </row>
    <row r="13132" spans="30:30" ht="15.75" customHeight="1">
      <c r="AD13132" s="794"/>
    </row>
    <row r="13133" spans="30:30" ht="15.75" customHeight="1">
      <c r="AD13133" s="794"/>
    </row>
    <row r="13134" spans="30:30" ht="15.75" customHeight="1">
      <c r="AD13134" s="794"/>
    </row>
    <row r="13135" spans="30:30" ht="15.75" customHeight="1">
      <c r="AD13135" s="794"/>
    </row>
    <row r="13136" spans="30:30" ht="15.75" customHeight="1">
      <c r="AD13136" s="794"/>
    </row>
    <row r="13137" spans="30:30" ht="15.75" customHeight="1">
      <c r="AD13137" s="794"/>
    </row>
    <row r="13138" spans="30:30" ht="15.75" customHeight="1">
      <c r="AD13138" s="794"/>
    </row>
    <row r="13139" spans="30:30" ht="15.75" customHeight="1">
      <c r="AD13139" s="794"/>
    </row>
    <row r="13140" spans="30:30" ht="15.75" customHeight="1">
      <c r="AD13140" s="794"/>
    </row>
    <row r="13141" spans="30:30" ht="15.75" customHeight="1">
      <c r="AD13141" s="794"/>
    </row>
    <row r="13142" spans="30:30" ht="15.75" customHeight="1">
      <c r="AD13142" s="794"/>
    </row>
    <row r="13143" spans="30:30" ht="15.75" customHeight="1">
      <c r="AD13143" s="794"/>
    </row>
    <row r="13144" spans="30:30" ht="15.75" customHeight="1">
      <c r="AD13144" s="794"/>
    </row>
    <row r="13145" spans="30:30" ht="15.75" customHeight="1">
      <c r="AD13145" s="794"/>
    </row>
    <row r="13146" spans="30:30" ht="15.75" customHeight="1">
      <c r="AD13146" s="794"/>
    </row>
    <row r="13147" spans="30:30" ht="15.75" customHeight="1">
      <c r="AD13147" s="794"/>
    </row>
    <row r="13148" spans="30:30" ht="15.75" customHeight="1">
      <c r="AD13148" s="794"/>
    </row>
    <row r="13149" spans="30:30" ht="15.75" customHeight="1">
      <c r="AD13149" s="794"/>
    </row>
    <row r="13150" spans="30:30" ht="15.75" customHeight="1">
      <c r="AD13150" s="794"/>
    </row>
    <row r="13151" spans="30:30" ht="15.75" customHeight="1">
      <c r="AD13151" s="794"/>
    </row>
    <row r="13152" spans="30:30" ht="15.75" customHeight="1">
      <c r="AD13152" s="794"/>
    </row>
    <row r="13153" spans="30:30" ht="15.75" customHeight="1">
      <c r="AD13153" s="794"/>
    </row>
    <row r="13154" spans="30:30" ht="15.75" customHeight="1">
      <c r="AD13154" s="794"/>
    </row>
    <row r="13155" spans="30:30" ht="15.75" customHeight="1">
      <c r="AD13155" s="794"/>
    </row>
    <row r="13156" spans="30:30" ht="15.75" customHeight="1">
      <c r="AD13156" s="794"/>
    </row>
    <row r="13157" spans="30:30" ht="15.75" customHeight="1">
      <c r="AD13157" s="794"/>
    </row>
    <row r="13158" spans="30:30" ht="15.75" customHeight="1">
      <c r="AD13158" s="794"/>
    </row>
    <row r="13159" spans="30:30" ht="15.75" customHeight="1">
      <c r="AD13159" s="794"/>
    </row>
    <row r="13160" spans="30:30" ht="15.75" customHeight="1">
      <c r="AD13160" s="794"/>
    </row>
    <row r="13161" spans="30:30" ht="15.75" customHeight="1">
      <c r="AD13161" s="794"/>
    </row>
    <row r="13162" spans="30:30" ht="15.75" customHeight="1">
      <c r="AD13162" s="794"/>
    </row>
    <row r="13163" spans="30:30" ht="15.75" customHeight="1">
      <c r="AD13163" s="794"/>
    </row>
    <row r="13164" spans="30:30" ht="15.75" customHeight="1">
      <c r="AD13164" s="794"/>
    </row>
    <row r="13165" spans="30:30" ht="15.75" customHeight="1">
      <c r="AD13165" s="794"/>
    </row>
    <row r="13166" spans="30:30" ht="15.75" customHeight="1">
      <c r="AD13166" s="794"/>
    </row>
    <row r="13167" spans="30:30" ht="15.75" customHeight="1">
      <c r="AD13167" s="794"/>
    </row>
    <row r="13168" spans="30:30" ht="15.75" customHeight="1">
      <c r="AD13168" s="794"/>
    </row>
    <row r="13169" spans="30:30" ht="15.75" customHeight="1">
      <c r="AD13169" s="794"/>
    </row>
    <row r="13170" spans="30:30" ht="15.75" customHeight="1">
      <c r="AD13170" s="794"/>
    </row>
    <row r="13171" spans="30:30" ht="15.75" customHeight="1">
      <c r="AD13171" s="794"/>
    </row>
    <row r="13172" spans="30:30" ht="15.75" customHeight="1">
      <c r="AD13172" s="794"/>
    </row>
    <row r="13173" spans="30:30" ht="15.75" customHeight="1">
      <c r="AD13173" s="794"/>
    </row>
    <row r="13174" spans="30:30" ht="15.75" customHeight="1">
      <c r="AD13174" s="794"/>
    </row>
    <row r="13175" spans="30:30" ht="15.75" customHeight="1">
      <c r="AD13175" s="794"/>
    </row>
    <row r="13176" spans="30:30" ht="15.75" customHeight="1">
      <c r="AD13176" s="794"/>
    </row>
    <row r="13177" spans="30:30" ht="15.75" customHeight="1">
      <c r="AD13177" s="794"/>
    </row>
    <row r="13178" spans="30:30" ht="15.75" customHeight="1">
      <c r="AD13178" s="794"/>
    </row>
    <row r="13179" spans="30:30" ht="15.75" customHeight="1">
      <c r="AD13179" s="794"/>
    </row>
    <row r="13180" spans="30:30" ht="15.75" customHeight="1">
      <c r="AD13180" s="794"/>
    </row>
    <row r="13181" spans="30:30" ht="15.75" customHeight="1">
      <c r="AD13181" s="794"/>
    </row>
    <row r="13182" spans="30:30" ht="15.75" customHeight="1">
      <c r="AD13182" s="794"/>
    </row>
    <row r="13183" spans="30:30" ht="15.75" customHeight="1">
      <c r="AD13183" s="794"/>
    </row>
    <row r="13184" spans="30:30" ht="15.75" customHeight="1">
      <c r="AD13184" s="794"/>
    </row>
    <row r="13185" spans="30:30" ht="15.75" customHeight="1">
      <c r="AD13185" s="794"/>
    </row>
    <row r="13186" spans="30:30" ht="15.75" customHeight="1">
      <c r="AD13186" s="794"/>
    </row>
    <row r="13187" spans="30:30" ht="15.75" customHeight="1">
      <c r="AD13187" s="794"/>
    </row>
    <row r="13188" spans="30:30" ht="15.75" customHeight="1">
      <c r="AD13188" s="794"/>
    </row>
    <row r="13189" spans="30:30" ht="15.75" customHeight="1">
      <c r="AD13189" s="794"/>
    </row>
    <row r="13190" spans="30:30" ht="15.75" customHeight="1">
      <c r="AD13190" s="794"/>
    </row>
    <row r="13191" spans="30:30" ht="15.75" customHeight="1">
      <c r="AD13191" s="794"/>
    </row>
    <row r="13192" spans="30:30" ht="15.75" customHeight="1">
      <c r="AD13192" s="794"/>
    </row>
    <row r="13193" spans="30:30" ht="15.75" customHeight="1">
      <c r="AD13193" s="794"/>
    </row>
    <row r="13194" spans="30:30" ht="15.75" customHeight="1">
      <c r="AD13194" s="794"/>
    </row>
    <row r="13195" spans="30:30" ht="15.75" customHeight="1">
      <c r="AD13195" s="794"/>
    </row>
    <row r="13196" spans="30:30" ht="15.75" customHeight="1">
      <c r="AD13196" s="794"/>
    </row>
    <row r="13197" spans="30:30" ht="15.75" customHeight="1">
      <c r="AD13197" s="794"/>
    </row>
    <row r="13198" spans="30:30" ht="15.75" customHeight="1">
      <c r="AD13198" s="794"/>
    </row>
    <row r="13199" spans="30:30" ht="15.75" customHeight="1">
      <c r="AD13199" s="794"/>
    </row>
    <row r="13200" spans="30:30" ht="15.75" customHeight="1">
      <c r="AD13200" s="794"/>
    </row>
    <row r="13201" spans="30:30" ht="15.75" customHeight="1">
      <c r="AD13201" s="794"/>
    </row>
    <row r="13202" spans="30:30" ht="15.75" customHeight="1">
      <c r="AD13202" s="794"/>
    </row>
    <row r="13203" spans="30:30" ht="15.75" customHeight="1">
      <c r="AD13203" s="794"/>
    </row>
    <row r="13204" spans="30:30" ht="15.75" customHeight="1">
      <c r="AD13204" s="794"/>
    </row>
    <row r="13205" spans="30:30" ht="15.75" customHeight="1">
      <c r="AD13205" s="794"/>
    </row>
    <row r="13206" spans="30:30" ht="15.75" customHeight="1">
      <c r="AD13206" s="794"/>
    </row>
    <row r="13207" spans="30:30" ht="15.75" customHeight="1">
      <c r="AD13207" s="794"/>
    </row>
    <row r="13208" spans="30:30" ht="15.75" customHeight="1">
      <c r="AD13208" s="794"/>
    </row>
    <row r="13209" spans="30:30" ht="15.75" customHeight="1">
      <c r="AD13209" s="794"/>
    </row>
    <row r="13210" spans="30:30" ht="15.75" customHeight="1">
      <c r="AD13210" s="794"/>
    </row>
    <row r="13211" spans="30:30" ht="15.75" customHeight="1">
      <c r="AD13211" s="794"/>
    </row>
    <row r="13212" spans="30:30" ht="15.75" customHeight="1">
      <c r="AD13212" s="794"/>
    </row>
    <row r="13213" spans="30:30" ht="15.75" customHeight="1">
      <c r="AD13213" s="794"/>
    </row>
    <row r="13214" spans="30:30" ht="15.75" customHeight="1">
      <c r="AD13214" s="794"/>
    </row>
    <row r="13215" spans="30:30" ht="15.75" customHeight="1">
      <c r="AD13215" s="794"/>
    </row>
    <row r="13216" spans="30:30" ht="15.75" customHeight="1">
      <c r="AD13216" s="794"/>
    </row>
    <row r="13217" spans="30:30" ht="15.75" customHeight="1">
      <c r="AD13217" s="794"/>
    </row>
    <row r="13218" spans="30:30" ht="15.75" customHeight="1">
      <c r="AD13218" s="794"/>
    </row>
    <row r="13219" spans="30:30" ht="15.75" customHeight="1">
      <c r="AD13219" s="794"/>
    </row>
    <row r="13220" spans="30:30" ht="15.75" customHeight="1">
      <c r="AD13220" s="794"/>
    </row>
    <row r="13221" spans="30:30" ht="15.75" customHeight="1">
      <c r="AD13221" s="794"/>
    </row>
    <row r="13222" spans="30:30" ht="15.75" customHeight="1">
      <c r="AD13222" s="794"/>
    </row>
    <row r="13223" spans="30:30" ht="15.75" customHeight="1">
      <c r="AD13223" s="794"/>
    </row>
    <row r="13224" spans="30:30" ht="15.75" customHeight="1">
      <c r="AD13224" s="794"/>
    </row>
    <row r="13225" spans="30:30" ht="15.75" customHeight="1">
      <c r="AD13225" s="794"/>
    </row>
    <row r="13226" spans="30:30" ht="15.75" customHeight="1">
      <c r="AD13226" s="794"/>
    </row>
    <row r="13227" spans="30:30" ht="15.75" customHeight="1">
      <c r="AD13227" s="794"/>
    </row>
    <row r="13228" spans="30:30" ht="15.75" customHeight="1">
      <c r="AD13228" s="794"/>
    </row>
    <row r="13229" spans="30:30" ht="15.75" customHeight="1">
      <c r="AD13229" s="794"/>
    </row>
    <row r="13230" spans="30:30" ht="15.75" customHeight="1">
      <c r="AD13230" s="794"/>
    </row>
    <row r="13231" spans="30:30" ht="15.75" customHeight="1">
      <c r="AD13231" s="794"/>
    </row>
    <row r="13232" spans="30:30" ht="15.75" customHeight="1">
      <c r="AD13232" s="794"/>
    </row>
    <row r="13233" spans="30:30" ht="15.75" customHeight="1">
      <c r="AD13233" s="794"/>
    </row>
    <row r="13234" spans="30:30" ht="15.75" customHeight="1">
      <c r="AD13234" s="794"/>
    </row>
    <row r="13235" spans="30:30" ht="15.75" customHeight="1">
      <c r="AD13235" s="794"/>
    </row>
    <row r="13236" spans="30:30" ht="15.75" customHeight="1">
      <c r="AD13236" s="794"/>
    </row>
    <row r="13237" spans="30:30" ht="15.75" customHeight="1">
      <c r="AD13237" s="794"/>
    </row>
    <row r="13238" spans="30:30" ht="15.75" customHeight="1">
      <c r="AD13238" s="794"/>
    </row>
    <row r="13239" spans="30:30" ht="15.75" customHeight="1">
      <c r="AD13239" s="794"/>
    </row>
    <row r="13240" spans="30:30" ht="15.75" customHeight="1">
      <c r="AD13240" s="794"/>
    </row>
    <row r="13241" spans="30:30" ht="15.75" customHeight="1">
      <c r="AD13241" s="794"/>
    </row>
    <row r="13242" spans="30:30" ht="15.75" customHeight="1">
      <c r="AD13242" s="794"/>
    </row>
    <row r="13243" spans="30:30" ht="15.75" customHeight="1">
      <c r="AD13243" s="794"/>
    </row>
    <row r="13244" spans="30:30" ht="15.75" customHeight="1">
      <c r="AD13244" s="794"/>
    </row>
    <row r="13245" spans="30:30" ht="15.75" customHeight="1">
      <c r="AD13245" s="794"/>
    </row>
    <row r="13246" spans="30:30" ht="15.75" customHeight="1">
      <c r="AD13246" s="794"/>
    </row>
    <row r="13247" spans="30:30" ht="15.75" customHeight="1">
      <c r="AD13247" s="794"/>
    </row>
    <row r="13248" spans="30:30" ht="15.75" customHeight="1">
      <c r="AD13248" s="794"/>
    </row>
    <row r="13249" spans="30:30" ht="15.75" customHeight="1">
      <c r="AD13249" s="794"/>
    </row>
    <row r="13250" spans="30:30" ht="15.75" customHeight="1">
      <c r="AD13250" s="794"/>
    </row>
    <row r="13251" spans="30:30" ht="15.75" customHeight="1">
      <c r="AD13251" s="794"/>
    </row>
    <row r="13252" spans="30:30" ht="15.75" customHeight="1">
      <c r="AD13252" s="794"/>
    </row>
    <row r="13253" spans="30:30" ht="15.75" customHeight="1">
      <c r="AD13253" s="794"/>
    </row>
    <row r="13254" spans="30:30" ht="15.75" customHeight="1">
      <c r="AD13254" s="794"/>
    </row>
    <row r="13255" spans="30:30" ht="15.75" customHeight="1">
      <c r="AD13255" s="794"/>
    </row>
    <row r="13256" spans="30:30" ht="15.75" customHeight="1">
      <c r="AD13256" s="794"/>
    </row>
    <row r="13257" spans="30:30" ht="15.75" customHeight="1">
      <c r="AD13257" s="794"/>
    </row>
    <row r="13258" spans="30:30" ht="15.75" customHeight="1">
      <c r="AD13258" s="794"/>
    </row>
    <row r="13259" spans="30:30" ht="15.75" customHeight="1">
      <c r="AD13259" s="794"/>
    </row>
    <row r="13260" spans="30:30" ht="15.75" customHeight="1">
      <c r="AD13260" s="794"/>
    </row>
    <row r="13261" spans="30:30" ht="15.75" customHeight="1">
      <c r="AD13261" s="794"/>
    </row>
    <row r="13262" spans="30:30" ht="15.75" customHeight="1">
      <c r="AD13262" s="794"/>
    </row>
    <row r="13263" spans="30:30" ht="15.75" customHeight="1">
      <c r="AD13263" s="794"/>
    </row>
    <row r="13264" spans="30:30" ht="15.75" customHeight="1">
      <c r="AD13264" s="794"/>
    </row>
    <row r="13265" spans="30:30" ht="15.75" customHeight="1">
      <c r="AD13265" s="794"/>
    </row>
    <row r="13266" spans="30:30" ht="15.75" customHeight="1">
      <c r="AD13266" s="794"/>
    </row>
    <row r="13267" spans="30:30" ht="15.75" customHeight="1">
      <c r="AD13267" s="794"/>
    </row>
    <row r="13268" spans="30:30" ht="15.75" customHeight="1">
      <c r="AD13268" s="794"/>
    </row>
    <row r="13269" spans="30:30" ht="15.75" customHeight="1">
      <c r="AD13269" s="794"/>
    </row>
    <row r="13270" spans="30:30" ht="15.75" customHeight="1">
      <c r="AD13270" s="794"/>
    </row>
    <row r="13271" spans="30:30" ht="15.75" customHeight="1">
      <c r="AD13271" s="794"/>
    </row>
    <row r="13272" spans="30:30" ht="15.75" customHeight="1">
      <c r="AD13272" s="794"/>
    </row>
    <row r="13273" spans="30:30" ht="15.75" customHeight="1">
      <c r="AD13273" s="794"/>
    </row>
    <row r="13274" spans="30:30" ht="15.75" customHeight="1">
      <c r="AD13274" s="794"/>
    </row>
    <row r="13275" spans="30:30" ht="15.75" customHeight="1">
      <c r="AD13275" s="794"/>
    </row>
    <row r="13276" spans="30:30" ht="15.75" customHeight="1">
      <c r="AD13276" s="794"/>
    </row>
    <row r="13277" spans="30:30" ht="15.75" customHeight="1">
      <c r="AD13277" s="794"/>
    </row>
    <row r="13278" spans="30:30" ht="15.75" customHeight="1">
      <c r="AD13278" s="794"/>
    </row>
    <row r="13279" spans="30:30" ht="15.75" customHeight="1">
      <c r="AD13279" s="794"/>
    </row>
    <row r="13280" spans="30:30" ht="15.75" customHeight="1">
      <c r="AD13280" s="794"/>
    </row>
    <row r="13281" spans="30:30" ht="15.75" customHeight="1">
      <c r="AD13281" s="794"/>
    </row>
    <row r="13282" spans="30:30" ht="15.75" customHeight="1">
      <c r="AD13282" s="794"/>
    </row>
    <row r="13283" spans="30:30" ht="15.75" customHeight="1">
      <c r="AD13283" s="794"/>
    </row>
    <row r="13284" spans="30:30" ht="15.75" customHeight="1">
      <c r="AD13284" s="794"/>
    </row>
    <row r="13285" spans="30:30" ht="15.75" customHeight="1">
      <c r="AD13285" s="794"/>
    </row>
    <row r="13286" spans="30:30" ht="15.75" customHeight="1">
      <c r="AD13286" s="794"/>
    </row>
    <row r="13287" spans="30:30" ht="15.75" customHeight="1">
      <c r="AD13287" s="794"/>
    </row>
    <row r="13288" spans="30:30" ht="15.75" customHeight="1">
      <c r="AD13288" s="794"/>
    </row>
    <row r="13289" spans="30:30" ht="15.75" customHeight="1">
      <c r="AD13289" s="794"/>
    </row>
    <row r="13290" spans="30:30" ht="15.75" customHeight="1">
      <c r="AD13290" s="794"/>
    </row>
    <row r="13291" spans="30:30" ht="15.75" customHeight="1">
      <c r="AD13291" s="794"/>
    </row>
    <row r="13292" spans="30:30" ht="15.75" customHeight="1">
      <c r="AD13292" s="794"/>
    </row>
    <row r="13293" spans="30:30" ht="15.75" customHeight="1">
      <c r="AD13293" s="794"/>
    </row>
    <row r="13294" spans="30:30" ht="15.75" customHeight="1">
      <c r="AD13294" s="794"/>
    </row>
    <row r="13295" spans="30:30" ht="15.75" customHeight="1">
      <c r="AD13295" s="794"/>
    </row>
    <row r="13296" spans="30:30" ht="15.75" customHeight="1">
      <c r="AD13296" s="794"/>
    </row>
    <row r="13297" spans="30:30" ht="15.75" customHeight="1">
      <c r="AD13297" s="794"/>
    </row>
    <row r="13298" spans="30:30" ht="15.75" customHeight="1">
      <c r="AD13298" s="794"/>
    </row>
    <row r="13299" spans="30:30" ht="15.75" customHeight="1">
      <c r="AD13299" s="794"/>
    </row>
    <row r="13300" spans="30:30" ht="15.75" customHeight="1">
      <c r="AD13300" s="794"/>
    </row>
    <row r="13301" spans="30:30" ht="15.75" customHeight="1">
      <c r="AD13301" s="794"/>
    </row>
    <row r="13302" spans="30:30" ht="15.75" customHeight="1">
      <c r="AD13302" s="794"/>
    </row>
    <row r="13303" spans="30:30" ht="15.75" customHeight="1">
      <c r="AD13303" s="794"/>
    </row>
    <row r="13304" spans="30:30" ht="15.75" customHeight="1">
      <c r="AD13304" s="794"/>
    </row>
    <row r="13305" spans="30:30" ht="15.75" customHeight="1">
      <c r="AD13305" s="794"/>
    </row>
    <row r="13306" spans="30:30" ht="15.75" customHeight="1">
      <c r="AD13306" s="794"/>
    </row>
    <row r="13307" spans="30:30" ht="15.75" customHeight="1">
      <c r="AD13307" s="794"/>
    </row>
    <row r="13308" spans="30:30" ht="15.75" customHeight="1">
      <c r="AD13308" s="794"/>
    </row>
    <row r="13309" spans="30:30" ht="15.75" customHeight="1">
      <c r="AD13309" s="794"/>
    </row>
    <row r="13310" spans="30:30" ht="15.75" customHeight="1">
      <c r="AD13310" s="794"/>
    </row>
    <row r="13311" spans="30:30" ht="15.75" customHeight="1">
      <c r="AD13311" s="794"/>
    </row>
    <row r="13312" spans="30:30" ht="15.75" customHeight="1">
      <c r="AD13312" s="794"/>
    </row>
    <row r="13313" spans="30:30" ht="15.75" customHeight="1">
      <c r="AD13313" s="794"/>
    </row>
    <row r="13314" spans="30:30" ht="15.75" customHeight="1">
      <c r="AD13314" s="794"/>
    </row>
    <row r="13315" spans="30:30" ht="15.75" customHeight="1">
      <c r="AD13315" s="794"/>
    </row>
    <row r="13316" spans="30:30" ht="15.75" customHeight="1">
      <c r="AD13316" s="794"/>
    </row>
    <row r="13317" spans="30:30" ht="15.75" customHeight="1">
      <c r="AD13317" s="794"/>
    </row>
    <row r="13318" spans="30:30" ht="15.75" customHeight="1">
      <c r="AD13318" s="794"/>
    </row>
    <row r="13319" spans="30:30" ht="15.75" customHeight="1">
      <c r="AD13319" s="794"/>
    </row>
    <row r="13320" spans="30:30" ht="15.75" customHeight="1">
      <c r="AD13320" s="794"/>
    </row>
    <row r="13321" spans="30:30" ht="15.75" customHeight="1">
      <c r="AD13321" s="794"/>
    </row>
    <row r="13322" spans="30:30" ht="15.75" customHeight="1">
      <c r="AD13322" s="794"/>
    </row>
    <row r="13323" spans="30:30" ht="15.75" customHeight="1">
      <c r="AD13323" s="794"/>
    </row>
    <row r="13324" spans="30:30" ht="15.75" customHeight="1">
      <c r="AD13324" s="794"/>
    </row>
    <row r="13325" spans="30:30" ht="15.75" customHeight="1">
      <c r="AD13325" s="794"/>
    </row>
    <row r="13326" spans="30:30" ht="15.75" customHeight="1">
      <c r="AD13326" s="794"/>
    </row>
    <row r="13327" spans="30:30" ht="15.75" customHeight="1">
      <c r="AD13327" s="794"/>
    </row>
    <row r="13328" spans="30:30" ht="15.75" customHeight="1">
      <c r="AD13328" s="794"/>
    </row>
    <row r="13329" spans="30:30" ht="15.75" customHeight="1">
      <c r="AD13329" s="794"/>
    </row>
    <row r="13330" spans="30:30" ht="15.75" customHeight="1">
      <c r="AD13330" s="794"/>
    </row>
    <row r="13331" spans="30:30" ht="15.75" customHeight="1">
      <c r="AD13331" s="794"/>
    </row>
    <row r="13332" spans="30:30" ht="15.75" customHeight="1">
      <c r="AD13332" s="794"/>
    </row>
    <row r="13333" spans="30:30" ht="15.75" customHeight="1">
      <c r="AD13333" s="794"/>
    </row>
    <row r="13334" spans="30:30" ht="15.75" customHeight="1">
      <c r="AD13334" s="794"/>
    </row>
    <row r="13335" spans="30:30" ht="15.75" customHeight="1">
      <c r="AD13335" s="794"/>
    </row>
    <row r="13336" spans="30:30" ht="15.75" customHeight="1">
      <c r="AD13336" s="794"/>
    </row>
    <row r="13337" spans="30:30" ht="15.75" customHeight="1">
      <c r="AD13337" s="794"/>
    </row>
    <row r="13338" spans="30:30" ht="15.75" customHeight="1">
      <c r="AD13338" s="794"/>
    </row>
    <row r="13339" spans="30:30" ht="15.75" customHeight="1">
      <c r="AD13339" s="794"/>
    </row>
    <row r="13340" spans="30:30" ht="15.75" customHeight="1">
      <c r="AD13340" s="794"/>
    </row>
    <row r="13341" spans="30:30" ht="15.75" customHeight="1">
      <c r="AD13341" s="794"/>
    </row>
    <row r="13342" spans="30:30" ht="15.75" customHeight="1">
      <c r="AD13342" s="794"/>
    </row>
    <row r="13343" spans="30:30" ht="15.75" customHeight="1">
      <c r="AD13343" s="794"/>
    </row>
    <row r="13344" spans="30:30" ht="15.75" customHeight="1">
      <c r="AD13344" s="794"/>
    </row>
    <row r="13345" spans="30:30" ht="15.75" customHeight="1">
      <c r="AD13345" s="794"/>
    </row>
    <row r="13346" spans="30:30" ht="15.75" customHeight="1">
      <c r="AD13346" s="794"/>
    </row>
    <row r="13347" spans="30:30" ht="15.75" customHeight="1">
      <c r="AD13347" s="794"/>
    </row>
    <row r="13348" spans="30:30" ht="15.75" customHeight="1">
      <c r="AD13348" s="794"/>
    </row>
    <row r="13349" spans="30:30" ht="15.75" customHeight="1">
      <c r="AD13349" s="794"/>
    </row>
    <row r="13350" spans="30:30" ht="15.75" customHeight="1">
      <c r="AD13350" s="794"/>
    </row>
    <row r="13351" spans="30:30" ht="15.75" customHeight="1">
      <c r="AD13351" s="794"/>
    </row>
    <row r="13352" spans="30:30" ht="15.75" customHeight="1">
      <c r="AD13352" s="794"/>
    </row>
    <row r="13353" spans="30:30" ht="15.75" customHeight="1">
      <c r="AD13353" s="794"/>
    </row>
    <row r="13354" spans="30:30" ht="15.75" customHeight="1">
      <c r="AD13354" s="794"/>
    </row>
    <row r="13355" spans="30:30" ht="15.75" customHeight="1">
      <c r="AD13355" s="794"/>
    </row>
    <row r="13356" spans="30:30" ht="15.75" customHeight="1">
      <c r="AD13356" s="794"/>
    </row>
    <row r="13357" spans="30:30" ht="15.75" customHeight="1">
      <c r="AD13357" s="794"/>
    </row>
    <row r="13358" spans="30:30" ht="15.75" customHeight="1">
      <c r="AD13358" s="794"/>
    </row>
    <row r="13359" spans="30:30" ht="15.75" customHeight="1">
      <c r="AD13359" s="794"/>
    </row>
    <row r="13360" spans="30:30" ht="15.75" customHeight="1">
      <c r="AD13360" s="794"/>
    </row>
    <row r="13361" spans="30:30" ht="15.75" customHeight="1">
      <c r="AD13361" s="794"/>
    </row>
    <row r="13362" spans="30:30" ht="15.75" customHeight="1">
      <c r="AD13362" s="794"/>
    </row>
    <row r="13363" spans="30:30" ht="15.75" customHeight="1">
      <c r="AD13363" s="794"/>
    </row>
    <row r="13364" spans="30:30" ht="15.75" customHeight="1">
      <c r="AD13364" s="794"/>
    </row>
    <row r="13365" spans="30:30" ht="15.75" customHeight="1">
      <c r="AD13365" s="794"/>
    </row>
    <row r="13366" spans="30:30" ht="15.75" customHeight="1">
      <c r="AD13366" s="794"/>
    </row>
    <row r="13367" spans="30:30" ht="15.75" customHeight="1">
      <c r="AD13367" s="794"/>
    </row>
    <row r="13368" spans="30:30" ht="15.75" customHeight="1">
      <c r="AD13368" s="794"/>
    </row>
    <row r="13369" spans="30:30" ht="15.75" customHeight="1">
      <c r="AD13369" s="794"/>
    </row>
    <row r="13370" spans="30:30" ht="15.75" customHeight="1">
      <c r="AD13370" s="794"/>
    </row>
    <row r="13371" spans="30:30" ht="15.75" customHeight="1">
      <c r="AD13371" s="794"/>
    </row>
    <row r="13372" spans="30:30" ht="15.75" customHeight="1">
      <c r="AD13372" s="794"/>
    </row>
    <row r="13373" spans="30:30" ht="15.75" customHeight="1">
      <c r="AD13373" s="794"/>
    </row>
    <row r="13374" spans="30:30" ht="15.75" customHeight="1">
      <c r="AD13374" s="794"/>
    </row>
    <row r="13375" spans="30:30" ht="15.75" customHeight="1">
      <c r="AD13375" s="794"/>
    </row>
    <row r="13376" spans="30:30" ht="15.75" customHeight="1">
      <c r="AD13376" s="794"/>
    </row>
    <row r="13377" spans="30:30" ht="15.75" customHeight="1">
      <c r="AD13377" s="794"/>
    </row>
    <row r="13378" spans="30:30" ht="15.75" customHeight="1">
      <c r="AD13378" s="794"/>
    </row>
    <row r="13379" spans="30:30" ht="15.75" customHeight="1">
      <c r="AD13379" s="794"/>
    </row>
    <row r="13380" spans="30:30" ht="15.75" customHeight="1">
      <c r="AD13380" s="794"/>
    </row>
    <row r="13381" spans="30:30" ht="15.75" customHeight="1">
      <c r="AD13381" s="794"/>
    </row>
    <row r="13382" spans="30:30" ht="15.75" customHeight="1">
      <c r="AD13382" s="794"/>
    </row>
    <row r="13383" spans="30:30" ht="15.75" customHeight="1">
      <c r="AD13383" s="794"/>
    </row>
    <row r="13384" spans="30:30" ht="15.75" customHeight="1">
      <c r="AD13384" s="794"/>
    </row>
    <row r="13385" spans="30:30" ht="15.75" customHeight="1">
      <c r="AD13385" s="794"/>
    </row>
    <row r="13386" spans="30:30" ht="15.75" customHeight="1">
      <c r="AD13386" s="794"/>
    </row>
    <row r="13387" spans="30:30" ht="15.75" customHeight="1">
      <c r="AD13387" s="794"/>
    </row>
    <row r="13388" spans="30:30" ht="15.75" customHeight="1">
      <c r="AD13388" s="794"/>
    </row>
    <row r="13389" spans="30:30" ht="15.75" customHeight="1">
      <c r="AD13389" s="794"/>
    </row>
    <row r="13390" spans="30:30" ht="15.75" customHeight="1">
      <c r="AD13390" s="794"/>
    </row>
    <row r="13391" spans="30:30" ht="15.75" customHeight="1">
      <c r="AD13391" s="794"/>
    </row>
    <row r="13392" spans="30:30" ht="15.75" customHeight="1">
      <c r="AD13392" s="794"/>
    </row>
    <row r="13393" spans="30:30" ht="15.75" customHeight="1">
      <c r="AD13393" s="794"/>
    </row>
    <row r="13394" spans="30:30" ht="15.75" customHeight="1">
      <c r="AD13394" s="794"/>
    </row>
    <row r="13395" spans="30:30" ht="15.75" customHeight="1">
      <c r="AD13395" s="794"/>
    </row>
    <row r="13396" spans="30:30" ht="15.75" customHeight="1">
      <c r="AD13396" s="794"/>
    </row>
    <row r="13397" spans="30:30" ht="15.75" customHeight="1">
      <c r="AD13397" s="794"/>
    </row>
    <row r="13398" spans="30:30" ht="15.75" customHeight="1">
      <c r="AD13398" s="794"/>
    </row>
    <row r="13399" spans="30:30" ht="15.75" customHeight="1">
      <c r="AD13399" s="794"/>
    </row>
    <row r="13400" spans="30:30" ht="15.75" customHeight="1">
      <c r="AD13400" s="794"/>
    </row>
    <row r="13401" spans="30:30" ht="15.75" customHeight="1">
      <c r="AD13401" s="794"/>
    </row>
    <row r="13402" spans="30:30" ht="15.75" customHeight="1">
      <c r="AD13402" s="794"/>
    </row>
    <row r="13403" spans="30:30" ht="15.75" customHeight="1">
      <c r="AD13403" s="794"/>
    </row>
    <row r="13404" spans="30:30" ht="15.75" customHeight="1">
      <c r="AD13404" s="794"/>
    </row>
    <row r="13405" spans="30:30" ht="15.75" customHeight="1">
      <c r="AD13405" s="794"/>
    </row>
    <row r="13406" spans="30:30" ht="15.75" customHeight="1">
      <c r="AD13406" s="794"/>
    </row>
    <row r="13407" spans="30:30" ht="15.75" customHeight="1">
      <c r="AD13407" s="794"/>
    </row>
    <row r="13408" spans="30:30" ht="15.75" customHeight="1">
      <c r="AD13408" s="794"/>
    </row>
    <row r="13409" spans="30:30" ht="15.75" customHeight="1">
      <c r="AD13409" s="794"/>
    </row>
    <row r="13410" spans="30:30" ht="15.75" customHeight="1">
      <c r="AD13410" s="794"/>
    </row>
    <row r="13411" spans="30:30" ht="15.75" customHeight="1">
      <c r="AD13411" s="794"/>
    </row>
    <row r="13412" spans="30:30" ht="15.75" customHeight="1">
      <c r="AD13412" s="794"/>
    </row>
    <row r="13413" spans="30:30" ht="15.75" customHeight="1">
      <c r="AD13413" s="794"/>
    </row>
    <row r="13414" spans="30:30" ht="15.75" customHeight="1">
      <c r="AD13414" s="794"/>
    </row>
    <row r="13415" spans="30:30" ht="15.75" customHeight="1">
      <c r="AD13415" s="794"/>
    </row>
    <row r="13416" spans="30:30" ht="15.75" customHeight="1">
      <c r="AD13416" s="794"/>
    </row>
    <row r="13417" spans="30:30" ht="15.75" customHeight="1">
      <c r="AD13417" s="794"/>
    </row>
    <row r="13418" spans="30:30" ht="15.75" customHeight="1">
      <c r="AD13418" s="794"/>
    </row>
    <row r="13419" spans="30:30" ht="15.75" customHeight="1">
      <c r="AD13419" s="794"/>
    </row>
    <row r="13420" spans="30:30" ht="15.75" customHeight="1">
      <c r="AD13420" s="794"/>
    </row>
    <row r="13421" spans="30:30" ht="15.75" customHeight="1">
      <c r="AD13421" s="794"/>
    </row>
    <row r="13422" spans="30:30" ht="15.75" customHeight="1">
      <c r="AD13422" s="794"/>
    </row>
    <row r="13423" spans="30:30" ht="15.75" customHeight="1">
      <c r="AD13423" s="794"/>
    </row>
    <row r="13424" spans="30:30" ht="15.75" customHeight="1">
      <c r="AD13424" s="794"/>
    </row>
    <row r="13425" spans="30:30" ht="15.75" customHeight="1">
      <c r="AD13425" s="794"/>
    </row>
    <row r="13426" spans="30:30" ht="15.75" customHeight="1">
      <c r="AD13426" s="794"/>
    </row>
    <row r="13427" spans="30:30" ht="15.75" customHeight="1">
      <c r="AD13427" s="794"/>
    </row>
    <row r="13428" spans="30:30" ht="15.75" customHeight="1">
      <c r="AD13428" s="794"/>
    </row>
    <row r="13429" spans="30:30" ht="15.75" customHeight="1">
      <c r="AD13429" s="794"/>
    </row>
    <row r="13430" spans="30:30" ht="15.75" customHeight="1">
      <c r="AD13430" s="794"/>
    </row>
    <row r="13431" spans="30:30" ht="15.75" customHeight="1">
      <c r="AD13431" s="794"/>
    </row>
    <row r="13432" spans="30:30" ht="15.75" customHeight="1">
      <c r="AD13432" s="794"/>
    </row>
    <row r="13433" spans="30:30" ht="15.75" customHeight="1">
      <c r="AD13433" s="794"/>
    </row>
    <row r="13434" spans="30:30" ht="15.75" customHeight="1">
      <c r="AD13434" s="794"/>
    </row>
    <row r="13435" spans="30:30" ht="15.75" customHeight="1">
      <c r="AD13435" s="794"/>
    </row>
    <row r="13436" spans="30:30" ht="15.75" customHeight="1">
      <c r="AD13436" s="794"/>
    </row>
    <row r="13437" spans="30:30" ht="15.75" customHeight="1">
      <c r="AD13437" s="794"/>
    </row>
    <row r="13438" spans="30:30" ht="15.75" customHeight="1">
      <c r="AD13438" s="794"/>
    </row>
    <row r="13439" spans="30:30" ht="15.75" customHeight="1">
      <c r="AD13439" s="794"/>
    </row>
    <row r="13440" spans="30:30" ht="15.75" customHeight="1">
      <c r="AD13440" s="794"/>
    </row>
    <row r="13441" spans="30:30" ht="15.75" customHeight="1">
      <c r="AD13441" s="794"/>
    </row>
    <row r="13442" spans="30:30" ht="15.75" customHeight="1">
      <c r="AD13442" s="794"/>
    </row>
    <row r="13443" spans="30:30" ht="15.75" customHeight="1">
      <c r="AD13443" s="794"/>
    </row>
    <row r="13444" spans="30:30" ht="15.75" customHeight="1">
      <c r="AD13444" s="794"/>
    </row>
    <row r="13445" spans="30:30" ht="15.75" customHeight="1">
      <c r="AD13445" s="794"/>
    </row>
    <row r="13446" spans="30:30" ht="15.75" customHeight="1">
      <c r="AD13446" s="794"/>
    </row>
    <row r="13447" spans="30:30" ht="15.75" customHeight="1">
      <c r="AD13447" s="794"/>
    </row>
    <row r="13448" spans="30:30" ht="15.75" customHeight="1">
      <c r="AD13448" s="794"/>
    </row>
    <row r="13449" spans="30:30" ht="15.75" customHeight="1">
      <c r="AD13449" s="794"/>
    </row>
    <row r="13450" spans="30:30" ht="15.75" customHeight="1">
      <c r="AD13450" s="794"/>
    </row>
    <row r="13451" spans="30:30" ht="15.75" customHeight="1">
      <c r="AD13451" s="794"/>
    </row>
    <row r="13452" spans="30:30" ht="15.75" customHeight="1">
      <c r="AD13452" s="794"/>
    </row>
    <row r="13453" spans="30:30" ht="15.75" customHeight="1">
      <c r="AD13453" s="794"/>
    </row>
    <row r="13454" spans="30:30" ht="15.75" customHeight="1">
      <c r="AD13454" s="794"/>
    </row>
    <row r="13455" spans="30:30" ht="15.75" customHeight="1">
      <c r="AD13455" s="794"/>
    </row>
    <row r="13456" spans="30:30" ht="15.75" customHeight="1">
      <c r="AD13456" s="794"/>
    </row>
    <row r="13457" spans="30:30" ht="15.75" customHeight="1">
      <c r="AD13457" s="794"/>
    </row>
    <row r="13458" spans="30:30" ht="15.75" customHeight="1">
      <c r="AD13458" s="794"/>
    </row>
    <row r="13459" spans="30:30" ht="15.75" customHeight="1">
      <c r="AD13459" s="794"/>
    </row>
    <row r="13460" spans="30:30" ht="15.75" customHeight="1">
      <c r="AD13460" s="794"/>
    </row>
    <row r="13461" spans="30:30" ht="15.75" customHeight="1">
      <c r="AD13461" s="794"/>
    </row>
    <row r="13462" spans="30:30" ht="15.75" customHeight="1">
      <c r="AD13462" s="794"/>
    </row>
    <row r="13463" spans="30:30" ht="15.75" customHeight="1">
      <c r="AD13463" s="794"/>
    </row>
    <row r="13464" spans="30:30" ht="15.75" customHeight="1">
      <c r="AD13464" s="794"/>
    </row>
    <row r="13465" spans="30:30" ht="15.75" customHeight="1">
      <c r="AD13465" s="794"/>
    </row>
    <row r="13466" spans="30:30" ht="15.75" customHeight="1">
      <c r="AD13466" s="794"/>
    </row>
    <row r="13467" spans="30:30" ht="15.75" customHeight="1">
      <c r="AD13467" s="794"/>
    </row>
    <row r="13468" spans="30:30" ht="15.75" customHeight="1">
      <c r="AD13468" s="794"/>
    </row>
    <row r="13469" spans="30:30" ht="15.75" customHeight="1">
      <c r="AD13469" s="794"/>
    </row>
    <row r="13470" spans="30:30" ht="15.75" customHeight="1">
      <c r="AD13470" s="794"/>
    </row>
    <row r="13471" spans="30:30" ht="15.75" customHeight="1">
      <c r="AD13471" s="794"/>
    </row>
    <row r="13472" spans="30:30" ht="15.75" customHeight="1">
      <c r="AD13472" s="794"/>
    </row>
    <row r="13473" spans="30:30" ht="15.75" customHeight="1">
      <c r="AD13473" s="794"/>
    </row>
    <row r="13474" spans="30:30" ht="15.75" customHeight="1">
      <c r="AD13474" s="794"/>
    </row>
    <row r="13475" spans="30:30" ht="15.75" customHeight="1">
      <c r="AD13475" s="794"/>
    </row>
    <row r="13476" spans="30:30" ht="15.75" customHeight="1">
      <c r="AD13476" s="794"/>
    </row>
    <row r="13477" spans="30:30" ht="15.75" customHeight="1">
      <c r="AD13477" s="794"/>
    </row>
    <row r="13478" spans="30:30" ht="15.75" customHeight="1">
      <c r="AD13478" s="794"/>
    </row>
    <row r="13479" spans="30:30" ht="15.75" customHeight="1">
      <c r="AD13479" s="794"/>
    </row>
    <row r="13480" spans="30:30" ht="15.75" customHeight="1">
      <c r="AD13480" s="794"/>
    </row>
    <row r="13481" spans="30:30" ht="15.75" customHeight="1">
      <c r="AD13481" s="794"/>
    </row>
    <row r="13482" spans="30:30" ht="15.75" customHeight="1">
      <c r="AD13482" s="794"/>
    </row>
    <row r="13483" spans="30:30" ht="15.75" customHeight="1">
      <c r="AD13483" s="794"/>
    </row>
    <row r="13484" spans="30:30" ht="15.75" customHeight="1">
      <c r="AD13484" s="794"/>
    </row>
    <row r="13485" spans="30:30" ht="15.75" customHeight="1">
      <c r="AD13485" s="794"/>
    </row>
    <row r="13486" spans="30:30" ht="15.75" customHeight="1">
      <c r="AD13486" s="794"/>
    </row>
    <row r="13487" spans="30:30" ht="15.75" customHeight="1">
      <c r="AD13487" s="794"/>
    </row>
    <row r="13488" spans="30:30" ht="15.75" customHeight="1">
      <c r="AD13488" s="794"/>
    </row>
    <row r="13489" spans="30:30" ht="15.75" customHeight="1">
      <c r="AD13489" s="794"/>
    </row>
    <row r="13490" spans="30:30" ht="15.75" customHeight="1">
      <c r="AD13490" s="794"/>
    </row>
    <row r="13491" spans="30:30" ht="15.75" customHeight="1">
      <c r="AD13491" s="794"/>
    </row>
    <row r="13492" spans="30:30" ht="15.75" customHeight="1">
      <c r="AD13492" s="794"/>
    </row>
    <row r="13493" spans="30:30" ht="15.75" customHeight="1">
      <c r="AD13493" s="794"/>
    </row>
    <row r="13494" spans="30:30" ht="15.75" customHeight="1">
      <c r="AD13494" s="794"/>
    </row>
    <row r="13495" spans="30:30" ht="15.75" customHeight="1">
      <c r="AD13495" s="794"/>
    </row>
    <row r="13496" spans="30:30" ht="15.75" customHeight="1">
      <c r="AD13496" s="794"/>
    </row>
    <row r="13497" spans="30:30" ht="15.75" customHeight="1">
      <c r="AD13497" s="794"/>
    </row>
    <row r="13498" spans="30:30" ht="15.75" customHeight="1">
      <c r="AD13498" s="794"/>
    </row>
    <row r="13499" spans="30:30" ht="15.75" customHeight="1">
      <c r="AD13499" s="794"/>
    </row>
    <row r="13500" spans="30:30" ht="15.75" customHeight="1">
      <c r="AD13500" s="794"/>
    </row>
    <row r="13501" spans="30:30" ht="15.75" customHeight="1">
      <c r="AD13501" s="794"/>
    </row>
    <row r="13502" spans="30:30" ht="15.75" customHeight="1">
      <c r="AD13502" s="794"/>
    </row>
    <row r="13503" spans="30:30" ht="15.75" customHeight="1">
      <c r="AD13503" s="794"/>
    </row>
    <row r="13504" spans="30:30" ht="15.75" customHeight="1">
      <c r="AD13504" s="794"/>
    </row>
    <row r="13505" spans="30:30" ht="15.75" customHeight="1">
      <c r="AD13505" s="794"/>
    </row>
    <row r="13506" spans="30:30" ht="15.75" customHeight="1">
      <c r="AD13506" s="794"/>
    </row>
    <row r="13507" spans="30:30" ht="15.75" customHeight="1">
      <c r="AD13507" s="794"/>
    </row>
    <row r="13508" spans="30:30" ht="15.75" customHeight="1">
      <c r="AD13508" s="794"/>
    </row>
    <row r="13509" spans="30:30" ht="15.75" customHeight="1">
      <c r="AD13509" s="794"/>
    </row>
    <row r="13510" spans="30:30" ht="15.75" customHeight="1">
      <c r="AD13510" s="794"/>
    </row>
    <row r="13511" spans="30:30" ht="15.75" customHeight="1">
      <c r="AD13511" s="794"/>
    </row>
    <row r="13512" spans="30:30" ht="15.75" customHeight="1">
      <c r="AD13512" s="794"/>
    </row>
    <row r="13513" spans="30:30" ht="15.75" customHeight="1">
      <c r="AD13513" s="794"/>
    </row>
    <row r="13514" spans="30:30" ht="15.75" customHeight="1">
      <c r="AD13514" s="794"/>
    </row>
    <row r="13515" spans="30:30" ht="15.75" customHeight="1">
      <c r="AD13515" s="794"/>
    </row>
    <row r="13516" spans="30:30" ht="15.75" customHeight="1">
      <c r="AD13516" s="794"/>
    </row>
    <row r="13517" spans="30:30" ht="15.75" customHeight="1">
      <c r="AD13517" s="794"/>
    </row>
    <row r="13518" spans="30:30" ht="15.75" customHeight="1">
      <c r="AD13518" s="794"/>
    </row>
    <row r="13519" spans="30:30" ht="15.75" customHeight="1">
      <c r="AD13519" s="794"/>
    </row>
    <row r="13520" spans="30:30" ht="15.75" customHeight="1">
      <c r="AD13520" s="794"/>
    </row>
    <row r="13521" spans="30:30" ht="15.75" customHeight="1">
      <c r="AD13521" s="794"/>
    </row>
    <row r="13522" spans="30:30" ht="15.75" customHeight="1">
      <c r="AD13522" s="794"/>
    </row>
    <row r="13523" spans="30:30" ht="15.75" customHeight="1">
      <c r="AD13523" s="794"/>
    </row>
    <row r="13524" spans="30:30" ht="15.75" customHeight="1">
      <c r="AD13524" s="794"/>
    </row>
    <row r="13525" spans="30:30" ht="15.75" customHeight="1">
      <c r="AD13525" s="794"/>
    </row>
    <row r="13526" spans="30:30" ht="15.75" customHeight="1">
      <c r="AD13526" s="794"/>
    </row>
    <row r="13527" spans="30:30" ht="15.75" customHeight="1">
      <c r="AD13527" s="794"/>
    </row>
    <row r="13528" spans="30:30" ht="15.75" customHeight="1">
      <c r="AD13528" s="794"/>
    </row>
    <row r="13529" spans="30:30" ht="15.75" customHeight="1">
      <c r="AD13529" s="794"/>
    </row>
    <row r="13530" spans="30:30" ht="15.75" customHeight="1">
      <c r="AD13530" s="794"/>
    </row>
    <row r="13531" spans="30:30" ht="15.75" customHeight="1">
      <c r="AD13531" s="794"/>
    </row>
    <row r="13532" spans="30:30" ht="15.75" customHeight="1">
      <c r="AD13532" s="794"/>
    </row>
    <row r="13533" spans="30:30" ht="15.75" customHeight="1">
      <c r="AD13533" s="794"/>
    </row>
    <row r="13534" spans="30:30" ht="15.75" customHeight="1">
      <c r="AD13534" s="794"/>
    </row>
    <row r="13535" spans="30:30" ht="15.75" customHeight="1">
      <c r="AD13535" s="794"/>
    </row>
    <row r="13536" spans="30:30" ht="15.75" customHeight="1">
      <c r="AD13536" s="794"/>
    </row>
    <row r="13537" spans="30:30" ht="15.75" customHeight="1">
      <c r="AD13537" s="794"/>
    </row>
    <row r="13538" spans="30:30" ht="15.75" customHeight="1">
      <c r="AD13538" s="794"/>
    </row>
    <row r="13539" spans="30:30" ht="15.75" customHeight="1">
      <c r="AD13539" s="794"/>
    </row>
    <row r="13540" spans="30:30" ht="15.75" customHeight="1">
      <c r="AD13540" s="794"/>
    </row>
    <row r="13541" spans="30:30" ht="15.75" customHeight="1">
      <c r="AD13541" s="794"/>
    </row>
    <row r="13542" spans="30:30" ht="15.75" customHeight="1">
      <c r="AD13542" s="794"/>
    </row>
    <row r="13543" spans="30:30" ht="15.75" customHeight="1">
      <c r="AD13543" s="794"/>
    </row>
    <row r="13544" spans="30:30" ht="15.75" customHeight="1">
      <c r="AD13544" s="794"/>
    </row>
    <row r="13545" spans="30:30" ht="15.75" customHeight="1">
      <c r="AD13545" s="794"/>
    </row>
    <row r="13546" spans="30:30" ht="15.75" customHeight="1">
      <c r="AD13546" s="794"/>
    </row>
    <row r="13547" spans="30:30" ht="15.75" customHeight="1">
      <c r="AD13547" s="794"/>
    </row>
    <row r="13548" spans="30:30" ht="15.75" customHeight="1">
      <c r="AD13548" s="794"/>
    </row>
    <row r="13549" spans="30:30" ht="15.75" customHeight="1">
      <c r="AD13549" s="794"/>
    </row>
    <row r="13550" spans="30:30" ht="15.75" customHeight="1">
      <c r="AD13550" s="794"/>
    </row>
    <row r="13551" spans="30:30" ht="15.75" customHeight="1">
      <c r="AD13551" s="794"/>
    </row>
    <row r="13552" spans="30:30" ht="15.75" customHeight="1">
      <c r="AD13552" s="794"/>
    </row>
    <row r="13553" spans="30:30" ht="15.75" customHeight="1">
      <c r="AD13553" s="794"/>
    </row>
    <row r="13554" spans="30:30" ht="15.75" customHeight="1">
      <c r="AD13554" s="794"/>
    </row>
    <row r="13555" spans="30:30" ht="15.75" customHeight="1">
      <c r="AD13555" s="794"/>
    </row>
    <row r="13556" spans="30:30" ht="15.75" customHeight="1">
      <c r="AD13556" s="794"/>
    </row>
    <row r="13557" spans="30:30" ht="15.75" customHeight="1">
      <c r="AD13557" s="794"/>
    </row>
    <row r="13558" spans="30:30" ht="15.75" customHeight="1">
      <c r="AD13558" s="794"/>
    </row>
    <row r="13559" spans="30:30" ht="15.75" customHeight="1">
      <c r="AD13559" s="794"/>
    </row>
    <row r="13560" spans="30:30" ht="15.75" customHeight="1">
      <c r="AD13560" s="794"/>
    </row>
    <row r="13561" spans="30:30" ht="15.75" customHeight="1">
      <c r="AD13561" s="794"/>
    </row>
    <row r="13562" spans="30:30" ht="15.75" customHeight="1">
      <c r="AD13562" s="794"/>
    </row>
    <row r="13563" spans="30:30" ht="15.75" customHeight="1">
      <c r="AD13563" s="794"/>
    </row>
    <row r="13564" spans="30:30" ht="15.75" customHeight="1">
      <c r="AD13564" s="794"/>
    </row>
    <row r="13565" spans="30:30" ht="15.75" customHeight="1">
      <c r="AD13565" s="794"/>
    </row>
    <row r="13566" spans="30:30" ht="15.75" customHeight="1">
      <c r="AD13566" s="794"/>
    </row>
    <row r="13567" spans="30:30" ht="15.75" customHeight="1">
      <c r="AD13567" s="794"/>
    </row>
    <row r="13568" spans="30:30" ht="15.75" customHeight="1">
      <c r="AD13568" s="794"/>
    </row>
    <row r="13569" spans="30:30" ht="15.75" customHeight="1">
      <c r="AD13569" s="794"/>
    </row>
    <row r="13570" spans="30:30" ht="15.75" customHeight="1">
      <c r="AD13570" s="794"/>
    </row>
    <row r="13571" spans="30:30" ht="15.75" customHeight="1">
      <c r="AD13571" s="794"/>
    </row>
    <row r="13572" spans="30:30" ht="15.75" customHeight="1">
      <c r="AD13572" s="794"/>
    </row>
    <row r="13573" spans="30:30" ht="15.75" customHeight="1">
      <c r="AD13573" s="794"/>
    </row>
    <row r="13574" spans="30:30" ht="15.75" customHeight="1">
      <c r="AD13574" s="794"/>
    </row>
    <row r="13575" spans="30:30" ht="15.75" customHeight="1">
      <c r="AD13575" s="794"/>
    </row>
    <row r="13576" spans="30:30" ht="15.75" customHeight="1">
      <c r="AD13576" s="794"/>
    </row>
    <row r="13577" spans="30:30" ht="15.75" customHeight="1">
      <c r="AD13577" s="794"/>
    </row>
    <row r="13578" spans="30:30" ht="15.75" customHeight="1">
      <c r="AD13578" s="794"/>
    </row>
    <row r="13579" spans="30:30" ht="15.75" customHeight="1">
      <c r="AD13579" s="794"/>
    </row>
    <row r="13580" spans="30:30" ht="15.75" customHeight="1">
      <c r="AD13580" s="794"/>
    </row>
    <row r="13581" spans="30:30" ht="15.75" customHeight="1">
      <c r="AD13581" s="794"/>
    </row>
    <row r="13582" spans="30:30" ht="15.75" customHeight="1">
      <c r="AD13582" s="794"/>
    </row>
    <row r="13583" spans="30:30" ht="15.75" customHeight="1">
      <c r="AD13583" s="794"/>
    </row>
    <row r="13584" spans="30:30" ht="15.75" customHeight="1">
      <c r="AD13584" s="794"/>
    </row>
    <row r="13585" spans="30:30" ht="15.75" customHeight="1">
      <c r="AD13585" s="794"/>
    </row>
    <row r="13586" spans="30:30" ht="15.75" customHeight="1">
      <c r="AD13586" s="794"/>
    </row>
    <row r="13587" spans="30:30" ht="15.75" customHeight="1">
      <c r="AD13587" s="794"/>
    </row>
    <row r="13588" spans="30:30" ht="15.75" customHeight="1">
      <c r="AD13588" s="794"/>
    </row>
    <row r="13589" spans="30:30" ht="15.75" customHeight="1">
      <c r="AD13589" s="794"/>
    </row>
    <row r="13590" spans="30:30" ht="15.75" customHeight="1">
      <c r="AD13590" s="794"/>
    </row>
    <row r="13591" spans="30:30" ht="15.75" customHeight="1">
      <c r="AD13591" s="794"/>
    </row>
    <row r="13592" spans="30:30" ht="15.75" customHeight="1">
      <c r="AD13592" s="794"/>
    </row>
    <row r="13593" spans="30:30" ht="15.75" customHeight="1">
      <c r="AD13593" s="794"/>
    </row>
    <row r="13594" spans="30:30" ht="15.75" customHeight="1">
      <c r="AD13594" s="794"/>
    </row>
    <row r="13595" spans="30:30" ht="15.75" customHeight="1">
      <c r="AD13595" s="794"/>
    </row>
    <row r="13596" spans="30:30" ht="15.75" customHeight="1">
      <c r="AD13596" s="794"/>
    </row>
    <row r="13597" spans="30:30" ht="15.75" customHeight="1">
      <c r="AD13597" s="794"/>
    </row>
    <row r="13598" spans="30:30" ht="15.75" customHeight="1">
      <c r="AD13598" s="794"/>
    </row>
    <row r="13599" spans="30:30" ht="15.75" customHeight="1">
      <c r="AD13599" s="794"/>
    </row>
    <row r="13600" spans="30:30" ht="15.75" customHeight="1">
      <c r="AD13600" s="794"/>
    </row>
    <row r="13601" spans="30:30" ht="15.75" customHeight="1">
      <c r="AD13601" s="794"/>
    </row>
    <row r="13602" spans="30:30" ht="15.75" customHeight="1">
      <c r="AD13602" s="794"/>
    </row>
    <row r="13603" spans="30:30" ht="15.75" customHeight="1">
      <c r="AD13603" s="794"/>
    </row>
    <row r="13604" spans="30:30" ht="15.75" customHeight="1">
      <c r="AD13604" s="794"/>
    </row>
    <row r="13605" spans="30:30" ht="15.75" customHeight="1">
      <c r="AD13605" s="794"/>
    </row>
    <row r="13606" spans="30:30" ht="15.75" customHeight="1">
      <c r="AD13606" s="794"/>
    </row>
    <row r="13607" spans="30:30" ht="15.75" customHeight="1">
      <c r="AD13607" s="794"/>
    </row>
    <row r="13608" spans="30:30" ht="15.75" customHeight="1">
      <c r="AD13608" s="794"/>
    </row>
    <row r="13609" spans="30:30" ht="15.75" customHeight="1">
      <c r="AD13609" s="794"/>
    </row>
    <row r="13610" spans="30:30" ht="15.75" customHeight="1">
      <c r="AD13610" s="794"/>
    </row>
    <row r="13611" spans="30:30" ht="15.75" customHeight="1">
      <c r="AD13611" s="794"/>
    </row>
    <row r="13612" spans="30:30" ht="15.75" customHeight="1">
      <c r="AD13612" s="794"/>
    </row>
    <row r="13613" spans="30:30" ht="15.75" customHeight="1">
      <c r="AD13613" s="794"/>
    </row>
    <row r="13614" spans="30:30" ht="15.75" customHeight="1">
      <c r="AD13614" s="794"/>
    </row>
    <row r="13615" spans="30:30" ht="15.75" customHeight="1">
      <c r="AD13615" s="794"/>
    </row>
    <row r="13616" spans="30:30" ht="15.75" customHeight="1">
      <c r="AD13616" s="794"/>
    </row>
    <row r="13617" spans="30:30" ht="15.75" customHeight="1">
      <c r="AD13617" s="794"/>
    </row>
    <row r="13618" spans="30:30" ht="15.75" customHeight="1">
      <c r="AD13618" s="794"/>
    </row>
    <row r="13619" spans="30:30" ht="15.75" customHeight="1">
      <c r="AD13619" s="794"/>
    </row>
    <row r="13620" spans="30:30" ht="15.75" customHeight="1">
      <c r="AD13620" s="794"/>
    </row>
    <row r="13621" spans="30:30" ht="15.75" customHeight="1">
      <c r="AD13621" s="794"/>
    </row>
    <row r="13622" spans="30:30" ht="15.75" customHeight="1">
      <c r="AD13622" s="794"/>
    </row>
    <row r="13623" spans="30:30" ht="15.75" customHeight="1">
      <c r="AD13623" s="794"/>
    </row>
    <row r="13624" spans="30:30" ht="15.75" customHeight="1">
      <c r="AD13624" s="794"/>
    </row>
  </sheetData>
  <mergeCells count="3">
    <mergeCell ref="M2:Q2"/>
    <mergeCell ref="S2:W2"/>
    <mergeCell ref="Y2:AC2"/>
  </mergeCells>
  <conditionalFormatting sqref="N49:O49">
    <cfRule type="cellIs" dxfId="114" priority="53" operator="equal">
      <formula>0</formula>
    </cfRule>
  </conditionalFormatting>
  <conditionalFormatting sqref="N51:O51">
    <cfRule type="cellIs" dxfId="113" priority="39" operator="equal">
      <formula>0</formula>
    </cfRule>
  </conditionalFormatting>
  <conditionalFormatting sqref="N61:O61">
    <cfRule type="cellIs" dxfId="112" priority="27" operator="equal">
      <formula>0</formula>
    </cfRule>
  </conditionalFormatting>
  <conditionalFormatting sqref="P4:P88">
    <cfRule type="duplicateValues" dxfId="111" priority="15"/>
  </conditionalFormatting>
  <conditionalFormatting sqref="P73">
    <cfRule type="duplicateValues" dxfId="110" priority="22"/>
    <cfRule type="duplicateValues" dxfId="109" priority="23"/>
    <cfRule type="duplicateValues" dxfId="108" priority="24"/>
    <cfRule type="duplicateValues" dxfId="107" priority="25"/>
    <cfRule type="duplicateValues" dxfId="106" priority="26"/>
  </conditionalFormatting>
  <conditionalFormatting sqref="P74:P86 P37:P72 P4:P35">
    <cfRule type="duplicateValues" dxfId="105" priority="132"/>
    <cfRule type="duplicateValues" dxfId="104" priority="133"/>
    <cfRule type="duplicateValues" dxfId="103" priority="134"/>
    <cfRule type="duplicateValues" dxfId="102" priority="135"/>
    <cfRule type="duplicateValues" dxfId="101" priority="136"/>
  </conditionalFormatting>
  <conditionalFormatting sqref="P87:P88">
    <cfRule type="duplicateValues" dxfId="100" priority="16"/>
    <cfRule type="duplicateValues" dxfId="99" priority="17"/>
    <cfRule type="duplicateValues" dxfId="98" priority="18"/>
    <cfRule type="duplicateValues" dxfId="97" priority="19"/>
    <cfRule type="duplicateValues" dxfId="96" priority="20"/>
  </conditionalFormatting>
  <conditionalFormatting sqref="P91:P1048576 P1">
    <cfRule type="duplicateValues" dxfId="95" priority="64"/>
    <cfRule type="duplicateValues" dxfId="94" priority="65"/>
    <cfRule type="duplicateValues" dxfId="93" priority="66"/>
    <cfRule type="duplicateValues" dxfId="92" priority="67"/>
    <cfRule type="duplicateValues" dxfId="91" priority="68"/>
  </conditionalFormatting>
  <conditionalFormatting sqref="Q24:Q26">
    <cfRule type="duplicateValues" dxfId="90" priority="45"/>
    <cfRule type="duplicateValues" dxfId="89" priority="46"/>
    <cfRule type="duplicateValues" dxfId="88" priority="47"/>
    <cfRule type="duplicateValues" dxfId="87" priority="48"/>
    <cfRule type="duplicateValues" dxfId="86" priority="49"/>
  </conditionalFormatting>
  <conditionalFormatting sqref="Q27:Q32">
    <cfRule type="duplicateValues" dxfId="85" priority="40"/>
    <cfRule type="duplicateValues" dxfId="84" priority="41"/>
    <cfRule type="duplicateValues" dxfId="83" priority="42"/>
    <cfRule type="duplicateValues" dxfId="82" priority="43"/>
    <cfRule type="duplicateValues" dxfId="81" priority="44"/>
  </conditionalFormatting>
  <conditionalFormatting sqref="Q34">
    <cfRule type="duplicateValues" dxfId="80" priority="147"/>
    <cfRule type="duplicateValues" dxfId="79" priority="148"/>
    <cfRule type="duplicateValues" dxfId="78" priority="149"/>
    <cfRule type="duplicateValues" dxfId="77" priority="150"/>
    <cfRule type="duplicateValues" dxfId="76" priority="151"/>
  </conditionalFormatting>
  <conditionalFormatting sqref="Q46:Q51">
    <cfRule type="duplicateValues" dxfId="75" priority="34"/>
    <cfRule type="duplicateValues" dxfId="74" priority="35"/>
    <cfRule type="duplicateValues" dxfId="73" priority="36"/>
    <cfRule type="duplicateValues" dxfId="72" priority="37"/>
    <cfRule type="duplicateValues" dxfId="71" priority="38"/>
  </conditionalFormatting>
  <conditionalFormatting sqref="Q63:Q86 Q37:Q55 Q4:Q34">
    <cfRule type="duplicateValues" dxfId="70" priority="179"/>
  </conditionalFormatting>
  <conditionalFormatting sqref="Q91:Q1048576 Q87:Q88 Q1">
    <cfRule type="duplicateValues" dxfId="69" priority="154"/>
  </conditionalFormatting>
  <conditionalFormatting sqref="T23:U23">
    <cfRule type="cellIs" dxfId="68" priority="50" operator="equal">
      <formula>0</formula>
    </cfRule>
  </conditionalFormatting>
  <conditionalFormatting sqref="V4:V16">
    <cfRule type="duplicateValues" dxfId="67" priority="8"/>
    <cfRule type="duplicateValues" dxfId="66" priority="9"/>
    <cfRule type="duplicateValues" dxfId="65" priority="10"/>
    <cfRule type="duplicateValues" dxfId="64" priority="11"/>
    <cfRule type="duplicateValues" dxfId="63" priority="12"/>
    <cfRule type="duplicateValues" dxfId="62" priority="13"/>
  </conditionalFormatting>
  <conditionalFormatting sqref="W4:W16">
    <cfRule type="duplicateValues" dxfId="61" priority="14"/>
  </conditionalFormatting>
  <conditionalFormatting sqref="AB4:AB6">
    <cfRule type="duplicateValues" dxfId="60" priority="1"/>
    <cfRule type="duplicateValues" dxfId="59" priority="2"/>
    <cfRule type="duplicateValues" dxfId="58" priority="3"/>
    <cfRule type="duplicateValues" dxfId="57" priority="4"/>
    <cfRule type="duplicateValues" dxfId="56" priority="5"/>
    <cfRule type="duplicateValues" dxfId="55" priority="6"/>
  </conditionalFormatting>
  <conditionalFormatting sqref="AC4:AC6">
    <cfRule type="duplicateValues" dxfId="54" priority="7"/>
  </conditionalFormatting>
  <conditionalFormatting sqref="AD35:AD55">
    <cfRule type="cellIs" dxfId="53" priority="21" operator="equal">
      <formula>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78A4-9AA7-4ABC-B47C-FE8A2363DFF9}">
  <sheetPr codeName="Sheet7">
    <outlinePr summaryBelow="0" summaryRight="0"/>
  </sheetPr>
  <dimension ref="A1:AT13627"/>
  <sheetViews>
    <sheetView zoomScale="84" zoomScaleNormal="84" workbookViewId="0">
      <selection activeCell="H11" sqref="H11"/>
    </sheetView>
  </sheetViews>
  <sheetFormatPr defaultColWidth="11.5703125" defaultRowHeight="15.75" customHeight="1"/>
  <cols>
    <col min="1" max="1" width="3.5703125" style="301" customWidth="1"/>
    <col min="2" max="2" width="14.5703125" style="301" customWidth="1"/>
    <col min="3" max="3" width="4.42578125" style="301" customWidth="1"/>
    <col min="4" max="5" width="12.5703125" style="301" customWidth="1"/>
    <col min="6" max="6" width="3.5703125" style="301" customWidth="1"/>
    <col min="7" max="7" width="14" style="301" customWidth="1"/>
    <col min="8" max="8" width="27.42578125" style="301" customWidth="1"/>
    <col min="9" max="9" width="8.42578125" style="301" customWidth="1"/>
    <col min="10" max="10" width="40.5703125" style="301" customWidth="1"/>
    <col min="11" max="11" width="11.42578125" style="302" customWidth="1"/>
    <col min="12" max="12" width="24.5703125" style="301" hidden="1" customWidth="1"/>
    <col min="13" max="13" width="7" style="301" customWidth="1"/>
    <col min="14" max="14" width="3.5703125" style="301" customWidth="1"/>
    <col min="15" max="15" width="17.42578125" style="417" customWidth="1"/>
    <col min="16" max="16" width="33" style="301" customWidth="1"/>
    <col min="17" max="17" width="26.42578125" style="302" customWidth="1"/>
    <col min="18" max="18" width="8.5703125" style="301" hidden="1" customWidth="1"/>
    <col min="19" max="19" width="22" style="301" customWidth="1"/>
    <col min="20" max="20" width="3.5703125" style="301" customWidth="1"/>
    <col min="21" max="21" width="14.5703125" style="301" customWidth="1"/>
    <col min="22" max="22" width="25.42578125" style="301" customWidth="1"/>
    <col min="23" max="23" width="11.5703125" style="301" customWidth="1"/>
    <col min="24" max="24" width="8.5703125" style="301" customWidth="1"/>
    <col min="25" max="25" width="32.5703125" style="301" customWidth="1"/>
    <col min="26" max="26" width="16" style="301" customWidth="1"/>
    <col min="27" max="27" width="10.42578125" style="301" customWidth="1"/>
    <col min="28" max="28" width="23.5703125" style="301" customWidth="1"/>
    <col min="29" max="29" width="19.5703125" style="301" customWidth="1"/>
    <col min="30" max="30" width="8.5703125" style="301" customWidth="1"/>
    <col min="31" max="32" width="32.5703125" style="301" customWidth="1"/>
    <col min="33" max="33" width="12.42578125" style="301" customWidth="1"/>
    <col min="34" max="35" width="10.5703125" style="301" customWidth="1"/>
    <col min="36" max="36" width="24.42578125" style="301" customWidth="1"/>
    <col min="37" max="37" width="19.5703125" style="301" customWidth="1"/>
    <col min="38" max="46" width="11.42578125" style="301" customWidth="1"/>
    <col min="47" max="16384" width="11.5703125" style="301"/>
  </cols>
  <sheetData>
    <row r="1" spans="1:46" ht="15.75" customHeight="1">
      <c r="L1" s="303"/>
      <c r="O1" s="304" t="s">
        <v>9333</v>
      </c>
      <c r="U1" s="304" t="s">
        <v>9334</v>
      </c>
      <c r="Z1" s="304" t="s">
        <v>9335</v>
      </c>
    </row>
    <row r="2" spans="1:46" ht="15.75" customHeight="1">
      <c r="O2" s="305" t="s">
        <v>9336</v>
      </c>
      <c r="U2" s="305" t="s">
        <v>9336</v>
      </c>
    </row>
    <row r="6" spans="1:46" ht="13.9">
      <c r="A6" s="306" t="s">
        <v>8943</v>
      </c>
      <c r="B6" s="307" t="s">
        <v>8944</v>
      </c>
      <c r="C6" s="306" t="s">
        <v>8945</v>
      </c>
      <c r="D6" s="308"/>
      <c r="E6" s="306" t="s">
        <v>8944</v>
      </c>
      <c r="F6" s="306" t="s">
        <v>8943</v>
      </c>
      <c r="G6" s="307" t="s">
        <v>8946</v>
      </c>
      <c r="H6" s="307"/>
      <c r="I6" s="306"/>
      <c r="J6" s="306" t="s">
        <v>8948</v>
      </c>
      <c r="K6" s="309" t="s">
        <v>8945</v>
      </c>
      <c r="L6" s="303" t="s">
        <v>8985</v>
      </c>
      <c r="M6" s="310"/>
      <c r="N6" s="1315" t="s">
        <v>8949</v>
      </c>
      <c r="O6" s="1317"/>
      <c r="P6" s="1317"/>
      <c r="Q6" s="1317"/>
      <c r="R6" s="1318"/>
      <c r="S6" s="311"/>
      <c r="T6" s="1316" t="s">
        <v>8950</v>
      </c>
      <c r="U6" s="1319"/>
      <c r="V6" s="1319"/>
      <c r="W6" s="1319"/>
      <c r="X6" s="1319"/>
      <c r="Y6" s="312"/>
      <c r="Z6" s="312"/>
      <c r="AA6" s="312"/>
      <c r="AB6" s="312"/>
      <c r="AC6" s="312"/>
      <c r="AD6" s="312"/>
      <c r="AE6" s="312"/>
      <c r="AF6" s="313" t="s">
        <v>8952</v>
      </c>
      <c r="AG6" s="313" t="s">
        <v>8953</v>
      </c>
      <c r="AH6" s="313" t="s">
        <v>8944</v>
      </c>
      <c r="AI6" s="313" t="s">
        <v>8954</v>
      </c>
      <c r="AJ6" s="314" t="s">
        <v>8955</v>
      </c>
      <c r="AK6" s="306" t="s">
        <v>8948</v>
      </c>
      <c r="AL6" s="315" t="s">
        <v>8956</v>
      </c>
      <c r="AM6" s="316"/>
      <c r="AN6" s="316"/>
      <c r="AO6" s="316"/>
      <c r="AP6" s="316"/>
      <c r="AQ6" s="316"/>
      <c r="AR6" s="316"/>
      <c r="AS6" s="316"/>
      <c r="AT6" s="316"/>
    </row>
    <row r="7" spans="1:46" ht="13.9">
      <c r="A7" s="317"/>
      <c r="B7" s="304"/>
      <c r="C7" s="317"/>
      <c r="D7" s="316"/>
      <c r="E7" s="304"/>
      <c r="F7" s="317"/>
      <c r="G7" s="318"/>
      <c r="H7" s="318"/>
      <c r="I7" s="304"/>
      <c r="J7" s="304"/>
      <c r="K7" s="319"/>
      <c r="M7" s="310"/>
      <c r="N7" s="320" t="s">
        <v>8943</v>
      </c>
      <c r="O7" s="321" t="s">
        <v>8961</v>
      </c>
      <c r="P7" s="306" t="s">
        <v>8962</v>
      </c>
      <c r="Q7" s="322" t="s">
        <v>8963</v>
      </c>
      <c r="R7" s="306" t="s">
        <v>8964</v>
      </c>
      <c r="S7" s="311"/>
      <c r="T7" s="306" t="s">
        <v>8943</v>
      </c>
      <c r="U7" s="306" t="s">
        <v>8961</v>
      </c>
      <c r="V7" s="321" t="s">
        <v>8962</v>
      </c>
      <c r="W7" s="323" t="s">
        <v>8965</v>
      </c>
      <c r="X7" s="306" t="s">
        <v>8964</v>
      </c>
      <c r="Y7" s="324"/>
      <c r="Z7" s="1316" t="s">
        <v>8951</v>
      </c>
      <c r="AA7" s="1319"/>
      <c r="AB7" s="1319"/>
      <c r="AC7" s="1319"/>
      <c r="AD7" s="1319"/>
      <c r="AE7" s="324"/>
      <c r="AF7" s="325"/>
      <c r="AG7" s="325"/>
      <c r="AH7" s="325"/>
      <c r="AI7" s="325"/>
      <c r="AJ7" s="325"/>
      <c r="AK7" s="304"/>
      <c r="AL7" s="304"/>
      <c r="AM7" s="316"/>
      <c r="AN7" s="316"/>
      <c r="AO7" s="316"/>
      <c r="AP7" s="316"/>
      <c r="AQ7" s="316"/>
      <c r="AR7" s="316"/>
      <c r="AS7" s="316"/>
      <c r="AT7" s="316"/>
    </row>
    <row r="8" spans="1:46" ht="14.45">
      <c r="A8" s="317">
        <v>1</v>
      </c>
      <c r="B8" s="304" t="s">
        <v>150</v>
      </c>
      <c r="C8" s="317" t="s">
        <v>8957</v>
      </c>
      <c r="D8" s="316"/>
      <c r="E8" s="304" t="s">
        <v>150</v>
      </c>
      <c r="F8" s="317">
        <v>1</v>
      </c>
      <c r="G8" s="318" t="s">
        <v>151</v>
      </c>
      <c r="H8" s="318" t="str">
        <f t="shared" ref="H8:H58" si="0">E8&amp;" | "&amp;G8</f>
        <v>FURNITURE | Chairs</v>
      </c>
      <c r="I8" s="304" t="s">
        <v>8958</v>
      </c>
      <c r="J8" s="304" t="s">
        <v>9337</v>
      </c>
      <c r="K8" s="319" t="s">
        <v>8960</v>
      </c>
      <c r="L8" s="303" t="s">
        <v>8997</v>
      </c>
      <c r="M8" s="310"/>
      <c r="N8" s="326"/>
      <c r="O8" s="327" t="s">
        <v>9300</v>
      </c>
      <c r="P8" s="328"/>
      <c r="Q8" s="329"/>
      <c r="R8" s="305"/>
      <c r="S8" s="311"/>
      <c r="T8" s="328"/>
      <c r="U8" s="327"/>
      <c r="V8" s="328"/>
      <c r="X8" s="305" t="s">
        <v>9336</v>
      </c>
      <c r="Y8" s="324"/>
      <c r="Z8" s="328"/>
      <c r="AA8" s="330" t="s">
        <v>1100</v>
      </c>
      <c r="AB8" s="328"/>
      <c r="AC8" s="304" t="s">
        <v>8971</v>
      </c>
      <c r="AD8" s="304" t="s">
        <v>8971</v>
      </c>
      <c r="AE8" s="324"/>
      <c r="AF8" s="325"/>
      <c r="AG8" s="325"/>
      <c r="AH8" s="325"/>
      <c r="AI8" s="325"/>
      <c r="AJ8" s="325" t="s">
        <v>8980</v>
      </c>
      <c r="AK8" s="304"/>
      <c r="AL8" s="304"/>
      <c r="AM8" s="316"/>
      <c r="AN8" s="316"/>
      <c r="AO8" s="316"/>
      <c r="AP8" s="316"/>
      <c r="AQ8" s="316"/>
      <c r="AR8" s="316"/>
      <c r="AS8" s="316"/>
      <c r="AT8" s="316"/>
    </row>
    <row r="9" spans="1:46" ht="13.9">
      <c r="A9" s="317">
        <v>2</v>
      </c>
      <c r="B9" s="304" t="s">
        <v>108</v>
      </c>
      <c r="C9" s="317" t="s">
        <v>8966</v>
      </c>
      <c r="D9" s="316"/>
      <c r="E9" s="304" t="s">
        <v>150</v>
      </c>
      <c r="F9" s="317">
        <v>2</v>
      </c>
      <c r="G9" s="318" t="s">
        <v>1947</v>
      </c>
      <c r="H9" s="318" t="str">
        <f t="shared" si="0"/>
        <v>FURNITURE | Lounge Chair</v>
      </c>
      <c r="I9" s="304" t="s">
        <v>8967</v>
      </c>
      <c r="J9" s="304" t="s">
        <v>9338</v>
      </c>
      <c r="K9" s="319" t="s">
        <v>8969</v>
      </c>
      <c r="L9" s="303" t="s">
        <v>9012</v>
      </c>
      <c r="M9" s="331"/>
      <c r="N9" s="326">
        <v>1</v>
      </c>
      <c r="O9" s="327" t="s">
        <v>8970</v>
      </c>
      <c r="P9" s="328" t="s">
        <v>8970</v>
      </c>
      <c r="Q9" s="322" t="s">
        <v>8971</v>
      </c>
      <c r="R9" s="328" t="s">
        <v>8972</v>
      </c>
      <c r="S9" s="311"/>
      <c r="T9" s="332">
        <v>5</v>
      </c>
      <c r="U9" s="333" t="s">
        <v>7283</v>
      </c>
      <c r="V9" s="334" t="s">
        <v>8973</v>
      </c>
      <c r="W9" s="335" t="s">
        <v>8974</v>
      </c>
      <c r="X9" s="335" t="s">
        <v>8975</v>
      </c>
      <c r="Y9" s="324"/>
      <c r="Z9" s="306" t="s">
        <v>8943</v>
      </c>
      <c r="AA9" s="306" t="s">
        <v>8961</v>
      </c>
      <c r="AB9" s="321" t="s">
        <v>8962</v>
      </c>
      <c r="AC9" s="323" t="s">
        <v>8965</v>
      </c>
      <c r="AD9" s="306" t="s">
        <v>8964</v>
      </c>
      <c r="AE9" s="324"/>
      <c r="AF9" s="325" t="s">
        <v>8991</v>
      </c>
      <c r="AG9" s="325" t="s">
        <v>3416</v>
      </c>
      <c r="AH9" s="325" t="s">
        <v>8992</v>
      </c>
      <c r="AI9" s="325" t="s">
        <v>1812</v>
      </c>
      <c r="AJ9" s="325" t="s">
        <v>8993</v>
      </c>
      <c r="AK9" s="304"/>
      <c r="AL9" s="304"/>
      <c r="AM9" s="316"/>
      <c r="AN9" s="316"/>
      <c r="AO9" s="316"/>
      <c r="AP9" s="316"/>
      <c r="AQ9" s="316"/>
      <c r="AR9" s="316"/>
      <c r="AS9" s="316"/>
      <c r="AT9" s="316"/>
    </row>
    <row r="10" spans="1:46" ht="13.9">
      <c r="A10" s="317">
        <v>3</v>
      </c>
      <c r="B10" s="304" t="s">
        <v>3459</v>
      </c>
      <c r="C10" s="317" t="s">
        <v>8981</v>
      </c>
      <c r="D10" s="316"/>
      <c r="E10" s="304" t="s">
        <v>150</v>
      </c>
      <c r="F10" s="317">
        <v>3</v>
      </c>
      <c r="G10" s="318" t="s">
        <v>461</v>
      </c>
      <c r="H10" s="318" t="str">
        <f t="shared" si="0"/>
        <v>FURNITURE | Table</v>
      </c>
      <c r="I10" s="304" t="s">
        <v>8982</v>
      </c>
      <c r="J10" s="304" t="s">
        <v>8983</v>
      </c>
      <c r="K10" s="319" t="s">
        <v>9339</v>
      </c>
      <c r="L10" s="303" t="s">
        <v>9020</v>
      </c>
      <c r="M10" s="331"/>
      <c r="N10" s="326">
        <v>2</v>
      </c>
      <c r="O10" s="327" t="s">
        <v>383</v>
      </c>
      <c r="P10" s="328" t="s">
        <v>8986</v>
      </c>
      <c r="Q10" s="322" t="s">
        <v>8987</v>
      </c>
      <c r="R10" s="328" t="s">
        <v>8987</v>
      </c>
      <c r="S10" s="311"/>
      <c r="T10" s="332">
        <v>6</v>
      </c>
      <c r="U10" s="333" t="s">
        <v>133</v>
      </c>
      <c r="V10" s="334" t="s">
        <v>8973</v>
      </c>
      <c r="W10" s="335" t="s">
        <v>8974</v>
      </c>
      <c r="X10" s="335" t="s">
        <v>8988</v>
      </c>
      <c r="Y10" s="324"/>
      <c r="Z10" s="332">
        <v>5</v>
      </c>
      <c r="AA10" s="333" t="s">
        <v>8976</v>
      </c>
      <c r="AB10" s="328" t="s">
        <v>8977</v>
      </c>
      <c r="AC10" s="335" t="s">
        <v>8978</v>
      </c>
      <c r="AD10" s="335" t="s">
        <v>8979</v>
      </c>
      <c r="AE10" s="324"/>
      <c r="AF10" s="325" t="s">
        <v>9004</v>
      </c>
      <c r="AG10" s="325" t="s">
        <v>9005</v>
      </c>
      <c r="AH10" s="325" t="s">
        <v>9006</v>
      </c>
      <c r="AI10" s="325" t="s">
        <v>9007</v>
      </c>
      <c r="AJ10" s="325" t="s">
        <v>9008</v>
      </c>
      <c r="AK10" s="304"/>
      <c r="AL10" s="304"/>
      <c r="AM10" s="316"/>
      <c r="AN10" s="316"/>
      <c r="AO10" s="316"/>
      <c r="AP10" s="316"/>
      <c r="AQ10" s="316"/>
      <c r="AR10" s="316"/>
      <c r="AS10" s="316"/>
      <c r="AT10" s="316"/>
    </row>
    <row r="11" spans="1:46" ht="42" customHeight="1">
      <c r="A11" s="317">
        <v>4</v>
      </c>
      <c r="B11" s="304" t="s">
        <v>135</v>
      </c>
      <c r="C11" s="317" t="s">
        <v>8994</v>
      </c>
      <c r="D11" s="316"/>
      <c r="E11" s="304" t="s">
        <v>150</v>
      </c>
      <c r="F11" s="317">
        <v>4</v>
      </c>
      <c r="G11" s="318" t="s">
        <v>384</v>
      </c>
      <c r="H11" s="318" t="str">
        <f t="shared" si="0"/>
        <v>FURNITURE | Sofa</v>
      </c>
      <c r="I11" s="304" t="s">
        <v>384</v>
      </c>
      <c r="J11" s="304" t="s">
        <v>8995</v>
      </c>
      <c r="K11" s="319" t="s">
        <v>9340</v>
      </c>
      <c r="L11" s="303" t="s">
        <v>9027</v>
      </c>
      <c r="M11" s="331"/>
      <c r="N11" s="326">
        <v>3</v>
      </c>
      <c r="O11" s="327" t="s">
        <v>5635</v>
      </c>
      <c r="P11" s="328" t="s">
        <v>8998</v>
      </c>
      <c r="Q11" s="322" t="s">
        <v>8999</v>
      </c>
      <c r="R11" s="328" t="s">
        <v>8999</v>
      </c>
      <c r="S11" s="336"/>
      <c r="T11" s="332">
        <v>7</v>
      </c>
      <c r="U11" s="333" t="s">
        <v>9000</v>
      </c>
      <c r="V11" s="334" t="s">
        <v>8973</v>
      </c>
      <c r="W11" s="335" t="s">
        <v>8974</v>
      </c>
      <c r="X11" s="335" t="s">
        <v>9001</v>
      </c>
      <c r="Y11" s="324"/>
      <c r="Z11" s="332">
        <v>6</v>
      </c>
      <c r="AA11" s="333" t="s">
        <v>8976</v>
      </c>
      <c r="AB11" s="328" t="s">
        <v>8989</v>
      </c>
      <c r="AC11" s="335" t="s">
        <v>8990</v>
      </c>
      <c r="AD11" s="335" t="s">
        <v>8979</v>
      </c>
      <c r="AE11" s="324"/>
      <c r="AF11" s="316"/>
      <c r="AG11" s="316"/>
      <c r="AH11" s="316"/>
      <c r="AI11" s="316"/>
      <c r="AJ11" s="316"/>
      <c r="AK11" s="316"/>
      <c r="AL11" s="316"/>
      <c r="AM11" s="316"/>
      <c r="AN11" s="316"/>
      <c r="AO11" s="316"/>
      <c r="AP11" s="316"/>
      <c r="AQ11" s="316"/>
      <c r="AR11" s="316"/>
      <c r="AS11" s="316"/>
      <c r="AT11" s="316"/>
    </row>
    <row r="12" spans="1:46" ht="42.75" customHeight="1">
      <c r="A12" s="317">
        <v>5</v>
      </c>
      <c r="B12" s="304" t="s">
        <v>1100</v>
      </c>
      <c r="C12" s="317" t="s">
        <v>9009</v>
      </c>
      <c r="D12" s="316"/>
      <c r="E12" s="304" t="s">
        <v>150</v>
      </c>
      <c r="F12" s="317">
        <v>5</v>
      </c>
      <c r="G12" s="318" t="s">
        <v>868</v>
      </c>
      <c r="H12" s="318" t="str">
        <f t="shared" si="0"/>
        <v>FURNITURE | Bed</v>
      </c>
      <c r="I12" s="304" t="s">
        <v>9010</v>
      </c>
      <c r="J12" s="304" t="s">
        <v>9010</v>
      </c>
      <c r="K12" s="319" t="s">
        <v>9341</v>
      </c>
      <c r="L12" s="303" t="s">
        <v>9036</v>
      </c>
      <c r="M12" s="331"/>
      <c r="N12" s="326">
        <v>4</v>
      </c>
      <c r="O12" s="327" t="s">
        <v>101</v>
      </c>
      <c r="P12" s="328" t="s">
        <v>4786</v>
      </c>
      <c r="Q12" s="322" t="s">
        <v>9013</v>
      </c>
      <c r="R12" s="328" t="s">
        <v>9013</v>
      </c>
      <c r="S12" s="311"/>
      <c r="T12" s="332">
        <v>8</v>
      </c>
      <c r="U12" s="337" t="s">
        <v>9014</v>
      </c>
      <c r="V12" s="338" t="s">
        <v>9015</v>
      </c>
      <c r="W12" s="339" t="s">
        <v>9016</v>
      </c>
      <c r="X12" s="339" t="s">
        <v>8971</v>
      </c>
      <c r="Y12" s="324"/>
      <c r="Z12" s="332">
        <v>7</v>
      </c>
      <c r="AA12" s="333" t="s">
        <v>8976</v>
      </c>
      <c r="AB12" s="328" t="s">
        <v>9002</v>
      </c>
      <c r="AC12" s="335" t="s">
        <v>9003</v>
      </c>
      <c r="AD12" s="335" t="s">
        <v>8979</v>
      </c>
      <c r="AE12" s="324"/>
      <c r="AF12" s="316"/>
      <c r="AG12" s="316"/>
      <c r="AH12" s="316"/>
      <c r="AI12" s="316"/>
      <c r="AJ12" s="316"/>
      <c r="AK12" s="311"/>
      <c r="AL12" s="316"/>
      <c r="AM12" s="316"/>
      <c r="AN12" s="316"/>
      <c r="AO12" s="316"/>
      <c r="AP12" s="316"/>
      <c r="AQ12" s="316"/>
      <c r="AR12" s="316"/>
      <c r="AS12" s="316"/>
      <c r="AT12" s="316"/>
    </row>
    <row r="13" spans="1:46" ht="13.9">
      <c r="A13" s="316"/>
      <c r="B13" s="316"/>
      <c r="C13" s="316"/>
      <c r="D13" s="316"/>
      <c r="E13" s="304" t="s">
        <v>150</v>
      </c>
      <c r="F13" s="317">
        <v>7</v>
      </c>
      <c r="G13" s="318" t="s">
        <v>1812</v>
      </c>
      <c r="H13" s="318" t="str">
        <f t="shared" si="0"/>
        <v>FURNITURE | Trolley</v>
      </c>
      <c r="I13" s="304" t="s">
        <v>9017</v>
      </c>
      <c r="J13" s="304" t="s">
        <v>9018</v>
      </c>
      <c r="K13" s="319" t="s">
        <v>9019</v>
      </c>
      <c r="L13" s="303" t="s">
        <v>9046</v>
      </c>
      <c r="M13" s="331"/>
      <c r="N13" s="326">
        <v>5</v>
      </c>
      <c r="O13" s="327" t="s">
        <v>532</v>
      </c>
      <c r="P13" s="328" t="s">
        <v>9021</v>
      </c>
      <c r="Q13" s="322" t="s">
        <v>8971</v>
      </c>
      <c r="R13" s="328" t="s">
        <v>9022</v>
      </c>
      <c r="S13" s="311"/>
      <c r="T13" s="332">
        <v>9</v>
      </c>
      <c r="U13" s="337" t="s">
        <v>9023</v>
      </c>
      <c r="V13" s="338" t="s">
        <v>9015</v>
      </c>
      <c r="W13" s="339" t="s">
        <v>9016</v>
      </c>
      <c r="X13" s="339" t="s">
        <v>8971</v>
      </c>
      <c r="Y13" s="324"/>
      <c r="Z13" s="324"/>
      <c r="AA13" s="316"/>
      <c r="AB13" s="316"/>
      <c r="AC13" s="316"/>
      <c r="AD13" s="316"/>
      <c r="AE13" s="324"/>
      <c r="AF13" s="316"/>
      <c r="AG13" s="316"/>
      <c r="AH13" s="316"/>
      <c r="AI13" s="316"/>
      <c r="AJ13" s="316"/>
      <c r="AK13" s="316"/>
      <c r="AL13" s="316"/>
      <c r="AM13" s="316"/>
      <c r="AN13" s="316"/>
      <c r="AO13" s="316"/>
      <c r="AP13" s="316"/>
      <c r="AQ13" s="316"/>
      <c r="AR13" s="316"/>
      <c r="AS13" s="316"/>
      <c r="AT13" s="316"/>
    </row>
    <row r="14" spans="1:46" ht="13.9">
      <c r="A14" s="340"/>
      <c r="B14" s="316"/>
      <c r="C14" s="340"/>
      <c r="D14" s="316"/>
      <c r="E14" s="304" t="s">
        <v>150</v>
      </c>
      <c r="F14" s="317">
        <v>8</v>
      </c>
      <c r="G14" s="318" t="s">
        <v>276</v>
      </c>
      <c r="H14" s="318" t="str">
        <f t="shared" si="0"/>
        <v>FURNITURE | Cabinet</v>
      </c>
      <c r="I14" s="304" t="s">
        <v>9024</v>
      </c>
      <c r="J14" s="304" t="s">
        <v>9025</v>
      </c>
      <c r="K14" s="319" t="s">
        <v>9342</v>
      </c>
      <c r="L14" s="303" t="s">
        <v>275</v>
      </c>
      <c r="M14" s="331"/>
      <c r="N14" s="326">
        <v>6</v>
      </c>
      <c r="O14" s="327" t="s">
        <v>273</v>
      </c>
      <c r="P14" s="328" t="s">
        <v>9028</v>
      </c>
      <c r="Q14" s="322" t="s">
        <v>9029</v>
      </c>
      <c r="R14" s="328" t="s">
        <v>9029</v>
      </c>
      <c r="S14" s="311"/>
      <c r="T14" s="332">
        <v>1</v>
      </c>
      <c r="U14" s="341" t="s">
        <v>9030</v>
      </c>
      <c r="V14" s="342" t="s">
        <v>9031</v>
      </c>
      <c r="W14" s="343" t="s">
        <v>9032</v>
      </c>
      <c r="X14" s="339" t="s">
        <v>8971</v>
      </c>
      <c r="Y14" s="324"/>
      <c r="Z14" s="316"/>
      <c r="AA14" s="316" t="s">
        <v>9041</v>
      </c>
      <c r="AB14" s="344" t="s">
        <v>9042</v>
      </c>
      <c r="AC14" s="316"/>
      <c r="AD14" s="316"/>
      <c r="AE14" s="316"/>
      <c r="AF14" s="316"/>
      <c r="AG14" s="316"/>
      <c r="AH14" s="316"/>
      <c r="AI14" s="316"/>
      <c r="AJ14" s="316"/>
      <c r="AK14" s="316"/>
      <c r="AL14" s="316"/>
      <c r="AM14" s="316"/>
      <c r="AN14" s="316"/>
      <c r="AO14" s="316"/>
      <c r="AP14" s="316"/>
      <c r="AQ14" s="316"/>
      <c r="AR14" s="316"/>
      <c r="AS14" s="316"/>
      <c r="AT14" s="316"/>
    </row>
    <row r="15" spans="1:46" ht="13.9">
      <c r="A15" s="340"/>
      <c r="B15" s="316"/>
      <c r="C15" s="340"/>
      <c r="D15" s="316"/>
      <c r="E15" s="304" t="s">
        <v>150</v>
      </c>
      <c r="F15" s="317">
        <v>9</v>
      </c>
      <c r="G15" s="318" t="s">
        <v>4953</v>
      </c>
      <c r="H15" s="318" t="str">
        <f t="shared" si="0"/>
        <v>FURNITURE | Outdoor</v>
      </c>
      <c r="I15" s="345" t="s">
        <v>9033</v>
      </c>
      <c r="J15" s="345" t="s">
        <v>9034</v>
      </c>
      <c r="K15" s="319" t="s">
        <v>9035</v>
      </c>
      <c r="L15" s="303" t="s">
        <v>9061</v>
      </c>
      <c r="M15" s="331"/>
      <c r="N15" s="326">
        <v>7</v>
      </c>
      <c r="O15" s="327" t="s">
        <v>9037</v>
      </c>
      <c r="P15" s="328" t="s">
        <v>9038</v>
      </c>
      <c r="Q15" s="322" t="s">
        <v>9039</v>
      </c>
      <c r="R15" s="328" t="s">
        <v>9039</v>
      </c>
      <c r="S15" s="311"/>
      <c r="T15" s="332">
        <v>2</v>
      </c>
      <c r="U15" s="341" t="s">
        <v>9040</v>
      </c>
      <c r="V15" s="342" t="s">
        <v>9031</v>
      </c>
      <c r="W15" s="343" t="s">
        <v>9032</v>
      </c>
      <c r="X15" s="339" t="s">
        <v>8971</v>
      </c>
      <c r="Y15" s="316"/>
      <c r="Z15" s="316"/>
      <c r="AA15" s="316"/>
      <c r="AB15" s="344" t="s">
        <v>9053</v>
      </c>
      <c r="AC15" s="316"/>
      <c r="AD15" s="316"/>
      <c r="AE15" s="316"/>
      <c r="AF15" s="316"/>
      <c r="AG15" s="316"/>
      <c r="AH15" s="316"/>
      <c r="AI15" s="316"/>
      <c r="AJ15" s="316"/>
      <c r="AK15" s="316"/>
      <c r="AL15" s="316"/>
      <c r="AM15" s="316"/>
      <c r="AN15" s="316"/>
      <c r="AO15" s="316"/>
      <c r="AP15" s="316"/>
      <c r="AQ15" s="316"/>
      <c r="AR15" s="316"/>
      <c r="AS15" s="316"/>
      <c r="AT15" s="316"/>
    </row>
    <row r="16" spans="1:46" ht="13.9">
      <c r="A16" s="340"/>
      <c r="B16" s="316"/>
      <c r="C16" s="340"/>
      <c r="D16" s="316"/>
      <c r="E16" s="304" t="s">
        <v>150</v>
      </c>
      <c r="F16" s="317">
        <v>10</v>
      </c>
      <c r="G16" s="318" t="s">
        <v>220</v>
      </c>
      <c r="H16" s="318" t="str">
        <f t="shared" si="0"/>
        <v>FURNITURE | Others</v>
      </c>
      <c r="I16" s="345" t="s">
        <v>9043</v>
      </c>
      <c r="J16" s="345" t="s">
        <v>9044</v>
      </c>
      <c r="K16" s="319" t="s">
        <v>9045</v>
      </c>
      <c r="L16" s="346" t="s">
        <v>9068</v>
      </c>
      <c r="M16" s="331"/>
      <c r="N16" s="326">
        <v>8</v>
      </c>
      <c r="O16" s="327" t="s">
        <v>9047</v>
      </c>
      <c r="P16" s="328" t="s">
        <v>9048</v>
      </c>
      <c r="Q16" s="322" t="s">
        <v>9049</v>
      </c>
      <c r="R16" s="328" t="s">
        <v>9049</v>
      </c>
      <c r="S16" s="311"/>
      <c r="T16" s="332">
        <v>3</v>
      </c>
      <c r="U16" s="347" t="s">
        <v>9050</v>
      </c>
      <c r="V16" s="348" t="s">
        <v>9051</v>
      </c>
      <c r="W16" s="349" t="s">
        <v>9052</v>
      </c>
      <c r="X16" s="339" t="s">
        <v>8971</v>
      </c>
      <c r="Y16" s="316"/>
      <c r="Z16" s="316"/>
      <c r="AA16" s="316"/>
      <c r="AB16" s="344" t="s">
        <v>9057</v>
      </c>
      <c r="AC16" s="316"/>
      <c r="AD16" s="316"/>
      <c r="AE16" s="316"/>
      <c r="AF16" s="316"/>
      <c r="AG16" s="316"/>
      <c r="AH16" s="316"/>
      <c r="AI16" s="316"/>
      <c r="AJ16" s="316"/>
      <c r="AK16" s="316"/>
      <c r="AL16" s="316"/>
      <c r="AM16" s="316"/>
      <c r="AN16" s="316"/>
      <c r="AO16" s="316"/>
      <c r="AP16" s="316"/>
      <c r="AQ16" s="316"/>
      <c r="AR16" s="316"/>
      <c r="AS16" s="316"/>
      <c r="AT16" s="316"/>
    </row>
    <row r="17" spans="1:46" ht="13.9">
      <c r="A17" s="340"/>
      <c r="B17" s="316"/>
      <c r="C17" s="340"/>
      <c r="D17" s="316"/>
      <c r="E17" s="350" t="s">
        <v>108</v>
      </c>
      <c r="F17" s="317">
        <v>1</v>
      </c>
      <c r="G17" s="351" t="s">
        <v>3622</v>
      </c>
      <c r="H17" s="318" t="str">
        <f t="shared" si="0"/>
        <v>DECOR LIGHTING | Pendant</v>
      </c>
      <c r="I17" s="304" t="s">
        <v>9058</v>
      </c>
      <c r="J17" s="304" t="s">
        <v>9059</v>
      </c>
      <c r="K17" s="319" t="s">
        <v>9060</v>
      </c>
      <c r="L17" s="303" t="s">
        <v>9083</v>
      </c>
      <c r="M17" s="331"/>
      <c r="N17" s="326">
        <v>9</v>
      </c>
      <c r="O17" s="327" t="s">
        <v>9054</v>
      </c>
      <c r="P17" s="328" t="s">
        <v>9055</v>
      </c>
      <c r="Q17" s="322" t="s">
        <v>9056</v>
      </c>
      <c r="R17" s="328" t="s">
        <v>9056</v>
      </c>
      <c r="S17" s="311"/>
      <c r="T17" s="332"/>
      <c r="U17" s="347"/>
      <c r="V17" s="348"/>
      <c r="W17" s="349"/>
      <c r="X17" s="339" t="s">
        <v>8971</v>
      </c>
      <c r="Y17" s="316"/>
      <c r="Z17" s="316"/>
      <c r="AA17" s="316"/>
      <c r="AB17" s="344"/>
      <c r="AC17" s="316"/>
      <c r="AD17" s="316"/>
      <c r="AE17" s="316"/>
      <c r="AF17" s="316"/>
      <c r="AG17" s="316"/>
      <c r="AH17" s="316"/>
      <c r="AI17" s="316"/>
      <c r="AJ17" s="316"/>
      <c r="AK17" s="316"/>
      <c r="AL17" s="316"/>
      <c r="AM17" s="316"/>
      <c r="AN17" s="316"/>
      <c r="AO17" s="316"/>
      <c r="AP17" s="316"/>
      <c r="AQ17" s="316"/>
      <c r="AR17" s="316"/>
      <c r="AS17" s="316"/>
      <c r="AT17" s="316"/>
    </row>
    <row r="18" spans="1:46" ht="13.9">
      <c r="A18" s="340"/>
      <c r="B18" s="316"/>
      <c r="C18" s="340"/>
      <c r="D18" s="316"/>
      <c r="E18" s="350" t="s">
        <v>108</v>
      </c>
      <c r="F18" s="317">
        <v>2</v>
      </c>
      <c r="G18" s="351" t="s">
        <v>160</v>
      </c>
      <c r="H18" s="318" t="str">
        <f t="shared" si="0"/>
        <v>DECOR LIGHTING | Table lamp</v>
      </c>
      <c r="I18" s="304" t="s">
        <v>9065</v>
      </c>
      <c r="J18" s="304" t="s">
        <v>9066</v>
      </c>
      <c r="K18" s="319" t="s">
        <v>9067</v>
      </c>
      <c r="L18" s="303" t="s">
        <v>9089</v>
      </c>
      <c r="M18" s="331"/>
      <c r="N18" s="326">
        <v>10</v>
      </c>
      <c r="O18" s="327" t="s">
        <v>9062</v>
      </c>
      <c r="P18" s="328" t="s">
        <v>9063</v>
      </c>
      <c r="Q18" s="322" t="s">
        <v>9064</v>
      </c>
      <c r="R18" s="328" t="s">
        <v>9064</v>
      </c>
      <c r="S18" s="311"/>
      <c r="T18" s="332">
        <v>11</v>
      </c>
      <c r="U18" s="352" t="s">
        <v>3482</v>
      </c>
      <c r="V18" s="353" t="s">
        <v>9072</v>
      </c>
      <c r="W18" s="354" t="s">
        <v>9073</v>
      </c>
      <c r="X18" s="339" t="s">
        <v>8971</v>
      </c>
      <c r="Y18" s="316"/>
      <c r="Z18" s="316"/>
      <c r="AA18" s="316"/>
      <c r="AB18" s="316"/>
      <c r="AC18" s="316"/>
      <c r="AD18" s="316"/>
      <c r="AE18" s="316"/>
      <c r="AF18" s="316"/>
      <c r="AG18" s="316"/>
      <c r="AH18" s="316"/>
      <c r="AI18" s="316"/>
      <c r="AJ18" s="316"/>
      <c r="AK18" s="316"/>
      <c r="AL18" s="316"/>
      <c r="AM18" s="316"/>
      <c r="AN18" s="316"/>
      <c r="AO18" s="316"/>
      <c r="AP18" s="316"/>
      <c r="AQ18" s="316"/>
      <c r="AR18" s="316"/>
      <c r="AS18" s="316"/>
      <c r="AT18" s="316"/>
    </row>
    <row r="19" spans="1:46" ht="13.9">
      <c r="A19" s="340"/>
      <c r="B19" s="316"/>
      <c r="C19" s="340"/>
      <c r="D19" s="316"/>
      <c r="E19" s="350" t="s">
        <v>108</v>
      </c>
      <c r="F19" s="317">
        <v>3</v>
      </c>
      <c r="G19" s="351" t="s">
        <v>269</v>
      </c>
      <c r="H19" s="318" t="str">
        <f t="shared" si="0"/>
        <v>DECOR LIGHTING | Floor lamp</v>
      </c>
      <c r="I19" s="304" t="s">
        <v>9074</v>
      </c>
      <c r="J19" s="304" t="s">
        <v>9074</v>
      </c>
      <c r="K19" s="319" t="s">
        <v>9075</v>
      </c>
      <c r="L19" s="303" t="s">
        <v>9075</v>
      </c>
      <c r="M19" s="331"/>
      <c r="N19" s="326">
        <v>11</v>
      </c>
      <c r="O19" s="327" t="s">
        <v>9069</v>
      </c>
      <c r="P19" s="328" t="s">
        <v>9070</v>
      </c>
      <c r="Q19" s="322" t="s">
        <v>8971</v>
      </c>
      <c r="R19" s="328" t="s">
        <v>9071</v>
      </c>
      <c r="S19" s="311"/>
      <c r="T19" s="332">
        <v>12</v>
      </c>
      <c r="U19" s="352" t="s">
        <v>9079</v>
      </c>
      <c r="V19" s="353" t="s">
        <v>9072</v>
      </c>
      <c r="W19" s="354" t="s">
        <v>9073</v>
      </c>
      <c r="X19" s="339" t="s">
        <v>8971</v>
      </c>
      <c r="Y19" s="316"/>
      <c r="Z19" s="316"/>
      <c r="AA19" s="316"/>
      <c r="AB19" s="316"/>
      <c r="AC19" s="316"/>
      <c r="AD19" s="316"/>
      <c r="AE19" s="316"/>
      <c r="AF19" s="316"/>
      <c r="AG19" s="316"/>
      <c r="AH19" s="316"/>
      <c r="AI19" s="316"/>
      <c r="AJ19" s="316"/>
      <c r="AK19" s="316"/>
      <c r="AL19" s="316"/>
      <c r="AM19" s="316"/>
      <c r="AN19" s="316"/>
      <c r="AO19" s="316"/>
      <c r="AP19" s="316"/>
      <c r="AQ19" s="316"/>
      <c r="AR19" s="316"/>
      <c r="AS19" s="316"/>
      <c r="AT19" s="316"/>
    </row>
    <row r="20" spans="1:46" ht="13.9">
      <c r="A20" s="340"/>
      <c r="B20" s="316"/>
      <c r="C20" s="340"/>
      <c r="D20" s="316"/>
      <c r="E20" s="350" t="s">
        <v>108</v>
      </c>
      <c r="F20" s="317">
        <v>4</v>
      </c>
      <c r="G20" s="351" t="s">
        <v>2088</v>
      </c>
      <c r="H20" s="318" t="str">
        <f t="shared" si="0"/>
        <v>DECOR LIGHTING | Wall lamp</v>
      </c>
      <c r="I20" s="304" t="s">
        <v>9080</v>
      </c>
      <c r="J20" s="304" t="s">
        <v>9081</v>
      </c>
      <c r="K20" s="319" t="s">
        <v>9082</v>
      </c>
      <c r="L20" s="303" t="s">
        <v>9097</v>
      </c>
      <c r="M20" s="331"/>
      <c r="N20" s="326">
        <v>12</v>
      </c>
      <c r="O20" s="327" t="s">
        <v>9076</v>
      </c>
      <c r="P20" s="328" t="s">
        <v>9077</v>
      </c>
      <c r="Q20" s="322" t="s">
        <v>8971</v>
      </c>
      <c r="R20" s="328" t="s">
        <v>9078</v>
      </c>
      <c r="S20" s="311"/>
      <c r="T20" s="332"/>
      <c r="U20" s="352"/>
      <c r="V20" s="353"/>
      <c r="W20" s="354"/>
      <c r="X20" s="354"/>
      <c r="Y20" s="316"/>
      <c r="Z20" s="316"/>
      <c r="AA20" s="316"/>
      <c r="AB20" s="316"/>
      <c r="AC20" s="316"/>
      <c r="AD20" s="316"/>
      <c r="AE20" s="316"/>
      <c r="AF20" s="316"/>
      <c r="AG20" s="316"/>
      <c r="AH20" s="316"/>
      <c r="AI20" s="316"/>
      <c r="AJ20" s="316"/>
      <c r="AK20" s="316"/>
      <c r="AL20" s="316"/>
      <c r="AM20" s="316"/>
      <c r="AN20" s="316"/>
      <c r="AO20" s="316"/>
      <c r="AP20" s="316"/>
      <c r="AQ20" s="316"/>
      <c r="AR20" s="316"/>
      <c r="AS20" s="316"/>
      <c r="AT20" s="316"/>
    </row>
    <row r="21" spans="1:46" ht="13.9">
      <c r="A21" s="340"/>
      <c r="B21" s="316"/>
      <c r="C21" s="316"/>
      <c r="D21" s="316"/>
      <c r="E21" s="350" t="s">
        <v>108</v>
      </c>
      <c r="F21" s="317">
        <v>5</v>
      </c>
      <c r="G21" s="351" t="s">
        <v>220</v>
      </c>
      <c r="H21" s="318" t="str">
        <f t="shared" si="0"/>
        <v>DECOR LIGHTING | Others</v>
      </c>
      <c r="I21" s="304" t="s">
        <v>9043</v>
      </c>
      <c r="J21" s="304" t="s">
        <v>9087</v>
      </c>
      <c r="K21" s="319" t="s">
        <v>9088</v>
      </c>
      <c r="L21" s="355" t="s">
        <v>9102</v>
      </c>
      <c r="M21" s="331"/>
      <c r="N21" s="326">
        <v>13</v>
      </c>
      <c r="O21" s="327" t="s">
        <v>9084</v>
      </c>
      <c r="P21" s="328" t="s">
        <v>9085</v>
      </c>
      <c r="Q21" s="356" t="s">
        <v>9086</v>
      </c>
      <c r="R21" s="357" t="s">
        <v>9086</v>
      </c>
      <c r="S21" s="311"/>
      <c r="T21" s="1320"/>
      <c r="U21" s="1321"/>
      <c r="V21" s="1321"/>
      <c r="W21" s="1321"/>
      <c r="X21" s="1321"/>
      <c r="Y21" s="316"/>
      <c r="Z21" s="316"/>
      <c r="AA21" s="316"/>
      <c r="AB21" s="316"/>
      <c r="AC21" s="316"/>
      <c r="AD21" s="316"/>
      <c r="AE21" s="316"/>
      <c r="AF21" s="316"/>
      <c r="AG21" s="316"/>
      <c r="AH21" s="316"/>
      <c r="AI21" s="316"/>
      <c r="AJ21" s="316"/>
      <c r="AK21" s="316"/>
      <c r="AL21" s="316"/>
      <c r="AM21" s="316"/>
      <c r="AN21" s="316"/>
      <c r="AO21" s="316"/>
      <c r="AP21" s="316"/>
      <c r="AQ21" s="316"/>
      <c r="AR21" s="316"/>
      <c r="AS21" s="316"/>
      <c r="AT21" s="316"/>
    </row>
    <row r="22" spans="1:46" ht="13.9">
      <c r="A22" s="358"/>
      <c r="B22" s="336"/>
      <c r="C22" s="359"/>
      <c r="D22" s="360"/>
      <c r="E22" s="304" t="s">
        <v>3459</v>
      </c>
      <c r="F22" s="317">
        <v>1</v>
      </c>
      <c r="G22" s="361" t="s">
        <v>3460</v>
      </c>
      <c r="H22" s="318" t="str">
        <f t="shared" si="0"/>
        <v>ARCH LIGHTING | Downlight</v>
      </c>
      <c r="I22" s="304"/>
      <c r="J22" s="304" t="s">
        <v>3460</v>
      </c>
      <c r="K22" s="319" t="s">
        <v>9096</v>
      </c>
      <c r="L22" s="303" t="s">
        <v>9110</v>
      </c>
      <c r="M22" s="331"/>
      <c r="N22" s="326">
        <v>14</v>
      </c>
      <c r="O22" s="327" t="s">
        <v>9090</v>
      </c>
      <c r="P22" s="328" t="s">
        <v>9091</v>
      </c>
      <c r="Q22" s="322" t="s">
        <v>9092</v>
      </c>
      <c r="R22" s="328" t="s">
        <v>9092</v>
      </c>
      <c r="S22" s="311"/>
      <c r="T22" s="311"/>
      <c r="U22" s="311"/>
      <c r="V22" s="362"/>
      <c r="W22" s="311"/>
      <c r="X22" s="311"/>
      <c r="Y22" s="316"/>
      <c r="Z22" s="316"/>
      <c r="AA22" s="316"/>
      <c r="AB22" s="316"/>
      <c r="AC22" s="316"/>
      <c r="AD22" s="316"/>
      <c r="AE22" s="316"/>
      <c r="AF22" s="316"/>
      <c r="AG22" s="316"/>
      <c r="AH22" s="316"/>
      <c r="AI22" s="316"/>
      <c r="AJ22" s="316"/>
      <c r="AK22" s="316"/>
      <c r="AL22" s="316"/>
      <c r="AM22" s="316"/>
      <c r="AN22" s="316"/>
      <c r="AO22" s="316"/>
      <c r="AP22" s="316"/>
      <c r="AQ22" s="316"/>
      <c r="AR22" s="316"/>
      <c r="AS22" s="336"/>
      <c r="AT22" s="336"/>
    </row>
    <row r="23" spans="1:46" ht="13.9">
      <c r="A23" s="358"/>
      <c r="B23" s="336"/>
      <c r="C23" s="359"/>
      <c r="D23" s="360"/>
      <c r="E23" s="304" t="s">
        <v>3459</v>
      </c>
      <c r="F23" s="317">
        <v>2</v>
      </c>
      <c r="G23" s="361" t="s">
        <v>3885</v>
      </c>
      <c r="H23" s="318" t="str">
        <f t="shared" si="0"/>
        <v>ARCH LIGHTING | Spotlight</v>
      </c>
      <c r="I23" s="304"/>
      <c r="J23" s="304" t="s">
        <v>3885</v>
      </c>
      <c r="K23" s="319" t="s">
        <v>9101</v>
      </c>
      <c r="L23" s="303" t="s">
        <v>9116</v>
      </c>
      <c r="M23" s="331"/>
      <c r="N23" s="326">
        <v>15</v>
      </c>
      <c r="O23" s="327" t="s">
        <v>9093</v>
      </c>
      <c r="P23" s="328" t="s">
        <v>9094</v>
      </c>
      <c r="Q23" s="322" t="s">
        <v>8971</v>
      </c>
      <c r="R23" s="328" t="s">
        <v>9095</v>
      </c>
      <c r="S23" s="311"/>
      <c r="T23" s="311"/>
      <c r="U23" s="311"/>
      <c r="V23" s="362"/>
      <c r="W23" s="311"/>
      <c r="X23" s="311"/>
      <c r="Y23" s="316"/>
      <c r="Z23" s="316"/>
      <c r="AA23" s="316"/>
      <c r="AB23" s="316"/>
      <c r="AC23" s="316"/>
      <c r="AD23" s="316"/>
      <c r="AE23" s="316"/>
      <c r="AF23" s="316"/>
      <c r="AG23" s="316"/>
      <c r="AH23" s="316"/>
      <c r="AI23" s="316"/>
      <c r="AJ23" s="316"/>
      <c r="AK23" s="316"/>
      <c r="AL23" s="316"/>
      <c r="AM23" s="316"/>
      <c r="AN23" s="316"/>
      <c r="AO23" s="316"/>
      <c r="AP23" s="316"/>
      <c r="AQ23" s="316"/>
      <c r="AR23" s="316"/>
      <c r="AS23" s="336"/>
      <c r="AT23" s="336"/>
    </row>
    <row r="24" spans="1:46" ht="13.9">
      <c r="A24" s="358"/>
      <c r="B24" s="336"/>
      <c r="C24" s="359"/>
      <c r="D24" s="360"/>
      <c r="E24" s="304" t="s">
        <v>3459</v>
      </c>
      <c r="F24" s="317">
        <v>3</v>
      </c>
      <c r="G24" s="361" t="s">
        <v>3548</v>
      </c>
      <c r="H24" s="318" t="str">
        <f t="shared" si="0"/>
        <v>ARCH LIGHTING | Linear</v>
      </c>
      <c r="I24" s="304"/>
      <c r="J24" s="304" t="s">
        <v>3548</v>
      </c>
      <c r="K24" s="319" t="s">
        <v>9105</v>
      </c>
      <c r="L24" s="303" t="s">
        <v>9123</v>
      </c>
      <c r="M24" s="336"/>
      <c r="N24" s="363">
        <v>16</v>
      </c>
      <c r="O24" s="364" t="s">
        <v>9098</v>
      </c>
      <c r="P24" s="357" t="s">
        <v>9099</v>
      </c>
      <c r="Q24" s="322" t="s">
        <v>8971</v>
      </c>
      <c r="R24" s="357" t="s">
        <v>9100</v>
      </c>
      <c r="S24" s="311"/>
      <c r="T24" s="311"/>
      <c r="U24" s="311"/>
      <c r="V24" s="362"/>
      <c r="W24" s="311"/>
      <c r="X24" s="311"/>
      <c r="Y24" s="316"/>
      <c r="Z24" s="316"/>
      <c r="AA24" s="316"/>
      <c r="AB24" s="316"/>
      <c r="AC24" s="316"/>
      <c r="AD24" s="316"/>
      <c r="AE24" s="316"/>
      <c r="AF24" s="316"/>
      <c r="AG24" s="316"/>
      <c r="AH24" s="316"/>
      <c r="AI24" s="316"/>
      <c r="AJ24" s="316"/>
      <c r="AK24" s="316"/>
      <c r="AL24" s="316"/>
      <c r="AM24" s="316"/>
      <c r="AN24" s="316"/>
      <c r="AO24" s="316"/>
      <c r="AP24" s="316"/>
      <c r="AQ24" s="316"/>
      <c r="AR24" s="316"/>
      <c r="AS24" s="316"/>
      <c r="AT24" s="316"/>
    </row>
    <row r="25" spans="1:46" ht="13.9">
      <c r="A25" s="358"/>
      <c r="B25" s="336"/>
      <c r="C25" s="359"/>
      <c r="D25" s="360"/>
      <c r="E25" s="304" t="s">
        <v>3459</v>
      </c>
      <c r="F25" s="317">
        <v>4</v>
      </c>
      <c r="G25" s="361" t="s">
        <v>5342</v>
      </c>
      <c r="H25" s="318" t="str">
        <f t="shared" si="0"/>
        <v>ARCH LIGHTING | Tracklight</v>
      </c>
      <c r="I25" s="304"/>
      <c r="J25" s="304" t="s">
        <v>5342</v>
      </c>
      <c r="K25" s="319" t="s">
        <v>9109</v>
      </c>
      <c r="L25" s="303" t="s">
        <v>9109</v>
      </c>
      <c r="M25" s="331"/>
      <c r="N25" s="363">
        <v>17</v>
      </c>
      <c r="O25" s="364" t="s">
        <v>9103</v>
      </c>
      <c r="P25" s="365" t="s">
        <v>9103</v>
      </c>
      <c r="Q25" s="322" t="s">
        <v>8971</v>
      </c>
      <c r="R25" s="357" t="s">
        <v>9104</v>
      </c>
      <c r="S25" s="311"/>
      <c r="T25" s="311"/>
      <c r="U25" s="366"/>
      <c r="V25" s="366"/>
      <c r="W25" s="311"/>
      <c r="X25" s="311"/>
      <c r="Y25" s="316"/>
      <c r="Z25" s="316"/>
      <c r="AA25" s="316"/>
      <c r="AB25" s="316"/>
      <c r="AC25" s="316"/>
      <c r="AD25" s="316"/>
      <c r="AE25" s="316"/>
      <c r="AF25" s="316"/>
      <c r="AG25" s="316"/>
      <c r="AH25" s="316"/>
      <c r="AI25" s="316"/>
      <c r="AJ25" s="316"/>
      <c r="AK25" s="316"/>
      <c r="AL25" s="316"/>
      <c r="AM25" s="316"/>
      <c r="AN25" s="316"/>
      <c r="AO25" s="316"/>
      <c r="AP25" s="316"/>
      <c r="AQ25" s="316"/>
      <c r="AR25" s="316"/>
      <c r="AS25" s="316"/>
      <c r="AT25" s="316"/>
    </row>
    <row r="26" spans="1:46" ht="13.9">
      <c r="A26" s="358"/>
      <c r="B26" s="336"/>
      <c r="C26" s="359"/>
      <c r="D26" s="316"/>
      <c r="E26" s="304" t="s">
        <v>3459</v>
      </c>
      <c r="F26" s="317">
        <v>5</v>
      </c>
      <c r="G26" s="361" t="s">
        <v>4953</v>
      </c>
      <c r="H26" s="318" t="str">
        <f t="shared" si="0"/>
        <v>ARCH LIGHTING | Outdoor</v>
      </c>
      <c r="I26" s="304"/>
      <c r="J26" s="304" t="s">
        <v>9114</v>
      </c>
      <c r="K26" s="319" t="s">
        <v>9115</v>
      </c>
      <c r="L26" s="303" t="s">
        <v>9130</v>
      </c>
      <c r="M26" s="331"/>
      <c r="N26" s="363">
        <v>18</v>
      </c>
      <c r="O26" s="364" t="s">
        <v>9106</v>
      </c>
      <c r="P26" s="357" t="s">
        <v>9107</v>
      </c>
      <c r="Q26" s="322" t="s">
        <v>8971</v>
      </c>
      <c r="R26" s="357" t="s">
        <v>9108</v>
      </c>
      <c r="S26" s="311"/>
      <c r="T26" s="311"/>
      <c r="U26" s="366"/>
      <c r="V26" s="366"/>
      <c r="W26" s="311"/>
      <c r="X26" s="311"/>
      <c r="Y26" s="316"/>
      <c r="Z26" s="316"/>
      <c r="AA26" s="316"/>
      <c r="AB26" s="316"/>
      <c r="AC26" s="316"/>
      <c r="AD26" s="316"/>
      <c r="AE26" s="316"/>
      <c r="AF26" s="316"/>
      <c r="AG26" s="316"/>
      <c r="AH26" s="316"/>
      <c r="AI26" s="316"/>
      <c r="AJ26" s="316"/>
      <c r="AK26" s="316"/>
      <c r="AL26" s="316"/>
      <c r="AM26" s="316"/>
      <c r="AN26" s="316"/>
      <c r="AO26" s="316"/>
      <c r="AP26" s="316"/>
      <c r="AQ26" s="316"/>
      <c r="AR26" s="316"/>
      <c r="AS26" s="316"/>
      <c r="AT26" s="316"/>
    </row>
    <row r="27" spans="1:46" ht="13.9">
      <c r="A27" s="358"/>
      <c r="B27" s="336"/>
      <c r="C27" s="359"/>
      <c r="D27" s="316"/>
      <c r="E27" s="304" t="s">
        <v>3459</v>
      </c>
      <c r="F27" s="317">
        <v>6</v>
      </c>
      <c r="G27" s="361" t="s">
        <v>9120</v>
      </c>
      <c r="H27" s="318" t="str">
        <f t="shared" si="0"/>
        <v>ARCH LIGHTING | Nanoco Lighting</v>
      </c>
      <c r="I27" s="367"/>
      <c r="J27" s="367" t="s">
        <v>9121</v>
      </c>
      <c r="K27" s="319" t="s">
        <v>9122</v>
      </c>
      <c r="L27" s="303" t="s">
        <v>9136</v>
      </c>
      <c r="M27" s="331"/>
      <c r="N27" s="326">
        <v>19</v>
      </c>
      <c r="O27" s="327" t="s">
        <v>9111</v>
      </c>
      <c r="P27" s="328" t="s">
        <v>9112</v>
      </c>
      <c r="Q27" s="322" t="s">
        <v>8971</v>
      </c>
      <c r="R27" s="328" t="s">
        <v>9113</v>
      </c>
      <c r="S27" s="311"/>
      <c r="T27" s="311"/>
      <c r="U27" s="311"/>
      <c r="V27" s="311"/>
      <c r="W27" s="311"/>
      <c r="X27" s="311"/>
      <c r="Y27" s="316"/>
      <c r="Z27" s="316"/>
      <c r="AA27" s="316"/>
      <c r="AB27" s="316"/>
      <c r="AC27" s="316"/>
      <c r="AD27" s="316"/>
      <c r="AE27" s="316"/>
      <c r="AF27" s="316"/>
      <c r="AG27" s="316"/>
      <c r="AH27" s="316"/>
      <c r="AI27" s="316"/>
      <c r="AJ27" s="316"/>
      <c r="AK27" s="316"/>
      <c r="AL27" s="316"/>
      <c r="AM27" s="316"/>
      <c r="AN27" s="316"/>
      <c r="AO27" s="316"/>
      <c r="AP27" s="316"/>
      <c r="AQ27" s="316"/>
      <c r="AR27" s="316"/>
      <c r="AS27" s="316"/>
      <c r="AT27" s="316"/>
    </row>
    <row r="28" spans="1:46" ht="13.9">
      <c r="A28" s="358"/>
      <c r="B28" s="336"/>
      <c r="C28" s="359"/>
      <c r="D28" s="316"/>
      <c r="E28" s="304" t="s">
        <v>3459</v>
      </c>
      <c r="F28" s="317">
        <v>7</v>
      </c>
      <c r="G28" s="361" t="s">
        <v>220</v>
      </c>
      <c r="H28" s="318" t="str">
        <f t="shared" si="0"/>
        <v>ARCH LIGHTING | Others</v>
      </c>
      <c r="I28" s="304"/>
      <c r="J28" s="304" t="s">
        <v>9126</v>
      </c>
      <c r="K28" s="319" t="s">
        <v>9127</v>
      </c>
      <c r="L28" s="346" t="s">
        <v>9143</v>
      </c>
      <c r="M28" s="331"/>
      <c r="N28" s="326">
        <v>21</v>
      </c>
      <c r="O28" s="327" t="s">
        <v>9117</v>
      </c>
      <c r="P28" s="328" t="s">
        <v>9118</v>
      </c>
      <c r="Q28" s="322" t="s">
        <v>8971</v>
      </c>
      <c r="R28" s="328" t="s">
        <v>9119</v>
      </c>
      <c r="S28" s="311"/>
      <c r="T28" s="311"/>
      <c r="U28" s="311"/>
      <c r="V28" s="362"/>
      <c r="W28" s="311"/>
      <c r="X28" s="311"/>
      <c r="Y28" s="316"/>
      <c r="Z28" s="316"/>
      <c r="AA28" s="316"/>
      <c r="AB28" s="316"/>
      <c r="AC28" s="316"/>
      <c r="AD28" s="316"/>
      <c r="AE28" s="316"/>
      <c r="AF28" s="316"/>
      <c r="AG28" s="316"/>
      <c r="AH28" s="316"/>
      <c r="AI28" s="316"/>
      <c r="AJ28" s="316"/>
      <c r="AK28" s="316"/>
      <c r="AL28" s="316"/>
      <c r="AM28" s="316"/>
      <c r="AN28" s="316"/>
      <c r="AO28" s="316"/>
      <c r="AP28" s="316"/>
      <c r="AQ28" s="316"/>
      <c r="AR28" s="316"/>
      <c r="AS28" s="316"/>
      <c r="AT28" s="316"/>
    </row>
    <row r="29" spans="1:46" ht="13.9">
      <c r="A29" s="358"/>
      <c r="B29" s="336"/>
      <c r="C29" s="359"/>
      <c r="D29" s="316"/>
      <c r="E29" s="304" t="s">
        <v>135</v>
      </c>
      <c r="F29" s="317">
        <v>1</v>
      </c>
      <c r="G29" s="368" t="s">
        <v>182</v>
      </c>
      <c r="H29" s="318" t="str">
        <f t="shared" si="0"/>
        <v>ACCESSORIES | Vase</v>
      </c>
      <c r="I29" s="345" t="s">
        <v>9133</v>
      </c>
      <c r="J29" s="345" t="s">
        <v>9134</v>
      </c>
      <c r="K29" s="319" t="s">
        <v>9135</v>
      </c>
      <c r="L29" s="303" t="s">
        <v>9152</v>
      </c>
      <c r="M29" s="331"/>
      <c r="N29" s="369">
        <v>22</v>
      </c>
      <c r="O29" s="327" t="s">
        <v>8524</v>
      </c>
      <c r="P29" s="370" t="s">
        <v>9124</v>
      </c>
      <c r="Q29" s="371" t="s">
        <v>9125</v>
      </c>
      <c r="R29" s="372" t="s">
        <v>9125</v>
      </c>
      <c r="S29" s="311"/>
      <c r="T29" s="311"/>
      <c r="U29" s="311"/>
      <c r="V29" s="362"/>
      <c r="W29" s="311"/>
      <c r="X29" s="311"/>
      <c r="Y29" s="316"/>
      <c r="Z29" s="316"/>
      <c r="AA29" s="316"/>
      <c r="AB29" s="316"/>
      <c r="AC29" s="316"/>
      <c r="AD29" s="316"/>
      <c r="AE29" s="316"/>
      <c r="AF29" s="316"/>
      <c r="AG29" s="316"/>
      <c r="AH29" s="316"/>
      <c r="AI29" s="316"/>
      <c r="AJ29" s="316"/>
      <c r="AK29" s="316"/>
      <c r="AL29" s="316"/>
      <c r="AM29" s="316"/>
      <c r="AN29" s="316"/>
      <c r="AO29" s="316"/>
      <c r="AP29" s="316"/>
      <c r="AQ29" s="316"/>
      <c r="AR29" s="316"/>
      <c r="AS29" s="316"/>
      <c r="AT29" s="316"/>
    </row>
    <row r="30" spans="1:46" ht="54.75" customHeight="1">
      <c r="A30" s="358"/>
      <c r="B30" s="336"/>
      <c r="C30" s="359"/>
      <c r="D30" s="316"/>
      <c r="E30" s="304" t="s">
        <v>135</v>
      </c>
      <c r="F30" s="317">
        <v>2</v>
      </c>
      <c r="G30" s="368" t="s">
        <v>3437</v>
      </c>
      <c r="H30" s="318" t="str">
        <f t="shared" si="0"/>
        <v>ACCESSORIES | Candleholder</v>
      </c>
      <c r="I30" s="345" t="s">
        <v>9140</v>
      </c>
      <c r="J30" s="345" t="s">
        <v>9141</v>
      </c>
      <c r="K30" s="319" t="s">
        <v>9142</v>
      </c>
      <c r="L30" s="303" t="s">
        <v>9159</v>
      </c>
      <c r="M30" s="331"/>
      <c r="N30" s="373">
        <v>23</v>
      </c>
      <c r="O30" s="327" t="s">
        <v>9128</v>
      </c>
      <c r="P30" s="370" t="s">
        <v>8884</v>
      </c>
      <c r="Q30" s="374" t="s">
        <v>9129</v>
      </c>
      <c r="R30" s="375" t="s">
        <v>9129</v>
      </c>
      <c r="S30" s="311"/>
      <c r="T30" s="311"/>
      <c r="U30" s="311"/>
      <c r="V30" s="362"/>
      <c r="W30" s="311"/>
      <c r="X30" s="311"/>
      <c r="Y30" s="316"/>
      <c r="Z30" s="316"/>
      <c r="AA30" s="316"/>
      <c r="AB30" s="316"/>
      <c r="AC30" s="316"/>
      <c r="AD30" s="316"/>
      <c r="AE30" s="316"/>
      <c r="AF30" s="316"/>
      <c r="AG30" s="316"/>
      <c r="AH30" s="316"/>
      <c r="AI30" s="316"/>
      <c r="AJ30" s="316"/>
      <c r="AK30" s="316"/>
      <c r="AL30" s="316"/>
      <c r="AM30" s="316"/>
      <c r="AN30" s="316"/>
      <c r="AO30" s="316"/>
      <c r="AP30" s="316"/>
      <c r="AQ30" s="316"/>
      <c r="AR30" s="316"/>
      <c r="AS30" s="316"/>
      <c r="AT30" s="316"/>
    </row>
    <row r="31" spans="1:46" ht="13.9">
      <c r="A31" s="358"/>
      <c r="B31" s="336"/>
      <c r="C31" s="359"/>
      <c r="D31" s="316"/>
      <c r="E31" s="304" t="s">
        <v>135</v>
      </c>
      <c r="F31" s="317">
        <v>3</v>
      </c>
      <c r="G31" s="368" t="s">
        <v>1251</v>
      </c>
      <c r="H31" s="318" t="str">
        <f t="shared" si="0"/>
        <v>ACCESSORIES | Sculpture</v>
      </c>
      <c r="I31" s="345" t="s">
        <v>9145</v>
      </c>
      <c r="J31" s="345" t="s">
        <v>9146</v>
      </c>
      <c r="K31" s="319" t="s">
        <v>9147</v>
      </c>
      <c r="L31" s="303" t="s">
        <v>9147</v>
      </c>
      <c r="M31" s="331"/>
      <c r="N31" s="373">
        <v>24</v>
      </c>
      <c r="O31" s="327" t="s">
        <v>3786</v>
      </c>
      <c r="P31" s="370" t="s">
        <v>9131</v>
      </c>
      <c r="Q31" s="374" t="s">
        <v>9132</v>
      </c>
      <c r="R31" s="375" t="s">
        <v>9132</v>
      </c>
      <c r="S31" s="311"/>
      <c r="T31" s="311"/>
      <c r="U31" s="311"/>
      <c r="V31" s="362"/>
      <c r="W31" s="311"/>
      <c r="X31" s="311"/>
      <c r="Y31" s="316"/>
      <c r="Z31" s="316"/>
      <c r="AA31" s="316"/>
      <c r="AB31" s="316"/>
      <c r="AC31" s="316"/>
      <c r="AD31" s="316"/>
      <c r="AE31" s="316"/>
      <c r="AF31" s="316"/>
      <c r="AG31" s="316"/>
      <c r="AH31" s="316"/>
      <c r="AI31" s="316"/>
      <c r="AJ31" s="316"/>
      <c r="AK31" s="316"/>
      <c r="AL31" s="316"/>
      <c r="AM31" s="316"/>
      <c r="AN31" s="316"/>
      <c r="AO31" s="316"/>
      <c r="AP31" s="316"/>
      <c r="AQ31" s="316"/>
      <c r="AR31" s="316"/>
      <c r="AS31" s="316"/>
      <c r="AT31" s="316"/>
    </row>
    <row r="32" spans="1:46" ht="13.9">
      <c r="A32" s="358"/>
      <c r="B32" s="336"/>
      <c r="C32" s="359"/>
      <c r="D32" s="316"/>
      <c r="E32" s="304" t="s">
        <v>135</v>
      </c>
      <c r="F32" s="317">
        <v>4</v>
      </c>
      <c r="G32" s="376" t="s">
        <v>186</v>
      </c>
      <c r="H32" s="318" t="str">
        <f t="shared" si="0"/>
        <v>ACCESSORIES | Organizer</v>
      </c>
      <c r="I32" s="345"/>
      <c r="J32" s="345" t="s">
        <v>9150</v>
      </c>
      <c r="K32" s="319" t="s">
        <v>9151</v>
      </c>
      <c r="L32" s="303" t="s">
        <v>9170</v>
      </c>
      <c r="M32" s="331"/>
      <c r="N32" s="373">
        <v>25</v>
      </c>
      <c r="O32" s="327" t="s">
        <v>9137</v>
      </c>
      <c r="P32" s="377" t="s">
        <v>9138</v>
      </c>
      <c r="Q32" s="319" t="s">
        <v>9139</v>
      </c>
      <c r="R32" s="317" t="s">
        <v>9139</v>
      </c>
      <c r="S32" s="311"/>
      <c r="T32" s="311"/>
      <c r="U32" s="311"/>
      <c r="V32" s="362"/>
      <c r="W32" s="311"/>
      <c r="X32" s="311"/>
      <c r="Y32" s="316"/>
      <c r="Z32" s="316"/>
      <c r="AA32" s="316"/>
      <c r="AB32" s="316"/>
      <c r="AC32" s="316"/>
      <c r="AD32" s="316"/>
      <c r="AE32" s="316"/>
      <c r="AF32" s="316"/>
      <c r="AG32" s="316"/>
      <c r="AH32" s="316"/>
      <c r="AI32" s="316"/>
      <c r="AJ32" s="316"/>
      <c r="AK32" s="316"/>
      <c r="AL32" s="316"/>
      <c r="AM32" s="316"/>
      <c r="AN32" s="316"/>
      <c r="AO32" s="316"/>
      <c r="AP32" s="316"/>
      <c r="AQ32" s="316"/>
      <c r="AR32" s="316"/>
      <c r="AS32" s="316"/>
      <c r="AT32" s="316"/>
    </row>
    <row r="33" spans="1:46" ht="13.9">
      <c r="A33" s="358"/>
      <c r="B33" s="336"/>
      <c r="C33" s="359"/>
      <c r="D33" s="316"/>
      <c r="E33" s="304" t="s">
        <v>135</v>
      </c>
      <c r="F33" s="317">
        <v>5</v>
      </c>
      <c r="G33" s="376" t="s">
        <v>2021</v>
      </c>
      <c r="H33" s="318" t="str">
        <f t="shared" si="0"/>
        <v>ACCESSORIES | Kitchen</v>
      </c>
      <c r="I33" s="345" t="s">
        <v>9156</v>
      </c>
      <c r="J33" s="345" t="s">
        <v>9157</v>
      </c>
      <c r="K33" s="319" t="s">
        <v>9158</v>
      </c>
      <c r="L33" s="303" t="s">
        <v>9176</v>
      </c>
      <c r="M33" s="331"/>
      <c r="N33" s="373">
        <v>26</v>
      </c>
      <c r="O33" s="327" t="s">
        <v>9144</v>
      </c>
      <c r="P33" s="377" t="s">
        <v>9144</v>
      </c>
      <c r="Q33" s="319" t="s">
        <v>8492</v>
      </c>
      <c r="R33" s="317" t="s">
        <v>8492</v>
      </c>
      <c r="S33" s="311"/>
      <c r="T33" s="311"/>
      <c r="U33" s="311"/>
      <c r="V33" s="362"/>
      <c r="W33" s="311"/>
      <c r="X33" s="311"/>
      <c r="Y33" s="316"/>
      <c r="Z33" s="316"/>
      <c r="AA33" s="316"/>
      <c r="AB33" s="316"/>
      <c r="AC33" s="316"/>
      <c r="AD33" s="316"/>
      <c r="AE33" s="316"/>
      <c r="AF33" s="316"/>
      <c r="AG33" s="316"/>
      <c r="AH33" s="316"/>
      <c r="AI33" s="316"/>
      <c r="AJ33" s="316"/>
      <c r="AK33" s="316"/>
      <c r="AL33" s="316"/>
      <c r="AM33" s="316"/>
      <c r="AN33" s="316"/>
      <c r="AO33" s="316"/>
      <c r="AP33" s="316"/>
      <c r="AQ33" s="316"/>
      <c r="AR33" s="316"/>
      <c r="AS33" s="316"/>
      <c r="AT33" s="316"/>
    </row>
    <row r="34" spans="1:46" ht="13.9">
      <c r="A34" s="358"/>
      <c r="B34" s="336"/>
      <c r="C34" s="359"/>
      <c r="D34" s="316"/>
      <c r="E34" s="304" t="s">
        <v>135</v>
      </c>
      <c r="F34" s="317">
        <v>6</v>
      </c>
      <c r="G34" s="368" t="s">
        <v>3397</v>
      </c>
      <c r="H34" s="318" t="str">
        <f t="shared" si="0"/>
        <v>ACCESSORIES | Tray</v>
      </c>
      <c r="I34" s="304" t="s">
        <v>9162</v>
      </c>
      <c r="J34" s="304" t="s">
        <v>9163</v>
      </c>
      <c r="K34" s="319" t="s">
        <v>9164</v>
      </c>
      <c r="L34" s="303" t="s">
        <v>9164</v>
      </c>
      <c r="M34" s="331"/>
      <c r="N34" s="373">
        <v>27</v>
      </c>
      <c r="O34" s="327" t="s">
        <v>5697</v>
      </c>
      <c r="P34" s="377" t="s">
        <v>9148</v>
      </c>
      <c r="Q34" s="319" t="s">
        <v>9149</v>
      </c>
      <c r="R34" s="317" t="s">
        <v>9149</v>
      </c>
      <c r="S34" s="311"/>
      <c r="T34" s="311"/>
      <c r="U34" s="311"/>
      <c r="V34" s="362"/>
      <c r="W34" s="311"/>
      <c r="X34" s="311"/>
      <c r="Y34" s="316"/>
      <c r="Z34" s="316"/>
      <c r="AA34" s="316"/>
      <c r="AB34" s="316"/>
      <c r="AC34" s="316"/>
      <c r="AD34" s="316"/>
      <c r="AE34" s="316"/>
      <c r="AF34" s="316"/>
      <c r="AG34" s="316"/>
      <c r="AH34" s="316"/>
      <c r="AI34" s="316"/>
      <c r="AJ34" s="316"/>
      <c r="AK34" s="316"/>
      <c r="AL34" s="316"/>
      <c r="AM34" s="316"/>
      <c r="AN34" s="316"/>
      <c r="AO34" s="316"/>
      <c r="AP34" s="316"/>
      <c r="AQ34" s="316"/>
      <c r="AR34" s="316"/>
      <c r="AS34" s="316"/>
      <c r="AT34" s="316"/>
    </row>
    <row r="35" spans="1:46" ht="13.9">
      <c r="A35" s="358"/>
      <c r="B35" s="336"/>
      <c r="C35" s="359"/>
      <c r="D35" s="316"/>
      <c r="E35" s="304" t="s">
        <v>135</v>
      </c>
      <c r="F35" s="317">
        <v>7</v>
      </c>
      <c r="G35" s="368" t="s">
        <v>1483</v>
      </c>
      <c r="H35" s="318" t="str">
        <f t="shared" si="0"/>
        <v>ACCESSORIES | Bag</v>
      </c>
      <c r="I35" s="345" t="s">
        <v>9167</v>
      </c>
      <c r="J35" s="345" t="s">
        <v>9168</v>
      </c>
      <c r="K35" s="319" t="s">
        <v>9169</v>
      </c>
      <c r="L35" s="303" t="s">
        <v>9185</v>
      </c>
      <c r="M35" s="331"/>
      <c r="N35" s="326">
        <v>28</v>
      </c>
      <c r="O35" s="327" t="s">
        <v>9153</v>
      </c>
      <c r="P35" s="377" t="s">
        <v>9154</v>
      </c>
      <c r="Q35" s="319" t="s">
        <v>9155</v>
      </c>
      <c r="R35" s="317" t="s">
        <v>9155</v>
      </c>
      <c r="S35" s="311"/>
      <c r="T35" s="311"/>
      <c r="U35" s="311"/>
      <c r="V35" s="362"/>
      <c r="W35" s="311"/>
      <c r="X35" s="311"/>
      <c r="Y35" s="316"/>
      <c r="Z35" s="316"/>
      <c r="AA35" s="316"/>
      <c r="AB35" s="316"/>
      <c r="AC35" s="316"/>
      <c r="AD35" s="316"/>
      <c r="AE35" s="316"/>
      <c r="AF35" s="316"/>
      <c r="AG35" s="316"/>
      <c r="AH35" s="316"/>
      <c r="AI35" s="316"/>
      <c r="AJ35" s="316"/>
      <c r="AK35" s="316"/>
      <c r="AL35" s="316"/>
      <c r="AM35" s="316"/>
      <c r="AN35" s="316"/>
      <c r="AO35" s="316"/>
      <c r="AP35" s="316"/>
      <c r="AQ35" s="316"/>
      <c r="AR35" s="316"/>
      <c r="AS35" s="316"/>
      <c r="AT35" s="316"/>
    </row>
    <row r="36" spans="1:46" ht="15.6">
      <c r="A36" s="358"/>
      <c r="B36" s="336"/>
      <c r="C36" s="359"/>
      <c r="D36" s="316"/>
      <c r="E36" s="304" t="s">
        <v>135</v>
      </c>
      <c r="F36" s="317">
        <v>8</v>
      </c>
      <c r="G36" s="368" t="s">
        <v>9173</v>
      </c>
      <c r="H36" s="318" t="str">
        <f t="shared" si="0"/>
        <v>ACCESSORIES | Throw</v>
      </c>
      <c r="I36" s="345" t="s">
        <v>9174</v>
      </c>
      <c r="J36" s="345" t="s">
        <v>9175</v>
      </c>
      <c r="K36" s="319" t="s">
        <v>9169</v>
      </c>
      <c r="L36" s="303" t="s">
        <v>9189</v>
      </c>
      <c r="M36" s="331"/>
      <c r="N36" s="326">
        <v>29</v>
      </c>
      <c r="O36" s="378" t="s">
        <v>9160</v>
      </c>
      <c r="P36" s="379" t="s">
        <v>9160</v>
      </c>
      <c r="Q36" s="380" t="s">
        <v>8971</v>
      </c>
      <c r="R36" s="381" t="s">
        <v>9161</v>
      </c>
      <c r="S36" s="311"/>
      <c r="T36" s="311"/>
      <c r="U36" s="311"/>
      <c r="V36" s="362"/>
      <c r="W36" s="311"/>
      <c r="X36" s="311"/>
      <c r="Y36" s="316"/>
      <c r="Z36" s="316"/>
      <c r="AA36" s="316"/>
      <c r="AB36" s="316"/>
      <c r="AC36" s="316"/>
      <c r="AD36" s="316"/>
      <c r="AE36" s="316"/>
      <c r="AF36" s="316"/>
      <c r="AG36" s="316"/>
      <c r="AH36" s="316"/>
      <c r="AI36" s="316"/>
      <c r="AJ36" s="316"/>
      <c r="AK36" s="316"/>
      <c r="AL36" s="316"/>
      <c r="AM36" s="316"/>
      <c r="AN36" s="316"/>
      <c r="AO36" s="316"/>
      <c r="AP36" s="316"/>
      <c r="AQ36" s="316"/>
      <c r="AR36" s="316"/>
      <c r="AS36" s="316"/>
      <c r="AT36" s="316"/>
    </row>
    <row r="37" spans="1:46" ht="13.9">
      <c r="A37" s="358"/>
      <c r="B37" s="336"/>
      <c r="C37" s="359"/>
      <c r="D37" s="316"/>
      <c r="E37" s="304" t="s">
        <v>135</v>
      </c>
      <c r="F37" s="317">
        <v>9</v>
      </c>
      <c r="G37" s="368" t="s">
        <v>1258</v>
      </c>
      <c r="H37" s="318" t="str">
        <f t="shared" si="0"/>
        <v>ACCESSORIES | Mirror</v>
      </c>
      <c r="I37" s="304" t="s">
        <v>9179</v>
      </c>
      <c r="J37" s="304" t="s">
        <v>9180</v>
      </c>
      <c r="K37" s="319" t="s">
        <v>9181</v>
      </c>
      <c r="L37" s="303" t="s">
        <v>9196</v>
      </c>
      <c r="M37" s="331"/>
      <c r="N37" s="326">
        <v>30</v>
      </c>
      <c r="O37" s="382" t="s">
        <v>9165</v>
      </c>
      <c r="P37" s="383" t="s">
        <v>9165</v>
      </c>
      <c r="Q37" s="380" t="s">
        <v>8971</v>
      </c>
      <c r="R37" s="381" t="s">
        <v>9166</v>
      </c>
      <c r="S37" s="311"/>
      <c r="T37" s="336"/>
      <c r="U37" s="311"/>
      <c r="V37" s="362"/>
      <c r="W37" s="311"/>
      <c r="X37" s="311"/>
      <c r="Y37" s="316"/>
      <c r="Z37" s="316"/>
      <c r="AA37" s="316"/>
      <c r="AB37" s="316"/>
      <c r="AC37" s="316"/>
      <c r="AD37" s="316"/>
      <c r="AE37" s="316"/>
      <c r="AF37" s="316"/>
      <c r="AG37" s="316"/>
      <c r="AH37" s="316"/>
      <c r="AI37" s="316"/>
      <c r="AJ37" s="316"/>
      <c r="AK37" s="316"/>
      <c r="AL37" s="316"/>
      <c r="AM37" s="316"/>
      <c r="AN37" s="316"/>
      <c r="AO37" s="316"/>
      <c r="AP37" s="316"/>
      <c r="AQ37" s="316"/>
      <c r="AR37" s="316"/>
      <c r="AS37" s="316"/>
      <c r="AT37" s="316"/>
    </row>
    <row r="38" spans="1:46" ht="14.45">
      <c r="A38" s="358"/>
      <c r="B38" s="336"/>
      <c r="C38" s="359"/>
      <c r="D38" s="316"/>
      <c r="E38" s="304" t="s">
        <v>135</v>
      </c>
      <c r="F38" s="317">
        <v>10</v>
      </c>
      <c r="G38" s="368" t="s">
        <v>136</v>
      </c>
      <c r="H38" s="318" t="str">
        <f t="shared" si="0"/>
        <v>ACCESSORIES | Cushion</v>
      </c>
      <c r="I38" s="304" t="s">
        <v>9182</v>
      </c>
      <c r="J38" s="304" t="s">
        <v>9183</v>
      </c>
      <c r="K38" s="319" t="s">
        <v>9184</v>
      </c>
      <c r="L38" s="303" t="s">
        <v>9200</v>
      </c>
      <c r="M38" s="331"/>
      <c r="N38" s="369">
        <v>31</v>
      </c>
      <c r="O38" s="382" t="s">
        <v>9171</v>
      </c>
      <c r="P38" s="383" t="s">
        <v>9171</v>
      </c>
      <c r="Q38" s="380" t="s">
        <v>8971</v>
      </c>
      <c r="R38" s="328" t="s">
        <v>9172</v>
      </c>
      <c r="S38" s="384"/>
      <c r="T38" s="336"/>
      <c r="U38" s="311"/>
      <c r="V38" s="362"/>
      <c r="W38" s="311"/>
      <c r="X38" s="311"/>
      <c r="Y38" s="316"/>
      <c r="Z38" s="316"/>
      <c r="AA38" s="316"/>
      <c r="AB38" s="316"/>
      <c r="AC38" s="316"/>
      <c r="AD38" s="316"/>
      <c r="AE38" s="385"/>
      <c r="AF38" s="316"/>
      <c r="AG38" s="316"/>
      <c r="AH38" s="316"/>
      <c r="AI38" s="316"/>
      <c r="AJ38" s="316"/>
      <c r="AK38" s="316"/>
      <c r="AL38" s="316"/>
      <c r="AM38" s="316"/>
      <c r="AN38" s="316"/>
      <c r="AO38" s="316"/>
      <c r="AP38" s="316"/>
      <c r="AQ38" s="316"/>
      <c r="AR38" s="316"/>
      <c r="AS38" s="316"/>
      <c r="AT38" s="316"/>
    </row>
    <row r="39" spans="1:46" ht="14.45">
      <c r="A39" s="358"/>
      <c r="B39" s="336"/>
      <c r="C39" s="340"/>
      <c r="D39" s="316"/>
      <c r="E39" s="304" t="s">
        <v>135</v>
      </c>
      <c r="F39" s="317">
        <v>11</v>
      </c>
      <c r="G39" s="368" t="s">
        <v>5098</v>
      </c>
      <c r="H39" s="318" t="str">
        <f t="shared" si="0"/>
        <v>ACCESSORIES | Bottle</v>
      </c>
      <c r="I39" s="304" t="s">
        <v>9186</v>
      </c>
      <c r="J39" s="304" t="s">
        <v>9187</v>
      </c>
      <c r="K39" s="319" t="s">
        <v>9188</v>
      </c>
      <c r="L39" s="303" t="s">
        <v>9208</v>
      </c>
      <c r="M39" s="331"/>
      <c r="N39" s="336">
        <v>32</v>
      </c>
      <c r="O39" s="382" t="s">
        <v>9177</v>
      </c>
      <c r="P39" s="383" t="s">
        <v>9177</v>
      </c>
      <c r="Q39" s="380" t="s">
        <v>8971</v>
      </c>
      <c r="R39" s="336" t="s">
        <v>9178</v>
      </c>
      <c r="S39" s="311"/>
      <c r="T39" s="336"/>
      <c r="U39" s="311"/>
      <c r="V39" s="362"/>
      <c r="W39" s="311"/>
      <c r="X39" s="311"/>
      <c r="Y39" s="316"/>
      <c r="Z39" s="316"/>
      <c r="AA39" s="316"/>
      <c r="AB39" s="316"/>
      <c r="AC39" s="316"/>
      <c r="AD39" s="316"/>
      <c r="AE39" s="385"/>
      <c r="AF39" s="316"/>
      <c r="AG39" s="316"/>
      <c r="AH39" s="316"/>
      <c r="AI39" s="316"/>
      <c r="AJ39" s="316"/>
      <c r="AK39" s="316"/>
      <c r="AL39" s="316"/>
      <c r="AM39" s="316"/>
      <c r="AN39" s="316"/>
      <c r="AO39" s="316"/>
      <c r="AP39" s="316"/>
      <c r="AQ39" s="316"/>
      <c r="AR39" s="316"/>
      <c r="AS39" s="316"/>
      <c r="AT39" s="316"/>
    </row>
    <row r="40" spans="1:46" ht="14.45">
      <c r="A40" s="358"/>
      <c r="B40" s="336"/>
      <c r="C40" s="340"/>
      <c r="D40" s="316"/>
      <c r="E40" s="304"/>
      <c r="F40" s="317"/>
      <c r="G40" s="368"/>
      <c r="H40" s="318"/>
      <c r="I40" s="304"/>
      <c r="J40" s="304"/>
      <c r="K40" s="319"/>
      <c r="L40" s="303"/>
      <c r="M40" s="331"/>
      <c r="N40" s="336">
        <v>33</v>
      </c>
      <c r="O40" s="382" t="s">
        <v>4585</v>
      </c>
      <c r="P40" s="383" t="s">
        <v>4585</v>
      </c>
      <c r="Q40" s="380" t="s">
        <v>8971</v>
      </c>
      <c r="R40" s="336"/>
      <c r="S40" s="311"/>
      <c r="T40" s="336"/>
      <c r="U40" s="311"/>
      <c r="V40" s="362"/>
      <c r="W40" s="311"/>
      <c r="X40" s="311"/>
      <c r="Y40" s="316"/>
      <c r="Z40" s="316"/>
      <c r="AA40" s="316"/>
      <c r="AB40" s="316"/>
      <c r="AC40" s="316"/>
      <c r="AD40" s="316"/>
      <c r="AE40" s="385"/>
      <c r="AF40" s="316"/>
      <c r="AG40" s="316"/>
      <c r="AH40" s="316"/>
      <c r="AI40" s="316"/>
      <c r="AJ40" s="316"/>
      <c r="AK40" s="316"/>
      <c r="AL40" s="316"/>
      <c r="AM40" s="316"/>
      <c r="AN40" s="316"/>
      <c r="AO40" s="316"/>
      <c r="AP40" s="316"/>
      <c r="AQ40" s="316"/>
      <c r="AR40" s="316"/>
      <c r="AS40" s="316"/>
      <c r="AT40" s="316"/>
    </row>
    <row r="41" spans="1:46" ht="14.45">
      <c r="A41" s="340"/>
      <c r="B41" s="316"/>
      <c r="C41" s="340"/>
      <c r="D41" s="316"/>
      <c r="E41" s="304" t="s">
        <v>135</v>
      </c>
      <c r="F41" s="317">
        <v>12</v>
      </c>
      <c r="G41" s="368" t="s">
        <v>914</v>
      </c>
      <c r="H41" s="318" t="str">
        <f t="shared" si="0"/>
        <v>ACCESSORIES | Rug</v>
      </c>
      <c r="I41" s="304" t="s">
        <v>9193</v>
      </c>
      <c r="J41" s="304" t="s">
        <v>9194</v>
      </c>
      <c r="K41" s="319" t="s">
        <v>9195</v>
      </c>
      <c r="L41" s="303" t="s">
        <v>9195</v>
      </c>
      <c r="M41" s="386"/>
      <c r="N41" s="387"/>
      <c r="O41" s="388"/>
      <c r="P41" s="389"/>
      <c r="Q41" s="390"/>
      <c r="R41" s="389"/>
      <c r="S41" s="311" t="s">
        <v>9343</v>
      </c>
      <c r="T41" s="336"/>
      <c r="U41" s="311"/>
      <c r="V41" s="362"/>
      <c r="W41" s="311"/>
      <c r="X41" s="311"/>
      <c r="Y41" s="316"/>
      <c r="Z41" s="316"/>
      <c r="AA41" s="316"/>
      <c r="AB41" s="316"/>
      <c r="AC41" s="316"/>
      <c r="AD41" s="316"/>
      <c r="AE41" s="385"/>
      <c r="AF41" s="316"/>
      <c r="AG41" s="316"/>
      <c r="AH41" s="316"/>
      <c r="AI41" s="316"/>
      <c r="AJ41" s="316"/>
      <c r="AK41" s="316"/>
      <c r="AL41" s="316"/>
      <c r="AM41" s="316"/>
      <c r="AN41" s="316"/>
      <c r="AO41" s="316"/>
      <c r="AP41" s="316"/>
      <c r="AQ41" s="316"/>
      <c r="AR41" s="316"/>
      <c r="AS41" s="316"/>
      <c r="AT41" s="316"/>
    </row>
    <row r="42" spans="1:46" ht="14.45">
      <c r="A42" s="340"/>
      <c r="B42" s="316"/>
      <c r="C42" s="340"/>
      <c r="D42" s="316"/>
      <c r="E42" s="304" t="s">
        <v>135</v>
      </c>
      <c r="F42" s="317">
        <v>13</v>
      </c>
      <c r="G42" s="368" t="s">
        <v>3085</v>
      </c>
      <c r="H42" s="318" t="str">
        <f t="shared" si="0"/>
        <v>ACCESSORIES | Art</v>
      </c>
      <c r="I42" s="304" t="s">
        <v>9197</v>
      </c>
      <c r="J42" s="304" t="s">
        <v>9198</v>
      </c>
      <c r="K42" s="319" t="s">
        <v>9199</v>
      </c>
      <c r="L42" s="303" t="s">
        <v>9222</v>
      </c>
      <c r="M42" s="386"/>
      <c r="N42" s="326">
        <v>1</v>
      </c>
      <c r="O42" s="327" t="s">
        <v>9190</v>
      </c>
      <c r="P42" s="328" t="s">
        <v>9191</v>
      </c>
      <c r="Q42" s="380" t="s">
        <v>8971</v>
      </c>
      <c r="R42" s="357" t="s">
        <v>9192</v>
      </c>
      <c r="S42" s="311" t="s">
        <v>9344</v>
      </c>
      <c r="T42" s="336"/>
      <c r="U42" s="311"/>
      <c r="V42" s="362"/>
      <c r="W42" s="311"/>
      <c r="X42" s="311"/>
      <c r="Y42" s="316"/>
      <c r="Z42" s="316"/>
      <c r="AA42" s="316"/>
      <c r="AB42" s="316"/>
      <c r="AC42" s="316"/>
      <c r="AD42" s="316"/>
      <c r="AE42" s="385"/>
      <c r="AF42" s="316"/>
      <c r="AG42" s="316"/>
      <c r="AH42" s="316"/>
      <c r="AI42" s="316"/>
      <c r="AJ42" s="316"/>
      <c r="AK42" s="316"/>
      <c r="AL42" s="316"/>
      <c r="AM42" s="316"/>
      <c r="AN42" s="316"/>
      <c r="AO42" s="316"/>
      <c r="AP42" s="316"/>
      <c r="AQ42" s="316"/>
      <c r="AR42" s="316"/>
      <c r="AS42" s="316"/>
      <c r="AT42" s="316"/>
    </row>
    <row r="43" spans="1:46" ht="14.45">
      <c r="A43" s="340"/>
      <c r="B43" s="316"/>
      <c r="C43" s="340"/>
      <c r="D43" s="316"/>
      <c r="E43" s="304" t="s">
        <v>135</v>
      </c>
      <c r="F43" s="317">
        <v>14</v>
      </c>
      <c r="G43" s="376" t="s">
        <v>9204</v>
      </c>
      <c r="H43" s="318" t="str">
        <f t="shared" si="0"/>
        <v>ACCESSORIES | Office</v>
      </c>
      <c r="I43" s="345" t="s">
        <v>9205</v>
      </c>
      <c r="J43" s="345" t="s">
        <v>9206</v>
      </c>
      <c r="K43" s="319" t="s">
        <v>9207</v>
      </c>
      <c r="L43" s="303" t="s">
        <v>9207</v>
      </c>
      <c r="M43" s="386"/>
      <c r="N43" s="326">
        <v>2</v>
      </c>
      <c r="O43" s="327" t="s">
        <v>3918</v>
      </c>
      <c r="P43" s="328" t="s">
        <v>8989</v>
      </c>
      <c r="Q43" s="380" t="s">
        <v>8971</v>
      </c>
      <c r="R43" s="328" t="s">
        <v>8990</v>
      </c>
      <c r="S43" s="311"/>
      <c r="T43" s="336"/>
      <c r="U43" s="311"/>
      <c r="V43" s="362"/>
      <c r="W43" s="311"/>
      <c r="X43" s="311"/>
      <c r="Y43" s="316"/>
      <c r="Z43" s="316"/>
      <c r="AA43" s="316"/>
      <c r="AB43" s="316"/>
      <c r="AC43" s="316"/>
      <c r="AD43" s="316"/>
      <c r="AE43" s="385"/>
      <c r="AF43" s="316"/>
      <c r="AG43" s="316"/>
      <c r="AH43" s="316"/>
      <c r="AI43" s="316"/>
      <c r="AJ43" s="316"/>
      <c r="AK43" s="316"/>
      <c r="AL43" s="316"/>
      <c r="AM43" s="316"/>
      <c r="AN43" s="316"/>
      <c r="AO43" s="316"/>
      <c r="AP43" s="316"/>
      <c r="AQ43" s="316"/>
      <c r="AR43" s="316"/>
      <c r="AS43" s="316"/>
      <c r="AT43" s="316"/>
    </row>
    <row r="44" spans="1:46" ht="14.45">
      <c r="A44" s="340"/>
      <c r="B44" s="316"/>
      <c r="C44" s="340"/>
      <c r="D44" s="316"/>
      <c r="E44" s="304" t="s">
        <v>135</v>
      </c>
      <c r="F44" s="317">
        <v>15</v>
      </c>
      <c r="G44" s="368" t="s">
        <v>9212</v>
      </c>
      <c r="H44" s="318" t="str">
        <f t="shared" si="0"/>
        <v>ACCESSORIES | Bedding</v>
      </c>
      <c r="I44" s="345" t="s">
        <v>9213</v>
      </c>
      <c r="J44" s="345" t="s">
        <v>9214</v>
      </c>
      <c r="K44" s="319"/>
      <c r="L44" s="303" t="s">
        <v>9233</v>
      </c>
      <c r="M44" s="386"/>
      <c r="N44" s="326">
        <v>3</v>
      </c>
      <c r="O44" s="327" t="s">
        <v>9201</v>
      </c>
      <c r="P44" s="328" t="s">
        <v>9202</v>
      </c>
      <c r="Q44" s="380" t="s">
        <v>8971</v>
      </c>
      <c r="R44" s="357" t="s">
        <v>9203</v>
      </c>
      <c r="S44" s="311"/>
      <c r="T44" s="336"/>
      <c r="U44" s="311"/>
      <c r="V44" s="362"/>
      <c r="W44" s="311"/>
      <c r="X44" s="311"/>
      <c r="Y44" s="316"/>
      <c r="Z44" s="316"/>
      <c r="AA44" s="316"/>
      <c r="AB44" s="316"/>
      <c r="AC44" s="316"/>
      <c r="AD44" s="316"/>
      <c r="AE44" s="385"/>
      <c r="AF44" s="316"/>
      <c r="AG44" s="316"/>
      <c r="AH44" s="316"/>
      <c r="AI44" s="316"/>
      <c r="AJ44" s="316"/>
      <c r="AK44" s="316"/>
      <c r="AL44" s="316"/>
      <c r="AM44" s="316"/>
      <c r="AN44" s="316"/>
      <c r="AO44" s="316"/>
      <c r="AP44" s="316"/>
      <c r="AQ44" s="316"/>
      <c r="AR44" s="316"/>
      <c r="AS44" s="316"/>
      <c r="AT44" s="316"/>
    </row>
    <row r="45" spans="1:46" ht="14.45">
      <c r="A45" s="340"/>
      <c r="B45" s="316"/>
      <c r="C45" s="340"/>
      <c r="D45" s="316"/>
      <c r="E45" s="304" t="s">
        <v>135</v>
      </c>
      <c r="F45" s="317">
        <v>16</v>
      </c>
      <c r="G45" s="368" t="s">
        <v>9218</v>
      </c>
      <c r="H45" s="318" t="str">
        <f t="shared" si="0"/>
        <v>ACCESSORIES | Clothes</v>
      </c>
      <c r="I45" s="345" t="s">
        <v>9219</v>
      </c>
      <c r="J45" s="345" t="s">
        <v>9220</v>
      </c>
      <c r="K45" s="319" t="s">
        <v>9221</v>
      </c>
      <c r="L45" s="303" t="s">
        <v>9221</v>
      </c>
      <c r="M45" s="386"/>
      <c r="N45" s="326">
        <v>4</v>
      </c>
      <c r="O45" s="327" t="s">
        <v>9209</v>
      </c>
      <c r="P45" s="328" t="s">
        <v>9210</v>
      </c>
      <c r="Q45" s="380" t="s">
        <v>8971</v>
      </c>
      <c r="R45" s="328" t="s">
        <v>9211</v>
      </c>
      <c r="S45" s="311"/>
      <c r="T45" s="336"/>
      <c r="U45" s="311"/>
      <c r="V45" s="362"/>
      <c r="W45" s="311"/>
      <c r="X45" s="311"/>
      <c r="Y45" s="316"/>
      <c r="Z45" s="316"/>
      <c r="AA45" s="316"/>
      <c r="AB45" s="316"/>
      <c r="AC45" s="316"/>
      <c r="AD45" s="316"/>
      <c r="AE45" s="385"/>
      <c r="AF45" s="316"/>
      <c r="AG45" s="316"/>
      <c r="AH45" s="316"/>
      <c r="AI45" s="316"/>
      <c r="AJ45" s="316"/>
      <c r="AK45" s="316"/>
      <c r="AL45" s="316"/>
      <c r="AM45" s="316"/>
      <c r="AN45" s="316"/>
      <c r="AO45" s="316"/>
      <c r="AP45" s="316"/>
      <c r="AQ45" s="316"/>
      <c r="AR45" s="316"/>
      <c r="AS45" s="316"/>
      <c r="AT45" s="316"/>
    </row>
    <row r="46" spans="1:46" ht="14.45">
      <c r="A46" s="340"/>
      <c r="B46" s="316"/>
      <c r="C46" s="340"/>
      <c r="D46" s="316"/>
      <c r="E46" s="304" t="s">
        <v>135</v>
      </c>
      <c r="F46" s="317">
        <v>17</v>
      </c>
      <c r="G46" s="368" t="s">
        <v>9224</v>
      </c>
      <c r="H46" s="318" t="str">
        <f t="shared" si="0"/>
        <v>ACCESSORIES | Gift</v>
      </c>
      <c r="I46" s="304" t="s">
        <v>9225</v>
      </c>
      <c r="J46" s="304" t="s">
        <v>9226</v>
      </c>
      <c r="K46" s="319" t="s">
        <v>9227</v>
      </c>
      <c r="L46" s="303" t="s">
        <v>9242</v>
      </c>
      <c r="M46" s="386"/>
      <c r="N46" s="326">
        <v>5</v>
      </c>
      <c r="O46" s="327" t="s">
        <v>9215</v>
      </c>
      <c r="P46" s="328" t="s">
        <v>9216</v>
      </c>
      <c r="Q46" s="380" t="s">
        <v>8971</v>
      </c>
      <c r="R46" s="328" t="s">
        <v>9217</v>
      </c>
      <c r="S46" s="311"/>
      <c r="T46" s="311"/>
      <c r="U46" s="311"/>
      <c r="V46" s="362"/>
      <c r="W46" s="311"/>
      <c r="X46" s="311"/>
      <c r="Y46" s="316"/>
      <c r="Z46" s="316"/>
      <c r="AA46" s="316"/>
      <c r="AB46" s="316"/>
      <c r="AC46" s="316"/>
      <c r="AD46" s="316"/>
      <c r="AE46" s="385"/>
      <c r="AF46" s="316"/>
      <c r="AG46" s="316"/>
      <c r="AH46" s="316"/>
      <c r="AI46" s="316"/>
      <c r="AJ46" s="316"/>
      <c r="AK46" s="316"/>
      <c r="AL46" s="316"/>
      <c r="AM46" s="316"/>
      <c r="AN46" s="316"/>
      <c r="AO46" s="316"/>
      <c r="AP46" s="316"/>
      <c r="AQ46" s="316"/>
      <c r="AR46" s="316"/>
      <c r="AS46" s="316"/>
      <c r="AT46" s="316"/>
    </row>
    <row r="47" spans="1:46" ht="14.45">
      <c r="A47" s="340"/>
      <c r="B47" s="316"/>
      <c r="C47" s="340"/>
      <c r="D47" s="316"/>
      <c r="E47" s="304" t="s">
        <v>135</v>
      </c>
      <c r="F47" s="317">
        <v>18</v>
      </c>
      <c r="G47" s="368" t="s">
        <v>220</v>
      </c>
      <c r="H47" s="318" t="str">
        <f t="shared" si="0"/>
        <v>ACCESSORIES | Others</v>
      </c>
      <c r="I47" s="304" t="s">
        <v>9043</v>
      </c>
      <c r="J47" s="304" t="s">
        <v>9231</v>
      </c>
      <c r="K47" s="319" t="s">
        <v>9232</v>
      </c>
      <c r="L47" s="303" t="s">
        <v>9248</v>
      </c>
      <c r="M47" s="386"/>
      <c r="N47" s="326">
        <v>6</v>
      </c>
      <c r="O47" s="327" t="s">
        <v>9223</v>
      </c>
      <c r="P47" s="328" t="s">
        <v>8977</v>
      </c>
      <c r="Q47" s="380" t="s">
        <v>8971</v>
      </c>
      <c r="R47" s="328" t="s">
        <v>8978</v>
      </c>
      <c r="S47" s="311"/>
      <c r="T47" s="311"/>
      <c r="U47" s="311"/>
      <c r="V47" s="362"/>
      <c r="W47" s="311"/>
      <c r="X47" s="311"/>
      <c r="Y47" s="316"/>
      <c r="Z47" s="316"/>
      <c r="AA47" s="316"/>
      <c r="AB47" s="316"/>
      <c r="AC47" s="316"/>
      <c r="AD47" s="316"/>
      <c r="AE47" s="385"/>
      <c r="AF47" s="316"/>
      <c r="AG47" s="316"/>
      <c r="AH47" s="316"/>
      <c r="AI47" s="316"/>
      <c r="AJ47" s="316"/>
      <c r="AK47" s="316"/>
      <c r="AL47" s="316"/>
      <c r="AM47" s="316"/>
      <c r="AN47" s="316"/>
      <c r="AO47" s="316"/>
      <c r="AP47" s="316"/>
      <c r="AQ47" s="316"/>
      <c r="AR47" s="316"/>
      <c r="AS47" s="316"/>
      <c r="AT47" s="316"/>
    </row>
    <row r="48" spans="1:46" ht="14.45">
      <c r="A48" s="340"/>
      <c r="B48" s="316"/>
      <c r="C48" s="340"/>
      <c r="D48" s="316"/>
      <c r="E48" s="304" t="s">
        <v>135</v>
      </c>
      <c r="F48" s="317">
        <v>19</v>
      </c>
      <c r="G48" s="368" t="s">
        <v>1362</v>
      </c>
      <c r="H48" s="318" t="str">
        <f t="shared" si="0"/>
        <v>ACCESSORIES | Pet</v>
      </c>
      <c r="I48" s="304" t="s">
        <v>9237</v>
      </c>
      <c r="J48" s="304" t="s">
        <v>9238</v>
      </c>
      <c r="K48" s="319" t="s">
        <v>9239</v>
      </c>
      <c r="L48" s="303" t="s">
        <v>9239</v>
      </c>
      <c r="M48" s="386"/>
      <c r="N48" s="326">
        <v>7</v>
      </c>
      <c r="O48" s="327" t="s">
        <v>9228</v>
      </c>
      <c r="P48" s="328" t="s">
        <v>9229</v>
      </c>
      <c r="Q48" s="380" t="s">
        <v>8971</v>
      </c>
      <c r="R48" s="328" t="s">
        <v>9230</v>
      </c>
      <c r="S48" s="311"/>
      <c r="T48" s="311"/>
      <c r="U48" s="311"/>
      <c r="V48" s="362"/>
      <c r="W48" s="311"/>
      <c r="X48" s="311"/>
      <c r="Y48" s="316"/>
      <c r="Z48" s="316"/>
      <c r="AA48" s="316"/>
      <c r="AB48" s="316"/>
      <c r="AC48" s="316"/>
      <c r="AD48" s="316"/>
      <c r="AE48" s="385"/>
      <c r="AF48" s="316"/>
      <c r="AG48" s="316"/>
      <c r="AH48" s="316"/>
      <c r="AI48" s="316"/>
      <c r="AJ48" s="316"/>
      <c r="AK48" s="316"/>
      <c r="AL48" s="316"/>
      <c r="AM48" s="316"/>
      <c r="AN48" s="316"/>
      <c r="AO48" s="316"/>
      <c r="AP48" s="316"/>
      <c r="AQ48" s="316"/>
      <c r="AR48" s="316"/>
      <c r="AS48" s="316"/>
      <c r="AT48" s="316"/>
    </row>
    <row r="49" spans="1:46" ht="14.45">
      <c r="A49" s="340"/>
      <c r="B49" s="316"/>
      <c r="C49" s="340"/>
      <c r="D49" s="316"/>
      <c r="E49" s="304" t="s">
        <v>135</v>
      </c>
      <c r="F49" s="317">
        <v>20</v>
      </c>
      <c r="G49" s="368" t="s">
        <v>1476</v>
      </c>
      <c r="H49" s="318" t="str">
        <f t="shared" si="0"/>
        <v>ACCESSORIES | Clock</v>
      </c>
      <c r="I49" s="304" t="s">
        <v>9240</v>
      </c>
      <c r="J49" s="304" t="s">
        <v>9241</v>
      </c>
      <c r="K49" s="319" t="s">
        <v>9221</v>
      </c>
      <c r="L49" s="303" t="s">
        <v>9257</v>
      </c>
      <c r="M49" s="386"/>
      <c r="N49" s="326">
        <v>8</v>
      </c>
      <c r="O49" s="327" t="s">
        <v>9234</v>
      </c>
      <c r="P49" s="328" t="s">
        <v>9235</v>
      </c>
      <c r="Q49" s="380" t="s">
        <v>8971</v>
      </c>
      <c r="R49" s="328" t="s">
        <v>9236</v>
      </c>
      <c r="S49" s="311"/>
      <c r="T49" s="311"/>
      <c r="U49" s="311"/>
      <c r="V49" s="362"/>
      <c r="W49" s="311"/>
      <c r="X49" s="311"/>
      <c r="Y49" s="316"/>
      <c r="Z49" s="316"/>
      <c r="AA49" s="316"/>
      <c r="AB49" s="316"/>
      <c r="AC49" s="316"/>
      <c r="AD49" s="316"/>
      <c r="AE49" s="385"/>
      <c r="AF49" s="316"/>
      <c r="AG49" s="316"/>
      <c r="AH49" s="316"/>
      <c r="AI49" s="316"/>
      <c r="AJ49" s="316"/>
      <c r="AK49" s="316"/>
      <c r="AL49" s="316"/>
      <c r="AM49" s="316"/>
      <c r="AN49" s="316"/>
      <c r="AO49" s="316"/>
      <c r="AP49" s="316"/>
      <c r="AQ49" s="316"/>
      <c r="AR49" s="316"/>
      <c r="AS49" s="316"/>
      <c r="AT49" s="316"/>
    </row>
    <row r="50" spans="1:46" ht="14.45">
      <c r="A50" s="340"/>
      <c r="B50" s="316"/>
      <c r="C50" s="340"/>
      <c r="D50" s="316"/>
      <c r="E50" s="304" t="s">
        <v>135</v>
      </c>
      <c r="F50" s="317"/>
      <c r="G50" s="368" t="s">
        <v>4441</v>
      </c>
      <c r="H50" s="318" t="str">
        <f t="shared" si="0"/>
        <v>ACCESSORIES | Book</v>
      </c>
      <c r="I50" s="304" t="s">
        <v>9246</v>
      </c>
      <c r="J50" s="304"/>
      <c r="K50" s="319" t="s">
        <v>9247</v>
      </c>
      <c r="L50" s="303" t="s">
        <v>9247</v>
      </c>
      <c r="M50" s="386"/>
      <c r="N50" s="369">
        <v>9</v>
      </c>
      <c r="O50" s="391" t="s">
        <v>9002</v>
      </c>
      <c r="P50" s="392"/>
      <c r="Q50" s="380" t="s">
        <v>8971</v>
      </c>
      <c r="R50" s="393" t="s">
        <v>9003</v>
      </c>
      <c r="S50" s="384" t="s">
        <v>9345</v>
      </c>
      <c r="T50" s="311"/>
      <c r="U50" s="311"/>
      <c r="V50" s="362"/>
      <c r="W50" s="311"/>
      <c r="X50" s="311"/>
      <c r="Y50" s="316"/>
      <c r="Z50" s="316"/>
      <c r="AA50" s="316"/>
      <c r="AB50" s="316"/>
      <c r="AC50" s="316"/>
      <c r="AD50" s="316"/>
      <c r="AE50" s="385"/>
      <c r="AF50" s="316"/>
      <c r="AG50" s="316"/>
      <c r="AH50" s="316"/>
      <c r="AI50" s="316"/>
      <c r="AJ50" s="316"/>
      <c r="AK50" s="316"/>
      <c r="AL50" s="316"/>
      <c r="AM50" s="316"/>
      <c r="AN50" s="316"/>
      <c r="AO50" s="316"/>
      <c r="AP50" s="316"/>
      <c r="AQ50" s="316"/>
      <c r="AR50" s="316"/>
      <c r="AS50" s="316"/>
      <c r="AT50" s="316"/>
    </row>
    <row r="51" spans="1:46" ht="14.45">
      <c r="A51" s="340"/>
      <c r="B51" s="316"/>
      <c r="C51" s="340"/>
      <c r="D51" s="316"/>
      <c r="E51" s="304" t="s">
        <v>1100</v>
      </c>
      <c r="F51" s="317">
        <v>1</v>
      </c>
      <c r="G51" s="394" t="s">
        <v>8874</v>
      </c>
      <c r="H51" s="318" t="str">
        <f t="shared" si="0"/>
        <v>OTHERS | Marketing</v>
      </c>
      <c r="I51" s="304"/>
      <c r="J51" s="304" t="s">
        <v>9255</v>
      </c>
      <c r="K51" s="319" t="s">
        <v>9256</v>
      </c>
      <c r="L51" s="303" t="s">
        <v>9275</v>
      </c>
      <c r="M51" s="386"/>
      <c r="N51" s="395"/>
      <c r="O51" s="396" t="s">
        <v>9243</v>
      </c>
      <c r="P51" s="397" t="s">
        <v>9244</v>
      </c>
      <c r="Q51" s="380" t="s">
        <v>8971</v>
      </c>
      <c r="R51" s="398" t="s">
        <v>9245</v>
      </c>
      <c r="S51" s="336"/>
      <c r="T51" s="311"/>
      <c r="U51" s="311"/>
      <c r="V51" s="362"/>
      <c r="W51" s="311"/>
      <c r="X51" s="311"/>
      <c r="Y51" s="316"/>
      <c r="Z51" s="316"/>
      <c r="AA51" s="316"/>
      <c r="AB51" s="316"/>
      <c r="AC51" s="316"/>
      <c r="AD51" s="316"/>
      <c r="AE51" s="385"/>
      <c r="AF51" s="316"/>
      <c r="AG51" s="316"/>
      <c r="AH51" s="316"/>
      <c r="AI51" s="316"/>
      <c r="AJ51" s="316"/>
      <c r="AK51" s="316"/>
      <c r="AL51" s="316"/>
      <c r="AM51" s="316"/>
      <c r="AN51" s="316"/>
      <c r="AO51" s="316"/>
      <c r="AP51" s="316"/>
      <c r="AQ51" s="316"/>
      <c r="AR51" s="316"/>
      <c r="AS51" s="316"/>
      <c r="AT51" s="316"/>
    </row>
    <row r="52" spans="1:46" ht="14.45">
      <c r="A52" s="340"/>
      <c r="B52" s="316"/>
      <c r="C52" s="340"/>
      <c r="D52" s="316"/>
      <c r="E52" s="304" t="s">
        <v>1100</v>
      </c>
      <c r="F52" s="317">
        <v>2</v>
      </c>
      <c r="G52" s="394" t="s">
        <v>9261</v>
      </c>
      <c r="H52" s="318" t="str">
        <f t="shared" si="0"/>
        <v>OTHERS | Delivery</v>
      </c>
      <c r="I52" s="304"/>
      <c r="J52" s="304" t="s">
        <v>9262</v>
      </c>
      <c r="K52" s="319" t="s">
        <v>9263</v>
      </c>
      <c r="L52" s="303" t="s">
        <v>9281</v>
      </c>
      <c r="M52" s="386"/>
      <c r="N52" s="395"/>
      <c r="O52" s="396" t="s">
        <v>9249</v>
      </c>
      <c r="P52" s="397" t="s">
        <v>9250</v>
      </c>
      <c r="Q52" s="380" t="s">
        <v>8971</v>
      </c>
      <c r="R52" s="397" t="s">
        <v>9251</v>
      </c>
      <c r="S52" s="336"/>
      <c r="T52" s="311"/>
      <c r="U52" s="311"/>
      <c r="V52" s="362"/>
      <c r="W52" s="311"/>
      <c r="X52" s="311"/>
      <c r="Y52" s="316"/>
      <c r="Z52" s="316"/>
      <c r="AA52" s="316"/>
      <c r="AB52" s="316"/>
      <c r="AC52" s="316"/>
      <c r="AD52" s="316"/>
      <c r="AE52" s="385"/>
      <c r="AF52" s="316"/>
      <c r="AG52" s="316"/>
      <c r="AH52" s="316"/>
      <c r="AI52" s="316"/>
      <c r="AJ52" s="316"/>
      <c r="AK52" s="316"/>
      <c r="AL52" s="316"/>
      <c r="AM52" s="316"/>
      <c r="AN52" s="316"/>
      <c r="AO52" s="316"/>
      <c r="AP52" s="316"/>
      <c r="AQ52" s="316"/>
      <c r="AR52" s="316"/>
      <c r="AS52" s="316"/>
      <c r="AT52" s="316"/>
    </row>
    <row r="53" spans="1:46" ht="14.45">
      <c r="A53" s="340"/>
      <c r="B53" s="316"/>
      <c r="C53" s="340"/>
      <c r="D53" s="316"/>
      <c r="E53" s="304" t="s">
        <v>1100</v>
      </c>
      <c r="F53" s="317">
        <v>3</v>
      </c>
      <c r="G53" s="394" t="s">
        <v>9267</v>
      </c>
      <c r="H53" s="318" t="str">
        <f t="shared" si="0"/>
        <v>OTHERS | Commision</v>
      </c>
      <c r="I53" s="361"/>
      <c r="J53" s="361" t="s">
        <v>9268</v>
      </c>
      <c r="K53" s="319" t="s">
        <v>9269</v>
      </c>
      <c r="L53" s="303" t="s">
        <v>9287</v>
      </c>
      <c r="M53" s="386"/>
      <c r="N53" s="395"/>
      <c r="O53" s="396" t="s">
        <v>9252</v>
      </c>
      <c r="P53" s="397" t="s">
        <v>9253</v>
      </c>
      <c r="Q53" s="380" t="s">
        <v>8971</v>
      </c>
      <c r="R53" s="397" t="s">
        <v>9254</v>
      </c>
      <c r="S53" s="311"/>
      <c r="T53" s="311"/>
      <c r="U53" s="311"/>
      <c r="V53" s="362"/>
      <c r="W53" s="311"/>
      <c r="X53" s="311"/>
      <c r="Y53" s="316"/>
      <c r="Z53" s="316"/>
      <c r="AA53" s="316"/>
      <c r="AB53" s="316"/>
      <c r="AC53" s="316"/>
      <c r="AD53" s="316"/>
      <c r="AE53" s="385"/>
      <c r="AF53" s="316"/>
      <c r="AG53" s="316"/>
      <c r="AH53" s="316"/>
      <c r="AI53" s="316"/>
      <c r="AJ53" s="316"/>
      <c r="AK53" s="316"/>
      <c r="AL53" s="316"/>
      <c r="AM53" s="316"/>
      <c r="AN53" s="316"/>
      <c r="AO53" s="316"/>
      <c r="AP53" s="316"/>
      <c r="AQ53" s="316"/>
      <c r="AR53" s="316"/>
      <c r="AS53" s="316"/>
      <c r="AT53" s="316"/>
    </row>
    <row r="54" spans="1:46" ht="14.45">
      <c r="A54" s="340"/>
      <c r="B54" s="316"/>
      <c r="C54" s="340"/>
      <c r="D54" s="316"/>
      <c r="E54" s="304" t="s">
        <v>1100</v>
      </c>
      <c r="F54" s="317">
        <v>4</v>
      </c>
      <c r="G54" s="394" t="s">
        <v>9272</v>
      </c>
      <c r="H54" s="318" t="str">
        <f t="shared" si="0"/>
        <v>OTHERS | Service</v>
      </c>
      <c r="I54" s="304"/>
      <c r="J54" s="304" t="s">
        <v>9273</v>
      </c>
      <c r="K54" s="319" t="s">
        <v>9274</v>
      </c>
      <c r="L54" s="303" t="s">
        <v>9291</v>
      </c>
      <c r="M54" s="386"/>
      <c r="N54" s="395"/>
      <c r="O54" s="399" t="s">
        <v>9258</v>
      </c>
      <c r="P54" s="400" t="s">
        <v>9259</v>
      </c>
      <c r="Q54" s="380" t="s">
        <v>8971</v>
      </c>
      <c r="R54" s="397" t="s">
        <v>9260</v>
      </c>
      <c r="S54" s="311"/>
      <c r="T54" s="311"/>
      <c r="U54" s="311"/>
      <c r="V54" s="362"/>
      <c r="W54" s="311"/>
      <c r="X54" s="311"/>
      <c r="Y54" s="316"/>
      <c r="Z54" s="316"/>
      <c r="AA54" s="316"/>
      <c r="AB54" s="316"/>
      <c r="AC54" s="316"/>
      <c r="AD54" s="316"/>
      <c r="AE54" s="385"/>
      <c r="AF54" s="316"/>
      <c r="AG54" s="316"/>
      <c r="AH54" s="316"/>
      <c r="AI54" s="316"/>
      <c r="AJ54" s="316"/>
      <c r="AK54" s="316"/>
      <c r="AL54" s="316"/>
      <c r="AM54" s="316"/>
      <c r="AN54" s="316"/>
      <c r="AO54" s="316"/>
      <c r="AP54" s="316"/>
      <c r="AQ54" s="316"/>
      <c r="AR54" s="316"/>
      <c r="AS54" s="316"/>
      <c r="AT54" s="316"/>
    </row>
    <row r="55" spans="1:46" ht="14.45">
      <c r="A55" s="340"/>
      <c r="B55" s="316"/>
      <c r="C55" s="340"/>
      <c r="D55" s="316"/>
      <c r="E55" s="304" t="s">
        <v>1100</v>
      </c>
      <c r="F55" s="317">
        <v>5</v>
      </c>
      <c r="G55" s="394" t="s">
        <v>9278</v>
      </c>
      <c r="H55" s="318" t="str">
        <f t="shared" si="0"/>
        <v>OTHERS | Home Appliances</v>
      </c>
      <c r="I55" s="304"/>
      <c r="J55" s="304" t="s">
        <v>9279</v>
      </c>
      <c r="K55" s="319" t="s">
        <v>9280</v>
      </c>
      <c r="L55" s="303" t="s">
        <v>9280</v>
      </c>
      <c r="M55" s="386"/>
      <c r="N55" s="395"/>
      <c r="O55" s="396" t="s">
        <v>9264</v>
      </c>
      <c r="P55" s="401" t="s">
        <v>9265</v>
      </c>
      <c r="Q55" s="380" t="s">
        <v>8971</v>
      </c>
      <c r="R55" s="397" t="s">
        <v>9266</v>
      </c>
      <c r="S55" s="311"/>
      <c r="T55" s="311"/>
      <c r="U55" s="311"/>
      <c r="V55" s="362"/>
      <c r="W55" s="311"/>
      <c r="X55" s="311"/>
      <c r="Y55" s="316"/>
      <c r="Z55" s="316"/>
      <c r="AA55" s="316"/>
      <c r="AB55" s="316"/>
      <c r="AC55" s="316"/>
      <c r="AD55" s="316"/>
      <c r="AE55" s="385"/>
      <c r="AF55" s="316"/>
      <c r="AG55" s="316"/>
      <c r="AH55" s="316"/>
      <c r="AI55" s="316"/>
      <c r="AJ55" s="316"/>
      <c r="AK55" s="316"/>
      <c r="AL55" s="316"/>
      <c r="AM55" s="316"/>
      <c r="AN55" s="316"/>
      <c r="AO55" s="316"/>
      <c r="AP55" s="316"/>
      <c r="AQ55" s="316"/>
      <c r="AR55" s="316"/>
      <c r="AS55" s="316"/>
      <c r="AT55" s="316"/>
    </row>
    <row r="56" spans="1:46" ht="14.45">
      <c r="A56" s="340"/>
      <c r="B56" s="316"/>
      <c r="C56" s="340"/>
      <c r="D56" s="316"/>
      <c r="E56" s="304" t="s">
        <v>1100</v>
      </c>
      <c r="F56" s="317">
        <v>6</v>
      </c>
      <c r="G56" s="394" t="s">
        <v>9284</v>
      </c>
      <c r="H56" s="318" t="str">
        <f t="shared" si="0"/>
        <v>OTHERS | ECM</v>
      </c>
      <c r="I56" s="304" t="s">
        <v>9285</v>
      </c>
      <c r="J56" s="304" t="s">
        <v>9286</v>
      </c>
      <c r="K56" s="319" t="s">
        <v>9284</v>
      </c>
      <c r="L56" s="303" t="s">
        <v>9346</v>
      </c>
      <c r="M56" s="386"/>
      <c r="N56" s="395"/>
      <c r="O56" s="402" t="s">
        <v>9270</v>
      </c>
      <c r="P56" s="403" t="s">
        <v>9270</v>
      </c>
      <c r="Q56" s="380" t="s">
        <v>8971</v>
      </c>
      <c r="R56" s="403" t="s">
        <v>9271</v>
      </c>
      <c r="S56" s="311"/>
      <c r="T56" s="311"/>
      <c r="U56" s="311"/>
      <c r="V56" s="362"/>
      <c r="W56" s="311"/>
      <c r="X56" s="311"/>
      <c r="Y56" s="316"/>
      <c r="Z56" s="316"/>
      <c r="AA56" s="316"/>
      <c r="AB56" s="316"/>
      <c r="AC56" s="316"/>
      <c r="AD56" s="316"/>
      <c r="AE56" s="385"/>
      <c r="AF56" s="316"/>
      <c r="AG56" s="316"/>
      <c r="AH56" s="316"/>
      <c r="AI56" s="316"/>
      <c r="AJ56" s="316"/>
      <c r="AK56" s="316"/>
      <c r="AL56" s="316"/>
      <c r="AM56" s="316"/>
      <c r="AN56" s="316"/>
      <c r="AO56" s="316"/>
      <c r="AP56" s="316"/>
      <c r="AQ56" s="316"/>
      <c r="AR56" s="316"/>
      <c r="AS56" s="316"/>
      <c r="AT56" s="316"/>
    </row>
    <row r="57" spans="1:46" ht="14.45">
      <c r="A57" s="340"/>
      <c r="B57" s="316"/>
      <c r="C57" s="340"/>
      <c r="D57" s="316"/>
      <c r="E57" s="304" t="s">
        <v>1100</v>
      </c>
      <c r="F57" s="317">
        <v>7</v>
      </c>
      <c r="G57" s="394" t="s">
        <v>124</v>
      </c>
      <c r="H57" s="318" t="str">
        <f t="shared" si="0"/>
        <v>OTHERS | Sparepart</v>
      </c>
      <c r="I57" s="304"/>
      <c r="J57" s="304" t="s">
        <v>9289</v>
      </c>
      <c r="K57" s="319" t="s">
        <v>9290</v>
      </c>
      <c r="L57" s="303" t="s">
        <v>9347</v>
      </c>
      <c r="M57" s="386"/>
      <c r="N57" s="311"/>
      <c r="O57" s="402" t="s">
        <v>9276</v>
      </c>
      <c r="P57" s="403" t="s">
        <v>9276</v>
      </c>
      <c r="Q57" s="380" t="s">
        <v>8971</v>
      </c>
      <c r="R57" s="403" t="s">
        <v>9277</v>
      </c>
      <c r="S57" s="311"/>
      <c r="T57" s="311"/>
      <c r="U57" s="311"/>
      <c r="V57" s="362"/>
      <c r="W57" s="311"/>
      <c r="X57" s="311"/>
      <c r="Y57" s="316"/>
      <c r="Z57" s="316"/>
      <c r="AA57" s="316"/>
      <c r="AB57" s="316"/>
      <c r="AC57" s="316"/>
      <c r="AD57" s="316"/>
      <c r="AE57" s="385"/>
      <c r="AF57" s="316"/>
      <c r="AG57" s="316"/>
      <c r="AH57" s="316"/>
      <c r="AI57" s="316"/>
      <c r="AJ57" s="316"/>
      <c r="AK57" s="316"/>
      <c r="AL57" s="316"/>
      <c r="AM57" s="316"/>
      <c r="AN57" s="316"/>
      <c r="AO57" s="316"/>
      <c r="AP57" s="316"/>
      <c r="AQ57" s="316"/>
      <c r="AR57" s="316"/>
      <c r="AS57" s="316"/>
      <c r="AT57" s="316"/>
    </row>
    <row r="58" spans="1:46" ht="14.45">
      <c r="A58" s="340"/>
      <c r="B58" s="316"/>
      <c r="C58" s="340"/>
      <c r="D58" s="316"/>
      <c r="E58" s="304" t="s">
        <v>1100</v>
      </c>
      <c r="F58" s="317">
        <v>8</v>
      </c>
      <c r="G58" s="394" t="s">
        <v>220</v>
      </c>
      <c r="H58" s="318" t="str">
        <f t="shared" si="0"/>
        <v>OTHERS | Others</v>
      </c>
      <c r="I58" s="304"/>
      <c r="J58" s="304" t="s">
        <v>9294</v>
      </c>
      <c r="K58" s="319" t="s">
        <v>9295</v>
      </c>
      <c r="L58" s="303" t="s">
        <v>9348</v>
      </c>
      <c r="M58" s="386"/>
      <c r="N58" s="311"/>
      <c r="O58" s="402" t="s">
        <v>9282</v>
      </c>
      <c r="P58" s="403" t="s">
        <v>9282</v>
      </c>
      <c r="Q58" s="380" t="s">
        <v>8971</v>
      </c>
      <c r="R58" s="403" t="s">
        <v>9283</v>
      </c>
      <c r="S58" s="311"/>
      <c r="T58" s="311"/>
      <c r="U58" s="311"/>
      <c r="V58" s="362"/>
      <c r="W58" s="311"/>
      <c r="X58" s="311"/>
      <c r="Y58" s="316"/>
      <c r="Z58" s="316"/>
      <c r="AA58" s="316"/>
      <c r="AB58" s="316"/>
      <c r="AC58" s="316"/>
      <c r="AD58" s="316"/>
      <c r="AE58" s="385"/>
      <c r="AF58" s="316"/>
      <c r="AG58" s="316"/>
      <c r="AH58" s="316"/>
      <c r="AI58" s="316"/>
      <c r="AJ58" s="316"/>
      <c r="AK58" s="316"/>
      <c r="AL58" s="316"/>
      <c r="AM58" s="316"/>
      <c r="AN58" s="316"/>
      <c r="AO58" s="316"/>
      <c r="AP58" s="316"/>
      <c r="AQ58" s="316"/>
      <c r="AR58" s="316"/>
      <c r="AS58" s="316"/>
      <c r="AT58" s="316"/>
    </row>
    <row r="59" spans="1:46" ht="14.45">
      <c r="A59" s="340"/>
      <c r="B59" s="316"/>
      <c r="C59" s="340"/>
      <c r="D59" s="316"/>
      <c r="E59" s="316"/>
      <c r="F59" s="316"/>
      <c r="G59" s="316"/>
      <c r="H59" s="316"/>
      <c r="I59" s="316"/>
      <c r="J59" s="316"/>
      <c r="K59" s="404"/>
      <c r="L59" s="316"/>
      <c r="M59" s="386"/>
      <c r="N59" s="311"/>
      <c r="O59" s="402" t="s">
        <v>9288</v>
      </c>
      <c r="P59" s="403" t="s">
        <v>9288</v>
      </c>
      <c r="Q59" s="380" t="s">
        <v>8971</v>
      </c>
      <c r="R59" s="403" t="s">
        <v>9288</v>
      </c>
      <c r="S59" s="311"/>
      <c r="T59" s="311"/>
      <c r="U59" s="311"/>
      <c r="V59" s="362"/>
      <c r="W59" s="311"/>
      <c r="X59" s="311"/>
      <c r="Y59" s="316"/>
      <c r="Z59" s="316"/>
      <c r="AA59" s="316"/>
      <c r="AB59" s="316"/>
      <c r="AC59" s="316"/>
      <c r="AD59" s="316"/>
      <c r="AE59"/>
      <c r="AF59" s="316"/>
      <c r="AG59" s="316"/>
      <c r="AH59" s="316"/>
      <c r="AI59" s="316"/>
      <c r="AJ59" s="316"/>
      <c r="AK59" s="316"/>
      <c r="AL59" s="316"/>
      <c r="AM59" s="316"/>
      <c r="AN59" s="316"/>
      <c r="AO59" s="316"/>
      <c r="AP59" s="316"/>
      <c r="AQ59" s="316"/>
      <c r="AR59" s="316"/>
      <c r="AS59" s="316"/>
      <c r="AT59" s="316"/>
    </row>
    <row r="60" spans="1:46" ht="14.45">
      <c r="A60" s="340"/>
      <c r="B60" s="316"/>
      <c r="C60" s="340"/>
      <c r="D60" s="316"/>
      <c r="E60" s="316"/>
      <c r="F60" s="340"/>
      <c r="G60" s="316"/>
      <c r="H60" s="316"/>
      <c r="I60" s="316"/>
      <c r="J60" s="316"/>
      <c r="K60" s="404"/>
      <c r="L60" s="316"/>
      <c r="M60" s="386"/>
      <c r="N60" s="311"/>
      <c r="O60" s="402" t="s">
        <v>9292</v>
      </c>
      <c r="P60" s="403" t="s">
        <v>9293</v>
      </c>
      <c r="Q60" s="380" t="s">
        <v>8971</v>
      </c>
      <c r="R60" s="403" t="s">
        <v>9292</v>
      </c>
      <c r="S60" s="311"/>
      <c r="T60" s="311"/>
      <c r="U60" s="311"/>
      <c r="V60" s="362"/>
      <c r="W60" s="311"/>
      <c r="X60" s="311"/>
      <c r="Y60" s="316"/>
      <c r="Z60" s="316"/>
      <c r="AA60" s="316"/>
      <c r="AB60" s="316"/>
      <c r="AC60" s="316"/>
      <c r="AD60" s="316"/>
      <c r="AE60"/>
      <c r="AF60" s="316"/>
      <c r="AG60" s="316"/>
      <c r="AH60" s="316"/>
      <c r="AI60" s="316"/>
      <c r="AJ60" s="316"/>
      <c r="AK60" s="316"/>
      <c r="AL60" s="316"/>
      <c r="AM60" s="316"/>
      <c r="AN60" s="316"/>
      <c r="AO60" s="316"/>
      <c r="AP60" s="316"/>
      <c r="AQ60" s="316"/>
      <c r="AR60" s="316"/>
      <c r="AS60" s="316"/>
      <c r="AT60" s="316"/>
    </row>
    <row r="61" spans="1:46" ht="14.45">
      <c r="A61" s="340"/>
      <c r="B61" s="316"/>
      <c r="C61" s="340"/>
      <c r="D61" s="316"/>
      <c r="E61" s="316"/>
      <c r="F61" s="340"/>
      <c r="G61" s="316"/>
      <c r="H61" s="316"/>
      <c r="I61" s="405"/>
      <c r="J61" s="405"/>
      <c r="K61" s="404"/>
      <c r="L61" s="316"/>
      <c r="M61" s="386"/>
      <c r="N61" s="311"/>
      <c r="O61" s="402"/>
      <c r="P61" s="403"/>
      <c r="Q61" s="380" t="s">
        <v>8971</v>
      </c>
      <c r="R61" s="403"/>
      <c r="S61" s="311"/>
      <c r="T61" s="311"/>
      <c r="U61" s="311"/>
      <c r="V61" s="362"/>
      <c r="W61" s="311"/>
      <c r="X61" s="311"/>
      <c r="Y61" s="316"/>
      <c r="Z61" s="316"/>
      <c r="AA61" s="316"/>
      <c r="AB61" s="316"/>
      <c r="AC61" s="316"/>
      <c r="AD61" s="316"/>
      <c r="AE61"/>
      <c r="AF61" s="316"/>
      <c r="AG61" s="316"/>
      <c r="AH61" s="316"/>
      <c r="AI61" s="316"/>
      <c r="AJ61" s="316"/>
      <c r="AK61" s="316"/>
      <c r="AL61" s="316"/>
      <c r="AM61" s="316"/>
      <c r="AN61" s="316"/>
      <c r="AO61" s="316"/>
      <c r="AP61" s="316"/>
      <c r="AQ61" s="316"/>
      <c r="AR61" s="316"/>
      <c r="AS61" s="316"/>
      <c r="AT61" s="316"/>
    </row>
    <row r="62" spans="1:46" ht="14.45">
      <c r="A62" s="340"/>
      <c r="B62" s="316"/>
      <c r="C62" s="340"/>
      <c r="D62" s="316"/>
      <c r="E62" s="316"/>
      <c r="F62" s="340"/>
      <c r="G62" s="316"/>
      <c r="H62" s="316"/>
      <c r="I62" s="316"/>
      <c r="J62" s="316"/>
      <c r="K62" s="404"/>
      <c r="L62" s="316"/>
      <c r="M62" s="386"/>
      <c r="N62" s="311"/>
      <c r="O62" s="402" t="s">
        <v>9296</v>
      </c>
      <c r="P62" s="403" t="s">
        <v>9297</v>
      </c>
      <c r="Q62" s="380" t="s">
        <v>8971</v>
      </c>
      <c r="R62" s="403" t="s">
        <v>9298</v>
      </c>
      <c r="S62" s="311"/>
      <c r="T62" s="311"/>
      <c r="U62" s="311"/>
      <c r="V62" s="362"/>
      <c r="W62" s="311"/>
      <c r="X62" s="311"/>
      <c r="Y62" s="316"/>
      <c r="Z62" s="316"/>
      <c r="AA62" s="316"/>
      <c r="AB62" s="316"/>
      <c r="AC62" s="316"/>
      <c r="AD62" s="316"/>
      <c r="AE62"/>
      <c r="AF62" s="316"/>
      <c r="AG62" s="316"/>
      <c r="AH62" s="316"/>
      <c r="AI62" s="316"/>
      <c r="AJ62" s="316"/>
      <c r="AK62" s="316"/>
      <c r="AL62" s="316"/>
      <c r="AM62" s="316"/>
      <c r="AN62" s="316"/>
      <c r="AO62" s="316"/>
      <c r="AP62" s="316"/>
      <c r="AQ62" s="316"/>
      <c r="AR62" s="316"/>
      <c r="AS62" s="316"/>
      <c r="AT62" s="316"/>
    </row>
    <row r="63" spans="1:46" ht="14.45">
      <c r="A63" s="340"/>
      <c r="B63" s="316"/>
      <c r="C63" s="340"/>
      <c r="D63" s="316"/>
      <c r="E63" s="316"/>
      <c r="F63" s="340"/>
      <c r="G63" s="316"/>
      <c r="H63" s="316"/>
      <c r="I63" s="316"/>
      <c r="J63" s="316"/>
      <c r="K63" s="404"/>
      <c r="L63" s="316"/>
      <c r="M63" s="386"/>
      <c r="N63" s="311"/>
      <c r="O63" s="402" t="s">
        <v>9299</v>
      </c>
      <c r="P63" s="403"/>
      <c r="Q63" s="380" t="s">
        <v>8971</v>
      </c>
      <c r="R63" s="403" t="s">
        <v>9300</v>
      </c>
      <c r="S63" s="311"/>
      <c r="T63" s="311"/>
      <c r="U63" s="311"/>
      <c r="V63" s="362"/>
      <c r="W63" s="311"/>
      <c r="X63" s="311"/>
      <c r="Y63" s="316"/>
      <c r="Z63" s="316"/>
      <c r="AA63" s="316"/>
      <c r="AB63" s="316"/>
      <c r="AC63" s="316"/>
      <c r="AD63" s="316"/>
      <c r="AE63"/>
      <c r="AF63" s="316"/>
      <c r="AG63" s="316"/>
      <c r="AH63" s="316"/>
      <c r="AI63" s="316"/>
      <c r="AJ63" s="316"/>
      <c r="AK63" s="316"/>
      <c r="AL63" s="316"/>
      <c r="AM63" s="316"/>
      <c r="AN63" s="316"/>
      <c r="AO63" s="316"/>
      <c r="AP63" s="316"/>
      <c r="AQ63" s="316"/>
      <c r="AR63" s="316"/>
      <c r="AS63" s="316"/>
      <c r="AT63" s="316"/>
    </row>
    <row r="64" spans="1:46" ht="14.45">
      <c r="A64" s="340"/>
      <c r="B64" s="316"/>
      <c r="C64" s="340"/>
      <c r="D64" s="316"/>
      <c r="E64" s="316"/>
      <c r="F64" s="340"/>
      <c r="G64" s="316"/>
      <c r="H64" s="316"/>
      <c r="I64" s="316"/>
      <c r="J64" s="316"/>
      <c r="K64" s="404"/>
      <c r="L64" s="316"/>
      <c r="M64" s="386"/>
      <c r="N64" s="311"/>
      <c r="O64" s="402" t="s">
        <v>9301</v>
      </c>
      <c r="P64" s="403" t="s">
        <v>9301</v>
      </c>
      <c r="Q64" s="380" t="s">
        <v>8971</v>
      </c>
      <c r="R64" s="403" t="s">
        <v>8971</v>
      </c>
      <c r="S64" s="311" t="s">
        <v>9349</v>
      </c>
      <c r="T64" s="311" t="s">
        <v>9349</v>
      </c>
      <c r="U64" s="311"/>
      <c r="V64" s="362"/>
      <c r="W64" s="311"/>
      <c r="X64" s="311"/>
      <c r="Y64" s="316"/>
      <c r="Z64" s="316"/>
      <c r="AA64" s="316"/>
      <c r="AB64" s="316"/>
      <c r="AC64" s="316"/>
      <c r="AD64" s="316"/>
      <c r="AE64"/>
      <c r="AF64" s="316"/>
      <c r="AG64" s="316"/>
      <c r="AH64" s="316"/>
      <c r="AI64" s="316"/>
      <c r="AJ64" s="316"/>
      <c r="AK64" s="316"/>
      <c r="AL64" s="316"/>
      <c r="AM64" s="316"/>
      <c r="AN64" s="316"/>
      <c r="AO64" s="316"/>
      <c r="AP64" s="316"/>
      <c r="AQ64" s="316"/>
      <c r="AR64" s="316"/>
      <c r="AS64" s="316"/>
      <c r="AT64" s="316"/>
    </row>
    <row r="65" spans="1:46" ht="14.45">
      <c r="A65" s="340"/>
      <c r="B65" s="316"/>
      <c r="C65" s="340"/>
      <c r="D65" s="316"/>
      <c r="E65" s="316"/>
      <c r="F65" s="340"/>
      <c r="G65" s="316"/>
      <c r="H65" s="316"/>
      <c r="I65" s="316"/>
      <c r="J65" s="316"/>
      <c r="K65" s="404"/>
      <c r="L65" s="316"/>
      <c r="M65" s="386"/>
      <c r="N65" s="311"/>
      <c r="O65" s="402" t="s">
        <v>9302</v>
      </c>
      <c r="P65" s="403" t="s">
        <v>9302</v>
      </c>
      <c r="Q65" s="380" t="s">
        <v>8971</v>
      </c>
      <c r="R65" s="403" t="s">
        <v>9303</v>
      </c>
      <c r="S65" s="311" t="s">
        <v>9350</v>
      </c>
      <c r="T65" s="311" t="s">
        <v>9350</v>
      </c>
      <c r="U65" s="311"/>
      <c r="V65" s="362"/>
      <c r="W65" s="311"/>
      <c r="X65" s="311"/>
      <c r="Y65" s="316"/>
      <c r="Z65" s="316"/>
      <c r="AA65" s="316"/>
      <c r="AB65" s="316"/>
      <c r="AC65" s="316"/>
      <c r="AD65" s="316"/>
      <c r="AE65"/>
      <c r="AF65" s="316"/>
      <c r="AG65" s="316"/>
      <c r="AH65" s="316"/>
      <c r="AI65" s="316"/>
      <c r="AJ65" s="316"/>
      <c r="AK65" s="316"/>
      <c r="AL65" s="316"/>
      <c r="AM65" s="316"/>
      <c r="AN65" s="316"/>
      <c r="AO65" s="316"/>
      <c r="AP65" s="316"/>
      <c r="AQ65" s="316"/>
      <c r="AR65" s="316"/>
      <c r="AS65" s="316"/>
      <c r="AT65" s="316"/>
    </row>
    <row r="66" spans="1:46" ht="14.45">
      <c r="A66" s="340"/>
      <c r="B66" s="336"/>
      <c r="C66" s="340"/>
      <c r="D66" s="316"/>
      <c r="E66" s="316"/>
      <c r="F66" s="340"/>
      <c r="G66" s="316"/>
      <c r="H66" s="316"/>
      <c r="I66" s="316"/>
      <c r="J66" s="316"/>
      <c r="K66" s="404"/>
      <c r="L66" s="316"/>
      <c r="M66" s="386"/>
      <c r="N66" s="311"/>
      <c r="O66" s="402" t="s">
        <v>9304</v>
      </c>
      <c r="P66" s="403" t="s">
        <v>9304</v>
      </c>
      <c r="Q66" s="380" t="s">
        <v>8971</v>
      </c>
      <c r="R66" s="403" t="s">
        <v>9305</v>
      </c>
      <c r="S66" s="311" t="s">
        <v>9350</v>
      </c>
      <c r="T66" s="311" t="s">
        <v>9350</v>
      </c>
      <c r="U66" s="311"/>
      <c r="V66" s="362"/>
      <c r="W66" s="311"/>
      <c r="X66" s="311"/>
      <c r="Y66" s="316"/>
      <c r="Z66" s="316"/>
      <c r="AA66" s="316"/>
      <c r="AB66" s="316"/>
      <c r="AC66" s="316"/>
      <c r="AD66" s="316"/>
      <c r="AE66"/>
      <c r="AF66" s="316"/>
      <c r="AG66" s="316"/>
      <c r="AH66" s="316"/>
      <c r="AI66" s="316"/>
      <c r="AJ66" s="316"/>
      <c r="AK66" s="316"/>
      <c r="AL66" s="316"/>
      <c r="AM66" s="316"/>
      <c r="AN66" s="316"/>
      <c r="AO66" s="316"/>
      <c r="AP66" s="316"/>
      <c r="AQ66" s="316"/>
      <c r="AR66" s="316"/>
      <c r="AS66" s="316"/>
      <c r="AT66" s="316"/>
    </row>
    <row r="67" spans="1:46" ht="14.45">
      <c r="A67" s="340"/>
      <c r="B67" s="336"/>
      <c r="C67" s="340"/>
      <c r="D67" s="316"/>
      <c r="E67" s="316"/>
      <c r="F67" s="340"/>
      <c r="G67" s="316"/>
      <c r="H67" s="316"/>
      <c r="I67" s="316"/>
      <c r="J67" s="316"/>
      <c r="K67" s="404"/>
      <c r="L67" s="316"/>
      <c r="M67" s="386"/>
      <c r="N67" s="311"/>
      <c r="O67" s="402" t="s">
        <v>9050</v>
      </c>
      <c r="P67" s="403" t="s">
        <v>9050</v>
      </c>
      <c r="Q67" s="380" t="s">
        <v>8971</v>
      </c>
      <c r="R67" s="403" t="s">
        <v>9178</v>
      </c>
      <c r="S67" s="311"/>
      <c r="T67" s="311"/>
      <c r="U67" s="311"/>
      <c r="V67" s="362"/>
      <c r="W67" s="311"/>
      <c r="X67" s="311"/>
      <c r="Y67" s="316"/>
      <c r="Z67" s="316"/>
      <c r="AA67" s="316"/>
      <c r="AB67" s="316"/>
      <c r="AC67" s="316"/>
      <c r="AD67" s="316"/>
      <c r="AE67"/>
      <c r="AF67" s="316"/>
      <c r="AG67" s="316"/>
      <c r="AH67" s="316"/>
      <c r="AI67" s="316"/>
      <c r="AJ67" s="316"/>
      <c r="AK67" s="316"/>
      <c r="AL67" s="316"/>
      <c r="AM67" s="316"/>
      <c r="AN67" s="316"/>
      <c r="AO67" s="316"/>
      <c r="AP67" s="316"/>
      <c r="AQ67" s="316"/>
      <c r="AR67" s="316"/>
      <c r="AS67" s="316"/>
      <c r="AT67" s="316"/>
    </row>
    <row r="68" spans="1:46" ht="14.45">
      <c r="A68" s="340"/>
      <c r="B68" s="336"/>
      <c r="C68" s="340"/>
      <c r="D68" s="316"/>
      <c r="E68" s="316"/>
      <c r="F68" s="340"/>
      <c r="G68" s="316"/>
      <c r="H68" s="316"/>
      <c r="I68" s="316"/>
      <c r="J68" s="316"/>
      <c r="K68" s="404"/>
      <c r="L68" s="316"/>
      <c r="M68" s="386"/>
      <c r="N68" s="311"/>
      <c r="O68" s="406" t="s">
        <v>9306</v>
      </c>
      <c r="P68" s="406" t="s">
        <v>9306</v>
      </c>
      <c r="Q68" s="380" t="s">
        <v>8971</v>
      </c>
      <c r="R68" s="311"/>
      <c r="S68" s="311"/>
      <c r="T68" s="311"/>
      <c r="U68" s="311"/>
      <c r="V68" s="362"/>
      <c r="W68" s="311"/>
      <c r="X68" s="311"/>
      <c r="Y68" s="316"/>
      <c r="Z68" s="316"/>
      <c r="AA68" s="316"/>
      <c r="AB68" s="316"/>
      <c r="AC68" s="316"/>
      <c r="AD68" s="316"/>
      <c r="AE68"/>
      <c r="AF68" s="316"/>
      <c r="AG68" s="316"/>
      <c r="AH68" s="316"/>
      <c r="AI68" s="316"/>
      <c r="AJ68" s="316"/>
      <c r="AK68" s="316"/>
      <c r="AL68" s="316"/>
      <c r="AM68" s="316"/>
      <c r="AN68" s="316"/>
      <c r="AO68" s="316"/>
      <c r="AP68" s="316"/>
      <c r="AQ68" s="316"/>
      <c r="AR68" s="316"/>
      <c r="AS68" s="316"/>
      <c r="AT68" s="316"/>
    </row>
    <row r="69" spans="1:46" ht="14.45">
      <c r="A69" s="340"/>
      <c r="B69" s="336"/>
      <c r="C69" s="340"/>
      <c r="D69" s="316"/>
      <c r="E69" s="316"/>
      <c r="F69" s="340"/>
      <c r="G69" s="316"/>
      <c r="H69" s="316"/>
      <c r="I69" s="316"/>
      <c r="J69" s="316"/>
      <c r="K69" s="404"/>
      <c r="L69" s="316"/>
      <c r="M69" s="407"/>
      <c r="N69" s="311"/>
      <c r="O69" s="408" t="s">
        <v>9307</v>
      </c>
      <c r="P69" s="362" t="s">
        <v>9308</v>
      </c>
      <c r="Q69" s="380" t="s">
        <v>8971</v>
      </c>
      <c r="R69" s="311"/>
      <c r="S69" s="311"/>
      <c r="T69" s="311"/>
      <c r="U69" s="311"/>
      <c r="V69" s="362"/>
      <c r="W69" s="311"/>
      <c r="X69" s="311"/>
      <c r="Y69" s="316"/>
      <c r="Z69" s="316"/>
      <c r="AA69" s="316"/>
      <c r="AB69" s="316"/>
      <c r="AC69" s="316"/>
      <c r="AD69" s="316"/>
      <c r="AE69"/>
      <c r="AF69" s="316"/>
      <c r="AG69" s="316"/>
      <c r="AH69" s="316"/>
      <c r="AI69" s="316"/>
      <c r="AJ69" s="316"/>
      <c r="AK69" s="316"/>
      <c r="AL69" s="316"/>
      <c r="AM69" s="316"/>
      <c r="AN69" s="316"/>
      <c r="AO69" s="316"/>
      <c r="AP69" s="316"/>
      <c r="AQ69" s="316"/>
      <c r="AR69" s="316"/>
      <c r="AS69" s="316"/>
      <c r="AT69" s="316"/>
    </row>
    <row r="70" spans="1:46" ht="14.45">
      <c r="A70" s="340"/>
      <c r="B70" s="336"/>
      <c r="C70" s="340"/>
      <c r="D70" s="316"/>
      <c r="E70" s="316"/>
      <c r="F70" s="340"/>
      <c r="G70" s="316"/>
      <c r="H70" s="316"/>
      <c r="I70" s="316"/>
      <c r="J70" s="316"/>
      <c r="K70" s="404"/>
      <c r="L70" s="316"/>
      <c r="M70" s="407"/>
      <c r="N70" s="311"/>
      <c r="O70" s="330" t="s">
        <v>9309</v>
      </c>
      <c r="P70" s="311" t="s">
        <v>9310</v>
      </c>
      <c r="Q70" s="380" t="s">
        <v>8971</v>
      </c>
      <c r="R70" s="311"/>
      <c r="S70" s="311"/>
      <c r="T70" s="311"/>
      <c r="U70" s="311"/>
      <c r="V70" s="362"/>
      <c r="W70" s="311"/>
      <c r="X70" s="311"/>
      <c r="Y70" s="316"/>
      <c r="Z70" s="316"/>
      <c r="AA70" s="316"/>
      <c r="AB70" s="316"/>
      <c r="AC70" s="316"/>
      <c r="AD70" s="316"/>
      <c r="AE70"/>
      <c r="AF70" s="316"/>
      <c r="AG70" s="316"/>
      <c r="AH70" s="316"/>
      <c r="AI70" s="316"/>
      <c r="AJ70" s="316"/>
      <c r="AK70" s="316"/>
      <c r="AL70" s="316"/>
      <c r="AM70" s="316"/>
      <c r="AN70" s="316"/>
      <c r="AO70" s="316"/>
      <c r="AP70" s="316"/>
      <c r="AQ70" s="316"/>
      <c r="AR70" s="316"/>
      <c r="AS70" s="316"/>
      <c r="AT70" s="316"/>
    </row>
    <row r="71" spans="1:46" ht="14.45">
      <c r="A71" s="340"/>
      <c r="B71" s="336"/>
      <c r="C71" s="340"/>
      <c r="D71" s="316"/>
      <c r="E71" s="316"/>
      <c r="F71" s="340"/>
      <c r="G71" s="316"/>
      <c r="H71" s="316"/>
      <c r="I71" s="316"/>
      <c r="J71" s="316"/>
      <c r="K71" s="404"/>
      <c r="L71" s="316"/>
      <c r="M71" s="407"/>
      <c r="N71" s="311"/>
      <c r="O71" s="330" t="s">
        <v>9311</v>
      </c>
      <c r="P71" s="311" t="s">
        <v>9310</v>
      </c>
      <c r="Q71" s="380" t="s">
        <v>8971</v>
      </c>
      <c r="R71" s="311"/>
      <c r="S71" s="311"/>
      <c r="T71" s="311"/>
      <c r="U71" s="311"/>
      <c r="V71" s="362"/>
      <c r="W71" s="311"/>
      <c r="X71" s="311"/>
      <c r="Y71" s="316"/>
      <c r="Z71" s="316"/>
      <c r="AA71" s="316"/>
      <c r="AB71" s="316"/>
      <c r="AC71" s="316"/>
      <c r="AD71" s="316"/>
      <c r="AE71"/>
      <c r="AF71" s="316"/>
      <c r="AG71" s="316"/>
      <c r="AH71" s="316"/>
      <c r="AI71" s="316"/>
      <c r="AJ71" s="316"/>
      <c r="AK71" s="316"/>
      <c r="AL71" s="316"/>
      <c r="AM71" s="316"/>
      <c r="AN71" s="316"/>
      <c r="AO71" s="316"/>
      <c r="AP71" s="316"/>
      <c r="AQ71" s="316"/>
      <c r="AR71" s="316"/>
      <c r="AS71" s="316"/>
      <c r="AT71" s="316"/>
    </row>
    <row r="72" spans="1:46" ht="14.45">
      <c r="A72" s="340"/>
      <c r="B72" s="336"/>
      <c r="C72" s="340"/>
      <c r="D72" s="316"/>
      <c r="E72" s="316"/>
      <c r="F72" s="340"/>
      <c r="G72" s="316"/>
      <c r="H72" s="316"/>
      <c r="I72" s="316"/>
      <c r="J72" s="316"/>
      <c r="K72" s="404"/>
      <c r="L72" s="316"/>
      <c r="M72" s="407"/>
      <c r="N72" s="311"/>
      <c r="O72" s="409" t="s">
        <v>9312</v>
      </c>
      <c r="P72" s="409" t="s">
        <v>9312</v>
      </c>
      <c r="Q72" s="380" t="s">
        <v>8971</v>
      </c>
      <c r="R72" s="311"/>
      <c r="S72" s="311"/>
      <c r="T72" s="311"/>
      <c r="U72" s="311"/>
      <c r="V72" s="362"/>
      <c r="W72" s="311"/>
      <c r="X72" s="311"/>
      <c r="Y72" s="316"/>
      <c r="Z72" s="316"/>
      <c r="AA72" s="316"/>
      <c r="AB72" s="316"/>
      <c r="AC72" s="316"/>
      <c r="AD72" s="316"/>
      <c r="AE72"/>
      <c r="AF72" s="316"/>
      <c r="AG72" s="316"/>
      <c r="AH72" s="316"/>
      <c r="AI72" s="316"/>
      <c r="AJ72" s="316"/>
      <c r="AK72" s="316"/>
      <c r="AL72" s="316"/>
      <c r="AM72" s="316"/>
      <c r="AN72" s="316"/>
      <c r="AO72" s="316"/>
      <c r="AP72" s="316"/>
      <c r="AQ72" s="316"/>
      <c r="AR72" s="316"/>
      <c r="AS72" s="316"/>
      <c r="AT72" s="316"/>
    </row>
    <row r="73" spans="1:46" ht="14.45">
      <c r="A73" s="340"/>
      <c r="B73" s="336"/>
      <c r="C73" s="340"/>
      <c r="D73" s="316"/>
      <c r="E73" s="316"/>
      <c r="F73" s="340"/>
      <c r="G73" s="336"/>
      <c r="H73" s="336"/>
      <c r="I73" s="311"/>
      <c r="J73" s="311"/>
      <c r="K73" s="404"/>
      <c r="L73" s="316"/>
      <c r="M73" s="407"/>
      <c r="N73" s="311"/>
      <c r="O73" s="311" t="s">
        <v>9107</v>
      </c>
      <c r="P73" s="311" t="s">
        <v>9107</v>
      </c>
      <c r="Q73" s="380" t="s">
        <v>8971</v>
      </c>
      <c r="R73" s="311"/>
      <c r="S73" s="311"/>
      <c r="T73" s="311"/>
      <c r="U73" s="311"/>
      <c r="V73" s="362"/>
      <c r="W73" s="311"/>
      <c r="X73" s="311"/>
      <c r="Y73" s="316"/>
      <c r="Z73" s="316"/>
      <c r="AA73" s="316"/>
      <c r="AB73" s="316"/>
      <c r="AC73" s="316"/>
      <c r="AD73" s="316"/>
      <c r="AE73"/>
      <c r="AF73" s="316"/>
      <c r="AG73" s="316"/>
      <c r="AH73" s="316"/>
      <c r="AI73" s="316"/>
      <c r="AJ73" s="316"/>
      <c r="AK73" s="316"/>
      <c r="AL73" s="316"/>
      <c r="AM73" s="316"/>
      <c r="AN73" s="316"/>
      <c r="AO73" s="316"/>
      <c r="AP73" s="316"/>
      <c r="AQ73" s="316"/>
      <c r="AR73" s="316"/>
      <c r="AS73" s="316"/>
      <c r="AT73" s="316"/>
    </row>
    <row r="74" spans="1:46" ht="14.45">
      <c r="A74" s="340"/>
      <c r="B74" s="336"/>
      <c r="C74" s="340"/>
      <c r="D74" s="316"/>
      <c r="E74" s="336"/>
      <c r="F74" s="358"/>
      <c r="G74" s="336"/>
      <c r="H74" s="336"/>
      <c r="I74" s="311"/>
      <c r="J74" s="311"/>
      <c r="K74" s="404"/>
      <c r="L74" s="316"/>
      <c r="M74" s="407"/>
      <c r="N74" s="311"/>
      <c r="O74" s="410" t="s">
        <v>9313</v>
      </c>
      <c r="P74" s="311"/>
      <c r="Q74" s="380" t="s">
        <v>8971</v>
      </c>
      <c r="R74" s="311"/>
      <c r="S74" s="311"/>
      <c r="T74" s="311"/>
      <c r="U74" s="311"/>
      <c r="V74" s="362"/>
      <c r="W74" s="311"/>
      <c r="X74" s="311"/>
      <c r="Y74" s="316"/>
      <c r="Z74" s="316"/>
      <c r="AA74" s="316"/>
      <c r="AB74" s="316"/>
      <c r="AC74" s="316"/>
      <c r="AD74" s="316"/>
      <c r="AE74"/>
      <c r="AF74" s="316"/>
      <c r="AG74" s="316"/>
      <c r="AH74" s="316"/>
      <c r="AI74" s="316"/>
      <c r="AJ74" s="316"/>
      <c r="AK74" s="316"/>
      <c r="AL74" s="316"/>
      <c r="AM74" s="316"/>
      <c r="AN74" s="316"/>
      <c r="AO74" s="316"/>
      <c r="AP74" s="316"/>
      <c r="AQ74" s="316"/>
      <c r="AR74" s="316"/>
      <c r="AS74" s="316"/>
      <c r="AT74" s="316"/>
    </row>
    <row r="75" spans="1:46" ht="14.45">
      <c r="A75" s="411"/>
      <c r="B75" s="336"/>
      <c r="C75" s="336"/>
      <c r="D75" s="316"/>
      <c r="E75" s="336"/>
      <c r="F75" s="358"/>
      <c r="G75" s="336"/>
      <c r="H75" s="336"/>
      <c r="I75" s="311"/>
      <c r="J75" s="311"/>
      <c r="K75" s="404"/>
      <c r="L75" s="316"/>
      <c r="M75" s="407"/>
      <c r="N75" s="311"/>
      <c r="O75" s="410" t="s">
        <v>9314</v>
      </c>
      <c r="P75" s="311"/>
      <c r="Q75" s="380" t="s">
        <v>8971</v>
      </c>
      <c r="R75" s="311"/>
      <c r="S75" s="311"/>
      <c r="T75" s="311"/>
      <c r="U75" s="311"/>
      <c r="V75" s="362"/>
      <c r="W75" s="311"/>
      <c r="X75" s="311"/>
      <c r="Y75" s="316"/>
      <c r="Z75" s="316"/>
      <c r="AA75" s="316"/>
      <c r="AB75" s="316"/>
      <c r="AC75" s="316"/>
      <c r="AD75" s="316"/>
      <c r="AE75"/>
      <c r="AF75" s="316"/>
      <c r="AG75" s="316"/>
      <c r="AH75" s="316"/>
      <c r="AI75" s="316"/>
      <c r="AJ75" s="316"/>
      <c r="AK75" s="316"/>
      <c r="AL75" s="316"/>
      <c r="AM75" s="316"/>
      <c r="AN75" s="316"/>
      <c r="AO75" s="316"/>
      <c r="AP75" s="316"/>
      <c r="AQ75" s="316"/>
      <c r="AR75" s="316"/>
      <c r="AS75" s="316"/>
      <c r="AT75" s="316"/>
    </row>
    <row r="76" spans="1:46" ht="14.45">
      <c r="A76" s="358"/>
      <c r="B76" s="316" t="s">
        <v>9351</v>
      </c>
      <c r="C76" s="336"/>
      <c r="D76" s="316"/>
      <c r="E76" s="336"/>
      <c r="F76" s="358"/>
      <c r="G76" s="336"/>
      <c r="H76" s="336"/>
      <c r="I76" s="311"/>
      <c r="J76" s="311"/>
      <c r="K76" s="404"/>
      <c r="L76" s="316"/>
      <c r="M76" s="407"/>
      <c r="N76" s="311"/>
      <c r="O76" s="410" t="s">
        <v>9315</v>
      </c>
      <c r="P76" s="311"/>
      <c r="Q76" s="380" t="s">
        <v>8971</v>
      </c>
      <c r="R76" s="311"/>
      <c r="S76" s="311"/>
      <c r="T76" s="311"/>
      <c r="U76" s="311"/>
      <c r="V76" s="362"/>
      <c r="W76" s="311"/>
      <c r="X76" s="311"/>
      <c r="Y76" s="316"/>
      <c r="Z76" s="316"/>
      <c r="AA76" s="316"/>
      <c r="AB76" s="316"/>
      <c r="AC76" s="316"/>
      <c r="AD76" s="316"/>
      <c r="AE76"/>
      <c r="AF76" s="316"/>
      <c r="AG76" s="316"/>
      <c r="AH76" s="316"/>
      <c r="AI76" s="316"/>
      <c r="AJ76" s="316"/>
      <c r="AK76" s="316"/>
      <c r="AL76" s="316"/>
      <c r="AM76" s="316"/>
      <c r="AN76" s="316"/>
      <c r="AO76" s="316"/>
      <c r="AP76" s="316"/>
      <c r="AQ76" s="316"/>
      <c r="AR76" s="316"/>
      <c r="AS76" s="316"/>
      <c r="AT76" s="316"/>
    </row>
    <row r="77" spans="1:46" ht="14.45">
      <c r="A77" s="358"/>
      <c r="B77" s="316" t="s">
        <v>9352</v>
      </c>
      <c r="C77" s="336"/>
      <c r="D77" s="316"/>
      <c r="E77" s="336"/>
      <c r="F77" s="358"/>
      <c r="G77" s="336"/>
      <c r="H77" s="336"/>
      <c r="I77" s="311"/>
      <c r="J77" s="311"/>
      <c r="K77" s="404"/>
      <c r="L77" s="316"/>
      <c r="M77" s="407"/>
      <c r="N77" s="311"/>
      <c r="O77" s="410" t="s">
        <v>9316</v>
      </c>
      <c r="P77" s="311"/>
      <c r="Q77" s="380" t="s">
        <v>8971</v>
      </c>
      <c r="R77" s="311"/>
      <c r="S77" s="311"/>
      <c r="T77" s="311"/>
      <c r="U77" s="311"/>
      <c r="V77" s="362"/>
      <c r="W77" s="311"/>
      <c r="X77" s="311"/>
      <c r="Y77" s="316"/>
      <c r="Z77" s="316"/>
      <c r="AA77" s="316"/>
      <c r="AB77" s="316"/>
      <c r="AC77" s="316"/>
      <c r="AD77" s="316"/>
      <c r="AE77"/>
      <c r="AF77" s="316"/>
      <c r="AG77" s="316"/>
      <c r="AH77" s="316"/>
      <c r="AI77" s="316"/>
      <c r="AJ77" s="316"/>
      <c r="AK77" s="316"/>
      <c r="AL77" s="316"/>
      <c r="AM77" s="316"/>
      <c r="AN77" s="316"/>
      <c r="AO77" s="316"/>
      <c r="AP77" s="316"/>
      <c r="AQ77" s="316"/>
      <c r="AR77" s="316"/>
      <c r="AS77" s="316"/>
      <c r="AT77" s="316"/>
    </row>
    <row r="78" spans="1:46" ht="14.45">
      <c r="A78" s="358"/>
      <c r="B78" s="316" t="s">
        <v>9353</v>
      </c>
      <c r="C78" s="336"/>
      <c r="D78" s="316"/>
      <c r="E78" s="336"/>
      <c r="F78" s="358"/>
      <c r="G78" s="316"/>
      <c r="H78" s="316"/>
      <c r="I78" s="316"/>
      <c r="J78" s="316"/>
      <c r="K78" s="404"/>
      <c r="L78" s="316"/>
      <c r="M78" s="407"/>
      <c r="N78" s="311"/>
      <c r="O78" s="410" t="s">
        <v>3884</v>
      </c>
      <c r="P78" s="311"/>
      <c r="Q78" s="412" t="s">
        <v>9317</v>
      </c>
      <c r="R78" s="311"/>
      <c r="S78" s="311"/>
      <c r="T78" s="311"/>
      <c r="U78" s="311"/>
      <c r="V78" s="362"/>
      <c r="W78" s="311"/>
      <c r="X78" s="311"/>
      <c r="Y78" s="316"/>
      <c r="Z78" s="316"/>
      <c r="AA78" s="316"/>
      <c r="AB78" s="316"/>
      <c r="AC78" s="316"/>
      <c r="AD78" s="316"/>
      <c r="AE78"/>
      <c r="AF78" s="316"/>
      <c r="AG78" s="316"/>
      <c r="AH78" s="316"/>
      <c r="AI78" s="316"/>
      <c r="AJ78" s="316"/>
      <c r="AK78" s="316"/>
      <c r="AL78" s="316"/>
      <c r="AM78" s="316"/>
      <c r="AN78" s="316"/>
      <c r="AO78" s="316"/>
      <c r="AP78" s="316"/>
      <c r="AQ78" s="316"/>
      <c r="AR78" s="316"/>
      <c r="AS78" s="316"/>
      <c r="AT78" s="316"/>
    </row>
    <row r="79" spans="1:46" ht="14.45">
      <c r="A79" s="358"/>
      <c r="B79" s="316" t="s">
        <v>9354</v>
      </c>
      <c r="C79" s="336"/>
      <c r="D79" s="316"/>
      <c r="E79" s="316"/>
      <c r="F79" s="340"/>
      <c r="G79" s="316"/>
      <c r="H79" s="316"/>
      <c r="I79" s="316"/>
      <c r="J79" s="316"/>
      <c r="K79" s="404"/>
      <c r="L79" s="316"/>
      <c r="M79" s="407"/>
      <c r="N79" s="311"/>
      <c r="O79" s="413" t="s">
        <v>9318</v>
      </c>
      <c r="P79" s="311"/>
      <c r="Q79" s="380" t="s">
        <v>8971</v>
      </c>
      <c r="R79" s="311"/>
      <c r="S79" s="311"/>
      <c r="T79" s="311"/>
      <c r="U79" s="311"/>
      <c r="V79" s="362"/>
      <c r="W79" s="311"/>
      <c r="X79" s="311"/>
      <c r="Y79" s="316"/>
      <c r="Z79" s="316"/>
      <c r="AA79" s="316"/>
      <c r="AB79" s="316"/>
      <c r="AC79" s="316"/>
      <c r="AD79" s="316"/>
      <c r="AE79"/>
      <c r="AF79" s="316"/>
      <c r="AG79" s="316"/>
      <c r="AH79" s="316"/>
      <c r="AI79" s="316"/>
      <c r="AJ79" s="316"/>
      <c r="AK79" s="316"/>
      <c r="AL79" s="316"/>
      <c r="AM79" s="316"/>
      <c r="AN79" s="316"/>
      <c r="AO79" s="316"/>
      <c r="AP79" s="316"/>
      <c r="AQ79" s="316"/>
      <c r="AR79" s="316"/>
      <c r="AS79" s="316"/>
      <c r="AT79" s="316"/>
    </row>
    <row r="80" spans="1:46" ht="14.45">
      <c r="A80" s="340"/>
      <c r="B80" s="316" t="s">
        <v>9355</v>
      </c>
      <c r="C80" s="340"/>
      <c r="D80" s="316"/>
      <c r="E80" s="316"/>
      <c r="F80" s="340"/>
      <c r="G80" s="316"/>
      <c r="H80" s="316"/>
      <c r="I80" s="316"/>
      <c r="J80" s="316"/>
      <c r="K80" s="404"/>
      <c r="L80" s="316"/>
      <c r="M80" s="407"/>
      <c r="N80" s="311"/>
      <c r="O80" s="413" t="s">
        <v>9319</v>
      </c>
      <c r="P80" s="311"/>
      <c r="Q80" s="412" t="s">
        <v>8971</v>
      </c>
      <c r="R80" s="311"/>
      <c r="S80" s="311"/>
      <c r="T80" s="311"/>
      <c r="U80" s="311"/>
      <c r="V80" s="362"/>
      <c r="W80" s="311"/>
      <c r="X80" s="311"/>
      <c r="Y80" s="316"/>
      <c r="Z80" s="316"/>
      <c r="AA80" s="316"/>
      <c r="AB80" s="316"/>
      <c r="AC80" s="316"/>
      <c r="AD80" s="316"/>
      <c r="AE80"/>
      <c r="AF80" s="316"/>
      <c r="AG80" s="316"/>
      <c r="AH80" s="316"/>
      <c r="AI80" s="316"/>
      <c r="AJ80" s="316"/>
      <c r="AK80" s="316"/>
      <c r="AL80" s="316"/>
      <c r="AM80" s="316"/>
      <c r="AN80" s="316"/>
      <c r="AO80" s="316"/>
      <c r="AP80" s="316"/>
      <c r="AQ80" s="316"/>
      <c r="AR80" s="316"/>
      <c r="AS80" s="316"/>
      <c r="AT80" s="316"/>
    </row>
    <row r="81" spans="1:46" ht="14.45">
      <c r="A81" s="340"/>
      <c r="B81" s="316" t="s">
        <v>9356</v>
      </c>
      <c r="C81" s="340"/>
      <c r="D81" s="316"/>
      <c r="E81" s="316"/>
      <c r="F81" s="340"/>
      <c r="G81" s="316"/>
      <c r="H81" s="316"/>
      <c r="I81" s="316"/>
      <c r="J81" s="316"/>
      <c r="K81" s="404"/>
      <c r="L81" s="316"/>
      <c r="M81" s="407"/>
      <c r="N81" s="311"/>
      <c r="O81" s="413" t="s">
        <v>9320</v>
      </c>
      <c r="P81" s="311"/>
      <c r="Q81" s="412" t="s">
        <v>8971</v>
      </c>
      <c r="R81" s="311"/>
      <c r="S81" s="311"/>
      <c r="T81" s="311"/>
      <c r="U81" s="311"/>
      <c r="V81" s="362"/>
      <c r="W81" s="311"/>
      <c r="X81" s="311"/>
      <c r="Y81" s="316"/>
      <c r="Z81" s="316"/>
      <c r="AA81" s="316"/>
      <c r="AB81" s="316"/>
      <c r="AC81" s="316"/>
      <c r="AD81" s="316"/>
      <c r="AE81"/>
      <c r="AF81" s="316"/>
      <c r="AG81" s="316"/>
      <c r="AH81" s="316"/>
      <c r="AI81" s="316"/>
      <c r="AJ81" s="316"/>
      <c r="AK81" s="316"/>
      <c r="AL81" s="316"/>
      <c r="AM81" s="316"/>
      <c r="AN81" s="316"/>
      <c r="AO81" s="316"/>
      <c r="AP81" s="316"/>
      <c r="AQ81" s="316"/>
      <c r="AR81" s="316"/>
      <c r="AS81" s="316"/>
      <c r="AT81" s="316"/>
    </row>
    <row r="82" spans="1:46" ht="14.45">
      <c r="A82" s="340"/>
      <c r="B82" s="316" t="s">
        <v>9357</v>
      </c>
      <c r="C82" s="340"/>
      <c r="D82" s="316"/>
      <c r="E82" s="316"/>
      <c r="F82" s="340"/>
      <c r="G82" s="316"/>
      <c r="H82" s="316"/>
      <c r="I82" s="316"/>
      <c r="J82" s="316"/>
      <c r="K82" s="404"/>
      <c r="L82" s="316"/>
      <c r="M82" s="407"/>
      <c r="N82" s="311"/>
      <c r="O82" s="413" t="s">
        <v>9321</v>
      </c>
      <c r="P82" s="311"/>
      <c r="Q82" s="412" t="s">
        <v>8971</v>
      </c>
      <c r="R82" s="311"/>
      <c r="S82" s="311"/>
      <c r="T82" s="311"/>
      <c r="U82" s="311"/>
      <c r="V82" s="362"/>
      <c r="W82" s="311"/>
      <c r="X82" s="311"/>
      <c r="Y82" s="316"/>
      <c r="Z82" s="316"/>
      <c r="AA82" s="316"/>
      <c r="AB82" s="316"/>
      <c r="AC82" s="316"/>
      <c r="AD82" s="316"/>
      <c r="AE82"/>
      <c r="AF82" s="316"/>
      <c r="AG82" s="316"/>
      <c r="AH82" s="316"/>
      <c r="AI82" s="316"/>
      <c r="AJ82" s="316"/>
      <c r="AK82" s="316"/>
      <c r="AL82" s="316"/>
      <c r="AM82" s="316"/>
      <c r="AN82" s="316"/>
      <c r="AO82" s="316"/>
      <c r="AP82" s="316"/>
      <c r="AQ82" s="316"/>
      <c r="AR82" s="316"/>
      <c r="AS82" s="316"/>
      <c r="AT82" s="316"/>
    </row>
    <row r="83" spans="1:46" ht="14.45">
      <c r="A83" s="340"/>
      <c r="B83" s="316" t="s">
        <v>9358</v>
      </c>
      <c r="C83" s="340"/>
      <c r="D83" s="316"/>
      <c r="E83" s="316"/>
      <c r="F83" s="340"/>
      <c r="G83" s="316"/>
      <c r="H83" s="316"/>
      <c r="I83" s="316"/>
      <c r="J83" s="316"/>
      <c r="K83" s="404"/>
      <c r="L83" s="316"/>
      <c r="M83" s="407"/>
      <c r="N83" s="311"/>
      <c r="O83" s="413" t="s">
        <v>9322</v>
      </c>
      <c r="P83" s="311"/>
      <c r="Q83" s="412" t="s">
        <v>8971</v>
      </c>
      <c r="R83" s="311"/>
      <c r="S83" s="311"/>
      <c r="T83" s="311"/>
      <c r="U83" s="311"/>
      <c r="V83" s="362"/>
      <c r="W83" s="311"/>
      <c r="X83" s="311"/>
      <c r="Y83" s="316"/>
      <c r="Z83" s="316"/>
      <c r="AA83" s="316"/>
      <c r="AB83" s="316"/>
      <c r="AC83" s="316"/>
      <c r="AD83" s="316"/>
      <c r="AE83"/>
      <c r="AF83" s="316"/>
      <c r="AG83" s="316"/>
      <c r="AH83" s="316"/>
      <c r="AI83" s="316"/>
      <c r="AJ83" s="316"/>
      <c r="AK83" s="316"/>
      <c r="AL83" s="316"/>
      <c r="AM83" s="316"/>
      <c r="AN83" s="316"/>
      <c r="AO83" s="316"/>
      <c r="AP83" s="316"/>
      <c r="AQ83" s="316"/>
      <c r="AR83" s="316"/>
      <c r="AS83" s="316"/>
      <c r="AT83" s="316"/>
    </row>
    <row r="84" spans="1:46" ht="14.45">
      <c r="A84" s="340"/>
      <c r="B84" s="316" t="s">
        <v>9359</v>
      </c>
      <c r="C84" s="340"/>
      <c r="D84" s="316"/>
      <c r="E84" s="316"/>
      <c r="F84" s="340"/>
      <c r="G84" s="316"/>
      <c r="H84" s="316"/>
      <c r="I84" s="316"/>
      <c r="J84" s="316"/>
      <c r="K84" s="404"/>
      <c r="L84" s="316"/>
      <c r="M84" s="407"/>
      <c r="N84" s="311"/>
      <c r="O84" s="413" t="s">
        <v>9323</v>
      </c>
      <c r="P84" s="311"/>
      <c r="Q84" s="412" t="s">
        <v>8971</v>
      </c>
      <c r="R84" s="311"/>
      <c r="S84" s="311"/>
      <c r="T84" s="311"/>
      <c r="U84" s="311"/>
      <c r="V84" s="362"/>
      <c r="W84" s="311"/>
      <c r="X84" s="311"/>
      <c r="Y84" s="316"/>
      <c r="Z84" s="316"/>
      <c r="AA84" s="316"/>
      <c r="AB84" s="316"/>
      <c r="AC84" s="316"/>
      <c r="AD84" s="316"/>
      <c r="AE84"/>
      <c r="AF84" s="316"/>
      <c r="AG84" s="316"/>
      <c r="AH84" s="316"/>
      <c r="AI84" s="316"/>
      <c r="AJ84" s="316"/>
      <c r="AK84" s="316"/>
      <c r="AL84" s="316"/>
      <c r="AM84" s="316"/>
      <c r="AN84" s="316"/>
      <c r="AO84" s="316"/>
      <c r="AP84" s="316"/>
      <c r="AQ84" s="316"/>
      <c r="AR84" s="316"/>
      <c r="AS84" s="316"/>
      <c r="AT84" s="316"/>
    </row>
    <row r="85" spans="1:46" ht="14.45">
      <c r="A85" s="340"/>
      <c r="B85" s="414" t="s">
        <v>9360</v>
      </c>
      <c r="C85" s="340"/>
      <c r="D85" s="316"/>
      <c r="E85" s="316"/>
      <c r="F85" s="340"/>
      <c r="G85" s="316"/>
      <c r="H85" s="316"/>
      <c r="I85" s="316"/>
      <c r="J85" s="316"/>
      <c r="K85" s="404"/>
      <c r="L85" s="316"/>
      <c r="M85" s="407"/>
      <c r="N85" s="311"/>
      <c r="O85" s="413" t="s">
        <v>9324</v>
      </c>
      <c r="P85" s="311"/>
      <c r="Q85" s="412" t="s">
        <v>8971</v>
      </c>
      <c r="R85" s="311"/>
      <c r="S85" s="311"/>
      <c r="T85" s="311"/>
      <c r="U85" s="311"/>
      <c r="V85" s="362"/>
      <c r="W85" s="311"/>
      <c r="X85" s="311"/>
      <c r="Y85" s="316"/>
      <c r="Z85" s="316"/>
      <c r="AA85" s="316"/>
      <c r="AB85" s="316"/>
      <c r="AC85" s="316"/>
      <c r="AD85" s="316"/>
      <c r="AE85"/>
      <c r="AF85" s="316"/>
      <c r="AG85" s="316"/>
      <c r="AH85" s="316"/>
      <c r="AI85" s="316"/>
      <c r="AJ85" s="316"/>
      <c r="AK85" s="316"/>
      <c r="AL85" s="316"/>
      <c r="AM85" s="316"/>
      <c r="AN85" s="316"/>
      <c r="AO85" s="316"/>
      <c r="AP85" s="316"/>
      <c r="AQ85" s="316"/>
      <c r="AR85" s="316"/>
      <c r="AS85" s="316"/>
      <c r="AT85" s="316"/>
    </row>
    <row r="86" spans="1:46" ht="14.45">
      <c r="A86" s="340"/>
      <c r="B86" s="316"/>
      <c r="C86" s="340"/>
      <c r="D86" s="316"/>
      <c r="E86" s="316"/>
      <c r="F86" s="340"/>
      <c r="G86" s="316"/>
      <c r="H86" s="316"/>
      <c r="I86" s="316"/>
      <c r="J86" s="316"/>
      <c r="K86" s="404"/>
      <c r="L86" s="316"/>
      <c r="M86" s="407"/>
      <c r="N86" s="311"/>
      <c r="O86" s="413" t="s">
        <v>9325</v>
      </c>
      <c r="P86" s="311"/>
      <c r="Q86" s="412" t="s">
        <v>8971</v>
      </c>
      <c r="R86" s="311"/>
      <c r="S86" s="311"/>
      <c r="T86" s="311"/>
      <c r="U86" s="311"/>
      <c r="V86" s="362"/>
      <c r="W86" s="311"/>
      <c r="X86" s="311"/>
      <c r="Y86" s="316"/>
      <c r="Z86" s="316"/>
      <c r="AA86" s="316"/>
      <c r="AB86" s="316"/>
      <c r="AC86" s="316"/>
      <c r="AD86" s="316"/>
      <c r="AE86"/>
      <c r="AF86" s="316"/>
      <c r="AG86" s="316"/>
      <c r="AH86" s="316"/>
      <c r="AI86" s="316"/>
      <c r="AJ86" s="316"/>
      <c r="AK86" s="316"/>
      <c r="AL86" s="316"/>
      <c r="AM86" s="316"/>
      <c r="AN86" s="316"/>
      <c r="AO86" s="316"/>
      <c r="AP86" s="316"/>
      <c r="AQ86" s="316"/>
      <c r="AR86" s="316"/>
      <c r="AS86" s="316"/>
      <c r="AT86" s="316"/>
    </row>
    <row r="87" spans="1:46" ht="14.45">
      <c r="A87" s="340"/>
      <c r="B87" s="316"/>
      <c r="C87" s="340"/>
      <c r="D87" s="336"/>
      <c r="E87" s="316"/>
      <c r="F87" s="340"/>
      <c r="G87" s="316"/>
      <c r="H87" s="316"/>
      <c r="I87" s="316"/>
      <c r="J87" s="316"/>
      <c r="K87" s="404"/>
      <c r="L87" s="316"/>
      <c r="M87" s="407"/>
      <c r="N87" s="311"/>
      <c r="O87" s="413" t="s">
        <v>9326</v>
      </c>
      <c r="P87" s="311"/>
      <c r="Q87" s="412" t="s">
        <v>8971</v>
      </c>
      <c r="R87" s="311"/>
      <c r="S87" s="311"/>
      <c r="T87" s="311"/>
      <c r="U87" s="311"/>
      <c r="V87" s="362"/>
      <c r="W87" s="311"/>
      <c r="X87" s="311"/>
      <c r="Y87" s="316"/>
      <c r="Z87" s="316"/>
      <c r="AA87" s="316"/>
      <c r="AB87" s="316"/>
      <c r="AC87" s="316"/>
      <c r="AD87" s="316"/>
      <c r="AE87"/>
      <c r="AF87" s="316"/>
      <c r="AG87" s="316"/>
      <c r="AH87" s="316"/>
      <c r="AI87" s="316"/>
      <c r="AJ87" s="316"/>
      <c r="AK87" s="316"/>
      <c r="AL87" s="316"/>
      <c r="AM87" s="316"/>
      <c r="AN87" s="316"/>
      <c r="AO87" s="316"/>
      <c r="AP87" s="316"/>
      <c r="AQ87" s="316"/>
      <c r="AR87" s="316"/>
      <c r="AS87" s="316"/>
      <c r="AT87" s="316"/>
    </row>
    <row r="88" spans="1:46" ht="14.45">
      <c r="A88" s="340"/>
      <c r="B88" s="316"/>
      <c r="C88" s="340"/>
      <c r="D88" s="336"/>
      <c r="E88" s="316"/>
      <c r="F88" s="340"/>
      <c r="G88" s="316"/>
      <c r="H88" s="316"/>
      <c r="I88" s="316"/>
      <c r="J88" s="316"/>
      <c r="K88" s="404"/>
      <c r="L88" s="316"/>
      <c r="M88" s="407"/>
      <c r="N88" s="311"/>
      <c r="O88" s="413" t="s">
        <v>9327</v>
      </c>
      <c r="P88" s="311"/>
      <c r="Q88" s="412" t="s">
        <v>8971</v>
      </c>
      <c r="R88" s="311"/>
      <c r="S88" s="311"/>
      <c r="T88" s="311"/>
      <c r="U88" s="311"/>
      <c r="V88" s="362"/>
      <c r="W88" s="311"/>
      <c r="X88" s="311"/>
      <c r="Y88" s="316"/>
      <c r="Z88" s="316"/>
      <c r="AA88" s="316"/>
      <c r="AB88" s="316"/>
      <c r="AC88" s="316"/>
      <c r="AD88" s="316"/>
      <c r="AE88"/>
      <c r="AF88" s="316"/>
      <c r="AG88" s="316"/>
      <c r="AH88" s="316"/>
      <c r="AI88" s="316"/>
      <c r="AJ88" s="316"/>
      <c r="AK88" s="316"/>
      <c r="AL88" s="316"/>
      <c r="AM88" s="316"/>
      <c r="AN88" s="316"/>
      <c r="AO88" s="316"/>
      <c r="AP88" s="316"/>
      <c r="AQ88" s="316"/>
      <c r="AR88" s="316"/>
      <c r="AS88" s="316"/>
      <c r="AT88" s="316"/>
    </row>
    <row r="89" spans="1:46" ht="14.45">
      <c r="A89" s="340"/>
      <c r="B89" s="316"/>
      <c r="C89" s="340"/>
      <c r="D89" s="336"/>
      <c r="E89" s="316"/>
      <c r="F89" s="340"/>
      <c r="G89" s="316"/>
      <c r="H89" s="316"/>
      <c r="I89" s="316"/>
      <c r="J89" s="316"/>
      <c r="K89" s="404"/>
      <c r="L89" s="316"/>
      <c r="M89" s="407"/>
      <c r="N89" s="311"/>
      <c r="O89" s="413" t="s">
        <v>9328</v>
      </c>
      <c r="P89" s="311"/>
      <c r="Q89" s="412" t="s">
        <v>8971</v>
      </c>
      <c r="R89" s="311"/>
      <c r="S89" s="311"/>
      <c r="T89" s="311"/>
      <c r="U89" s="311"/>
      <c r="V89" s="362"/>
      <c r="W89" s="311"/>
      <c r="X89" s="311"/>
      <c r="Y89" s="316"/>
      <c r="Z89" s="316"/>
      <c r="AA89" s="316"/>
      <c r="AB89" s="316"/>
      <c r="AC89" s="316"/>
      <c r="AD89" s="316"/>
      <c r="AE89"/>
      <c r="AF89" s="316"/>
      <c r="AG89" s="316"/>
      <c r="AH89" s="316"/>
      <c r="AI89" s="316"/>
      <c r="AJ89" s="316"/>
      <c r="AK89" s="316"/>
      <c r="AL89" s="316"/>
      <c r="AM89" s="316"/>
      <c r="AN89" s="316"/>
      <c r="AO89" s="316"/>
      <c r="AP89" s="316"/>
      <c r="AQ89" s="316"/>
      <c r="AR89" s="316"/>
      <c r="AS89" s="316"/>
      <c r="AT89" s="316"/>
    </row>
    <row r="90" spans="1:46" ht="14.45">
      <c r="A90" s="340"/>
      <c r="B90" s="316"/>
      <c r="C90" s="340"/>
      <c r="D90" s="336"/>
      <c r="E90" s="316"/>
      <c r="F90" s="340"/>
      <c r="G90" s="316"/>
      <c r="H90" s="316"/>
      <c r="I90" s="316"/>
      <c r="J90" s="316"/>
      <c r="K90" s="404"/>
      <c r="L90" s="316"/>
      <c r="M90" s="407"/>
      <c r="N90" s="311"/>
      <c r="O90" s="413" t="s">
        <v>9329</v>
      </c>
      <c r="P90" s="311"/>
      <c r="Q90" s="412" t="s">
        <v>8971</v>
      </c>
      <c r="R90" s="311"/>
      <c r="S90" s="311"/>
      <c r="T90" s="311"/>
      <c r="U90" s="311"/>
      <c r="V90" s="362"/>
      <c r="W90" s="311"/>
      <c r="X90" s="311"/>
      <c r="Y90" s="316"/>
      <c r="Z90" s="316"/>
      <c r="AA90" s="316"/>
      <c r="AB90" s="316"/>
      <c r="AC90" s="316"/>
      <c r="AD90" s="316"/>
      <c r="AE90"/>
      <c r="AF90" s="316"/>
      <c r="AG90" s="316"/>
      <c r="AH90" s="316"/>
      <c r="AI90" s="316"/>
      <c r="AJ90" s="316"/>
      <c r="AK90" s="316"/>
      <c r="AL90" s="316"/>
      <c r="AM90" s="316"/>
      <c r="AN90" s="316"/>
      <c r="AO90" s="316"/>
      <c r="AP90" s="316"/>
      <c r="AQ90" s="316"/>
      <c r="AR90" s="316"/>
      <c r="AS90" s="316"/>
      <c r="AT90" s="316"/>
    </row>
    <row r="91" spans="1:46" ht="14.45">
      <c r="A91" s="340"/>
      <c r="B91" s="316"/>
      <c r="C91" s="340"/>
      <c r="D91" s="336"/>
      <c r="E91" s="316"/>
      <c r="F91" s="340"/>
      <c r="G91" s="316"/>
      <c r="H91" s="316"/>
      <c r="I91" s="316"/>
      <c r="J91" s="316"/>
      <c r="K91" s="404"/>
      <c r="L91" s="316"/>
      <c r="M91" s="407"/>
      <c r="N91" s="311"/>
      <c r="O91" s="413" t="s">
        <v>9330</v>
      </c>
      <c r="P91" s="311"/>
      <c r="Q91" s="412" t="s">
        <v>8971</v>
      </c>
      <c r="R91" s="311"/>
      <c r="S91" s="311"/>
      <c r="T91" s="311"/>
      <c r="U91" s="311"/>
      <c r="V91" s="362"/>
      <c r="W91" s="311"/>
      <c r="X91" s="311"/>
      <c r="Y91" s="316"/>
      <c r="Z91" s="316"/>
      <c r="AA91" s="316"/>
      <c r="AB91" s="316"/>
      <c r="AC91" s="316"/>
      <c r="AD91" s="316"/>
      <c r="AE91"/>
      <c r="AF91" s="316"/>
      <c r="AG91" s="316"/>
      <c r="AH91" s="316"/>
      <c r="AI91" s="316"/>
      <c r="AJ91" s="316"/>
      <c r="AK91" s="316"/>
      <c r="AL91" s="316"/>
      <c r="AM91" s="316"/>
      <c r="AN91" s="316"/>
      <c r="AO91" s="316"/>
      <c r="AP91" s="316"/>
      <c r="AQ91" s="316"/>
      <c r="AR91" s="316"/>
      <c r="AS91" s="316"/>
      <c r="AT91" s="316"/>
    </row>
    <row r="92" spans="1:46" ht="14.45">
      <c r="A92" s="340"/>
      <c r="B92" s="316"/>
      <c r="C92" s="340"/>
      <c r="D92" s="316"/>
      <c r="E92" s="316"/>
      <c r="F92" s="340"/>
      <c r="G92" s="316"/>
      <c r="H92" s="316"/>
      <c r="I92" s="316"/>
      <c r="J92" s="316"/>
      <c r="K92" s="404"/>
      <c r="L92" s="316"/>
      <c r="M92" s="407"/>
      <c r="N92" s="311"/>
      <c r="O92" s="362" t="s">
        <v>9331</v>
      </c>
      <c r="P92" s="311"/>
      <c r="Q92" s="412" t="s">
        <v>8971</v>
      </c>
      <c r="R92" s="311"/>
      <c r="S92" s="311"/>
      <c r="T92" s="311"/>
      <c r="U92" s="311"/>
      <c r="V92" s="362"/>
      <c r="W92" s="311"/>
      <c r="X92" s="311"/>
      <c r="Y92" s="316"/>
      <c r="Z92" s="316"/>
      <c r="AA92" s="316"/>
      <c r="AB92" s="316"/>
      <c r="AC92" s="316"/>
      <c r="AD92" s="316"/>
      <c r="AE92"/>
      <c r="AF92" s="316"/>
      <c r="AG92" s="316"/>
      <c r="AH92" s="316"/>
      <c r="AI92" s="316"/>
      <c r="AJ92" s="316"/>
      <c r="AK92" s="316"/>
      <c r="AL92" s="316"/>
      <c r="AM92" s="316"/>
      <c r="AN92" s="316"/>
      <c r="AO92" s="316"/>
      <c r="AP92" s="316"/>
      <c r="AQ92" s="316"/>
      <c r="AR92" s="316"/>
      <c r="AS92" s="316"/>
      <c r="AT92" s="316"/>
    </row>
    <row r="93" spans="1:46" ht="14.45">
      <c r="A93" s="340"/>
      <c r="B93" s="316"/>
      <c r="C93" s="340"/>
      <c r="D93" s="316"/>
      <c r="E93" s="316"/>
      <c r="F93" s="340"/>
      <c r="G93" s="316"/>
      <c r="H93" s="316"/>
      <c r="I93" s="316"/>
      <c r="J93" s="316"/>
      <c r="K93" s="404"/>
      <c r="L93" s="316"/>
      <c r="M93" s="407"/>
      <c r="N93" s="311"/>
      <c r="O93" s="362" t="s">
        <v>4175</v>
      </c>
      <c r="P93" s="311"/>
      <c r="Q93" s="412" t="s">
        <v>8492</v>
      </c>
      <c r="R93" s="311"/>
      <c r="S93" s="311"/>
      <c r="T93" s="311"/>
      <c r="U93" s="311"/>
      <c r="V93" s="362"/>
      <c r="W93" s="311"/>
      <c r="X93" s="311"/>
      <c r="Y93" s="316"/>
      <c r="Z93" s="316"/>
      <c r="AA93" s="316"/>
      <c r="AB93" s="316"/>
      <c r="AC93" s="316"/>
      <c r="AD93" s="316"/>
      <c r="AE93"/>
      <c r="AF93" s="316"/>
      <c r="AG93" s="316"/>
      <c r="AH93" s="316"/>
      <c r="AI93" s="316"/>
      <c r="AJ93" s="316"/>
      <c r="AK93" s="316"/>
      <c r="AL93" s="316"/>
      <c r="AM93" s="316"/>
      <c r="AN93" s="316"/>
      <c r="AO93" s="316"/>
      <c r="AP93" s="316"/>
      <c r="AQ93" s="316"/>
      <c r="AR93" s="316"/>
      <c r="AS93" s="316"/>
      <c r="AT93" s="316"/>
    </row>
    <row r="94" spans="1:46" ht="14.45">
      <c r="A94" s="340"/>
      <c r="B94" s="316"/>
      <c r="C94" s="340"/>
      <c r="D94" s="316"/>
      <c r="E94" s="316"/>
      <c r="F94" s="340"/>
      <c r="G94" s="316"/>
      <c r="H94" s="316"/>
      <c r="I94" s="316"/>
      <c r="J94" s="316"/>
      <c r="K94" s="404"/>
      <c r="L94" s="316"/>
      <c r="M94" s="407"/>
      <c r="N94" s="311"/>
      <c r="O94" s="362"/>
      <c r="P94" s="311"/>
      <c r="Q94" s="412"/>
      <c r="R94" s="311"/>
      <c r="S94" s="311"/>
      <c r="T94" s="311"/>
      <c r="U94" s="311"/>
      <c r="V94" s="362"/>
      <c r="W94" s="311"/>
      <c r="X94" s="311"/>
      <c r="Y94" s="316"/>
      <c r="Z94" s="316"/>
      <c r="AA94" s="316"/>
      <c r="AB94" s="316"/>
      <c r="AC94" s="316"/>
      <c r="AD94" s="316"/>
      <c r="AE94"/>
      <c r="AF94" s="316"/>
      <c r="AG94" s="316"/>
      <c r="AH94" s="316"/>
      <c r="AI94" s="316"/>
      <c r="AJ94" s="316"/>
      <c r="AK94" s="316"/>
      <c r="AL94" s="316"/>
      <c r="AM94" s="316"/>
      <c r="AN94" s="316"/>
      <c r="AO94" s="316"/>
      <c r="AP94" s="316"/>
      <c r="AQ94" s="316"/>
      <c r="AR94" s="316"/>
      <c r="AS94" s="316"/>
      <c r="AT94" s="316"/>
    </row>
    <row r="95" spans="1:46" ht="14.45">
      <c r="A95" s="340"/>
      <c r="B95" s="316"/>
      <c r="C95" s="340"/>
      <c r="D95" s="316"/>
      <c r="E95" s="316"/>
      <c r="F95" s="340"/>
      <c r="G95" s="316"/>
      <c r="H95" s="316"/>
      <c r="I95" s="316"/>
      <c r="J95" s="316"/>
      <c r="K95" s="404"/>
      <c r="L95" s="316"/>
      <c r="M95" s="407"/>
      <c r="N95" s="311"/>
      <c r="O95" s="362"/>
      <c r="P95" s="311"/>
      <c r="Q95" s="412"/>
      <c r="R95" s="311"/>
      <c r="S95" s="311"/>
      <c r="T95" s="311"/>
      <c r="U95" s="311"/>
      <c r="V95" s="362"/>
      <c r="W95" s="311"/>
      <c r="X95" s="311"/>
      <c r="Y95" s="316"/>
      <c r="Z95" s="316"/>
      <c r="AA95" s="316"/>
      <c r="AB95" s="316"/>
      <c r="AC95" s="316"/>
      <c r="AD95" s="316"/>
      <c r="AE95"/>
      <c r="AF95" s="316"/>
      <c r="AG95" s="316"/>
      <c r="AH95" s="316"/>
      <c r="AI95" s="316"/>
      <c r="AJ95" s="316"/>
      <c r="AK95" s="316"/>
      <c r="AL95" s="316"/>
      <c r="AM95" s="316"/>
      <c r="AN95" s="316"/>
      <c r="AO95" s="316"/>
      <c r="AP95" s="316"/>
      <c r="AQ95" s="316"/>
      <c r="AR95" s="316"/>
      <c r="AS95" s="316"/>
      <c r="AT95" s="316"/>
    </row>
    <row r="96" spans="1:46" ht="14.45">
      <c r="A96" s="340"/>
      <c r="B96" s="316"/>
      <c r="C96" s="340"/>
      <c r="D96" s="316"/>
      <c r="E96" s="316"/>
      <c r="F96" s="340"/>
      <c r="G96" s="316"/>
      <c r="H96" s="316"/>
      <c r="I96" s="316"/>
      <c r="J96" s="316"/>
      <c r="K96" s="404"/>
      <c r="L96" s="316"/>
      <c r="M96" s="407"/>
      <c r="N96" s="311"/>
      <c r="O96" s="362"/>
      <c r="P96" s="311"/>
      <c r="Q96" s="412"/>
      <c r="R96" s="311"/>
      <c r="S96" s="311"/>
      <c r="T96" s="311"/>
      <c r="U96" s="311"/>
      <c r="V96" s="362"/>
      <c r="W96" s="311"/>
      <c r="X96" s="311"/>
      <c r="Y96" s="316"/>
      <c r="Z96" s="316"/>
      <c r="AA96" s="316"/>
      <c r="AB96" s="316"/>
      <c r="AC96" s="316"/>
      <c r="AD96" s="316"/>
      <c r="AE96"/>
      <c r="AF96" s="316"/>
      <c r="AG96" s="316"/>
      <c r="AH96" s="316"/>
      <c r="AI96" s="316"/>
      <c r="AJ96" s="316"/>
      <c r="AK96" s="316"/>
      <c r="AL96" s="316"/>
      <c r="AM96" s="316"/>
      <c r="AN96" s="316"/>
      <c r="AO96" s="316"/>
      <c r="AP96" s="316"/>
      <c r="AQ96" s="316"/>
      <c r="AR96" s="316"/>
      <c r="AS96" s="316"/>
      <c r="AT96" s="316"/>
    </row>
    <row r="97" spans="1:46" ht="14.45">
      <c r="A97" s="340"/>
      <c r="B97" s="316"/>
      <c r="C97" s="340"/>
      <c r="D97" s="316"/>
      <c r="E97" s="316"/>
      <c r="F97" s="340"/>
      <c r="G97" s="316"/>
      <c r="H97" s="316"/>
      <c r="I97" s="316"/>
      <c r="J97" s="316"/>
      <c r="K97" s="404"/>
      <c r="L97" s="316"/>
      <c r="M97" s="407"/>
      <c r="N97" s="311"/>
      <c r="O97" s="362"/>
      <c r="P97" s="311"/>
      <c r="Q97" s="412"/>
      <c r="R97" s="311"/>
      <c r="S97" s="311"/>
      <c r="T97" s="311"/>
      <c r="U97" s="311"/>
      <c r="V97" s="362"/>
      <c r="W97" s="311"/>
      <c r="X97" s="311"/>
      <c r="Y97" s="316"/>
      <c r="Z97" s="316"/>
      <c r="AA97" s="316"/>
      <c r="AB97" s="316"/>
      <c r="AC97" s="316"/>
      <c r="AD97" s="316"/>
      <c r="AE97"/>
      <c r="AF97" s="316"/>
      <c r="AG97" s="316"/>
      <c r="AH97" s="316"/>
      <c r="AI97" s="316"/>
      <c r="AJ97" s="316"/>
      <c r="AK97" s="316"/>
      <c r="AL97" s="316"/>
      <c r="AM97" s="316"/>
      <c r="AN97" s="316"/>
      <c r="AO97" s="316"/>
      <c r="AP97" s="316"/>
      <c r="AQ97" s="316"/>
      <c r="AR97" s="316"/>
      <c r="AS97" s="316"/>
      <c r="AT97" s="316"/>
    </row>
    <row r="98" spans="1:46" ht="14.45">
      <c r="A98" s="340"/>
      <c r="B98" s="316"/>
      <c r="C98" s="340"/>
      <c r="D98" s="316"/>
      <c r="E98" s="316"/>
      <c r="F98" s="340"/>
      <c r="G98" s="316"/>
      <c r="H98" s="316"/>
      <c r="I98" s="316"/>
      <c r="J98" s="316"/>
      <c r="K98" s="404"/>
      <c r="L98" s="316"/>
      <c r="M98" s="407"/>
      <c r="N98" s="311"/>
      <c r="O98" s="362"/>
      <c r="P98" s="311"/>
      <c r="Q98" s="412"/>
      <c r="R98" s="311"/>
      <c r="S98" s="311"/>
      <c r="T98" s="311"/>
      <c r="U98" s="311"/>
      <c r="V98" s="362"/>
      <c r="W98" s="311"/>
      <c r="X98" s="311"/>
      <c r="Y98" s="316"/>
      <c r="Z98" s="316"/>
      <c r="AA98" s="316"/>
      <c r="AB98" s="316"/>
      <c r="AC98" s="316"/>
      <c r="AD98" s="316"/>
      <c r="AE98"/>
      <c r="AF98" s="316"/>
      <c r="AG98" s="316"/>
      <c r="AH98" s="316"/>
      <c r="AI98" s="316"/>
      <c r="AJ98" s="316"/>
      <c r="AK98" s="316"/>
      <c r="AL98" s="316"/>
      <c r="AM98" s="316"/>
      <c r="AN98" s="316"/>
      <c r="AO98" s="316"/>
      <c r="AP98" s="316"/>
      <c r="AQ98" s="316"/>
      <c r="AR98" s="316"/>
      <c r="AS98" s="316"/>
      <c r="AT98" s="316"/>
    </row>
    <row r="99" spans="1:46" ht="14.45">
      <c r="A99" s="340"/>
      <c r="B99" s="316"/>
      <c r="C99" s="340"/>
      <c r="D99" s="316"/>
      <c r="E99" s="316"/>
      <c r="F99" s="340"/>
      <c r="G99" s="316"/>
      <c r="H99" s="316"/>
      <c r="I99" s="316"/>
      <c r="J99" s="316"/>
      <c r="K99" s="404"/>
      <c r="L99" s="316"/>
      <c r="M99" s="407"/>
      <c r="N99" s="311"/>
      <c r="O99" s="362"/>
      <c r="P99" s="311"/>
      <c r="Q99" s="412"/>
      <c r="R99" s="311"/>
      <c r="S99" s="311"/>
      <c r="T99" s="311"/>
      <c r="U99" s="311"/>
      <c r="V99" s="362"/>
      <c r="W99" s="311"/>
      <c r="X99" s="311"/>
      <c r="Y99" s="316"/>
      <c r="Z99" s="316"/>
      <c r="AA99" s="316"/>
      <c r="AB99" s="316"/>
      <c r="AC99" s="316"/>
      <c r="AD99" s="316"/>
      <c r="AE99"/>
      <c r="AF99" s="316"/>
      <c r="AG99" s="316"/>
      <c r="AH99" s="316"/>
      <c r="AI99" s="316"/>
      <c r="AJ99" s="316"/>
      <c r="AK99" s="316"/>
      <c r="AL99" s="316"/>
      <c r="AM99" s="316"/>
      <c r="AN99" s="316"/>
      <c r="AO99" s="316"/>
      <c r="AP99" s="316"/>
      <c r="AQ99" s="316"/>
      <c r="AR99" s="316"/>
      <c r="AS99" s="316"/>
      <c r="AT99" s="316"/>
    </row>
    <row r="100" spans="1:46" ht="14.45">
      <c r="A100" s="340"/>
      <c r="B100" s="316"/>
      <c r="C100" s="340"/>
      <c r="D100" s="316"/>
      <c r="E100" s="316"/>
      <c r="F100" s="340"/>
      <c r="G100" s="316"/>
      <c r="H100" s="316"/>
      <c r="I100" s="316"/>
      <c r="J100" s="316"/>
      <c r="K100" s="404"/>
      <c r="L100" s="316"/>
      <c r="M100" s="407"/>
      <c r="N100" s="311"/>
      <c r="O100" s="362"/>
      <c r="P100" s="311"/>
      <c r="Q100" s="412"/>
      <c r="R100" s="311"/>
      <c r="S100" s="311"/>
      <c r="T100" s="311"/>
      <c r="U100" s="311"/>
      <c r="V100" s="362"/>
      <c r="W100" s="311"/>
      <c r="X100" s="311"/>
      <c r="Y100" s="316"/>
      <c r="Z100" s="316"/>
      <c r="AA100" s="316"/>
      <c r="AB100" s="316"/>
      <c r="AC100" s="316"/>
      <c r="AD100" s="316"/>
      <c r="AE100"/>
      <c r="AF100" s="316"/>
      <c r="AG100" s="316"/>
      <c r="AH100" s="316"/>
      <c r="AI100" s="316"/>
      <c r="AJ100" s="316"/>
      <c r="AK100" s="316"/>
      <c r="AL100" s="316"/>
      <c r="AM100" s="316"/>
      <c r="AN100" s="316"/>
      <c r="AO100" s="316"/>
      <c r="AP100" s="316"/>
      <c r="AQ100" s="316"/>
      <c r="AR100" s="316"/>
      <c r="AS100" s="316"/>
      <c r="AT100" s="316"/>
    </row>
    <row r="101" spans="1:46" ht="14.45">
      <c r="A101" s="340"/>
      <c r="B101" s="316"/>
      <c r="C101" s="340"/>
      <c r="D101" s="316"/>
      <c r="E101" s="316"/>
      <c r="F101" s="340"/>
      <c r="G101" s="316"/>
      <c r="H101" s="316"/>
      <c r="I101" s="316"/>
      <c r="J101" s="316"/>
      <c r="K101" s="404"/>
      <c r="L101" s="316"/>
      <c r="M101" s="407"/>
      <c r="N101" s="311"/>
      <c r="O101" s="362"/>
      <c r="P101" s="311"/>
      <c r="Q101" s="412"/>
      <c r="R101" s="311"/>
      <c r="S101" s="311"/>
      <c r="T101" s="311"/>
      <c r="U101" s="311"/>
      <c r="V101" s="362"/>
      <c r="W101" s="311"/>
      <c r="X101" s="311"/>
      <c r="Y101" s="316"/>
      <c r="Z101" s="316"/>
      <c r="AA101" s="316"/>
      <c r="AB101" s="316"/>
      <c r="AC101" s="316"/>
      <c r="AD101" s="316"/>
      <c r="AE101"/>
      <c r="AF101" s="316"/>
      <c r="AG101" s="316"/>
      <c r="AH101" s="316"/>
      <c r="AI101" s="316"/>
      <c r="AJ101" s="316"/>
      <c r="AK101" s="316"/>
      <c r="AL101" s="316"/>
      <c r="AM101" s="316"/>
      <c r="AN101" s="316"/>
      <c r="AO101" s="316"/>
      <c r="AP101" s="316"/>
      <c r="AQ101" s="316"/>
      <c r="AR101" s="316"/>
      <c r="AS101" s="316"/>
      <c r="AT101" s="316"/>
    </row>
    <row r="102" spans="1:46" ht="14.45">
      <c r="A102" s="340"/>
      <c r="B102" s="316"/>
      <c r="C102" s="340"/>
      <c r="D102" s="316"/>
      <c r="E102" s="316"/>
      <c r="F102" s="340"/>
      <c r="G102" s="316"/>
      <c r="H102" s="316"/>
      <c r="I102" s="316"/>
      <c r="J102" s="316"/>
      <c r="K102" s="404"/>
      <c r="L102" s="316"/>
      <c r="M102" s="407"/>
      <c r="N102" s="311"/>
      <c r="O102" s="362"/>
      <c r="P102" s="311"/>
      <c r="Q102" s="412"/>
      <c r="R102" s="311"/>
      <c r="S102" s="311"/>
      <c r="T102" s="311"/>
      <c r="U102" s="311"/>
      <c r="V102" s="362"/>
      <c r="W102" s="311"/>
      <c r="X102" s="311"/>
      <c r="Y102" s="316"/>
      <c r="Z102" s="316"/>
      <c r="AA102" s="316"/>
      <c r="AB102" s="316"/>
      <c r="AC102" s="316"/>
      <c r="AD102" s="316"/>
      <c r="AE102"/>
      <c r="AF102" s="316"/>
      <c r="AG102" s="316"/>
      <c r="AH102" s="316"/>
      <c r="AI102" s="316"/>
      <c r="AJ102" s="316"/>
      <c r="AK102" s="316"/>
      <c r="AL102" s="316"/>
      <c r="AM102" s="316"/>
      <c r="AN102" s="316"/>
      <c r="AO102" s="316"/>
      <c r="AP102" s="316"/>
      <c r="AQ102" s="316"/>
      <c r="AR102" s="316"/>
      <c r="AS102" s="316"/>
      <c r="AT102" s="316"/>
    </row>
    <row r="103" spans="1:46" ht="14.45">
      <c r="A103" s="340"/>
      <c r="B103" s="316"/>
      <c r="C103" s="340"/>
      <c r="D103" s="316"/>
      <c r="E103" s="316"/>
      <c r="F103" s="340"/>
      <c r="G103" s="316"/>
      <c r="H103" s="316"/>
      <c r="I103" s="316"/>
      <c r="J103" s="316"/>
      <c r="K103" s="404"/>
      <c r="L103" s="316"/>
      <c r="M103" s="407"/>
      <c r="N103" s="311"/>
      <c r="O103" s="362"/>
      <c r="P103" s="311"/>
      <c r="Q103" s="412"/>
      <c r="R103" s="311"/>
      <c r="S103" s="311"/>
      <c r="T103" s="311"/>
      <c r="U103" s="311"/>
      <c r="V103" s="362"/>
      <c r="W103" s="311"/>
      <c r="X103" s="311"/>
      <c r="Y103" s="316"/>
      <c r="Z103" s="316"/>
      <c r="AA103" s="316"/>
      <c r="AB103" s="316"/>
      <c r="AC103" s="316"/>
      <c r="AD103" s="316"/>
      <c r="AE103"/>
      <c r="AF103" s="316"/>
      <c r="AG103" s="316"/>
      <c r="AH103" s="316"/>
      <c r="AI103" s="316"/>
      <c r="AJ103" s="316"/>
      <c r="AK103" s="316"/>
      <c r="AL103" s="316"/>
      <c r="AM103" s="316"/>
      <c r="AN103" s="316"/>
      <c r="AO103" s="316"/>
      <c r="AP103" s="316"/>
      <c r="AQ103" s="316"/>
      <c r="AR103" s="316"/>
      <c r="AS103" s="316"/>
      <c r="AT103" s="316"/>
    </row>
    <row r="104" spans="1:46" ht="14.45">
      <c r="A104" s="340"/>
      <c r="B104" s="316"/>
      <c r="C104" s="340"/>
      <c r="D104" s="316"/>
      <c r="E104" s="316"/>
      <c r="F104" s="340"/>
      <c r="G104" s="316"/>
      <c r="H104" s="316"/>
      <c r="I104" s="316"/>
      <c r="J104" s="316"/>
      <c r="K104" s="404"/>
      <c r="L104" s="316"/>
      <c r="M104" s="407"/>
      <c r="N104" s="311"/>
      <c r="O104" s="362"/>
      <c r="P104" s="311"/>
      <c r="Q104" s="412"/>
      <c r="R104" s="311"/>
      <c r="S104" s="311"/>
      <c r="T104" s="311"/>
      <c r="U104" s="311"/>
      <c r="V104" s="362"/>
      <c r="W104" s="311"/>
      <c r="X104" s="311"/>
      <c r="Y104" s="316"/>
      <c r="Z104" s="316"/>
      <c r="AA104" s="316"/>
      <c r="AB104" s="316"/>
      <c r="AC104" s="316"/>
      <c r="AD104" s="316"/>
      <c r="AE104"/>
      <c r="AF104" s="316"/>
      <c r="AG104" s="316"/>
      <c r="AH104" s="316"/>
      <c r="AI104" s="316"/>
      <c r="AJ104" s="316"/>
      <c r="AK104" s="316"/>
      <c r="AL104" s="316"/>
      <c r="AM104" s="316"/>
      <c r="AN104" s="316"/>
      <c r="AO104" s="316"/>
      <c r="AP104" s="316"/>
      <c r="AQ104" s="316"/>
      <c r="AR104" s="316"/>
      <c r="AS104" s="316"/>
      <c r="AT104" s="316"/>
    </row>
    <row r="105" spans="1:46" ht="14.45">
      <c r="A105" s="340"/>
      <c r="B105" s="316"/>
      <c r="C105" s="340"/>
      <c r="D105" s="316"/>
      <c r="E105" s="316"/>
      <c r="F105" s="340"/>
      <c r="G105" s="316"/>
      <c r="H105" s="316"/>
      <c r="I105" s="316"/>
      <c r="J105" s="316"/>
      <c r="K105" s="404"/>
      <c r="L105" s="316"/>
      <c r="M105" s="407"/>
      <c r="N105" s="311"/>
      <c r="O105" s="362"/>
      <c r="P105" s="311"/>
      <c r="Q105" s="412"/>
      <c r="R105" s="311"/>
      <c r="S105" s="311"/>
      <c r="T105" s="311"/>
      <c r="U105" s="311"/>
      <c r="V105" s="362"/>
      <c r="W105" s="311"/>
      <c r="X105" s="311"/>
      <c r="Y105" s="316"/>
      <c r="Z105" s="316"/>
      <c r="AA105" s="316"/>
      <c r="AB105" s="316"/>
      <c r="AC105" s="316"/>
      <c r="AD105" s="316"/>
      <c r="AE105"/>
      <c r="AF105" s="316"/>
      <c r="AG105" s="316"/>
      <c r="AH105" s="316"/>
      <c r="AI105" s="316"/>
      <c r="AJ105" s="316"/>
      <c r="AK105" s="316"/>
      <c r="AL105" s="316"/>
      <c r="AM105" s="316"/>
      <c r="AN105" s="316"/>
      <c r="AO105" s="316"/>
      <c r="AP105" s="316"/>
      <c r="AQ105" s="316"/>
      <c r="AR105" s="316"/>
      <c r="AS105" s="316"/>
      <c r="AT105" s="316"/>
    </row>
    <row r="106" spans="1:46" ht="14.45">
      <c r="A106" s="340"/>
      <c r="B106" s="316"/>
      <c r="C106" s="340"/>
      <c r="D106" s="316"/>
      <c r="E106" s="316"/>
      <c r="F106" s="340"/>
      <c r="G106" s="316"/>
      <c r="H106" s="316"/>
      <c r="I106" s="316"/>
      <c r="J106" s="316"/>
      <c r="K106" s="404"/>
      <c r="L106" s="316"/>
      <c r="M106" s="407"/>
      <c r="N106" s="311"/>
      <c r="O106" s="362"/>
      <c r="P106" s="311"/>
      <c r="Q106" s="412"/>
      <c r="R106" s="311"/>
      <c r="S106" s="311"/>
      <c r="T106" s="311"/>
      <c r="U106" s="311"/>
      <c r="V106" s="362"/>
      <c r="W106" s="311"/>
      <c r="X106" s="311"/>
      <c r="Y106" s="316"/>
      <c r="Z106" s="316"/>
      <c r="AA106" s="316"/>
      <c r="AB106" s="316"/>
      <c r="AC106" s="316"/>
      <c r="AD106" s="316"/>
      <c r="AE106"/>
      <c r="AF106" s="316"/>
      <c r="AG106" s="316"/>
      <c r="AH106" s="316"/>
      <c r="AI106" s="316"/>
      <c r="AJ106" s="316"/>
      <c r="AK106" s="316"/>
      <c r="AL106" s="316"/>
      <c r="AM106" s="316"/>
      <c r="AN106" s="316"/>
      <c r="AO106" s="316"/>
      <c r="AP106" s="316"/>
      <c r="AQ106" s="316"/>
      <c r="AR106" s="316"/>
      <c r="AS106" s="316"/>
      <c r="AT106" s="316"/>
    </row>
    <row r="107" spans="1:46" ht="14.45">
      <c r="A107" s="340"/>
      <c r="B107" s="316"/>
      <c r="C107" s="340"/>
      <c r="D107" s="316"/>
      <c r="E107" s="316"/>
      <c r="F107" s="340"/>
      <c r="G107" s="316"/>
      <c r="H107" s="316"/>
      <c r="I107" s="316"/>
      <c r="J107" s="316"/>
      <c r="K107" s="404"/>
      <c r="L107" s="316"/>
      <c r="M107" s="407"/>
      <c r="N107" s="311"/>
      <c r="O107" s="362"/>
      <c r="P107" s="311"/>
      <c r="Q107" s="412"/>
      <c r="R107" s="311"/>
      <c r="S107" s="311"/>
      <c r="T107" s="311"/>
      <c r="U107" s="311"/>
      <c r="V107" s="362"/>
      <c r="W107" s="311"/>
      <c r="X107" s="311"/>
      <c r="Y107" s="316"/>
      <c r="Z107" s="316"/>
      <c r="AA107" s="316"/>
      <c r="AB107" s="316"/>
      <c r="AC107" s="316"/>
      <c r="AD107" s="316"/>
      <c r="AE107"/>
      <c r="AF107" s="316"/>
      <c r="AG107" s="316"/>
      <c r="AH107" s="316"/>
      <c r="AI107" s="316"/>
      <c r="AJ107" s="316"/>
      <c r="AK107" s="316"/>
      <c r="AL107" s="316"/>
      <c r="AM107" s="316"/>
      <c r="AN107" s="316"/>
      <c r="AO107" s="316"/>
      <c r="AP107" s="316"/>
      <c r="AQ107" s="316"/>
      <c r="AR107" s="316"/>
      <c r="AS107" s="316"/>
      <c r="AT107" s="316"/>
    </row>
    <row r="108" spans="1:46" ht="14.45">
      <c r="A108" s="340"/>
      <c r="B108" s="316"/>
      <c r="C108" s="340"/>
      <c r="D108" s="316"/>
      <c r="E108" s="316"/>
      <c r="F108" s="340"/>
      <c r="G108" s="316"/>
      <c r="H108" s="316"/>
      <c r="I108" s="316"/>
      <c r="J108" s="316"/>
      <c r="K108" s="404"/>
      <c r="L108" s="316"/>
      <c r="M108" s="407"/>
      <c r="N108" s="311"/>
      <c r="O108" s="362"/>
      <c r="P108" s="311"/>
      <c r="Q108" s="412"/>
      <c r="R108" s="311"/>
      <c r="S108" s="311"/>
      <c r="T108" s="311"/>
      <c r="U108" s="311"/>
      <c r="V108" s="362"/>
      <c r="W108" s="311"/>
      <c r="X108" s="311"/>
      <c r="Y108" s="316"/>
      <c r="Z108" s="316"/>
      <c r="AA108" s="316"/>
      <c r="AB108" s="316"/>
      <c r="AC108" s="316"/>
      <c r="AD108" s="316"/>
      <c r="AE108"/>
      <c r="AF108" s="316"/>
      <c r="AG108" s="316"/>
      <c r="AH108" s="316"/>
      <c r="AI108" s="316"/>
      <c r="AJ108" s="316"/>
      <c r="AK108" s="316"/>
      <c r="AL108" s="316"/>
      <c r="AM108" s="316"/>
      <c r="AN108" s="316"/>
      <c r="AO108" s="316"/>
      <c r="AP108" s="316"/>
      <c r="AQ108" s="316"/>
      <c r="AR108" s="316"/>
      <c r="AS108" s="316"/>
      <c r="AT108" s="316"/>
    </row>
    <row r="109" spans="1:46" ht="14.45">
      <c r="A109" s="340"/>
      <c r="B109" s="316"/>
      <c r="C109" s="340"/>
      <c r="D109" s="316"/>
      <c r="E109" s="316"/>
      <c r="F109" s="340"/>
      <c r="G109" s="316"/>
      <c r="H109" s="316"/>
      <c r="I109" s="316"/>
      <c r="J109" s="316"/>
      <c r="K109" s="404"/>
      <c r="L109" s="316"/>
      <c r="M109" s="407"/>
      <c r="N109" s="311"/>
      <c r="O109" s="362"/>
      <c r="P109" s="311"/>
      <c r="Q109" s="412"/>
      <c r="R109" s="311"/>
      <c r="S109" s="311"/>
      <c r="T109" s="311"/>
      <c r="U109" s="311"/>
      <c r="V109" s="362"/>
      <c r="W109" s="311"/>
      <c r="X109" s="311"/>
      <c r="Y109" s="316"/>
      <c r="Z109" s="316"/>
      <c r="AA109" s="316"/>
      <c r="AB109" s="316"/>
      <c r="AC109" s="316"/>
      <c r="AD109" s="316"/>
      <c r="AE109"/>
      <c r="AF109" s="316"/>
      <c r="AG109" s="316"/>
      <c r="AH109" s="316"/>
      <c r="AI109" s="316"/>
      <c r="AJ109" s="316"/>
      <c r="AK109" s="316"/>
      <c r="AL109" s="316"/>
      <c r="AM109" s="316"/>
      <c r="AN109" s="316"/>
      <c r="AO109" s="316"/>
      <c r="AP109" s="316"/>
      <c r="AQ109" s="316"/>
      <c r="AR109" s="316"/>
      <c r="AS109" s="316"/>
      <c r="AT109" s="316"/>
    </row>
    <row r="110" spans="1:46" ht="14.45">
      <c r="A110" s="340"/>
      <c r="B110" s="316"/>
      <c r="C110" s="340"/>
      <c r="D110" s="316"/>
      <c r="E110" s="316"/>
      <c r="F110" s="340"/>
      <c r="G110" s="316"/>
      <c r="H110" s="316"/>
      <c r="I110" s="316"/>
      <c r="J110" s="316"/>
      <c r="K110" s="404"/>
      <c r="L110" s="316"/>
      <c r="M110" s="407"/>
      <c r="N110" s="311"/>
      <c r="O110" s="362"/>
      <c r="P110" s="311"/>
      <c r="Q110" s="412"/>
      <c r="R110" s="311"/>
      <c r="S110" s="311"/>
      <c r="T110" s="311"/>
      <c r="U110" s="311"/>
      <c r="V110" s="362"/>
      <c r="W110" s="311"/>
      <c r="X110" s="311"/>
      <c r="Y110" s="316"/>
      <c r="Z110" s="316"/>
      <c r="AA110" s="316"/>
      <c r="AB110" s="316"/>
      <c r="AC110" s="316"/>
      <c r="AD110" s="316"/>
      <c r="AE110"/>
      <c r="AF110" s="316"/>
      <c r="AG110" s="316"/>
      <c r="AH110" s="316"/>
      <c r="AI110" s="316"/>
      <c r="AJ110" s="316"/>
      <c r="AK110" s="316"/>
      <c r="AL110" s="316"/>
      <c r="AM110" s="316"/>
      <c r="AN110" s="316"/>
      <c r="AO110" s="316"/>
      <c r="AP110" s="316"/>
      <c r="AQ110" s="316"/>
      <c r="AR110" s="316"/>
      <c r="AS110" s="316"/>
      <c r="AT110" s="316"/>
    </row>
    <row r="111" spans="1:46" ht="14.45">
      <c r="A111" s="340"/>
      <c r="B111" s="316"/>
      <c r="C111" s="340"/>
      <c r="D111" s="316"/>
      <c r="E111" s="316"/>
      <c r="F111" s="340"/>
      <c r="G111" s="316"/>
      <c r="H111" s="316"/>
      <c r="I111" s="316"/>
      <c r="J111" s="316"/>
      <c r="K111" s="404"/>
      <c r="L111" s="316"/>
      <c r="M111" s="407"/>
      <c r="N111" s="311"/>
      <c r="O111" s="362"/>
      <c r="P111" s="311"/>
      <c r="Q111" s="412"/>
      <c r="R111" s="311"/>
      <c r="S111" s="311"/>
      <c r="T111" s="311"/>
      <c r="U111" s="311"/>
      <c r="V111" s="362"/>
      <c r="W111" s="311"/>
      <c r="X111" s="311"/>
      <c r="Y111" s="316"/>
      <c r="Z111" s="316"/>
      <c r="AA111" s="316"/>
      <c r="AB111" s="316"/>
      <c r="AC111" s="316"/>
      <c r="AD111" s="316"/>
      <c r="AE111"/>
      <c r="AF111" s="316"/>
      <c r="AG111" s="316"/>
      <c r="AH111" s="316"/>
      <c r="AI111" s="316"/>
      <c r="AJ111" s="316"/>
      <c r="AK111" s="316"/>
      <c r="AL111" s="316"/>
      <c r="AM111" s="316"/>
      <c r="AN111" s="316"/>
      <c r="AO111" s="316"/>
      <c r="AP111" s="316"/>
      <c r="AQ111" s="316"/>
      <c r="AR111" s="316"/>
      <c r="AS111" s="316"/>
      <c r="AT111" s="316"/>
    </row>
    <row r="112" spans="1:46" ht="14.45">
      <c r="A112" s="340"/>
      <c r="B112" s="316"/>
      <c r="C112" s="340"/>
      <c r="D112" s="316"/>
      <c r="E112" s="316"/>
      <c r="F112" s="340"/>
      <c r="G112" s="316"/>
      <c r="H112" s="316"/>
      <c r="I112" s="316"/>
      <c r="J112" s="316"/>
      <c r="K112" s="404"/>
      <c r="L112" s="316"/>
      <c r="M112" s="407"/>
      <c r="N112" s="311"/>
      <c r="O112" s="362"/>
      <c r="P112" s="311"/>
      <c r="Q112" s="412"/>
      <c r="R112" s="311"/>
      <c r="S112" s="311"/>
      <c r="T112" s="311"/>
      <c r="U112" s="311"/>
      <c r="V112" s="362"/>
      <c r="W112" s="311"/>
      <c r="X112" s="311"/>
      <c r="Y112" s="316"/>
      <c r="Z112" s="316"/>
      <c r="AA112" s="316"/>
      <c r="AB112" s="316"/>
      <c r="AC112" s="316"/>
      <c r="AD112" s="316"/>
      <c r="AE112"/>
      <c r="AF112" s="316"/>
      <c r="AG112" s="316"/>
      <c r="AH112" s="316"/>
      <c r="AI112" s="316"/>
      <c r="AJ112" s="316"/>
      <c r="AK112" s="316"/>
      <c r="AL112" s="316"/>
      <c r="AM112" s="316"/>
      <c r="AN112" s="316"/>
      <c r="AO112" s="316"/>
      <c r="AP112" s="316"/>
      <c r="AQ112" s="316"/>
      <c r="AR112" s="316"/>
      <c r="AS112" s="316"/>
      <c r="AT112" s="316"/>
    </row>
    <row r="113" spans="1:46" ht="14.45">
      <c r="A113" s="340"/>
      <c r="B113" s="316"/>
      <c r="C113" s="340"/>
      <c r="D113" s="316"/>
      <c r="E113" s="316"/>
      <c r="F113" s="340"/>
      <c r="G113" s="316"/>
      <c r="H113" s="316"/>
      <c r="I113" s="316"/>
      <c r="J113" s="316"/>
      <c r="K113" s="404"/>
      <c r="L113" s="316"/>
      <c r="M113" s="407"/>
      <c r="N113" s="311"/>
      <c r="O113" s="362"/>
      <c r="P113" s="311"/>
      <c r="Q113" s="412"/>
      <c r="R113" s="311"/>
      <c r="S113" s="311"/>
      <c r="T113" s="311"/>
      <c r="U113" s="311"/>
      <c r="V113" s="362"/>
      <c r="W113" s="311"/>
      <c r="X113" s="311"/>
      <c r="Y113" s="316"/>
      <c r="Z113" s="316"/>
      <c r="AA113" s="316"/>
      <c r="AB113" s="316"/>
      <c r="AC113" s="316"/>
      <c r="AD113" s="316"/>
      <c r="AE113"/>
      <c r="AF113" s="316"/>
      <c r="AG113" s="316"/>
      <c r="AH113" s="316"/>
      <c r="AI113" s="316"/>
      <c r="AJ113" s="316"/>
      <c r="AK113" s="316"/>
      <c r="AL113" s="316"/>
      <c r="AM113" s="316"/>
      <c r="AN113" s="316"/>
      <c r="AO113" s="316"/>
      <c r="AP113" s="316"/>
      <c r="AQ113" s="316"/>
      <c r="AR113" s="316"/>
      <c r="AS113" s="316"/>
      <c r="AT113" s="316"/>
    </row>
    <row r="114" spans="1:46" ht="14.45">
      <c r="A114" s="340"/>
      <c r="B114" s="316"/>
      <c r="C114" s="340"/>
      <c r="D114" s="316"/>
      <c r="E114" s="316"/>
      <c r="F114" s="340"/>
      <c r="G114" s="316"/>
      <c r="H114" s="316"/>
      <c r="I114" s="316"/>
      <c r="J114" s="316"/>
      <c r="K114" s="404"/>
      <c r="L114" s="316"/>
      <c r="M114" s="407"/>
      <c r="N114" s="311"/>
      <c r="O114" s="362"/>
      <c r="P114" s="311"/>
      <c r="Q114" s="412"/>
      <c r="R114" s="311"/>
      <c r="S114" s="311"/>
      <c r="T114" s="311"/>
      <c r="U114" s="311"/>
      <c r="V114" s="362"/>
      <c r="W114" s="311"/>
      <c r="X114" s="311"/>
      <c r="Y114" s="316"/>
      <c r="Z114" s="316"/>
      <c r="AA114" s="316"/>
      <c r="AB114" s="316"/>
      <c r="AC114" s="316"/>
      <c r="AD114" s="316"/>
      <c r="AE114"/>
      <c r="AF114" s="316"/>
      <c r="AG114" s="316"/>
      <c r="AH114" s="316"/>
      <c r="AI114" s="316"/>
      <c r="AJ114" s="316"/>
      <c r="AK114" s="316"/>
      <c r="AL114" s="316"/>
      <c r="AM114" s="316"/>
      <c r="AN114" s="316"/>
      <c r="AO114" s="316"/>
      <c r="AP114" s="316"/>
      <c r="AQ114" s="316"/>
      <c r="AR114" s="316"/>
      <c r="AS114" s="316"/>
      <c r="AT114" s="316"/>
    </row>
    <row r="115" spans="1:46" ht="14.45">
      <c r="A115" s="340"/>
      <c r="B115" s="316"/>
      <c r="C115" s="340"/>
      <c r="D115" s="316"/>
      <c r="E115" s="316"/>
      <c r="F115" s="340"/>
      <c r="G115" s="316"/>
      <c r="H115" s="316"/>
      <c r="I115" s="316"/>
      <c r="J115" s="316"/>
      <c r="K115" s="404"/>
      <c r="L115" s="316"/>
      <c r="M115" s="407"/>
      <c r="N115" s="311"/>
      <c r="O115" s="362"/>
      <c r="P115" s="311"/>
      <c r="Q115" s="412"/>
      <c r="R115" s="311"/>
      <c r="S115" s="311"/>
      <c r="T115" s="311"/>
      <c r="U115" s="311"/>
      <c r="V115" s="362"/>
      <c r="W115" s="311"/>
      <c r="X115" s="311"/>
      <c r="Y115" s="316"/>
      <c r="Z115" s="316"/>
      <c r="AA115" s="316"/>
      <c r="AB115" s="316"/>
      <c r="AC115" s="316"/>
      <c r="AD115" s="316"/>
      <c r="AE115"/>
      <c r="AF115" s="316"/>
      <c r="AG115" s="316"/>
      <c r="AH115" s="316"/>
      <c r="AI115" s="316"/>
      <c r="AJ115" s="316"/>
      <c r="AK115" s="316"/>
      <c r="AL115" s="316"/>
      <c r="AM115" s="316"/>
      <c r="AN115" s="316"/>
      <c r="AO115" s="316"/>
      <c r="AP115" s="316"/>
      <c r="AQ115" s="316"/>
      <c r="AR115" s="316"/>
      <c r="AS115" s="316"/>
      <c r="AT115" s="316"/>
    </row>
    <row r="116" spans="1:46" ht="14.45">
      <c r="A116" s="340"/>
      <c r="B116" s="316"/>
      <c r="C116" s="340"/>
      <c r="D116" s="316"/>
      <c r="E116" s="316"/>
      <c r="F116" s="340"/>
      <c r="G116" s="316"/>
      <c r="H116" s="316"/>
      <c r="I116" s="316"/>
      <c r="J116" s="316"/>
      <c r="K116" s="404"/>
      <c r="L116" s="316"/>
      <c r="M116" s="407"/>
      <c r="N116" s="311"/>
      <c r="O116" s="362"/>
      <c r="P116" s="311"/>
      <c r="Q116" s="412"/>
      <c r="R116" s="311"/>
      <c r="S116" s="311"/>
      <c r="T116" s="311"/>
      <c r="U116" s="311"/>
      <c r="V116" s="362"/>
      <c r="W116" s="311"/>
      <c r="X116" s="311"/>
      <c r="Y116" s="316"/>
      <c r="Z116" s="316"/>
      <c r="AA116" s="316"/>
      <c r="AB116" s="316"/>
      <c r="AC116" s="316"/>
      <c r="AD116" s="316"/>
      <c r="AE116"/>
      <c r="AF116" s="316"/>
      <c r="AG116" s="316"/>
      <c r="AH116" s="316"/>
      <c r="AI116" s="316"/>
      <c r="AJ116" s="316"/>
      <c r="AK116" s="316"/>
      <c r="AL116" s="316"/>
      <c r="AM116" s="316"/>
      <c r="AN116" s="316"/>
      <c r="AO116" s="316"/>
      <c r="AP116" s="316"/>
      <c r="AQ116" s="316"/>
      <c r="AR116" s="316"/>
      <c r="AS116" s="316"/>
      <c r="AT116" s="316"/>
    </row>
    <row r="117" spans="1:46" ht="14.45">
      <c r="A117" s="340"/>
      <c r="B117" s="316"/>
      <c r="C117" s="340"/>
      <c r="D117" s="316"/>
      <c r="E117" s="316"/>
      <c r="F117" s="340"/>
      <c r="G117" s="316"/>
      <c r="H117" s="316"/>
      <c r="I117" s="316"/>
      <c r="J117" s="316"/>
      <c r="K117" s="404"/>
      <c r="L117" s="316"/>
      <c r="M117" s="407"/>
      <c r="N117" s="311"/>
      <c r="O117" s="362"/>
      <c r="P117" s="311"/>
      <c r="Q117" s="412"/>
      <c r="R117" s="311"/>
      <c r="S117" s="311"/>
      <c r="T117" s="311"/>
      <c r="U117" s="311"/>
      <c r="V117" s="362"/>
      <c r="W117" s="311"/>
      <c r="X117" s="311"/>
      <c r="Y117" s="316"/>
      <c r="Z117" s="316"/>
      <c r="AA117" s="316"/>
      <c r="AB117" s="316"/>
      <c r="AC117" s="316"/>
      <c r="AD117" s="316"/>
      <c r="AE117"/>
      <c r="AF117" s="316"/>
      <c r="AG117" s="316"/>
      <c r="AH117" s="316"/>
      <c r="AI117" s="316"/>
      <c r="AJ117" s="316"/>
      <c r="AK117" s="316"/>
      <c r="AL117" s="316"/>
      <c r="AM117" s="316"/>
      <c r="AN117" s="316"/>
      <c r="AO117" s="316"/>
      <c r="AP117" s="316"/>
      <c r="AQ117" s="316"/>
      <c r="AR117" s="316"/>
      <c r="AS117" s="316"/>
      <c r="AT117" s="316"/>
    </row>
    <row r="118" spans="1:46" ht="14.45">
      <c r="A118" s="340"/>
      <c r="B118" s="316"/>
      <c r="C118" s="340"/>
      <c r="D118" s="316"/>
      <c r="E118" s="316"/>
      <c r="F118" s="340"/>
      <c r="G118" s="316"/>
      <c r="H118" s="316"/>
      <c r="I118" s="316"/>
      <c r="J118" s="316"/>
      <c r="K118" s="404"/>
      <c r="L118" s="316"/>
      <c r="M118" s="407"/>
      <c r="N118" s="311"/>
      <c r="O118" s="362"/>
      <c r="P118" s="311"/>
      <c r="Q118" s="412"/>
      <c r="R118" s="311"/>
      <c r="S118" s="311"/>
      <c r="T118" s="311"/>
      <c r="U118" s="311"/>
      <c r="V118" s="362"/>
      <c r="W118" s="311"/>
      <c r="X118" s="311"/>
      <c r="Y118" s="316"/>
      <c r="Z118" s="316"/>
      <c r="AA118" s="316"/>
      <c r="AB118" s="316"/>
      <c r="AC118" s="316"/>
      <c r="AD118" s="316"/>
      <c r="AE118"/>
      <c r="AF118" s="316"/>
      <c r="AG118" s="316"/>
      <c r="AH118" s="316"/>
      <c r="AI118" s="316"/>
      <c r="AJ118" s="316"/>
      <c r="AK118" s="316"/>
      <c r="AL118" s="316"/>
      <c r="AM118" s="316"/>
      <c r="AN118" s="316"/>
      <c r="AO118" s="316"/>
      <c r="AP118" s="316"/>
      <c r="AQ118" s="316"/>
      <c r="AR118" s="316"/>
      <c r="AS118" s="316"/>
      <c r="AT118" s="316"/>
    </row>
    <row r="119" spans="1:46" ht="14.45">
      <c r="A119" s="340"/>
      <c r="B119" s="316"/>
      <c r="C119" s="340"/>
      <c r="D119" s="316"/>
      <c r="E119" s="316"/>
      <c r="F119" s="340"/>
      <c r="G119" s="316"/>
      <c r="H119" s="316"/>
      <c r="I119" s="316"/>
      <c r="J119" s="316"/>
      <c r="K119" s="404"/>
      <c r="L119" s="316"/>
      <c r="M119" s="407"/>
      <c r="N119" s="311"/>
      <c r="O119" s="362"/>
      <c r="P119" s="311"/>
      <c r="Q119" s="412"/>
      <c r="R119" s="311"/>
      <c r="S119" s="311"/>
      <c r="T119" s="311"/>
      <c r="U119" s="311"/>
      <c r="V119" s="362"/>
      <c r="W119" s="311"/>
      <c r="X119" s="311"/>
      <c r="Y119" s="316"/>
      <c r="Z119" s="316"/>
      <c r="AA119" s="316"/>
      <c r="AB119" s="316"/>
      <c r="AC119" s="316"/>
      <c r="AD119" s="316"/>
      <c r="AE119"/>
      <c r="AF119" s="316"/>
      <c r="AG119" s="316"/>
      <c r="AH119" s="316"/>
      <c r="AI119" s="316"/>
      <c r="AJ119" s="316"/>
      <c r="AK119" s="316"/>
      <c r="AL119" s="316"/>
      <c r="AM119" s="316"/>
      <c r="AN119" s="316"/>
      <c r="AO119" s="316"/>
      <c r="AP119" s="316"/>
      <c r="AQ119" s="316"/>
      <c r="AR119" s="316"/>
      <c r="AS119" s="316"/>
      <c r="AT119" s="316"/>
    </row>
    <row r="120" spans="1:46" ht="14.45">
      <c r="A120" s="340"/>
      <c r="B120" s="316"/>
      <c r="C120" s="340"/>
      <c r="D120" s="316"/>
      <c r="E120" s="316"/>
      <c r="F120" s="340"/>
      <c r="G120" s="316"/>
      <c r="H120" s="316"/>
      <c r="I120" s="316"/>
      <c r="J120" s="316"/>
      <c r="K120" s="404"/>
      <c r="L120" s="316"/>
      <c r="M120" s="407"/>
      <c r="N120" s="311"/>
      <c r="O120" s="362"/>
      <c r="P120" s="311"/>
      <c r="Q120" s="412"/>
      <c r="R120" s="311"/>
      <c r="S120" s="311"/>
      <c r="T120" s="311"/>
      <c r="U120" s="311"/>
      <c r="V120" s="362"/>
      <c r="W120" s="311"/>
      <c r="X120" s="311"/>
      <c r="Y120" s="316"/>
      <c r="Z120" s="316"/>
      <c r="AA120" s="316"/>
      <c r="AB120" s="316"/>
      <c r="AC120" s="316"/>
      <c r="AD120" s="316"/>
      <c r="AE120"/>
      <c r="AF120" s="316"/>
      <c r="AG120" s="316"/>
      <c r="AH120" s="316"/>
      <c r="AI120" s="316"/>
      <c r="AJ120" s="316"/>
      <c r="AK120" s="316"/>
      <c r="AL120" s="316"/>
      <c r="AM120" s="316"/>
      <c r="AN120" s="316"/>
      <c r="AO120" s="316"/>
      <c r="AP120" s="316"/>
      <c r="AQ120" s="316"/>
      <c r="AR120" s="316"/>
      <c r="AS120" s="316"/>
      <c r="AT120" s="316"/>
    </row>
    <row r="121" spans="1:46" ht="14.45">
      <c r="A121" s="340"/>
      <c r="B121" s="316"/>
      <c r="C121" s="340"/>
      <c r="D121" s="316"/>
      <c r="E121" s="316"/>
      <c r="F121" s="340"/>
      <c r="G121" s="316"/>
      <c r="H121" s="316"/>
      <c r="I121" s="316"/>
      <c r="J121" s="316"/>
      <c r="K121" s="404"/>
      <c r="L121" s="316"/>
      <c r="M121" s="407"/>
      <c r="N121" s="311"/>
      <c r="O121" s="362"/>
      <c r="P121" s="311"/>
      <c r="Q121" s="412"/>
      <c r="R121" s="311"/>
      <c r="S121" s="311"/>
      <c r="T121" s="311"/>
      <c r="U121" s="311"/>
      <c r="V121" s="362"/>
      <c r="W121" s="311"/>
      <c r="X121" s="311"/>
      <c r="Y121" s="316"/>
      <c r="Z121" s="316"/>
      <c r="AA121" s="316"/>
      <c r="AB121" s="316"/>
      <c r="AC121" s="316"/>
      <c r="AD121" s="316"/>
      <c r="AE121"/>
      <c r="AF121" s="316"/>
      <c r="AG121" s="316"/>
      <c r="AH121" s="316"/>
      <c r="AI121" s="316"/>
      <c r="AJ121" s="316"/>
      <c r="AK121" s="316"/>
      <c r="AL121" s="316"/>
      <c r="AM121" s="316"/>
      <c r="AN121" s="316"/>
      <c r="AO121" s="316"/>
      <c r="AP121" s="316"/>
      <c r="AQ121" s="316"/>
      <c r="AR121" s="316"/>
      <c r="AS121" s="316"/>
      <c r="AT121" s="316"/>
    </row>
    <row r="122" spans="1:46" ht="14.45">
      <c r="A122" s="340"/>
      <c r="B122" s="316"/>
      <c r="C122" s="340"/>
      <c r="D122" s="316"/>
      <c r="E122" s="316"/>
      <c r="F122" s="340"/>
      <c r="G122" s="316"/>
      <c r="H122" s="316"/>
      <c r="I122" s="316"/>
      <c r="J122" s="316"/>
      <c r="K122" s="404"/>
      <c r="L122" s="316"/>
      <c r="M122" s="407"/>
      <c r="N122" s="311"/>
      <c r="O122" s="362"/>
      <c r="P122" s="311"/>
      <c r="Q122" s="412"/>
      <c r="R122" s="311"/>
      <c r="S122" s="311"/>
      <c r="T122" s="311"/>
      <c r="U122" s="311"/>
      <c r="V122" s="362"/>
      <c r="W122" s="311"/>
      <c r="X122" s="311"/>
      <c r="Y122" s="316"/>
      <c r="Z122" s="316"/>
      <c r="AA122" s="316"/>
      <c r="AB122" s="316"/>
      <c r="AC122" s="316"/>
      <c r="AD122" s="316"/>
      <c r="AE122"/>
      <c r="AF122" s="316"/>
      <c r="AG122" s="316"/>
      <c r="AH122" s="316"/>
      <c r="AI122" s="316"/>
      <c r="AJ122" s="316"/>
      <c r="AK122" s="316"/>
      <c r="AL122" s="316"/>
      <c r="AM122" s="316"/>
      <c r="AN122" s="316"/>
      <c r="AO122" s="316"/>
      <c r="AP122" s="316"/>
      <c r="AQ122" s="316"/>
      <c r="AR122" s="316"/>
      <c r="AS122" s="316"/>
      <c r="AT122" s="316"/>
    </row>
    <row r="123" spans="1:46" ht="14.45">
      <c r="A123" s="340"/>
      <c r="B123" s="316"/>
      <c r="C123" s="340"/>
      <c r="D123" s="316"/>
      <c r="E123" s="316"/>
      <c r="F123" s="340"/>
      <c r="G123" s="316"/>
      <c r="H123" s="316"/>
      <c r="I123" s="316"/>
      <c r="J123" s="316"/>
      <c r="K123" s="404"/>
      <c r="L123" s="316"/>
      <c r="M123" s="407"/>
      <c r="N123" s="311"/>
      <c r="O123" s="362"/>
      <c r="P123" s="311"/>
      <c r="Q123" s="412"/>
      <c r="R123" s="311"/>
      <c r="S123" s="311"/>
      <c r="T123" s="311"/>
      <c r="U123" s="311"/>
      <c r="V123" s="362"/>
      <c r="W123" s="311"/>
      <c r="X123" s="311"/>
      <c r="Y123" s="316"/>
      <c r="Z123" s="316"/>
      <c r="AA123" s="316"/>
      <c r="AB123" s="316"/>
      <c r="AC123" s="316"/>
      <c r="AD123" s="316"/>
      <c r="AE123"/>
      <c r="AF123" s="316"/>
      <c r="AG123" s="316"/>
      <c r="AH123" s="316"/>
      <c r="AI123" s="316"/>
      <c r="AJ123" s="316"/>
      <c r="AK123" s="316"/>
      <c r="AL123" s="316"/>
      <c r="AM123" s="316"/>
      <c r="AN123" s="316"/>
      <c r="AO123" s="316"/>
      <c r="AP123" s="316"/>
      <c r="AQ123" s="316"/>
      <c r="AR123" s="316"/>
      <c r="AS123" s="316"/>
      <c r="AT123" s="316"/>
    </row>
    <row r="124" spans="1:46" ht="14.45">
      <c r="A124" s="340"/>
      <c r="B124" s="316"/>
      <c r="C124" s="340"/>
      <c r="D124" s="316"/>
      <c r="E124" s="316"/>
      <c r="F124" s="340"/>
      <c r="G124" s="316"/>
      <c r="H124" s="316"/>
      <c r="I124" s="316"/>
      <c r="J124" s="316"/>
      <c r="K124" s="404"/>
      <c r="L124" s="316"/>
      <c r="M124" s="407"/>
      <c r="N124" s="311"/>
      <c r="O124" s="362"/>
      <c r="P124" s="311"/>
      <c r="Q124" s="412"/>
      <c r="R124" s="311"/>
      <c r="S124" s="311"/>
      <c r="T124" s="311"/>
      <c r="U124" s="311"/>
      <c r="V124" s="362"/>
      <c r="W124" s="311"/>
      <c r="X124" s="311"/>
      <c r="Y124" s="316"/>
      <c r="Z124" s="316"/>
      <c r="AA124" s="316"/>
      <c r="AB124" s="316"/>
      <c r="AC124" s="316"/>
      <c r="AD124" s="316"/>
      <c r="AE124"/>
      <c r="AF124" s="316"/>
      <c r="AG124" s="316"/>
      <c r="AH124" s="316"/>
      <c r="AI124" s="316"/>
      <c r="AJ124" s="316"/>
      <c r="AK124" s="316"/>
      <c r="AL124" s="316"/>
      <c r="AM124" s="316"/>
      <c r="AN124" s="316"/>
      <c r="AO124" s="316"/>
      <c r="AP124" s="316"/>
      <c r="AQ124" s="316"/>
      <c r="AR124" s="316"/>
      <c r="AS124" s="316"/>
      <c r="AT124" s="316"/>
    </row>
    <row r="125" spans="1:46" ht="14.45">
      <c r="A125" s="340"/>
      <c r="B125" s="316"/>
      <c r="C125" s="340"/>
      <c r="D125" s="316"/>
      <c r="E125" s="316"/>
      <c r="F125" s="340"/>
      <c r="G125" s="316"/>
      <c r="H125" s="316"/>
      <c r="I125" s="316"/>
      <c r="J125" s="316"/>
      <c r="K125" s="404"/>
      <c r="L125" s="316"/>
      <c r="M125" s="407"/>
      <c r="N125" s="311"/>
      <c r="O125" s="362"/>
      <c r="P125" s="311"/>
      <c r="Q125" s="412"/>
      <c r="R125" s="311"/>
      <c r="S125" s="311"/>
      <c r="T125" s="311"/>
      <c r="U125" s="311"/>
      <c r="V125" s="362"/>
      <c r="W125" s="311"/>
      <c r="X125" s="311"/>
      <c r="Y125" s="316"/>
      <c r="Z125" s="316"/>
      <c r="AA125" s="316"/>
      <c r="AB125" s="316"/>
      <c r="AC125" s="316"/>
      <c r="AD125" s="316"/>
      <c r="AE125"/>
      <c r="AF125" s="316"/>
      <c r="AG125" s="316"/>
      <c r="AH125" s="316"/>
      <c r="AI125" s="316"/>
      <c r="AJ125" s="316"/>
      <c r="AK125" s="316"/>
      <c r="AL125" s="316"/>
      <c r="AM125" s="316"/>
      <c r="AN125" s="316"/>
      <c r="AO125" s="316"/>
      <c r="AP125" s="316"/>
      <c r="AQ125" s="316"/>
      <c r="AR125" s="316"/>
      <c r="AS125" s="316"/>
      <c r="AT125" s="316"/>
    </row>
    <row r="126" spans="1:46" ht="14.45">
      <c r="A126" s="340"/>
      <c r="B126" s="316"/>
      <c r="C126" s="340"/>
      <c r="D126" s="316"/>
      <c r="E126" s="316"/>
      <c r="F126" s="340"/>
      <c r="G126" s="316"/>
      <c r="H126" s="316"/>
      <c r="I126" s="316"/>
      <c r="J126" s="316"/>
      <c r="K126" s="404"/>
      <c r="L126" s="316"/>
      <c r="M126" s="407"/>
      <c r="N126" s="311"/>
      <c r="O126" s="362"/>
      <c r="P126" s="311"/>
      <c r="Q126" s="412"/>
      <c r="R126" s="311"/>
      <c r="S126" s="311"/>
      <c r="T126" s="311"/>
      <c r="U126" s="311"/>
      <c r="V126" s="362"/>
      <c r="W126" s="311"/>
      <c r="X126" s="311"/>
      <c r="Y126" s="316"/>
      <c r="Z126" s="316"/>
      <c r="AA126" s="316"/>
      <c r="AB126" s="316"/>
      <c r="AC126" s="316"/>
      <c r="AD126" s="316"/>
      <c r="AE126"/>
      <c r="AF126" s="316"/>
      <c r="AG126" s="316"/>
      <c r="AH126" s="316"/>
      <c r="AI126" s="316"/>
      <c r="AJ126" s="316"/>
      <c r="AK126" s="316"/>
      <c r="AL126" s="316"/>
      <c r="AM126" s="316"/>
      <c r="AN126" s="316"/>
      <c r="AO126" s="316"/>
      <c r="AP126" s="316"/>
      <c r="AQ126" s="316"/>
      <c r="AR126" s="316"/>
      <c r="AS126" s="316"/>
      <c r="AT126" s="316"/>
    </row>
    <row r="127" spans="1:46" ht="14.45">
      <c r="A127" s="340"/>
      <c r="B127" s="316"/>
      <c r="C127" s="340"/>
      <c r="D127" s="316"/>
      <c r="E127" s="316"/>
      <c r="F127" s="340"/>
      <c r="G127" s="316"/>
      <c r="H127" s="316"/>
      <c r="I127" s="316"/>
      <c r="J127" s="316"/>
      <c r="K127" s="404"/>
      <c r="L127" s="316"/>
      <c r="M127" s="407"/>
      <c r="N127" s="311"/>
      <c r="O127" s="362"/>
      <c r="P127" s="311"/>
      <c r="Q127" s="412"/>
      <c r="R127" s="311"/>
      <c r="S127" s="311"/>
      <c r="T127" s="311"/>
      <c r="U127" s="311"/>
      <c r="V127" s="362"/>
      <c r="W127" s="311"/>
      <c r="X127" s="311"/>
      <c r="Y127" s="316"/>
      <c r="Z127" s="316"/>
      <c r="AA127" s="316"/>
      <c r="AB127" s="316"/>
      <c r="AC127" s="316"/>
      <c r="AD127" s="316"/>
      <c r="AE127"/>
      <c r="AF127" s="316"/>
      <c r="AG127" s="316"/>
      <c r="AH127" s="316"/>
      <c r="AI127" s="316"/>
      <c r="AJ127" s="316"/>
      <c r="AK127" s="316"/>
      <c r="AL127" s="316"/>
      <c r="AM127" s="316"/>
      <c r="AN127" s="316"/>
      <c r="AO127" s="316"/>
      <c r="AP127" s="316"/>
      <c r="AQ127" s="316"/>
      <c r="AR127" s="316"/>
      <c r="AS127" s="316"/>
      <c r="AT127" s="316"/>
    </row>
    <row r="128" spans="1:46" ht="14.45">
      <c r="A128" s="340"/>
      <c r="B128" s="316"/>
      <c r="C128" s="340"/>
      <c r="D128" s="316"/>
      <c r="E128" s="316"/>
      <c r="F128" s="340"/>
      <c r="G128" s="316"/>
      <c r="H128" s="316"/>
      <c r="I128" s="316"/>
      <c r="J128" s="316"/>
      <c r="K128" s="404"/>
      <c r="L128" s="316"/>
      <c r="M128" s="407"/>
      <c r="N128" s="311"/>
      <c r="O128" s="362"/>
      <c r="P128" s="311"/>
      <c r="Q128" s="412"/>
      <c r="R128" s="311"/>
      <c r="S128" s="311"/>
      <c r="T128" s="311"/>
      <c r="U128" s="311"/>
      <c r="V128" s="362"/>
      <c r="W128" s="311"/>
      <c r="X128" s="311"/>
      <c r="Y128" s="316"/>
      <c r="Z128" s="316"/>
      <c r="AA128" s="316"/>
      <c r="AB128" s="316"/>
      <c r="AC128" s="316"/>
      <c r="AD128" s="316"/>
      <c r="AE128"/>
      <c r="AF128" s="316"/>
      <c r="AG128" s="316"/>
      <c r="AH128" s="316"/>
      <c r="AI128" s="316"/>
      <c r="AJ128" s="316"/>
      <c r="AK128" s="316"/>
      <c r="AL128" s="316"/>
      <c r="AM128" s="316"/>
      <c r="AN128" s="316"/>
      <c r="AO128" s="316"/>
      <c r="AP128" s="316"/>
      <c r="AQ128" s="316"/>
      <c r="AR128" s="316"/>
      <c r="AS128" s="316"/>
      <c r="AT128" s="316"/>
    </row>
    <row r="129" spans="1:46" ht="14.45">
      <c r="A129" s="340"/>
      <c r="B129" s="316"/>
      <c r="C129" s="340"/>
      <c r="D129" s="316"/>
      <c r="E129" s="316"/>
      <c r="F129" s="340"/>
      <c r="G129" s="316"/>
      <c r="H129" s="316"/>
      <c r="I129" s="316"/>
      <c r="J129" s="316"/>
      <c r="K129" s="404"/>
      <c r="L129" s="316"/>
      <c r="M129" s="407"/>
      <c r="N129" s="311"/>
      <c r="O129" s="362"/>
      <c r="P129" s="311"/>
      <c r="Q129" s="412"/>
      <c r="R129" s="311"/>
      <c r="S129" s="311"/>
      <c r="T129" s="311"/>
      <c r="U129" s="311"/>
      <c r="V129" s="362"/>
      <c r="W129" s="311"/>
      <c r="X129" s="311"/>
      <c r="Y129" s="316"/>
      <c r="Z129" s="316"/>
      <c r="AA129" s="316"/>
      <c r="AB129" s="316"/>
      <c r="AC129" s="316"/>
      <c r="AD129" s="316"/>
      <c r="AE129"/>
      <c r="AF129" s="316"/>
      <c r="AG129" s="316"/>
      <c r="AH129" s="316"/>
      <c r="AI129" s="316"/>
      <c r="AJ129" s="316"/>
      <c r="AK129" s="316"/>
      <c r="AL129" s="316"/>
      <c r="AM129" s="316"/>
      <c r="AN129" s="316"/>
      <c r="AO129" s="316"/>
      <c r="AP129" s="316"/>
      <c r="AQ129" s="316"/>
      <c r="AR129" s="316"/>
      <c r="AS129" s="316"/>
      <c r="AT129" s="316"/>
    </row>
    <row r="130" spans="1:46" ht="14.45">
      <c r="A130" s="340"/>
      <c r="B130" s="316"/>
      <c r="C130" s="340"/>
      <c r="D130" s="316"/>
      <c r="E130" s="316"/>
      <c r="F130" s="340"/>
      <c r="G130" s="316"/>
      <c r="H130" s="316"/>
      <c r="I130" s="316"/>
      <c r="J130" s="316"/>
      <c r="K130" s="404"/>
      <c r="L130" s="316"/>
      <c r="M130" s="407"/>
      <c r="N130" s="311"/>
      <c r="O130" s="362"/>
      <c r="P130" s="311"/>
      <c r="Q130" s="412"/>
      <c r="R130" s="311"/>
      <c r="S130" s="311"/>
      <c r="T130" s="311"/>
      <c r="U130" s="311"/>
      <c r="V130" s="362"/>
      <c r="W130" s="311"/>
      <c r="X130" s="311"/>
      <c r="Y130" s="316"/>
      <c r="Z130" s="316"/>
      <c r="AA130" s="316"/>
      <c r="AB130" s="316"/>
      <c r="AC130" s="316"/>
      <c r="AD130" s="316"/>
      <c r="AE130"/>
      <c r="AF130" s="316"/>
      <c r="AG130" s="316"/>
      <c r="AH130" s="316"/>
      <c r="AI130" s="316"/>
      <c r="AJ130" s="316"/>
      <c r="AK130" s="316"/>
      <c r="AL130" s="316"/>
      <c r="AM130" s="316"/>
      <c r="AN130" s="316"/>
      <c r="AO130" s="316"/>
      <c r="AP130" s="316"/>
      <c r="AQ130" s="316"/>
      <c r="AR130" s="316"/>
      <c r="AS130" s="316"/>
      <c r="AT130" s="316"/>
    </row>
    <row r="131" spans="1:46" ht="14.45">
      <c r="A131" s="340"/>
      <c r="B131" s="316"/>
      <c r="C131" s="340"/>
      <c r="D131" s="316"/>
      <c r="E131" s="316"/>
      <c r="F131" s="340"/>
      <c r="G131" s="316"/>
      <c r="H131" s="316"/>
      <c r="I131" s="316"/>
      <c r="J131" s="316"/>
      <c r="K131" s="404"/>
      <c r="L131" s="316"/>
      <c r="M131" s="407"/>
      <c r="N131" s="311"/>
      <c r="O131" s="362"/>
      <c r="P131" s="311"/>
      <c r="Q131" s="412"/>
      <c r="R131" s="311"/>
      <c r="S131" s="311"/>
      <c r="T131" s="311"/>
      <c r="U131" s="311"/>
      <c r="V131" s="362"/>
      <c r="W131" s="311"/>
      <c r="X131" s="311"/>
      <c r="Y131" s="316"/>
      <c r="Z131" s="316"/>
      <c r="AA131" s="316"/>
      <c r="AB131" s="316"/>
      <c r="AC131" s="316"/>
      <c r="AD131" s="316"/>
      <c r="AE131"/>
      <c r="AF131" s="316"/>
      <c r="AG131" s="316"/>
      <c r="AH131" s="316"/>
      <c r="AI131" s="316"/>
      <c r="AJ131" s="316"/>
      <c r="AK131" s="316"/>
      <c r="AL131" s="316"/>
      <c r="AM131" s="316"/>
      <c r="AN131" s="316"/>
      <c r="AO131" s="316"/>
      <c r="AP131" s="316"/>
      <c r="AQ131" s="316"/>
      <c r="AR131" s="316"/>
      <c r="AS131" s="316"/>
      <c r="AT131" s="316"/>
    </row>
    <row r="132" spans="1:46" ht="14.45">
      <c r="A132" s="340"/>
      <c r="B132" s="316"/>
      <c r="C132" s="340"/>
      <c r="D132" s="316"/>
      <c r="E132" s="316"/>
      <c r="F132" s="340"/>
      <c r="G132" s="316"/>
      <c r="H132" s="316"/>
      <c r="I132" s="316"/>
      <c r="J132" s="316"/>
      <c r="K132" s="404"/>
      <c r="L132" s="316"/>
      <c r="M132" s="407"/>
      <c r="N132" s="311"/>
      <c r="O132" s="362"/>
      <c r="P132" s="311"/>
      <c r="Q132" s="412"/>
      <c r="R132" s="311"/>
      <c r="S132" s="311"/>
      <c r="T132" s="311"/>
      <c r="U132" s="311"/>
      <c r="V132" s="362"/>
      <c r="W132" s="311"/>
      <c r="X132" s="311"/>
      <c r="Y132" s="316"/>
      <c r="Z132" s="316"/>
      <c r="AA132" s="316"/>
      <c r="AB132" s="316"/>
      <c r="AC132" s="316"/>
      <c r="AD132" s="316"/>
      <c r="AE132"/>
      <c r="AF132" s="316"/>
      <c r="AG132" s="316"/>
      <c r="AH132" s="316"/>
      <c r="AI132" s="316"/>
      <c r="AJ132" s="316"/>
      <c r="AK132" s="316"/>
      <c r="AL132" s="316"/>
      <c r="AM132" s="316"/>
      <c r="AN132" s="316"/>
      <c r="AO132" s="316"/>
      <c r="AP132" s="316"/>
      <c r="AQ132" s="316"/>
      <c r="AR132" s="316"/>
      <c r="AS132" s="316"/>
      <c r="AT132" s="316"/>
    </row>
    <row r="133" spans="1:46" ht="14.45">
      <c r="A133" s="340"/>
      <c r="B133" s="316"/>
      <c r="C133" s="340"/>
      <c r="D133" s="316"/>
      <c r="E133" s="316"/>
      <c r="F133" s="340"/>
      <c r="G133" s="316"/>
      <c r="H133" s="316"/>
      <c r="I133" s="316"/>
      <c r="J133" s="316"/>
      <c r="K133" s="404"/>
      <c r="L133" s="316"/>
      <c r="M133" s="407"/>
      <c r="N133" s="311"/>
      <c r="O133" s="362"/>
      <c r="P133" s="311"/>
      <c r="Q133" s="412"/>
      <c r="R133" s="311"/>
      <c r="S133" s="311"/>
      <c r="T133" s="311"/>
      <c r="U133" s="311"/>
      <c r="V133" s="362"/>
      <c r="W133" s="311"/>
      <c r="X133" s="311"/>
      <c r="Y133" s="316"/>
      <c r="Z133" s="316"/>
      <c r="AA133" s="316"/>
      <c r="AB133" s="316"/>
      <c r="AC133" s="316"/>
      <c r="AD133" s="316"/>
      <c r="AE133"/>
      <c r="AF133" s="316"/>
      <c r="AG133" s="316"/>
      <c r="AH133" s="316"/>
      <c r="AI133" s="316"/>
      <c r="AJ133" s="316"/>
      <c r="AK133" s="316"/>
      <c r="AL133" s="316"/>
      <c r="AM133" s="316"/>
      <c r="AN133" s="316"/>
      <c r="AO133" s="316"/>
      <c r="AP133" s="316"/>
      <c r="AQ133" s="316"/>
      <c r="AR133" s="316"/>
      <c r="AS133" s="316"/>
      <c r="AT133" s="316"/>
    </row>
    <row r="134" spans="1:46" ht="14.45">
      <c r="A134" s="340"/>
      <c r="B134" s="316"/>
      <c r="C134" s="340"/>
      <c r="D134" s="316"/>
      <c r="E134" s="316"/>
      <c r="F134" s="340"/>
      <c r="G134" s="316"/>
      <c r="H134" s="316"/>
      <c r="I134" s="316"/>
      <c r="J134" s="316"/>
      <c r="K134" s="404"/>
      <c r="L134" s="316"/>
      <c r="M134" s="407"/>
      <c r="N134" s="311"/>
      <c r="O134" s="362"/>
      <c r="P134" s="311"/>
      <c r="Q134" s="412"/>
      <c r="R134" s="311"/>
      <c r="S134" s="311"/>
      <c r="T134" s="311"/>
      <c r="U134" s="311"/>
      <c r="V134" s="362"/>
      <c r="W134" s="311"/>
      <c r="X134" s="311"/>
      <c r="Y134" s="316"/>
      <c r="Z134" s="316"/>
      <c r="AA134" s="316"/>
      <c r="AB134" s="316"/>
      <c r="AC134" s="316"/>
      <c r="AD134" s="316"/>
      <c r="AE134"/>
      <c r="AF134" s="316"/>
      <c r="AG134" s="316"/>
      <c r="AH134" s="316"/>
      <c r="AI134" s="316"/>
      <c r="AJ134" s="316"/>
      <c r="AK134" s="316"/>
      <c r="AL134" s="316"/>
      <c r="AM134" s="316"/>
      <c r="AN134" s="316"/>
      <c r="AO134" s="316"/>
      <c r="AP134" s="316"/>
      <c r="AQ134" s="316"/>
      <c r="AR134" s="316"/>
      <c r="AS134" s="316"/>
      <c r="AT134" s="316"/>
    </row>
    <row r="135" spans="1:46" ht="14.45">
      <c r="A135" s="340"/>
      <c r="B135" s="316"/>
      <c r="C135" s="340"/>
      <c r="D135" s="316"/>
      <c r="E135" s="316"/>
      <c r="F135" s="340"/>
      <c r="G135" s="316"/>
      <c r="H135" s="316"/>
      <c r="I135" s="316"/>
      <c r="J135" s="316"/>
      <c r="K135" s="404"/>
      <c r="L135" s="316"/>
      <c r="M135" s="407"/>
      <c r="N135" s="311"/>
      <c r="O135" s="362"/>
      <c r="P135" s="311"/>
      <c r="Q135" s="412"/>
      <c r="R135" s="311"/>
      <c r="S135" s="311"/>
      <c r="T135" s="311"/>
      <c r="U135" s="311"/>
      <c r="V135" s="362"/>
      <c r="W135" s="311"/>
      <c r="X135" s="311"/>
      <c r="Y135" s="316"/>
      <c r="Z135" s="316"/>
      <c r="AA135" s="316"/>
      <c r="AB135" s="316"/>
      <c r="AC135" s="316"/>
      <c r="AD135" s="316"/>
      <c r="AE135"/>
      <c r="AF135" s="316"/>
      <c r="AG135" s="316"/>
      <c r="AH135" s="316"/>
      <c r="AI135" s="316"/>
      <c r="AJ135" s="316"/>
      <c r="AK135" s="316"/>
      <c r="AL135" s="316"/>
      <c r="AM135" s="316"/>
      <c r="AN135" s="316"/>
      <c r="AO135" s="316"/>
      <c r="AP135" s="316"/>
      <c r="AQ135" s="316"/>
      <c r="AR135" s="316"/>
      <c r="AS135" s="316"/>
      <c r="AT135" s="316"/>
    </row>
    <row r="136" spans="1:46" ht="14.45">
      <c r="A136" s="340"/>
      <c r="B136" s="316"/>
      <c r="C136" s="340"/>
      <c r="D136" s="316"/>
      <c r="E136" s="316"/>
      <c r="F136" s="340"/>
      <c r="G136" s="316"/>
      <c r="H136" s="316"/>
      <c r="I136" s="316"/>
      <c r="J136" s="316"/>
      <c r="K136" s="404"/>
      <c r="L136" s="316"/>
      <c r="M136" s="407"/>
      <c r="N136" s="311"/>
      <c r="O136" s="362"/>
      <c r="P136" s="311"/>
      <c r="Q136" s="412"/>
      <c r="R136" s="311"/>
      <c r="S136" s="311"/>
      <c r="T136" s="311"/>
      <c r="U136" s="311"/>
      <c r="V136" s="362"/>
      <c r="W136" s="311"/>
      <c r="X136" s="311"/>
      <c r="Y136" s="316"/>
      <c r="Z136" s="316"/>
      <c r="AA136" s="316"/>
      <c r="AB136" s="316"/>
      <c r="AC136" s="316"/>
      <c r="AD136" s="316"/>
      <c r="AE136"/>
      <c r="AF136" s="316"/>
      <c r="AG136" s="316"/>
      <c r="AH136" s="316"/>
      <c r="AI136" s="316"/>
      <c r="AJ136" s="316"/>
      <c r="AK136" s="316"/>
      <c r="AL136" s="316"/>
      <c r="AM136" s="316"/>
      <c r="AN136" s="316"/>
      <c r="AO136" s="316"/>
      <c r="AP136" s="316"/>
      <c r="AQ136" s="316"/>
      <c r="AR136" s="316"/>
      <c r="AS136" s="316"/>
      <c r="AT136" s="316"/>
    </row>
    <row r="137" spans="1:46" ht="14.45">
      <c r="A137" s="340"/>
      <c r="B137" s="316"/>
      <c r="C137" s="340"/>
      <c r="D137" s="316"/>
      <c r="E137" s="316"/>
      <c r="F137" s="340"/>
      <c r="G137" s="316"/>
      <c r="H137" s="316"/>
      <c r="I137" s="316"/>
      <c r="J137" s="316"/>
      <c r="K137" s="404"/>
      <c r="L137" s="316"/>
      <c r="M137" s="407"/>
      <c r="N137" s="311"/>
      <c r="O137" s="362"/>
      <c r="P137" s="311"/>
      <c r="Q137" s="412"/>
      <c r="R137" s="311"/>
      <c r="S137" s="311"/>
      <c r="T137" s="311"/>
      <c r="U137" s="311"/>
      <c r="V137" s="362"/>
      <c r="W137" s="311"/>
      <c r="X137" s="311"/>
      <c r="Y137" s="316"/>
      <c r="Z137" s="316"/>
      <c r="AA137" s="316"/>
      <c r="AB137" s="316"/>
      <c r="AC137" s="316"/>
      <c r="AD137" s="316"/>
      <c r="AE137"/>
      <c r="AF137" s="316"/>
      <c r="AG137" s="316"/>
      <c r="AH137" s="316"/>
      <c r="AI137" s="316"/>
      <c r="AJ137" s="316"/>
      <c r="AK137" s="316"/>
      <c r="AL137" s="316"/>
      <c r="AM137" s="316"/>
      <c r="AN137" s="316"/>
      <c r="AO137" s="316"/>
      <c r="AP137" s="316"/>
      <c r="AQ137" s="316"/>
      <c r="AR137" s="316"/>
      <c r="AS137" s="316"/>
      <c r="AT137" s="316"/>
    </row>
    <row r="138" spans="1:46" ht="14.45">
      <c r="A138" s="340"/>
      <c r="B138" s="316"/>
      <c r="C138" s="340"/>
      <c r="D138" s="316"/>
      <c r="E138" s="316"/>
      <c r="F138" s="340"/>
      <c r="G138" s="316"/>
      <c r="H138" s="316"/>
      <c r="I138" s="316"/>
      <c r="J138" s="316"/>
      <c r="K138" s="404"/>
      <c r="L138" s="316"/>
      <c r="M138" s="407"/>
      <c r="N138" s="311"/>
      <c r="O138" s="362"/>
      <c r="P138" s="311"/>
      <c r="Q138" s="412"/>
      <c r="R138" s="311"/>
      <c r="S138" s="311"/>
      <c r="T138" s="311"/>
      <c r="U138" s="311"/>
      <c r="V138" s="362"/>
      <c r="W138" s="311"/>
      <c r="X138" s="311"/>
      <c r="Y138" s="316"/>
      <c r="Z138" s="316"/>
      <c r="AA138" s="316"/>
      <c r="AB138" s="316"/>
      <c r="AC138" s="316"/>
      <c r="AD138" s="316"/>
      <c r="AE138"/>
      <c r="AF138" s="316"/>
      <c r="AG138" s="316"/>
      <c r="AH138" s="316"/>
      <c r="AI138" s="316"/>
      <c r="AJ138" s="316"/>
      <c r="AK138" s="316"/>
      <c r="AL138" s="316"/>
      <c r="AM138" s="316"/>
      <c r="AN138" s="316"/>
      <c r="AO138" s="316"/>
      <c r="AP138" s="316"/>
      <c r="AQ138" s="316"/>
      <c r="AR138" s="316"/>
      <c r="AS138" s="316"/>
      <c r="AT138" s="316"/>
    </row>
    <row r="139" spans="1:46" ht="14.45">
      <c r="A139" s="340"/>
      <c r="B139" s="316"/>
      <c r="C139" s="340"/>
      <c r="D139" s="316"/>
      <c r="E139" s="316"/>
      <c r="F139" s="340"/>
      <c r="G139" s="316"/>
      <c r="H139" s="316"/>
      <c r="I139" s="316"/>
      <c r="J139" s="316"/>
      <c r="K139" s="404"/>
      <c r="L139" s="316"/>
      <c r="M139" s="407"/>
      <c r="N139" s="311"/>
      <c r="O139" s="362"/>
      <c r="P139" s="311"/>
      <c r="Q139" s="412"/>
      <c r="R139" s="311"/>
      <c r="S139" s="311"/>
      <c r="T139" s="311"/>
      <c r="U139" s="311"/>
      <c r="V139" s="362"/>
      <c r="W139" s="311"/>
      <c r="X139" s="311"/>
      <c r="Y139" s="316"/>
      <c r="Z139" s="316"/>
      <c r="AA139" s="316"/>
      <c r="AB139" s="316"/>
      <c r="AC139" s="316"/>
      <c r="AD139" s="316"/>
      <c r="AE139"/>
      <c r="AF139" s="316"/>
      <c r="AG139" s="316"/>
      <c r="AH139" s="316"/>
      <c r="AI139" s="316"/>
      <c r="AJ139" s="316"/>
      <c r="AK139" s="316"/>
      <c r="AL139" s="316"/>
      <c r="AM139" s="316"/>
      <c r="AN139" s="316"/>
      <c r="AO139" s="316"/>
      <c r="AP139" s="316"/>
      <c r="AQ139" s="316"/>
      <c r="AR139" s="316"/>
      <c r="AS139" s="316"/>
      <c r="AT139" s="316"/>
    </row>
    <row r="140" spans="1:46" ht="14.45">
      <c r="A140" s="340"/>
      <c r="B140" s="316"/>
      <c r="C140" s="340"/>
      <c r="D140" s="316"/>
      <c r="E140" s="316"/>
      <c r="F140" s="340"/>
      <c r="G140" s="316"/>
      <c r="H140" s="316"/>
      <c r="I140" s="316"/>
      <c r="J140" s="316"/>
      <c r="K140" s="404"/>
      <c r="L140" s="316"/>
      <c r="M140" s="407"/>
      <c r="N140" s="311"/>
      <c r="O140" s="362"/>
      <c r="P140" s="311"/>
      <c r="Q140" s="412"/>
      <c r="R140" s="311"/>
      <c r="S140" s="311"/>
      <c r="T140" s="311"/>
      <c r="U140" s="311"/>
      <c r="V140" s="362"/>
      <c r="W140" s="311"/>
      <c r="X140" s="311"/>
      <c r="Y140" s="316"/>
      <c r="Z140" s="316"/>
      <c r="AA140" s="316"/>
      <c r="AB140" s="316"/>
      <c r="AC140" s="316"/>
      <c r="AD140" s="316"/>
      <c r="AE140"/>
      <c r="AF140" s="316"/>
      <c r="AG140" s="316"/>
      <c r="AH140" s="316"/>
      <c r="AI140" s="316"/>
      <c r="AJ140" s="316"/>
      <c r="AK140" s="316"/>
      <c r="AL140" s="316"/>
      <c r="AM140" s="316"/>
      <c r="AN140" s="316"/>
      <c r="AO140" s="316"/>
      <c r="AP140" s="316"/>
      <c r="AQ140" s="316"/>
      <c r="AR140" s="316"/>
      <c r="AS140" s="316"/>
      <c r="AT140" s="316"/>
    </row>
    <row r="141" spans="1:46" ht="14.45">
      <c r="A141" s="340"/>
      <c r="B141" s="316"/>
      <c r="C141" s="340"/>
      <c r="D141" s="316"/>
      <c r="E141" s="316"/>
      <c r="F141" s="340"/>
      <c r="G141" s="316"/>
      <c r="H141" s="316"/>
      <c r="I141" s="316"/>
      <c r="J141" s="316"/>
      <c r="K141" s="404"/>
      <c r="L141" s="316"/>
      <c r="M141" s="407"/>
      <c r="N141" s="311"/>
      <c r="O141" s="362"/>
      <c r="P141" s="311"/>
      <c r="Q141" s="412"/>
      <c r="R141" s="311"/>
      <c r="S141" s="311"/>
      <c r="T141" s="311"/>
      <c r="U141" s="311"/>
      <c r="V141" s="362"/>
      <c r="W141" s="311"/>
      <c r="X141" s="311"/>
      <c r="Y141" s="316"/>
      <c r="Z141" s="316"/>
      <c r="AA141" s="316"/>
      <c r="AB141" s="316"/>
      <c r="AC141" s="316"/>
      <c r="AD141" s="316"/>
      <c r="AE141"/>
      <c r="AF141" s="316"/>
      <c r="AG141" s="316"/>
      <c r="AH141" s="316"/>
      <c r="AI141" s="316"/>
      <c r="AJ141" s="316"/>
      <c r="AK141" s="316"/>
      <c r="AL141" s="316"/>
      <c r="AM141" s="316"/>
      <c r="AN141" s="316"/>
      <c r="AO141" s="316"/>
      <c r="AP141" s="316"/>
      <c r="AQ141" s="316"/>
      <c r="AR141" s="316"/>
      <c r="AS141" s="316"/>
      <c r="AT141" s="316"/>
    </row>
    <row r="142" spans="1:46" ht="14.45">
      <c r="A142" s="340"/>
      <c r="B142" s="316"/>
      <c r="C142" s="340"/>
      <c r="D142" s="316"/>
      <c r="E142" s="316"/>
      <c r="F142" s="340"/>
      <c r="G142" s="316"/>
      <c r="H142" s="316"/>
      <c r="I142" s="316"/>
      <c r="J142" s="316"/>
      <c r="K142" s="404"/>
      <c r="L142" s="316"/>
      <c r="M142" s="407"/>
      <c r="N142" s="311"/>
      <c r="O142" s="362"/>
      <c r="P142" s="311"/>
      <c r="Q142" s="412"/>
      <c r="R142" s="311"/>
      <c r="S142" s="311"/>
      <c r="T142" s="311"/>
      <c r="U142" s="311"/>
      <c r="V142" s="362"/>
      <c r="W142" s="311"/>
      <c r="X142" s="311"/>
      <c r="Y142" s="316"/>
      <c r="Z142" s="316"/>
      <c r="AA142" s="316"/>
      <c r="AB142" s="316"/>
      <c r="AC142" s="316"/>
      <c r="AD142" s="316"/>
      <c r="AE142"/>
      <c r="AF142" s="316"/>
      <c r="AG142" s="316"/>
      <c r="AH142" s="316"/>
      <c r="AI142" s="316"/>
      <c r="AJ142" s="316"/>
      <c r="AK142" s="316"/>
      <c r="AL142" s="316"/>
      <c r="AM142" s="316"/>
      <c r="AN142" s="316"/>
      <c r="AO142" s="316"/>
      <c r="AP142" s="316"/>
      <c r="AQ142" s="316"/>
      <c r="AR142" s="316"/>
      <c r="AS142" s="316"/>
      <c r="AT142" s="316"/>
    </row>
    <row r="143" spans="1:46" ht="14.45">
      <c r="A143" s="340"/>
      <c r="B143" s="316"/>
      <c r="C143" s="340"/>
      <c r="D143" s="316"/>
      <c r="E143" s="316"/>
      <c r="F143" s="340"/>
      <c r="G143" s="316"/>
      <c r="H143" s="316"/>
      <c r="I143" s="316"/>
      <c r="J143" s="316"/>
      <c r="K143" s="404"/>
      <c r="L143" s="316"/>
      <c r="M143" s="407"/>
      <c r="N143" s="311"/>
      <c r="O143" s="362"/>
      <c r="P143" s="311"/>
      <c r="Q143" s="412"/>
      <c r="R143" s="311"/>
      <c r="S143" s="311"/>
      <c r="T143" s="311"/>
      <c r="U143" s="311"/>
      <c r="V143" s="362"/>
      <c r="W143" s="311"/>
      <c r="X143" s="311"/>
      <c r="Y143" s="316"/>
      <c r="Z143" s="316"/>
      <c r="AA143" s="316"/>
      <c r="AB143" s="316"/>
      <c r="AC143" s="316"/>
      <c r="AD143" s="316"/>
      <c r="AE143"/>
      <c r="AF143" s="316"/>
      <c r="AG143" s="316"/>
      <c r="AH143" s="316"/>
      <c r="AI143" s="316"/>
      <c r="AJ143" s="316"/>
      <c r="AK143" s="316"/>
      <c r="AL143" s="316"/>
      <c r="AM143" s="316"/>
      <c r="AN143" s="316"/>
      <c r="AO143" s="316"/>
      <c r="AP143" s="316"/>
      <c r="AQ143" s="316"/>
      <c r="AR143" s="316"/>
      <c r="AS143" s="316"/>
      <c r="AT143" s="316"/>
    </row>
    <row r="144" spans="1:46" ht="14.45">
      <c r="A144" s="340"/>
      <c r="B144" s="316"/>
      <c r="C144" s="340"/>
      <c r="D144" s="316"/>
      <c r="E144" s="316"/>
      <c r="F144" s="340"/>
      <c r="G144" s="316"/>
      <c r="H144" s="316"/>
      <c r="I144" s="316"/>
      <c r="J144" s="316"/>
      <c r="K144" s="404"/>
      <c r="L144" s="316"/>
      <c r="M144" s="407"/>
      <c r="N144" s="311"/>
      <c r="O144" s="362"/>
      <c r="P144" s="311"/>
      <c r="Q144" s="412"/>
      <c r="R144" s="311"/>
      <c r="S144" s="311"/>
      <c r="T144" s="311"/>
      <c r="U144" s="311"/>
      <c r="V144" s="362"/>
      <c r="W144" s="311"/>
      <c r="X144" s="311"/>
      <c r="Y144" s="316"/>
      <c r="Z144" s="316"/>
      <c r="AA144" s="316"/>
      <c r="AB144" s="316"/>
      <c r="AC144" s="316"/>
      <c r="AD144" s="316"/>
      <c r="AE144"/>
      <c r="AF144" s="316"/>
      <c r="AG144" s="316"/>
      <c r="AH144" s="316"/>
      <c r="AI144" s="316"/>
      <c r="AJ144" s="316"/>
      <c r="AK144" s="316"/>
      <c r="AL144" s="316"/>
      <c r="AM144" s="316"/>
      <c r="AN144" s="316"/>
      <c r="AO144" s="316"/>
      <c r="AP144" s="316"/>
      <c r="AQ144" s="316"/>
      <c r="AR144" s="316"/>
      <c r="AS144" s="316"/>
      <c r="AT144" s="316"/>
    </row>
    <row r="145" spans="1:46" ht="14.45">
      <c r="A145" s="340"/>
      <c r="B145" s="316"/>
      <c r="C145" s="340"/>
      <c r="D145" s="316"/>
      <c r="E145" s="316"/>
      <c r="F145" s="340"/>
      <c r="G145" s="316"/>
      <c r="H145" s="316"/>
      <c r="I145" s="316"/>
      <c r="J145" s="316"/>
      <c r="K145" s="404"/>
      <c r="L145" s="316"/>
      <c r="M145" s="407"/>
      <c r="N145" s="311"/>
      <c r="O145" s="362"/>
      <c r="P145" s="311"/>
      <c r="Q145" s="412"/>
      <c r="R145" s="311"/>
      <c r="S145" s="311"/>
      <c r="T145" s="311"/>
      <c r="U145" s="311"/>
      <c r="V145" s="362"/>
      <c r="W145" s="311"/>
      <c r="X145" s="311"/>
      <c r="Y145" s="316"/>
      <c r="Z145" s="316"/>
      <c r="AA145" s="316"/>
      <c r="AB145" s="316"/>
      <c r="AC145" s="316"/>
      <c r="AD145" s="316"/>
      <c r="AE145"/>
      <c r="AF145" s="316"/>
      <c r="AG145" s="316"/>
      <c r="AH145" s="316"/>
      <c r="AI145" s="316"/>
      <c r="AJ145" s="316"/>
      <c r="AK145" s="316"/>
      <c r="AL145" s="316"/>
      <c r="AM145" s="316"/>
      <c r="AN145" s="316"/>
      <c r="AO145" s="316"/>
      <c r="AP145" s="316"/>
      <c r="AQ145" s="316"/>
      <c r="AR145" s="316"/>
      <c r="AS145" s="316"/>
      <c r="AT145" s="316"/>
    </row>
    <row r="146" spans="1:46" ht="14.45">
      <c r="A146" s="340"/>
      <c r="B146" s="316"/>
      <c r="C146" s="340"/>
      <c r="D146" s="316"/>
      <c r="E146" s="316"/>
      <c r="F146" s="340"/>
      <c r="G146" s="316"/>
      <c r="H146" s="316"/>
      <c r="I146" s="316"/>
      <c r="J146" s="316"/>
      <c r="K146" s="404"/>
      <c r="L146" s="316"/>
      <c r="M146" s="407"/>
      <c r="N146" s="311"/>
      <c r="O146" s="362"/>
      <c r="P146" s="311"/>
      <c r="Q146" s="412"/>
      <c r="R146" s="311"/>
      <c r="S146" s="311"/>
      <c r="T146" s="311"/>
      <c r="U146" s="311"/>
      <c r="V146" s="362"/>
      <c r="W146" s="311"/>
      <c r="X146" s="311"/>
      <c r="Y146" s="316"/>
      <c r="Z146" s="316"/>
      <c r="AA146" s="316"/>
      <c r="AB146" s="316"/>
      <c r="AC146" s="316"/>
      <c r="AD146" s="316"/>
      <c r="AE146"/>
      <c r="AF146" s="316"/>
      <c r="AG146" s="316"/>
      <c r="AH146" s="316"/>
      <c r="AI146" s="316"/>
      <c r="AJ146" s="316"/>
      <c r="AK146" s="316"/>
      <c r="AL146" s="316"/>
      <c r="AM146" s="316"/>
      <c r="AN146" s="316"/>
      <c r="AO146" s="316"/>
      <c r="AP146" s="316"/>
      <c r="AQ146" s="316"/>
      <c r="AR146" s="316"/>
      <c r="AS146" s="316"/>
      <c r="AT146" s="316"/>
    </row>
    <row r="147" spans="1:46" ht="14.45">
      <c r="A147" s="340"/>
      <c r="B147" s="316"/>
      <c r="C147" s="340"/>
      <c r="D147" s="316"/>
      <c r="E147" s="316"/>
      <c r="F147" s="340"/>
      <c r="G147" s="316"/>
      <c r="H147" s="316"/>
      <c r="I147" s="316"/>
      <c r="J147" s="316"/>
      <c r="K147" s="404"/>
      <c r="L147" s="316"/>
      <c r="M147" s="407"/>
      <c r="N147" s="311"/>
      <c r="O147" s="362"/>
      <c r="P147" s="311"/>
      <c r="Q147" s="412"/>
      <c r="R147" s="311"/>
      <c r="S147" s="311"/>
      <c r="T147" s="311"/>
      <c r="U147" s="311"/>
      <c r="V147" s="362"/>
      <c r="W147" s="311"/>
      <c r="X147" s="311"/>
      <c r="Y147" s="316"/>
      <c r="Z147" s="316"/>
      <c r="AA147" s="316"/>
      <c r="AB147" s="316"/>
      <c r="AC147" s="316"/>
      <c r="AD147" s="316"/>
      <c r="AE147"/>
      <c r="AF147" s="316"/>
      <c r="AG147" s="316"/>
      <c r="AH147" s="316"/>
      <c r="AI147" s="316"/>
      <c r="AJ147" s="316"/>
      <c r="AK147" s="316"/>
      <c r="AL147" s="316"/>
      <c r="AM147" s="316"/>
      <c r="AN147" s="316"/>
      <c r="AO147" s="316"/>
      <c r="AP147" s="316"/>
      <c r="AQ147" s="316"/>
      <c r="AR147" s="316"/>
      <c r="AS147" s="316"/>
      <c r="AT147" s="316"/>
    </row>
    <row r="148" spans="1:46" ht="14.45">
      <c r="A148" s="340"/>
      <c r="B148" s="316"/>
      <c r="C148" s="340"/>
      <c r="D148" s="316"/>
      <c r="E148" s="316"/>
      <c r="F148" s="340"/>
      <c r="G148" s="316"/>
      <c r="H148" s="316"/>
      <c r="I148" s="316"/>
      <c r="J148" s="316"/>
      <c r="K148" s="404"/>
      <c r="L148" s="316"/>
      <c r="M148" s="407"/>
      <c r="N148" s="311"/>
      <c r="O148" s="362"/>
      <c r="P148" s="311"/>
      <c r="Q148" s="412"/>
      <c r="R148" s="311"/>
      <c r="S148" s="311"/>
      <c r="T148" s="311"/>
      <c r="U148" s="311"/>
      <c r="V148" s="362"/>
      <c r="W148" s="311"/>
      <c r="X148" s="311"/>
      <c r="Y148" s="316"/>
      <c r="Z148" s="316"/>
      <c r="AA148" s="316"/>
      <c r="AB148" s="316"/>
      <c r="AC148" s="316"/>
      <c r="AD148" s="316"/>
      <c r="AE148"/>
      <c r="AF148" s="316"/>
      <c r="AG148" s="316"/>
      <c r="AH148" s="316"/>
      <c r="AI148" s="316"/>
      <c r="AJ148" s="316"/>
      <c r="AK148" s="316"/>
      <c r="AL148" s="316"/>
      <c r="AM148" s="316"/>
      <c r="AN148" s="316"/>
      <c r="AO148" s="316"/>
      <c r="AP148" s="316"/>
      <c r="AQ148" s="316"/>
      <c r="AR148" s="316"/>
      <c r="AS148" s="316"/>
      <c r="AT148" s="316"/>
    </row>
    <row r="149" spans="1:46" ht="14.45">
      <c r="A149" s="340"/>
      <c r="B149" s="316"/>
      <c r="C149" s="340"/>
      <c r="D149" s="316"/>
      <c r="E149" s="316"/>
      <c r="F149" s="340"/>
      <c r="G149" s="316"/>
      <c r="H149" s="316"/>
      <c r="I149" s="316"/>
      <c r="J149" s="316"/>
      <c r="K149" s="404"/>
      <c r="L149" s="316"/>
      <c r="M149" s="407"/>
      <c r="N149" s="311"/>
      <c r="O149" s="362"/>
      <c r="P149" s="311"/>
      <c r="Q149" s="412"/>
      <c r="R149" s="311"/>
      <c r="S149" s="311"/>
      <c r="T149" s="311"/>
      <c r="U149" s="311"/>
      <c r="V149" s="362"/>
      <c r="W149" s="311"/>
      <c r="X149" s="311"/>
      <c r="Y149" s="316"/>
      <c r="Z149" s="316"/>
      <c r="AA149" s="316"/>
      <c r="AB149" s="316"/>
      <c r="AC149" s="316"/>
      <c r="AD149" s="316"/>
      <c r="AE149"/>
      <c r="AF149" s="316"/>
      <c r="AG149" s="316"/>
      <c r="AH149" s="316"/>
      <c r="AI149" s="316"/>
      <c r="AJ149" s="316"/>
      <c r="AK149" s="316"/>
      <c r="AL149" s="316"/>
      <c r="AM149" s="316"/>
      <c r="AN149" s="316"/>
      <c r="AO149" s="316"/>
      <c r="AP149" s="316"/>
      <c r="AQ149" s="316"/>
      <c r="AR149" s="316"/>
      <c r="AS149" s="316"/>
      <c r="AT149" s="316"/>
    </row>
    <row r="150" spans="1:46" ht="14.45">
      <c r="A150" s="340"/>
      <c r="B150" s="316"/>
      <c r="C150" s="340"/>
      <c r="D150" s="316"/>
      <c r="E150" s="316"/>
      <c r="F150" s="340"/>
      <c r="G150" s="316"/>
      <c r="H150" s="316"/>
      <c r="I150" s="316"/>
      <c r="J150" s="316"/>
      <c r="K150" s="404"/>
      <c r="L150" s="316"/>
      <c r="M150" s="407"/>
      <c r="N150" s="311"/>
      <c r="O150" s="362"/>
      <c r="P150" s="311"/>
      <c r="Q150" s="412"/>
      <c r="R150" s="311"/>
      <c r="S150" s="311"/>
      <c r="T150" s="311"/>
      <c r="U150" s="311"/>
      <c r="V150" s="362"/>
      <c r="W150" s="311"/>
      <c r="X150" s="311"/>
      <c r="Y150" s="316"/>
      <c r="Z150" s="316"/>
      <c r="AA150" s="316"/>
      <c r="AB150" s="316"/>
      <c r="AC150" s="316"/>
      <c r="AD150" s="316"/>
      <c r="AE150"/>
      <c r="AF150" s="316"/>
      <c r="AG150" s="316"/>
      <c r="AH150" s="316"/>
      <c r="AI150" s="316"/>
      <c r="AJ150" s="316"/>
      <c r="AK150" s="316"/>
      <c r="AL150" s="316"/>
      <c r="AM150" s="316"/>
      <c r="AN150" s="316"/>
      <c r="AO150" s="316"/>
      <c r="AP150" s="316"/>
      <c r="AQ150" s="316"/>
      <c r="AR150" s="316"/>
      <c r="AS150" s="316"/>
      <c r="AT150" s="316"/>
    </row>
    <row r="151" spans="1:46" ht="14.45">
      <c r="A151" s="340"/>
      <c r="B151" s="316"/>
      <c r="C151" s="340"/>
      <c r="D151" s="316"/>
      <c r="E151" s="316"/>
      <c r="F151" s="340"/>
      <c r="G151" s="316"/>
      <c r="H151" s="316"/>
      <c r="I151" s="316"/>
      <c r="J151" s="316"/>
      <c r="K151" s="404"/>
      <c r="L151" s="316"/>
      <c r="M151" s="407"/>
      <c r="N151" s="311"/>
      <c r="O151" s="362"/>
      <c r="P151" s="311"/>
      <c r="Q151" s="412"/>
      <c r="R151" s="311"/>
      <c r="S151" s="311"/>
      <c r="T151" s="311"/>
      <c r="U151" s="311"/>
      <c r="V151" s="362"/>
      <c r="W151" s="311"/>
      <c r="X151" s="311"/>
      <c r="Y151" s="316"/>
      <c r="Z151" s="316"/>
      <c r="AA151" s="316"/>
      <c r="AB151" s="316"/>
      <c r="AC151" s="316"/>
      <c r="AD151" s="316"/>
      <c r="AE151"/>
      <c r="AF151" s="316"/>
      <c r="AG151" s="316"/>
      <c r="AH151" s="316"/>
      <c r="AI151" s="316"/>
      <c r="AJ151" s="316"/>
      <c r="AK151" s="316"/>
      <c r="AL151" s="316"/>
      <c r="AM151" s="316"/>
      <c r="AN151" s="316"/>
      <c r="AO151" s="316"/>
      <c r="AP151" s="316"/>
      <c r="AQ151" s="316"/>
      <c r="AR151" s="316"/>
      <c r="AS151" s="316"/>
      <c r="AT151" s="316"/>
    </row>
    <row r="152" spans="1:46" ht="14.45">
      <c r="A152" s="340"/>
      <c r="B152" s="316"/>
      <c r="C152" s="340"/>
      <c r="D152" s="316"/>
      <c r="E152" s="316"/>
      <c r="F152" s="340"/>
      <c r="G152" s="316"/>
      <c r="H152" s="316"/>
      <c r="I152" s="316"/>
      <c r="J152" s="316"/>
      <c r="K152" s="404"/>
      <c r="L152" s="316"/>
      <c r="M152" s="407"/>
      <c r="N152" s="311"/>
      <c r="O152" s="362"/>
      <c r="P152" s="311"/>
      <c r="Q152" s="412"/>
      <c r="R152" s="311"/>
      <c r="S152" s="311"/>
      <c r="T152" s="311"/>
      <c r="U152" s="311"/>
      <c r="V152" s="362"/>
      <c r="W152" s="311"/>
      <c r="X152" s="311"/>
      <c r="Y152" s="316"/>
      <c r="Z152" s="316"/>
      <c r="AA152" s="316"/>
      <c r="AB152" s="316"/>
      <c r="AC152" s="316"/>
      <c r="AD152" s="316"/>
      <c r="AE152"/>
      <c r="AF152" s="316"/>
      <c r="AG152" s="316"/>
      <c r="AH152" s="316"/>
      <c r="AI152" s="316"/>
      <c r="AJ152" s="316"/>
      <c r="AK152" s="316"/>
      <c r="AL152" s="316"/>
      <c r="AM152" s="316"/>
      <c r="AN152" s="316"/>
      <c r="AO152" s="316"/>
      <c r="AP152" s="316"/>
      <c r="AQ152" s="316"/>
      <c r="AR152" s="316"/>
      <c r="AS152" s="316"/>
      <c r="AT152" s="316"/>
    </row>
    <row r="153" spans="1:46" ht="14.45">
      <c r="A153" s="340"/>
      <c r="B153" s="316"/>
      <c r="C153" s="340"/>
      <c r="D153" s="316"/>
      <c r="E153" s="316"/>
      <c r="F153" s="340"/>
      <c r="G153" s="316"/>
      <c r="H153" s="316"/>
      <c r="I153" s="316"/>
      <c r="J153" s="316"/>
      <c r="K153" s="404"/>
      <c r="L153" s="316"/>
      <c r="M153" s="407"/>
      <c r="N153" s="311"/>
      <c r="O153" s="362"/>
      <c r="P153" s="311"/>
      <c r="Q153" s="412"/>
      <c r="R153" s="311"/>
      <c r="S153" s="311"/>
      <c r="T153" s="311"/>
      <c r="U153" s="311"/>
      <c r="V153" s="362"/>
      <c r="W153" s="311"/>
      <c r="X153" s="311"/>
      <c r="Y153" s="316"/>
      <c r="Z153" s="316"/>
      <c r="AA153" s="316"/>
      <c r="AB153" s="316"/>
      <c r="AC153" s="316"/>
      <c r="AD153" s="316"/>
      <c r="AE153"/>
      <c r="AF153" s="316"/>
      <c r="AG153" s="316"/>
      <c r="AH153" s="316"/>
      <c r="AI153" s="316"/>
      <c r="AJ153" s="316"/>
      <c r="AK153" s="316"/>
      <c r="AL153" s="316"/>
      <c r="AM153" s="316"/>
      <c r="AN153" s="316"/>
      <c r="AO153" s="316"/>
      <c r="AP153" s="316"/>
      <c r="AQ153" s="316"/>
      <c r="AR153" s="316"/>
      <c r="AS153" s="316"/>
      <c r="AT153" s="316"/>
    </row>
    <row r="154" spans="1:46" ht="14.45">
      <c r="A154" s="340"/>
      <c r="B154" s="316"/>
      <c r="C154" s="340"/>
      <c r="D154" s="316"/>
      <c r="E154" s="316"/>
      <c r="F154" s="340"/>
      <c r="G154" s="316"/>
      <c r="H154" s="316"/>
      <c r="I154" s="316"/>
      <c r="J154" s="316"/>
      <c r="K154" s="404"/>
      <c r="L154" s="316"/>
      <c r="M154" s="407"/>
      <c r="N154" s="311"/>
      <c r="O154" s="362"/>
      <c r="P154" s="311"/>
      <c r="Q154" s="412"/>
      <c r="R154" s="311"/>
      <c r="S154" s="311"/>
      <c r="T154" s="311"/>
      <c r="U154" s="311"/>
      <c r="V154" s="362"/>
      <c r="W154" s="311"/>
      <c r="X154" s="311"/>
      <c r="Y154" s="316"/>
      <c r="Z154" s="316"/>
      <c r="AA154" s="316"/>
      <c r="AB154" s="316"/>
      <c r="AC154" s="316"/>
      <c r="AD154" s="316"/>
      <c r="AE154"/>
      <c r="AF154" s="316"/>
      <c r="AG154" s="316"/>
      <c r="AH154" s="316"/>
      <c r="AI154" s="316"/>
      <c r="AJ154" s="316"/>
      <c r="AK154" s="316"/>
      <c r="AL154" s="316"/>
      <c r="AM154" s="316"/>
      <c r="AN154" s="316"/>
      <c r="AO154" s="316"/>
      <c r="AP154" s="316"/>
      <c r="AQ154" s="316"/>
      <c r="AR154" s="316"/>
      <c r="AS154" s="316"/>
      <c r="AT154" s="316"/>
    </row>
    <row r="155" spans="1:46" ht="14.45">
      <c r="A155" s="340"/>
      <c r="B155" s="316"/>
      <c r="C155" s="340"/>
      <c r="D155" s="316"/>
      <c r="E155" s="316"/>
      <c r="F155" s="340"/>
      <c r="G155" s="316"/>
      <c r="H155" s="316"/>
      <c r="I155" s="316"/>
      <c r="J155" s="316"/>
      <c r="K155" s="404"/>
      <c r="L155" s="316"/>
      <c r="M155" s="407"/>
      <c r="N155" s="311"/>
      <c r="O155" s="362"/>
      <c r="P155" s="311"/>
      <c r="Q155" s="412"/>
      <c r="R155" s="311"/>
      <c r="S155" s="311"/>
      <c r="T155" s="311"/>
      <c r="U155" s="311"/>
      <c r="V155" s="362"/>
      <c r="W155" s="311"/>
      <c r="X155" s="311"/>
      <c r="Y155" s="316"/>
      <c r="Z155" s="316"/>
      <c r="AA155" s="316"/>
      <c r="AB155" s="316"/>
      <c r="AC155" s="316"/>
      <c r="AD155" s="316"/>
      <c r="AE155"/>
      <c r="AF155" s="316"/>
      <c r="AG155" s="316"/>
      <c r="AH155" s="316"/>
      <c r="AI155" s="316"/>
      <c r="AJ155" s="316"/>
      <c r="AK155" s="316"/>
      <c r="AL155" s="316"/>
      <c r="AM155" s="316"/>
      <c r="AN155" s="316"/>
      <c r="AO155" s="316"/>
      <c r="AP155" s="316"/>
      <c r="AQ155" s="316"/>
      <c r="AR155" s="316"/>
      <c r="AS155" s="316"/>
      <c r="AT155" s="316"/>
    </row>
    <row r="156" spans="1:46" ht="14.45">
      <c r="A156" s="340"/>
      <c r="B156" s="316"/>
      <c r="C156" s="340"/>
      <c r="D156" s="316"/>
      <c r="E156" s="316"/>
      <c r="F156" s="340"/>
      <c r="G156" s="316"/>
      <c r="H156" s="316"/>
      <c r="I156" s="316"/>
      <c r="J156" s="316"/>
      <c r="K156" s="404"/>
      <c r="L156" s="316"/>
      <c r="M156" s="407"/>
      <c r="N156" s="311"/>
      <c r="O156" s="362"/>
      <c r="P156" s="311"/>
      <c r="Q156" s="412"/>
      <c r="R156" s="311"/>
      <c r="S156" s="311"/>
      <c r="T156" s="311"/>
      <c r="U156" s="311"/>
      <c r="V156" s="362"/>
      <c r="W156" s="311"/>
      <c r="X156" s="311"/>
      <c r="Y156" s="316"/>
      <c r="Z156" s="316"/>
      <c r="AA156" s="316"/>
      <c r="AB156" s="316"/>
      <c r="AC156" s="316"/>
      <c r="AD156" s="316"/>
      <c r="AE156"/>
      <c r="AF156" s="316"/>
      <c r="AG156" s="316"/>
      <c r="AH156" s="316"/>
      <c r="AI156" s="316"/>
      <c r="AJ156" s="316"/>
      <c r="AK156" s="316"/>
      <c r="AL156" s="316"/>
      <c r="AM156" s="316"/>
      <c r="AN156" s="316"/>
      <c r="AO156" s="316"/>
      <c r="AP156" s="316"/>
      <c r="AQ156" s="316"/>
      <c r="AR156" s="316"/>
      <c r="AS156" s="316"/>
      <c r="AT156" s="316"/>
    </row>
    <row r="157" spans="1:46" ht="14.45">
      <c r="A157" s="340"/>
      <c r="B157" s="316"/>
      <c r="C157" s="340"/>
      <c r="D157" s="316"/>
      <c r="E157" s="316"/>
      <c r="F157" s="340"/>
      <c r="G157" s="316"/>
      <c r="H157" s="316"/>
      <c r="I157" s="316"/>
      <c r="J157" s="316"/>
      <c r="K157" s="404"/>
      <c r="L157" s="316"/>
      <c r="M157" s="407"/>
      <c r="N157" s="311"/>
      <c r="O157" s="362"/>
      <c r="P157" s="311"/>
      <c r="Q157" s="412"/>
      <c r="R157" s="311"/>
      <c r="S157" s="311"/>
      <c r="T157" s="311"/>
      <c r="U157" s="311"/>
      <c r="V157" s="362"/>
      <c r="W157" s="311"/>
      <c r="X157" s="311"/>
      <c r="Y157" s="316"/>
      <c r="Z157" s="316"/>
      <c r="AA157" s="316"/>
      <c r="AB157" s="316"/>
      <c r="AC157" s="316"/>
      <c r="AD157" s="316"/>
      <c r="AE157"/>
      <c r="AF157" s="316"/>
      <c r="AG157" s="316"/>
      <c r="AH157" s="316"/>
      <c r="AI157" s="316"/>
      <c r="AJ157" s="316"/>
      <c r="AK157" s="316"/>
      <c r="AL157" s="316"/>
      <c r="AM157" s="316"/>
      <c r="AN157" s="316"/>
      <c r="AO157" s="316"/>
      <c r="AP157" s="316"/>
      <c r="AQ157" s="316"/>
      <c r="AR157" s="316"/>
      <c r="AS157" s="316"/>
      <c r="AT157" s="316"/>
    </row>
    <row r="158" spans="1:46" ht="14.45">
      <c r="A158" s="340"/>
      <c r="B158" s="316"/>
      <c r="C158" s="340"/>
      <c r="D158" s="316"/>
      <c r="E158" s="316"/>
      <c r="F158" s="340"/>
      <c r="G158" s="316"/>
      <c r="H158" s="316"/>
      <c r="I158" s="316"/>
      <c r="J158" s="316"/>
      <c r="K158" s="404"/>
      <c r="L158" s="316"/>
      <c r="M158" s="407"/>
      <c r="N158" s="311"/>
      <c r="O158" s="362"/>
      <c r="P158" s="311"/>
      <c r="Q158" s="412"/>
      <c r="R158" s="311"/>
      <c r="S158" s="311"/>
      <c r="T158" s="311"/>
      <c r="U158" s="311"/>
      <c r="V158" s="362"/>
      <c r="W158" s="311"/>
      <c r="X158" s="311"/>
      <c r="Y158" s="316"/>
      <c r="Z158" s="316"/>
      <c r="AA158" s="316"/>
      <c r="AB158" s="316"/>
      <c r="AC158" s="316"/>
      <c r="AD158" s="316"/>
      <c r="AE158"/>
      <c r="AF158" s="316"/>
      <c r="AG158" s="316"/>
      <c r="AH158" s="316"/>
      <c r="AI158" s="316"/>
      <c r="AJ158" s="316"/>
      <c r="AK158" s="316"/>
      <c r="AL158" s="316"/>
      <c r="AM158" s="316"/>
      <c r="AN158" s="316"/>
      <c r="AO158" s="316"/>
      <c r="AP158" s="316"/>
      <c r="AQ158" s="316"/>
      <c r="AR158" s="316"/>
      <c r="AS158" s="316"/>
      <c r="AT158" s="316"/>
    </row>
    <row r="159" spans="1:46" ht="14.45">
      <c r="A159" s="340"/>
      <c r="B159" s="316"/>
      <c r="C159" s="340"/>
      <c r="D159" s="316"/>
      <c r="E159" s="316"/>
      <c r="F159" s="340"/>
      <c r="G159" s="316"/>
      <c r="H159" s="316"/>
      <c r="I159" s="316"/>
      <c r="J159" s="316"/>
      <c r="K159" s="404"/>
      <c r="L159" s="316"/>
      <c r="M159" s="407"/>
      <c r="N159" s="311"/>
      <c r="O159" s="362"/>
      <c r="P159" s="311"/>
      <c r="Q159" s="412"/>
      <c r="R159" s="311"/>
      <c r="S159" s="311"/>
      <c r="T159" s="311"/>
      <c r="U159" s="311"/>
      <c r="V159" s="362"/>
      <c r="W159" s="311"/>
      <c r="X159" s="311"/>
      <c r="Y159" s="316"/>
      <c r="Z159" s="316"/>
      <c r="AA159" s="316"/>
      <c r="AB159" s="316"/>
      <c r="AC159" s="316"/>
      <c r="AD159" s="316"/>
      <c r="AE159"/>
      <c r="AF159" s="316"/>
      <c r="AG159" s="316"/>
      <c r="AH159" s="316"/>
      <c r="AI159" s="316"/>
      <c r="AJ159" s="316"/>
      <c r="AK159" s="316"/>
      <c r="AL159" s="316"/>
      <c r="AM159" s="316"/>
      <c r="AN159" s="316"/>
      <c r="AO159" s="316"/>
      <c r="AP159" s="316"/>
      <c r="AQ159" s="316"/>
      <c r="AR159" s="316"/>
      <c r="AS159" s="316"/>
      <c r="AT159" s="316"/>
    </row>
    <row r="160" spans="1:46" ht="14.45">
      <c r="A160" s="340"/>
      <c r="B160" s="316"/>
      <c r="C160" s="340"/>
      <c r="D160" s="316"/>
      <c r="E160" s="316"/>
      <c r="F160" s="340"/>
      <c r="G160" s="316"/>
      <c r="H160" s="316"/>
      <c r="I160" s="316"/>
      <c r="J160" s="316"/>
      <c r="K160" s="404"/>
      <c r="L160" s="316"/>
      <c r="M160" s="407"/>
      <c r="N160" s="311"/>
      <c r="O160" s="362"/>
      <c r="P160" s="311"/>
      <c r="Q160" s="412"/>
      <c r="R160" s="311"/>
      <c r="S160" s="311"/>
      <c r="T160" s="311"/>
      <c r="U160" s="311"/>
      <c r="V160" s="362"/>
      <c r="W160" s="311"/>
      <c r="X160" s="311"/>
      <c r="Y160" s="316"/>
      <c r="Z160" s="316"/>
      <c r="AA160" s="316"/>
      <c r="AB160" s="316"/>
      <c r="AC160" s="316"/>
      <c r="AD160" s="316"/>
      <c r="AE160"/>
      <c r="AF160" s="316"/>
      <c r="AG160" s="316"/>
      <c r="AH160" s="316"/>
      <c r="AI160" s="316"/>
      <c r="AJ160" s="316"/>
      <c r="AK160" s="316"/>
      <c r="AL160" s="316"/>
      <c r="AM160" s="316"/>
      <c r="AN160" s="316"/>
      <c r="AO160" s="316"/>
      <c r="AP160" s="316"/>
      <c r="AQ160" s="316"/>
      <c r="AR160" s="316"/>
      <c r="AS160" s="316"/>
      <c r="AT160" s="316"/>
    </row>
    <row r="161" spans="1:46" ht="14.45">
      <c r="A161" s="340"/>
      <c r="B161" s="316"/>
      <c r="C161" s="340"/>
      <c r="D161" s="316"/>
      <c r="E161" s="316"/>
      <c r="F161" s="340"/>
      <c r="G161" s="316"/>
      <c r="H161" s="316"/>
      <c r="I161" s="316"/>
      <c r="J161" s="316"/>
      <c r="K161" s="404"/>
      <c r="L161" s="316"/>
      <c r="M161" s="407"/>
      <c r="N161" s="311"/>
      <c r="O161" s="362"/>
      <c r="P161" s="311"/>
      <c r="Q161" s="412"/>
      <c r="R161" s="311"/>
      <c r="S161" s="311"/>
      <c r="T161" s="311"/>
      <c r="U161" s="311"/>
      <c r="V161" s="362"/>
      <c r="W161" s="311"/>
      <c r="X161" s="311"/>
      <c r="Y161" s="316"/>
      <c r="Z161" s="316"/>
      <c r="AA161" s="316"/>
      <c r="AB161" s="316"/>
      <c r="AC161" s="316"/>
      <c r="AD161" s="316"/>
      <c r="AE161"/>
      <c r="AF161" s="316"/>
      <c r="AG161" s="316"/>
      <c r="AH161" s="316"/>
      <c r="AI161" s="316"/>
      <c r="AJ161" s="316"/>
      <c r="AK161" s="316"/>
      <c r="AL161" s="316"/>
      <c r="AM161" s="316"/>
      <c r="AN161" s="316"/>
      <c r="AO161" s="316"/>
      <c r="AP161" s="316"/>
      <c r="AQ161" s="316"/>
      <c r="AR161" s="316"/>
      <c r="AS161" s="316"/>
      <c r="AT161" s="316"/>
    </row>
    <row r="162" spans="1:46" ht="14.45">
      <c r="A162" s="340"/>
      <c r="B162" s="316"/>
      <c r="C162" s="340"/>
      <c r="D162" s="316"/>
      <c r="E162" s="316"/>
      <c r="F162" s="340"/>
      <c r="G162" s="316"/>
      <c r="H162" s="316"/>
      <c r="I162" s="316"/>
      <c r="J162" s="316"/>
      <c r="K162" s="404"/>
      <c r="L162" s="316"/>
      <c r="M162" s="407"/>
      <c r="N162" s="311"/>
      <c r="O162" s="362"/>
      <c r="P162" s="311"/>
      <c r="Q162" s="412"/>
      <c r="R162" s="311"/>
      <c r="S162" s="311"/>
      <c r="T162" s="311"/>
      <c r="U162" s="311"/>
      <c r="V162" s="362"/>
      <c r="W162" s="311"/>
      <c r="X162" s="311"/>
      <c r="Y162" s="316"/>
      <c r="Z162" s="316"/>
      <c r="AA162" s="316"/>
      <c r="AB162" s="316"/>
      <c r="AC162" s="316"/>
      <c r="AD162" s="316"/>
      <c r="AE162"/>
      <c r="AF162" s="316"/>
      <c r="AG162" s="316"/>
      <c r="AH162" s="316"/>
      <c r="AI162" s="316"/>
      <c r="AJ162" s="316"/>
      <c r="AK162" s="316"/>
      <c r="AL162" s="316"/>
      <c r="AM162" s="316"/>
      <c r="AN162" s="316"/>
      <c r="AO162" s="316"/>
      <c r="AP162" s="316"/>
      <c r="AQ162" s="316"/>
      <c r="AR162" s="316"/>
      <c r="AS162" s="316"/>
      <c r="AT162" s="316"/>
    </row>
    <row r="163" spans="1:46" ht="14.45">
      <c r="A163" s="340"/>
      <c r="B163" s="316"/>
      <c r="C163" s="340"/>
      <c r="D163" s="316"/>
      <c r="E163" s="316"/>
      <c r="F163" s="340"/>
      <c r="G163" s="316"/>
      <c r="H163" s="316"/>
      <c r="I163" s="316"/>
      <c r="J163" s="316"/>
      <c r="K163" s="404"/>
      <c r="L163" s="316"/>
      <c r="M163" s="407"/>
      <c r="N163" s="311"/>
      <c r="O163" s="362"/>
      <c r="P163" s="311"/>
      <c r="Q163" s="412"/>
      <c r="R163" s="311"/>
      <c r="S163" s="311"/>
      <c r="T163" s="311"/>
      <c r="U163" s="311"/>
      <c r="V163" s="362"/>
      <c r="W163" s="311"/>
      <c r="X163" s="311"/>
      <c r="Y163" s="316"/>
      <c r="Z163" s="316"/>
      <c r="AA163" s="316"/>
      <c r="AB163" s="316"/>
      <c r="AC163" s="316"/>
      <c r="AD163" s="316"/>
      <c r="AE163"/>
      <c r="AF163" s="316"/>
      <c r="AG163" s="316"/>
      <c r="AH163" s="316"/>
      <c r="AI163" s="316"/>
      <c r="AJ163" s="316"/>
      <c r="AK163" s="316"/>
      <c r="AL163" s="316"/>
      <c r="AM163" s="316"/>
      <c r="AN163" s="316"/>
      <c r="AO163" s="316"/>
      <c r="AP163" s="316"/>
      <c r="AQ163" s="316"/>
      <c r="AR163" s="316"/>
      <c r="AS163" s="316"/>
      <c r="AT163" s="316"/>
    </row>
    <row r="164" spans="1:46" ht="14.45">
      <c r="A164" s="340"/>
      <c r="B164" s="316"/>
      <c r="C164" s="340"/>
      <c r="D164" s="316"/>
      <c r="E164" s="316"/>
      <c r="F164" s="340"/>
      <c r="G164" s="316"/>
      <c r="H164" s="316"/>
      <c r="I164" s="316"/>
      <c r="J164" s="316"/>
      <c r="K164" s="404"/>
      <c r="L164" s="316"/>
      <c r="M164" s="407"/>
      <c r="N164" s="311"/>
      <c r="O164" s="362"/>
      <c r="P164" s="311"/>
      <c r="Q164" s="412"/>
      <c r="R164" s="311"/>
      <c r="S164" s="311"/>
      <c r="T164" s="311"/>
      <c r="U164" s="311"/>
      <c r="V164" s="362"/>
      <c r="W164" s="311"/>
      <c r="X164" s="311"/>
      <c r="Y164" s="316"/>
      <c r="Z164" s="316"/>
      <c r="AA164" s="316"/>
      <c r="AB164" s="316"/>
      <c r="AC164" s="316"/>
      <c r="AD164" s="316"/>
      <c r="AE164"/>
      <c r="AF164" s="316"/>
      <c r="AG164" s="316"/>
      <c r="AH164" s="316"/>
      <c r="AI164" s="316"/>
      <c r="AJ164" s="316"/>
      <c r="AK164" s="316"/>
      <c r="AL164" s="316"/>
      <c r="AM164" s="316"/>
      <c r="AN164" s="316"/>
      <c r="AO164" s="316"/>
      <c r="AP164" s="316"/>
      <c r="AQ164" s="316"/>
      <c r="AR164" s="316"/>
      <c r="AS164" s="316"/>
      <c r="AT164" s="316"/>
    </row>
    <row r="165" spans="1:46" ht="14.45">
      <c r="A165" s="340"/>
      <c r="B165" s="316"/>
      <c r="C165" s="340"/>
      <c r="D165" s="316"/>
      <c r="E165" s="316"/>
      <c r="F165" s="340"/>
      <c r="G165" s="316"/>
      <c r="H165" s="316"/>
      <c r="I165" s="316"/>
      <c r="J165" s="316"/>
      <c r="K165" s="404"/>
      <c r="L165" s="316"/>
      <c r="M165" s="407"/>
      <c r="N165" s="311"/>
      <c r="O165" s="362"/>
      <c r="P165" s="311"/>
      <c r="Q165" s="412"/>
      <c r="R165" s="311"/>
      <c r="S165" s="311"/>
      <c r="T165" s="311"/>
      <c r="U165" s="311"/>
      <c r="V165" s="362"/>
      <c r="W165" s="311"/>
      <c r="X165" s="311"/>
      <c r="Y165" s="316"/>
      <c r="Z165" s="316"/>
      <c r="AA165" s="316"/>
      <c r="AB165" s="316"/>
      <c r="AC165" s="316"/>
      <c r="AD165" s="316"/>
      <c r="AE165"/>
      <c r="AF165" s="316"/>
      <c r="AG165" s="316"/>
      <c r="AH165" s="316"/>
      <c r="AI165" s="316"/>
      <c r="AJ165" s="316"/>
      <c r="AK165" s="316"/>
      <c r="AL165" s="316"/>
      <c r="AM165" s="316"/>
      <c r="AN165" s="316"/>
      <c r="AO165" s="316"/>
      <c r="AP165" s="316"/>
      <c r="AQ165" s="316"/>
      <c r="AR165" s="316"/>
      <c r="AS165" s="316"/>
      <c r="AT165" s="316"/>
    </row>
    <row r="166" spans="1:46" ht="14.45">
      <c r="A166" s="340"/>
      <c r="B166" s="316"/>
      <c r="C166" s="340"/>
      <c r="D166" s="316"/>
      <c r="E166" s="316"/>
      <c r="F166" s="340"/>
      <c r="G166" s="316"/>
      <c r="H166" s="316"/>
      <c r="I166" s="316"/>
      <c r="J166" s="316"/>
      <c r="K166" s="404"/>
      <c r="L166" s="316"/>
      <c r="M166" s="407"/>
      <c r="N166" s="311"/>
      <c r="O166" s="362"/>
      <c r="P166" s="311"/>
      <c r="Q166" s="412"/>
      <c r="R166" s="311"/>
      <c r="S166" s="311"/>
      <c r="T166" s="311"/>
      <c r="U166" s="311"/>
      <c r="V166" s="362"/>
      <c r="W166" s="311"/>
      <c r="X166" s="311"/>
      <c r="Y166" s="316"/>
      <c r="Z166" s="316"/>
      <c r="AA166" s="316"/>
      <c r="AB166" s="316"/>
      <c r="AC166" s="316"/>
      <c r="AD166" s="316"/>
      <c r="AE166"/>
      <c r="AF166" s="316"/>
      <c r="AG166" s="316"/>
      <c r="AH166" s="316"/>
      <c r="AI166" s="316"/>
      <c r="AJ166" s="316"/>
      <c r="AK166" s="316"/>
      <c r="AL166" s="316"/>
      <c r="AM166" s="316"/>
      <c r="AN166" s="316"/>
      <c r="AO166" s="316"/>
      <c r="AP166" s="316"/>
      <c r="AQ166" s="316"/>
      <c r="AR166" s="316"/>
      <c r="AS166" s="316"/>
      <c r="AT166" s="316"/>
    </row>
    <row r="167" spans="1:46" ht="14.45">
      <c r="A167" s="340"/>
      <c r="B167" s="316"/>
      <c r="C167" s="340"/>
      <c r="D167" s="316"/>
      <c r="E167" s="316"/>
      <c r="F167" s="340"/>
      <c r="G167" s="316"/>
      <c r="H167" s="316"/>
      <c r="I167" s="316"/>
      <c r="J167" s="316"/>
      <c r="K167" s="404"/>
      <c r="L167" s="316"/>
      <c r="M167" s="407"/>
      <c r="N167" s="311"/>
      <c r="O167" s="362"/>
      <c r="P167" s="311"/>
      <c r="Q167" s="412"/>
      <c r="R167" s="311"/>
      <c r="S167" s="311"/>
      <c r="T167" s="311"/>
      <c r="U167" s="311"/>
      <c r="V167" s="362"/>
      <c r="W167" s="311"/>
      <c r="X167" s="311"/>
      <c r="Y167" s="316"/>
      <c r="Z167" s="316"/>
      <c r="AA167" s="316"/>
      <c r="AB167" s="316"/>
      <c r="AC167" s="316"/>
      <c r="AD167" s="316"/>
      <c r="AE167"/>
      <c r="AF167" s="316"/>
      <c r="AG167" s="316"/>
      <c r="AH167" s="316"/>
      <c r="AI167" s="316"/>
      <c r="AJ167" s="316"/>
      <c r="AK167" s="316"/>
      <c r="AL167" s="316"/>
      <c r="AM167" s="316"/>
      <c r="AN167" s="316"/>
      <c r="AO167" s="316"/>
      <c r="AP167" s="316"/>
      <c r="AQ167" s="316"/>
      <c r="AR167" s="316"/>
      <c r="AS167" s="316"/>
      <c r="AT167" s="316"/>
    </row>
    <row r="168" spans="1:46" ht="14.45">
      <c r="A168" s="340"/>
      <c r="B168" s="316"/>
      <c r="C168" s="340"/>
      <c r="D168" s="316"/>
      <c r="E168" s="316"/>
      <c r="F168" s="340"/>
      <c r="G168" s="316"/>
      <c r="H168" s="316"/>
      <c r="I168" s="316"/>
      <c r="J168" s="316"/>
      <c r="K168" s="404"/>
      <c r="L168" s="316"/>
      <c r="M168" s="407"/>
      <c r="N168" s="311"/>
      <c r="O168" s="362"/>
      <c r="P168" s="311"/>
      <c r="Q168" s="412"/>
      <c r="R168" s="311"/>
      <c r="S168" s="311"/>
      <c r="T168" s="311"/>
      <c r="U168" s="311"/>
      <c r="V168" s="362"/>
      <c r="W168" s="311"/>
      <c r="X168" s="311"/>
      <c r="Y168" s="316"/>
      <c r="Z168" s="316"/>
      <c r="AA168" s="316"/>
      <c r="AB168" s="316"/>
      <c r="AC168" s="316"/>
      <c r="AD168" s="316"/>
      <c r="AE168"/>
      <c r="AF168" s="316"/>
      <c r="AG168" s="316"/>
      <c r="AH168" s="316"/>
      <c r="AI168" s="316"/>
      <c r="AJ168" s="316"/>
      <c r="AK168" s="316"/>
      <c r="AL168" s="316"/>
      <c r="AM168" s="316"/>
      <c r="AN168" s="316"/>
      <c r="AO168" s="316"/>
      <c r="AP168" s="316"/>
      <c r="AQ168" s="316"/>
      <c r="AR168" s="316"/>
      <c r="AS168" s="316"/>
      <c r="AT168" s="316"/>
    </row>
    <row r="169" spans="1:46" ht="14.45">
      <c r="A169" s="340"/>
      <c r="B169" s="316"/>
      <c r="C169" s="340"/>
      <c r="D169" s="316"/>
      <c r="E169" s="316"/>
      <c r="F169" s="340"/>
      <c r="G169" s="316"/>
      <c r="H169" s="316"/>
      <c r="I169" s="316"/>
      <c r="J169" s="316"/>
      <c r="K169" s="404"/>
      <c r="L169" s="316"/>
      <c r="M169" s="407"/>
      <c r="N169" s="311"/>
      <c r="O169" s="362"/>
      <c r="P169" s="311"/>
      <c r="Q169" s="412"/>
      <c r="R169" s="311"/>
      <c r="S169" s="311"/>
      <c r="T169" s="311"/>
      <c r="U169" s="311"/>
      <c r="V169" s="362"/>
      <c r="W169" s="311"/>
      <c r="X169" s="311"/>
      <c r="Y169" s="316"/>
      <c r="Z169" s="316"/>
      <c r="AA169" s="316"/>
      <c r="AB169" s="316"/>
      <c r="AC169" s="316"/>
      <c r="AD169" s="316"/>
      <c r="AE169"/>
      <c r="AF169" s="316"/>
      <c r="AG169" s="316"/>
      <c r="AH169" s="316"/>
      <c r="AI169" s="316"/>
      <c r="AJ169" s="316"/>
      <c r="AK169" s="316"/>
      <c r="AL169" s="316"/>
      <c r="AM169" s="316"/>
      <c r="AN169" s="316"/>
      <c r="AO169" s="316"/>
      <c r="AP169" s="316"/>
      <c r="AQ169" s="316"/>
      <c r="AR169" s="316"/>
      <c r="AS169" s="316"/>
      <c r="AT169" s="316"/>
    </row>
    <row r="170" spans="1:46" ht="14.45">
      <c r="A170" s="340"/>
      <c r="B170" s="316"/>
      <c r="C170" s="340"/>
      <c r="D170" s="316"/>
      <c r="E170" s="316"/>
      <c r="F170" s="340"/>
      <c r="G170" s="316"/>
      <c r="H170" s="316"/>
      <c r="I170" s="316"/>
      <c r="J170" s="316"/>
      <c r="K170" s="404"/>
      <c r="L170" s="316"/>
      <c r="M170" s="407"/>
      <c r="N170" s="311"/>
      <c r="O170" s="362"/>
      <c r="P170" s="311"/>
      <c r="Q170" s="412"/>
      <c r="R170" s="311"/>
      <c r="S170" s="311"/>
      <c r="T170" s="311"/>
      <c r="U170" s="311"/>
      <c r="V170" s="362"/>
      <c r="W170" s="311"/>
      <c r="X170" s="311"/>
      <c r="Y170" s="316"/>
      <c r="Z170" s="316"/>
      <c r="AA170" s="316"/>
      <c r="AB170" s="316"/>
      <c r="AC170" s="316"/>
      <c r="AD170" s="316"/>
      <c r="AE170"/>
      <c r="AF170" s="316"/>
      <c r="AG170" s="316"/>
      <c r="AH170" s="316"/>
      <c r="AI170" s="316"/>
      <c r="AJ170" s="316"/>
      <c r="AK170" s="316"/>
      <c r="AL170" s="316"/>
      <c r="AM170" s="316"/>
      <c r="AN170" s="316"/>
      <c r="AO170" s="316"/>
      <c r="AP170" s="316"/>
      <c r="AQ170" s="316"/>
      <c r="AR170" s="316"/>
      <c r="AS170" s="316"/>
      <c r="AT170" s="316"/>
    </row>
    <row r="171" spans="1:46" ht="14.45">
      <c r="A171" s="340"/>
      <c r="B171" s="316"/>
      <c r="C171" s="340"/>
      <c r="D171" s="316"/>
      <c r="E171" s="316"/>
      <c r="F171" s="340"/>
      <c r="G171" s="316"/>
      <c r="H171" s="316"/>
      <c r="I171" s="316"/>
      <c r="J171" s="316"/>
      <c r="K171" s="404"/>
      <c r="L171" s="316"/>
      <c r="M171" s="407"/>
      <c r="N171" s="311"/>
      <c r="O171" s="362"/>
      <c r="P171" s="311"/>
      <c r="Q171" s="412"/>
      <c r="R171" s="311"/>
      <c r="S171" s="311"/>
      <c r="T171" s="311"/>
      <c r="U171" s="311"/>
      <c r="V171" s="362"/>
      <c r="W171" s="311"/>
      <c r="X171" s="311"/>
      <c r="Y171" s="316"/>
      <c r="Z171" s="316"/>
      <c r="AA171" s="316"/>
      <c r="AB171" s="316"/>
      <c r="AC171" s="316"/>
      <c r="AD171" s="316"/>
      <c r="AE171"/>
      <c r="AF171" s="316"/>
      <c r="AG171" s="316"/>
      <c r="AH171" s="316"/>
      <c r="AI171" s="316"/>
      <c r="AJ171" s="316"/>
      <c r="AK171" s="316"/>
      <c r="AL171" s="316"/>
      <c r="AM171" s="316"/>
      <c r="AN171" s="316"/>
      <c r="AO171" s="316"/>
      <c r="AP171" s="316"/>
      <c r="AQ171" s="316"/>
      <c r="AR171" s="316"/>
      <c r="AS171" s="316"/>
      <c r="AT171" s="316"/>
    </row>
    <row r="172" spans="1:46" ht="14.45">
      <c r="A172" s="340"/>
      <c r="B172" s="316"/>
      <c r="C172" s="340"/>
      <c r="D172" s="316"/>
      <c r="E172" s="316"/>
      <c r="F172" s="340"/>
      <c r="G172" s="316"/>
      <c r="H172" s="316"/>
      <c r="I172" s="316"/>
      <c r="J172" s="316"/>
      <c r="K172" s="404"/>
      <c r="L172" s="316"/>
      <c r="M172" s="407"/>
      <c r="N172" s="311"/>
      <c r="O172" s="362"/>
      <c r="P172" s="311"/>
      <c r="Q172" s="412"/>
      <c r="R172" s="311"/>
      <c r="S172" s="311"/>
      <c r="T172" s="311"/>
      <c r="U172" s="311"/>
      <c r="V172" s="362"/>
      <c r="W172" s="311"/>
      <c r="X172" s="311"/>
      <c r="Y172" s="316"/>
      <c r="Z172" s="316"/>
      <c r="AA172" s="316"/>
      <c r="AB172" s="316"/>
      <c r="AC172" s="316"/>
      <c r="AD172" s="316"/>
      <c r="AE172"/>
      <c r="AF172" s="316"/>
      <c r="AG172" s="316"/>
      <c r="AH172" s="316"/>
      <c r="AI172" s="316"/>
      <c r="AJ172" s="316"/>
      <c r="AK172" s="316"/>
      <c r="AL172" s="316"/>
      <c r="AM172" s="316"/>
      <c r="AN172" s="316"/>
      <c r="AO172" s="316"/>
      <c r="AP172" s="316"/>
      <c r="AQ172" s="316"/>
      <c r="AR172" s="316"/>
      <c r="AS172" s="316"/>
      <c r="AT172" s="316"/>
    </row>
    <row r="173" spans="1:46" ht="14.45">
      <c r="A173" s="340"/>
      <c r="B173" s="316"/>
      <c r="C173" s="340"/>
      <c r="D173" s="316"/>
      <c r="E173" s="316"/>
      <c r="F173" s="340"/>
      <c r="G173" s="316"/>
      <c r="H173" s="316"/>
      <c r="I173" s="316"/>
      <c r="J173" s="316"/>
      <c r="K173" s="404"/>
      <c r="L173" s="316"/>
      <c r="M173" s="407"/>
      <c r="N173" s="311"/>
      <c r="O173" s="362"/>
      <c r="P173" s="311"/>
      <c r="Q173" s="412"/>
      <c r="R173" s="311"/>
      <c r="S173" s="311"/>
      <c r="T173" s="311"/>
      <c r="U173" s="311"/>
      <c r="V173" s="362"/>
      <c r="W173" s="311"/>
      <c r="X173" s="311"/>
      <c r="Y173" s="316"/>
      <c r="Z173" s="316"/>
      <c r="AA173" s="316"/>
      <c r="AB173" s="316"/>
      <c r="AC173" s="316"/>
      <c r="AD173" s="316"/>
      <c r="AE173"/>
      <c r="AF173" s="316"/>
      <c r="AG173" s="316"/>
      <c r="AH173" s="316"/>
      <c r="AI173" s="316"/>
      <c r="AJ173" s="316"/>
      <c r="AK173" s="316"/>
      <c r="AL173" s="316"/>
      <c r="AM173" s="316"/>
      <c r="AN173" s="316"/>
      <c r="AO173" s="316"/>
      <c r="AP173" s="316"/>
      <c r="AQ173" s="316"/>
      <c r="AR173" s="316"/>
      <c r="AS173" s="316"/>
      <c r="AT173" s="316"/>
    </row>
    <row r="174" spans="1:46" ht="14.45">
      <c r="A174" s="340"/>
      <c r="B174" s="316"/>
      <c r="C174" s="340"/>
      <c r="D174" s="316"/>
      <c r="E174" s="316"/>
      <c r="F174" s="340"/>
      <c r="G174" s="316"/>
      <c r="H174" s="316"/>
      <c r="I174" s="316"/>
      <c r="J174" s="316"/>
      <c r="K174" s="404"/>
      <c r="L174" s="316"/>
      <c r="M174" s="407"/>
      <c r="N174" s="311"/>
      <c r="O174" s="362"/>
      <c r="P174" s="311"/>
      <c r="Q174" s="412"/>
      <c r="R174" s="311"/>
      <c r="S174" s="311"/>
      <c r="T174" s="311"/>
      <c r="U174" s="311"/>
      <c r="V174" s="362"/>
      <c r="W174" s="311"/>
      <c r="X174" s="311"/>
      <c r="Y174" s="316"/>
      <c r="Z174" s="316"/>
      <c r="AA174" s="316"/>
      <c r="AB174" s="316"/>
      <c r="AC174" s="316"/>
      <c r="AD174" s="316"/>
      <c r="AE174"/>
      <c r="AF174" s="316"/>
      <c r="AG174" s="316"/>
      <c r="AH174" s="316"/>
      <c r="AI174" s="316"/>
      <c r="AJ174" s="316"/>
      <c r="AK174" s="316"/>
      <c r="AL174" s="316"/>
      <c r="AM174" s="316"/>
      <c r="AN174" s="316"/>
      <c r="AO174" s="316"/>
      <c r="AP174" s="316"/>
      <c r="AQ174" s="316"/>
      <c r="AR174" s="316"/>
      <c r="AS174" s="316"/>
      <c r="AT174" s="316"/>
    </row>
    <row r="175" spans="1:46" ht="14.45">
      <c r="A175" s="340"/>
      <c r="B175" s="316"/>
      <c r="C175" s="340"/>
      <c r="D175" s="316"/>
      <c r="E175" s="316"/>
      <c r="F175" s="340"/>
      <c r="G175" s="316"/>
      <c r="H175" s="316"/>
      <c r="I175" s="316"/>
      <c r="J175" s="316"/>
      <c r="K175" s="404"/>
      <c r="L175" s="316"/>
      <c r="M175" s="407"/>
      <c r="N175" s="311"/>
      <c r="O175" s="362"/>
      <c r="P175" s="311"/>
      <c r="Q175" s="412"/>
      <c r="R175" s="311"/>
      <c r="S175" s="311"/>
      <c r="T175" s="311"/>
      <c r="U175" s="311"/>
      <c r="V175" s="362"/>
      <c r="W175" s="311"/>
      <c r="X175" s="311"/>
      <c r="Y175" s="316"/>
      <c r="Z175" s="316"/>
      <c r="AA175" s="316"/>
      <c r="AB175" s="316"/>
      <c r="AC175" s="316"/>
      <c r="AD175" s="316"/>
      <c r="AE175"/>
      <c r="AF175" s="316"/>
      <c r="AG175" s="316"/>
      <c r="AH175" s="316"/>
      <c r="AI175" s="316"/>
      <c r="AJ175" s="316"/>
      <c r="AK175" s="316"/>
      <c r="AL175" s="316"/>
      <c r="AM175" s="316"/>
      <c r="AN175" s="316"/>
      <c r="AO175" s="316"/>
      <c r="AP175" s="316"/>
      <c r="AQ175" s="316"/>
      <c r="AR175" s="316"/>
      <c r="AS175" s="316"/>
      <c r="AT175" s="316"/>
    </row>
    <row r="176" spans="1:46" ht="14.45">
      <c r="A176" s="340"/>
      <c r="B176" s="316"/>
      <c r="C176" s="340"/>
      <c r="D176" s="316"/>
      <c r="E176" s="316"/>
      <c r="F176" s="340"/>
      <c r="G176" s="316"/>
      <c r="H176" s="316"/>
      <c r="I176" s="316"/>
      <c r="J176" s="316"/>
      <c r="K176" s="404"/>
      <c r="L176" s="316"/>
      <c r="M176" s="407"/>
      <c r="N176" s="311"/>
      <c r="O176" s="362"/>
      <c r="P176" s="311"/>
      <c r="Q176" s="412"/>
      <c r="R176" s="311"/>
      <c r="S176" s="311"/>
      <c r="T176" s="311"/>
      <c r="U176" s="311"/>
      <c r="V176" s="362"/>
      <c r="W176" s="311"/>
      <c r="X176" s="311"/>
      <c r="Y176" s="316"/>
      <c r="Z176" s="316"/>
      <c r="AA176" s="316"/>
      <c r="AB176" s="316"/>
      <c r="AC176" s="316"/>
      <c r="AD176" s="316"/>
      <c r="AE176"/>
      <c r="AF176" s="316"/>
      <c r="AG176" s="316"/>
      <c r="AH176" s="316"/>
      <c r="AI176" s="316"/>
      <c r="AJ176" s="316"/>
      <c r="AK176" s="316"/>
      <c r="AL176" s="316"/>
      <c r="AM176" s="316"/>
      <c r="AN176" s="316"/>
      <c r="AO176" s="316"/>
      <c r="AP176" s="316"/>
      <c r="AQ176" s="316"/>
      <c r="AR176" s="316"/>
      <c r="AS176" s="316"/>
      <c r="AT176" s="316"/>
    </row>
    <row r="177" spans="1:46" ht="14.45">
      <c r="A177" s="340"/>
      <c r="B177" s="316"/>
      <c r="C177" s="340"/>
      <c r="D177" s="316"/>
      <c r="E177" s="316"/>
      <c r="F177" s="340"/>
      <c r="G177" s="316"/>
      <c r="H177" s="316"/>
      <c r="I177" s="316"/>
      <c r="J177" s="316"/>
      <c r="K177" s="404"/>
      <c r="L177" s="316"/>
      <c r="M177" s="407"/>
      <c r="N177" s="311"/>
      <c r="O177" s="362"/>
      <c r="P177" s="311"/>
      <c r="Q177" s="412"/>
      <c r="R177" s="311"/>
      <c r="S177" s="311"/>
      <c r="T177" s="311"/>
      <c r="U177" s="311"/>
      <c r="V177" s="362"/>
      <c r="W177" s="311"/>
      <c r="X177" s="311"/>
      <c r="Y177" s="316"/>
      <c r="Z177" s="316"/>
      <c r="AA177" s="316"/>
      <c r="AB177" s="316"/>
      <c r="AC177" s="316"/>
      <c r="AD177" s="316"/>
      <c r="AE177"/>
      <c r="AF177" s="316"/>
      <c r="AG177" s="316"/>
      <c r="AH177" s="316"/>
      <c r="AI177" s="316"/>
      <c r="AJ177" s="316"/>
      <c r="AK177" s="316"/>
      <c r="AL177" s="316"/>
      <c r="AM177" s="316"/>
      <c r="AN177" s="316"/>
      <c r="AO177" s="316"/>
      <c r="AP177" s="316"/>
      <c r="AQ177" s="316"/>
      <c r="AR177" s="316"/>
      <c r="AS177" s="316"/>
      <c r="AT177" s="316"/>
    </row>
    <row r="178" spans="1:46" ht="14.45">
      <c r="A178" s="340"/>
      <c r="B178" s="316"/>
      <c r="C178" s="340"/>
      <c r="D178" s="316"/>
      <c r="E178" s="316"/>
      <c r="F178" s="340"/>
      <c r="G178" s="316"/>
      <c r="H178" s="316"/>
      <c r="I178" s="316"/>
      <c r="J178" s="316"/>
      <c r="K178" s="404"/>
      <c r="L178" s="316"/>
      <c r="M178" s="407"/>
      <c r="N178" s="311"/>
      <c r="O178" s="362"/>
      <c r="P178" s="311"/>
      <c r="Q178" s="412"/>
      <c r="R178" s="311"/>
      <c r="S178" s="311"/>
      <c r="T178" s="311"/>
      <c r="U178" s="311"/>
      <c r="V178" s="362"/>
      <c r="W178" s="311"/>
      <c r="X178" s="311"/>
      <c r="Y178" s="316"/>
      <c r="Z178" s="316"/>
      <c r="AA178" s="316"/>
      <c r="AB178" s="316"/>
      <c r="AC178" s="316"/>
      <c r="AD178" s="316"/>
      <c r="AE178"/>
      <c r="AF178" s="316"/>
      <c r="AG178" s="316"/>
      <c r="AH178" s="316"/>
      <c r="AI178" s="316"/>
      <c r="AJ178" s="316"/>
      <c r="AK178" s="316"/>
      <c r="AL178" s="316"/>
      <c r="AM178" s="316"/>
      <c r="AN178" s="316"/>
      <c r="AO178" s="316"/>
      <c r="AP178" s="316"/>
      <c r="AQ178" s="316"/>
      <c r="AR178" s="316"/>
      <c r="AS178" s="316"/>
      <c r="AT178" s="316"/>
    </row>
    <row r="179" spans="1:46" ht="14.45">
      <c r="A179" s="340"/>
      <c r="B179" s="316"/>
      <c r="C179" s="340"/>
      <c r="D179" s="316"/>
      <c r="E179" s="316"/>
      <c r="F179" s="340"/>
      <c r="G179" s="316"/>
      <c r="H179" s="316"/>
      <c r="I179" s="316"/>
      <c r="J179" s="316"/>
      <c r="K179" s="404"/>
      <c r="L179" s="316"/>
      <c r="M179" s="407"/>
      <c r="N179" s="311"/>
      <c r="O179" s="362"/>
      <c r="P179" s="311"/>
      <c r="Q179" s="412"/>
      <c r="R179" s="311"/>
      <c r="S179" s="311"/>
      <c r="T179" s="311"/>
      <c r="U179" s="311"/>
      <c r="V179" s="362"/>
      <c r="W179" s="311"/>
      <c r="X179" s="311"/>
      <c r="Y179" s="316"/>
      <c r="Z179" s="316"/>
      <c r="AA179" s="316"/>
      <c r="AB179" s="316"/>
      <c r="AC179" s="316"/>
      <c r="AD179" s="316"/>
      <c r="AE179"/>
      <c r="AF179" s="316"/>
      <c r="AG179" s="316"/>
      <c r="AH179" s="316"/>
      <c r="AI179" s="316"/>
      <c r="AJ179" s="316"/>
      <c r="AK179" s="316"/>
      <c r="AL179" s="316"/>
      <c r="AM179" s="316"/>
      <c r="AN179" s="316"/>
      <c r="AO179" s="316"/>
      <c r="AP179" s="316"/>
      <c r="AQ179" s="316"/>
      <c r="AR179" s="316"/>
      <c r="AS179" s="316"/>
      <c r="AT179" s="316"/>
    </row>
    <row r="180" spans="1:46" ht="14.45">
      <c r="A180" s="340"/>
      <c r="B180" s="316"/>
      <c r="C180" s="340"/>
      <c r="D180" s="316"/>
      <c r="E180" s="316"/>
      <c r="F180" s="340"/>
      <c r="G180" s="316"/>
      <c r="H180" s="316"/>
      <c r="I180" s="316"/>
      <c r="J180" s="316"/>
      <c r="K180" s="404"/>
      <c r="L180" s="316"/>
      <c r="M180" s="407"/>
      <c r="N180" s="311"/>
      <c r="O180" s="362"/>
      <c r="P180" s="311"/>
      <c r="Q180" s="412"/>
      <c r="R180" s="311"/>
      <c r="S180" s="311"/>
      <c r="T180" s="311"/>
      <c r="U180" s="311"/>
      <c r="V180" s="362"/>
      <c r="W180" s="311"/>
      <c r="X180" s="311"/>
      <c r="Y180" s="316"/>
      <c r="Z180" s="316"/>
      <c r="AA180" s="316"/>
      <c r="AB180" s="316"/>
      <c r="AC180" s="316"/>
      <c r="AD180" s="316"/>
      <c r="AE180"/>
      <c r="AF180" s="316"/>
      <c r="AG180" s="316"/>
      <c r="AH180" s="316"/>
      <c r="AI180" s="316"/>
      <c r="AJ180" s="316"/>
      <c r="AK180" s="316"/>
      <c r="AL180" s="316"/>
      <c r="AM180" s="316"/>
      <c r="AN180" s="316"/>
      <c r="AO180" s="316"/>
      <c r="AP180" s="316"/>
      <c r="AQ180" s="316"/>
      <c r="AR180" s="316"/>
      <c r="AS180" s="316"/>
      <c r="AT180" s="316"/>
    </row>
    <row r="181" spans="1:46" ht="14.45">
      <c r="A181" s="340"/>
      <c r="B181" s="316"/>
      <c r="C181" s="340"/>
      <c r="D181" s="316"/>
      <c r="E181" s="316"/>
      <c r="F181" s="340"/>
      <c r="G181" s="316"/>
      <c r="H181" s="316"/>
      <c r="I181" s="316"/>
      <c r="J181" s="316"/>
      <c r="K181" s="404"/>
      <c r="L181" s="316"/>
      <c r="M181" s="407"/>
      <c r="N181" s="311"/>
      <c r="O181" s="362"/>
      <c r="P181" s="311"/>
      <c r="Q181" s="412"/>
      <c r="R181" s="311"/>
      <c r="S181" s="311"/>
      <c r="T181" s="311"/>
      <c r="U181" s="311"/>
      <c r="V181" s="362"/>
      <c r="W181" s="311"/>
      <c r="X181" s="311"/>
      <c r="Y181" s="316"/>
      <c r="Z181" s="316"/>
      <c r="AA181" s="316"/>
      <c r="AB181" s="316"/>
      <c r="AC181" s="316"/>
      <c r="AD181" s="316"/>
      <c r="AE181"/>
      <c r="AF181" s="316"/>
      <c r="AG181" s="316"/>
      <c r="AH181" s="316"/>
      <c r="AI181" s="316"/>
      <c r="AJ181" s="316"/>
      <c r="AK181" s="316"/>
      <c r="AL181" s="316"/>
      <c r="AM181" s="316"/>
      <c r="AN181" s="316"/>
      <c r="AO181" s="316"/>
      <c r="AP181" s="316"/>
      <c r="AQ181" s="316"/>
      <c r="AR181" s="316"/>
      <c r="AS181" s="316"/>
      <c r="AT181" s="316"/>
    </row>
    <row r="182" spans="1:46" ht="14.45">
      <c r="A182" s="340"/>
      <c r="B182" s="316"/>
      <c r="C182" s="340"/>
      <c r="D182" s="316"/>
      <c r="E182" s="316"/>
      <c r="F182" s="340"/>
      <c r="G182" s="316"/>
      <c r="H182" s="316"/>
      <c r="I182" s="316"/>
      <c r="J182" s="316"/>
      <c r="K182" s="404"/>
      <c r="L182" s="316"/>
      <c r="M182" s="407"/>
      <c r="N182" s="311"/>
      <c r="O182" s="362"/>
      <c r="P182" s="311"/>
      <c r="Q182" s="412"/>
      <c r="R182" s="311"/>
      <c r="S182" s="311"/>
      <c r="T182" s="311"/>
      <c r="U182" s="311"/>
      <c r="V182" s="362"/>
      <c r="W182" s="311"/>
      <c r="X182" s="311"/>
      <c r="Y182" s="316"/>
      <c r="Z182" s="316"/>
      <c r="AA182" s="316"/>
      <c r="AB182" s="316"/>
      <c r="AC182" s="316"/>
      <c r="AD182" s="316"/>
      <c r="AE182"/>
      <c r="AF182" s="316"/>
      <c r="AG182" s="316"/>
      <c r="AH182" s="316"/>
      <c r="AI182" s="316"/>
      <c r="AJ182" s="316"/>
      <c r="AK182" s="316"/>
      <c r="AL182" s="316"/>
      <c r="AM182" s="316"/>
      <c r="AN182" s="316"/>
      <c r="AO182" s="316"/>
      <c r="AP182" s="316"/>
      <c r="AQ182" s="316"/>
      <c r="AR182" s="316"/>
      <c r="AS182" s="316"/>
      <c r="AT182" s="316"/>
    </row>
    <row r="183" spans="1:46" ht="14.45">
      <c r="A183" s="340"/>
      <c r="B183" s="316"/>
      <c r="C183" s="340"/>
      <c r="D183" s="316"/>
      <c r="E183" s="316"/>
      <c r="F183" s="340"/>
      <c r="G183" s="316"/>
      <c r="H183" s="316"/>
      <c r="I183" s="316"/>
      <c r="J183" s="316"/>
      <c r="K183" s="404"/>
      <c r="L183" s="316"/>
      <c r="M183" s="407"/>
      <c r="N183" s="311"/>
      <c r="O183" s="362"/>
      <c r="P183" s="311"/>
      <c r="Q183" s="412"/>
      <c r="R183" s="311"/>
      <c r="S183" s="311"/>
      <c r="T183" s="311"/>
      <c r="U183" s="311"/>
      <c r="V183" s="362"/>
      <c r="W183" s="311"/>
      <c r="X183" s="311"/>
      <c r="Y183" s="316"/>
      <c r="Z183" s="316"/>
      <c r="AA183" s="316"/>
      <c r="AB183" s="316"/>
      <c r="AC183" s="316"/>
      <c r="AD183" s="316"/>
      <c r="AE183"/>
      <c r="AF183" s="316"/>
      <c r="AG183" s="316"/>
      <c r="AH183" s="316"/>
      <c r="AI183" s="316"/>
      <c r="AJ183" s="316"/>
      <c r="AK183" s="316"/>
      <c r="AL183" s="316"/>
      <c r="AM183" s="316"/>
      <c r="AN183" s="316"/>
      <c r="AO183" s="316"/>
      <c r="AP183" s="316"/>
      <c r="AQ183" s="316"/>
      <c r="AR183" s="316"/>
      <c r="AS183" s="316"/>
      <c r="AT183" s="316"/>
    </row>
    <row r="184" spans="1:46" ht="14.45">
      <c r="A184" s="340"/>
      <c r="B184" s="316"/>
      <c r="C184" s="340"/>
      <c r="D184" s="316"/>
      <c r="E184" s="316"/>
      <c r="F184" s="340"/>
      <c r="G184" s="316"/>
      <c r="H184" s="316"/>
      <c r="I184" s="316"/>
      <c r="J184" s="316"/>
      <c r="K184" s="404"/>
      <c r="L184" s="316"/>
      <c r="M184" s="407"/>
      <c r="N184" s="311"/>
      <c r="O184" s="362"/>
      <c r="P184" s="311"/>
      <c r="Q184" s="412"/>
      <c r="R184" s="311"/>
      <c r="S184" s="311"/>
      <c r="T184" s="311"/>
      <c r="U184" s="311"/>
      <c r="V184" s="362"/>
      <c r="W184" s="311"/>
      <c r="X184" s="311"/>
      <c r="Y184" s="316"/>
      <c r="Z184" s="316"/>
      <c r="AA184" s="316"/>
      <c r="AB184" s="316"/>
      <c r="AC184" s="316"/>
      <c r="AD184" s="316"/>
      <c r="AE184"/>
      <c r="AF184" s="316"/>
      <c r="AG184" s="316"/>
      <c r="AH184" s="316"/>
      <c r="AI184" s="316"/>
      <c r="AJ184" s="316"/>
      <c r="AK184" s="316"/>
      <c r="AL184" s="316"/>
      <c r="AM184" s="316"/>
      <c r="AN184" s="316"/>
      <c r="AO184" s="316"/>
      <c r="AP184" s="316"/>
      <c r="AQ184" s="316"/>
      <c r="AR184" s="316"/>
      <c r="AS184" s="316"/>
      <c r="AT184" s="316"/>
    </row>
    <row r="185" spans="1:46" ht="14.45">
      <c r="A185" s="340"/>
      <c r="B185" s="316"/>
      <c r="C185" s="340"/>
      <c r="D185" s="316"/>
      <c r="E185" s="316"/>
      <c r="F185" s="340"/>
      <c r="G185" s="316"/>
      <c r="H185" s="316"/>
      <c r="I185" s="316"/>
      <c r="J185" s="316"/>
      <c r="K185" s="404"/>
      <c r="L185" s="316"/>
      <c r="M185" s="407"/>
      <c r="N185" s="311"/>
      <c r="O185" s="362"/>
      <c r="P185" s="311"/>
      <c r="Q185" s="412"/>
      <c r="R185" s="311"/>
      <c r="S185" s="311"/>
      <c r="T185" s="311"/>
      <c r="U185" s="311"/>
      <c r="V185" s="362"/>
      <c r="W185" s="311"/>
      <c r="X185" s="311"/>
      <c r="Y185" s="316"/>
      <c r="Z185" s="316"/>
      <c r="AA185" s="316"/>
      <c r="AB185" s="316"/>
      <c r="AC185" s="316"/>
      <c r="AD185" s="316"/>
      <c r="AE185"/>
      <c r="AF185" s="316"/>
      <c r="AG185" s="316"/>
      <c r="AH185" s="316"/>
      <c r="AI185" s="316"/>
      <c r="AJ185" s="316"/>
      <c r="AK185" s="316"/>
      <c r="AL185" s="316"/>
      <c r="AM185" s="316"/>
      <c r="AN185" s="316"/>
      <c r="AO185" s="316"/>
      <c r="AP185" s="316"/>
      <c r="AQ185" s="316"/>
      <c r="AR185" s="316"/>
      <c r="AS185" s="316"/>
      <c r="AT185" s="316"/>
    </row>
    <row r="186" spans="1:46" ht="14.45">
      <c r="A186" s="340"/>
      <c r="B186" s="316"/>
      <c r="C186" s="340"/>
      <c r="D186" s="316"/>
      <c r="E186" s="316"/>
      <c r="F186" s="340"/>
      <c r="G186" s="316"/>
      <c r="H186" s="316"/>
      <c r="I186" s="316"/>
      <c r="J186" s="316"/>
      <c r="K186" s="404"/>
      <c r="L186" s="316"/>
      <c r="M186" s="407"/>
      <c r="N186" s="311"/>
      <c r="O186" s="362"/>
      <c r="P186" s="311"/>
      <c r="Q186" s="412"/>
      <c r="R186" s="311"/>
      <c r="S186" s="311"/>
      <c r="T186" s="311"/>
      <c r="U186" s="311"/>
      <c r="V186" s="362"/>
      <c r="W186" s="311"/>
      <c r="X186" s="311"/>
      <c r="Y186" s="316"/>
      <c r="Z186" s="316"/>
      <c r="AA186" s="316"/>
      <c r="AB186" s="316"/>
      <c r="AC186" s="316"/>
      <c r="AD186" s="316"/>
      <c r="AE186"/>
      <c r="AF186" s="316"/>
      <c r="AG186" s="316"/>
      <c r="AH186" s="316"/>
      <c r="AI186" s="316"/>
      <c r="AJ186" s="316"/>
      <c r="AK186" s="316"/>
      <c r="AL186" s="316"/>
      <c r="AM186" s="316"/>
      <c r="AN186" s="316"/>
      <c r="AO186" s="316"/>
      <c r="AP186" s="316"/>
      <c r="AQ186" s="316"/>
      <c r="AR186" s="316"/>
      <c r="AS186" s="316"/>
      <c r="AT186" s="316"/>
    </row>
    <row r="187" spans="1:46" ht="14.45">
      <c r="A187" s="340"/>
      <c r="B187" s="316"/>
      <c r="C187" s="340"/>
      <c r="D187" s="316"/>
      <c r="E187" s="316"/>
      <c r="F187" s="340"/>
      <c r="G187" s="316"/>
      <c r="H187" s="316"/>
      <c r="I187" s="316"/>
      <c r="J187" s="316"/>
      <c r="K187" s="404"/>
      <c r="L187" s="316"/>
      <c r="M187" s="407"/>
      <c r="N187" s="311"/>
      <c r="O187" s="362"/>
      <c r="P187" s="311"/>
      <c r="Q187" s="412"/>
      <c r="R187" s="311"/>
      <c r="S187" s="311"/>
      <c r="T187" s="311"/>
      <c r="U187" s="311"/>
      <c r="V187" s="362"/>
      <c r="W187" s="311"/>
      <c r="X187" s="311"/>
      <c r="Y187" s="316"/>
      <c r="Z187" s="316"/>
      <c r="AA187" s="316"/>
      <c r="AB187" s="316"/>
      <c r="AC187" s="316"/>
      <c r="AD187" s="316"/>
      <c r="AE187"/>
      <c r="AF187" s="316"/>
      <c r="AG187" s="316"/>
      <c r="AH187" s="316"/>
      <c r="AI187" s="316"/>
      <c r="AJ187" s="316"/>
      <c r="AK187" s="316"/>
      <c r="AL187" s="316"/>
      <c r="AM187" s="316"/>
      <c r="AN187" s="316"/>
      <c r="AO187" s="316"/>
      <c r="AP187" s="316"/>
      <c r="AQ187" s="316"/>
      <c r="AR187" s="316"/>
      <c r="AS187" s="316"/>
      <c r="AT187" s="316"/>
    </row>
    <row r="188" spans="1:46" ht="14.45">
      <c r="A188" s="340"/>
      <c r="B188" s="316"/>
      <c r="C188" s="340"/>
      <c r="D188" s="316"/>
      <c r="E188" s="316"/>
      <c r="F188" s="340"/>
      <c r="G188" s="316"/>
      <c r="H188" s="316"/>
      <c r="I188" s="316"/>
      <c r="J188" s="316"/>
      <c r="K188" s="404"/>
      <c r="L188" s="316"/>
      <c r="M188" s="407"/>
      <c r="N188" s="311"/>
      <c r="O188" s="362"/>
      <c r="P188" s="311"/>
      <c r="Q188" s="412"/>
      <c r="R188" s="311"/>
      <c r="S188" s="311"/>
      <c r="T188" s="311"/>
      <c r="U188" s="311"/>
      <c r="V188" s="362"/>
      <c r="W188" s="311"/>
      <c r="X188" s="311"/>
      <c r="Y188" s="316"/>
      <c r="Z188" s="316"/>
      <c r="AA188" s="316"/>
      <c r="AB188" s="316"/>
      <c r="AC188" s="316"/>
      <c r="AD188" s="316"/>
      <c r="AE188"/>
      <c r="AF188" s="316"/>
      <c r="AG188" s="316"/>
      <c r="AH188" s="316"/>
      <c r="AI188" s="316"/>
      <c r="AJ188" s="316"/>
      <c r="AK188" s="316"/>
      <c r="AL188" s="316"/>
      <c r="AM188" s="316"/>
      <c r="AN188" s="316"/>
      <c r="AO188" s="316"/>
      <c r="AP188" s="316"/>
      <c r="AQ188" s="316"/>
      <c r="AR188" s="316"/>
      <c r="AS188" s="316"/>
      <c r="AT188" s="316"/>
    </row>
    <row r="189" spans="1:46" ht="14.45">
      <c r="A189" s="340"/>
      <c r="B189" s="316"/>
      <c r="C189" s="340"/>
      <c r="D189" s="316"/>
      <c r="E189" s="316"/>
      <c r="F189" s="340"/>
      <c r="G189" s="316"/>
      <c r="H189" s="316"/>
      <c r="I189" s="316"/>
      <c r="J189" s="316"/>
      <c r="K189" s="404"/>
      <c r="L189" s="316"/>
      <c r="M189" s="407"/>
      <c r="N189" s="311"/>
      <c r="O189" s="362"/>
      <c r="P189" s="311"/>
      <c r="Q189" s="412"/>
      <c r="R189" s="311"/>
      <c r="S189" s="311"/>
      <c r="T189" s="311"/>
      <c r="U189" s="311"/>
      <c r="V189" s="362"/>
      <c r="W189" s="311"/>
      <c r="X189" s="311"/>
      <c r="Y189" s="316"/>
      <c r="Z189" s="316"/>
      <c r="AA189" s="316"/>
      <c r="AB189" s="316"/>
      <c r="AC189" s="316"/>
      <c r="AD189" s="316"/>
      <c r="AE189"/>
      <c r="AF189" s="316"/>
      <c r="AG189" s="316"/>
      <c r="AH189" s="316"/>
      <c r="AI189" s="316"/>
      <c r="AJ189" s="316"/>
      <c r="AK189" s="316"/>
      <c r="AL189" s="316"/>
      <c r="AM189" s="316"/>
      <c r="AN189" s="316"/>
      <c r="AO189" s="316"/>
      <c r="AP189" s="316"/>
      <c r="AQ189" s="316"/>
      <c r="AR189" s="316"/>
      <c r="AS189" s="316"/>
      <c r="AT189" s="316"/>
    </row>
    <row r="190" spans="1:46" ht="14.45">
      <c r="A190" s="340"/>
      <c r="B190" s="316"/>
      <c r="C190" s="340"/>
      <c r="D190" s="316"/>
      <c r="E190" s="316"/>
      <c r="F190" s="340"/>
      <c r="G190" s="316"/>
      <c r="H190" s="316"/>
      <c r="I190" s="316"/>
      <c r="J190" s="316"/>
      <c r="K190" s="404"/>
      <c r="L190" s="316"/>
      <c r="M190" s="407"/>
      <c r="N190" s="311"/>
      <c r="O190" s="362"/>
      <c r="P190" s="311"/>
      <c r="Q190" s="412"/>
      <c r="R190" s="311"/>
      <c r="S190" s="311"/>
      <c r="T190" s="311"/>
      <c r="U190" s="311"/>
      <c r="V190" s="362"/>
      <c r="W190" s="311"/>
      <c r="X190" s="311"/>
      <c r="Y190" s="316"/>
      <c r="Z190" s="316"/>
      <c r="AA190" s="316"/>
      <c r="AB190" s="316"/>
      <c r="AC190" s="316"/>
      <c r="AD190" s="316"/>
      <c r="AE190"/>
      <c r="AF190" s="316"/>
      <c r="AG190" s="316"/>
      <c r="AH190" s="316"/>
      <c r="AI190" s="316"/>
      <c r="AJ190" s="316"/>
      <c r="AK190" s="316"/>
      <c r="AL190" s="316"/>
      <c r="AM190" s="316"/>
      <c r="AN190" s="316"/>
      <c r="AO190" s="316"/>
      <c r="AP190" s="316"/>
      <c r="AQ190" s="316"/>
      <c r="AR190" s="316"/>
      <c r="AS190" s="316"/>
      <c r="AT190" s="316"/>
    </row>
    <row r="191" spans="1:46" ht="14.45">
      <c r="A191" s="340"/>
      <c r="B191" s="316"/>
      <c r="C191" s="340"/>
      <c r="D191" s="316"/>
      <c r="E191" s="316"/>
      <c r="F191" s="340"/>
      <c r="G191" s="316"/>
      <c r="H191" s="316"/>
      <c r="I191" s="316"/>
      <c r="J191" s="316"/>
      <c r="K191" s="404"/>
      <c r="L191" s="316"/>
      <c r="M191" s="407"/>
      <c r="N191" s="311"/>
      <c r="O191" s="362"/>
      <c r="P191" s="311"/>
      <c r="Q191" s="412"/>
      <c r="R191" s="311"/>
      <c r="S191" s="311"/>
      <c r="T191" s="311"/>
      <c r="U191" s="311"/>
      <c r="V191" s="362"/>
      <c r="W191" s="311"/>
      <c r="X191" s="311"/>
      <c r="Y191" s="316"/>
      <c r="Z191" s="316"/>
      <c r="AA191" s="316"/>
      <c r="AB191" s="316"/>
      <c r="AC191" s="316"/>
      <c r="AD191" s="316"/>
      <c r="AE191"/>
      <c r="AF191" s="316"/>
      <c r="AG191" s="316"/>
      <c r="AH191" s="316"/>
      <c r="AI191" s="316"/>
      <c r="AJ191" s="316"/>
      <c r="AK191" s="316"/>
      <c r="AL191" s="316"/>
      <c r="AM191" s="316"/>
      <c r="AN191" s="316"/>
      <c r="AO191" s="316"/>
      <c r="AP191" s="316"/>
      <c r="AQ191" s="316"/>
      <c r="AR191" s="316"/>
      <c r="AS191" s="316"/>
      <c r="AT191" s="316"/>
    </row>
    <row r="192" spans="1:46" ht="14.45">
      <c r="A192" s="340"/>
      <c r="B192" s="316"/>
      <c r="C192" s="340"/>
      <c r="D192" s="316"/>
      <c r="E192" s="316"/>
      <c r="F192" s="340"/>
      <c r="G192" s="316"/>
      <c r="H192" s="316"/>
      <c r="I192" s="316"/>
      <c r="J192" s="316"/>
      <c r="K192" s="404"/>
      <c r="L192" s="316"/>
      <c r="M192" s="407"/>
      <c r="N192" s="311"/>
      <c r="O192" s="362"/>
      <c r="P192" s="311"/>
      <c r="Q192" s="412"/>
      <c r="R192" s="311"/>
      <c r="S192" s="311"/>
      <c r="T192" s="311"/>
      <c r="U192" s="311"/>
      <c r="V192" s="362"/>
      <c r="W192" s="311"/>
      <c r="X192" s="311"/>
      <c r="Y192" s="316"/>
      <c r="Z192" s="316"/>
      <c r="AA192" s="316"/>
      <c r="AB192" s="316"/>
      <c r="AC192" s="316"/>
      <c r="AD192" s="316"/>
      <c r="AE192"/>
      <c r="AF192" s="316"/>
      <c r="AG192" s="316"/>
      <c r="AH192" s="316"/>
      <c r="AI192" s="316"/>
      <c r="AJ192" s="316"/>
      <c r="AK192" s="316"/>
      <c r="AL192" s="316"/>
      <c r="AM192" s="316"/>
      <c r="AN192" s="316"/>
      <c r="AO192" s="316"/>
      <c r="AP192" s="316"/>
      <c r="AQ192" s="316"/>
      <c r="AR192" s="316"/>
      <c r="AS192" s="316"/>
      <c r="AT192" s="316"/>
    </row>
    <row r="193" spans="1:46" ht="14.45">
      <c r="A193" s="340"/>
      <c r="B193" s="316"/>
      <c r="C193" s="340"/>
      <c r="D193" s="316"/>
      <c r="E193" s="316"/>
      <c r="F193" s="340"/>
      <c r="G193" s="316"/>
      <c r="H193" s="316"/>
      <c r="I193" s="316"/>
      <c r="J193" s="316"/>
      <c r="K193" s="404"/>
      <c r="L193" s="316"/>
      <c r="M193" s="407"/>
      <c r="N193" s="311"/>
      <c r="O193" s="362"/>
      <c r="P193" s="311"/>
      <c r="Q193" s="412"/>
      <c r="R193" s="311"/>
      <c r="S193" s="311"/>
      <c r="T193" s="311"/>
      <c r="U193" s="311"/>
      <c r="V193" s="362"/>
      <c r="W193" s="311"/>
      <c r="X193" s="311"/>
      <c r="Y193" s="316"/>
      <c r="Z193" s="316"/>
      <c r="AA193" s="316"/>
      <c r="AB193" s="316"/>
      <c r="AC193" s="316"/>
      <c r="AD193" s="316"/>
      <c r="AE193"/>
      <c r="AF193" s="316"/>
      <c r="AG193" s="316"/>
      <c r="AH193" s="316"/>
      <c r="AI193" s="316"/>
      <c r="AJ193" s="316"/>
      <c r="AK193" s="316"/>
      <c r="AL193" s="316"/>
      <c r="AM193" s="316"/>
      <c r="AN193" s="316"/>
      <c r="AO193" s="316"/>
      <c r="AP193" s="316"/>
      <c r="AQ193" s="316"/>
      <c r="AR193" s="316"/>
      <c r="AS193" s="316"/>
      <c r="AT193" s="316"/>
    </row>
    <row r="194" spans="1:46" ht="14.45">
      <c r="A194" s="340"/>
      <c r="B194" s="316"/>
      <c r="C194" s="340"/>
      <c r="D194" s="316"/>
      <c r="E194" s="316"/>
      <c r="F194" s="340"/>
      <c r="G194" s="316"/>
      <c r="H194" s="316"/>
      <c r="I194" s="316"/>
      <c r="J194" s="316"/>
      <c r="K194" s="404"/>
      <c r="L194" s="316"/>
      <c r="M194" s="407"/>
      <c r="N194" s="311"/>
      <c r="O194" s="362"/>
      <c r="P194" s="311"/>
      <c r="Q194" s="412"/>
      <c r="R194" s="311"/>
      <c r="S194" s="311"/>
      <c r="T194" s="311"/>
      <c r="U194" s="311"/>
      <c r="V194" s="362"/>
      <c r="W194" s="311"/>
      <c r="X194" s="311"/>
      <c r="Y194" s="316"/>
      <c r="Z194" s="316"/>
      <c r="AA194" s="316"/>
      <c r="AB194" s="316"/>
      <c r="AC194" s="316"/>
      <c r="AD194" s="316"/>
      <c r="AE194"/>
      <c r="AF194" s="316"/>
      <c r="AG194" s="316"/>
      <c r="AH194" s="316"/>
      <c r="AI194" s="316"/>
      <c r="AJ194" s="316"/>
      <c r="AK194" s="316"/>
      <c r="AL194" s="316"/>
      <c r="AM194" s="316"/>
      <c r="AN194" s="316"/>
      <c r="AO194" s="316"/>
      <c r="AP194" s="316"/>
      <c r="AQ194" s="316"/>
      <c r="AR194" s="316"/>
      <c r="AS194" s="316"/>
      <c r="AT194" s="316"/>
    </row>
    <row r="195" spans="1:46" ht="14.45">
      <c r="A195" s="340"/>
      <c r="B195" s="316"/>
      <c r="C195" s="340"/>
      <c r="D195" s="316"/>
      <c r="E195" s="316"/>
      <c r="F195" s="340"/>
      <c r="G195" s="316"/>
      <c r="H195" s="316"/>
      <c r="I195" s="316"/>
      <c r="J195" s="316"/>
      <c r="K195" s="404"/>
      <c r="L195" s="316"/>
      <c r="M195" s="407"/>
      <c r="N195" s="311"/>
      <c r="O195" s="362"/>
      <c r="P195" s="311"/>
      <c r="Q195" s="412"/>
      <c r="R195" s="311"/>
      <c r="S195" s="311"/>
      <c r="T195" s="311"/>
      <c r="U195" s="311"/>
      <c r="V195" s="362"/>
      <c r="W195" s="311"/>
      <c r="X195" s="311"/>
      <c r="Y195" s="316"/>
      <c r="Z195" s="316"/>
      <c r="AA195" s="316"/>
      <c r="AB195" s="316"/>
      <c r="AC195" s="316"/>
      <c r="AD195" s="316"/>
      <c r="AE195"/>
      <c r="AF195" s="316"/>
      <c r="AG195" s="316"/>
      <c r="AH195" s="316"/>
      <c r="AI195" s="316"/>
      <c r="AJ195" s="316"/>
      <c r="AK195" s="316"/>
      <c r="AL195" s="316"/>
      <c r="AM195" s="316"/>
      <c r="AN195" s="316"/>
      <c r="AO195" s="316"/>
      <c r="AP195" s="316"/>
      <c r="AQ195" s="316"/>
      <c r="AR195" s="316"/>
      <c r="AS195" s="316"/>
      <c r="AT195" s="316"/>
    </row>
    <row r="196" spans="1:46" ht="14.45">
      <c r="A196" s="340"/>
      <c r="B196" s="316"/>
      <c r="C196" s="340"/>
      <c r="D196" s="316"/>
      <c r="E196" s="316"/>
      <c r="F196" s="340"/>
      <c r="G196" s="316"/>
      <c r="H196" s="316"/>
      <c r="I196" s="316"/>
      <c r="J196" s="316"/>
      <c r="K196" s="404"/>
      <c r="L196" s="316"/>
      <c r="M196" s="407"/>
      <c r="N196" s="311"/>
      <c r="O196" s="362"/>
      <c r="P196" s="311"/>
      <c r="Q196" s="412"/>
      <c r="R196" s="311"/>
      <c r="S196" s="311"/>
      <c r="T196" s="311"/>
      <c r="U196" s="311"/>
      <c r="V196" s="362"/>
      <c r="W196" s="311"/>
      <c r="X196" s="311"/>
      <c r="Y196" s="316"/>
      <c r="Z196" s="316"/>
      <c r="AA196" s="316"/>
      <c r="AB196" s="316"/>
      <c r="AC196" s="316"/>
      <c r="AD196" s="316"/>
      <c r="AE196"/>
      <c r="AF196" s="316"/>
      <c r="AG196" s="316"/>
      <c r="AH196" s="316"/>
      <c r="AI196" s="316"/>
      <c r="AJ196" s="316"/>
      <c r="AK196" s="316"/>
      <c r="AL196" s="316"/>
      <c r="AM196" s="316"/>
      <c r="AN196" s="316"/>
      <c r="AO196" s="316"/>
      <c r="AP196" s="316"/>
      <c r="AQ196" s="316"/>
      <c r="AR196" s="316"/>
      <c r="AS196" s="316"/>
      <c r="AT196" s="316"/>
    </row>
    <row r="197" spans="1:46" ht="14.45">
      <c r="A197" s="340"/>
      <c r="B197" s="316"/>
      <c r="C197" s="340"/>
      <c r="D197" s="316"/>
      <c r="E197" s="316"/>
      <c r="F197" s="340"/>
      <c r="G197" s="316"/>
      <c r="H197" s="316"/>
      <c r="I197" s="316"/>
      <c r="J197" s="316"/>
      <c r="K197" s="404"/>
      <c r="L197" s="316"/>
      <c r="M197" s="407"/>
      <c r="N197" s="311"/>
      <c r="O197" s="362"/>
      <c r="P197" s="311"/>
      <c r="Q197" s="412"/>
      <c r="R197" s="311"/>
      <c r="S197" s="311"/>
      <c r="T197" s="311"/>
      <c r="U197" s="311"/>
      <c r="V197" s="362"/>
      <c r="W197" s="311"/>
      <c r="X197" s="311"/>
      <c r="Y197" s="316"/>
      <c r="Z197" s="316"/>
      <c r="AA197" s="316"/>
      <c r="AB197" s="316"/>
      <c r="AC197" s="316"/>
      <c r="AD197" s="316"/>
      <c r="AE197"/>
      <c r="AF197" s="316"/>
      <c r="AG197" s="316"/>
      <c r="AH197" s="316"/>
      <c r="AI197" s="316"/>
      <c r="AJ197" s="316"/>
      <c r="AK197" s="316"/>
      <c r="AL197" s="316"/>
      <c r="AM197" s="316"/>
      <c r="AN197" s="316"/>
      <c r="AO197" s="316"/>
      <c r="AP197" s="316"/>
      <c r="AQ197" s="316"/>
      <c r="AR197" s="316"/>
      <c r="AS197" s="316"/>
      <c r="AT197" s="316"/>
    </row>
    <row r="198" spans="1:46" ht="14.45">
      <c r="A198" s="340"/>
      <c r="B198" s="316"/>
      <c r="C198" s="340"/>
      <c r="D198" s="316"/>
      <c r="E198" s="316"/>
      <c r="F198" s="340"/>
      <c r="G198" s="316"/>
      <c r="H198" s="316"/>
      <c r="I198" s="316"/>
      <c r="J198" s="316"/>
      <c r="K198" s="404"/>
      <c r="L198" s="316"/>
      <c r="M198" s="407"/>
      <c r="N198" s="311"/>
      <c r="O198" s="362"/>
      <c r="P198" s="311"/>
      <c r="Q198" s="412"/>
      <c r="R198" s="311"/>
      <c r="S198" s="311"/>
      <c r="T198" s="311"/>
      <c r="U198" s="311"/>
      <c r="V198" s="362"/>
      <c r="W198" s="311"/>
      <c r="X198" s="311"/>
      <c r="Y198" s="316"/>
      <c r="Z198" s="316"/>
      <c r="AA198" s="316"/>
      <c r="AB198" s="316"/>
      <c r="AC198" s="316"/>
      <c r="AD198" s="316"/>
      <c r="AE198"/>
      <c r="AF198" s="316"/>
      <c r="AG198" s="316"/>
      <c r="AH198" s="316"/>
      <c r="AI198" s="316"/>
      <c r="AJ198" s="316"/>
      <c r="AK198" s="316"/>
      <c r="AL198" s="316"/>
      <c r="AM198" s="316"/>
      <c r="AN198" s="316"/>
      <c r="AO198" s="316"/>
      <c r="AP198" s="316"/>
      <c r="AQ198" s="316"/>
      <c r="AR198" s="316"/>
      <c r="AS198" s="316"/>
      <c r="AT198" s="316"/>
    </row>
    <row r="199" spans="1:46" ht="14.45">
      <c r="A199" s="340"/>
      <c r="B199" s="316"/>
      <c r="C199" s="340"/>
      <c r="D199" s="316"/>
      <c r="E199" s="316"/>
      <c r="F199" s="340"/>
      <c r="G199" s="316"/>
      <c r="H199" s="316"/>
      <c r="I199" s="316"/>
      <c r="J199" s="316"/>
      <c r="K199" s="404"/>
      <c r="L199" s="316"/>
      <c r="M199" s="407"/>
      <c r="N199" s="311"/>
      <c r="O199" s="362"/>
      <c r="P199" s="311"/>
      <c r="Q199" s="412"/>
      <c r="R199" s="311"/>
      <c r="S199" s="311"/>
      <c r="T199" s="311"/>
      <c r="U199" s="311"/>
      <c r="V199" s="362"/>
      <c r="W199" s="311"/>
      <c r="X199" s="311"/>
      <c r="Y199" s="316"/>
      <c r="Z199" s="316"/>
      <c r="AA199" s="316"/>
      <c r="AB199" s="316"/>
      <c r="AC199" s="316"/>
      <c r="AD199" s="316"/>
      <c r="AE199"/>
      <c r="AF199" s="316"/>
      <c r="AG199" s="316"/>
      <c r="AH199" s="316"/>
      <c r="AI199" s="316"/>
      <c r="AJ199" s="316"/>
      <c r="AK199" s="316"/>
      <c r="AL199" s="316"/>
      <c r="AM199" s="316"/>
      <c r="AN199" s="316"/>
      <c r="AO199" s="316"/>
      <c r="AP199" s="316"/>
      <c r="AQ199" s="316"/>
      <c r="AR199" s="316"/>
      <c r="AS199" s="316"/>
      <c r="AT199" s="316"/>
    </row>
    <row r="200" spans="1:46" ht="14.45">
      <c r="A200" s="340"/>
      <c r="B200" s="316"/>
      <c r="C200" s="340"/>
      <c r="D200" s="316"/>
      <c r="E200" s="316"/>
      <c r="F200" s="340"/>
      <c r="G200" s="316"/>
      <c r="H200" s="316"/>
      <c r="I200" s="316"/>
      <c r="J200" s="316"/>
      <c r="K200" s="404"/>
      <c r="L200" s="316"/>
      <c r="M200" s="407"/>
      <c r="N200" s="311"/>
      <c r="O200" s="362"/>
      <c r="P200" s="311"/>
      <c r="Q200" s="412"/>
      <c r="R200" s="311"/>
      <c r="S200" s="311"/>
      <c r="T200" s="311"/>
      <c r="U200" s="311"/>
      <c r="V200" s="362"/>
      <c r="W200" s="311"/>
      <c r="X200" s="311"/>
      <c r="Y200" s="316"/>
      <c r="Z200" s="316"/>
      <c r="AA200" s="316"/>
      <c r="AB200" s="316"/>
      <c r="AC200" s="316"/>
      <c r="AD200" s="316"/>
      <c r="AE200"/>
      <c r="AF200" s="316"/>
      <c r="AG200" s="316"/>
      <c r="AH200" s="316"/>
      <c r="AI200" s="316"/>
      <c r="AJ200" s="316"/>
      <c r="AK200" s="316"/>
      <c r="AL200" s="316"/>
      <c r="AM200" s="316"/>
      <c r="AN200" s="316"/>
      <c r="AO200" s="316"/>
      <c r="AP200" s="316"/>
      <c r="AQ200" s="316"/>
      <c r="AR200" s="316"/>
      <c r="AS200" s="316"/>
      <c r="AT200" s="316"/>
    </row>
    <row r="201" spans="1:46" ht="14.45">
      <c r="A201" s="340"/>
      <c r="B201" s="316"/>
      <c r="C201" s="340"/>
      <c r="D201" s="316"/>
      <c r="E201" s="316"/>
      <c r="F201" s="340"/>
      <c r="G201" s="316"/>
      <c r="H201" s="316"/>
      <c r="I201" s="316"/>
      <c r="J201" s="316"/>
      <c r="K201" s="404"/>
      <c r="L201" s="316"/>
      <c r="M201" s="407"/>
      <c r="N201" s="311"/>
      <c r="O201" s="362"/>
      <c r="P201" s="311"/>
      <c r="Q201" s="412"/>
      <c r="R201" s="311"/>
      <c r="S201" s="311"/>
      <c r="T201" s="311"/>
      <c r="U201" s="311"/>
      <c r="V201" s="362"/>
      <c r="W201" s="311"/>
      <c r="X201" s="311"/>
      <c r="Y201" s="316"/>
      <c r="Z201" s="316"/>
      <c r="AA201" s="316"/>
      <c r="AB201" s="316"/>
      <c r="AC201" s="316"/>
      <c r="AD201" s="316"/>
      <c r="AE201"/>
      <c r="AF201" s="316"/>
      <c r="AG201" s="316"/>
      <c r="AH201" s="316"/>
      <c r="AI201" s="316"/>
      <c r="AJ201" s="316"/>
      <c r="AK201" s="316"/>
      <c r="AL201" s="316"/>
      <c r="AM201" s="316"/>
      <c r="AN201" s="316"/>
      <c r="AO201" s="316"/>
      <c r="AP201" s="316"/>
      <c r="AQ201" s="316"/>
      <c r="AR201" s="316"/>
      <c r="AS201" s="316"/>
      <c r="AT201" s="316"/>
    </row>
    <row r="202" spans="1:46" ht="14.45">
      <c r="A202" s="340"/>
      <c r="B202" s="316"/>
      <c r="C202" s="340"/>
      <c r="D202" s="316"/>
      <c r="E202" s="316"/>
      <c r="F202" s="340"/>
      <c r="G202" s="316"/>
      <c r="H202" s="316"/>
      <c r="I202" s="316"/>
      <c r="J202" s="316"/>
      <c r="K202" s="404"/>
      <c r="L202" s="316"/>
      <c r="M202" s="407"/>
      <c r="N202" s="311"/>
      <c r="O202" s="362"/>
      <c r="P202" s="311"/>
      <c r="Q202" s="412"/>
      <c r="R202" s="311"/>
      <c r="S202" s="311"/>
      <c r="T202" s="311"/>
      <c r="U202" s="311"/>
      <c r="V202" s="362"/>
      <c r="W202" s="311"/>
      <c r="X202" s="311"/>
      <c r="Y202" s="316"/>
      <c r="Z202" s="316"/>
      <c r="AA202" s="316"/>
      <c r="AB202" s="316"/>
      <c r="AC202" s="316"/>
      <c r="AD202" s="316"/>
      <c r="AE202"/>
      <c r="AF202" s="316"/>
      <c r="AG202" s="316"/>
      <c r="AH202" s="316"/>
      <c r="AI202" s="316"/>
      <c r="AJ202" s="316"/>
      <c r="AK202" s="316"/>
      <c r="AL202" s="316"/>
      <c r="AM202" s="316"/>
      <c r="AN202" s="316"/>
      <c r="AO202" s="316"/>
      <c r="AP202" s="316"/>
      <c r="AQ202" s="316"/>
      <c r="AR202" s="316"/>
      <c r="AS202" s="316"/>
      <c r="AT202" s="316"/>
    </row>
    <row r="203" spans="1:46" ht="14.45">
      <c r="A203" s="340"/>
      <c r="B203" s="316"/>
      <c r="C203" s="340"/>
      <c r="D203" s="316"/>
      <c r="E203" s="316"/>
      <c r="F203" s="340"/>
      <c r="G203" s="316"/>
      <c r="H203" s="316"/>
      <c r="I203" s="316"/>
      <c r="J203" s="316"/>
      <c r="K203" s="404"/>
      <c r="L203" s="316"/>
      <c r="M203" s="407"/>
      <c r="N203" s="311"/>
      <c r="O203" s="362"/>
      <c r="P203" s="311"/>
      <c r="Q203" s="412"/>
      <c r="R203" s="311"/>
      <c r="S203" s="311"/>
      <c r="T203" s="311"/>
      <c r="U203" s="311"/>
      <c r="V203" s="362"/>
      <c r="W203" s="311"/>
      <c r="X203" s="311"/>
      <c r="Y203" s="316"/>
      <c r="Z203" s="316"/>
      <c r="AA203" s="316"/>
      <c r="AB203" s="316"/>
      <c r="AC203" s="316"/>
      <c r="AD203" s="316"/>
      <c r="AE203"/>
      <c r="AF203" s="316"/>
      <c r="AG203" s="316"/>
      <c r="AH203" s="316"/>
      <c r="AI203" s="316"/>
      <c r="AJ203" s="316"/>
      <c r="AK203" s="316"/>
      <c r="AL203" s="316"/>
      <c r="AM203" s="316"/>
      <c r="AN203" s="316"/>
      <c r="AO203" s="316"/>
      <c r="AP203" s="316"/>
      <c r="AQ203" s="316"/>
      <c r="AR203" s="316"/>
      <c r="AS203" s="316"/>
      <c r="AT203" s="316"/>
    </row>
    <row r="204" spans="1:46" ht="14.45">
      <c r="A204" s="340"/>
      <c r="B204" s="316"/>
      <c r="C204" s="340"/>
      <c r="D204" s="316"/>
      <c r="E204" s="316"/>
      <c r="F204" s="340"/>
      <c r="G204" s="316"/>
      <c r="H204" s="316"/>
      <c r="I204" s="316"/>
      <c r="J204" s="316"/>
      <c r="K204" s="404"/>
      <c r="L204" s="316"/>
      <c r="M204" s="407"/>
      <c r="N204" s="311"/>
      <c r="O204" s="362"/>
      <c r="P204" s="311"/>
      <c r="Q204" s="412"/>
      <c r="R204" s="311"/>
      <c r="S204" s="311"/>
      <c r="T204" s="311"/>
      <c r="U204" s="311"/>
      <c r="V204" s="362"/>
      <c r="W204" s="311"/>
      <c r="X204" s="311"/>
      <c r="Y204" s="316"/>
      <c r="Z204" s="316"/>
      <c r="AA204" s="316"/>
      <c r="AB204" s="316"/>
      <c r="AC204" s="316"/>
      <c r="AD204" s="316"/>
      <c r="AE204"/>
      <c r="AF204" s="316"/>
      <c r="AG204" s="316"/>
      <c r="AH204" s="316"/>
      <c r="AI204" s="316"/>
      <c r="AJ204" s="316"/>
      <c r="AK204" s="316"/>
      <c r="AL204" s="316"/>
      <c r="AM204" s="316"/>
      <c r="AN204" s="316"/>
      <c r="AO204" s="316"/>
      <c r="AP204" s="316"/>
      <c r="AQ204" s="316"/>
      <c r="AR204" s="316"/>
      <c r="AS204" s="316"/>
      <c r="AT204" s="316"/>
    </row>
    <row r="205" spans="1:46" ht="14.45">
      <c r="A205" s="340"/>
      <c r="B205" s="316"/>
      <c r="C205" s="340"/>
      <c r="D205" s="316"/>
      <c r="E205" s="316"/>
      <c r="F205" s="340"/>
      <c r="G205" s="316"/>
      <c r="H205" s="316"/>
      <c r="I205" s="316"/>
      <c r="J205" s="316"/>
      <c r="K205" s="404"/>
      <c r="L205" s="316"/>
      <c r="M205" s="407"/>
      <c r="N205" s="311"/>
      <c r="O205" s="362"/>
      <c r="P205" s="311"/>
      <c r="Q205" s="412"/>
      <c r="R205" s="311"/>
      <c r="S205" s="311"/>
      <c r="T205" s="311"/>
      <c r="U205" s="311"/>
      <c r="V205" s="362"/>
      <c r="W205" s="311"/>
      <c r="X205" s="311"/>
      <c r="Y205" s="316"/>
      <c r="Z205" s="316"/>
      <c r="AA205" s="316"/>
      <c r="AB205" s="316"/>
      <c r="AC205" s="316"/>
      <c r="AD205" s="316"/>
      <c r="AE205"/>
      <c r="AF205" s="316"/>
      <c r="AG205" s="316"/>
      <c r="AH205" s="316"/>
      <c r="AI205" s="316"/>
      <c r="AJ205" s="316"/>
      <c r="AK205" s="316"/>
      <c r="AL205" s="316"/>
      <c r="AM205" s="316"/>
      <c r="AN205" s="316"/>
      <c r="AO205" s="316"/>
      <c r="AP205" s="316"/>
      <c r="AQ205" s="316"/>
      <c r="AR205" s="316"/>
      <c r="AS205" s="316"/>
      <c r="AT205" s="316"/>
    </row>
    <row r="206" spans="1:46" ht="14.45">
      <c r="A206" s="340"/>
      <c r="B206" s="316"/>
      <c r="C206" s="340"/>
      <c r="D206" s="316"/>
      <c r="E206" s="316"/>
      <c r="F206" s="340"/>
      <c r="G206" s="316"/>
      <c r="H206" s="316"/>
      <c r="I206" s="316"/>
      <c r="J206" s="316"/>
      <c r="K206" s="404"/>
      <c r="L206" s="316"/>
      <c r="M206" s="407"/>
      <c r="N206" s="311"/>
      <c r="O206" s="362"/>
      <c r="P206" s="311"/>
      <c r="Q206" s="412"/>
      <c r="R206" s="311"/>
      <c r="S206" s="311"/>
      <c r="T206" s="311"/>
      <c r="U206" s="311"/>
      <c r="V206" s="362"/>
      <c r="W206" s="311"/>
      <c r="X206" s="311"/>
      <c r="Y206" s="316"/>
      <c r="Z206" s="316"/>
      <c r="AA206" s="316"/>
      <c r="AB206" s="316"/>
      <c r="AC206" s="316"/>
      <c r="AD206" s="316"/>
      <c r="AE206"/>
      <c r="AF206" s="316"/>
      <c r="AG206" s="316"/>
      <c r="AH206" s="316"/>
      <c r="AI206" s="316"/>
      <c r="AJ206" s="316"/>
      <c r="AK206" s="316"/>
      <c r="AL206" s="316"/>
      <c r="AM206" s="316"/>
      <c r="AN206" s="316"/>
      <c r="AO206" s="316"/>
      <c r="AP206" s="316"/>
      <c r="AQ206" s="316"/>
      <c r="AR206" s="316"/>
      <c r="AS206" s="316"/>
      <c r="AT206" s="316"/>
    </row>
    <row r="207" spans="1:46" ht="14.45">
      <c r="A207" s="340"/>
      <c r="B207" s="316"/>
      <c r="C207" s="340"/>
      <c r="D207" s="316"/>
      <c r="E207" s="316"/>
      <c r="F207" s="340"/>
      <c r="G207" s="316"/>
      <c r="H207" s="316"/>
      <c r="I207" s="316"/>
      <c r="J207" s="316"/>
      <c r="K207" s="404"/>
      <c r="L207" s="316"/>
      <c r="M207" s="407"/>
      <c r="N207" s="311"/>
      <c r="O207" s="362"/>
      <c r="P207" s="311"/>
      <c r="Q207" s="412"/>
      <c r="R207" s="311"/>
      <c r="S207" s="311"/>
      <c r="T207" s="311"/>
      <c r="U207" s="311"/>
      <c r="V207" s="362"/>
      <c r="W207" s="311"/>
      <c r="X207" s="311"/>
      <c r="Y207" s="316"/>
      <c r="Z207" s="316"/>
      <c r="AA207" s="316"/>
      <c r="AB207" s="316"/>
      <c r="AC207" s="316"/>
      <c r="AD207" s="316"/>
      <c r="AE207"/>
      <c r="AF207" s="316"/>
      <c r="AG207" s="316"/>
      <c r="AH207" s="316"/>
      <c r="AI207" s="316"/>
      <c r="AJ207" s="316"/>
      <c r="AK207" s="316"/>
      <c r="AL207" s="316"/>
      <c r="AM207" s="316"/>
      <c r="AN207" s="316"/>
      <c r="AO207" s="316"/>
      <c r="AP207" s="316"/>
      <c r="AQ207" s="316"/>
      <c r="AR207" s="316"/>
      <c r="AS207" s="316"/>
      <c r="AT207" s="316"/>
    </row>
    <row r="208" spans="1:46" ht="14.45">
      <c r="A208" s="340"/>
      <c r="B208" s="316"/>
      <c r="C208" s="340"/>
      <c r="D208" s="316"/>
      <c r="E208" s="316"/>
      <c r="F208" s="340"/>
      <c r="G208" s="316"/>
      <c r="H208" s="316"/>
      <c r="I208" s="316"/>
      <c r="J208" s="316"/>
      <c r="K208" s="404"/>
      <c r="L208" s="316"/>
      <c r="M208" s="407"/>
      <c r="N208" s="311"/>
      <c r="O208" s="362"/>
      <c r="P208" s="311"/>
      <c r="Q208" s="412"/>
      <c r="R208" s="311"/>
      <c r="S208" s="311"/>
      <c r="T208" s="311"/>
      <c r="U208" s="311"/>
      <c r="V208" s="362"/>
      <c r="W208" s="311"/>
      <c r="X208" s="311"/>
      <c r="Y208" s="316"/>
      <c r="Z208" s="316"/>
      <c r="AA208" s="316"/>
      <c r="AB208" s="316"/>
      <c r="AC208" s="316"/>
      <c r="AD208" s="316"/>
      <c r="AE208"/>
      <c r="AF208" s="316"/>
      <c r="AG208" s="316"/>
      <c r="AH208" s="316"/>
      <c r="AI208" s="316"/>
      <c r="AJ208" s="316"/>
      <c r="AK208" s="316"/>
      <c r="AL208" s="316"/>
      <c r="AM208" s="316"/>
      <c r="AN208" s="316"/>
      <c r="AO208" s="316"/>
      <c r="AP208" s="316"/>
      <c r="AQ208" s="316"/>
      <c r="AR208" s="316"/>
      <c r="AS208" s="316"/>
      <c r="AT208" s="316"/>
    </row>
    <row r="209" spans="1:46" ht="14.45">
      <c r="A209" s="340"/>
      <c r="B209" s="316"/>
      <c r="C209" s="340"/>
      <c r="D209" s="316"/>
      <c r="E209" s="316"/>
      <c r="F209" s="340"/>
      <c r="G209" s="316"/>
      <c r="H209" s="316"/>
      <c r="I209" s="316"/>
      <c r="J209" s="316"/>
      <c r="K209" s="404"/>
      <c r="L209" s="316"/>
      <c r="M209" s="407"/>
      <c r="N209" s="311"/>
      <c r="O209" s="362"/>
      <c r="P209" s="311"/>
      <c r="Q209" s="412"/>
      <c r="R209" s="311"/>
      <c r="S209" s="311"/>
      <c r="T209" s="311"/>
      <c r="U209" s="311"/>
      <c r="V209" s="362"/>
      <c r="W209" s="311"/>
      <c r="X209" s="311"/>
      <c r="Y209" s="316"/>
      <c r="Z209" s="316"/>
      <c r="AA209" s="316"/>
      <c r="AB209" s="316"/>
      <c r="AC209" s="316"/>
      <c r="AD209" s="316"/>
      <c r="AE209"/>
      <c r="AF209" s="316"/>
      <c r="AG209" s="316"/>
      <c r="AH209" s="316"/>
      <c r="AI209" s="316"/>
      <c r="AJ209" s="316"/>
      <c r="AK209" s="316"/>
      <c r="AL209" s="316"/>
      <c r="AM209" s="316"/>
      <c r="AN209" s="316"/>
      <c r="AO209" s="316"/>
      <c r="AP209" s="316"/>
      <c r="AQ209" s="316"/>
      <c r="AR209" s="316"/>
      <c r="AS209" s="316"/>
      <c r="AT209" s="316"/>
    </row>
    <row r="210" spans="1:46" ht="14.45">
      <c r="A210" s="340"/>
      <c r="B210" s="316"/>
      <c r="C210" s="340"/>
      <c r="D210" s="316"/>
      <c r="E210" s="316"/>
      <c r="F210" s="340"/>
      <c r="G210" s="316"/>
      <c r="H210" s="316"/>
      <c r="I210" s="316"/>
      <c r="J210" s="316"/>
      <c r="K210" s="404"/>
      <c r="L210" s="316"/>
      <c r="M210" s="407"/>
      <c r="N210" s="311"/>
      <c r="O210" s="362"/>
      <c r="P210" s="311"/>
      <c r="Q210" s="412"/>
      <c r="R210" s="311"/>
      <c r="S210" s="311"/>
      <c r="T210" s="311"/>
      <c r="U210" s="311"/>
      <c r="V210" s="362"/>
      <c r="W210" s="311"/>
      <c r="X210" s="311"/>
      <c r="Y210" s="316"/>
      <c r="Z210" s="316"/>
      <c r="AA210" s="316"/>
      <c r="AB210" s="316"/>
      <c r="AC210" s="316"/>
      <c r="AD210" s="316"/>
      <c r="AE210"/>
      <c r="AF210" s="316"/>
      <c r="AG210" s="316"/>
      <c r="AH210" s="316"/>
      <c r="AI210" s="316"/>
      <c r="AJ210" s="316"/>
      <c r="AK210" s="316"/>
      <c r="AL210" s="316"/>
      <c r="AM210" s="316"/>
      <c r="AN210" s="316"/>
      <c r="AO210" s="316"/>
      <c r="AP210" s="316"/>
      <c r="AQ210" s="316"/>
      <c r="AR210" s="316"/>
      <c r="AS210" s="316"/>
      <c r="AT210" s="316"/>
    </row>
    <row r="211" spans="1:46" ht="14.45">
      <c r="A211" s="340"/>
      <c r="B211" s="316"/>
      <c r="C211" s="340"/>
      <c r="D211" s="316"/>
      <c r="E211" s="316"/>
      <c r="F211" s="340"/>
      <c r="G211" s="316"/>
      <c r="H211" s="316"/>
      <c r="I211" s="316"/>
      <c r="J211" s="316"/>
      <c r="K211" s="404"/>
      <c r="L211" s="316"/>
      <c r="M211" s="407"/>
      <c r="N211" s="311"/>
      <c r="O211" s="362"/>
      <c r="P211" s="311"/>
      <c r="Q211" s="412"/>
      <c r="R211" s="311"/>
      <c r="S211" s="311"/>
      <c r="T211" s="311"/>
      <c r="U211" s="311"/>
      <c r="V211" s="362"/>
      <c r="W211" s="311"/>
      <c r="X211" s="311"/>
      <c r="Y211" s="316"/>
      <c r="Z211" s="316"/>
      <c r="AA211" s="316"/>
      <c r="AB211" s="316"/>
      <c r="AC211" s="316"/>
      <c r="AD211" s="316"/>
      <c r="AE211"/>
      <c r="AF211" s="316"/>
      <c r="AG211" s="316"/>
      <c r="AH211" s="316"/>
      <c r="AI211" s="316"/>
      <c r="AJ211" s="316"/>
      <c r="AK211" s="316"/>
      <c r="AL211" s="316"/>
      <c r="AM211" s="316"/>
      <c r="AN211" s="316"/>
      <c r="AO211" s="316"/>
      <c r="AP211" s="316"/>
      <c r="AQ211" s="316"/>
      <c r="AR211" s="316"/>
      <c r="AS211" s="316"/>
      <c r="AT211" s="316"/>
    </row>
    <row r="212" spans="1:46" ht="14.45">
      <c r="A212" s="340"/>
      <c r="B212" s="316"/>
      <c r="C212" s="340"/>
      <c r="D212" s="316"/>
      <c r="E212" s="316"/>
      <c r="F212" s="340"/>
      <c r="G212" s="316"/>
      <c r="H212" s="316"/>
      <c r="I212" s="316"/>
      <c r="J212" s="316"/>
      <c r="K212" s="404"/>
      <c r="L212" s="316"/>
      <c r="M212" s="407"/>
      <c r="N212" s="311"/>
      <c r="O212" s="362"/>
      <c r="P212" s="311"/>
      <c r="Q212" s="412"/>
      <c r="R212" s="311"/>
      <c r="S212" s="311"/>
      <c r="T212" s="311"/>
      <c r="U212" s="311"/>
      <c r="V212" s="362"/>
      <c r="W212" s="311"/>
      <c r="X212" s="311"/>
      <c r="Y212" s="316"/>
      <c r="Z212" s="316"/>
      <c r="AA212" s="316"/>
      <c r="AB212" s="316"/>
      <c r="AC212" s="316"/>
      <c r="AD212" s="316"/>
      <c r="AE212"/>
      <c r="AF212" s="316"/>
      <c r="AG212" s="316"/>
      <c r="AH212" s="316"/>
      <c r="AI212" s="316"/>
      <c r="AJ212" s="316"/>
      <c r="AK212" s="316"/>
      <c r="AL212" s="316"/>
      <c r="AM212" s="316"/>
      <c r="AN212" s="316"/>
      <c r="AO212" s="316"/>
      <c r="AP212" s="316"/>
      <c r="AQ212" s="316"/>
      <c r="AR212" s="316"/>
      <c r="AS212" s="316"/>
      <c r="AT212" s="316"/>
    </row>
    <row r="213" spans="1:46" ht="14.45">
      <c r="A213" s="340"/>
      <c r="B213" s="316"/>
      <c r="C213" s="340"/>
      <c r="D213" s="316"/>
      <c r="E213" s="316"/>
      <c r="F213" s="340"/>
      <c r="G213" s="316"/>
      <c r="H213" s="316"/>
      <c r="I213" s="316"/>
      <c r="J213" s="316"/>
      <c r="K213" s="404"/>
      <c r="L213" s="316"/>
      <c r="M213" s="407"/>
      <c r="N213" s="311"/>
      <c r="O213" s="362"/>
      <c r="P213" s="311"/>
      <c r="Q213" s="412"/>
      <c r="R213" s="311"/>
      <c r="S213" s="311"/>
      <c r="T213" s="311"/>
      <c r="U213" s="311"/>
      <c r="V213" s="362"/>
      <c r="W213" s="311"/>
      <c r="X213" s="311"/>
      <c r="Y213" s="316"/>
      <c r="Z213" s="316"/>
      <c r="AA213" s="316"/>
      <c r="AB213" s="316"/>
      <c r="AC213" s="316"/>
      <c r="AD213" s="316"/>
      <c r="AE213"/>
      <c r="AF213" s="316"/>
      <c r="AG213" s="316"/>
      <c r="AH213" s="316"/>
      <c r="AI213" s="316"/>
      <c r="AJ213" s="316"/>
      <c r="AK213" s="316"/>
      <c r="AL213" s="316"/>
      <c r="AM213" s="316"/>
      <c r="AN213" s="316"/>
      <c r="AO213" s="316"/>
      <c r="AP213" s="316"/>
      <c r="AQ213" s="316"/>
      <c r="AR213" s="316"/>
      <c r="AS213" s="316"/>
      <c r="AT213" s="316"/>
    </row>
    <row r="214" spans="1:46" ht="14.45">
      <c r="A214" s="340"/>
      <c r="B214" s="316"/>
      <c r="C214" s="340"/>
      <c r="D214" s="316"/>
      <c r="E214" s="316"/>
      <c r="F214" s="340"/>
      <c r="G214" s="316"/>
      <c r="H214" s="316"/>
      <c r="I214" s="316"/>
      <c r="J214" s="316"/>
      <c r="K214" s="404"/>
      <c r="L214" s="316"/>
      <c r="M214" s="407"/>
      <c r="N214" s="311"/>
      <c r="O214" s="362"/>
      <c r="P214" s="311"/>
      <c r="Q214" s="412"/>
      <c r="R214" s="311"/>
      <c r="S214" s="311"/>
      <c r="T214" s="311"/>
      <c r="U214" s="311"/>
      <c r="V214" s="362"/>
      <c r="W214" s="311"/>
      <c r="X214" s="311"/>
      <c r="Y214" s="316"/>
      <c r="Z214" s="316"/>
      <c r="AA214" s="316"/>
      <c r="AB214" s="316"/>
      <c r="AC214" s="316"/>
      <c r="AD214" s="316"/>
      <c r="AE214"/>
      <c r="AF214" s="316"/>
      <c r="AG214" s="316"/>
      <c r="AH214" s="316"/>
      <c r="AI214" s="316"/>
      <c r="AJ214" s="316"/>
      <c r="AK214" s="316"/>
      <c r="AL214" s="316"/>
      <c r="AM214" s="316"/>
      <c r="AN214" s="316"/>
      <c r="AO214" s="316"/>
      <c r="AP214" s="316"/>
      <c r="AQ214" s="316"/>
      <c r="AR214" s="316"/>
      <c r="AS214" s="316"/>
      <c r="AT214" s="316"/>
    </row>
    <row r="215" spans="1:46" ht="14.45">
      <c r="A215" s="340"/>
      <c r="B215" s="316"/>
      <c r="C215" s="340"/>
      <c r="D215" s="316"/>
      <c r="E215" s="316"/>
      <c r="F215" s="340"/>
      <c r="G215" s="316"/>
      <c r="H215" s="316"/>
      <c r="I215" s="316"/>
      <c r="J215" s="316"/>
      <c r="K215" s="404"/>
      <c r="L215" s="316"/>
      <c r="M215" s="407"/>
      <c r="N215" s="311"/>
      <c r="O215" s="362"/>
      <c r="P215" s="311"/>
      <c r="Q215" s="412"/>
      <c r="R215" s="311"/>
      <c r="S215" s="311"/>
      <c r="T215" s="311"/>
      <c r="U215" s="311"/>
      <c r="V215" s="362"/>
      <c r="W215" s="311"/>
      <c r="X215" s="311"/>
      <c r="Y215" s="316"/>
      <c r="Z215" s="316"/>
      <c r="AA215" s="316"/>
      <c r="AB215" s="316"/>
      <c r="AC215" s="316"/>
      <c r="AD215" s="316"/>
      <c r="AE215"/>
      <c r="AF215" s="316"/>
      <c r="AG215" s="316"/>
      <c r="AH215" s="316"/>
      <c r="AI215" s="316"/>
      <c r="AJ215" s="316"/>
      <c r="AK215" s="316"/>
      <c r="AL215" s="316"/>
      <c r="AM215" s="316"/>
      <c r="AN215" s="316"/>
      <c r="AO215" s="316"/>
      <c r="AP215" s="316"/>
      <c r="AQ215" s="316"/>
      <c r="AR215" s="316"/>
      <c r="AS215" s="316"/>
      <c r="AT215" s="316"/>
    </row>
    <row r="216" spans="1:46" ht="14.45">
      <c r="A216" s="340"/>
      <c r="B216" s="316"/>
      <c r="C216" s="340"/>
      <c r="D216" s="316"/>
      <c r="E216" s="316"/>
      <c r="F216" s="340"/>
      <c r="G216" s="316"/>
      <c r="H216" s="316"/>
      <c r="I216" s="316"/>
      <c r="J216" s="316"/>
      <c r="K216" s="404"/>
      <c r="L216" s="316"/>
      <c r="M216" s="407"/>
      <c r="N216" s="311"/>
      <c r="O216" s="362"/>
      <c r="P216" s="311"/>
      <c r="Q216" s="412"/>
      <c r="R216" s="311"/>
      <c r="S216" s="311"/>
      <c r="T216" s="311"/>
      <c r="U216" s="311"/>
      <c r="V216" s="362"/>
      <c r="W216" s="311"/>
      <c r="X216" s="311"/>
      <c r="Y216" s="316"/>
      <c r="Z216" s="316"/>
      <c r="AA216" s="316"/>
      <c r="AB216" s="316"/>
      <c r="AC216" s="316"/>
      <c r="AD216" s="316"/>
      <c r="AE216"/>
      <c r="AF216" s="316"/>
      <c r="AG216" s="316"/>
      <c r="AH216" s="316"/>
      <c r="AI216" s="316"/>
      <c r="AJ216" s="316"/>
      <c r="AK216" s="316"/>
      <c r="AL216" s="316"/>
      <c r="AM216" s="316"/>
      <c r="AN216" s="316"/>
      <c r="AO216" s="316"/>
      <c r="AP216" s="316"/>
      <c r="AQ216" s="316"/>
      <c r="AR216" s="316"/>
      <c r="AS216" s="316"/>
      <c r="AT216" s="316"/>
    </row>
    <row r="217" spans="1:46" ht="14.45">
      <c r="A217" s="340"/>
      <c r="B217" s="316"/>
      <c r="C217" s="340"/>
      <c r="D217" s="316"/>
      <c r="E217" s="316"/>
      <c r="F217" s="340"/>
      <c r="G217" s="316"/>
      <c r="H217" s="316"/>
      <c r="I217" s="316"/>
      <c r="J217" s="316"/>
      <c r="K217" s="404"/>
      <c r="L217" s="316"/>
      <c r="M217" s="407"/>
      <c r="N217" s="311"/>
      <c r="O217" s="362"/>
      <c r="P217" s="311"/>
      <c r="Q217" s="412"/>
      <c r="R217" s="311"/>
      <c r="S217" s="311"/>
      <c r="T217" s="311"/>
      <c r="U217" s="311"/>
      <c r="V217" s="362"/>
      <c r="W217" s="311"/>
      <c r="X217" s="311"/>
      <c r="Y217" s="316"/>
      <c r="Z217" s="316"/>
      <c r="AA217" s="316"/>
      <c r="AB217" s="316"/>
      <c r="AC217" s="316"/>
      <c r="AD217" s="316"/>
      <c r="AE217"/>
      <c r="AF217" s="316"/>
      <c r="AG217" s="316"/>
      <c r="AH217" s="316"/>
      <c r="AI217" s="316"/>
      <c r="AJ217" s="316"/>
      <c r="AK217" s="316"/>
      <c r="AL217" s="316"/>
      <c r="AM217" s="316"/>
      <c r="AN217" s="316"/>
      <c r="AO217" s="316"/>
      <c r="AP217" s="316"/>
      <c r="AQ217" s="316"/>
      <c r="AR217" s="316"/>
      <c r="AS217" s="316"/>
      <c r="AT217" s="316"/>
    </row>
    <row r="218" spans="1:46" ht="14.45">
      <c r="A218" s="340"/>
      <c r="B218" s="316"/>
      <c r="C218" s="340"/>
      <c r="D218" s="316"/>
      <c r="E218" s="316"/>
      <c r="F218" s="340"/>
      <c r="G218" s="316"/>
      <c r="H218" s="316"/>
      <c r="I218" s="316"/>
      <c r="J218" s="316"/>
      <c r="K218" s="404"/>
      <c r="L218" s="316"/>
      <c r="M218" s="407"/>
      <c r="N218" s="311"/>
      <c r="O218" s="362"/>
      <c r="P218" s="311"/>
      <c r="Q218" s="412"/>
      <c r="R218" s="311"/>
      <c r="S218" s="311"/>
      <c r="T218" s="311"/>
      <c r="U218" s="311"/>
      <c r="V218" s="362"/>
      <c r="W218" s="311"/>
      <c r="X218" s="311"/>
      <c r="Y218" s="316"/>
      <c r="Z218" s="316"/>
      <c r="AA218" s="316"/>
      <c r="AB218" s="316"/>
      <c r="AC218" s="316"/>
      <c r="AD218" s="316"/>
      <c r="AE218"/>
      <c r="AF218" s="316"/>
      <c r="AG218" s="316"/>
      <c r="AH218" s="316"/>
      <c r="AI218" s="316"/>
      <c r="AJ218" s="316"/>
      <c r="AK218" s="316"/>
      <c r="AL218" s="316"/>
      <c r="AM218" s="316"/>
      <c r="AN218" s="316"/>
      <c r="AO218" s="316"/>
      <c r="AP218" s="316"/>
      <c r="AQ218" s="316"/>
      <c r="AR218" s="316"/>
      <c r="AS218" s="316"/>
      <c r="AT218" s="316"/>
    </row>
    <row r="219" spans="1:46" ht="14.45">
      <c r="A219" s="340"/>
      <c r="B219" s="316"/>
      <c r="C219" s="340"/>
      <c r="D219" s="316"/>
      <c r="E219" s="316"/>
      <c r="F219" s="340"/>
      <c r="G219" s="316"/>
      <c r="H219" s="316"/>
      <c r="I219" s="316"/>
      <c r="J219" s="316"/>
      <c r="K219" s="404"/>
      <c r="L219" s="316"/>
      <c r="M219" s="407"/>
      <c r="N219" s="311"/>
      <c r="O219" s="362"/>
      <c r="P219" s="311"/>
      <c r="Q219" s="412"/>
      <c r="R219" s="311"/>
      <c r="S219" s="311"/>
      <c r="T219" s="311"/>
      <c r="U219" s="311"/>
      <c r="V219" s="362"/>
      <c r="W219" s="311"/>
      <c r="X219" s="311"/>
      <c r="Y219" s="316"/>
      <c r="Z219" s="316"/>
      <c r="AA219" s="316"/>
      <c r="AB219" s="316"/>
      <c r="AC219" s="316"/>
      <c r="AD219" s="316"/>
      <c r="AE219"/>
      <c r="AF219" s="316"/>
      <c r="AG219" s="316"/>
      <c r="AH219" s="316"/>
      <c r="AI219" s="316"/>
      <c r="AJ219" s="316"/>
      <c r="AK219" s="316"/>
      <c r="AL219" s="316"/>
      <c r="AM219" s="316"/>
      <c r="AN219" s="316"/>
      <c r="AO219" s="316"/>
      <c r="AP219" s="316"/>
      <c r="AQ219" s="316"/>
      <c r="AR219" s="316"/>
      <c r="AS219" s="316"/>
      <c r="AT219" s="316"/>
    </row>
    <row r="220" spans="1:46" ht="14.45">
      <c r="A220" s="340"/>
      <c r="B220" s="316"/>
      <c r="C220" s="340"/>
      <c r="D220" s="316"/>
      <c r="E220" s="316"/>
      <c r="F220" s="340"/>
      <c r="G220" s="316"/>
      <c r="H220" s="316"/>
      <c r="I220" s="316"/>
      <c r="J220" s="316"/>
      <c r="K220" s="404"/>
      <c r="L220" s="316"/>
      <c r="M220" s="407"/>
      <c r="N220" s="311"/>
      <c r="O220" s="362"/>
      <c r="P220" s="311"/>
      <c r="Q220" s="412"/>
      <c r="R220" s="311"/>
      <c r="S220" s="311"/>
      <c r="T220" s="311"/>
      <c r="U220" s="311"/>
      <c r="V220" s="362"/>
      <c r="W220" s="311"/>
      <c r="X220" s="311"/>
      <c r="Y220" s="316"/>
      <c r="Z220" s="316"/>
      <c r="AA220" s="316"/>
      <c r="AB220" s="316"/>
      <c r="AC220" s="316"/>
      <c r="AD220" s="316"/>
      <c r="AE220"/>
      <c r="AF220" s="316"/>
      <c r="AG220" s="316"/>
      <c r="AH220" s="316"/>
      <c r="AI220" s="316"/>
      <c r="AJ220" s="316"/>
      <c r="AK220" s="316"/>
      <c r="AL220" s="316"/>
      <c r="AM220" s="316"/>
      <c r="AN220" s="316"/>
      <c r="AO220" s="316"/>
      <c r="AP220" s="316"/>
      <c r="AQ220" s="316"/>
      <c r="AR220" s="316"/>
      <c r="AS220" s="316"/>
      <c r="AT220" s="316"/>
    </row>
    <row r="221" spans="1:46" ht="14.45">
      <c r="A221" s="340"/>
      <c r="B221" s="316"/>
      <c r="C221" s="340"/>
      <c r="D221" s="316"/>
      <c r="E221" s="316"/>
      <c r="F221" s="340"/>
      <c r="G221" s="316"/>
      <c r="H221" s="316"/>
      <c r="I221" s="316"/>
      <c r="J221" s="316"/>
      <c r="K221" s="404"/>
      <c r="L221" s="316"/>
      <c r="M221" s="407"/>
      <c r="N221" s="311"/>
      <c r="O221" s="362"/>
      <c r="P221" s="311"/>
      <c r="Q221" s="412"/>
      <c r="R221" s="311"/>
      <c r="S221" s="311"/>
      <c r="T221" s="311"/>
      <c r="U221" s="311"/>
      <c r="V221" s="362"/>
      <c r="W221" s="311"/>
      <c r="X221" s="311"/>
      <c r="Y221" s="316"/>
      <c r="Z221" s="316"/>
      <c r="AA221" s="316"/>
      <c r="AB221" s="316"/>
      <c r="AC221" s="316"/>
      <c r="AD221" s="316"/>
      <c r="AE221"/>
      <c r="AF221" s="316"/>
      <c r="AG221" s="316"/>
      <c r="AH221" s="316"/>
      <c r="AI221" s="316"/>
      <c r="AJ221" s="316"/>
      <c r="AK221" s="316"/>
      <c r="AL221" s="316"/>
      <c r="AM221" s="316"/>
      <c r="AN221" s="316"/>
      <c r="AO221" s="316"/>
      <c r="AP221" s="316"/>
      <c r="AQ221" s="316"/>
      <c r="AR221" s="316"/>
      <c r="AS221" s="316"/>
      <c r="AT221" s="316"/>
    </row>
    <row r="222" spans="1:46" ht="14.45">
      <c r="A222" s="340"/>
      <c r="B222" s="316"/>
      <c r="C222" s="340"/>
      <c r="D222" s="316"/>
      <c r="E222" s="316"/>
      <c r="F222" s="340"/>
      <c r="G222" s="316"/>
      <c r="H222" s="316"/>
      <c r="I222" s="316"/>
      <c r="J222" s="316"/>
      <c r="K222" s="404"/>
      <c r="L222" s="316"/>
      <c r="M222" s="407"/>
      <c r="N222" s="311"/>
      <c r="O222" s="362"/>
      <c r="P222" s="311"/>
      <c r="Q222" s="412"/>
      <c r="R222" s="311"/>
      <c r="S222" s="311"/>
      <c r="T222" s="311"/>
      <c r="U222" s="311"/>
      <c r="V222" s="362"/>
      <c r="W222" s="311"/>
      <c r="X222" s="311"/>
      <c r="Y222" s="316"/>
      <c r="Z222" s="316"/>
      <c r="AA222" s="316"/>
      <c r="AB222" s="316"/>
      <c r="AC222" s="316"/>
      <c r="AD222" s="316"/>
      <c r="AE222"/>
      <c r="AF222" s="316"/>
      <c r="AG222" s="316"/>
      <c r="AH222" s="316"/>
      <c r="AI222" s="316"/>
      <c r="AJ222" s="316"/>
      <c r="AK222" s="316"/>
      <c r="AL222" s="316"/>
      <c r="AM222" s="316"/>
      <c r="AN222" s="316"/>
      <c r="AO222" s="316"/>
      <c r="AP222" s="316"/>
      <c r="AQ222" s="316"/>
      <c r="AR222" s="316"/>
      <c r="AS222" s="316"/>
      <c r="AT222" s="316"/>
    </row>
    <row r="223" spans="1:46" ht="14.45">
      <c r="A223" s="340"/>
      <c r="B223" s="316"/>
      <c r="C223" s="340"/>
      <c r="D223" s="316"/>
      <c r="E223" s="316"/>
      <c r="F223" s="340"/>
      <c r="G223" s="316"/>
      <c r="H223" s="316"/>
      <c r="I223" s="316"/>
      <c r="J223" s="316"/>
      <c r="K223" s="404"/>
      <c r="L223" s="316"/>
      <c r="M223" s="407"/>
      <c r="N223" s="311"/>
      <c r="O223" s="362"/>
      <c r="P223" s="311"/>
      <c r="Q223" s="412"/>
      <c r="R223" s="311"/>
      <c r="S223" s="311"/>
      <c r="T223" s="311"/>
      <c r="U223" s="311"/>
      <c r="V223" s="362"/>
      <c r="W223" s="311"/>
      <c r="X223" s="311"/>
      <c r="Y223" s="316"/>
      <c r="Z223" s="316"/>
      <c r="AA223" s="316"/>
      <c r="AB223" s="316"/>
      <c r="AC223" s="316"/>
      <c r="AD223" s="316"/>
      <c r="AE223"/>
      <c r="AF223" s="316"/>
      <c r="AG223" s="316"/>
      <c r="AH223" s="316"/>
      <c r="AI223" s="316"/>
      <c r="AJ223" s="316"/>
      <c r="AK223" s="316"/>
      <c r="AL223" s="316"/>
      <c r="AM223" s="316"/>
      <c r="AN223" s="316"/>
      <c r="AO223" s="316"/>
      <c r="AP223" s="316"/>
      <c r="AQ223" s="316"/>
      <c r="AR223" s="316"/>
      <c r="AS223" s="316"/>
      <c r="AT223" s="316"/>
    </row>
    <row r="224" spans="1:46" ht="14.45">
      <c r="A224" s="340"/>
      <c r="B224" s="316"/>
      <c r="C224" s="340"/>
      <c r="D224" s="316"/>
      <c r="E224" s="316"/>
      <c r="F224" s="340"/>
      <c r="G224" s="316"/>
      <c r="H224" s="316"/>
      <c r="I224" s="316"/>
      <c r="J224" s="316"/>
      <c r="K224" s="404"/>
      <c r="L224" s="316"/>
      <c r="M224" s="407"/>
      <c r="N224" s="311"/>
      <c r="O224" s="362"/>
      <c r="P224" s="311"/>
      <c r="Q224" s="412"/>
      <c r="R224" s="311"/>
      <c r="S224" s="311"/>
      <c r="T224" s="311"/>
      <c r="U224" s="311"/>
      <c r="V224" s="362"/>
      <c r="W224" s="311"/>
      <c r="X224" s="311"/>
      <c r="Y224" s="316"/>
      <c r="Z224" s="316"/>
      <c r="AA224" s="316"/>
      <c r="AB224" s="316"/>
      <c r="AC224" s="316"/>
      <c r="AD224" s="316"/>
      <c r="AE224"/>
      <c r="AF224" s="316"/>
      <c r="AG224" s="316"/>
      <c r="AH224" s="316"/>
      <c r="AI224" s="316"/>
      <c r="AJ224" s="316"/>
      <c r="AK224" s="316"/>
      <c r="AL224" s="316"/>
      <c r="AM224" s="316"/>
      <c r="AN224" s="316"/>
      <c r="AO224" s="316"/>
      <c r="AP224" s="316"/>
      <c r="AQ224" s="316"/>
      <c r="AR224" s="316"/>
      <c r="AS224" s="316"/>
      <c r="AT224" s="316"/>
    </row>
    <row r="225" spans="1:46" ht="14.45">
      <c r="A225" s="340"/>
      <c r="B225" s="316"/>
      <c r="C225" s="340"/>
      <c r="D225" s="316"/>
      <c r="E225" s="316"/>
      <c r="F225" s="340"/>
      <c r="G225" s="316"/>
      <c r="H225" s="316"/>
      <c r="I225" s="316"/>
      <c r="J225" s="316"/>
      <c r="K225" s="404"/>
      <c r="L225" s="316"/>
      <c r="M225" s="407"/>
      <c r="N225" s="311"/>
      <c r="O225" s="362"/>
      <c r="P225" s="311"/>
      <c r="Q225" s="412"/>
      <c r="R225" s="311"/>
      <c r="S225" s="311"/>
      <c r="T225" s="311"/>
      <c r="U225" s="311"/>
      <c r="V225" s="362"/>
      <c r="W225" s="311"/>
      <c r="X225" s="311"/>
      <c r="Y225" s="316"/>
      <c r="Z225" s="316"/>
      <c r="AA225" s="316"/>
      <c r="AB225" s="316"/>
      <c r="AC225" s="316"/>
      <c r="AD225" s="316"/>
      <c r="AE225"/>
      <c r="AF225" s="316"/>
      <c r="AG225" s="316"/>
      <c r="AH225" s="316"/>
      <c r="AI225" s="316"/>
      <c r="AJ225" s="316"/>
      <c r="AK225" s="316"/>
      <c r="AL225" s="316"/>
      <c r="AM225" s="316"/>
      <c r="AN225" s="316"/>
      <c r="AO225" s="316"/>
      <c r="AP225" s="316"/>
      <c r="AQ225" s="316"/>
      <c r="AR225" s="316"/>
      <c r="AS225" s="316"/>
      <c r="AT225" s="316"/>
    </row>
    <row r="226" spans="1:46" ht="14.45">
      <c r="A226" s="340"/>
      <c r="B226" s="316"/>
      <c r="C226" s="340"/>
      <c r="D226" s="316"/>
      <c r="E226" s="316"/>
      <c r="F226" s="340"/>
      <c r="G226" s="316"/>
      <c r="H226" s="316"/>
      <c r="I226" s="316"/>
      <c r="J226" s="316"/>
      <c r="K226" s="404"/>
      <c r="L226" s="316"/>
      <c r="M226" s="407"/>
      <c r="N226" s="311"/>
      <c r="O226" s="362"/>
      <c r="P226" s="311"/>
      <c r="Q226" s="412"/>
      <c r="R226" s="311"/>
      <c r="S226" s="311"/>
      <c r="T226" s="311"/>
      <c r="U226" s="311"/>
      <c r="V226" s="362"/>
      <c r="W226" s="311"/>
      <c r="X226" s="311"/>
      <c r="Y226" s="316"/>
      <c r="Z226" s="316"/>
      <c r="AA226" s="316"/>
      <c r="AB226" s="316"/>
      <c r="AC226" s="316"/>
      <c r="AD226" s="316"/>
      <c r="AE226"/>
      <c r="AF226" s="316"/>
      <c r="AG226" s="316"/>
      <c r="AH226" s="316"/>
      <c r="AI226" s="316"/>
      <c r="AJ226" s="316"/>
      <c r="AK226" s="316"/>
      <c r="AL226" s="316"/>
      <c r="AM226" s="316"/>
      <c r="AN226" s="316"/>
      <c r="AO226" s="316"/>
      <c r="AP226" s="316"/>
      <c r="AQ226" s="316"/>
      <c r="AR226" s="316"/>
      <c r="AS226" s="316"/>
      <c r="AT226" s="316"/>
    </row>
    <row r="227" spans="1:46" ht="14.45">
      <c r="A227" s="340"/>
      <c r="B227" s="316"/>
      <c r="C227" s="340"/>
      <c r="D227" s="316"/>
      <c r="E227" s="316"/>
      <c r="F227" s="340"/>
      <c r="G227" s="316"/>
      <c r="H227" s="316"/>
      <c r="I227" s="316"/>
      <c r="J227" s="316"/>
      <c r="K227" s="404"/>
      <c r="L227" s="316"/>
      <c r="M227" s="407"/>
      <c r="N227" s="311"/>
      <c r="O227" s="362"/>
      <c r="P227" s="311"/>
      <c r="Q227" s="412"/>
      <c r="R227" s="311"/>
      <c r="S227" s="311"/>
      <c r="T227" s="311"/>
      <c r="U227" s="311"/>
      <c r="V227" s="362"/>
      <c r="W227" s="311"/>
      <c r="X227" s="311"/>
      <c r="Y227" s="316"/>
      <c r="Z227" s="316"/>
      <c r="AA227" s="316"/>
      <c r="AB227" s="316"/>
      <c r="AC227" s="316"/>
      <c r="AD227" s="316"/>
      <c r="AE227"/>
      <c r="AF227" s="316"/>
      <c r="AG227" s="316"/>
      <c r="AH227" s="316"/>
      <c r="AI227" s="316"/>
      <c r="AJ227" s="316"/>
      <c r="AK227" s="316"/>
      <c r="AL227" s="316"/>
      <c r="AM227" s="316"/>
      <c r="AN227" s="316"/>
      <c r="AO227" s="316"/>
      <c r="AP227" s="316"/>
      <c r="AQ227" s="316"/>
      <c r="AR227" s="316"/>
      <c r="AS227" s="316"/>
      <c r="AT227" s="316"/>
    </row>
    <row r="228" spans="1:46" ht="14.45">
      <c r="A228" s="340"/>
      <c r="B228" s="316"/>
      <c r="C228" s="340"/>
      <c r="D228" s="316"/>
      <c r="E228" s="316"/>
      <c r="F228" s="340"/>
      <c r="G228" s="316"/>
      <c r="H228" s="316"/>
      <c r="I228" s="316"/>
      <c r="J228" s="316"/>
      <c r="K228" s="404"/>
      <c r="L228" s="316"/>
      <c r="M228" s="407"/>
      <c r="N228" s="311"/>
      <c r="O228" s="362"/>
      <c r="P228" s="311"/>
      <c r="Q228" s="412"/>
      <c r="R228" s="311"/>
      <c r="S228" s="311"/>
      <c r="T228" s="311"/>
      <c r="U228" s="311"/>
      <c r="V228" s="362"/>
      <c r="W228" s="311"/>
      <c r="X228" s="311"/>
      <c r="Y228" s="316"/>
      <c r="Z228" s="316"/>
      <c r="AA228" s="316"/>
      <c r="AB228" s="316"/>
      <c r="AC228" s="316"/>
      <c r="AD228" s="316"/>
      <c r="AE228"/>
      <c r="AF228" s="316"/>
      <c r="AG228" s="316"/>
      <c r="AH228" s="316"/>
      <c r="AI228" s="316"/>
      <c r="AJ228" s="316"/>
      <c r="AK228" s="316"/>
      <c r="AL228" s="316"/>
      <c r="AM228" s="316"/>
      <c r="AN228" s="316"/>
      <c r="AO228" s="316"/>
      <c r="AP228" s="316"/>
      <c r="AQ228" s="316"/>
      <c r="AR228" s="316"/>
      <c r="AS228" s="316"/>
      <c r="AT228" s="316"/>
    </row>
    <row r="229" spans="1:46" ht="14.45">
      <c r="A229" s="340"/>
      <c r="B229" s="316"/>
      <c r="C229" s="340"/>
      <c r="D229" s="316"/>
      <c r="E229" s="316"/>
      <c r="F229" s="340"/>
      <c r="G229" s="316"/>
      <c r="H229" s="316"/>
      <c r="I229" s="316"/>
      <c r="J229" s="316"/>
      <c r="K229" s="404"/>
      <c r="L229" s="316"/>
      <c r="M229" s="407"/>
      <c r="N229" s="311"/>
      <c r="O229" s="362"/>
      <c r="P229" s="311"/>
      <c r="Q229" s="412"/>
      <c r="R229" s="311"/>
      <c r="S229" s="311"/>
      <c r="T229" s="311"/>
      <c r="U229" s="311"/>
      <c r="V229" s="362"/>
      <c r="W229" s="311"/>
      <c r="X229" s="311"/>
      <c r="Y229" s="316"/>
      <c r="Z229" s="316"/>
      <c r="AA229" s="316"/>
      <c r="AB229" s="316"/>
      <c r="AC229" s="316"/>
      <c r="AD229" s="316"/>
      <c r="AE229"/>
      <c r="AF229" s="316"/>
      <c r="AG229" s="316"/>
      <c r="AH229" s="316"/>
      <c r="AI229" s="316"/>
      <c r="AJ229" s="316"/>
      <c r="AK229" s="316"/>
      <c r="AL229" s="316"/>
      <c r="AM229" s="316"/>
      <c r="AN229" s="316"/>
      <c r="AO229" s="316"/>
      <c r="AP229" s="316"/>
      <c r="AQ229" s="316"/>
      <c r="AR229" s="316"/>
      <c r="AS229" s="316"/>
      <c r="AT229" s="316"/>
    </row>
    <row r="230" spans="1:46" ht="14.45">
      <c r="A230" s="340"/>
      <c r="B230" s="316"/>
      <c r="C230" s="340"/>
      <c r="D230" s="316"/>
      <c r="E230" s="316"/>
      <c r="F230" s="340"/>
      <c r="G230" s="316"/>
      <c r="H230" s="316"/>
      <c r="I230" s="316"/>
      <c r="J230" s="316"/>
      <c r="K230" s="404"/>
      <c r="L230" s="316"/>
      <c r="M230" s="407"/>
      <c r="N230" s="311"/>
      <c r="O230" s="362"/>
      <c r="P230" s="311"/>
      <c r="Q230" s="412"/>
      <c r="R230" s="311"/>
      <c r="S230" s="311"/>
      <c r="T230" s="311"/>
      <c r="U230" s="311"/>
      <c r="V230" s="362"/>
      <c r="W230" s="311"/>
      <c r="X230" s="311"/>
      <c r="Y230" s="316"/>
      <c r="Z230" s="316"/>
      <c r="AA230" s="316"/>
      <c r="AB230" s="316"/>
      <c r="AC230" s="316"/>
      <c r="AD230" s="316"/>
      <c r="AE230"/>
      <c r="AF230" s="316"/>
      <c r="AG230" s="316"/>
      <c r="AH230" s="316"/>
      <c r="AI230" s="316"/>
      <c r="AJ230" s="316"/>
      <c r="AK230" s="316"/>
      <c r="AL230" s="316"/>
      <c r="AM230" s="316"/>
      <c r="AN230" s="316"/>
      <c r="AO230" s="316"/>
      <c r="AP230" s="316"/>
      <c r="AQ230" s="316"/>
      <c r="AR230" s="316"/>
      <c r="AS230" s="316"/>
      <c r="AT230" s="316"/>
    </row>
    <row r="231" spans="1:46" ht="14.45">
      <c r="A231" s="340"/>
      <c r="B231" s="316"/>
      <c r="C231" s="340"/>
      <c r="D231" s="316"/>
      <c r="E231" s="316"/>
      <c r="F231" s="340"/>
      <c r="G231" s="316"/>
      <c r="H231" s="316"/>
      <c r="I231" s="316"/>
      <c r="J231" s="316"/>
      <c r="K231" s="404"/>
      <c r="L231" s="316"/>
      <c r="M231" s="407"/>
      <c r="N231" s="311"/>
      <c r="O231" s="362"/>
      <c r="P231" s="311"/>
      <c r="Q231" s="412"/>
      <c r="R231" s="311"/>
      <c r="S231" s="311"/>
      <c r="T231" s="311"/>
      <c r="U231" s="311"/>
      <c r="V231" s="362"/>
      <c r="W231" s="311"/>
      <c r="X231" s="311"/>
      <c r="Y231" s="316"/>
      <c r="Z231" s="316"/>
      <c r="AA231" s="316"/>
      <c r="AB231" s="316"/>
      <c r="AC231" s="316"/>
      <c r="AD231" s="316"/>
      <c r="AE231"/>
      <c r="AF231" s="316"/>
      <c r="AG231" s="316"/>
      <c r="AH231" s="316"/>
      <c r="AI231" s="316"/>
      <c r="AJ231" s="316"/>
      <c r="AK231" s="316"/>
      <c r="AL231" s="316"/>
      <c r="AM231" s="316"/>
      <c r="AN231" s="316"/>
      <c r="AO231" s="316"/>
      <c r="AP231" s="316"/>
      <c r="AQ231" s="316"/>
      <c r="AR231" s="316"/>
      <c r="AS231" s="316"/>
      <c r="AT231" s="316"/>
    </row>
    <row r="232" spans="1:46" ht="14.45">
      <c r="A232" s="340"/>
      <c r="B232" s="316"/>
      <c r="C232" s="340"/>
      <c r="D232" s="316"/>
      <c r="E232" s="316"/>
      <c r="F232" s="340"/>
      <c r="G232" s="316"/>
      <c r="H232" s="316"/>
      <c r="I232" s="316"/>
      <c r="J232" s="316"/>
      <c r="K232" s="404"/>
      <c r="L232" s="316"/>
      <c r="M232" s="407"/>
      <c r="N232" s="311"/>
      <c r="O232" s="362"/>
      <c r="P232" s="311"/>
      <c r="Q232" s="412"/>
      <c r="R232" s="311"/>
      <c r="S232" s="311"/>
      <c r="T232" s="311"/>
      <c r="U232" s="311"/>
      <c r="V232" s="362"/>
      <c r="W232" s="311"/>
      <c r="X232" s="311"/>
      <c r="Y232" s="316"/>
      <c r="Z232" s="316"/>
      <c r="AA232" s="316"/>
      <c r="AB232" s="316"/>
      <c r="AC232" s="316"/>
      <c r="AD232" s="316"/>
      <c r="AE232"/>
      <c r="AF232" s="316"/>
      <c r="AG232" s="316"/>
      <c r="AH232" s="316"/>
      <c r="AI232" s="316"/>
      <c r="AJ232" s="316"/>
      <c r="AK232" s="316"/>
      <c r="AL232" s="316"/>
      <c r="AM232" s="316"/>
      <c r="AN232" s="316"/>
      <c r="AO232" s="316"/>
      <c r="AP232" s="316"/>
      <c r="AQ232" s="316"/>
      <c r="AR232" s="316"/>
      <c r="AS232" s="316"/>
      <c r="AT232" s="316"/>
    </row>
    <row r="233" spans="1:46" ht="14.45">
      <c r="A233" s="340"/>
      <c r="B233" s="316"/>
      <c r="C233" s="340"/>
      <c r="D233" s="316"/>
      <c r="E233" s="316"/>
      <c r="F233" s="340"/>
      <c r="G233" s="316"/>
      <c r="H233" s="316"/>
      <c r="I233" s="316"/>
      <c r="J233" s="316"/>
      <c r="K233" s="404"/>
      <c r="L233" s="316"/>
      <c r="M233" s="407"/>
      <c r="N233" s="311"/>
      <c r="O233" s="362"/>
      <c r="P233" s="311"/>
      <c r="Q233" s="412"/>
      <c r="R233" s="311"/>
      <c r="S233" s="311"/>
      <c r="T233" s="311"/>
      <c r="U233" s="311"/>
      <c r="V233" s="362"/>
      <c r="W233" s="311"/>
      <c r="X233" s="311"/>
      <c r="Y233" s="316"/>
      <c r="Z233" s="316"/>
      <c r="AA233" s="316"/>
      <c r="AB233" s="316"/>
      <c r="AC233" s="316"/>
      <c r="AD233" s="316"/>
      <c r="AE233"/>
      <c r="AF233" s="316"/>
      <c r="AG233" s="316"/>
      <c r="AH233" s="316"/>
      <c r="AI233" s="316"/>
      <c r="AJ233" s="316"/>
      <c r="AK233" s="316"/>
      <c r="AL233" s="316"/>
      <c r="AM233" s="316"/>
      <c r="AN233" s="316"/>
      <c r="AO233" s="316"/>
      <c r="AP233" s="316"/>
      <c r="AQ233" s="316"/>
      <c r="AR233" s="316"/>
      <c r="AS233" s="316"/>
      <c r="AT233" s="316"/>
    </row>
    <row r="234" spans="1:46" ht="14.45">
      <c r="A234" s="340"/>
      <c r="B234" s="316"/>
      <c r="C234" s="340"/>
      <c r="D234" s="316"/>
      <c r="E234" s="316"/>
      <c r="F234" s="340"/>
      <c r="G234" s="316"/>
      <c r="H234" s="316"/>
      <c r="I234" s="316"/>
      <c r="J234" s="316"/>
      <c r="K234" s="404"/>
      <c r="L234" s="316"/>
      <c r="M234" s="407"/>
      <c r="N234" s="311"/>
      <c r="O234" s="362"/>
      <c r="P234" s="311"/>
      <c r="Q234" s="412"/>
      <c r="R234" s="311"/>
      <c r="S234" s="311"/>
      <c r="T234" s="311"/>
      <c r="U234" s="311"/>
      <c r="V234" s="362"/>
      <c r="W234" s="311"/>
      <c r="X234" s="311"/>
      <c r="Y234" s="316"/>
      <c r="Z234" s="316"/>
      <c r="AA234" s="316"/>
      <c r="AB234" s="316"/>
      <c r="AC234" s="316"/>
      <c r="AD234" s="316"/>
      <c r="AE234"/>
      <c r="AF234" s="316"/>
      <c r="AG234" s="316"/>
      <c r="AH234" s="316"/>
      <c r="AI234" s="316"/>
      <c r="AJ234" s="316"/>
      <c r="AK234" s="316"/>
      <c r="AL234" s="316"/>
      <c r="AM234" s="316"/>
      <c r="AN234" s="316"/>
      <c r="AO234" s="316"/>
      <c r="AP234" s="316"/>
      <c r="AQ234" s="316"/>
      <c r="AR234" s="316"/>
      <c r="AS234" s="316"/>
      <c r="AT234" s="316"/>
    </row>
    <row r="235" spans="1:46" ht="14.45">
      <c r="A235" s="340"/>
      <c r="B235" s="316"/>
      <c r="C235" s="340"/>
      <c r="D235" s="316"/>
      <c r="E235" s="316"/>
      <c r="F235" s="340"/>
      <c r="G235" s="316"/>
      <c r="H235" s="316"/>
      <c r="I235" s="316"/>
      <c r="J235" s="316"/>
      <c r="K235" s="404"/>
      <c r="L235" s="316"/>
      <c r="M235" s="407"/>
      <c r="N235" s="311"/>
      <c r="O235" s="362"/>
      <c r="P235" s="311"/>
      <c r="Q235" s="412"/>
      <c r="R235" s="311"/>
      <c r="S235" s="311"/>
      <c r="T235" s="311"/>
      <c r="U235" s="311"/>
      <c r="V235" s="362"/>
      <c r="W235" s="311"/>
      <c r="X235" s="311"/>
      <c r="Y235" s="316"/>
      <c r="Z235" s="316"/>
      <c r="AA235" s="316"/>
      <c r="AB235" s="316"/>
      <c r="AC235" s="316"/>
      <c r="AD235" s="316"/>
      <c r="AE235"/>
      <c r="AF235" s="316"/>
      <c r="AG235" s="316"/>
      <c r="AH235" s="316"/>
      <c r="AI235" s="316"/>
      <c r="AJ235" s="316"/>
      <c r="AK235" s="316"/>
      <c r="AL235" s="316"/>
      <c r="AM235" s="316"/>
      <c r="AN235" s="316"/>
      <c r="AO235" s="316"/>
      <c r="AP235" s="316"/>
      <c r="AQ235" s="316"/>
      <c r="AR235" s="316"/>
      <c r="AS235" s="316"/>
      <c r="AT235" s="316"/>
    </row>
    <row r="236" spans="1:46" ht="14.45">
      <c r="A236" s="340"/>
      <c r="B236" s="316"/>
      <c r="C236" s="340"/>
      <c r="D236" s="316"/>
      <c r="E236" s="316"/>
      <c r="F236" s="340"/>
      <c r="G236" s="316"/>
      <c r="H236" s="316"/>
      <c r="I236" s="316"/>
      <c r="J236" s="316"/>
      <c r="K236" s="404"/>
      <c r="L236" s="316"/>
      <c r="M236" s="407"/>
      <c r="N236" s="311"/>
      <c r="O236" s="362"/>
      <c r="P236" s="311"/>
      <c r="Q236" s="412"/>
      <c r="R236" s="311"/>
      <c r="S236" s="311"/>
      <c r="T236" s="311"/>
      <c r="U236" s="311"/>
      <c r="V236" s="362"/>
      <c r="W236" s="311"/>
      <c r="X236" s="311"/>
      <c r="Y236" s="316"/>
      <c r="Z236" s="316"/>
      <c r="AA236" s="316"/>
      <c r="AB236" s="316"/>
      <c r="AC236" s="316"/>
      <c r="AD236" s="316"/>
      <c r="AE236"/>
      <c r="AF236" s="316"/>
      <c r="AG236" s="316"/>
      <c r="AH236" s="316"/>
      <c r="AI236" s="316"/>
      <c r="AJ236" s="316"/>
      <c r="AK236" s="316"/>
      <c r="AL236" s="316"/>
      <c r="AM236" s="316"/>
      <c r="AN236" s="316"/>
      <c r="AO236" s="316"/>
      <c r="AP236" s="316"/>
      <c r="AQ236" s="316"/>
      <c r="AR236" s="316"/>
      <c r="AS236" s="316"/>
      <c r="AT236" s="316"/>
    </row>
    <row r="237" spans="1:46" ht="14.45">
      <c r="A237" s="340"/>
      <c r="B237" s="316"/>
      <c r="C237" s="340"/>
      <c r="D237" s="316"/>
      <c r="E237" s="316"/>
      <c r="F237" s="340"/>
      <c r="G237" s="316"/>
      <c r="H237" s="316"/>
      <c r="I237" s="316"/>
      <c r="J237" s="316"/>
      <c r="K237" s="404"/>
      <c r="L237" s="316"/>
      <c r="M237" s="407"/>
      <c r="N237" s="311"/>
      <c r="O237" s="362"/>
      <c r="P237" s="311"/>
      <c r="Q237" s="412"/>
      <c r="R237" s="311"/>
      <c r="S237" s="311"/>
      <c r="T237" s="311"/>
      <c r="U237" s="311"/>
      <c r="V237" s="362"/>
      <c r="W237" s="311"/>
      <c r="X237" s="311"/>
      <c r="Y237" s="316"/>
      <c r="Z237" s="316"/>
      <c r="AA237" s="316"/>
      <c r="AB237" s="316"/>
      <c r="AC237" s="316"/>
      <c r="AD237" s="316"/>
      <c r="AE237"/>
      <c r="AF237" s="316"/>
      <c r="AG237" s="316"/>
      <c r="AH237" s="316"/>
      <c r="AI237" s="316"/>
      <c r="AJ237" s="316"/>
      <c r="AK237" s="316"/>
      <c r="AL237" s="316"/>
      <c r="AM237" s="316"/>
      <c r="AN237" s="316"/>
      <c r="AO237" s="316"/>
      <c r="AP237" s="316"/>
      <c r="AQ237" s="316"/>
      <c r="AR237" s="316"/>
      <c r="AS237" s="316"/>
      <c r="AT237" s="316"/>
    </row>
    <row r="238" spans="1:46" ht="14.45">
      <c r="A238" s="340"/>
      <c r="B238" s="316"/>
      <c r="C238" s="340"/>
      <c r="D238" s="316"/>
      <c r="E238" s="316"/>
      <c r="F238" s="340"/>
      <c r="G238" s="316"/>
      <c r="H238" s="316"/>
      <c r="I238" s="316"/>
      <c r="J238" s="316"/>
      <c r="K238" s="404"/>
      <c r="L238" s="316"/>
      <c r="M238" s="407"/>
      <c r="N238" s="311"/>
      <c r="O238" s="362"/>
      <c r="P238" s="311"/>
      <c r="Q238" s="412"/>
      <c r="R238" s="311"/>
      <c r="S238" s="311"/>
      <c r="T238" s="311"/>
      <c r="U238" s="311"/>
      <c r="V238" s="362"/>
      <c r="W238" s="311"/>
      <c r="X238" s="311"/>
      <c r="Y238" s="316"/>
      <c r="Z238" s="316"/>
      <c r="AA238" s="316"/>
      <c r="AB238" s="316"/>
      <c r="AC238" s="316"/>
      <c r="AD238" s="316"/>
      <c r="AE238"/>
      <c r="AF238" s="316"/>
      <c r="AG238" s="316"/>
      <c r="AH238" s="316"/>
      <c r="AI238" s="316"/>
      <c r="AJ238" s="316"/>
      <c r="AK238" s="316"/>
      <c r="AL238" s="316"/>
      <c r="AM238" s="316"/>
      <c r="AN238" s="316"/>
      <c r="AO238" s="316"/>
      <c r="AP238" s="316"/>
      <c r="AQ238" s="316"/>
      <c r="AR238" s="316"/>
      <c r="AS238" s="316"/>
      <c r="AT238" s="316"/>
    </row>
    <row r="239" spans="1:46" ht="14.45">
      <c r="A239" s="340"/>
      <c r="B239" s="316"/>
      <c r="C239" s="340"/>
      <c r="D239" s="316"/>
      <c r="E239" s="316"/>
      <c r="F239" s="340"/>
      <c r="G239" s="316"/>
      <c r="H239" s="316"/>
      <c r="I239" s="316"/>
      <c r="J239" s="316"/>
      <c r="K239" s="404"/>
      <c r="L239" s="316"/>
      <c r="M239" s="407"/>
      <c r="N239" s="311"/>
      <c r="O239" s="362"/>
      <c r="P239" s="311"/>
      <c r="Q239" s="412"/>
      <c r="R239" s="311"/>
      <c r="S239" s="311"/>
      <c r="T239" s="311"/>
      <c r="U239" s="311"/>
      <c r="V239" s="362"/>
      <c r="W239" s="311"/>
      <c r="X239" s="311"/>
      <c r="Y239" s="316"/>
      <c r="Z239" s="316"/>
      <c r="AA239" s="316"/>
      <c r="AB239" s="316"/>
      <c r="AC239" s="316"/>
      <c r="AD239" s="316"/>
      <c r="AE239"/>
      <c r="AF239" s="316"/>
      <c r="AG239" s="316"/>
      <c r="AH239" s="316"/>
      <c r="AI239" s="316"/>
      <c r="AJ239" s="316"/>
      <c r="AK239" s="316"/>
      <c r="AL239" s="316"/>
      <c r="AM239" s="316"/>
      <c r="AN239" s="316"/>
      <c r="AO239" s="316"/>
      <c r="AP239" s="316"/>
      <c r="AQ239" s="316"/>
      <c r="AR239" s="316"/>
      <c r="AS239" s="316"/>
      <c r="AT239" s="316"/>
    </row>
    <row r="240" spans="1:46" ht="14.45">
      <c r="A240" s="340"/>
      <c r="B240" s="316"/>
      <c r="C240" s="340"/>
      <c r="D240" s="316"/>
      <c r="E240" s="316"/>
      <c r="F240" s="340"/>
      <c r="G240" s="316"/>
      <c r="H240" s="316"/>
      <c r="I240" s="316"/>
      <c r="J240" s="316"/>
      <c r="K240" s="404"/>
      <c r="L240" s="316"/>
      <c r="M240" s="407"/>
      <c r="N240" s="311"/>
      <c r="O240" s="362"/>
      <c r="P240" s="311"/>
      <c r="Q240" s="412"/>
      <c r="R240" s="311"/>
      <c r="S240" s="311"/>
      <c r="T240" s="311"/>
      <c r="U240" s="311"/>
      <c r="V240" s="362"/>
      <c r="W240" s="311"/>
      <c r="X240" s="311"/>
      <c r="Y240" s="316"/>
      <c r="Z240" s="316"/>
      <c r="AA240" s="316"/>
      <c r="AB240" s="316"/>
      <c r="AC240" s="316"/>
      <c r="AD240" s="316"/>
      <c r="AE240"/>
      <c r="AF240" s="316"/>
      <c r="AG240" s="316"/>
      <c r="AH240" s="316"/>
      <c r="AI240" s="316"/>
      <c r="AJ240" s="316"/>
      <c r="AK240" s="316"/>
      <c r="AL240" s="316"/>
      <c r="AM240" s="316"/>
      <c r="AN240" s="316"/>
      <c r="AO240" s="316"/>
      <c r="AP240" s="316"/>
      <c r="AQ240" s="316"/>
      <c r="AR240" s="316"/>
      <c r="AS240" s="316"/>
      <c r="AT240" s="316"/>
    </row>
    <row r="241" spans="1:46" ht="14.45">
      <c r="A241" s="340"/>
      <c r="B241" s="316"/>
      <c r="C241" s="340"/>
      <c r="D241" s="316"/>
      <c r="E241" s="316"/>
      <c r="F241" s="340"/>
      <c r="G241" s="316"/>
      <c r="H241" s="316"/>
      <c r="I241" s="316"/>
      <c r="J241" s="316"/>
      <c r="K241" s="404"/>
      <c r="L241" s="316"/>
      <c r="M241" s="407"/>
      <c r="N241" s="311"/>
      <c r="O241" s="362"/>
      <c r="P241" s="311"/>
      <c r="Q241" s="412"/>
      <c r="R241" s="311"/>
      <c r="S241" s="311"/>
      <c r="T241" s="311"/>
      <c r="U241" s="311"/>
      <c r="V241" s="362"/>
      <c r="W241" s="311"/>
      <c r="X241" s="311"/>
      <c r="Y241" s="316"/>
      <c r="Z241" s="316"/>
      <c r="AA241" s="316"/>
      <c r="AB241" s="316"/>
      <c r="AC241" s="316"/>
      <c r="AD241" s="316"/>
      <c r="AE241"/>
      <c r="AF241" s="316"/>
      <c r="AG241" s="316"/>
      <c r="AH241" s="316"/>
      <c r="AI241" s="316"/>
      <c r="AJ241" s="316"/>
      <c r="AK241" s="316"/>
      <c r="AL241" s="316"/>
      <c r="AM241" s="316"/>
      <c r="AN241" s="316"/>
      <c r="AO241" s="316"/>
      <c r="AP241" s="316"/>
      <c r="AQ241" s="316"/>
      <c r="AR241" s="316"/>
      <c r="AS241" s="316"/>
      <c r="AT241" s="316"/>
    </row>
    <row r="242" spans="1:46" ht="14.45">
      <c r="A242" s="340"/>
      <c r="B242" s="316"/>
      <c r="C242" s="340"/>
      <c r="D242" s="316"/>
      <c r="E242" s="316"/>
      <c r="F242" s="340"/>
      <c r="G242" s="316"/>
      <c r="H242" s="316"/>
      <c r="I242" s="316"/>
      <c r="J242" s="316"/>
      <c r="K242" s="404"/>
      <c r="L242" s="316"/>
      <c r="M242" s="407"/>
      <c r="N242" s="311"/>
      <c r="O242" s="362"/>
      <c r="P242" s="311"/>
      <c r="Q242" s="412"/>
      <c r="R242" s="311"/>
      <c r="S242" s="311"/>
      <c r="T242" s="311"/>
      <c r="U242" s="311"/>
      <c r="V242" s="362"/>
      <c r="W242" s="311"/>
      <c r="X242" s="311"/>
      <c r="Y242" s="316"/>
      <c r="Z242" s="316"/>
      <c r="AA242" s="316"/>
      <c r="AB242" s="316"/>
      <c r="AC242" s="316"/>
      <c r="AD242" s="316"/>
      <c r="AE242"/>
      <c r="AF242" s="316"/>
      <c r="AG242" s="316"/>
      <c r="AH242" s="316"/>
      <c r="AI242" s="316"/>
      <c r="AJ242" s="316"/>
      <c r="AK242" s="316"/>
      <c r="AL242" s="316"/>
      <c r="AM242" s="316"/>
      <c r="AN242" s="316"/>
      <c r="AO242" s="316"/>
      <c r="AP242" s="316"/>
      <c r="AQ242" s="316"/>
      <c r="AR242" s="316"/>
      <c r="AS242" s="316"/>
      <c r="AT242" s="316"/>
    </row>
    <row r="243" spans="1:46" ht="14.45">
      <c r="A243" s="340"/>
      <c r="B243" s="316"/>
      <c r="C243" s="340"/>
      <c r="D243" s="316"/>
      <c r="E243" s="316"/>
      <c r="F243" s="340"/>
      <c r="G243" s="316"/>
      <c r="H243" s="316"/>
      <c r="I243" s="316"/>
      <c r="J243" s="316"/>
      <c r="K243" s="404"/>
      <c r="L243" s="316"/>
      <c r="M243" s="407"/>
      <c r="N243" s="311"/>
      <c r="O243" s="362"/>
      <c r="P243" s="311"/>
      <c r="Q243" s="412"/>
      <c r="R243" s="311"/>
      <c r="S243" s="311"/>
      <c r="T243" s="311"/>
      <c r="U243" s="311"/>
      <c r="V243" s="362"/>
      <c r="W243" s="311"/>
      <c r="X243" s="311"/>
      <c r="Y243" s="316"/>
      <c r="Z243" s="316"/>
      <c r="AA243" s="316"/>
      <c r="AB243" s="316"/>
      <c r="AC243" s="316"/>
      <c r="AD243" s="316"/>
      <c r="AE243"/>
      <c r="AF243" s="316"/>
      <c r="AG243" s="316"/>
      <c r="AH243" s="316"/>
      <c r="AI243" s="316"/>
      <c r="AJ243" s="316"/>
      <c r="AK243" s="316"/>
      <c r="AL243" s="316"/>
      <c r="AM243" s="316"/>
      <c r="AN243" s="316"/>
      <c r="AO243" s="316"/>
      <c r="AP243" s="316"/>
      <c r="AQ243" s="316"/>
      <c r="AR243" s="316"/>
      <c r="AS243" s="316"/>
      <c r="AT243" s="316"/>
    </row>
    <row r="244" spans="1:46" ht="14.45">
      <c r="A244" s="340"/>
      <c r="B244" s="316"/>
      <c r="C244" s="340"/>
      <c r="D244" s="316"/>
      <c r="E244" s="316"/>
      <c r="F244" s="340"/>
      <c r="G244" s="316"/>
      <c r="H244" s="316"/>
      <c r="I244" s="316"/>
      <c r="J244" s="316"/>
      <c r="K244" s="404"/>
      <c r="L244" s="316"/>
      <c r="M244" s="407"/>
      <c r="N244" s="311"/>
      <c r="O244" s="362"/>
      <c r="P244" s="311"/>
      <c r="Q244" s="412"/>
      <c r="R244" s="311"/>
      <c r="S244" s="311"/>
      <c r="T244" s="311"/>
      <c r="U244" s="311"/>
      <c r="V244" s="362"/>
      <c r="W244" s="311"/>
      <c r="X244" s="311"/>
      <c r="Y244" s="316"/>
      <c r="Z244" s="316"/>
      <c r="AA244" s="316"/>
      <c r="AB244" s="316"/>
      <c r="AC244" s="316"/>
      <c r="AD244" s="316"/>
      <c r="AE244"/>
      <c r="AF244" s="316"/>
      <c r="AG244" s="316"/>
      <c r="AH244" s="316"/>
      <c r="AI244" s="316"/>
      <c r="AJ244" s="316"/>
      <c r="AK244" s="316"/>
      <c r="AL244" s="316"/>
      <c r="AM244" s="316"/>
      <c r="AN244" s="316"/>
      <c r="AO244" s="316"/>
      <c r="AP244" s="316"/>
      <c r="AQ244" s="316"/>
      <c r="AR244" s="316"/>
      <c r="AS244" s="316"/>
      <c r="AT244" s="316"/>
    </row>
    <row r="245" spans="1:46" ht="14.45">
      <c r="A245" s="340"/>
      <c r="B245" s="316"/>
      <c r="C245" s="340"/>
      <c r="D245" s="316"/>
      <c r="E245" s="316"/>
      <c r="F245" s="340"/>
      <c r="G245" s="316"/>
      <c r="H245" s="316"/>
      <c r="I245" s="316"/>
      <c r="J245" s="316"/>
      <c r="K245" s="404"/>
      <c r="L245" s="316"/>
      <c r="M245" s="407"/>
      <c r="N245" s="311"/>
      <c r="O245" s="362"/>
      <c r="P245" s="311"/>
      <c r="Q245" s="412"/>
      <c r="R245" s="311"/>
      <c r="S245" s="311"/>
      <c r="T245" s="311"/>
      <c r="U245" s="311"/>
      <c r="V245" s="362"/>
      <c r="W245" s="311"/>
      <c r="X245" s="311"/>
      <c r="Y245" s="316"/>
      <c r="Z245" s="316"/>
      <c r="AA245" s="316"/>
      <c r="AB245" s="316"/>
      <c r="AC245" s="316"/>
      <c r="AD245" s="316"/>
      <c r="AE245"/>
      <c r="AF245" s="316"/>
      <c r="AG245" s="316"/>
      <c r="AH245" s="316"/>
      <c r="AI245" s="316"/>
      <c r="AJ245" s="316"/>
      <c r="AK245" s="316"/>
      <c r="AL245" s="316"/>
      <c r="AM245" s="316"/>
      <c r="AN245" s="316"/>
      <c r="AO245" s="316"/>
      <c r="AP245" s="316"/>
      <c r="AQ245" s="316"/>
      <c r="AR245" s="316"/>
      <c r="AS245" s="316"/>
      <c r="AT245" s="316"/>
    </row>
    <row r="246" spans="1:46" ht="14.45">
      <c r="A246" s="340"/>
      <c r="B246" s="316"/>
      <c r="C246" s="340"/>
      <c r="D246" s="316"/>
      <c r="E246" s="316"/>
      <c r="F246" s="340"/>
      <c r="G246" s="316"/>
      <c r="H246" s="316"/>
      <c r="I246" s="316"/>
      <c r="J246" s="316"/>
      <c r="K246" s="404"/>
      <c r="L246" s="316"/>
      <c r="M246" s="407"/>
      <c r="N246" s="311"/>
      <c r="O246" s="362"/>
      <c r="P246" s="311"/>
      <c r="Q246" s="412"/>
      <c r="R246" s="311"/>
      <c r="S246" s="311"/>
      <c r="T246" s="311"/>
      <c r="U246" s="311"/>
      <c r="V246" s="362"/>
      <c r="W246" s="311"/>
      <c r="X246" s="311"/>
      <c r="Y246" s="316"/>
      <c r="Z246" s="316"/>
      <c r="AA246" s="316"/>
      <c r="AB246" s="316"/>
      <c r="AC246" s="316"/>
      <c r="AD246" s="316"/>
      <c r="AE246"/>
      <c r="AF246" s="316"/>
      <c r="AG246" s="316"/>
      <c r="AH246" s="316"/>
      <c r="AI246" s="316"/>
      <c r="AJ246" s="316"/>
      <c r="AK246" s="316"/>
      <c r="AL246" s="316"/>
      <c r="AM246" s="316"/>
      <c r="AN246" s="316"/>
      <c r="AO246" s="316"/>
      <c r="AP246" s="316"/>
      <c r="AQ246" s="316"/>
      <c r="AR246" s="316"/>
      <c r="AS246" s="316"/>
      <c r="AT246" s="316"/>
    </row>
    <row r="247" spans="1:46" ht="14.45">
      <c r="A247" s="340"/>
      <c r="B247" s="316"/>
      <c r="C247" s="340"/>
      <c r="D247" s="316"/>
      <c r="E247" s="316"/>
      <c r="F247" s="340"/>
      <c r="G247" s="316"/>
      <c r="H247" s="316"/>
      <c r="I247" s="316"/>
      <c r="J247" s="316"/>
      <c r="K247" s="404"/>
      <c r="L247" s="316"/>
      <c r="M247" s="407"/>
      <c r="N247" s="311"/>
      <c r="O247" s="362"/>
      <c r="P247" s="311"/>
      <c r="Q247" s="412"/>
      <c r="R247" s="311"/>
      <c r="S247" s="311"/>
      <c r="T247" s="311"/>
      <c r="U247" s="311"/>
      <c r="V247" s="362"/>
      <c r="W247" s="311"/>
      <c r="X247" s="311"/>
      <c r="Y247" s="316"/>
      <c r="Z247" s="316"/>
      <c r="AA247" s="316"/>
      <c r="AB247" s="316"/>
      <c r="AC247" s="316"/>
      <c r="AD247" s="316"/>
      <c r="AE247"/>
      <c r="AF247" s="316"/>
      <c r="AG247" s="316"/>
      <c r="AH247" s="316"/>
      <c r="AI247" s="316"/>
      <c r="AJ247" s="316"/>
      <c r="AK247" s="316"/>
      <c r="AL247" s="316"/>
      <c r="AM247" s="316"/>
      <c r="AN247" s="316"/>
      <c r="AO247" s="316"/>
      <c r="AP247" s="316"/>
      <c r="AQ247" s="316"/>
      <c r="AR247" s="316"/>
      <c r="AS247" s="316"/>
      <c r="AT247" s="316"/>
    </row>
    <row r="248" spans="1:46" ht="14.45">
      <c r="A248" s="340"/>
      <c r="B248" s="316"/>
      <c r="C248" s="340"/>
      <c r="D248" s="316"/>
      <c r="E248" s="316"/>
      <c r="F248" s="340"/>
      <c r="G248" s="316"/>
      <c r="H248" s="316"/>
      <c r="I248" s="316"/>
      <c r="J248" s="316"/>
      <c r="K248" s="404"/>
      <c r="L248" s="316"/>
      <c r="M248" s="407"/>
      <c r="N248" s="311"/>
      <c r="O248" s="362"/>
      <c r="P248" s="311"/>
      <c r="Q248" s="412"/>
      <c r="R248" s="311"/>
      <c r="S248" s="311"/>
      <c r="T248" s="311"/>
      <c r="U248" s="311"/>
      <c r="V248" s="362"/>
      <c r="W248" s="311"/>
      <c r="X248" s="311"/>
      <c r="Y248" s="316"/>
      <c r="Z248" s="316"/>
      <c r="AA248" s="316"/>
      <c r="AB248" s="316"/>
      <c r="AC248" s="316"/>
      <c r="AD248" s="316"/>
      <c r="AE248"/>
      <c r="AF248" s="316"/>
      <c r="AG248" s="316"/>
      <c r="AH248" s="316"/>
      <c r="AI248" s="316"/>
      <c r="AJ248" s="316"/>
      <c r="AK248" s="316"/>
      <c r="AL248" s="316"/>
      <c r="AM248" s="316"/>
      <c r="AN248" s="316"/>
      <c r="AO248" s="316"/>
      <c r="AP248" s="316"/>
      <c r="AQ248" s="316"/>
      <c r="AR248" s="316"/>
      <c r="AS248" s="316"/>
      <c r="AT248" s="316"/>
    </row>
    <row r="249" spans="1:46" ht="14.45">
      <c r="A249" s="340"/>
      <c r="B249" s="316"/>
      <c r="C249" s="340"/>
      <c r="D249" s="316"/>
      <c r="E249" s="316"/>
      <c r="F249" s="340"/>
      <c r="G249" s="316"/>
      <c r="H249" s="316"/>
      <c r="I249" s="316"/>
      <c r="J249" s="316"/>
      <c r="K249" s="404"/>
      <c r="L249" s="316"/>
      <c r="M249" s="407"/>
      <c r="N249" s="311"/>
      <c r="O249" s="362"/>
      <c r="P249" s="311"/>
      <c r="Q249" s="412"/>
      <c r="R249" s="311"/>
      <c r="S249" s="311"/>
      <c r="T249" s="311"/>
      <c r="U249" s="311"/>
      <c r="V249" s="362"/>
      <c r="W249" s="311"/>
      <c r="X249" s="311"/>
      <c r="Y249" s="316"/>
      <c r="Z249" s="316"/>
      <c r="AA249" s="316"/>
      <c r="AB249" s="316"/>
      <c r="AC249" s="316"/>
      <c r="AD249" s="316"/>
      <c r="AE249"/>
      <c r="AF249" s="316"/>
      <c r="AG249" s="316"/>
      <c r="AH249" s="316"/>
      <c r="AI249" s="316"/>
      <c r="AJ249" s="316"/>
      <c r="AK249" s="316"/>
      <c r="AL249" s="316"/>
      <c r="AM249" s="316"/>
      <c r="AN249" s="316"/>
      <c r="AO249" s="316"/>
      <c r="AP249" s="316"/>
      <c r="AQ249" s="316"/>
      <c r="AR249" s="316"/>
      <c r="AS249" s="316"/>
      <c r="AT249" s="316"/>
    </row>
    <row r="250" spans="1:46" ht="14.45">
      <c r="A250" s="340"/>
      <c r="B250" s="316"/>
      <c r="C250" s="340"/>
      <c r="D250" s="316"/>
      <c r="E250" s="316"/>
      <c r="F250" s="340"/>
      <c r="G250" s="316"/>
      <c r="H250" s="316"/>
      <c r="I250" s="316"/>
      <c r="J250" s="316"/>
      <c r="K250" s="404"/>
      <c r="L250" s="316"/>
      <c r="M250" s="407"/>
      <c r="N250" s="311"/>
      <c r="O250" s="362"/>
      <c r="P250" s="311"/>
      <c r="Q250" s="412"/>
      <c r="R250" s="311"/>
      <c r="S250" s="311"/>
      <c r="T250" s="311"/>
      <c r="U250" s="311"/>
      <c r="V250" s="362"/>
      <c r="W250" s="311"/>
      <c r="X250" s="311"/>
      <c r="Y250" s="316"/>
      <c r="Z250" s="316"/>
      <c r="AA250" s="316"/>
      <c r="AB250" s="316"/>
      <c r="AC250" s="316"/>
      <c r="AD250" s="316"/>
      <c r="AE250"/>
      <c r="AF250" s="316"/>
      <c r="AG250" s="316"/>
      <c r="AH250" s="316"/>
      <c r="AI250" s="316"/>
      <c r="AJ250" s="316"/>
      <c r="AK250" s="316"/>
      <c r="AL250" s="316"/>
      <c r="AM250" s="316"/>
      <c r="AN250" s="316"/>
      <c r="AO250" s="316"/>
      <c r="AP250" s="316"/>
      <c r="AQ250" s="316"/>
      <c r="AR250" s="316"/>
      <c r="AS250" s="316"/>
      <c r="AT250" s="316"/>
    </row>
    <row r="251" spans="1:46" ht="14.45">
      <c r="A251" s="340"/>
      <c r="B251" s="316"/>
      <c r="C251" s="340"/>
      <c r="D251" s="316"/>
      <c r="E251" s="316"/>
      <c r="F251" s="340"/>
      <c r="G251" s="316"/>
      <c r="H251" s="316"/>
      <c r="I251" s="316"/>
      <c r="J251" s="316"/>
      <c r="K251" s="404"/>
      <c r="L251" s="316"/>
      <c r="M251" s="407"/>
      <c r="N251" s="311"/>
      <c r="O251" s="362"/>
      <c r="P251" s="311"/>
      <c r="Q251" s="412"/>
      <c r="R251" s="311"/>
      <c r="S251" s="311"/>
      <c r="T251" s="311"/>
      <c r="U251" s="311"/>
      <c r="V251" s="362"/>
      <c r="W251" s="311"/>
      <c r="X251" s="311"/>
      <c r="Y251" s="316"/>
      <c r="Z251" s="316"/>
      <c r="AA251" s="316"/>
      <c r="AB251" s="316"/>
      <c r="AC251" s="316"/>
      <c r="AD251" s="316"/>
      <c r="AE251"/>
      <c r="AF251" s="316"/>
      <c r="AG251" s="316"/>
      <c r="AH251" s="316"/>
      <c r="AI251" s="316"/>
      <c r="AJ251" s="316"/>
      <c r="AK251" s="316"/>
      <c r="AL251" s="316"/>
      <c r="AM251" s="316"/>
      <c r="AN251" s="316"/>
      <c r="AO251" s="316"/>
      <c r="AP251" s="316"/>
      <c r="AQ251" s="316"/>
      <c r="AR251" s="316"/>
      <c r="AS251" s="316"/>
      <c r="AT251" s="316"/>
    </row>
    <row r="252" spans="1:46" ht="14.45">
      <c r="A252" s="340"/>
      <c r="B252" s="316"/>
      <c r="C252" s="340"/>
      <c r="D252" s="316"/>
      <c r="E252" s="316"/>
      <c r="F252" s="340"/>
      <c r="G252" s="316"/>
      <c r="H252" s="316"/>
      <c r="I252" s="316"/>
      <c r="J252" s="316"/>
      <c r="K252" s="404"/>
      <c r="L252" s="316"/>
      <c r="M252" s="407"/>
      <c r="N252" s="311"/>
      <c r="O252" s="362"/>
      <c r="P252" s="311"/>
      <c r="Q252" s="412"/>
      <c r="R252" s="311"/>
      <c r="S252" s="311"/>
      <c r="T252" s="311"/>
      <c r="U252" s="311"/>
      <c r="V252" s="362"/>
      <c r="W252" s="311"/>
      <c r="X252" s="311"/>
      <c r="Y252" s="316"/>
      <c r="Z252" s="316"/>
      <c r="AA252" s="316"/>
      <c r="AB252" s="316"/>
      <c r="AC252" s="316"/>
      <c r="AD252" s="316"/>
      <c r="AE252"/>
      <c r="AF252" s="316"/>
      <c r="AG252" s="316"/>
      <c r="AH252" s="316"/>
      <c r="AI252" s="316"/>
      <c r="AJ252" s="316"/>
      <c r="AK252" s="316"/>
      <c r="AL252" s="316"/>
      <c r="AM252" s="316"/>
      <c r="AN252" s="316"/>
      <c r="AO252" s="316"/>
      <c r="AP252" s="316"/>
      <c r="AQ252" s="316"/>
      <c r="AR252" s="316"/>
      <c r="AS252" s="316"/>
      <c r="AT252" s="316"/>
    </row>
    <row r="253" spans="1:46" ht="14.45">
      <c r="A253" s="340"/>
      <c r="B253" s="316"/>
      <c r="C253" s="340"/>
      <c r="D253" s="316"/>
      <c r="E253" s="316"/>
      <c r="F253" s="340"/>
      <c r="G253" s="316"/>
      <c r="H253" s="316"/>
      <c r="I253" s="316"/>
      <c r="J253" s="316"/>
      <c r="K253" s="404"/>
      <c r="L253" s="316"/>
      <c r="M253" s="407"/>
      <c r="N253" s="311"/>
      <c r="O253" s="362"/>
      <c r="P253" s="311"/>
      <c r="Q253" s="412"/>
      <c r="R253" s="311"/>
      <c r="S253" s="311"/>
      <c r="T253" s="311"/>
      <c r="U253" s="311"/>
      <c r="V253" s="362"/>
      <c r="W253" s="311"/>
      <c r="X253" s="311"/>
      <c r="Y253" s="316"/>
      <c r="Z253" s="316"/>
      <c r="AA253" s="316"/>
      <c r="AB253" s="316"/>
      <c r="AC253" s="316"/>
      <c r="AD253" s="316"/>
      <c r="AE253"/>
      <c r="AF253" s="316"/>
      <c r="AG253" s="316"/>
      <c r="AH253" s="316"/>
      <c r="AI253" s="316"/>
      <c r="AJ253" s="316"/>
      <c r="AK253" s="316"/>
      <c r="AL253" s="316"/>
      <c r="AM253" s="316"/>
      <c r="AN253" s="316"/>
      <c r="AO253" s="316"/>
      <c r="AP253" s="316"/>
      <c r="AQ253" s="316"/>
      <c r="AR253" s="316"/>
      <c r="AS253" s="316"/>
      <c r="AT253" s="316"/>
    </row>
    <row r="254" spans="1:46" ht="14.45">
      <c r="A254" s="340"/>
      <c r="B254" s="316"/>
      <c r="C254" s="340"/>
      <c r="D254" s="316"/>
      <c r="E254" s="316"/>
      <c r="F254" s="340"/>
      <c r="G254" s="316"/>
      <c r="H254" s="316"/>
      <c r="I254" s="316"/>
      <c r="J254" s="316"/>
      <c r="K254" s="404"/>
      <c r="L254" s="316"/>
      <c r="M254" s="407"/>
      <c r="N254" s="311"/>
      <c r="O254" s="362"/>
      <c r="P254" s="311"/>
      <c r="Q254" s="412"/>
      <c r="R254" s="311"/>
      <c r="S254" s="311"/>
      <c r="T254" s="311"/>
      <c r="U254" s="311"/>
      <c r="V254" s="362"/>
      <c r="W254" s="311"/>
      <c r="X254" s="311"/>
      <c r="Y254" s="316"/>
      <c r="Z254" s="316"/>
      <c r="AA254" s="316"/>
      <c r="AB254" s="316"/>
      <c r="AC254" s="316"/>
      <c r="AD254" s="316"/>
      <c r="AE254"/>
      <c r="AF254" s="316"/>
      <c r="AG254" s="316"/>
      <c r="AH254" s="316"/>
      <c r="AI254" s="316"/>
      <c r="AJ254" s="316"/>
      <c r="AK254" s="316"/>
      <c r="AL254" s="316"/>
      <c r="AM254" s="316"/>
      <c r="AN254" s="316"/>
      <c r="AO254" s="316"/>
      <c r="AP254" s="316"/>
      <c r="AQ254" s="316"/>
      <c r="AR254" s="316"/>
      <c r="AS254" s="316"/>
      <c r="AT254" s="316"/>
    </row>
    <row r="255" spans="1:46" ht="14.45">
      <c r="A255" s="340"/>
      <c r="B255" s="316"/>
      <c r="C255" s="340"/>
      <c r="D255" s="316"/>
      <c r="E255" s="316"/>
      <c r="F255" s="340"/>
      <c r="G255" s="316"/>
      <c r="H255" s="316"/>
      <c r="I255" s="316"/>
      <c r="J255" s="316"/>
      <c r="K255" s="404"/>
      <c r="L255" s="316"/>
      <c r="M255" s="407"/>
      <c r="N255" s="311"/>
      <c r="O255" s="362"/>
      <c r="P255" s="311"/>
      <c r="Q255" s="412"/>
      <c r="R255" s="311"/>
      <c r="S255" s="311"/>
      <c r="T255" s="311"/>
      <c r="U255" s="311"/>
      <c r="V255" s="362"/>
      <c r="W255" s="311"/>
      <c r="X255" s="311"/>
      <c r="Y255" s="316"/>
      <c r="Z255" s="316"/>
      <c r="AA255" s="316"/>
      <c r="AB255" s="316"/>
      <c r="AC255" s="316"/>
      <c r="AD255" s="316"/>
      <c r="AE255"/>
      <c r="AF255" s="316"/>
      <c r="AG255" s="316"/>
      <c r="AH255" s="316"/>
      <c r="AI255" s="316"/>
      <c r="AJ255" s="316"/>
      <c r="AK255" s="316"/>
      <c r="AL255" s="316"/>
      <c r="AM255" s="316"/>
      <c r="AN255" s="316"/>
      <c r="AO255" s="316"/>
      <c r="AP255" s="316"/>
      <c r="AQ255" s="316"/>
      <c r="AR255" s="316"/>
      <c r="AS255" s="316"/>
      <c r="AT255" s="316"/>
    </row>
    <row r="256" spans="1:46" ht="14.45">
      <c r="A256" s="340"/>
      <c r="B256" s="316"/>
      <c r="C256" s="340"/>
      <c r="D256" s="316"/>
      <c r="E256" s="316"/>
      <c r="F256" s="340"/>
      <c r="G256" s="316"/>
      <c r="H256" s="316"/>
      <c r="I256" s="316"/>
      <c r="J256" s="316"/>
      <c r="K256" s="404"/>
      <c r="L256" s="316"/>
      <c r="M256" s="407"/>
      <c r="N256" s="311"/>
      <c r="O256" s="362"/>
      <c r="P256" s="311"/>
      <c r="Q256" s="412"/>
      <c r="R256" s="311"/>
      <c r="S256" s="311"/>
      <c r="T256" s="311"/>
      <c r="U256" s="311"/>
      <c r="V256" s="362"/>
      <c r="W256" s="311"/>
      <c r="X256" s="311"/>
      <c r="Y256" s="316"/>
      <c r="Z256" s="316"/>
      <c r="AA256" s="316"/>
      <c r="AB256" s="316"/>
      <c r="AC256" s="316"/>
      <c r="AD256" s="316"/>
      <c r="AE256"/>
      <c r="AF256" s="316"/>
      <c r="AG256" s="316"/>
      <c r="AH256" s="316"/>
      <c r="AI256" s="316"/>
      <c r="AJ256" s="316"/>
      <c r="AK256" s="316"/>
      <c r="AL256" s="316"/>
      <c r="AM256" s="316"/>
      <c r="AN256" s="316"/>
      <c r="AO256" s="316"/>
      <c r="AP256" s="316"/>
      <c r="AQ256" s="316"/>
      <c r="AR256" s="316"/>
      <c r="AS256" s="316"/>
      <c r="AT256" s="316"/>
    </row>
    <row r="257" spans="1:46" ht="14.45">
      <c r="A257" s="340"/>
      <c r="B257" s="316"/>
      <c r="C257" s="340"/>
      <c r="D257" s="316"/>
      <c r="E257" s="316"/>
      <c r="F257" s="340"/>
      <c r="G257" s="316"/>
      <c r="H257" s="316"/>
      <c r="I257" s="316"/>
      <c r="J257" s="316"/>
      <c r="K257" s="404"/>
      <c r="L257" s="316"/>
      <c r="M257" s="407"/>
      <c r="N257" s="311"/>
      <c r="O257" s="362"/>
      <c r="P257" s="311"/>
      <c r="Q257" s="412"/>
      <c r="R257" s="311"/>
      <c r="S257" s="311"/>
      <c r="T257" s="311"/>
      <c r="U257" s="311"/>
      <c r="V257" s="362"/>
      <c r="W257" s="311"/>
      <c r="X257" s="311"/>
      <c r="Y257" s="316"/>
      <c r="Z257" s="316"/>
      <c r="AA257" s="316"/>
      <c r="AB257" s="316"/>
      <c r="AC257" s="316"/>
      <c r="AD257" s="316"/>
      <c r="AE257"/>
      <c r="AF257" s="316"/>
      <c r="AG257" s="316"/>
      <c r="AH257" s="316"/>
      <c r="AI257" s="316"/>
      <c r="AJ257" s="316"/>
      <c r="AK257" s="316"/>
      <c r="AL257" s="316"/>
      <c r="AM257" s="316"/>
      <c r="AN257" s="316"/>
      <c r="AO257" s="316"/>
      <c r="AP257" s="316"/>
      <c r="AQ257" s="316"/>
      <c r="AR257" s="316"/>
      <c r="AS257" s="316"/>
      <c r="AT257" s="316"/>
    </row>
    <row r="258" spans="1:46" ht="14.45">
      <c r="A258" s="340"/>
      <c r="B258" s="316"/>
      <c r="C258" s="340"/>
      <c r="D258" s="316"/>
      <c r="E258" s="316"/>
      <c r="F258" s="340"/>
      <c r="G258" s="316"/>
      <c r="H258" s="316"/>
      <c r="I258" s="316"/>
      <c r="J258" s="316"/>
      <c r="K258" s="404"/>
      <c r="L258" s="316"/>
      <c r="M258" s="407"/>
      <c r="N258" s="311"/>
      <c r="O258" s="362"/>
      <c r="P258" s="311"/>
      <c r="Q258" s="412"/>
      <c r="R258" s="311"/>
      <c r="S258" s="311"/>
      <c r="T258" s="311"/>
      <c r="U258" s="311"/>
      <c r="V258" s="362"/>
      <c r="W258" s="311"/>
      <c r="X258" s="311"/>
      <c r="Y258" s="316"/>
      <c r="Z258" s="316"/>
      <c r="AA258" s="316"/>
      <c r="AB258" s="316"/>
      <c r="AC258" s="316"/>
      <c r="AD258" s="316"/>
      <c r="AE258"/>
      <c r="AF258" s="316"/>
      <c r="AG258" s="316"/>
      <c r="AH258" s="316"/>
      <c r="AI258" s="316"/>
      <c r="AJ258" s="316"/>
      <c r="AK258" s="316"/>
      <c r="AL258" s="316"/>
      <c r="AM258" s="316"/>
      <c r="AN258" s="316"/>
      <c r="AO258" s="316"/>
      <c r="AP258" s="316"/>
      <c r="AQ258" s="316"/>
      <c r="AR258" s="316"/>
      <c r="AS258" s="316"/>
      <c r="AT258" s="316"/>
    </row>
    <row r="259" spans="1:46" ht="14.45">
      <c r="A259" s="340"/>
      <c r="B259" s="316"/>
      <c r="C259" s="340"/>
      <c r="D259" s="316"/>
      <c r="E259" s="316"/>
      <c r="F259" s="340"/>
      <c r="G259" s="316"/>
      <c r="H259" s="316"/>
      <c r="I259" s="316"/>
      <c r="J259" s="316"/>
      <c r="K259" s="404"/>
      <c r="L259" s="316"/>
      <c r="M259" s="407"/>
      <c r="N259" s="311"/>
      <c r="O259" s="362"/>
      <c r="P259" s="311"/>
      <c r="Q259" s="412"/>
      <c r="R259" s="311"/>
      <c r="S259" s="311"/>
      <c r="T259" s="311"/>
      <c r="U259" s="311"/>
      <c r="V259" s="362"/>
      <c r="W259" s="311"/>
      <c r="X259" s="311"/>
      <c r="Y259" s="316"/>
      <c r="Z259" s="316"/>
      <c r="AA259" s="316"/>
      <c r="AB259" s="316"/>
      <c r="AC259" s="316"/>
      <c r="AD259" s="316"/>
      <c r="AE259"/>
      <c r="AF259" s="316"/>
      <c r="AG259" s="316"/>
      <c r="AH259" s="316"/>
      <c r="AI259" s="316"/>
      <c r="AJ259" s="316"/>
      <c r="AK259" s="316"/>
      <c r="AL259" s="316"/>
      <c r="AM259" s="316"/>
      <c r="AN259" s="316"/>
      <c r="AO259" s="316"/>
      <c r="AP259" s="316"/>
      <c r="AQ259" s="316"/>
      <c r="AR259" s="316"/>
      <c r="AS259" s="316"/>
      <c r="AT259" s="316"/>
    </row>
    <row r="260" spans="1:46" ht="14.45">
      <c r="A260" s="340"/>
      <c r="B260" s="316"/>
      <c r="C260" s="340"/>
      <c r="D260" s="316"/>
      <c r="E260" s="316"/>
      <c r="F260" s="340"/>
      <c r="G260" s="316"/>
      <c r="H260" s="316"/>
      <c r="I260" s="316"/>
      <c r="J260" s="316"/>
      <c r="K260" s="404"/>
      <c r="L260" s="316"/>
      <c r="M260" s="407"/>
      <c r="N260" s="311"/>
      <c r="O260" s="362"/>
      <c r="P260" s="311"/>
      <c r="Q260" s="412"/>
      <c r="R260" s="311"/>
      <c r="S260" s="311"/>
      <c r="T260" s="311"/>
      <c r="U260" s="311"/>
      <c r="V260" s="362"/>
      <c r="W260" s="311"/>
      <c r="X260" s="311"/>
      <c r="Y260" s="316"/>
      <c r="Z260" s="316"/>
      <c r="AA260" s="316"/>
      <c r="AB260" s="316"/>
      <c r="AC260" s="316"/>
      <c r="AD260" s="316"/>
      <c r="AE260"/>
      <c r="AF260" s="316"/>
      <c r="AG260" s="316"/>
      <c r="AH260" s="316"/>
      <c r="AI260" s="316"/>
      <c r="AJ260" s="316"/>
      <c r="AK260" s="316"/>
      <c r="AL260" s="316"/>
      <c r="AM260" s="316"/>
      <c r="AN260" s="316"/>
      <c r="AO260" s="316"/>
      <c r="AP260" s="316"/>
      <c r="AQ260" s="316"/>
      <c r="AR260" s="316"/>
      <c r="AS260" s="316"/>
      <c r="AT260" s="316"/>
    </row>
    <row r="261" spans="1:46" ht="14.45">
      <c r="A261" s="340"/>
      <c r="B261" s="316"/>
      <c r="C261" s="340"/>
      <c r="D261" s="316"/>
      <c r="E261" s="316"/>
      <c r="F261" s="340"/>
      <c r="G261" s="316"/>
      <c r="H261" s="316"/>
      <c r="I261" s="316"/>
      <c r="J261" s="316"/>
      <c r="K261" s="404"/>
      <c r="L261" s="316"/>
      <c r="M261" s="407"/>
      <c r="N261" s="311"/>
      <c r="O261" s="362"/>
      <c r="P261" s="311"/>
      <c r="Q261" s="412"/>
      <c r="R261" s="311"/>
      <c r="S261" s="311"/>
      <c r="T261" s="311"/>
      <c r="U261" s="311"/>
      <c r="V261" s="362"/>
      <c r="W261" s="311"/>
      <c r="X261" s="311"/>
      <c r="Y261" s="316"/>
      <c r="Z261" s="316"/>
      <c r="AA261" s="316"/>
      <c r="AB261" s="316"/>
      <c r="AC261" s="316"/>
      <c r="AD261" s="316"/>
      <c r="AE261"/>
      <c r="AF261" s="316"/>
      <c r="AG261" s="316"/>
      <c r="AH261" s="316"/>
      <c r="AI261" s="316"/>
      <c r="AJ261" s="316"/>
      <c r="AK261" s="316"/>
      <c r="AL261" s="316"/>
      <c r="AM261" s="316"/>
      <c r="AN261" s="316"/>
      <c r="AO261" s="316"/>
      <c r="AP261" s="316"/>
      <c r="AQ261" s="316"/>
      <c r="AR261" s="316"/>
      <c r="AS261" s="316"/>
      <c r="AT261" s="316"/>
    </row>
    <row r="262" spans="1:46" ht="14.45">
      <c r="A262" s="340"/>
      <c r="B262" s="316"/>
      <c r="C262" s="340"/>
      <c r="D262" s="316"/>
      <c r="E262" s="316"/>
      <c r="F262" s="340"/>
      <c r="G262" s="316"/>
      <c r="H262" s="316"/>
      <c r="I262" s="316"/>
      <c r="J262" s="316"/>
      <c r="K262" s="404"/>
      <c r="L262" s="316"/>
      <c r="M262" s="407"/>
      <c r="N262" s="311"/>
      <c r="O262" s="362"/>
      <c r="P262" s="311"/>
      <c r="Q262" s="412"/>
      <c r="R262" s="311"/>
      <c r="S262" s="311"/>
      <c r="T262" s="311"/>
      <c r="U262" s="311"/>
      <c r="V262" s="362"/>
      <c r="W262" s="311"/>
      <c r="X262" s="311"/>
      <c r="Y262" s="316"/>
      <c r="Z262" s="316"/>
      <c r="AA262" s="316"/>
      <c r="AB262" s="316"/>
      <c r="AC262" s="316"/>
      <c r="AD262" s="316"/>
      <c r="AE262"/>
      <c r="AF262" s="316"/>
      <c r="AG262" s="316"/>
      <c r="AH262" s="316"/>
      <c r="AI262" s="316"/>
      <c r="AJ262" s="316"/>
      <c r="AK262" s="316"/>
      <c r="AL262" s="316"/>
      <c r="AM262" s="316"/>
      <c r="AN262" s="316"/>
      <c r="AO262" s="316"/>
      <c r="AP262" s="316"/>
      <c r="AQ262" s="316"/>
      <c r="AR262" s="316"/>
      <c r="AS262" s="316"/>
      <c r="AT262" s="316"/>
    </row>
    <row r="263" spans="1:46" ht="14.45">
      <c r="A263" s="340"/>
      <c r="B263" s="316"/>
      <c r="C263" s="340"/>
      <c r="D263" s="316"/>
      <c r="E263" s="316"/>
      <c r="F263" s="340"/>
      <c r="G263" s="316"/>
      <c r="H263" s="316"/>
      <c r="I263" s="316"/>
      <c r="J263" s="316"/>
      <c r="K263" s="404"/>
      <c r="L263" s="316"/>
      <c r="M263" s="407"/>
      <c r="N263" s="311"/>
      <c r="O263" s="362"/>
      <c r="P263" s="311"/>
      <c r="Q263" s="412"/>
      <c r="R263" s="311"/>
      <c r="S263" s="311"/>
      <c r="T263" s="311"/>
      <c r="U263" s="311"/>
      <c r="V263" s="362"/>
      <c r="W263" s="311"/>
      <c r="X263" s="311"/>
      <c r="Y263" s="316"/>
      <c r="Z263" s="316"/>
      <c r="AA263" s="316"/>
      <c r="AB263" s="316"/>
      <c r="AC263" s="316"/>
      <c r="AD263" s="316"/>
      <c r="AE263"/>
      <c r="AF263" s="316"/>
      <c r="AG263" s="316"/>
      <c r="AH263" s="316"/>
      <c r="AI263" s="316"/>
      <c r="AJ263" s="316"/>
      <c r="AK263" s="316"/>
      <c r="AL263" s="316"/>
      <c r="AM263" s="316"/>
      <c r="AN263" s="316"/>
      <c r="AO263" s="316"/>
      <c r="AP263" s="316"/>
      <c r="AQ263" s="316"/>
      <c r="AR263" s="316"/>
      <c r="AS263" s="316"/>
      <c r="AT263" s="316"/>
    </row>
    <row r="264" spans="1:46" ht="14.45">
      <c r="A264" s="340"/>
      <c r="B264" s="316"/>
      <c r="C264" s="340"/>
      <c r="D264" s="316"/>
      <c r="E264" s="316"/>
      <c r="F264" s="340"/>
      <c r="G264" s="316"/>
      <c r="H264" s="316"/>
      <c r="I264" s="316"/>
      <c r="J264" s="316"/>
      <c r="K264" s="404"/>
      <c r="L264" s="316"/>
      <c r="M264" s="407"/>
      <c r="N264" s="311"/>
      <c r="O264" s="362"/>
      <c r="P264" s="311"/>
      <c r="Q264" s="412"/>
      <c r="R264" s="311"/>
      <c r="S264" s="311"/>
      <c r="T264" s="311"/>
      <c r="U264" s="311"/>
      <c r="V264" s="362"/>
      <c r="W264" s="311"/>
      <c r="X264" s="311"/>
      <c r="Y264" s="316"/>
      <c r="Z264" s="316"/>
      <c r="AA264" s="316"/>
      <c r="AB264" s="316"/>
      <c r="AC264" s="316"/>
      <c r="AD264" s="316"/>
      <c r="AE264"/>
      <c r="AF264" s="316"/>
      <c r="AG264" s="316"/>
      <c r="AH264" s="316"/>
      <c r="AI264" s="316"/>
      <c r="AJ264" s="316"/>
      <c r="AK264" s="316"/>
      <c r="AL264" s="316"/>
      <c r="AM264" s="316"/>
      <c r="AN264" s="316"/>
      <c r="AO264" s="316"/>
      <c r="AP264" s="316"/>
      <c r="AQ264" s="316"/>
      <c r="AR264" s="316"/>
      <c r="AS264" s="316"/>
      <c r="AT264" s="316"/>
    </row>
    <row r="265" spans="1:46" ht="14.45">
      <c r="A265" s="340"/>
      <c r="B265" s="316"/>
      <c r="C265" s="340"/>
      <c r="D265" s="316"/>
      <c r="E265" s="316"/>
      <c r="F265" s="340"/>
      <c r="G265" s="316"/>
      <c r="H265" s="316"/>
      <c r="I265" s="316"/>
      <c r="J265" s="316"/>
      <c r="K265" s="404"/>
      <c r="L265" s="316"/>
      <c r="M265" s="407"/>
      <c r="N265" s="311"/>
      <c r="O265" s="362"/>
      <c r="P265" s="311"/>
      <c r="Q265" s="412"/>
      <c r="R265" s="311"/>
      <c r="S265" s="311"/>
      <c r="T265" s="311"/>
      <c r="U265" s="311"/>
      <c r="V265" s="362"/>
      <c r="W265" s="311"/>
      <c r="X265" s="311"/>
      <c r="Y265" s="316"/>
      <c r="Z265" s="316"/>
      <c r="AA265" s="316"/>
      <c r="AB265" s="316"/>
      <c r="AC265" s="316"/>
      <c r="AD265" s="316"/>
      <c r="AE265"/>
      <c r="AF265" s="316"/>
      <c r="AG265" s="316"/>
      <c r="AH265" s="316"/>
      <c r="AI265" s="316"/>
      <c r="AJ265" s="316"/>
      <c r="AK265" s="316"/>
      <c r="AL265" s="316"/>
      <c r="AM265" s="316"/>
      <c r="AN265" s="316"/>
      <c r="AO265" s="316"/>
      <c r="AP265" s="316"/>
      <c r="AQ265" s="316"/>
      <c r="AR265" s="316"/>
      <c r="AS265" s="316"/>
      <c r="AT265" s="316"/>
    </row>
    <row r="266" spans="1:46" ht="14.45">
      <c r="A266" s="340"/>
      <c r="B266" s="316"/>
      <c r="C266" s="340"/>
      <c r="D266" s="316"/>
      <c r="E266" s="316"/>
      <c r="F266" s="340"/>
      <c r="G266" s="316"/>
      <c r="H266" s="316"/>
      <c r="I266" s="316"/>
      <c r="J266" s="316"/>
      <c r="K266" s="404"/>
      <c r="L266" s="316"/>
      <c r="M266" s="407"/>
      <c r="N266" s="311"/>
      <c r="O266" s="362"/>
      <c r="P266" s="311"/>
      <c r="Q266" s="412"/>
      <c r="R266" s="311"/>
      <c r="S266" s="311"/>
      <c r="T266" s="311"/>
      <c r="U266" s="311"/>
      <c r="V266" s="362"/>
      <c r="W266" s="311"/>
      <c r="X266" s="311"/>
      <c r="Y266" s="316"/>
      <c r="Z266" s="316"/>
      <c r="AA266" s="316"/>
      <c r="AB266" s="316"/>
      <c r="AC266" s="316"/>
      <c r="AD266" s="316"/>
      <c r="AE266"/>
      <c r="AF266" s="316"/>
      <c r="AG266" s="316"/>
      <c r="AH266" s="316"/>
      <c r="AI266" s="316"/>
      <c r="AJ266" s="316"/>
      <c r="AK266" s="316"/>
      <c r="AL266" s="316"/>
      <c r="AM266" s="316"/>
      <c r="AN266" s="316"/>
      <c r="AO266" s="316"/>
      <c r="AP266" s="316"/>
      <c r="AQ266" s="316"/>
      <c r="AR266" s="316"/>
      <c r="AS266" s="316"/>
      <c r="AT266" s="316"/>
    </row>
    <row r="267" spans="1:46" ht="14.45">
      <c r="A267" s="340"/>
      <c r="B267" s="316"/>
      <c r="C267" s="340"/>
      <c r="D267" s="316"/>
      <c r="E267" s="316"/>
      <c r="F267" s="340"/>
      <c r="G267" s="316"/>
      <c r="H267" s="316"/>
      <c r="I267" s="316"/>
      <c r="J267" s="316"/>
      <c r="K267" s="404"/>
      <c r="L267" s="316"/>
      <c r="M267" s="407"/>
      <c r="N267" s="311"/>
      <c r="O267" s="362"/>
      <c r="P267" s="311"/>
      <c r="Q267" s="412"/>
      <c r="R267" s="311"/>
      <c r="S267" s="311"/>
      <c r="T267" s="311"/>
      <c r="U267" s="311"/>
      <c r="V267" s="362"/>
      <c r="W267" s="311"/>
      <c r="X267" s="311"/>
      <c r="Y267" s="316"/>
      <c r="Z267" s="316"/>
      <c r="AA267" s="316"/>
      <c r="AB267" s="316"/>
      <c r="AC267" s="316"/>
      <c r="AD267" s="316"/>
      <c r="AE267"/>
      <c r="AF267" s="316"/>
      <c r="AG267" s="316"/>
      <c r="AH267" s="316"/>
      <c r="AI267" s="316"/>
      <c r="AJ267" s="316"/>
      <c r="AK267" s="316"/>
      <c r="AL267" s="316"/>
      <c r="AM267" s="316"/>
      <c r="AN267" s="316"/>
      <c r="AO267" s="316"/>
      <c r="AP267" s="316"/>
      <c r="AQ267" s="316"/>
      <c r="AR267" s="316"/>
      <c r="AS267" s="316"/>
      <c r="AT267" s="316"/>
    </row>
    <row r="268" spans="1:46" ht="14.45">
      <c r="A268" s="340"/>
      <c r="B268" s="316"/>
      <c r="C268" s="340"/>
      <c r="D268" s="316"/>
      <c r="E268" s="316"/>
      <c r="F268" s="340"/>
      <c r="G268" s="316"/>
      <c r="H268" s="316"/>
      <c r="I268" s="316"/>
      <c r="J268" s="316"/>
      <c r="K268" s="404"/>
      <c r="L268" s="316"/>
      <c r="M268" s="407"/>
      <c r="N268" s="311"/>
      <c r="O268" s="362"/>
      <c r="P268" s="311"/>
      <c r="Q268" s="412"/>
      <c r="R268" s="311"/>
      <c r="S268" s="311"/>
      <c r="T268" s="311"/>
      <c r="U268" s="311"/>
      <c r="V268" s="362"/>
      <c r="W268" s="311"/>
      <c r="X268" s="311"/>
      <c r="Y268" s="316"/>
      <c r="Z268" s="316"/>
      <c r="AA268" s="316"/>
      <c r="AB268" s="316"/>
      <c r="AC268" s="316"/>
      <c r="AD268" s="316"/>
      <c r="AE268"/>
      <c r="AF268" s="316"/>
      <c r="AG268" s="316"/>
      <c r="AH268" s="316"/>
      <c r="AI268" s="316"/>
      <c r="AJ268" s="316"/>
      <c r="AK268" s="316"/>
      <c r="AL268" s="316"/>
      <c r="AM268" s="316"/>
      <c r="AN268" s="316"/>
      <c r="AO268" s="316"/>
      <c r="AP268" s="316"/>
      <c r="AQ268" s="316"/>
      <c r="AR268" s="316"/>
      <c r="AS268" s="316"/>
      <c r="AT268" s="316"/>
    </row>
    <row r="269" spans="1:46" ht="14.45">
      <c r="A269" s="340"/>
      <c r="B269" s="316"/>
      <c r="C269" s="340"/>
      <c r="D269" s="316"/>
      <c r="E269" s="316"/>
      <c r="F269" s="340"/>
      <c r="G269" s="316"/>
      <c r="H269" s="316"/>
      <c r="I269" s="316"/>
      <c r="J269" s="316"/>
      <c r="K269" s="404"/>
      <c r="L269" s="316"/>
      <c r="M269" s="407"/>
      <c r="N269" s="311"/>
      <c r="O269" s="362"/>
      <c r="P269" s="311"/>
      <c r="Q269" s="412"/>
      <c r="R269" s="311"/>
      <c r="S269" s="311"/>
      <c r="T269" s="311"/>
      <c r="U269" s="311"/>
      <c r="V269" s="362"/>
      <c r="W269" s="311"/>
      <c r="X269" s="311"/>
      <c r="Y269" s="316"/>
      <c r="Z269" s="316"/>
      <c r="AA269" s="316"/>
      <c r="AB269" s="316"/>
      <c r="AC269" s="316"/>
      <c r="AD269" s="316"/>
      <c r="AE269"/>
      <c r="AF269" s="316"/>
      <c r="AG269" s="316"/>
      <c r="AH269" s="316"/>
      <c r="AI269" s="316"/>
      <c r="AJ269" s="316"/>
      <c r="AK269" s="316"/>
      <c r="AL269" s="316"/>
      <c r="AM269" s="316"/>
      <c r="AN269" s="316"/>
      <c r="AO269" s="316"/>
      <c r="AP269" s="316"/>
      <c r="AQ269" s="316"/>
      <c r="AR269" s="316"/>
      <c r="AS269" s="316"/>
      <c r="AT269" s="316"/>
    </row>
    <row r="270" spans="1:46" ht="14.45">
      <c r="A270" s="340"/>
      <c r="B270" s="316"/>
      <c r="C270" s="340"/>
      <c r="D270" s="316"/>
      <c r="E270" s="316"/>
      <c r="F270" s="340"/>
      <c r="G270" s="316"/>
      <c r="H270" s="316"/>
      <c r="I270" s="316"/>
      <c r="J270" s="316"/>
      <c r="K270" s="404"/>
      <c r="L270" s="316"/>
      <c r="M270" s="407"/>
      <c r="N270" s="311"/>
      <c r="O270" s="362"/>
      <c r="P270" s="311"/>
      <c r="Q270" s="412"/>
      <c r="R270" s="311"/>
      <c r="S270" s="311"/>
      <c r="T270" s="311"/>
      <c r="U270" s="311"/>
      <c r="V270" s="362"/>
      <c r="W270" s="311"/>
      <c r="X270" s="311"/>
      <c r="Y270" s="316"/>
      <c r="Z270" s="316"/>
      <c r="AA270" s="316"/>
      <c r="AB270" s="316"/>
      <c r="AC270" s="316"/>
      <c r="AD270" s="316"/>
      <c r="AE270"/>
      <c r="AF270" s="316"/>
      <c r="AG270" s="316"/>
      <c r="AH270" s="316"/>
      <c r="AI270" s="316"/>
      <c r="AJ270" s="316"/>
      <c r="AK270" s="316"/>
      <c r="AL270" s="316"/>
      <c r="AM270" s="316"/>
      <c r="AN270" s="316"/>
      <c r="AO270" s="316"/>
      <c r="AP270" s="316"/>
      <c r="AQ270" s="316"/>
      <c r="AR270" s="316"/>
      <c r="AS270" s="316"/>
      <c r="AT270" s="316"/>
    </row>
    <row r="271" spans="1:46" ht="14.45">
      <c r="A271" s="340"/>
      <c r="B271" s="316"/>
      <c r="C271" s="340"/>
      <c r="D271" s="316"/>
      <c r="E271" s="316"/>
      <c r="F271" s="340"/>
      <c r="G271" s="316"/>
      <c r="H271" s="316"/>
      <c r="I271" s="316"/>
      <c r="J271" s="316"/>
      <c r="K271" s="404"/>
      <c r="L271" s="316"/>
      <c r="M271" s="407"/>
      <c r="N271" s="311"/>
      <c r="O271" s="362"/>
      <c r="P271" s="311"/>
      <c r="Q271" s="412"/>
      <c r="R271" s="311"/>
      <c r="S271" s="311"/>
      <c r="T271" s="311"/>
      <c r="U271" s="311"/>
      <c r="V271" s="362"/>
      <c r="W271" s="311"/>
      <c r="X271" s="311"/>
      <c r="Y271" s="316"/>
      <c r="Z271" s="316"/>
      <c r="AA271" s="316"/>
      <c r="AB271" s="316"/>
      <c r="AC271" s="316"/>
      <c r="AD271" s="316"/>
      <c r="AE271"/>
      <c r="AF271" s="316"/>
      <c r="AG271" s="316"/>
      <c r="AH271" s="316"/>
      <c r="AI271" s="316"/>
      <c r="AJ271" s="316"/>
      <c r="AK271" s="316"/>
      <c r="AL271" s="316"/>
      <c r="AM271" s="316"/>
      <c r="AN271" s="316"/>
      <c r="AO271" s="316"/>
      <c r="AP271" s="316"/>
      <c r="AQ271" s="316"/>
      <c r="AR271" s="316"/>
      <c r="AS271" s="316"/>
      <c r="AT271" s="316"/>
    </row>
    <row r="272" spans="1:46" ht="14.45">
      <c r="A272" s="340"/>
      <c r="B272" s="316"/>
      <c r="C272" s="340"/>
      <c r="D272" s="316"/>
      <c r="E272" s="316"/>
      <c r="F272" s="340"/>
      <c r="G272" s="316"/>
      <c r="H272" s="316"/>
      <c r="I272" s="316"/>
      <c r="J272" s="316"/>
      <c r="K272" s="404"/>
      <c r="L272" s="316"/>
      <c r="M272" s="407"/>
      <c r="N272" s="311"/>
      <c r="O272" s="362"/>
      <c r="P272" s="311"/>
      <c r="Q272" s="412"/>
      <c r="R272" s="311"/>
      <c r="S272" s="311"/>
      <c r="T272" s="311"/>
      <c r="U272" s="311"/>
      <c r="V272" s="362"/>
      <c r="W272" s="311"/>
      <c r="X272" s="311"/>
      <c r="Y272" s="316"/>
      <c r="Z272" s="316"/>
      <c r="AA272" s="316"/>
      <c r="AB272" s="316"/>
      <c r="AC272" s="316"/>
      <c r="AD272" s="316"/>
      <c r="AE272"/>
      <c r="AF272" s="316"/>
      <c r="AG272" s="316"/>
      <c r="AH272" s="316"/>
      <c r="AI272" s="316"/>
      <c r="AJ272" s="316"/>
      <c r="AK272" s="316"/>
      <c r="AL272" s="316"/>
      <c r="AM272" s="316"/>
      <c r="AN272" s="316"/>
      <c r="AO272" s="316"/>
      <c r="AP272" s="316"/>
      <c r="AQ272" s="316"/>
      <c r="AR272" s="316"/>
      <c r="AS272" s="316"/>
      <c r="AT272" s="316"/>
    </row>
    <row r="273" spans="1:46" ht="14.45">
      <c r="A273" s="340"/>
      <c r="B273" s="316"/>
      <c r="C273" s="340"/>
      <c r="D273" s="316"/>
      <c r="E273" s="316"/>
      <c r="F273" s="340"/>
      <c r="G273" s="316"/>
      <c r="H273" s="316"/>
      <c r="I273" s="316"/>
      <c r="J273" s="316"/>
      <c r="K273" s="404"/>
      <c r="L273" s="316"/>
      <c r="M273" s="407"/>
      <c r="N273" s="311"/>
      <c r="O273" s="362"/>
      <c r="P273" s="311"/>
      <c r="Q273" s="412"/>
      <c r="R273" s="311"/>
      <c r="S273" s="311"/>
      <c r="T273" s="311"/>
      <c r="U273" s="311"/>
      <c r="V273" s="362"/>
      <c r="W273" s="311"/>
      <c r="X273" s="311"/>
      <c r="Y273" s="316"/>
      <c r="Z273" s="316"/>
      <c r="AA273" s="316"/>
      <c r="AB273" s="316"/>
      <c r="AC273" s="316"/>
      <c r="AD273" s="316"/>
      <c r="AE273"/>
      <c r="AF273" s="316"/>
      <c r="AG273" s="316"/>
      <c r="AH273" s="316"/>
      <c r="AI273" s="316"/>
      <c r="AJ273" s="316"/>
      <c r="AK273" s="316"/>
      <c r="AL273" s="316"/>
      <c r="AM273" s="316"/>
      <c r="AN273" s="316"/>
      <c r="AO273" s="316"/>
      <c r="AP273" s="316"/>
      <c r="AQ273" s="316"/>
      <c r="AR273" s="316"/>
      <c r="AS273" s="316"/>
      <c r="AT273" s="316"/>
    </row>
    <row r="274" spans="1:46" ht="14.45">
      <c r="A274" s="340"/>
      <c r="B274" s="316"/>
      <c r="C274" s="340"/>
      <c r="D274" s="316"/>
      <c r="E274" s="316"/>
      <c r="F274" s="340"/>
      <c r="G274" s="316"/>
      <c r="H274" s="316"/>
      <c r="I274" s="316"/>
      <c r="J274" s="316"/>
      <c r="K274" s="404"/>
      <c r="L274" s="316"/>
      <c r="M274" s="407"/>
      <c r="N274" s="311"/>
      <c r="O274" s="362"/>
      <c r="P274" s="311"/>
      <c r="Q274" s="412"/>
      <c r="R274" s="311"/>
      <c r="S274" s="311"/>
      <c r="T274" s="311"/>
      <c r="U274" s="311"/>
      <c r="V274" s="362"/>
      <c r="W274" s="311"/>
      <c r="X274" s="311"/>
      <c r="Y274" s="316"/>
      <c r="Z274" s="316"/>
      <c r="AA274" s="316"/>
      <c r="AB274" s="316"/>
      <c r="AC274" s="316"/>
      <c r="AD274" s="316"/>
      <c r="AE274"/>
      <c r="AF274" s="316"/>
      <c r="AG274" s="316"/>
      <c r="AH274" s="316"/>
      <c r="AI274" s="316"/>
      <c r="AJ274" s="316"/>
      <c r="AK274" s="316"/>
      <c r="AL274" s="316"/>
      <c r="AM274" s="316"/>
      <c r="AN274" s="316"/>
      <c r="AO274" s="316"/>
      <c r="AP274" s="316"/>
      <c r="AQ274" s="316"/>
      <c r="AR274" s="316"/>
      <c r="AS274" s="316"/>
      <c r="AT274" s="316"/>
    </row>
    <row r="275" spans="1:46" ht="14.45">
      <c r="A275" s="340"/>
      <c r="B275" s="316"/>
      <c r="C275" s="340"/>
      <c r="D275" s="316"/>
      <c r="E275" s="316"/>
      <c r="F275" s="340"/>
      <c r="G275" s="316"/>
      <c r="H275" s="316"/>
      <c r="I275" s="316"/>
      <c r="J275" s="316"/>
      <c r="K275" s="404"/>
      <c r="L275" s="316"/>
      <c r="M275" s="407"/>
      <c r="N275" s="311"/>
      <c r="O275" s="362"/>
      <c r="P275" s="311"/>
      <c r="Q275" s="412"/>
      <c r="R275" s="311"/>
      <c r="S275" s="311"/>
      <c r="T275" s="311"/>
      <c r="U275" s="311"/>
      <c r="V275" s="362"/>
      <c r="W275" s="311"/>
      <c r="X275" s="311"/>
      <c r="Y275" s="316"/>
      <c r="Z275" s="316"/>
      <c r="AA275" s="316"/>
      <c r="AB275" s="316"/>
      <c r="AC275" s="316"/>
      <c r="AD275" s="316"/>
      <c r="AE275"/>
      <c r="AF275" s="316"/>
      <c r="AG275" s="316"/>
      <c r="AH275" s="316"/>
      <c r="AI275" s="316"/>
      <c r="AJ275" s="316"/>
      <c r="AK275" s="316"/>
      <c r="AL275" s="316"/>
      <c r="AM275" s="316"/>
      <c r="AN275" s="316"/>
      <c r="AO275" s="316"/>
      <c r="AP275" s="316"/>
      <c r="AQ275" s="316"/>
      <c r="AR275" s="316"/>
      <c r="AS275" s="316"/>
      <c r="AT275" s="316"/>
    </row>
    <row r="276" spans="1:46" ht="14.45">
      <c r="A276" s="340"/>
      <c r="B276" s="316"/>
      <c r="C276" s="340"/>
      <c r="D276" s="316"/>
      <c r="E276" s="316"/>
      <c r="F276" s="340"/>
      <c r="G276" s="316"/>
      <c r="H276" s="316"/>
      <c r="I276" s="316"/>
      <c r="J276" s="316"/>
      <c r="K276" s="404"/>
      <c r="L276" s="316"/>
      <c r="M276" s="407"/>
      <c r="N276" s="311"/>
      <c r="O276" s="362"/>
      <c r="P276" s="311"/>
      <c r="Q276" s="412"/>
      <c r="R276" s="311"/>
      <c r="S276" s="311"/>
      <c r="T276" s="311"/>
      <c r="U276" s="311"/>
      <c r="V276" s="362"/>
      <c r="W276" s="311"/>
      <c r="X276" s="311"/>
      <c r="Y276" s="316"/>
      <c r="Z276" s="316"/>
      <c r="AA276" s="316"/>
      <c r="AB276" s="316"/>
      <c r="AC276" s="316"/>
      <c r="AD276" s="316"/>
      <c r="AE276"/>
      <c r="AF276" s="316"/>
      <c r="AG276" s="316"/>
      <c r="AH276" s="316"/>
      <c r="AI276" s="316"/>
      <c r="AJ276" s="316"/>
      <c r="AK276" s="316"/>
      <c r="AL276" s="316"/>
      <c r="AM276" s="316"/>
      <c r="AN276" s="316"/>
      <c r="AO276" s="316"/>
      <c r="AP276" s="316"/>
      <c r="AQ276" s="316"/>
      <c r="AR276" s="316"/>
      <c r="AS276" s="316"/>
      <c r="AT276" s="316"/>
    </row>
    <row r="277" spans="1:46" ht="14.45">
      <c r="A277" s="340"/>
      <c r="B277" s="316"/>
      <c r="C277" s="340"/>
      <c r="D277" s="316"/>
      <c r="E277" s="316"/>
      <c r="F277" s="340"/>
      <c r="G277" s="316"/>
      <c r="H277" s="316"/>
      <c r="I277" s="316"/>
      <c r="J277" s="316"/>
      <c r="K277" s="404"/>
      <c r="L277" s="316"/>
      <c r="M277" s="407"/>
      <c r="N277" s="311"/>
      <c r="O277" s="362"/>
      <c r="P277" s="311"/>
      <c r="Q277" s="412"/>
      <c r="R277" s="311"/>
      <c r="S277" s="311"/>
      <c r="T277" s="311"/>
      <c r="U277" s="311"/>
      <c r="V277" s="362"/>
      <c r="W277" s="311"/>
      <c r="X277" s="311"/>
      <c r="Y277" s="316"/>
      <c r="Z277" s="316"/>
      <c r="AA277" s="316"/>
      <c r="AB277" s="316"/>
      <c r="AC277" s="316"/>
      <c r="AD277" s="316"/>
      <c r="AE277"/>
      <c r="AF277" s="316"/>
      <c r="AG277" s="316"/>
      <c r="AH277" s="316"/>
      <c r="AI277" s="316"/>
      <c r="AJ277" s="316"/>
      <c r="AK277" s="316"/>
      <c r="AL277" s="316"/>
      <c r="AM277" s="316"/>
      <c r="AN277" s="316"/>
      <c r="AO277" s="316"/>
      <c r="AP277" s="316"/>
      <c r="AQ277" s="316"/>
      <c r="AR277" s="316"/>
      <c r="AS277" s="316"/>
      <c r="AT277" s="316"/>
    </row>
    <row r="278" spans="1:46" ht="14.45">
      <c r="A278" s="340"/>
      <c r="B278" s="316"/>
      <c r="C278" s="340"/>
      <c r="D278" s="316"/>
      <c r="E278" s="316"/>
      <c r="F278" s="340"/>
      <c r="G278" s="316"/>
      <c r="H278" s="316"/>
      <c r="I278" s="316"/>
      <c r="J278" s="316"/>
      <c r="K278" s="404"/>
      <c r="L278" s="316"/>
      <c r="M278" s="407"/>
      <c r="N278" s="311"/>
      <c r="O278" s="362"/>
      <c r="P278" s="311"/>
      <c r="Q278" s="412"/>
      <c r="R278" s="311"/>
      <c r="S278" s="311"/>
      <c r="T278" s="311"/>
      <c r="U278" s="311"/>
      <c r="V278" s="362"/>
      <c r="W278" s="311"/>
      <c r="X278" s="311"/>
      <c r="Y278" s="316"/>
      <c r="Z278" s="316"/>
      <c r="AA278" s="316"/>
      <c r="AB278" s="316"/>
      <c r="AC278" s="316"/>
      <c r="AD278" s="316"/>
      <c r="AE278"/>
      <c r="AF278" s="316"/>
      <c r="AG278" s="316"/>
      <c r="AH278" s="316"/>
      <c r="AI278" s="316"/>
      <c r="AJ278" s="316"/>
      <c r="AK278" s="316"/>
      <c r="AL278" s="316"/>
      <c r="AM278" s="316"/>
      <c r="AN278" s="316"/>
      <c r="AO278" s="316"/>
      <c r="AP278" s="316"/>
      <c r="AQ278" s="316"/>
      <c r="AR278" s="316"/>
      <c r="AS278" s="316"/>
      <c r="AT278" s="316"/>
    </row>
    <row r="279" spans="1:46" ht="14.45">
      <c r="A279" s="340"/>
      <c r="B279" s="316"/>
      <c r="C279" s="340"/>
      <c r="D279" s="316"/>
      <c r="E279" s="316"/>
      <c r="F279" s="340"/>
      <c r="G279" s="316"/>
      <c r="H279" s="316"/>
      <c r="I279" s="316"/>
      <c r="J279" s="316"/>
      <c r="K279" s="404"/>
      <c r="L279" s="316"/>
      <c r="M279" s="407"/>
      <c r="N279" s="311"/>
      <c r="O279" s="362"/>
      <c r="P279" s="311"/>
      <c r="Q279" s="412"/>
      <c r="R279" s="311"/>
      <c r="S279" s="311"/>
      <c r="T279" s="311"/>
      <c r="U279" s="311"/>
      <c r="V279" s="362"/>
      <c r="W279" s="311"/>
      <c r="X279" s="311"/>
      <c r="Y279" s="316"/>
      <c r="Z279" s="316"/>
      <c r="AA279" s="316"/>
      <c r="AB279" s="316"/>
      <c r="AC279" s="316"/>
      <c r="AD279" s="316"/>
      <c r="AE279"/>
      <c r="AF279" s="316"/>
      <c r="AG279" s="316"/>
      <c r="AH279" s="316"/>
      <c r="AI279" s="316"/>
      <c r="AJ279" s="316"/>
      <c r="AK279" s="316"/>
      <c r="AL279" s="316"/>
      <c r="AM279" s="316"/>
      <c r="AN279" s="316"/>
      <c r="AO279" s="316"/>
      <c r="AP279" s="316"/>
      <c r="AQ279" s="316"/>
      <c r="AR279" s="316"/>
      <c r="AS279" s="316"/>
      <c r="AT279" s="316"/>
    </row>
    <row r="280" spans="1:46" ht="14.45">
      <c r="A280" s="340"/>
      <c r="B280" s="316"/>
      <c r="C280" s="340"/>
      <c r="D280" s="316"/>
      <c r="E280" s="316"/>
      <c r="F280" s="340"/>
      <c r="G280" s="316"/>
      <c r="H280" s="316"/>
      <c r="I280" s="316"/>
      <c r="J280" s="316"/>
      <c r="K280" s="404"/>
      <c r="L280" s="316"/>
      <c r="M280" s="407"/>
      <c r="N280" s="311"/>
      <c r="O280" s="362"/>
      <c r="P280" s="311"/>
      <c r="Q280" s="412"/>
      <c r="R280" s="311"/>
      <c r="S280" s="311"/>
      <c r="T280" s="311"/>
      <c r="U280" s="311"/>
      <c r="V280" s="362"/>
      <c r="W280" s="311"/>
      <c r="X280" s="311"/>
      <c r="Y280" s="316"/>
      <c r="Z280" s="316"/>
      <c r="AA280" s="316"/>
      <c r="AB280" s="316"/>
      <c r="AC280" s="316"/>
      <c r="AD280" s="316"/>
      <c r="AE280"/>
      <c r="AF280" s="316"/>
      <c r="AG280" s="316"/>
      <c r="AH280" s="316"/>
      <c r="AI280" s="316"/>
      <c r="AJ280" s="316"/>
      <c r="AK280" s="316"/>
      <c r="AL280" s="316"/>
      <c r="AM280" s="316"/>
      <c r="AN280" s="316"/>
      <c r="AO280" s="316"/>
      <c r="AP280" s="316"/>
      <c r="AQ280" s="316"/>
      <c r="AR280" s="316"/>
      <c r="AS280" s="316"/>
      <c r="AT280" s="316"/>
    </row>
    <row r="281" spans="1:46" ht="14.45">
      <c r="A281" s="340"/>
      <c r="B281" s="316"/>
      <c r="C281" s="340"/>
      <c r="D281" s="316"/>
      <c r="E281" s="316"/>
      <c r="F281" s="340"/>
      <c r="G281" s="316"/>
      <c r="H281" s="316"/>
      <c r="I281" s="316"/>
      <c r="J281" s="316"/>
      <c r="K281" s="404"/>
      <c r="L281" s="316"/>
      <c r="M281" s="407"/>
      <c r="N281" s="311"/>
      <c r="O281" s="362"/>
      <c r="P281" s="311"/>
      <c r="Q281" s="412"/>
      <c r="R281" s="311"/>
      <c r="S281" s="311"/>
      <c r="T281" s="311"/>
      <c r="U281" s="311"/>
      <c r="V281" s="362"/>
      <c r="W281" s="311"/>
      <c r="X281" s="311"/>
      <c r="Y281" s="316"/>
      <c r="Z281" s="316"/>
      <c r="AA281" s="316"/>
      <c r="AB281" s="316"/>
      <c r="AC281" s="316"/>
      <c r="AD281" s="316"/>
      <c r="AE281"/>
      <c r="AF281" s="316"/>
      <c r="AG281" s="316"/>
      <c r="AH281" s="316"/>
      <c r="AI281" s="316"/>
      <c r="AJ281" s="316"/>
      <c r="AK281" s="316"/>
      <c r="AL281" s="316"/>
      <c r="AM281" s="316"/>
      <c r="AN281" s="316"/>
      <c r="AO281" s="316"/>
      <c r="AP281" s="316"/>
      <c r="AQ281" s="316"/>
      <c r="AR281" s="316"/>
      <c r="AS281" s="316"/>
      <c r="AT281" s="316"/>
    </row>
    <row r="282" spans="1:46" ht="14.45">
      <c r="A282" s="340"/>
      <c r="B282" s="316"/>
      <c r="C282" s="340"/>
      <c r="D282" s="316"/>
      <c r="E282" s="316"/>
      <c r="F282" s="340"/>
      <c r="G282" s="316"/>
      <c r="H282" s="316"/>
      <c r="I282" s="316"/>
      <c r="J282" s="316"/>
      <c r="K282" s="404"/>
      <c r="L282" s="316"/>
      <c r="M282" s="407"/>
      <c r="N282" s="311"/>
      <c r="O282" s="362"/>
      <c r="P282" s="311"/>
      <c r="Q282" s="412"/>
      <c r="R282" s="311"/>
      <c r="S282" s="311"/>
      <c r="T282" s="311"/>
      <c r="U282" s="311"/>
      <c r="V282" s="362"/>
      <c r="W282" s="311"/>
      <c r="X282" s="311"/>
      <c r="Y282" s="316"/>
      <c r="Z282" s="316"/>
      <c r="AA282" s="316"/>
      <c r="AB282" s="316"/>
      <c r="AC282" s="316"/>
      <c r="AD282" s="316"/>
      <c r="AE282"/>
      <c r="AF282" s="316"/>
      <c r="AG282" s="316"/>
      <c r="AH282" s="316"/>
      <c r="AI282" s="316"/>
      <c r="AJ282" s="316"/>
      <c r="AK282" s="316"/>
      <c r="AL282" s="316"/>
      <c r="AM282" s="316"/>
      <c r="AN282" s="316"/>
      <c r="AO282" s="316"/>
      <c r="AP282" s="316"/>
      <c r="AQ282" s="316"/>
      <c r="AR282" s="316"/>
      <c r="AS282" s="316"/>
      <c r="AT282" s="316"/>
    </row>
    <row r="283" spans="1:46" ht="14.45">
      <c r="A283" s="340"/>
      <c r="B283" s="316"/>
      <c r="C283" s="340"/>
      <c r="D283" s="316"/>
      <c r="E283" s="316"/>
      <c r="F283" s="340"/>
      <c r="G283" s="316"/>
      <c r="H283" s="316"/>
      <c r="I283" s="316"/>
      <c r="J283" s="316"/>
      <c r="K283" s="404"/>
      <c r="L283" s="316"/>
      <c r="M283" s="407"/>
      <c r="N283" s="311"/>
      <c r="O283" s="362"/>
      <c r="P283" s="311"/>
      <c r="Q283" s="412"/>
      <c r="R283" s="311"/>
      <c r="S283" s="311"/>
      <c r="T283" s="311"/>
      <c r="U283" s="311"/>
      <c r="V283" s="362"/>
      <c r="W283" s="311"/>
      <c r="X283" s="311"/>
      <c r="Y283" s="316"/>
      <c r="Z283" s="316"/>
      <c r="AA283" s="316"/>
      <c r="AB283" s="316"/>
      <c r="AC283" s="316"/>
      <c r="AD283" s="316"/>
      <c r="AE283"/>
      <c r="AF283" s="316"/>
      <c r="AG283" s="316"/>
      <c r="AH283" s="316"/>
      <c r="AI283" s="316"/>
      <c r="AJ283" s="316"/>
      <c r="AK283" s="316"/>
      <c r="AL283" s="316"/>
      <c r="AM283" s="316"/>
      <c r="AN283" s="316"/>
      <c r="AO283" s="316"/>
      <c r="AP283" s="316"/>
      <c r="AQ283" s="316"/>
      <c r="AR283" s="316"/>
      <c r="AS283" s="316"/>
      <c r="AT283" s="316"/>
    </row>
    <row r="284" spans="1:46" ht="14.45">
      <c r="A284" s="340"/>
      <c r="B284" s="316"/>
      <c r="C284" s="340"/>
      <c r="D284" s="316"/>
      <c r="E284" s="316"/>
      <c r="F284" s="340"/>
      <c r="G284" s="316"/>
      <c r="H284" s="316"/>
      <c r="I284" s="316"/>
      <c r="J284" s="316"/>
      <c r="K284" s="404"/>
      <c r="L284" s="316"/>
      <c r="M284" s="407"/>
      <c r="N284" s="311"/>
      <c r="O284" s="362"/>
      <c r="P284" s="311"/>
      <c r="Q284" s="412"/>
      <c r="R284" s="311"/>
      <c r="S284" s="311"/>
      <c r="T284" s="311"/>
      <c r="U284" s="311"/>
      <c r="V284" s="362"/>
      <c r="W284" s="311"/>
      <c r="X284" s="311"/>
      <c r="Y284" s="316"/>
      <c r="Z284" s="316"/>
      <c r="AA284" s="316"/>
      <c r="AB284" s="316"/>
      <c r="AC284" s="316"/>
      <c r="AD284" s="316"/>
      <c r="AE284"/>
      <c r="AF284" s="316"/>
      <c r="AG284" s="316"/>
      <c r="AH284" s="316"/>
      <c r="AI284" s="316"/>
      <c r="AJ284" s="316"/>
      <c r="AK284" s="316"/>
      <c r="AL284" s="316"/>
      <c r="AM284" s="316"/>
      <c r="AN284" s="316"/>
      <c r="AO284" s="316"/>
      <c r="AP284" s="316"/>
      <c r="AQ284" s="316"/>
      <c r="AR284" s="316"/>
      <c r="AS284" s="316"/>
      <c r="AT284" s="316"/>
    </row>
    <row r="285" spans="1:46" ht="14.45">
      <c r="A285" s="340"/>
      <c r="B285" s="316"/>
      <c r="C285" s="340"/>
      <c r="D285" s="316"/>
      <c r="E285" s="316"/>
      <c r="F285" s="340"/>
      <c r="G285" s="316"/>
      <c r="H285" s="316"/>
      <c r="I285" s="316"/>
      <c r="J285" s="316"/>
      <c r="K285" s="404"/>
      <c r="L285" s="316"/>
      <c r="M285" s="407"/>
      <c r="N285" s="311"/>
      <c r="O285" s="362"/>
      <c r="P285" s="311"/>
      <c r="Q285" s="412"/>
      <c r="R285" s="311"/>
      <c r="S285" s="311"/>
      <c r="T285" s="311"/>
      <c r="U285" s="311"/>
      <c r="V285" s="362"/>
      <c r="W285" s="311"/>
      <c r="X285" s="311"/>
      <c r="Y285" s="316"/>
      <c r="Z285" s="316"/>
      <c r="AA285" s="316"/>
      <c r="AB285" s="316"/>
      <c r="AC285" s="316"/>
      <c r="AD285" s="316"/>
      <c r="AE285"/>
      <c r="AF285" s="316"/>
      <c r="AG285" s="316"/>
      <c r="AH285" s="316"/>
      <c r="AI285" s="316"/>
      <c r="AJ285" s="316"/>
      <c r="AK285" s="316"/>
      <c r="AL285" s="316"/>
      <c r="AM285" s="316"/>
      <c r="AN285" s="316"/>
      <c r="AO285" s="316"/>
      <c r="AP285" s="316"/>
      <c r="AQ285" s="316"/>
      <c r="AR285" s="316"/>
      <c r="AS285" s="316"/>
      <c r="AT285" s="316"/>
    </row>
    <row r="286" spans="1:46" ht="14.45">
      <c r="A286" s="336"/>
      <c r="B286" s="336"/>
      <c r="C286" s="336"/>
      <c r="D286" s="336"/>
      <c r="E286" s="336"/>
      <c r="F286" s="336"/>
      <c r="G286" s="336"/>
      <c r="H286" s="336"/>
      <c r="I286" s="336"/>
      <c r="J286" s="336"/>
      <c r="K286" s="415"/>
      <c r="L286" s="336"/>
      <c r="M286" s="336"/>
      <c r="N286" s="336"/>
      <c r="O286" s="416"/>
      <c r="P286" s="336"/>
      <c r="Q286" s="415"/>
      <c r="R286" s="336"/>
      <c r="S286" s="336"/>
      <c r="T286" s="336"/>
      <c r="U286" s="336"/>
      <c r="V286" s="336"/>
      <c r="W286" s="336"/>
      <c r="X286" s="336"/>
      <c r="Y286" s="336"/>
      <c r="Z286" s="336"/>
      <c r="AA286" s="336"/>
      <c r="AB286" s="336"/>
      <c r="AC286" s="336"/>
      <c r="AD286" s="336"/>
      <c r="AE286"/>
      <c r="AF286" s="336"/>
      <c r="AG286" s="336"/>
      <c r="AH286" s="336"/>
      <c r="AI286" s="336"/>
      <c r="AJ286" s="336"/>
      <c r="AK286" s="336"/>
      <c r="AL286" s="336"/>
      <c r="AM286" s="336"/>
      <c r="AN286" s="336"/>
      <c r="AO286" s="336"/>
      <c r="AP286" s="336"/>
      <c r="AQ286" s="336"/>
      <c r="AR286" s="336"/>
      <c r="AS286" s="336"/>
      <c r="AT286" s="336"/>
    </row>
    <row r="287" spans="1:46" ht="14.45">
      <c r="A287" s="336"/>
      <c r="B287" s="336"/>
      <c r="C287" s="336"/>
      <c r="D287" s="336"/>
      <c r="E287" s="336"/>
      <c r="F287" s="336"/>
      <c r="G287" s="336"/>
      <c r="H287" s="336"/>
      <c r="I287" s="336"/>
      <c r="J287" s="336"/>
      <c r="K287" s="415"/>
      <c r="L287" s="336"/>
      <c r="M287" s="336"/>
      <c r="N287" s="336"/>
      <c r="O287" s="416"/>
      <c r="P287" s="336"/>
      <c r="Q287" s="415"/>
      <c r="R287" s="336"/>
      <c r="S287" s="336"/>
      <c r="T287" s="336"/>
      <c r="U287" s="336"/>
      <c r="V287" s="336"/>
      <c r="W287" s="336"/>
      <c r="X287" s="336"/>
      <c r="Y287" s="336"/>
      <c r="Z287" s="336"/>
      <c r="AA287" s="336"/>
      <c r="AB287" s="336"/>
      <c r="AC287" s="336"/>
      <c r="AD287" s="336"/>
      <c r="AE287"/>
      <c r="AF287" s="336"/>
      <c r="AG287" s="336"/>
      <c r="AH287" s="336"/>
      <c r="AI287" s="336"/>
      <c r="AJ287" s="336"/>
      <c r="AK287" s="336"/>
      <c r="AL287" s="336"/>
      <c r="AM287" s="336"/>
      <c r="AN287" s="336"/>
      <c r="AO287" s="336"/>
      <c r="AP287" s="336"/>
      <c r="AQ287" s="336"/>
      <c r="AR287" s="336"/>
      <c r="AS287" s="336"/>
      <c r="AT287" s="336"/>
    </row>
    <row r="288" spans="1:46" ht="14.45">
      <c r="A288" s="336"/>
      <c r="B288" s="336"/>
      <c r="C288" s="336"/>
      <c r="D288" s="336"/>
      <c r="E288" s="336"/>
      <c r="F288" s="336"/>
      <c r="G288" s="336"/>
      <c r="H288" s="336"/>
      <c r="I288" s="336"/>
      <c r="J288" s="336"/>
      <c r="K288" s="415"/>
      <c r="L288" s="336"/>
      <c r="M288" s="336"/>
      <c r="N288" s="336"/>
      <c r="O288" s="416"/>
      <c r="P288" s="336"/>
      <c r="Q288" s="415"/>
      <c r="R288" s="336"/>
      <c r="S288" s="336"/>
      <c r="T288" s="336"/>
      <c r="U288" s="336"/>
      <c r="V288" s="336"/>
      <c r="W288" s="336"/>
      <c r="X288" s="336"/>
      <c r="Y288" s="336"/>
      <c r="Z288" s="336"/>
      <c r="AA288" s="336"/>
      <c r="AB288" s="336"/>
      <c r="AC288" s="336"/>
      <c r="AD288" s="336"/>
      <c r="AE288"/>
      <c r="AF288" s="336"/>
      <c r="AG288" s="336"/>
      <c r="AH288" s="336"/>
      <c r="AI288" s="336"/>
      <c r="AJ288" s="336"/>
      <c r="AK288" s="336"/>
      <c r="AL288" s="336"/>
      <c r="AM288" s="336"/>
      <c r="AN288" s="336"/>
      <c r="AO288" s="336"/>
      <c r="AP288" s="336"/>
      <c r="AQ288" s="336"/>
      <c r="AR288" s="336"/>
      <c r="AS288" s="336"/>
      <c r="AT288" s="336"/>
    </row>
    <row r="289" spans="1:46" ht="14.45">
      <c r="A289" s="336"/>
      <c r="B289" s="336"/>
      <c r="C289" s="336"/>
      <c r="D289" s="336"/>
      <c r="E289" s="336"/>
      <c r="F289" s="336"/>
      <c r="G289" s="336"/>
      <c r="H289" s="336"/>
      <c r="I289" s="336"/>
      <c r="J289" s="336"/>
      <c r="K289" s="415"/>
      <c r="L289" s="336"/>
      <c r="M289" s="336"/>
      <c r="N289" s="336"/>
      <c r="O289" s="416"/>
      <c r="P289" s="336"/>
      <c r="Q289" s="415"/>
      <c r="R289" s="336"/>
      <c r="S289" s="336"/>
      <c r="T289" s="336"/>
      <c r="U289" s="336"/>
      <c r="V289" s="336"/>
      <c r="W289" s="336"/>
      <c r="X289" s="336"/>
      <c r="Y289" s="336"/>
      <c r="Z289" s="336"/>
      <c r="AA289" s="336"/>
      <c r="AB289" s="336"/>
      <c r="AC289" s="336"/>
      <c r="AD289" s="336"/>
      <c r="AE289"/>
      <c r="AF289" s="336"/>
      <c r="AG289" s="336"/>
      <c r="AH289" s="336"/>
      <c r="AI289" s="336"/>
      <c r="AJ289" s="336"/>
      <c r="AK289" s="336"/>
      <c r="AL289" s="336"/>
      <c r="AM289" s="336"/>
      <c r="AN289" s="336"/>
      <c r="AO289" s="336"/>
      <c r="AP289" s="336"/>
      <c r="AQ289" s="336"/>
      <c r="AR289" s="336"/>
      <c r="AS289" s="336"/>
      <c r="AT289" s="336"/>
    </row>
    <row r="290" spans="1:46" ht="14.45">
      <c r="A290" s="336"/>
      <c r="B290" s="336"/>
      <c r="C290" s="336"/>
      <c r="D290" s="336"/>
      <c r="E290" s="336"/>
      <c r="F290" s="336"/>
      <c r="G290" s="336"/>
      <c r="H290" s="336"/>
      <c r="I290" s="336"/>
      <c r="J290" s="336"/>
      <c r="K290" s="415"/>
      <c r="L290" s="336"/>
      <c r="M290" s="336"/>
      <c r="N290" s="336"/>
      <c r="O290" s="416"/>
      <c r="P290" s="336"/>
      <c r="Q290" s="415"/>
      <c r="R290" s="336"/>
      <c r="S290" s="336"/>
      <c r="T290" s="336"/>
      <c r="U290" s="336"/>
      <c r="V290" s="336"/>
      <c r="W290" s="336"/>
      <c r="X290" s="336"/>
      <c r="Y290" s="336"/>
      <c r="Z290" s="336"/>
      <c r="AA290" s="336"/>
      <c r="AB290" s="336"/>
      <c r="AC290" s="336"/>
      <c r="AD290" s="336"/>
      <c r="AE290"/>
      <c r="AF290" s="336"/>
      <c r="AG290" s="336"/>
      <c r="AH290" s="336"/>
      <c r="AI290" s="336"/>
      <c r="AJ290" s="336"/>
      <c r="AK290" s="336"/>
      <c r="AL290" s="336"/>
      <c r="AM290" s="336"/>
      <c r="AN290" s="336"/>
      <c r="AO290" s="336"/>
      <c r="AP290" s="336"/>
      <c r="AQ290" s="336"/>
      <c r="AR290" s="336"/>
      <c r="AS290" s="336"/>
      <c r="AT290" s="336"/>
    </row>
    <row r="291" spans="1:46" ht="14.45">
      <c r="A291" s="336"/>
      <c r="B291" s="336"/>
      <c r="C291" s="336"/>
      <c r="D291" s="336"/>
      <c r="E291" s="336"/>
      <c r="F291" s="336"/>
      <c r="G291" s="336"/>
      <c r="H291" s="336"/>
      <c r="I291" s="336"/>
      <c r="J291" s="336"/>
      <c r="K291" s="415"/>
      <c r="L291" s="336"/>
      <c r="M291" s="336"/>
      <c r="N291" s="336"/>
      <c r="O291" s="416"/>
      <c r="P291" s="336"/>
      <c r="Q291" s="415"/>
      <c r="R291" s="336"/>
      <c r="S291" s="336"/>
      <c r="T291" s="336"/>
      <c r="U291" s="336"/>
      <c r="V291" s="336"/>
      <c r="W291" s="336"/>
      <c r="X291" s="336"/>
      <c r="Y291" s="336"/>
      <c r="Z291" s="336"/>
      <c r="AA291" s="336"/>
      <c r="AB291" s="336"/>
      <c r="AC291" s="336"/>
      <c r="AD291" s="336"/>
      <c r="AE291"/>
      <c r="AF291" s="336"/>
      <c r="AG291" s="336"/>
      <c r="AH291" s="336"/>
      <c r="AI291" s="336"/>
      <c r="AJ291" s="336"/>
      <c r="AK291" s="336"/>
      <c r="AL291" s="336"/>
      <c r="AM291" s="336"/>
      <c r="AN291" s="336"/>
      <c r="AO291" s="336"/>
      <c r="AP291" s="336"/>
      <c r="AQ291" s="336"/>
      <c r="AR291" s="336"/>
      <c r="AS291" s="336"/>
      <c r="AT291" s="336"/>
    </row>
    <row r="292" spans="1:46" ht="14.45">
      <c r="A292" s="336"/>
      <c r="B292" s="336"/>
      <c r="C292" s="336"/>
      <c r="D292" s="336"/>
      <c r="E292" s="336"/>
      <c r="F292" s="336"/>
      <c r="G292" s="336"/>
      <c r="H292" s="336"/>
      <c r="I292" s="336"/>
      <c r="J292" s="336"/>
      <c r="K292" s="415"/>
      <c r="L292" s="336"/>
      <c r="M292" s="336"/>
      <c r="N292" s="336"/>
      <c r="O292" s="416"/>
      <c r="P292" s="336"/>
      <c r="Q292" s="415"/>
      <c r="R292" s="336"/>
      <c r="S292" s="336"/>
      <c r="T292" s="336"/>
      <c r="U292" s="336"/>
      <c r="V292" s="336"/>
      <c r="W292" s="336"/>
      <c r="X292" s="336"/>
      <c r="Y292" s="336"/>
      <c r="Z292" s="336"/>
      <c r="AA292" s="336"/>
      <c r="AB292" s="336"/>
      <c r="AC292" s="336"/>
      <c r="AD292" s="336"/>
      <c r="AE292"/>
      <c r="AF292" s="336"/>
      <c r="AG292" s="336"/>
      <c r="AH292" s="336"/>
      <c r="AI292" s="336"/>
      <c r="AJ292" s="336"/>
      <c r="AK292" s="336"/>
      <c r="AL292" s="336"/>
      <c r="AM292" s="336"/>
      <c r="AN292" s="336"/>
      <c r="AO292" s="336"/>
      <c r="AP292" s="336"/>
      <c r="AQ292" s="336"/>
      <c r="AR292" s="336"/>
      <c r="AS292" s="336"/>
      <c r="AT292" s="336"/>
    </row>
    <row r="293" spans="1:46" ht="14.45">
      <c r="A293" s="336"/>
      <c r="B293" s="336"/>
      <c r="C293" s="336"/>
      <c r="D293" s="336"/>
      <c r="E293" s="336"/>
      <c r="F293" s="336"/>
      <c r="G293" s="336"/>
      <c r="H293" s="336"/>
      <c r="I293" s="336"/>
      <c r="J293" s="336"/>
      <c r="K293" s="415"/>
      <c r="L293" s="336"/>
      <c r="M293" s="336"/>
      <c r="N293" s="336"/>
      <c r="O293" s="416"/>
      <c r="P293" s="336"/>
      <c r="Q293" s="415"/>
      <c r="R293" s="336"/>
      <c r="S293" s="336"/>
      <c r="T293" s="336"/>
      <c r="U293" s="336"/>
      <c r="V293" s="336"/>
      <c r="W293" s="336"/>
      <c r="X293" s="336"/>
      <c r="Y293" s="336"/>
      <c r="Z293" s="336"/>
      <c r="AA293" s="336"/>
      <c r="AB293" s="336"/>
      <c r="AC293" s="336"/>
      <c r="AD293" s="336"/>
      <c r="AE293"/>
      <c r="AF293" s="336"/>
      <c r="AG293" s="336"/>
      <c r="AH293" s="336"/>
      <c r="AI293" s="336"/>
      <c r="AJ293" s="336"/>
      <c r="AK293" s="336"/>
      <c r="AL293" s="336"/>
      <c r="AM293" s="336"/>
      <c r="AN293" s="336"/>
      <c r="AO293" s="336"/>
      <c r="AP293" s="336"/>
      <c r="AQ293" s="336"/>
      <c r="AR293" s="336"/>
      <c r="AS293" s="336"/>
      <c r="AT293" s="336"/>
    </row>
    <row r="294" spans="1:46" ht="14.45">
      <c r="A294" s="336"/>
      <c r="B294" s="336"/>
      <c r="C294" s="336"/>
      <c r="D294" s="336"/>
      <c r="E294" s="336"/>
      <c r="F294" s="336"/>
      <c r="G294" s="336"/>
      <c r="H294" s="336"/>
      <c r="I294" s="336"/>
      <c r="J294" s="336"/>
      <c r="K294" s="415"/>
      <c r="L294" s="336"/>
      <c r="M294" s="336"/>
      <c r="N294" s="336"/>
      <c r="O294" s="416"/>
      <c r="P294" s="336"/>
      <c r="Q294" s="415"/>
      <c r="R294" s="336"/>
      <c r="S294" s="336"/>
      <c r="T294" s="336"/>
      <c r="U294" s="336"/>
      <c r="V294" s="336"/>
      <c r="W294" s="336"/>
      <c r="X294" s="336"/>
      <c r="Y294" s="336"/>
      <c r="Z294" s="336"/>
      <c r="AA294" s="336"/>
      <c r="AB294" s="336"/>
      <c r="AC294" s="336"/>
      <c r="AD294" s="336"/>
      <c r="AE294"/>
      <c r="AF294" s="336"/>
      <c r="AG294" s="336"/>
      <c r="AH294" s="336"/>
      <c r="AI294" s="336"/>
      <c r="AJ294" s="336"/>
      <c r="AK294" s="336"/>
      <c r="AL294" s="336"/>
      <c r="AM294" s="336"/>
      <c r="AN294" s="336"/>
      <c r="AO294" s="336"/>
      <c r="AP294" s="336"/>
      <c r="AQ294" s="336"/>
      <c r="AR294" s="336"/>
      <c r="AS294" s="336"/>
      <c r="AT294" s="336"/>
    </row>
    <row r="295" spans="1:46" ht="14.45">
      <c r="A295" s="336"/>
      <c r="B295" s="336"/>
      <c r="C295" s="336"/>
      <c r="D295" s="336"/>
      <c r="E295" s="336"/>
      <c r="F295" s="336"/>
      <c r="G295" s="336"/>
      <c r="H295" s="336"/>
      <c r="I295" s="336"/>
      <c r="J295" s="336"/>
      <c r="K295" s="415"/>
      <c r="L295" s="336"/>
      <c r="M295" s="336"/>
      <c r="N295" s="336"/>
      <c r="O295" s="416"/>
      <c r="P295" s="336"/>
      <c r="Q295" s="415"/>
      <c r="R295" s="336"/>
      <c r="S295" s="336"/>
      <c r="T295" s="336"/>
      <c r="U295" s="336"/>
      <c r="V295" s="336"/>
      <c r="W295" s="336"/>
      <c r="X295" s="336"/>
      <c r="Y295" s="336"/>
      <c r="Z295" s="336"/>
      <c r="AA295" s="336"/>
      <c r="AB295" s="336"/>
      <c r="AC295" s="336"/>
      <c r="AD295" s="336"/>
      <c r="AE295"/>
      <c r="AF295" s="336"/>
      <c r="AG295" s="336"/>
      <c r="AH295" s="336"/>
      <c r="AI295" s="336"/>
      <c r="AJ295" s="336"/>
      <c r="AK295" s="336"/>
      <c r="AL295" s="336"/>
      <c r="AM295" s="336"/>
      <c r="AN295" s="336"/>
      <c r="AO295" s="336"/>
      <c r="AP295" s="336"/>
      <c r="AQ295" s="336"/>
      <c r="AR295" s="336"/>
      <c r="AS295" s="336"/>
      <c r="AT295" s="336"/>
    </row>
    <row r="296" spans="1:46" ht="14.45">
      <c r="A296" s="336"/>
      <c r="B296" s="336"/>
      <c r="C296" s="336"/>
      <c r="D296" s="336"/>
      <c r="E296" s="336"/>
      <c r="F296" s="336"/>
      <c r="G296" s="336"/>
      <c r="H296" s="336"/>
      <c r="I296" s="336"/>
      <c r="J296" s="336"/>
      <c r="K296" s="415"/>
      <c r="L296" s="336"/>
      <c r="M296" s="336"/>
      <c r="N296" s="336"/>
      <c r="O296" s="416"/>
      <c r="P296" s="336"/>
      <c r="Q296" s="415"/>
      <c r="R296" s="336"/>
      <c r="S296" s="336"/>
      <c r="T296" s="336"/>
      <c r="U296" s="336"/>
      <c r="V296" s="336"/>
      <c r="W296" s="336"/>
      <c r="X296" s="336"/>
      <c r="Y296" s="336"/>
      <c r="Z296" s="336"/>
      <c r="AA296" s="336"/>
      <c r="AB296" s="336"/>
      <c r="AC296" s="336"/>
      <c r="AD296" s="336"/>
      <c r="AE296"/>
      <c r="AF296" s="336"/>
      <c r="AG296" s="336"/>
      <c r="AH296" s="336"/>
      <c r="AI296" s="336"/>
      <c r="AJ296" s="336"/>
      <c r="AK296" s="336"/>
      <c r="AL296" s="336"/>
      <c r="AM296" s="336"/>
      <c r="AN296" s="336"/>
      <c r="AO296" s="336"/>
      <c r="AP296" s="336"/>
      <c r="AQ296" s="336"/>
      <c r="AR296" s="336"/>
      <c r="AS296" s="336"/>
      <c r="AT296" s="336"/>
    </row>
    <row r="297" spans="1:46" ht="14.45">
      <c r="A297" s="336"/>
      <c r="B297" s="336"/>
      <c r="C297" s="336"/>
      <c r="D297" s="336"/>
      <c r="E297" s="336"/>
      <c r="F297" s="336"/>
      <c r="G297" s="336"/>
      <c r="H297" s="336"/>
      <c r="I297" s="336"/>
      <c r="J297" s="336"/>
      <c r="K297" s="415"/>
      <c r="L297" s="336"/>
      <c r="M297" s="336"/>
      <c r="N297" s="336"/>
      <c r="O297" s="416"/>
      <c r="P297" s="336"/>
      <c r="Q297" s="415"/>
      <c r="R297" s="336"/>
      <c r="S297" s="336"/>
      <c r="T297" s="336"/>
      <c r="U297" s="336"/>
      <c r="V297" s="336"/>
      <c r="W297" s="336"/>
      <c r="X297" s="336"/>
      <c r="Y297" s="336"/>
      <c r="Z297" s="336"/>
      <c r="AA297" s="336"/>
      <c r="AB297" s="336"/>
      <c r="AC297" s="336"/>
      <c r="AD297" s="336"/>
      <c r="AE297"/>
      <c r="AF297" s="336"/>
      <c r="AG297" s="336"/>
      <c r="AH297" s="336"/>
      <c r="AI297" s="336"/>
      <c r="AJ297" s="336"/>
      <c r="AK297" s="336"/>
      <c r="AL297" s="336"/>
      <c r="AM297" s="336"/>
      <c r="AN297" s="336"/>
      <c r="AO297" s="336"/>
      <c r="AP297" s="336"/>
      <c r="AQ297" s="336"/>
      <c r="AR297" s="336"/>
      <c r="AS297" s="336"/>
      <c r="AT297" s="336"/>
    </row>
    <row r="298" spans="1:46" ht="14.45">
      <c r="A298" s="336"/>
      <c r="B298" s="336"/>
      <c r="C298" s="336"/>
      <c r="D298" s="336"/>
      <c r="E298" s="336"/>
      <c r="F298" s="336"/>
      <c r="G298" s="336"/>
      <c r="H298" s="336"/>
      <c r="I298" s="336"/>
      <c r="J298" s="336"/>
      <c r="K298" s="415"/>
      <c r="L298" s="336"/>
      <c r="M298" s="336"/>
      <c r="N298" s="336"/>
      <c r="O298" s="416"/>
      <c r="P298" s="336"/>
      <c r="Q298" s="415"/>
      <c r="R298" s="336"/>
      <c r="S298" s="336"/>
      <c r="T298" s="336"/>
      <c r="U298" s="336"/>
      <c r="V298" s="336"/>
      <c r="W298" s="336"/>
      <c r="X298" s="336"/>
      <c r="Y298" s="336"/>
      <c r="Z298" s="336"/>
      <c r="AA298" s="336"/>
      <c r="AB298" s="336"/>
      <c r="AC298" s="336"/>
      <c r="AD298" s="336"/>
      <c r="AE298"/>
      <c r="AF298" s="336"/>
      <c r="AG298" s="336"/>
      <c r="AH298" s="336"/>
      <c r="AI298" s="336"/>
      <c r="AJ298" s="336"/>
      <c r="AK298" s="336"/>
      <c r="AL298" s="336"/>
      <c r="AM298" s="336"/>
      <c r="AN298" s="336"/>
      <c r="AO298" s="336"/>
      <c r="AP298" s="336"/>
      <c r="AQ298" s="336"/>
      <c r="AR298" s="336"/>
      <c r="AS298" s="336"/>
      <c r="AT298" s="336"/>
    </row>
    <row r="299" spans="1:46" ht="14.45">
      <c r="A299" s="336"/>
      <c r="B299" s="336"/>
      <c r="C299" s="336"/>
      <c r="D299" s="336"/>
      <c r="E299" s="336"/>
      <c r="F299" s="336"/>
      <c r="G299" s="336"/>
      <c r="H299" s="336"/>
      <c r="I299" s="336"/>
      <c r="J299" s="336"/>
      <c r="K299" s="415"/>
      <c r="L299" s="336"/>
      <c r="M299" s="336"/>
      <c r="N299" s="336"/>
      <c r="O299" s="416"/>
      <c r="P299" s="336"/>
      <c r="Q299" s="415"/>
      <c r="R299" s="336"/>
      <c r="S299" s="336"/>
      <c r="T299" s="336"/>
      <c r="U299" s="336"/>
      <c r="V299" s="336"/>
      <c r="W299" s="336"/>
      <c r="X299" s="336"/>
      <c r="Y299" s="336"/>
      <c r="Z299" s="336"/>
      <c r="AA299" s="336"/>
      <c r="AB299" s="336"/>
      <c r="AC299" s="336"/>
      <c r="AD299" s="336"/>
      <c r="AE299"/>
      <c r="AF299" s="336"/>
      <c r="AG299" s="336"/>
      <c r="AH299" s="336"/>
      <c r="AI299" s="336"/>
      <c r="AJ299" s="336"/>
      <c r="AK299" s="336"/>
      <c r="AL299" s="336"/>
      <c r="AM299" s="336"/>
      <c r="AN299" s="336"/>
      <c r="AO299" s="336"/>
      <c r="AP299" s="336"/>
      <c r="AQ299" s="336"/>
      <c r="AR299" s="336"/>
      <c r="AS299" s="336"/>
      <c r="AT299" s="336"/>
    </row>
    <row r="300" spans="1:46" ht="14.45">
      <c r="A300" s="336"/>
      <c r="B300" s="336"/>
      <c r="C300" s="336"/>
      <c r="D300" s="336"/>
      <c r="E300" s="336"/>
      <c r="F300" s="336"/>
      <c r="G300" s="336"/>
      <c r="H300" s="336"/>
      <c r="I300" s="336"/>
      <c r="J300" s="336"/>
      <c r="K300" s="415"/>
      <c r="L300" s="336"/>
      <c r="M300" s="336"/>
      <c r="N300" s="336"/>
      <c r="O300" s="416"/>
      <c r="P300" s="336"/>
      <c r="Q300" s="415"/>
      <c r="R300" s="336"/>
      <c r="S300" s="336"/>
      <c r="T300" s="336"/>
      <c r="U300" s="336"/>
      <c r="V300" s="336"/>
      <c r="W300" s="336"/>
      <c r="X300" s="336"/>
      <c r="Y300" s="336"/>
      <c r="Z300" s="336"/>
      <c r="AA300" s="336"/>
      <c r="AB300" s="336"/>
      <c r="AC300" s="336"/>
      <c r="AD300" s="336"/>
      <c r="AE300"/>
      <c r="AF300" s="336"/>
      <c r="AG300" s="336"/>
      <c r="AH300" s="336"/>
      <c r="AI300" s="336"/>
      <c r="AJ300" s="336"/>
      <c r="AK300" s="336"/>
      <c r="AL300" s="336"/>
      <c r="AM300" s="336"/>
      <c r="AN300" s="336"/>
      <c r="AO300" s="336"/>
      <c r="AP300" s="336"/>
      <c r="AQ300" s="336"/>
      <c r="AR300" s="336"/>
      <c r="AS300" s="336"/>
      <c r="AT300" s="336"/>
    </row>
    <row r="301" spans="1:46" ht="14.45">
      <c r="A301" s="336"/>
      <c r="B301" s="336"/>
      <c r="C301" s="336"/>
      <c r="D301" s="336"/>
      <c r="E301" s="336"/>
      <c r="F301" s="336"/>
      <c r="G301" s="336"/>
      <c r="H301" s="336"/>
      <c r="I301" s="336"/>
      <c r="J301" s="336"/>
      <c r="K301" s="415"/>
      <c r="L301" s="336"/>
      <c r="M301" s="336"/>
      <c r="N301" s="336"/>
      <c r="O301" s="416"/>
      <c r="P301" s="336"/>
      <c r="Q301" s="415"/>
      <c r="R301" s="336"/>
      <c r="S301" s="336"/>
      <c r="T301" s="336"/>
      <c r="U301" s="336"/>
      <c r="V301" s="336"/>
      <c r="W301" s="336"/>
      <c r="X301" s="336"/>
      <c r="Y301" s="336"/>
      <c r="Z301" s="336"/>
      <c r="AA301" s="336"/>
      <c r="AB301" s="336"/>
      <c r="AC301" s="336"/>
      <c r="AD301" s="336"/>
      <c r="AE301"/>
      <c r="AF301" s="336"/>
      <c r="AG301" s="336"/>
      <c r="AH301" s="336"/>
      <c r="AI301" s="336"/>
      <c r="AJ301" s="336"/>
      <c r="AK301" s="336"/>
      <c r="AL301" s="336"/>
      <c r="AM301" s="336"/>
      <c r="AN301" s="336"/>
      <c r="AO301" s="336"/>
      <c r="AP301" s="336"/>
      <c r="AQ301" s="336"/>
      <c r="AR301" s="336"/>
      <c r="AS301" s="336"/>
      <c r="AT301" s="336"/>
    </row>
    <row r="302" spans="1:46" ht="14.45">
      <c r="A302" s="336"/>
      <c r="B302" s="336"/>
      <c r="C302" s="336"/>
      <c r="D302" s="336"/>
      <c r="E302" s="336"/>
      <c r="F302" s="336"/>
      <c r="G302" s="336"/>
      <c r="H302" s="336"/>
      <c r="I302" s="336"/>
      <c r="J302" s="336"/>
      <c r="K302" s="415"/>
      <c r="L302" s="336"/>
      <c r="M302" s="336"/>
      <c r="N302" s="336"/>
      <c r="O302" s="416"/>
      <c r="P302" s="336"/>
      <c r="Q302" s="415"/>
      <c r="R302" s="336"/>
      <c r="S302" s="336"/>
      <c r="T302" s="336"/>
      <c r="U302" s="336"/>
      <c r="V302" s="336"/>
      <c r="W302" s="336"/>
      <c r="X302" s="336"/>
      <c r="Y302" s="336"/>
      <c r="Z302" s="336"/>
      <c r="AA302" s="336"/>
      <c r="AB302" s="336"/>
      <c r="AC302" s="336"/>
      <c r="AD302" s="336"/>
      <c r="AE302"/>
      <c r="AF302" s="336"/>
      <c r="AG302" s="336"/>
      <c r="AH302" s="336"/>
      <c r="AI302" s="336"/>
      <c r="AJ302" s="336"/>
      <c r="AK302" s="336"/>
      <c r="AL302" s="336"/>
      <c r="AM302" s="336"/>
      <c r="AN302" s="336"/>
      <c r="AO302" s="336"/>
      <c r="AP302" s="336"/>
      <c r="AQ302" s="336"/>
      <c r="AR302" s="336"/>
      <c r="AS302" s="336"/>
      <c r="AT302" s="336"/>
    </row>
    <row r="303" spans="1:46" ht="14.45">
      <c r="A303" s="336"/>
      <c r="B303" s="336"/>
      <c r="C303" s="336"/>
      <c r="D303" s="336"/>
      <c r="E303" s="336"/>
      <c r="F303" s="336"/>
      <c r="G303" s="336"/>
      <c r="H303" s="336"/>
      <c r="I303" s="336"/>
      <c r="J303" s="336"/>
      <c r="K303" s="415"/>
      <c r="L303" s="336"/>
      <c r="M303" s="336"/>
      <c r="N303" s="336"/>
      <c r="O303" s="416"/>
      <c r="P303" s="336"/>
      <c r="Q303" s="415"/>
      <c r="R303" s="336"/>
      <c r="S303" s="336"/>
      <c r="T303" s="336"/>
      <c r="U303" s="336"/>
      <c r="V303" s="336"/>
      <c r="W303" s="336"/>
      <c r="X303" s="336"/>
      <c r="Y303" s="336"/>
      <c r="Z303" s="336"/>
      <c r="AA303" s="336"/>
      <c r="AB303" s="336"/>
      <c r="AC303" s="336"/>
      <c r="AD303" s="336"/>
      <c r="AE303"/>
      <c r="AF303" s="336"/>
      <c r="AG303" s="336"/>
      <c r="AH303" s="336"/>
      <c r="AI303" s="336"/>
      <c r="AJ303" s="336"/>
      <c r="AK303" s="336"/>
      <c r="AL303" s="336"/>
      <c r="AM303" s="336"/>
      <c r="AN303" s="336"/>
      <c r="AO303" s="336"/>
      <c r="AP303" s="336"/>
      <c r="AQ303" s="336"/>
      <c r="AR303" s="336"/>
      <c r="AS303" s="336"/>
      <c r="AT303" s="336"/>
    </row>
    <row r="304" spans="1:46" ht="14.45">
      <c r="A304" s="336"/>
      <c r="B304" s="336"/>
      <c r="C304" s="336"/>
      <c r="D304" s="336"/>
      <c r="E304" s="336"/>
      <c r="F304" s="336"/>
      <c r="G304" s="336"/>
      <c r="H304" s="336"/>
      <c r="I304" s="336"/>
      <c r="J304" s="336"/>
      <c r="K304" s="415"/>
      <c r="L304" s="336"/>
      <c r="M304" s="336"/>
      <c r="N304" s="336"/>
      <c r="O304" s="416"/>
      <c r="P304" s="336"/>
      <c r="Q304" s="415"/>
      <c r="R304" s="336"/>
      <c r="S304" s="336"/>
      <c r="T304" s="336"/>
      <c r="U304" s="336"/>
      <c r="V304" s="336"/>
      <c r="W304" s="336"/>
      <c r="X304" s="336"/>
      <c r="Y304" s="336"/>
      <c r="Z304" s="336"/>
      <c r="AA304" s="336"/>
      <c r="AB304" s="336"/>
      <c r="AC304" s="336"/>
      <c r="AD304" s="336"/>
      <c r="AE304"/>
      <c r="AF304" s="336"/>
      <c r="AG304" s="336"/>
      <c r="AH304" s="336"/>
      <c r="AI304" s="336"/>
      <c r="AJ304" s="336"/>
      <c r="AK304" s="336"/>
      <c r="AL304" s="336"/>
      <c r="AM304" s="336"/>
      <c r="AN304" s="336"/>
      <c r="AO304" s="336"/>
      <c r="AP304" s="336"/>
      <c r="AQ304" s="336"/>
      <c r="AR304" s="336"/>
      <c r="AS304" s="336"/>
      <c r="AT304" s="336"/>
    </row>
    <row r="305" spans="1:46" ht="14.45">
      <c r="A305" s="336"/>
      <c r="B305" s="336"/>
      <c r="C305" s="336"/>
      <c r="D305" s="336"/>
      <c r="E305" s="336"/>
      <c r="F305" s="336"/>
      <c r="G305" s="336"/>
      <c r="H305" s="336"/>
      <c r="I305" s="336"/>
      <c r="J305" s="336"/>
      <c r="K305" s="415"/>
      <c r="L305" s="336"/>
      <c r="M305" s="336"/>
      <c r="N305" s="336"/>
      <c r="O305" s="416"/>
      <c r="P305" s="336"/>
      <c r="Q305" s="415"/>
      <c r="R305" s="336"/>
      <c r="S305" s="336"/>
      <c r="T305" s="336"/>
      <c r="U305" s="336"/>
      <c r="V305" s="336"/>
      <c r="W305" s="336"/>
      <c r="X305" s="336"/>
      <c r="Y305" s="336"/>
      <c r="Z305" s="336"/>
      <c r="AA305" s="336"/>
      <c r="AB305" s="336"/>
      <c r="AC305" s="336"/>
      <c r="AD305" s="336"/>
      <c r="AE305"/>
      <c r="AF305" s="336"/>
      <c r="AG305" s="336"/>
      <c r="AH305" s="336"/>
      <c r="AI305" s="336"/>
      <c r="AJ305" s="336"/>
      <c r="AK305" s="336"/>
      <c r="AL305" s="336"/>
      <c r="AM305" s="336"/>
      <c r="AN305" s="336"/>
      <c r="AO305" s="336"/>
      <c r="AP305" s="336"/>
      <c r="AQ305" s="336"/>
      <c r="AR305" s="336"/>
      <c r="AS305" s="336"/>
      <c r="AT305" s="336"/>
    </row>
    <row r="306" spans="1:46" ht="14.45">
      <c r="A306" s="336"/>
      <c r="B306" s="336"/>
      <c r="C306" s="336"/>
      <c r="D306" s="336"/>
      <c r="E306" s="336"/>
      <c r="F306" s="336"/>
      <c r="G306" s="336"/>
      <c r="H306" s="336"/>
      <c r="I306" s="336"/>
      <c r="J306" s="336"/>
      <c r="K306" s="415"/>
      <c r="L306" s="336"/>
      <c r="M306" s="336"/>
      <c r="N306" s="336"/>
      <c r="O306" s="416"/>
      <c r="P306" s="336"/>
      <c r="Q306" s="415"/>
      <c r="R306" s="336"/>
      <c r="S306" s="336"/>
      <c r="T306" s="336"/>
      <c r="U306" s="336"/>
      <c r="V306" s="336"/>
      <c r="W306" s="336"/>
      <c r="X306" s="336"/>
      <c r="Y306" s="336"/>
      <c r="Z306" s="336"/>
      <c r="AA306" s="336"/>
      <c r="AB306" s="336"/>
      <c r="AC306" s="336"/>
      <c r="AD306" s="336"/>
      <c r="AE306"/>
      <c r="AF306" s="336"/>
      <c r="AG306" s="336"/>
      <c r="AH306" s="336"/>
      <c r="AI306" s="336"/>
      <c r="AJ306" s="336"/>
      <c r="AK306" s="336"/>
      <c r="AL306" s="336"/>
      <c r="AM306" s="336"/>
      <c r="AN306" s="336"/>
      <c r="AO306" s="336"/>
      <c r="AP306" s="336"/>
      <c r="AQ306" s="336"/>
      <c r="AR306" s="336"/>
      <c r="AS306" s="336"/>
      <c r="AT306" s="336"/>
    </row>
    <row r="307" spans="1:46" ht="14.45">
      <c r="A307" s="336"/>
      <c r="B307" s="336"/>
      <c r="C307" s="336"/>
      <c r="D307" s="336"/>
      <c r="E307" s="336"/>
      <c r="F307" s="336"/>
      <c r="G307" s="336"/>
      <c r="H307" s="336"/>
      <c r="I307" s="336"/>
      <c r="J307" s="336"/>
      <c r="K307" s="415"/>
      <c r="L307" s="336"/>
      <c r="M307" s="336"/>
      <c r="N307" s="336"/>
      <c r="O307" s="416"/>
      <c r="P307" s="336"/>
      <c r="Q307" s="415"/>
      <c r="R307" s="336"/>
      <c r="S307" s="336"/>
      <c r="T307" s="336"/>
      <c r="U307" s="336"/>
      <c r="V307" s="336"/>
      <c r="W307" s="336"/>
      <c r="X307" s="336"/>
      <c r="Y307" s="336"/>
      <c r="Z307" s="336"/>
      <c r="AA307" s="336"/>
      <c r="AB307" s="336"/>
      <c r="AC307" s="336"/>
      <c r="AD307" s="336"/>
      <c r="AE307"/>
      <c r="AF307" s="336"/>
      <c r="AG307" s="336"/>
      <c r="AH307" s="336"/>
      <c r="AI307" s="336"/>
      <c r="AJ307" s="336"/>
      <c r="AK307" s="336"/>
      <c r="AL307" s="336"/>
      <c r="AM307" s="336"/>
      <c r="AN307" s="336"/>
      <c r="AO307" s="336"/>
      <c r="AP307" s="336"/>
      <c r="AQ307" s="336"/>
      <c r="AR307" s="336"/>
      <c r="AS307" s="336"/>
      <c r="AT307" s="336"/>
    </row>
    <row r="308" spans="1:46" ht="14.45">
      <c r="A308" s="336"/>
      <c r="B308" s="336"/>
      <c r="C308" s="336"/>
      <c r="D308" s="336"/>
      <c r="E308" s="336"/>
      <c r="F308" s="336"/>
      <c r="G308" s="336"/>
      <c r="H308" s="336"/>
      <c r="I308" s="336"/>
      <c r="J308" s="336"/>
      <c r="K308" s="415"/>
      <c r="L308" s="336"/>
      <c r="M308" s="336"/>
      <c r="N308" s="336"/>
      <c r="O308" s="416"/>
      <c r="P308" s="336"/>
      <c r="Q308" s="415"/>
      <c r="R308" s="336"/>
      <c r="S308" s="336"/>
      <c r="T308" s="336"/>
      <c r="U308" s="336"/>
      <c r="V308" s="336"/>
      <c r="W308" s="336"/>
      <c r="X308" s="336"/>
      <c r="Y308" s="336"/>
      <c r="Z308" s="336"/>
      <c r="AA308" s="336"/>
      <c r="AB308" s="336"/>
      <c r="AC308" s="336"/>
      <c r="AD308" s="336"/>
      <c r="AE308"/>
      <c r="AF308" s="336"/>
      <c r="AG308" s="336"/>
      <c r="AH308" s="336"/>
      <c r="AI308" s="336"/>
      <c r="AJ308" s="336"/>
      <c r="AK308" s="336"/>
      <c r="AL308" s="336"/>
      <c r="AM308" s="336"/>
      <c r="AN308" s="336"/>
      <c r="AO308" s="336"/>
      <c r="AP308" s="336"/>
      <c r="AQ308" s="336"/>
      <c r="AR308" s="336"/>
      <c r="AS308" s="336"/>
      <c r="AT308" s="336"/>
    </row>
    <row r="309" spans="1:46" ht="14.45">
      <c r="A309" s="336"/>
      <c r="B309" s="336"/>
      <c r="C309" s="336"/>
      <c r="D309" s="336"/>
      <c r="E309" s="336"/>
      <c r="F309" s="336"/>
      <c r="G309" s="336"/>
      <c r="H309" s="336"/>
      <c r="I309" s="336"/>
      <c r="J309" s="336"/>
      <c r="K309" s="415"/>
      <c r="L309" s="336"/>
      <c r="M309" s="336"/>
      <c r="N309" s="336"/>
      <c r="O309" s="416"/>
      <c r="P309" s="336"/>
      <c r="Q309" s="415"/>
      <c r="R309" s="336"/>
      <c r="S309" s="336"/>
      <c r="T309" s="336"/>
      <c r="U309" s="336"/>
      <c r="V309" s="336"/>
      <c r="W309" s="336"/>
      <c r="X309" s="336"/>
      <c r="Y309" s="336"/>
      <c r="Z309" s="336"/>
      <c r="AA309" s="336"/>
      <c r="AB309" s="336"/>
      <c r="AC309" s="336"/>
      <c r="AD309" s="336"/>
      <c r="AE309"/>
      <c r="AF309" s="336"/>
      <c r="AG309" s="336"/>
      <c r="AH309" s="336"/>
      <c r="AI309" s="336"/>
      <c r="AJ309" s="336"/>
      <c r="AK309" s="336"/>
      <c r="AL309" s="336"/>
      <c r="AM309" s="336"/>
      <c r="AN309" s="336"/>
      <c r="AO309" s="336"/>
      <c r="AP309" s="336"/>
      <c r="AQ309" s="336"/>
      <c r="AR309" s="336"/>
      <c r="AS309" s="336"/>
      <c r="AT309" s="336"/>
    </row>
    <row r="310" spans="1:46" ht="14.45">
      <c r="A310" s="336"/>
      <c r="B310" s="336"/>
      <c r="C310" s="336"/>
      <c r="D310" s="336"/>
      <c r="E310" s="336"/>
      <c r="F310" s="336"/>
      <c r="G310" s="336"/>
      <c r="H310" s="336"/>
      <c r="I310" s="336"/>
      <c r="J310" s="336"/>
      <c r="K310" s="415"/>
      <c r="L310" s="336"/>
      <c r="M310" s="336"/>
      <c r="N310" s="336"/>
      <c r="O310" s="416"/>
      <c r="P310" s="336"/>
      <c r="Q310" s="415"/>
      <c r="R310" s="336"/>
      <c r="S310" s="336"/>
      <c r="T310" s="336"/>
      <c r="U310" s="336"/>
      <c r="V310" s="336"/>
      <c r="W310" s="336"/>
      <c r="X310" s="336"/>
      <c r="Y310" s="336"/>
      <c r="Z310" s="336"/>
      <c r="AA310" s="336"/>
      <c r="AB310" s="336"/>
      <c r="AC310" s="336"/>
      <c r="AD310" s="336"/>
      <c r="AE310"/>
      <c r="AF310" s="336"/>
      <c r="AG310" s="336"/>
      <c r="AH310" s="336"/>
      <c r="AI310" s="336"/>
      <c r="AJ310" s="336"/>
      <c r="AK310" s="336"/>
      <c r="AL310" s="336"/>
      <c r="AM310" s="336"/>
      <c r="AN310" s="336"/>
      <c r="AO310" s="336"/>
      <c r="AP310" s="336"/>
      <c r="AQ310" s="336"/>
      <c r="AR310" s="336"/>
      <c r="AS310" s="336"/>
      <c r="AT310" s="336"/>
    </row>
    <row r="311" spans="1:46" ht="14.45">
      <c r="A311" s="336"/>
      <c r="B311" s="336"/>
      <c r="C311" s="336"/>
      <c r="D311" s="336"/>
      <c r="E311" s="336"/>
      <c r="F311" s="336"/>
      <c r="G311" s="336"/>
      <c r="H311" s="336"/>
      <c r="I311" s="336"/>
      <c r="J311" s="336"/>
      <c r="K311" s="415"/>
      <c r="L311" s="336"/>
      <c r="M311" s="336"/>
      <c r="N311" s="336"/>
      <c r="O311" s="416"/>
      <c r="P311" s="336"/>
      <c r="Q311" s="415"/>
      <c r="R311" s="336"/>
      <c r="S311" s="336"/>
      <c r="T311" s="336"/>
      <c r="U311" s="336"/>
      <c r="V311" s="336"/>
      <c r="W311" s="336"/>
      <c r="X311" s="336"/>
      <c r="Y311" s="336"/>
      <c r="Z311" s="336"/>
      <c r="AA311" s="336"/>
      <c r="AB311" s="336"/>
      <c r="AC311" s="336"/>
      <c r="AD311" s="336"/>
      <c r="AE311"/>
      <c r="AF311" s="336"/>
      <c r="AG311" s="336"/>
      <c r="AH311" s="336"/>
      <c r="AI311" s="336"/>
      <c r="AJ311" s="336"/>
      <c r="AK311" s="336"/>
      <c r="AL311" s="336"/>
      <c r="AM311" s="336"/>
      <c r="AN311" s="336"/>
      <c r="AO311" s="336"/>
      <c r="AP311" s="336"/>
      <c r="AQ311" s="336"/>
      <c r="AR311" s="336"/>
      <c r="AS311" s="336"/>
      <c r="AT311" s="336"/>
    </row>
    <row r="312" spans="1:46" ht="14.45">
      <c r="A312" s="336"/>
      <c r="B312" s="336"/>
      <c r="C312" s="336"/>
      <c r="D312" s="336"/>
      <c r="E312" s="336"/>
      <c r="F312" s="336"/>
      <c r="G312" s="336"/>
      <c r="H312" s="336"/>
      <c r="I312" s="336"/>
      <c r="J312" s="336"/>
      <c r="K312" s="415"/>
      <c r="L312" s="336"/>
      <c r="M312" s="336"/>
      <c r="N312" s="336"/>
      <c r="O312" s="416"/>
      <c r="P312" s="336"/>
      <c r="Q312" s="415"/>
      <c r="R312" s="336"/>
      <c r="S312" s="336"/>
      <c r="T312" s="336"/>
      <c r="U312" s="336"/>
      <c r="V312" s="336"/>
      <c r="W312" s="336"/>
      <c r="X312" s="336"/>
      <c r="Y312" s="336"/>
      <c r="Z312" s="336"/>
      <c r="AA312" s="336"/>
      <c r="AB312" s="336"/>
      <c r="AC312" s="336"/>
      <c r="AD312" s="336"/>
      <c r="AE312"/>
      <c r="AF312" s="336"/>
      <c r="AG312" s="336"/>
      <c r="AH312" s="336"/>
      <c r="AI312" s="336"/>
      <c r="AJ312" s="336"/>
      <c r="AK312" s="336"/>
      <c r="AL312" s="336"/>
      <c r="AM312" s="336"/>
      <c r="AN312" s="336"/>
      <c r="AO312" s="336"/>
      <c r="AP312" s="336"/>
      <c r="AQ312" s="336"/>
      <c r="AR312" s="336"/>
      <c r="AS312" s="336"/>
      <c r="AT312" s="336"/>
    </row>
    <row r="313" spans="1:46" ht="14.45">
      <c r="A313" s="336"/>
      <c r="B313" s="336"/>
      <c r="C313" s="336"/>
      <c r="D313" s="336"/>
      <c r="E313" s="336"/>
      <c r="F313" s="336"/>
      <c r="G313" s="336"/>
      <c r="H313" s="336"/>
      <c r="I313" s="336"/>
      <c r="J313" s="336"/>
      <c r="K313" s="415"/>
      <c r="L313" s="336"/>
      <c r="M313" s="336"/>
      <c r="N313" s="336"/>
      <c r="O313" s="416"/>
      <c r="P313" s="336"/>
      <c r="Q313" s="415"/>
      <c r="R313" s="336"/>
      <c r="S313" s="336"/>
      <c r="T313" s="336"/>
      <c r="U313" s="336"/>
      <c r="V313" s="336"/>
      <c r="W313" s="336"/>
      <c r="X313" s="336"/>
      <c r="Y313" s="336"/>
      <c r="Z313" s="336"/>
      <c r="AA313" s="336"/>
      <c r="AB313" s="336"/>
      <c r="AC313" s="336"/>
      <c r="AD313" s="336"/>
      <c r="AE313"/>
      <c r="AF313" s="336"/>
      <c r="AG313" s="336"/>
      <c r="AH313" s="336"/>
      <c r="AI313" s="336"/>
      <c r="AJ313" s="336"/>
      <c r="AK313" s="336"/>
      <c r="AL313" s="336"/>
      <c r="AM313" s="336"/>
      <c r="AN313" s="336"/>
      <c r="AO313" s="336"/>
      <c r="AP313" s="336"/>
      <c r="AQ313" s="336"/>
      <c r="AR313" s="336"/>
      <c r="AS313" s="336"/>
      <c r="AT313" s="336"/>
    </row>
    <row r="314" spans="1:46" ht="14.45">
      <c r="A314" s="336"/>
      <c r="B314" s="336"/>
      <c r="C314" s="336"/>
      <c r="D314" s="336"/>
      <c r="E314" s="336"/>
      <c r="F314" s="336"/>
      <c r="G314" s="336"/>
      <c r="H314" s="336"/>
      <c r="I314" s="336"/>
      <c r="J314" s="336"/>
      <c r="K314" s="415"/>
      <c r="L314" s="336"/>
      <c r="M314" s="336"/>
      <c r="N314" s="336"/>
      <c r="O314" s="416"/>
      <c r="P314" s="336"/>
      <c r="Q314" s="415"/>
      <c r="R314" s="336"/>
      <c r="S314" s="336"/>
      <c r="T314" s="336"/>
      <c r="U314" s="336"/>
      <c r="V314" s="336"/>
      <c r="W314" s="336"/>
      <c r="X314" s="336"/>
      <c r="Y314" s="336"/>
      <c r="Z314" s="336"/>
      <c r="AA314" s="336"/>
      <c r="AB314" s="336"/>
      <c r="AC314" s="336"/>
      <c r="AD314" s="336"/>
      <c r="AE314"/>
      <c r="AF314" s="336"/>
      <c r="AG314" s="336"/>
      <c r="AH314" s="336"/>
      <c r="AI314" s="336"/>
      <c r="AJ314" s="336"/>
      <c r="AK314" s="336"/>
      <c r="AL314" s="336"/>
      <c r="AM314" s="336"/>
      <c r="AN314" s="336"/>
      <c r="AO314" s="336"/>
      <c r="AP314" s="336"/>
      <c r="AQ314" s="336"/>
      <c r="AR314" s="336"/>
      <c r="AS314" s="336"/>
      <c r="AT314" s="336"/>
    </row>
    <row r="315" spans="1:46" ht="14.45">
      <c r="A315" s="336"/>
      <c r="B315" s="336"/>
      <c r="C315" s="336"/>
      <c r="D315" s="336"/>
      <c r="E315" s="336"/>
      <c r="F315" s="336"/>
      <c r="G315" s="336"/>
      <c r="H315" s="336"/>
      <c r="I315" s="336"/>
      <c r="J315" s="336"/>
      <c r="K315" s="415"/>
      <c r="L315" s="336"/>
      <c r="M315" s="336"/>
      <c r="N315" s="336"/>
      <c r="O315" s="416"/>
      <c r="P315" s="336"/>
      <c r="Q315" s="415"/>
      <c r="R315" s="336"/>
      <c r="S315" s="336"/>
      <c r="T315" s="336"/>
      <c r="U315" s="336"/>
      <c r="V315" s="336"/>
      <c r="W315" s="336"/>
      <c r="X315" s="336"/>
      <c r="Y315" s="336"/>
      <c r="Z315" s="336"/>
      <c r="AA315" s="336"/>
      <c r="AB315" s="336"/>
      <c r="AC315" s="336"/>
      <c r="AD315" s="336"/>
      <c r="AE315"/>
      <c r="AF315" s="336"/>
      <c r="AG315" s="336"/>
      <c r="AH315" s="336"/>
      <c r="AI315" s="336"/>
      <c r="AJ315" s="336"/>
      <c r="AK315" s="336"/>
      <c r="AL315" s="336"/>
      <c r="AM315" s="336"/>
      <c r="AN315" s="336"/>
      <c r="AO315" s="336"/>
      <c r="AP315" s="336"/>
      <c r="AQ315" s="336"/>
      <c r="AR315" s="336"/>
      <c r="AS315" s="336"/>
      <c r="AT315" s="336"/>
    </row>
    <row r="316" spans="1:46" ht="14.45">
      <c r="A316" s="336"/>
      <c r="B316" s="336"/>
      <c r="C316" s="336"/>
      <c r="D316" s="336"/>
      <c r="E316" s="336"/>
      <c r="F316" s="336"/>
      <c r="G316" s="336"/>
      <c r="H316" s="336"/>
      <c r="I316" s="336"/>
      <c r="J316" s="336"/>
      <c r="K316" s="415"/>
      <c r="L316" s="336"/>
      <c r="M316" s="336"/>
      <c r="N316" s="336"/>
      <c r="O316" s="416"/>
      <c r="P316" s="336"/>
      <c r="Q316" s="415"/>
      <c r="R316" s="336"/>
      <c r="S316" s="336"/>
      <c r="T316" s="336"/>
      <c r="U316" s="336"/>
      <c r="V316" s="336"/>
      <c r="W316" s="336"/>
      <c r="X316" s="336"/>
      <c r="Y316" s="336"/>
      <c r="Z316" s="336"/>
      <c r="AA316" s="336"/>
      <c r="AB316" s="336"/>
      <c r="AC316" s="336"/>
      <c r="AD316" s="336"/>
      <c r="AE316"/>
      <c r="AF316" s="336"/>
      <c r="AG316" s="336"/>
      <c r="AH316" s="336"/>
      <c r="AI316" s="336"/>
      <c r="AJ316" s="336"/>
      <c r="AK316" s="336"/>
      <c r="AL316" s="336"/>
      <c r="AM316" s="336"/>
      <c r="AN316" s="336"/>
      <c r="AO316" s="336"/>
      <c r="AP316" s="336"/>
      <c r="AQ316" s="336"/>
      <c r="AR316" s="336"/>
      <c r="AS316" s="336"/>
      <c r="AT316" s="336"/>
    </row>
    <row r="317" spans="1:46" ht="14.45">
      <c r="A317" s="336"/>
      <c r="B317" s="336"/>
      <c r="C317" s="336"/>
      <c r="D317" s="336"/>
      <c r="E317" s="336"/>
      <c r="F317" s="336"/>
      <c r="G317" s="336"/>
      <c r="H317" s="336"/>
      <c r="I317" s="336"/>
      <c r="J317" s="336"/>
      <c r="K317" s="415"/>
      <c r="L317" s="336"/>
      <c r="M317" s="336"/>
      <c r="N317" s="336"/>
      <c r="O317" s="416"/>
      <c r="P317" s="336"/>
      <c r="Q317" s="415"/>
      <c r="R317" s="336"/>
      <c r="S317" s="336"/>
      <c r="T317" s="336"/>
      <c r="U317" s="336"/>
      <c r="V317" s="336"/>
      <c r="W317" s="336"/>
      <c r="X317" s="336"/>
      <c r="Y317" s="336"/>
      <c r="Z317" s="336"/>
      <c r="AA317" s="336"/>
      <c r="AB317" s="336"/>
      <c r="AC317" s="336"/>
      <c r="AD317" s="336"/>
      <c r="AE317"/>
      <c r="AF317" s="336"/>
      <c r="AG317" s="336"/>
      <c r="AH317" s="336"/>
      <c r="AI317" s="336"/>
      <c r="AJ317" s="336"/>
      <c r="AK317" s="336"/>
      <c r="AL317" s="336"/>
      <c r="AM317" s="336"/>
      <c r="AN317" s="336"/>
      <c r="AO317" s="336"/>
      <c r="AP317" s="336"/>
      <c r="AQ317" s="336"/>
      <c r="AR317" s="336"/>
      <c r="AS317" s="336"/>
      <c r="AT317" s="336"/>
    </row>
    <row r="318" spans="1:46" ht="14.45">
      <c r="A318" s="336"/>
      <c r="B318" s="336"/>
      <c r="C318" s="336"/>
      <c r="D318" s="336"/>
      <c r="E318" s="336"/>
      <c r="F318" s="336"/>
      <c r="G318" s="336"/>
      <c r="H318" s="336"/>
      <c r="I318" s="336"/>
      <c r="J318" s="336"/>
      <c r="K318" s="415"/>
      <c r="L318" s="336"/>
      <c r="M318" s="336"/>
      <c r="N318" s="336"/>
      <c r="O318" s="416"/>
      <c r="P318" s="336"/>
      <c r="Q318" s="415"/>
      <c r="R318" s="336"/>
      <c r="S318" s="336"/>
      <c r="T318" s="336"/>
      <c r="U318" s="336"/>
      <c r="V318" s="336"/>
      <c r="W318" s="336"/>
      <c r="X318" s="336"/>
      <c r="Y318" s="336"/>
      <c r="Z318" s="336"/>
      <c r="AA318" s="336"/>
      <c r="AB318" s="336"/>
      <c r="AC318" s="336"/>
      <c r="AD318" s="336"/>
      <c r="AE318"/>
      <c r="AF318" s="336"/>
      <c r="AG318" s="336"/>
      <c r="AH318" s="336"/>
      <c r="AI318" s="336"/>
      <c r="AJ318" s="336"/>
      <c r="AK318" s="336"/>
      <c r="AL318" s="336"/>
      <c r="AM318" s="336"/>
      <c r="AN318" s="336"/>
      <c r="AO318" s="336"/>
      <c r="AP318" s="336"/>
      <c r="AQ318" s="336"/>
      <c r="AR318" s="336"/>
      <c r="AS318" s="336"/>
      <c r="AT318" s="336"/>
    </row>
    <row r="319" spans="1:46" ht="14.45">
      <c r="A319" s="336"/>
      <c r="B319" s="336"/>
      <c r="C319" s="336"/>
      <c r="D319" s="336"/>
      <c r="E319" s="336"/>
      <c r="F319" s="336"/>
      <c r="G319" s="336"/>
      <c r="H319" s="336"/>
      <c r="I319" s="336"/>
      <c r="J319" s="336"/>
      <c r="K319" s="415"/>
      <c r="L319" s="336"/>
      <c r="M319" s="336"/>
      <c r="N319" s="336"/>
      <c r="O319" s="416"/>
      <c r="P319" s="336"/>
      <c r="Q319" s="415"/>
      <c r="R319" s="336"/>
      <c r="S319" s="336"/>
      <c r="T319" s="336"/>
      <c r="U319" s="336"/>
      <c r="V319" s="336"/>
      <c r="W319" s="336"/>
      <c r="X319" s="336"/>
      <c r="Y319" s="336"/>
      <c r="Z319" s="336"/>
      <c r="AA319" s="336"/>
      <c r="AB319" s="336"/>
      <c r="AC319" s="336"/>
      <c r="AD319" s="336"/>
      <c r="AE319"/>
      <c r="AF319" s="336"/>
      <c r="AG319" s="336"/>
      <c r="AH319" s="336"/>
      <c r="AI319" s="336"/>
      <c r="AJ319" s="336"/>
      <c r="AK319" s="336"/>
      <c r="AL319" s="336"/>
      <c r="AM319" s="336"/>
      <c r="AN319" s="336"/>
      <c r="AO319" s="336"/>
      <c r="AP319" s="336"/>
      <c r="AQ319" s="336"/>
      <c r="AR319" s="336"/>
      <c r="AS319" s="336"/>
      <c r="AT319" s="336"/>
    </row>
    <row r="320" spans="1:46" ht="14.45">
      <c r="A320" s="336"/>
      <c r="B320" s="336"/>
      <c r="C320" s="336"/>
      <c r="D320" s="336"/>
      <c r="E320" s="336"/>
      <c r="F320" s="336"/>
      <c r="G320" s="336"/>
      <c r="H320" s="336"/>
      <c r="I320" s="336"/>
      <c r="J320" s="336"/>
      <c r="K320" s="415"/>
      <c r="L320" s="336"/>
      <c r="M320" s="336"/>
      <c r="N320" s="336"/>
      <c r="O320" s="416"/>
      <c r="P320" s="336"/>
      <c r="Q320" s="415"/>
      <c r="R320" s="336"/>
      <c r="S320" s="336"/>
      <c r="T320" s="336"/>
      <c r="U320" s="336"/>
      <c r="V320" s="336"/>
      <c r="W320" s="336"/>
      <c r="X320" s="336"/>
      <c r="Y320" s="336"/>
      <c r="Z320" s="336"/>
      <c r="AA320" s="336"/>
      <c r="AB320" s="336"/>
      <c r="AC320" s="336"/>
      <c r="AD320" s="336"/>
      <c r="AE320"/>
      <c r="AF320" s="336"/>
      <c r="AG320" s="336"/>
      <c r="AH320" s="336"/>
      <c r="AI320" s="336"/>
      <c r="AJ320" s="336"/>
      <c r="AK320" s="336"/>
      <c r="AL320" s="336"/>
      <c r="AM320" s="336"/>
      <c r="AN320" s="336"/>
      <c r="AO320" s="336"/>
      <c r="AP320" s="336"/>
      <c r="AQ320" s="336"/>
      <c r="AR320" s="336"/>
      <c r="AS320" s="336"/>
      <c r="AT320" s="336"/>
    </row>
    <row r="321" spans="1:46" ht="14.45">
      <c r="A321" s="336"/>
      <c r="B321" s="336"/>
      <c r="C321" s="336"/>
      <c r="D321" s="336"/>
      <c r="E321" s="336"/>
      <c r="F321" s="336"/>
      <c r="G321" s="336"/>
      <c r="H321" s="336"/>
      <c r="I321" s="336"/>
      <c r="J321" s="336"/>
      <c r="K321" s="415"/>
      <c r="L321" s="336"/>
      <c r="M321" s="336"/>
      <c r="N321" s="336"/>
      <c r="O321" s="416"/>
      <c r="P321" s="336"/>
      <c r="Q321" s="415"/>
      <c r="R321" s="336"/>
      <c r="S321" s="336"/>
      <c r="T321" s="336"/>
      <c r="U321" s="336"/>
      <c r="V321" s="336"/>
      <c r="W321" s="336"/>
      <c r="X321" s="336"/>
      <c r="Y321" s="336"/>
      <c r="Z321" s="336"/>
      <c r="AA321" s="336"/>
      <c r="AB321" s="336"/>
      <c r="AC321" s="336"/>
      <c r="AD321" s="336"/>
      <c r="AE321"/>
      <c r="AF321" s="336"/>
      <c r="AG321" s="336"/>
      <c r="AH321" s="336"/>
      <c r="AI321" s="336"/>
      <c r="AJ321" s="336"/>
      <c r="AK321" s="336"/>
      <c r="AL321" s="336"/>
      <c r="AM321" s="336"/>
      <c r="AN321" s="336"/>
      <c r="AO321" s="336"/>
      <c r="AP321" s="336"/>
      <c r="AQ321" s="336"/>
      <c r="AR321" s="336"/>
      <c r="AS321" s="336"/>
      <c r="AT321" s="336"/>
    </row>
    <row r="322" spans="1:46" ht="14.45">
      <c r="A322" s="336"/>
      <c r="B322" s="336"/>
      <c r="C322" s="336"/>
      <c r="D322" s="336"/>
      <c r="E322" s="336"/>
      <c r="F322" s="336"/>
      <c r="G322" s="336"/>
      <c r="H322" s="336"/>
      <c r="I322" s="336"/>
      <c r="J322" s="336"/>
      <c r="K322" s="415"/>
      <c r="L322" s="336"/>
      <c r="M322" s="336"/>
      <c r="N322" s="336"/>
      <c r="O322" s="416"/>
      <c r="P322" s="336"/>
      <c r="Q322" s="415"/>
      <c r="R322" s="336"/>
      <c r="S322" s="336"/>
      <c r="T322" s="336"/>
      <c r="U322" s="336"/>
      <c r="V322" s="336"/>
      <c r="W322" s="336"/>
      <c r="X322" s="336"/>
      <c r="Y322" s="336"/>
      <c r="Z322" s="336"/>
      <c r="AA322" s="336"/>
      <c r="AB322" s="336"/>
      <c r="AC322" s="336"/>
      <c r="AD322" s="336"/>
      <c r="AE322"/>
      <c r="AF322" s="336"/>
      <c r="AG322" s="336"/>
      <c r="AH322" s="336"/>
      <c r="AI322" s="336"/>
      <c r="AJ322" s="336"/>
      <c r="AK322" s="336"/>
      <c r="AL322" s="336"/>
      <c r="AM322" s="336"/>
      <c r="AN322" s="336"/>
      <c r="AO322" s="336"/>
      <c r="AP322" s="336"/>
      <c r="AQ322" s="336"/>
      <c r="AR322" s="336"/>
      <c r="AS322" s="336"/>
      <c r="AT322" s="336"/>
    </row>
    <row r="323" spans="1:46" ht="14.45">
      <c r="A323" s="336"/>
      <c r="B323" s="336"/>
      <c r="C323" s="336"/>
      <c r="D323" s="336"/>
      <c r="E323" s="336"/>
      <c r="F323" s="336"/>
      <c r="G323" s="336"/>
      <c r="H323" s="336"/>
      <c r="I323" s="336"/>
      <c r="J323" s="336"/>
      <c r="K323" s="415"/>
      <c r="L323" s="336"/>
      <c r="M323" s="336"/>
      <c r="N323" s="336"/>
      <c r="O323" s="416"/>
      <c r="P323" s="336"/>
      <c r="Q323" s="415"/>
      <c r="R323" s="336"/>
      <c r="S323" s="336"/>
      <c r="T323" s="336"/>
      <c r="U323" s="336"/>
      <c r="V323" s="336"/>
      <c r="W323" s="336"/>
      <c r="X323" s="336"/>
      <c r="Y323" s="336"/>
      <c r="Z323" s="336"/>
      <c r="AA323" s="336"/>
      <c r="AB323" s="336"/>
      <c r="AC323" s="336"/>
      <c r="AD323" s="336"/>
      <c r="AE323"/>
      <c r="AF323" s="336"/>
      <c r="AG323" s="336"/>
      <c r="AH323" s="336"/>
      <c r="AI323" s="336"/>
      <c r="AJ323" s="336"/>
      <c r="AK323" s="336"/>
      <c r="AL323" s="336"/>
      <c r="AM323" s="336"/>
      <c r="AN323" s="336"/>
      <c r="AO323" s="336"/>
      <c r="AP323" s="336"/>
      <c r="AQ323" s="336"/>
      <c r="AR323" s="336"/>
      <c r="AS323" s="336"/>
      <c r="AT323" s="336"/>
    </row>
    <row r="324" spans="1:46" ht="14.45">
      <c r="A324" s="336"/>
      <c r="B324" s="336"/>
      <c r="C324" s="336"/>
      <c r="D324" s="336"/>
      <c r="E324" s="336"/>
      <c r="F324" s="336"/>
      <c r="G324" s="336"/>
      <c r="H324" s="336"/>
      <c r="I324" s="336"/>
      <c r="J324" s="336"/>
      <c r="K324" s="415"/>
      <c r="L324" s="336"/>
      <c r="M324" s="336"/>
      <c r="N324" s="336"/>
      <c r="O324" s="416"/>
      <c r="P324" s="336"/>
      <c r="Q324" s="415"/>
      <c r="R324" s="336"/>
      <c r="S324" s="336"/>
      <c r="T324" s="336"/>
      <c r="U324" s="336"/>
      <c r="V324" s="336"/>
      <c r="W324" s="336"/>
      <c r="X324" s="336"/>
      <c r="Y324" s="336"/>
      <c r="Z324" s="336"/>
      <c r="AA324" s="336"/>
      <c r="AB324" s="336"/>
      <c r="AC324" s="336"/>
      <c r="AD324" s="336"/>
      <c r="AE324"/>
      <c r="AF324" s="336"/>
      <c r="AG324" s="336"/>
      <c r="AH324" s="336"/>
      <c r="AI324" s="336"/>
      <c r="AJ324" s="336"/>
      <c r="AK324" s="336"/>
      <c r="AL324" s="336"/>
      <c r="AM324" s="336"/>
      <c r="AN324" s="336"/>
      <c r="AO324" s="336"/>
      <c r="AP324" s="336"/>
      <c r="AQ324" s="336"/>
      <c r="AR324" s="336"/>
      <c r="AS324" s="336"/>
      <c r="AT324" s="336"/>
    </row>
    <row r="325" spans="1:46" ht="14.45">
      <c r="A325" s="336"/>
      <c r="B325" s="336"/>
      <c r="C325" s="336"/>
      <c r="D325" s="336"/>
      <c r="E325" s="336"/>
      <c r="F325" s="336"/>
      <c r="G325" s="336"/>
      <c r="H325" s="336"/>
      <c r="I325" s="336"/>
      <c r="J325" s="336"/>
      <c r="K325" s="415"/>
      <c r="L325" s="336"/>
      <c r="M325" s="336"/>
      <c r="N325" s="336"/>
      <c r="O325" s="416"/>
      <c r="P325" s="336"/>
      <c r="Q325" s="415"/>
      <c r="R325" s="336"/>
      <c r="S325" s="336"/>
      <c r="T325" s="336"/>
      <c r="U325" s="336"/>
      <c r="V325" s="336"/>
      <c r="W325" s="336"/>
      <c r="X325" s="336"/>
      <c r="Y325" s="336"/>
      <c r="Z325" s="336"/>
      <c r="AA325" s="336"/>
      <c r="AB325" s="336"/>
      <c r="AC325" s="336"/>
      <c r="AD325" s="336"/>
      <c r="AE325"/>
      <c r="AF325" s="336"/>
      <c r="AG325" s="336"/>
      <c r="AH325" s="336"/>
      <c r="AI325" s="336"/>
      <c r="AJ325" s="336"/>
      <c r="AK325" s="336"/>
      <c r="AL325" s="336"/>
      <c r="AM325" s="336"/>
      <c r="AN325" s="336"/>
      <c r="AO325" s="336"/>
      <c r="AP325" s="336"/>
      <c r="AQ325" s="336"/>
      <c r="AR325" s="336"/>
      <c r="AS325" s="336"/>
      <c r="AT325" s="336"/>
    </row>
    <row r="326" spans="1:46" ht="14.45">
      <c r="A326" s="336"/>
      <c r="B326" s="336"/>
      <c r="C326" s="336"/>
      <c r="D326" s="336"/>
      <c r="E326" s="336"/>
      <c r="F326" s="336"/>
      <c r="G326" s="336"/>
      <c r="H326" s="336"/>
      <c r="I326" s="336"/>
      <c r="J326" s="336"/>
      <c r="K326" s="415"/>
      <c r="L326" s="336"/>
      <c r="M326" s="336"/>
      <c r="N326" s="336"/>
      <c r="O326" s="416"/>
      <c r="P326" s="336"/>
      <c r="Q326" s="415"/>
      <c r="R326" s="336"/>
      <c r="S326" s="336"/>
      <c r="T326" s="336"/>
      <c r="U326" s="336"/>
      <c r="V326" s="336"/>
      <c r="W326" s="336"/>
      <c r="X326" s="336"/>
      <c r="Y326" s="336"/>
      <c r="Z326" s="336"/>
      <c r="AA326" s="336"/>
      <c r="AB326" s="336"/>
      <c r="AC326" s="336"/>
      <c r="AD326" s="336"/>
      <c r="AE326"/>
      <c r="AF326" s="336"/>
      <c r="AG326" s="336"/>
      <c r="AH326" s="336"/>
      <c r="AI326" s="336"/>
      <c r="AJ326" s="336"/>
      <c r="AK326" s="336"/>
      <c r="AL326" s="336"/>
      <c r="AM326" s="336"/>
      <c r="AN326" s="336"/>
      <c r="AO326" s="336"/>
      <c r="AP326" s="336"/>
      <c r="AQ326" s="336"/>
      <c r="AR326" s="336"/>
      <c r="AS326" s="336"/>
      <c r="AT326" s="336"/>
    </row>
    <row r="327" spans="1:46" ht="14.45">
      <c r="A327" s="336"/>
      <c r="B327" s="336"/>
      <c r="C327" s="336"/>
      <c r="D327" s="336"/>
      <c r="E327" s="336"/>
      <c r="F327" s="336"/>
      <c r="G327" s="336"/>
      <c r="H327" s="336"/>
      <c r="I327" s="336"/>
      <c r="J327" s="336"/>
      <c r="K327" s="415"/>
      <c r="L327" s="336"/>
      <c r="M327" s="336"/>
      <c r="N327" s="336"/>
      <c r="O327" s="416"/>
      <c r="P327" s="336"/>
      <c r="Q327" s="415"/>
      <c r="R327" s="336"/>
      <c r="S327" s="336"/>
      <c r="T327" s="336"/>
      <c r="U327" s="336"/>
      <c r="V327" s="336"/>
      <c r="W327" s="336"/>
      <c r="X327" s="336"/>
      <c r="Y327" s="336"/>
      <c r="Z327" s="336"/>
      <c r="AA327" s="336"/>
      <c r="AB327" s="336"/>
      <c r="AC327" s="336"/>
      <c r="AD327" s="336"/>
      <c r="AE327"/>
      <c r="AF327" s="336"/>
      <c r="AG327" s="336"/>
      <c r="AH327" s="336"/>
      <c r="AI327" s="336"/>
      <c r="AJ327" s="336"/>
      <c r="AK327" s="336"/>
      <c r="AL327" s="336"/>
      <c r="AM327" s="336"/>
      <c r="AN327" s="336"/>
      <c r="AO327" s="336"/>
      <c r="AP327" s="336"/>
      <c r="AQ327" s="336"/>
      <c r="AR327" s="336"/>
      <c r="AS327" s="336"/>
      <c r="AT327" s="336"/>
    </row>
    <row r="328" spans="1:46" ht="14.45">
      <c r="A328" s="336"/>
      <c r="B328" s="336"/>
      <c r="C328" s="336"/>
      <c r="D328" s="336"/>
      <c r="E328" s="336"/>
      <c r="F328" s="336"/>
      <c r="G328" s="336"/>
      <c r="H328" s="336"/>
      <c r="I328" s="336"/>
      <c r="J328" s="336"/>
      <c r="K328" s="415"/>
      <c r="L328" s="336"/>
      <c r="M328" s="336"/>
      <c r="N328" s="336"/>
      <c r="O328" s="416"/>
      <c r="P328" s="336"/>
      <c r="Q328" s="415"/>
      <c r="R328" s="336"/>
      <c r="S328" s="336"/>
      <c r="T328" s="336"/>
      <c r="U328" s="336"/>
      <c r="V328" s="336"/>
      <c r="W328" s="336"/>
      <c r="X328" s="336"/>
      <c r="Y328" s="336"/>
      <c r="Z328" s="336"/>
      <c r="AA328" s="336"/>
      <c r="AB328" s="336"/>
      <c r="AC328" s="336"/>
      <c r="AD328" s="336"/>
      <c r="AE328"/>
      <c r="AF328" s="336"/>
      <c r="AG328" s="336"/>
      <c r="AH328" s="336"/>
      <c r="AI328" s="336"/>
      <c r="AJ328" s="336"/>
      <c r="AK328" s="336"/>
      <c r="AL328" s="336"/>
      <c r="AM328" s="336"/>
      <c r="AN328" s="336"/>
      <c r="AO328" s="336"/>
      <c r="AP328" s="336"/>
      <c r="AQ328" s="336"/>
      <c r="AR328" s="336"/>
      <c r="AS328" s="336"/>
      <c r="AT328" s="336"/>
    </row>
    <row r="329" spans="1:46" ht="14.45">
      <c r="A329" s="336"/>
      <c r="B329" s="336"/>
      <c r="C329" s="336"/>
      <c r="D329" s="336"/>
      <c r="E329" s="336"/>
      <c r="F329" s="336"/>
      <c r="G329" s="336"/>
      <c r="H329" s="336"/>
      <c r="I329" s="336"/>
      <c r="J329" s="336"/>
      <c r="K329" s="415"/>
      <c r="L329" s="336"/>
      <c r="M329" s="336"/>
      <c r="N329" s="336"/>
      <c r="O329" s="416"/>
      <c r="P329" s="336"/>
      <c r="Q329" s="415"/>
      <c r="R329" s="336"/>
      <c r="S329" s="336"/>
      <c r="T329" s="336"/>
      <c r="U329" s="336"/>
      <c r="V329" s="336"/>
      <c r="W329" s="336"/>
      <c r="X329" s="336"/>
      <c r="Y329" s="336"/>
      <c r="Z329" s="336"/>
      <c r="AA329" s="336"/>
      <c r="AB329" s="336"/>
      <c r="AC329" s="336"/>
      <c r="AD329" s="336"/>
      <c r="AE329"/>
      <c r="AF329" s="336"/>
      <c r="AG329" s="336"/>
      <c r="AH329" s="336"/>
      <c r="AI329" s="336"/>
      <c r="AJ329" s="336"/>
      <c r="AK329" s="336"/>
      <c r="AL329" s="336"/>
      <c r="AM329" s="336"/>
      <c r="AN329" s="336"/>
      <c r="AO329" s="336"/>
      <c r="AP329" s="336"/>
      <c r="AQ329" s="336"/>
      <c r="AR329" s="336"/>
      <c r="AS329" s="336"/>
      <c r="AT329" s="336"/>
    </row>
    <row r="330" spans="1:46" ht="14.45">
      <c r="A330" s="336"/>
      <c r="B330" s="336"/>
      <c r="C330" s="336"/>
      <c r="D330" s="336"/>
      <c r="E330" s="336"/>
      <c r="F330" s="336"/>
      <c r="G330" s="336"/>
      <c r="H330" s="336"/>
      <c r="I330" s="336"/>
      <c r="J330" s="336"/>
      <c r="K330" s="415"/>
      <c r="L330" s="336"/>
      <c r="M330" s="336"/>
      <c r="N330" s="336"/>
      <c r="O330" s="416"/>
      <c r="P330" s="336"/>
      <c r="Q330" s="415"/>
      <c r="R330" s="336"/>
      <c r="S330" s="336"/>
      <c r="T330" s="336"/>
      <c r="U330" s="336"/>
      <c r="V330" s="336"/>
      <c r="W330" s="336"/>
      <c r="X330" s="336"/>
      <c r="Y330" s="336"/>
      <c r="Z330" s="336"/>
      <c r="AA330" s="336"/>
      <c r="AB330" s="336"/>
      <c r="AC330" s="336"/>
      <c r="AD330" s="336"/>
      <c r="AE330"/>
      <c r="AF330" s="336"/>
      <c r="AG330" s="336"/>
      <c r="AH330" s="336"/>
      <c r="AI330" s="336"/>
      <c r="AJ330" s="336"/>
      <c r="AK330" s="336"/>
      <c r="AL330" s="336"/>
      <c r="AM330" s="336"/>
      <c r="AN330" s="336"/>
      <c r="AO330" s="336"/>
      <c r="AP330" s="336"/>
      <c r="AQ330" s="336"/>
      <c r="AR330" s="336"/>
      <c r="AS330" s="336"/>
      <c r="AT330" s="336"/>
    </row>
    <row r="331" spans="1:46" ht="14.45">
      <c r="A331" s="336"/>
      <c r="B331" s="336"/>
      <c r="C331" s="336"/>
      <c r="D331" s="336"/>
      <c r="E331" s="336"/>
      <c r="F331" s="336"/>
      <c r="G331" s="336"/>
      <c r="H331" s="336"/>
      <c r="I331" s="336"/>
      <c r="J331" s="336"/>
      <c r="K331" s="415"/>
      <c r="L331" s="336"/>
      <c r="M331" s="336"/>
      <c r="N331" s="336"/>
      <c r="O331" s="416"/>
      <c r="P331" s="336"/>
      <c r="Q331" s="415"/>
      <c r="R331" s="336"/>
      <c r="S331" s="336"/>
      <c r="T331" s="336"/>
      <c r="U331" s="336"/>
      <c r="V331" s="336"/>
      <c r="W331" s="336"/>
      <c r="X331" s="336"/>
      <c r="Y331" s="336"/>
      <c r="Z331" s="336"/>
      <c r="AA331" s="336"/>
      <c r="AB331" s="336"/>
      <c r="AC331" s="336"/>
      <c r="AD331" s="336"/>
      <c r="AE331"/>
      <c r="AF331" s="336"/>
      <c r="AG331" s="336"/>
      <c r="AH331" s="336"/>
      <c r="AI331" s="336"/>
      <c r="AJ331" s="336"/>
      <c r="AK331" s="336"/>
      <c r="AL331" s="336"/>
      <c r="AM331" s="336"/>
      <c r="AN331" s="336"/>
      <c r="AO331" s="336"/>
      <c r="AP331" s="336"/>
      <c r="AQ331" s="336"/>
      <c r="AR331" s="336"/>
      <c r="AS331" s="336"/>
      <c r="AT331" s="336"/>
    </row>
    <row r="332" spans="1:46" ht="14.45">
      <c r="A332" s="336"/>
      <c r="B332" s="336"/>
      <c r="C332" s="336"/>
      <c r="D332" s="336"/>
      <c r="E332" s="336"/>
      <c r="F332" s="336"/>
      <c r="G332" s="336"/>
      <c r="H332" s="336"/>
      <c r="I332" s="336"/>
      <c r="J332" s="336"/>
      <c r="K332" s="415"/>
      <c r="L332" s="336"/>
      <c r="M332" s="336"/>
      <c r="N332" s="336"/>
      <c r="O332" s="416"/>
      <c r="P332" s="336"/>
      <c r="Q332" s="415"/>
      <c r="R332" s="336"/>
      <c r="S332" s="336"/>
      <c r="T332" s="336"/>
      <c r="U332" s="336"/>
      <c r="V332" s="336"/>
      <c r="W332" s="336"/>
      <c r="X332" s="336"/>
      <c r="Y332" s="336"/>
      <c r="Z332" s="336"/>
      <c r="AA332" s="336"/>
      <c r="AB332" s="336"/>
      <c r="AC332" s="336"/>
      <c r="AD332" s="336"/>
      <c r="AE332"/>
      <c r="AF332" s="336"/>
      <c r="AG332" s="336"/>
      <c r="AH332" s="336"/>
      <c r="AI332" s="336"/>
      <c r="AJ332" s="336"/>
      <c r="AK332" s="336"/>
      <c r="AL332" s="336"/>
      <c r="AM332" s="336"/>
      <c r="AN332" s="336"/>
      <c r="AO332" s="336"/>
      <c r="AP332" s="336"/>
      <c r="AQ332" s="336"/>
      <c r="AR332" s="336"/>
      <c r="AS332" s="336"/>
      <c r="AT332" s="336"/>
    </row>
    <row r="333" spans="1:46" ht="14.45">
      <c r="A333" s="336"/>
      <c r="B333" s="336"/>
      <c r="C333" s="336"/>
      <c r="D333" s="336"/>
      <c r="E333" s="336"/>
      <c r="F333" s="336"/>
      <c r="G333" s="336"/>
      <c r="H333" s="336"/>
      <c r="I333" s="336"/>
      <c r="J333" s="336"/>
      <c r="K333" s="415"/>
      <c r="L333" s="336"/>
      <c r="M333" s="336"/>
      <c r="N333" s="336"/>
      <c r="O333" s="416"/>
      <c r="P333" s="336"/>
      <c r="Q333" s="415"/>
      <c r="R333" s="336"/>
      <c r="S333" s="336"/>
      <c r="T333" s="336"/>
      <c r="U333" s="336"/>
      <c r="V333" s="336"/>
      <c r="W333" s="336"/>
      <c r="X333" s="336"/>
      <c r="Y333" s="336"/>
      <c r="Z333" s="336"/>
      <c r="AA333" s="336"/>
      <c r="AB333" s="336"/>
      <c r="AC333" s="336"/>
      <c r="AD333" s="336"/>
      <c r="AE333"/>
      <c r="AF333" s="336"/>
      <c r="AG333" s="336"/>
      <c r="AH333" s="336"/>
      <c r="AI333" s="336"/>
      <c r="AJ333" s="336"/>
      <c r="AK333" s="336"/>
      <c r="AL333" s="336"/>
      <c r="AM333" s="336"/>
      <c r="AN333" s="336"/>
      <c r="AO333" s="336"/>
      <c r="AP333" s="336"/>
      <c r="AQ333" s="336"/>
      <c r="AR333" s="336"/>
      <c r="AS333" s="336"/>
      <c r="AT333" s="336"/>
    </row>
    <row r="334" spans="1:46" ht="14.45">
      <c r="A334" s="336"/>
      <c r="B334" s="336"/>
      <c r="C334" s="336"/>
      <c r="D334" s="336"/>
      <c r="E334" s="336"/>
      <c r="F334" s="336"/>
      <c r="G334" s="336"/>
      <c r="H334" s="336"/>
      <c r="I334" s="336"/>
      <c r="J334" s="336"/>
      <c r="K334" s="415"/>
      <c r="L334" s="336"/>
      <c r="M334" s="336"/>
      <c r="N334" s="336"/>
      <c r="O334" s="416"/>
      <c r="P334" s="336"/>
      <c r="Q334" s="415"/>
      <c r="R334" s="336"/>
      <c r="S334" s="336"/>
      <c r="T334" s="336"/>
      <c r="U334" s="336"/>
      <c r="V334" s="336"/>
      <c r="W334" s="336"/>
      <c r="X334" s="336"/>
      <c r="Y334" s="336"/>
      <c r="Z334" s="336"/>
      <c r="AA334" s="336"/>
      <c r="AB334" s="336"/>
      <c r="AC334" s="336"/>
      <c r="AD334" s="336"/>
      <c r="AE334"/>
      <c r="AF334" s="336"/>
      <c r="AG334" s="336"/>
      <c r="AH334" s="336"/>
      <c r="AI334" s="336"/>
      <c r="AJ334" s="336"/>
      <c r="AK334" s="336"/>
      <c r="AL334" s="336"/>
      <c r="AM334" s="336"/>
      <c r="AN334" s="336"/>
      <c r="AO334" s="336"/>
      <c r="AP334" s="336"/>
      <c r="AQ334" s="336"/>
      <c r="AR334" s="336"/>
      <c r="AS334" s="336"/>
      <c r="AT334" s="336"/>
    </row>
    <row r="335" spans="1:46" ht="14.45">
      <c r="A335" s="336"/>
      <c r="B335" s="336"/>
      <c r="C335" s="336"/>
      <c r="D335" s="336"/>
      <c r="E335" s="336"/>
      <c r="F335" s="336"/>
      <c r="G335" s="336"/>
      <c r="H335" s="336"/>
      <c r="I335" s="336"/>
      <c r="J335" s="336"/>
      <c r="K335" s="415"/>
      <c r="L335" s="336"/>
      <c r="M335" s="336"/>
      <c r="N335" s="336"/>
      <c r="O335" s="416"/>
      <c r="P335" s="336"/>
      <c r="Q335" s="415"/>
      <c r="R335" s="336"/>
      <c r="S335" s="336"/>
      <c r="T335" s="336"/>
      <c r="U335" s="336"/>
      <c r="V335" s="336"/>
      <c r="W335" s="336"/>
      <c r="X335" s="336"/>
      <c r="Y335" s="336"/>
      <c r="Z335" s="336"/>
      <c r="AA335" s="336"/>
      <c r="AB335" s="336"/>
      <c r="AC335" s="336"/>
      <c r="AD335" s="336"/>
      <c r="AE335"/>
      <c r="AF335" s="336"/>
      <c r="AG335" s="336"/>
      <c r="AH335" s="336"/>
      <c r="AI335" s="336"/>
      <c r="AJ335" s="336"/>
      <c r="AK335" s="336"/>
      <c r="AL335" s="336"/>
      <c r="AM335" s="336"/>
      <c r="AN335" s="336"/>
      <c r="AO335" s="336"/>
      <c r="AP335" s="336"/>
      <c r="AQ335" s="336"/>
      <c r="AR335" s="336"/>
      <c r="AS335" s="336"/>
      <c r="AT335" s="336"/>
    </row>
    <row r="336" spans="1:46" ht="14.45">
      <c r="A336" s="336"/>
      <c r="B336" s="336"/>
      <c r="C336" s="336"/>
      <c r="D336" s="336"/>
      <c r="E336" s="336"/>
      <c r="F336" s="336"/>
      <c r="G336" s="336"/>
      <c r="H336" s="336"/>
      <c r="I336" s="336"/>
      <c r="J336" s="336"/>
      <c r="K336" s="415"/>
      <c r="L336" s="336"/>
      <c r="M336" s="336"/>
      <c r="N336" s="336"/>
      <c r="O336" s="416"/>
      <c r="P336" s="336"/>
      <c r="Q336" s="415"/>
      <c r="R336" s="336"/>
      <c r="S336" s="336"/>
      <c r="T336" s="336"/>
      <c r="U336" s="336"/>
      <c r="V336" s="336"/>
      <c r="W336" s="336"/>
      <c r="X336" s="336"/>
      <c r="Y336" s="336"/>
      <c r="Z336" s="336"/>
      <c r="AA336" s="336"/>
      <c r="AB336" s="336"/>
      <c r="AC336" s="336"/>
      <c r="AD336" s="336"/>
      <c r="AE336"/>
      <c r="AF336" s="336"/>
      <c r="AG336" s="336"/>
      <c r="AH336" s="336"/>
      <c r="AI336" s="336"/>
      <c r="AJ336" s="336"/>
      <c r="AK336" s="336"/>
      <c r="AL336" s="336"/>
      <c r="AM336" s="336"/>
      <c r="AN336" s="336"/>
      <c r="AO336" s="336"/>
      <c r="AP336" s="336"/>
      <c r="AQ336" s="336"/>
      <c r="AR336" s="336"/>
      <c r="AS336" s="336"/>
      <c r="AT336" s="336"/>
    </row>
    <row r="337" spans="1:46" ht="14.45">
      <c r="A337" s="336"/>
      <c r="B337" s="336"/>
      <c r="C337" s="336"/>
      <c r="D337" s="336"/>
      <c r="E337" s="336"/>
      <c r="F337" s="336"/>
      <c r="G337" s="336"/>
      <c r="H337" s="336"/>
      <c r="I337" s="336"/>
      <c r="J337" s="336"/>
      <c r="K337" s="415"/>
      <c r="L337" s="336"/>
      <c r="M337" s="336"/>
      <c r="N337" s="336"/>
      <c r="O337" s="416"/>
      <c r="P337" s="336"/>
      <c r="Q337" s="415"/>
      <c r="R337" s="336"/>
      <c r="S337" s="336"/>
      <c r="T337" s="336"/>
      <c r="U337" s="336"/>
      <c r="V337" s="336"/>
      <c r="W337" s="336"/>
      <c r="X337" s="336"/>
      <c r="Y337" s="336"/>
      <c r="Z337" s="336"/>
      <c r="AA337" s="336"/>
      <c r="AB337" s="336"/>
      <c r="AC337" s="336"/>
      <c r="AD337" s="336"/>
      <c r="AE337"/>
      <c r="AF337" s="336"/>
      <c r="AG337" s="336"/>
      <c r="AH337" s="336"/>
      <c r="AI337" s="336"/>
      <c r="AJ337" s="336"/>
      <c r="AK337" s="336"/>
      <c r="AL337" s="336"/>
      <c r="AM337" s="336"/>
      <c r="AN337" s="336"/>
      <c r="AO337" s="336"/>
      <c r="AP337" s="336"/>
      <c r="AQ337" s="336"/>
      <c r="AR337" s="336"/>
      <c r="AS337" s="336"/>
      <c r="AT337" s="336"/>
    </row>
    <row r="338" spans="1:46" ht="14.45">
      <c r="A338" s="336"/>
      <c r="B338" s="336"/>
      <c r="C338" s="336"/>
      <c r="D338" s="336"/>
      <c r="E338" s="336"/>
      <c r="F338" s="336"/>
      <c r="G338" s="336"/>
      <c r="H338" s="336"/>
      <c r="I338" s="336"/>
      <c r="J338" s="336"/>
      <c r="K338" s="415"/>
      <c r="L338" s="336"/>
      <c r="M338" s="336"/>
      <c r="N338" s="336"/>
      <c r="O338" s="416"/>
      <c r="P338" s="336"/>
      <c r="Q338" s="415"/>
      <c r="R338" s="336"/>
      <c r="S338" s="336"/>
      <c r="T338" s="336"/>
      <c r="U338" s="336"/>
      <c r="V338" s="336"/>
      <c r="W338" s="336"/>
      <c r="X338" s="336"/>
      <c r="Y338" s="336"/>
      <c r="Z338" s="336"/>
      <c r="AA338" s="336"/>
      <c r="AB338" s="336"/>
      <c r="AC338" s="336"/>
      <c r="AD338" s="336"/>
      <c r="AE338"/>
      <c r="AF338" s="336"/>
      <c r="AG338" s="336"/>
      <c r="AH338" s="336"/>
      <c r="AI338" s="336"/>
      <c r="AJ338" s="336"/>
      <c r="AK338" s="336"/>
      <c r="AL338" s="336"/>
      <c r="AM338" s="336"/>
      <c r="AN338" s="336"/>
      <c r="AO338" s="336"/>
      <c r="AP338" s="336"/>
      <c r="AQ338" s="336"/>
      <c r="AR338" s="336"/>
      <c r="AS338" s="336"/>
      <c r="AT338" s="336"/>
    </row>
    <row r="339" spans="1:46" ht="14.45">
      <c r="A339" s="336"/>
      <c r="B339" s="336"/>
      <c r="C339" s="336"/>
      <c r="D339" s="336"/>
      <c r="E339" s="336"/>
      <c r="F339" s="336"/>
      <c r="G339" s="336"/>
      <c r="H339" s="336"/>
      <c r="I339" s="336"/>
      <c r="J339" s="336"/>
      <c r="K339" s="415"/>
      <c r="L339" s="336"/>
      <c r="M339" s="336"/>
      <c r="N339" s="336"/>
      <c r="O339" s="416"/>
      <c r="P339" s="336"/>
      <c r="Q339" s="415"/>
      <c r="R339" s="336"/>
      <c r="S339" s="336"/>
      <c r="T339" s="336"/>
      <c r="U339" s="336"/>
      <c r="V339" s="336"/>
      <c r="W339" s="336"/>
      <c r="X339" s="336"/>
      <c r="Y339" s="336"/>
      <c r="Z339" s="336"/>
      <c r="AA339" s="336"/>
      <c r="AB339" s="336"/>
      <c r="AC339" s="336"/>
      <c r="AD339" s="336"/>
      <c r="AE339"/>
      <c r="AF339" s="336"/>
      <c r="AG339" s="336"/>
      <c r="AH339" s="336"/>
      <c r="AI339" s="336"/>
      <c r="AJ339" s="336"/>
      <c r="AK339" s="336"/>
      <c r="AL339" s="336"/>
      <c r="AM339" s="336"/>
      <c r="AN339" s="336"/>
      <c r="AO339" s="336"/>
      <c r="AP339" s="336"/>
      <c r="AQ339" s="336"/>
      <c r="AR339" s="336"/>
      <c r="AS339" s="336"/>
      <c r="AT339" s="336"/>
    </row>
    <row r="340" spans="1:46" ht="14.45">
      <c r="A340" s="336"/>
      <c r="B340" s="336"/>
      <c r="C340" s="336"/>
      <c r="D340" s="336"/>
      <c r="E340" s="336"/>
      <c r="F340" s="336"/>
      <c r="G340" s="336"/>
      <c r="H340" s="336"/>
      <c r="I340" s="336"/>
      <c r="J340" s="336"/>
      <c r="K340" s="415"/>
      <c r="L340" s="336"/>
      <c r="M340" s="336"/>
      <c r="N340" s="336"/>
      <c r="O340" s="416"/>
      <c r="P340" s="336"/>
      <c r="Q340" s="415"/>
      <c r="R340" s="336"/>
      <c r="S340" s="336"/>
      <c r="T340" s="336"/>
      <c r="U340" s="336"/>
      <c r="V340" s="336"/>
      <c r="W340" s="336"/>
      <c r="X340" s="336"/>
      <c r="Y340" s="336"/>
      <c r="Z340" s="336"/>
      <c r="AA340" s="336"/>
      <c r="AB340" s="336"/>
      <c r="AC340" s="336"/>
      <c r="AD340" s="336"/>
      <c r="AE340"/>
      <c r="AF340" s="336"/>
      <c r="AG340" s="336"/>
      <c r="AH340" s="336"/>
      <c r="AI340" s="336"/>
      <c r="AJ340" s="336"/>
      <c r="AK340" s="336"/>
      <c r="AL340" s="336"/>
      <c r="AM340" s="336"/>
      <c r="AN340" s="336"/>
      <c r="AO340" s="336"/>
      <c r="AP340" s="336"/>
      <c r="AQ340" s="336"/>
      <c r="AR340" s="336"/>
      <c r="AS340" s="336"/>
      <c r="AT340" s="336"/>
    </row>
    <row r="341" spans="1:46" ht="14.45">
      <c r="A341" s="336"/>
      <c r="B341" s="336"/>
      <c r="C341" s="336"/>
      <c r="D341" s="336"/>
      <c r="E341" s="336"/>
      <c r="F341" s="336"/>
      <c r="G341" s="336"/>
      <c r="H341" s="336"/>
      <c r="I341" s="336"/>
      <c r="J341" s="336"/>
      <c r="K341" s="415"/>
      <c r="L341" s="336"/>
      <c r="M341" s="336"/>
      <c r="N341" s="336"/>
      <c r="O341" s="416"/>
      <c r="P341" s="336"/>
      <c r="Q341" s="415"/>
      <c r="R341" s="336"/>
      <c r="S341" s="336"/>
      <c r="T341" s="336"/>
      <c r="U341" s="336"/>
      <c r="V341" s="336"/>
      <c r="W341" s="336"/>
      <c r="X341" s="336"/>
      <c r="Y341" s="336"/>
      <c r="Z341" s="336"/>
      <c r="AA341" s="336"/>
      <c r="AB341" s="336"/>
      <c r="AC341" s="336"/>
      <c r="AD341" s="336"/>
      <c r="AE341"/>
      <c r="AF341" s="336"/>
      <c r="AG341" s="336"/>
      <c r="AH341" s="336"/>
      <c r="AI341" s="336"/>
      <c r="AJ341" s="336"/>
      <c r="AK341" s="336"/>
      <c r="AL341" s="336"/>
      <c r="AM341" s="336"/>
      <c r="AN341" s="336"/>
      <c r="AO341" s="336"/>
      <c r="AP341" s="336"/>
      <c r="AQ341" s="336"/>
      <c r="AR341" s="336"/>
      <c r="AS341" s="336"/>
      <c r="AT341" s="336"/>
    </row>
    <row r="342" spans="1:46" ht="14.45">
      <c r="A342" s="336"/>
      <c r="B342" s="336"/>
      <c r="C342" s="336"/>
      <c r="D342" s="336"/>
      <c r="E342" s="336"/>
      <c r="F342" s="336"/>
      <c r="G342" s="336"/>
      <c r="H342" s="336"/>
      <c r="I342" s="336"/>
      <c r="J342" s="336"/>
      <c r="K342" s="415"/>
      <c r="L342" s="336"/>
      <c r="M342" s="336"/>
      <c r="N342" s="336"/>
      <c r="O342" s="416"/>
      <c r="P342" s="336"/>
      <c r="Q342" s="415"/>
      <c r="R342" s="336"/>
      <c r="S342" s="336"/>
      <c r="T342" s="336"/>
      <c r="U342" s="336"/>
      <c r="V342" s="336"/>
      <c r="W342" s="336"/>
      <c r="X342" s="336"/>
      <c r="Y342" s="336"/>
      <c r="Z342" s="336"/>
      <c r="AA342" s="336"/>
      <c r="AB342" s="336"/>
      <c r="AC342" s="336"/>
      <c r="AD342" s="336"/>
      <c r="AE342"/>
      <c r="AF342" s="336"/>
      <c r="AG342" s="336"/>
      <c r="AH342" s="336"/>
      <c r="AI342" s="336"/>
      <c r="AJ342" s="336"/>
      <c r="AK342" s="336"/>
      <c r="AL342" s="336"/>
      <c r="AM342" s="336"/>
      <c r="AN342" s="336"/>
      <c r="AO342" s="336"/>
      <c r="AP342" s="336"/>
      <c r="AQ342" s="336"/>
      <c r="AR342" s="336"/>
      <c r="AS342" s="336"/>
      <c r="AT342" s="336"/>
    </row>
    <row r="343" spans="1:46" ht="14.45">
      <c r="A343" s="336"/>
      <c r="B343" s="336"/>
      <c r="C343" s="336"/>
      <c r="D343" s="336"/>
      <c r="E343" s="336"/>
      <c r="F343" s="336"/>
      <c r="G343" s="336"/>
      <c r="H343" s="336"/>
      <c r="I343" s="336"/>
      <c r="J343" s="336"/>
      <c r="K343" s="415"/>
      <c r="L343" s="336"/>
      <c r="M343" s="336"/>
      <c r="N343" s="336"/>
      <c r="O343" s="416"/>
      <c r="P343" s="336"/>
      <c r="Q343" s="415"/>
      <c r="R343" s="336"/>
      <c r="S343" s="336"/>
      <c r="T343" s="336"/>
      <c r="U343" s="336"/>
      <c r="V343" s="336"/>
      <c r="W343" s="336"/>
      <c r="X343" s="336"/>
      <c r="Y343" s="336"/>
      <c r="Z343" s="336"/>
      <c r="AA343" s="336"/>
      <c r="AB343" s="336"/>
      <c r="AC343" s="336"/>
      <c r="AD343" s="336"/>
      <c r="AE343"/>
      <c r="AF343" s="336"/>
      <c r="AG343" s="336"/>
      <c r="AH343" s="336"/>
      <c r="AI343" s="336"/>
      <c r="AJ343" s="336"/>
      <c r="AK343" s="336"/>
      <c r="AL343" s="336"/>
      <c r="AM343" s="336"/>
      <c r="AN343" s="336"/>
      <c r="AO343" s="336"/>
      <c r="AP343" s="336"/>
      <c r="AQ343" s="336"/>
      <c r="AR343" s="336"/>
      <c r="AS343" s="336"/>
      <c r="AT343" s="336"/>
    </row>
    <row r="344" spans="1:46" ht="14.45">
      <c r="A344" s="336"/>
      <c r="B344" s="336"/>
      <c r="C344" s="336"/>
      <c r="D344" s="336"/>
      <c r="E344" s="336"/>
      <c r="F344" s="336"/>
      <c r="G344" s="336"/>
      <c r="H344" s="336"/>
      <c r="I344" s="336"/>
      <c r="J344" s="336"/>
      <c r="K344" s="415"/>
      <c r="L344" s="336"/>
      <c r="M344" s="336"/>
      <c r="N344" s="336"/>
      <c r="O344" s="416"/>
      <c r="P344" s="336"/>
      <c r="Q344" s="415"/>
      <c r="R344" s="336"/>
      <c r="S344" s="336"/>
      <c r="T344" s="336"/>
      <c r="U344" s="336"/>
      <c r="V344" s="336"/>
      <c r="W344" s="336"/>
      <c r="X344" s="336"/>
      <c r="Y344" s="336"/>
      <c r="Z344" s="336"/>
      <c r="AA344" s="336"/>
      <c r="AB344" s="336"/>
      <c r="AC344" s="336"/>
      <c r="AD344" s="336"/>
      <c r="AE344"/>
      <c r="AF344" s="336"/>
      <c r="AG344" s="336"/>
      <c r="AH344" s="336"/>
      <c r="AI344" s="336"/>
      <c r="AJ344" s="336"/>
      <c r="AK344" s="336"/>
      <c r="AL344" s="336"/>
      <c r="AM344" s="336"/>
      <c r="AN344" s="336"/>
      <c r="AO344" s="336"/>
      <c r="AP344" s="336"/>
      <c r="AQ344" s="336"/>
      <c r="AR344" s="336"/>
      <c r="AS344" s="336"/>
      <c r="AT344" s="336"/>
    </row>
    <row r="345" spans="1:46" ht="14.45">
      <c r="A345" s="336"/>
      <c r="B345" s="336"/>
      <c r="C345" s="336"/>
      <c r="D345" s="336"/>
      <c r="E345" s="336"/>
      <c r="F345" s="336"/>
      <c r="G345" s="336"/>
      <c r="H345" s="336"/>
      <c r="I345" s="336"/>
      <c r="J345" s="336"/>
      <c r="K345" s="415"/>
      <c r="L345" s="336"/>
      <c r="M345" s="336"/>
      <c r="N345" s="336"/>
      <c r="O345" s="416"/>
      <c r="P345" s="336"/>
      <c r="Q345" s="415"/>
      <c r="R345" s="336"/>
      <c r="S345" s="336"/>
      <c r="T345" s="336"/>
      <c r="U345" s="336"/>
      <c r="V345" s="336"/>
      <c r="W345" s="336"/>
      <c r="X345" s="336"/>
      <c r="Y345" s="336"/>
      <c r="Z345" s="336"/>
      <c r="AA345" s="336"/>
      <c r="AB345" s="336"/>
      <c r="AC345" s="336"/>
      <c r="AD345" s="336"/>
      <c r="AE345"/>
      <c r="AF345" s="336"/>
      <c r="AG345" s="336"/>
      <c r="AH345" s="336"/>
      <c r="AI345" s="336"/>
      <c r="AJ345" s="336"/>
      <c r="AK345" s="336"/>
      <c r="AL345" s="336"/>
      <c r="AM345" s="336"/>
      <c r="AN345" s="336"/>
      <c r="AO345" s="336"/>
      <c r="AP345" s="336"/>
      <c r="AQ345" s="336"/>
      <c r="AR345" s="336"/>
      <c r="AS345" s="336"/>
      <c r="AT345" s="336"/>
    </row>
    <row r="346" spans="1:46" ht="14.45">
      <c r="A346" s="336"/>
      <c r="B346" s="336"/>
      <c r="C346" s="336"/>
      <c r="D346" s="336"/>
      <c r="E346" s="336"/>
      <c r="F346" s="336"/>
      <c r="G346" s="336"/>
      <c r="H346" s="336"/>
      <c r="I346" s="336"/>
      <c r="J346" s="336"/>
      <c r="K346" s="415"/>
      <c r="L346" s="336"/>
      <c r="M346" s="336"/>
      <c r="N346" s="336"/>
      <c r="O346" s="416"/>
      <c r="P346" s="336"/>
      <c r="Q346" s="415"/>
      <c r="R346" s="336"/>
      <c r="S346" s="336"/>
      <c r="T346" s="336"/>
      <c r="U346" s="336"/>
      <c r="V346" s="336"/>
      <c r="W346" s="336"/>
      <c r="X346" s="336"/>
      <c r="Y346" s="336"/>
      <c r="Z346" s="336"/>
      <c r="AA346" s="336"/>
      <c r="AB346" s="336"/>
      <c r="AC346" s="336"/>
      <c r="AD346" s="336"/>
      <c r="AE346"/>
      <c r="AF346" s="336"/>
      <c r="AG346" s="336"/>
      <c r="AH346" s="336"/>
      <c r="AI346" s="336"/>
      <c r="AJ346" s="336"/>
      <c r="AK346" s="336"/>
      <c r="AL346" s="336"/>
      <c r="AM346" s="336"/>
      <c r="AN346" s="336"/>
      <c r="AO346" s="336"/>
      <c r="AP346" s="336"/>
      <c r="AQ346" s="336"/>
      <c r="AR346" s="336"/>
      <c r="AS346" s="336"/>
      <c r="AT346" s="336"/>
    </row>
    <row r="347" spans="1:46" ht="14.45">
      <c r="A347" s="336"/>
      <c r="B347" s="336"/>
      <c r="C347" s="336"/>
      <c r="D347" s="336"/>
      <c r="E347" s="336"/>
      <c r="F347" s="336"/>
      <c r="G347" s="336"/>
      <c r="H347" s="336"/>
      <c r="I347" s="336"/>
      <c r="J347" s="336"/>
      <c r="K347" s="415"/>
      <c r="L347" s="336"/>
      <c r="M347" s="336"/>
      <c r="N347" s="336"/>
      <c r="O347" s="416"/>
      <c r="P347" s="336"/>
      <c r="Q347" s="415"/>
      <c r="R347" s="336"/>
      <c r="S347" s="336"/>
      <c r="T347" s="336"/>
      <c r="U347" s="336"/>
      <c r="V347" s="336"/>
      <c r="W347" s="336"/>
      <c r="X347" s="336"/>
      <c r="Y347" s="336"/>
      <c r="Z347" s="336"/>
      <c r="AA347" s="336"/>
      <c r="AB347" s="336"/>
      <c r="AC347" s="336"/>
      <c r="AD347" s="336"/>
      <c r="AE347"/>
      <c r="AF347" s="336"/>
      <c r="AG347" s="336"/>
      <c r="AH347" s="336"/>
      <c r="AI347" s="336"/>
      <c r="AJ347" s="336"/>
      <c r="AK347" s="336"/>
      <c r="AL347" s="336"/>
      <c r="AM347" s="336"/>
      <c r="AN347" s="336"/>
      <c r="AO347" s="336"/>
      <c r="AP347" s="336"/>
      <c r="AQ347" s="336"/>
      <c r="AR347" s="336"/>
      <c r="AS347" s="336"/>
      <c r="AT347" s="336"/>
    </row>
    <row r="348" spans="1:46" ht="14.45">
      <c r="A348" s="336"/>
      <c r="B348" s="336"/>
      <c r="C348" s="336"/>
      <c r="D348" s="336"/>
      <c r="E348" s="336"/>
      <c r="F348" s="336"/>
      <c r="G348" s="336"/>
      <c r="H348" s="336"/>
      <c r="I348" s="336"/>
      <c r="J348" s="336"/>
      <c r="K348" s="415"/>
      <c r="L348" s="336"/>
      <c r="M348" s="336"/>
      <c r="N348" s="336"/>
      <c r="O348" s="416"/>
      <c r="P348" s="336"/>
      <c r="Q348" s="415"/>
      <c r="R348" s="336"/>
      <c r="S348" s="336"/>
      <c r="T348" s="336"/>
      <c r="U348" s="336"/>
      <c r="V348" s="336"/>
      <c r="W348" s="336"/>
      <c r="X348" s="336"/>
      <c r="Y348" s="336"/>
      <c r="Z348" s="336"/>
      <c r="AA348" s="336"/>
      <c r="AB348" s="336"/>
      <c r="AC348" s="336"/>
      <c r="AD348" s="336"/>
      <c r="AE348"/>
      <c r="AF348" s="336"/>
      <c r="AG348" s="336"/>
      <c r="AH348" s="336"/>
      <c r="AI348" s="336"/>
      <c r="AJ348" s="336"/>
      <c r="AK348" s="336"/>
      <c r="AL348" s="336"/>
      <c r="AM348" s="336"/>
      <c r="AN348" s="336"/>
      <c r="AO348" s="336"/>
      <c r="AP348" s="336"/>
      <c r="AQ348" s="336"/>
      <c r="AR348" s="336"/>
      <c r="AS348" s="336"/>
      <c r="AT348" s="336"/>
    </row>
    <row r="349" spans="1:46" ht="14.45">
      <c r="A349" s="336"/>
      <c r="B349" s="336"/>
      <c r="C349" s="336"/>
      <c r="D349" s="336"/>
      <c r="E349" s="336"/>
      <c r="F349" s="336"/>
      <c r="G349" s="336"/>
      <c r="H349" s="336"/>
      <c r="I349" s="336"/>
      <c r="J349" s="336"/>
      <c r="K349" s="415"/>
      <c r="L349" s="336"/>
      <c r="M349" s="336"/>
      <c r="N349" s="336"/>
      <c r="O349" s="416"/>
      <c r="P349" s="336"/>
      <c r="Q349" s="415"/>
      <c r="R349" s="336"/>
      <c r="S349" s="336"/>
      <c r="T349" s="336"/>
      <c r="U349" s="336"/>
      <c r="V349" s="336"/>
      <c r="W349" s="336"/>
      <c r="X349" s="336"/>
      <c r="Y349" s="336"/>
      <c r="Z349" s="336"/>
      <c r="AA349" s="336"/>
      <c r="AB349" s="336"/>
      <c r="AC349" s="336"/>
      <c r="AD349" s="336"/>
      <c r="AE349"/>
      <c r="AF349" s="336"/>
      <c r="AG349" s="336"/>
      <c r="AH349" s="336"/>
      <c r="AI349" s="336"/>
      <c r="AJ349" s="336"/>
      <c r="AK349" s="336"/>
      <c r="AL349" s="336"/>
      <c r="AM349" s="336"/>
      <c r="AN349" s="336"/>
      <c r="AO349" s="336"/>
      <c r="AP349" s="336"/>
      <c r="AQ349" s="336"/>
      <c r="AR349" s="336"/>
      <c r="AS349" s="336"/>
      <c r="AT349" s="336"/>
    </row>
    <row r="350" spans="1:46" ht="14.45">
      <c r="A350" s="336"/>
      <c r="B350" s="336"/>
      <c r="C350" s="336"/>
      <c r="D350" s="336"/>
      <c r="E350" s="336"/>
      <c r="F350" s="336"/>
      <c r="G350" s="336"/>
      <c r="H350" s="336"/>
      <c r="I350" s="336"/>
      <c r="J350" s="336"/>
      <c r="K350" s="415"/>
      <c r="L350" s="336"/>
      <c r="M350" s="336"/>
      <c r="N350" s="336"/>
      <c r="O350" s="416"/>
      <c r="P350" s="336"/>
      <c r="Q350" s="415"/>
      <c r="R350" s="336"/>
      <c r="S350" s="336"/>
      <c r="T350" s="336"/>
      <c r="U350" s="336"/>
      <c r="V350" s="336"/>
      <c r="W350" s="336"/>
      <c r="X350" s="336"/>
      <c r="Y350" s="336"/>
      <c r="Z350" s="336"/>
      <c r="AA350" s="336"/>
      <c r="AB350" s="336"/>
      <c r="AC350" s="336"/>
      <c r="AD350" s="336"/>
      <c r="AE350"/>
      <c r="AF350" s="336"/>
      <c r="AG350" s="336"/>
      <c r="AH350" s="336"/>
      <c r="AI350" s="336"/>
      <c r="AJ350" s="336"/>
      <c r="AK350" s="336"/>
      <c r="AL350" s="336"/>
      <c r="AM350" s="336"/>
      <c r="AN350" s="336"/>
      <c r="AO350" s="336"/>
      <c r="AP350" s="336"/>
      <c r="AQ350" s="336"/>
      <c r="AR350" s="336"/>
      <c r="AS350" s="336"/>
      <c r="AT350" s="336"/>
    </row>
    <row r="351" spans="1:46" ht="14.45">
      <c r="A351" s="336"/>
      <c r="B351" s="336"/>
      <c r="C351" s="336"/>
      <c r="D351" s="336"/>
      <c r="E351" s="336"/>
      <c r="F351" s="336"/>
      <c r="G351" s="336"/>
      <c r="H351" s="336"/>
      <c r="I351" s="336"/>
      <c r="J351" s="336"/>
      <c r="K351" s="415"/>
      <c r="L351" s="336"/>
      <c r="M351" s="336"/>
      <c r="N351" s="336"/>
      <c r="O351" s="416"/>
      <c r="P351" s="336"/>
      <c r="Q351" s="415"/>
      <c r="R351" s="336"/>
      <c r="S351" s="336"/>
      <c r="T351" s="336"/>
      <c r="U351" s="336"/>
      <c r="V351" s="336"/>
      <c r="W351" s="336"/>
      <c r="X351" s="336"/>
      <c r="Y351" s="336"/>
      <c r="Z351" s="336"/>
      <c r="AA351" s="336"/>
      <c r="AB351" s="336"/>
      <c r="AC351" s="336"/>
      <c r="AD351" s="336"/>
      <c r="AE351"/>
      <c r="AF351" s="336"/>
      <c r="AG351" s="336"/>
      <c r="AH351" s="336"/>
      <c r="AI351" s="336"/>
      <c r="AJ351" s="336"/>
      <c r="AK351" s="336"/>
      <c r="AL351" s="336"/>
      <c r="AM351" s="336"/>
      <c r="AN351" s="336"/>
      <c r="AO351" s="336"/>
      <c r="AP351" s="336"/>
      <c r="AQ351" s="336"/>
      <c r="AR351" s="336"/>
      <c r="AS351" s="336"/>
      <c r="AT351" s="336"/>
    </row>
    <row r="352" spans="1:46" ht="14.45">
      <c r="A352" s="336"/>
      <c r="B352" s="336"/>
      <c r="C352" s="336"/>
      <c r="D352" s="336"/>
      <c r="E352" s="336"/>
      <c r="F352" s="336"/>
      <c r="G352" s="336"/>
      <c r="H352" s="336"/>
      <c r="I352" s="336"/>
      <c r="J352" s="336"/>
      <c r="K352" s="415"/>
      <c r="L352" s="336"/>
      <c r="M352" s="336"/>
      <c r="N352" s="336"/>
      <c r="O352" s="416"/>
      <c r="P352" s="336"/>
      <c r="Q352" s="415"/>
      <c r="R352" s="336"/>
      <c r="S352" s="336"/>
      <c r="T352" s="336"/>
      <c r="U352" s="336"/>
      <c r="V352" s="336"/>
      <c r="W352" s="336"/>
      <c r="X352" s="336"/>
      <c r="Y352" s="336"/>
      <c r="Z352" s="336"/>
      <c r="AA352" s="336"/>
      <c r="AB352" s="336"/>
      <c r="AC352" s="336"/>
      <c r="AD352" s="336"/>
      <c r="AE352"/>
      <c r="AF352" s="336"/>
      <c r="AG352" s="336"/>
      <c r="AH352" s="336"/>
      <c r="AI352" s="336"/>
      <c r="AJ352" s="336"/>
      <c r="AK352" s="336"/>
      <c r="AL352" s="336"/>
      <c r="AM352" s="336"/>
      <c r="AN352" s="336"/>
      <c r="AO352" s="336"/>
      <c r="AP352" s="336"/>
      <c r="AQ352" s="336"/>
      <c r="AR352" s="336"/>
      <c r="AS352" s="336"/>
      <c r="AT352" s="336"/>
    </row>
    <row r="353" spans="1:46" ht="14.45">
      <c r="A353" s="336"/>
      <c r="B353" s="336"/>
      <c r="C353" s="336"/>
      <c r="D353" s="336"/>
      <c r="E353" s="336"/>
      <c r="F353" s="336"/>
      <c r="G353" s="336"/>
      <c r="H353" s="336"/>
      <c r="I353" s="336"/>
      <c r="J353" s="336"/>
      <c r="K353" s="415"/>
      <c r="L353" s="336"/>
      <c r="M353" s="336"/>
      <c r="N353" s="336"/>
      <c r="O353" s="416"/>
      <c r="P353" s="336"/>
      <c r="Q353" s="415"/>
      <c r="R353" s="336"/>
      <c r="S353" s="336"/>
      <c r="T353" s="336"/>
      <c r="U353" s="336"/>
      <c r="V353" s="336"/>
      <c r="W353" s="336"/>
      <c r="X353" s="336"/>
      <c r="Y353" s="336"/>
      <c r="Z353" s="336"/>
      <c r="AA353" s="336"/>
      <c r="AB353" s="336"/>
      <c r="AC353" s="336"/>
      <c r="AD353" s="336"/>
      <c r="AE353"/>
      <c r="AF353" s="336"/>
      <c r="AG353" s="336"/>
      <c r="AH353" s="336"/>
      <c r="AI353" s="336"/>
      <c r="AJ353" s="336"/>
      <c r="AK353" s="336"/>
      <c r="AL353" s="336"/>
      <c r="AM353" s="336"/>
      <c r="AN353" s="336"/>
      <c r="AO353" s="336"/>
      <c r="AP353" s="336"/>
      <c r="AQ353" s="336"/>
      <c r="AR353" s="336"/>
      <c r="AS353" s="336"/>
      <c r="AT353" s="336"/>
    </row>
    <row r="354" spans="1:46" ht="14.45">
      <c r="A354" s="336"/>
      <c r="B354" s="336"/>
      <c r="C354" s="336"/>
      <c r="D354" s="336"/>
      <c r="E354" s="336"/>
      <c r="F354" s="336"/>
      <c r="G354" s="336"/>
      <c r="H354" s="336"/>
      <c r="I354" s="336"/>
      <c r="J354" s="336"/>
      <c r="K354" s="415"/>
      <c r="L354" s="336"/>
      <c r="M354" s="336"/>
      <c r="N354" s="336"/>
      <c r="O354" s="416"/>
      <c r="P354" s="336"/>
      <c r="Q354" s="415"/>
      <c r="R354" s="336"/>
      <c r="S354" s="336"/>
      <c r="T354" s="336"/>
      <c r="U354" s="336"/>
      <c r="V354" s="336"/>
      <c r="W354" s="336"/>
      <c r="X354" s="336"/>
      <c r="Y354" s="336"/>
      <c r="Z354" s="336"/>
      <c r="AA354" s="336"/>
      <c r="AB354" s="336"/>
      <c r="AC354" s="336"/>
      <c r="AD354" s="336"/>
      <c r="AE354"/>
      <c r="AF354" s="336"/>
      <c r="AG354" s="336"/>
      <c r="AH354" s="336"/>
      <c r="AI354" s="336"/>
      <c r="AJ354" s="336"/>
      <c r="AK354" s="336"/>
      <c r="AL354" s="336"/>
      <c r="AM354" s="336"/>
      <c r="AN354" s="336"/>
      <c r="AO354" s="336"/>
      <c r="AP354" s="336"/>
      <c r="AQ354" s="336"/>
      <c r="AR354" s="336"/>
      <c r="AS354" s="336"/>
      <c r="AT354" s="336"/>
    </row>
    <row r="355" spans="1:46" ht="14.45">
      <c r="A355" s="336"/>
      <c r="B355" s="336"/>
      <c r="C355" s="336"/>
      <c r="D355" s="336"/>
      <c r="E355" s="336"/>
      <c r="F355" s="336"/>
      <c r="G355" s="336"/>
      <c r="H355" s="336"/>
      <c r="I355" s="336"/>
      <c r="J355" s="336"/>
      <c r="K355" s="415"/>
      <c r="L355" s="336"/>
      <c r="M355" s="336"/>
      <c r="N355" s="336"/>
      <c r="O355" s="416"/>
      <c r="P355" s="336"/>
      <c r="Q355" s="415"/>
      <c r="R355" s="336"/>
      <c r="S355" s="336"/>
      <c r="T355" s="336"/>
      <c r="U355" s="336"/>
      <c r="V355" s="336"/>
      <c r="W355" s="336"/>
      <c r="X355" s="336"/>
      <c r="Y355" s="336"/>
      <c r="Z355" s="336"/>
      <c r="AA355" s="336"/>
      <c r="AB355" s="336"/>
      <c r="AC355" s="336"/>
      <c r="AD355" s="336"/>
      <c r="AE355"/>
      <c r="AF355" s="336"/>
      <c r="AG355" s="336"/>
      <c r="AH355" s="336"/>
      <c r="AI355" s="336"/>
      <c r="AJ355" s="336"/>
      <c r="AK355" s="336"/>
      <c r="AL355" s="336"/>
      <c r="AM355" s="336"/>
      <c r="AN355" s="336"/>
      <c r="AO355" s="336"/>
      <c r="AP355" s="336"/>
      <c r="AQ355" s="336"/>
      <c r="AR355" s="336"/>
      <c r="AS355" s="336"/>
      <c r="AT355" s="336"/>
    </row>
    <row r="356" spans="1:46" ht="14.45">
      <c r="A356" s="336"/>
      <c r="B356" s="336"/>
      <c r="C356" s="336"/>
      <c r="D356" s="336"/>
      <c r="E356" s="336"/>
      <c r="F356" s="336"/>
      <c r="G356" s="336"/>
      <c r="H356" s="336"/>
      <c r="I356" s="336"/>
      <c r="J356" s="336"/>
      <c r="K356" s="415"/>
      <c r="L356" s="336"/>
      <c r="M356" s="336"/>
      <c r="N356" s="336"/>
      <c r="O356" s="416"/>
      <c r="P356" s="336"/>
      <c r="Q356" s="415"/>
      <c r="R356" s="336"/>
      <c r="S356" s="336"/>
      <c r="T356" s="336"/>
      <c r="U356" s="336"/>
      <c r="V356" s="336"/>
      <c r="W356" s="336"/>
      <c r="X356" s="336"/>
      <c r="Y356" s="336"/>
      <c r="Z356" s="336"/>
      <c r="AA356" s="336"/>
      <c r="AB356" s="336"/>
      <c r="AC356" s="336"/>
      <c r="AD356" s="336"/>
      <c r="AE356"/>
      <c r="AF356" s="336"/>
      <c r="AG356" s="336"/>
      <c r="AH356" s="336"/>
      <c r="AI356" s="336"/>
      <c r="AJ356" s="336"/>
      <c r="AK356" s="336"/>
      <c r="AL356" s="336"/>
      <c r="AM356" s="336"/>
      <c r="AN356" s="336"/>
      <c r="AO356" s="336"/>
      <c r="AP356" s="336"/>
      <c r="AQ356" s="336"/>
      <c r="AR356" s="336"/>
      <c r="AS356" s="336"/>
      <c r="AT356" s="336"/>
    </row>
    <row r="357" spans="1:46" ht="14.45">
      <c r="A357" s="336"/>
      <c r="B357" s="336"/>
      <c r="C357" s="336"/>
      <c r="D357" s="336"/>
      <c r="E357" s="336"/>
      <c r="F357" s="336"/>
      <c r="G357" s="336"/>
      <c r="H357" s="336"/>
      <c r="I357" s="336"/>
      <c r="J357" s="336"/>
      <c r="K357" s="415"/>
      <c r="L357" s="336"/>
      <c r="M357" s="336"/>
      <c r="N357" s="336"/>
      <c r="O357" s="416"/>
      <c r="P357" s="336"/>
      <c r="Q357" s="415"/>
      <c r="R357" s="336"/>
      <c r="S357" s="336"/>
      <c r="T357" s="336"/>
      <c r="U357" s="336"/>
      <c r="V357" s="336"/>
      <c r="W357" s="336"/>
      <c r="X357" s="336"/>
      <c r="Y357" s="336"/>
      <c r="Z357" s="336"/>
      <c r="AA357" s="336"/>
      <c r="AB357" s="336"/>
      <c r="AC357" s="336"/>
      <c r="AD357" s="336"/>
      <c r="AE357"/>
      <c r="AF357" s="336"/>
      <c r="AG357" s="336"/>
      <c r="AH357" s="336"/>
      <c r="AI357" s="336"/>
      <c r="AJ357" s="336"/>
      <c r="AK357" s="336"/>
      <c r="AL357" s="336"/>
      <c r="AM357" s="336"/>
      <c r="AN357" s="336"/>
      <c r="AO357" s="336"/>
      <c r="AP357" s="336"/>
      <c r="AQ357" s="336"/>
      <c r="AR357" s="336"/>
      <c r="AS357" s="336"/>
      <c r="AT357" s="336"/>
    </row>
    <row r="358" spans="1:46" ht="14.45">
      <c r="A358" s="336"/>
      <c r="B358" s="336"/>
      <c r="C358" s="336"/>
      <c r="D358" s="336"/>
      <c r="E358" s="336"/>
      <c r="F358" s="336"/>
      <c r="G358" s="336"/>
      <c r="H358" s="336"/>
      <c r="I358" s="336"/>
      <c r="J358" s="336"/>
      <c r="K358" s="415"/>
      <c r="L358" s="336"/>
      <c r="M358" s="336"/>
      <c r="N358" s="336"/>
      <c r="O358" s="416"/>
      <c r="P358" s="336"/>
      <c r="Q358" s="415"/>
      <c r="R358" s="336"/>
      <c r="S358" s="336"/>
      <c r="T358" s="336"/>
      <c r="U358" s="336"/>
      <c r="V358" s="336"/>
      <c r="W358" s="336"/>
      <c r="X358" s="336"/>
      <c r="Y358" s="336"/>
      <c r="Z358" s="336"/>
      <c r="AA358" s="336"/>
      <c r="AB358" s="336"/>
      <c r="AC358" s="336"/>
      <c r="AD358" s="336"/>
      <c r="AE358"/>
      <c r="AF358" s="336"/>
      <c r="AG358" s="336"/>
      <c r="AH358" s="336"/>
      <c r="AI358" s="336"/>
      <c r="AJ358" s="336"/>
      <c r="AK358" s="336"/>
      <c r="AL358" s="336"/>
      <c r="AM358" s="336"/>
      <c r="AN358" s="336"/>
      <c r="AO358" s="336"/>
      <c r="AP358" s="336"/>
      <c r="AQ358" s="336"/>
      <c r="AR358" s="336"/>
      <c r="AS358" s="336"/>
      <c r="AT358" s="336"/>
    </row>
    <row r="359" spans="1:46" ht="14.45">
      <c r="A359" s="336"/>
      <c r="B359" s="336"/>
      <c r="C359" s="336"/>
      <c r="D359" s="336"/>
      <c r="E359" s="336"/>
      <c r="F359" s="336"/>
      <c r="G359" s="336"/>
      <c r="H359" s="336"/>
      <c r="I359" s="336"/>
      <c r="J359" s="336"/>
      <c r="K359" s="415"/>
      <c r="L359" s="336"/>
      <c r="M359" s="336"/>
      <c r="N359" s="336"/>
      <c r="O359" s="416"/>
      <c r="P359" s="336"/>
      <c r="Q359" s="415"/>
      <c r="R359" s="336"/>
      <c r="S359" s="336"/>
      <c r="T359" s="336"/>
      <c r="U359" s="336"/>
      <c r="V359" s="336"/>
      <c r="W359" s="336"/>
      <c r="X359" s="336"/>
      <c r="Y359" s="336"/>
      <c r="Z359" s="336"/>
      <c r="AA359" s="336"/>
      <c r="AB359" s="336"/>
      <c r="AC359" s="336"/>
      <c r="AD359" s="336"/>
      <c r="AE359"/>
      <c r="AF359" s="336"/>
      <c r="AG359" s="336"/>
      <c r="AH359" s="336"/>
      <c r="AI359" s="336"/>
      <c r="AJ359" s="336"/>
      <c r="AK359" s="336"/>
      <c r="AL359" s="336"/>
      <c r="AM359" s="336"/>
      <c r="AN359" s="336"/>
      <c r="AO359" s="336"/>
      <c r="AP359" s="336"/>
      <c r="AQ359" s="336"/>
      <c r="AR359" s="336"/>
      <c r="AS359" s="336"/>
      <c r="AT359" s="336"/>
    </row>
    <row r="360" spans="1:46" ht="14.45">
      <c r="A360" s="336"/>
      <c r="B360" s="336"/>
      <c r="C360" s="336"/>
      <c r="D360" s="336"/>
      <c r="E360" s="336"/>
      <c r="F360" s="336"/>
      <c r="G360" s="336"/>
      <c r="H360" s="336"/>
      <c r="I360" s="336"/>
      <c r="J360" s="336"/>
      <c r="K360" s="415"/>
      <c r="L360" s="336"/>
      <c r="M360" s="336"/>
      <c r="N360" s="336"/>
      <c r="O360" s="416"/>
      <c r="P360" s="336"/>
      <c r="Q360" s="415"/>
      <c r="R360" s="336"/>
      <c r="S360" s="336"/>
      <c r="T360" s="336"/>
      <c r="U360" s="336"/>
      <c r="V360" s="336"/>
      <c r="W360" s="336"/>
      <c r="X360" s="336"/>
      <c r="Y360" s="336"/>
      <c r="Z360" s="336"/>
      <c r="AA360" s="336"/>
      <c r="AB360" s="336"/>
      <c r="AC360" s="336"/>
      <c r="AD360" s="336"/>
      <c r="AE360"/>
      <c r="AF360" s="336"/>
      <c r="AG360" s="336"/>
      <c r="AH360" s="336"/>
      <c r="AI360" s="336"/>
      <c r="AJ360" s="336"/>
      <c r="AK360" s="336"/>
      <c r="AL360" s="336"/>
      <c r="AM360" s="336"/>
      <c r="AN360" s="336"/>
      <c r="AO360" s="336"/>
      <c r="AP360" s="336"/>
      <c r="AQ360" s="336"/>
      <c r="AR360" s="336"/>
      <c r="AS360" s="336"/>
      <c r="AT360" s="336"/>
    </row>
    <row r="361" spans="1:46" ht="14.45">
      <c r="A361" s="336"/>
      <c r="B361" s="336"/>
      <c r="C361" s="336"/>
      <c r="D361" s="336"/>
      <c r="E361" s="336"/>
      <c r="F361" s="336"/>
      <c r="G361" s="336"/>
      <c r="H361" s="336"/>
      <c r="I361" s="336"/>
      <c r="J361" s="336"/>
      <c r="K361" s="415"/>
      <c r="L361" s="336"/>
      <c r="M361" s="336"/>
      <c r="N361" s="336"/>
      <c r="O361" s="416"/>
      <c r="P361" s="336"/>
      <c r="Q361" s="415"/>
      <c r="R361" s="336"/>
      <c r="S361" s="336"/>
      <c r="T361" s="336"/>
      <c r="U361" s="336"/>
      <c r="V361" s="336"/>
      <c r="W361" s="336"/>
      <c r="X361" s="336"/>
      <c r="Y361" s="336"/>
      <c r="Z361" s="336"/>
      <c r="AA361" s="336"/>
      <c r="AB361" s="336"/>
      <c r="AC361" s="336"/>
      <c r="AD361" s="336"/>
      <c r="AE361"/>
      <c r="AF361" s="336"/>
      <c r="AG361" s="336"/>
      <c r="AH361" s="336"/>
      <c r="AI361" s="336"/>
      <c r="AJ361" s="336"/>
      <c r="AK361" s="336"/>
      <c r="AL361" s="336"/>
      <c r="AM361" s="336"/>
      <c r="AN361" s="336"/>
      <c r="AO361" s="336"/>
      <c r="AP361" s="336"/>
      <c r="AQ361" s="336"/>
      <c r="AR361" s="336"/>
      <c r="AS361" s="336"/>
      <c r="AT361" s="336"/>
    </row>
    <row r="362" spans="1:46" ht="14.45">
      <c r="A362" s="336"/>
      <c r="B362" s="336"/>
      <c r="C362" s="336"/>
      <c r="D362" s="336"/>
      <c r="E362" s="336"/>
      <c r="F362" s="336"/>
      <c r="G362" s="336"/>
      <c r="H362" s="336"/>
      <c r="I362" s="336"/>
      <c r="J362" s="336"/>
      <c r="K362" s="415"/>
      <c r="L362" s="336"/>
      <c r="M362" s="336"/>
      <c r="N362" s="336"/>
      <c r="O362" s="416"/>
      <c r="P362" s="336"/>
      <c r="Q362" s="415"/>
      <c r="R362" s="336"/>
      <c r="S362" s="336"/>
      <c r="T362" s="336"/>
      <c r="U362" s="336"/>
      <c r="V362" s="336"/>
      <c r="W362" s="336"/>
      <c r="X362" s="336"/>
      <c r="Y362" s="336"/>
      <c r="Z362" s="336"/>
      <c r="AA362" s="336"/>
      <c r="AB362" s="336"/>
      <c r="AC362" s="336"/>
      <c r="AD362" s="336"/>
      <c r="AE362"/>
      <c r="AF362" s="336"/>
      <c r="AG362" s="336"/>
      <c r="AH362" s="336"/>
      <c r="AI362" s="336"/>
      <c r="AJ362" s="336"/>
      <c r="AK362" s="336"/>
      <c r="AL362" s="336"/>
      <c r="AM362" s="336"/>
      <c r="AN362" s="336"/>
      <c r="AO362" s="336"/>
      <c r="AP362" s="336"/>
      <c r="AQ362" s="336"/>
      <c r="AR362" s="336"/>
      <c r="AS362" s="336"/>
      <c r="AT362" s="336"/>
    </row>
    <row r="363" spans="1:46" ht="14.45">
      <c r="A363" s="336"/>
      <c r="B363" s="336"/>
      <c r="C363" s="336"/>
      <c r="D363" s="336"/>
      <c r="E363" s="336"/>
      <c r="F363" s="336"/>
      <c r="G363" s="336"/>
      <c r="H363" s="336"/>
      <c r="I363" s="336"/>
      <c r="J363" s="336"/>
      <c r="K363" s="415"/>
      <c r="L363" s="336"/>
      <c r="M363" s="336"/>
      <c r="N363" s="336"/>
      <c r="O363" s="416"/>
      <c r="P363" s="336"/>
      <c r="Q363" s="415"/>
      <c r="R363" s="336"/>
      <c r="S363" s="336"/>
      <c r="T363" s="336"/>
      <c r="U363" s="336"/>
      <c r="V363" s="336"/>
      <c r="W363" s="336"/>
      <c r="X363" s="336"/>
      <c r="Y363" s="336"/>
      <c r="Z363" s="336"/>
      <c r="AA363" s="336"/>
      <c r="AB363" s="336"/>
      <c r="AC363" s="336"/>
      <c r="AD363" s="336"/>
      <c r="AE363"/>
      <c r="AF363" s="336"/>
      <c r="AG363" s="336"/>
      <c r="AH363" s="336"/>
      <c r="AI363" s="336"/>
      <c r="AJ363" s="336"/>
      <c r="AK363" s="336"/>
      <c r="AL363" s="336"/>
      <c r="AM363" s="336"/>
      <c r="AN363" s="336"/>
      <c r="AO363" s="336"/>
      <c r="AP363" s="336"/>
      <c r="AQ363" s="336"/>
      <c r="AR363" s="336"/>
      <c r="AS363" s="336"/>
      <c r="AT363" s="336"/>
    </row>
    <row r="364" spans="1:46" ht="14.45">
      <c r="A364" s="336"/>
      <c r="B364" s="336"/>
      <c r="C364" s="336"/>
      <c r="D364" s="336"/>
      <c r="E364" s="336"/>
      <c r="F364" s="336"/>
      <c r="G364" s="336"/>
      <c r="H364" s="336"/>
      <c r="I364" s="336"/>
      <c r="J364" s="336"/>
      <c r="K364" s="415"/>
      <c r="L364" s="336"/>
      <c r="M364" s="336"/>
      <c r="N364" s="336"/>
      <c r="O364" s="416"/>
      <c r="P364" s="336"/>
      <c r="Q364" s="415"/>
      <c r="R364" s="336"/>
      <c r="S364" s="336"/>
      <c r="T364" s="336"/>
      <c r="U364" s="336"/>
      <c r="V364" s="336"/>
      <c r="W364" s="336"/>
      <c r="X364" s="336"/>
      <c r="Y364" s="336"/>
      <c r="Z364" s="336"/>
      <c r="AA364" s="336"/>
      <c r="AB364" s="336"/>
      <c r="AC364" s="336"/>
      <c r="AD364" s="336"/>
      <c r="AE364"/>
      <c r="AF364" s="336"/>
      <c r="AG364" s="336"/>
      <c r="AH364" s="336"/>
      <c r="AI364" s="336"/>
      <c r="AJ364" s="336"/>
      <c r="AK364" s="336"/>
      <c r="AL364" s="336"/>
      <c r="AM364" s="336"/>
      <c r="AN364" s="336"/>
      <c r="AO364" s="336"/>
      <c r="AP364" s="336"/>
      <c r="AQ364" s="336"/>
      <c r="AR364" s="336"/>
      <c r="AS364" s="336"/>
      <c r="AT364" s="336"/>
    </row>
    <row r="365" spans="1:46" ht="14.45">
      <c r="A365" s="336"/>
      <c r="B365" s="336"/>
      <c r="C365" s="336"/>
      <c r="D365" s="336"/>
      <c r="E365" s="336"/>
      <c r="F365" s="336"/>
      <c r="G365" s="336"/>
      <c r="H365" s="336"/>
      <c r="I365" s="336"/>
      <c r="J365" s="336"/>
      <c r="K365" s="415"/>
      <c r="L365" s="336"/>
      <c r="M365" s="336"/>
      <c r="N365" s="336"/>
      <c r="O365" s="416"/>
      <c r="P365" s="336"/>
      <c r="Q365" s="415"/>
      <c r="R365" s="336"/>
      <c r="S365" s="336"/>
      <c r="T365" s="336"/>
      <c r="U365" s="336"/>
      <c r="V365" s="336"/>
      <c r="W365" s="336"/>
      <c r="X365" s="336"/>
      <c r="Y365" s="336"/>
      <c r="Z365" s="336"/>
      <c r="AA365" s="336"/>
      <c r="AB365" s="336"/>
      <c r="AC365" s="336"/>
      <c r="AD365" s="336"/>
      <c r="AE365"/>
      <c r="AF365" s="336"/>
      <c r="AG365" s="336"/>
      <c r="AH365" s="336"/>
      <c r="AI365" s="336"/>
      <c r="AJ365" s="336"/>
      <c r="AK365" s="336"/>
      <c r="AL365" s="336"/>
      <c r="AM365" s="336"/>
      <c r="AN365" s="336"/>
      <c r="AO365" s="336"/>
      <c r="AP365" s="336"/>
      <c r="AQ365" s="336"/>
      <c r="AR365" s="336"/>
      <c r="AS365" s="336"/>
      <c r="AT365" s="336"/>
    </row>
    <row r="366" spans="1:46" ht="14.45">
      <c r="A366" s="336"/>
      <c r="B366" s="336"/>
      <c r="C366" s="336"/>
      <c r="D366" s="336"/>
      <c r="E366" s="336"/>
      <c r="F366" s="336"/>
      <c r="G366" s="336"/>
      <c r="H366" s="336"/>
      <c r="I366" s="336"/>
      <c r="J366" s="336"/>
      <c r="K366" s="415"/>
      <c r="L366" s="336"/>
      <c r="M366" s="336"/>
      <c r="N366" s="336"/>
      <c r="O366" s="416"/>
      <c r="P366" s="336"/>
      <c r="Q366" s="415"/>
      <c r="R366" s="336"/>
      <c r="S366" s="336"/>
      <c r="T366" s="336"/>
      <c r="U366" s="336"/>
      <c r="V366" s="336"/>
      <c r="W366" s="336"/>
      <c r="X366" s="336"/>
      <c r="Y366" s="336"/>
      <c r="Z366" s="336"/>
      <c r="AA366" s="336"/>
      <c r="AB366" s="336"/>
      <c r="AC366" s="336"/>
      <c r="AD366" s="336"/>
      <c r="AE366"/>
      <c r="AF366" s="336"/>
      <c r="AG366" s="336"/>
      <c r="AH366" s="336"/>
      <c r="AI366" s="336"/>
      <c r="AJ366" s="336"/>
      <c r="AK366" s="336"/>
      <c r="AL366" s="336"/>
      <c r="AM366" s="336"/>
      <c r="AN366" s="336"/>
      <c r="AO366" s="336"/>
      <c r="AP366" s="336"/>
      <c r="AQ366" s="336"/>
      <c r="AR366" s="336"/>
      <c r="AS366" s="336"/>
      <c r="AT366" s="336"/>
    </row>
    <row r="367" spans="1:46" ht="14.45">
      <c r="A367" s="336"/>
      <c r="B367" s="336"/>
      <c r="C367" s="336"/>
      <c r="D367" s="336"/>
      <c r="E367" s="336"/>
      <c r="F367" s="336"/>
      <c r="G367" s="336"/>
      <c r="H367" s="336"/>
      <c r="I367" s="336"/>
      <c r="J367" s="336"/>
      <c r="K367" s="415"/>
      <c r="L367" s="336"/>
      <c r="M367" s="336"/>
      <c r="N367" s="336"/>
      <c r="O367" s="416"/>
      <c r="P367" s="336"/>
      <c r="Q367" s="415"/>
      <c r="R367" s="336"/>
      <c r="S367" s="336"/>
      <c r="T367" s="336"/>
      <c r="U367" s="336"/>
      <c r="V367" s="336"/>
      <c r="W367" s="336"/>
      <c r="X367" s="336"/>
      <c r="Y367" s="336"/>
      <c r="Z367" s="336"/>
      <c r="AA367" s="336"/>
      <c r="AB367" s="336"/>
      <c r="AC367" s="336"/>
      <c r="AD367" s="336"/>
      <c r="AE367"/>
      <c r="AF367" s="336"/>
      <c r="AG367" s="336"/>
      <c r="AH367" s="336"/>
      <c r="AI367" s="336"/>
      <c r="AJ367" s="336"/>
      <c r="AK367" s="336"/>
      <c r="AL367" s="336"/>
      <c r="AM367" s="336"/>
      <c r="AN367" s="336"/>
      <c r="AO367" s="336"/>
      <c r="AP367" s="336"/>
      <c r="AQ367" s="336"/>
      <c r="AR367" s="336"/>
      <c r="AS367" s="336"/>
      <c r="AT367" s="336"/>
    </row>
    <row r="368" spans="1:46" ht="14.45">
      <c r="A368" s="336"/>
      <c r="B368" s="336"/>
      <c r="C368" s="336"/>
      <c r="D368" s="336"/>
      <c r="E368" s="336"/>
      <c r="F368" s="336"/>
      <c r="G368" s="336"/>
      <c r="H368" s="336"/>
      <c r="I368" s="336"/>
      <c r="J368" s="336"/>
      <c r="K368" s="415"/>
      <c r="L368" s="336"/>
      <c r="M368" s="336"/>
      <c r="N368" s="336"/>
      <c r="O368" s="416"/>
      <c r="P368" s="336"/>
      <c r="Q368" s="415"/>
      <c r="R368" s="336"/>
      <c r="S368" s="336"/>
      <c r="T368" s="336"/>
      <c r="U368" s="336"/>
      <c r="V368" s="336"/>
      <c r="W368" s="336"/>
      <c r="X368" s="336"/>
      <c r="Y368" s="336"/>
      <c r="Z368" s="336"/>
      <c r="AA368" s="336"/>
      <c r="AB368" s="336"/>
      <c r="AC368" s="336"/>
      <c r="AD368" s="336"/>
      <c r="AE368"/>
      <c r="AF368" s="336"/>
      <c r="AG368" s="336"/>
      <c r="AH368" s="336"/>
      <c r="AI368" s="336"/>
      <c r="AJ368" s="336"/>
      <c r="AK368" s="336"/>
      <c r="AL368" s="336"/>
      <c r="AM368" s="336"/>
      <c r="AN368" s="336"/>
      <c r="AO368" s="336"/>
      <c r="AP368" s="336"/>
      <c r="AQ368" s="336"/>
      <c r="AR368" s="336"/>
      <c r="AS368" s="336"/>
      <c r="AT368" s="336"/>
    </row>
    <row r="369" spans="1:46" ht="14.45">
      <c r="A369" s="336"/>
      <c r="B369" s="336"/>
      <c r="C369" s="336"/>
      <c r="D369" s="336"/>
      <c r="E369" s="336"/>
      <c r="F369" s="336"/>
      <c r="G369" s="336"/>
      <c r="H369" s="336"/>
      <c r="I369" s="336"/>
      <c r="J369" s="336"/>
      <c r="K369" s="415"/>
      <c r="L369" s="336"/>
      <c r="M369" s="336"/>
      <c r="N369" s="336"/>
      <c r="O369" s="416"/>
      <c r="P369" s="336"/>
      <c r="Q369" s="415"/>
      <c r="R369" s="336"/>
      <c r="S369" s="336"/>
      <c r="T369" s="336"/>
      <c r="U369" s="336"/>
      <c r="V369" s="336"/>
      <c r="W369" s="336"/>
      <c r="X369" s="336"/>
      <c r="Y369" s="336"/>
      <c r="Z369" s="336"/>
      <c r="AA369" s="336"/>
      <c r="AB369" s="336"/>
      <c r="AC369" s="336"/>
      <c r="AD369" s="336"/>
      <c r="AE369"/>
      <c r="AF369" s="336"/>
      <c r="AG369" s="336"/>
      <c r="AH369" s="336"/>
      <c r="AI369" s="336"/>
      <c r="AJ369" s="336"/>
      <c r="AK369" s="336"/>
      <c r="AL369" s="336"/>
      <c r="AM369" s="336"/>
      <c r="AN369" s="336"/>
      <c r="AO369" s="336"/>
      <c r="AP369" s="336"/>
      <c r="AQ369" s="336"/>
      <c r="AR369" s="336"/>
      <c r="AS369" s="336"/>
      <c r="AT369" s="336"/>
    </row>
    <row r="370" spans="1:46" ht="14.45">
      <c r="A370" s="336"/>
      <c r="B370" s="336"/>
      <c r="C370" s="336"/>
      <c r="D370" s="336"/>
      <c r="E370" s="336"/>
      <c r="F370" s="336"/>
      <c r="G370" s="336"/>
      <c r="H370" s="336"/>
      <c r="I370" s="336"/>
      <c r="J370" s="336"/>
      <c r="K370" s="415"/>
      <c r="L370" s="336"/>
      <c r="M370" s="336"/>
      <c r="N370" s="336"/>
      <c r="O370" s="416"/>
      <c r="P370" s="336"/>
      <c r="Q370" s="415"/>
      <c r="R370" s="336"/>
      <c r="S370" s="336"/>
      <c r="T370" s="336"/>
      <c r="U370" s="336"/>
      <c r="V370" s="336"/>
      <c r="W370" s="336"/>
      <c r="X370" s="336"/>
      <c r="Y370" s="336"/>
      <c r="Z370" s="336"/>
      <c r="AA370" s="336"/>
      <c r="AB370" s="336"/>
      <c r="AC370" s="336"/>
      <c r="AD370" s="336"/>
      <c r="AE370"/>
      <c r="AF370" s="336"/>
      <c r="AG370" s="336"/>
      <c r="AH370" s="336"/>
      <c r="AI370" s="336"/>
      <c r="AJ370" s="336"/>
      <c r="AK370" s="336"/>
      <c r="AL370" s="336"/>
      <c r="AM370" s="336"/>
      <c r="AN370" s="336"/>
      <c r="AO370" s="336"/>
      <c r="AP370" s="336"/>
      <c r="AQ370" s="336"/>
      <c r="AR370" s="336"/>
      <c r="AS370" s="336"/>
      <c r="AT370" s="336"/>
    </row>
    <row r="371" spans="1:46" ht="14.45">
      <c r="A371" s="336"/>
      <c r="B371" s="336"/>
      <c r="C371" s="336"/>
      <c r="D371" s="336"/>
      <c r="E371" s="336"/>
      <c r="F371" s="336"/>
      <c r="G371" s="336"/>
      <c r="H371" s="336"/>
      <c r="I371" s="336"/>
      <c r="J371" s="336"/>
      <c r="K371" s="415"/>
      <c r="L371" s="336"/>
      <c r="M371" s="336"/>
      <c r="N371" s="336"/>
      <c r="O371" s="416"/>
      <c r="P371" s="336"/>
      <c r="Q371" s="415"/>
      <c r="R371" s="336"/>
      <c r="S371" s="336"/>
      <c r="T371" s="336"/>
      <c r="U371" s="336"/>
      <c r="V371" s="336"/>
      <c r="W371" s="336"/>
      <c r="X371" s="336"/>
      <c r="Y371" s="336"/>
      <c r="Z371" s="336"/>
      <c r="AA371" s="336"/>
      <c r="AB371" s="336"/>
      <c r="AC371" s="336"/>
      <c r="AD371" s="336"/>
      <c r="AE371"/>
      <c r="AF371" s="336"/>
      <c r="AG371" s="336"/>
      <c r="AH371" s="336"/>
      <c r="AI371" s="336"/>
      <c r="AJ371" s="336"/>
      <c r="AK371" s="336"/>
      <c r="AL371" s="336"/>
      <c r="AM371" s="336"/>
      <c r="AN371" s="336"/>
      <c r="AO371" s="336"/>
      <c r="AP371" s="336"/>
      <c r="AQ371" s="336"/>
      <c r="AR371" s="336"/>
      <c r="AS371" s="336"/>
      <c r="AT371" s="336"/>
    </row>
    <row r="372" spans="1:46" ht="14.45">
      <c r="A372" s="336"/>
      <c r="B372" s="336"/>
      <c r="C372" s="336"/>
      <c r="D372" s="336"/>
      <c r="E372" s="336"/>
      <c r="F372" s="336"/>
      <c r="G372" s="336"/>
      <c r="H372" s="336"/>
      <c r="I372" s="336"/>
      <c r="J372" s="336"/>
      <c r="K372" s="415"/>
      <c r="L372" s="336"/>
      <c r="M372" s="336"/>
      <c r="N372" s="336"/>
      <c r="O372" s="416"/>
      <c r="P372" s="336"/>
      <c r="Q372" s="415"/>
      <c r="R372" s="336"/>
      <c r="S372" s="336"/>
      <c r="T372" s="336"/>
      <c r="U372" s="336"/>
      <c r="V372" s="336"/>
      <c r="W372" s="336"/>
      <c r="X372" s="336"/>
      <c r="Y372" s="336"/>
      <c r="Z372" s="336"/>
      <c r="AA372" s="336"/>
      <c r="AB372" s="336"/>
      <c r="AC372" s="336"/>
      <c r="AD372" s="336"/>
      <c r="AE372"/>
      <c r="AF372" s="336"/>
      <c r="AG372" s="336"/>
      <c r="AH372" s="336"/>
      <c r="AI372" s="336"/>
      <c r="AJ372" s="336"/>
      <c r="AK372" s="336"/>
      <c r="AL372" s="336"/>
      <c r="AM372" s="336"/>
      <c r="AN372" s="336"/>
      <c r="AO372" s="336"/>
      <c r="AP372" s="336"/>
      <c r="AQ372" s="336"/>
      <c r="AR372" s="336"/>
      <c r="AS372" s="336"/>
      <c r="AT372" s="336"/>
    </row>
    <row r="373" spans="1:46" ht="14.45">
      <c r="A373" s="336"/>
      <c r="B373" s="336"/>
      <c r="C373" s="336"/>
      <c r="D373" s="336"/>
      <c r="E373" s="336"/>
      <c r="F373" s="336"/>
      <c r="G373" s="336"/>
      <c r="H373" s="336"/>
      <c r="I373" s="336"/>
      <c r="J373" s="336"/>
      <c r="K373" s="415"/>
      <c r="L373" s="336"/>
      <c r="M373" s="336"/>
      <c r="N373" s="336"/>
      <c r="O373" s="416"/>
      <c r="P373" s="336"/>
      <c r="Q373" s="415"/>
      <c r="R373" s="336"/>
      <c r="S373" s="336"/>
      <c r="T373" s="336"/>
      <c r="U373" s="336"/>
      <c r="V373" s="336"/>
      <c r="W373" s="336"/>
      <c r="X373" s="336"/>
      <c r="Y373" s="336"/>
      <c r="Z373" s="336"/>
      <c r="AA373" s="336"/>
      <c r="AB373" s="336"/>
      <c r="AC373" s="336"/>
      <c r="AD373" s="336"/>
      <c r="AE373"/>
      <c r="AF373" s="336"/>
      <c r="AG373" s="336"/>
      <c r="AH373" s="336"/>
      <c r="AI373" s="336"/>
      <c r="AJ373" s="336"/>
      <c r="AK373" s="336"/>
      <c r="AL373" s="336"/>
      <c r="AM373" s="336"/>
      <c r="AN373" s="336"/>
      <c r="AO373" s="336"/>
      <c r="AP373" s="336"/>
      <c r="AQ373" s="336"/>
      <c r="AR373" s="336"/>
      <c r="AS373" s="336"/>
      <c r="AT373" s="336"/>
    </row>
    <row r="374" spans="1:46" ht="14.45">
      <c r="A374" s="336"/>
      <c r="B374" s="336"/>
      <c r="C374" s="336"/>
      <c r="D374" s="336"/>
      <c r="E374" s="336"/>
      <c r="F374" s="336"/>
      <c r="G374" s="336"/>
      <c r="H374" s="336"/>
      <c r="I374" s="336"/>
      <c r="J374" s="336"/>
      <c r="K374" s="415"/>
      <c r="L374" s="336"/>
      <c r="M374" s="336"/>
      <c r="N374" s="336"/>
      <c r="O374" s="416"/>
      <c r="P374" s="336"/>
      <c r="Q374" s="415"/>
      <c r="R374" s="336"/>
      <c r="S374" s="336"/>
      <c r="T374" s="336"/>
      <c r="U374" s="336"/>
      <c r="V374" s="336"/>
      <c r="W374" s="336"/>
      <c r="X374" s="336"/>
      <c r="Y374" s="336"/>
      <c r="Z374" s="336"/>
      <c r="AA374" s="336"/>
      <c r="AB374" s="336"/>
      <c r="AC374" s="336"/>
      <c r="AD374" s="336"/>
      <c r="AE374"/>
      <c r="AF374" s="336"/>
      <c r="AG374" s="336"/>
      <c r="AH374" s="336"/>
      <c r="AI374" s="336"/>
      <c r="AJ374" s="336"/>
      <c r="AK374" s="336"/>
      <c r="AL374" s="336"/>
      <c r="AM374" s="336"/>
      <c r="AN374" s="336"/>
      <c r="AO374" s="336"/>
      <c r="AP374" s="336"/>
      <c r="AQ374" s="336"/>
      <c r="AR374" s="336"/>
      <c r="AS374" s="336"/>
      <c r="AT374" s="336"/>
    </row>
    <row r="375" spans="1:46" ht="14.45">
      <c r="A375" s="336"/>
      <c r="B375" s="336"/>
      <c r="C375" s="336"/>
      <c r="D375" s="336"/>
      <c r="E375" s="336"/>
      <c r="F375" s="336"/>
      <c r="G375" s="336"/>
      <c r="H375" s="336"/>
      <c r="I375" s="336"/>
      <c r="J375" s="336"/>
      <c r="K375" s="415"/>
      <c r="L375" s="336"/>
      <c r="M375" s="336"/>
      <c r="N375" s="336"/>
      <c r="O375" s="416"/>
      <c r="P375" s="336"/>
      <c r="Q375" s="415"/>
      <c r="R375" s="336"/>
      <c r="S375" s="336"/>
      <c r="T375" s="336"/>
      <c r="U375" s="336"/>
      <c r="V375" s="336"/>
      <c r="W375" s="336"/>
      <c r="X375" s="336"/>
      <c r="Y375" s="336"/>
      <c r="Z375" s="336"/>
      <c r="AA375" s="336"/>
      <c r="AB375" s="336"/>
      <c r="AC375" s="336"/>
      <c r="AD375" s="336"/>
      <c r="AE375"/>
      <c r="AF375" s="336"/>
      <c r="AG375" s="336"/>
      <c r="AH375" s="336"/>
      <c r="AI375" s="336"/>
      <c r="AJ375" s="336"/>
      <c r="AK375" s="336"/>
      <c r="AL375" s="336"/>
      <c r="AM375" s="336"/>
      <c r="AN375" s="336"/>
      <c r="AO375" s="336"/>
      <c r="AP375" s="336"/>
      <c r="AQ375" s="336"/>
      <c r="AR375" s="336"/>
      <c r="AS375" s="336"/>
      <c r="AT375" s="336"/>
    </row>
    <row r="376" spans="1:46" ht="14.45">
      <c r="A376" s="336"/>
      <c r="B376" s="336"/>
      <c r="C376" s="336"/>
      <c r="D376" s="336"/>
      <c r="E376" s="336"/>
      <c r="F376" s="336"/>
      <c r="G376" s="336"/>
      <c r="H376" s="336"/>
      <c r="I376" s="336"/>
      <c r="J376" s="336"/>
      <c r="K376" s="415"/>
      <c r="L376" s="336"/>
      <c r="M376" s="336"/>
      <c r="N376" s="336"/>
      <c r="O376" s="416"/>
      <c r="P376" s="336"/>
      <c r="Q376" s="415"/>
      <c r="R376" s="336"/>
      <c r="S376" s="336"/>
      <c r="T376" s="336"/>
      <c r="U376" s="336"/>
      <c r="V376" s="336"/>
      <c r="W376" s="336"/>
      <c r="X376" s="336"/>
      <c r="Y376" s="336"/>
      <c r="Z376" s="336"/>
      <c r="AA376" s="336"/>
      <c r="AB376" s="336"/>
      <c r="AC376" s="336"/>
      <c r="AD376" s="336"/>
      <c r="AE376"/>
      <c r="AF376" s="336"/>
      <c r="AG376" s="336"/>
      <c r="AH376" s="336"/>
      <c r="AI376" s="336"/>
      <c r="AJ376" s="336"/>
      <c r="AK376" s="336"/>
      <c r="AL376" s="336"/>
      <c r="AM376" s="336"/>
      <c r="AN376" s="336"/>
      <c r="AO376" s="336"/>
      <c r="AP376" s="336"/>
      <c r="AQ376" s="336"/>
      <c r="AR376" s="336"/>
      <c r="AS376" s="336"/>
      <c r="AT376" s="336"/>
    </row>
    <row r="377" spans="1:46" ht="14.45">
      <c r="A377" s="336"/>
      <c r="B377" s="336"/>
      <c r="C377" s="336"/>
      <c r="D377" s="336"/>
      <c r="E377" s="336"/>
      <c r="F377" s="336"/>
      <c r="G377" s="336"/>
      <c r="H377" s="336"/>
      <c r="I377" s="336"/>
      <c r="J377" s="336"/>
      <c r="K377" s="415"/>
      <c r="L377" s="336"/>
      <c r="M377" s="336"/>
      <c r="N377" s="336"/>
      <c r="O377" s="416"/>
      <c r="P377" s="336"/>
      <c r="Q377" s="415"/>
      <c r="R377" s="336"/>
      <c r="S377" s="336"/>
      <c r="T377" s="336"/>
      <c r="U377" s="336"/>
      <c r="V377" s="336"/>
      <c r="W377" s="336"/>
      <c r="X377" s="336"/>
      <c r="Y377" s="336"/>
      <c r="Z377" s="336"/>
      <c r="AA377" s="336"/>
      <c r="AB377" s="336"/>
      <c r="AC377" s="336"/>
      <c r="AD377" s="336"/>
      <c r="AE377"/>
      <c r="AF377" s="336"/>
      <c r="AG377" s="336"/>
      <c r="AH377" s="336"/>
      <c r="AI377" s="336"/>
      <c r="AJ377" s="336"/>
      <c r="AK377" s="336"/>
      <c r="AL377" s="336"/>
      <c r="AM377" s="336"/>
      <c r="AN377" s="336"/>
      <c r="AO377" s="336"/>
      <c r="AP377" s="336"/>
      <c r="AQ377" s="336"/>
      <c r="AR377" s="336"/>
      <c r="AS377" s="336"/>
      <c r="AT377" s="336"/>
    </row>
    <row r="378" spans="1:46" ht="14.45">
      <c r="A378" s="336"/>
      <c r="B378" s="336"/>
      <c r="C378" s="336"/>
      <c r="D378" s="336"/>
      <c r="E378" s="336"/>
      <c r="F378" s="336"/>
      <c r="G378" s="336"/>
      <c r="H378" s="336"/>
      <c r="I378" s="336"/>
      <c r="J378" s="336"/>
      <c r="K378" s="415"/>
      <c r="L378" s="336"/>
      <c r="M378" s="336"/>
      <c r="N378" s="336"/>
      <c r="O378" s="416"/>
      <c r="P378" s="336"/>
      <c r="Q378" s="415"/>
      <c r="R378" s="336"/>
      <c r="S378" s="336"/>
      <c r="T378" s="336"/>
      <c r="U378" s="336"/>
      <c r="V378" s="336"/>
      <c r="W378" s="336"/>
      <c r="X378" s="336"/>
      <c r="Y378" s="336"/>
      <c r="Z378" s="336"/>
      <c r="AA378" s="336"/>
      <c r="AB378" s="336"/>
      <c r="AC378" s="336"/>
      <c r="AD378" s="336"/>
      <c r="AE378"/>
      <c r="AF378" s="336"/>
      <c r="AG378" s="336"/>
      <c r="AH378" s="336"/>
      <c r="AI378" s="336"/>
      <c r="AJ378" s="336"/>
      <c r="AK378" s="336"/>
      <c r="AL378" s="336"/>
      <c r="AM378" s="336"/>
      <c r="AN378" s="336"/>
      <c r="AO378" s="336"/>
      <c r="AP378" s="336"/>
      <c r="AQ378" s="336"/>
      <c r="AR378" s="336"/>
      <c r="AS378" s="336"/>
      <c r="AT378" s="336"/>
    </row>
    <row r="379" spans="1:46" ht="14.45">
      <c r="A379" s="336"/>
      <c r="B379" s="336"/>
      <c r="C379" s="336"/>
      <c r="D379" s="336"/>
      <c r="E379" s="336"/>
      <c r="F379" s="336"/>
      <c r="G379" s="336"/>
      <c r="H379" s="336"/>
      <c r="I379" s="336"/>
      <c r="J379" s="336"/>
      <c r="K379" s="415"/>
      <c r="L379" s="336"/>
      <c r="M379" s="336"/>
      <c r="N379" s="336"/>
      <c r="O379" s="416"/>
      <c r="P379" s="336"/>
      <c r="Q379" s="415"/>
      <c r="R379" s="336"/>
      <c r="S379" s="336"/>
      <c r="T379" s="336"/>
      <c r="U379" s="336"/>
      <c r="V379" s="336"/>
      <c r="W379" s="336"/>
      <c r="X379" s="336"/>
      <c r="Y379" s="336"/>
      <c r="Z379" s="336"/>
      <c r="AA379" s="336"/>
      <c r="AB379" s="336"/>
      <c r="AC379" s="336"/>
      <c r="AD379" s="336"/>
      <c r="AE379"/>
      <c r="AF379" s="336"/>
      <c r="AG379" s="336"/>
      <c r="AH379" s="336"/>
      <c r="AI379" s="336"/>
      <c r="AJ379" s="336"/>
      <c r="AK379" s="336"/>
      <c r="AL379" s="336"/>
      <c r="AM379" s="336"/>
      <c r="AN379" s="336"/>
      <c r="AO379" s="336"/>
      <c r="AP379" s="336"/>
      <c r="AQ379" s="336"/>
      <c r="AR379" s="336"/>
      <c r="AS379" s="336"/>
      <c r="AT379" s="336"/>
    </row>
    <row r="380" spans="1:46" ht="14.45">
      <c r="A380" s="336"/>
      <c r="B380" s="336"/>
      <c r="C380" s="336"/>
      <c r="D380" s="336"/>
      <c r="E380" s="336"/>
      <c r="F380" s="336"/>
      <c r="G380" s="336"/>
      <c r="H380" s="336"/>
      <c r="I380" s="336"/>
      <c r="J380" s="336"/>
      <c r="K380" s="415"/>
      <c r="L380" s="336"/>
      <c r="M380" s="336"/>
      <c r="N380" s="336"/>
      <c r="O380" s="416"/>
      <c r="P380" s="336"/>
      <c r="Q380" s="415"/>
      <c r="R380" s="336"/>
      <c r="S380" s="336"/>
      <c r="T380" s="336"/>
      <c r="U380" s="336"/>
      <c r="V380" s="336"/>
      <c r="W380" s="336"/>
      <c r="X380" s="336"/>
      <c r="Y380" s="336"/>
      <c r="Z380" s="336"/>
      <c r="AA380" s="336"/>
      <c r="AB380" s="336"/>
      <c r="AC380" s="336"/>
      <c r="AD380" s="336"/>
      <c r="AE380"/>
      <c r="AF380" s="336"/>
      <c r="AG380" s="336"/>
      <c r="AH380" s="336"/>
      <c r="AI380" s="336"/>
      <c r="AJ380" s="336"/>
      <c r="AK380" s="336"/>
      <c r="AL380" s="336"/>
      <c r="AM380" s="336"/>
      <c r="AN380" s="336"/>
      <c r="AO380" s="336"/>
      <c r="AP380" s="336"/>
      <c r="AQ380" s="336"/>
      <c r="AR380" s="336"/>
      <c r="AS380" s="336"/>
      <c r="AT380" s="336"/>
    </row>
    <row r="381" spans="1:46" ht="14.45">
      <c r="A381" s="336"/>
      <c r="B381" s="336"/>
      <c r="C381" s="336"/>
      <c r="D381" s="336"/>
      <c r="E381" s="336"/>
      <c r="F381" s="336"/>
      <c r="G381" s="336"/>
      <c r="H381" s="336"/>
      <c r="I381" s="336"/>
      <c r="J381" s="336"/>
      <c r="K381" s="415"/>
      <c r="L381" s="336"/>
      <c r="M381" s="336"/>
      <c r="N381" s="336"/>
      <c r="O381" s="416"/>
      <c r="P381" s="336"/>
      <c r="Q381" s="415"/>
      <c r="R381" s="336"/>
      <c r="S381" s="336"/>
      <c r="T381" s="336"/>
      <c r="U381" s="336"/>
      <c r="V381" s="336"/>
      <c r="W381" s="336"/>
      <c r="X381" s="336"/>
      <c r="Y381" s="336"/>
      <c r="Z381" s="336"/>
      <c r="AA381" s="336"/>
      <c r="AB381" s="336"/>
      <c r="AC381" s="336"/>
      <c r="AD381" s="336"/>
      <c r="AE381"/>
      <c r="AF381" s="336"/>
      <c r="AG381" s="336"/>
      <c r="AH381" s="336"/>
      <c r="AI381" s="336"/>
      <c r="AJ381" s="336"/>
      <c r="AK381" s="336"/>
      <c r="AL381" s="336"/>
      <c r="AM381" s="336"/>
      <c r="AN381" s="336"/>
      <c r="AO381" s="336"/>
      <c r="AP381" s="336"/>
      <c r="AQ381" s="336"/>
      <c r="AR381" s="336"/>
      <c r="AS381" s="336"/>
      <c r="AT381" s="336"/>
    </row>
    <row r="382" spans="1:46" ht="14.45">
      <c r="A382" s="336"/>
      <c r="B382" s="336"/>
      <c r="C382" s="336"/>
      <c r="D382" s="336"/>
      <c r="E382" s="336"/>
      <c r="F382" s="336"/>
      <c r="G382" s="336"/>
      <c r="H382" s="336"/>
      <c r="I382" s="336"/>
      <c r="J382" s="336"/>
      <c r="K382" s="415"/>
      <c r="L382" s="336"/>
      <c r="M382" s="336"/>
      <c r="N382" s="336"/>
      <c r="O382" s="416"/>
      <c r="P382" s="336"/>
      <c r="Q382" s="415"/>
      <c r="R382" s="336"/>
      <c r="S382" s="336"/>
      <c r="T382" s="336"/>
      <c r="U382" s="336"/>
      <c r="V382" s="336"/>
      <c r="W382" s="336"/>
      <c r="X382" s="336"/>
      <c r="Y382" s="336"/>
      <c r="Z382" s="336"/>
      <c r="AA382" s="336"/>
      <c r="AB382" s="336"/>
      <c r="AC382" s="336"/>
      <c r="AD382" s="336"/>
      <c r="AE382"/>
      <c r="AF382" s="336"/>
      <c r="AG382" s="336"/>
      <c r="AH382" s="336"/>
      <c r="AI382" s="336"/>
      <c r="AJ382" s="336"/>
      <c r="AK382" s="336"/>
      <c r="AL382" s="336"/>
      <c r="AM382" s="336"/>
      <c r="AN382" s="336"/>
      <c r="AO382" s="336"/>
      <c r="AP382" s="336"/>
      <c r="AQ382" s="336"/>
      <c r="AR382" s="336"/>
      <c r="AS382" s="336"/>
      <c r="AT382" s="336"/>
    </row>
    <row r="383" spans="1:46" ht="14.45">
      <c r="A383" s="336"/>
      <c r="B383" s="336"/>
      <c r="C383" s="336"/>
      <c r="D383" s="336"/>
      <c r="E383" s="336"/>
      <c r="F383" s="336"/>
      <c r="G383" s="336"/>
      <c r="H383" s="336"/>
      <c r="I383" s="336"/>
      <c r="J383" s="336"/>
      <c r="K383" s="415"/>
      <c r="L383" s="336"/>
      <c r="M383" s="336"/>
      <c r="N383" s="336"/>
      <c r="O383" s="416"/>
      <c r="P383" s="336"/>
      <c r="Q383" s="415"/>
      <c r="R383" s="336"/>
      <c r="S383" s="336"/>
      <c r="T383" s="336"/>
      <c r="U383" s="336"/>
      <c r="V383" s="336"/>
      <c r="W383" s="336"/>
      <c r="X383" s="336"/>
      <c r="Y383" s="336"/>
      <c r="Z383" s="336"/>
      <c r="AA383" s="336"/>
      <c r="AB383" s="336"/>
      <c r="AC383" s="336"/>
      <c r="AD383" s="336"/>
      <c r="AE383"/>
      <c r="AF383" s="336"/>
      <c r="AG383" s="336"/>
      <c r="AH383" s="336"/>
      <c r="AI383" s="336"/>
      <c r="AJ383" s="336"/>
      <c r="AK383" s="336"/>
      <c r="AL383" s="336"/>
      <c r="AM383" s="336"/>
      <c r="AN383" s="336"/>
      <c r="AO383" s="336"/>
      <c r="AP383" s="336"/>
      <c r="AQ383" s="336"/>
      <c r="AR383" s="336"/>
      <c r="AS383" s="336"/>
      <c r="AT383" s="336"/>
    </row>
    <row r="384" spans="1:46" ht="14.45">
      <c r="A384" s="336"/>
      <c r="B384" s="336"/>
      <c r="C384" s="336"/>
      <c r="D384" s="336"/>
      <c r="E384" s="336"/>
      <c r="F384" s="336"/>
      <c r="G384" s="336"/>
      <c r="H384" s="336"/>
      <c r="I384" s="336"/>
      <c r="J384" s="336"/>
      <c r="K384" s="415"/>
      <c r="L384" s="336"/>
      <c r="M384" s="336"/>
      <c r="N384" s="336"/>
      <c r="O384" s="416"/>
      <c r="P384" s="336"/>
      <c r="Q384" s="415"/>
      <c r="R384" s="336"/>
      <c r="S384" s="336"/>
      <c r="T384" s="336"/>
      <c r="U384" s="336"/>
      <c r="V384" s="336"/>
      <c r="W384" s="336"/>
      <c r="X384" s="336"/>
      <c r="Y384" s="336"/>
      <c r="Z384" s="336"/>
      <c r="AA384" s="336"/>
      <c r="AB384" s="336"/>
      <c r="AC384" s="336"/>
      <c r="AD384" s="336"/>
      <c r="AE384"/>
      <c r="AF384" s="336"/>
      <c r="AG384" s="336"/>
      <c r="AH384" s="336"/>
      <c r="AI384" s="336"/>
      <c r="AJ384" s="336"/>
      <c r="AK384" s="336"/>
      <c r="AL384" s="336"/>
      <c r="AM384" s="336"/>
      <c r="AN384" s="336"/>
      <c r="AO384" s="336"/>
      <c r="AP384" s="336"/>
      <c r="AQ384" s="336"/>
      <c r="AR384" s="336"/>
      <c r="AS384" s="336"/>
      <c r="AT384" s="336"/>
    </row>
    <row r="385" spans="1:46" ht="14.45">
      <c r="A385" s="336"/>
      <c r="B385" s="336"/>
      <c r="C385" s="336"/>
      <c r="D385" s="336"/>
      <c r="E385" s="336"/>
      <c r="F385" s="336"/>
      <c r="G385" s="336"/>
      <c r="H385" s="336"/>
      <c r="I385" s="336"/>
      <c r="J385" s="336"/>
      <c r="K385" s="415"/>
      <c r="L385" s="336"/>
      <c r="M385" s="336"/>
      <c r="N385" s="336"/>
      <c r="O385" s="416"/>
      <c r="P385" s="336"/>
      <c r="Q385" s="415"/>
      <c r="R385" s="336"/>
      <c r="S385" s="336"/>
      <c r="T385" s="336"/>
      <c r="U385" s="336"/>
      <c r="V385" s="336"/>
      <c r="W385" s="336"/>
      <c r="X385" s="336"/>
      <c r="Y385" s="336"/>
      <c r="Z385" s="336"/>
      <c r="AA385" s="336"/>
      <c r="AB385" s="336"/>
      <c r="AC385" s="336"/>
      <c r="AD385" s="336"/>
      <c r="AE385"/>
      <c r="AF385" s="336"/>
      <c r="AG385" s="336"/>
      <c r="AH385" s="336"/>
      <c r="AI385" s="336"/>
      <c r="AJ385" s="336"/>
      <c r="AK385" s="336"/>
      <c r="AL385" s="336"/>
      <c r="AM385" s="336"/>
      <c r="AN385" s="336"/>
      <c r="AO385" s="336"/>
      <c r="AP385" s="336"/>
      <c r="AQ385" s="336"/>
      <c r="AR385" s="336"/>
      <c r="AS385" s="336"/>
      <c r="AT385" s="336"/>
    </row>
    <row r="386" spans="1:46" ht="14.45">
      <c r="A386" s="336"/>
      <c r="B386" s="336"/>
      <c r="C386" s="336"/>
      <c r="D386" s="336"/>
      <c r="E386" s="336"/>
      <c r="F386" s="336"/>
      <c r="G386" s="336"/>
      <c r="H386" s="336"/>
      <c r="I386" s="336"/>
      <c r="J386" s="336"/>
      <c r="K386" s="415"/>
      <c r="L386" s="336"/>
      <c r="M386" s="336"/>
      <c r="N386" s="336"/>
      <c r="O386" s="416"/>
      <c r="P386" s="336"/>
      <c r="Q386" s="415"/>
      <c r="R386" s="336"/>
      <c r="S386" s="336"/>
      <c r="T386" s="336"/>
      <c r="U386" s="336"/>
      <c r="V386" s="336"/>
      <c r="W386" s="336"/>
      <c r="X386" s="336"/>
      <c r="Y386" s="336"/>
      <c r="Z386" s="336"/>
      <c r="AA386" s="336"/>
      <c r="AB386" s="336"/>
      <c r="AC386" s="336"/>
      <c r="AD386" s="336"/>
      <c r="AE386"/>
      <c r="AF386" s="336"/>
      <c r="AG386" s="336"/>
      <c r="AH386" s="336"/>
      <c r="AI386" s="336"/>
      <c r="AJ386" s="336"/>
      <c r="AK386" s="336"/>
      <c r="AL386" s="336"/>
      <c r="AM386" s="336"/>
      <c r="AN386" s="336"/>
      <c r="AO386" s="336"/>
      <c r="AP386" s="336"/>
      <c r="AQ386" s="336"/>
      <c r="AR386" s="336"/>
      <c r="AS386" s="336"/>
      <c r="AT386" s="336"/>
    </row>
    <row r="387" spans="1:46" ht="14.45">
      <c r="A387" s="336"/>
      <c r="B387" s="336"/>
      <c r="C387" s="336"/>
      <c r="D387" s="336"/>
      <c r="E387" s="336"/>
      <c r="F387" s="336"/>
      <c r="G387" s="336"/>
      <c r="H387" s="336"/>
      <c r="I387" s="336"/>
      <c r="J387" s="336"/>
      <c r="K387" s="415"/>
      <c r="L387" s="336"/>
      <c r="M387" s="336"/>
      <c r="N387" s="336"/>
      <c r="O387" s="416"/>
      <c r="P387" s="336"/>
      <c r="Q387" s="415"/>
      <c r="R387" s="336"/>
      <c r="S387" s="336"/>
      <c r="T387" s="336"/>
      <c r="U387" s="336"/>
      <c r="V387" s="336"/>
      <c r="W387" s="336"/>
      <c r="X387" s="336"/>
      <c r="Y387" s="336"/>
      <c r="Z387" s="336"/>
      <c r="AA387" s="336"/>
      <c r="AB387" s="336"/>
      <c r="AC387" s="336"/>
      <c r="AD387" s="336"/>
      <c r="AE387"/>
      <c r="AF387" s="336"/>
      <c r="AG387" s="336"/>
      <c r="AH387" s="336"/>
      <c r="AI387" s="336"/>
      <c r="AJ387" s="336"/>
      <c r="AK387" s="336"/>
      <c r="AL387" s="336"/>
      <c r="AM387" s="336"/>
      <c r="AN387" s="336"/>
      <c r="AO387" s="336"/>
      <c r="AP387" s="336"/>
      <c r="AQ387" s="336"/>
      <c r="AR387" s="336"/>
      <c r="AS387" s="336"/>
      <c r="AT387" s="336"/>
    </row>
    <row r="388" spans="1:46" ht="14.45">
      <c r="A388" s="336"/>
      <c r="B388" s="336"/>
      <c r="C388" s="336"/>
      <c r="D388" s="336"/>
      <c r="E388" s="336"/>
      <c r="F388" s="336"/>
      <c r="G388" s="336"/>
      <c r="H388" s="336"/>
      <c r="I388" s="336"/>
      <c r="J388" s="336"/>
      <c r="K388" s="415"/>
      <c r="L388" s="336"/>
      <c r="M388" s="336"/>
      <c r="N388" s="336"/>
      <c r="O388" s="416"/>
      <c r="P388" s="336"/>
      <c r="Q388" s="415"/>
      <c r="R388" s="336"/>
      <c r="S388" s="336"/>
      <c r="T388" s="336"/>
      <c r="U388" s="336"/>
      <c r="V388" s="336"/>
      <c r="W388" s="336"/>
      <c r="X388" s="336"/>
      <c r="Y388" s="336"/>
      <c r="Z388" s="336"/>
      <c r="AA388" s="336"/>
      <c r="AB388" s="336"/>
      <c r="AC388" s="336"/>
      <c r="AD388" s="336"/>
      <c r="AE388"/>
      <c r="AF388" s="336"/>
      <c r="AG388" s="336"/>
      <c r="AH388" s="336"/>
      <c r="AI388" s="336"/>
      <c r="AJ388" s="336"/>
      <c r="AK388" s="336"/>
      <c r="AL388" s="336"/>
      <c r="AM388" s="336"/>
      <c r="AN388" s="336"/>
      <c r="AO388" s="336"/>
      <c r="AP388" s="336"/>
      <c r="AQ388" s="336"/>
      <c r="AR388" s="336"/>
      <c r="AS388" s="336"/>
      <c r="AT388" s="336"/>
    </row>
    <row r="389" spans="1:46" ht="14.45">
      <c r="A389" s="336"/>
      <c r="B389" s="336"/>
      <c r="C389" s="336"/>
      <c r="D389" s="336"/>
      <c r="E389" s="336"/>
      <c r="F389" s="336"/>
      <c r="G389" s="336"/>
      <c r="H389" s="336"/>
      <c r="I389" s="336"/>
      <c r="J389" s="336"/>
      <c r="K389" s="415"/>
      <c r="L389" s="336"/>
      <c r="M389" s="336"/>
      <c r="N389" s="336"/>
      <c r="O389" s="416"/>
      <c r="P389" s="336"/>
      <c r="Q389" s="415"/>
      <c r="R389" s="336"/>
      <c r="S389" s="336"/>
      <c r="T389" s="336"/>
      <c r="U389" s="336"/>
      <c r="V389" s="336"/>
      <c r="W389" s="336"/>
      <c r="X389" s="336"/>
      <c r="Y389" s="336"/>
      <c r="Z389" s="336"/>
      <c r="AA389" s="336"/>
      <c r="AB389" s="336"/>
      <c r="AC389" s="336"/>
      <c r="AD389" s="336"/>
      <c r="AE389"/>
      <c r="AF389" s="336"/>
      <c r="AG389" s="336"/>
      <c r="AH389" s="336"/>
      <c r="AI389" s="336"/>
      <c r="AJ389" s="336"/>
      <c r="AK389" s="336"/>
      <c r="AL389" s="336"/>
      <c r="AM389" s="336"/>
      <c r="AN389" s="336"/>
      <c r="AO389" s="336"/>
      <c r="AP389" s="336"/>
      <c r="AQ389" s="336"/>
      <c r="AR389" s="336"/>
      <c r="AS389" s="336"/>
      <c r="AT389" s="336"/>
    </row>
    <row r="390" spans="1:46" ht="14.45">
      <c r="A390" s="336"/>
      <c r="B390" s="336"/>
      <c r="C390" s="336"/>
      <c r="D390" s="336"/>
      <c r="E390" s="336"/>
      <c r="F390" s="336"/>
      <c r="G390" s="336"/>
      <c r="H390" s="336"/>
      <c r="I390" s="336"/>
      <c r="J390" s="336"/>
      <c r="K390" s="415"/>
      <c r="L390" s="336"/>
      <c r="M390" s="336"/>
      <c r="N390" s="336"/>
      <c r="O390" s="416"/>
      <c r="P390" s="336"/>
      <c r="Q390" s="415"/>
      <c r="R390" s="336"/>
      <c r="S390" s="336"/>
      <c r="T390" s="336"/>
      <c r="U390" s="336"/>
      <c r="V390" s="336"/>
      <c r="W390" s="336"/>
      <c r="X390" s="336"/>
      <c r="Y390" s="336"/>
      <c r="Z390" s="336"/>
      <c r="AA390" s="336"/>
      <c r="AB390" s="336"/>
      <c r="AC390" s="336"/>
      <c r="AD390" s="336"/>
      <c r="AE390"/>
      <c r="AF390" s="336"/>
      <c r="AG390" s="336"/>
      <c r="AH390" s="336"/>
      <c r="AI390" s="336"/>
      <c r="AJ390" s="336"/>
      <c r="AK390" s="336"/>
      <c r="AL390" s="336"/>
      <c r="AM390" s="336"/>
      <c r="AN390" s="336"/>
      <c r="AO390" s="336"/>
      <c r="AP390" s="336"/>
      <c r="AQ390" s="336"/>
      <c r="AR390" s="336"/>
      <c r="AS390" s="336"/>
      <c r="AT390" s="336"/>
    </row>
    <row r="391" spans="1:46" ht="14.45">
      <c r="A391" s="336"/>
      <c r="B391" s="336"/>
      <c r="C391" s="336"/>
      <c r="D391" s="336"/>
      <c r="E391" s="336"/>
      <c r="F391" s="336"/>
      <c r="G391" s="336"/>
      <c r="H391" s="336"/>
      <c r="I391" s="336"/>
      <c r="J391" s="336"/>
      <c r="K391" s="415"/>
      <c r="L391" s="336"/>
      <c r="M391" s="336"/>
      <c r="N391" s="336"/>
      <c r="O391" s="416"/>
      <c r="P391" s="336"/>
      <c r="Q391" s="415"/>
      <c r="R391" s="336"/>
      <c r="S391" s="336"/>
      <c r="T391" s="336"/>
      <c r="U391" s="336"/>
      <c r="V391" s="336"/>
      <c r="W391" s="336"/>
      <c r="X391" s="336"/>
      <c r="Y391" s="336"/>
      <c r="Z391" s="336"/>
      <c r="AA391" s="336"/>
      <c r="AB391" s="336"/>
      <c r="AC391" s="336"/>
      <c r="AD391" s="336"/>
      <c r="AE391"/>
      <c r="AF391" s="336"/>
      <c r="AG391" s="336"/>
      <c r="AH391" s="336"/>
      <c r="AI391" s="336"/>
      <c r="AJ391" s="336"/>
      <c r="AK391" s="336"/>
      <c r="AL391" s="336"/>
      <c r="AM391" s="336"/>
      <c r="AN391" s="336"/>
      <c r="AO391" s="336"/>
      <c r="AP391" s="336"/>
      <c r="AQ391" s="336"/>
      <c r="AR391" s="336"/>
      <c r="AS391" s="336"/>
      <c r="AT391" s="336"/>
    </row>
    <row r="392" spans="1:46" ht="14.45">
      <c r="A392" s="336"/>
      <c r="B392" s="336"/>
      <c r="C392" s="336"/>
      <c r="D392" s="336"/>
      <c r="E392" s="336"/>
      <c r="F392" s="336"/>
      <c r="G392" s="336"/>
      <c r="H392" s="336"/>
      <c r="I392" s="336"/>
      <c r="J392" s="336"/>
      <c r="K392" s="415"/>
      <c r="L392" s="336"/>
      <c r="M392" s="336"/>
      <c r="N392" s="336"/>
      <c r="O392" s="416"/>
      <c r="P392" s="336"/>
      <c r="Q392" s="415"/>
      <c r="R392" s="336"/>
      <c r="S392" s="336"/>
      <c r="T392" s="336"/>
      <c r="U392" s="336"/>
      <c r="V392" s="336"/>
      <c r="W392" s="336"/>
      <c r="X392" s="336"/>
      <c r="Y392" s="336"/>
      <c r="Z392" s="336"/>
      <c r="AA392" s="336"/>
      <c r="AB392" s="336"/>
      <c r="AC392" s="336"/>
      <c r="AD392" s="336"/>
      <c r="AE392"/>
      <c r="AF392" s="336"/>
      <c r="AG392" s="336"/>
      <c r="AH392" s="336"/>
      <c r="AI392" s="336"/>
      <c r="AJ392" s="336"/>
      <c r="AK392" s="336"/>
      <c r="AL392" s="336"/>
      <c r="AM392" s="336"/>
      <c r="AN392" s="336"/>
      <c r="AO392" s="336"/>
      <c r="AP392" s="336"/>
      <c r="AQ392" s="336"/>
      <c r="AR392" s="336"/>
      <c r="AS392" s="336"/>
      <c r="AT392" s="336"/>
    </row>
    <row r="393" spans="1:46" ht="14.45">
      <c r="A393" s="336"/>
      <c r="B393" s="336"/>
      <c r="C393" s="336"/>
      <c r="D393" s="336"/>
      <c r="E393" s="336"/>
      <c r="F393" s="336"/>
      <c r="G393" s="336"/>
      <c r="H393" s="336"/>
      <c r="I393" s="336"/>
      <c r="J393" s="336"/>
      <c r="K393" s="415"/>
      <c r="L393" s="336"/>
      <c r="M393" s="336"/>
      <c r="N393" s="336"/>
      <c r="O393" s="416"/>
      <c r="P393" s="336"/>
      <c r="Q393" s="415"/>
      <c r="R393" s="336"/>
      <c r="S393" s="336"/>
      <c r="T393" s="336"/>
      <c r="U393" s="336"/>
      <c r="V393" s="336"/>
      <c r="W393" s="336"/>
      <c r="X393" s="336"/>
      <c r="Y393" s="336"/>
      <c r="Z393" s="336"/>
      <c r="AA393" s="336"/>
      <c r="AB393" s="336"/>
      <c r="AC393" s="336"/>
      <c r="AD393" s="336"/>
      <c r="AE393"/>
      <c r="AF393" s="336"/>
      <c r="AG393" s="336"/>
      <c r="AH393" s="336"/>
      <c r="AI393" s="336"/>
      <c r="AJ393" s="336"/>
      <c r="AK393" s="336"/>
      <c r="AL393" s="336"/>
      <c r="AM393" s="336"/>
      <c r="AN393" s="336"/>
      <c r="AO393" s="336"/>
      <c r="AP393" s="336"/>
      <c r="AQ393" s="336"/>
      <c r="AR393" s="336"/>
      <c r="AS393" s="336"/>
      <c r="AT393" s="336"/>
    </row>
    <row r="394" spans="1:46" ht="14.45">
      <c r="A394" s="336"/>
      <c r="B394" s="336"/>
      <c r="C394" s="336"/>
      <c r="D394" s="336"/>
      <c r="E394" s="336"/>
      <c r="F394" s="336"/>
      <c r="G394" s="336"/>
      <c r="H394" s="336"/>
      <c r="I394" s="336"/>
      <c r="J394" s="336"/>
      <c r="K394" s="415"/>
      <c r="L394" s="336"/>
      <c r="M394" s="336"/>
      <c r="N394" s="336"/>
      <c r="O394" s="416"/>
      <c r="P394" s="336"/>
      <c r="Q394" s="415"/>
      <c r="R394" s="336"/>
      <c r="S394" s="336"/>
      <c r="T394" s="336"/>
      <c r="U394" s="336"/>
      <c r="V394" s="336"/>
      <c r="W394" s="336"/>
      <c r="X394" s="336"/>
      <c r="Y394" s="336"/>
      <c r="Z394" s="336"/>
      <c r="AA394" s="336"/>
      <c r="AB394" s="336"/>
      <c r="AC394" s="336"/>
      <c r="AD394" s="336"/>
      <c r="AE394"/>
      <c r="AF394" s="336"/>
      <c r="AG394" s="336"/>
      <c r="AH394" s="336"/>
      <c r="AI394" s="336"/>
      <c r="AJ394" s="336"/>
      <c r="AK394" s="336"/>
      <c r="AL394" s="336"/>
      <c r="AM394" s="336"/>
      <c r="AN394" s="336"/>
      <c r="AO394" s="336"/>
      <c r="AP394" s="336"/>
      <c r="AQ394" s="336"/>
      <c r="AR394" s="336"/>
      <c r="AS394" s="336"/>
      <c r="AT394" s="336"/>
    </row>
    <row r="395" spans="1:46" ht="14.45">
      <c r="A395" s="336"/>
      <c r="B395" s="336"/>
      <c r="C395" s="336"/>
      <c r="D395" s="336"/>
      <c r="E395" s="336"/>
      <c r="F395" s="336"/>
      <c r="G395" s="336"/>
      <c r="H395" s="336"/>
      <c r="I395" s="336"/>
      <c r="J395" s="336"/>
      <c r="K395" s="415"/>
      <c r="L395" s="336"/>
      <c r="M395" s="336"/>
      <c r="N395" s="336"/>
      <c r="O395" s="416"/>
      <c r="P395" s="336"/>
      <c r="Q395" s="415"/>
      <c r="R395" s="336"/>
      <c r="S395" s="336"/>
      <c r="T395" s="336"/>
      <c r="U395" s="336"/>
      <c r="V395" s="336"/>
      <c r="W395" s="336"/>
      <c r="X395" s="336"/>
      <c r="Y395" s="336"/>
      <c r="Z395" s="336"/>
      <c r="AA395" s="336"/>
      <c r="AB395" s="336"/>
      <c r="AC395" s="336"/>
      <c r="AD395" s="336"/>
      <c r="AE395"/>
      <c r="AF395" s="336"/>
      <c r="AG395" s="336"/>
      <c r="AH395" s="336"/>
      <c r="AI395" s="336"/>
      <c r="AJ395" s="336"/>
      <c r="AK395" s="336"/>
      <c r="AL395" s="336"/>
      <c r="AM395" s="336"/>
      <c r="AN395" s="336"/>
      <c r="AO395" s="336"/>
      <c r="AP395" s="336"/>
      <c r="AQ395" s="336"/>
      <c r="AR395" s="336"/>
      <c r="AS395" s="336"/>
      <c r="AT395" s="336"/>
    </row>
    <row r="396" spans="1:46" ht="14.45">
      <c r="A396" s="336"/>
      <c r="B396" s="336"/>
      <c r="C396" s="336"/>
      <c r="D396" s="336"/>
      <c r="E396" s="336"/>
      <c r="F396" s="336"/>
      <c r="G396" s="336"/>
      <c r="H396" s="336"/>
      <c r="I396" s="336"/>
      <c r="J396" s="336"/>
      <c r="K396" s="415"/>
      <c r="L396" s="336"/>
      <c r="M396" s="336"/>
      <c r="N396" s="336"/>
      <c r="O396" s="416"/>
      <c r="P396" s="336"/>
      <c r="Q396" s="415"/>
      <c r="R396" s="336"/>
      <c r="S396" s="336"/>
      <c r="T396" s="336"/>
      <c r="U396" s="336"/>
      <c r="V396" s="336"/>
      <c r="W396" s="336"/>
      <c r="X396" s="336"/>
      <c r="Y396" s="336"/>
      <c r="Z396" s="336"/>
      <c r="AA396" s="336"/>
      <c r="AB396" s="336"/>
      <c r="AC396" s="336"/>
      <c r="AD396" s="336"/>
      <c r="AE396"/>
      <c r="AF396" s="336"/>
      <c r="AG396" s="336"/>
      <c r="AH396" s="336"/>
      <c r="AI396" s="336"/>
      <c r="AJ396" s="336"/>
      <c r="AK396" s="336"/>
      <c r="AL396" s="336"/>
      <c r="AM396" s="336"/>
      <c r="AN396" s="336"/>
      <c r="AO396" s="336"/>
      <c r="AP396" s="336"/>
      <c r="AQ396" s="336"/>
      <c r="AR396" s="336"/>
      <c r="AS396" s="336"/>
      <c r="AT396" s="336"/>
    </row>
    <row r="397" spans="1:46" ht="14.45">
      <c r="A397" s="336"/>
      <c r="B397" s="336"/>
      <c r="C397" s="336"/>
      <c r="D397" s="336"/>
      <c r="E397" s="336"/>
      <c r="F397" s="336"/>
      <c r="G397" s="336"/>
      <c r="H397" s="336"/>
      <c r="I397" s="336"/>
      <c r="J397" s="336"/>
      <c r="K397" s="415"/>
      <c r="L397" s="336"/>
      <c r="M397" s="336"/>
      <c r="N397" s="336"/>
      <c r="O397" s="416"/>
      <c r="P397" s="336"/>
      <c r="Q397" s="415"/>
      <c r="R397" s="336"/>
      <c r="S397" s="336"/>
      <c r="T397" s="336"/>
      <c r="U397" s="336"/>
      <c r="V397" s="336"/>
      <c r="W397" s="336"/>
      <c r="X397" s="336"/>
      <c r="Y397" s="336"/>
      <c r="Z397" s="336"/>
      <c r="AA397" s="336"/>
      <c r="AB397" s="336"/>
      <c r="AC397" s="336"/>
      <c r="AD397" s="336"/>
      <c r="AE397"/>
      <c r="AF397" s="336"/>
      <c r="AG397" s="336"/>
      <c r="AH397" s="336"/>
      <c r="AI397" s="336"/>
      <c r="AJ397" s="336"/>
      <c r="AK397" s="336"/>
      <c r="AL397" s="336"/>
      <c r="AM397" s="336"/>
      <c r="AN397" s="336"/>
      <c r="AO397" s="336"/>
      <c r="AP397" s="336"/>
      <c r="AQ397" s="336"/>
      <c r="AR397" s="336"/>
      <c r="AS397" s="336"/>
      <c r="AT397" s="336"/>
    </row>
    <row r="398" spans="1:46" ht="14.45">
      <c r="A398" s="336"/>
      <c r="B398" s="336"/>
      <c r="C398" s="336"/>
      <c r="D398" s="336"/>
      <c r="E398" s="336"/>
      <c r="F398" s="336"/>
      <c r="G398" s="336"/>
      <c r="H398" s="336"/>
      <c r="I398" s="336"/>
      <c r="J398" s="336"/>
      <c r="K398" s="415"/>
      <c r="L398" s="336"/>
      <c r="M398" s="336"/>
      <c r="N398" s="336"/>
      <c r="O398" s="416"/>
      <c r="P398" s="336"/>
      <c r="Q398" s="415"/>
      <c r="R398" s="336"/>
      <c r="S398" s="336"/>
      <c r="T398" s="336"/>
      <c r="U398" s="336"/>
      <c r="V398" s="336"/>
      <c r="W398" s="336"/>
      <c r="X398" s="336"/>
      <c r="Y398" s="336"/>
      <c r="Z398" s="336"/>
      <c r="AA398" s="336"/>
      <c r="AB398" s="336"/>
      <c r="AC398" s="336"/>
      <c r="AD398" s="336"/>
      <c r="AE398"/>
      <c r="AF398" s="336"/>
      <c r="AG398" s="336"/>
      <c r="AH398" s="336"/>
      <c r="AI398" s="336"/>
      <c r="AJ398" s="336"/>
      <c r="AK398" s="336"/>
      <c r="AL398" s="336"/>
      <c r="AM398" s="336"/>
      <c r="AN398" s="336"/>
      <c r="AO398" s="336"/>
      <c r="AP398" s="336"/>
      <c r="AQ398" s="336"/>
      <c r="AR398" s="336"/>
      <c r="AS398" s="336"/>
      <c r="AT398" s="336"/>
    </row>
    <row r="399" spans="1:46" ht="14.45">
      <c r="A399" s="336"/>
      <c r="B399" s="336"/>
      <c r="C399" s="336"/>
      <c r="D399" s="336"/>
      <c r="E399" s="336"/>
      <c r="F399" s="336"/>
      <c r="G399" s="336"/>
      <c r="H399" s="336"/>
      <c r="I399" s="336"/>
      <c r="J399" s="336"/>
      <c r="K399" s="415"/>
      <c r="L399" s="336"/>
      <c r="M399" s="336"/>
      <c r="N399" s="336"/>
      <c r="O399" s="416"/>
      <c r="P399" s="336"/>
      <c r="Q399" s="415"/>
      <c r="R399" s="336"/>
      <c r="S399" s="336"/>
      <c r="T399" s="336"/>
      <c r="U399" s="336"/>
      <c r="V399" s="336"/>
      <c r="W399" s="336"/>
      <c r="X399" s="336"/>
      <c r="Y399" s="336"/>
      <c r="Z399" s="336"/>
      <c r="AA399" s="336"/>
      <c r="AB399" s="336"/>
      <c r="AC399" s="336"/>
      <c r="AD399" s="336"/>
      <c r="AE399"/>
      <c r="AF399" s="336"/>
      <c r="AG399" s="336"/>
      <c r="AH399" s="336"/>
      <c r="AI399" s="336"/>
      <c r="AJ399" s="336"/>
      <c r="AK399" s="336"/>
      <c r="AL399" s="336"/>
      <c r="AM399" s="336"/>
      <c r="AN399" s="336"/>
      <c r="AO399" s="336"/>
      <c r="AP399" s="336"/>
      <c r="AQ399" s="336"/>
      <c r="AR399" s="336"/>
      <c r="AS399" s="336"/>
      <c r="AT399" s="336"/>
    </row>
    <row r="400" spans="1:46" ht="14.45">
      <c r="A400" s="336"/>
      <c r="B400" s="336"/>
      <c r="C400" s="336"/>
      <c r="D400" s="336"/>
      <c r="E400" s="336"/>
      <c r="F400" s="336"/>
      <c r="G400" s="336"/>
      <c r="H400" s="336"/>
      <c r="I400" s="336"/>
      <c r="J400" s="336"/>
      <c r="K400" s="415"/>
      <c r="L400" s="336"/>
      <c r="M400" s="336"/>
      <c r="N400" s="336"/>
      <c r="O400" s="416"/>
      <c r="P400" s="336"/>
      <c r="Q400" s="415"/>
      <c r="R400" s="336"/>
      <c r="S400" s="336"/>
      <c r="T400" s="336"/>
      <c r="U400" s="336"/>
      <c r="V400" s="336"/>
      <c r="W400" s="336"/>
      <c r="X400" s="336"/>
      <c r="Y400" s="336"/>
      <c r="Z400" s="336"/>
      <c r="AA400" s="336"/>
      <c r="AB400" s="336"/>
      <c r="AC400" s="336"/>
      <c r="AD400" s="336"/>
      <c r="AE400"/>
      <c r="AF400" s="336"/>
      <c r="AG400" s="336"/>
      <c r="AH400" s="336"/>
      <c r="AI400" s="336"/>
      <c r="AJ400" s="336"/>
      <c r="AK400" s="336"/>
      <c r="AL400" s="336"/>
      <c r="AM400" s="336"/>
      <c r="AN400" s="336"/>
      <c r="AO400" s="336"/>
      <c r="AP400" s="336"/>
      <c r="AQ400" s="336"/>
      <c r="AR400" s="336"/>
      <c r="AS400" s="336"/>
      <c r="AT400" s="336"/>
    </row>
    <row r="401" spans="1:46" ht="14.45">
      <c r="A401" s="336"/>
      <c r="B401" s="336"/>
      <c r="C401" s="336"/>
      <c r="D401" s="336"/>
      <c r="E401" s="336"/>
      <c r="F401" s="336"/>
      <c r="G401" s="336"/>
      <c r="H401" s="336"/>
      <c r="I401" s="336"/>
      <c r="J401" s="336"/>
      <c r="K401" s="415"/>
      <c r="L401" s="336"/>
      <c r="M401" s="336"/>
      <c r="N401" s="336"/>
      <c r="O401" s="416"/>
      <c r="P401" s="336"/>
      <c r="Q401" s="415"/>
      <c r="R401" s="336"/>
      <c r="S401" s="336"/>
      <c r="T401" s="336"/>
      <c r="U401" s="336"/>
      <c r="V401" s="336"/>
      <c r="W401" s="336"/>
      <c r="X401" s="336"/>
      <c r="Y401" s="336"/>
      <c r="Z401" s="336"/>
      <c r="AA401" s="336"/>
      <c r="AB401" s="336"/>
      <c r="AC401" s="336"/>
      <c r="AD401" s="336"/>
      <c r="AE401"/>
      <c r="AF401" s="336"/>
      <c r="AG401" s="336"/>
      <c r="AH401" s="336"/>
      <c r="AI401" s="336"/>
      <c r="AJ401" s="336"/>
      <c r="AK401" s="336"/>
      <c r="AL401" s="336"/>
      <c r="AM401" s="336"/>
      <c r="AN401" s="336"/>
      <c r="AO401" s="336"/>
      <c r="AP401" s="336"/>
      <c r="AQ401" s="336"/>
      <c r="AR401" s="336"/>
      <c r="AS401" s="336"/>
      <c r="AT401" s="336"/>
    </row>
    <row r="402" spans="1:46" ht="14.45">
      <c r="A402" s="336"/>
      <c r="B402" s="336"/>
      <c r="C402" s="336"/>
      <c r="D402" s="336"/>
      <c r="E402" s="336"/>
      <c r="F402" s="336"/>
      <c r="G402" s="336"/>
      <c r="H402" s="336"/>
      <c r="I402" s="336"/>
      <c r="J402" s="336"/>
      <c r="K402" s="415"/>
      <c r="L402" s="336"/>
      <c r="M402" s="336"/>
      <c r="N402" s="336"/>
      <c r="O402" s="416"/>
      <c r="P402" s="336"/>
      <c r="Q402" s="415"/>
      <c r="R402" s="336"/>
      <c r="S402" s="336"/>
      <c r="T402" s="336"/>
      <c r="U402" s="336"/>
      <c r="V402" s="336"/>
      <c r="W402" s="336"/>
      <c r="X402" s="336"/>
      <c r="Y402" s="336"/>
      <c r="Z402" s="336"/>
      <c r="AA402" s="336"/>
      <c r="AB402" s="336"/>
      <c r="AC402" s="336"/>
      <c r="AD402" s="336"/>
      <c r="AE402"/>
      <c r="AF402" s="336"/>
      <c r="AG402" s="336"/>
      <c r="AH402" s="336"/>
      <c r="AI402" s="336"/>
      <c r="AJ402" s="336"/>
      <c r="AK402" s="336"/>
      <c r="AL402" s="336"/>
      <c r="AM402" s="336"/>
      <c r="AN402" s="336"/>
      <c r="AO402" s="336"/>
      <c r="AP402" s="336"/>
      <c r="AQ402" s="336"/>
      <c r="AR402" s="336"/>
      <c r="AS402" s="336"/>
      <c r="AT402" s="336"/>
    </row>
    <row r="403" spans="1:46" ht="14.45">
      <c r="A403" s="336"/>
      <c r="B403" s="336"/>
      <c r="C403" s="336"/>
      <c r="D403" s="336"/>
      <c r="E403" s="336"/>
      <c r="F403" s="336"/>
      <c r="G403" s="336"/>
      <c r="H403" s="336"/>
      <c r="I403" s="336"/>
      <c r="J403" s="336"/>
      <c r="K403" s="415"/>
      <c r="L403" s="336"/>
      <c r="M403" s="336"/>
      <c r="N403" s="336"/>
      <c r="O403" s="416"/>
      <c r="P403" s="336"/>
      <c r="Q403" s="415"/>
      <c r="R403" s="336"/>
      <c r="S403" s="336"/>
      <c r="T403" s="336"/>
      <c r="U403" s="336"/>
      <c r="V403" s="336"/>
      <c r="W403" s="336"/>
      <c r="X403" s="336"/>
      <c r="Y403" s="336"/>
      <c r="Z403" s="336"/>
      <c r="AA403" s="336"/>
      <c r="AB403" s="336"/>
      <c r="AC403" s="336"/>
      <c r="AD403" s="336"/>
      <c r="AE403"/>
      <c r="AF403" s="336"/>
      <c r="AG403" s="336"/>
      <c r="AH403" s="336"/>
      <c r="AI403" s="336"/>
      <c r="AJ403" s="336"/>
      <c r="AK403" s="336"/>
      <c r="AL403" s="336"/>
      <c r="AM403" s="336"/>
      <c r="AN403" s="336"/>
      <c r="AO403" s="336"/>
      <c r="AP403" s="336"/>
      <c r="AQ403" s="336"/>
      <c r="AR403" s="336"/>
      <c r="AS403" s="336"/>
      <c r="AT403" s="336"/>
    </row>
    <row r="404" spans="1:46" ht="14.45">
      <c r="A404" s="336"/>
      <c r="B404" s="336"/>
      <c r="C404" s="336"/>
      <c r="D404" s="336"/>
      <c r="E404" s="336"/>
      <c r="F404" s="336"/>
      <c r="G404" s="336"/>
      <c r="H404" s="336"/>
      <c r="I404" s="336"/>
      <c r="J404" s="336"/>
      <c r="K404" s="415"/>
      <c r="L404" s="336"/>
      <c r="M404" s="336"/>
      <c r="N404" s="336"/>
      <c r="O404" s="416"/>
      <c r="P404" s="336"/>
      <c r="Q404" s="415"/>
      <c r="R404" s="336"/>
      <c r="S404" s="336"/>
      <c r="T404" s="336"/>
      <c r="U404" s="336"/>
      <c r="V404" s="336"/>
      <c r="W404" s="336"/>
      <c r="X404" s="336"/>
      <c r="Y404" s="336"/>
      <c r="Z404" s="336"/>
      <c r="AA404" s="336"/>
      <c r="AB404" s="336"/>
      <c r="AC404" s="336"/>
      <c r="AD404" s="336"/>
      <c r="AE404"/>
      <c r="AF404" s="336"/>
      <c r="AG404" s="336"/>
      <c r="AH404" s="336"/>
      <c r="AI404" s="336"/>
      <c r="AJ404" s="336"/>
      <c r="AK404" s="336"/>
      <c r="AL404" s="336"/>
      <c r="AM404" s="336"/>
      <c r="AN404" s="336"/>
      <c r="AO404" s="336"/>
      <c r="AP404" s="336"/>
      <c r="AQ404" s="336"/>
      <c r="AR404" s="336"/>
      <c r="AS404" s="336"/>
      <c r="AT404" s="336"/>
    </row>
    <row r="405" spans="1:46" ht="14.45">
      <c r="A405" s="336"/>
      <c r="B405" s="336"/>
      <c r="C405" s="336"/>
      <c r="D405" s="336"/>
      <c r="E405" s="336"/>
      <c r="F405" s="336"/>
      <c r="G405" s="336"/>
      <c r="H405" s="336"/>
      <c r="I405" s="336"/>
      <c r="J405" s="336"/>
      <c r="K405" s="415"/>
      <c r="L405" s="336"/>
      <c r="M405" s="336"/>
      <c r="N405" s="336"/>
      <c r="O405" s="416"/>
      <c r="P405" s="336"/>
      <c r="Q405" s="415"/>
      <c r="R405" s="336"/>
      <c r="S405" s="336"/>
      <c r="T405" s="336"/>
      <c r="U405" s="336"/>
      <c r="V405" s="336"/>
      <c r="W405" s="336"/>
      <c r="X405" s="336"/>
      <c r="Y405" s="336"/>
      <c r="Z405" s="336"/>
      <c r="AA405" s="336"/>
      <c r="AB405" s="336"/>
      <c r="AC405" s="336"/>
      <c r="AD405" s="336"/>
      <c r="AE405"/>
      <c r="AF405" s="336"/>
      <c r="AG405" s="336"/>
      <c r="AH405" s="336"/>
      <c r="AI405" s="336"/>
      <c r="AJ405" s="336"/>
      <c r="AK405" s="336"/>
      <c r="AL405" s="336"/>
      <c r="AM405" s="336"/>
      <c r="AN405" s="336"/>
      <c r="AO405" s="336"/>
      <c r="AP405" s="336"/>
      <c r="AQ405" s="336"/>
      <c r="AR405" s="336"/>
      <c r="AS405" s="336"/>
      <c r="AT405" s="336"/>
    </row>
    <row r="406" spans="1:46" ht="14.45">
      <c r="A406" s="336"/>
      <c r="B406" s="336"/>
      <c r="C406" s="336"/>
      <c r="D406" s="336"/>
      <c r="E406" s="336"/>
      <c r="F406" s="336"/>
      <c r="G406" s="336"/>
      <c r="H406" s="336"/>
      <c r="I406" s="336"/>
      <c r="J406" s="336"/>
      <c r="K406" s="415"/>
      <c r="L406" s="336"/>
      <c r="M406" s="336"/>
      <c r="N406" s="336"/>
      <c r="O406" s="416"/>
      <c r="P406" s="336"/>
      <c r="Q406" s="415"/>
      <c r="R406" s="336"/>
      <c r="S406" s="336"/>
      <c r="T406" s="336"/>
      <c r="U406" s="336"/>
      <c r="V406" s="336"/>
      <c r="W406" s="336"/>
      <c r="X406" s="336"/>
      <c r="Y406" s="336"/>
      <c r="Z406" s="336"/>
      <c r="AA406" s="336"/>
      <c r="AB406" s="336"/>
      <c r="AC406" s="336"/>
      <c r="AD406" s="336"/>
      <c r="AE406"/>
      <c r="AF406" s="336"/>
      <c r="AG406" s="336"/>
      <c r="AH406" s="336"/>
      <c r="AI406" s="336"/>
      <c r="AJ406" s="336"/>
      <c r="AK406" s="336"/>
      <c r="AL406" s="336"/>
      <c r="AM406" s="336"/>
      <c r="AN406" s="336"/>
      <c r="AO406" s="336"/>
      <c r="AP406" s="336"/>
      <c r="AQ406" s="336"/>
      <c r="AR406" s="336"/>
      <c r="AS406" s="336"/>
      <c r="AT406" s="336"/>
    </row>
    <row r="407" spans="1:46" ht="14.45">
      <c r="A407" s="336"/>
      <c r="B407" s="336"/>
      <c r="C407" s="336"/>
      <c r="D407" s="336"/>
      <c r="E407" s="336"/>
      <c r="F407" s="336"/>
      <c r="G407" s="336"/>
      <c r="H407" s="336"/>
      <c r="I407" s="336"/>
      <c r="J407" s="336"/>
      <c r="K407" s="415"/>
      <c r="L407" s="336"/>
      <c r="M407" s="336"/>
      <c r="N407" s="336"/>
      <c r="O407" s="416"/>
      <c r="P407" s="336"/>
      <c r="Q407" s="415"/>
      <c r="R407" s="336"/>
      <c r="S407" s="336"/>
      <c r="T407" s="336"/>
      <c r="U407" s="336"/>
      <c r="V407" s="336"/>
      <c r="W407" s="336"/>
      <c r="X407" s="336"/>
      <c r="Y407" s="336"/>
      <c r="Z407" s="336"/>
      <c r="AA407" s="336"/>
      <c r="AB407" s="336"/>
      <c r="AC407" s="336"/>
      <c r="AD407" s="336"/>
      <c r="AE407"/>
      <c r="AF407" s="336"/>
      <c r="AG407" s="336"/>
      <c r="AH407" s="336"/>
      <c r="AI407" s="336"/>
      <c r="AJ407" s="336"/>
      <c r="AK407" s="336"/>
      <c r="AL407" s="336"/>
      <c r="AM407" s="336"/>
      <c r="AN407" s="336"/>
      <c r="AO407" s="336"/>
      <c r="AP407" s="336"/>
      <c r="AQ407" s="336"/>
      <c r="AR407" s="336"/>
      <c r="AS407" s="336"/>
      <c r="AT407" s="336"/>
    </row>
    <row r="408" spans="1:46" ht="14.45">
      <c r="A408" s="336"/>
      <c r="B408" s="336"/>
      <c r="C408" s="336"/>
      <c r="D408" s="336"/>
      <c r="E408" s="336"/>
      <c r="F408" s="336"/>
      <c r="G408" s="336"/>
      <c r="H408" s="336"/>
      <c r="I408" s="336"/>
      <c r="J408" s="336"/>
      <c r="K408" s="415"/>
      <c r="L408" s="336"/>
      <c r="M408" s="336"/>
      <c r="N408" s="336"/>
      <c r="O408" s="416"/>
      <c r="P408" s="336"/>
      <c r="Q408" s="415"/>
      <c r="R408" s="336"/>
      <c r="S408" s="336"/>
      <c r="T408" s="336"/>
      <c r="U408" s="336"/>
      <c r="V408" s="336"/>
      <c r="W408" s="336"/>
      <c r="X408" s="336"/>
      <c r="Y408" s="336"/>
      <c r="Z408" s="336"/>
      <c r="AA408" s="336"/>
      <c r="AB408" s="336"/>
      <c r="AC408" s="336"/>
      <c r="AD408" s="336"/>
      <c r="AE408"/>
      <c r="AF408" s="336"/>
      <c r="AG408" s="336"/>
      <c r="AH408" s="336"/>
      <c r="AI408" s="336"/>
      <c r="AJ408" s="336"/>
      <c r="AK408" s="336"/>
      <c r="AL408" s="336"/>
      <c r="AM408" s="336"/>
      <c r="AN408" s="336"/>
      <c r="AO408" s="336"/>
      <c r="AP408" s="336"/>
      <c r="AQ408" s="336"/>
      <c r="AR408" s="336"/>
      <c r="AS408" s="336"/>
      <c r="AT408" s="336"/>
    </row>
    <row r="409" spans="1:46" ht="14.45">
      <c r="A409" s="336"/>
      <c r="B409" s="336"/>
      <c r="C409" s="336"/>
      <c r="D409" s="336"/>
      <c r="E409" s="336"/>
      <c r="F409" s="336"/>
      <c r="G409" s="336"/>
      <c r="H409" s="336"/>
      <c r="I409" s="336"/>
      <c r="J409" s="336"/>
      <c r="K409" s="415"/>
      <c r="L409" s="336"/>
      <c r="M409" s="336"/>
      <c r="N409" s="336"/>
      <c r="O409" s="416"/>
      <c r="P409" s="336"/>
      <c r="Q409" s="415"/>
      <c r="R409" s="336"/>
      <c r="S409" s="336"/>
      <c r="T409" s="336"/>
      <c r="U409" s="336"/>
      <c r="V409" s="336"/>
      <c r="W409" s="336"/>
      <c r="X409" s="336"/>
      <c r="Y409" s="336"/>
      <c r="Z409" s="336"/>
      <c r="AA409" s="336"/>
      <c r="AB409" s="336"/>
      <c r="AC409" s="336"/>
      <c r="AD409" s="336"/>
      <c r="AE409"/>
      <c r="AF409" s="336"/>
      <c r="AG409" s="336"/>
      <c r="AH409" s="336"/>
      <c r="AI409" s="336"/>
      <c r="AJ409" s="336"/>
      <c r="AK409" s="336"/>
      <c r="AL409" s="336"/>
      <c r="AM409" s="336"/>
      <c r="AN409" s="336"/>
      <c r="AO409" s="336"/>
      <c r="AP409" s="336"/>
      <c r="AQ409" s="336"/>
      <c r="AR409" s="336"/>
      <c r="AS409" s="336"/>
      <c r="AT409" s="336"/>
    </row>
    <row r="410" spans="1:46" ht="14.45">
      <c r="A410" s="336"/>
      <c r="B410" s="336"/>
      <c r="C410" s="336"/>
      <c r="D410" s="336"/>
      <c r="E410" s="336"/>
      <c r="F410" s="336"/>
      <c r="G410" s="336"/>
      <c r="H410" s="336"/>
      <c r="I410" s="336"/>
      <c r="J410" s="336"/>
      <c r="K410" s="415"/>
      <c r="L410" s="336"/>
      <c r="M410" s="336"/>
      <c r="N410" s="336"/>
      <c r="O410" s="416"/>
      <c r="P410" s="336"/>
      <c r="Q410" s="415"/>
      <c r="R410" s="336"/>
      <c r="S410" s="336"/>
      <c r="T410" s="336"/>
      <c r="U410" s="336"/>
      <c r="V410" s="336"/>
      <c r="W410" s="336"/>
      <c r="X410" s="336"/>
      <c r="Y410" s="336"/>
      <c r="Z410" s="336"/>
      <c r="AA410" s="336"/>
      <c r="AB410" s="336"/>
      <c r="AC410" s="336"/>
      <c r="AD410" s="336"/>
      <c r="AE410"/>
      <c r="AF410" s="336"/>
      <c r="AG410" s="336"/>
      <c r="AH410" s="336"/>
      <c r="AI410" s="336"/>
      <c r="AJ410" s="336"/>
      <c r="AK410" s="336"/>
      <c r="AL410" s="336"/>
      <c r="AM410" s="336"/>
      <c r="AN410" s="336"/>
      <c r="AO410" s="336"/>
      <c r="AP410" s="336"/>
      <c r="AQ410" s="336"/>
      <c r="AR410" s="336"/>
      <c r="AS410" s="336"/>
      <c r="AT410" s="336"/>
    </row>
    <row r="411" spans="1:46" ht="14.45">
      <c r="A411" s="336"/>
      <c r="B411" s="336"/>
      <c r="C411" s="336"/>
      <c r="D411" s="336"/>
      <c r="E411" s="336"/>
      <c r="F411" s="336"/>
      <c r="G411" s="336"/>
      <c r="H411" s="336"/>
      <c r="I411" s="336"/>
      <c r="J411" s="336"/>
      <c r="K411" s="415"/>
      <c r="L411" s="336"/>
      <c r="M411" s="336"/>
      <c r="N411" s="336"/>
      <c r="O411" s="416"/>
      <c r="P411" s="336"/>
      <c r="Q411" s="415"/>
      <c r="R411" s="336"/>
      <c r="S411" s="336"/>
      <c r="T411" s="336"/>
      <c r="U411" s="336"/>
      <c r="V411" s="336"/>
      <c r="W411" s="336"/>
      <c r="X411" s="336"/>
      <c r="Y411" s="336"/>
      <c r="Z411" s="336"/>
      <c r="AA411" s="336"/>
      <c r="AB411" s="336"/>
      <c r="AC411" s="336"/>
      <c r="AD411" s="336"/>
      <c r="AE411"/>
      <c r="AF411" s="336"/>
      <c r="AG411" s="336"/>
      <c r="AH411" s="336"/>
      <c r="AI411" s="336"/>
      <c r="AJ411" s="336"/>
      <c r="AK411" s="336"/>
      <c r="AL411" s="336"/>
      <c r="AM411" s="336"/>
      <c r="AN411" s="336"/>
      <c r="AO411" s="336"/>
      <c r="AP411" s="336"/>
      <c r="AQ411" s="336"/>
      <c r="AR411" s="336"/>
      <c r="AS411" s="336"/>
      <c r="AT411" s="336"/>
    </row>
    <row r="412" spans="1:46" ht="14.45">
      <c r="A412" s="336"/>
      <c r="B412" s="336"/>
      <c r="C412" s="336"/>
      <c r="D412" s="336"/>
      <c r="E412" s="336"/>
      <c r="F412" s="336"/>
      <c r="G412" s="336"/>
      <c r="H412" s="336"/>
      <c r="I412" s="336"/>
      <c r="J412" s="336"/>
      <c r="K412" s="415"/>
      <c r="L412" s="336"/>
      <c r="M412" s="336"/>
      <c r="N412" s="336"/>
      <c r="O412" s="416"/>
      <c r="P412" s="336"/>
      <c r="Q412" s="415"/>
      <c r="R412" s="336"/>
      <c r="S412" s="336"/>
      <c r="T412" s="336"/>
      <c r="U412" s="336"/>
      <c r="V412" s="336"/>
      <c r="W412" s="336"/>
      <c r="X412" s="336"/>
      <c r="Y412" s="336"/>
      <c r="Z412" s="336"/>
      <c r="AA412" s="336"/>
      <c r="AB412" s="336"/>
      <c r="AC412" s="336"/>
      <c r="AD412" s="336"/>
      <c r="AE412"/>
      <c r="AF412" s="336"/>
      <c r="AG412" s="336"/>
      <c r="AH412" s="336"/>
      <c r="AI412" s="336"/>
      <c r="AJ412" s="336"/>
      <c r="AK412" s="336"/>
      <c r="AL412" s="336"/>
      <c r="AM412" s="336"/>
      <c r="AN412" s="336"/>
      <c r="AO412" s="336"/>
      <c r="AP412" s="336"/>
      <c r="AQ412" s="336"/>
      <c r="AR412" s="336"/>
      <c r="AS412" s="336"/>
      <c r="AT412" s="336"/>
    </row>
    <row r="413" spans="1:46" ht="14.45">
      <c r="A413" s="336"/>
      <c r="B413" s="336"/>
      <c r="C413" s="336"/>
      <c r="D413" s="336"/>
      <c r="E413" s="336"/>
      <c r="F413" s="336"/>
      <c r="G413" s="336"/>
      <c r="H413" s="336"/>
      <c r="I413" s="336"/>
      <c r="J413" s="336"/>
      <c r="K413" s="415"/>
      <c r="L413" s="336"/>
      <c r="M413" s="336"/>
      <c r="N413" s="336"/>
      <c r="O413" s="416"/>
      <c r="P413" s="336"/>
      <c r="Q413" s="415"/>
      <c r="R413" s="336"/>
      <c r="S413" s="336"/>
      <c r="T413" s="336"/>
      <c r="U413" s="336"/>
      <c r="V413" s="336"/>
      <c r="W413" s="336"/>
      <c r="X413" s="336"/>
      <c r="Y413" s="336"/>
      <c r="Z413" s="336"/>
      <c r="AA413" s="336"/>
      <c r="AB413" s="336"/>
      <c r="AC413" s="336"/>
      <c r="AD413" s="336"/>
      <c r="AE413"/>
      <c r="AF413" s="336"/>
      <c r="AG413" s="336"/>
      <c r="AH413" s="336"/>
      <c r="AI413" s="336"/>
      <c r="AJ413" s="336"/>
      <c r="AK413" s="336"/>
      <c r="AL413" s="336"/>
      <c r="AM413" s="336"/>
      <c r="AN413" s="336"/>
      <c r="AO413" s="336"/>
      <c r="AP413" s="336"/>
      <c r="AQ413" s="336"/>
      <c r="AR413" s="336"/>
      <c r="AS413" s="336"/>
      <c r="AT413" s="336"/>
    </row>
    <row r="414" spans="1:46" ht="14.45">
      <c r="A414" s="336"/>
      <c r="B414" s="336"/>
      <c r="C414" s="336"/>
      <c r="D414" s="336"/>
      <c r="E414" s="336"/>
      <c r="F414" s="336"/>
      <c r="G414" s="336"/>
      <c r="H414" s="336"/>
      <c r="I414" s="336"/>
      <c r="J414" s="336"/>
      <c r="K414" s="415"/>
      <c r="L414" s="336"/>
      <c r="M414" s="336"/>
      <c r="N414" s="336"/>
      <c r="O414" s="416"/>
      <c r="P414" s="336"/>
      <c r="Q414" s="415"/>
      <c r="R414" s="336"/>
      <c r="S414" s="336"/>
      <c r="T414" s="336"/>
      <c r="U414" s="336"/>
      <c r="V414" s="336"/>
      <c r="W414" s="336"/>
      <c r="X414" s="336"/>
      <c r="Y414" s="336"/>
      <c r="Z414" s="336"/>
      <c r="AA414" s="336"/>
      <c r="AB414" s="336"/>
      <c r="AC414" s="336"/>
      <c r="AD414" s="336"/>
      <c r="AE414"/>
      <c r="AF414" s="336"/>
      <c r="AG414" s="336"/>
      <c r="AH414" s="336"/>
      <c r="AI414" s="336"/>
      <c r="AJ414" s="336"/>
      <c r="AK414" s="336"/>
      <c r="AL414" s="336"/>
      <c r="AM414" s="336"/>
      <c r="AN414" s="336"/>
      <c r="AO414" s="336"/>
      <c r="AP414" s="336"/>
      <c r="AQ414" s="336"/>
      <c r="AR414" s="336"/>
      <c r="AS414" s="336"/>
      <c r="AT414" s="336"/>
    </row>
    <row r="415" spans="1:46" ht="14.45">
      <c r="A415" s="336"/>
      <c r="B415" s="336"/>
      <c r="C415" s="336"/>
      <c r="D415" s="336"/>
      <c r="E415" s="336"/>
      <c r="F415" s="336"/>
      <c r="G415" s="336"/>
      <c r="H415" s="336"/>
      <c r="I415" s="336"/>
      <c r="J415" s="336"/>
      <c r="K415" s="415"/>
      <c r="L415" s="336"/>
      <c r="M415" s="336"/>
      <c r="N415" s="336"/>
      <c r="O415" s="416"/>
      <c r="P415" s="336"/>
      <c r="Q415" s="415"/>
      <c r="R415" s="336"/>
      <c r="S415" s="336"/>
      <c r="T415" s="336"/>
      <c r="U415" s="336"/>
      <c r="V415" s="336"/>
      <c r="W415" s="336"/>
      <c r="X415" s="336"/>
      <c r="Y415" s="336"/>
      <c r="Z415" s="336"/>
      <c r="AA415" s="336"/>
      <c r="AB415" s="336"/>
      <c r="AC415" s="336"/>
      <c r="AD415" s="336"/>
      <c r="AE415"/>
      <c r="AF415" s="336"/>
      <c r="AG415" s="336"/>
      <c r="AH415" s="336"/>
      <c r="AI415" s="336"/>
      <c r="AJ415" s="336"/>
      <c r="AK415" s="336"/>
      <c r="AL415" s="336"/>
      <c r="AM415" s="336"/>
      <c r="AN415" s="336"/>
      <c r="AO415" s="336"/>
      <c r="AP415" s="336"/>
      <c r="AQ415" s="336"/>
      <c r="AR415" s="336"/>
      <c r="AS415" s="336"/>
      <c r="AT415" s="336"/>
    </row>
    <row r="416" spans="1:46" ht="14.45">
      <c r="A416" s="336"/>
      <c r="B416" s="336"/>
      <c r="C416" s="336"/>
      <c r="D416" s="336"/>
      <c r="E416" s="336"/>
      <c r="F416" s="336"/>
      <c r="G416" s="336"/>
      <c r="H416" s="336"/>
      <c r="I416" s="336"/>
      <c r="J416" s="336"/>
      <c r="K416" s="415"/>
      <c r="L416" s="336"/>
      <c r="M416" s="336"/>
      <c r="N416" s="336"/>
      <c r="O416" s="416"/>
      <c r="P416" s="336"/>
      <c r="Q416" s="415"/>
      <c r="R416" s="336"/>
      <c r="S416" s="336"/>
      <c r="T416" s="336"/>
      <c r="U416" s="336"/>
      <c r="V416" s="336"/>
      <c r="W416" s="336"/>
      <c r="X416" s="336"/>
      <c r="Y416" s="336"/>
      <c r="Z416" s="336"/>
      <c r="AA416" s="336"/>
      <c r="AB416" s="336"/>
      <c r="AC416" s="336"/>
      <c r="AD416" s="336"/>
      <c r="AE416"/>
      <c r="AF416" s="336"/>
      <c r="AG416" s="336"/>
      <c r="AH416" s="336"/>
      <c r="AI416" s="336"/>
      <c r="AJ416" s="336"/>
      <c r="AK416" s="336"/>
      <c r="AL416" s="336"/>
      <c r="AM416" s="336"/>
      <c r="AN416" s="336"/>
      <c r="AO416" s="336"/>
      <c r="AP416" s="336"/>
      <c r="AQ416" s="336"/>
      <c r="AR416" s="336"/>
      <c r="AS416" s="336"/>
      <c r="AT416" s="336"/>
    </row>
    <row r="417" spans="1:46" ht="14.45">
      <c r="A417" s="336"/>
      <c r="B417" s="336"/>
      <c r="C417" s="336"/>
      <c r="D417" s="336"/>
      <c r="E417" s="336"/>
      <c r="F417" s="336"/>
      <c r="G417" s="336"/>
      <c r="H417" s="336"/>
      <c r="I417" s="336"/>
      <c r="J417" s="336"/>
      <c r="K417" s="415"/>
      <c r="L417" s="336"/>
      <c r="M417" s="336"/>
      <c r="N417" s="336"/>
      <c r="O417" s="416"/>
      <c r="P417" s="336"/>
      <c r="Q417" s="415"/>
      <c r="R417" s="336"/>
      <c r="S417" s="336"/>
      <c r="T417" s="336"/>
      <c r="U417" s="336"/>
      <c r="V417" s="336"/>
      <c r="W417" s="336"/>
      <c r="X417" s="336"/>
      <c r="Y417" s="336"/>
      <c r="Z417" s="336"/>
      <c r="AA417" s="336"/>
      <c r="AB417" s="336"/>
      <c r="AC417" s="336"/>
      <c r="AD417" s="336"/>
      <c r="AE417"/>
      <c r="AF417" s="336"/>
      <c r="AG417" s="336"/>
      <c r="AH417" s="336"/>
      <c r="AI417" s="336"/>
      <c r="AJ417" s="336"/>
      <c r="AK417" s="336"/>
      <c r="AL417" s="336"/>
      <c r="AM417" s="336"/>
      <c r="AN417" s="336"/>
      <c r="AO417" s="336"/>
      <c r="AP417" s="336"/>
      <c r="AQ417" s="336"/>
      <c r="AR417" s="336"/>
      <c r="AS417" s="336"/>
      <c r="AT417" s="336"/>
    </row>
    <row r="418" spans="1:46" ht="14.45">
      <c r="A418" s="336"/>
      <c r="B418" s="336"/>
      <c r="C418" s="336"/>
      <c r="D418" s="336"/>
      <c r="E418" s="336"/>
      <c r="F418" s="336"/>
      <c r="G418" s="336"/>
      <c r="H418" s="336"/>
      <c r="I418" s="336"/>
      <c r="J418" s="336"/>
      <c r="K418" s="415"/>
      <c r="L418" s="336"/>
      <c r="M418" s="336"/>
      <c r="N418" s="336"/>
      <c r="O418" s="416"/>
      <c r="P418" s="336"/>
      <c r="Q418" s="415"/>
      <c r="R418" s="336"/>
      <c r="S418" s="336"/>
      <c r="T418" s="336"/>
      <c r="U418" s="336"/>
      <c r="V418" s="336"/>
      <c r="W418" s="336"/>
      <c r="X418" s="336"/>
      <c r="Y418" s="336"/>
      <c r="Z418" s="336"/>
      <c r="AA418" s="336"/>
      <c r="AB418" s="336"/>
      <c r="AC418" s="336"/>
      <c r="AD418" s="336"/>
      <c r="AE418"/>
      <c r="AF418" s="336"/>
      <c r="AG418" s="336"/>
      <c r="AH418" s="336"/>
      <c r="AI418" s="336"/>
      <c r="AJ418" s="336"/>
      <c r="AK418" s="336"/>
      <c r="AL418" s="336"/>
      <c r="AM418" s="336"/>
      <c r="AN418" s="336"/>
      <c r="AO418" s="336"/>
      <c r="AP418" s="336"/>
      <c r="AQ418" s="336"/>
      <c r="AR418" s="336"/>
      <c r="AS418" s="336"/>
      <c r="AT418" s="336"/>
    </row>
    <row r="419" spans="1:46" ht="14.45">
      <c r="A419" s="336"/>
      <c r="B419" s="336"/>
      <c r="C419" s="336"/>
      <c r="D419" s="336"/>
      <c r="E419" s="336"/>
      <c r="F419" s="336"/>
      <c r="G419" s="336"/>
      <c r="H419" s="336"/>
      <c r="I419" s="336"/>
      <c r="J419" s="336"/>
      <c r="K419" s="415"/>
      <c r="L419" s="336"/>
      <c r="M419" s="336"/>
      <c r="N419" s="336"/>
      <c r="O419" s="416"/>
      <c r="P419" s="336"/>
      <c r="Q419" s="415"/>
      <c r="R419" s="336"/>
      <c r="S419" s="336"/>
      <c r="T419" s="336"/>
      <c r="U419" s="336"/>
      <c r="V419" s="336"/>
      <c r="W419" s="336"/>
      <c r="X419" s="336"/>
      <c r="Y419" s="336"/>
      <c r="Z419" s="336"/>
      <c r="AA419" s="336"/>
      <c r="AB419" s="336"/>
      <c r="AC419" s="336"/>
      <c r="AD419" s="336"/>
      <c r="AE419"/>
      <c r="AF419" s="336"/>
      <c r="AG419" s="336"/>
      <c r="AH419" s="336"/>
      <c r="AI419" s="336"/>
      <c r="AJ419" s="336"/>
      <c r="AK419" s="336"/>
      <c r="AL419" s="336"/>
      <c r="AM419" s="336"/>
      <c r="AN419" s="336"/>
      <c r="AO419" s="336"/>
      <c r="AP419" s="336"/>
      <c r="AQ419" s="336"/>
      <c r="AR419" s="336"/>
      <c r="AS419" s="336"/>
      <c r="AT419" s="336"/>
    </row>
    <row r="420" spans="1:46" ht="14.45">
      <c r="A420" s="336"/>
      <c r="B420" s="336"/>
      <c r="C420" s="336"/>
      <c r="D420" s="336"/>
      <c r="E420" s="336"/>
      <c r="F420" s="336"/>
      <c r="G420" s="336"/>
      <c r="H420" s="336"/>
      <c r="I420" s="336"/>
      <c r="J420" s="336"/>
      <c r="K420" s="415"/>
      <c r="L420" s="336"/>
      <c r="M420" s="336"/>
      <c r="N420" s="336"/>
      <c r="O420" s="416"/>
      <c r="P420" s="336"/>
      <c r="Q420" s="415"/>
      <c r="R420" s="336"/>
      <c r="S420" s="336"/>
      <c r="T420" s="336"/>
      <c r="U420" s="336"/>
      <c r="V420" s="336"/>
      <c r="W420" s="336"/>
      <c r="X420" s="336"/>
      <c r="Y420" s="336"/>
      <c r="Z420" s="336"/>
      <c r="AA420" s="336"/>
      <c r="AB420" s="336"/>
      <c r="AC420" s="336"/>
      <c r="AD420" s="336"/>
      <c r="AE420"/>
      <c r="AF420" s="336"/>
      <c r="AG420" s="336"/>
      <c r="AH420" s="336"/>
      <c r="AI420" s="336"/>
      <c r="AJ420" s="336"/>
      <c r="AK420" s="336"/>
      <c r="AL420" s="336"/>
      <c r="AM420" s="336"/>
      <c r="AN420" s="336"/>
      <c r="AO420" s="336"/>
      <c r="AP420" s="336"/>
      <c r="AQ420" s="336"/>
      <c r="AR420" s="336"/>
      <c r="AS420" s="336"/>
      <c r="AT420" s="336"/>
    </row>
    <row r="421" spans="1:46" ht="14.45">
      <c r="A421" s="336"/>
      <c r="B421" s="336"/>
      <c r="C421" s="336"/>
      <c r="D421" s="336"/>
      <c r="E421" s="336"/>
      <c r="F421" s="336"/>
      <c r="G421" s="336"/>
      <c r="H421" s="336"/>
      <c r="I421" s="336"/>
      <c r="J421" s="336"/>
      <c r="K421" s="415"/>
      <c r="L421" s="336"/>
      <c r="M421" s="336"/>
      <c r="N421" s="336"/>
      <c r="O421" s="416"/>
      <c r="P421" s="336"/>
      <c r="Q421" s="415"/>
      <c r="R421" s="336"/>
      <c r="S421" s="336"/>
      <c r="T421" s="336"/>
      <c r="U421" s="336"/>
      <c r="V421" s="336"/>
      <c r="W421" s="336"/>
      <c r="X421" s="336"/>
      <c r="Y421" s="336"/>
      <c r="Z421" s="336"/>
      <c r="AA421" s="336"/>
      <c r="AB421" s="336"/>
      <c r="AC421" s="336"/>
      <c r="AD421" s="336"/>
      <c r="AE421"/>
      <c r="AF421" s="336"/>
      <c r="AG421" s="336"/>
      <c r="AH421" s="336"/>
      <c r="AI421" s="336"/>
      <c r="AJ421" s="336"/>
      <c r="AK421" s="336"/>
      <c r="AL421" s="336"/>
      <c r="AM421" s="336"/>
      <c r="AN421" s="336"/>
      <c r="AO421" s="336"/>
      <c r="AP421" s="336"/>
      <c r="AQ421" s="336"/>
      <c r="AR421" s="336"/>
      <c r="AS421" s="336"/>
      <c r="AT421" s="336"/>
    </row>
    <row r="422" spans="1:46" ht="14.45">
      <c r="A422" s="336"/>
      <c r="B422" s="336"/>
      <c r="C422" s="336"/>
      <c r="D422" s="336"/>
      <c r="E422" s="336"/>
      <c r="F422" s="336"/>
      <c r="G422" s="336"/>
      <c r="H422" s="336"/>
      <c r="I422" s="336"/>
      <c r="J422" s="336"/>
      <c r="K422" s="415"/>
      <c r="L422" s="336"/>
      <c r="M422" s="336"/>
      <c r="N422" s="336"/>
      <c r="O422" s="416"/>
      <c r="P422" s="336"/>
      <c r="Q422" s="415"/>
      <c r="R422" s="336"/>
      <c r="S422" s="336"/>
      <c r="T422" s="336"/>
      <c r="U422" s="336"/>
      <c r="V422" s="336"/>
      <c r="W422" s="336"/>
      <c r="X422" s="336"/>
      <c r="Y422" s="336"/>
      <c r="Z422" s="336"/>
      <c r="AA422" s="336"/>
      <c r="AB422" s="336"/>
      <c r="AC422" s="336"/>
      <c r="AD422" s="336"/>
      <c r="AE422"/>
      <c r="AF422" s="336"/>
      <c r="AG422" s="336"/>
      <c r="AH422" s="336"/>
      <c r="AI422" s="336"/>
      <c r="AJ422" s="336"/>
      <c r="AK422" s="336"/>
      <c r="AL422" s="336"/>
      <c r="AM422" s="336"/>
      <c r="AN422" s="336"/>
      <c r="AO422" s="336"/>
      <c r="AP422" s="336"/>
      <c r="AQ422" s="336"/>
      <c r="AR422" s="336"/>
      <c r="AS422" s="336"/>
      <c r="AT422" s="336"/>
    </row>
    <row r="423" spans="1:46" ht="14.45">
      <c r="A423" s="336"/>
      <c r="B423" s="336"/>
      <c r="C423" s="336"/>
      <c r="D423" s="336"/>
      <c r="E423" s="336"/>
      <c r="F423" s="336"/>
      <c r="G423" s="336"/>
      <c r="H423" s="336"/>
      <c r="I423" s="336"/>
      <c r="J423" s="336"/>
      <c r="K423" s="415"/>
      <c r="L423" s="336"/>
      <c r="M423" s="336"/>
      <c r="N423" s="336"/>
      <c r="O423" s="416"/>
      <c r="P423" s="336"/>
      <c r="Q423" s="415"/>
      <c r="R423" s="336"/>
      <c r="S423" s="336"/>
      <c r="T423" s="336"/>
      <c r="U423" s="336"/>
      <c r="V423" s="336"/>
      <c r="W423" s="336"/>
      <c r="X423" s="336"/>
      <c r="Y423" s="336"/>
      <c r="Z423" s="336"/>
      <c r="AA423" s="336"/>
      <c r="AB423" s="336"/>
      <c r="AC423" s="336"/>
      <c r="AD423" s="336"/>
      <c r="AE423"/>
      <c r="AF423" s="336"/>
      <c r="AG423" s="336"/>
      <c r="AH423" s="336"/>
      <c r="AI423" s="336"/>
      <c r="AJ423" s="336"/>
      <c r="AK423" s="336"/>
      <c r="AL423" s="336"/>
      <c r="AM423" s="336"/>
      <c r="AN423" s="336"/>
      <c r="AO423" s="336"/>
      <c r="AP423" s="336"/>
      <c r="AQ423" s="336"/>
      <c r="AR423" s="336"/>
      <c r="AS423" s="336"/>
      <c r="AT423" s="336"/>
    </row>
    <row r="424" spans="1:46" ht="14.45">
      <c r="A424" s="336"/>
      <c r="B424" s="336"/>
      <c r="C424" s="336"/>
      <c r="D424" s="336"/>
      <c r="E424" s="336"/>
      <c r="F424" s="336"/>
      <c r="G424" s="336"/>
      <c r="H424" s="336"/>
      <c r="I424" s="336"/>
      <c r="J424" s="336"/>
      <c r="K424" s="415"/>
      <c r="L424" s="336"/>
      <c r="M424" s="336"/>
      <c r="N424" s="336"/>
      <c r="O424" s="416"/>
      <c r="P424" s="336"/>
      <c r="Q424" s="415"/>
      <c r="R424" s="336"/>
      <c r="S424" s="336"/>
      <c r="T424" s="336"/>
      <c r="U424" s="336"/>
      <c r="V424" s="336"/>
      <c r="W424" s="336"/>
      <c r="X424" s="336"/>
      <c r="Y424" s="336"/>
      <c r="Z424" s="336"/>
      <c r="AA424" s="336"/>
      <c r="AB424" s="336"/>
      <c r="AC424" s="336"/>
      <c r="AD424" s="336"/>
      <c r="AE424"/>
      <c r="AF424" s="336"/>
      <c r="AG424" s="336"/>
      <c r="AH424" s="336"/>
      <c r="AI424" s="336"/>
      <c r="AJ424" s="336"/>
      <c r="AK424" s="336"/>
      <c r="AL424" s="336"/>
      <c r="AM424" s="336"/>
      <c r="AN424" s="336"/>
      <c r="AO424" s="336"/>
      <c r="AP424" s="336"/>
      <c r="AQ424" s="336"/>
      <c r="AR424" s="336"/>
      <c r="AS424" s="336"/>
      <c r="AT424" s="336"/>
    </row>
    <row r="425" spans="1:46" ht="14.45">
      <c r="A425" s="336"/>
      <c r="B425" s="336"/>
      <c r="C425" s="336"/>
      <c r="D425" s="336"/>
      <c r="E425" s="336"/>
      <c r="F425" s="336"/>
      <c r="G425" s="336"/>
      <c r="H425" s="336"/>
      <c r="I425" s="336"/>
      <c r="J425" s="336"/>
      <c r="K425" s="415"/>
      <c r="L425" s="336"/>
      <c r="M425" s="336"/>
      <c r="N425" s="336"/>
      <c r="O425" s="416"/>
      <c r="P425" s="336"/>
      <c r="Q425" s="415"/>
      <c r="R425" s="336"/>
      <c r="S425" s="336"/>
      <c r="T425" s="336"/>
      <c r="U425" s="336"/>
      <c r="V425" s="336"/>
      <c r="W425" s="336"/>
      <c r="X425" s="336"/>
      <c r="Y425" s="336"/>
      <c r="Z425" s="336"/>
      <c r="AA425" s="336"/>
      <c r="AB425" s="336"/>
      <c r="AC425" s="336"/>
      <c r="AD425" s="336"/>
      <c r="AE425"/>
      <c r="AF425" s="336"/>
      <c r="AG425" s="336"/>
      <c r="AH425" s="336"/>
      <c r="AI425" s="336"/>
      <c r="AJ425" s="336"/>
      <c r="AK425" s="336"/>
      <c r="AL425" s="336"/>
      <c r="AM425" s="336"/>
      <c r="AN425" s="336"/>
      <c r="AO425" s="336"/>
      <c r="AP425" s="336"/>
      <c r="AQ425" s="336"/>
      <c r="AR425" s="336"/>
      <c r="AS425" s="336"/>
      <c r="AT425" s="336"/>
    </row>
    <row r="426" spans="1:46" ht="14.45">
      <c r="A426" s="336"/>
      <c r="B426" s="336"/>
      <c r="C426" s="336"/>
      <c r="D426" s="336"/>
      <c r="E426" s="336"/>
      <c r="F426" s="336"/>
      <c r="G426" s="336"/>
      <c r="H426" s="336"/>
      <c r="I426" s="336"/>
      <c r="J426" s="336"/>
      <c r="K426" s="415"/>
      <c r="L426" s="336"/>
      <c r="M426" s="336"/>
      <c r="N426" s="336"/>
      <c r="O426" s="416"/>
      <c r="P426" s="336"/>
      <c r="Q426" s="415"/>
      <c r="R426" s="336"/>
      <c r="S426" s="336"/>
      <c r="T426" s="336"/>
      <c r="U426" s="336"/>
      <c r="V426" s="336"/>
      <c r="W426" s="336"/>
      <c r="X426" s="336"/>
      <c r="Y426" s="336"/>
      <c r="Z426" s="336"/>
      <c r="AA426" s="336"/>
      <c r="AB426" s="336"/>
      <c r="AC426" s="336"/>
      <c r="AD426" s="336"/>
      <c r="AE426"/>
      <c r="AF426" s="336"/>
      <c r="AG426" s="336"/>
      <c r="AH426" s="336"/>
      <c r="AI426" s="336"/>
      <c r="AJ426" s="336"/>
      <c r="AK426" s="336"/>
      <c r="AL426" s="336"/>
      <c r="AM426" s="336"/>
      <c r="AN426" s="336"/>
      <c r="AO426" s="336"/>
      <c r="AP426" s="336"/>
      <c r="AQ426" s="336"/>
      <c r="AR426" s="336"/>
      <c r="AS426" s="336"/>
      <c r="AT426" s="336"/>
    </row>
    <row r="427" spans="1:46" ht="14.45">
      <c r="A427" s="336"/>
      <c r="B427" s="336"/>
      <c r="C427" s="336"/>
      <c r="D427" s="336"/>
      <c r="E427" s="336"/>
      <c r="F427" s="336"/>
      <c r="G427" s="336"/>
      <c r="H427" s="336"/>
      <c r="I427" s="336"/>
      <c r="J427" s="336"/>
      <c r="K427" s="415"/>
      <c r="L427" s="336"/>
      <c r="M427" s="336"/>
      <c r="N427" s="336"/>
      <c r="O427" s="416"/>
      <c r="P427" s="336"/>
      <c r="Q427" s="415"/>
      <c r="R427" s="336"/>
      <c r="S427" s="336"/>
      <c r="T427" s="336"/>
      <c r="U427" s="336"/>
      <c r="V427" s="336"/>
      <c r="W427" s="336"/>
      <c r="X427" s="336"/>
      <c r="Y427" s="336"/>
      <c r="Z427" s="336"/>
      <c r="AA427" s="336"/>
      <c r="AB427" s="336"/>
      <c r="AC427" s="336"/>
      <c r="AD427" s="336"/>
      <c r="AE427"/>
      <c r="AF427" s="336"/>
      <c r="AG427" s="336"/>
      <c r="AH427" s="336"/>
      <c r="AI427" s="336"/>
      <c r="AJ427" s="336"/>
      <c r="AK427" s="336"/>
      <c r="AL427" s="336"/>
      <c r="AM427" s="336"/>
      <c r="AN427" s="336"/>
      <c r="AO427" s="336"/>
      <c r="AP427" s="336"/>
      <c r="AQ427" s="336"/>
      <c r="AR427" s="336"/>
      <c r="AS427" s="336"/>
      <c r="AT427" s="336"/>
    </row>
    <row r="428" spans="1:46" ht="14.45">
      <c r="A428" s="336"/>
      <c r="B428" s="336"/>
      <c r="C428" s="336"/>
      <c r="D428" s="336"/>
      <c r="E428" s="336"/>
      <c r="F428" s="336"/>
      <c r="G428" s="336"/>
      <c r="H428" s="336"/>
      <c r="I428" s="336"/>
      <c r="J428" s="336"/>
      <c r="K428" s="415"/>
      <c r="L428" s="336"/>
      <c r="M428" s="336"/>
      <c r="N428" s="336"/>
      <c r="O428" s="416"/>
      <c r="P428" s="336"/>
      <c r="Q428" s="415"/>
      <c r="R428" s="336"/>
      <c r="S428" s="336"/>
      <c r="T428" s="336"/>
      <c r="U428" s="336"/>
      <c r="V428" s="336"/>
      <c r="W428" s="336"/>
      <c r="X428" s="336"/>
      <c r="Y428" s="336"/>
      <c r="Z428" s="336"/>
      <c r="AA428" s="336"/>
      <c r="AB428" s="336"/>
      <c r="AC428" s="336"/>
      <c r="AD428" s="336"/>
      <c r="AE428"/>
      <c r="AF428" s="336"/>
      <c r="AG428" s="336"/>
      <c r="AH428" s="336"/>
      <c r="AI428" s="336"/>
      <c r="AJ428" s="336"/>
      <c r="AK428" s="336"/>
      <c r="AL428" s="336"/>
      <c r="AM428" s="336"/>
      <c r="AN428" s="336"/>
      <c r="AO428" s="336"/>
      <c r="AP428" s="336"/>
      <c r="AQ428" s="336"/>
      <c r="AR428" s="336"/>
      <c r="AS428" s="336"/>
      <c r="AT428" s="336"/>
    </row>
    <row r="429" spans="1:46" ht="14.45">
      <c r="A429" s="336"/>
      <c r="B429" s="336"/>
      <c r="C429" s="336"/>
      <c r="D429" s="336"/>
      <c r="E429" s="336"/>
      <c r="F429" s="336"/>
      <c r="G429" s="336"/>
      <c r="H429" s="336"/>
      <c r="I429" s="336"/>
      <c r="J429" s="336"/>
      <c r="K429" s="415"/>
      <c r="L429" s="336"/>
      <c r="M429" s="336"/>
      <c r="N429" s="336"/>
      <c r="O429" s="416"/>
      <c r="P429" s="336"/>
      <c r="Q429" s="415"/>
      <c r="R429" s="336"/>
      <c r="S429" s="336"/>
      <c r="T429" s="336"/>
      <c r="U429" s="336"/>
      <c r="V429" s="336"/>
      <c r="W429" s="336"/>
      <c r="X429" s="336"/>
      <c r="Y429" s="336"/>
      <c r="Z429" s="336"/>
      <c r="AA429" s="336"/>
      <c r="AB429" s="336"/>
      <c r="AC429" s="336"/>
      <c r="AD429" s="336"/>
      <c r="AE429"/>
      <c r="AF429" s="336"/>
      <c r="AG429" s="336"/>
      <c r="AH429" s="336"/>
      <c r="AI429" s="336"/>
      <c r="AJ429" s="336"/>
      <c r="AK429" s="336"/>
      <c r="AL429" s="336"/>
      <c r="AM429" s="336"/>
      <c r="AN429" s="336"/>
      <c r="AO429" s="336"/>
      <c r="AP429" s="336"/>
      <c r="AQ429" s="336"/>
      <c r="AR429" s="336"/>
      <c r="AS429" s="336"/>
      <c r="AT429" s="336"/>
    </row>
    <row r="430" spans="1:46" ht="14.45">
      <c r="A430" s="336"/>
      <c r="B430" s="336"/>
      <c r="C430" s="336"/>
      <c r="D430" s="336"/>
      <c r="E430" s="336"/>
      <c r="F430" s="336"/>
      <c r="G430" s="336"/>
      <c r="H430" s="336"/>
      <c r="I430" s="336"/>
      <c r="J430" s="336"/>
      <c r="K430" s="415"/>
      <c r="L430" s="336"/>
      <c r="M430" s="336"/>
      <c r="N430" s="336"/>
      <c r="O430" s="416"/>
      <c r="P430" s="336"/>
      <c r="Q430" s="415"/>
      <c r="R430" s="336"/>
      <c r="S430" s="336"/>
      <c r="T430" s="336"/>
      <c r="U430" s="336"/>
      <c r="V430" s="336"/>
      <c r="W430" s="336"/>
      <c r="X430" s="336"/>
      <c r="Y430" s="336"/>
      <c r="Z430" s="336"/>
      <c r="AA430" s="336"/>
      <c r="AB430" s="336"/>
      <c r="AC430" s="336"/>
      <c r="AD430" s="336"/>
      <c r="AE430"/>
      <c r="AF430" s="336"/>
      <c r="AG430" s="336"/>
      <c r="AH430" s="336"/>
      <c r="AI430" s="336"/>
      <c r="AJ430" s="336"/>
      <c r="AK430" s="336"/>
      <c r="AL430" s="336"/>
      <c r="AM430" s="336"/>
      <c r="AN430" s="336"/>
      <c r="AO430" s="336"/>
      <c r="AP430" s="336"/>
      <c r="AQ430" s="336"/>
      <c r="AR430" s="336"/>
      <c r="AS430" s="336"/>
      <c r="AT430" s="336"/>
    </row>
    <row r="431" spans="1:46" ht="14.45">
      <c r="A431" s="336"/>
      <c r="B431" s="336"/>
      <c r="C431" s="336"/>
      <c r="D431" s="336"/>
      <c r="E431" s="336"/>
      <c r="F431" s="336"/>
      <c r="G431" s="336"/>
      <c r="H431" s="336"/>
      <c r="I431" s="336"/>
      <c r="J431" s="336"/>
      <c r="K431" s="415"/>
      <c r="L431" s="336"/>
      <c r="M431" s="336"/>
      <c r="N431" s="336"/>
      <c r="O431" s="416"/>
      <c r="P431" s="336"/>
      <c r="Q431" s="415"/>
      <c r="R431" s="336"/>
      <c r="S431" s="336"/>
      <c r="T431" s="336"/>
      <c r="U431" s="336"/>
      <c r="V431" s="336"/>
      <c r="W431" s="336"/>
      <c r="X431" s="336"/>
      <c r="Y431" s="336"/>
      <c r="Z431" s="336"/>
      <c r="AA431" s="336"/>
      <c r="AB431" s="336"/>
      <c r="AC431" s="336"/>
      <c r="AD431" s="336"/>
      <c r="AE431"/>
      <c r="AF431" s="336"/>
      <c r="AG431" s="336"/>
      <c r="AH431" s="336"/>
      <c r="AI431" s="336"/>
      <c r="AJ431" s="336"/>
      <c r="AK431" s="336"/>
      <c r="AL431" s="336"/>
      <c r="AM431" s="336"/>
      <c r="AN431" s="336"/>
      <c r="AO431" s="336"/>
      <c r="AP431" s="336"/>
      <c r="AQ431" s="336"/>
      <c r="AR431" s="336"/>
      <c r="AS431" s="336"/>
      <c r="AT431" s="336"/>
    </row>
    <row r="432" spans="1:46" ht="14.45">
      <c r="A432" s="336"/>
      <c r="B432" s="336"/>
      <c r="C432" s="336"/>
      <c r="D432" s="336"/>
      <c r="E432" s="336"/>
      <c r="F432" s="336"/>
      <c r="G432" s="336"/>
      <c r="H432" s="336"/>
      <c r="I432" s="336"/>
      <c r="J432" s="336"/>
      <c r="K432" s="415"/>
      <c r="L432" s="336"/>
      <c r="M432" s="336"/>
      <c r="N432" s="336"/>
      <c r="O432" s="416"/>
      <c r="P432" s="336"/>
      <c r="Q432" s="415"/>
      <c r="R432" s="336"/>
      <c r="S432" s="336"/>
      <c r="T432" s="336"/>
      <c r="U432" s="336"/>
      <c r="V432" s="336"/>
      <c r="W432" s="336"/>
      <c r="X432" s="336"/>
      <c r="Y432" s="336"/>
      <c r="Z432" s="336"/>
      <c r="AA432" s="336"/>
      <c r="AB432" s="336"/>
      <c r="AC432" s="336"/>
      <c r="AD432" s="336"/>
      <c r="AE432"/>
      <c r="AF432" s="336"/>
      <c r="AG432" s="336"/>
      <c r="AH432" s="336"/>
      <c r="AI432" s="336"/>
      <c r="AJ432" s="336"/>
      <c r="AK432" s="336"/>
      <c r="AL432" s="336"/>
      <c r="AM432" s="336"/>
      <c r="AN432" s="336"/>
      <c r="AO432" s="336"/>
      <c r="AP432" s="336"/>
      <c r="AQ432" s="336"/>
      <c r="AR432" s="336"/>
      <c r="AS432" s="336"/>
      <c r="AT432" s="336"/>
    </row>
    <row r="433" spans="1:46" ht="14.45">
      <c r="A433" s="336"/>
      <c r="B433" s="336"/>
      <c r="C433" s="336"/>
      <c r="D433" s="336"/>
      <c r="E433" s="336"/>
      <c r="F433" s="336"/>
      <c r="G433" s="336"/>
      <c r="H433" s="336"/>
      <c r="I433" s="336"/>
      <c r="J433" s="336"/>
      <c r="K433" s="415"/>
      <c r="L433" s="336"/>
      <c r="M433" s="336"/>
      <c r="N433" s="336"/>
      <c r="O433" s="416"/>
      <c r="P433" s="336"/>
      <c r="Q433" s="415"/>
      <c r="R433" s="336"/>
      <c r="S433" s="336"/>
      <c r="T433" s="336"/>
      <c r="U433" s="336"/>
      <c r="V433" s="336"/>
      <c r="W433" s="336"/>
      <c r="X433" s="336"/>
      <c r="Y433" s="336"/>
      <c r="Z433" s="336"/>
      <c r="AA433" s="336"/>
      <c r="AB433" s="336"/>
      <c r="AC433" s="336"/>
      <c r="AD433" s="336"/>
      <c r="AE433"/>
      <c r="AF433" s="336"/>
      <c r="AG433" s="336"/>
      <c r="AH433" s="336"/>
      <c r="AI433" s="336"/>
      <c r="AJ433" s="336"/>
      <c r="AK433" s="336"/>
      <c r="AL433" s="336"/>
      <c r="AM433" s="336"/>
      <c r="AN433" s="336"/>
      <c r="AO433" s="336"/>
      <c r="AP433" s="336"/>
      <c r="AQ433" s="336"/>
      <c r="AR433" s="336"/>
      <c r="AS433" s="336"/>
      <c r="AT433" s="336"/>
    </row>
    <row r="434" spans="1:46" ht="14.45">
      <c r="A434" s="336"/>
      <c r="B434" s="336"/>
      <c r="C434" s="336"/>
      <c r="D434" s="336"/>
      <c r="E434" s="336"/>
      <c r="F434" s="336"/>
      <c r="G434" s="336"/>
      <c r="H434" s="336"/>
      <c r="I434" s="336"/>
      <c r="J434" s="336"/>
      <c r="K434" s="415"/>
      <c r="L434" s="336"/>
      <c r="M434" s="336"/>
      <c r="N434" s="336"/>
      <c r="O434" s="416"/>
      <c r="P434" s="336"/>
      <c r="Q434" s="415"/>
      <c r="R434" s="336"/>
      <c r="S434" s="336"/>
      <c r="T434" s="336"/>
      <c r="U434" s="336"/>
      <c r="V434" s="336"/>
      <c r="W434" s="336"/>
      <c r="X434" s="336"/>
      <c r="Y434" s="336"/>
      <c r="Z434" s="336"/>
      <c r="AA434" s="336"/>
      <c r="AB434" s="336"/>
      <c r="AC434" s="336"/>
      <c r="AD434" s="336"/>
      <c r="AE434"/>
      <c r="AF434" s="336"/>
      <c r="AG434" s="336"/>
      <c r="AH434" s="336"/>
      <c r="AI434" s="336"/>
      <c r="AJ434" s="336"/>
      <c r="AK434" s="336"/>
      <c r="AL434" s="336"/>
      <c r="AM434" s="336"/>
      <c r="AN434" s="336"/>
      <c r="AO434" s="336"/>
      <c r="AP434" s="336"/>
      <c r="AQ434" s="336"/>
      <c r="AR434" s="336"/>
      <c r="AS434" s="336"/>
      <c r="AT434" s="336"/>
    </row>
    <row r="435" spans="1:46" ht="14.45">
      <c r="A435" s="336"/>
      <c r="B435" s="336"/>
      <c r="C435" s="336"/>
      <c r="D435" s="336"/>
      <c r="E435" s="336"/>
      <c r="F435" s="336"/>
      <c r="G435" s="336"/>
      <c r="H435" s="336"/>
      <c r="I435" s="336"/>
      <c r="J435" s="336"/>
      <c r="K435" s="415"/>
      <c r="L435" s="336"/>
      <c r="M435" s="336"/>
      <c r="N435" s="336"/>
      <c r="O435" s="416"/>
      <c r="P435" s="336"/>
      <c r="Q435" s="415"/>
      <c r="R435" s="336"/>
      <c r="S435" s="336"/>
      <c r="T435" s="336"/>
      <c r="U435" s="336"/>
      <c r="V435" s="336"/>
      <c r="W435" s="336"/>
      <c r="X435" s="336"/>
      <c r="Y435" s="336"/>
      <c r="Z435" s="336"/>
      <c r="AA435" s="336"/>
      <c r="AB435" s="336"/>
      <c r="AC435" s="336"/>
      <c r="AD435" s="336"/>
      <c r="AE435"/>
      <c r="AF435" s="336"/>
      <c r="AG435" s="336"/>
      <c r="AH435" s="336"/>
      <c r="AI435" s="336"/>
      <c r="AJ435" s="336"/>
      <c r="AK435" s="336"/>
      <c r="AL435" s="336"/>
      <c r="AM435" s="336"/>
      <c r="AN435" s="336"/>
      <c r="AO435" s="336"/>
      <c r="AP435" s="336"/>
      <c r="AQ435" s="336"/>
      <c r="AR435" s="336"/>
      <c r="AS435" s="336"/>
      <c r="AT435" s="336"/>
    </row>
    <row r="436" spans="1:46" ht="14.45">
      <c r="A436" s="336"/>
      <c r="B436" s="336"/>
      <c r="C436" s="336"/>
      <c r="D436" s="336"/>
      <c r="E436" s="336"/>
      <c r="F436" s="336"/>
      <c r="G436" s="336"/>
      <c r="H436" s="336"/>
      <c r="I436" s="336"/>
      <c r="J436" s="336"/>
      <c r="K436" s="415"/>
      <c r="L436" s="336"/>
      <c r="M436" s="336"/>
      <c r="N436" s="336"/>
      <c r="O436" s="416"/>
      <c r="P436" s="336"/>
      <c r="Q436" s="415"/>
      <c r="R436" s="336"/>
      <c r="S436" s="336"/>
      <c r="T436" s="336"/>
      <c r="U436" s="336"/>
      <c r="V436" s="336"/>
      <c r="W436" s="336"/>
      <c r="X436" s="336"/>
      <c r="Y436" s="336"/>
      <c r="Z436" s="336"/>
      <c r="AA436" s="336"/>
      <c r="AB436" s="336"/>
      <c r="AC436" s="336"/>
      <c r="AD436" s="336"/>
      <c r="AE436"/>
      <c r="AF436" s="336"/>
      <c r="AG436" s="336"/>
      <c r="AH436" s="336"/>
      <c r="AI436" s="336"/>
      <c r="AJ436" s="336"/>
      <c r="AK436" s="336"/>
      <c r="AL436" s="336"/>
      <c r="AM436" s="336"/>
      <c r="AN436" s="336"/>
      <c r="AO436" s="336"/>
      <c r="AP436" s="336"/>
      <c r="AQ436" s="336"/>
      <c r="AR436" s="336"/>
      <c r="AS436" s="336"/>
      <c r="AT436" s="336"/>
    </row>
    <row r="437" spans="1:46" ht="14.45">
      <c r="A437" s="336"/>
      <c r="B437" s="336"/>
      <c r="C437" s="336"/>
      <c r="D437" s="336"/>
      <c r="E437" s="336"/>
      <c r="F437" s="336"/>
      <c r="G437" s="336"/>
      <c r="H437" s="336"/>
      <c r="I437" s="336"/>
      <c r="J437" s="336"/>
      <c r="K437" s="415"/>
      <c r="L437" s="336"/>
      <c r="M437" s="336"/>
      <c r="N437" s="336"/>
      <c r="O437" s="416"/>
      <c r="P437" s="336"/>
      <c r="Q437" s="415"/>
      <c r="R437" s="336"/>
      <c r="S437" s="336"/>
      <c r="T437" s="336"/>
      <c r="U437" s="336"/>
      <c r="V437" s="336"/>
      <c r="W437" s="336"/>
      <c r="X437" s="336"/>
      <c r="Y437" s="336"/>
      <c r="Z437" s="336"/>
      <c r="AA437" s="336"/>
      <c r="AB437" s="336"/>
      <c r="AC437" s="336"/>
      <c r="AD437" s="336"/>
      <c r="AE437"/>
      <c r="AF437" s="336"/>
      <c r="AG437" s="336"/>
      <c r="AH437" s="336"/>
      <c r="AI437" s="336"/>
      <c r="AJ437" s="336"/>
      <c r="AK437" s="336"/>
      <c r="AL437" s="336"/>
      <c r="AM437" s="336"/>
      <c r="AN437" s="336"/>
      <c r="AO437" s="336"/>
      <c r="AP437" s="336"/>
      <c r="AQ437" s="336"/>
      <c r="AR437" s="336"/>
      <c r="AS437" s="336"/>
      <c r="AT437" s="336"/>
    </row>
    <row r="438" spans="1:46" ht="14.45">
      <c r="A438" s="336"/>
      <c r="B438" s="336"/>
      <c r="C438" s="336"/>
      <c r="D438" s="336"/>
      <c r="E438" s="336"/>
      <c r="F438" s="336"/>
      <c r="G438" s="336"/>
      <c r="H438" s="336"/>
      <c r="I438" s="336"/>
      <c r="J438" s="336"/>
      <c r="K438" s="415"/>
      <c r="L438" s="336"/>
      <c r="M438" s="336"/>
      <c r="N438" s="336"/>
      <c r="O438" s="416"/>
      <c r="P438" s="336"/>
      <c r="Q438" s="415"/>
      <c r="R438" s="336"/>
      <c r="S438" s="336"/>
      <c r="T438" s="336"/>
      <c r="U438" s="336"/>
      <c r="V438" s="336"/>
      <c r="W438" s="336"/>
      <c r="X438" s="336"/>
      <c r="Y438" s="336"/>
      <c r="Z438" s="336"/>
      <c r="AA438" s="336"/>
      <c r="AB438" s="336"/>
      <c r="AC438" s="336"/>
      <c r="AD438" s="336"/>
      <c r="AE438"/>
      <c r="AF438" s="336"/>
      <c r="AG438" s="336"/>
      <c r="AH438" s="336"/>
      <c r="AI438" s="336"/>
      <c r="AJ438" s="336"/>
      <c r="AK438" s="336"/>
      <c r="AL438" s="336"/>
      <c r="AM438" s="336"/>
      <c r="AN438" s="336"/>
      <c r="AO438" s="336"/>
      <c r="AP438" s="336"/>
      <c r="AQ438" s="336"/>
      <c r="AR438" s="336"/>
      <c r="AS438" s="336"/>
      <c r="AT438" s="336"/>
    </row>
    <row r="439" spans="1:46" ht="14.45">
      <c r="A439" s="336"/>
      <c r="B439" s="336"/>
      <c r="C439" s="336"/>
      <c r="D439" s="336"/>
      <c r="E439" s="336"/>
      <c r="F439" s="336"/>
      <c r="G439" s="336"/>
      <c r="H439" s="336"/>
      <c r="I439" s="336"/>
      <c r="J439" s="336"/>
      <c r="K439" s="415"/>
      <c r="L439" s="336"/>
      <c r="M439" s="336"/>
      <c r="N439" s="336"/>
      <c r="O439" s="416"/>
      <c r="P439" s="336"/>
      <c r="Q439" s="415"/>
      <c r="R439" s="336"/>
      <c r="S439" s="336"/>
      <c r="T439" s="336"/>
      <c r="U439" s="336"/>
      <c r="V439" s="336"/>
      <c r="W439" s="336"/>
      <c r="X439" s="336"/>
      <c r="Y439" s="336"/>
      <c r="Z439" s="336"/>
      <c r="AA439" s="336"/>
      <c r="AB439" s="336"/>
      <c r="AC439" s="336"/>
      <c r="AD439" s="336"/>
      <c r="AE439"/>
      <c r="AF439" s="336"/>
      <c r="AG439" s="336"/>
      <c r="AH439" s="336"/>
      <c r="AI439" s="336"/>
      <c r="AJ439" s="336"/>
      <c r="AK439" s="336"/>
      <c r="AL439" s="336"/>
      <c r="AM439" s="336"/>
      <c r="AN439" s="336"/>
      <c r="AO439" s="336"/>
      <c r="AP439" s="336"/>
      <c r="AQ439" s="336"/>
      <c r="AR439" s="336"/>
      <c r="AS439" s="336"/>
      <c r="AT439" s="336"/>
    </row>
    <row r="440" spans="1:46" ht="14.45">
      <c r="A440" s="336"/>
      <c r="B440" s="336"/>
      <c r="C440" s="336"/>
      <c r="D440" s="336"/>
      <c r="E440" s="336"/>
      <c r="F440" s="336"/>
      <c r="G440" s="336"/>
      <c r="H440" s="336"/>
      <c r="I440" s="336"/>
      <c r="J440" s="336"/>
      <c r="K440" s="415"/>
      <c r="L440" s="336"/>
      <c r="M440" s="336"/>
      <c r="N440" s="336"/>
      <c r="O440" s="416"/>
      <c r="P440" s="336"/>
      <c r="Q440" s="415"/>
      <c r="R440" s="336"/>
      <c r="S440" s="336"/>
      <c r="T440" s="336"/>
      <c r="U440" s="336"/>
      <c r="V440" s="336"/>
      <c r="W440" s="336"/>
      <c r="X440" s="336"/>
      <c r="Y440" s="336"/>
      <c r="Z440" s="336"/>
      <c r="AA440" s="336"/>
      <c r="AB440" s="336"/>
      <c r="AC440" s="336"/>
      <c r="AD440" s="336"/>
      <c r="AE440"/>
      <c r="AF440" s="336"/>
      <c r="AG440" s="336"/>
      <c r="AH440" s="336"/>
      <c r="AI440" s="336"/>
      <c r="AJ440" s="336"/>
      <c r="AK440" s="336"/>
      <c r="AL440" s="336"/>
      <c r="AM440" s="336"/>
      <c r="AN440" s="336"/>
      <c r="AO440" s="336"/>
      <c r="AP440" s="336"/>
      <c r="AQ440" s="336"/>
      <c r="AR440" s="336"/>
      <c r="AS440" s="336"/>
      <c r="AT440" s="336"/>
    </row>
    <row r="441" spans="1:46" ht="14.45">
      <c r="A441" s="336"/>
      <c r="B441" s="336"/>
      <c r="C441" s="336"/>
      <c r="D441" s="336"/>
      <c r="E441" s="336"/>
      <c r="F441" s="336"/>
      <c r="G441" s="336"/>
      <c r="H441" s="336"/>
      <c r="I441" s="336"/>
      <c r="J441" s="336"/>
      <c r="K441" s="415"/>
      <c r="L441" s="336"/>
      <c r="M441" s="336"/>
      <c r="N441" s="336"/>
      <c r="O441" s="416"/>
      <c r="P441" s="336"/>
      <c r="Q441" s="415"/>
      <c r="R441" s="336"/>
      <c r="S441" s="336"/>
      <c r="T441" s="336"/>
      <c r="U441" s="336"/>
      <c r="V441" s="336"/>
      <c r="W441" s="336"/>
      <c r="X441" s="336"/>
      <c r="Y441" s="336"/>
      <c r="Z441" s="336"/>
      <c r="AA441" s="336"/>
      <c r="AB441" s="336"/>
      <c r="AC441" s="336"/>
      <c r="AD441" s="336"/>
      <c r="AE441"/>
      <c r="AF441" s="336"/>
      <c r="AG441" s="336"/>
      <c r="AH441" s="336"/>
      <c r="AI441" s="336"/>
      <c r="AJ441" s="336"/>
      <c r="AK441" s="336"/>
      <c r="AL441" s="336"/>
      <c r="AM441" s="336"/>
      <c r="AN441" s="336"/>
      <c r="AO441" s="336"/>
      <c r="AP441" s="336"/>
      <c r="AQ441" s="336"/>
      <c r="AR441" s="336"/>
      <c r="AS441" s="336"/>
      <c r="AT441" s="336"/>
    </row>
    <row r="442" spans="1:46" ht="14.45">
      <c r="A442" s="336"/>
      <c r="B442" s="336"/>
      <c r="C442" s="336"/>
      <c r="D442" s="336"/>
      <c r="E442" s="336"/>
      <c r="F442" s="336"/>
      <c r="G442" s="336"/>
      <c r="H442" s="336"/>
      <c r="I442" s="336"/>
      <c r="J442" s="336"/>
      <c r="K442" s="415"/>
      <c r="L442" s="336"/>
      <c r="M442" s="336"/>
      <c r="N442" s="336"/>
      <c r="O442" s="416"/>
      <c r="P442" s="336"/>
      <c r="Q442" s="415"/>
      <c r="R442" s="336"/>
      <c r="S442" s="336"/>
      <c r="T442" s="336"/>
      <c r="U442" s="336"/>
      <c r="V442" s="336"/>
      <c r="W442" s="336"/>
      <c r="X442" s="336"/>
      <c r="Y442" s="336"/>
      <c r="Z442" s="336"/>
      <c r="AA442" s="336"/>
      <c r="AB442" s="336"/>
      <c r="AC442" s="336"/>
      <c r="AD442" s="336"/>
      <c r="AE442"/>
      <c r="AF442" s="336"/>
      <c r="AG442" s="336"/>
      <c r="AH442" s="336"/>
      <c r="AI442" s="336"/>
      <c r="AJ442" s="336"/>
      <c r="AK442" s="336"/>
      <c r="AL442" s="336"/>
      <c r="AM442" s="336"/>
      <c r="AN442" s="336"/>
      <c r="AO442" s="336"/>
      <c r="AP442" s="336"/>
      <c r="AQ442" s="336"/>
      <c r="AR442" s="336"/>
      <c r="AS442" s="336"/>
      <c r="AT442" s="336"/>
    </row>
    <row r="443" spans="1:46" ht="14.45">
      <c r="A443" s="336"/>
      <c r="B443" s="336"/>
      <c r="C443" s="336"/>
      <c r="D443" s="336"/>
      <c r="E443" s="336"/>
      <c r="F443" s="336"/>
      <c r="G443" s="336"/>
      <c r="H443" s="336"/>
      <c r="I443" s="336"/>
      <c r="J443" s="336"/>
      <c r="K443" s="415"/>
      <c r="L443" s="336"/>
      <c r="M443" s="336"/>
      <c r="N443" s="336"/>
      <c r="O443" s="416"/>
      <c r="P443" s="336"/>
      <c r="Q443" s="415"/>
      <c r="R443" s="336"/>
      <c r="S443" s="336"/>
      <c r="T443" s="336"/>
      <c r="U443" s="336"/>
      <c r="V443" s="336"/>
      <c r="W443" s="336"/>
      <c r="X443" s="336"/>
      <c r="Y443" s="336"/>
      <c r="Z443" s="336"/>
      <c r="AA443" s="336"/>
      <c r="AB443" s="336"/>
      <c r="AC443" s="336"/>
      <c r="AD443" s="336"/>
      <c r="AE443"/>
      <c r="AF443" s="336"/>
      <c r="AG443" s="336"/>
      <c r="AH443" s="336"/>
      <c r="AI443" s="336"/>
      <c r="AJ443" s="336"/>
      <c r="AK443" s="336"/>
      <c r="AL443" s="336"/>
      <c r="AM443" s="336"/>
      <c r="AN443" s="336"/>
      <c r="AO443" s="336"/>
      <c r="AP443" s="336"/>
      <c r="AQ443" s="336"/>
      <c r="AR443" s="336"/>
      <c r="AS443" s="336"/>
      <c r="AT443" s="336"/>
    </row>
    <row r="444" spans="1:46" ht="14.45">
      <c r="A444" s="336"/>
      <c r="B444" s="336"/>
      <c r="C444" s="336"/>
      <c r="D444" s="336"/>
      <c r="E444" s="336"/>
      <c r="F444" s="336"/>
      <c r="G444" s="336"/>
      <c r="H444" s="336"/>
      <c r="I444" s="336"/>
      <c r="J444" s="336"/>
      <c r="K444" s="415"/>
      <c r="L444" s="336"/>
      <c r="M444" s="336"/>
      <c r="N444" s="336"/>
      <c r="O444" s="416"/>
      <c r="P444" s="336"/>
      <c r="Q444" s="415"/>
      <c r="R444" s="336"/>
      <c r="S444" s="336"/>
      <c r="T444" s="336"/>
      <c r="U444" s="336"/>
      <c r="V444" s="336"/>
      <c r="W444" s="336"/>
      <c r="X444" s="336"/>
      <c r="Y444" s="336"/>
      <c r="Z444" s="336"/>
      <c r="AA444" s="336"/>
      <c r="AB444" s="336"/>
      <c r="AC444" s="336"/>
      <c r="AD444" s="336"/>
      <c r="AE444"/>
      <c r="AF444" s="336"/>
      <c r="AG444" s="336"/>
      <c r="AH444" s="336"/>
      <c r="AI444" s="336"/>
      <c r="AJ444" s="336"/>
      <c r="AK444" s="336"/>
      <c r="AL444" s="336"/>
      <c r="AM444" s="336"/>
      <c r="AN444" s="336"/>
      <c r="AO444" s="336"/>
      <c r="AP444" s="336"/>
      <c r="AQ444" s="336"/>
      <c r="AR444" s="336"/>
      <c r="AS444" s="336"/>
      <c r="AT444" s="336"/>
    </row>
    <row r="445" spans="1:46" ht="14.45">
      <c r="A445" s="336"/>
      <c r="B445" s="336"/>
      <c r="C445" s="336"/>
      <c r="D445" s="336"/>
      <c r="E445" s="336"/>
      <c r="F445" s="336"/>
      <c r="G445" s="336"/>
      <c r="H445" s="336"/>
      <c r="I445" s="336"/>
      <c r="J445" s="336"/>
      <c r="K445" s="415"/>
      <c r="L445" s="336"/>
      <c r="M445" s="336"/>
      <c r="N445" s="336"/>
      <c r="O445" s="416"/>
      <c r="P445" s="336"/>
      <c r="Q445" s="415"/>
      <c r="R445" s="336"/>
      <c r="S445" s="336"/>
      <c r="T445" s="336"/>
      <c r="U445" s="336"/>
      <c r="V445" s="336"/>
      <c r="W445" s="336"/>
      <c r="X445" s="336"/>
      <c r="Y445" s="336"/>
      <c r="Z445" s="336"/>
      <c r="AA445" s="336"/>
      <c r="AB445" s="336"/>
      <c r="AC445" s="336"/>
      <c r="AD445" s="336"/>
      <c r="AE445"/>
      <c r="AF445" s="336"/>
      <c r="AG445" s="336"/>
      <c r="AH445" s="336"/>
      <c r="AI445" s="336"/>
      <c r="AJ445" s="336"/>
      <c r="AK445" s="336"/>
      <c r="AL445" s="336"/>
      <c r="AM445" s="336"/>
      <c r="AN445" s="336"/>
      <c r="AO445" s="336"/>
      <c r="AP445" s="336"/>
      <c r="AQ445" s="336"/>
      <c r="AR445" s="336"/>
      <c r="AS445" s="336"/>
      <c r="AT445" s="336"/>
    </row>
    <row r="446" spans="1:46" ht="14.45">
      <c r="A446" s="336"/>
      <c r="B446" s="336"/>
      <c r="C446" s="336"/>
      <c r="D446" s="336"/>
      <c r="E446" s="336"/>
      <c r="F446" s="336"/>
      <c r="G446" s="336"/>
      <c r="H446" s="336"/>
      <c r="I446" s="336"/>
      <c r="J446" s="336"/>
      <c r="K446" s="415"/>
      <c r="L446" s="336"/>
      <c r="M446" s="336"/>
      <c r="N446" s="336"/>
      <c r="O446" s="416"/>
      <c r="P446" s="336"/>
      <c r="Q446" s="415"/>
      <c r="R446" s="336"/>
      <c r="S446" s="336"/>
      <c r="T446" s="336"/>
      <c r="U446" s="336"/>
      <c r="V446" s="336"/>
      <c r="W446" s="336"/>
      <c r="X446" s="336"/>
      <c r="Y446" s="336"/>
      <c r="Z446" s="336"/>
      <c r="AA446" s="336"/>
      <c r="AB446" s="336"/>
      <c r="AC446" s="336"/>
      <c r="AD446" s="336"/>
      <c r="AE446"/>
      <c r="AF446" s="336"/>
      <c r="AG446" s="336"/>
      <c r="AH446" s="336"/>
      <c r="AI446" s="336"/>
      <c r="AJ446" s="336"/>
      <c r="AK446" s="336"/>
      <c r="AL446" s="336"/>
      <c r="AM446" s="336"/>
      <c r="AN446" s="336"/>
      <c r="AO446" s="336"/>
      <c r="AP446" s="336"/>
      <c r="AQ446" s="336"/>
      <c r="AR446" s="336"/>
      <c r="AS446" s="336"/>
      <c r="AT446" s="336"/>
    </row>
    <row r="447" spans="1:46" ht="14.45">
      <c r="A447" s="336"/>
      <c r="B447" s="336"/>
      <c r="C447" s="336"/>
      <c r="D447" s="336"/>
      <c r="E447" s="336"/>
      <c r="F447" s="336"/>
      <c r="G447" s="336"/>
      <c r="H447" s="336"/>
      <c r="I447" s="336"/>
      <c r="J447" s="336"/>
      <c r="K447" s="415"/>
      <c r="L447" s="336"/>
      <c r="M447" s="336"/>
      <c r="N447" s="336"/>
      <c r="O447" s="416"/>
      <c r="P447" s="336"/>
      <c r="Q447" s="415"/>
      <c r="R447" s="336"/>
      <c r="S447" s="336"/>
      <c r="T447" s="336"/>
      <c r="U447" s="336"/>
      <c r="V447" s="336"/>
      <c r="W447" s="336"/>
      <c r="X447" s="336"/>
      <c r="Y447" s="336"/>
      <c r="Z447" s="336"/>
      <c r="AA447" s="336"/>
      <c r="AB447" s="336"/>
      <c r="AC447" s="336"/>
      <c r="AD447" s="336"/>
      <c r="AE447"/>
      <c r="AF447" s="336"/>
      <c r="AG447" s="336"/>
      <c r="AH447" s="336"/>
      <c r="AI447" s="336"/>
      <c r="AJ447" s="336"/>
      <c r="AK447" s="336"/>
      <c r="AL447" s="336"/>
      <c r="AM447" s="336"/>
      <c r="AN447" s="336"/>
      <c r="AO447" s="336"/>
      <c r="AP447" s="336"/>
      <c r="AQ447" s="336"/>
      <c r="AR447" s="336"/>
      <c r="AS447" s="336"/>
      <c r="AT447" s="336"/>
    </row>
    <row r="448" spans="1:46" ht="14.45">
      <c r="A448" s="336"/>
      <c r="B448" s="336"/>
      <c r="C448" s="336"/>
      <c r="D448" s="336"/>
      <c r="E448" s="336"/>
      <c r="F448" s="336"/>
      <c r="G448" s="336"/>
      <c r="H448" s="336"/>
      <c r="I448" s="336"/>
      <c r="J448" s="336"/>
      <c r="K448" s="415"/>
      <c r="L448" s="336"/>
      <c r="M448" s="336"/>
      <c r="N448" s="336"/>
      <c r="O448" s="416"/>
      <c r="P448" s="336"/>
      <c r="Q448" s="415"/>
      <c r="R448" s="336"/>
      <c r="S448" s="336"/>
      <c r="T448" s="336"/>
      <c r="U448" s="336"/>
      <c r="V448" s="336"/>
      <c r="W448" s="336"/>
      <c r="X448" s="336"/>
      <c r="Y448" s="336"/>
      <c r="Z448" s="336"/>
      <c r="AA448" s="336"/>
      <c r="AB448" s="336"/>
      <c r="AC448" s="336"/>
      <c r="AD448" s="336"/>
      <c r="AE448"/>
      <c r="AF448" s="336"/>
      <c r="AG448" s="336"/>
      <c r="AH448" s="336"/>
      <c r="AI448" s="336"/>
      <c r="AJ448" s="336"/>
      <c r="AK448" s="336"/>
      <c r="AL448" s="336"/>
      <c r="AM448" s="336"/>
      <c r="AN448" s="336"/>
      <c r="AO448" s="336"/>
      <c r="AP448" s="336"/>
      <c r="AQ448" s="336"/>
      <c r="AR448" s="336"/>
      <c r="AS448" s="336"/>
      <c r="AT448" s="336"/>
    </row>
    <row r="449" spans="1:46" ht="14.45">
      <c r="A449" s="336"/>
      <c r="B449" s="336"/>
      <c r="C449" s="336"/>
      <c r="D449" s="336"/>
      <c r="E449" s="336"/>
      <c r="F449" s="336"/>
      <c r="G449" s="336"/>
      <c r="H449" s="336"/>
      <c r="I449" s="336"/>
      <c r="J449" s="336"/>
      <c r="K449" s="415"/>
      <c r="L449" s="336"/>
      <c r="M449" s="336"/>
      <c r="N449" s="336"/>
      <c r="O449" s="416"/>
      <c r="P449" s="336"/>
      <c r="Q449" s="415"/>
      <c r="R449" s="336"/>
      <c r="S449" s="336"/>
      <c r="T449" s="336"/>
      <c r="U449" s="336"/>
      <c r="V449" s="336"/>
      <c r="W449" s="336"/>
      <c r="X449" s="336"/>
      <c r="Y449" s="336"/>
      <c r="Z449" s="336"/>
      <c r="AA449" s="336"/>
      <c r="AB449" s="336"/>
      <c r="AC449" s="336"/>
      <c r="AD449" s="336"/>
      <c r="AE449"/>
      <c r="AF449" s="336"/>
      <c r="AG449" s="336"/>
      <c r="AH449" s="336"/>
      <c r="AI449" s="336"/>
      <c r="AJ449" s="336"/>
      <c r="AK449" s="336"/>
      <c r="AL449" s="336"/>
      <c r="AM449" s="336"/>
      <c r="AN449" s="336"/>
      <c r="AO449" s="336"/>
      <c r="AP449" s="336"/>
      <c r="AQ449" s="336"/>
      <c r="AR449" s="336"/>
      <c r="AS449" s="336"/>
      <c r="AT449" s="336"/>
    </row>
    <row r="450" spans="1:46" ht="14.45">
      <c r="A450" s="336"/>
      <c r="B450" s="336"/>
      <c r="C450" s="336"/>
      <c r="D450" s="336"/>
      <c r="E450" s="336"/>
      <c r="F450" s="336"/>
      <c r="G450" s="336"/>
      <c r="H450" s="336"/>
      <c r="I450" s="336"/>
      <c r="J450" s="336"/>
      <c r="K450" s="415"/>
      <c r="L450" s="336"/>
      <c r="M450" s="336"/>
      <c r="N450" s="336"/>
      <c r="O450" s="416"/>
      <c r="P450" s="336"/>
      <c r="Q450" s="415"/>
      <c r="R450" s="336"/>
      <c r="S450" s="336"/>
      <c r="T450" s="336"/>
      <c r="U450" s="336"/>
      <c r="V450" s="336"/>
      <c r="W450" s="336"/>
      <c r="X450" s="336"/>
      <c r="Y450" s="336"/>
      <c r="Z450" s="336"/>
      <c r="AA450" s="336"/>
      <c r="AB450" s="336"/>
      <c r="AC450" s="336"/>
      <c r="AD450" s="336"/>
      <c r="AE450"/>
      <c r="AF450" s="336"/>
      <c r="AG450" s="336"/>
      <c r="AH450" s="336"/>
      <c r="AI450" s="336"/>
      <c r="AJ450" s="336"/>
      <c r="AK450" s="336"/>
      <c r="AL450" s="336"/>
      <c r="AM450" s="336"/>
      <c r="AN450" s="336"/>
      <c r="AO450" s="336"/>
      <c r="AP450" s="336"/>
      <c r="AQ450" s="336"/>
      <c r="AR450" s="336"/>
      <c r="AS450" s="336"/>
      <c r="AT450" s="336"/>
    </row>
    <row r="451" spans="1:46" ht="14.45">
      <c r="A451" s="336"/>
      <c r="B451" s="336"/>
      <c r="C451" s="336"/>
      <c r="D451" s="336"/>
      <c r="E451" s="336"/>
      <c r="F451" s="336"/>
      <c r="G451" s="336"/>
      <c r="H451" s="336"/>
      <c r="I451" s="336"/>
      <c r="J451" s="336"/>
      <c r="K451" s="415"/>
      <c r="L451" s="336"/>
      <c r="M451" s="336"/>
      <c r="N451" s="336"/>
      <c r="O451" s="416"/>
      <c r="P451" s="336"/>
      <c r="Q451" s="415"/>
      <c r="R451" s="336"/>
      <c r="S451" s="336"/>
      <c r="T451" s="336"/>
      <c r="U451" s="336"/>
      <c r="V451" s="336"/>
      <c r="W451" s="336"/>
      <c r="X451" s="336"/>
      <c r="Y451" s="336"/>
      <c r="Z451" s="336"/>
      <c r="AA451" s="336"/>
      <c r="AB451" s="336"/>
      <c r="AC451" s="336"/>
      <c r="AD451" s="336"/>
      <c r="AE451"/>
      <c r="AF451" s="336"/>
      <c r="AG451" s="336"/>
      <c r="AH451" s="336"/>
      <c r="AI451" s="336"/>
      <c r="AJ451" s="336"/>
      <c r="AK451" s="336"/>
      <c r="AL451" s="336"/>
      <c r="AM451" s="336"/>
      <c r="AN451" s="336"/>
      <c r="AO451" s="336"/>
      <c r="AP451" s="336"/>
      <c r="AQ451" s="336"/>
      <c r="AR451" s="336"/>
      <c r="AS451" s="336"/>
      <c r="AT451" s="336"/>
    </row>
    <row r="452" spans="1:46" ht="14.45">
      <c r="A452" s="336"/>
      <c r="B452" s="336"/>
      <c r="C452" s="336"/>
      <c r="D452" s="336"/>
      <c r="E452" s="336"/>
      <c r="F452" s="336"/>
      <c r="G452" s="336"/>
      <c r="H452" s="336"/>
      <c r="I452" s="336"/>
      <c r="J452" s="336"/>
      <c r="K452" s="415"/>
      <c r="L452" s="336"/>
      <c r="M452" s="336"/>
      <c r="N452" s="336"/>
      <c r="O452" s="416"/>
      <c r="P452" s="336"/>
      <c r="Q452" s="415"/>
      <c r="R452" s="336"/>
      <c r="S452" s="336"/>
      <c r="T452" s="336"/>
      <c r="U452" s="336"/>
      <c r="V452" s="336"/>
      <c r="W452" s="336"/>
      <c r="X452" s="336"/>
      <c r="Y452" s="336"/>
      <c r="Z452" s="336"/>
      <c r="AA452" s="336"/>
      <c r="AB452" s="336"/>
      <c r="AC452" s="336"/>
      <c r="AD452" s="336"/>
      <c r="AE452"/>
      <c r="AF452" s="336"/>
      <c r="AG452" s="336"/>
      <c r="AH452" s="336"/>
      <c r="AI452" s="336"/>
      <c r="AJ452" s="336"/>
      <c r="AK452" s="336"/>
      <c r="AL452" s="336"/>
      <c r="AM452" s="336"/>
      <c r="AN452" s="336"/>
      <c r="AO452" s="336"/>
      <c r="AP452" s="336"/>
      <c r="AQ452" s="336"/>
      <c r="AR452" s="336"/>
      <c r="AS452" s="336"/>
      <c r="AT452" s="336"/>
    </row>
    <row r="453" spans="1:46" ht="14.45">
      <c r="A453" s="336"/>
      <c r="B453" s="336"/>
      <c r="C453" s="336"/>
      <c r="D453" s="336"/>
      <c r="E453" s="336"/>
      <c r="F453" s="336"/>
      <c r="G453" s="336"/>
      <c r="H453" s="336"/>
      <c r="I453" s="336"/>
      <c r="J453" s="336"/>
      <c r="K453" s="415"/>
      <c r="L453" s="336"/>
      <c r="M453" s="336"/>
      <c r="N453" s="336"/>
      <c r="O453" s="416"/>
      <c r="P453" s="336"/>
      <c r="Q453" s="415"/>
      <c r="R453" s="336"/>
      <c r="S453" s="336"/>
      <c r="T453" s="336"/>
      <c r="U453" s="336"/>
      <c r="V453" s="336"/>
      <c r="W453" s="336"/>
      <c r="X453" s="336"/>
      <c r="Y453" s="336"/>
      <c r="Z453" s="336"/>
      <c r="AA453" s="336"/>
      <c r="AB453" s="336"/>
      <c r="AC453" s="336"/>
      <c r="AD453" s="336"/>
      <c r="AE453"/>
      <c r="AF453" s="336"/>
      <c r="AG453" s="336"/>
      <c r="AH453" s="336"/>
      <c r="AI453" s="336"/>
      <c r="AJ453" s="336"/>
      <c r="AK453" s="336"/>
      <c r="AL453" s="336"/>
      <c r="AM453" s="336"/>
      <c r="AN453" s="336"/>
      <c r="AO453" s="336"/>
      <c r="AP453" s="336"/>
      <c r="AQ453" s="336"/>
      <c r="AR453" s="336"/>
      <c r="AS453" s="336"/>
      <c r="AT453" s="336"/>
    </row>
    <row r="454" spans="1:46" ht="14.45">
      <c r="A454" s="336"/>
      <c r="B454" s="336"/>
      <c r="C454" s="336"/>
      <c r="D454" s="336"/>
      <c r="E454" s="336"/>
      <c r="F454" s="336"/>
      <c r="G454" s="336"/>
      <c r="H454" s="336"/>
      <c r="I454" s="336"/>
      <c r="J454" s="336"/>
      <c r="K454" s="415"/>
      <c r="L454" s="336"/>
      <c r="M454" s="336"/>
      <c r="N454" s="336"/>
      <c r="O454" s="416"/>
      <c r="P454" s="336"/>
      <c r="Q454" s="415"/>
      <c r="R454" s="336"/>
      <c r="S454" s="336"/>
      <c r="T454" s="336"/>
      <c r="U454" s="336"/>
      <c r="V454" s="336"/>
      <c r="W454" s="336"/>
      <c r="X454" s="336"/>
      <c r="Y454" s="336"/>
      <c r="Z454" s="336"/>
      <c r="AA454" s="336"/>
      <c r="AB454" s="336"/>
      <c r="AC454" s="336"/>
      <c r="AD454" s="336"/>
      <c r="AE454"/>
      <c r="AF454" s="336"/>
      <c r="AG454" s="336"/>
      <c r="AH454" s="336"/>
      <c r="AI454" s="336"/>
      <c r="AJ454" s="336"/>
      <c r="AK454" s="336"/>
      <c r="AL454" s="336"/>
      <c r="AM454" s="336"/>
      <c r="AN454" s="336"/>
      <c r="AO454" s="336"/>
      <c r="AP454" s="336"/>
      <c r="AQ454" s="336"/>
      <c r="AR454" s="336"/>
      <c r="AS454" s="336"/>
      <c r="AT454" s="336"/>
    </row>
    <row r="455" spans="1:46" ht="14.45">
      <c r="A455" s="336"/>
      <c r="B455" s="336"/>
      <c r="C455" s="336"/>
      <c r="D455" s="336"/>
      <c r="E455" s="336"/>
      <c r="F455" s="336"/>
      <c r="G455" s="336"/>
      <c r="H455" s="336"/>
      <c r="I455" s="336"/>
      <c r="J455" s="336"/>
      <c r="K455" s="415"/>
      <c r="L455" s="336"/>
      <c r="M455" s="336"/>
      <c r="N455" s="336"/>
      <c r="O455" s="416"/>
      <c r="P455" s="336"/>
      <c r="Q455" s="415"/>
      <c r="R455" s="336"/>
      <c r="S455" s="336"/>
      <c r="T455" s="336"/>
      <c r="U455" s="336"/>
      <c r="V455" s="336"/>
      <c r="W455" s="336"/>
      <c r="X455" s="336"/>
      <c r="Y455" s="336"/>
      <c r="Z455" s="336"/>
      <c r="AA455" s="336"/>
      <c r="AB455" s="336"/>
      <c r="AC455" s="336"/>
      <c r="AD455" s="336"/>
      <c r="AE455"/>
      <c r="AF455" s="336"/>
      <c r="AG455" s="336"/>
      <c r="AH455" s="336"/>
      <c r="AI455" s="336"/>
      <c r="AJ455" s="336"/>
      <c r="AK455" s="336"/>
      <c r="AL455" s="336"/>
      <c r="AM455" s="336"/>
      <c r="AN455" s="336"/>
      <c r="AO455" s="336"/>
      <c r="AP455" s="336"/>
      <c r="AQ455" s="336"/>
      <c r="AR455" s="336"/>
      <c r="AS455" s="336"/>
      <c r="AT455" s="336"/>
    </row>
    <row r="456" spans="1:46" ht="14.45">
      <c r="A456" s="336"/>
      <c r="B456" s="336"/>
      <c r="C456" s="336"/>
      <c r="D456" s="336"/>
      <c r="E456" s="336"/>
      <c r="F456" s="336"/>
      <c r="G456" s="336"/>
      <c r="H456" s="336"/>
      <c r="I456" s="336"/>
      <c r="J456" s="336"/>
      <c r="K456" s="415"/>
      <c r="L456" s="336"/>
      <c r="M456" s="336"/>
      <c r="N456" s="336"/>
      <c r="O456" s="416"/>
      <c r="P456" s="336"/>
      <c r="Q456" s="415"/>
      <c r="R456" s="336"/>
      <c r="S456" s="336"/>
      <c r="T456" s="336"/>
      <c r="U456" s="336"/>
      <c r="V456" s="336"/>
      <c r="W456" s="336"/>
      <c r="X456" s="336"/>
      <c r="Y456" s="336"/>
      <c r="Z456" s="336"/>
      <c r="AA456" s="336"/>
      <c r="AB456" s="336"/>
      <c r="AC456" s="336"/>
      <c r="AD456" s="336"/>
      <c r="AE456"/>
      <c r="AF456" s="336"/>
      <c r="AG456" s="336"/>
      <c r="AH456" s="336"/>
      <c r="AI456" s="336"/>
      <c r="AJ456" s="336"/>
      <c r="AK456" s="336"/>
      <c r="AL456" s="336"/>
      <c r="AM456" s="336"/>
      <c r="AN456" s="336"/>
      <c r="AO456" s="336"/>
      <c r="AP456" s="336"/>
      <c r="AQ456" s="336"/>
      <c r="AR456" s="336"/>
      <c r="AS456" s="336"/>
      <c r="AT456" s="336"/>
    </row>
    <row r="457" spans="1:46" ht="14.45">
      <c r="A457" s="336"/>
      <c r="B457" s="336"/>
      <c r="C457" s="336"/>
      <c r="D457" s="336"/>
      <c r="E457" s="336"/>
      <c r="F457" s="336"/>
      <c r="G457" s="336"/>
      <c r="H457" s="336"/>
      <c r="I457" s="336"/>
      <c r="J457" s="336"/>
      <c r="K457" s="415"/>
      <c r="L457" s="336"/>
      <c r="M457" s="336"/>
      <c r="N457" s="336"/>
      <c r="O457" s="416"/>
      <c r="P457" s="336"/>
      <c r="Q457" s="415"/>
      <c r="R457" s="336"/>
      <c r="S457" s="336"/>
      <c r="T457" s="336"/>
      <c r="U457" s="336"/>
      <c r="V457" s="336"/>
      <c r="W457" s="336"/>
      <c r="X457" s="336"/>
      <c r="Y457" s="336"/>
      <c r="Z457" s="336"/>
      <c r="AA457" s="336"/>
      <c r="AB457" s="336"/>
      <c r="AC457" s="336"/>
      <c r="AD457" s="336"/>
      <c r="AE457"/>
      <c r="AF457" s="336"/>
      <c r="AG457" s="336"/>
      <c r="AH457" s="336"/>
      <c r="AI457" s="336"/>
      <c r="AJ457" s="336"/>
      <c r="AK457" s="336"/>
      <c r="AL457" s="336"/>
      <c r="AM457" s="336"/>
      <c r="AN457" s="336"/>
      <c r="AO457" s="336"/>
      <c r="AP457" s="336"/>
      <c r="AQ457" s="336"/>
      <c r="AR457" s="336"/>
      <c r="AS457" s="336"/>
      <c r="AT457" s="336"/>
    </row>
    <row r="458" spans="1:46" ht="14.45">
      <c r="A458" s="336"/>
      <c r="B458" s="336"/>
      <c r="C458" s="336"/>
      <c r="D458" s="336"/>
      <c r="E458" s="336"/>
      <c r="F458" s="336"/>
      <c r="G458" s="336"/>
      <c r="H458" s="336"/>
      <c r="I458" s="336"/>
      <c r="J458" s="336"/>
      <c r="K458" s="415"/>
      <c r="L458" s="336"/>
      <c r="M458" s="336"/>
      <c r="N458" s="336"/>
      <c r="O458" s="416"/>
      <c r="P458" s="336"/>
      <c r="Q458" s="415"/>
      <c r="R458" s="336"/>
      <c r="S458" s="336"/>
      <c r="T458" s="336"/>
      <c r="U458" s="336"/>
      <c r="V458" s="336"/>
      <c r="W458" s="336"/>
      <c r="X458" s="336"/>
      <c r="Y458" s="336"/>
      <c r="Z458" s="336"/>
      <c r="AA458" s="336"/>
      <c r="AB458" s="336"/>
      <c r="AC458" s="336"/>
      <c r="AD458" s="336"/>
      <c r="AE458"/>
      <c r="AF458" s="336"/>
      <c r="AG458" s="336"/>
      <c r="AH458" s="336"/>
      <c r="AI458" s="336"/>
      <c r="AJ458" s="336"/>
      <c r="AK458" s="336"/>
      <c r="AL458" s="336"/>
      <c r="AM458" s="336"/>
      <c r="AN458" s="336"/>
      <c r="AO458" s="336"/>
      <c r="AP458" s="336"/>
      <c r="AQ458" s="336"/>
      <c r="AR458" s="336"/>
      <c r="AS458" s="336"/>
      <c r="AT458" s="336"/>
    </row>
    <row r="459" spans="1:46" ht="14.45">
      <c r="A459" s="336"/>
      <c r="B459" s="336"/>
      <c r="C459" s="336"/>
      <c r="D459" s="336"/>
      <c r="E459" s="336"/>
      <c r="F459" s="336"/>
      <c r="G459" s="336"/>
      <c r="H459" s="336"/>
      <c r="I459" s="336"/>
      <c r="J459" s="336"/>
      <c r="K459" s="415"/>
      <c r="L459" s="336"/>
      <c r="M459" s="336"/>
      <c r="N459" s="336"/>
      <c r="O459" s="416"/>
      <c r="P459" s="336"/>
      <c r="Q459" s="415"/>
      <c r="R459" s="336"/>
      <c r="S459" s="336"/>
      <c r="T459" s="336"/>
      <c r="U459" s="336"/>
      <c r="V459" s="336"/>
      <c r="W459" s="336"/>
      <c r="X459" s="336"/>
      <c r="Y459" s="336"/>
      <c r="Z459" s="336"/>
      <c r="AA459" s="336"/>
      <c r="AB459" s="336"/>
      <c r="AC459" s="336"/>
      <c r="AD459" s="336"/>
      <c r="AE459"/>
      <c r="AF459" s="336"/>
      <c r="AG459" s="336"/>
      <c r="AH459" s="336"/>
      <c r="AI459" s="336"/>
      <c r="AJ459" s="336"/>
      <c r="AK459" s="336"/>
      <c r="AL459" s="336"/>
      <c r="AM459" s="336"/>
      <c r="AN459" s="336"/>
      <c r="AO459" s="336"/>
      <c r="AP459" s="336"/>
      <c r="AQ459" s="336"/>
      <c r="AR459" s="336"/>
      <c r="AS459" s="336"/>
      <c r="AT459" s="336"/>
    </row>
    <row r="460" spans="1:46" ht="14.45">
      <c r="A460" s="336"/>
      <c r="B460" s="336"/>
      <c r="C460" s="336"/>
      <c r="D460" s="336"/>
      <c r="E460" s="336"/>
      <c r="F460" s="336"/>
      <c r="G460" s="336"/>
      <c r="H460" s="336"/>
      <c r="I460" s="336"/>
      <c r="J460" s="336"/>
      <c r="K460" s="415"/>
      <c r="L460" s="336"/>
      <c r="M460" s="336"/>
      <c r="N460" s="336"/>
      <c r="O460" s="416"/>
      <c r="P460" s="336"/>
      <c r="Q460" s="415"/>
      <c r="R460" s="336"/>
      <c r="S460" s="336"/>
      <c r="T460" s="336"/>
      <c r="U460" s="336"/>
      <c r="V460" s="336"/>
      <c r="W460" s="336"/>
      <c r="X460" s="336"/>
      <c r="Y460" s="336"/>
      <c r="Z460" s="336"/>
      <c r="AA460" s="336"/>
      <c r="AB460" s="336"/>
      <c r="AC460" s="336"/>
      <c r="AD460" s="336"/>
      <c r="AE460"/>
      <c r="AF460" s="336"/>
      <c r="AG460" s="336"/>
      <c r="AH460" s="336"/>
      <c r="AI460" s="336"/>
      <c r="AJ460" s="336"/>
      <c r="AK460" s="336"/>
      <c r="AL460" s="336"/>
      <c r="AM460" s="336"/>
      <c r="AN460" s="336"/>
      <c r="AO460" s="336"/>
      <c r="AP460" s="336"/>
      <c r="AQ460" s="336"/>
      <c r="AR460" s="336"/>
      <c r="AS460" s="336"/>
      <c r="AT460" s="336"/>
    </row>
    <row r="461" spans="1:46" ht="14.45">
      <c r="A461" s="336"/>
      <c r="B461" s="336"/>
      <c r="C461" s="336"/>
      <c r="D461" s="336"/>
      <c r="E461" s="336"/>
      <c r="F461" s="336"/>
      <c r="G461" s="336"/>
      <c r="H461" s="336"/>
      <c r="I461" s="336"/>
      <c r="J461" s="336"/>
      <c r="K461" s="415"/>
      <c r="L461" s="336"/>
      <c r="M461" s="336"/>
      <c r="N461" s="336"/>
      <c r="O461" s="416"/>
      <c r="P461" s="336"/>
      <c r="Q461" s="415"/>
      <c r="R461" s="336"/>
      <c r="S461" s="336"/>
      <c r="T461" s="336"/>
      <c r="U461" s="336"/>
      <c r="V461" s="336"/>
      <c r="W461" s="336"/>
      <c r="X461" s="336"/>
      <c r="Y461" s="336"/>
      <c r="Z461" s="336"/>
      <c r="AA461" s="336"/>
      <c r="AB461" s="336"/>
      <c r="AC461" s="336"/>
      <c r="AD461" s="336"/>
      <c r="AE461"/>
      <c r="AF461" s="336"/>
      <c r="AG461" s="336"/>
      <c r="AH461" s="336"/>
      <c r="AI461" s="336"/>
      <c r="AJ461" s="336"/>
      <c r="AK461" s="336"/>
      <c r="AL461" s="336"/>
      <c r="AM461" s="336"/>
      <c r="AN461" s="336"/>
      <c r="AO461" s="336"/>
      <c r="AP461" s="336"/>
      <c r="AQ461" s="336"/>
      <c r="AR461" s="336"/>
      <c r="AS461" s="336"/>
      <c r="AT461" s="336"/>
    </row>
    <row r="462" spans="1:46" ht="14.45">
      <c r="A462" s="336"/>
      <c r="B462" s="336"/>
      <c r="C462" s="336"/>
      <c r="D462" s="336"/>
      <c r="E462" s="336"/>
      <c r="F462" s="336"/>
      <c r="G462" s="336"/>
      <c r="H462" s="336"/>
      <c r="I462" s="336"/>
      <c r="J462" s="336"/>
      <c r="K462" s="415"/>
      <c r="L462" s="336"/>
      <c r="M462" s="336"/>
      <c r="N462" s="336"/>
      <c r="O462" s="416"/>
      <c r="P462" s="336"/>
      <c r="Q462" s="415"/>
      <c r="R462" s="336"/>
      <c r="S462" s="336"/>
      <c r="T462" s="336"/>
      <c r="U462" s="336"/>
      <c r="V462" s="336"/>
      <c r="W462" s="336"/>
      <c r="X462" s="336"/>
      <c r="Y462" s="336"/>
      <c r="Z462" s="336"/>
      <c r="AA462" s="336"/>
      <c r="AB462" s="336"/>
      <c r="AC462" s="336"/>
      <c r="AD462" s="336"/>
      <c r="AE462"/>
      <c r="AF462" s="336"/>
      <c r="AG462" s="336"/>
      <c r="AH462" s="336"/>
      <c r="AI462" s="336"/>
      <c r="AJ462" s="336"/>
      <c r="AK462" s="336"/>
      <c r="AL462" s="336"/>
      <c r="AM462" s="336"/>
      <c r="AN462" s="336"/>
      <c r="AO462" s="336"/>
      <c r="AP462" s="336"/>
      <c r="AQ462" s="336"/>
      <c r="AR462" s="336"/>
      <c r="AS462" s="336"/>
      <c r="AT462" s="336"/>
    </row>
    <row r="463" spans="1:46" ht="14.45">
      <c r="A463" s="336"/>
      <c r="B463" s="336"/>
      <c r="C463" s="336"/>
      <c r="D463" s="336"/>
      <c r="E463" s="336"/>
      <c r="F463" s="336"/>
      <c r="G463" s="336"/>
      <c r="H463" s="336"/>
      <c r="I463" s="336"/>
      <c r="J463" s="336"/>
      <c r="K463" s="415"/>
      <c r="L463" s="336"/>
      <c r="M463" s="336"/>
      <c r="N463" s="336"/>
      <c r="O463" s="416"/>
      <c r="P463" s="336"/>
      <c r="Q463" s="415"/>
      <c r="R463" s="336"/>
      <c r="S463" s="336"/>
      <c r="T463" s="336"/>
      <c r="U463" s="336"/>
      <c r="V463" s="336"/>
      <c r="W463" s="336"/>
      <c r="X463" s="336"/>
      <c r="Y463" s="336"/>
      <c r="Z463" s="336"/>
      <c r="AA463" s="336"/>
      <c r="AB463" s="336"/>
      <c r="AC463" s="336"/>
      <c r="AD463" s="336"/>
      <c r="AE463"/>
      <c r="AF463" s="336"/>
      <c r="AG463" s="336"/>
      <c r="AH463" s="336"/>
      <c r="AI463" s="336"/>
      <c r="AJ463" s="336"/>
      <c r="AK463" s="336"/>
      <c r="AL463" s="336"/>
      <c r="AM463" s="336"/>
      <c r="AN463" s="336"/>
      <c r="AO463" s="336"/>
      <c r="AP463" s="336"/>
      <c r="AQ463" s="336"/>
      <c r="AR463" s="336"/>
      <c r="AS463" s="336"/>
      <c r="AT463" s="336"/>
    </row>
    <row r="464" spans="1:46" ht="14.45">
      <c r="A464" s="336"/>
      <c r="B464" s="336"/>
      <c r="C464" s="336"/>
      <c r="D464" s="336"/>
      <c r="E464" s="336"/>
      <c r="F464" s="336"/>
      <c r="G464" s="336"/>
      <c r="H464" s="336"/>
      <c r="I464" s="336"/>
      <c r="J464" s="336"/>
      <c r="K464" s="415"/>
      <c r="L464" s="336"/>
      <c r="M464" s="336"/>
      <c r="N464" s="336"/>
      <c r="O464" s="416"/>
      <c r="P464" s="336"/>
      <c r="Q464" s="415"/>
      <c r="R464" s="336"/>
      <c r="S464" s="336"/>
      <c r="T464" s="336"/>
      <c r="U464" s="336"/>
      <c r="V464" s="336"/>
      <c r="W464" s="336"/>
      <c r="X464" s="336"/>
      <c r="Y464" s="336"/>
      <c r="Z464" s="336"/>
      <c r="AA464" s="336"/>
      <c r="AB464" s="336"/>
      <c r="AC464" s="336"/>
      <c r="AD464" s="336"/>
      <c r="AE464"/>
      <c r="AF464" s="336"/>
      <c r="AG464" s="336"/>
      <c r="AH464" s="336"/>
      <c r="AI464" s="336"/>
      <c r="AJ464" s="336"/>
      <c r="AK464" s="336"/>
      <c r="AL464" s="336"/>
      <c r="AM464" s="336"/>
      <c r="AN464" s="336"/>
      <c r="AO464" s="336"/>
      <c r="AP464" s="336"/>
      <c r="AQ464" s="336"/>
      <c r="AR464" s="336"/>
      <c r="AS464" s="336"/>
      <c r="AT464" s="336"/>
    </row>
    <row r="465" spans="1:46" ht="14.45">
      <c r="A465" s="336"/>
      <c r="B465" s="336"/>
      <c r="C465" s="336"/>
      <c r="D465" s="336"/>
      <c r="E465" s="336"/>
      <c r="F465" s="336"/>
      <c r="G465" s="336"/>
      <c r="H465" s="336"/>
      <c r="I465" s="336"/>
      <c r="J465" s="336"/>
      <c r="K465" s="415"/>
      <c r="L465" s="336"/>
      <c r="M465" s="336"/>
      <c r="N465" s="336"/>
      <c r="O465" s="416"/>
      <c r="P465" s="336"/>
      <c r="Q465" s="415"/>
      <c r="R465" s="336"/>
      <c r="S465" s="336"/>
      <c r="T465" s="336"/>
      <c r="U465" s="336"/>
      <c r="V465" s="336"/>
      <c r="W465" s="336"/>
      <c r="X465" s="336"/>
      <c r="Y465" s="336"/>
      <c r="Z465" s="336"/>
      <c r="AA465" s="336"/>
      <c r="AB465" s="336"/>
      <c r="AC465" s="336"/>
      <c r="AD465" s="336"/>
      <c r="AE465"/>
      <c r="AF465" s="336"/>
      <c r="AG465" s="336"/>
      <c r="AH465" s="336"/>
      <c r="AI465" s="336"/>
      <c r="AJ465" s="336"/>
      <c r="AK465" s="336"/>
      <c r="AL465" s="336"/>
      <c r="AM465" s="336"/>
      <c r="AN465" s="336"/>
      <c r="AO465" s="336"/>
      <c r="AP465" s="336"/>
      <c r="AQ465" s="336"/>
      <c r="AR465" s="336"/>
      <c r="AS465" s="336"/>
      <c r="AT465" s="336"/>
    </row>
    <row r="466" spans="1:46" ht="14.45">
      <c r="A466" s="336"/>
      <c r="B466" s="336"/>
      <c r="C466" s="336"/>
      <c r="D466" s="336"/>
      <c r="E466" s="336"/>
      <c r="F466" s="336"/>
      <c r="G466" s="336"/>
      <c r="H466" s="336"/>
      <c r="I466" s="336"/>
      <c r="J466" s="336"/>
      <c r="K466" s="415"/>
      <c r="L466" s="336"/>
      <c r="M466" s="336"/>
      <c r="N466" s="336"/>
      <c r="O466" s="416"/>
      <c r="P466" s="336"/>
      <c r="Q466" s="415"/>
      <c r="R466" s="336"/>
      <c r="S466" s="336"/>
      <c r="T466" s="336"/>
      <c r="U466" s="336"/>
      <c r="V466" s="336"/>
      <c r="W466" s="336"/>
      <c r="X466" s="336"/>
      <c r="Y466" s="336"/>
      <c r="Z466" s="336"/>
      <c r="AA466" s="336"/>
      <c r="AB466" s="336"/>
      <c r="AC466" s="336"/>
      <c r="AD466" s="336"/>
      <c r="AE466"/>
      <c r="AF466" s="336"/>
      <c r="AG466" s="336"/>
      <c r="AH466" s="336"/>
      <c r="AI466" s="336"/>
      <c r="AJ466" s="336"/>
      <c r="AK466" s="336"/>
      <c r="AL466" s="336"/>
      <c r="AM466" s="336"/>
      <c r="AN466" s="336"/>
      <c r="AO466" s="336"/>
      <c r="AP466" s="336"/>
      <c r="AQ466" s="336"/>
      <c r="AR466" s="336"/>
      <c r="AS466" s="336"/>
      <c r="AT466" s="336"/>
    </row>
    <row r="467" spans="1:46" ht="14.45">
      <c r="A467" s="336"/>
      <c r="B467" s="336"/>
      <c r="C467" s="336"/>
      <c r="D467" s="336"/>
      <c r="E467" s="336"/>
      <c r="F467" s="336"/>
      <c r="G467" s="336"/>
      <c r="H467" s="336"/>
      <c r="I467" s="336"/>
      <c r="J467" s="336"/>
      <c r="K467" s="415"/>
      <c r="L467" s="336"/>
      <c r="M467" s="336"/>
      <c r="N467" s="336"/>
      <c r="O467" s="416"/>
      <c r="P467" s="336"/>
      <c r="Q467" s="415"/>
      <c r="R467" s="336"/>
      <c r="S467" s="336"/>
      <c r="T467" s="336"/>
      <c r="U467" s="336"/>
      <c r="V467" s="336"/>
      <c r="W467" s="336"/>
      <c r="X467" s="336"/>
      <c r="Y467" s="336"/>
      <c r="Z467" s="336"/>
      <c r="AA467" s="336"/>
      <c r="AB467" s="336"/>
      <c r="AC467" s="336"/>
      <c r="AD467" s="336"/>
      <c r="AE467"/>
      <c r="AF467" s="336"/>
      <c r="AG467" s="336"/>
      <c r="AH467" s="336"/>
      <c r="AI467" s="336"/>
      <c r="AJ467" s="336"/>
      <c r="AK467" s="336"/>
      <c r="AL467" s="336"/>
      <c r="AM467" s="336"/>
      <c r="AN467" s="336"/>
      <c r="AO467" s="336"/>
      <c r="AP467" s="336"/>
      <c r="AQ467" s="336"/>
      <c r="AR467" s="336"/>
      <c r="AS467" s="336"/>
      <c r="AT467" s="336"/>
    </row>
    <row r="468" spans="1:46" ht="14.45">
      <c r="A468" s="336"/>
      <c r="B468" s="336"/>
      <c r="C468" s="336"/>
      <c r="D468" s="336"/>
      <c r="E468" s="336"/>
      <c r="F468" s="336"/>
      <c r="G468" s="336"/>
      <c r="H468" s="336"/>
      <c r="I468" s="336"/>
      <c r="J468" s="336"/>
      <c r="K468" s="415"/>
      <c r="L468" s="336"/>
      <c r="M468" s="336"/>
      <c r="N468" s="336"/>
      <c r="O468" s="416"/>
      <c r="P468" s="336"/>
      <c r="Q468" s="415"/>
      <c r="R468" s="336"/>
      <c r="S468" s="336"/>
      <c r="T468" s="336"/>
      <c r="U468" s="336"/>
      <c r="V468" s="336"/>
      <c r="W468" s="336"/>
      <c r="X468" s="336"/>
      <c r="Y468" s="336"/>
      <c r="Z468" s="336"/>
      <c r="AA468" s="336"/>
      <c r="AB468" s="336"/>
      <c r="AC468" s="336"/>
      <c r="AD468" s="336"/>
      <c r="AE468"/>
      <c r="AF468" s="336"/>
      <c r="AG468" s="336"/>
      <c r="AH468" s="336"/>
      <c r="AI468" s="336"/>
      <c r="AJ468" s="336"/>
      <c r="AK468" s="336"/>
      <c r="AL468" s="336"/>
      <c r="AM468" s="336"/>
      <c r="AN468" s="336"/>
      <c r="AO468" s="336"/>
      <c r="AP468" s="336"/>
      <c r="AQ468" s="336"/>
      <c r="AR468" s="336"/>
      <c r="AS468" s="336"/>
      <c r="AT468" s="336"/>
    </row>
    <row r="469" spans="1:46" ht="14.45">
      <c r="A469" s="336"/>
      <c r="B469" s="336"/>
      <c r="C469" s="336"/>
      <c r="D469" s="336"/>
      <c r="E469" s="336"/>
      <c r="F469" s="336"/>
      <c r="G469" s="336"/>
      <c r="H469" s="336"/>
      <c r="I469" s="336"/>
      <c r="J469" s="336"/>
      <c r="K469" s="415"/>
      <c r="L469" s="336"/>
      <c r="M469" s="336"/>
      <c r="N469" s="336"/>
      <c r="O469" s="416"/>
      <c r="P469" s="336"/>
      <c r="Q469" s="415"/>
      <c r="R469" s="336"/>
      <c r="S469" s="336"/>
      <c r="T469" s="336"/>
      <c r="U469" s="336"/>
      <c r="V469" s="336"/>
      <c r="W469" s="336"/>
      <c r="X469" s="336"/>
      <c r="Y469" s="336"/>
      <c r="Z469" s="336"/>
      <c r="AA469" s="336"/>
      <c r="AB469" s="336"/>
      <c r="AC469" s="336"/>
      <c r="AD469" s="336"/>
      <c r="AE469"/>
      <c r="AF469" s="336"/>
      <c r="AG469" s="336"/>
      <c r="AH469" s="336"/>
      <c r="AI469" s="336"/>
      <c r="AJ469" s="336"/>
      <c r="AK469" s="336"/>
      <c r="AL469" s="336"/>
      <c r="AM469" s="336"/>
      <c r="AN469" s="336"/>
      <c r="AO469" s="336"/>
      <c r="AP469" s="336"/>
      <c r="AQ469" s="336"/>
      <c r="AR469" s="336"/>
      <c r="AS469" s="336"/>
      <c r="AT469" s="336"/>
    </row>
    <row r="470" spans="1:46" ht="14.45">
      <c r="A470" s="336"/>
      <c r="B470" s="336"/>
      <c r="C470" s="336"/>
      <c r="D470" s="336"/>
      <c r="E470" s="336"/>
      <c r="F470" s="336"/>
      <c r="G470" s="336"/>
      <c r="H470" s="336"/>
      <c r="I470" s="336"/>
      <c r="J470" s="336"/>
      <c r="K470" s="415"/>
      <c r="L470" s="336"/>
      <c r="M470" s="336"/>
      <c r="N470" s="336"/>
      <c r="O470" s="416"/>
      <c r="P470" s="336"/>
      <c r="Q470" s="415"/>
      <c r="R470" s="336"/>
      <c r="S470" s="336"/>
      <c r="T470" s="336"/>
      <c r="U470" s="336"/>
      <c r="V470" s="336"/>
      <c r="W470" s="336"/>
      <c r="X470" s="336"/>
      <c r="Y470" s="336"/>
      <c r="Z470" s="336"/>
      <c r="AA470" s="336"/>
      <c r="AB470" s="336"/>
      <c r="AC470" s="336"/>
      <c r="AD470" s="336"/>
      <c r="AE470"/>
      <c r="AF470" s="336"/>
      <c r="AG470" s="336"/>
      <c r="AH470" s="336"/>
      <c r="AI470" s="336"/>
      <c r="AJ470" s="336"/>
      <c r="AK470" s="336"/>
      <c r="AL470" s="336"/>
      <c r="AM470" s="336"/>
      <c r="AN470" s="336"/>
      <c r="AO470" s="336"/>
      <c r="AP470" s="336"/>
      <c r="AQ470" s="336"/>
      <c r="AR470" s="336"/>
      <c r="AS470" s="336"/>
      <c r="AT470" s="336"/>
    </row>
    <row r="471" spans="1:46" ht="14.45">
      <c r="A471" s="336"/>
      <c r="B471" s="336"/>
      <c r="C471" s="336"/>
      <c r="D471" s="336"/>
      <c r="E471" s="336"/>
      <c r="F471" s="336"/>
      <c r="G471" s="336"/>
      <c r="H471" s="336"/>
      <c r="I471" s="336"/>
      <c r="J471" s="336"/>
      <c r="K471" s="415"/>
      <c r="L471" s="336"/>
      <c r="M471" s="336"/>
      <c r="N471" s="336"/>
      <c r="O471" s="416"/>
      <c r="P471" s="336"/>
      <c r="Q471" s="415"/>
      <c r="R471" s="336"/>
      <c r="S471" s="336"/>
      <c r="T471" s="336"/>
      <c r="U471" s="336"/>
      <c r="V471" s="336"/>
      <c r="W471" s="336"/>
      <c r="X471" s="336"/>
      <c r="Y471" s="336"/>
      <c r="Z471" s="336"/>
      <c r="AA471" s="336"/>
      <c r="AB471" s="336"/>
      <c r="AC471" s="336"/>
      <c r="AD471" s="336"/>
      <c r="AE471"/>
      <c r="AF471" s="336"/>
      <c r="AG471" s="336"/>
      <c r="AH471" s="336"/>
      <c r="AI471" s="336"/>
      <c r="AJ471" s="336"/>
      <c r="AK471" s="336"/>
      <c r="AL471" s="336"/>
      <c r="AM471" s="336"/>
      <c r="AN471" s="336"/>
      <c r="AO471" s="336"/>
      <c r="AP471" s="336"/>
      <c r="AQ471" s="336"/>
      <c r="AR471" s="336"/>
      <c r="AS471" s="336"/>
      <c r="AT471" s="336"/>
    </row>
    <row r="472" spans="1:46" ht="14.45">
      <c r="A472" s="336"/>
      <c r="B472" s="336"/>
      <c r="C472" s="336"/>
      <c r="D472" s="336"/>
      <c r="E472" s="336"/>
      <c r="F472" s="336"/>
      <c r="G472" s="336"/>
      <c r="H472" s="336"/>
      <c r="I472" s="336"/>
      <c r="J472" s="336"/>
      <c r="K472" s="415"/>
      <c r="L472" s="336"/>
      <c r="M472" s="336"/>
      <c r="N472" s="336"/>
      <c r="O472" s="416"/>
      <c r="P472" s="336"/>
      <c r="Q472" s="415"/>
      <c r="R472" s="336"/>
      <c r="S472" s="336"/>
      <c r="T472" s="336"/>
      <c r="U472" s="336"/>
      <c r="V472" s="336"/>
      <c r="W472" s="336"/>
      <c r="X472" s="336"/>
      <c r="Y472" s="336"/>
      <c r="Z472" s="336"/>
      <c r="AA472" s="336"/>
      <c r="AB472" s="336"/>
      <c r="AC472" s="336"/>
      <c r="AD472" s="336"/>
      <c r="AE472"/>
      <c r="AF472" s="336"/>
      <c r="AG472" s="336"/>
      <c r="AH472" s="336"/>
      <c r="AI472" s="336"/>
      <c r="AJ472" s="336"/>
      <c r="AK472" s="336"/>
      <c r="AL472" s="336"/>
      <c r="AM472" s="336"/>
      <c r="AN472" s="336"/>
      <c r="AO472" s="336"/>
      <c r="AP472" s="336"/>
      <c r="AQ472" s="336"/>
      <c r="AR472" s="336"/>
      <c r="AS472" s="336"/>
      <c r="AT472" s="336"/>
    </row>
    <row r="473" spans="1:46" ht="14.45">
      <c r="A473" s="336"/>
      <c r="B473" s="336"/>
      <c r="C473" s="336"/>
      <c r="D473" s="336"/>
      <c r="E473" s="336"/>
      <c r="F473" s="336"/>
      <c r="G473" s="336"/>
      <c r="H473" s="336"/>
      <c r="I473" s="336"/>
      <c r="J473" s="336"/>
      <c r="K473" s="415"/>
      <c r="L473" s="336"/>
      <c r="M473" s="336"/>
      <c r="N473" s="336"/>
      <c r="O473" s="416"/>
      <c r="P473" s="336"/>
      <c r="Q473" s="415"/>
      <c r="R473" s="336"/>
      <c r="S473" s="336"/>
      <c r="T473" s="336"/>
      <c r="U473" s="336"/>
      <c r="V473" s="336"/>
      <c r="W473" s="336"/>
      <c r="X473" s="336"/>
      <c r="Y473" s="336"/>
      <c r="Z473" s="336"/>
      <c r="AA473" s="336"/>
      <c r="AB473" s="336"/>
      <c r="AC473" s="336"/>
      <c r="AD473" s="336"/>
      <c r="AE473"/>
      <c r="AF473" s="336"/>
      <c r="AG473" s="336"/>
      <c r="AH473" s="336"/>
      <c r="AI473" s="336"/>
      <c r="AJ473" s="336"/>
      <c r="AK473" s="336"/>
      <c r="AL473" s="336"/>
      <c r="AM473" s="336"/>
      <c r="AN473" s="336"/>
      <c r="AO473" s="336"/>
      <c r="AP473" s="336"/>
      <c r="AQ473" s="336"/>
      <c r="AR473" s="336"/>
      <c r="AS473" s="336"/>
      <c r="AT473" s="336"/>
    </row>
    <row r="474" spans="1:46" ht="14.45">
      <c r="A474" s="336"/>
      <c r="B474" s="336"/>
      <c r="C474" s="336"/>
      <c r="D474" s="336"/>
      <c r="E474" s="336"/>
      <c r="F474" s="336"/>
      <c r="G474" s="336"/>
      <c r="H474" s="336"/>
      <c r="I474" s="336"/>
      <c r="J474" s="336"/>
      <c r="K474" s="415"/>
      <c r="L474" s="336"/>
      <c r="M474" s="336"/>
      <c r="N474" s="336"/>
      <c r="O474" s="416"/>
      <c r="P474" s="336"/>
      <c r="Q474" s="415"/>
      <c r="R474" s="336"/>
      <c r="S474" s="336"/>
      <c r="T474" s="336"/>
      <c r="U474" s="336"/>
      <c r="V474" s="336"/>
      <c r="W474" s="336"/>
      <c r="X474" s="336"/>
      <c r="Y474" s="336"/>
      <c r="Z474" s="336"/>
      <c r="AA474" s="336"/>
      <c r="AB474" s="336"/>
      <c r="AC474" s="336"/>
      <c r="AD474" s="336"/>
      <c r="AE474"/>
      <c r="AF474" s="336"/>
      <c r="AG474" s="336"/>
      <c r="AH474" s="336"/>
      <c r="AI474" s="336"/>
      <c r="AJ474" s="336"/>
      <c r="AK474" s="336"/>
      <c r="AL474" s="336"/>
      <c r="AM474" s="336"/>
      <c r="AN474" s="336"/>
      <c r="AO474" s="336"/>
      <c r="AP474" s="336"/>
      <c r="AQ474" s="336"/>
      <c r="AR474" s="336"/>
      <c r="AS474" s="336"/>
      <c r="AT474" s="336"/>
    </row>
    <row r="475" spans="1:46" ht="14.45">
      <c r="A475" s="336"/>
      <c r="B475" s="336"/>
      <c r="C475" s="336"/>
      <c r="D475" s="336"/>
      <c r="E475" s="336"/>
      <c r="F475" s="336"/>
      <c r="G475" s="336"/>
      <c r="H475" s="336"/>
      <c r="I475" s="336"/>
      <c r="J475" s="336"/>
      <c r="K475" s="415"/>
      <c r="L475" s="336"/>
      <c r="M475" s="336"/>
      <c r="N475" s="336"/>
      <c r="O475" s="416"/>
      <c r="P475" s="336"/>
      <c r="Q475" s="415"/>
      <c r="R475" s="336"/>
      <c r="S475" s="336"/>
      <c r="T475" s="336"/>
      <c r="U475" s="336"/>
      <c r="V475" s="336"/>
      <c r="W475" s="336"/>
      <c r="X475" s="336"/>
      <c r="Y475" s="336"/>
      <c r="Z475" s="336"/>
      <c r="AA475" s="336"/>
      <c r="AB475" s="336"/>
      <c r="AC475" s="336"/>
      <c r="AD475" s="336"/>
      <c r="AE475"/>
      <c r="AF475" s="336"/>
      <c r="AG475" s="336"/>
      <c r="AH475" s="336"/>
      <c r="AI475" s="336"/>
      <c r="AJ475" s="336"/>
      <c r="AK475" s="336"/>
      <c r="AL475" s="336"/>
      <c r="AM475" s="336"/>
      <c r="AN475" s="336"/>
      <c r="AO475" s="336"/>
      <c r="AP475" s="336"/>
      <c r="AQ475" s="336"/>
      <c r="AR475" s="336"/>
      <c r="AS475" s="336"/>
      <c r="AT475" s="336"/>
    </row>
    <row r="476" spans="1:46" ht="14.45">
      <c r="A476" s="336"/>
      <c r="B476" s="336"/>
      <c r="C476" s="336"/>
      <c r="D476" s="336"/>
      <c r="E476" s="336"/>
      <c r="F476" s="336"/>
      <c r="G476" s="336"/>
      <c r="H476" s="336"/>
      <c r="I476" s="336"/>
      <c r="J476" s="336"/>
      <c r="K476" s="415"/>
      <c r="L476" s="336"/>
      <c r="M476" s="336"/>
      <c r="N476" s="336"/>
      <c r="O476" s="416"/>
      <c r="P476" s="336"/>
      <c r="Q476" s="415"/>
      <c r="R476" s="336"/>
      <c r="S476" s="336"/>
      <c r="T476" s="336"/>
      <c r="U476" s="336"/>
      <c r="V476" s="336"/>
      <c r="W476" s="336"/>
      <c r="X476" s="336"/>
      <c r="Y476" s="336"/>
      <c r="Z476" s="336"/>
      <c r="AA476" s="336"/>
      <c r="AB476" s="336"/>
      <c r="AC476" s="336"/>
      <c r="AD476" s="336"/>
      <c r="AE476"/>
      <c r="AF476" s="336"/>
      <c r="AG476" s="336"/>
      <c r="AH476" s="336"/>
      <c r="AI476" s="336"/>
      <c r="AJ476" s="336"/>
      <c r="AK476" s="336"/>
      <c r="AL476" s="336"/>
      <c r="AM476" s="336"/>
      <c r="AN476" s="336"/>
      <c r="AO476" s="336"/>
      <c r="AP476" s="336"/>
      <c r="AQ476" s="336"/>
      <c r="AR476" s="336"/>
      <c r="AS476" s="336"/>
      <c r="AT476" s="336"/>
    </row>
    <row r="477" spans="1:46" ht="14.45">
      <c r="A477" s="336"/>
      <c r="B477" s="336"/>
      <c r="C477" s="336"/>
      <c r="D477" s="336"/>
      <c r="E477" s="336"/>
      <c r="F477" s="336"/>
      <c r="G477" s="336"/>
      <c r="H477" s="336"/>
      <c r="I477" s="336"/>
      <c r="J477" s="336"/>
      <c r="K477" s="415"/>
      <c r="L477" s="336"/>
      <c r="M477" s="336"/>
      <c r="N477" s="336"/>
      <c r="O477" s="416"/>
      <c r="P477" s="336"/>
      <c r="Q477" s="415"/>
      <c r="R477" s="336"/>
      <c r="S477" s="336"/>
      <c r="T477" s="336"/>
      <c r="U477" s="336"/>
      <c r="V477" s="336"/>
      <c r="W477" s="336"/>
      <c r="X477" s="336"/>
      <c r="Y477" s="336"/>
      <c r="Z477" s="336"/>
      <c r="AA477" s="336"/>
      <c r="AB477" s="336"/>
      <c r="AC477" s="336"/>
      <c r="AD477" s="336"/>
      <c r="AE477"/>
      <c r="AF477" s="336"/>
      <c r="AG477" s="336"/>
      <c r="AH477" s="336"/>
      <c r="AI477" s="336"/>
      <c r="AJ477" s="336"/>
      <c r="AK477" s="336"/>
      <c r="AL477" s="336"/>
      <c r="AM477" s="336"/>
      <c r="AN477" s="336"/>
      <c r="AO477" s="336"/>
      <c r="AP477" s="336"/>
      <c r="AQ477" s="336"/>
      <c r="AR477" s="336"/>
      <c r="AS477" s="336"/>
      <c r="AT477" s="336"/>
    </row>
    <row r="478" spans="1:46" ht="14.45">
      <c r="A478" s="336"/>
      <c r="B478" s="336"/>
      <c r="C478" s="336"/>
      <c r="D478" s="336"/>
      <c r="E478" s="336"/>
      <c r="F478" s="336"/>
      <c r="G478" s="336"/>
      <c r="H478" s="336"/>
      <c r="I478" s="336"/>
      <c r="J478" s="336"/>
      <c r="K478" s="415"/>
      <c r="L478" s="336"/>
      <c r="M478" s="336"/>
      <c r="N478" s="336"/>
      <c r="O478" s="416"/>
      <c r="P478" s="336"/>
      <c r="Q478" s="415"/>
      <c r="R478" s="336"/>
      <c r="S478" s="336"/>
      <c r="T478" s="336"/>
      <c r="U478" s="336"/>
      <c r="V478" s="336"/>
      <c r="W478" s="336"/>
      <c r="X478" s="336"/>
      <c r="Y478" s="336"/>
      <c r="Z478" s="336"/>
      <c r="AA478" s="336"/>
      <c r="AB478" s="336"/>
      <c r="AC478" s="336"/>
      <c r="AD478" s="336"/>
      <c r="AE478"/>
      <c r="AF478" s="336"/>
      <c r="AG478" s="336"/>
      <c r="AH478" s="336"/>
      <c r="AI478" s="336"/>
      <c r="AJ478" s="336"/>
      <c r="AK478" s="336"/>
      <c r="AL478" s="336"/>
      <c r="AM478" s="336"/>
      <c r="AN478" s="336"/>
      <c r="AO478" s="336"/>
      <c r="AP478" s="336"/>
      <c r="AQ478" s="336"/>
      <c r="AR478" s="336"/>
      <c r="AS478" s="336"/>
      <c r="AT478" s="336"/>
    </row>
    <row r="479" spans="1:46" ht="14.45">
      <c r="A479" s="336"/>
      <c r="B479" s="336"/>
      <c r="C479" s="336"/>
      <c r="D479" s="336"/>
      <c r="E479" s="336"/>
      <c r="F479" s="336"/>
      <c r="G479" s="336"/>
      <c r="H479" s="336"/>
      <c r="I479" s="336"/>
      <c r="J479" s="336"/>
      <c r="K479" s="415"/>
      <c r="L479" s="336"/>
      <c r="M479" s="336"/>
      <c r="N479" s="336"/>
      <c r="O479" s="416"/>
      <c r="P479" s="336"/>
      <c r="Q479" s="415"/>
      <c r="R479" s="336"/>
      <c r="S479" s="336"/>
      <c r="T479" s="336"/>
      <c r="U479" s="336"/>
      <c r="V479" s="336"/>
      <c r="W479" s="336"/>
      <c r="X479" s="336"/>
      <c r="Y479" s="336"/>
      <c r="Z479" s="336"/>
      <c r="AA479" s="336"/>
      <c r="AB479" s="336"/>
      <c r="AC479" s="336"/>
      <c r="AD479" s="336"/>
      <c r="AE479"/>
      <c r="AF479" s="336"/>
      <c r="AG479" s="336"/>
      <c r="AH479" s="336"/>
      <c r="AI479" s="336"/>
      <c r="AJ479" s="336"/>
      <c r="AK479" s="336"/>
      <c r="AL479" s="336"/>
      <c r="AM479" s="336"/>
      <c r="AN479" s="336"/>
      <c r="AO479" s="336"/>
      <c r="AP479" s="336"/>
      <c r="AQ479" s="336"/>
      <c r="AR479" s="336"/>
      <c r="AS479" s="336"/>
      <c r="AT479" s="336"/>
    </row>
    <row r="480" spans="1:46" ht="14.45">
      <c r="A480" s="336"/>
      <c r="B480" s="336"/>
      <c r="C480" s="336"/>
      <c r="D480" s="336"/>
      <c r="E480" s="336"/>
      <c r="F480" s="336"/>
      <c r="G480" s="336"/>
      <c r="H480" s="336"/>
      <c r="I480" s="336"/>
      <c r="J480" s="336"/>
      <c r="K480" s="415"/>
      <c r="L480" s="336"/>
      <c r="M480" s="336"/>
      <c r="N480" s="336"/>
      <c r="O480" s="416"/>
      <c r="P480" s="336"/>
      <c r="Q480" s="415"/>
      <c r="R480" s="336"/>
      <c r="S480" s="336"/>
      <c r="T480" s="336"/>
      <c r="U480" s="336"/>
      <c r="V480" s="336"/>
      <c r="W480" s="336"/>
      <c r="X480" s="336"/>
      <c r="Y480" s="336"/>
      <c r="Z480" s="336"/>
      <c r="AA480" s="336"/>
      <c r="AB480" s="336"/>
      <c r="AC480" s="336"/>
      <c r="AD480" s="336"/>
      <c r="AE480"/>
      <c r="AF480" s="336"/>
      <c r="AG480" s="336"/>
      <c r="AH480" s="336"/>
      <c r="AI480" s="336"/>
      <c r="AJ480" s="336"/>
      <c r="AK480" s="336"/>
      <c r="AL480" s="336"/>
      <c r="AM480" s="336"/>
      <c r="AN480" s="336"/>
      <c r="AO480" s="336"/>
      <c r="AP480" s="336"/>
      <c r="AQ480" s="336"/>
      <c r="AR480" s="336"/>
      <c r="AS480" s="336"/>
      <c r="AT480" s="336"/>
    </row>
    <row r="481" spans="1:46" ht="14.45">
      <c r="A481" s="336"/>
      <c r="B481" s="336"/>
      <c r="C481" s="336"/>
      <c r="D481" s="336"/>
      <c r="E481" s="336"/>
      <c r="F481" s="336"/>
      <c r="G481" s="336"/>
      <c r="H481" s="336"/>
      <c r="I481" s="336"/>
      <c r="J481" s="336"/>
      <c r="K481" s="415"/>
      <c r="L481" s="336"/>
      <c r="M481" s="336"/>
      <c r="N481" s="336"/>
      <c r="O481" s="416"/>
      <c r="P481" s="336"/>
      <c r="Q481" s="415"/>
      <c r="R481" s="336"/>
      <c r="S481" s="336"/>
      <c r="T481" s="336"/>
      <c r="U481" s="336"/>
      <c r="V481" s="336"/>
      <c r="W481" s="336"/>
      <c r="X481" s="336"/>
      <c r="Y481" s="336"/>
      <c r="Z481" s="336"/>
      <c r="AA481" s="336"/>
      <c r="AB481" s="336"/>
      <c r="AC481" s="336"/>
      <c r="AD481" s="336"/>
      <c r="AE481"/>
      <c r="AF481" s="336"/>
      <c r="AG481" s="336"/>
      <c r="AH481" s="336"/>
      <c r="AI481" s="336"/>
      <c r="AJ481" s="336"/>
      <c r="AK481" s="336"/>
      <c r="AL481" s="336"/>
      <c r="AM481" s="336"/>
      <c r="AN481" s="336"/>
      <c r="AO481" s="336"/>
      <c r="AP481" s="336"/>
      <c r="AQ481" s="336"/>
      <c r="AR481" s="336"/>
      <c r="AS481" s="336"/>
      <c r="AT481" s="336"/>
    </row>
    <row r="482" spans="1:46" ht="14.45">
      <c r="A482" s="336"/>
      <c r="B482" s="336"/>
      <c r="C482" s="336"/>
      <c r="D482" s="336"/>
      <c r="E482" s="336"/>
      <c r="F482" s="336"/>
      <c r="G482" s="336"/>
      <c r="H482" s="336"/>
      <c r="I482" s="336"/>
      <c r="J482" s="336"/>
      <c r="K482" s="415"/>
      <c r="L482" s="336"/>
      <c r="M482" s="336"/>
      <c r="N482" s="336"/>
      <c r="O482" s="416"/>
      <c r="P482" s="336"/>
      <c r="Q482" s="415"/>
      <c r="R482" s="336"/>
      <c r="S482" s="336"/>
      <c r="T482" s="336"/>
      <c r="U482" s="336"/>
      <c r="V482" s="336"/>
      <c r="W482" s="336"/>
      <c r="X482" s="336"/>
      <c r="Y482" s="336"/>
      <c r="Z482" s="336"/>
      <c r="AA482" s="336"/>
      <c r="AB482" s="336"/>
      <c r="AC482" s="336"/>
      <c r="AD482" s="336"/>
      <c r="AE482"/>
      <c r="AF482" s="336"/>
      <c r="AG482" s="336"/>
      <c r="AH482" s="336"/>
      <c r="AI482" s="336"/>
      <c r="AJ482" s="336"/>
      <c r="AK482" s="336"/>
      <c r="AL482" s="336"/>
      <c r="AM482" s="336"/>
      <c r="AN482" s="336"/>
      <c r="AO482" s="336"/>
      <c r="AP482" s="336"/>
      <c r="AQ482" s="336"/>
      <c r="AR482" s="336"/>
      <c r="AS482" s="336"/>
      <c r="AT482" s="336"/>
    </row>
    <row r="483" spans="1:46" ht="14.45">
      <c r="A483" s="336"/>
      <c r="B483" s="336"/>
      <c r="C483" s="336"/>
      <c r="D483" s="336"/>
      <c r="E483" s="336"/>
      <c r="F483" s="336"/>
      <c r="G483" s="336"/>
      <c r="H483" s="336"/>
      <c r="I483" s="336"/>
      <c r="J483" s="336"/>
      <c r="K483" s="415"/>
      <c r="L483" s="336"/>
      <c r="M483" s="336"/>
      <c r="N483" s="336"/>
      <c r="O483" s="416"/>
      <c r="P483" s="336"/>
      <c r="Q483" s="415"/>
      <c r="R483" s="336"/>
      <c r="S483" s="336"/>
      <c r="T483" s="336"/>
      <c r="U483" s="336"/>
      <c r="V483" s="336"/>
      <c r="W483" s="336"/>
      <c r="X483" s="336"/>
      <c r="Y483" s="336"/>
      <c r="Z483" s="336"/>
      <c r="AA483" s="336"/>
      <c r="AB483" s="336"/>
      <c r="AC483" s="336"/>
      <c r="AD483" s="336"/>
      <c r="AE483"/>
      <c r="AF483" s="336"/>
      <c r="AG483" s="336"/>
      <c r="AH483" s="336"/>
      <c r="AI483" s="336"/>
      <c r="AJ483" s="336"/>
      <c r="AK483" s="336"/>
      <c r="AL483" s="336"/>
      <c r="AM483" s="336"/>
      <c r="AN483" s="336"/>
      <c r="AO483" s="336"/>
      <c r="AP483" s="336"/>
      <c r="AQ483" s="336"/>
      <c r="AR483" s="336"/>
      <c r="AS483" s="336"/>
      <c r="AT483" s="336"/>
    </row>
    <row r="484" spans="1:46" ht="14.45">
      <c r="A484" s="336"/>
      <c r="B484" s="336"/>
      <c r="C484" s="336"/>
      <c r="D484" s="336"/>
      <c r="E484" s="336"/>
      <c r="F484" s="336"/>
      <c r="G484" s="336"/>
      <c r="H484" s="336"/>
      <c r="I484" s="336"/>
      <c r="J484" s="336"/>
      <c r="K484" s="415"/>
      <c r="L484" s="336"/>
      <c r="M484" s="336"/>
      <c r="N484" s="336"/>
      <c r="O484" s="416"/>
      <c r="P484" s="336"/>
      <c r="Q484" s="415"/>
      <c r="R484" s="336"/>
      <c r="S484" s="336"/>
      <c r="T484" s="336"/>
      <c r="U484" s="336"/>
      <c r="V484" s="336"/>
      <c r="W484" s="336"/>
      <c r="X484" s="336"/>
      <c r="Y484" s="336"/>
      <c r="Z484" s="336"/>
      <c r="AA484" s="336"/>
      <c r="AB484" s="336"/>
      <c r="AC484" s="336"/>
      <c r="AD484" s="336"/>
      <c r="AE484"/>
      <c r="AF484" s="336"/>
      <c r="AG484" s="336"/>
      <c r="AH484" s="336"/>
      <c r="AI484" s="336"/>
      <c r="AJ484" s="336"/>
      <c r="AK484" s="336"/>
      <c r="AL484" s="336"/>
      <c r="AM484" s="336"/>
      <c r="AN484" s="336"/>
      <c r="AO484" s="336"/>
      <c r="AP484" s="336"/>
      <c r="AQ484" s="336"/>
      <c r="AR484" s="336"/>
      <c r="AS484" s="336"/>
      <c r="AT484" s="336"/>
    </row>
    <row r="485" spans="1:46" ht="14.45">
      <c r="A485" s="336"/>
      <c r="B485" s="336"/>
      <c r="C485" s="336"/>
      <c r="D485" s="336"/>
      <c r="E485" s="336"/>
      <c r="F485" s="336"/>
      <c r="G485" s="336"/>
      <c r="H485" s="336"/>
      <c r="I485" s="336"/>
      <c r="J485" s="336"/>
      <c r="K485" s="415"/>
      <c r="L485" s="336"/>
      <c r="M485" s="336"/>
      <c r="N485" s="336"/>
      <c r="O485" s="416"/>
      <c r="P485" s="336"/>
      <c r="Q485" s="415"/>
      <c r="R485" s="336"/>
      <c r="S485" s="336"/>
      <c r="T485" s="336"/>
      <c r="U485" s="336"/>
      <c r="V485" s="336"/>
      <c r="W485" s="336"/>
      <c r="X485" s="336"/>
      <c r="Y485" s="336"/>
      <c r="Z485" s="336"/>
      <c r="AA485" s="336"/>
      <c r="AB485" s="336"/>
      <c r="AC485" s="336"/>
      <c r="AD485" s="336"/>
      <c r="AE485"/>
      <c r="AF485" s="336"/>
      <c r="AG485" s="336"/>
      <c r="AH485" s="336"/>
      <c r="AI485" s="336"/>
      <c r="AJ485" s="336"/>
      <c r="AK485" s="336"/>
      <c r="AL485" s="336"/>
      <c r="AM485" s="336"/>
      <c r="AN485" s="336"/>
      <c r="AO485" s="336"/>
      <c r="AP485" s="336"/>
      <c r="AQ485" s="336"/>
      <c r="AR485" s="336"/>
      <c r="AS485" s="336"/>
      <c r="AT485" s="336"/>
    </row>
    <row r="486" spans="1:46" ht="14.45">
      <c r="A486" s="336"/>
      <c r="B486" s="336"/>
      <c r="C486" s="336"/>
      <c r="D486" s="336"/>
      <c r="E486" s="336"/>
      <c r="F486" s="336"/>
      <c r="G486" s="336"/>
      <c r="H486" s="336"/>
      <c r="I486" s="336"/>
      <c r="J486" s="336"/>
      <c r="K486" s="415"/>
      <c r="L486" s="336"/>
      <c r="M486" s="336"/>
      <c r="N486" s="336"/>
      <c r="O486" s="416"/>
      <c r="P486" s="336"/>
      <c r="Q486" s="415"/>
      <c r="R486" s="336"/>
      <c r="S486" s="336"/>
      <c r="T486" s="336"/>
      <c r="U486" s="336"/>
      <c r="V486" s="336"/>
      <c r="W486" s="336"/>
      <c r="X486" s="336"/>
      <c r="Y486" s="336"/>
      <c r="Z486" s="336"/>
      <c r="AA486" s="336"/>
      <c r="AB486" s="336"/>
      <c r="AC486" s="336"/>
      <c r="AD486" s="336"/>
      <c r="AE486"/>
      <c r="AF486" s="336"/>
      <c r="AG486" s="336"/>
      <c r="AH486" s="336"/>
      <c r="AI486" s="336"/>
      <c r="AJ486" s="336"/>
      <c r="AK486" s="336"/>
      <c r="AL486" s="336"/>
      <c r="AM486" s="336"/>
      <c r="AN486" s="336"/>
      <c r="AO486" s="336"/>
      <c r="AP486" s="336"/>
      <c r="AQ486" s="336"/>
      <c r="AR486" s="336"/>
      <c r="AS486" s="336"/>
      <c r="AT486" s="336"/>
    </row>
    <row r="487" spans="1:46" ht="14.45">
      <c r="A487" s="336"/>
      <c r="B487" s="336"/>
      <c r="C487" s="336"/>
      <c r="D487" s="336"/>
      <c r="E487" s="336"/>
      <c r="F487" s="336"/>
      <c r="G487" s="336"/>
      <c r="H487" s="336"/>
      <c r="I487" s="336"/>
      <c r="J487" s="336"/>
      <c r="K487" s="415"/>
      <c r="L487" s="336"/>
      <c r="M487" s="336"/>
      <c r="N487" s="336"/>
      <c r="O487" s="416"/>
      <c r="P487" s="336"/>
      <c r="Q487" s="415"/>
      <c r="R487" s="336"/>
      <c r="S487" s="336"/>
      <c r="T487" s="336"/>
      <c r="U487" s="336"/>
      <c r="V487" s="336"/>
      <c r="W487" s="336"/>
      <c r="X487" s="336"/>
      <c r="Y487" s="336"/>
      <c r="Z487" s="336"/>
      <c r="AA487" s="336"/>
      <c r="AB487" s="336"/>
      <c r="AC487" s="336"/>
      <c r="AD487" s="336"/>
      <c r="AE487"/>
      <c r="AF487" s="336"/>
      <c r="AG487" s="336"/>
      <c r="AH487" s="336"/>
      <c r="AI487" s="336"/>
      <c r="AJ487" s="336"/>
      <c r="AK487" s="336"/>
      <c r="AL487" s="336"/>
      <c r="AM487" s="336"/>
      <c r="AN487" s="336"/>
      <c r="AO487" s="336"/>
      <c r="AP487" s="336"/>
      <c r="AQ487" s="336"/>
      <c r="AR487" s="336"/>
      <c r="AS487" s="336"/>
      <c r="AT487" s="336"/>
    </row>
    <row r="488" spans="1:46" ht="14.45">
      <c r="A488" s="336"/>
      <c r="B488" s="336"/>
      <c r="C488" s="336"/>
      <c r="D488" s="336"/>
      <c r="E488" s="336"/>
      <c r="F488" s="336"/>
      <c r="G488" s="336"/>
      <c r="H488" s="336"/>
      <c r="I488" s="336"/>
      <c r="J488" s="336"/>
      <c r="K488" s="415"/>
      <c r="L488" s="336"/>
      <c r="M488" s="336"/>
      <c r="N488" s="336"/>
      <c r="O488" s="416"/>
      <c r="P488" s="336"/>
      <c r="Q488" s="415"/>
      <c r="R488" s="336"/>
      <c r="S488" s="336"/>
      <c r="T488" s="336"/>
      <c r="U488" s="336"/>
      <c r="V488" s="336"/>
      <c r="W488" s="336"/>
      <c r="X488" s="336"/>
      <c r="Y488" s="336"/>
      <c r="Z488" s="336"/>
      <c r="AA488" s="336"/>
      <c r="AB488" s="336"/>
      <c r="AC488" s="336"/>
      <c r="AD488" s="336"/>
      <c r="AE488"/>
      <c r="AF488" s="336"/>
      <c r="AG488" s="336"/>
      <c r="AH488" s="336"/>
      <c r="AI488" s="336"/>
      <c r="AJ488" s="336"/>
      <c r="AK488" s="336"/>
      <c r="AL488" s="336"/>
      <c r="AM488" s="336"/>
      <c r="AN488" s="336"/>
      <c r="AO488" s="336"/>
      <c r="AP488" s="336"/>
      <c r="AQ488" s="336"/>
      <c r="AR488" s="336"/>
      <c r="AS488" s="336"/>
      <c r="AT488" s="336"/>
    </row>
    <row r="489" spans="1:46" ht="14.45">
      <c r="A489" s="336"/>
      <c r="B489" s="336"/>
      <c r="C489" s="336"/>
      <c r="D489" s="336"/>
      <c r="E489" s="336"/>
      <c r="F489" s="336"/>
      <c r="G489" s="336"/>
      <c r="H489" s="336"/>
      <c r="I489" s="336"/>
      <c r="J489" s="336"/>
      <c r="K489" s="415"/>
      <c r="L489" s="336"/>
      <c r="M489" s="336"/>
      <c r="N489" s="336"/>
      <c r="O489" s="416"/>
      <c r="P489" s="336"/>
      <c r="Q489" s="415"/>
      <c r="R489" s="336"/>
      <c r="S489" s="336"/>
      <c r="T489" s="336"/>
      <c r="U489" s="336"/>
      <c r="V489" s="336"/>
      <c r="W489" s="336"/>
      <c r="X489" s="336"/>
      <c r="Y489" s="336"/>
      <c r="Z489" s="336"/>
      <c r="AA489" s="336"/>
      <c r="AB489" s="336"/>
      <c r="AC489" s="336"/>
      <c r="AD489" s="336"/>
      <c r="AE489"/>
      <c r="AF489" s="336"/>
      <c r="AG489" s="336"/>
      <c r="AH489" s="336"/>
      <c r="AI489" s="336"/>
      <c r="AJ489" s="336"/>
      <c r="AK489" s="336"/>
      <c r="AL489" s="336"/>
      <c r="AM489" s="336"/>
      <c r="AN489" s="336"/>
      <c r="AO489" s="336"/>
      <c r="AP489" s="336"/>
      <c r="AQ489" s="336"/>
      <c r="AR489" s="336"/>
      <c r="AS489" s="336"/>
      <c r="AT489" s="336"/>
    </row>
    <row r="490" spans="1:46" ht="14.45">
      <c r="A490" s="336"/>
      <c r="B490" s="336"/>
      <c r="C490" s="336"/>
      <c r="D490" s="336"/>
      <c r="E490" s="336"/>
      <c r="F490" s="336"/>
      <c r="G490" s="336"/>
      <c r="H490" s="336"/>
      <c r="I490" s="336"/>
      <c r="J490" s="336"/>
      <c r="K490" s="415"/>
      <c r="L490" s="336"/>
      <c r="M490" s="336"/>
      <c r="N490" s="336"/>
      <c r="O490" s="416"/>
      <c r="P490" s="336"/>
      <c r="Q490" s="415"/>
      <c r="R490" s="336"/>
      <c r="S490" s="336"/>
      <c r="T490" s="336"/>
      <c r="U490" s="336"/>
      <c r="V490" s="336"/>
      <c r="W490" s="336"/>
      <c r="X490" s="336"/>
      <c r="Y490" s="336"/>
      <c r="Z490" s="336"/>
      <c r="AA490" s="336"/>
      <c r="AB490" s="336"/>
      <c r="AC490" s="336"/>
      <c r="AD490" s="336"/>
      <c r="AE490"/>
      <c r="AF490" s="336"/>
      <c r="AG490" s="336"/>
      <c r="AH490" s="336"/>
      <c r="AI490" s="336"/>
      <c r="AJ490" s="336"/>
      <c r="AK490" s="336"/>
      <c r="AL490" s="336"/>
      <c r="AM490" s="336"/>
      <c r="AN490" s="336"/>
      <c r="AO490" s="336"/>
      <c r="AP490" s="336"/>
      <c r="AQ490" s="336"/>
      <c r="AR490" s="336"/>
      <c r="AS490" s="336"/>
      <c r="AT490" s="336"/>
    </row>
    <row r="491" spans="1:46" ht="14.45">
      <c r="A491" s="336"/>
      <c r="B491" s="336"/>
      <c r="C491" s="336"/>
      <c r="D491" s="336"/>
      <c r="E491" s="336"/>
      <c r="F491" s="336"/>
      <c r="G491" s="336"/>
      <c r="H491" s="336"/>
      <c r="I491" s="336"/>
      <c r="J491" s="336"/>
      <c r="K491" s="415"/>
      <c r="L491" s="336"/>
      <c r="M491" s="336"/>
      <c r="N491" s="336"/>
      <c r="O491" s="416"/>
      <c r="P491" s="336"/>
      <c r="Q491" s="415"/>
      <c r="R491" s="336"/>
      <c r="S491" s="336"/>
      <c r="T491" s="336"/>
      <c r="U491" s="336"/>
      <c r="V491" s="336"/>
      <c r="W491" s="336"/>
      <c r="X491" s="336"/>
      <c r="Y491" s="336"/>
      <c r="Z491" s="336"/>
      <c r="AA491" s="336"/>
      <c r="AB491" s="336"/>
      <c r="AC491" s="336"/>
      <c r="AD491" s="336"/>
      <c r="AE491"/>
      <c r="AF491" s="336"/>
      <c r="AG491" s="336"/>
      <c r="AH491" s="336"/>
      <c r="AI491" s="336"/>
      <c r="AJ491" s="336"/>
      <c r="AK491" s="336"/>
      <c r="AL491" s="336"/>
      <c r="AM491" s="336"/>
      <c r="AN491" s="336"/>
      <c r="AO491" s="336"/>
      <c r="AP491" s="336"/>
      <c r="AQ491" s="336"/>
      <c r="AR491" s="336"/>
      <c r="AS491" s="336"/>
      <c r="AT491" s="336"/>
    </row>
    <row r="492" spans="1:46" ht="14.45">
      <c r="A492" s="336"/>
      <c r="B492" s="336"/>
      <c r="C492" s="336"/>
      <c r="D492" s="336"/>
      <c r="E492" s="336"/>
      <c r="F492" s="336"/>
      <c r="G492" s="336"/>
      <c r="H492" s="336"/>
      <c r="I492" s="336"/>
      <c r="J492" s="336"/>
      <c r="K492" s="415"/>
      <c r="L492" s="336"/>
      <c r="M492" s="336"/>
      <c r="N492" s="336"/>
      <c r="O492" s="416"/>
      <c r="P492" s="336"/>
      <c r="Q492" s="415"/>
      <c r="R492" s="336"/>
      <c r="S492" s="336"/>
      <c r="T492" s="336"/>
      <c r="U492" s="336"/>
      <c r="V492" s="336"/>
      <c r="W492" s="336"/>
      <c r="X492" s="336"/>
      <c r="Y492" s="336"/>
      <c r="Z492" s="336"/>
      <c r="AA492" s="336"/>
      <c r="AB492" s="336"/>
      <c r="AC492" s="336"/>
      <c r="AD492" s="336"/>
      <c r="AE492"/>
      <c r="AF492" s="336"/>
      <c r="AG492" s="336"/>
      <c r="AH492" s="336"/>
      <c r="AI492" s="336"/>
      <c r="AJ492" s="336"/>
      <c r="AK492" s="336"/>
      <c r="AL492" s="336"/>
      <c r="AM492" s="336"/>
      <c r="AN492" s="336"/>
      <c r="AO492" s="336"/>
      <c r="AP492" s="336"/>
      <c r="AQ492" s="336"/>
      <c r="AR492" s="336"/>
      <c r="AS492" s="336"/>
      <c r="AT492" s="336"/>
    </row>
    <row r="493" spans="1:46" ht="14.45">
      <c r="A493" s="336"/>
      <c r="B493" s="336"/>
      <c r="C493" s="336"/>
      <c r="D493" s="336"/>
      <c r="E493" s="336"/>
      <c r="F493" s="336"/>
      <c r="G493" s="336"/>
      <c r="H493" s="336"/>
      <c r="I493" s="336"/>
      <c r="J493" s="336"/>
      <c r="K493" s="415"/>
      <c r="L493" s="336"/>
      <c r="M493" s="336"/>
      <c r="N493" s="336"/>
      <c r="O493" s="416"/>
      <c r="P493" s="336"/>
      <c r="Q493" s="415"/>
      <c r="R493" s="336"/>
      <c r="S493" s="336"/>
      <c r="T493" s="336"/>
      <c r="U493" s="336"/>
      <c r="V493" s="336"/>
      <c r="W493" s="336"/>
      <c r="X493" s="336"/>
      <c r="Y493" s="336"/>
      <c r="Z493" s="336"/>
      <c r="AA493" s="336"/>
      <c r="AB493" s="336"/>
      <c r="AC493" s="336"/>
      <c r="AD493" s="336"/>
      <c r="AE493"/>
      <c r="AF493" s="336"/>
      <c r="AG493" s="336"/>
      <c r="AH493" s="336"/>
      <c r="AI493" s="336"/>
      <c r="AJ493" s="336"/>
      <c r="AK493" s="336"/>
      <c r="AL493" s="336"/>
      <c r="AM493" s="336"/>
      <c r="AN493" s="336"/>
      <c r="AO493" s="336"/>
      <c r="AP493" s="336"/>
      <c r="AQ493" s="336"/>
      <c r="AR493" s="336"/>
      <c r="AS493" s="336"/>
      <c r="AT493" s="336"/>
    </row>
    <row r="494" spans="1:46" ht="14.45">
      <c r="A494" s="336"/>
      <c r="B494" s="336"/>
      <c r="C494" s="336"/>
      <c r="D494" s="336"/>
      <c r="E494" s="336"/>
      <c r="F494" s="336"/>
      <c r="G494" s="336"/>
      <c r="H494" s="336"/>
      <c r="I494" s="336"/>
      <c r="J494" s="336"/>
      <c r="K494" s="415"/>
      <c r="L494" s="336"/>
      <c r="M494" s="336"/>
      <c r="N494" s="336"/>
      <c r="O494" s="416"/>
      <c r="P494" s="336"/>
      <c r="Q494" s="415"/>
      <c r="R494" s="336"/>
      <c r="S494" s="336"/>
      <c r="T494" s="336"/>
      <c r="U494" s="336"/>
      <c r="V494" s="336"/>
      <c r="W494" s="336"/>
      <c r="X494" s="336"/>
      <c r="Y494" s="336"/>
      <c r="Z494" s="336"/>
      <c r="AA494" s="336"/>
      <c r="AB494" s="336"/>
      <c r="AC494" s="336"/>
      <c r="AD494" s="336"/>
      <c r="AE494"/>
      <c r="AF494" s="336"/>
      <c r="AG494" s="336"/>
      <c r="AH494" s="336"/>
      <c r="AI494" s="336"/>
      <c r="AJ494" s="336"/>
      <c r="AK494" s="336"/>
      <c r="AL494" s="336"/>
      <c r="AM494" s="336"/>
      <c r="AN494" s="336"/>
      <c r="AO494" s="336"/>
      <c r="AP494" s="336"/>
      <c r="AQ494" s="336"/>
      <c r="AR494" s="336"/>
      <c r="AS494" s="336"/>
      <c r="AT494" s="336"/>
    </row>
    <row r="495" spans="1:46" ht="14.45">
      <c r="A495" s="336"/>
      <c r="B495" s="336"/>
      <c r="C495" s="336"/>
      <c r="D495" s="336"/>
      <c r="E495" s="336"/>
      <c r="F495" s="336"/>
      <c r="G495" s="336"/>
      <c r="H495" s="336"/>
      <c r="I495" s="336"/>
      <c r="J495" s="336"/>
      <c r="K495" s="415"/>
      <c r="L495" s="336"/>
      <c r="M495" s="336"/>
      <c r="N495" s="336"/>
      <c r="O495" s="416"/>
      <c r="P495" s="336"/>
      <c r="Q495" s="415"/>
      <c r="R495" s="336"/>
      <c r="S495" s="336"/>
      <c r="T495" s="336"/>
      <c r="U495" s="336"/>
      <c r="V495" s="336"/>
      <c r="W495" s="336"/>
      <c r="X495" s="336"/>
      <c r="Y495" s="336"/>
      <c r="Z495" s="336"/>
      <c r="AA495" s="336"/>
      <c r="AB495" s="336"/>
      <c r="AC495" s="336"/>
      <c r="AD495" s="336"/>
      <c r="AE495"/>
      <c r="AF495" s="336"/>
      <c r="AG495" s="336"/>
      <c r="AH495" s="336"/>
      <c r="AI495" s="336"/>
      <c r="AJ495" s="336"/>
      <c r="AK495" s="336"/>
      <c r="AL495" s="336"/>
      <c r="AM495" s="336"/>
      <c r="AN495" s="336"/>
      <c r="AO495" s="336"/>
      <c r="AP495" s="336"/>
      <c r="AQ495" s="336"/>
      <c r="AR495" s="336"/>
      <c r="AS495" s="336"/>
      <c r="AT495" s="336"/>
    </row>
    <row r="496" spans="1:46" ht="14.45">
      <c r="A496" s="336"/>
      <c r="B496" s="336"/>
      <c r="C496" s="336"/>
      <c r="D496" s="336"/>
      <c r="E496" s="336"/>
      <c r="F496" s="336"/>
      <c r="G496" s="336"/>
      <c r="H496" s="336"/>
      <c r="I496" s="336"/>
      <c r="J496" s="336"/>
      <c r="K496" s="415"/>
      <c r="L496" s="336"/>
      <c r="M496" s="336"/>
      <c r="N496" s="336"/>
      <c r="O496" s="416"/>
      <c r="P496" s="336"/>
      <c r="Q496" s="415"/>
      <c r="R496" s="336"/>
      <c r="S496" s="336"/>
      <c r="T496" s="336"/>
      <c r="U496" s="336"/>
      <c r="V496" s="336"/>
      <c r="W496" s="336"/>
      <c r="X496" s="336"/>
      <c r="Y496" s="336"/>
      <c r="Z496" s="336"/>
      <c r="AA496" s="336"/>
      <c r="AB496" s="336"/>
      <c r="AC496" s="336"/>
      <c r="AD496" s="336"/>
      <c r="AE496"/>
      <c r="AF496" s="336"/>
      <c r="AG496" s="336"/>
      <c r="AH496" s="336"/>
      <c r="AI496" s="336"/>
      <c r="AJ496" s="336"/>
      <c r="AK496" s="336"/>
      <c r="AL496" s="336"/>
      <c r="AM496" s="336"/>
      <c r="AN496" s="336"/>
      <c r="AO496" s="336"/>
      <c r="AP496" s="336"/>
      <c r="AQ496" s="336"/>
      <c r="AR496" s="336"/>
      <c r="AS496" s="336"/>
      <c r="AT496" s="336"/>
    </row>
    <row r="497" spans="1:46" ht="14.45">
      <c r="A497" s="336"/>
      <c r="B497" s="336"/>
      <c r="C497" s="336"/>
      <c r="D497" s="336"/>
      <c r="E497" s="336"/>
      <c r="F497" s="336"/>
      <c r="G497" s="336"/>
      <c r="H497" s="336"/>
      <c r="I497" s="336"/>
      <c r="J497" s="336"/>
      <c r="K497" s="415"/>
      <c r="L497" s="336"/>
      <c r="M497" s="336"/>
      <c r="N497" s="336"/>
      <c r="O497" s="416"/>
      <c r="P497" s="336"/>
      <c r="Q497" s="415"/>
      <c r="R497" s="336"/>
      <c r="S497" s="336"/>
      <c r="T497" s="336"/>
      <c r="U497" s="336"/>
      <c r="V497" s="336"/>
      <c r="W497" s="336"/>
      <c r="X497" s="336"/>
      <c r="Y497" s="336"/>
      <c r="Z497" s="336"/>
      <c r="AA497" s="336"/>
      <c r="AB497" s="336"/>
      <c r="AC497" s="336"/>
      <c r="AD497" s="336"/>
      <c r="AE497"/>
      <c r="AF497" s="336"/>
      <c r="AG497" s="336"/>
      <c r="AH497" s="336"/>
      <c r="AI497" s="336"/>
      <c r="AJ497" s="336"/>
      <c r="AK497" s="336"/>
      <c r="AL497" s="336"/>
      <c r="AM497" s="336"/>
      <c r="AN497" s="336"/>
      <c r="AO497" s="336"/>
      <c r="AP497" s="336"/>
      <c r="AQ497" s="336"/>
      <c r="AR497" s="336"/>
      <c r="AS497" s="336"/>
      <c r="AT497" s="336"/>
    </row>
    <row r="498" spans="1:46" ht="14.45">
      <c r="A498" s="336"/>
      <c r="B498" s="336"/>
      <c r="C498" s="336"/>
      <c r="D498" s="336"/>
      <c r="E498" s="336"/>
      <c r="F498" s="336"/>
      <c r="G498" s="336"/>
      <c r="H498" s="336"/>
      <c r="I498" s="336"/>
      <c r="J498" s="336"/>
      <c r="K498" s="415"/>
      <c r="L498" s="336"/>
      <c r="M498" s="336"/>
      <c r="N498" s="336"/>
      <c r="O498" s="416"/>
      <c r="P498" s="336"/>
      <c r="Q498" s="415"/>
      <c r="R498" s="336"/>
      <c r="S498" s="336"/>
      <c r="T498" s="336"/>
      <c r="U498" s="336"/>
      <c r="V498" s="336"/>
      <c r="W498" s="336"/>
      <c r="X498" s="336"/>
      <c r="Y498" s="336"/>
      <c r="Z498" s="336"/>
      <c r="AA498" s="336"/>
      <c r="AB498" s="336"/>
      <c r="AC498" s="336"/>
      <c r="AD498" s="336"/>
      <c r="AE498"/>
      <c r="AF498" s="336"/>
      <c r="AG498" s="336"/>
      <c r="AH498" s="336"/>
      <c r="AI498" s="336"/>
      <c r="AJ498" s="336"/>
      <c r="AK498" s="336"/>
      <c r="AL498" s="336"/>
      <c r="AM498" s="336"/>
      <c r="AN498" s="336"/>
      <c r="AO498" s="336"/>
      <c r="AP498" s="336"/>
      <c r="AQ498" s="336"/>
      <c r="AR498" s="336"/>
      <c r="AS498" s="336"/>
      <c r="AT498" s="336"/>
    </row>
    <row r="499" spans="1:46" ht="14.45">
      <c r="A499" s="336"/>
      <c r="B499" s="336"/>
      <c r="C499" s="336"/>
      <c r="D499" s="336"/>
      <c r="E499" s="336"/>
      <c r="F499" s="336"/>
      <c r="G499" s="336"/>
      <c r="H499" s="336"/>
      <c r="I499" s="336"/>
      <c r="J499" s="336"/>
      <c r="K499" s="415"/>
      <c r="L499" s="336"/>
      <c r="M499" s="336"/>
      <c r="N499" s="336"/>
      <c r="O499" s="416"/>
      <c r="P499" s="336"/>
      <c r="Q499" s="415"/>
      <c r="R499" s="336"/>
      <c r="S499" s="336"/>
      <c r="T499" s="336"/>
      <c r="U499" s="336"/>
      <c r="V499" s="336"/>
      <c r="W499" s="336"/>
      <c r="X499" s="336"/>
      <c r="Y499" s="336"/>
      <c r="Z499" s="336"/>
      <c r="AA499" s="336"/>
      <c r="AB499" s="336"/>
      <c r="AC499" s="336"/>
      <c r="AD499" s="336"/>
      <c r="AE499"/>
      <c r="AF499" s="336"/>
      <c r="AG499" s="336"/>
      <c r="AH499" s="336"/>
      <c r="AI499" s="336"/>
      <c r="AJ499" s="336"/>
      <c r="AK499" s="336"/>
      <c r="AL499" s="336"/>
      <c r="AM499" s="336"/>
      <c r="AN499" s="336"/>
      <c r="AO499" s="336"/>
      <c r="AP499" s="336"/>
      <c r="AQ499" s="336"/>
      <c r="AR499" s="336"/>
      <c r="AS499" s="336"/>
      <c r="AT499" s="336"/>
    </row>
    <row r="500" spans="1:46" ht="14.45">
      <c r="A500" s="336"/>
      <c r="B500" s="336"/>
      <c r="C500" s="336"/>
      <c r="D500" s="336"/>
      <c r="E500" s="336"/>
      <c r="F500" s="336"/>
      <c r="G500" s="336"/>
      <c r="H500" s="336"/>
      <c r="I500" s="336"/>
      <c r="J500" s="336"/>
      <c r="K500" s="415"/>
      <c r="L500" s="336"/>
      <c r="M500" s="336"/>
      <c r="N500" s="336"/>
      <c r="O500" s="416"/>
      <c r="P500" s="336"/>
      <c r="Q500" s="415"/>
      <c r="R500" s="336"/>
      <c r="S500" s="336"/>
      <c r="T500" s="336"/>
      <c r="U500" s="336"/>
      <c r="V500" s="336"/>
      <c r="W500" s="336"/>
      <c r="X500" s="336"/>
      <c r="Y500" s="336"/>
      <c r="Z500" s="336"/>
      <c r="AA500" s="336"/>
      <c r="AB500" s="336"/>
      <c r="AC500" s="336"/>
      <c r="AD500" s="336"/>
      <c r="AE500"/>
      <c r="AF500" s="336"/>
      <c r="AG500" s="336"/>
      <c r="AH500" s="336"/>
      <c r="AI500" s="336"/>
      <c r="AJ500" s="336"/>
      <c r="AK500" s="336"/>
      <c r="AL500" s="336"/>
      <c r="AM500" s="336"/>
      <c r="AN500" s="336"/>
      <c r="AO500" s="336"/>
      <c r="AP500" s="336"/>
      <c r="AQ500" s="336"/>
      <c r="AR500" s="336"/>
      <c r="AS500" s="336"/>
      <c r="AT500" s="336"/>
    </row>
    <row r="501" spans="1:46" ht="14.45">
      <c r="A501" s="336"/>
      <c r="B501" s="336"/>
      <c r="C501" s="336"/>
      <c r="D501" s="336"/>
      <c r="E501" s="336"/>
      <c r="F501" s="336"/>
      <c r="G501" s="336"/>
      <c r="H501" s="336"/>
      <c r="I501" s="336"/>
      <c r="J501" s="336"/>
      <c r="K501" s="415"/>
      <c r="L501" s="336"/>
      <c r="M501" s="336"/>
      <c r="N501" s="336"/>
      <c r="O501" s="416"/>
      <c r="P501" s="336"/>
      <c r="Q501" s="415"/>
      <c r="R501" s="336"/>
      <c r="S501" s="336"/>
      <c r="T501" s="336"/>
      <c r="U501" s="336"/>
      <c r="V501" s="336"/>
      <c r="W501" s="336"/>
      <c r="X501" s="336"/>
      <c r="Y501" s="336"/>
      <c r="Z501" s="336"/>
      <c r="AA501" s="336"/>
      <c r="AB501" s="336"/>
      <c r="AC501" s="336"/>
      <c r="AD501" s="336"/>
      <c r="AE501"/>
      <c r="AF501" s="336"/>
      <c r="AG501" s="336"/>
      <c r="AH501" s="336"/>
      <c r="AI501" s="336"/>
      <c r="AJ501" s="336"/>
      <c r="AK501" s="336"/>
      <c r="AL501" s="336"/>
      <c r="AM501" s="336"/>
      <c r="AN501" s="336"/>
      <c r="AO501" s="336"/>
      <c r="AP501" s="336"/>
      <c r="AQ501" s="336"/>
      <c r="AR501" s="336"/>
      <c r="AS501" s="336"/>
      <c r="AT501" s="336"/>
    </row>
    <row r="502" spans="1:46" ht="14.45">
      <c r="A502" s="336"/>
      <c r="B502" s="336"/>
      <c r="C502" s="336"/>
      <c r="D502" s="336"/>
      <c r="E502" s="336"/>
      <c r="F502" s="336"/>
      <c r="G502" s="336"/>
      <c r="H502" s="336"/>
      <c r="I502" s="336"/>
      <c r="J502" s="336"/>
      <c r="K502" s="415"/>
      <c r="L502" s="336"/>
      <c r="M502" s="336"/>
      <c r="N502" s="336"/>
      <c r="O502" s="416"/>
      <c r="P502" s="336"/>
      <c r="Q502" s="415"/>
      <c r="R502" s="336"/>
      <c r="S502" s="336"/>
      <c r="T502" s="336"/>
      <c r="U502" s="336"/>
      <c r="V502" s="336"/>
      <c r="W502" s="336"/>
      <c r="X502" s="336"/>
      <c r="Y502" s="336"/>
      <c r="Z502" s="336"/>
      <c r="AA502" s="336"/>
      <c r="AB502" s="336"/>
      <c r="AC502" s="336"/>
      <c r="AD502" s="336"/>
      <c r="AE502"/>
      <c r="AF502" s="336"/>
      <c r="AG502" s="336"/>
      <c r="AH502" s="336"/>
      <c r="AI502" s="336"/>
      <c r="AJ502" s="336"/>
      <c r="AK502" s="336"/>
      <c r="AL502" s="336"/>
      <c r="AM502" s="336"/>
      <c r="AN502" s="336"/>
      <c r="AO502" s="336"/>
      <c r="AP502" s="336"/>
      <c r="AQ502" s="336"/>
      <c r="AR502" s="336"/>
      <c r="AS502" s="336"/>
      <c r="AT502" s="336"/>
    </row>
    <row r="503" spans="1:46" ht="14.45">
      <c r="A503" s="336"/>
      <c r="B503" s="336"/>
      <c r="C503" s="336"/>
      <c r="D503" s="336"/>
      <c r="E503" s="336"/>
      <c r="F503" s="336"/>
      <c r="G503" s="336"/>
      <c r="H503" s="336"/>
      <c r="I503" s="336"/>
      <c r="J503" s="336"/>
      <c r="K503" s="415"/>
      <c r="L503" s="336"/>
      <c r="M503" s="336"/>
      <c r="N503" s="336"/>
      <c r="O503" s="416"/>
      <c r="P503" s="336"/>
      <c r="Q503" s="415"/>
      <c r="R503" s="336"/>
      <c r="S503" s="336"/>
      <c r="T503" s="336"/>
      <c r="U503" s="336"/>
      <c r="V503" s="336"/>
      <c r="W503" s="336"/>
      <c r="X503" s="336"/>
      <c r="Y503" s="336"/>
      <c r="Z503" s="336"/>
      <c r="AA503" s="336"/>
      <c r="AB503" s="336"/>
      <c r="AC503" s="336"/>
      <c r="AD503" s="336"/>
      <c r="AE503"/>
      <c r="AF503" s="336"/>
      <c r="AG503" s="336"/>
      <c r="AH503" s="336"/>
      <c r="AI503" s="336"/>
      <c r="AJ503" s="336"/>
      <c r="AK503" s="336"/>
      <c r="AL503" s="336"/>
      <c r="AM503" s="336"/>
      <c r="AN503" s="336"/>
      <c r="AO503" s="336"/>
      <c r="AP503" s="336"/>
      <c r="AQ503" s="336"/>
      <c r="AR503" s="336"/>
      <c r="AS503" s="336"/>
      <c r="AT503" s="336"/>
    </row>
    <row r="504" spans="1:46" ht="14.45">
      <c r="A504" s="336"/>
      <c r="B504" s="336"/>
      <c r="C504" s="336"/>
      <c r="D504" s="336"/>
      <c r="E504" s="336"/>
      <c r="F504" s="336"/>
      <c r="G504" s="336"/>
      <c r="H504" s="336"/>
      <c r="I504" s="336"/>
      <c r="J504" s="336"/>
      <c r="K504" s="415"/>
      <c r="L504" s="336"/>
      <c r="M504" s="336"/>
      <c r="N504" s="336"/>
      <c r="O504" s="416"/>
      <c r="P504" s="336"/>
      <c r="Q504" s="415"/>
      <c r="R504" s="336"/>
      <c r="S504" s="336"/>
      <c r="T504" s="336"/>
      <c r="U504" s="336"/>
      <c r="V504" s="336"/>
      <c r="W504" s="336"/>
      <c r="X504" s="336"/>
      <c r="Y504" s="336"/>
      <c r="Z504" s="336"/>
      <c r="AA504" s="336"/>
      <c r="AB504" s="336"/>
      <c r="AC504" s="336"/>
      <c r="AD504" s="336"/>
      <c r="AE504"/>
      <c r="AF504" s="336"/>
      <c r="AG504" s="336"/>
      <c r="AH504" s="336"/>
      <c r="AI504" s="336"/>
      <c r="AJ504" s="336"/>
      <c r="AK504" s="336"/>
      <c r="AL504" s="336"/>
      <c r="AM504" s="336"/>
      <c r="AN504" s="336"/>
      <c r="AO504" s="336"/>
      <c r="AP504" s="336"/>
      <c r="AQ504" s="336"/>
      <c r="AR504" s="336"/>
      <c r="AS504" s="336"/>
      <c r="AT504" s="336"/>
    </row>
    <row r="505" spans="1:46" ht="14.45">
      <c r="A505" s="336"/>
      <c r="B505" s="336"/>
      <c r="C505" s="336"/>
      <c r="D505" s="336"/>
      <c r="E505" s="336"/>
      <c r="F505" s="336"/>
      <c r="G505" s="336"/>
      <c r="H505" s="336"/>
      <c r="I505" s="336"/>
      <c r="J505" s="336"/>
      <c r="K505" s="415"/>
      <c r="L505" s="336"/>
      <c r="M505" s="336"/>
      <c r="N505" s="336"/>
      <c r="O505" s="416"/>
      <c r="P505" s="336"/>
      <c r="Q505" s="415"/>
      <c r="R505" s="336"/>
      <c r="S505" s="336"/>
      <c r="T505" s="336"/>
      <c r="U505" s="336"/>
      <c r="V505" s="336"/>
      <c r="W505" s="336"/>
      <c r="X505" s="336"/>
      <c r="Y505" s="336"/>
      <c r="Z505" s="336"/>
      <c r="AA505" s="336"/>
      <c r="AB505" s="336"/>
      <c r="AC505" s="336"/>
      <c r="AD505" s="336"/>
      <c r="AE505"/>
      <c r="AF505" s="336"/>
      <c r="AG505" s="336"/>
      <c r="AH505" s="336"/>
      <c r="AI505" s="336"/>
      <c r="AJ505" s="336"/>
      <c r="AK505" s="336"/>
      <c r="AL505" s="336"/>
      <c r="AM505" s="336"/>
      <c r="AN505" s="336"/>
      <c r="AO505" s="336"/>
      <c r="AP505" s="336"/>
      <c r="AQ505" s="336"/>
      <c r="AR505" s="336"/>
      <c r="AS505" s="336"/>
      <c r="AT505" s="336"/>
    </row>
    <row r="506" spans="1:46" ht="14.45">
      <c r="A506" s="336"/>
      <c r="B506" s="336"/>
      <c r="C506" s="336"/>
      <c r="D506" s="336"/>
      <c r="E506" s="336"/>
      <c r="F506" s="336"/>
      <c r="G506" s="336"/>
      <c r="H506" s="336"/>
      <c r="I506" s="336"/>
      <c r="J506" s="336"/>
      <c r="K506" s="415"/>
      <c r="L506" s="336"/>
      <c r="M506" s="336"/>
      <c r="N506" s="336"/>
      <c r="O506" s="416"/>
      <c r="P506" s="336"/>
      <c r="Q506" s="415"/>
      <c r="R506" s="336"/>
      <c r="S506" s="336"/>
      <c r="T506" s="336"/>
      <c r="U506" s="336"/>
      <c r="V506" s="336"/>
      <c r="W506" s="336"/>
      <c r="X506" s="336"/>
      <c r="Y506" s="336"/>
      <c r="Z506" s="336"/>
      <c r="AA506" s="336"/>
      <c r="AB506" s="336"/>
      <c r="AC506" s="336"/>
      <c r="AD506" s="336"/>
      <c r="AE506"/>
      <c r="AF506" s="336"/>
      <c r="AG506" s="336"/>
      <c r="AH506" s="336"/>
      <c r="AI506" s="336"/>
      <c r="AJ506" s="336"/>
      <c r="AK506" s="336"/>
      <c r="AL506" s="336"/>
      <c r="AM506" s="336"/>
      <c r="AN506" s="336"/>
      <c r="AO506" s="336"/>
      <c r="AP506" s="336"/>
      <c r="AQ506" s="336"/>
      <c r="AR506" s="336"/>
      <c r="AS506" s="336"/>
      <c r="AT506" s="336"/>
    </row>
    <row r="507" spans="1:46" ht="14.45">
      <c r="A507" s="336"/>
      <c r="B507" s="336"/>
      <c r="C507" s="336"/>
      <c r="D507" s="336"/>
      <c r="E507" s="336"/>
      <c r="F507" s="336"/>
      <c r="G507" s="336"/>
      <c r="H507" s="336"/>
      <c r="I507" s="336"/>
      <c r="J507" s="336"/>
      <c r="K507" s="415"/>
      <c r="L507" s="336"/>
      <c r="M507" s="336"/>
      <c r="N507" s="336"/>
      <c r="O507" s="416"/>
      <c r="P507" s="336"/>
      <c r="Q507" s="415"/>
      <c r="R507" s="336"/>
      <c r="S507" s="336"/>
      <c r="T507" s="336"/>
      <c r="U507" s="336"/>
      <c r="V507" s="336"/>
      <c r="W507" s="336"/>
      <c r="X507" s="336"/>
      <c r="Y507" s="336"/>
      <c r="Z507" s="336"/>
      <c r="AA507" s="336"/>
      <c r="AB507" s="336"/>
      <c r="AC507" s="336"/>
      <c r="AD507" s="336"/>
      <c r="AE507"/>
      <c r="AF507" s="336"/>
      <c r="AG507" s="336"/>
      <c r="AH507" s="336"/>
      <c r="AI507" s="336"/>
      <c r="AJ507" s="336"/>
      <c r="AK507" s="336"/>
      <c r="AL507" s="336"/>
      <c r="AM507" s="336"/>
      <c r="AN507" s="336"/>
      <c r="AO507" s="336"/>
      <c r="AP507" s="336"/>
      <c r="AQ507" s="336"/>
      <c r="AR507" s="336"/>
      <c r="AS507" s="336"/>
      <c r="AT507" s="336"/>
    </row>
    <row r="508" spans="1:46" ht="14.45">
      <c r="A508" s="336"/>
      <c r="B508" s="336"/>
      <c r="C508" s="336"/>
      <c r="D508" s="336"/>
      <c r="E508" s="336"/>
      <c r="F508" s="336"/>
      <c r="G508" s="336"/>
      <c r="H508" s="336"/>
      <c r="I508" s="336"/>
      <c r="J508" s="336"/>
      <c r="K508" s="415"/>
      <c r="L508" s="336"/>
      <c r="M508" s="336"/>
      <c r="N508" s="336"/>
      <c r="O508" s="416"/>
      <c r="P508" s="336"/>
      <c r="Q508" s="415"/>
      <c r="R508" s="336"/>
      <c r="S508" s="336"/>
      <c r="T508" s="336"/>
      <c r="U508" s="336"/>
      <c r="V508" s="336"/>
      <c r="W508" s="336"/>
      <c r="X508" s="336"/>
      <c r="Y508" s="336"/>
      <c r="Z508" s="336"/>
      <c r="AA508" s="336"/>
      <c r="AB508" s="336"/>
      <c r="AC508" s="336"/>
      <c r="AD508" s="336"/>
      <c r="AE508"/>
      <c r="AF508" s="336"/>
      <c r="AG508" s="336"/>
      <c r="AH508" s="336"/>
      <c r="AI508" s="336"/>
      <c r="AJ508" s="336"/>
      <c r="AK508" s="336"/>
      <c r="AL508" s="336"/>
      <c r="AM508" s="336"/>
      <c r="AN508" s="336"/>
      <c r="AO508" s="336"/>
      <c r="AP508" s="336"/>
      <c r="AQ508" s="336"/>
      <c r="AR508" s="336"/>
      <c r="AS508" s="336"/>
      <c r="AT508" s="336"/>
    </row>
    <row r="509" spans="1:46" ht="14.45">
      <c r="A509" s="336"/>
      <c r="B509" s="336"/>
      <c r="C509" s="336"/>
      <c r="D509" s="336"/>
      <c r="E509" s="336"/>
      <c r="F509" s="336"/>
      <c r="G509" s="336"/>
      <c r="H509" s="336"/>
      <c r="I509" s="336"/>
      <c r="J509" s="336"/>
      <c r="K509" s="415"/>
      <c r="L509" s="336"/>
      <c r="M509" s="336"/>
      <c r="N509" s="336"/>
      <c r="O509" s="416"/>
      <c r="P509" s="336"/>
      <c r="Q509" s="415"/>
      <c r="R509" s="336"/>
      <c r="S509" s="336"/>
      <c r="T509" s="336"/>
      <c r="U509" s="336"/>
      <c r="V509" s="336"/>
      <c r="W509" s="336"/>
      <c r="X509" s="336"/>
      <c r="Y509" s="336"/>
      <c r="Z509" s="336"/>
      <c r="AA509" s="336"/>
      <c r="AB509" s="336"/>
      <c r="AC509" s="336"/>
      <c r="AD509" s="336"/>
      <c r="AE509"/>
      <c r="AF509" s="336"/>
      <c r="AG509" s="336"/>
      <c r="AH509" s="336"/>
      <c r="AI509" s="336"/>
      <c r="AJ509" s="336"/>
      <c r="AK509" s="336"/>
      <c r="AL509" s="336"/>
      <c r="AM509" s="336"/>
      <c r="AN509" s="336"/>
      <c r="AO509" s="336"/>
      <c r="AP509" s="336"/>
      <c r="AQ509" s="336"/>
      <c r="AR509" s="336"/>
      <c r="AS509" s="336"/>
      <c r="AT509" s="336"/>
    </row>
    <row r="510" spans="1:46" ht="14.45">
      <c r="A510" s="336"/>
      <c r="B510" s="336"/>
      <c r="C510" s="336"/>
      <c r="D510" s="336"/>
      <c r="E510" s="336"/>
      <c r="F510" s="336"/>
      <c r="G510" s="336"/>
      <c r="H510" s="336"/>
      <c r="I510" s="336"/>
      <c r="J510" s="336"/>
      <c r="K510" s="415"/>
      <c r="L510" s="336"/>
      <c r="M510" s="336"/>
      <c r="N510" s="336"/>
      <c r="O510" s="416"/>
      <c r="P510" s="336"/>
      <c r="Q510" s="415"/>
      <c r="R510" s="336"/>
      <c r="S510" s="336"/>
      <c r="T510" s="336"/>
      <c r="U510" s="336"/>
      <c r="V510" s="336"/>
      <c r="W510" s="336"/>
      <c r="X510" s="336"/>
      <c r="Y510" s="336"/>
      <c r="Z510" s="336"/>
      <c r="AA510" s="336"/>
      <c r="AB510" s="336"/>
      <c r="AC510" s="336"/>
      <c r="AD510" s="336"/>
      <c r="AE510"/>
      <c r="AF510" s="336"/>
      <c r="AG510" s="336"/>
      <c r="AH510" s="336"/>
      <c r="AI510" s="336"/>
      <c r="AJ510" s="336"/>
      <c r="AK510" s="336"/>
      <c r="AL510" s="336"/>
      <c r="AM510" s="336"/>
      <c r="AN510" s="336"/>
      <c r="AO510" s="336"/>
      <c r="AP510" s="336"/>
      <c r="AQ510" s="336"/>
      <c r="AR510" s="336"/>
      <c r="AS510" s="336"/>
      <c r="AT510" s="336"/>
    </row>
    <row r="511" spans="1:46" ht="14.45">
      <c r="A511" s="336"/>
      <c r="B511" s="336"/>
      <c r="C511" s="336"/>
      <c r="D511" s="336"/>
      <c r="E511" s="336"/>
      <c r="F511" s="336"/>
      <c r="G511" s="336"/>
      <c r="H511" s="336"/>
      <c r="I511" s="336"/>
      <c r="J511" s="336"/>
      <c r="K511" s="415"/>
      <c r="L511" s="336"/>
      <c r="M511" s="336"/>
      <c r="N511" s="336"/>
      <c r="O511" s="416"/>
      <c r="P511" s="336"/>
      <c r="Q511" s="415"/>
      <c r="R511" s="336"/>
      <c r="S511" s="336"/>
      <c r="T511" s="336"/>
      <c r="U511" s="336"/>
      <c r="V511" s="336"/>
      <c r="W511" s="336"/>
      <c r="X511" s="336"/>
      <c r="Y511" s="336"/>
      <c r="Z511" s="336"/>
      <c r="AA511" s="336"/>
      <c r="AB511" s="336"/>
      <c r="AC511" s="336"/>
      <c r="AD511" s="336"/>
      <c r="AE511"/>
      <c r="AF511" s="336"/>
      <c r="AG511" s="336"/>
      <c r="AH511" s="336"/>
      <c r="AI511" s="336"/>
      <c r="AJ511" s="336"/>
      <c r="AK511" s="336"/>
      <c r="AL511" s="336"/>
      <c r="AM511" s="336"/>
      <c r="AN511" s="336"/>
      <c r="AO511" s="336"/>
      <c r="AP511" s="336"/>
      <c r="AQ511" s="336"/>
      <c r="AR511" s="336"/>
      <c r="AS511" s="336"/>
      <c r="AT511" s="336"/>
    </row>
    <row r="512" spans="1:46" ht="14.45">
      <c r="A512" s="336"/>
      <c r="B512" s="336"/>
      <c r="C512" s="336"/>
      <c r="D512" s="336"/>
      <c r="E512" s="336"/>
      <c r="F512" s="336"/>
      <c r="G512" s="336"/>
      <c r="H512" s="336"/>
      <c r="I512" s="336"/>
      <c r="J512" s="336"/>
      <c r="K512" s="415"/>
      <c r="L512" s="336"/>
      <c r="M512" s="336"/>
      <c r="N512" s="336"/>
      <c r="O512" s="416"/>
      <c r="P512" s="336"/>
      <c r="Q512" s="415"/>
      <c r="R512" s="336"/>
      <c r="S512" s="336"/>
      <c r="T512" s="336"/>
      <c r="U512" s="336"/>
      <c r="V512" s="336"/>
      <c r="W512" s="336"/>
      <c r="X512" s="336"/>
      <c r="Y512" s="336"/>
      <c r="Z512" s="336"/>
      <c r="AA512" s="336"/>
      <c r="AB512" s="336"/>
      <c r="AC512" s="336"/>
      <c r="AD512" s="336"/>
      <c r="AE512"/>
      <c r="AF512" s="336"/>
      <c r="AG512" s="336"/>
      <c r="AH512" s="336"/>
      <c r="AI512" s="336"/>
      <c r="AJ512" s="336"/>
      <c r="AK512" s="336"/>
      <c r="AL512" s="336"/>
      <c r="AM512" s="336"/>
      <c r="AN512" s="336"/>
      <c r="AO512" s="336"/>
      <c r="AP512" s="336"/>
      <c r="AQ512" s="336"/>
      <c r="AR512" s="336"/>
      <c r="AS512" s="336"/>
      <c r="AT512" s="336"/>
    </row>
    <row r="513" spans="1:46" ht="14.45">
      <c r="A513" s="336"/>
      <c r="B513" s="336"/>
      <c r="C513" s="336"/>
      <c r="D513" s="336"/>
      <c r="E513" s="336"/>
      <c r="F513" s="336"/>
      <c r="G513" s="336"/>
      <c r="H513" s="336"/>
      <c r="I513" s="336"/>
      <c r="J513" s="336"/>
      <c r="K513" s="415"/>
      <c r="L513" s="336"/>
      <c r="M513" s="336"/>
      <c r="N513" s="336"/>
      <c r="O513" s="416"/>
      <c r="P513" s="336"/>
      <c r="Q513" s="415"/>
      <c r="R513" s="336"/>
      <c r="S513" s="336"/>
      <c r="T513" s="336"/>
      <c r="U513" s="336"/>
      <c r="V513" s="336"/>
      <c r="W513" s="336"/>
      <c r="X513" s="336"/>
      <c r="Y513" s="336"/>
      <c r="Z513" s="336"/>
      <c r="AA513" s="336"/>
      <c r="AB513" s="336"/>
      <c r="AC513" s="336"/>
      <c r="AD513" s="336"/>
      <c r="AE513"/>
      <c r="AF513" s="336"/>
      <c r="AG513" s="336"/>
      <c r="AH513" s="336"/>
      <c r="AI513" s="336"/>
      <c r="AJ513" s="336"/>
      <c r="AK513" s="336"/>
      <c r="AL513" s="336"/>
      <c r="AM513" s="336"/>
      <c r="AN513" s="336"/>
      <c r="AO513" s="336"/>
      <c r="AP513" s="336"/>
      <c r="AQ513" s="336"/>
      <c r="AR513" s="336"/>
      <c r="AS513" s="336"/>
      <c r="AT513" s="336"/>
    </row>
    <row r="514" spans="1:46" ht="14.45">
      <c r="A514" s="336"/>
      <c r="B514" s="336"/>
      <c r="C514" s="336"/>
      <c r="D514" s="336"/>
      <c r="E514" s="336"/>
      <c r="F514" s="336"/>
      <c r="G514" s="336"/>
      <c r="H514" s="336"/>
      <c r="I514" s="336"/>
      <c r="J514" s="336"/>
      <c r="K514" s="415"/>
      <c r="L514" s="336"/>
      <c r="M514" s="336"/>
      <c r="N514" s="336"/>
      <c r="O514" s="416"/>
      <c r="P514" s="336"/>
      <c r="Q514" s="415"/>
      <c r="R514" s="336"/>
      <c r="S514" s="336"/>
      <c r="T514" s="336"/>
      <c r="U514" s="336"/>
      <c r="V514" s="336"/>
      <c r="W514" s="336"/>
      <c r="X514" s="336"/>
      <c r="Y514" s="336"/>
      <c r="Z514" s="336"/>
      <c r="AA514" s="336"/>
      <c r="AB514" s="336"/>
      <c r="AC514" s="336"/>
      <c r="AD514" s="336"/>
      <c r="AE514"/>
      <c r="AF514" s="336"/>
      <c r="AG514" s="336"/>
      <c r="AH514" s="336"/>
      <c r="AI514" s="336"/>
      <c r="AJ514" s="336"/>
      <c r="AK514" s="336"/>
      <c r="AL514" s="336"/>
      <c r="AM514" s="336"/>
      <c r="AN514" s="336"/>
      <c r="AO514" s="336"/>
      <c r="AP514" s="336"/>
      <c r="AQ514" s="336"/>
      <c r="AR514" s="336"/>
      <c r="AS514" s="336"/>
      <c r="AT514" s="336"/>
    </row>
    <row r="515" spans="1:46" ht="14.45">
      <c r="A515" s="336"/>
      <c r="B515" s="336"/>
      <c r="C515" s="336"/>
      <c r="D515" s="336"/>
      <c r="E515" s="336"/>
      <c r="F515" s="336"/>
      <c r="G515" s="336"/>
      <c r="H515" s="336"/>
      <c r="I515" s="336"/>
      <c r="J515" s="336"/>
      <c r="K515" s="415"/>
      <c r="L515" s="336"/>
      <c r="M515" s="336"/>
      <c r="N515" s="336"/>
      <c r="O515" s="416"/>
      <c r="P515" s="336"/>
      <c r="Q515" s="415"/>
      <c r="R515" s="336"/>
      <c r="S515" s="336"/>
      <c r="T515" s="336"/>
      <c r="U515" s="336"/>
      <c r="V515" s="336"/>
      <c r="W515" s="336"/>
      <c r="X515" s="336"/>
      <c r="Y515" s="336"/>
      <c r="Z515" s="336"/>
      <c r="AA515" s="336"/>
      <c r="AB515" s="336"/>
      <c r="AC515" s="336"/>
      <c r="AD515" s="336"/>
      <c r="AE515"/>
      <c r="AF515" s="336"/>
      <c r="AG515" s="336"/>
      <c r="AH515" s="336"/>
      <c r="AI515" s="336"/>
      <c r="AJ515" s="336"/>
      <c r="AK515" s="336"/>
      <c r="AL515" s="336"/>
      <c r="AM515" s="336"/>
      <c r="AN515" s="336"/>
      <c r="AO515" s="336"/>
      <c r="AP515" s="336"/>
      <c r="AQ515" s="336"/>
      <c r="AR515" s="336"/>
      <c r="AS515" s="336"/>
      <c r="AT515" s="336"/>
    </row>
    <row r="516" spans="1:46" ht="14.45">
      <c r="A516" s="336"/>
      <c r="B516" s="336"/>
      <c r="C516" s="336"/>
      <c r="D516" s="336"/>
      <c r="E516" s="336"/>
      <c r="F516" s="336"/>
      <c r="G516" s="336"/>
      <c r="H516" s="336"/>
      <c r="I516" s="336"/>
      <c r="J516" s="336"/>
      <c r="K516" s="415"/>
      <c r="L516" s="336"/>
      <c r="M516" s="336"/>
      <c r="N516" s="336"/>
      <c r="O516" s="416"/>
      <c r="P516" s="336"/>
      <c r="Q516" s="415"/>
      <c r="R516" s="336"/>
      <c r="S516" s="336"/>
      <c r="T516" s="336"/>
      <c r="U516" s="336"/>
      <c r="V516" s="336"/>
      <c r="W516" s="336"/>
      <c r="X516" s="336"/>
      <c r="Y516" s="336"/>
      <c r="Z516" s="336"/>
      <c r="AA516" s="336"/>
      <c r="AB516" s="336"/>
      <c r="AC516" s="336"/>
      <c r="AD516" s="336"/>
      <c r="AE516"/>
      <c r="AF516" s="336"/>
      <c r="AG516" s="336"/>
      <c r="AH516" s="336"/>
      <c r="AI516" s="336"/>
      <c r="AJ516" s="336"/>
      <c r="AK516" s="336"/>
      <c r="AL516" s="336"/>
      <c r="AM516" s="336"/>
      <c r="AN516" s="336"/>
      <c r="AO516" s="336"/>
      <c r="AP516" s="336"/>
      <c r="AQ516" s="336"/>
      <c r="AR516" s="336"/>
      <c r="AS516" s="336"/>
      <c r="AT516" s="336"/>
    </row>
    <row r="517" spans="1:46" ht="14.45">
      <c r="A517" s="336"/>
      <c r="B517" s="336"/>
      <c r="C517" s="336"/>
      <c r="D517" s="336"/>
      <c r="E517" s="336"/>
      <c r="F517" s="336"/>
      <c r="G517" s="336"/>
      <c r="H517" s="336"/>
      <c r="I517" s="336"/>
      <c r="J517" s="336"/>
      <c r="K517" s="415"/>
      <c r="L517" s="336"/>
      <c r="M517" s="336"/>
      <c r="N517" s="336"/>
      <c r="O517" s="416"/>
      <c r="P517" s="336"/>
      <c r="Q517" s="415"/>
      <c r="R517" s="336"/>
      <c r="S517" s="336"/>
      <c r="T517" s="336"/>
      <c r="U517" s="336"/>
      <c r="V517" s="336"/>
      <c r="W517" s="336"/>
      <c r="X517" s="336"/>
      <c r="Y517" s="336"/>
      <c r="Z517" s="336"/>
      <c r="AA517" s="336"/>
      <c r="AB517" s="336"/>
      <c r="AC517" s="336"/>
      <c r="AD517" s="336"/>
      <c r="AE517"/>
      <c r="AF517" s="336"/>
      <c r="AG517" s="336"/>
      <c r="AH517" s="336"/>
      <c r="AI517" s="336"/>
      <c r="AJ517" s="336"/>
      <c r="AK517" s="336"/>
      <c r="AL517" s="336"/>
      <c r="AM517" s="336"/>
      <c r="AN517" s="336"/>
      <c r="AO517" s="336"/>
      <c r="AP517" s="336"/>
      <c r="AQ517" s="336"/>
      <c r="AR517" s="336"/>
      <c r="AS517" s="336"/>
      <c r="AT517" s="336"/>
    </row>
    <row r="518" spans="1:46" ht="14.45">
      <c r="A518" s="336"/>
      <c r="B518" s="336"/>
      <c r="C518" s="336"/>
      <c r="D518" s="336"/>
      <c r="E518" s="336"/>
      <c r="F518" s="336"/>
      <c r="G518" s="336"/>
      <c r="H518" s="336"/>
      <c r="I518" s="336"/>
      <c r="J518" s="336"/>
      <c r="K518" s="415"/>
      <c r="L518" s="336"/>
      <c r="M518" s="336"/>
      <c r="N518" s="336"/>
      <c r="O518" s="416"/>
      <c r="P518" s="336"/>
      <c r="Q518" s="415"/>
      <c r="R518" s="336"/>
      <c r="S518" s="336"/>
      <c r="T518" s="336"/>
      <c r="U518" s="336"/>
      <c r="V518" s="336"/>
      <c r="W518" s="336"/>
      <c r="X518" s="336"/>
      <c r="Y518" s="336"/>
      <c r="Z518" s="336"/>
      <c r="AA518" s="336"/>
      <c r="AB518" s="336"/>
      <c r="AC518" s="336"/>
      <c r="AD518" s="336"/>
      <c r="AE518"/>
      <c r="AF518" s="336"/>
      <c r="AG518" s="336"/>
      <c r="AH518" s="336"/>
      <c r="AI518" s="336"/>
      <c r="AJ518" s="336"/>
      <c r="AK518" s="336"/>
      <c r="AL518" s="336"/>
      <c r="AM518" s="336"/>
      <c r="AN518" s="336"/>
      <c r="AO518" s="336"/>
      <c r="AP518" s="336"/>
      <c r="AQ518" s="336"/>
      <c r="AR518" s="336"/>
      <c r="AS518" s="336"/>
      <c r="AT518" s="336"/>
    </row>
    <row r="519" spans="1:46" ht="14.45">
      <c r="A519" s="336"/>
      <c r="B519" s="336"/>
      <c r="C519" s="336"/>
      <c r="D519" s="336"/>
      <c r="E519" s="336"/>
      <c r="F519" s="336"/>
      <c r="G519" s="336"/>
      <c r="H519" s="336"/>
      <c r="I519" s="336"/>
      <c r="J519" s="336"/>
      <c r="K519" s="415"/>
      <c r="L519" s="336"/>
      <c r="M519" s="336"/>
      <c r="N519" s="336"/>
      <c r="O519" s="416"/>
      <c r="P519" s="336"/>
      <c r="Q519" s="415"/>
      <c r="R519" s="336"/>
      <c r="S519" s="336"/>
      <c r="T519" s="336"/>
      <c r="U519" s="336"/>
      <c r="V519" s="336"/>
      <c r="W519" s="336"/>
      <c r="X519" s="336"/>
      <c r="Y519" s="336"/>
      <c r="Z519" s="336"/>
      <c r="AA519" s="336"/>
      <c r="AB519" s="336"/>
      <c r="AC519" s="336"/>
      <c r="AD519" s="336"/>
      <c r="AE519"/>
      <c r="AF519" s="336"/>
      <c r="AG519" s="336"/>
      <c r="AH519" s="336"/>
      <c r="AI519" s="336"/>
      <c r="AJ519" s="336"/>
      <c r="AK519" s="336"/>
      <c r="AL519" s="336"/>
      <c r="AM519" s="336"/>
      <c r="AN519" s="336"/>
      <c r="AO519" s="336"/>
      <c r="AP519" s="336"/>
      <c r="AQ519" s="336"/>
      <c r="AR519" s="336"/>
      <c r="AS519" s="336"/>
      <c r="AT519" s="336"/>
    </row>
    <row r="520" spans="1:46" ht="14.45">
      <c r="A520" s="336"/>
      <c r="B520" s="336"/>
      <c r="C520" s="336"/>
      <c r="D520" s="336"/>
      <c r="E520" s="336"/>
      <c r="F520" s="336"/>
      <c r="G520" s="336"/>
      <c r="H520" s="336"/>
      <c r="I520" s="336"/>
      <c r="J520" s="336"/>
      <c r="K520" s="415"/>
      <c r="L520" s="336"/>
      <c r="M520" s="336"/>
      <c r="N520" s="336"/>
      <c r="O520" s="416"/>
      <c r="P520" s="336"/>
      <c r="Q520" s="415"/>
      <c r="R520" s="336"/>
      <c r="S520" s="336"/>
      <c r="T520" s="336"/>
      <c r="U520" s="336"/>
      <c r="V520" s="336"/>
      <c r="W520" s="336"/>
      <c r="X520" s="336"/>
      <c r="Y520" s="336"/>
      <c r="Z520" s="336"/>
      <c r="AA520" s="336"/>
      <c r="AB520" s="336"/>
      <c r="AC520" s="336"/>
      <c r="AD520" s="336"/>
      <c r="AE520"/>
      <c r="AF520" s="336"/>
      <c r="AG520" s="336"/>
      <c r="AH520" s="336"/>
      <c r="AI520" s="336"/>
      <c r="AJ520" s="336"/>
      <c r="AK520" s="336"/>
      <c r="AL520" s="336"/>
      <c r="AM520" s="336"/>
      <c r="AN520" s="336"/>
      <c r="AO520" s="336"/>
      <c r="AP520" s="336"/>
      <c r="AQ520" s="336"/>
      <c r="AR520" s="336"/>
      <c r="AS520" s="336"/>
      <c r="AT520" s="336"/>
    </row>
    <row r="521" spans="1:46" ht="14.45">
      <c r="A521" s="336"/>
      <c r="B521" s="336"/>
      <c r="C521" s="336"/>
      <c r="D521" s="336"/>
      <c r="E521" s="336"/>
      <c r="F521" s="336"/>
      <c r="G521" s="336"/>
      <c r="H521" s="336"/>
      <c r="I521" s="336"/>
      <c r="J521" s="336"/>
      <c r="K521" s="415"/>
      <c r="L521" s="336"/>
      <c r="M521" s="336"/>
      <c r="N521" s="336"/>
      <c r="O521" s="416"/>
      <c r="P521" s="336"/>
      <c r="Q521" s="415"/>
      <c r="R521" s="336"/>
      <c r="S521" s="336"/>
      <c r="T521" s="336"/>
      <c r="U521" s="336"/>
      <c r="V521" s="336"/>
      <c r="W521" s="336"/>
      <c r="X521" s="336"/>
      <c r="Y521" s="336"/>
      <c r="Z521" s="336"/>
      <c r="AA521" s="336"/>
      <c r="AB521" s="336"/>
      <c r="AC521" s="336"/>
      <c r="AD521" s="336"/>
      <c r="AE521"/>
      <c r="AF521" s="336"/>
      <c r="AG521" s="336"/>
      <c r="AH521" s="336"/>
      <c r="AI521" s="336"/>
      <c r="AJ521" s="336"/>
      <c r="AK521" s="336"/>
      <c r="AL521" s="336"/>
      <c r="AM521" s="336"/>
      <c r="AN521" s="336"/>
      <c r="AO521" s="336"/>
      <c r="AP521" s="336"/>
      <c r="AQ521" s="336"/>
      <c r="AR521" s="336"/>
      <c r="AS521" s="336"/>
      <c r="AT521" s="336"/>
    </row>
    <row r="522" spans="1:46" ht="14.45">
      <c r="A522" s="336"/>
      <c r="B522" s="336"/>
      <c r="C522" s="336"/>
      <c r="D522" s="336"/>
      <c r="E522" s="336"/>
      <c r="F522" s="336"/>
      <c r="G522" s="336"/>
      <c r="H522" s="336"/>
      <c r="I522" s="336"/>
      <c r="J522" s="336"/>
      <c r="K522" s="415"/>
      <c r="L522" s="336"/>
      <c r="M522" s="336"/>
      <c r="N522" s="336"/>
      <c r="O522" s="416"/>
      <c r="P522" s="336"/>
      <c r="Q522" s="415"/>
      <c r="R522" s="336"/>
      <c r="S522" s="336"/>
      <c r="T522" s="336"/>
      <c r="U522" s="336"/>
      <c r="V522" s="336"/>
      <c r="W522" s="336"/>
      <c r="X522" s="336"/>
      <c r="Y522" s="336"/>
      <c r="Z522" s="336"/>
      <c r="AA522" s="336"/>
      <c r="AB522" s="336"/>
      <c r="AC522" s="336"/>
      <c r="AD522" s="336"/>
      <c r="AE522"/>
      <c r="AF522" s="336"/>
      <c r="AG522" s="336"/>
      <c r="AH522" s="336"/>
      <c r="AI522" s="336"/>
      <c r="AJ522" s="336"/>
      <c r="AK522" s="336"/>
      <c r="AL522" s="336"/>
      <c r="AM522" s="336"/>
      <c r="AN522" s="336"/>
      <c r="AO522" s="336"/>
      <c r="AP522" s="336"/>
      <c r="AQ522" s="336"/>
      <c r="AR522" s="336"/>
      <c r="AS522" s="336"/>
      <c r="AT522" s="336"/>
    </row>
    <row r="523" spans="1:46" ht="14.45">
      <c r="A523" s="336"/>
      <c r="B523" s="336"/>
      <c r="C523" s="336"/>
      <c r="D523" s="336"/>
      <c r="E523" s="336"/>
      <c r="F523" s="336"/>
      <c r="G523" s="336"/>
      <c r="H523" s="336"/>
      <c r="I523" s="336"/>
      <c r="J523" s="336"/>
      <c r="K523" s="415"/>
      <c r="L523" s="336"/>
      <c r="M523" s="336"/>
      <c r="N523" s="336"/>
      <c r="O523" s="416"/>
      <c r="P523" s="336"/>
      <c r="Q523" s="415"/>
      <c r="R523" s="336"/>
      <c r="S523" s="336"/>
      <c r="T523" s="336"/>
      <c r="U523" s="336"/>
      <c r="V523" s="336"/>
      <c r="W523" s="336"/>
      <c r="X523" s="336"/>
      <c r="Y523" s="336"/>
      <c r="Z523" s="336"/>
      <c r="AA523" s="336"/>
      <c r="AB523" s="336"/>
      <c r="AC523" s="336"/>
      <c r="AD523" s="336"/>
      <c r="AE523"/>
      <c r="AF523" s="336"/>
      <c r="AG523" s="336"/>
      <c r="AH523" s="336"/>
      <c r="AI523" s="336"/>
      <c r="AJ523" s="336"/>
      <c r="AK523" s="336"/>
      <c r="AL523" s="336"/>
      <c r="AM523" s="336"/>
      <c r="AN523" s="336"/>
      <c r="AO523" s="336"/>
      <c r="AP523" s="336"/>
      <c r="AQ523" s="336"/>
      <c r="AR523" s="336"/>
      <c r="AS523" s="336"/>
      <c r="AT523" s="336"/>
    </row>
    <row r="524" spans="1:46" ht="14.45">
      <c r="A524" s="336"/>
      <c r="B524" s="336"/>
      <c r="C524" s="336"/>
      <c r="D524" s="336"/>
      <c r="E524" s="336"/>
      <c r="F524" s="336"/>
      <c r="G524" s="336"/>
      <c r="H524" s="336"/>
      <c r="I524" s="336"/>
      <c r="J524" s="336"/>
      <c r="K524" s="415"/>
      <c r="L524" s="336"/>
      <c r="M524" s="336"/>
      <c r="N524" s="336"/>
      <c r="O524" s="416"/>
      <c r="P524" s="336"/>
      <c r="Q524" s="415"/>
      <c r="R524" s="336"/>
      <c r="S524" s="336"/>
      <c r="T524" s="336"/>
      <c r="U524" s="336"/>
      <c r="V524" s="336"/>
      <c r="W524" s="336"/>
      <c r="X524" s="336"/>
      <c r="Y524" s="336"/>
      <c r="Z524" s="336"/>
      <c r="AA524" s="336"/>
      <c r="AB524" s="336"/>
      <c r="AC524" s="336"/>
      <c r="AD524" s="336"/>
      <c r="AE524"/>
      <c r="AF524" s="336"/>
      <c r="AG524" s="336"/>
      <c r="AH524" s="336"/>
      <c r="AI524" s="336"/>
      <c r="AJ524" s="336"/>
      <c r="AK524" s="336"/>
      <c r="AL524" s="336"/>
      <c r="AM524" s="336"/>
      <c r="AN524" s="336"/>
      <c r="AO524" s="336"/>
      <c r="AP524" s="336"/>
      <c r="AQ524" s="336"/>
      <c r="AR524" s="336"/>
      <c r="AS524" s="336"/>
      <c r="AT524" s="336"/>
    </row>
    <row r="525" spans="1:46" ht="14.45">
      <c r="A525" s="336"/>
      <c r="B525" s="336"/>
      <c r="C525" s="336"/>
      <c r="D525" s="336"/>
      <c r="E525" s="336"/>
      <c r="F525" s="336"/>
      <c r="G525" s="336"/>
      <c r="H525" s="336"/>
      <c r="I525" s="336"/>
      <c r="J525" s="336"/>
      <c r="K525" s="415"/>
      <c r="L525" s="336"/>
      <c r="M525" s="336"/>
      <c r="N525" s="336"/>
      <c r="O525" s="416"/>
      <c r="P525" s="336"/>
      <c r="Q525" s="415"/>
      <c r="R525" s="336"/>
      <c r="S525" s="336"/>
      <c r="T525" s="336"/>
      <c r="U525" s="336"/>
      <c r="V525" s="336"/>
      <c r="W525" s="336"/>
      <c r="X525" s="336"/>
      <c r="Y525" s="336"/>
      <c r="Z525" s="336"/>
      <c r="AA525" s="336"/>
      <c r="AB525" s="336"/>
      <c r="AC525" s="336"/>
      <c r="AD525" s="336"/>
      <c r="AE525"/>
      <c r="AF525" s="336"/>
      <c r="AG525" s="336"/>
      <c r="AH525" s="336"/>
      <c r="AI525" s="336"/>
      <c r="AJ525" s="336"/>
      <c r="AK525" s="336"/>
      <c r="AL525" s="336"/>
      <c r="AM525" s="336"/>
      <c r="AN525" s="336"/>
      <c r="AO525" s="336"/>
      <c r="AP525" s="336"/>
      <c r="AQ525" s="336"/>
      <c r="AR525" s="336"/>
      <c r="AS525" s="336"/>
      <c r="AT525" s="336"/>
    </row>
    <row r="526" spans="1:46" ht="14.45">
      <c r="A526" s="336"/>
      <c r="B526" s="336"/>
      <c r="C526" s="336"/>
      <c r="D526" s="336"/>
      <c r="E526" s="336"/>
      <c r="F526" s="336"/>
      <c r="G526" s="336"/>
      <c r="H526" s="336"/>
      <c r="I526" s="336"/>
      <c r="J526" s="336"/>
      <c r="K526" s="415"/>
      <c r="L526" s="336"/>
      <c r="M526" s="336"/>
      <c r="N526" s="336"/>
      <c r="O526" s="416"/>
      <c r="P526" s="336"/>
      <c r="Q526" s="415"/>
      <c r="R526" s="336"/>
      <c r="S526" s="336"/>
      <c r="T526" s="336"/>
      <c r="U526" s="336"/>
      <c r="V526" s="336"/>
      <c r="W526" s="336"/>
      <c r="X526" s="336"/>
      <c r="Y526" s="336"/>
      <c r="Z526" s="336"/>
      <c r="AA526" s="336"/>
      <c r="AB526" s="336"/>
      <c r="AC526" s="336"/>
      <c r="AD526" s="336"/>
      <c r="AE526"/>
      <c r="AF526" s="336"/>
      <c r="AG526" s="336"/>
      <c r="AH526" s="336"/>
      <c r="AI526" s="336"/>
      <c r="AJ526" s="336"/>
      <c r="AK526" s="336"/>
      <c r="AL526" s="336"/>
      <c r="AM526" s="336"/>
      <c r="AN526" s="336"/>
      <c r="AO526" s="336"/>
      <c r="AP526" s="336"/>
      <c r="AQ526" s="336"/>
      <c r="AR526" s="336"/>
      <c r="AS526" s="336"/>
      <c r="AT526" s="336"/>
    </row>
    <row r="527" spans="1:46" ht="14.45">
      <c r="A527" s="336"/>
      <c r="B527" s="336"/>
      <c r="C527" s="336"/>
      <c r="D527" s="336"/>
      <c r="E527" s="336"/>
      <c r="F527" s="336"/>
      <c r="G527" s="336"/>
      <c r="H527" s="336"/>
      <c r="I527" s="336"/>
      <c r="J527" s="336"/>
      <c r="K527" s="415"/>
      <c r="L527" s="336"/>
      <c r="M527" s="336"/>
      <c r="N527" s="336"/>
      <c r="O527" s="416"/>
      <c r="P527" s="336"/>
      <c r="Q527" s="415"/>
      <c r="R527" s="336"/>
      <c r="S527" s="336"/>
      <c r="T527" s="336"/>
      <c r="U527" s="336"/>
      <c r="V527" s="336"/>
      <c r="W527" s="336"/>
      <c r="X527" s="336"/>
      <c r="Y527" s="336"/>
      <c r="Z527" s="336"/>
      <c r="AA527" s="336"/>
      <c r="AB527" s="336"/>
      <c r="AC527" s="336"/>
      <c r="AD527" s="336"/>
      <c r="AE527"/>
      <c r="AF527" s="336"/>
      <c r="AG527" s="336"/>
      <c r="AH527" s="336"/>
      <c r="AI527" s="336"/>
      <c r="AJ527" s="336"/>
      <c r="AK527" s="336"/>
      <c r="AL527" s="336"/>
      <c r="AM527" s="336"/>
      <c r="AN527" s="336"/>
      <c r="AO527" s="336"/>
      <c r="AP527" s="336"/>
      <c r="AQ527" s="336"/>
      <c r="AR527" s="336"/>
      <c r="AS527" s="336"/>
      <c r="AT527" s="336"/>
    </row>
    <row r="528" spans="1:46" ht="14.45">
      <c r="A528" s="336"/>
      <c r="B528" s="336"/>
      <c r="C528" s="336"/>
      <c r="D528" s="336"/>
      <c r="E528" s="336"/>
      <c r="F528" s="336"/>
      <c r="G528" s="336"/>
      <c r="H528" s="336"/>
      <c r="I528" s="336"/>
      <c r="J528" s="336"/>
      <c r="K528" s="415"/>
      <c r="L528" s="336"/>
      <c r="M528" s="336"/>
      <c r="N528" s="336"/>
      <c r="O528" s="416"/>
      <c r="P528" s="336"/>
      <c r="Q528" s="415"/>
      <c r="R528" s="336"/>
      <c r="S528" s="336"/>
      <c r="T528" s="336"/>
      <c r="U528" s="336"/>
      <c r="V528" s="336"/>
      <c r="W528" s="336"/>
      <c r="X528" s="336"/>
      <c r="Y528" s="336"/>
      <c r="Z528" s="336"/>
      <c r="AA528" s="336"/>
      <c r="AB528" s="336"/>
      <c r="AC528" s="336"/>
      <c r="AD528" s="336"/>
      <c r="AE528"/>
      <c r="AF528" s="336"/>
      <c r="AG528" s="336"/>
      <c r="AH528" s="336"/>
      <c r="AI528" s="336"/>
      <c r="AJ528" s="336"/>
      <c r="AK528" s="336"/>
      <c r="AL528" s="336"/>
      <c r="AM528" s="336"/>
      <c r="AN528" s="336"/>
      <c r="AO528" s="336"/>
      <c r="AP528" s="336"/>
      <c r="AQ528" s="336"/>
      <c r="AR528" s="336"/>
      <c r="AS528" s="336"/>
      <c r="AT528" s="336"/>
    </row>
    <row r="529" spans="1:46" ht="14.45">
      <c r="A529" s="336"/>
      <c r="B529" s="336"/>
      <c r="C529" s="336"/>
      <c r="D529" s="336"/>
      <c r="E529" s="336"/>
      <c r="F529" s="336"/>
      <c r="G529" s="336"/>
      <c r="H529" s="336"/>
      <c r="I529" s="336"/>
      <c r="J529" s="336"/>
      <c r="K529" s="415"/>
      <c r="L529" s="336"/>
      <c r="M529" s="336"/>
      <c r="N529" s="336"/>
      <c r="O529" s="416"/>
      <c r="P529" s="336"/>
      <c r="Q529" s="415"/>
      <c r="R529" s="336"/>
      <c r="S529" s="336"/>
      <c r="T529" s="336"/>
      <c r="U529" s="336"/>
      <c r="V529" s="336"/>
      <c r="W529" s="336"/>
      <c r="X529" s="336"/>
      <c r="Y529" s="336"/>
      <c r="Z529" s="336"/>
      <c r="AA529" s="336"/>
      <c r="AB529" s="336"/>
      <c r="AC529" s="336"/>
      <c r="AD529" s="336"/>
      <c r="AE529"/>
      <c r="AF529" s="336"/>
      <c r="AG529" s="336"/>
      <c r="AH529" s="336"/>
      <c r="AI529" s="336"/>
      <c r="AJ529" s="336"/>
      <c r="AK529" s="336"/>
      <c r="AL529" s="336"/>
      <c r="AM529" s="336"/>
      <c r="AN529" s="336"/>
      <c r="AO529" s="336"/>
      <c r="AP529" s="336"/>
      <c r="AQ529" s="336"/>
      <c r="AR529" s="336"/>
      <c r="AS529" s="336"/>
      <c r="AT529" s="336"/>
    </row>
    <row r="530" spans="1:46" ht="14.45">
      <c r="A530" s="336"/>
      <c r="B530" s="336"/>
      <c r="C530" s="336"/>
      <c r="D530" s="336"/>
      <c r="E530" s="336"/>
      <c r="F530" s="336"/>
      <c r="G530" s="336"/>
      <c r="H530" s="336"/>
      <c r="I530" s="336"/>
      <c r="J530" s="336"/>
      <c r="K530" s="415"/>
      <c r="L530" s="336"/>
      <c r="M530" s="336"/>
      <c r="N530" s="336"/>
      <c r="O530" s="416"/>
      <c r="P530" s="336"/>
      <c r="Q530" s="415"/>
      <c r="R530" s="336"/>
      <c r="S530" s="336"/>
      <c r="T530" s="336"/>
      <c r="U530" s="336"/>
      <c r="V530" s="336"/>
      <c r="W530" s="336"/>
      <c r="X530" s="336"/>
      <c r="Y530" s="336"/>
      <c r="Z530" s="336"/>
      <c r="AA530" s="336"/>
      <c r="AB530" s="336"/>
      <c r="AC530" s="336"/>
      <c r="AD530" s="336"/>
      <c r="AE530"/>
      <c r="AF530" s="336"/>
      <c r="AG530" s="336"/>
      <c r="AH530" s="336"/>
      <c r="AI530" s="336"/>
      <c r="AJ530" s="336"/>
      <c r="AK530" s="336"/>
      <c r="AL530" s="336"/>
      <c r="AM530" s="336"/>
      <c r="AN530" s="336"/>
      <c r="AO530" s="336"/>
      <c r="AP530" s="336"/>
      <c r="AQ530" s="336"/>
      <c r="AR530" s="336"/>
      <c r="AS530" s="336"/>
      <c r="AT530" s="336"/>
    </row>
    <row r="531" spans="1:46" ht="14.45">
      <c r="A531" s="336"/>
      <c r="B531" s="336"/>
      <c r="C531" s="336"/>
      <c r="D531" s="336"/>
      <c r="E531" s="336"/>
      <c r="F531" s="336"/>
      <c r="G531" s="336"/>
      <c r="H531" s="336"/>
      <c r="I531" s="336"/>
      <c r="J531" s="336"/>
      <c r="K531" s="415"/>
      <c r="L531" s="336"/>
      <c r="M531" s="336"/>
      <c r="N531" s="336"/>
      <c r="O531" s="416"/>
      <c r="P531" s="336"/>
      <c r="Q531" s="415"/>
      <c r="R531" s="336"/>
      <c r="S531" s="336"/>
      <c r="T531" s="336"/>
      <c r="U531" s="336"/>
      <c r="V531" s="336"/>
      <c r="W531" s="336"/>
      <c r="X531" s="336"/>
      <c r="Y531" s="336"/>
      <c r="Z531" s="336"/>
      <c r="AA531" s="336"/>
      <c r="AB531" s="336"/>
      <c r="AC531" s="336"/>
      <c r="AD531" s="336"/>
      <c r="AE531"/>
      <c r="AF531" s="336"/>
      <c r="AG531" s="336"/>
      <c r="AH531" s="336"/>
      <c r="AI531" s="336"/>
      <c r="AJ531" s="336"/>
      <c r="AK531" s="336"/>
      <c r="AL531" s="336"/>
      <c r="AM531" s="336"/>
      <c r="AN531" s="336"/>
      <c r="AO531" s="336"/>
      <c r="AP531" s="336"/>
      <c r="AQ531" s="336"/>
      <c r="AR531" s="336"/>
      <c r="AS531" s="336"/>
      <c r="AT531" s="336"/>
    </row>
    <row r="532" spans="1:46" ht="14.45">
      <c r="A532" s="336"/>
      <c r="B532" s="336"/>
      <c r="C532" s="336"/>
      <c r="D532" s="336"/>
      <c r="E532" s="336"/>
      <c r="F532" s="336"/>
      <c r="G532" s="336"/>
      <c r="H532" s="336"/>
      <c r="I532" s="336"/>
      <c r="J532" s="336"/>
      <c r="K532" s="415"/>
      <c r="L532" s="336"/>
      <c r="M532" s="336"/>
      <c r="N532" s="336"/>
      <c r="O532" s="416"/>
      <c r="P532" s="336"/>
      <c r="Q532" s="415"/>
      <c r="R532" s="336"/>
      <c r="S532" s="336"/>
      <c r="T532" s="336"/>
      <c r="U532" s="336"/>
      <c r="V532" s="336"/>
      <c r="W532" s="336"/>
      <c r="X532" s="336"/>
      <c r="Y532" s="336"/>
      <c r="Z532" s="336"/>
      <c r="AA532" s="336"/>
      <c r="AB532" s="336"/>
      <c r="AC532" s="336"/>
      <c r="AD532" s="336"/>
      <c r="AE532"/>
      <c r="AF532" s="336"/>
      <c r="AG532" s="336"/>
      <c r="AH532" s="336"/>
      <c r="AI532" s="336"/>
      <c r="AJ532" s="336"/>
      <c r="AK532" s="336"/>
      <c r="AL532" s="336"/>
      <c r="AM532" s="336"/>
      <c r="AN532" s="336"/>
      <c r="AO532" s="336"/>
      <c r="AP532" s="336"/>
      <c r="AQ532" s="336"/>
      <c r="AR532" s="336"/>
      <c r="AS532" s="336"/>
      <c r="AT532" s="336"/>
    </row>
    <row r="533" spans="1:46" ht="14.45">
      <c r="A533" s="336"/>
      <c r="B533" s="336"/>
      <c r="C533" s="336"/>
      <c r="D533" s="336"/>
      <c r="E533" s="336"/>
      <c r="F533" s="336"/>
      <c r="G533" s="336"/>
      <c r="H533" s="336"/>
      <c r="I533" s="336"/>
      <c r="J533" s="336"/>
      <c r="K533" s="415"/>
      <c r="L533" s="336"/>
      <c r="M533" s="336"/>
      <c r="N533" s="336"/>
      <c r="O533" s="416"/>
      <c r="P533" s="336"/>
      <c r="Q533" s="415"/>
      <c r="R533" s="336"/>
      <c r="S533" s="336"/>
      <c r="T533" s="336"/>
      <c r="U533" s="336"/>
      <c r="V533" s="336"/>
      <c r="W533" s="336"/>
      <c r="X533" s="336"/>
      <c r="Y533" s="336"/>
      <c r="Z533" s="336"/>
      <c r="AA533" s="336"/>
      <c r="AB533" s="336"/>
      <c r="AC533" s="336"/>
      <c r="AD533" s="336"/>
      <c r="AE533"/>
      <c r="AF533" s="336"/>
      <c r="AG533" s="336"/>
      <c r="AH533" s="336"/>
      <c r="AI533" s="336"/>
      <c r="AJ533" s="336"/>
      <c r="AK533" s="336"/>
      <c r="AL533" s="336"/>
      <c r="AM533" s="336"/>
      <c r="AN533" s="336"/>
      <c r="AO533" s="336"/>
      <c r="AP533" s="336"/>
      <c r="AQ533" s="336"/>
      <c r="AR533" s="336"/>
      <c r="AS533" s="336"/>
      <c r="AT533" s="336"/>
    </row>
    <row r="534" spans="1:46" ht="14.45">
      <c r="A534" s="336"/>
      <c r="B534" s="336"/>
      <c r="C534" s="336"/>
      <c r="D534" s="336"/>
      <c r="E534" s="336"/>
      <c r="F534" s="336"/>
      <c r="G534" s="336"/>
      <c r="H534" s="336"/>
      <c r="I534" s="336"/>
      <c r="J534" s="336"/>
      <c r="K534" s="415"/>
      <c r="L534" s="336"/>
      <c r="M534" s="336"/>
      <c r="N534" s="336"/>
      <c r="O534" s="416"/>
      <c r="P534" s="336"/>
      <c r="Q534" s="415"/>
      <c r="R534" s="336"/>
      <c r="S534" s="336"/>
      <c r="T534" s="336"/>
      <c r="U534" s="336"/>
      <c r="V534" s="336"/>
      <c r="W534" s="336"/>
      <c r="X534" s="336"/>
      <c r="Y534" s="336"/>
      <c r="Z534" s="336"/>
      <c r="AA534" s="336"/>
      <c r="AB534" s="336"/>
      <c r="AC534" s="336"/>
      <c r="AD534" s="336"/>
      <c r="AE534"/>
      <c r="AF534" s="336"/>
      <c r="AG534" s="336"/>
      <c r="AH534" s="336"/>
      <c r="AI534" s="336"/>
      <c r="AJ534" s="336"/>
      <c r="AK534" s="336"/>
      <c r="AL534" s="336"/>
      <c r="AM534" s="336"/>
      <c r="AN534" s="336"/>
      <c r="AO534" s="336"/>
      <c r="AP534" s="336"/>
      <c r="AQ534" s="336"/>
      <c r="AR534" s="336"/>
      <c r="AS534" s="336"/>
      <c r="AT534" s="336"/>
    </row>
    <row r="535" spans="1:46" ht="14.45">
      <c r="A535" s="336"/>
      <c r="B535" s="336"/>
      <c r="C535" s="336"/>
      <c r="D535" s="336"/>
      <c r="E535" s="336"/>
      <c r="F535" s="336"/>
      <c r="G535" s="336"/>
      <c r="H535" s="336"/>
      <c r="I535" s="336"/>
      <c r="J535" s="336"/>
      <c r="K535" s="415"/>
      <c r="L535" s="336"/>
      <c r="M535" s="336"/>
      <c r="N535" s="336"/>
      <c r="O535" s="416"/>
      <c r="P535" s="336"/>
      <c r="Q535" s="415"/>
      <c r="R535" s="336"/>
      <c r="S535" s="336"/>
      <c r="T535" s="336"/>
      <c r="U535" s="336"/>
      <c r="V535" s="336"/>
      <c r="W535" s="336"/>
      <c r="X535" s="336"/>
      <c r="Y535" s="336"/>
      <c r="Z535" s="336"/>
      <c r="AA535" s="336"/>
      <c r="AB535" s="336"/>
      <c r="AC535" s="336"/>
      <c r="AD535" s="336"/>
      <c r="AE535"/>
      <c r="AF535" s="336"/>
      <c r="AG535" s="336"/>
      <c r="AH535" s="336"/>
      <c r="AI535" s="336"/>
      <c r="AJ535" s="336"/>
      <c r="AK535" s="336"/>
      <c r="AL535" s="336"/>
      <c r="AM535" s="336"/>
      <c r="AN535" s="336"/>
      <c r="AO535" s="336"/>
      <c r="AP535" s="336"/>
      <c r="AQ535" s="336"/>
      <c r="AR535" s="336"/>
      <c r="AS535" s="336"/>
      <c r="AT535" s="336"/>
    </row>
    <row r="536" spans="1:46" ht="14.45">
      <c r="A536" s="336"/>
      <c r="B536" s="336"/>
      <c r="C536" s="336"/>
      <c r="D536" s="336"/>
      <c r="E536" s="336"/>
      <c r="F536" s="336"/>
      <c r="G536" s="336"/>
      <c r="H536" s="336"/>
      <c r="I536" s="336"/>
      <c r="J536" s="336"/>
      <c r="K536" s="415"/>
      <c r="L536" s="336"/>
      <c r="M536" s="336"/>
      <c r="N536" s="336"/>
      <c r="O536" s="416"/>
      <c r="P536" s="336"/>
      <c r="Q536" s="415"/>
      <c r="R536" s="336"/>
      <c r="S536" s="336"/>
      <c r="T536" s="336"/>
      <c r="U536" s="336"/>
      <c r="V536" s="336"/>
      <c r="W536" s="336"/>
      <c r="X536" s="336"/>
      <c r="Y536" s="336"/>
      <c r="Z536" s="336"/>
      <c r="AA536" s="336"/>
      <c r="AB536" s="336"/>
      <c r="AC536" s="336"/>
      <c r="AD536" s="336"/>
      <c r="AE536"/>
      <c r="AF536" s="336"/>
      <c r="AG536" s="336"/>
      <c r="AH536" s="336"/>
      <c r="AI536" s="336"/>
      <c r="AJ536" s="336"/>
      <c r="AK536" s="336"/>
      <c r="AL536" s="336"/>
      <c r="AM536" s="336"/>
      <c r="AN536" s="336"/>
      <c r="AO536" s="336"/>
      <c r="AP536" s="336"/>
      <c r="AQ536" s="336"/>
      <c r="AR536" s="336"/>
      <c r="AS536" s="336"/>
      <c r="AT536" s="336"/>
    </row>
    <row r="537" spans="1:46" ht="14.45">
      <c r="A537" s="336"/>
      <c r="B537" s="336"/>
      <c r="C537" s="336"/>
      <c r="D537" s="336"/>
      <c r="E537" s="336"/>
      <c r="F537" s="336"/>
      <c r="G537" s="336"/>
      <c r="H537" s="336"/>
      <c r="I537" s="336"/>
      <c r="J537" s="336"/>
      <c r="K537" s="415"/>
      <c r="L537" s="336"/>
      <c r="M537" s="336"/>
      <c r="N537" s="336"/>
      <c r="O537" s="416"/>
      <c r="P537" s="336"/>
      <c r="Q537" s="415"/>
      <c r="R537" s="336"/>
      <c r="S537" s="336"/>
      <c r="T537" s="336"/>
      <c r="U537" s="336"/>
      <c r="V537" s="336"/>
      <c r="W537" s="336"/>
      <c r="X537" s="336"/>
      <c r="Y537" s="336"/>
      <c r="Z537" s="336"/>
      <c r="AA537" s="336"/>
      <c r="AB537" s="336"/>
      <c r="AC537" s="336"/>
      <c r="AD537" s="336"/>
      <c r="AE537"/>
      <c r="AF537" s="336"/>
      <c r="AG537" s="336"/>
      <c r="AH537" s="336"/>
      <c r="AI537" s="336"/>
      <c r="AJ537" s="336"/>
      <c r="AK537" s="336"/>
      <c r="AL537" s="336"/>
      <c r="AM537" s="336"/>
      <c r="AN537" s="336"/>
      <c r="AO537" s="336"/>
      <c r="AP537" s="336"/>
      <c r="AQ537" s="336"/>
      <c r="AR537" s="336"/>
      <c r="AS537" s="336"/>
      <c r="AT537" s="336"/>
    </row>
    <row r="538" spans="1:46" ht="14.45">
      <c r="A538" s="336"/>
      <c r="B538" s="336"/>
      <c r="C538" s="336"/>
      <c r="D538" s="336"/>
      <c r="E538" s="336"/>
      <c r="F538" s="336"/>
      <c r="G538" s="336"/>
      <c r="H538" s="336"/>
      <c r="I538" s="336"/>
      <c r="J538" s="336"/>
      <c r="K538" s="415"/>
      <c r="L538" s="336"/>
      <c r="M538" s="336"/>
      <c r="N538" s="336"/>
      <c r="O538" s="416"/>
      <c r="P538" s="336"/>
      <c r="Q538" s="415"/>
      <c r="R538" s="336"/>
      <c r="S538" s="336"/>
      <c r="T538" s="336"/>
      <c r="U538" s="336"/>
      <c r="V538" s="336"/>
      <c r="W538" s="336"/>
      <c r="X538" s="336"/>
      <c r="Y538" s="336"/>
      <c r="Z538" s="336"/>
      <c r="AA538" s="336"/>
      <c r="AB538" s="336"/>
      <c r="AC538" s="336"/>
      <c r="AD538" s="336"/>
      <c r="AE538"/>
      <c r="AF538" s="336"/>
      <c r="AG538" s="336"/>
      <c r="AH538" s="336"/>
      <c r="AI538" s="336"/>
      <c r="AJ538" s="336"/>
      <c r="AK538" s="336"/>
      <c r="AL538" s="336"/>
      <c r="AM538" s="336"/>
      <c r="AN538" s="336"/>
      <c r="AO538" s="336"/>
      <c r="AP538" s="336"/>
      <c r="AQ538" s="336"/>
      <c r="AR538" s="336"/>
      <c r="AS538" s="336"/>
      <c r="AT538" s="336"/>
    </row>
    <row r="539" spans="1:46" ht="14.45">
      <c r="A539" s="336"/>
      <c r="B539" s="336"/>
      <c r="C539" s="336"/>
      <c r="D539" s="336"/>
      <c r="E539" s="336"/>
      <c r="F539" s="336"/>
      <c r="G539" s="336"/>
      <c r="H539" s="336"/>
      <c r="I539" s="336"/>
      <c r="J539" s="336"/>
      <c r="K539" s="415"/>
      <c r="L539" s="336"/>
      <c r="M539" s="336"/>
      <c r="N539" s="336"/>
      <c r="O539" s="416"/>
      <c r="P539" s="336"/>
      <c r="Q539" s="415"/>
      <c r="R539" s="336"/>
      <c r="S539" s="336"/>
      <c r="T539" s="336"/>
      <c r="U539" s="336"/>
      <c r="V539" s="336"/>
      <c r="W539" s="336"/>
      <c r="X539" s="336"/>
      <c r="Y539" s="336"/>
      <c r="Z539" s="336"/>
      <c r="AA539" s="336"/>
      <c r="AB539" s="336"/>
      <c r="AC539" s="336"/>
      <c r="AD539" s="336"/>
      <c r="AE539"/>
      <c r="AF539" s="336"/>
      <c r="AG539" s="336"/>
      <c r="AH539" s="336"/>
      <c r="AI539" s="336"/>
      <c r="AJ539" s="336"/>
      <c r="AK539" s="336"/>
      <c r="AL539" s="336"/>
      <c r="AM539" s="336"/>
      <c r="AN539" s="336"/>
      <c r="AO539" s="336"/>
      <c r="AP539" s="336"/>
      <c r="AQ539" s="336"/>
      <c r="AR539" s="336"/>
      <c r="AS539" s="336"/>
      <c r="AT539" s="336"/>
    </row>
    <row r="540" spans="1:46" ht="14.45">
      <c r="A540" s="336"/>
      <c r="B540" s="336"/>
      <c r="C540" s="336"/>
      <c r="D540" s="336"/>
      <c r="E540" s="336"/>
      <c r="F540" s="336"/>
      <c r="G540" s="336"/>
      <c r="H540" s="336"/>
      <c r="I540" s="336"/>
      <c r="J540" s="336"/>
      <c r="K540" s="415"/>
      <c r="L540" s="336"/>
      <c r="M540" s="336"/>
      <c r="N540" s="336"/>
      <c r="O540" s="416"/>
      <c r="P540" s="336"/>
      <c r="Q540" s="415"/>
      <c r="R540" s="336"/>
      <c r="S540" s="336"/>
      <c r="T540" s="336"/>
      <c r="U540" s="336"/>
      <c r="V540" s="336"/>
      <c r="W540" s="336"/>
      <c r="X540" s="336"/>
      <c r="Y540" s="336"/>
      <c r="Z540" s="336"/>
      <c r="AA540" s="336"/>
      <c r="AB540" s="336"/>
      <c r="AC540" s="336"/>
      <c r="AD540" s="336"/>
      <c r="AE540"/>
      <c r="AF540" s="336"/>
      <c r="AG540" s="336"/>
      <c r="AH540" s="336"/>
      <c r="AI540" s="336"/>
      <c r="AJ540" s="336"/>
      <c r="AK540" s="336"/>
      <c r="AL540" s="336"/>
      <c r="AM540" s="336"/>
      <c r="AN540" s="336"/>
      <c r="AO540" s="336"/>
      <c r="AP540" s="336"/>
      <c r="AQ540" s="336"/>
      <c r="AR540" s="336"/>
      <c r="AS540" s="336"/>
      <c r="AT540" s="336"/>
    </row>
    <row r="541" spans="1:46" ht="14.45">
      <c r="A541" s="336"/>
      <c r="B541" s="336"/>
      <c r="C541" s="336"/>
      <c r="D541" s="336"/>
      <c r="E541" s="336"/>
      <c r="F541" s="336"/>
      <c r="G541" s="336"/>
      <c r="H541" s="336"/>
      <c r="I541" s="336"/>
      <c r="J541" s="336"/>
      <c r="K541" s="415"/>
      <c r="L541" s="336"/>
      <c r="M541" s="336"/>
      <c r="N541" s="336"/>
      <c r="O541" s="416"/>
      <c r="P541" s="336"/>
      <c r="Q541" s="415"/>
      <c r="R541" s="336"/>
      <c r="S541" s="336"/>
      <c r="T541" s="336"/>
      <c r="U541" s="336"/>
      <c r="V541" s="336"/>
      <c r="W541" s="336"/>
      <c r="X541" s="336"/>
      <c r="Y541" s="336"/>
      <c r="Z541" s="336"/>
      <c r="AA541" s="336"/>
      <c r="AB541" s="336"/>
      <c r="AC541" s="336"/>
      <c r="AD541" s="336"/>
      <c r="AE541"/>
      <c r="AF541" s="336"/>
      <c r="AG541" s="336"/>
      <c r="AH541" s="336"/>
      <c r="AI541" s="336"/>
      <c r="AJ541" s="336"/>
      <c r="AK541" s="336"/>
      <c r="AL541" s="336"/>
      <c r="AM541" s="336"/>
      <c r="AN541" s="336"/>
      <c r="AO541" s="336"/>
      <c r="AP541" s="336"/>
      <c r="AQ541" s="336"/>
      <c r="AR541" s="336"/>
      <c r="AS541" s="336"/>
      <c r="AT541" s="336"/>
    </row>
    <row r="542" spans="1:46" ht="14.45">
      <c r="A542" s="336"/>
      <c r="B542" s="336"/>
      <c r="C542" s="336"/>
      <c r="D542" s="336"/>
      <c r="E542" s="336"/>
      <c r="F542" s="336"/>
      <c r="G542" s="336"/>
      <c r="H542" s="336"/>
      <c r="I542" s="336"/>
      <c r="J542" s="336"/>
      <c r="K542" s="415"/>
      <c r="L542" s="336"/>
      <c r="M542" s="336"/>
      <c r="N542" s="336"/>
      <c r="O542" s="416"/>
      <c r="P542" s="336"/>
      <c r="Q542" s="415"/>
      <c r="R542" s="336"/>
      <c r="S542" s="336"/>
      <c r="T542" s="336"/>
      <c r="U542" s="336"/>
      <c r="V542" s="336"/>
      <c r="W542" s="336"/>
      <c r="X542" s="336"/>
      <c r="Y542" s="336"/>
      <c r="Z542" s="336"/>
      <c r="AA542" s="336"/>
      <c r="AB542" s="336"/>
      <c r="AC542" s="336"/>
      <c r="AD542" s="336"/>
      <c r="AE542"/>
      <c r="AF542" s="336"/>
      <c r="AG542" s="336"/>
      <c r="AH542" s="336"/>
      <c r="AI542" s="336"/>
      <c r="AJ542" s="336"/>
      <c r="AK542" s="336"/>
      <c r="AL542" s="336"/>
      <c r="AM542" s="336"/>
      <c r="AN542" s="336"/>
      <c r="AO542" s="336"/>
      <c r="AP542" s="336"/>
      <c r="AQ542" s="336"/>
      <c r="AR542" s="336"/>
      <c r="AS542" s="336"/>
      <c r="AT542" s="336"/>
    </row>
    <row r="543" spans="1:46" ht="14.45">
      <c r="A543" s="336"/>
      <c r="B543" s="336"/>
      <c r="C543" s="336"/>
      <c r="D543" s="336"/>
      <c r="E543" s="336"/>
      <c r="F543" s="336"/>
      <c r="G543" s="336"/>
      <c r="H543" s="336"/>
      <c r="I543" s="336"/>
      <c r="J543" s="336"/>
      <c r="K543" s="415"/>
      <c r="L543" s="336"/>
      <c r="M543" s="336"/>
      <c r="N543" s="336"/>
      <c r="O543" s="416"/>
      <c r="P543" s="336"/>
      <c r="Q543" s="415"/>
      <c r="R543" s="336"/>
      <c r="S543" s="336"/>
      <c r="T543" s="336"/>
      <c r="U543" s="336"/>
      <c r="V543" s="336"/>
      <c r="W543" s="336"/>
      <c r="X543" s="336"/>
      <c r="Y543" s="336"/>
      <c r="Z543" s="336"/>
      <c r="AA543" s="336"/>
      <c r="AB543" s="336"/>
      <c r="AC543" s="336"/>
      <c r="AD543" s="336"/>
      <c r="AE543"/>
      <c r="AF543" s="336"/>
      <c r="AG543" s="336"/>
      <c r="AH543" s="336"/>
      <c r="AI543" s="336"/>
      <c r="AJ543" s="336"/>
      <c r="AK543" s="336"/>
      <c r="AL543" s="336"/>
      <c r="AM543" s="336"/>
      <c r="AN543" s="336"/>
      <c r="AO543" s="336"/>
      <c r="AP543" s="336"/>
      <c r="AQ543" s="336"/>
      <c r="AR543" s="336"/>
      <c r="AS543" s="336"/>
      <c r="AT543" s="336"/>
    </row>
    <row r="544" spans="1:46" ht="14.45">
      <c r="A544" s="336"/>
      <c r="B544" s="336"/>
      <c r="C544" s="336"/>
      <c r="D544" s="336"/>
      <c r="E544" s="336"/>
      <c r="F544" s="336"/>
      <c r="G544" s="336"/>
      <c r="H544" s="336"/>
      <c r="I544" s="336"/>
      <c r="J544" s="336"/>
      <c r="K544" s="415"/>
      <c r="L544" s="336"/>
      <c r="M544" s="336"/>
      <c r="N544" s="336"/>
      <c r="O544" s="416"/>
      <c r="P544" s="336"/>
      <c r="Q544" s="415"/>
      <c r="R544" s="336"/>
      <c r="S544" s="336"/>
      <c r="T544" s="336"/>
      <c r="U544" s="336"/>
      <c r="V544" s="336"/>
      <c r="W544" s="336"/>
      <c r="X544" s="336"/>
      <c r="Y544" s="336"/>
      <c r="Z544" s="336"/>
      <c r="AA544" s="336"/>
      <c r="AB544" s="336"/>
      <c r="AC544" s="336"/>
      <c r="AD544" s="336"/>
      <c r="AE544"/>
      <c r="AF544" s="336"/>
      <c r="AG544" s="336"/>
      <c r="AH544" s="336"/>
      <c r="AI544" s="336"/>
      <c r="AJ544" s="336"/>
      <c r="AK544" s="336"/>
      <c r="AL544" s="336"/>
      <c r="AM544" s="336"/>
      <c r="AN544" s="336"/>
      <c r="AO544" s="336"/>
      <c r="AP544" s="336"/>
      <c r="AQ544" s="336"/>
      <c r="AR544" s="336"/>
      <c r="AS544" s="336"/>
      <c r="AT544" s="336"/>
    </row>
    <row r="545" spans="1:46" ht="14.45">
      <c r="A545" s="336"/>
      <c r="B545" s="336"/>
      <c r="C545" s="336"/>
      <c r="D545" s="336"/>
      <c r="E545" s="336"/>
      <c r="F545" s="336"/>
      <c r="G545" s="336"/>
      <c r="H545" s="336"/>
      <c r="I545" s="336"/>
      <c r="J545" s="336"/>
      <c r="K545" s="415"/>
      <c r="L545" s="336"/>
      <c r="M545" s="336"/>
      <c r="N545" s="336"/>
      <c r="O545" s="416"/>
      <c r="P545" s="336"/>
      <c r="Q545" s="415"/>
      <c r="R545" s="336"/>
      <c r="S545" s="336"/>
      <c r="T545" s="336"/>
      <c r="U545" s="336"/>
      <c r="V545" s="336"/>
      <c r="W545" s="336"/>
      <c r="X545" s="336"/>
      <c r="Y545" s="336"/>
      <c r="Z545" s="336"/>
      <c r="AA545" s="336"/>
      <c r="AB545" s="336"/>
      <c r="AC545" s="336"/>
      <c r="AD545" s="336"/>
      <c r="AE545"/>
      <c r="AF545" s="336"/>
      <c r="AG545" s="336"/>
      <c r="AH545" s="336"/>
      <c r="AI545" s="336"/>
      <c r="AJ545" s="336"/>
      <c r="AK545" s="336"/>
      <c r="AL545" s="336"/>
      <c r="AM545" s="336"/>
      <c r="AN545" s="336"/>
      <c r="AO545" s="336"/>
      <c r="AP545" s="336"/>
      <c r="AQ545" s="336"/>
      <c r="AR545" s="336"/>
      <c r="AS545" s="336"/>
      <c r="AT545" s="336"/>
    </row>
    <row r="546" spans="1:46" ht="14.45">
      <c r="A546" s="336"/>
      <c r="B546" s="336"/>
      <c r="C546" s="336"/>
      <c r="D546" s="336"/>
      <c r="E546" s="336"/>
      <c r="F546" s="336"/>
      <c r="G546" s="336"/>
      <c r="H546" s="336"/>
      <c r="I546" s="336"/>
      <c r="J546" s="336"/>
      <c r="K546" s="415"/>
      <c r="L546" s="336"/>
      <c r="M546" s="336"/>
      <c r="N546" s="336"/>
      <c r="O546" s="416"/>
      <c r="P546" s="336"/>
      <c r="Q546" s="415"/>
      <c r="R546" s="336"/>
      <c r="S546" s="336"/>
      <c r="T546" s="336"/>
      <c r="U546" s="336"/>
      <c r="V546" s="336"/>
      <c r="W546" s="336"/>
      <c r="X546" s="336"/>
      <c r="Y546" s="336"/>
      <c r="Z546" s="336"/>
      <c r="AA546" s="336"/>
      <c r="AB546" s="336"/>
      <c r="AC546" s="336"/>
      <c r="AD546" s="336"/>
      <c r="AE546"/>
      <c r="AF546" s="336"/>
      <c r="AG546" s="336"/>
      <c r="AH546" s="336"/>
      <c r="AI546" s="336"/>
      <c r="AJ546" s="336"/>
      <c r="AK546" s="336"/>
      <c r="AL546" s="336"/>
      <c r="AM546" s="336"/>
      <c r="AN546" s="336"/>
      <c r="AO546" s="336"/>
      <c r="AP546" s="336"/>
      <c r="AQ546" s="336"/>
      <c r="AR546" s="336"/>
      <c r="AS546" s="336"/>
      <c r="AT546" s="336"/>
    </row>
    <row r="547" spans="1:46" ht="14.45">
      <c r="A547" s="336"/>
      <c r="B547" s="336"/>
      <c r="C547" s="336"/>
      <c r="D547" s="336"/>
      <c r="E547" s="336"/>
      <c r="F547" s="336"/>
      <c r="G547" s="336"/>
      <c r="H547" s="336"/>
      <c r="I547" s="336"/>
      <c r="J547" s="336"/>
      <c r="K547" s="415"/>
      <c r="L547" s="336"/>
      <c r="M547" s="336"/>
      <c r="N547" s="336"/>
      <c r="O547" s="416"/>
      <c r="P547" s="336"/>
      <c r="Q547" s="415"/>
      <c r="R547" s="336"/>
      <c r="S547" s="336"/>
      <c r="T547" s="336"/>
      <c r="U547" s="336"/>
      <c r="V547" s="336"/>
      <c r="W547" s="336"/>
      <c r="X547" s="336"/>
      <c r="Y547" s="336"/>
      <c r="Z547" s="336"/>
      <c r="AA547" s="336"/>
      <c r="AB547" s="336"/>
      <c r="AC547" s="336"/>
      <c r="AD547" s="336"/>
      <c r="AE547"/>
      <c r="AF547" s="336"/>
      <c r="AG547" s="336"/>
      <c r="AH547" s="336"/>
      <c r="AI547" s="336"/>
      <c r="AJ547" s="336"/>
      <c r="AK547" s="336"/>
      <c r="AL547" s="336"/>
      <c r="AM547" s="336"/>
      <c r="AN547" s="336"/>
      <c r="AO547" s="336"/>
      <c r="AP547" s="336"/>
      <c r="AQ547" s="336"/>
      <c r="AR547" s="336"/>
      <c r="AS547" s="336"/>
      <c r="AT547" s="336"/>
    </row>
    <row r="548" spans="1:46" ht="14.45">
      <c r="A548" s="336"/>
      <c r="B548" s="336"/>
      <c r="C548" s="336"/>
      <c r="D548" s="336"/>
      <c r="E548" s="336"/>
      <c r="F548" s="336"/>
      <c r="G548" s="336"/>
      <c r="H548" s="336"/>
      <c r="I548" s="336"/>
      <c r="J548" s="336"/>
      <c r="K548" s="415"/>
      <c r="L548" s="336"/>
      <c r="M548" s="336"/>
      <c r="N548" s="336"/>
      <c r="O548" s="416"/>
      <c r="P548" s="336"/>
      <c r="Q548" s="415"/>
      <c r="R548" s="336"/>
      <c r="S548" s="336"/>
      <c r="T548" s="336"/>
      <c r="U548" s="336"/>
      <c r="V548" s="336"/>
      <c r="W548" s="336"/>
      <c r="X548" s="336"/>
      <c r="Y548" s="336"/>
      <c r="Z548" s="336"/>
      <c r="AA548" s="336"/>
      <c r="AB548" s="336"/>
      <c r="AC548" s="336"/>
      <c r="AD548" s="336"/>
      <c r="AE548"/>
      <c r="AF548" s="336"/>
      <c r="AG548" s="336"/>
      <c r="AH548" s="336"/>
      <c r="AI548" s="336"/>
      <c r="AJ548" s="336"/>
      <c r="AK548" s="336"/>
      <c r="AL548" s="336"/>
      <c r="AM548" s="336"/>
      <c r="AN548" s="336"/>
      <c r="AO548" s="336"/>
      <c r="AP548" s="336"/>
      <c r="AQ548" s="336"/>
      <c r="AR548" s="336"/>
      <c r="AS548" s="336"/>
      <c r="AT548" s="336"/>
    </row>
    <row r="549" spans="1:46" ht="14.45">
      <c r="A549" s="336"/>
      <c r="B549" s="336"/>
      <c r="C549" s="336"/>
      <c r="D549" s="336"/>
      <c r="E549" s="336"/>
      <c r="F549" s="336"/>
      <c r="G549" s="336"/>
      <c r="H549" s="336"/>
      <c r="I549" s="336"/>
      <c r="J549" s="336"/>
      <c r="K549" s="415"/>
      <c r="L549" s="336"/>
      <c r="M549" s="336"/>
      <c r="N549" s="336"/>
      <c r="O549" s="416"/>
      <c r="P549" s="336"/>
      <c r="Q549" s="415"/>
      <c r="R549" s="336"/>
      <c r="S549" s="336"/>
      <c r="T549" s="336"/>
      <c r="U549" s="336"/>
      <c r="V549" s="336"/>
      <c r="W549" s="336"/>
      <c r="X549" s="336"/>
      <c r="Y549" s="336"/>
      <c r="Z549" s="336"/>
      <c r="AA549" s="336"/>
      <c r="AB549" s="336"/>
      <c r="AC549" s="336"/>
      <c r="AD549" s="336"/>
      <c r="AE549"/>
      <c r="AF549" s="336"/>
      <c r="AG549" s="336"/>
      <c r="AH549" s="336"/>
      <c r="AI549" s="336"/>
      <c r="AJ549" s="336"/>
      <c r="AK549" s="336"/>
      <c r="AL549" s="336"/>
      <c r="AM549" s="336"/>
      <c r="AN549" s="336"/>
      <c r="AO549" s="336"/>
      <c r="AP549" s="336"/>
      <c r="AQ549" s="336"/>
      <c r="AR549" s="336"/>
      <c r="AS549" s="336"/>
      <c r="AT549" s="336"/>
    </row>
    <row r="550" spans="1:46" ht="14.45">
      <c r="A550" s="336"/>
      <c r="B550" s="336"/>
      <c r="C550" s="336"/>
      <c r="D550" s="336"/>
      <c r="E550" s="336"/>
      <c r="F550" s="336"/>
      <c r="G550" s="336"/>
      <c r="H550" s="336"/>
      <c r="I550" s="336"/>
      <c r="J550" s="336"/>
      <c r="K550" s="415"/>
      <c r="L550" s="336"/>
      <c r="M550" s="336"/>
      <c r="N550" s="336"/>
      <c r="O550" s="416"/>
      <c r="P550" s="336"/>
      <c r="Q550" s="415"/>
      <c r="R550" s="336"/>
      <c r="S550" s="336"/>
      <c r="T550" s="336"/>
      <c r="U550" s="336"/>
      <c r="V550" s="336"/>
      <c r="W550" s="336"/>
      <c r="X550" s="336"/>
      <c r="Y550" s="336"/>
      <c r="Z550" s="336"/>
      <c r="AA550" s="336"/>
      <c r="AB550" s="336"/>
      <c r="AC550" s="336"/>
      <c r="AD550" s="336"/>
      <c r="AE550"/>
      <c r="AF550" s="336"/>
      <c r="AG550" s="336"/>
      <c r="AH550" s="336"/>
      <c r="AI550" s="336"/>
      <c r="AJ550" s="336"/>
      <c r="AK550" s="336"/>
      <c r="AL550" s="336"/>
      <c r="AM550" s="336"/>
      <c r="AN550" s="336"/>
      <c r="AO550" s="336"/>
      <c r="AP550" s="336"/>
      <c r="AQ550" s="336"/>
      <c r="AR550" s="336"/>
      <c r="AS550" s="336"/>
      <c r="AT550" s="336"/>
    </row>
    <row r="551" spans="1:46" ht="14.45">
      <c r="A551" s="336"/>
      <c r="B551" s="336"/>
      <c r="C551" s="336"/>
      <c r="D551" s="336"/>
      <c r="E551" s="336"/>
      <c r="F551" s="336"/>
      <c r="G551" s="336"/>
      <c r="H551" s="336"/>
      <c r="I551" s="336"/>
      <c r="J551" s="336"/>
      <c r="K551" s="415"/>
      <c r="L551" s="336"/>
      <c r="M551" s="336"/>
      <c r="N551" s="336"/>
      <c r="O551" s="416"/>
      <c r="P551" s="336"/>
      <c r="Q551" s="415"/>
      <c r="R551" s="336"/>
      <c r="S551" s="336"/>
      <c r="T551" s="336"/>
      <c r="U551" s="336"/>
      <c r="V551" s="336"/>
      <c r="W551" s="336"/>
      <c r="X551" s="336"/>
      <c r="Y551" s="336"/>
      <c r="Z551" s="336"/>
      <c r="AA551" s="336"/>
      <c r="AB551" s="336"/>
      <c r="AC551" s="336"/>
      <c r="AD551" s="336"/>
      <c r="AE551"/>
      <c r="AF551" s="336"/>
      <c r="AG551" s="336"/>
      <c r="AH551" s="336"/>
      <c r="AI551" s="336"/>
      <c r="AJ551" s="336"/>
      <c r="AK551" s="336"/>
      <c r="AL551" s="336"/>
      <c r="AM551" s="336"/>
      <c r="AN551" s="336"/>
      <c r="AO551" s="336"/>
      <c r="AP551" s="336"/>
      <c r="AQ551" s="336"/>
      <c r="AR551" s="336"/>
      <c r="AS551" s="336"/>
      <c r="AT551" s="336"/>
    </row>
    <row r="552" spans="1:46" ht="14.45">
      <c r="A552" s="336"/>
      <c r="B552" s="336"/>
      <c r="C552" s="336"/>
      <c r="D552" s="336"/>
      <c r="E552" s="336"/>
      <c r="F552" s="336"/>
      <c r="G552" s="336"/>
      <c r="H552" s="336"/>
      <c r="I552" s="336"/>
      <c r="J552" s="336"/>
      <c r="K552" s="415"/>
      <c r="L552" s="336"/>
      <c r="M552" s="336"/>
      <c r="N552" s="336"/>
      <c r="O552" s="416"/>
      <c r="P552" s="336"/>
      <c r="Q552" s="415"/>
      <c r="R552" s="336"/>
      <c r="S552" s="336"/>
      <c r="T552" s="336"/>
      <c r="U552" s="336"/>
      <c r="V552" s="336"/>
      <c r="W552" s="336"/>
      <c r="X552" s="336"/>
      <c r="Y552" s="336"/>
      <c r="Z552" s="336"/>
      <c r="AA552" s="336"/>
      <c r="AB552" s="336"/>
      <c r="AC552" s="336"/>
      <c r="AD552" s="336"/>
      <c r="AE552"/>
      <c r="AF552" s="336"/>
      <c r="AG552" s="336"/>
      <c r="AH552" s="336"/>
      <c r="AI552" s="336"/>
      <c r="AJ552" s="336"/>
      <c r="AK552" s="336"/>
      <c r="AL552" s="336"/>
      <c r="AM552" s="336"/>
      <c r="AN552" s="336"/>
      <c r="AO552" s="336"/>
      <c r="AP552" s="336"/>
      <c r="AQ552" s="336"/>
      <c r="AR552" s="336"/>
      <c r="AS552" s="336"/>
      <c r="AT552" s="336"/>
    </row>
    <row r="553" spans="1:46" ht="14.45">
      <c r="A553" s="336"/>
      <c r="B553" s="336"/>
      <c r="C553" s="336"/>
      <c r="D553" s="336"/>
      <c r="E553" s="336"/>
      <c r="F553" s="336"/>
      <c r="G553" s="336"/>
      <c r="H553" s="336"/>
      <c r="I553" s="336"/>
      <c r="J553" s="336"/>
      <c r="K553" s="415"/>
      <c r="L553" s="336"/>
      <c r="M553" s="336"/>
      <c r="N553" s="336"/>
      <c r="O553" s="416"/>
      <c r="P553" s="336"/>
      <c r="Q553" s="415"/>
      <c r="R553" s="336"/>
      <c r="S553" s="336"/>
      <c r="T553" s="336"/>
      <c r="U553" s="336"/>
      <c r="V553" s="336"/>
      <c r="W553" s="336"/>
      <c r="X553" s="336"/>
      <c r="Y553" s="336"/>
      <c r="Z553" s="336"/>
      <c r="AA553" s="336"/>
      <c r="AB553" s="336"/>
      <c r="AC553" s="336"/>
      <c r="AD553" s="336"/>
      <c r="AE553"/>
      <c r="AF553" s="336"/>
      <c r="AG553" s="336"/>
      <c r="AH553" s="336"/>
      <c r="AI553" s="336"/>
      <c r="AJ553" s="336"/>
      <c r="AK553" s="336"/>
      <c r="AL553" s="336"/>
      <c r="AM553" s="336"/>
      <c r="AN553" s="336"/>
      <c r="AO553" s="336"/>
      <c r="AP553" s="336"/>
      <c r="AQ553" s="336"/>
      <c r="AR553" s="336"/>
      <c r="AS553" s="336"/>
      <c r="AT553" s="336"/>
    </row>
    <row r="554" spans="1:46" ht="14.45">
      <c r="A554" s="336"/>
      <c r="B554" s="336"/>
      <c r="C554" s="336"/>
      <c r="D554" s="336"/>
      <c r="E554" s="336"/>
      <c r="F554" s="336"/>
      <c r="G554" s="336"/>
      <c r="H554" s="336"/>
      <c r="I554" s="336"/>
      <c r="J554" s="336"/>
      <c r="K554" s="415"/>
      <c r="L554" s="336"/>
      <c r="M554" s="336"/>
      <c r="N554" s="336"/>
      <c r="O554" s="416"/>
      <c r="P554" s="336"/>
      <c r="Q554" s="415"/>
      <c r="R554" s="336"/>
      <c r="S554" s="336"/>
      <c r="T554" s="336"/>
      <c r="U554" s="336"/>
      <c r="V554" s="336"/>
      <c r="W554" s="336"/>
      <c r="X554" s="336"/>
      <c r="Y554" s="336"/>
      <c r="Z554" s="336"/>
      <c r="AA554" s="336"/>
      <c r="AB554" s="336"/>
      <c r="AC554" s="336"/>
      <c r="AD554" s="336"/>
      <c r="AE554"/>
      <c r="AF554" s="336"/>
      <c r="AG554" s="336"/>
      <c r="AH554" s="336"/>
      <c r="AI554" s="336"/>
      <c r="AJ554" s="336"/>
      <c r="AK554" s="336"/>
      <c r="AL554" s="336"/>
      <c r="AM554" s="336"/>
      <c r="AN554" s="336"/>
      <c r="AO554" s="336"/>
      <c r="AP554" s="336"/>
      <c r="AQ554" s="336"/>
      <c r="AR554" s="336"/>
      <c r="AS554" s="336"/>
      <c r="AT554" s="336"/>
    </row>
    <row r="555" spans="1:46" ht="14.45">
      <c r="A555" s="336"/>
      <c r="B555" s="336"/>
      <c r="C555" s="336"/>
      <c r="D555" s="336"/>
      <c r="E555" s="336"/>
      <c r="F555" s="336"/>
      <c r="G555" s="336"/>
      <c r="H555" s="336"/>
      <c r="I555" s="336"/>
      <c r="J555" s="336"/>
      <c r="K555" s="415"/>
      <c r="L555" s="336"/>
      <c r="M555" s="336"/>
      <c r="N555" s="336"/>
      <c r="O555" s="416"/>
      <c r="P555" s="336"/>
      <c r="Q555" s="415"/>
      <c r="R555" s="336"/>
      <c r="S555" s="336"/>
      <c r="T555" s="336"/>
      <c r="U555" s="336"/>
      <c r="V555" s="336"/>
      <c r="W555" s="336"/>
      <c r="X555" s="336"/>
      <c r="Y555" s="336"/>
      <c r="Z555" s="336"/>
      <c r="AA555" s="336"/>
      <c r="AB555" s="336"/>
      <c r="AC555" s="336"/>
      <c r="AD555" s="336"/>
      <c r="AE555"/>
      <c r="AF555" s="336"/>
      <c r="AG555" s="336"/>
      <c r="AH555" s="336"/>
      <c r="AI555" s="336"/>
      <c r="AJ555" s="336"/>
      <c r="AK555" s="336"/>
      <c r="AL555" s="336"/>
      <c r="AM555" s="336"/>
      <c r="AN555" s="336"/>
      <c r="AO555" s="336"/>
      <c r="AP555" s="336"/>
      <c r="AQ555" s="336"/>
      <c r="AR555" s="336"/>
      <c r="AS555" s="336"/>
      <c r="AT555" s="336"/>
    </row>
    <row r="556" spans="1:46" ht="14.45">
      <c r="A556" s="336"/>
      <c r="B556" s="336"/>
      <c r="C556" s="336"/>
      <c r="D556" s="336"/>
      <c r="E556" s="336"/>
      <c r="F556" s="336"/>
      <c r="G556" s="336"/>
      <c r="H556" s="336"/>
      <c r="I556" s="336"/>
      <c r="J556" s="336"/>
      <c r="K556" s="415"/>
      <c r="L556" s="336"/>
      <c r="M556" s="336"/>
      <c r="N556" s="336"/>
      <c r="O556" s="416"/>
      <c r="P556" s="336"/>
      <c r="Q556" s="415"/>
      <c r="R556" s="336"/>
      <c r="S556" s="336"/>
      <c r="T556" s="336"/>
      <c r="U556" s="336"/>
      <c r="V556" s="336"/>
      <c r="W556" s="336"/>
      <c r="X556" s="336"/>
      <c r="Y556" s="336"/>
      <c r="Z556" s="336"/>
      <c r="AA556" s="336"/>
      <c r="AB556" s="336"/>
      <c r="AC556" s="336"/>
      <c r="AD556" s="336"/>
      <c r="AE556"/>
      <c r="AF556" s="336"/>
      <c r="AG556" s="336"/>
      <c r="AH556" s="336"/>
      <c r="AI556" s="336"/>
      <c r="AJ556" s="336"/>
      <c r="AK556" s="336"/>
      <c r="AL556" s="336"/>
      <c r="AM556" s="336"/>
      <c r="AN556" s="336"/>
      <c r="AO556" s="336"/>
      <c r="AP556" s="336"/>
      <c r="AQ556" s="336"/>
      <c r="AR556" s="336"/>
      <c r="AS556" s="336"/>
      <c r="AT556" s="336"/>
    </row>
    <row r="557" spans="1:46" ht="14.45">
      <c r="A557" s="336"/>
      <c r="B557" s="336"/>
      <c r="C557" s="336"/>
      <c r="D557" s="336"/>
      <c r="E557" s="336"/>
      <c r="F557" s="336"/>
      <c r="G557" s="336"/>
      <c r="H557" s="336"/>
      <c r="I557" s="336"/>
      <c r="J557" s="336"/>
      <c r="K557" s="415"/>
      <c r="L557" s="336"/>
      <c r="M557" s="336"/>
      <c r="N557" s="336"/>
      <c r="O557" s="416"/>
      <c r="P557" s="336"/>
      <c r="Q557" s="415"/>
      <c r="R557" s="336"/>
      <c r="S557" s="336"/>
      <c r="T557" s="336"/>
      <c r="U557" s="336"/>
      <c r="V557" s="336"/>
      <c r="W557" s="336"/>
      <c r="X557" s="336"/>
      <c r="Y557" s="336"/>
      <c r="Z557" s="336"/>
      <c r="AA557" s="336"/>
      <c r="AB557" s="336"/>
      <c r="AC557" s="336"/>
      <c r="AD557" s="336"/>
      <c r="AE557"/>
      <c r="AF557" s="336"/>
      <c r="AG557" s="336"/>
      <c r="AH557" s="336"/>
      <c r="AI557" s="336"/>
      <c r="AJ557" s="336"/>
      <c r="AK557" s="336"/>
      <c r="AL557" s="336"/>
      <c r="AM557" s="336"/>
      <c r="AN557" s="336"/>
      <c r="AO557" s="336"/>
      <c r="AP557" s="336"/>
      <c r="AQ557" s="336"/>
      <c r="AR557" s="336"/>
      <c r="AS557" s="336"/>
      <c r="AT557" s="336"/>
    </row>
    <row r="558" spans="1:46" ht="14.45">
      <c r="A558" s="336"/>
      <c r="B558" s="336"/>
      <c r="C558" s="336"/>
      <c r="D558" s="336"/>
      <c r="E558" s="336"/>
      <c r="F558" s="336"/>
      <c r="G558" s="336"/>
      <c r="H558" s="336"/>
      <c r="I558" s="336"/>
      <c r="J558" s="336"/>
      <c r="K558" s="415"/>
      <c r="L558" s="336"/>
      <c r="M558" s="336"/>
      <c r="N558" s="336"/>
      <c r="O558" s="416"/>
      <c r="P558" s="336"/>
      <c r="Q558" s="415"/>
      <c r="R558" s="336"/>
      <c r="S558" s="336"/>
      <c r="T558" s="336"/>
      <c r="U558" s="336"/>
      <c r="V558" s="336"/>
      <c r="W558" s="336"/>
      <c r="X558" s="336"/>
      <c r="Y558" s="336"/>
      <c r="Z558" s="336"/>
      <c r="AA558" s="336"/>
      <c r="AB558" s="336"/>
      <c r="AC558" s="336"/>
      <c r="AD558" s="336"/>
      <c r="AE558"/>
      <c r="AF558" s="336"/>
      <c r="AG558" s="336"/>
      <c r="AH558" s="336"/>
      <c r="AI558" s="336"/>
      <c r="AJ558" s="336"/>
      <c r="AK558" s="336"/>
      <c r="AL558" s="336"/>
      <c r="AM558" s="336"/>
      <c r="AN558" s="336"/>
      <c r="AO558" s="336"/>
      <c r="AP558" s="336"/>
      <c r="AQ558" s="336"/>
      <c r="AR558" s="336"/>
      <c r="AS558" s="336"/>
      <c r="AT558" s="336"/>
    </row>
    <row r="559" spans="1:46" ht="14.45">
      <c r="A559" s="336"/>
      <c r="B559" s="336"/>
      <c r="C559" s="336"/>
      <c r="D559" s="336"/>
      <c r="E559" s="336"/>
      <c r="F559" s="336"/>
      <c r="G559" s="336"/>
      <c r="H559" s="336"/>
      <c r="I559" s="336"/>
      <c r="J559" s="336"/>
      <c r="K559" s="415"/>
      <c r="L559" s="336"/>
      <c r="M559" s="336"/>
      <c r="N559" s="336"/>
      <c r="O559" s="416"/>
      <c r="P559" s="336"/>
      <c r="Q559" s="415"/>
      <c r="R559" s="336"/>
      <c r="S559" s="336"/>
      <c r="T559" s="336"/>
      <c r="U559" s="336"/>
      <c r="V559" s="336"/>
      <c r="W559" s="336"/>
      <c r="X559" s="336"/>
      <c r="Y559" s="336"/>
      <c r="Z559" s="336"/>
      <c r="AA559" s="336"/>
      <c r="AB559" s="336"/>
      <c r="AC559" s="336"/>
      <c r="AD559" s="336"/>
      <c r="AE559"/>
      <c r="AF559" s="336"/>
      <c r="AG559" s="336"/>
      <c r="AH559" s="336"/>
      <c r="AI559" s="336"/>
      <c r="AJ559" s="336"/>
      <c r="AK559" s="336"/>
      <c r="AL559" s="336"/>
      <c r="AM559" s="336"/>
      <c r="AN559" s="336"/>
      <c r="AO559" s="336"/>
      <c r="AP559" s="336"/>
      <c r="AQ559" s="336"/>
      <c r="AR559" s="336"/>
      <c r="AS559" s="336"/>
      <c r="AT559" s="336"/>
    </row>
    <row r="560" spans="1:46" ht="14.45">
      <c r="A560" s="336"/>
      <c r="B560" s="336"/>
      <c r="C560" s="336"/>
      <c r="D560" s="336"/>
      <c r="E560" s="336"/>
      <c r="F560" s="336"/>
      <c r="G560" s="336"/>
      <c r="H560" s="336"/>
      <c r="I560" s="336"/>
      <c r="J560" s="336"/>
      <c r="K560" s="415"/>
      <c r="L560" s="336"/>
      <c r="M560" s="336"/>
      <c r="N560" s="336"/>
      <c r="O560" s="416"/>
      <c r="P560" s="336"/>
      <c r="Q560" s="415"/>
      <c r="R560" s="336"/>
      <c r="S560" s="336"/>
      <c r="T560" s="336"/>
      <c r="U560" s="336"/>
      <c r="V560" s="336"/>
      <c r="W560" s="336"/>
      <c r="X560" s="336"/>
      <c r="Y560" s="336"/>
      <c r="Z560" s="336"/>
      <c r="AA560" s="336"/>
      <c r="AB560" s="336"/>
      <c r="AC560" s="336"/>
      <c r="AD560" s="336"/>
      <c r="AE560"/>
      <c r="AF560" s="336"/>
      <c r="AG560" s="336"/>
      <c r="AH560" s="336"/>
      <c r="AI560" s="336"/>
      <c r="AJ560" s="336"/>
      <c r="AK560" s="336"/>
      <c r="AL560" s="336"/>
      <c r="AM560" s="336"/>
      <c r="AN560" s="336"/>
      <c r="AO560" s="336"/>
      <c r="AP560" s="336"/>
      <c r="AQ560" s="336"/>
      <c r="AR560" s="336"/>
      <c r="AS560" s="336"/>
      <c r="AT560" s="336"/>
    </row>
    <row r="561" spans="1:46" ht="14.45">
      <c r="A561" s="336"/>
      <c r="B561" s="336"/>
      <c r="C561" s="336"/>
      <c r="D561" s="336"/>
      <c r="E561" s="336"/>
      <c r="F561" s="336"/>
      <c r="G561" s="336"/>
      <c r="H561" s="336"/>
      <c r="I561" s="336"/>
      <c r="J561" s="336"/>
      <c r="K561" s="415"/>
      <c r="L561" s="336"/>
      <c r="M561" s="336"/>
      <c r="N561" s="336"/>
      <c r="O561" s="416"/>
      <c r="P561" s="336"/>
      <c r="Q561" s="415"/>
      <c r="R561" s="336"/>
      <c r="S561" s="336"/>
      <c r="T561" s="336"/>
      <c r="U561" s="336"/>
      <c r="V561" s="336"/>
      <c r="W561" s="336"/>
      <c r="X561" s="336"/>
      <c r="Y561" s="336"/>
      <c r="Z561" s="336"/>
      <c r="AA561" s="336"/>
      <c r="AB561" s="336"/>
      <c r="AC561" s="336"/>
      <c r="AD561" s="336"/>
      <c r="AE561"/>
      <c r="AF561" s="336"/>
      <c r="AG561" s="336"/>
      <c r="AH561" s="336"/>
      <c r="AI561" s="336"/>
      <c r="AJ561" s="336"/>
      <c r="AK561" s="336"/>
      <c r="AL561" s="336"/>
      <c r="AM561" s="336"/>
      <c r="AN561" s="336"/>
      <c r="AO561" s="336"/>
      <c r="AP561" s="336"/>
      <c r="AQ561" s="336"/>
      <c r="AR561" s="336"/>
      <c r="AS561" s="336"/>
      <c r="AT561" s="336"/>
    </row>
    <row r="562" spans="1:46" ht="14.45">
      <c r="A562" s="336"/>
      <c r="B562" s="336"/>
      <c r="C562" s="336"/>
      <c r="D562" s="336"/>
      <c r="E562" s="336"/>
      <c r="F562" s="336"/>
      <c r="G562" s="336"/>
      <c r="H562" s="336"/>
      <c r="I562" s="336"/>
      <c r="J562" s="336"/>
      <c r="K562" s="415"/>
      <c r="L562" s="336"/>
      <c r="M562" s="336"/>
      <c r="N562" s="336"/>
      <c r="O562" s="416"/>
      <c r="P562" s="336"/>
      <c r="Q562" s="415"/>
      <c r="R562" s="336"/>
      <c r="S562" s="336"/>
      <c r="T562" s="336"/>
      <c r="U562" s="336"/>
      <c r="V562" s="336"/>
      <c r="W562" s="336"/>
      <c r="X562" s="336"/>
      <c r="Y562" s="336"/>
      <c r="Z562" s="336"/>
      <c r="AA562" s="336"/>
      <c r="AB562" s="336"/>
      <c r="AC562" s="336"/>
      <c r="AD562" s="336"/>
      <c r="AE562"/>
      <c r="AF562" s="336"/>
      <c r="AG562" s="336"/>
      <c r="AH562" s="336"/>
      <c r="AI562" s="336"/>
      <c r="AJ562" s="336"/>
      <c r="AK562" s="336"/>
      <c r="AL562" s="336"/>
      <c r="AM562" s="336"/>
      <c r="AN562" s="336"/>
      <c r="AO562" s="336"/>
      <c r="AP562" s="336"/>
      <c r="AQ562" s="336"/>
      <c r="AR562" s="336"/>
      <c r="AS562" s="336"/>
      <c r="AT562" s="336"/>
    </row>
    <row r="563" spans="1:46" ht="14.45">
      <c r="A563" s="336"/>
      <c r="B563" s="336"/>
      <c r="C563" s="336"/>
      <c r="D563" s="336"/>
      <c r="E563" s="336"/>
      <c r="F563" s="336"/>
      <c r="G563" s="336"/>
      <c r="H563" s="336"/>
      <c r="I563" s="336"/>
      <c r="J563" s="336"/>
      <c r="K563" s="415"/>
      <c r="L563" s="336"/>
      <c r="M563" s="336"/>
      <c r="N563" s="336"/>
      <c r="O563" s="416"/>
      <c r="P563" s="336"/>
      <c r="Q563" s="415"/>
      <c r="R563" s="336"/>
      <c r="S563" s="336"/>
      <c r="T563" s="336"/>
      <c r="U563" s="336"/>
      <c r="V563" s="336"/>
      <c r="W563" s="336"/>
      <c r="X563" s="336"/>
      <c r="Y563" s="336"/>
      <c r="Z563" s="336"/>
      <c r="AA563" s="336"/>
      <c r="AB563" s="336"/>
      <c r="AC563" s="336"/>
      <c r="AD563" s="336"/>
      <c r="AE563"/>
      <c r="AF563" s="336"/>
      <c r="AG563" s="336"/>
      <c r="AH563" s="336"/>
      <c r="AI563" s="336"/>
      <c r="AJ563" s="336"/>
      <c r="AK563" s="336"/>
      <c r="AL563" s="336"/>
      <c r="AM563" s="336"/>
      <c r="AN563" s="336"/>
      <c r="AO563" s="336"/>
      <c r="AP563" s="336"/>
      <c r="AQ563" s="336"/>
      <c r="AR563" s="336"/>
      <c r="AS563" s="336"/>
      <c r="AT563" s="336"/>
    </row>
    <row r="564" spans="1:46" ht="14.45">
      <c r="A564" s="336"/>
      <c r="B564" s="336"/>
      <c r="C564" s="336"/>
      <c r="D564" s="336"/>
      <c r="E564" s="336"/>
      <c r="F564" s="336"/>
      <c r="G564" s="336"/>
      <c r="H564" s="336"/>
      <c r="I564" s="336"/>
      <c r="J564" s="336"/>
      <c r="K564" s="415"/>
      <c r="L564" s="336"/>
      <c r="M564" s="336"/>
      <c r="N564" s="336"/>
      <c r="O564" s="416"/>
      <c r="P564" s="336"/>
      <c r="Q564" s="415"/>
      <c r="R564" s="336"/>
      <c r="S564" s="336"/>
      <c r="T564" s="336"/>
      <c r="U564" s="336"/>
      <c r="V564" s="336"/>
      <c r="W564" s="336"/>
      <c r="X564" s="336"/>
      <c r="Y564" s="336"/>
      <c r="Z564" s="336"/>
      <c r="AA564" s="336"/>
      <c r="AB564" s="336"/>
      <c r="AC564" s="336"/>
      <c r="AD564" s="336"/>
      <c r="AE564"/>
      <c r="AF564" s="336"/>
      <c r="AG564" s="336"/>
      <c r="AH564" s="336"/>
      <c r="AI564" s="336"/>
      <c r="AJ564" s="336"/>
      <c r="AK564" s="336"/>
      <c r="AL564" s="336"/>
      <c r="AM564" s="336"/>
      <c r="AN564" s="336"/>
      <c r="AO564" s="336"/>
      <c r="AP564" s="336"/>
      <c r="AQ564" s="336"/>
      <c r="AR564" s="336"/>
      <c r="AS564" s="336"/>
      <c r="AT564" s="336"/>
    </row>
    <row r="565" spans="1:46" ht="14.45">
      <c r="A565" s="336"/>
      <c r="B565" s="336"/>
      <c r="C565" s="336"/>
      <c r="D565" s="336"/>
      <c r="E565" s="336"/>
      <c r="F565" s="336"/>
      <c r="G565" s="336"/>
      <c r="H565" s="336"/>
      <c r="I565" s="336"/>
      <c r="J565" s="336"/>
      <c r="K565" s="415"/>
      <c r="L565" s="336"/>
      <c r="M565" s="336"/>
      <c r="N565" s="336"/>
      <c r="O565" s="416"/>
      <c r="P565" s="336"/>
      <c r="Q565" s="415"/>
      <c r="R565" s="336"/>
      <c r="S565" s="336"/>
      <c r="T565" s="336"/>
      <c r="U565" s="336"/>
      <c r="V565" s="336"/>
      <c r="W565" s="336"/>
      <c r="X565" s="336"/>
      <c r="Y565" s="336"/>
      <c r="Z565" s="336"/>
      <c r="AA565" s="336"/>
      <c r="AB565" s="336"/>
      <c r="AC565" s="336"/>
      <c r="AD565" s="336"/>
      <c r="AE565"/>
      <c r="AF565" s="336"/>
      <c r="AG565" s="336"/>
      <c r="AH565" s="336"/>
      <c r="AI565" s="336"/>
      <c r="AJ565" s="336"/>
      <c r="AK565" s="336"/>
      <c r="AL565" s="336"/>
      <c r="AM565" s="336"/>
      <c r="AN565" s="336"/>
      <c r="AO565" s="336"/>
      <c r="AP565" s="336"/>
      <c r="AQ565" s="336"/>
      <c r="AR565" s="336"/>
      <c r="AS565" s="336"/>
      <c r="AT565" s="336"/>
    </row>
    <row r="566" spans="1:46" ht="14.45">
      <c r="A566" s="336"/>
      <c r="B566" s="336"/>
      <c r="C566" s="336"/>
      <c r="D566" s="336"/>
      <c r="E566" s="336"/>
      <c r="F566" s="336"/>
      <c r="G566" s="336"/>
      <c r="H566" s="336"/>
      <c r="I566" s="336"/>
      <c r="J566" s="336"/>
      <c r="K566" s="415"/>
      <c r="L566" s="336"/>
      <c r="M566" s="336"/>
      <c r="N566" s="336"/>
      <c r="O566" s="416"/>
      <c r="P566" s="336"/>
      <c r="Q566" s="415"/>
      <c r="R566" s="336"/>
      <c r="S566" s="336"/>
      <c r="T566" s="336"/>
      <c r="U566" s="336"/>
      <c r="V566" s="336"/>
      <c r="W566" s="336"/>
      <c r="X566" s="336"/>
      <c r="Y566" s="336"/>
      <c r="Z566" s="336"/>
      <c r="AA566" s="336"/>
      <c r="AB566" s="336"/>
      <c r="AC566" s="336"/>
      <c r="AD566" s="336"/>
      <c r="AE566"/>
      <c r="AF566" s="336"/>
      <c r="AG566" s="336"/>
      <c r="AH566" s="336"/>
      <c r="AI566" s="336"/>
      <c r="AJ566" s="336"/>
      <c r="AK566" s="336"/>
      <c r="AL566" s="336"/>
      <c r="AM566" s="336"/>
      <c r="AN566" s="336"/>
      <c r="AO566" s="336"/>
      <c r="AP566" s="336"/>
      <c r="AQ566" s="336"/>
      <c r="AR566" s="336"/>
      <c r="AS566" s="336"/>
      <c r="AT566" s="336"/>
    </row>
    <row r="567" spans="1:46" ht="14.45">
      <c r="A567" s="336"/>
      <c r="B567" s="336"/>
      <c r="C567" s="336"/>
      <c r="D567" s="336"/>
      <c r="E567" s="336"/>
      <c r="F567" s="336"/>
      <c r="G567" s="336"/>
      <c r="H567" s="336"/>
      <c r="I567" s="336"/>
      <c r="J567" s="336"/>
      <c r="K567" s="415"/>
      <c r="L567" s="336"/>
      <c r="M567" s="336"/>
      <c r="N567" s="336"/>
      <c r="O567" s="416"/>
      <c r="P567" s="336"/>
      <c r="Q567" s="415"/>
      <c r="R567" s="336"/>
      <c r="S567" s="336"/>
      <c r="T567" s="336"/>
      <c r="U567" s="336"/>
      <c r="V567" s="336"/>
      <c r="W567" s="336"/>
      <c r="X567" s="336"/>
      <c r="Y567" s="336"/>
      <c r="Z567" s="336"/>
      <c r="AA567" s="336"/>
      <c r="AB567" s="336"/>
      <c r="AC567" s="336"/>
      <c r="AD567" s="336"/>
      <c r="AE567"/>
      <c r="AF567" s="336"/>
      <c r="AG567" s="336"/>
      <c r="AH567" s="336"/>
      <c r="AI567" s="336"/>
      <c r="AJ567" s="336"/>
      <c r="AK567" s="336"/>
      <c r="AL567" s="336"/>
      <c r="AM567" s="336"/>
      <c r="AN567" s="336"/>
      <c r="AO567" s="336"/>
      <c r="AP567" s="336"/>
      <c r="AQ567" s="336"/>
      <c r="AR567" s="336"/>
      <c r="AS567" s="336"/>
      <c r="AT567" s="336"/>
    </row>
    <row r="568" spans="1:46" ht="14.45">
      <c r="A568" s="336"/>
      <c r="B568" s="336"/>
      <c r="C568" s="336"/>
      <c r="D568" s="336"/>
      <c r="E568" s="336"/>
      <c r="F568" s="336"/>
      <c r="G568" s="336"/>
      <c r="H568" s="336"/>
      <c r="I568" s="336"/>
      <c r="J568" s="336"/>
      <c r="K568" s="415"/>
      <c r="L568" s="336"/>
      <c r="M568" s="336"/>
      <c r="N568" s="336"/>
      <c r="O568" s="416"/>
      <c r="P568" s="336"/>
      <c r="Q568" s="415"/>
      <c r="R568" s="336"/>
      <c r="S568" s="336"/>
      <c r="T568" s="336"/>
      <c r="U568" s="336"/>
      <c r="V568" s="336"/>
      <c r="W568" s="336"/>
      <c r="X568" s="336"/>
      <c r="Y568" s="336"/>
      <c r="Z568" s="336"/>
      <c r="AA568" s="336"/>
      <c r="AB568" s="336"/>
      <c r="AC568" s="336"/>
      <c r="AD568" s="336"/>
      <c r="AE568"/>
      <c r="AF568" s="336"/>
      <c r="AG568" s="336"/>
      <c r="AH568" s="336"/>
      <c r="AI568" s="336"/>
      <c r="AJ568" s="336"/>
      <c r="AK568" s="336"/>
      <c r="AL568" s="336"/>
      <c r="AM568" s="336"/>
      <c r="AN568" s="336"/>
      <c r="AO568" s="336"/>
      <c r="AP568" s="336"/>
      <c r="AQ568" s="336"/>
      <c r="AR568" s="336"/>
      <c r="AS568" s="336"/>
      <c r="AT568" s="336"/>
    </row>
    <row r="569" spans="1:46" ht="14.45">
      <c r="A569" s="336"/>
      <c r="B569" s="336"/>
      <c r="C569" s="336"/>
      <c r="D569" s="336"/>
      <c r="E569" s="336"/>
      <c r="F569" s="336"/>
      <c r="G569" s="336"/>
      <c r="H569" s="336"/>
      <c r="I569" s="336"/>
      <c r="J569" s="336"/>
      <c r="K569" s="415"/>
      <c r="L569" s="336"/>
      <c r="M569" s="336"/>
      <c r="N569" s="336"/>
      <c r="O569" s="416"/>
      <c r="P569" s="336"/>
      <c r="Q569" s="415"/>
      <c r="R569" s="336"/>
      <c r="S569" s="336"/>
      <c r="T569" s="336"/>
      <c r="U569" s="336"/>
      <c r="V569" s="336"/>
      <c r="W569" s="336"/>
      <c r="X569" s="336"/>
      <c r="Y569" s="336"/>
      <c r="Z569" s="336"/>
      <c r="AA569" s="336"/>
      <c r="AB569" s="336"/>
      <c r="AC569" s="336"/>
      <c r="AD569" s="336"/>
      <c r="AE569"/>
      <c r="AF569" s="336"/>
      <c r="AG569" s="336"/>
      <c r="AH569" s="336"/>
      <c r="AI569" s="336"/>
      <c r="AJ569" s="336"/>
      <c r="AK569" s="336"/>
      <c r="AL569" s="336"/>
      <c r="AM569" s="336"/>
      <c r="AN569" s="336"/>
      <c r="AO569" s="336"/>
      <c r="AP569" s="336"/>
      <c r="AQ569" s="336"/>
      <c r="AR569" s="336"/>
      <c r="AS569" s="336"/>
      <c r="AT569" s="336"/>
    </row>
    <row r="570" spans="1:46" ht="14.45">
      <c r="A570" s="336"/>
      <c r="B570" s="336"/>
      <c r="C570" s="336"/>
      <c r="D570" s="336"/>
      <c r="E570" s="336"/>
      <c r="F570" s="336"/>
      <c r="G570" s="336"/>
      <c r="H570" s="336"/>
      <c r="I570" s="336"/>
      <c r="J570" s="336"/>
      <c r="K570" s="415"/>
      <c r="L570" s="336"/>
      <c r="M570" s="336"/>
      <c r="N570" s="336"/>
      <c r="O570" s="416"/>
      <c r="P570" s="336"/>
      <c r="Q570" s="415"/>
      <c r="R570" s="336"/>
      <c r="S570" s="336"/>
      <c r="T570" s="336"/>
      <c r="U570" s="336"/>
      <c r="V570" s="336"/>
      <c r="W570" s="336"/>
      <c r="X570" s="336"/>
      <c r="Y570" s="336"/>
      <c r="Z570" s="336"/>
      <c r="AA570" s="336"/>
      <c r="AB570" s="336"/>
      <c r="AC570" s="336"/>
      <c r="AD570" s="336"/>
      <c r="AE570"/>
      <c r="AF570" s="336"/>
      <c r="AG570" s="336"/>
      <c r="AH570" s="336"/>
      <c r="AI570" s="336"/>
      <c r="AJ570" s="336"/>
      <c r="AK570" s="336"/>
      <c r="AL570" s="336"/>
      <c r="AM570" s="336"/>
      <c r="AN570" s="336"/>
      <c r="AO570" s="336"/>
      <c r="AP570" s="336"/>
      <c r="AQ570" s="336"/>
      <c r="AR570" s="336"/>
      <c r="AS570" s="336"/>
      <c r="AT570" s="336"/>
    </row>
    <row r="571" spans="1:46" ht="14.45">
      <c r="A571" s="336"/>
      <c r="B571" s="336"/>
      <c r="C571" s="336"/>
      <c r="D571" s="336"/>
      <c r="E571" s="336"/>
      <c r="F571" s="336"/>
      <c r="G571" s="336"/>
      <c r="H571" s="336"/>
      <c r="I571" s="336"/>
      <c r="J571" s="336"/>
      <c r="K571" s="415"/>
      <c r="L571" s="336"/>
      <c r="M571" s="336"/>
      <c r="N571" s="336"/>
      <c r="O571" s="416"/>
      <c r="P571" s="336"/>
      <c r="Q571" s="415"/>
      <c r="R571" s="336"/>
      <c r="S571" s="336"/>
      <c r="T571" s="336"/>
      <c r="U571" s="336"/>
      <c r="V571" s="336"/>
      <c r="W571" s="336"/>
      <c r="X571" s="336"/>
      <c r="Y571" s="336"/>
      <c r="Z571" s="336"/>
      <c r="AA571" s="336"/>
      <c r="AB571" s="336"/>
      <c r="AC571" s="336"/>
      <c r="AD571" s="336"/>
      <c r="AE571"/>
      <c r="AF571" s="336"/>
      <c r="AG571" s="336"/>
      <c r="AH571" s="336"/>
      <c r="AI571" s="336"/>
      <c r="AJ571" s="336"/>
      <c r="AK571" s="336"/>
      <c r="AL571" s="336"/>
      <c r="AM571" s="336"/>
      <c r="AN571" s="336"/>
      <c r="AO571" s="336"/>
      <c r="AP571" s="336"/>
      <c r="AQ571" s="336"/>
      <c r="AR571" s="336"/>
      <c r="AS571" s="336"/>
      <c r="AT571" s="336"/>
    </row>
    <row r="572" spans="1:46" ht="14.45">
      <c r="A572" s="336"/>
      <c r="B572" s="336"/>
      <c r="C572" s="336"/>
      <c r="D572" s="336"/>
      <c r="E572" s="336"/>
      <c r="F572" s="336"/>
      <c r="G572" s="336"/>
      <c r="H572" s="336"/>
      <c r="I572" s="336"/>
      <c r="J572" s="336"/>
      <c r="K572" s="415"/>
      <c r="L572" s="336"/>
      <c r="M572" s="336"/>
      <c r="N572" s="336"/>
      <c r="O572" s="416"/>
      <c r="P572" s="336"/>
      <c r="Q572" s="415"/>
      <c r="R572" s="336"/>
      <c r="S572" s="336"/>
      <c r="T572" s="336"/>
      <c r="U572" s="336"/>
      <c r="V572" s="336"/>
      <c r="W572" s="336"/>
      <c r="X572" s="336"/>
      <c r="Y572" s="336"/>
      <c r="Z572" s="336"/>
      <c r="AA572" s="336"/>
      <c r="AB572" s="336"/>
      <c r="AC572" s="336"/>
      <c r="AD572" s="336"/>
      <c r="AE572"/>
      <c r="AF572" s="336"/>
      <c r="AG572" s="336"/>
      <c r="AH572" s="336"/>
      <c r="AI572" s="336"/>
      <c r="AJ572" s="336"/>
      <c r="AK572" s="336"/>
      <c r="AL572" s="336"/>
      <c r="AM572" s="336"/>
      <c r="AN572" s="336"/>
      <c r="AO572" s="336"/>
      <c r="AP572" s="336"/>
      <c r="AQ572" s="336"/>
      <c r="AR572" s="336"/>
      <c r="AS572" s="336"/>
      <c r="AT572" s="336"/>
    </row>
    <row r="573" spans="1:46" ht="14.45">
      <c r="A573" s="336"/>
      <c r="B573" s="336"/>
      <c r="C573" s="336"/>
      <c r="D573" s="336"/>
      <c r="E573" s="336"/>
      <c r="F573" s="336"/>
      <c r="G573" s="336"/>
      <c r="H573" s="336"/>
      <c r="I573" s="336"/>
      <c r="J573" s="336"/>
      <c r="K573" s="415"/>
      <c r="L573" s="336"/>
      <c r="M573" s="336"/>
      <c r="N573" s="336"/>
      <c r="O573" s="416"/>
      <c r="P573" s="336"/>
      <c r="Q573" s="415"/>
      <c r="R573" s="336"/>
      <c r="S573" s="336"/>
      <c r="T573" s="336"/>
      <c r="U573" s="336"/>
      <c r="V573" s="336"/>
      <c r="W573" s="336"/>
      <c r="X573" s="336"/>
      <c r="Y573" s="336"/>
      <c r="Z573" s="336"/>
      <c r="AA573" s="336"/>
      <c r="AB573" s="336"/>
      <c r="AC573" s="336"/>
      <c r="AD573" s="336"/>
      <c r="AE573"/>
      <c r="AF573" s="336"/>
      <c r="AG573" s="336"/>
      <c r="AH573" s="336"/>
      <c r="AI573" s="336"/>
      <c r="AJ573" s="336"/>
      <c r="AK573" s="336"/>
      <c r="AL573" s="336"/>
      <c r="AM573" s="336"/>
      <c r="AN573" s="336"/>
      <c r="AO573" s="336"/>
      <c r="AP573" s="336"/>
      <c r="AQ573" s="336"/>
      <c r="AR573" s="336"/>
      <c r="AS573" s="336"/>
      <c r="AT573" s="336"/>
    </row>
    <row r="574" spans="1:46" ht="14.45">
      <c r="A574" s="336"/>
      <c r="B574" s="336"/>
      <c r="C574" s="336"/>
      <c r="D574" s="336"/>
      <c r="E574" s="336"/>
      <c r="F574" s="336"/>
      <c r="G574" s="336"/>
      <c r="H574" s="336"/>
      <c r="I574" s="336"/>
      <c r="J574" s="336"/>
      <c r="K574" s="415"/>
      <c r="L574" s="336"/>
      <c r="M574" s="336"/>
      <c r="N574" s="336"/>
      <c r="O574" s="416"/>
      <c r="P574" s="336"/>
      <c r="Q574" s="415"/>
      <c r="R574" s="336"/>
      <c r="S574" s="336"/>
      <c r="T574" s="336"/>
      <c r="U574" s="336"/>
      <c r="V574" s="336"/>
      <c r="W574" s="336"/>
      <c r="X574" s="336"/>
      <c r="Y574" s="336"/>
      <c r="Z574" s="336"/>
      <c r="AA574" s="336"/>
      <c r="AB574" s="336"/>
      <c r="AC574" s="336"/>
      <c r="AD574" s="336"/>
      <c r="AE574"/>
      <c r="AF574" s="336"/>
      <c r="AG574" s="336"/>
      <c r="AH574" s="336"/>
      <c r="AI574" s="336"/>
      <c r="AJ574" s="336"/>
      <c r="AK574" s="336"/>
      <c r="AL574" s="336"/>
      <c r="AM574" s="336"/>
      <c r="AN574" s="336"/>
      <c r="AO574" s="336"/>
      <c r="AP574" s="336"/>
      <c r="AQ574" s="336"/>
      <c r="AR574" s="336"/>
      <c r="AS574" s="336"/>
      <c r="AT574" s="336"/>
    </row>
    <row r="575" spans="1:46" ht="14.45">
      <c r="A575" s="336"/>
      <c r="B575" s="336"/>
      <c r="C575" s="336"/>
      <c r="D575" s="336"/>
      <c r="E575" s="336"/>
      <c r="F575" s="336"/>
      <c r="G575" s="336"/>
      <c r="H575" s="336"/>
      <c r="I575" s="336"/>
      <c r="J575" s="336"/>
      <c r="K575" s="415"/>
      <c r="L575" s="336"/>
      <c r="M575" s="336"/>
      <c r="N575" s="336"/>
      <c r="O575" s="416"/>
      <c r="P575" s="336"/>
      <c r="Q575" s="415"/>
      <c r="R575" s="336"/>
      <c r="S575" s="336"/>
      <c r="T575" s="336"/>
      <c r="U575" s="336"/>
      <c r="V575" s="336"/>
      <c r="W575" s="336"/>
      <c r="X575" s="336"/>
      <c r="Y575" s="336"/>
      <c r="Z575" s="336"/>
      <c r="AA575" s="336"/>
      <c r="AB575" s="336"/>
      <c r="AC575" s="336"/>
      <c r="AD575" s="336"/>
      <c r="AE575"/>
      <c r="AF575" s="336"/>
      <c r="AG575" s="336"/>
      <c r="AH575" s="336"/>
      <c r="AI575" s="336"/>
      <c r="AJ575" s="336"/>
      <c r="AK575" s="336"/>
      <c r="AL575" s="336"/>
      <c r="AM575" s="336"/>
      <c r="AN575" s="336"/>
      <c r="AO575" s="336"/>
      <c r="AP575" s="336"/>
      <c r="AQ575" s="336"/>
      <c r="AR575" s="336"/>
      <c r="AS575" s="336"/>
      <c r="AT575" s="336"/>
    </row>
    <row r="576" spans="1:46" ht="14.45">
      <c r="A576" s="336"/>
      <c r="B576" s="336"/>
      <c r="C576" s="336"/>
      <c r="D576" s="336"/>
      <c r="E576" s="336"/>
      <c r="F576" s="336"/>
      <c r="G576" s="336"/>
      <c r="H576" s="336"/>
      <c r="I576" s="336"/>
      <c r="J576" s="336"/>
      <c r="K576" s="415"/>
      <c r="L576" s="336"/>
      <c r="M576" s="336"/>
      <c r="N576" s="336"/>
      <c r="O576" s="416"/>
      <c r="P576" s="336"/>
      <c r="Q576" s="415"/>
      <c r="R576" s="336"/>
      <c r="S576" s="336"/>
      <c r="T576" s="336"/>
      <c r="U576" s="336"/>
      <c r="V576" s="336"/>
      <c r="W576" s="336"/>
      <c r="X576" s="336"/>
      <c r="Y576" s="336"/>
      <c r="Z576" s="336"/>
      <c r="AA576" s="336"/>
      <c r="AB576" s="336"/>
      <c r="AC576" s="336"/>
      <c r="AD576" s="336"/>
      <c r="AE576"/>
      <c r="AF576" s="336"/>
      <c r="AG576" s="336"/>
      <c r="AH576" s="336"/>
      <c r="AI576" s="336"/>
      <c r="AJ576" s="336"/>
      <c r="AK576" s="336"/>
      <c r="AL576" s="336"/>
      <c r="AM576" s="336"/>
      <c r="AN576" s="336"/>
      <c r="AO576" s="336"/>
      <c r="AP576" s="336"/>
      <c r="AQ576" s="336"/>
      <c r="AR576" s="336"/>
      <c r="AS576" s="336"/>
      <c r="AT576" s="336"/>
    </row>
    <row r="577" spans="1:46" ht="14.45">
      <c r="A577" s="336"/>
      <c r="B577" s="336"/>
      <c r="C577" s="336"/>
      <c r="D577" s="336"/>
      <c r="E577" s="336"/>
      <c r="F577" s="336"/>
      <c r="G577" s="336"/>
      <c r="H577" s="336"/>
      <c r="I577" s="336"/>
      <c r="J577" s="336"/>
      <c r="K577" s="415"/>
      <c r="L577" s="336"/>
      <c r="M577" s="336"/>
      <c r="N577" s="336"/>
      <c r="O577" s="416"/>
      <c r="P577" s="336"/>
      <c r="Q577" s="415"/>
      <c r="R577" s="336"/>
      <c r="S577" s="336"/>
      <c r="T577" s="336"/>
      <c r="U577" s="336"/>
      <c r="V577" s="336"/>
      <c r="W577" s="336"/>
      <c r="X577" s="336"/>
      <c r="Y577" s="336"/>
      <c r="Z577" s="336"/>
      <c r="AA577" s="336"/>
      <c r="AB577" s="336"/>
      <c r="AC577" s="336"/>
      <c r="AD577" s="336"/>
      <c r="AE577"/>
      <c r="AF577" s="336"/>
      <c r="AG577" s="336"/>
      <c r="AH577" s="336"/>
      <c r="AI577" s="336"/>
      <c r="AJ577" s="336"/>
      <c r="AK577" s="336"/>
      <c r="AL577" s="336"/>
      <c r="AM577" s="336"/>
      <c r="AN577" s="336"/>
      <c r="AO577" s="336"/>
      <c r="AP577" s="336"/>
      <c r="AQ577" s="336"/>
      <c r="AR577" s="336"/>
      <c r="AS577" s="336"/>
      <c r="AT577" s="336"/>
    </row>
    <row r="578" spans="1:46" ht="14.45">
      <c r="A578" s="336"/>
      <c r="B578" s="336"/>
      <c r="C578" s="336"/>
      <c r="D578" s="336"/>
      <c r="E578" s="336"/>
      <c r="F578" s="336"/>
      <c r="G578" s="336"/>
      <c r="H578" s="336"/>
      <c r="I578" s="336"/>
      <c r="J578" s="336"/>
      <c r="K578" s="415"/>
      <c r="L578" s="336"/>
      <c r="M578" s="336"/>
      <c r="N578" s="336"/>
      <c r="O578" s="416"/>
      <c r="P578" s="336"/>
      <c r="Q578" s="415"/>
      <c r="R578" s="336"/>
      <c r="S578" s="336"/>
      <c r="T578" s="336"/>
      <c r="U578" s="336"/>
      <c r="V578" s="336"/>
      <c r="W578" s="336"/>
      <c r="X578" s="336"/>
      <c r="Y578" s="336"/>
      <c r="Z578" s="336"/>
      <c r="AA578" s="336"/>
      <c r="AB578" s="336"/>
      <c r="AC578" s="336"/>
      <c r="AD578" s="336"/>
      <c r="AE578"/>
      <c r="AF578" s="336"/>
      <c r="AG578" s="336"/>
      <c r="AH578" s="336"/>
      <c r="AI578" s="336"/>
      <c r="AJ578" s="336"/>
      <c r="AK578" s="336"/>
      <c r="AL578" s="336"/>
      <c r="AM578" s="336"/>
      <c r="AN578" s="336"/>
      <c r="AO578" s="336"/>
      <c r="AP578" s="336"/>
      <c r="AQ578" s="336"/>
      <c r="AR578" s="336"/>
      <c r="AS578" s="336"/>
      <c r="AT578" s="336"/>
    </row>
    <row r="579" spans="1:46" ht="14.45">
      <c r="A579" s="336"/>
      <c r="B579" s="336"/>
      <c r="C579" s="336"/>
      <c r="D579" s="336"/>
      <c r="E579" s="336"/>
      <c r="F579" s="336"/>
      <c r="G579" s="336"/>
      <c r="H579" s="336"/>
      <c r="I579" s="336"/>
      <c r="J579" s="336"/>
      <c r="K579" s="415"/>
      <c r="L579" s="336"/>
      <c r="M579" s="336"/>
      <c r="N579" s="336"/>
      <c r="O579" s="416"/>
      <c r="P579" s="336"/>
      <c r="Q579" s="415"/>
      <c r="R579" s="336"/>
      <c r="S579" s="336"/>
      <c r="T579" s="336"/>
      <c r="U579" s="336"/>
      <c r="V579" s="336"/>
      <c r="W579" s="336"/>
      <c r="X579" s="336"/>
      <c r="Y579" s="336"/>
      <c r="Z579" s="336"/>
      <c r="AA579" s="336"/>
      <c r="AB579" s="336"/>
      <c r="AC579" s="336"/>
      <c r="AD579" s="336"/>
      <c r="AE579"/>
      <c r="AF579" s="336"/>
      <c r="AG579" s="336"/>
      <c r="AH579" s="336"/>
      <c r="AI579" s="336"/>
      <c r="AJ579" s="336"/>
      <c r="AK579" s="336"/>
      <c r="AL579" s="336"/>
      <c r="AM579" s="336"/>
      <c r="AN579" s="336"/>
      <c r="AO579" s="336"/>
      <c r="AP579" s="336"/>
      <c r="AQ579" s="336"/>
      <c r="AR579" s="336"/>
      <c r="AS579" s="336"/>
      <c r="AT579" s="336"/>
    </row>
    <row r="580" spans="1:46" ht="14.45">
      <c r="A580" s="336"/>
      <c r="B580" s="336"/>
      <c r="C580" s="336"/>
      <c r="D580" s="336"/>
      <c r="E580" s="336"/>
      <c r="F580" s="336"/>
      <c r="G580" s="336"/>
      <c r="H580" s="336"/>
      <c r="I580" s="336"/>
      <c r="J580" s="336"/>
      <c r="K580" s="415"/>
      <c r="L580" s="336"/>
      <c r="M580" s="336"/>
      <c r="N580" s="336"/>
      <c r="O580" s="416"/>
      <c r="P580" s="336"/>
      <c r="Q580" s="415"/>
      <c r="R580" s="336"/>
      <c r="S580" s="336"/>
      <c r="T580" s="336"/>
      <c r="U580" s="336"/>
      <c r="V580" s="336"/>
      <c r="W580" s="336"/>
      <c r="X580" s="336"/>
      <c r="Y580" s="336"/>
      <c r="Z580" s="336"/>
      <c r="AA580" s="336"/>
      <c r="AB580" s="336"/>
      <c r="AC580" s="336"/>
      <c r="AD580" s="336"/>
      <c r="AE580"/>
      <c r="AF580" s="336"/>
      <c r="AG580" s="336"/>
      <c r="AH580" s="336"/>
      <c r="AI580" s="336"/>
      <c r="AJ580" s="336"/>
      <c r="AK580" s="336"/>
      <c r="AL580" s="336"/>
      <c r="AM580" s="336"/>
      <c r="AN580" s="336"/>
      <c r="AO580" s="336"/>
      <c r="AP580" s="336"/>
      <c r="AQ580" s="336"/>
      <c r="AR580" s="336"/>
      <c r="AS580" s="336"/>
      <c r="AT580" s="336"/>
    </row>
    <row r="581" spans="1:46" ht="14.45">
      <c r="A581" s="336"/>
      <c r="B581" s="336"/>
      <c r="C581" s="336"/>
      <c r="D581" s="336"/>
      <c r="E581" s="336"/>
      <c r="F581" s="336"/>
      <c r="G581" s="336"/>
      <c r="H581" s="336"/>
      <c r="I581" s="336"/>
      <c r="J581" s="336"/>
      <c r="K581" s="415"/>
      <c r="L581" s="336"/>
      <c r="M581" s="336"/>
      <c r="N581" s="336"/>
      <c r="O581" s="416"/>
      <c r="P581" s="336"/>
      <c r="Q581" s="415"/>
      <c r="R581" s="336"/>
      <c r="S581" s="336"/>
      <c r="T581" s="336"/>
      <c r="U581" s="336"/>
      <c r="V581" s="336"/>
      <c r="W581" s="336"/>
      <c r="X581" s="336"/>
      <c r="Y581" s="336"/>
      <c r="Z581" s="336"/>
      <c r="AA581" s="336"/>
      <c r="AB581" s="336"/>
      <c r="AC581" s="336"/>
      <c r="AD581" s="336"/>
      <c r="AE581"/>
      <c r="AF581" s="336"/>
      <c r="AG581" s="336"/>
      <c r="AH581" s="336"/>
      <c r="AI581" s="336"/>
      <c r="AJ581" s="336"/>
      <c r="AK581" s="336"/>
      <c r="AL581" s="336"/>
      <c r="AM581" s="336"/>
      <c r="AN581" s="336"/>
      <c r="AO581" s="336"/>
      <c r="AP581" s="336"/>
      <c r="AQ581" s="336"/>
      <c r="AR581" s="336"/>
      <c r="AS581" s="336"/>
      <c r="AT581" s="336"/>
    </row>
    <row r="582" spans="1:46" ht="14.45">
      <c r="A582" s="336"/>
      <c r="B582" s="336"/>
      <c r="C582" s="336"/>
      <c r="D582" s="336"/>
      <c r="E582" s="336"/>
      <c r="F582" s="336"/>
      <c r="G582" s="336"/>
      <c r="H582" s="336"/>
      <c r="I582" s="336"/>
      <c r="J582" s="336"/>
      <c r="K582" s="415"/>
      <c r="L582" s="336"/>
      <c r="M582" s="336"/>
      <c r="N582" s="336"/>
      <c r="O582" s="416"/>
      <c r="P582" s="336"/>
      <c r="Q582" s="415"/>
      <c r="R582" s="336"/>
      <c r="S582" s="336"/>
      <c r="T582" s="336"/>
      <c r="U582" s="336"/>
      <c r="V582" s="336"/>
      <c r="W582" s="336"/>
      <c r="X582" s="336"/>
      <c r="Y582" s="336"/>
      <c r="Z582" s="336"/>
      <c r="AA582" s="336"/>
      <c r="AB582" s="336"/>
      <c r="AC582" s="336"/>
      <c r="AD582" s="336"/>
      <c r="AE582"/>
      <c r="AF582" s="336"/>
      <c r="AG582" s="336"/>
      <c r="AH582" s="336"/>
      <c r="AI582" s="336"/>
      <c r="AJ582" s="336"/>
      <c r="AK582" s="336"/>
      <c r="AL582" s="336"/>
      <c r="AM582" s="336"/>
      <c r="AN582" s="336"/>
      <c r="AO582" s="336"/>
      <c r="AP582" s="336"/>
      <c r="AQ582" s="336"/>
      <c r="AR582" s="336"/>
      <c r="AS582" s="336"/>
      <c r="AT582" s="336"/>
    </row>
    <row r="583" spans="1:46" ht="14.45">
      <c r="A583" s="336"/>
      <c r="B583" s="336"/>
      <c r="C583" s="336"/>
      <c r="D583" s="336"/>
      <c r="E583" s="336"/>
      <c r="F583" s="336"/>
      <c r="G583" s="336"/>
      <c r="H583" s="336"/>
      <c r="I583" s="336"/>
      <c r="J583" s="336"/>
      <c r="K583" s="415"/>
      <c r="L583" s="336"/>
      <c r="M583" s="336"/>
      <c r="N583" s="336"/>
      <c r="O583" s="416"/>
      <c r="P583" s="336"/>
      <c r="Q583" s="415"/>
      <c r="R583" s="336"/>
      <c r="S583" s="336"/>
      <c r="T583" s="336"/>
      <c r="U583" s="336"/>
      <c r="V583" s="336"/>
      <c r="W583" s="336"/>
      <c r="X583" s="336"/>
      <c r="Y583" s="336"/>
      <c r="Z583" s="336"/>
      <c r="AA583" s="336"/>
      <c r="AB583" s="336"/>
      <c r="AC583" s="336"/>
      <c r="AD583" s="336"/>
      <c r="AE583"/>
      <c r="AF583" s="336"/>
      <c r="AG583" s="336"/>
      <c r="AH583" s="336"/>
      <c r="AI583" s="336"/>
      <c r="AJ583" s="336"/>
      <c r="AK583" s="336"/>
      <c r="AL583" s="336"/>
      <c r="AM583" s="336"/>
      <c r="AN583" s="336"/>
      <c r="AO583" s="336"/>
      <c r="AP583" s="336"/>
      <c r="AQ583" s="336"/>
      <c r="AR583" s="336"/>
      <c r="AS583" s="336"/>
      <c r="AT583" s="336"/>
    </row>
    <row r="584" spans="1:46" ht="14.45">
      <c r="A584" s="336"/>
      <c r="B584" s="336"/>
      <c r="C584" s="336"/>
      <c r="D584" s="336"/>
      <c r="E584" s="336"/>
      <c r="F584" s="336"/>
      <c r="G584" s="336"/>
      <c r="H584" s="336"/>
      <c r="I584" s="336"/>
      <c r="J584" s="336"/>
      <c r="K584" s="415"/>
      <c r="L584" s="336"/>
      <c r="M584" s="336"/>
      <c r="N584" s="336"/>
      <c r="O584" s="416"/>
      <c r="P584" s="336"/>
      <c r="Q584" s="415"/>
      <c r="R584" s="336"/>
      <c r="S584" s="336"/>
      <c r="T584" s="336"/>
      <c r="U584" s="336"/>
      <c r="V584" s="336"/>
      <c r="W584" s="336"/>
      <c r="X584" s="336"/>
      <c r="Y584" s="336"/>
      <c r="Z584" s="336"/>
      <c r="AA584" s="336"/>
      <c r="AB584" s="336"/>
      <c r="AC584" s="336"/>
      <c r="AD584" s="336"/>
      <c r="AE584"/>
      <c r="AF584" s="336"/>
      <c r="AG584" s="336"/>
      <c r="AH584" s="336"/>
      <c r="AI584" s="336"/>
      <c r="AJ584" s="336"/>
      <c r="AK584" s="336"/>
      <c r="AL584" s="336"/>
      <c r="AM584" s="336"/>
      <c r="AN584" s="336"/>
      <c r="AO584" s="336"/>
      <c r="AP584" s="336"/>
      <c r="AQ584" s="336"/>
      <c r="AR584" s="336"/>
      <c r="AS584" s="336"/>
      <c r="AT584" s="336"/>
    </row>
    <row r="585" spans="1:46" ht="14.45">
      <c r="A585" s="336"/>
      <c r="B585" s="336"/>
      <c r="C585" s="336"/>
      <c r="D585" s="336"/>
      <c r="E585" s="336"/>
      <c r="F585" s="336"/>
      <c r="G585" s="336"/>
      <c r="H585" s="336"/>
      <c r="I585" s="336"/>
      <c r="J585" s="336"/>
      <c r="K585" s="415"/>
      <c r="L585" s="336"/>
      <c r="M585" s="336"/>
      <c r="N585" s="336"/>
      <c r="O585" s="416"/>
      <c r="P585" s="336"/>
      <c r="Q585" s="415"/>
      <c r="R585" s="336"/>
      <c r="S585" s="336"/>
      <c r="T585" s="336"/>
      <c r="U585" s="336"/>
      <c r="V585" s="336"/>
      <c r="W585" s="336"/>
      <c r="X585" s="336"/>
      <c r="Y585" s="336"/>
      <c r="Z585" s="336"/>
      <c r="AA585" s="336"/>
      <c r="AB585" s="336"/>
      <c r="AC585" s="336"/>
      <c r="AD585" s="336"/>
      <c r="AE585"/>
      <c r="AF585" s="336"/>
      <c r="AG585" s="336"/>
      <c r="AH585" s="336"/>
      <c r="AI585" s="336"/>
      <c r="AJ585" s="336"/>
      <c r="AK585" s="336"/>
      <c r="AL585" s="336"/>
      <c r="AM585" s="336"/>
      <c r="AN585" s="336"/>
      <c r="AO585" s="336"/>
      <c r="AP585" s="336"/>
      <c r="AQ585" s="336"/>
      <c r="AR585" s="336"/>
      <c r="AS585" s="336"/>
      <c r="AT585" s="336"/>
    </row>
    <row r="586" spans="1:46" ht="14.45">
      <c r="A586" s="336"/>
      <c r="B586" s="336"/>
      <c r="C586" s="336"/>
      <c r="D586" s="336"/>
      <c r="E586" s="336"/>
      <c r="F586" s="336"/>
      <c r="G586" s="336"/>
      <c r="H586" s="336"/>
      <c r="I586" s="336"/>
      <c r="J586" s="336"/>
      <c r="K586" s="415"/>
      <c r="L586" s="336"/>
      <c r="M586" s="336"/>
      <c r="N586" s="336"/>
      <c r="O586" s="416"/>
      <c r="P586" s="336"/>
      <c r="Q586" s="415"/>
      <c r="R586" s="336"/>
      <c r="S586" s="336"/>
      <c r="T586" s="336"/>
      <c r="U586" s="336"/>
      <c r="V586" s="336"/>
      <c r="W586" s="336"/>
      <c r="X586" s="336"/>
      <c r="Y586" s="336"/>
      <c r="Z586" s="336"/>
      <c r="AA586" s="336"/>
      <c r="AB586" s="336"/>
      <c r="AC586" s="336"/>
      <c r="AD586" s="336"/>
      <c r="AE586"/>
      <c r="AF586" s="336"/>
      <c r="AG586" s="336"/>
      <c r="AH586" s="336"/>
      <c r="AI586" s="336"/>
      <c r="AJ586" s="336"/>
      <c r="AK586" s="336"/>
      <c r="AL586" s="336"/>
      <c r="AM586" s="336"/>
      <c r="AN586" s="336"/>
      <c r="AO586" s="336"/>
      <c r="AP586" s="336"/>
      <c r="AQ586" s="336"/>
      <c r="AR586" s="336"/>
      <c r="AS586" s="336"/>
      <c r="AT586" s="336"/>
    </row>
    <row r="587" spans="1:46" ht="14.45">
      <c r="A587" s="336"/>
      <c r="B587" s="336"/>
      <c r="C587" s="336"/>
      <c r="D587" s="336"/>
      <c r="E587" s="336"/>
      <c r="F587" s="336"/>
      <c r="G587" s="336"/>
      <c r="H587" s="336"/>
      <c r="I587" s="336"/>
      <c r="J587" s="336"/>
      <c r="K587" s="415"/>
      <c r="L587" s="336"/>
      <c r="M587" s="336"/>
      <c r="N587" s="336"/>
      <c r="O587" s="416"/>
      <c r="P587" s="336"/>
      <c r="Q587" s="415"/>
      <c r="R587" s="336"/>
      <c r="S587" s="336"/>
      <c r="T587" s="336"/>
      <c r="U587" s="336"/>
      <c r="V587" s="336"/>
      <c r="W587" s="336"/>
      <c r="X587" s="336"/>
      <c r="Y587" s="336"/>
      <c r="Z587" s="336"/>
      <c r="AA587" s="336"/>
      <c r="AB587" s="336"/>
      <c r="AC587" s="336"/>
      <c r="AD587" s="336"/>
      <c r="AE587"/>
      <c r="AF587" s="336"/>
      <c r="AG587" s="336"/>
      <c r="AH587" s="336"/>
      <c r="AI587" s="336"/>
      <c r="AJ587" s="336"/>
      <c r="AK587" s="336"/>
      <c r="AL587" s="336"/>
      <c r="AM587" s="336"/>
      <c r="AN587" s="336"/>
      <c r="AO587" s="336"/>
      <c r="AP587" s="336"/>
      <c r="AQ587" s="336"/>
      <c r="AR587" s="336"/>
      <c r="AS587" s="336"/>
      <c r="AT587" s="336"/>
    </row>
    <row r="588" spans="1:46" ht="14.45">
      <c r="A588" s="336"/>
      <c r="B588" s="336"/>
      <c r="C588" s="336"/>
      <c r="D588" s="336"/>
      <c r="E588" s="336"/>
      <c r="F588" s="336"/>
      <c r="G588" s="336"/>
      <c r="H588" s="336"/>
      <c r="I588" s="336"/>
      <c r="J588" s="336"/>
      <c r="K588" s="415"/>
      <c r="L588" s="336"/>
      <c r="M588" s="336"/>
      <c r="N588" s="336"/>
      <c r="O588" s="416"/>
      <c r="P588" s="336"/>
      <c r="Q588" s="415"/>
      <c r="R588" s="336"/>
      <c r="S588" s="336"/>
      <c r="T588" s="336"/>
      <c r="U588" s="336"/>
      <c r="V588" s="336"/>
      <c r="W588" s="336"/>
      <c r="X588" s="336"/>
      <c r="Y588" s="336"/>
      <c r="Z588" s="336"/>
      <c r="AA588" s="336"/>
      <c r="AB588" s="336"/>
      <c r="AC588" s="336"/>
      <c r="AD588" s="336"/>
      <c r="AE588"/>
      <c r="AF588" s="336"/>
      <c r="AG588" s="336"/>
      <c r="AH588" s="336"/>
      <c r="AI588" s="336"/>
      <c r="AJ588" s="336"/>
      <c r="AK588" s="336"/>
      <c r="AL588" s="336"/>
      <c r="AM588" s="336"/>
      <c r="AN588" s="336"/>
      <c r="AO588" s="336"/>
      <c r="AP588" s="336"/>
      <c r="AQ588" s="336"/>
      <c r="AR588" s="336"/>
      <c r="AS588" s="336"/>
      <c r="AT588" s="336"/>
    </row>
    <row r="589" spans="1:46" ht="14.45">
      <c r="A589" s="336"/>
      <c r="B589" s="336"/>
      <c r="C589" s="336"/>
      <c r="D589" s="336"/>
      <c r="E589" s="336"/>
      <c r="F589" s="336"/>
      <c r="G589" s="336"/>
      <c r="H589" s="336"/>
      <c r="I589" s="336"/>
      <c r="J589" s="336"/>
      <c r="K589" s="415"/>
      <c r="L589" s="336"/>
      <c r="M589" s="336"/>
      <c r="N589" s="336"/>
      <c r="O589" s="416"/>
      <c r="P589" s="336"/>
      <c r="Q589" s="415"/>
      <c r="R589" s="336"/>
      <c r="S589" s="336"/>
      <c r="T589" s="336"/>
      <c r="U589" s="336"/>
      <c r="V589" s="336"/>
      <c r="W589" s="336"/>
      <c r="X589" s="336"/>
      <c r="Y589" s="336"/>
      <c r="Z589" s="336"/>
      <c r="AA589" s="336"/>
      <c r="AB589" s="336"/>
      <c r="AC589" s="336"/>
      <c r="AD589" s="336"/>
      <c r="AE589"/>
      <c r="AF589" s="336"/>
      <c r="AG589" s="336"/>
      <c r="AH589" s="336"/>
      <c r="AI589" s="336"/>
      <c r="AJ589" s="336"/>
      <c r="AK589" s="336"/>
      <c r="AL589" s="336"/>
      <c r="AM589" s="336"/>
      <c r="AN589" s="336"/>
      <c r="AO589" s="336"/>
      <c r="AP589" s="336"/>
      <c r="AQ589" s="336"/>
      <c r="AR589" s="336"/>
      <c r="AS589" s="336"/>
      <c r="AT589" s="336"/>
    </row>
    <row r="590" spans="1:46" ht="14.45">
      <c r="A590" s="336"/>
      <c r="B590" s="336"/>
      <c r="C590" s="336"/>
      <c r="D590" s="336"/>
      <c r="E590" s="336"/>
      <c r="F590" s="336"/>
      <c r="G590" s="336"/>
      <c r="H590" s="336"/>
      <c r="I590" s="336"/>
      <c r="J590" s="336"/>
      <c r="K590" s="415"/>
      <c r="L590" s="336"/>
      <c r="M590" s="336"/>
      <c r="N590" s="336"/>
      <c r="O590" s="416"/>
      <c r="P590" s="336"/>
      <c r="Q590" s="415"/>
      <c r="R590" s="336"/>
      <c r="S590" s="336"/>
      <c r="T590" s="336"/>
      <c r="U590" s="336"/>
      <c r="V590" s="336"/>
      <c r="W590" s="336"/>
      <c r="X590" s="336"/>
      <c r="Y590" s="336"/>
      <c r="Z590" s="336"/>
      <c r="AA590" s="336"/>
      <c r="AB590" s="336"/>
      <c r="AC590" s="336"/>
      <c r="AD590" s="336"/>
      <c r="AE590"/>
      <c r="AF590" s="336"/>
      <c r="AG590" s="336"/>
      <c r="AH590" s="336"/>
      <c r="AI590" s="336"/>
      <c r="AJ590" s="336"/>
      <c r="AK590" s="336"/>
      <c r="AL590" s="336"/>
      <c r="AM590" s="336"/>
      <c r="AN590" s="336"/>
      <c r="AO590" s="336"/>
      <c r="AP590" s="336"/>
      <c r="AQ590" s="336"/>
      <c r="AR590" s="336"/>
      <c r="AS590" s="336"/>
      <c r="AT590" s="336"/>
    </row>
    <row r="591" spans="1:46" ht="14.45">
      <c r="A591" s="336"/>
      <c r="B591" s="336"/>
      <c r="C591" s="336"/>
      <c r="D591" s="336"/>
      <c r="E591" s="336"/>
      <c r="F591" s="336"/>
      <c r="G591" s="336"/>
      <c r="H591" s="336"/>
      <c r="I591" s="336"/>
      <c r="J591" s="336"/>
      <c r="K591" s="415"/>
      <c r="L591" s="336"/>
      <c r="M591" s="336"/>
      <c r="N591" s="336"/>
      <c r="O591" s="416"/>
      <c r="P591" s="336"/>
      <c r="Q591" s="415"/>
      <c r="R591" s="336"/>
      <c r="S591" s="336"/>
      <c r="T591" s="336"/>
      <c r="U591" s="336"/>
      <c r="V591" s="336"/>
      <c r="W591" s="336"/>
      <c r="X591" s="336"/>
      <c r="Y591" s="336"/>
      <c r="Z591" s="336"/>
      <c r="AA591" s="336"/>
      <c r="AB591" s="336"/>
      <c r="AC591" s="336"/>
      <c r="AD591" s="336"/>
      <c r="AE591"/>
      <c r="AF591" s="336"/>
      <c r="AG591" s="336"/>
      <c r="AH591" s="336"/>
      <c r="AI591" s="336"/>
      <c r="AJ591" s="336"/>
      <c r="AK591" s="336"/>
      <c r="AL591" s="336"/>
      <c r="AM591" s="336"/>
      <c r="AN591" s="336"/>
      <c r="AO591" s="336"/>
      <c r="AP591" s="336"/>
      <c r="AQ591" s="336"/>
      <c r="AR591" s="336"/>
      <c r="AS591" s="336"/>
      <c r="AT591" s="336"/>
    </row>
    <row r="592" spans="1:46" ht="14.45">
      <c r="A592" s="336"/>
      <c r="B592" s="336"/>
      <c r="C592" s="336"/>
      <c r="D592" s="336"/>
      <c r="E592" s="336"/>
      <c r="F592" s="336"/>
      <c r="G592" s="336"/>
      <c r="H592" s="336"/>
      <c r="I592" s="336"/>
      <c r="J592" s="336"/>
      <c r="K592" s="415"/>
      <c r="L592" s="336"/>
      <c r="M592" s="336"/>
      <c r="N592" s="336"/>
      <c r="O592" s="416"/>
      <c r="P592" s="336"/>
      <c r="Q592" s="415"/>
      <c r="R592" s="336"/>
      <c r="S592" s="336"/>
      <c r="T592" s="336"/>
      <c r="U592" s="336"/>
      <c r="V592" s="336"/>
      <c r="W592" s="336"/>
      <c r="X592" s="336"/>
      <c r="Y592" s="336"/>
      <c r="Z592" s="336"/>
      <c r="AA592" s="336"/>
      <c r="AB592" s="336"/>
      <c r="AC592" s="336"/>
      <c r="AD592" s="336"/>
      <c r="AE592"/>
      <c r="AF592" s="336"/>
      <c r="AG592" s="336"/>
      <c r="AH592" s="336"/>
      <c r="AI592" s="336"/>
      <c r="AJ592" s="336"/>
      <c r="AK592" s="336"/>
      <c r="AL592" s="336"/>
      <c r="AM592" s="336"/>
      <c r="AN592" s="336"/>
      <c r="AO592" s="336"/>
      <c r="AP592" s="336"/>
      <c r="AQ592" s="336"/>
      <c r="AR592" s="336"/>
      <c r="AS592" s="336"/>
      <c r="AT592" s="336"/>
    </row>
    <row r="593" spans="1:46" ht="14.45">
      <c r="A593" s="336"/>
      <c r="B593" s="336"/>
      <c r="C593" s="336"/>
      <c r="D593" s="336"/>
      <c r="E593" s="336"/>
      <c r="F593" s="336"/>
      <c r="G593" s="336"/>
      <c r="H593" s="336"/>
      <c r="I593" s="336"/>
      <c r="J593" s="336"/>
      <c r="K593" s="415"/>
      <c r="L593" s="336"/>
      <c r="M593" s="336"/>
      <c r="N593" s="336"/>
      <c r="O593" s="416"/>
      <c r="P593" s="336"/>
      <c r="Q593" s="415"/>
      <c r="R593" s="336"/>
      <c r="S593" s="336"/>
      <c r="T593" s="336"/>
      <c r="U593" s="336"/>
      <c r="V593" s="336"/>
      <c r="W593" s="336"/>
      <c r="X593" s="336"/>
      <c r="Y593" s="336"/>
      <c r="Z593" s="336"/>
      <c r="AA593" s="336"/>
      <c r="AB593" s="336"/>
      <c r="AC593" s="336"/>
      <c r="AD593" s="336"/>
      <c r="AE593"/>
      <c r="AF593" s="336"/>
      <c r="AG593" s="336"/>
      <c r="AH593" s="336"/>
      <c r="AI593" s="336"/>
      <c r="AJ593" s="336"/>
      <c r="AK593" s="336"/>
      <c r="AL593" s="336"/>
      <c r="AM593" s="336"/>
      <c r="AN593" s="336"/>
      <c r="AO593" s="336"/>
      <c r="AP593" s="336"/>
      <c r="AQ593" s="336"/>
      <c r="AR593" s="336"/>
      <c r="AS593" s="336"/>
      <c r="AT593" s="336"/>
    </row>
    <row r="594" spans="1:46" ht="14.45">
      <c r="A594" s="336"/>
      <c r="B594" s="336"/>
      <c r="C594" s="336"/>
      <c r="D594" s="336"/>
      <c r="E594" s="336"/>
      <c r="F594" s="336"/>
      <c r="G594" s="336"/>
      <c r="H594" s="336"/>
      <c r="I594" s="336"/>
      <c r="J594" s="336"/>
      <c r="K594" s="415"/>
      <c r="L594" s="336"/>
      <c r="M594" s="336"/>
      <c r="N594" s="336"/>
      <c r="O594" s="416"/>
      <c r="P594" s="336"/>
      <c r="Q594" s="415"/>
      <c r="R594" s="336"/>
      <c r="S594" s="336"/>
      <c r="T594" s="336"/>
      <c r="U594" s="336"/>
      <c r="V594" s="336"/>
      <c r="W594" s="336"/>
      <c r="X594" s="336"/>
      <c r="Y594" s="336"/>
      <c r="Z594" s="336"/>
      <c r="AA594" s="336"/>
      <c r="AB594" s="336"/>
      <c r="AC594" s="336"/>
      <c r="AD594" s="336"/>
      <c r="AE594"/>
      <c r="AF594" s="336"/>
      <c r="AG594" s="336"/>
      <c r="AH594" s="336"/>
      <c r="AI594" s="336"/>
      <c r="AJ594" s="336"/>
      <c r="AK594" s="336"/>
      <c r="AL594" s="336"/>
      <c r="AM594" s="336"/>
      <c r="AN594" s="336"/>
      <c r="AO594" s="336"/>
      <c r="AP594" s="336"/>
      <c r="AQ594" s="336"/>
      <c r="AR594" s="336"/>
      <c r="AS594" s="336"/>
      <c r="AT594" s="336"/>
    </row>
    <row r="595" spans="1:46" ht="14.45">
      <c r="A595" s="336"/>
      <c r="B595" s="336"/>
      <c r="C595" s="336"/>
      <c r="D595" s="336"/>
      <c r="E595" s="336"/>
      <c r="F595" s="336"/>
      <c r="G595" s="336"/>
      <c r="H595" s="336"/>
      <c r="I595" s="336"/>
      <c r="J595" s="336"/>
      <c r="K595" s="415"/>
      <c r="L595" s="336"/>
      <c r="M595" s="336"/>
      <c r="N595" s="336"/>
      <c r="O595" s="416"/>
      <c r="P595" s="336"/>
      <c r="Q595" s="415"/>
      <c r="R595" s="336"/>
      <c r="S595" s="336"/>
      <c r="T595" s="336"/>
      <c r="U595" s="336"/>
      <c r="V595" s="336"/>
      <c r="W595" s="336"/>
      <c r="X595" s="336"/>
      <c r="Y595" s="336"/>
      <c r="Z595" s="336"/>
      <c r="AA595" s="336"/>
      <c r="AB595" s="336"/>
      <c r="AC595" s="336"/>
      <c r="AD595" s="336"/>
      <c r="AE595"/>
      <c r="AF595" s="336"/>
      <c r="AG595" s="336"/>
      <c r="AH595" s="336"/>
      <c r="AI595" s="336"/>
      <c r="AJ595" s="336"/>
      <c r="AK595" s="336"/>
      <c r="AL595" s="336"/>
      <c r="AM595" s="336"/>
      <c r="AN595" s="336"/>
      <c r="AO595" s="336"/>
      <c r="AP595" s="336"/>
      <c r="AQ595" s="336"/>
      <c r="AR595" s="336"/>
      <c r="AS595" s="336"/>
      <c r="AT595" s="336"/>
    </row>
    <row r="596" spans="1:46" ht="14.45">
      <c r="A596" s="336"/>
      <c r="B596" s="336"/>
      <c r="C596" s="336"/>
      <c r="D596" s="336"/>
      <c r="E596" s="336"/>
      <c r="F596" s="336"/>
      <c r="G596" s="336"/>
      <c r="H596" s="336"/>
      <c r="I596" s="336"/>
      <c r="J596" s="336"/>
      <c r="K596" s="415"/>
      <c r="L596" s="336"/>
      <c r="M596" s="336"/>
      <c r="N596" s="336"/>
      <c r="O596" s="416"/>
      <c r="P596" s="336"/>
      <c r="Q596" s="415"/>
      <c r="R596" s="336"/>
      <c r="S596" s="336"/>
      <c r="T596" s="336"/>
      <c r="U596" s="336"/>
      <c r="V596" s="336"/>
      <c r="W596" s="336"/>
      <c r="X596" s="336"/>
      <c r="Y596" s="336"/>
      <c r="Z596" s="336"/>
      <c r="AA596" s="336"/>
      <c r="AB596" s="336"/>
      <c r="AC596" s="336"/>
      <c r="AD596" s="336"/>
      <c r="AE596"/>
      <c r="AF596" s="336"/>
      <c r="AG596" s="336"/>
      <c r="AH596" s="336"/>
      <c r="AI596" s="336"/>
      <c r="AJ596" s="336"/>
      <c r="AK596" s="336"/>
      <c r="AL596" s="336"/>
      <c r="AM596" s="336"/>
      <c r="AN596" s="336"/>
      <c r="AO596" s="336"/>
      <c r="AP596" s="336"/>
      <c r="AQ596" s="336"/>
      <c r="AR596" s="336"/>
      <c r="AS596" s="336"/>
      <c r="AT596" s="336"/>
    </row>
    <row r="597" spans="1:46" ht="14.45">
      <c r="A597" s="336"/>
      <c r="B597" s="336"/>
      <c r="C597" s="336"/>
      <c r="D597" s="336"/>
      <c r="E597" s="336"/>
      <c r="F597" s="336"/>
      <c r="G597" s="336"/>
      <c r="H597" s="336"/>
      <c r="I597" s="336"/>
      <c r="J597" s="336"/>
      <c r="K597" s="415"/>
      <c r="L597" s="336"/>
      <c r="M597" s="336"/>
      <c r="N597" s="336"/>
      <c r="O597" s="416"/>
      <c r="P597" s="336"/>
      <c r="Q597" s="415"/>
      <c r="R597" s="336"/>
      <c r="S597" s="336"/>
      <c r="T597" s="336"/>
      <c r="U597" s="336"/>
      <c r="V597" s="336"/>
      <c r="W597" s="336"/>
      <c r="X597" s="336"/>
      <c r="Y597" s="336"/>
      <c r="Z597" s="336"/>
      <c r="AA597" s="336"/>
      <c r="AB597" s="336"/>
      <c r="AC597" s="336"/>
      <c r="AD597" s="336"/>
      <c r="AE597"/>
      <c r="AF597" s="336"/>
      <c r="AG597" s="336"/>
      <c r="AH597" s="336"/>
      <c r="AI597" s="336"/>
      <c r="AJ597" s="336"/>
      <c r="AK597" s="336"/>
      <c r="AL597" s="336"/>
      <c r="AM597" s="336"/>
      <c r="AN597" s="336"/>
      <c r="AO597" s="336"/>
      <c r="AP597" s="336"/>
      <c r="AQ597" s="336"/>
      <c r="AR597" s="336"/>
      <c r="AS597" s="336"/>
      <c r="AT597" s="336"/>
    </row>
    <row r="598" spans="1:46" ht="14.45">
      <c r="A598" s="336"/>
      <c r="B598" s="336"/>
      <c r="C598" s="336"/>
      <c r="D598" s="336"/>
      <c r="E598" s="336"/>
      <c r="F598" s="336"/>
      <c r="G598" s="336"/>
      <c r="H598" s="336"/>
      <c r="I598" s="336"/>
      <c r="J598" s="336"/>
      <c r="K598" s="415"/>
      <c r="L598" s="336"/>
      <c r="M598" s="336"/>
      <c r="N598" s="336"/>
      <c r="O598" s="416"/>
      <c r="P598" s="336"/>
      <c r="Q598" s="415"/>
      <c r="R598" s="336"/>
      <c r="S598" s="336"/>
      <c r="T598" s="336"/>
      <c r="U598" s="336"/>
      <c r="V598" s="336"/>
      <c r="W598" s="336"/>
      <c r="X598" s="336"/>
      <c r="Y598" s="336"/>
      <c r="Z598" s="336"/>
      <c r="AA598" s="336"/>
      <c r="AB598" s="336"/>
      <c r="AC598" s="336"/>
      <c r="AD598" s="336"/>
      <c r="AE598"/>
      <c r="AF598" s="336"/>
      <c r="AG598" s="336"/>
      <c r="AH598" s="336"/>
      <c r="AI598" s="336"/>
      <c r="AJ598" s="336"/>
      <c r="AK598" s="336"/>
      <c r="AL598" s="336"/>
      <c r="AM598" s="336"/>
      <c r="AN598" s="336"/>
      <c r="AO598" s="336"/>
      <c r="AP598" s="336"/>
      <c r="AQ598" s="336"/>
      <c r="AR598" s="336"/>
      <c r="AS598" s="336"/>
      <c r="AT598" s="336"/>
    </row>
    <row r="599" spans="1:46" ht="14.45">
      <c r="A599" s="336"/>
      <c r="B599" s="336"/>
      <c r="C599" s="336"/>
      <c r="D599" s="336"/>
      <c r="E599" s="336"/>
      <c r="F599" s="336"/>
      <c r="G599" s="336"/>
      <c r="H599" s="336"/>
      <c r="I599" s="336"/>
      <c r="J599" s="336"/>
      <c r="K599" s="415"/>
      <c r="L599" s="336"/>
      <c r="M599" s="336"/>
      <c r="N599" s="336"/>
      <c r="O599" s="416"/>
      <c r="P599" s="336"/>
      <c r="Q599" s="415"/>
      <c r="R599" s="336"/>
      <c r="S599" s="336"/>
      <c r="T599" s="336"/>
      <c r="U599" s="336"/>
      <c r="V599" s="336"/>
      <c r="W599" s="336"/>
      <c r="X599" s="336"/>
      <c r="Y599" s="336"/>
      <c r="Z599" s="336"/>
      <c r="AA599" s="336"/>
      <c r="AB599" s="336"/>
      <c r="AC599" s="336"/>
      <c r="AD599" s="336"/>
      <c r="AE599"/>
      <c r="AF599" s="336"/>
      <c r="AG599" s="336"/>
      <c r="AH599" s="336"/>
      <c r="AI599" s="336"/>
      <c r="AJ599" s="336"/>
      <c r="AK599" s="336"/>
      <c r="AL599" s="336"/>
      <c r="AM599" s="336"/>
      <c r="AN599" s="336"/>
      <c r="AO599" s="336"/>
      <c r="AP599" s="336"/>
      <c r="AQ599" s="336"/>
      <c r="AR599" s="336"/>
      <c r="AS599" s="336"/>
      <c r="AT599" s="336"/>
    </row>
    <row r="600" spans="1:46" ht="14.45">
      <c r="A600" s="336"/>
      <c r="B600" s="336"/>
      <c r="C600" s="336"/>
      <c r="D600" s="336"/>
      <c r="E600" s="336"/>
      <c r="F600" s="336"/>
      <c r="G600" s="336"/>
      <c r="H600" s="336"/>
      <c r="I600" s="336"/>
      <c r="J600" s="336"/>
      <c r="K600" s="415"/>
      <c r="L600" s="336"/>
      <c r="M600" s="336"/>
      <c r="N600" s="336"/>
      <c r="O600" s="416"/>
      <c r="P600" s="336"/>
      <c r="Q600" s="415"/>
      <c r="R600" s="336"/>
      <c r="S600" s="336"/>
      <c r="T600" s="336"/>
      <c r="U600" s="336"/>
      <c r="V600" s="336"/>
      <c r="W600" s="336"/>
      <c r="X600" s="336"/>
      <c r="Y600" s="336"/>
      <c r="Z600" s="336"/>
      <c r="AA600" s="336"/>
      <c r="AB600" s="336"/>
      <c r="AC600" s="336"/>
      <c r="AD600" s="336"/>
      <c r="AE600"/>
      <c r="AF600" s="336"/>
      <c r="AG600" s="336"/>
      <c r="AH600" s="336"/>
      <c r="AI600" s="336"/>
      <c r="AJ600" s="336"/>
      <c r="AK600" s="336"/>
      <c r="AL600" s="336"/>
      <c r="AM600" s="336"/>
      <c r="AN600" s="336"/>
      <c r="AO600" s="336"/>
      <c r="AP600" s="336"/>
      <c r="AQ600" s="336"/>
      <c r="AR600" s="336"/>
      <c r="AS600" s="336"/>
      <c r="AT600" s="336"/>
    </row>
    <row r="601" spans="1:46" ht="14.45">
      <c r="A601" s="336"/>
      <c r="B601" s="336"/>
      <c r="C601" s="336"/>
      <c r="D601" s="336"/>
      <c r="E601" s="336"/>
      <c r="F601" s="336"/>
      <c r="G601" s="336"/>
      <c r="H601" s="336"/>
      <c r="I601" s="336"/>
      <c r="J601" s="336"/>
      <c r="K601" s="415"/>
      <c r="L601" s="336"/>
      <c r="M601" s="336"/>
      <c r="N601" s="336"/>
      <c r="O601" s="416"/>
      <c r="P601" s="336"/>
      <c r="Q601" s="415"/>
      <c r="R601" s="336"/>
      <c r="S601" s="336"/>
      <c r="T601" s="336"/>
      <c r="U601" s="336"/>
      <c r="V601" s="336"/>
      <c r="W601" s="336"/>
      <c r="X601" s="336"/>
      <c r="Y601" s="336"/>
      <c r="Z601" s="336"/>
      <c r="AA601" s="336"/>
      <c r="AB601" s="336"/>
      <c r="AC601" s="336"/>
      <c r="AD601" s="336"/>
      <c r="AE601"/>
      <c r="AF601" s="336"/>
      <c r="AG601" s="336"/>
      <c r="AH601" s="336"/>
      <c r="AI601" s="336"/>
      <c r="AJ601" s="336"/>
      <c r="AK601" s="336"/>
      <c r="AL601" s="336"/>
      <c r="AM601" s="336"/>
      <c r="AN601" s="336"/>
      <c r="AO601" s="336"/>
      <c r="AP601" s="336"/>
      <c r="AQ601" s="336"/>
      <c r="AR601" s="336"/>
      <c r="AS601" s="336"/>
      <c r="AT601" s="336"/>
    </row>
    <row r="602" spans="1:46" ht="14.45">
      <c r="A602" s="336"/>
      <c r="B602" s="336"/>
      <c r="C602" s="336"/>
      <c r="D602" s="336"/>
      <c r="E602" s="336"/>
      <c r="F602" s="336"/>
      <c r="G602" s="336"/>
      <c r="H602" s="336"/>
      <c r="I602" s="336"/>
      <c r="J602" s="336"/>
      <c r="K602" s="415"/>
      <c r="L602" s="336"/>
      <c r="M602" s="336"/>
      <c r="N602" s="336"/>
      <c r="O602" s="416"/>
      <c r="P602" s="336"/>
      <c r="Q602" s="415"/>
      <c r="R602" s="336"/>
      <c r="S602" s="336"/>
      <c r="T602" s="336"/>
      <c r="U602" s="336"/>
      <c r="V602" s="336"/>
      <c r="W602" s="336"/>
      <c r="X602" s="336"/>
      <c r="Y602" s="336"/>
      <c r="Z602" s="336"/>
      <c r="AA602" s="336"/>
      <c r="AB602" s="336"/>
      <c r="AC602" s="336"/>
      <c r="AD602" s="336"/>
      <c r="AE602"/>
      <c r="AF602" s="336"/>
      <c r="AG602" s="336"/>
      <c r="AH602" s="336"/>
      <c r="AI602" s="336"/>
      <c r="AJ602" s="336"/>
      <c r="AK602" s="336"/>
      <c r="AL602" s="336"/>
      <c r="AM602" s="336"/>
      <c r="AN602" s="336"/>
      <c r="AO602" s="336"/>
      <c r="AP602" s="336"/>
      <c r="AQ602" s="336"/>
      <c r="AR602" s="336"/>
      <c r="AS602" s="336"/>
      <c r="AT602" s="336"/>
    </row>
    <row r="603" spans="1:46" ht="14.45">
      <c r="A603" s="336"/>
      <c r="B603" s="336"/>
      <c r="C603" s="336"/>
      <c r="D603" s="336"/>
      <c r="E603" s="336"/>
      <c r="F603" s="336"/>
      <c r="G603" s="336"/>
      <c r="H603" s="336"/>
      <c r="I603" s="336"/>
      <c r="J603" s="336"/>
      <c r="K603" s="415"/>
      <c r="L603" s="336"/>
      <c r="M603" s="336"/>
      <c r="N603" s="336"/>
      <c r="O603" s="416"/>
      <c r="P603" s="336"/>
      <c r="Q603" s="415"/>
      <c r="R603" s="336"/>
      <c r="S603" s="336"/>
      <c r="T603" s="336"/>
      <c r="U603" s="336"/>
      <c r="V603" s="336"/>
      <c r="W603" s="336"/>
      <c r="X603" s="336"/>
      <c r="Y603" s="336"/>
      <c r="Z603" s="336"/>
      <c r="AA603" s="336"/>
      <c r="AB603" s="336"/>
      <c r="AC603" s="336"/>
      <c r="AD603" s="336"/>
      <c r="AE603"/>
      <c r="AF603" s="336"/>
      <c r="AG603" s="336"/>
      <c r="AH603" s="336"/>
      <c r="AI603" s="336"/>
      <c r="AJ603" s="336"/>
      <c r="AK603" s="336"/>
      <c r="AL603" s="336"/>
      <c r="AM603" s="336"/>
      <c r="AN603" s="336"/>
      <c r="AO603" s="336"/>
      <c r="AP603" s="336"/>
      <c r="AQ603" s="336"/>
      <c r="AR603" s="336"/>
      <c r="AS603" s="336"/>
      <c r="AT603" s="336"/>
    </row>
    <row r="604" spans="1:46" ht="14.45">
      <c r="A604" s="336"/>
      <c r="B604" s="336"/>
      <c r="C604" s="336"/>
      <c r="D604" s="336"/>
      <c r="E604" s="336"/>
      <c r="F604" s="336"/>
      <c r="G604" s="336"/>
      <c r="H604" s="336"/>
      <c r="I604" s="336"/>
      <c r="J604" s="336"/>
      <c r="K604" s="415"/>
      <c r="L604" s="336"/>
      <c r="M604" s="336"/>
      <c r="N604" s="336"/>
      <c r="O604" s="416"/>
      <c r="P604" s="336"/>
      <c r="Q604" s="415"/>
      <c r="R604" s="336"/>
      <c r="S604" s="336"/>
      <c r="T604" s="336"/>
      <c r="U604" s="336"/>
      <c r="V604" s="336"/>
      <c r="W604" s="336"/>
      <c r="X604" s="336"/>
      <c r="Y604" s="336"/>
      <c r="Z604" s="336"/>
      <c r="AA604" s="336"/>
      <c r="AB604" s="336"/>
      <c r="AC604" s="336"/>
      <c r="AD604" s="336"/>
      <c r="AE604"/>
      <c r="AF604" s="336"/>
      <c r="AG604" s="336"/>
      <c r="AH604" s="336"/>
      <c r="AI604" s="336"/>
      <c r="AJ604" s="336"/>
      <c r="AK604" s="336"/>
      <c r="AL604" s="336"/>
      <c r="AM604" s="336"/>
      <c r="AN604" s="336"/>
      <c r="AO604" s="336"/>
      <c r="AP604" s="336"/>
      <c r="AQ604" s="336"/>
      <c r="AR604" s="336"/>
      <c r="AS604" s="336"/>
      <c r="AT604" s="336"/>
    </row>
    <row r="605" spans="1:46" ht="14.45">
      <c r="A605" s="336"/>
      <c r="B605" s="336"/>
      <c r="C605" s="336"/>
      <c r="D605" s="336"/>
      <c r="E605" s="336"/>
      <c r="F605" s="336"/>
      <c r="G605" s="336"/>
      <c r="H605" s="336"/>
      <c r="I605" s="336"/>
      <c r="J605" s="336"/>
      <c r="K605" s="415"/>
      <c r="L605" s="336"/>
      <c r="M605" s="336"/>
      <c r="N605" s="336"/>
      <c r="O605" s="416"/>
      <c r="P605" s="336"/>
      <c r="Q605" s="415"/>
      <c r="R605" s="336"/>
      <c r="S605" s="336"/>
      <c r="T605" s="336"/>
      <c r="U605" s="336"/>
      <c r="V605" s="336"/>
      <c r="W605" s="336"/>
      <c r="X605" s="336"/>
      <c r="Y605" s="336"/>
      <c r="Z605" s="336"/>
      <c r="AA605" s="336"/>
      <c r="AB605" s="336"/>
      <c r="AC605" s="336"/>
      <c r="AD605" s="336"/>
      <c r="AE605"/>
      <c r="AF605" s="336"/>
      <c r="AG605" s="336"/>
      <c r="AH605" s="336"/>
      <c r="AI605" s="336"/>
      <c r="AJ605" s="336"/>
      <c r="AK605" s="336"/>
      <c r="AL605" s="336"/>
      <c r="AM605" s="336"/>
      <c r="AN605" s="336"/>
      <c r="AO605" s="336"/>
      <c r="AP605" s="336"/>
      <c r="AQ605" s="336"/>
      <c r="AR605" s="336"/>
      <c r="AS605" s="336"/>
      <c r="AT605" s="336"/>
    </row>
    <row r="606" spans="1:46" ht="14.45">
      <c r="A606" s="336"/>
      <c r="B606" s="336"/>
      <c r="C606" s="336"/>
      <c r="D606" s="336"/>
      <c r="E606" s="336"/>
      <c r="F606" s="336"/>
      <c r="G606" s="336"/>
      <c r="H606" s="336"/>
      <c r="I606" s="336"/>
      <c r="J606" s="336"/>
      <c r="K606" s="415"/>
      <c r="L606" s="336"/>
      <c r="M606" s="336"/>
      <c r="N606" s="336"/>
      <c r="O606" s="416"/>
      <c r="P606" s="336"/>
      <c r="Q606" s="415"/>
      <c r="R606" s="336"/>
      <c r="S606" s="336"/>
      <c r="T606" s="336"/>
      <c r="U606" s="336"/>
      <c r="V606" s="336"/>
      <c r="W606" s="336"/>
      <c r="X606" s="336"/>
      <c r="Y606" s="336"/>
      <c r="Z606" s="336"/>
      <c r="AA606" s="336"/>
      <c r="AB606" s="336"/>
      <c r="AC606" s="336"/>
      <c r="AD606" s="336"/>
      <c r="AE606"/>
      <c r="AF606" s="336"/>
      <c r="AG606" s="336"/>
      <c r="AH606" s="336"/>
      <c r="AI606" s="336"/>
      <c r="AJ606" s="336"/>
      <c r="AK606" s="336"/>
      <c r="AL606" s="336"/>
      <c r="AM606" s="336"/>
      <c r="AN606" s="336"/>
      <c r="AO606" s="336"/>
      <c r="AP606" s="336"/>
      <c r="AQ606" s="336"/>
      <c r="AR606" s="336"/>
      <c r="AS606" s="336"/>
      <c r="AT606" s="336"/>
    </row>
    <row r="607" spans="1:46" ht="14.45">
      <c r="A607" s="336"/>
      <c r="B607" s="336"/>
      <c r="C607" s="336"/>
      <c r="D607" s="336"/>
      <c r="E607" s="336"/>
      <c r="F607" s="336"/>
      <c r="G607" s="336"/>
      <c r="H607" s="336"/>
      <c r="I607" s="336"/>
      <c r="J607" s="336"/>
      <c r="K607" s="415"/>
      <c r="L607" s="336"/>
      <c r="M607" s="336"/>
      <c r="N607" s="336"/>
      <c r="O607" s="416"/>
      <c r="P607" s="336"/>
      <c r="Q607" s="415"/>
      <c r="R607" s="336"/>
      <c r="S607" s="336"/>
      <c r="T607" s="336"/>
      <c r="U607" s="336"/>
      <c r="V607" s="336"/>
      <c r="W607" s="336"/>
      <c r="X607" s="336"/>
      <c r="Y607" s="336"/>
      <c r="Z607" s="336"/>
      <c r="AA607" s="336"/>
      <c r="AB607" s="336"/>
      <c r="AC607" s="336"/>
      <c r="AD607" s="336"/>
      <c r="AE607"/>
      <c r="AF607" s="336"/>
      <c r="AG607" s="336"/>
      <c r="AH607" s="336"/>
      <c r="AI607" s="336"/>
      <c r="AJ607" s="336"/>
      <c r="AK607" s="336"/>
      <c r="AL607" s="336"/>
      <c r="AM607" s="336"/>
      <c r="AN607" s="336"/>
      <c r="AO607" s="336"/>
      <c r="AP607" s="336"/>
      <c r="AQ607" s="336"/>
      <c r="AR607" s="336"/>
      <c r="AS607" s="336"/>
      <c r="AT607" s="336"/>
    </row>
    <row r="608" spans="1:46" ht="14.45">
      <c r="A608" s="336"/>
      <c r="B608" s="336"/>
      <c r="C608" s="336"/>
      <c r="D608" s="336"/>
      <c r="E608" s="336"/>
      <c r="F608" s="336"/>
      <c r="G608" s="336"/>
      <c r="H608" s="336"/>
      <c r="I608" s="336"/>
      <c r="J608" s="336"/>
      <c r="K608" s="415"/>
      <c r="L608" s="336"/>
      <c r="M608" s="336"/>
      <c r="N608" s="336"/>
      <c r="O608" s="416"/>
      <c r="P608" s="336"/>
      <c r="Q608" s="415"/>
      <c r="R608" s="336"/>
      <c r="S608" s="336"/>
      <c r="T608" s="336"/>
      <c r="U608" s="336"/>
      <c r="V608" s="336"/>
      <c r="W608" s="336"/>
      <c r="X608" s="336"/>
      <c r="Y608" s="336"/>
      <c r="Z608" s="336"/>
      <c r="AA608" s="336"/>
      <c r="AB608" s="336"/>
      <c r="AC608" s="336"/>
      <c r="AD608" s="336"/>
      <c r="AE608"/>
      <c r="AF608" s="336"/>
      <c r="AG608" s="336"/>
      <c r="AH608" s="336"/>
      <c r="AI608" s="336"/>
      <c r="AJ608" s="336"/>
      <c r="AK608" s="336"/>
      <c r="AL608" s="336"/>
      <c r="AM608" s="336"/>
      <c r="AN608" s="336"/>
      <c r="AO608" s="336"/>
      <c r="AP608" s="336"/>
      <c r="AQ608" s="336"/>
      <c r="AR608" s="336"/>
      <c r="AS608" s="336"/>
      <c r="AT608" s="336"/>
    </row>
    <row r="609" spans="1:46" ht="14.45">
      <c r="A609" s="336"/>
      <c r="B609" s="336"/>
      <c r="C609" s="336"/>
      <c r="D609" s="336"/>
      <c r="E609" s="336"/>
      <c r="F609" s="336"/>
      <c r="G609" s="336"/>
      <c r="H609" s="336"/>
      <c r="I609" s="336"/>
      <c r="J609" s="336"/>
      <c r="K609" s="415"/>
      <c r="L609" s="336"/>
      <c r="M609" s="336"/>
      <c r="N609" s="336"/>
      <c r="O609" s="416"/>
      <c r="P609" s="336"/>
      <c r="Q609" s="415"/>
      <c r="R609" s="336"/>
      <c r="S609" s="336"/>
      <c r="T609" s="336"/>
      <c r="U609" s="336"/>
      <c r="V609" s="336"/>
      <c r="W609" s="336"/>
      <c r="X609" s="336"/>
      <c r="Y609" s="336"/>
      <c r="Z609" s="336"/>
      <c r="AA609" s="336"/>
      <c r="AB609" s="336"/>
      <c r="AC609" s="336"/>
      <c r="AD609" s="336"/>
      <c r="AE609"/>
      <c r="AF609" s="336"/>
      <c r="AG609" s="336"/>
      <c r="AH609" s="336"/>
      <c r="AI609" s="336"/>
      <c r="AJ609" s="336"/>
      <c r="AK609" s="336"/>
      <c r="AL609" s="336"/>
      <c r="AM609" s="336"/>
      <c r="AN609" s="336"/>
      <c r="AO609" s="336"/>
      <c r="AP609" s="336"/>
      <c r="AQ609" s="336"/>
      <c r="AR609" s="336"/>
      <c r="AS609" s="336"/>
      <c r="AT609" s="336"/>
    </row>
    <row r="610" spans="1:46" ht="14.45">
      <c r="A610" s="336"/>
      <c r="B610" s="336"/>
      <c r="C610" s="336"/>
      <c r="D610" s="336"/>
      <c r="E610" s="336"/>
      <c r="F610" s="336"/>
      <c r="G610" s="336"/>
      <c r="H610" s="336"/>
      <c r="I610" s="336"/>
      <c r="J610" s="336"/>
      <c r="K610" s="415"/>
      <c r="L610" s="336"/>
      <c r="M610" s="336"/>
      <c r="N610" s="336"/>
      <c r="O610" s="416"/>
      <c r="P610" s="336"/>
      <c r="Q610" s="415"/>
      <c r="R610" s="336"/>
      <c r="S610" s="336"/>
      <c r="T610" s="336"/>
      <c r="U610" s="336"/>
      <c r="V610" s="336"/>
      <c r="W610" s="336"/>
      <c r="X610" s="336"/>
      <c r="Y610" s="336"/>
      <c r="Z610" s="336"/>
      <c r="AA610" s="336"/>
      <c r="AB610" s="336"/>
      <c r="AC610" s="336"/>
      <c r="AD610" s="336"/>
      <c r="AE610"/>
      <c r="AF610" s="336"/>
      <c r="AG610" s="336"/>
      <c r="AH610" s="336"/>
      <c r="AI610" s="336"/>
      <c r="AJ610" s="336"/>
      <c r="AK610" s="336"/>
      <c r="AL610" s="336"/>
      <c r="AM610" s="336"/>
      <c r="AN610" s="336"/>
      <c r="AO610" s="336"/>
      <c r="AP610" s="336"/>
      <c r="AQ610" s="336"/>
      <c r="AR610" s="336"/>
      <c r="AS610" s="336"/>
      <c r="AT610" s="336"/>
    </row>
    <row r="611" spans="1:46" ht="14.45">
      <c r="A611" s="336"/>
      <c r="B611" s="336"/>
      <c r="C611" s="336"/>
      <c r="D611" s="336"/>
      <c r="E611" s="336"/>
      <c r="F611" s="336"/>
      <c r="G611" s="336"/>
      <c r="H611" s="336"/>
      <c r="I611" s="336"/>
      <c r="J611" s="336"/>
      <c r="K611" s="415"/>
      <c r="L611" s="336"/>
      <c r="M611" s="336"/>
      <c r="N611" s="336"/>
      <c r="O611" s="416"/>
      <c r="P611" s="336"/>
      <c r="Q611" s="415"/>
      <c r="R611" s="336"/>
      <c r="S611" s="336"/>
      <c r="T611" s="336"/>
      <c r="U611" s="336"/>
      <c r="V611" s="336"/>
      <c r="W611" s="336"/>
      <c r="X611" s="336"/>
      <c r="Y611" s="336"/>
      <c r="Z611" s="336"/>
      <c r="AA611" s="336"/>
      <c r="AB611" s="336"/>
      <c r="AC611" s="336"/>
      <c r="AD611" s="336"/>
      <c r="AE611"/>
      <c r="AF611" s="336"/>
      <c r="AG611" s="336"/>
      <c r="AH611" s="336"/>
      <c r="AI611" s="336"/>
      <c r="AJ611" s="336"/>
      <c r="AK611" s="336"/>
      <c r="AL611" s="336"/>
      <c r="AM611" s="336"/>
      <c r="AN611" s="336"/>
      <c r="AO611" s="336"/>
      <c r="AP611" s="336"/>
      <c r="AQ611" s="336"/>
      <c r="AR611" s="336"/>
      <c r="AS611" s="336"/>
      <c r="AT611" s="336"/>
    </row>
    <row r="612" spans="1:46" ht="14.45">
      <c r="A612" s="336"/>
      <c r="B612" s="336"/>
      <c r="C612" s="336"/>
      <c r="D612" s="336"/>
      <c r="E612" s="336"/>
      <c r="F612" s="336"/>
      <c r="G612" s="336"/>
      <c r="H612" s="336"/>
      <c r="I612" s="336"/>
      <c r="J612" s="336"/>
      <c r="K612" s="415"/>
      <c r="L612" s="336"/>
      <c r="M612" s="336"/>
      <c r="N612" s="336"/>
      <c r="O612" s="416"/>
      <c r="P612" s="336"/>
      <c r="Q612" s="415"/>
      <c r="R612" s="336"/>
      <c r="S612" s="336"/>
      <c r="T612" s="336"/>
      <c r="U612" s="336"/>
      <c r="V612" s="336"/>
      <c r="W612" s="336"/>
      <c r="X612" s="336"/>
      <c r="Y612" s="336"/>
      <c r="Z612" s="336"/>
      <c r="AA612" s="336"/>
      <c r="AB612" s="336"/>
      <c r="AC612" s="336"/>
      <c r="AD612" s="336"/>
      <c r="AE612"/>
      <c r="AF612" s="336"/>
      <c r="AG612" s="336"/>
      <c r="AH612" s="336"/>
      <c r="AI612" s="336"/>
      <c r="AJ612" s="336"/>
      <c r="AK612" s="336"/>
      <c r="AL612" s="336"/>
      <c r="AM612" s="336"/>
      <c r="AN612" s="336"/>
      <c r="AO612" s="336"/>
      <c r="AP612" s="336"/>
      <c r="AQ612" s="336"/>
      <c r="AR612" s="336"/>
      <c r="AS612" s="336"/>
      <c r="AT612" s="336"/>
    </row>
    <row r="613" spans="1:46" ht="14.45">
      <c r="A613" s="336"/>
      <c r="B613" s="336"/>
      <c r="C613" s="336"/>
      <c r="D613" s="336"/>
      <c r="E613" s="336"/>
      <c r="F613" s="336"/>
      <c r="G613" s="336"/>
      <c r="H613" s="336"/>
      <c r="I613" s="336"/>
      <c r="J613" s="336"/>
      <c r="K613" s="415"/>
      <c r="L613" s="336"/>
      <c r="M613" s="336"/>
      <c r="N613" s="336"/>
      <c r="O613" s="416"/>
      <c r="P613" s="336"/>
      <c r="Q613" s="415"/>
      <c r="R613" s="336"/>
      <c r="S613" s="336"/>
      <c r="T613" s="336"/>
      <c r="U613" s="336"/>
      <c r="V613" s="336"/>
      <c r="W613" s="336"/>
      <c r="X613" s="336"/>
      <c r="Y613" s="336"/>
      <c r="Z613" s="336"/>
      <c r="AA613" s="336"/>
      <c r="AB613" s="336"/>
      <c r="AC613" s="336"/>
      <c r="AD613" s="336"/>
      <c r="AE613"/>
      <c r="AF613" s="336"/>
      <c r="AG613" s="336"/>
      <c r="AH613" s="336"/>
      <c r="AI613" s="336"/>
      <c r="AJ613" s="336"/>
      <c r="AK613" s="336"/>
      <c r="AL613" s="336"/>
      <c r="AM613" s="336"/>
      <c r="AN613" s="336"/>
      <c r="AO613" s="336"/>
      <c r="AP613" s="336"/>
      <c r="AQ613" s="336"/>
      <c r="AR613" s="336"/>
      <c r="AS613" s="336"/>
      <c r="AT613" s="336"/>
    </row>
    <row r="614" spans="1:46" ht="14.45">
      <c r="A614" s="336"/>
      <c r="B614" s="336"/>
      <c r="C614" s="336"/>
      <c r="D614" s="336"/>
      <c r="E614" s="336"/>
      <c r="F614" s="336"/>
      <c r="G614" s="336"/>
      <c r="H614" s="336"/>
      <c r="I614" s="336"/>
      <c r="J614" s="336"/>
      <c r="K614" s="415"/>
      <c r="L614" s="336"/>
      <c r="M614" s="336"/>
      <c r="N614" s="336"/>
      <c r="O614" s="416"/>
      <c r="P614" s="336"/>
      <c r="Q614" s="415"/>
      <c r="R614" s="336"/>
      <c r="S614" s="336"/>
      <c r="T614" s="336"/>
      <c r="U614" s="336"/>
      <c r="V614" s="336"/>
      <c r="W614" s="336"/>
      <c r="X614" s="336"/>
      <c r="Y614" s="336"/>
      <c r="Z614" s="336"/>
      <c r="AA614" s="336"/>
      <c r="AB614" s="336"/>
      <c r="AC614" s="336"/>
      <c r="AD614" s="336"/>
      <c r="AE614"/>
      <c r="AF614" s="336"/>
      <c r="AG614" s="336"/>
      <c r="AH614" s="336"/>
      <c r="AI614" s="336"/>
      <c r="AJ614" s="336"/>
      <c r="AK614" s="336"/>
      <c r="AL614" s="336"/>
      <c r="AM614" s="336"/>
      <c r="AN614" s="336"/>
      <c r="AO614" s="336"/>
      <c r="AP614" s="336"/>
      <c r="AQ614" s="336"/>
      <c r="AR614" s="336"/>
      <c r="AS614" s="336"/>
      <c r="AT614" s="336"/>
    </row>
    <row r="615" spans="1:46" ht="14.45">
      <c r="A615" s="336"/>
      <c r="B615" s="336"/>
      <c r="C615" s="336"/>
      <c r="D615" s="336"/>
      <c r="E615" s="336"/>
      <c r="F615" s="336"/>
      <c r="G615" s="336"/>
      <c r="H615" s="336"/>
      <c r="I615" s="336"/>
      <c r="J615" s="336"/>
      <c r="K615" s="415"/>
      <c r="L615" s="336"/>
      <c r="M615" s="336"/>
      <c r="N615" s="336"/>
      <c r="O615" s="416"/>
      <c r="P615" s="336"/>
      <c r="Q615" s="415"/>
      <c r="R615" s="336"/>
      <c r="S615" s="336"/>
      <c r="T615" s="336"/>
      <c r="U615" s="336"/>
      <c r="V615" s="336"/>
      <c r="W615" s="336"/>
      <c r="X615" s="336"/>
      <c r="Y615" s="336"/>
      <c r="Z615" s="336"/>
      <c r="AA615" s="336"/>
      <c r="AB615" s="336"/>
      <c r="AC615" s="336"/>
      <c r="AD615" s="336"/>
      <c r="AE615"/>
      <c r="AF615" s="336"/>
      <c r="AG615" s="336"/>
      <c r="AH615" s="336"/>
      <c r="AI615" s="336"/>
      <c r="AJ615" s="336"/>
      <c r="AK615" s="336"/>
      <c r="AL615" s="336"/>
      <c r="AM615" s="336"/>
      <c r="AN615" s="336"/>
      <c r="AO615" s="336"/>
      <c r="AP615" s="336"/>
      <c r="AQ615" s="336"/>
      <c r="AR615" s="336"/>
      <c r="AS615" s="336"/>
      <c r="AT615" s="336"/>
    </row>
    <row r="616" spans="1:46" ht="14.45">
      <c r="A616" s="336"/>
      <c r="B616" s="336"/>
      <c r="C616" s="336"/>
      <c r="D616" s="336"/>
      <c r="E616" s="336"/>
      <c r="F616" s="336"/>
      <c r="G616" s="336"/>
      <c r="H616" s="336"/>
      <c r="I616" s="336"/>
      <c r="J616" s="336"/>
      <c r="K616" s="415"/>
      <c r="L616" s="336"/>
      <c r="M616" s="336"/>
      <c r="N616" s="336"/>
      <c r="O616" s="416"/>
      <c r="P616" s="336"/>
      <c r="Q616" s="415"/>
      <c r="R616" s="336"/>
      <c r="S616" s="336"/>
      <c r="T616" s="336"/>
      <c r="U616" s="336"/>
      <c r="V616" s="336"/>
      <c r="W616" s="336"/>
      <c r="X616" s="336"/>
      <c r="Y616" s="336"/>
      <c r="Z616" s="336"/>
      <c r="AA616" s="336"/>
      <c r="AB616" s="336"/>
      <c r="AC616" s="336"/>
      <c r="AD616" s="336"/>
      <c r="AE616"/>
      <c r="AF616" s="336"/>
      <c r="AG616" s="336"/>
      <c r="AH616" s="336"/>
      <c r="AI616" s="336"/>
      <c r="AJ616" s="336"/>
      <c r="AK616" s="336"/>
      <c r="AL616" s="336"/>
      <c r="AM616" s="336"/>
      <c r="AN616" s="336"/>
      <c r="AO616" s="336"/>
      <c r="AP616" s="336"/>
      <c r="AQ616" s="336"/>
      <c r="AR616" s="336"/>
      <c r="AS616" s="336"/>
      <c r="AT616" s="336"/>
    </row>
    <row r="617" spans="1:46" ht="14.45">
      <c r="A617" s="336"/>
      <c r="B617" s="336"/>
      <c r="C617" s="336"/>
      <c r="D617" s="336"/>
      <c r="E617" s="336"/>
      <c r="F617" s="336"/>
      <c r="G617" s="336"/>
      <c r="H617" s="336"/>
      <c r="I617" s="336"/>
      <c r="J617" s="336"/>
      <c r="K617" s="415"/>
      <c r="L617" s="336"/>
      <c r="M617" s="336"/>
      <c r="N617" s="336"/>
      <c r="O617" s="416"/>
      <c r="P617" s="336"/>
      <c r="Q617" s="415"/>
      <c r="R617" s="336"/>
      <c r="S617" s="336"/>
      <c r="T617" s="336"/>
      <c r="U617" s="336"/>
      <c r="V617" s="336"/>
      <c r="W617" s="336"/>
      <c r="X617" s="336"/>
      <c r="Y617" s="336"/>
      <c r="Z617" s="336"/>
      <c r="AA617" s="336"/>
      <c r="AB617" s="336"/>
      <c r="AC617" s="336"/>
      <c r="AD617" s="336"/>
      <c r="AE617"/>
      <c r="AF617" s="336"/>
      <c r="AG617" s="336"/>
      <c r="AH617" s="336"/>
      <c r="AI617" s="336"/>
      <c r="AJ617" s="336"/>
      <c r="AK617" s="336"/>
      <c r="AL617" s="336"/>
      <c r="AM617" s="336"/>
      <c r="AN617" s="336"/>
      <c r="AO617" s="336"/>
      <c r="AP617" s="336"/>
      <c r="AQ617" s="336"/>
      <c r="AR617" s="336"/>
      <c r="AS617" s="336"/>
      <c r="AT617" s="336"/>
    </row>
    <row r="618" spans="1:46" ht="14.45">
      <c r="A618" s="336"/>
      <c r="B618" s="336"/>
      <c r="C618" s="336"/>
      <c r="D618" s="336"/>
      <c r="E618" s="336"/>
      <c r="F618" s="336"/>
      <c r="G618" s="336"/>
      <c r="H618" s="336"/>
      <c r="I618" s="336"/>
      <c r="J618" s="336"/>
      <c r="K618" s="415"/>
      <c r="L618" s="336"/>
      <c r="M618" s="336"/>
      <c r="N618" s="336"/>
      <c r="O618" s="416"/>
      <c r="P618" s="336"/>
      <c r="Q618" s="415"/>
      <c r="R618" s="336"/>
      <c r="S618" s="336"/>
      <c r="T618" s="336"/>
      <c r="U618" s="336"/>
      <c r="V618" s="336"/>
      <c r="W618" s="336"/>
      <c r="X618" s="336"/>
      <c r="Y618" s="336"/>
      <c r="Z618" s="336"/>
      <c r="AA618" s="336"/>
      <c r="AB618" s="336"/>
      <c r="AC618" s="336"/>
      <c r="AD618" s="336"/>
      <c r="AE618"/>
      <c r="AF618" s="336"/>
      <c r="AG618" s="336"/>
      <c r="AH618" s="336"/>
      <c r="AI618" s="336"/>
      <c r="AJ618" s="336"/>
      <c r="AK618" s="336"/>
      <c r="AL618" s="336"/>
      <c r="AM618" s="336"/>
      <c r="AN618" s="336"/>
      <c r="AO618" s="336"/>
      <c r="AP618" s="336"/>
      <c r="AQ618" s="336"/>
      <c r="AR618" s="336"/>
      <c r="AS618" s="336"/>
      <c r="AT618" s="336"/>
    </row>
    <row r="619" spans="1:46" ht="14.45">
      <c r="A619" s="336"/>
      <c r="B619" s="336"/>
      <c r="C619" s="336"/>
      <c r="D619" s="336"/>
      <c r="E619" s="336"/>
      <c r="F619" s="336"/>
      <c r="G619" s="336"/>
      <c r="H619" s="336"/>
      <c r="I619" s="336"/>
      <c r="J619" s="336"/>
      <c r="K619" s="415"/>
      <c r="L619" s="336"/>
      <c r="M619" s="336"/>
      <c r="N619" s="336"/>
      <c r="O619" s="416"/>
      <c r="P619" s="336"/>
      <c r="Q619" s="415"/>
      <c r="R619" s="336"/>
      <c r="S619" s="336"/>
      <c r="T619" s="336"/>
      <c r="U619" s="336"/>
      <c r="V619" s="336"/>
      <c r="W619" s="336"/>
      <c r="X619" s="336"/>
      <c r="Y619" s="336"/>
      <c r="Z619" s="336"/>
      <c r="AA619" s="336"/>
      <c r="AB619" s="336"/>
      <c r="AC619" s="336"/>
      <c r="AD619" s="336"/>
      <c r="AE619"/>
      <c r="AF619" s="336"/>
      <c r="AG619" s="336"/>
      <c r="AH619" s="336"/>
      <c r="AI619" s="336"/>
      <c r="AJ619" s="336"/>
      <c r="AK619" s="336"/>
      <c r="AL619" s="336"/>
      <c r="AM619" s="336"/>
      <c r="AN619" s="336"/>
      <c r="AO619" s="336"/>
      <c r="AP619" s="336"/>
      <c r="AQ619" s="336"/>
      <c r="AR619" s="336"/>
      <c r="AS619" s="336"/>
      <c r="AT619" s="336"/>
    </row>
    <row r="620" spans="1:46" ht="14.45">
      <c r="A620" s="336"/>
      <c r="B620" s="336"/>
      <c r="C620" s="336"/>
      <c r="D620" s="336"/>
      <c r="E620" s="336"/>
      <c r="F620" s="336"/>
      <c r="G620" s="336"/>
      <c r="H620" s="336"/>
      <c r="I620" s="336"/>
      <c r="J620" s="336"/>
      <c r="K620" s="415"/>
      <c r="L620" s="336"/>
      <c r="M620" s="336"/>
      <c r="N620" s="336"/>
      <c r="O620" s="416"/>
      <c r="P620" s="336"/>
      <c r="Q620" s="415"/>
      <c r="R620" s="336"/>
      <c r="S620" s="336"/>
      <c r="T620" s="336"/>
      <c r="U620" s="336"/>
      <c r="V620" s="336"/>
      <c r="W620" s="336"/>
      <c r="X620" s="336"/>
      <c r="Y620" s="336"/>
      <c r="Z620" s="336"/>
      <c r="AA620" s="336"/>
      <c r="AB620" s="336"/>
      <c r="AC620" s="336"/>
      <c r="AD620" s="336"/>
      <c r="AE620"/>
      <c r="AF620" s="336"/>
      <c r="AG620" s="336"/>
      <c r="AH620" s="336"/>
      <c r="AI620" s="336"/>
      <c r="AJ620" s="336"/>
      <c r="AK620" s="336"/>
      <c r="AL620" s="336"/>
      <c r="AM620" s="336"/>
      <c r="AN620" s="336"/>
      <c r="AO620" s="336"/>
      <c r="AP620" s="336"/>
      <c r="AQ620" s="336"/>
      <c r="AR620" s="336"/>
      <c r="AS620" s="336"/>
      <c r="AT620" s="336"/>
    </row>
    <row r="621" spans="1:46" ht="14.45">
      <c r="A621" s="336"/>
      <c r="B621" s="336"/>
      <c r="C621" s="336"/>
      <c r="D621" s="336"/>
      <c r="E621" s="336"/>
      <c r="F621" s="336"/>
      <c r="G621" s="336"/>
      <c r="H621" s="336"/>
      <c r="I621" s="336"/>
      <c r="J621" s="336"/>
      <c r="K621" s="415"/>
      <c r="L621" s="336"/>
      <c r="M621" s="336"/>
      <c r="N621" s="336"/>
      <c r="O621" s="416"/>
      <c r="P621" s="336"/>
      <c r="Q621" s="415"/>
      <c r="R621" s="336"/>
      <c r="S621" s="336"/>
      <c r="T621" s="336"/>
      <c r="U621" s="336"/>
      <c r="V621" s="336"/>
      <c r="W621" s="336"/>
      <c r="X621" s="336"/>
      <c r="Y621" s="336"/>
      <c r="Z621" s="336"/>
      <c r="AA621" s="336"/>
      <c r="AB621" s="336"/>
      <c r="AC621" s="336"/>
      <c r="AD621" s="336"/>
      <c r="AE621"/>
      <c r="AF621" s="336"/>
      <c r="AG621" s="336"/>
      <c r="AH621" s="336"/>
      <c r="AI621" s="336"/>
      <c r="AJ621" s="336"/>
      <c r="AK621" s="336"/>
      <c r="AL621" s="336"/>
      <c r="AM621" s="336"/>
      <c r="AN621" s="336"/>
      <c r="AO621" s="336"/>
      <c r="AP621" s="336"/>
      <c r="AQ621" s="336"/>
      <c r="AR621" s="336"/>
      <c r="AS621" s="336"/>
      <c r="AT621" s="336"/>
    </row>
    <row r="622" spans="1:46" ht="14.45">
      <c r="A622" s="336"/>
      <c r="B622" s="336"/>
      <c r="C622" s="336"/>
      <c r="D622" s="336"/>
      <c r="E622" s="336"/>
      <c r="F622" s="336"/>
      <c r="G622" s="336"/>
      <c r="H622" s="336"/>
      <c r="I622" s="336"/>
      <c r="J622" s="336"/>
      <c r="K622" s="415"/>
      <c r="L622" s="336"/>
      <c r="M622" s="336"/>
      <c r="N622" s="336"/>
      <c r="O622" s="416"/>
      <c r="P622" s="336"/>
      <c r="Q622" s="415"/>
      <c r="R622" s="336"/>
      <c r="S622" s="336"/>
      <c r="T622" s="336"/>
      <c r="U622" s="336"/>
      <c r="V622" s="336"/>
      <c r="W622" s="336"/>
      <c r="X622" s="336"/>
      <c r="Y622" s="336"/>
      <c r="Z622" s="336"/>
      <c r="AA622" s="336"/>
      <c r="AB622" s="336"/>
      <c r="AC622" s="336"/>
      <c r="AD622" s="336"/>
      <c r="AE622"/>
      <c r="AF622" s="336"/>
      <c r="AG622" s="336"/>
      <c r="AH622" s="336"/>
      <c r="AI622" s="336"/>
      <c r="AJ622" s="336"/>
      <c r="AK622" s="336"/>
      <c r="AL622" s="336"/>
      <c r="AM622" s="336"/>
      <c r="AN622" s="336"/>
      <c r="AO622" s="336"/>
      <c r="AP622" s="336"/>
      <c r="AQ622" s="336"/>
      <c r="AR622" s="336"/>
      <c r="AS622" s="336"/>
      <c r="AT622" s="336"/>
    </row>
    <row r="623" spans="1:46" ht="14.45">
      <c r="A623" s="336"/>
      <c r="B623" s="336"/>
      <c r="C623" s="336"/>
      <c r="D623" s="336"/>
      <c r="E623" s="336"/>
      <c r="F623" s="336"/>
      <c r="G623" s="336"/>
      <c r="H623" s="336"/>
      <c r="I623" s="336"/>
      <c r="J623" s="336"/>
      <c r="K623" s="415"/>
      <c r="L623" s="336"/>
      <c r="M623" s="336"/>
      <c r="N623" s="336"/>
      <c r="O623" s="416"/>
      <c r="P623" s="336"/>
      <c r="Q623" s="415"/>
      <c r="R623" s="336"/>
      <c r="S623" s="336"/>
      <c r="T623" s="336"/>
      <c r="U623" s="336"/>
      <c r="V623" s="336"/>
      <c r="W623" s="336"/>
      <c r="X623" s="336"/>
      <c r="Y623" s="336"/>
      <c r="Z623" s="336"/>
      <c r="AA623" s="336"/>
      <c r="AB623" s="336"/>
      <c r="AC623" s="336"/>
      <c r="AD623" s="336"/>
      <c r="AE623"/>
      <c r="AF623" s="336"/>
      <c r="AG623" s="336"/>
      <c r="AH623" s="336"/>
      <c r="AI623" s="336"/>
      <c r="AJ623" s="336"/>
      <c r="AK623" s="336"/>
      <c r="AL623" s="336"/>
      <c r="AM623" s="336"/>
      <c r="AN623" s="336"/>
      <c r="AO623" s="336"/>
      <c r="AP623" s="336"/>
      <c r="AQ623" s="336"/>
      <c r="AR623" s="336"/>
      <c r="AS623" s="336"/>
      <c r="AT623" s="336"/>
    </row>
    <row r="624" spans="1:46" ht="14.45">
      <c r="A624" s="336"/>
      <c r="B624" s="336"/>
      <c r="C624" s="336"/>
      <c r="D624" s="336"/>
      <c r="E624" s="336"/>
      <c r="F624" s="336"/>
      <c r="G624" s="336"/>
      <c r="H624" s="336"/>
      <c r="I624" s="336"/>
      <c r="J624" s="336"/>
      <c r="K624" s="415"/>
      <c r="L624" s="336"/>
      <c r="M624" s="336"/>
      <c r="N624" s="336"/>
      <c r="O624" s="416"/>
      <c r="P624" s="336"/>
      <c r="Q624" s="415"/>
      <c r="R624" s="336"/>
      <c r="S624" s="336"/>
      <c r="T624" s="336"/>
      <c r="U624" s="336"/>
      <c r="V624" s="336"/>
      <c r="W624" s="336"/>
      <c r="X624" s="336"/>
      <c r="Y624" s="336"/>
      <c r="Z624" s="336"/>
      <c r="AA624" s="336"/>
      <c r="AB624" s="336"/>
      <c r="AC624" s="336"/>
      <c r="AD624" s="336"/>
      <c r="AE624"/>
      <c r="AF624" s="336"/>
      <c r="AG624" s="336"/>
      <c r="AH624" s="336"/>
      <c r="AI624" s="336"/>
      <c r="AJ624" s="336"/>
      <c r="AK624" s="336"/>
      <c r="AL624" s="336"/>
      <c r="AM624" s="336"/>
      <c r="AN624" s="336"/>
      <c r="AO624" s="336"/>
      <c r="AP624" s="336"/>
      <c r="AQ624" s="336"/>
      <c r="AR624" s="336"/>
      <c r="AS624" s="336"/>
      <c r="AT624" s="336"/>
    </row>
    <row r="625" spans="1:46" ht="14.45">
      <c r="A625" s="336"/>
      <c r="B625" s="336"/>
      <c r="C625" s="336"/>
      <c r="D625" s="336"/>
      <c r="E625" s="336"/>
      <c r="F625" s="336"/>
      <c r="G625" s="336"/>
      <c r="H625" s="336"/>
      <c r="I625" s="336"/>
      <c r="J625" s="336"/>
      <c r="K625" s="415"/>
      <c r="L625" s="336"/>
      <c r="M625" s="336"/>
      <c r="N625" s="336"/>
      <c r="O625" s="416"/>
      <c r="P625" s="336"/>
      <c r="Q625" s="415"/>
      <c r="R625" s="336"/>
      <c r="S625" s="336"/>
      <c r="T625" s="336"/>
      <c r="U625" s="336"/>
      <c r="V625" s="336"/>
      <c r="W625" s="336"/>
      <c r="X625" s="336"/>
      <c r="Y625" s="336"/>
      <c r="Z625" s="336"/>
      <c r="AA625" s="336"/>
      <c r="AB625" s="336"/>
      <c r="AC625" s="336"/>
      <c r="AD625" s="336"/>
      <c r="AE625"/>
      <c r="AF625" s="336"/>
      <c r="AG625" s="336"/>
      <c r="AH625" s="336"/>
      <c r="AI625" s="336"/>
      <c r="AJ625" s="336"/>
      <c r="AK625" s="336"/>
      <c r="AL625" s="336"/>
      <c r="AM625" s="336"/>
      <c r="AN625" s="336"/>
      <c r="AO625" s="336"/>
      <c r="AP625" s="336"/>
      <c r="AQ625" s="336"/>
      <c r="AR625" s="336"/>
      <c r="AS625" s="336"/>
      <c r="AT625" s="336"/>
    </row>
    <row r="626" spans="1:46" ht="14.45">
      <c r="A626" s="336"/>
      <c r="B626" s="336"/>
      <c r="C626" s="336"/>
      <c r="D626" s="336"/>
      <c r="E626" s="336"/>
      <c r="F626" s="336"/>
      <c r="G626" s="336"/>
      <c r="H626" s="336"/>
      <c r="I626" s="336"/>
      <c r="J626" s="336"/>
      <c r="K626" s="415"/>
      <c r="L626" s="336"/>
      <c r="M626" s="336"/>
      <c r="N626" s="336"/>
      <c r="O626" s="416"/>
      <c r="P626" s="336"/>
      <c r="Q626" s="415"/>
      <c r="R626" s="336"/>
      <c r="S626" s="336"/>
      <c r="T626" s="336"/>
      <c r="U626" s="336"/>
      <c r="V626" s="336"/>
      <c r="W626" s="336"/>
      <c r="X626" s="336"/>
      <c r="Y626" s="336"/>
      <c r="Z626" s="336"/>
      <c r="AA626" s="336"/>
      <c r="AB626" s="336"/>
      <c r="AC626" s="336"/>
      <c r="AD626" s="336"/>
      <c r="AE626"/>
      <c r="AF626" s="336"/>
      <c r="AG626" s="336"/>
      <c r="AH626" s="336"/>
      <c r="AI626" s="336"/>
      <c r="AJ626" s="336"/>
      <c r="AK626" s="336"/>
      <c r="AL626" s="336"/>
      <c r="AM626" s="336"/>
      <c r="AN626" s="336"/>
      <c r="AO626" s="336"/>
      <c r="AP626" s="336"/>
      <c r="AQ626" s="336"/>
      <c r="AR626" s="336"/>
      <c r="AS626" s="336"/>
      <c r="AT626" s="336"/>
    </row>
    <row r="627" spans="1:46" ht="14.45">
      <c r="A627" s="336"/>
      <c r="B627" s="336"/>
      <c r="C627" s="336"/>
      <c r="D627" s="336"/>
      <c r="E627" s="336"/>
      <c r="F627" s="336"/>
      <c r="G627" s="336"/>
      <c r="H627" s="336"/>
      <c r="I627" s="336"/>
      <c r="J627" s="336"/>
      <c r="K627" s="415"/>
      <c r="L627" s="336"/>
      <c r="M627" s="336"/>
      <c r="N627" s="336"/>
      <c r="O627" s="416"/>
      <c r="P627" s="336"/>
      <c r="Q627" s="415"/>
      <c r="R627" s="336"/>
      <c r="S627" s="336"/>
      <c r="T627" s="336"/>
      <c r="U627" s="336"/>
      <c r="V627" s="336"/>
      <c r="W627" s="336"/>
      <c r="X627" s="336"/>
      <c r="Y627" s="336"/>
      <c r="Z627" s="336"/>
      <c r="AA627" s="336"/>
      <c r="AB627" s="336"/>
      <c r="AC627" s="336"/>
      <c r="AD627" s="336"/>
      <c r="AE627"/>
      <c r="AF627" s="336"/>
      <c r="AG627" s="336"/>
      <c r="AH627" s="336"/>
      <c r="AI627" s="336"/>
      <c r="AJ627" s="336"/>
      <c r="AK627" s="336"/>
      <c r="AL627" s="336"/>
      <c r="AM627" s="336"/>
      <c r="AN627" s="336"/>
      <c r="AO627" s="336"/>
      <c r="AP627" s="336"/>
      <c r="AQ627" s="336"/>
      <c r="AR627" s="336"/>
      <c r="AS627" s="336"/>
      <c r="AT627" s="336"/>
    </row>
    <row r="628" spans="1:46" ht="14.45">
      <c r="A628" s="336"/>
      <c r="B628" s="336"/>
      <c r="C628" s="336"/>
      <c r="D628" s="336"/>
      <c r="E628" s="336"/>
      <c r="F628" s="336"/>
      <c r="G628" s="336"/>
      <c r="H628" s="336"/>
      <c r="I628" s="336"/>
      <c r="J628" s="336"/>
      <c r="K628" s="415"/>
      <c r="L628" s="336"/>
      <c r="M628" s="336"/>
      <c r="N628" s="336"/>
      <c r="O628" s="416"/>
      <c r="P628" s="336"/>
      <c r="Q628" s="415"/>
      <c r="R628" s="336"/>
      <c r="S628" s="336"/>
      <c r="T628" s="336"/>
      <c r="U628" s="336"/>
      <c r="V628" s="336"/>
      <c r="W628" s="336"/>
      <c r="X628" s="336"/>
      <c r="Y628" s="336"/>
      <c r="Z628" s="336"/>
      <c r="AA628" s="336"/>
      <c r="AB628" s="336"/>
      <c r="AC628" s="336"/>
      <c r="AD628" s="336"/>
      <c r="AE628"/>
      <c r="AF628" s="336"/>
      <c r="AG628" s="336"/>
      <c r="AH628" s="336"/>
      <c r="AI628" s="336"/>
      <c r="AJ628" s="336"/>
      <c r="AK628" s="336"/>
      <c r="AL628" s="336"/>
      <c r="AM628" s="336"/>
      <c r="AN628" s="336"/>
      <c r="AO628" s="336"/>
      <c r="AP628" s="336"/>
      <c r="AQ628" s="336"/>
      <c r="AR628" s="336"/>
      <c r="AS628" s="336"/>
      <c r="AT628" s="336"/>
    </row>
    <row r="629" spans="1:46" ht="14.45">
      <c r="A629" s="336"/>
      <c r="B629" s="336"/>
      <c r="C629" s="336"/>
      <c r="D629" s="336"/>
      <c r="E629" s="336"/>
      <c r="F629" s="336"/>
      <c r="G629" s="336"/>
      <c r="H629" s="336"/>
      <c r="I629" s="336"/>
      <c r="J629" s="336"/>
      <c r="K629" s="415"/>
      <c r="L629" s="336"/>
      <c r="M629" s="336"/>
      <c r="N629" s="336"/>
      <c r="O629" s="416"/>
      <c r="P629" s="336"/>
      <c r="Q629" s="415"/>
      <c r="R629" s="336"/>
      <c r="S629" s="336"/>
      <c r="T629" s="336"/>
      <c r="U629" s="336"/>
      <c r="V629" s="336"/>
      <c r="W629" s="336"/>
      <c r="X629" s="336"/>
      <c r="Y629" s="336"/>
      <c r="Z629" s="336"/>
      <c r="AA629" s="336"/>
      <c r="AB629" s="336"/>
      <c r="AC629" s="336"/>
      <c r="AD629" s="336"/>
      <c r="AE629"/>
      <c r="AF629" s="336"/>
      <c r="AG629" s="336"/>
      <c r="AH629" s="336"/>
      <c r="AI629" s="336"/>
      <c r="AJ629" s="336"/>
      <c r="AK629" s="336"/>
      <c r="AL629" s="336"/>
      <c r="AM629" s="336"/>
      <c r="AN629" s="336"/>
      <c r="AO629" s="336"/>
      <c r="AP629" s="336"/>
      <c r="AQ629" s="336"/>
      <c r="AR629" s="336"/>
      <c r="AS629" s="336"/>
      <c r="AT629" s="336"/>
    </row>
    <row r="630" spans="1:46" ht="14.45">
      <c r="A630" s="336"/>
      <c r="B630" s="336"/>
      <c r="C630" s="336"/>
      <c r="D630" s="336"/>
      <c r="E630" s="336"/>
      <c r="F630" s="336"/>
      <c r="G630" s="336"/>
      <c r="H630" s="336"/>
      <c r="I630" s="336"/>
      <c r="J630" s="336"/>
      <c r="K630" s="415"/>
      <c r="L630" s="336"/>
      <c r="M630" s="336"/>
      <c r="N630" s="336"/>
      <c r="O630" s="416"/>
      <c r="P630" s="336"/>
      <c r="Q630" s="415"/>
      <c r="R630" s="336"/>
      <c r="S630" s="336"/>
      <c r="T630" s="336"/>
      <c r="U630" s="336"/>
      <c r="V630" s="336"/>
      <c r="W630" s="336"/>
      <c r="X630" s="336"/>
      <c r="Y630" s="336"/>
      <c r="Z630" s="336"/>
      <c r="AA630" s="336"/>
      <c r="AB630" s="336"/>
      <c r="AC630" s="336"/>
      <c r="AD630" s="336"/>
      <c r="AE630"/>
      <c r="AF630" s="336"/>
      <c r="AG630" s="336"/>
      <c r="AH630" s="336"/>
      <c r="AI630" s="336"/>
      <c r="AJ630" s="336"/>
      <c r="AK630" s="336"/>
      <c r="AL630" s="336"/>
      <c r="AM630" s="336"/>
      <c r="AN630" s="336"/>
      <c r="AO630" s="336"/>
      <c r="AP630" s="336"/>
      <c r="AQ630" s="336"/>
      <c r="AR630" s="336"/>
      <c r="AS630" s="336"/>
      <c r="AT630" s="336"/>
    </row>
    <row r="631" spans="1:46" ht="14.45">
      <c r="A631" s="336"/>
      <c r="B631" s="336"/>
      <c r="C631" s="336"/>
      <c r="D631" s="336"/>
      <c r="E631" s="336"/>
      <c r="F631" s="336"/>
      <c r="G631" s="336"/>
      <c r="H631" s="336"/>
      <c r="I631" s="336"/>
      <c r="J631" s="336"/>
      <c r="K631" s="415"/>
      <c r="L631" s="336"/>
      <c r="M631" s="336"/>
      <c r="N631" s="336"/>
      <c r="O631" s="416"/>
      <c r="P631" s="336"/>
      <c r="Q631" s="415"/>
      <c r="R631" s="336"/>
      <c r="S631" s="336"/>
      <c r="T631" s="336"/>
      <c r="U631" s="336"/>
      <c r="V631" s="336"/>
      <c r="W631" s="336"/>
      <c r="X631" s="336"/>
      <c r="Y631" s="336"/>
      <c r="Z631" s="336"/>
      <c r="AA631" s="336"/>
      <c r="AB631" s="336"/>
      <c r="AC631" s="336"/>
      <c r="AD631" s="336"/>
      <c r="AE631"/>
      <c r="AF631" s="336"/>
      <c r="AG631" s="336"/>
      <c r="AH631" s="336"/>
      <c r="AI631" s="336"/>
      <c r="AJ631" s="336"/>
      <c r="AK631" s="336"/>
      <c r="AL631" s="336"/>
      <c r="AM631" s="336"/>
      <c r="AN631" s="336"/>
      <c r="AO631" s="336"/>
      <c r="AP631" s="336"/>
      <c r="AQ631" s="336"/>
      <c r="AR631" s="336"/>
      <c r="AS631" s="336"/>
      <c r="AT631" s="336"/>
    </row>
    <row r="632" spans="1:46" ht="14.45">
      <c r="A632" s="336"/>
      <c r="B632" s="336"/>
      <c r="C632" s="336"/>
      <c r="D632" s="336"/>
      <c r="E632" s="336"/>
      <c r="F632" s="336"/>
      <c r="G632" s="336"/>
      <c r="H632" s="336"/>
      <c r="I632" s="336"/>
      <c r="J632" s="336"/>
      <c r="K632" s="415"/>
      <c r="L632" s="336"/>
      <c r="M632" s="336"/>
      <c r="N632" s="336"/>
      <c r="O632" s="416"/>
      <c r="P632" s="336"/>
      <c r="Q632" s="415"/>
      <c r="R632" s="336"/>
      <c r="S632" s="336"/>
      <c r="T632" s="336"/>
      <c r="U632" s="336"/>
      <c r="V632" s="336"/>
      <c r="W632" s="336"/>
      <c r="X632" s="336"/>
      <c r="Y632" s="336"/>
      <c r="Z632" s="336"/>
      <c r="AA632" s="336"/>
      <c r="AB632" s="336"/>
      <c r="AC632" s="336"/>
      <c r="AD632" s="336"/>
      <c r="AE632"/>
      <c r="AF632" s="336"/>
      <c r="AG632" s="336"/>
      <c r="AH632" s="336"/>
      <c r="AI632" s="336"/>
      <c r="AJ632" s="336"/>
      <c r="AK632" s="336"/>
      <c r="AL632" s="336"/>
      <c r="AM632" s="336"/>
      <c r="AN632" s="336"/>
      <c r="AO632" s="336"/>
      <c r="AP632" s="336"/>
      <c r="AQ632" s="336"/>
      <c r="AR632" s="336"/>
      <c r="AS632" s="336"/>
      <c r="AT632" s="336"/>
    </row>
    <row r="633" spans="1:46" ht="14.45">
      <c r="A633" s="336"/>
      <c r="B633" s="336"/>
      <c r="C633" s="336"/>
      <c r="D633" s="336"/>
      <c r="E633" s="336"/>
      <c r="F633" s="336"/>
      <c r="G633" s="336"/>
      <c r="H633" s="336"/>
      <c r="I633" s="336"/>
      <c r="J633" s="336"/>
      <c r="K633" s="415"/>
      <c r="L633" s="336"/>
      <c r="M633" s="336"/>
      <c r="N633" s="336"/>
      <c r="O633" s="416"/>
      <c r="P633" s="336"/>
      <c r="Q633" s="415"/>
      <c r="R633" s="336"/>
      <c r="S633" s="336"/>
      <c r="T633" s="336"/>
      <c r="U633" s="336"/>
      <c r="V633" s="336"/>
      <c r="W633" s="336"/>
      <c r="X633" s="336"/>
      <c r="Y633" s="336"/>
      <c r="Z633" s="336"/>
      <c r="AA633" s="336"/>
      <c r="AB633" s="336"/>
      <c r="AC633" s="336"/>
      <c r="AD633" s="336"/>
      <c r="AE633"/>
      <c r="AF633" s="336"/>
      <c r="AG633" s="336"/>
      <c r="AH633" s="336"/>
      <c r="AI633" s="336"/>
      <c r="AJ633" s="336"/>
      <c r="AK633" s="336"/>
      <c r="AL633" s="336"/>
      <c r="AM633" s="336"/>
      <c r="AN633" s="336"/>
      <c r="AO633" s="336"/>
      <c r="AP633" s="336"/>
      <c r="AQ633" s="336"/>
      <c r="AR633" s="336"/>
      <c r="AS633" s="336"/>
      <c r="AT633" s="336"/>
    </row>
    <row r="634" spans="1:46" ht="14.45">
      <c r="A634" s="336"/>
      <c r="B634" s="336"/>
      <c r="C634" s="336"/>
      <c r="D634" s="336"/>
      <c r="E634" s="336"/>
      <c r="F634" s="336"/>
      <c r="G634" s="336"/>
      <c r="H634" s="336"/>
      <c r="I634" s="336"/>
      <c r="J634" s="336"/>
      <c r="K634" s="415"/>
      <c r="L634" s="336"/>
      <c r="M634" s="336"/>
      <c r="N634" s="336"/>
      <c r="O634" s="416"/>
      <c r="P634" s="336"/>
      <c r="Q634" s="415"/>
      <c r="R634" s="336"/>
      <c r="S634" s="336"/>
      <c r="T634" s="336"/>
      <c r="U634" s="336"/>
      <c r="V634" s="336"/>
      <c r="W634" s="336"/>
      <c r="X634" s="336"/>
      <c r="Y634" s="336"/>
      <c r="Z634" s="336"/>
      <c r="AA634" s="336"/>
      <c r="AB634" s="336"/>
      <c r="AC634" s="336"/>
      <c r="AD634" s="336"/>
      <c r="AE634"/>
      <c r="AF634" s="336"/>
      <c r="AG634" s="336"/>
      <c r="AH634" s="336"/>
      <c r="AI634" s="336"/>
      <c r="AJ634" s="336"/>
      <c r="AK634" s="336"/>
      <c r="AL634" s="336"/>
      <c r="AM634" s="336"/>
      <c r="AN634" s="336"/>
      <c r="AO634" s="336"/>
      <c r="AP634" s="336"/>
      <c r="AQ634" s="336"/>
      <c r="AR634" s="336"/>
      <c r="AS634" s="336"/>
      <c r="AT634" s="336"/>
    </row>
    <row r="635" spans="1:46" ht="14.45">
      <c r="A635" s="336"/>
      <c r="B635" s="336"/>
      <c r="C635" s="336"/>
      <c r="D635" s="336"/>
      <c r="E635" s="336"/>
      <c r="F635" s="336"/>
      <c r="G635" s="336"/>
      <c r="H635" s="336"/>
      <c r="I635" s="336"/>
      <c r="J635" s="336"/>
      <c r="K635" s="415"/>
      <c r="L635" s="336"/>
      <c r="M635" s="336"/>
      <c r="N635" s="336"/>
      <c r="O635" s="416"/>
      <c r="P635" s="336"/>
      <c r="Q635" s="415"/>
      <c r="R635" s="336"/>
      <c r="S635" s="336"/>
      <c r="T635" s="336"/>
      <c r="U635" s="336"/>
      <c r="V635" s="336"/>
      <c r="W635" s="336"/>
      <c r="X635" s="336"/>
      <c r="Y635" s="336"/>
      <c r="Z635" s="336"/>
      <c r="AA635" s="336"/>
      <c r="AB635" s="336"/>
      <c r="AC635" s="336"/>
      <c r="AD635" s="336"/>
      <c r="AE635"/>
      <c r="AF635" s="336"/>
      <c r="AG635" s="336"/>
      <c r="AH635" s="336"/>
      <c r="AI635" s="336"/>
      <c r="AJ635" s="336"/>
      <c r="AK635" s="336"/>
      <c r="AL635" s="336"/>
      <c r="AM635" s="336"/>
      <c r="AN635" s="336"/>
      <c r="AO635" s="336"/>
      <c r="AP635" s="336"/>
      <c r="AQ635" s="336"/>
      <c r="AR635" s="336"/>
      <c r="AS635" s="336"/>
      <c r="AT635" s="336"/>
    </row>
    <row r="636" spans="1:46" ht="14.45">
      <c r="A636" s="336"/>
      <c r="B636" s="336"/>
      <c r="C636" s="336"/>
      <c r="D636" s="336"/>
      <c r="E636" s="336"/>
      <c r="F636" s="336"/>
      <c r="G636" s="336"/>
      <c r="H636" s="336"/>
      <c r="I636" s="336"/>
      <c r="J636" s="336"/>
      <c r="K636" s="415"/>
      <c r="L636" s="336"/>
      <c r="M636" s="336"/>
      <c r="N636" s="336"/>
      <c r="O636" s="416"/>
      <c r="P636" s="336"/>
      <c r="Q636" s="415"/>
      <c r="R636" s="336"/>
      <c r="S636" s="336"/>
      <c r="T636" s="336"/>
      <c r="U636" s="336"/>
      <c r="V636" s="336"/>
      <c r="W636" s="336"/>
      <c r="X636" s="336"/>
      <c r="Y636" s="336"/>
      <c r="Z636" s="336"/>
      <c r="AA636" s="336"/>
      <c r="AB636" s="336"/>
      <c r="AC636" s="336"/>
      <c r="AD636" s="336"/>
      <c r="AE636"/>
      <c r="AF636" s="336"/>
      <c r="AG636" s="336"/>
      <c r="AH636" s="336"/>
      <c r="AI636" s="336"/>
      <c r="AJ636" s="336"/>
      <c r="AK636" s="336"/>
      <c r="AL636" s="336"/>
      <c r="AM636" s="336"/>
      <c r="AN636" s="336"/>
      <c r="AO636" s="336"/>
      <c r="AP636" s="336"/>
      <c r="AQ636" s="336"/>
      <c r="AR636" s="336"/>
      <c r="AS636" s="336"/>
      <c r="AT636" s="336"/>
    </row>
    <row r="637" spans="1:46" ht="14.45">
      <c r="A637" s="336"/>
      <c r="B637" s="336"/>
      <c r="C637" s="336"/>
      <c r="D637" s="336"/>
      <c r="E637" s="336"/>
      <c r="F637" s="336"/>
      <c r="G637" s="336"/>
      <c r="H637" s="336"/>
      <c r="I637" s="336"/>
      <c r="J637" s="336"/>
      <c r="K637" s="415"/>
      <c r="L637" s="336"/>
      <c r="M637" s="336"/>
      <c r="N637" s="336"/>
      <c r="O637" s="416"/>
      <c r="P637" s="336"/>
      <c r="Q637" s="415"/>
      <c r="R637" s="336"/>
      <c r="S637" s="336"/>
      <c r="T637" s="336"/>
      <c r="U637" s="336"/>
      <c r="V637" s="336"/>
      <c r="W637" s="336"/>
      <c r="X637" s="336"/>
      <c r="Y637" s="336"/>
      <c r="Z637" s="336"/>
      <c r="AA637" s="336"/>
      <c r="AB637" s="336"/>
      <c r="AC637" s="336"/>
      <c r="AD637" s="336"/>
      <c r="AE637"/>
      <c r="AF637" s="336"/>
      <c r="AG637" s="336"/>
      <c r="AH637" s="336"/>
      <c r="AI637" s="336"/>
      <c r="AJ637" s="336"/>
      <c r="AK637" s="336"/>
      <c r="AL637" s="336"/>
      <c r="AM637" s="336"/>
      <c r="AN637" s="336"/>
      <c r="AO637" s="336"/>
      <c r="AP637" s="336"/>
      <c r="AQ637" s="336"/>
      <c r="AR637" s="336"/>
      <c r="AS637" s="336"/>
      <c r="AT637" s="336"/>
    </row>
    <row r="638" spans="1:46" ht="14.45">
      <c r="A638" s="336"/>
      <c r="B638" s="336"/>
      <c r="C638" s="336"/>
      <c r="D638" s="336"/>
      <c r="E638" s="336"/>
      <c r="F638" s="336"/>
      <c r="G638" s="336"/>
      <c r="H638" s="336"/>
      <c r="I638" s="336"/>
      <c r="J638" s="336"/>
      <c r="K638" s="415"/>
      <c r="L638" s="336"/>
      <c r="M638" s="336"/>
      <c r="N638" s="336"/>
      <c r="O638" s="416"/>
      <c r="P638" s="336"/>
      <c r="Q638" s="415"/>
      <c r="R638" s="336"/>
      <c r="S638" s="336"/>
      <c r="T638" s="336"/>
      <c r="U638" s="336"/>
      <c r="V638" s="336"/>
      <c r="W638" s="336"/>
      <c r="X638" s="336"/>
      <c r="Y638" s="336"/>
      <c r="Z638" s="336"/>
      <c r="AA638" s="336"/>
      <c r="AB638" s="336"/>
      <c r="AC638" s="336"/>
      <c r="AD638" s="336"/>
      <c r="AE638"/>
      <c r="AF638" s="336"/>
      <c r="AG638" s="336"/>
      <c r="AH638" s="336"/>
      <c r="AI638" s="336"/>
      <c r="AJ638" s="336"/>
      <c r="AK638" s="336"/>
      <c r="AL638" s="336"/>
      <c r="AM638" s="336"/>
      <c r="AN638" s="336"/>
      <c r="AO638" s="336"/>
      <c r="AP638" s="336"/>
      <c r="AQ638" s="336"/>
      <c r="AR638" s="336"/>
      <c r="AS638" s="336"/>
      <c r="AT638" s="336"/>
    </row>
    <row r="639" spans="1:46" ht="14.45">
      <c r="A639" s="336"/>
      <c r="B639" s="336"/>
      <c r="C639" s="336"/>
      <c r="D639" s="336"/>
      <c r="E639" s="336"/>
      <c r="F639" s="336"/>
      <c r="G639" s="336"/>
      <c r="H639" s="336"/>
      <c r="I639" s="336"/>
      <c r="J639" s="336"/>
      <c r="K639" s="415"/>
      <c r="L639" s="336"/>
      <c r="M639" s="336"/>
      <c r="N639" s="336"/>
      <c r="O639" s="416"/>
      <c r="P639" s="336"/>
      <c r="Q639" s="415"/>
      <c r="R639" s="336"/>
      <c r="S639" s="336"/>
      <c r="T639" s="336"/>
      <c r="U639" s="336"/>
      <c r="V639" s="336"/>
      <c r="W639" s="336"/>
      <c r="X639" s="336"/>
      <c r="Y639" s="336"/>
      <c r="Z639" s="336"/>
      <c r="AA639" s="336"/>
      <c r="AB639" s="336"/>
      <c r="AC639" s="336"/>
      <c r="AD639" s="336"/>
      <c r="AE639"/>
      <c r="AF639" s="336"/>
      <c r="AG639" s="336"/>
      <c r="AH639" s="336"/>
      <c r="AI639" s="336"/>
      <c r="AJ639" s="336"/>
      <c r="AK639" s="336"/>
      <c r="AL639" s="336"/>
      <c r="AM639" s="336"/>
      <c r="AN639" s="336"/>
      <c r="AO639" s="336"/>
      <c r="AP639" s="336"/>
      <c r="AQ639" s="336"/>
      <c r="AR639" s="336"/>
      <c r="AS639" s="336"/>
      <c r="AT639" s="336"/>
    </row>
    <row r="640" spans="1:46" ht="14.45">
      <c r="A640" s="336"/>
      <c r="B640" s="336"/>
      <c r="C640" s="336"/>
      <c r="D640" s="336"/>
      <c r="E640" s="336"/>
      <c r="F640" s="336"/>
      <c r="G640" s="336"/>
      <c r="H640" s="336"/>
      <c r="I640" s="336"/>
      <c r="J640" s="336"/>
      <c r="K640" s="415"/>
      <c r="L640" s="336"/>
      <c r="M640" s="336"/>
      <c r="N640" s="336"/>
      <c r="O640" s="416"/>
      <c r="P640" s="336"/>
      <c r="Q640" s="415"/>
      <c r="R640" s="336"/>
      <c r="S640" s="336"/>
      <c r="T640" s="336"/>
      <c r="U640" s="336"/>
      <c r="V640" s="336"/>
      <c r="W640" s="336"/>
      <c r="X640" s="336"/>
      <c r="Y640" s="336"/>
      <c r="Z640" s="336"/>
      <c r="AA640" s="336"/>
      <c r="AB640" s="336"/>
      <c r="AC640" s="336"/>
      <c r="AD640" s="336"/>
      <c r="AE640"/>
      <c r="AF640" s="336"/>
      <c r="AG640" s="336"/>
      <c r="AH640" s="336"/>
      <c r="AI640" s="336"/>
      <c r="AJ640" s="336"/>
      <c r="AK640" s="336"/>
      <c r="AL640" s="336"/>
      <c r="AM640" s="336"/>
      <c r="AN640" s="336"/>
      <c r="AO640" s="336"/>
      <c r="AP640" s="336"/>
      <c r="AQ640" s="336"/>
      <c r="AR640" s="336"/>
      <c r="AS640" s="336"/>
      <c r="AT640" s="336"/>
    </row>
    <row r="641" spans="1:46" ht="14.45">
      <c r="A641" s="336"/>
      <c r="B641" s="336"/>
      <c r="C641" s="336"/>
      <c r="D641" s="336"/>
      <c r="E641" s="336"/>
      <c r="F641" s="336"/>
      <c r="G641" s="336"/>
      <c r="H641" s="336"/>
      <c r="I641" s="336"/>
      <c r="J641" s="336"/>
      <c r="K641" s="415"/>
      <c r="L641" s="336"/>
      <c r="M641" s="336"/>
      <c r="N641" s="336"/>
      <c r="O641" s="416"/>
      <c r="P641" s="336"/>
      <c r="Q641" s="415"/>
      <c r="R641" s="336"/>
      <c r="S641" s="336"/>
      <c r="T641" s="336"/>
      <c r="U641" s="336"/>
      <c r="V641" s="336"/>
      <c r="W641" s="336"/>
      <c r="X641" s="336"/>
      <c r="Y641" s="336"/>
      <c r="Z641" s="336"/>
      <c r="AA641" s="336"/>
      <c r="AB641" s="336"/>
      <c r="AC641" s="336"/>
      <c r="AD641" s="336"/>
      <c r="AE641"/>
      <c r="AF641" s="336"/>
      <c r="AG641" s="336"/>
      <c r="AH641" s="336"/>
      <c r="AI641" s="336"/>
      <c r="AJ641" s="336"/>
      <c r="AK641" s="336"/>
      <c r="AL641" s="336"/>
      <c r="AM641" s="336"/>
      <c r="AN641" s="336"/>
      <c r="AO641" s="336"/>
      <c r="AP641" s="336"/>
      <c r="AQ641" s="336"/>
      <c r="AR641" s="336"/>
      <c r="AS641" s="336"/>
      <c r="AT641" s="336"/>
    </row>
    <row r="642" spans="1:46" ht="14.45">
      <c r="A642" s="336"/>
      <c r="B642" s="336"/>
      <c r="C642" s="336"/>
      <c r="D642" s="336"/>
      <c r="E642" s="336"/>
      <c r="F642" s="336"/>
      <c r="G642" s="336"/>
      <c r="H642" s="336"/>
      <c r="I642" s="336"/>
      <c r="J642" s="336"/>
      <c r="K642" s="415"/>
      <c r="L642" s="336"/>
      <c r="M642" s="336"/>
      <c r="N642" s="336"/>
      <c r="O642" s="416"/>
      <c r="P642" s="336"/>
      <c r="Q642" s="415"/>
      <c r="R642" s="336"/>
      <c r="S642" s="336"/>
      <c r="T642" s="336"/>
      <c r="U642" s="336"/>
      <c r="V642" s="336"/>
      <c r="W642" s="336"/>
      <c r="X642" s="336"/>
      <c r="Y642" s="336"/>
      <c r="Z642" s="336"/>
      <c r="AA642" s="336"/>
      <c r="AB642" s="336"/>
      <c r="AC642" s="336"/>
      <c r="AD642" s="336"/>
      <c r="AE642"/>
      <c r="AF642" s="336"/>
      <c r="AG642" s="336"/>
      <c r="AH642" s="336"/>
      <c r="AI642" s="336"/>
      <c r="AJ642" s="336"/>
      <c r="AK642" s="336"/>
      <c r="AL642" s="336"/>
      <c r="AM642" s="336"/>
      <c r="AN642" s="336"/>
      <c r="AO642" s="336"/>
      <c r="AP642" s="336"/>
      <c r="AQ642" s="336"/>
      <c r="AR642" s="336"/>
      <c r="AS642" s="336"/>
      <c r="AT642" s="336"/>
    </row>
    <row r="643" spans="1:46" ht="14.45">
      <c r="A643" s="336"/>
      <c r="B643" s="336"/>
      <c r="C643" s="336"/>
      <c r="D643" s="336"/>
      <c r="E643" s="336"/>
      <c r="F643" s="336"/>
      <c r="G643" s="336"/>
      <c r="H643" s="336"/>
      <c r="I643" s="336"/>
      <c r="J643" s="336"/>
      <c r="K643" s="415"/>
      <c r="L643" s="336"/>
      <c r="M643" s="336"/>
      <c r="N643" s="336"/>
      <c r="O643" s="416"/>
      <c r="P643" s="336"/>
      <c r="Q643" s="415"/>
      <c r="R643" s="336"/>
      <c r="S643" s="336"/>
      <c r="T643" s="336"/>
      <c r="U643" s="336"/>
      <c r="V643" s="336"/>
      <c r="W643" s="336"/>
      <c r="X643" s="336"/>
      <c r="Y643" s="336"/>
      <c r="Z643" s="336"/>
      <c r="AA643" s="336"/>
      <c r="AB643" s="336"/>
      <c r="AC643" s="336"/>
      <c r="AD643" s="336"/>
      <c r="AE643"/>
      <c r="AF643" s="336"/>
      <c r="AG643" s="336"/>
      <c r="AH643" s="336"/>
      <c r="AI643" s="336"/>
      <c r="AJ643" s="336"/>
      <c r="AK643" s="336"/>
      <c r="AL643" s="336"/>
      <c r="AM643" s="336"/>
      <c r="AN643" s="336"/>
      <c r="AO643" s="336"/>
      <c r="AP643" s="336"/>
      <c r="AQ643" s="336"/>
      <c r="AR643" s="336"/>
      <c r="AS643" s="336"/>
      <c r="AT643" s="336"/>
    </row>
    <row r="644" spans="1:46" ht="14.45">
      <c r="A644" s="336"/>
      <c r="B644" s="336"/>
      <c r="C644" s="336"/>
      <c r="D644" s="336"/>
      <c r="E644" s="336"/>
      <c r="F644" s="336"/>
      <c r="G644" s="336"/>
      <c r="H644" s="336"/>
      <c r="I644" s="336"/>
      <c r="J644" s="336"/>
      <c r="K644" s="415"/>
      <c r="L644" s="336"/>
      <c r="M644" s="336"/>
      <c r="N644" s="336"/>
      <c r="O644" s="416"/>
      <c r="P644" s="336"/>
      <c r="Q644" s="415"/>
      <c r="R644" s="336"/>
      <c r="S644" s="336"/>
      <c r="T644" s="336"/>
      <c r="U644" s="336"/>
      <c r="V644" s="336"/>
      <c r="W644" s="336"/>
      <c r="X644" s="336"/>
      <c r="Y644" s="336"/>
      <c r="Z644" s="336"/>
      <c r="AA644" s="336"/>
      <c r="AB644" s="336"/>
      <c r="AC644" s="336"/>
      <c r="AD644" s="336"/>
      <c r="AE644"/>
      <c r="AF644" s="336"/>
      <c r="AG644" s="336"/>
      <c r="AH644" s="336"/>
      <c r="AI644" s="336"/>
      <c r="AJ644" s="336"/>
      <c r="AK644" s="336"/>
      <c r="AL644" s="336"/>
      <c r="AM644" s="336"/>
      <c r="AN644" s="336"/>
      <c r="AO644" s="336"/>
      <c r="AP644" s="336"/>
      <c r="AQ644" s="336"/>
      <c r="AR644" s="336"/>
      <c r="AS644" s="336"/>
      <c r="AT644" s="336"/>
    </row>
    <row r="645" spans="1:46" ht="14.45">
      <c r="A645" s="336"/>
      <c r="B645" s="336"/>
      <c r="C645" s="336"/>
      <c r="D645" s="336"/>
      <c r="E645" s="336"/>
      <c r="F645" s="336"/>
      <c r="G645" s="336"/>
      <c r="H645" s="336"/>
      <c r="I645" s="336"/>
      <c r="J645" s="336"/>
      <c r="K645" s="415"/>
      <c r="L645" s="336"/>
      <c r="M645" s="336"/>
      <c r="N645" s="336"/>
      <c r="O645" s="416"/>
      <c r="P645" s="336"/>
      <c r="Q645" s="415"/>
      <c r="R645" s="336"/>
      <c r="S645" s="336"/>
      <c r="T645" s="336"/>
      <c r="U645" s="336"/>
      <c r="V645" s="336"/>
      <c r="W645" s="336"/>
      <c r="X645" s="336"/>
      <c r="Y645" s="336"/>
      <c r="Z645" s="336"/>
      <c r="AA645" s="336"/>
      <c r="AB645" s="336"/>
      <c r="AC645" s="336"/>
      <c r="AD645" s="336"/>
      <c r="AE645"/>
      <c r="AF645" s="336"/>
      <c r="AG645" s="336"/>
      <c r="AH645" s="336"/>
      <c r="AI645" s="336"/>
      <c r="AJ645" s="336"/>
      <c r="AK645" s="336"/>
      <c r="AL645" s="336"/>
      <c r="AM645" s="336"/>
      <c r="AN645" s="336"/>
      <c r="AO645" s="336"/>
      <c r="AP645" s="336"/>
      <c r="AQ645" s="336"/>
      <c r="AR645" s="336"/>
      <c r="AS645" s="336"/>
      <c r="AT645" s="336"/>
    </row>
    <row r="646" spans="1:46" ht="14.45">
      <c r="A646" s="336"/>
      <c r="B646" s="336"/>
      <c r="C646" s="336"/>
      <c r="D646" s="336"/>
      <c r="E646" s="336"/>
      <c r="F646" s="336"/>
      <c r="G646" s="336"/>
      <c r="H646" s="336"/>
      <c r="I646" s="336"/>
      <c r="J646" s="336"/>
      <c r="K646" s="415"/>
      <c r="L646" s="336"/>
      <c r="M646" s="336"/>
      <c r="N646" s="336"/>
      <c r="O646" s="416"/>
      <c r="P646" s="336"/>
      <c r="Q646" s="415"/>
      <c r="R646" s="336"/>
      <c r="S646" s="336"/>
      <c r="T646" s="336"/>
      <c r="U646" s="336"/>
      <c r="V646" s="336"/>
      <c r="W646" s="336"/>
      <c r="X646" s="336"/>
      <c r="Y646" s="336"/>
      <c r="Z646" s="336"/>
      <c r="AA646" s="336"/>
      <c r="AB646" s="336"/>
      <c r="AC646" s="336"/>
      <c r="AD646" s="336"/>
      <c r="AE646"/>
      <c r="AF646" s="336"/>
      <c r="AG646" s="336"/>
      <c r="AH646" s="336"/>
      <c r="AI646" s="336"/>
      <c r="AJ646" s="336"/>
      <c r="AK646" s="336"/>
      <c r="AL646" s="336"/>
      <c r="AM646" s="336"/>
      <c r="AN646" s="336"/>
      <c r="AO646" s="336"/>
      <c r="AP646" s="336"/>
      <c r="AQ646" s="336"/>
      <c r="AR646" s="336"/>
      <c r="AS646" s="336"/>
      <c r="AT646" s="336"/>
    </row>
    <row r="647" spans="1:46" ht="14.45">
      <c r="A647" s="336"/>
      <c r="B647" s="336"/>
      <c r="C647" s="336"/>
      <c r="D647" s="336"/>
      <c r="E647" s="336"/>
      <c r="F647" s="336"/>
      <c r="G647" s="336"/>
      <c r="H647" s="336"/>
      <c r="I647" s="336"/>
      <c r="J647" s="336"/>
      <c r="K647" s="415"/>
      <c r="L647" s="336"/>
      <c r="M647" s="336"/>
      <c r="N647" s="336"/>
      <c r="O647" s="416"/>
      <c r="P647" s="336"/>
      <c r="Q647" s="415"/>
      <c r="R647" s="336"/>
      <c r="S647" s="336"/>
      <c r="T647" s="336"/>
      <c r="U647" s="336"/>
      <c r="V647" s="336"/>
      <c r="W647" s="336"/>
      <c r="X647" s="336"/>
      <c r="Y647" s="336"/>
      <c r="Z647" s="336"/>
      <c r="AA647" s="336"/>
      <c r="AB647" s="336"/>
      <c r="AC647" s="336"/>
      <c r="AD647" s="336"/>
      <c r="AE647"/>
      <c r="AF647" s="336"/>
      <c r="AG647" s="336"/>
      <c r="AH647" s="336"/>
      <c r="AI647" s="336"/>
      <c r="AJ647" s="336"/>
      <c r="AK647" s="336"/>
      <c r="AL647" s="336"/>
      <c r="AM647" s="336"/>
      <c r="AN647" s="336"/>
      <c r="AO647" s="336"/>
      <c r="AP647" s="336"/>
      <c r="AQ647" s="336"/>
      <c r="AR647" s="336"/>
      <c r="AS647" s="336"/>
      <c r="AT647" s="336"/>
    </row>
    <row r="648" spans="1:46" ht="14.45">
      <c r="A648" s="336"/>
      <c r="B648" s="336"/>
      <c r="C648" s="336"/>
      <c r="D648" s="336"/>
      <c r="E648" s="336"/>
      <c r="F648" s="336"/>
      <c r="G648" s="336"/>
      <c r="H648" s="336"/>
      <c r="I648" s="336"/>
      <c r="J648" s="336"/>
      <c r="K648" s="415"/>
      <c r="L648" s="336"/>
      <c r="M648" s="336"/>
      <c r="N648" s="336"/>
      <c r="O648" s="416"/>
      <c r="P648" s="336"/>
      <c r="Q648" s="415"/>
      <c r="R648" s="336"/>
      <c r="S648" s="336"/>
      <c r="T648" s="336"/>
      <c r="U648" s="336"/>
      <c r="V648" s="336"/>
      <c r="W648" s="336"/>
      <c r="X648" s="336"/>
      <c r="Y648" s="336"/>
      <c r="Z648" s="336"/>
      <c r="AA648" s="336"/>
      <c r="AB648" s="336"/>
      <c r="AC648" s="336"/>
      <c r="AD648" s="336"/>
      <c r="AE648"/>
      <c r="AF648" s="336"/>
      <c r="AG648" s="336"/>
      <c r="AH648" s="336"/>
      <c r="AI648" s="336"/>
      <c r="AJ648" s="336"/>
      <c r="AK648" s="336"/>
      <c r="AL648" s="336"/>
      <c r="AM648" s="336"/>
      <c r="AN648" s="336"/>
      <c r="AO648" s="336"/>
      <c r="AP648" s="336"/>
      <c r="AQ648" s="336"/>
      <c r="AR648" s="336"/>
      <c r="AS648" s="336"/>
      <c r="AT648" s="336"/>
    </row>
    <row r="649" spans="1:46" ht="14.45">
      <c r="A649" s="336"/>
      <c r="B649" s="336"/>
      <c r="C649" s="336"/>
      <c r="D649" s="336"/>
      <c r="E649" s="336"/>
      <c r="F649" s="336"/>
      <c r="G649" s="336"/>
      <c r="H649" s="336"/>
      <c r="I649" s="336"/>
      <c r="J649" s="336"/>
      <c r="K649" s="415"/>
      <c r="L649" s="336"/>
      <c r="M649" s="336"/>
      <c r="N649" s="336"/>
      <c r="O649" s="416"/>
      <c r="P649" s="336"/>
      <c r="Q649" s="415"/>
      <c r="R649" s="336"/>
      <c r="S649" s="336"/>
      <c r="T649" s="336"/>
      <c r="U649" s="336"/>
      <c r="V649" s="336"/>
      <c r="W649" s="336"/>
      <c r="X649" s="336"/>
      <c r="Y649" s="336"/>
      <c r="Z649" s="336"/>
      <c r="AA649" s="336"/>
      <c r="AB649" s="336"/>
      <c r="AC649" s="336"/>
      <c r="AD649" s="336"/>
      <c r="AE649"/>
      <c r="AF649" s="336"/>
      <c r="AG649" s="336"/>
      <c r="AH649" s="336"/>
      <c r="AI649" s="336"/>
      <c r="AJ649" s="336"/>
      <c r="AK649" s="336"/>
      <c r="AL649" s="336"/>
      <c r="AM649" s="336"/>
      <c r="AN649" s="336"/>
      <c r="AO649" s="336"/>
      <c r="AP649" s="336"/>
      <c r="AQ649" s="336"/>
      <c r="AR649" s="336"/>
      <c r="AS649" s="336"/>
      <c r="AT649" s="336"/>
    </row>
    <row r="650" spans="1:46" ht="14.45">
      <c r="A650" s="336"/>
      <c r="B650" s="336"/>
      <c r="C650" s="336"/>
      <c r="D650" s="336"/>
      <c r="E650" s="336"/>
      <c r="F650" s="336"/>
      <c r="G650" s="336"/>
      <c r="H650" s="336"/>
      <c r="I650" s="336"/>
      <c r="J650" s="336"/>
      <c r="K650" s="415"/>
      <c r="L650" s="336"/>
      <c r="M650" s="336"/>
      <c r="N650" s="336"/>
      <c r="O650" s="416"/>
      <c r="P650" s="336"/>
      <c r="Q650" s="415"/>
      <c r="R650" s="336"/>
      <c r="S650" s="336"/>
      <c r="T650" s="336"/>
      <c r="U650" s="336"/>
      <c r="V650" s="336"/>
      <c r="W650" s="336"/>
      <c r="X650" s="336"/>
      <c r="Y650" s="336"/>
      <c r="Z650" s="336"/>
      <c r="AA650" s="336"/>
      <c r="AB650" s="336"/>
      <c r="AC650" s="336"/>
      <c r="AD650" s="336"/>
      <c r="AE650"/>
      <c r="AF650" s="336"/>
      <c r="AG650" s="336"/>
      <c r="AH650" s="336"/>
      <c r="AI650" s="336"/>
      <c r="AJ650" s="336"/>
      <c r="AK650" s="336"/>
      <c r="AL650" s="336"/>
      <c r="AM650" s="336"/>
      <c r="AN650" s="336"/>
      <c r="AO650" s="336"/>
      <c r="AP650" s="336"/>
      <c r="AQ650" s="336"/>
      <c r="AR650" s="336"/>
      <c r="AS650" s="336"/>
      <c r="AT650" s="336"/>
    </row>
    <row r="651" spans="1:46" ht="14.45">
      <c r="A651" s="336"/>
      <c r="B651" s="336"/>
      <c r="C651" s="336"/>
      <c r="D651" s="336"/>
      <c r="E651" s="336"/>
      <c r="F651" s="336"/>
      <c r="G651" s="336"/>
      <c r="H651" s="336"/>
      <c r="I651" s="336"/>
      <c r="J651" s="336"/>
      <c r="K651" s="415"/>
      <c r="L651" s="336"/>
      <c r="M651" s="336"/>
      <c r="N651" s="336"/>
      <c r="O651" s="416"/>
      <c r="P651" s="336"/>
      <c r="Q651" s="415"/>
      <c r="R651" s="336"/>
      <c r="S651" s="336"/>
      <c r="T651" s="336"/>
      <c r="U651" s="336"/>
      <c r="V651" s="336"/>
      <c r="W651" s="336"/>
      <c r="X651" s="336"/>
      <c r="Y651" s="336"/>
      <c r="Z651" s="336"/>
      <c r="AA651" s="336"/>
      <c r="AB651" s="336"/>
      <c r="AC651" s="336"/>
      <c r="AD651" s="336"/>
      <c r="AE651"/>
      <c r="AF651" s="336"/>
      <c r="AG651" s="336"/>
      <c r="AH651" s="336"/>
      <c r="AI651" s="336"/>
      <c r="AJ651" s="336"/>
      <c r="AK651" s="336"/>
      <c r="AL651" s="336"/>
      <c r="AM651" s="336"/>
      <c r="AN651" s="336"/>
      <c r="AO651" s="336"/>
      <c r="AP651" s="336"/>
      <c r="AQ651" s="336"/>
      <c r="AR651" s="336"/>
      <c r="AS651" s="336"/>
      <c r="AT651" s="336"/>
    </row>
    <row r="652" spans="1:46" ht="14.45">
      <c r="A652" s="336"/>
      <c r="B652" s="336"/>
      <c r="C652" s="336"/>
      <c r="D652" s="336"/>
      <c r="E652" s="336"/>
      <c r="F652" s="336"/>
      <c r="G652" s="336"/>
      <c r="H652" s="336"/>
      <c r="I652" s="336"/>
      <c r="J652" s="336"/>
      <c r="K652" s="415"/>
      <c r="L652" s="336"/>
      <c r="M652" s="336"/>
      <c r="N652" s="336"/>
      <c r="O652" s="416"/>
      <c r="P652" s="336"/>
      <c r="Q652" s="415"/>
      <c r="R652" s="336"/>
      <c r="S652" s="336"/>
      <c r="T652" s="336"/>
      <c r="U652" s="336"/>
      <c r="V652" s="336"/>
      <c r="W652" s="336"/>
      <c r="X652" s="336"/>
      <c r="Y652" s="336"/>
      <c r="Z652" s="336"/>
      <c r="AA652" s="336"/>
      <c r="AB652" s="336"/>
      <c r="AC652" s="336"/>
      <c r="AD652" s="336"/>
      <c r="AE652"/>
      <c r="AF652" s="336"/>
      <c r="AG652" s="336"/>
      <c r="AH652" s="336"/>
      <c r="AI652" s="336"/>
      <c r="AJ652" s="336"/>
      <c r="AK652" s="336"/>
      <c r="AL652" s="336"/>
      <c r="AM652" s="336"/>
      <c r="AN652" s="336"/>
      <c r="AO652" s="336"/>
      <c r="AP652" s="336"/>
      <c r="AQ652" s="336"/>
      <c r="AR652" s="336"/>
      <c r="AS652" s="336"/>
      <c r="AT652" s="336"/>
    </row>
    <row r="653" spans="1:46" ht="14.45">
      <c r="A653" s="336"/>
      <c r="B653" s="336"/>
      <c r="C653" s="336"/>
      <c r="D653" s="336"/>
      <c r="E653" s="336"/>
      <c r="F653" s="336"/>
      <c r="G653" s="336"/>
      <c r="H653" s="336"/>
      <c r="I653" s="336"/>
      <c r="J653" s="336"/>
      <c r="K653" s="415"/>
      <c r="L653" s="336"/>
      <c r="M653" s="336"/>
      <c r="N653" s="336"/>
      <c r="O653" s="416"/>
      <c r="P653" s="336"/>
      <c r="Q653" s="415"/>
      <c r="R653" s="336"/>
      <c r="S653" s="336"/>
      <c r="T653" s="336"/>
      <c r="U653" s="336"/>
      <c r="V653" s="336"/>
      <c r="W653" s="336"/>
      <c r="X653" s="336"/>
      <c r="Y653" s="336"/>
      <c r="Z653" s="336"/>
      <c r="AA653" s="336"/>
      <c r="AB653" s="336"/>
      <c r="AC653" s="336"/>
      <c r="AD653" s="336"/>
      <c r="AE653"/>
      <c r="AF653" s="336"/>
      <c r="AG653" s="336"/>
      <c r="AH653" s="336"/>
      <c r="AI653" s="336"/>
      <c r="AJ653" s="336"/>
      <c r="AK653" s="336"/>
      <c r="AL653" s="336"/>
      <c r="AM653" s="336"/>
      <c r="AN653" s="336"/>
      <c r="AO653" s="336"/>
      <c r="AP653" s="336"/>
      <c r="AQ653" s="336"/>
      <c r="AR653" s="336"/>
      <c r="AS653" s="336"/>
      <c r="AT653" s="336"/>
    </row>
    <row r="654" spans="1:46" ht="14.45">
      <c r="A654" s="336"/>
      <c r="B654" s="336"/>
      <c r="C654" s="336"/>
      <c r="D654" s="336"/>
      <c r="E654" s="336"/>
      <c r="F654" s="336"/>
      <c r="G654" s="336"/>
      <c r="H654" s="336"/>
      <c r="I654" s="336"/>
      <c r="J654" s="336"/>
      <c r="K654" s="415"/>
      <c r="L654" s="336"/>
      <c r="M654" s="336"/>
      <c r="N654" s="336"/>
      <c r="O654" s="416"/>
      <c r="P654" s="336"/>
      <c r="Q654" s="415"/>
      <c r="R654" s="336"/>
      <c r="S654" s="336"/>
      <c r="T654" s="336"/>
      <c r="U654" s="336"/>
      <c r="V654" s="336"/>
      <c r="W654" s="336"/>
      <c r="X654" s="336"/>
      <c r="Y654" s="336"/>
      <c r="Z654" s="336"/>
      <c r="AA654" s="336"/>
      <c r="AB654" s="336"/>
      <c r="AC654" s="336"/>
      <c r="AD654" s="336"/>
      <c r="AE654"/>
      <c r="AF654" s="336"/>
      <c r="AG654" s="336"/>
      <c r="AH654" s="336"/>
      <c r="AI654" s="336"/>
      <c r="AJ654" s="336"/>
      <c r="AK654" s="336"/>
      <c r="AL654" s="336"/>
      <c r="AM654" s="336"/>
      <c r="AN654" s="336"/>
      <c r="AO654" s="336"/>
      <c r="AP654" s="336"/>
      <c r="AQ654" s="336"/>
      <c r="AR654" s="336"/>
      <c r="AS654" s="336"/>
      <c r="AT654" s="336"/>
    </row>
    <row r="655" spans="1:46" ht="14.45">
      <c r="A655" s="336"/>
      <c r="B655" s="336"/>
      <c r="C655" s="336"/>
      <c r="D655" s="336"/>
      <c r="E655" s="336"/>
      <c r="F655" s="336"/>
      <c r="G655" s="336"/>
      <c r="H655" s="336"/>
      <c r="I655" s="336"/>
      <c r="J655" s="336"/>
      <c r="K655" s="415"/>
      <c r="L655" s="336"/>
      <c r="M655" s="336"/>
      <c r="N655" s="336"/>
      <c r="O655" s="416"/>
      <c r="P655" s="336"/>
      <c r="Q655" s="415"/>
      <c r="R655" s="336"/>
      <c r="S655" s="336"/>
      <c r="T655" s="336"/>
      <c r="U655" s="336"/>
      <c r="V655" s="336"/>
      <c r="W655" s="336"/>
      <c r="X655" s="336"/>
      <c r="Y655" s="336"/>
      <c r="Z655" s="336"/>
      <c r="AA655" s="336"/>
      <c r="AB655" s="336"/>
      <c r="AC655" s="336"/>
      <c r="AD655" s="336"/>
      <c r="AE655"/>
      <c r="AF655" s="336"/>
      <c r="AG655" s="336"/>
      <c r="AH655" s="336"/>
      <c r="AI655" s="336"/>
      <c r="AJ655" s="336"/>
      <c r="AK655" s="336"/>
      <c r="AL655" s="336"/>
      <c r="AM655" s="336"/>
      <c r="AN655" s="336"/>
      <c r="AO655" s="336"/>
      <c r="AP655" s="336"/>
      <c r="AQ655" s="336"/>
      <c r="AR655" s="336"/>
      <c r="AS655" s="336"/>
      <c r="AT655" s="336"/>
    </row>
    <row r="656" spans="1:46" ht="14.45">
      <c r="A656" s="336"/>
      <c r="B656" s="336"/>
      <c r="C656" s="336"/>
      <c r="D656" s="336"/>
      <c r="E656" s="336"/>
      <c r="F656" s="336"/>
      <c r="G656" s="336"/>
      <c r="H656" s="336"/>
      <c r="I656" s="336"/>
      <c r="J656" s="336"/>
      <c r="K656" s="415"/>
      <c r="L656" s="336"/>
      <c r="M656" s="336"/>
      <c r="N656" s="336"/>
      <c r="O656" s="416"/>
      <c r="P656" s="336"/>
      <c r="Q656" s="415"/>
      <c r="R656" s="336"/>
      <c r="S656" s="336"/>
      <c r="T656" s="336"/>
      <c r="U656" s="336"/>
      <c r="V656" s="336"/>
      <c r="W656" s="336"/>
      <c r="X656" s="336"/>
      <c r="Y656" s="336"/>
      <c r="Z656" s="336"/>
      <c r="AA656" s="336"/>
      <c r="AB656" s="336"/>
      <c r="AC656" s="336"/>
      <c r="AD656" s="336"/>
      <c r="AE656"/>
      <c r="AF656" s="336"/>
      <c r="AG656" s="336"/>
      <c r="AH656" s="336"/>
      <c r="AI656" s="336"/>
      <c r="AJ656" s="336"/>
      <c r="AK656" s="336"/>
      <c r="AL656" s="336"/>
      <c r="AM656" s="336"/>
      <c r="AN656" s="336"/>
      <c r="AO656" s="336"/>
      <c r="AP656" s="336"/>
      <c r="AQ656" s="336"/>
      <c r="AR656" s="336"/>
      <c r="AS656" s="336"/>
      <c r="AT656" s="336"/>
    </row>
    <row r="657" spans="1:46" ht="14.45">
      <c r="A657" s="336"/>
      <c r="B657" s="336"/>
      <c r="C657" s="336"/>
      <c r="D657" s="336"/>
      <c r="E657" s="336"/>
      <c r="F657" s="336"/>
      <c r="G657" s="336"/>
      <c r="H657" s="336"/>
      <c r="I657" s="336"/>
      <c r="J657" s="336"/>
      <c r="K657" s="415"/>
      <c r="L657" s="336"/>
      <c r="M657" s="336"/>
      <c r="N657" s="336"/>
      <c r="O657" s="416"/>
      <c r="P657" s="336"/>
      <c r="Q657" s="415"/>
      <c r="R657" s="336"/>
      <c r="S657" s="336"/>
      <c r="T657" s="336"/>
      <c r="U657" s="336"/>
      <c r="V657" s="336"/>
      <c r="W657" s="336"/>
      <c r="X657" s="336"/>
      <c r="Y657" s="336"/>
      <c r="Z657" s="336"/>
      <c r="AA657" s="336"/>
      <c r="AB657" s="336"/>
      <c r="AC657" s="336"/>
      <c r="AD657" s="336"/>
      <c r="AE657"/>
      <c r="AF657" s="336"/>
      <c r="AG657" s="336"/>
      <c r="AH657" s="336"/>
      <c r="AI657" s="336"/>
      <c r="AJ657" s="336"/>
      <c r="AK657" s="336"/>
      <c r="AL657" s="336"/>
      <c r="AM657" s="336"/>
      <c r="AN657" s="336"/>
      <c r="AO657" s="336"/>
      <c r="AP657" s="336"/>
      <c r="AQ657" s="336"/>
      <c r="AR657" s="336"/>
      <c r="AS657" s="336"/>
      <c r="AT657" s="336"/>
    </row>
    <row r="658" spans="1:46" ht="14.45">
      <c r="A658" s="336"/>
      <c r="B658" s="336"/>
      <c r="C658" s="336"/>
      <c r="D658" s="336"/>
      <c r="E658" s="336"/>
      <c r="F658" s="336"/>
      <c r="G658" s="336"/>
      <c r="H658" s="336"/>
      <c r="I658" s="336"/>
      <c r="J658" s="336"/>
      <c r="K658" s="415"/>
      <c r="L658" s="336"/>
      <c r="M658" s="336"/>
      <c r="N658" s="336"/>
      <c r="O658" s="416"/>
      <c r="P658" s="336"/>
      <c r="Q658" s="415"/>
      <c r="R658" s="336"/>
      <c r="S658" s="336"/>
      <c r="T658" s="336"/>
      <c r="U658" s="336"/>
      <c r="V658" s="336"/>
      <c r="W658" s="336"/>
      <c r="X658" s="336"/>
      <c r="Y658" s="336"/>
      <c r="Z658" s="336"/>
      <c r="AA658" s="336"/>
      <c r="AB658" s="336"/>
      <c r="AC658" s="336"/>
      <c r="AD658" s="336"/>
      <c r="AE658"/>
      <c r="AF658" s="336"/>
      <c r="AG658" s="336"/>
      <c r="AH658" s="336"/>
      <c r="AI658" s="336"/>
      <c r="AJ658" s="336"/>
      <c r="AK658" s="336"/>
      <c r="AL658" s="336"/>
      <c r="AM658" s="336"/>
      <c r="AN658" s="336"/>
      <c r="AO658" s="336"/>
      <c r="AP658" s="336"/>
      <c r="AQ658" s="336"/>
      <c r="AR658" s="336"/>
      <c r="AS658" s="336"/>
      <c r="AT658" s="336"/>
    </row>
    <row r="659" spans="1:46" ht="14.45">
      <c r="A659" s="336"/>
      <c r="B659" s="336"/>
      <c r="C659" s="336"/>
      <c r="D659" s="336"/>
      <c r="E659" s="336"/>
      <c r="F659" s="336"/>
      <c r="G659" s="336"/>
      <c r="H659" s="336"/>
      <c r="I659" s="336"/>
      <c r="J659" s="336"/>
      <c r="K659" s="415"/>
      <c r="L659" s="336"/>
      <c r="M659" s="336"/>
      <c r="N659" s="336"/>
      <c r="O659" s="416"/>
      <c r="P659" s="336"/>
      <c r="Q659" s="415"/>
      <c r="R659" s="336"/>
      <c r="S659" s="336"/>
      <c r="T659" s="336"/>
      <c r="U659" s="336"/>
      <c r="V659" s="336"/>
      <c r="W659" s="336"/>
      <c r="X659" s="336"/>
      <c r="Y659" s="336"/>
      <c r="Z659" s="336"/>
      <c r="AA659" s="336"/>
      <c r="AB659" s="336"/>
      <c r="AC659" s="336"/>
      <c r="AD659" s="336"/>
      <c r="AE659"/>
      <c r="AF659" s="336"/>
      <c r="AG659" s="336"/>
      <c r="AH659" s="336"/>
      <c r="AI659" s="336"/>
      <c r="AJ659" s="336"/>
      <c r="AK659" s="336"/>
      <c r="AL659" s="336"/>
      <c r="AM659" s="336"/>
      <c r="AN659" s="336"/>
      <c r="AO659" s="336"/>
      <c r="AP659" s="336"/>
      <c r="AQ659" s="336"/>
      <c r="AR659" s="336"/>
      <c r="AS659" s="336"/>
      <c r="AT659" s="336"/>
    </row>
    <row r="660" spans="1:46" ht="14.45">
      <c r="A660" s="336"/>
      <c r="B660" s="336"/>
      <c r="C660" s="336"/>
      <c r="D660" s="336"/>
      <c r="E660" s="336"/>
      <c r="F660" s="336"/>
      <c r="G660" s="336"/>
      <c r="H660" s="336"/>
      <c r="I660" s="336"/>
      <c r="J660" s="336"/>
      <c r="K660" s="415"/>
      <c r="L660" s="336"/>
      <c r="M660" s="336"/>
      <c r="N660" s="336"/>
      <c r="O660" s="416"/>
      <c r="P660" s="336"/>
      <c r="Q660" s="415"/>
      <c r="R660" s="336"/>
      <c r="S660" s="336"/>
      <c r="T660" s="336"/>
      <c r="U660" s="336"/>
      <c r="V660" s="336"/>
      <c r="W660" s="336"/>
      <c r="X660" s="336"/>
      <c r="Y660" s="336"/>
      <c r="Z660" s="336"/>
      <c r="AA660" s="336"/>
      <c r="AB660" s="336"/>
      <c r="AC660" s="336"/>
      <c r="AD660" s="336"/>
      <c r="AE660"/>
      <c r="AF660" s="336"/>
      <c r="AG660" s="336"/>
      <c r="AH660" s="336"/>
      <c r="AI660" s="336"/>
      <c r="AJ660" s="336"/>
      <c r="AK660" s="336"/>
      <c r="AL660" s="336"/>
      <c r="AM660" s="336"/>
      <c r="AN660" s="336"/>
      <c r="AO660" s="336"/>
      <c r="AP660" s="336"/>
      <c r="AQ660" s="336"/>
      <c r="AR660" s="336"/>
      <c r="AS660" s="336"/>
      <c r="AT660" s="336"/>
    </row>
    <row r="661" spans="1:46" ht="14.45">
      <c r="A661" s="336"/>
      <c r="B661" s="336"/>
      <c r="C661" s="336"/>
      <c r="D661" s="336"/>
      <c r="E661" s="336"/>
      <c r="F661" s="336"/>
      <c r="G661" s="336"/>
      <c r="H661" s="336"/>
      <c r="I661" s="336"/>
      <c r="J661" s="336"/>
      <c r="K661" s="415"/>
      <c r="L661" s="336"/>
      <c r="M661" s="336"/>
      <c r="N661" s="336"/>
      <c r="O661" s="416"/>
      <c r="P661" s="336"/>
      <c r="Q661" s="415"/>
      <c r="R661" s="336"/>
      <c r="S661" s="336"/>
      <c r="T661" s="336"/>
      <c r="U661" s="336"/>
      <c r="V661" s="336"/>
      <c r="W661" s="336"/>
      <c r="X661" s="336"/>
      <c r="Y661" s="336"/>
      <c r="Z661" s="336"/>
      <c r="AA661" s="336"/>
      <c r="AB661" s="336"/>
      <c r="AC661" s="336"/>
      <c r="AD661" s="336"/>
      <c r="AE661"/>
      <c r="AF661" s="336"/>
      <c r="AG661" s="336"/>
      <c r="AH661" s="336"/>
      <c r="AI661" s="336"/>
      <c r="AJ661" s="336"/>
      <c r="AK661" s="336"/>
      <c r="AL661" s="336"/>
      <c r="AM661" s="336"/>
      <c r="AN661" s="336"/>
      <c r="AO661" s="336"/>
      <c r="AP661" s="336"/>
      <c r="AQ661" s="336"/>
      <c r="AR661" s="336"/>
      <c r="AS661" s="336"/>
      <c r="AT661" s="336"/>
    </row>
    <row r="662" spans="1:46" ht="14.45">
      <c r="A662" s="336"/>
      <c r="B662" s="336"/>
      <c r="C662" s="336"/>
      <c r="D662" s="336"/>
      <c r="E662" s="336"/>
      <c r="F662" s="336"/>
      <c r="G662" s="336"/>
      <c r="H662" s="336"/>
      <c r="I662" s="336"/>
      <c r="J662" s="336"/>
      <c r="K662" s="415"/>
      <c r="L662" s="336"/>
      <c r="M662" s="336"/>
      <c r="N662" s="336"/>
      <c r="O662" s="416"/>
      <c r="P662" s="336"/>
      <c r="Q662" s="415"/>
      <c r="R662" s="336"/>
      <c r="S662" s="336"/>
      <c r="T662" s="336"/>
      <c r="U662" s="336"/>
      <c r="V662" s="336"/>
      <c r="W662" s="336"/>
      <c r="X662" s="336"/>
      <c r="Y662" s="336"/>
      <c r="Z662" s="336"/>
      <c r="AA662" s="336"/>
      <c r="AB662" s="336"/>
      <c r="AC662" s="336"/>
      <c r="AD662" s="336"/>
      <c r="AE662"/>
      <c r="AF662" s="336"/>
      <c r="AG662" s="336"/>
      <c r="AH662" s="336"/>
      <c r="AI662" s="336"/>
      <c r="AJ662" s="336"/>
      <c r="AK662" s="336"/>
      <c r="AL662" s="336"/>
      <c r="AM662" s="336"/>
      <c r="AN662" s="336"/>
      <c r="AO662" s="336"/>
      <c r="AP662" s="336"/>
      <c r="AQ662" s="336"/>
      <c r="AR662" s="336"/>
      <c r="AS662" s="336"/>
      <c r="AT662" s="336"/>
    </row>
    <row r="663" spans="1:46" ht="14.45">
      <c r="A663" s="336"/>
      <c r="B663" s="336"/>
      <c r="C663" s="336"/>
      <c r="D663" s="336"/>
      <c r="E663" s="336"/>
      <c r="F663" s="336"/>
      <c r="G663" s="336"/>
      <c r="H663" s="336"/>
      <c r="I663" s="336"/>
      <c r="J663" s="336"/>
      <c r="K663" s="415"/>
      <c r="L663" s="336"/>
      <c r="M663" s="336"/>
      <c r="N663" s="336"/>
      <c r="O663" s="416"/>
      <c r="P663" s="336"/>
      <c r="Q663" s="415"/>
      <c r="R663" s="336"/>
      <c r="S663" s="336"/>
      <c r="T663" s="336"/>
      <c r="U663" s="336"/>
      <c r="V663" s="336"/>
      <c r="W663" s="336"/>
      <c r="X663" s="336"/>
      <c r="Y663" s="336"/>
      <c r="Z663" s="336"/>
      <c r="AA663" s="336"/>
      <c r="AB663" s="336"/>
      <c r="AC663" s="336"/>
      <c r="AD663" s="336"/>
      <c r="AE663"/>
      <c r="AF663" s="336"/>
      <c r="AG663" s="336"/>
      <c r="AH663" s="336"/>
      <c r="AI663" s="336"/>
      <c r="AJ663" s="336"/>
      <c r="AK663" s="336"/>
      <c r="AL663" s="336"/>
      <c r="AM663" s="336"/>
      <c r="AN663" s="336"/>
      <c r="AO663" s="336"/>
      <c r="AP663" s="336"/>
      <c r="AQ663" s="336"/>
      <c r="AR663" s="336"/>
      <c r="AS663" s="336"/>
      <c r="AT663" s="336"/>
    </row>
    <row r="664" spans="1:46" ht="14.45">
      <c r="A664" s="336"/>
      <c r="B664" s="336"/>
      <c r="C664" s="336"/>
      <c r="D664" s="336"/>
      <c r="E664" s="336"/>
      <c r="F664" s="336"/>
      <c r="G664" s="336"/>
      <c r="H664" s="336"/>
      <c r="I664" s="336"/>
      <c r="J664" s="336"/>
      <c r="K664" s="415"/>
      <c r="L664" s="336"/>
      <c r="M664" s="336"/>
      <c r="N664" s="336"/>
      <c r="O664" s="416"/>
      <c r="P664" s="336"/>
      <c r="Q664" s="415"/>
      <c r="R664" s="336"/>
      <c r="S664" s="336"/>
      <c r="T664" s="336"/>
      <c r="U664" s="336"/>
      <c r="V664" s="336"/>
      <c r="W664" s="336"/>
      <c r="X664" s="336"/>
      <c r="Y664" s="336"/>
      <c r="Z664" s="336"/>
      <c r="AA664" s="336"/>
      <c r="AB664" s="336"/>
      <c r="AC664" s="336"/>
      <c r="AD664" s="336"/>
      <c r="AE664"/>
      <c r="AF664" s="336"/>
      <c r="AG664" s="336"/>
      <c r="AH664" s="336"/>
      <c r="AI664" s="336"/>
      <c r="AJ664" s="336"/>
      <c r="AK664" s="336"/>
      <c r="AL664" s="336"/>
      <c r="AM664" s="336"/>
      <c r="AN664" s="336"/>
      <c r="AO664" s="336"/>
      <c r="AP664" s="336"/>
      <c r="AQ664" s="336"/>
      <c r="AR664" s="336"/>
      <c r="AS664" s="336"/>
      <c r="AT664" s="336"/>
    </row>
    <row r="665" spans="1:46" ht="14.45">
      <c r="A665" s="336"/>
      <c r="B665" s="336"/>
      <c r="C665" s="336"/>
      <c r="D665" s="336"/>
      <c r="E665" s="336"/>
      <c r="F665" s="336"/>
      <c r="G665" s="336"/>
      <c r="H665" s="336"/>
      <c r="I665" s="336"/>
      <c r="J665" s="336"/>
      <c r="K665" s="415"/>
      <c r="L665" s="336"/>
      <c r="M665" s="336"/>
      <c r="N665" s="336"/>
      <c r="O665" s="416"/>
      <c r="P665" s="336"/>
      <c r="Q665" s="415"/>
      <c r="R665" s="336"/>
      <c r="S665" s="336"/>
      <c r="T665" s="336"/>
      <c r="U665" s="336"/>
      <c r="V665" s="336"/>
      <c r="W665" s="336"/>
      <c r="X665" s="336"/>
      <c r="Y665" s="336"/>
      <c r="Z665" s="336"/>
      <c r="AA665" s="336"/>
      <c r="AB665" s="336"/>
      <c r="AC665" s="336"/>
      <c r="AD665" s="336"/>
      <c r="AE665"/>
      <c r="AF665" s="336"/>
      <c r="AG665" s="336"/>
      <c r="AH665" s="336"/>
      <c r="AI665" s="336"/>
      <c r="AJ665" s="336"/>
      <c r="AK665" s="336"/>
      <c r="AL665" s="336"/>
      <c r="AM665" s="336"/>
      <c r="AN665" s="336"/>
      <c r="AO665" s="336"/>
      <c r="AP665" s="336"/>
      <c r="AQ665" s="336"/>
      <c r="AR665" s="336"/>
      <c r="AS665" s="336"/>
      <c r="AT665" s="336"/>
    </row>
    <row r="666" spans="1:46" ht="14.45">
      <c r="A666" s="336"/>
      <c r="B666" s="336"/>
      <c r="C666" s="336"/>
      <c r="D666" s="336"/>
      <c r="E666" s="336"/>
      <c r="F666" s="336"/>
      <c r="G666" s="336"/>
      <c r="H666" s="336"/>
      <c r="I666" s="336"/>
      <c r="J666" s="336"/>
      <c r="K666" s="415"/>
      <c r="L666" s="336"/>
      <c r="M666" s="336"/>
      <c r="N666" s="336"/>
      <c r="O666" s="416"/>
      <c r="P666" s="336"/>
      <c r="Q666" s="415"/>
      <c r="R666" s="336"/>
      <c r="S666" s="336"/>
      <c r="T666" s="336"/>
      <c r="U666" s="336"/>
      <c r="V666" s="336"/>
      <c r="W666" s="336"/>
      <c r="X666" s="336"/>
      <c r="Y666" s="336"/>
      <c r="Z666" s="336"/>
      <c r="AA666" s="336"/>
      <c r="AB666" s="336"/>
      <c r="AC666" s="336"/>
      <c r="AD666" s="336"/>
      <c r="AE666"/>
      <c r="AF666" s="336"/>
      <c r="AG666" s="336"/>
      <c r="AH666" s="336"/>
      <c r="AI666" s="336"/>
      <c r="AJ666" s="336"/>
      <c r="AK666" s="336"/>
      <c r="AL666" s="336"/>
      <c r="AM666" s="336"/>
      <c r="AN666" s="336"/>
      <c r="AO666" s="336"/>
      <c r="AP666" s="336"/>
      <c r="AQ666" s="336"/>
      <c r="AR666" s="336"/>
      <c r="AS666" s="336"/>
      <c r="AT666" s="336"/>
    </row>
    <row r="667" spans="1:46" ht="14.45">
      <c r="A667" s="336"/>
      <c r="B667" s="336"/>
      <c r="C667" s="336"/>
      <c r="D667" s="336"/>
      <c r="E667" s="336"/>
      <c r="F667" s="336"/>
      <c r="G667" s="336"/>
      <c r="H667" s="336"/>
      <c r="I667" s="336"/>
      <c r="J667" s="336"/>
      <c r="K667" s="415"/>
      <c r="L667" s="336"/>
      <c r="M667" s="336"/>
      <c r="N667" s="336"/>
      <c r="O667" s="416"/>
      <c r="P667" s="336"/>
      <c r="Q667" s="415"/>
      <c r="R667" s="336"/>
      <c r="S667" s="336"/>
      <c r="T667" s="336"/>
      <c r="U667" s="336"/>
      <c r="V667" s="336"/>
      <c r="W667" s="336"/>
      <c r="X667" s="336"/>
      <c r="Y667" s="336"/>
      <c r="Z667" s="336"/>
      <c r="AA667" s="336"/>
      <c r="AB667" s="336"/>
      <c r="AC667" s="336"/>
      <c r="AD667" s="336"/>
      <c r="AE667"/>
      <c r="AF667" s="336"/>
      <c r="AG667" s="336"/>
      <c r="AH667" s="336"/>
      <c r="AI667" s="336"/>
      <c r="AJ667" s="336"/>
      <c r="AK667" s="336"/>
      <c r="AL667" s="336"/>
      <c r="AM667" s="336"/>
      <c r="AN667" s="336"/>
      <c r="AO667" s="336"/>
      <c r="AP667" s="336"/>
      <c r="AQ667" s="336"/>
      <c r="AR667" s="336"/>
      <c r="AS667" s="336"/>
      <c r="AT667" s="336"/>
    </row>
    <row r="668" spans="1:46" ht="14.45">
      <c r="A668" s="336"/>
      <c r="B668" s="336"/>
      <c r="C668" s="336"/>
      <c r="D668" s="336"/>
      <c r="E668" s="336"/>
      <c r="F668" s="336"/>
      <c r="G668" s="336"/>
      <c r="H668" s="336"/>
      <c r="I668" s="336"/>
      <c r="J668" s="336"/>
      <c r="K668" s="415"/>
      <c r="L668" s="336"/>
      <c r="M668" s="336"/>
      <c r="N668" s="336"/>
      <c r="O668" s="416"/>
      <c r="P668" s="336"/>
      <c r="Q668" s="415"/>
      <c r="R668" s="336"/>
      <c r="S668" s="336"/>
      <c r="T668" s="336"/>
      <c r="U668" s="336"/>
      <c r="V668" s="336"/>
      <c r="W668" s="336"/>
      <c r="X668" s="336"/>
      <c r="Y668" s="336"/>
      <c r="Z668" s="336"/>
      <c r="AA668" s="336"/>
      <c r="AB668" s="336"/>
      <c r="AC668" s="336"/>
      <c r="AD668" s="336"/>
      <c r="AE668"/>
      <c r="AF668" s="336"/>
      <c r="AG668" s="336"/>
      <c r="AH668" s="336"/>
      <c r="AI668" s="336"/>
      <c r="AJ668" s="336"/>
      <c r="AK668" s="336"/>
      <c r="AL668" s="336"/>
      <c r="AM668" s="336"/>
      <c r="AN668" s="336"/>
      <c r="AO668" s="336"/>
      <c r="AP668" s="336"/>
      <c r="AQ668" s="336"/>
      <c r="AR668" s="336"/>
      <c r="AS668" s="336"/>
      <c r="AT668" s="336"/>
    </row>
    <row r="669" spans="1:46" ht="14.45">
      <c r="A669" s="336"/>
      <c r="B669" s="336"/>
      <c r="C669" s="336"/>
      <c r="D669" s="336"/>
      <c r="E669" s="336"/>
      <c r="F669" s="336"/>
      <c r="G669" s="336"/>
      <c r="H669" s="336"/>
      <c r="I669" s="336"/>
      <c r="J669" s="336"/>
      <c r="K669" s="415"/>
      <c r="L669" s="336"/>
      <c r="M669" s="336"/>
      <c r="N669" s="336"/>
      <c r="O669" s="416"/>
      <c r="P669" s="336"/>
      <c r="Q669" s="415"/>
      <c r="R669" s="336"/>
      <c r="S669" s="336"/>
      <c r="T669" s="336"/>
      <c r="U669" s="336"/>
      <c r="V669" s="336"/>
      <c r="W669" s="336"/>
      <c r="X669" s="336"/>
      <c r="Y669" s="336"/>
      <c r="Z669" s="336"/>
      <c r="AA669" s="336"/>
      <c r="AB669" s="336"/>
      <c r="AC669" s="336"/>
      <c r="AD669" s="336"/>
      <c r="AE669"/>
      <c r="AF669" s="336"/>
      <c r="AG669" s="336"/>
      <c r="AH669" s="336"/>
      <c r="AI669" s="336"/>
      <c r="AJ669" s="336"/>
      <c r="AK669" s="336"/>
      <c r="AL669" s="336"/>
      <c r="AM669" s="336"/>
      <c r="AN669" s="336"/>
      <c r="AO669" s="336"/>
      <c r="AP669" s="336"/>
      <c r="AQ669" s="336"/>
      <c r="AR669" s="336"/>
      <c r="AS669" s="336"/>
      <c r="AT669" s="336"/>
    </row>
    <row r="670" spans="1:46" ht="14.45">
      <c r="A670" s="336"/>
      <c r="B670" s="336"/>
      <c r="C670" s="336"/>
      <c r="D670" s="336"/>
      <c r="E670" s="336"/>
      <c r="F670" s="336"/>
      <c r="G670" s="336"/>
      <c r="H670" s="336"/>
      <c r="I670" s="336"/>
      <c r="J670" s="336"/>
      <c r="K670" s="415"/>
      <c r="L670" s="336"/>
      <c r="M670" s="336"/>
      <c r="N670" s="336"/>
      <c r="O670" s="416"/>
      <c r="P670" s="336"/>
      <c r="Q670" s="415"/>
      <c r="R670" s="336"/>
      <c r="S670" s="336"/>
      <c r="T670" s="336"/>
      <c r="U670" s="336"/>
      <c r="V670" s="336"/>
      <c r="W670" s="336"/>
      <c r="X670" s="336"/>
      <c r="Y670" s="336"/>
      <c r="Z670" s="336"/>
      <c r="AA670" s="336"/>
      <c r="AB670" s="336"/>
      <c r="AC670" s="336"/>
      <c r="AD670" s="336"/>
      <c r="AE670"/>
      <c r="AF670" s="336"/>
      <c r="AG670" s="336"/>
      <c r="AH670" s="336"/>
      <c r="AI670" s="336"/>
      <c r="AJ670" s="336"/>
      <c r="AK670" s="336"/>
      <c r="AL670" s="336"/>
      <c r="AM670" s="336"/>
      <c r="AN670" s="336"/>
      <c r="AO670" s="336"/>
      <c r="AP670" s="336"/>
      <c r="AQ670" s="336"/>
      <c r="AR670" s="336"/>
      <c r="AS670" s="336"/>
      <c r="AT670" s="336"/>
    </row>
    <row r="671" spans="1:46" ht="14.45">
      <c r="A671" s="336"/>
      <c r="B671" s="336"/>
      <c r="C671" s="336"/>
      <c r="D671" s="336"/>
      <c r="E671" s="336"/>
      <c r="F671" s="336"/>
      <c r="G671" s="336"/>
      <c r="H671" s="336"/>
      <c r="I671" s="336"/>
      <c r="J671" s="336"/>
      <c r="K671" s="415"/>
      <c r="L671" s="336"/>
      <c r="M671" s="336"/>
      <c r="N671" s="336"/>
      <c r="O671" s="416"/>
      <c r="P671" s="336"/>
      <c r="Q671" s="415"/>
      <c r="R671" s="336"/>
      <c r="S671" s="336"/>
      <c r="T671" s="336"/>
      <c r="U671" s="336"/>
      <c r="V671" s="336"/>
      <c r="W671" s="336"/>
      <c r="X671" s="336"/>
      <c r="Y671" s="336"/>
      <c r="Z671" s="336"/>
      <c r="AA671" s="336"/>
      <c r="AB671" s="336"/>
      <c r="AC671" s="336"/>
      <c r="AD671" s="336"/>
      <c r="AE671"/>
      <c r="AF671" s="336"/>
      <c r="AG671" s="336"/>
      <c r="AH671" s="336"/>
      <c r="AI671" s="336"/>
      <c r="AJ671" s="336"/>
      <c r="AK671" s="336"/>
      <c r="AL671" s="336"/>
      <c r="AM671" s="336"/>
      <c r="AN671" s="336"/>
      <c r="AO671" s="336"/>
      <c r="AP671" s="336"/>
      <c r="AQ671" s="336"/>
      <c r="AR671" s="336"/>
      <c r="AS671" s="336"/>
      <c r="AT671" s="336"/>
    </row>
    <row r="672" spans="1:46" ht="14.45">
      <c r="A672" s="336"/>
      <c r="B672" s="336"/>
      <c r="C672" s="336"/>
      <c r="D672" s="336"/>
      <c r="E672" s="336"/>
      <c r="F672" s="336"/>
      <c r="G672" s="336"/>
      <c r="H672" s="336"/>
      <c r="I672" s="336"/>
      <c r="J672" s="336"/>
      <c r="K672" s="415"/>
      <c r="L672" s="336"/>
      <c r="M672" s="336"/>
      <c r="N672" s="336"/>
      <c r="O672" s="416"/>
      <c r="P672" s="336"/>
      <c r="Q672" s="415"/>
      <c r="R672" s="336"/>
      <c r="S672" s="336"/>
      <c r="T672" s="336"/>
      <c r="U672" s="336"/>
      <c r="V672" s="336"/>
      <c r="W672" s="336"/>
      <c r="X672" s="336"/>
      <c r="Y672" s="336"/>
      <c r="Z672" s="336"/>
      <c r="AA672" s="336"/>
      <c r="AB672" s="336"/>
      <c r="AC672" s="336"/>
      <c r="AD672" s="336"/>
      <c r="AE672"/>
      <c r="AF672" s="336"/>
      <c r="AG672" s="336"/>
      <c r="AH672" s="336"/>
      <c r="AI672" s="336"/>
      <c r="AJ672" s="336"/>
      <c r="AK672" s="336"/>
      <c r="AL672" s="336"/>
      <c r="AM672" s="336"/>
      <c r="AN672" s="336"/>
      <c r="AO672" s="336"/>
      <c r="AP672" s="336"/>
      <c r="AQ672" s="336"/>
      <c r="AR672" s="336"/>
      <c r="AS672" s="336"/>
      <c r="AT672" s="336"/>
    </row>
    <row r="673" spans="1:46" ht="14.45">
      <c r="A673" s="336"/>
      <c r="B673" s="336"/>
      <c r="C673" s="336"/>
      <c r="D673" s="336"/>
      <c r="E673" s="336"/>
      <c r="F673" s="336"/>
      <c r="G673" s="336"/>
      <c r="H673" s="336"/>
      <c r="I673" s="336"/>
      <c r="J673" s="336"/>
      <c r="K673" s="415"/>
      <c r="L673" s="336"/>
      <c r="M673" s="336"/>
      <c r="N673" s="336"/>
      <c r="O673" s="416"/>
      <c r="P673" s="336"/>
      <c r="Q673" s="415"/>
      <c r="R673" s="336"/>
      <c r="S673" s="336"/>
      <c r="T673" s="336"/>
      <c r="U673" s="336"/>
      <c r="V673" s="336"/>
      <c r="W673" s="336"/>
      <c r="X673" s="336"/>
      <c r="Y673" s="336"/>
      <c r="Z673" s="336"/>
      <c r="AA673" s="336"/>
      <c r="AB673" s="336"/>
      <c r="AC673" s="336"/>
      <c r="AD673" s="336"/>
      <c r="AE673"/>
      <c r="AF673" s="336"/>
      <c r="AG673" s="336"/>
      <c r="AH673" s="336"/>
      <c r="AI673" s="336"/>
      <c r="AJ673" s="336"/>
      <c r="AK673" s="336"/>
      <c r="AL673" s="336"/>
      <c r="AM673" s="336"/>
      <c r="AN673" s="336"/>
      <c r="AO673" s="336"/>
      <c r="AP673" s="336"/>
      <c r="AQ673" s="336"/>
      <c r="AR673" s="336"/>
      <c r="AS673" s="336"/>
      <c r="AT673" s="336"/>
    </row>
    <row r="674" spans="1:46" ht="14.45">
      <c r="A674" s="336"/>
      <c r="B674" s="336"/>
      <c r="C674" s="336"/>
      <c r="D674" s="336"/>
      <c r="E674" s="336"/>
      <c r="F674" s="336"/>
      <c r="G674" s="336"/>
      <c r="H674" s="336"/>
      <c r="I674" s="336"/>
      <c r="J674" s="336"/>
      <c r="K674" s="415"/>
      <c r="L674" s="336"/>
      <c r="M674" s="336"/>
      <c r="N674" s="336"/>
      <c r="O674" s="416"/>
      <c r="P674" s="336"/>
      <c r="Q674" s="415"/>
      <c r="R674" s="336"/>
      <c r="S674" s="336"/>
      <c r="T674" s="336"/>
      <c r="U674" s="336"/>
      <c r="V674" s="336"/>
      <c r="W674" s="336"/>
      <c r="X674" s="336"/>
      <c r="Y674" s="336"/>
      <c r="Z674" s="336"/>
      <c r="AA674" s="336"/>
      <c r="AB674" s="336"/>
      <c r="AC674" s="336"/>
      <c r="AD674" s="336"/>
      <c r="AE674"/>
      <c r="AF674" s="336"/>
      <c r="AG674" s="336"/>
      <c r="AH674" s="336"/>
      <c r="AI674" s="336"/>
      <c r="AJ674" s="336"/>
      <c r="AK674" s="336"/>
      <c r="AL674" s="336"/>
      <c r="AM674" s="336"/>
      <c r="AN674" s="336"/>
      <c r="AO674" s="336"/>
      <c r="AP674" s="336"/>
      <c r="AQ674" s="336"/>
      <c r="AR674" s="336"/>
      <c r="AS674" s="336"/>
      <c r="AT674" s="336"/>
    </row>
    <row r="675" spans="1:46" ht="14.45">
      <c r="A675" s="336"/>
      <c r="B675" s="336"/>
      <c r="C675" s="336"/>
      <c r="D675" s="336"/>
      <c r="E675" s="336"/>
      <c r="F675" s="336"/>
      <c r="G675" s="336"/>
      <c r="H675" s="336"/>
      <c r="I675" s="336"/>
      <c r="J675" s="336"/>
      <c r="K675" s="415"/>
      <c r="L675" s="336"/>
      <c r="M675" s="336"/>
      <c r="N675" s="336"/>
      <c r="O675" s="416"/>
      <c r="P675" s="336"/>
      <c r="Q675" s="415"/>
      <c r="R675" s="336"/>
      <c r="S675" s="336"/>
      <c r="T675" s="336"/>
      <c r="U675" s="336"/>
      <c r="V675" s="336"/>
      <c r="W675" s="336"/>
      <c r="X675" s="336"/>
      <c r="Y675" s="336"/>
      <c r="Z675" s="336"/>
      <c r="AA675" s="336"/>
      <c r="AB675" s="336"/>
      <c r="AC675" s="336"/>
      <c r="AD675" s="336"/>
      <c r="AE675"/>
      <c r="AF675" s="336"/>
      <c r="AG675" s="336"/>
      <c r="AH675" s="336"/>
      <c r="AI675" s="336"/>
      <c r="AJ675" s="336"/>
      <c r="AK675" s="336"/>
      <c r="AL675" s="336"/>
      <c r="AM675" s="336"/>
      <c r="AN675" s="336"/>
      <c r="AO675" s="336"/>
      <c r="AP675" s="336"/>
      <c r="AQ675" s="336"/>
      <c r="AR675" s="336"/>
      <c r="AS675" s="336"/>
      <c r="AT675" s="336"/>
    </row>
    <row r="676" spans="1:46" ht="14.45">
      <c r="A676" s="336"/>
      <c r="B676" s="336"/>
      <c r="C676" s="336"/>
      <c r="D676" s="336"/>
      <c r="E676" s="336"/>
      <c r="F676" s="336"/>
      <c r="G676" s="336"/>
      <c r="H676" s="336"/>
      <c r="I676" s="336"/>
      <c r="J676" s="336"/>
      <c r="K676" s="415"/>
      <c r="L676" s="336"/>
      <c r="M676" s="336"/>
      <c r="N676" s="336"/>
      <c r="O676" s="416"/>
      <c r="P676" s="336"/>
      <c r="Q676" s="415"/>
      <c r="R676" s="336"/>
      <c r="S676" s="336"/>
      <c r="T676" s="336"/>
      <c r="U676" s="336"/>
      <c r="V676" s="336"/>
      <c r="W676" s="336"/>
      <c r="X676" s="336"/>
      <c r="Y676" s="336"/>
      <c r="Z676" s="336"/>
      <c r="AA676" s="336"/>
      <c r="AB676" s="336"/>
      <c r="AC676" s="336"/>
      <c r="AD676" s="336"/>
      <c r="AE676"/>
      <c r="AF676" s="336"/>
      <c r="AG676" s="336"/>
      <c r="AH676" s="336"/>
      <c r="AI676" s="336"/>
      <c r="AJ676" s="336"/>
      <c r="AK676" s="336"/>
      <c r="AL676" s="336"/>
      <c r="AM676" s="336"/>
      <c r="AN676" s="336"/>
      <c r="AO676" s="336"/>
      <c r="AP676" s="336"/>
      <c r="AQ676" s="336"/>
      <c r="AR676" s="336"/>
      <c r="AS676" s="336"/>
      <c r="AT676" s="336"/>
    </row>
    <row r="677" spans="1:46" ht="14.45">
      <c r="A677" s="336"/>
      <c r="B677" s="336"/>
      <c r="C677" s="336"/>
      <c r="D677" s="336"/>
      <c r="E677" s="336"/>
      <c r="F677" s="336"/>
      <c r="G677" s="336"/>
      <c r="H677" s="336"/>
      <c r="I677" s="336"/>
      <c r="J677" s="336"/>
      <c r="K677" s="415"/>
      <c r="L677" s="336"/>
      <c r="M677" s="336"/>
      <c r="N677" s="336"/>
      <c r="O677" s="416"/>
      <c r="P677" s="336"/>
      <c r="Q677" s="415"/>
      <c r="R677" s="336"/>
      <c r="S677" s="336"/>
      <c r="T677" s="336"/>
      <c r="U677" s="336"/>
      <c r="V677" s="336"/>
      <c r="W677" s="336"/>
      <c r="X677" s="336"/>
      <c r="Y677" s="336"/>
      <c r="Z677" s="336"/>
      <c r="AA677" s="336"/>
      <c r="AB677" s="336"/>
      <c r="AC677" s="336"/>
      <c r="AD677" s="336"/>
      <c r="AE677"/>
      <c r="AF677" s="336"/>
      <c r="AG677" s="336"/>
      <c r="AH677" s="336"/>
      <c r="AI677" s="336"/>
      <c r="AJ677" s="336"/>
      <c r="AK677" s="336"/>
      <c r="AL677" s="336"/>
      <c r="AM677" s="336"/>
      <c r="AN677" s="336"/>
      <c r="AO677" s="336"/>
      <c r="AP677" s="336"/>
      <c r="AQ677" s="336"/>
      <c r="AR677" s="336"/>
      <c r="AS677" s="336"/>
      <c r="AT677" s="336"/>
    </row>
    <row r="678" spans="1:46" ht="14.45">
      <c r="A678" s="336"/>
      <c r="B678" s="336"/>
      <c r="C678" s="336"/>
      <c r="D678" s="336"/>
      <c r="E678" s="336"/>
      <c r="F678" s="336"/>
      <c r="G678" s="336"/>
      <c r="H678" s="336"/>
      <c r="I678" s="336"/>
      <c r="J678" s="336"/>
      <c r="K678" s="415"/>
      <c r="L678" s="336"/>
      <c r="M678" s="336"/>
      <c r="N678" s="336"/>
      <c r="O678" s="416"/>
      <c r="P678" s="336"/>
      <c r="Q678" s="415"/>
      <c r="R678" s="336"/>
      <c r="S678" s="336"/>
      <c r="T678" s="336"/>
      <c r="U678" s="336"/>
      <c r="V678" s="336"/>
      <c r="W678" s="336"/>
      <c r="X678" s="336"/>
      <c r="Y678" s="336"/>
      <c r="Z678" s="336"/>
      <c r="AA678" s="336"/>
      <c r="AB678" s="336"/>
      <c r="AC678" s="336"/>
      <c r="AD678" s="336"/>
      <c r="AE678"/>
      <c r="AF678" s="336"/>
      <c r="AG678" s="336"/>
      <c r="AH678" s="336"/>
      <c r="AI678" s="336"/>
      <c r="AJ678" s="336"/>
      <c r="AK678" s="336"/>
      <c r="AL678" s="336"/>
      <c r="AM678" s="336"/>
      <c r="AN678" s="336"/>
      <c r="AO678" s="336"/>
      <c r="AP678" s="336"/>
      <c r="AQ678" s="336"/>
      <c r="AR678" s="336"/>
      <c r="AS678" s="336"/>
      <c r="AT678" s="336"/>
    </row>
    <row r="679" spans="1:46" ht="14.45">
      <c r="A679" s="336"/>
      <c r="B679" s="336"/>
      <c r="C679" s="336"/>
      <c r="D679" s="336"/>
      <c r="E679" s="336"/>
      <c r="F679" s="336"/>
      <c r="G679" s="336"/>
      <c r="H679" s="336"/>
      <c r="I679" s="336"/>
      <c r="J679" s="336"/>
      <c r="K679" s="415"/>
      <c r="L679" s="336"/>
      <c r="M679" s="336"/>
      <c r="N679" s="336"/>
      <c r="O679" s="416"/>
      <c r="P679" s="336"/>
      <c r="Q679" s="415"/>
      <c r="R679" s="336"/>
      <c r="S679" s="336"/>
      <c r="T679" s="336"/>
      <c r="U679" s="336"/>
      <c r="V679" s="336"/>
      <c r="W679" s="336"/>
      <c r="X679" s="336"/>
      <c r="Y679" s="336"/>
      <c r="Z679" s="336"/>
      <c r="AA679" s="336"/>
      <c r="AB679" s="336"/>
      <c r="AC679" s="336"/>
      <c r="AD679" s="336"/>
      <c r="AE679"/>
      <c r="AF679" s="336"/>
      <c r="AG679" s="336"/>
      <c r="AH679" s="336"/>
      <c r="AI679" s="336"/>
      <c r="AJ679" s="336"/>
      <c r="AK679" s="336"/>
      <c r="AL679" s="336"/>
      <c r="AM679" s="336"/>
      <c r="AN679" s="336"/>
      <c r="AO679" s="336"/>
      <c r="AP679" s="336"/>
      <c r="AQ679" s="336"/>
      <c r="AR679" s="336"/>
      <c r="AS679" s="336"/>
      <c r="AT679" s="336"/>
    </row>
    <row r="680" spans="1:46" ht="14.45">
      <c r="A680" s="336"/>
      <c r="B680" s="336"/>
      <c r="C680" s="336"/>
      <c r="D680" s="336"/>
      <c r="E680" s="336"/>
      <c r="F680" s="336"/>
      <c r="G680" s="336"/>
      <c r="H680" s="336"/>
      <c r="I680" s="336"/>
      <c r="J680" s="336"/>
      <c r="K680" s="415"/>
      <c r="L680" s="336"/>
      <c r="M680" s="336"/>
      <c r="N680" s="336"/>
      <c r="O680" s="416"/>
      <c r="P680" s="336"/>
      <c r="Q680" s="415"/>
      <c r="R680" s="336"/>
      <c r="S680" s="336"/>
      <c r="T680" s="336"/>
      <c r="U680" s="336"/>
      <c r="V680" s="336"/>
      <c r="W680" s="336"/>
      <c r="X680" s="336"/>
      <c r="Y680" s="336"/>
      <c r="Z680" s="336"/>
      <c r="AA680" s="336"/>
      <c r="AB680" s="336"/>
      <c r="AC680" s="336"/>
      <c r="AD680" s="336"/>
      <c r="AE680"/>
      <c r="AF680" s="336"/>
      <c r="AG680" s="336"/>
      <c r="AH680" s="336"/>
      <c r="AI680" s="336"/>
      <c r="AJ680" s="336"/>
      <c r="AK680" s="336"/>
      <c r="AL680" s="336"/>
      <c r="AM680" s="336"/>
      <c r="AN680" s="336"/>
      <c r="AO680" s="336"/>
      <c r="AP680" s="336"/>
      <c r="AQ680" s="336"/>
      <c r="AR680" s="336"/>
      <c r="AS680" s="336"/>
      <c r="AT680" s="336"/>
    </row>
    <row r="681" spans="1:46" ht="14.45">
      <c r="A681" s="336"/>
      <c r="B681" s="336"/>
      <c r="C681" s="336"/>
      <c r="D681" s="336"/>
      <c r="E681" s="336"/>
      <c r="F681" s="336"/>
      <c r="G681" s="336"/>
      <c r="H681" s="336"/>
      <c r="I681" s="336"/>
      <c r="J681" s="336"/>
      <c r="K681" s="415"/>
      <c r="L681" s="336"/>
      <c r="M681" s="336"/>
      <c r="N681" s="336"/>
      <c r="O681" s="416"/>
      <c r="P681" s="336"/>
      <c r="Q681" s="415"/>
      <c r="R681" s="336"/>
      <c r="S681" s="336"/>
      <c r="T681" s="336"/>
      <c r="U681" s="336"/>
      <c r="V681" s="336"/>
      <c r="W681" s="336"/>
      <c r="X681" s="336"/>
      <c r="Y681" s="336"/>
      <c r="Z681" s="336"/>
      <c r="AA681" s="336"/>
      <c r="AB681" s="336"/>
      <c r="AC681" s="336"/>
      <c r="AD681" s="336"/>
      <c r="AE681"/>
      <c r="AF681" s="336"/>
      <c r="AG681" s="336"/>
      <c r="AH681" s="336"/>
      <c r="AI681" s="336"/>
      <c r="AJ681" s="336"/>
      <c r="AK681" s="336"/>
      <c r="AL681" s="336"/>
      <c r="AM681" s="336"/>
      <c r="AN681" s="336"/>
      <c r="AO681" s="336"/>
      <c r="AP681" s="336"/>
      <c r="AQ681" s="336"/>
      <c r="AR681" s="336"/>
      <c r="AS681" s="336"/>
      <c r="AT681" s="336"/>
    </row>
    <row r="682" spans="1:46" ht="14.45">
      <c r="A682" s="336"/>
      <c r="B682" s="336"/>
      <c r="C682" s="336"/>
      <c r="D682" s="336"/>
      <c r="E682" s="336"/>
      <c r="F682" s="336"/>
      <c r="G682" s="336"/>
      <c r="H682" s="336"/>
      <c r="I682" s="336"/>
      <c r="J682" s="336"/>
      <c r="K682" s="415"/>
      <c r="L682" s="336"/>
      <c r="M682" s="336"/>
      <c r="N682" s="336"/>
      <c r="O682" s="416"/>
      <c r="P682" s="336"/>
      <c r="Q682" s="415"/>
      <c r="R682" s="336"/>
      <c r="S682" s="336"/>
      <c r="T682" s="336"/>
      <c r="U682" s="336"/>
      <c r="V682" s="336"/>
      <c r="W682" s="336"/>
      <c r="X682" s="336"/>
      <c r="Y682" s="336"/>
      <c r="Z682" s="336"/>
      <c r="AA682" s="336"/>
      <c r="AB682" s="336"/>
      <c r="AC682" s="336"/>
      <c r="AD682" s="336"/>
      <c r="AE682"/>
      <c r="AF682" s="336"/>
      <c r="AG682" s="336"/>
      <c r="AH682" s="336"/>
      <c r="AI682" s="336"/>
      <c r="AJ682" s="336"/>
      <c r="AK682" s="336"/>
      <c r="AL682" s="336"/>
      <c r="AM682" s="336"/>
      <c r="AN682" s="336"/>
      <c r="AO682" s="336"/>
      <c r="AP682" s="336"/>
      <c r="AQ682" s="336"/>
      <c r="AR682" s="336"/>
      <c r="AS682" s="336"/>
      <c r="AT682" s="336"/>
    </row>
    <row r="683" spans="1:46" ht="14.45">
      <c r="A683" s="336"/>
      <c r="B683" s="336"/>
      <c r="C683" s="336"/>
      <c r="D683" s="336"/>
      <c r="E683" s="336"/>
      <c r="F683" s="336"/>
      <c r="G683" s="336"/>
      <c r="H683" s="336"/>
      <c r="I683" s="336"/>
      <c r="J683" s="336"/>
      <c r="K683" s="415"/>
      <c r="L683" s="336"/>
      <c r="M683" s="336"/>
      <c r="N683" s="336"/>
      <c r="O683" s="416"/>
      <c r="P683" s="336"/>
      <c r="Q683" s="415"/>
      <c r="R683" s="336"/>
      <c r="S683" s="336"/>
      <c r="T683" s="336"/>
      <c r="U683" s="336"/>
      <c r="V683" s="336"/>
      <c r="W683" s="336"/>
      <c r="X683" s="336"/>
      <c r="Y683" s="336"/>
      <c r="Z683" s="336"/>
      <c r="AA683" s="336"/>
      <c r="AB683" s="336"/>
      <c r="AC683" s="336"/>
      <c r="AD683" s="336"/>
      <c r="AE683"/>
      <c r="AF683" s="336"/>
      <c r="AG683" s="336"/>
      <c r="AH683" s="336"/>
      <c r="AI683" s="336"/>
      <c r="AJ683" s="336"/>
      <c r="AK683" s="336"/>
      <c r="AL683" s="336"/>
      <c r="AM683" s="336"/>
      <c r="AN683" s="336"/>
      <c r="AO683" s="336"/>
      <c r="AP683" s="336"/>
      <c r="AQ683" s="336"/>
      <c r="AR683" s="336"/>
      <c r="AS683" s="336"/>
      <c r="AT683" s="336"/>
    </row>
    <row r="684" spans="1:46" ht="14.45">
      <c r="A684" s="336"/>
      <c r="B684" s="336"/>
      <c r="C684" s="336"/>
      <c r="D684" s="336"/>
      <c r="E684" s="336"/>
      <c r="F684" s="336"/>
      <c r="G684" s="336"/>
      <c r="H684" s="336"/>
      <c r="I684" s="336"/>
      <c r="J684" s="336"/>
      <c r="K684" s="415"/>
      <c r="L684" s="336"/>
      <c r="M684" s="336"/>
      <c r="N684" s="336"/>
      <c r="O684" s="416"/>
      <c r="P684" s="336"/>
      <c r="Q684" s="415"/>
      <c r="R684" s="336"/>
      <c r="S684" s="336"/>
      <c r="T684" s="336"/>
      <c r="U684" s="336"/>
      <c r="V684" s="336"/>
      <c r="W684" s="336"/>
      <c r="X684" s="336"/>
      <c r="Y684" s="336"/>
      <c r="Z684" s="336"/>
      <c r="AA684" s="336"/>
      <c r="AB684" s="336"/>
      <c r="AC684" s="336"/>
      <c r="AD684" s="336"/>
      <c r="AE684"/>
      <c r="AF684" s="336"/>
      <c r="AG684" s="336"/>
      <c r="AH684" s="336"/>
      <c r="AI684" s="336"/>
      <c r="AJ684" s="336"/>
      <c r="AK684" s="336"/>
      <c r="AL684" s="336"/>
      <c r="AM684" s="336"/>
      <c r="AN684" s="336"/>
      <c r="AO684" s="336"/>
      <c r="AP684" s="336"/>
      <c r="AQ684" s="336"/>
      <c r="AR684" s="336"/>
      <c r="AS684" s="336"/>
      <c r="AT684" s="336"/>
    </row>
    <row r="685" spans="1:46" ht="14.45">
      <c r="A685" s="336"/>
      <c r="B685" s="336"/>
      <c r="C685" s="336"/>
      <c r="D685" s="336"/>
      <c r="E685" s="336"/>
      <c r="F685" s="336"/>
      <c r="G685" s="336"/>
      <c r="H685" s="336"/>
      <c r="I685" s="336"/>
      <c r="J685" s="336"/>
      <c r="K685" s="415"/>
      <c r="L685" s="336"/>
      <c r="M685" s="336"/>
      <c r="N685" s="336"/>
      <c r="O685" s="416"/>
      <c r="P685" s="336"/>
      <c r="Q685" s="415"/>
      <c r="R685" s="336"/>
      <c r="S685" s="336"/>
      <c r="T685" s="336"/>
      <c r="U685" s="336"/>
      <c r="V685" s="336"/>
      <c r="W685" s="336"/>
      <c r="X685" s="336"/>
      <c r="Y685" s="336"/>
      <c r="Z685" s="336"/>
      <c r="AA685" s="336"/>
      <c r="AB685" s="336"/>
      <c r="AC685" s="336"/>
      <c r="AD685" s="336"/>
      <c r="AE685"/>
      <c r="AF685" s="336"/>
      <c r="AG685" s="336"/>
      <c r="AH685" s="336"/>
      <c r="AI685" s="336"/>
      <c r="AJ685" s="336"/>
      <c r="AK685" s="336"/>
      <c r="AL685" s="336"/>
      <c r="AM685" s="336"/>
      <c r="AN685" s="336"/>
      <c r="AO685" s="336"/>
      <c r="AP685" s="336"/>
      <c r="AQ685" s="336"/>
      <c r="AR685" s="336"/>
      <c r="AS685" s="336"/>
      <c r="AT685" s="336"/>
    </row>
    <row r="686" spans="1:46" ht="14.45">
      <c r="A686" s="336"/>
      <c r="B686" s="336"/>
      <c r="C686" s="336"/>
      <c r="D686" s="336"/>
      <c r="E686" s="336"/>
      <c r="F686" s="336"/>
      <c r="G686" s="336"/>
      <c r="H686" s="336"/>
      <c r="I686" s="336"/>
      <c r="J686" s="336"/>
      <c r="K686" s="415"/>
      <c r="L686" s="336"/>
      <c r="M686" s="336"/>
      <c r="N686" s="336"/>
      <c r="O686" s="416"/>
      <c r="P686" s="336"/>
      <c r="Q686" s="415"/>
      <c r="R686" s="336"/>
      <c r="S686" s="336"/>
      <c r="T686" s="336"/>
      <c r="U686" s="336"/>
      <c r="V686" s="336"/>
      <c r="W686" s="336"/>
      <c r="X686" s="336"/>
      <c r="Y686" s="336"/>
      <c r="Z686" s="336"/>
      <c r="AA686" s="336"/>
      <c r="AB686" s="336"/>
      <c r="AC686" s="336"/>
      <c r="AD686" s="336"/>
      <c r="AE686"/>
      <c r="AF686" s="336"/>
      <c r="AG686" s="336"/>
      <c r="AH686" s="336"/>
      <c r="AI686" s="336"/>
      <c r="AJ686" s="336"/>
      <c r="AK686" s="336"/>
      <c r="AL686" s="336"/>
      <c r="AM686" s="336"/>
      <c r="AN686" s="336"/>
      <c r="AO686" s="336"/>
      <c r="AP686" s="336"/>
      <c r="AQ686" s="336"/>
      <c r="AR686" s="336"/>
      <c r="AS686" s="336"/>
      <c r="AT686" s="336"/>
    </row>
    <row r="687" spans="1:46" ht="14.45">
      <c r="A687" s="336"/>
      <c r="B687" s="336"/>
      <c r="C687" s="336"/>
      <c r="D687" s="336"/>
      <c r="E687" s="336"/>
      <c r="F687" s="336"/>
      <c r="G687" s="336"/>
      <c r="H687" s="336"/>
      <c r="I687" s="336"/>
      <c r="J687" s="336"/>
      <c r="K687" s="415"/>
      <c r="L687" s="336"/>
      <c r="M687" s="336"/>
      <c r="N687" s="336"/>
      <c r="O687" s="416"/>
      <c r="P687" s="336"/>
      <c r="Q687" s="415"/>
      <c r="R687" s="336"/>
      <c r="S687" s="336"/>
      <c r="T687" s="336"/>
      <c r="U687" s="336"/>
      <c r="V687" s="336"/>
      <c r="W687" s="336"/>
      <c r="X687" s="336"/>
      <c r="Y687" s="336"/>
      <c r="Z687" s="336"/>
      <c r="AA687" s="336"/>
      <c r="AB687" s="336"/>
      <c r="AC687" s="336"/>
      <c r="AD687" s="336"/>
      <c r="AE687"/>
      <c r="AF687" s="336"/>
      <c r="AG687" s="336"/>
      <c r="AH687" s="336"/>
      <c r="AI687" s="336"/>
      <c r="AJ687" s="336"/>
      <c r="AK687" s="336"/>
      <c r="AL687" s="336"/>
      <c r="AM687" s="336"/>
      <c r="AN687" s="336"/>
      <c r="AO687" s="336"/>
      <c r="AP687" s="336"/>
      <c r="AQ687" s="336"/>
      <c r="AR687" s="336"/>
      <c r="AS687" s="336"/>
      <c r="AT687" s="336"/>
    </row>
    <row r="688" spans="1:46" ht="14.45">
      <c r="A688" s="336"/>
      <c r="B688" s="336"/>
      <c r="C688" s="336"/>
      <c r="D688" s="336"/>
      <c r="E688" s="336"/>
      <c r="F688" s="336"/>
      <c r="G688" s="336"/>
      <c r="H688" s="336"/>
      <c r="I688" s="336"/>
      <c r="J688" s="336"/>
      <c r="K688" s="415"/>
      <c r="L688" s="336"/>
      <c r="M688" s="336"/>
      <c r="N688" s="336"/>
      <c r="O688" s="416"/>
      <c r="P688" s="336"/>
      <c r="Q688" s="415"/>
      <c r="R688" s="336"/>
      <c r="S688" s="336"/>
      <c r="T688" s="336"/>
      <c r="U688" s="336"/>
      <c r="V688" s="336"/>
      <c r="W688" s="336"/>
      <c r="X688" s="336"/>
      <c r="Y688" s="336"/>
      <c r="Z688" s="336"/>
      <c r="AA688" s="336"/>
      <c r="AB688" s="336"/>
      <c r="AC688" s="336"/>
      <c r="AD688" s="336"/>
      <c r="AE688"/>
      <c r="AF688" s="336"/>
      <c r="AG688" s="336"/>
      <c r="AH688" s="336"/>
      <c r="AI688" s="336"/>
      <c r="AJ688" s="336"/>
      <c r="AK688" s="336"/>
      <c r="AL688" s="336"/>
      <c r="AM688" s="336"/>
      <c r="AN688" s="336"/>
      <c r="AO688" s="336"/>
      <c r="AP688" s="336"/>
      <c r="AQ688" s="336"/>
      <c r="AR688" s="336"/>
      <c r="AS688" s="336"/>
      <c r="AT688" s="336"/>
    </row>
    <row r="689" spans="1:46" ht="14.45">
      <c r="A689" s="336"/>
      <c r="B689" s="336"/>
      <c r="C689" s="336"/>
      <c r="D689" s="336"/>
      <c r="E689" s="336"/>
      <c r="F689" s="336"/>
      <c r="G689" s="336"/>
      <c r="H689" s="336"/>
      <c r="I689" s="336"/>
      <c r="J689" s="336"/>
      <c r="K689" s="415"/>
      <c r="L689" s="336"/>
      <c r="M689" s="336"/>
      <c r="N689" s="336"/>
      <c r="O689" s="416"/>
      <c r="P689" s="336"/>
      <c r="Q689" s="415"/>
      <c r="R689" s="336"/>
      <c r="S689" s="336"/>
      <c r="T689" s="336"/>
      <c r="U689" s="336"/>
      <c r="V689" s="336"/>
      <c r="W689" s="336"/>
      <c r="X689" s="336"/>
      <c r="Y689" s="336"/>
      <c r="Z689" s="336"/>
      <c r="AA689" s="336"/>
      <c r="AB689" s="336"/>
      <c r="AC689" s="336"/>
      <c r="AD689" s="336"/>
      <c r="AE689"/>
      <c r="AF689" s="336"/>
      <c r="AG689" s="336"/>
      <c r="AH689" s="336"/>
      <c r="AI689" s="336"/>
      <c r="AJ689" s="336"/>
      <c r="AK689" s="336"/>
      <c r="AL689" s="336"/>
      <c r="AM689" s="336"/>
      <c r="AN689" s="336"/>
      <c r="AO689" s="336"/>
      <c r="AP689" s="336"/>
      <c r="AQ689" s="336"/>
      <c r="AR689" s="336"/>
      <c r="AS689" s="336"/>
      <c r="AT689" s="336"/>
    </row>
    <row r="690" spans="1:46" ht="14.45">
      <c r="A690" s="336"/>
      <c r="B690" s="336"/>
      <c r="C690" s="336"/>
      <c r="D690" s="336"/>
      <c r="E690" s="336"/>
      <c r="F690" s="336"/>
      <c r="G690" s="336"/>
      <c r="H690" s="336"/>
      <c r="I690" s="336"/>
      <c r="J690" s="336"/>
      <c r="K690" s="415"/>
      <c r="L690" s="336"/>
      <c r="M690" s="336"/>
      <c r="N690" s="336"/>
      <c r="O690" s="416"/>
      <c r="P690" s="336"/>
      <c r="Q690" s="415"/>
      <c r="R690" s="336"/>
      <c r="S690" s="336"/>
      <c r="T690" s="336"/>
      <c r="U690" s="336"/>
      <c r="V690" s="336"/>
      <c r="W690" s="336"/>
      <c r="X690" s="336"/>
      <c r="Y690" s="336"/>
      <c r="Z690" s="336"/>
      <c r="AA690" s="336"/>
      <c r="AB690" s="336"/>
      <c r="AC690" s="336"/>
      <c r="AD690" s="336"/>
      <c r="AE690"/>
      <c r="AF690" s="336"/>
      <c r="AG690" s="336"/>
      <c r="AH690" s="336"/>
      <c r="AI690" s="336"/>
      <c r="AJ690" s="336"/>
      <c r="AK690" s="336"/>
      <c r="AL690" s="336"/>
      <c r="AM690" s="336"/>
      <c r="AN690" s="336"/>
      <c r="AO690" s="336"/>
      <c r="AP690" s="336"/>
      <c r="AQ690" s="336"/>
      <c r="AR690" s="336"/>
      <c r="AS690" s="336"/>
      <c r="AT690" s="336"/>
    </row>
    <row r="691" spans="1:46" ht="14.45">
      <c r="A691" s="336"/>
      <c r="B691" s="336"/>
      <c r="C691" s="336"/>
      <c r="D691" s="336"/>
      <c r="E691" s="336"/>
      <c r="F691" s="336"/>
      <c r="G691" s="336"/>
      <c r="H691" s="336"/>
      <c r="I691" s="336"/>
      <c r="J691" s="336"/>
      <c r="K691" s="415"/>
      <c r="L691" s="336"/>
      <c r="M691" s="336"/>
      <c r="N691" s="336"/>
      <c r="O691" s="416"/>
      <c r="P691" s="336"/>
      <c r="Q691" s="415"/>
      <c r="R691" s="336"/>
      <c r="S691" s="336"/>
      <c r="T691" s="336"/>
      <c r="U691" s="336"/>
      <c r="V691" s="336"/>
      <c r="W691" s="336"/>
      <c r="X691" s="336"/>
      <c r="Y691" s="336"/>
      <c r="Z691" s="336"/>
      <c r="AA691" s="336"/>
      <c r="AB691" s="336"/>
      <c r="AC691" s="336"/>
      <c r="AD691" s="336"/>
      <c r="AE691"/>
      <c r="AF691" s="336"/>
      <c r="AG691" s="336"/>
      <c r="AH691" s="336"/>
      <c r="AI691" s="336"/>
      <c r="AJ691" s="336"/>
      <c r="AK691" s="336"/>
      <c r="AL691" s="336"/>
      <c r="AM691" s="336"/>
      <c r="AN691" s="336"/>
      <c r="AO691" s="336"/>
      <c r="AP691" s="336"/>
      <c r="AQ691" s="336"/>
      <c r="AR691" s="336"/>
      <c r="AS691" s="336"/>
      <c r="AT691" s="336"/>
    </row>
    <row r="692" spans="1:46" ht="14.45">
      <c r="A692" s="336"/>
      <c r="B692" s="336"/>
      <c r="C692" s="336"/>
      <c r="D692" s="336"/>
      <c r="E692" s="336"/>
      <c r="F692" s="336"/>
      <c r="G692" s="336"/>
      <c r="H692" s="336"/>
      <c r="I692" s="336"/>
      <c r="J692" s="336"/>
      <c r="K692" s="415"/>
      <c r="L692" s="336"/>
      <c r="M692" s="336"/>
      <c r="N692" s="336"/>
      <c r="O692" s="416"/>
      <c r="P692" s="336"/>
      <c r="Q692" s="415"/>
      <c r="R692" s="336"/>
      <c r="S692" s="336"/>
      <c r="T692" s="336"/>
      <c r="U692" s="336"/>
      <c r="V692" s="336"/>
      <c r="W692" s="336"/>
      <c r="X692" s="336"/>
      <c r="Y692" s="336"/>
      <c r="Z692" s="336"/>
      <c r="AA692" s="336"/>
      <c r="AB692" s="336"/>
      <c r="AC692" s="336"/>
      <c r="AD692" s="336"/>
      <c r="AE692"/>
      <c r="AF692" s="336"/>
      <c r="AG692" s="336"/>
      <c r="AH692" s="336"/>
      <c r="AI692" s="336"/>
      <c r="AJ692" s="336"/>
      <c r="AK692" s="336"/>
      <c r="AL692" s="336"/>
      <c r="AM692" s="336"/>
      <c r="AN692" s="336"/>
      <c r="AO692" s="336"/>
      <c r="AP692" s="336"/>
      <c r="AQ692" s="336"/>
      <c r="AR692" s="336"/>
      <c r="AS692" s="336"/>
      <c r="AT692" s="336"/>
    </row>
    <row r="693" spans="1:46" ht="14.45">
      <c r="A693" s="336"/>
      <c r="B693" s="336"/>
      <c r="C693" s="336"/>
      <c r="D693" s="336"/>
      <c r="E693" s="336"/>
      <c r="F693" s="336"/>
      <c r="G693" s="336"/>
      <c r="H693" s="336"/>
      <c r="I693" s="336"/>
      <c r="J693" s="336"/>
      <c r="K693" s="415"/>
      <c r="L693" s="336"/>
      <c r="M693" s="336"/>
      <c r="N693" s="336"/>
      <c r="O693" s="416"/>
      <c r="P693" s="336"/>
      <c r="Q693" s="415"/>
      <c r="R693" s="336"/>
      <c r="S693" s="336"/>
      <c r="T693" s="336"/>
      <c r="U693" s="336"/>
      <c r="V693" s="336"/>
      <c r="W693" s="336"/>
      <c r="X693" s="336"/>
      <c r="Y693" s="336"/>
      <c r="Z693" s="336"/>
      <c r="AA693" s="336"/>
      <c r="AB693" s="336"/>
      <c r="AC693" s="336"/>
      <c r="AD693" s="336"/>
      <c r="AE693"/>
      <c r="AF693" s="336"/>
      <c r="AG693" s="336"/>
      <c r="AH693" s="336"/>
      <c r="AI693" s="336"/>
      <c r="AJ693" s="336"/>
      <c r="AK693" s="336"/>
      <c r="AL693" s="336"/>
      <c r="AM693" s="336"/>
      <c r="AN693" s="336"/>
      <c r="AO693" s="336"/>
      <c r="AP693" s="336"/>
      <c r="AQ693" s="336"/>
      <c r="AR693" s="336"/>
      <c r="AS693" s="336"/>
      <c r="AT693" s="336"/>
    </row>
    <row r="694" spans="1:46" ht="14.45">
      <c r="A694" s="336"/>
      <c r="B694" s="336"/>
      <c r="C694" s="336"/>
      <c r="D694" s="336"/>
      <c r="E694" s="336"/>
      <c r="F694" s="336"/>
      <c r="G694" s="336"/>
      <c r="H694" s="336"/>
      <c r="I694" s="336"/>
      <c r="J694" s="336"/>
      <c r="K694" s="415"/>
      <c r="L694" s="336"/>
      <c r="M694" s="336"/>
      <c r="N694" s="336"/>
      <c r="O694" s="416"/>
      <c r="P694" s="336"/>
      <c r="Q694" s="415"/>
      <c r="R694" s="336"/>
      <c r="S694" s="336"/>
      <c r="T694" s="336"/>
      <c r="U694" s="336"/>
      <c r="V694" s="336"/>
      <c r="W694" s="336"/>
      <c r="X694" s="336"/>
      <c r="Y694" s="336"/>
      <c r="Z694" s="336"/>
      <c r="AA694" s="336"/>
      <c r="AB694" s="336"/>
      <c r="AC694" s="336"/>
      <c r="AD694" s="336"/>
      <c r="AE694"/>
      <c r="AF694" s="336"/>
      <c r="AG694" s="336"/>
      <c r="AH694" s="336"/>
      <c r="AI694" s="336"/>
      <c r="AJ694" s="336"/>
      <c r="AK694" s="336"/>
      <c r="AL694" s="336"/>
      <c r="AM694" s="336"/>
      <c r="AN694" s="336"/>
      <c r="AO694" s="336"/>
      <c r="AP694" s="336"/>
      <c r="AQ694" s="336"/>
      <c r="AR694" s="336"/>
      <c r="AS694" s="336"/>
      <c r="AT694" s="336"/>
    </row>
    <row r="695" spans="1:46" ht="14.45">
      <c r="A695" s="336"/>
      <c r="B695" s="336"/>
      <c r="C695" s="336"/>
      <c r="D695" s="336"/>
      <c r="E695" s="336"/>
      <c r="F695" s="336"/>
      <c r="G695" s="336"/>
      <c r="H695" s="336"/>
      <c r="I695" s="336"/>
      <c r="J695" s="336"/>
      <c r="K695" s="415"/>
      <c r="L695" s="336"/>
      <c r="M695" s="336"/>
      <c r="N695" s="336"/>
      <c r="O695" s="416"/>
      <c r="P695" s="336"/>
      <c r="Q695" s="415"/>
      <c r="R695" s="336"/>
      <c r="S695" s="336"/>
      <c r="T695" s="336"/>
      <c r="U695" s="336"/>
      <c r="V695" s="336"/>
      <c r="W695" s="336"/>
      <c r="X695" s="336"/>
      <c r="Y695" s="336"/>
      <c r="Z695" s="336"/>
      <c r="AA695" s="336"/>
      <c r="AB695" s="336"/>
      <c r="AC695" s="336"/>
      <c r="AD695" s="336"/>
      <c r="AE695"/>
      <c r="AF695" s="336"/>
      <c r="AG695" s="336"/>
      <c r="AH695" s="336"/>
      <c r="AI695" s="336"/>
      <c r="AJ695" s="336"/>
      <c r="AK695" s="336"/>
      <c r="AL695" s="336"/>
      <c r="AM695" s="336"/>
      <c r="AN695" s="336"/>
      <c r="AO695" s="336"/>
      <c r="AP695" s="336"/>
      <c r="AQ695" s="336"/>
      <c r="AR695" s="336"/>
      <c r="AS695" s="336"/>
      <c r="AT695" s="336"/>
    </row>
    <row r="696" spans="1:46" ht="14.45">
      <c r="A696" s="336"/>
      <c r="B696" s="336"/>
      <c r="C696" s="336"/>
      <c r="D696" s="336"/>
      <c r="E696" s="336"/>
      <c r="F696" s="336"/>
      <c r="G696" s="336"/>
      <c r="H696" s="336"/>
      <c r="I696" s="336"/>
      <c r="J696" s="336"/>
      <c r="K696" s="415"/>
      <c r="L696" s="336"/>
      <c r="M696" s="336"/>
      <c r="N696" s="336"/>
      <c r="O696" s="416"/>
      <c r="P696" s="336"/>
      <c r="Q696" s="415"/>
      <c r="R696" s="336"/>
      <c r="S696" s="336"/>
      <c r="T696" s="336"/>
      <c r="U696" s="336"/>
      <c r="V696" s="336"/>
      <c r="W696" s="336"/>
      <c r="X696" s="336"/>
      <c r="Y696" s="336"/>
      <c r="Z696" s="336"/>
      <c r="AA696" s="336"/>
      <c r="AB696" s="336"/>
      <c r="AC696" s="336"/>
      <c r="AD696" s="336"/>
      <c r="AE696"/>
      <c r="AF696" s="336"/>
      <c r="AG696" s="336"/>
      <c r="AH696" s="336"/>
      <c r="AI696" s="336"/>
      <c r="AJ696" s="336"/>
      <c r="AK696" s="336"/>
      <c r="AL696" s="336"/>
      <c r="AM696" s="336"/>
      <c r="AN696" s="336"/>
      <c r="AO696" s="336"/>
      <c r="AP696" s="336"/>
      <c r="AQ696" s="336"/>
      <c r="AR696" s="336"/>
      <c r="AS696" s="336"/>
      <c r="AT696" s="336"/>
    </row>
    <row r="697" spans="1:46" ht="14.45">
      <c r="A697" s="336"/>
      <c r="B697" s="336"/>
      <c r="C697" s="336"/>
      <c r="D697" s="336"/>
      <c r="E697" s="336"/>
      <c r="F697" s="336"/>
      <c r="G697" s="336"/>
      <c r="H697" s="336"/>
      <c r="I697" s="336"/>
      <c r="J697" s="336"/>
      <c r="K697" s="415"/>
      <c r="L697" s="336"/>
      <c r="M697" s="336"/>
      <c r="N697" s="336"/>
      <c r="O697" s="416"/>
      <c r="P697" s="336"/>
      <c r="Q697" s="415"/>
      <c r="R697" s="336"/>
      <c r="S697" s="336"/>
      <c r="T697" s="336"/>
      <c r="U697" s="336"/>
      <c r="V697" s="336"/>
      <c r="W697" s="336"/>
      <c r="X697" s="336"/>
      <c r="Y697" s="336"/>
      <c r="Z697" s="336"/>
      <c r="AA697" s="336"/>
      <c r="AB697" s="336"/>
      <c r="AC697" s="336"/>
      <c r="AD697" s="336"/>
      <c r="AE697"/>
      <c r="AF697" s="336"/>
      <c r="AG697" s="336"/>
      <c r="AH697" s="336"/>
      <c r="AI697" s="336"/>
      <c r="AJ697" s="336"/>
      <c r="AK697" s="336"/>
      <c r="AL697" s="336"/>
      <c r="AM697" s="336"/>
      <c r="AN697" s="336"/>
      <c r="AO697" s="336"/>
      <c r="AP697" s="336"/>
      <c r="AQ697" s="336"/>
      <c r="AR697" s="336"/>
      <c r="AS697" s="336"/>
      <c r="AT697" s="336"/>
    </row>
    <row r="698" spans="1:46" ht="14.45">
      <c r="A698" s="336"/>
      <c r="B698" s="336"/>
      <c r="C698" s="336"/>
      <c r="D698" s="336"/>
      <c r="E698" s="336"/>
      <c r="F698" s="336"/>
      <c r="G698" s="336"/>
      <c r="H698" s="336"/>
      <c r="I698" s="336"/>
      <c r="J698" s="336"/>
      <c r="K698" s="415"/>
      <c r="L698" s="336"/>
      <c r="M698" s="336"/>
      <c r="N698" s="336"/>
      <c r="O698" s="416"/>
      <c r="P698" s="336"/>
      <c r="Q698" s="415"/>
      <c r="R698" s="336"/>
      <c r="S698" s="336"/>
      <c r="T698" s="336"/>
      <c r="U698" s="336"/>
      <c r="V698" s="336"/>
      <c r="W698" s="336"/>
      <c r="X698" s="336"/>
      <c r="Y698" s="336"/>
      <c r="Z698" s="336"/>
      <c r="AA698" s="336"/>
      <c r="AB698" s="336"/>
      <c r="AC698" s="336"/>
      <c r="AD698" s="336"/>
      <c r="AE698"/>
      <c r="AF698" s="336"/>
      <c r="AG698" s="336"/>
      <c r="AH698" s="336"/>
      <c r="AI698" s="336"/>
      <c r="AJ698" s="336"/>
      <c r="AK698" s="336"/>
      <c r="AL698" s="336"/>
      <c r="AM698" s="336"/>
      <c r="AN698" s="336"/>
      <c r="AO698" s="336"/>
      <c r="AP698" s="336"/>
      <c r="AQ698" s="336"/>
      <c r="AR698" s="336"/>
      <c r="AS698" s="336"/>
      <c r="AT698" s="336"/>
    </row>
    <row r="699" spans="1:46" ht="14.45">
      <c r="A699" s="336"/>
      <c r="B699" s="336"/>
      <c r="C699" s="336"/>
      <c r="D699" s="336"/>
      <c r="E699" s="336"/>
      <c r="F699" s="336"/>
      <c r="G699" s="336"/>
      <c r="H699" s="336"/>
      <c r="I699" s="336"/>
      <c r="J699" s="336"/>
      <c r="K699" s="415"/>
      <c r="L699" s="336"/>
      <c r="M699" s="336"/>
      <c r="N699" s="336"/>
      <c r="O699" s="416"/>
      <c r="P699" s="336"/>
      <c r="Q699" s="415"/>
      <c r="R699" s="336"/>
      <c r="S699" s="336"/>
      <c r="T699" s="336"/>
      <c r="U699" s="336"/>
      <c r="V699" s="336"/>
      <c r="W699" s="336"/>
      <c r="X699" s="336"/>
      <c r="Y699" s="336"/>
      <c r="Z699" s="336"/>
      <c r="AA699" s="336"/>
      <c r="AB699" s="336"/>
      <c r="AC699" s="336"/>
      <c r="AD699" s="336"/>
      <c r="AE699"/>
      <c r="AF699" s="336"/>
      <c r="AG699" s="336"/>
      <c r="AH699" s="336"/>
      <c r="AI699" s="336"/>
      <c r="AJ699" s="336"/>
      <c r="AK699" s="336"/>
      <c r="AL699" s="336"/>
      <c r="AM699" s="336"/>
      <c r="AN699" s="336"/>
      <c r="AO699" s="336"/>
      <c r="AP699" s="336"/>
      <c r="AQ699" s="336"/>
      <c r="AR699" s="336"/>
      <c r="AS699" s="336"/>
      <c r="AT699" s="336"/>
    </row>
    <row r="700" spans="1:46" ht="14.45">
      <c r="A700" s="336"/>
      <c r="B700" s="336"/>
      <c r="C700" s="336"/>
      <c r="D700" s="336"/>
      <c r="E700" s="336"/>
      <c r="F700" s="336"/>
      <c r="G700" s="336"/>
      <c r="H700" s="336"/>
      <c r="I700" s="336"/>
      <c r="J700" s="336"/>
      <c r="K700" s="415"/>
      <c r="L700" s="336"/>
      <c r="M700" s="336"/>
      <c r="N700" s="336"/>
      <c r="O700" s="416"/>
      <c r="P700" s="336"/>
      <c r="Q700" s="415"/>
      <c r="R700" s="336"/>
      <c r="S700" s="336"/>
      <c r="T700" s="336"/>
      <c r="U700" s="336"/>
      <c r="V700" s="336"/>
      <c r="W700" s="336"/>
      <c r="X700" s="336"/>
      <c r="Y700" s="336"/>
      <c r="Z700" s="336"/>
      <c r="AA700" s="336"/>
      <c r="AB700" s="336"/>
      <c r="AC700" s="336"/>
      <c r="AD700" s="336"/>
      <c r="AE700"/>
      <c r="AF700" s="336"/>
      <c r="AG700" s="336"/>
      <c r="AH700" s="336"/>
      <c r="AI700" s="336"/>
      <c r="AJ700" s="336"/>
      <c r="AK700" s="336"/>
      <c r="AL700" s="336"/>
      <c r="AM700" s="336"/>
      <c r="AN700" s="336"/>
      <c r="AO700" s="336"/>
      <c r="AP700" s="336"/>
      <c r="AQ700" s="336"/>
      <c r="AR700" s="336"/>
      <c r="AS700" s="336"/>
      <c r="AT700" s="336"/>
    </row>
    <row r="701" spans="1:46" ht="14.45">
      <c r="A701" s="336"/>
      <c r="B701" s="336"/>
      <c r="C701" s="336"/>
      <c r="D701" s="336"/>
      <c r="E701" s="336"/>
      <c r="F701" s="336"/>
      <c r="G701" s="336"/>
      <c r="H701" s="336"/>
      <c r="I701" s="336"/>
      <c r="J701" s="336"/>
      <c r="K701" s="415"/>
      <c r="L701" s="336"/>
      <c r="M701" s="336"/>
      <c r="N701" s="336"/>
      <c r="O701" s="416"/>
      <c r="P701" s="336"/>
      <c r="Q701" s="415"/>
      <c r="R701" s="336"/>
      <c r="S701" s="336"/>
      <c r="T701" s="336"/>
      <c r="U701" s="336"/>
      <c r="V701" s="336"/>
      <c r="W701" s="336"/>
      <c r="X701" s="336"/>
      <c r="Y701" s="336"/>
      <c r="Z701" s="336"/>
      <c r="AA701" s="336"/>
      <c r="AB701" s="336"/>
      <c r="AC701" s="336"/>
      <c r="AD701" s="336"/>
      <c r="AE701"/>
      <c r="AF701" s="336"/>
      <c r="AG701" s="336"/>
      <c r="AH701" s="336"/>
      <c r="AI701" s="336"/>
      <c r="AJ701" s="336"/>
      <c r="AK701" s="336"/>
      <c r="AL701" s="336"/>
      <c r="AM701" s="336"/>
      <c r="AN701" s="336"/>
      <c r="AO701" s="336"/>
      <c r="AP701" s="336"/>
      <c r="AQ701" s="336"/>
      <c r="AR701" s="336"/>
      <c r="AS701" s="336"/>
      <c r="AT701" s="336"/>
    </row>
    <row r="702" spans="1:46" ht="14.45">
      <c r="A702" s="336"/>
      <c r="B702" s="336"/>
      <c r="C702" s="336"/>
      <c r="D702" s="336"/>
      <c r="E702" s="336"/>
      <c r="F702" s="336"/>
      <c r="G702" s="336"/>
      <c r="H702" s="336"/>
      <c r="I702" s="336"/>
      <c r="J702" s="336"/>
      <c r="K702" s="415"/>
      <c r="L702" s="336"/>
      <c r="M702" s="336"/>
      <c r="N702" s="336"/>
      <c r="O702" s="416"/>
      <c r="P702" s="336"/>
      <c r="Q702" s="415"/>
      <c r="R702" s="336"/>
      <c r="S702" s="336"/>
      <c r="T702" s="336"/>
      <c r="U702" s="336"/>
      <c r="V702" s="336"/>
      <c r="W702" s="336"/>
      <c r="X702" s="336"/>
      <c r="Y702" s="336"/>
      <c r="Z702" s="336"/>
      <c r="AA702" s="336"/>
      <c r="AB702" s="336"/>
      <c r="AC702" s="336"/>
      <c r="AD702" s="336"/>
      <c r="AE702"/>
      <c r="AF702" s="336"/>
      <c r="AG702" s="336"/>
      <c r="AH702" s="336"/>
      <c r="AI702" s="336"/>
      <c r="AJ702" s="336"/>
      <c r="AK702" s="336"/>
      <c r="AL702" s="336"/>
      <c r="AM702" s="336"/>
      <c r="AN702" s="336"/>
      <c r="AO702" s="336"/>
      <c r="AP702" s="336"/>
      <c r="AQ702" s="336"/>
      <c r="AR702" s="336"/>
      <c r="AS702" s="336"/>
      <c r="AT702" s="336"/>
    </row>
    <row r="703" spans="1:46" ht="14.45">
      <c r="A703" s="336"/>
      <c r="B703" s="336"/>
      <c r="C703" s="336"/>
      <c r="D703" s="336"/>
      <c r="E703" s="336"/>
      <c r="F703" s="336"/>
      <c r="G703" s="336"/>
      <c r="H703" s="336"/>
      <c r="I703" s="336"/>
      <c r="J703" s="336"/>
      <c r="K703" s="415"/>
      <c r="L703" s="336"/>
      <c r="M703" s="336"/>
      <c r="N703" s="336"/>
      <c r="O703" s="416"/>
      <c r="P703" s="336"/>
      <c r="Q703" s="415"/>
      <c r="R703" s="336"/>
      <c r="S703" s="336"/>
      <c r="T703" s="336"/>
      <c r="U703" s="336"/>
      <c r="V703" s="336"/>
      <c r="W703" s="336"/>
      <c r="X703" s="336"/>
      <c r="Y703" s="336"/>
      <c r="Z703" s="336"/>
      <c r="AA703" s="336"/>
      <c r="AB703" s="336"/>
      <c r="AC703" s="336"/>
      <c r="AD703" s="336"/>
      <c r="AE703"/>
      <c r="AF703" s="336"/>
      <c r="AG703" s="336"/>
      <c r="AH703" s="336"/>
      <c r="AI703" s="336"/>
      <c r="AJ703" s="336"/>
      <c r="AK703" s="336"/>
      <c r="AL703" s="336"/>
      <c r="AM703" s="336"/>
      <c r="AN703" s="336"/>
      <c r="AO703" s="336"/>
      <c r="AP703" s="336"/>
      <c r="AQ703" s="336"/>
      <c r="AR703" s="336"/>
      <c r="AS703" s="336"/>
      <c r="AT703" s="336"/>
    </row>
    <row r="704" spans="1:46" ht="14.45">
      <c r="A704" s="336"/>
      <c r="B704" s="336"/>
      <c r="C704" s="336"/>
      <c r="D704" s="336"/>
      <c r="E704" s="336"/>
      <c r="F704" s="336"/>
      <c r="G704" s="336"/>
      <c r="H704" s="336"/>
      <c r="I704" s="336"/>
      <c r="J704" s="336"/>
      <c r="K704" s="415"/>
      <c r="L704" s="336"/>
      <c r="M704" s="336"/>
      <c r="N704" s="336"/>
      <c r="O704" s="416"/>
      <c r="P704" s="336"/>
      <c r="Q704" s="415"/>
      <c r="R704" s="336"/>
      <c r="S704" s="336"/>
      <c r="T704" s="336"/>
      <c r="U704" s="336"/>
      <c r="V704" s="336"/>
      <c r="W704" s="336"/>
      <c r="X704" s="336"/>
      <c r="Y704" s="336"/>
      <c r="Z704" s="336"/>
      <c r="AA704" s="336"/>
      <c r="AB704" s="336"/>
      <c r="AC704" s="336"/>
      <c r="AD704" s="336"/>
      <c r="AE704"/>
      <c r="AF704" s="336"/>
      <c r="AG704" s="336"/>
      <c r="AH704" s="336"/>
      <c r="AI704" s="336"/>
      <c r="AJ704" s="336"/>
      <c r="AK704" s="336"/>
      <c r="AL704" s="336"/>
      <c r="AM704" s="336"/>
      <c r="AN704" s="336"/>
      <c r="AO704" s="336"/>
      <c r="AP704" s="336"/>
      <c r="AQ704" s="336"/>
      <c r="AR704" s="336"/>
      <c r="AS704" s="336"/>
      <c r="AT704" s="336"/>
    </row>
    <row r="705" spans="1:46" ht="14.45">
      <c r="A705" s="336"/>
      <c r="B705" s="336"/>
      <c r="C705" s="336"/>
      <c r="D705" s="336"/>
      <c r="E705" s="336"/>
      <c r="F705" s="336"/>
      <c r="G705" s="336"/>
      <c r="H705" s="336"/>
      <c r="I705" s="336"/>
      <c r="J705" s="336"/>
      <c r="K705" s="415"/>
      <c r="L705" s="336"/>
      <c r="M705" s="336"/>
      <c r="N705" s="336"/>
      <c r="O705" s="416"/>
      <c r="P705" s="336"/>
      <c r="Q705" s="415"/>
      <c r="R705" s="336"/>
      <c r="S705" s="336"/>
      <c r="T705" s="336"/>
      <c r="U705" s="336"/>
      <c r="V705" s="336"/>
      <c r="W705" s="336"/>
      <c r="X705" s="336"/>
      <c r="Y705" s="336"/>
      <c r="Z705" s="336"/>
      <c r="AA705" s="336"/>
      <c r="AB705" s="336"/>
      <c r="AC705" s="336"/>
      <c r="AD705" s="336"/>
      <c r="AE705"/>
      <c r="AF705" s="336"/>
      <c r="AG705" s="336"/>
      <c r="AH705" s="336"/>
      <c r="AI705" s="336"/>
      <c r="AJ705" s="336"/>
      <c r="AK705" s="336"/>
      <c r="AL705" s="336"/>
      <c r="AM705" s="336"/>
      <c r="AN705" s="336"/>
      <c r="AO705" s="336"/>
      <c r="AP705" s="336"/>
      <c r="AQ705" s="336"/>
      <c r="AR705" s="336"/>
      <c r="AS705" s="336"/>
      <c r="AT705" s="336"/>
    </row>
    <row r="706" spans="1:46" ht="14.45">
      <c r="A706" s="336"/>
      <c r="B706" s="336"/>
      <c r="C706" s="336"/>
      <c r="D706" s="336"/>
      <c r="E706" s="336"/>
      <c r="F706" s="336"/>
      <c r="G706" s="336"/>
      <c r="H706" s="336"/>
      <c r="I706" s="336"/>
      <c r="J706" s="336"/>
      <c r="K706" s="415"/>
      <c r="L706" s="336"/>
      <c r="M706" s="336"/>
      <c r="N706" s="336"/>
      <c r="O706" s="416"/>
      <c r="P706" s="336"/>
      <c r="Q706" s="415"/>
      <c r="R706" s="336"/>
      <c r="S706" s="336"/>
      <c r="T706" s="336"/>
      <c r="U706" s="336"/>
      <c r="V706" s="336"/>
      <c r="W706" s="336"/>
      <c r="X706" s="336"/>
      <c r="Y706" s="336"/>
      <c r="Z706" s="336"/>
      <c r="AA706" s="336"/>
      <c r="AB706" s="336"/>
      <c r="AC706" s="336"/>
      <c r="AD706" s="336"/>
      <c r="AE706"/>
      <c r="AF706" s="336"/>
      <c r="AG706" s="336"/>
      <c r="AH706" s="336"/>
      <c r="AI706" s="336"/>
      <c r="AJ706" s="336"/>
      <c r="AK706" s="336"/>
      <c r="AL706" s="336"/>
      <c r="AM706" s="336"/>
      <c r="AN706" s="336"/>
      <c r="AO706" s="336"/>
      <c r="AP706" s="336"/>
      <c r="AQ706" s="336"/>
      <c r="AR706" s="336"/>
      <c r="AS706" s="336"/>
      <c r="AT706" s="336"/>
    </row>
    <row r="707" spans="1:46" ht="14.45">
      <c r="A707" s="336"/>
      <c r="B707" s="336"/>
      <c r="C707" s="336"/>
      <c r="D707" s="336"/>
      <c r="E707" s="336"/>
      <c r="F707" s="336"/>
      <c r="G707" s="336"/>
      <c r="H707" s="336"/>
      <c r="I707" s="336"/>
      <c r="J707" s="336"/>
      <c r="K707" s="415"/>
      <c r="L707" s="336"/>
      <c r="M707" s="336"/>
      <c r="N707" s="336"/>
      <c r="O707" s="416"/>
      <c r="P707" s="336"/>
      <c r="Q707" s="415"/>
      <c r="R707" s="336"/>
      <c r="S707" s="336"/>
      <c r="T707" s="336"/>
      <c r="U707" s="336"/>
      <c r="V707" s="336"/>
      <c r="W707" s="336"/>
      <c r="X707" s="336"/>
      <c r="Y707" s="336"/>
      <c r="Z707" s="336"/>
      <c r="AA707" s="336"/>
      <c r="AB707" s="336"/>
      <c r="AC707" s="336"/>
      <c r="AD707" s="336"/>
      <c r="AE707"/>
      <c r="AF707" s="336"/>
      <c r="AG707" s="336"/>
      <c r="AH707" s="336"/>
      <c r="AI707" s="336"/>
      <c r="AJ707" s="336"/>
      <c r="AK707" s="336"/>
      <c r="AL707" s="336"/>
      <c r="AM707" s="336"/>
      <c r="AN707" s="336"/>
      <c r="AO707" s="336"/>
      <c r="AP707" s="336"/>
      <c r="AQ707" s="336"/>
      <c r="AR707" s="336"/>
      <c r="AS707" s="336"/>
      <c r="AT707" s="336"/>
    </row>
    <row r="708" spans="1:46" ht="14.45">
      <c r="A708" s="336"/>
      <c r="B708" s="336"/>
      <c r="C708" s="336"/>
      <c r="D708" s="336"/>
      <c r="E708" s="336"/>
      <c r="F708" s="336"/>
      <c r="G708" s="336"/>
      <c r="H708" s="336"/>
      <c r="I708" s="336"/>
      <c r="J708" s="336"/>
      <c r="K708" s="415"/>
      <c r="L708" s="336"/>
      <c r="M708" s="336"/>
      <c r="N708" s="336"/>
      <c r="O708" s="416"/>
      <c r="P708" s="336"/>
      <c r="Q708" s="415"/>
      <c r="R708" s="336"/>
      <c r="S708" s="336"/>
      <c r="T708" s="336"/>
      <c r="U708" s="336"/>
      <c r="V708" s="336"/>
      <c r="W708" s="336"/>
      <c r="X708" s="336"/>
      <c r="Y708" s="336"/>
      <c r="Z708" s="336"/>
      <c r="AA708" s="336"/>
      <c r="AB708" s="336"/>
      <c r="AC708" s="336"/>
      <c r="AD708" s="336"/>
      <c r="AE708"/>
      <c r="AF708" s="336"/>
      <c r="AG708" s="336"/>
      <c r="AH708" s="336"/>
      <c r="AI708" s="336"/>
      <c r="AJ708" s="336"/>
      <c r="AK708" s="336"/>
      <c r="AL708" s="336"/>
      <c r="AM708" s="336"/>
      <c r="AN708" s="336"/>
      <c r="AO708" s="336"/>
      <c r="AP708" s="336"/>
      <c r="AQ708" s="336"/>
      <c r="AR708" s="336"/>
      <c r="AS708" s="336"/>
      <c r="AT708" s="336"/>
    </row>
    <row r="709" spans="1:46" ht="14.45">
      <c r="A709" s="336"/>
      <c r="B709" s="336"/>
      <c r="C709" s="336"/>
      <c r="D709" s="336"/>
      <c r="E709" s="336"/>
      <c r="F709" s="336"/>
      <c r="G709" s="336"/>
      <c r="H709" s="336"/>
      <c r="I709" s="336"/>
      <c r="J709" s="336"/>
      <c r="K709" s="415"/>
      <c r="L709" s="336"/>
      <c r="M709" s="336"/>
      <c r="N709" s="336"/>
      <c r="O709" s="416"/>
      <c r="P709" s="336"/>
      <c r="Q709" s="415"/>
      <c r="R709" s="336"/>
      <c r="S709" s="336"/>
      <c r="T709" s="336"/>
      <c r="U709" s="336"/>
      <c r="V709" s="336"/>
      <c r="W709" s="336"/>
      <c r="X709" s="336"/>
      <c r="Y709" s="336"/>
      <c r="Z709" s="336"/>
      <c r="AA709" s="336"/>
      <c r="AB709" s="336"/>
      <c r="AC709" s="336"/>
      <c r="AD709" s="336"/>
      <c r="AE709"/>
      <c r="AF709" s="336"/>
      <c r="AG709" s="336"/>
      <c r="AH709" s="336"/>
      <c r="AI709" s="336"/>
      <c r="AJ709" s="336"/>
      <c r="AK709" s="336"/>
      <c r="AL709" s="336"/>
      <c r="AM709" s="336"/>
      <c r="AN709" s="336"/>
      <c r="AO709" s="336"/>
      <c r="AP709" s="336"/>
      <c r="AQ709" s="336"/>
      <c r="AR709" s="336"/>
      <c r="AS709" s="336"/>
      <c r="AT709" s="336"/>
    </row>
    <row r="710" spans="1:46" ht="14.45">
      <c r="A710" s="336"/>
      <c r="B710" s="336"/>
      <c r="C710" s="336"/>
      <c r="D710" s="336"/>
      <c r="E710" s="336"/>
      <c r="F710" s="336"/>
      <c r="G710" s="336"/>
      <c r="H710" s="336"/>
      <c r="I710" s="336"/>
      <c r="J710" s="336"/>
      <c r="K710" s="415"/>
      <c r="L710" s="336"/>
      <c r="M710" s="336"/>
      <c r="N710" s="336"/>
      <c r="O710" s="416"/>
      <c r="P710" s="336"/>
      <c r="Q710" s="415"/>
      <c r="R710" s="336"/>
      <c r="S710" s="336"/>
      <c r="T710" s="336"/>
      <c r="U710" s="336"/>
      <c r="V710" s="336"/>
      <c r="W710" s="336"/>
      <c r="X710" s="336"/>
      <c r="Y710" s="336"/>
      <c r="Z710" s="336"/>
      <c r="AA710" s="336"/>
      <c r="AB710" s="336"/>
      <c r="AC710" s="336"/>
      <c r="AD710" s="336"/>
      <c r="AE710"/>
      <c r="AF710" s="336"/>
      <c r="AG710" s="336"/>
      <c r="AH710" s="336"/>
      <c r="AI710" s="336"/>
      <c r="AJ710" s="336"/>
      <c r="AK710" s="336"/>
      <c r="AL710" s="336"/>
      <c r="AM710" s="336"/>
      <c r="AN710" s="336"/>
      <c r="AO710" s="336"/>
      <c r="AP710" s="336"/>
      <c r="AQ710" s="336"/>
      <c r="AR710" s="336"/>
      <c r="AS710" s="336"/>
      <c r="AT710" s="336"/>
    </row>
    <row r="711" spans="1:46" ht="14.45">
      <c r="A711" s="336"/>
      <c r="B711" s="336"/>
      <c r="C711" s="336"/>
      <c r="D711" s="336"/>
      <c r="E711" s="336"/>
      <c r="F711" s="336"/>
      <c r="G711" s="336"/>
      <c r="H711" s="336"/>
      <c r="I711" s="336"/>
      <c r="J711" s="336"/>
      <c r="K711" s="415"/>
      <c r="L711" s="336"/>
      <c r="M711" s="336"/>
      <c r="N711" s="336"/>
      <c r="O711" s="416"/>
      <c r="P711" s="336"/>
      <c r="Q711" s="415"/>
      <c r="R711" s="336"/>
      <c r="S711" s="336"/>
      <c r="T711" s="336"/>
      <c r="U711" s="336"/>
      <c r="V711" s="336"/>
      <c r="W711" s="336"/>
      <c r="X711" s="336"/>
      <c r="Y711" s="336"/>
      <c r="Z711" s="336"/>
      <c r="AA711" s="336"/>
      <c r="AB711" s="336"/>
      <c r="AC711" s="336"/>
      <c r="AD711" s="336"/>
      <c r="AE711"/>
      <c r="AF711" s="336"/>
      <c r="AG711" s="336"/>
      <c r="AH711" s="336"/>
      <c r="AI711" s="336"/>
      <c r="AJ711" s="336"/>
      <c r="AK711" s="336"/>
      <c r="AL711" s="336"/>
      <c r="AM711" s="336"/>
      <c r="AN711" s="336"/>
      <c r="AO711" s="336"/>
      <c r="AP711" s="336"/>
      <c r="AQ711" s="336"/>
      <c r="AR711" s="336"/>
      <c r="AS711" s="336"/>
      <c r="AT711" s="336"/>
    </row>
    <row r="712" spans="1:46" ht="14.45">
      <c r="A712" s="336"/>
      <c r="B712" s="336"/>
      <c r="C712" s="336"/>
      <c r="D712" s="336"/>
      <c r="E712" s="336"/>
      <c r="F712" s="336"/>
      <c r="G712" s="336"/>
      <c r="H712" s="336"/>
      <c r="I712" s="336"/>
      <c r="J712" s="336"/>
      <c r="K712" s="415"/>
      <c r="L712" s="336"/>
      <c r="M712" s="336"/>
      <c r="N712" s="336"/>
      <c r="O712" s="416"/>
      <c r="P712" s="336"/>
      <c r="Q712" s="415"/>
      <c r="R712" s="336"/>
      <c r="S712" s="336"/>
      <c r="T712" s="336"/>
      <c r="U712" s="336"/>
      <c r="V712" s="336"/>
      <c r="W712" s="336"/>
      <c r="X712" s="336"/>
      <c r="Y712" s="336"/>
      <c r="Z712" s="336"/>
      <c r="AA712" s="336"/>
      <c r="AB712" s="336"/>
      <c r="AC712" s="336"/>
      <c r="AD712" s="336"/>
      <c r="AE712"/>
      <c r="AF712" s="336"/>
      <c r="AG712" s="336"/>
      <c r="AH712" s="336"/>
      <c r="AI712" s="336"/>
      <c r="AJ712" s="336"/>
      <c r="AK712" s="336"/>
      <c r="AL712" s="336"/>
      <c r="AM712" s="336"/>
      <c r="AN712" s="336"/>
      <c r="AO712" s="336"/>
      <c r="AP712" s="336"/>
      <c r="AQ712" s="336"/>
      <c r="AR712" s="336"/>
      <c r="AS712" s="336"/>
      <c r="AT712" s="336"/>
    </row>
    <row r="713" spans="1:46" ht="14.45">
      <c r="A713" s="336"/>
      <c r="B713" s="336"/>
      <c r="C713" s="336"/>
      <c r="D713" s="336"/>
      <c r="E713" s="336"/>
      <c r="F713" s="336"/>
      <c r="G713" s="336"/>
      <c r="H713" s="336"/>
      <c r="I713" s="336"/>
      <c r="J713" s="336"/>
      <c r="K713" s="415"/>
      <c r="L713" s="336"/>
      <c r="M713" s="336"/>
      <c r="N713" s="336"/>
      <c r="O713" s="416"/>
      <c r="P713" s="336"/>
      <c r="Q713" s="415"/>
      <c r="R713" s="336"/>
      <c r="S713" s="336"/>
      <c r="T713" s="336"/>
      <c r="U713" s="336"/>
      <c r="V713" s="336"/>
      <c r="W713" s="336"/>
      <c r="X713" s="336"/>
      <c r="Y713" s="336"/>
      <c r="Z713" s="336"/>
      <c r="AA713" s="336"/>
      <c r="AB713" s="336"/>
      <c r="AC713" s="336"/>
      <c r="AD713" s="336"/>
      <c r="AE713"/>
      <c r="AF713" s="336"/>
      <c r="AG713" s="336"/>
      <c r="AH713" s="336"/>
      <c r="AI713" s="336"/>
      <c r="AJ713" s="336"/>
      <c r="AK713" s="336"/>
      <c r="AL713" s="336"/>
      <c r="AM713" s="336"/>
      <c r="AN713" s="336"/>
      <c r="AO713" s="336"/>
      <c r="AP713" s="336"/>
      <c r="AQ713" s="336"/>
      <c r="AR713" s="336"/>
      <c r="AS713" s="336"/>
      <c r="AT713" s="336"/>
    </row>
    <row r="714" spans="1:46" ht="14.45">
      <c r="A714" s="336"/>
      <c r="B714" s="336"/>
      <c r="C714" s="336"/>
      <c r="D714" s="336"/>
      <c r="E714" s="336"/>
      <c r="F714" s="336"/>
      <c r="G714" s="336"/>
      <c r="H714" s="336"/>
      <c r="I714" s="336"/>
      <c r="J714" s="336"/>
      <c r="K714" s="415"/>
      <c r="L714" s="336"/>
      <c r="M714" s="336"/>
      <c r="N714" s="336"/>
      <c r="O714" s="416"/>
      <c r="P714" s="336"/>
      <c r="Q714" s="415"/>
      <c r="R714" s="336"/>
      <c r="S714" s="336"/>
      <c r="T714" s="336"/>
      <c r="U714" s="336"/>
      <c r="V714" s="336"/>
      <c r="W714" s="336"/>
      <c r="X714" s="336"/>
      <c r="Y714" s="336"/>
      <c r="Z714" s="336"/>
      <c r="AA714" s="336"/>
      <c r="AB714" s="336"/>
      <c r="AC714" s="336"/>
      <c r="AD714" s="336"/>
      <c r="AE714"/>
      <c r="AF714" s="336"/>
      <c r="AG714" s="336"/>
      <c r="AH714" s="336"/>
      <c r="AI714" s="336"/>
      <c r="AJ714" s="336"/>
      <c r="AK714" s="336"/>
      <c r="AL714" s="336"/>
      <c r="AM714" s="336"/>
      <c r="AN714" s="336"/>
      <c r="AO714" s="336"/>
      <c r="AP714" s="336"/>
      <c r="AQ714" s="336"/>
      <c r="AR714" s="336"/>
      <c r="AS714" s="336"/>
      <c r="AT714" s="336"/>
    </row>
    <row r="715" spans="1:46" ht="14.45">
      <c r="A715" s="336"/>
      <c r="B715" s="336"/>
      <c r="C715" s="336"/>
      <c r="D715" s="336"/>
      <c r="E715" s="336"/>
      <c r="F715" s="336"/>
      <c r="G715" s="336"/>
      <c r="H715" s="336"/>
      <c r="I715" s="336"/>
      <c r="J715" s="336"/>
      <c r="K715" s="415"/>
      <c r="L715" s="336"/>
      <c r="M715" s="336"/>
      <c r="N715" s="336"/>
      <c r="O715" s="416"/>
      <c r="P715" s="336"/>
      <c r="Q715" s="415"/>
      <c r="R715" s="336"/>
      <c r="S715" s="336"/>
      <c r="T715" s="336"/>
      <c r="U715" s="336"/>
      <c r="V715" s="336"/>
      <c r="W715" s="336"/>
      <c r="X715" s="336"/>
      <c r="Y715" s="336"/>
      <c r="Z715" s="336"/>
      <c r="AA715" s="336"/>
      <c r="AB715" s="336"/>
      <c r="AC715" s="336"/>
      <c r="AD715" s="336"/>
      <c r="AE715"/>
      <c r="AF715" s="336"/>
      <c r="AG715" s="336"/>
      <c r="AH715" s="336"/>
      <c r="AI715" s="336"/>
      <c r="AJ715" s="336"/>
      <c r="AK715" s="336"/>
      <c r="AL715" s="336"/>
      <c r="AM715" s="336"/>
      <c r="AN715" s="336"/>
      <c r="AO715" s="336"/>
      <c r="AP715" s="336"/>
      <c r="AQ715" s="336"/>
      <c r="AR715" s="336"/>
      <c r="AS715" s="336"/>
      <c r="AT715" s="336"/>
    </row>
    <row r="716" spans="1:46" ht="14.45">
      <c r="A716" s="336"/>
      <c r="B716" s="336"/>
      <c r="C716" s="336"/>
      <c r="D716" s="336"/>
      <c r="E716" s="336"/>
      <c r="F716" s="336"/>
      <c r="G716" s="336"/>
      <c r="H716" s="336"/>
      <c r="I716" s="336"/>
      <c r="J716" s="336"/>
      <c r="K716" s="415"/>
      <c r="L716" s="336"/>
      <c r="M716" s="336"/>
      <c r="N716" s="336"/>
      <c r="O716" s="416"/>
      <c r="P716" s="336"/>
      <c r="Q716" s="415"/>
      <c r="R716" s="336"/>
      <c r="S716" s="336"/>
      <c r="T716" s="336"/>
      <c r="U716" s="336"/>
      <c r="V716" s="336"/>
      <c r="W716" s="336"/>
      <c r="X716" s="336"/>
      <c r="Y716" s="336"/>
      <c r="Z716" s="336"/>
      <c r="AA716" s="336"/>
      <c r="AB716" s="336"/>
      <c r="AC716" s="336"/>
      <c r="AD716" s="336"/>
      <c r="AE716"/>
      <c r="AF716" s="336"/>
      <c r="AG716" s="336"/>
      <c r="AH716" s="336"/>
      <c r="AI716" s="336"/>
      <c r="AJ716" s="336"/>
      <c r="AK716" s="336"/>
      <c r="AL716" s="336"/>
      <c r="AM716" s="336"/>
      <c r="AN716" s="336"/>
      <c r="AO716" s="336"/>
      <c r="AP716" s="336"/>
      <c r="AQ716" s="336"/>
      <c r="AR716" s="336"/>
      <c r="AS716" s="336"/>
      <c r="AT716" s="336"/>
    </row>
    <row r="717" spans="1:46" ht="14.45">
      <c r="A717" s="336"/>
      <c r="B717" s="336"/>
      <c r="C717" s="336"/>
      <c r="D717" s="336"/>
      <c r="E717" s="336"/>
      <c r="F717" s="336"/>
      <c r="G717" s="336"/>
      <c r="H717" s="336"/>
      <c r="I717" s="336"/>
      <c r="J717" s="336"/>
      <c r="K717" s="415"/>
      <c r="L717" s="336"/>
      <c r="M717" s="336"/>
      <c r="N717" s="336"/>
      <c r="O717" s="416"/>
      <c r="P717" s="336"/>
      <c r="Q717" s="415"/>
      <c r="R717" s="336"/>
      <c r="S717" s="336"/>
      <c r="T717" s="336"/>
      <c r="U717" s="336"/>
      <c r="V717" s="336"/>
      <c r="W717" s="336"/>
      <c r="X717" s="336"/>
      <c r="Y717" s="336"/>
      <c r="Z717" s="336"/>
      <c r="AA717" s="336"/>
      <c r="AB717" s="336"/>
      <c r="AC717" s="336"/>
      <c r="AD717" s="336"/>
      <c r="AE717"/>
      <c r="AF717" s="336"/>
      <c r="AG717" s="336"/>
      <c r="AH717" s="336"/>
      <c r="AI717" s="336"/>
      <c r="AJ717" s="336"/>
      <c r="AK717" s="336"/>
      <c r="AL717" s="336"/>
      <c r="AM717" s="336"/>
      <c r="AN717" s="336"/>
      <c r="AO717" s="336"/>
      <c r="AP717" s="336"/>
      <c r="AQ717" s="336"/>
      <c r="AR717" s="336"/>
      <c r="AS717" s="336"/>
      <c r="AT717" s="336"/>
    </row>
    <row r="718" spans="1:46" ht="14.45">
      <c r="A718" s="336"/>
      <c r="B718" s="336"/>
      <c r="C718" s="336"/>
      <c r="D718" s="336"/>
      <c r="E718" s="336"/>
      <c r="F718" s="336"/>
      <c r="G718" s="336"/>
      <c r="H718" s="336"/>
      <c r="I718" s="336"/>
      <c r="J718" s="336"/>
      <c r="K718" s="415"/>
      <c r="L718" s="336"/>
      <c r="M718" s="336"/>
      <c r="N718" s="336"/>
      <c r="O718" s="416"/>
      <c r="P718" s="336"/>
      <c r="Q718" s="415"/>
      <c r="R718" s="336"/>
      <c r="S718" s="336"/>
      <c r="T718" s="336"/>
      <c r="U718" s="336"/>
      <c r="V718" s="336"/>
      <c r="W718" s="336"/>
      <c r="X718" s="336"/>
      <c r="Y718" s="336"/>
      <c r="Z718" s="336"/>
      <c r="AA718" s="336"/>
      <c r="AB718" s="336"/>
      <c r="AC718" s="336"/>
      <c r="AD718" s="336"/>
      <c r="AE718"/>
      <c r="AF718" s="336"/>
      <c r="AG718" s="336"/>
      <c r="AH718" s="336"/>
      <c r="AI718" s="336"/>
      <c r="AJ718" s="336"/>
      <c r="AK718" s="336"/>
      <c r="AL718" s="336"/>
      <c r="AM718" s="336"/>
      <c r="AN718" s="336"/>
      <c r="AO718" s="336"/>
      <c r="AP718" s="336"/>
      <c r="AQ718" s="336"/>
      <c r="AR718" s="336"/>
      <c r="AS718" s="336"/>
      <c r="AT718" s="336"/>
    </row>
    <row r="719" spans="1:46" ht="14.45">
      <c r="A719" s="336"/>
      <c r="B719" s="336"/>
      <c r="C719" s="336"/>
      <c r="D719" s="336"/>
      <c r="E719" s="336"/>
      <c r="F719" s="336"/>
      <c r="G719" s="336"/>
      <c r="H719" s="336"/>
      <c r="I719" s="336"/>
      <c r="J719" s="336"/>
      <c r="K719" s="415"/>
      <c r="L719" s="336"/>
      <c r="M719" s="336"/>
      <c r="N719" s="336"/>
      <c r="O719" s="416"/>
      <c r="P719" s="336"/>
      <c r="Q719" s="415"/>
      <c r="R719" s="336"/>
      <c r="S719" s="336"/>
      <c r="T719" s="336"/>
      <c r="U719" s="336"/>
      <c r="V719" s="336"/>
      <c r="W719" s="336"/>
      <c r="X719" s="336"/>
      <c r="Y719" s="336"/>
      <c r="Z719" s="336"/>
      <c r="AA719" s="336"/>
      <c r="AB719" s="336"/>
      <c r="AC719" s="336"/>
      <c r="AD719" s="336"/>
      <c r="AE719"/>
      <c r="AF719" s="336"/>
      <c r="AG719" s="336"/>
      <c r="AH719" s="336"/>
      <c r="AI719" s="336"/>
      <c r="AJ719" s="336"/>
      <c r="AK719" s="336"/>
      <c r="AL719" s="336"/>
      <c r="AM719" s="336"/>
      <c r="AN719" s="336"/>
      <c r="AO719" s="336"/>
      <c r="AP719" s="336"/>
      <c r="AQ719" s="336"/>
      <c r="AR719" s="336"/>
      <c r="AS719" s="336"/>
      <c r="AT719" s="336"/>
    </row>
    <row r="720" spans="1:46" ht="14.45">
      <c r="A720" s="336"/>
      <c r="B720" s="336"/>
      <c r="C720" s="336"/>
      <c r="D720" s="336"/>
      <c r="E720" s="336"/>
      <c r="F720" s="336"/>
      <c r="G720" s="336"/>
      <c r="H720" s="336"/>
      <c r="I720" s="336"/>
      <c r="J720" s="336"/>
      <c r="K720" s="415"/>
      <c r="L720" s="336"/>
      <c r="M720" s="336"/>
      <c r="N720" s="336"/>
      <c r="O720" s="416"/>
      <c r="P720" s="336"/>
      <c r="Q720" s="415"/>
      <c r="R720" s="336"/>
      <c r="S720" s="336"/>
      <c r="T720" s="336"/>
      <c r="U720" s="336"/>
      <c r="V720" s="336"/>
      <c r="W720" s="336"/>
      <c r="X720" s="336"/>
      <c r="Y720" s="336"/>
      <c r="Z720" s="336"/>
      <c r="AA720" s="336"/>
      <c r="AB720" s="336"/>
      <c r="AC720" s="336"/>
      <c r="AD720" s="336"/>
      <c r="AE720"/>
      <c r="AF720" s="336"/>
      <c r="AG720" s="336"/>
      <c r="AH720" s="336"/>
      <c r="AI720" s="336"/>
      <c r="AJ720" s="336"/>
      <c r="AK720" s="336"/>
      <c r="AL720" s="336"/>
      <c r="AM720" s="336"/>
      <c r="AN720" s="336"/>
      <c r="AO720" s="336"/>
      <c r="AP720" s="336"/>
      <c r="AQ720" s="336"/>
      <c r="AR720" s="336"/>
      <c r="AS720" s="336"/>
      <c r="AT720" s="336"/>
    </row>
    <row r="721" spans="1:46" ht="14.45">
      <c r="A721" s="336"/>
      <c r="B721" s="336"/>
      <c r="C721" s="336"/>
      <c r="D721" s="336"/>
      <c r="E721" s="336"/>
      <c r="F721" s="336"/>
      <c r="G721" s="336"/>
      <c r="H721" s="336"/>
      <c r="I721" s="336"/>
      <c r="J721" s="336"/>
      <c r="K721" s="415"/>
      <c r="L721" s="336"/>
      <c r="M721" s="336"/>
      <c r="N721" s="336"/>
      <c r="O721" s="416"/>
      <c r="P721" s="336"/>
      <c r="Q721" s="415"/>
      <c r="R721" s="336"/>
      <c r="S721" s="336"/>
      <c r="T721" s="336"/>
      <c r="U721" s="336"/>
      <c r="V721" s="336"/>
      <c r="W721" s="336"/>
      <c r="X721" s="336"/>
      <c r="Y721" s="336"/>
      <c r="Z721" s="336"/>
      <c r="AA721" s="336"/>
      <c r="AB721" s="336"/>
      <c r="AC721" s="336"/>
      <c r="AD721" s="336"/>
      <c r="AE721"/>
      <c r="AF721" s="336"/>
      <c r="AG721" s="336"/>
      <c r="AH721" s="336"/>
      <c r="AI721" s="336"/>
      <c r="AJ721" s="336"/>
      <c r="AK721" s="336"/>
      <c r="AL721" s="336"/>
      <c r="AM721" s="336"/>
      <c r="AN721" s="336"/>
      <c r="AO721" s="336"/>
      <c r="AP721" s="336"/>
      <c r="AQ721" s="336"/>
      <c r="AR721" s="336"/>
      <c r="AS721" s="336"/>
      <c r="AT721" s="336"/>
    </row>
    <row r="722" spans="1:46" ht="14.45">
      <c r="A722" s="336"/>
      <c r="B722" s="336"/>
      <c r="C722" s="336"/>
      <c r="D722" s="336"/>
      <c r="E722" s="336"/>
      <c r="F722" s="336"/>
      <c r="G722" s="336"/>
      <c r="H722" s="336"/>
      <c r="I722" s="336"/>
      <c r="J722" s="336"/>
      <c r="K722" s="415"/>
      <c r="L722" s="336"/>
      <c r="M722" s="336"/>
      <c r="N722" s="336"/>
      <c r="O722" s="416"/>
      <c r="P722" s="336"/>
      <c r="Q722" s="415"/>
      <c r="R722" s="336"/>
      <c r="S722" s="336"/>
      <c r="T722" s="336"/>
      <c r="U722" s="336"/>
      <c r="V722" s="336"/>
      <c r="W722" s="336"/>
      <c r="X722" s="336"/>
      <c r="Y722" s="336"/>
      <c r="Z722" s="336"/>
      <c r="AA722" s="336"/>
      <c r="AB722" s="336"/>
      <c r="AC722" s="336"/>
      <c r="AD722" s="336"/>
      <c r="AE722"/>
      <c r="AF722" s="336"/>
      <c r="AG722" s="336"/>
      <c r="AH722" s="336"/>
      <c r="AI722" s="336"/>
      <c r="AJ722" s="336"/>
      <c r="AK722" s="336"/>
      <c r="AL722" s="336"/>
      <c r="AM722" s="336"/>
      <c r="AN722" s="336"/>
      <c r="AO722" s="336"/>
      <c r="AP722" s="336"/>
      <c r="AQ722" s="336"/>
      <c r="AR722" s="336"/>
      <c r="AS722" s="336"/>
      <c r="AT722" s="336"/>
    </row>
    <row r="723" spans="1:46" ht="14.45">
      <c r="A723" s="336"/>
      <c r="B723" s="336"/>
      <c r="C723" s="336"/>
      <c r="D723" s="336"/>
      <c r="E723" s="336"/>
      <c r="F723" s="336"/>
      <c r="G723" s="336"/>
      <c r="H723" s="336"/>
      <c r="I723" s="336"/>
      <c r="J723" s="336"/>
      <c r="K723" s="415"/>
      <c r="L723" s="336"/>
      <c r="M723" s="336"/>
      <c r="N723" s="336"/>
      <c r="O723" s="416"/>
      <c r="P723" s="336"/>
      <c r="Q723" s="415"/>
      <c r="R723" s="336"/>
      <c r="S723" s="336"/>
      <c r="T723" s="336"/>
      <c r="U723" s="336"/>
      <c r="V723" s="336"/>
      <c r="W723" s="336"/>
      <c r="X723" s="336"/>
      <c r="Y723" s="336"/>
      <c r="Z723" s="336"/>
      <c r="AA723" s="336"/>
      <c r="AB723" s="336"/>
      <c r="AC723" s="336"/>
      <c r="AD723" s="336"/>
      <c r="AE723"/>
      <c r="AF723" s="336"/>
      <c r="AG723" s="336"/>
      <c r="AH723" s="336"/>
      <c r="AI723" s="336"/>
      <c r="AJ723" s="336"/>
      <c r="AK723" s="336"/>
      <c r="AL723" s="336"/>
      <c r="AM723" s="336"/>
      <c r="AN723" s="336"/>
      <c r="AO723" s="336"/>
      <c r="AP723" s="336"/>
      <c r="AQ723" s="336"/>
      <c r="AR723" s="336"/>
      <c r="AS723" s="336"/>
      <c r="AT723" s="336"/>
    </row>
    <row r="724" spans="1:46" ht="14.45">
      <c r="A724" s="336"/>
      <c r="B724" s="336"/>
      <c r="C724" s="336"/>
      <c r="D724" s="336"/>
      <c r="E724" s="336"/>
      <c r="F724" s="336"/>
      <c r="G724" s="336"/>
      <c r="H724" s="336"/>
      <c r="I724" s="336"/>
      <c r="J724" s="336"/>
      <c r="K724" s="415"/>
      <c r="L724" s="336"/>
      <c r="M724" s="336"/>
      <c r="N724" s="336"/>
      <c r="O724" s="416"/>
      <c r="P724" s="336"/>
      <c r="Q724" s="415"/>
      <c r="R724" s="336"/>
      <c r="S724" s="336"/>
      <c r="T724" s="336"/>
      <c r="U724" s="336"/>
      <c r="V724" s="336"/>
      <c r="W724" s="336"/>
      <c r="X724" s="336"/>
      <c r="Y724" s="336"/>
      <c r="Z724" s="336"/>
      <c r="AA724" s="336"/>
      <c r="AB724" s="336"/>
      <c r="AC724" s="336"/>
      <c r="AD724" s="336"/>
      <c r="AE724"/>
      <c r="AF724" s="336"/>
      <c r="AG724" s="336"/>
      <c r="AH724" s="336"/>
      <c r="AI724" s="336"/>
      <c r="AJ724" s="336"/>
      <c r="AK724" s="336"/>
      <c r="AL724" s="336"/>
      <c r="AM724" s="336"/>
      <c r="AN724" s="336"/>
      <c r="AO724" s="336"/>
      <c r="AP724" s="336"/>
      <c r="AQ724" s="336"/>
      <c r="AR724" s="336"/>
      <c r="AS724" s="336"/>
      <c r="AT724" s="336"/>
    </row>
    <row r="725" spans="1:46" ht="14.45">
      <c r="A725" s="336"/>
      <c r="B725" s="336"/>
      <c r="C725" s="336"/>
      <c r="D725" s="336"/>
      <c r="E725" s="336"/>
      <c r="F725" s="336"/>
      <c r="G725" s="336"/>
      <c r="H725" s="336"/>
      <c r="I725" s="336"/>
      <c r="J725" s="336"/>
      <c r="K725" s="415"/>
      <c r="L725" s="336"/>
      <c r="M725" s="336"/>
      <c r="N725" s="336"/>
      <c r="O725" s="416"/>
      <c r="P725" s="336"/>
      <c r="Q725" s="415"/>
      <c r="R725" s="336"/>
      <c r="S725" s="336"/>
      <c r="T725" s="336"/>
      <c r="U725" s="336"/>
      <c r="V725" s="336"/>
      <c r="W725" s="336"/>
      <c r="X725" s="336"/>
      <c r="Y725" s="336"/>
      <c r="Z725" s="336"/>
      <c r="AA725" s="336"/>
      <c r="AB725" s="336"/>
      <c r="AC725" s="336"/>
      <c r="AD725" s="336"/>
      <c r="AE725"/>
      <c r="AF725" s="336"/>
      <c r="AG725" s="336"/>
      <c r="AH725" s="336"/>
      <c r="AI725" s="336"/>
      <c r="AJ725" s="336"/>
      <c r="AK725" s="336"/>
      <c r="AL725" s="336"/>
      <c r="AM725" s="336"/>
      <c r="AN725" s="336"/>
      <c r="AO725" s="336"/>
      <c r="AP725" s="336"/>
      <c r="AQ725" s="336"/>
      <c r="AR725" s="336"/>
      <c r="AS725" s="336"/>
      <c r="AT725" s="336"/>
    </row>
    <row r="726" spans="1:46" ht="14.45">
      <c r="A726" s="336"/>
      <c r="B726" s="336"/>
      <c r="C726" s="336"/>
      <c r="D726" s="336"/>
      <c r="E726" s="336"/>
      <c r="F726" s="336"/>
      <c r="G726" s="336"/>
      <c r="H726" s="336"/>
      <c r="I726" s="336"/>
      <c r="J726" s="336"/>
      <c r="K726" s="415"/>
      <c r="L726" s="336"/>
      <c r="M726" s="336"/>
      <c r="N726" s="336"/>
      <c r="O726" s="416"/>
      <c r="P726" s="336"/>
      <c r="Q726" s="415"/>
      <c r="R726" s="336"/>
      <c r="S726" s="336"/>
      <c r="T726" s="336"/>
      <c r="U726" s="336"/>
      <c r="V726" s="336"/>
      <c r="W726" s="336"/>
      <c r="X726" s="336"/>
      <c r="Y726" s="336"/>
      <c r="Z726" s="336"/>
      <c r="AA726" s="336"/>
      <c r="AB726" s="336"/>
      <c r="AC726" s="336"/>
      <c r="AD726" s="336"/>
      <c r="AE726"/>
      <c r="AF726" s="336"/>
      <c r="AG726" s="336"/>
      <c r="AH726" s="336"/>
      <c r="AI726" s="336"/>
      <c r="AJ726" s="336"/>
      <c r="AK726" s="336"/>
      <c r="AL726" s="336"/>
      <c r="AM726" s="336"/>
      <c r="AN726" s="336"/>
      <c r="AO726" s="336"/>
      <c r="AP726" s="336"/>
      <c r="AQ726" s="336"/>
      <c r="AR726" s="336"/>
      <c r="AS726" s="336"/>
      <c r="AT726" s="336"/>
    </row>
    <row r="727" spans="1:46" ht="14.45">
      <c r="A727" s="336"/>
      <c r="B727" s="336"/>
      <c r="C727" s="336"/>
      <c r="D727" s="336"/>
      <c r="E727" s="336"/>
      <c r="F727" s="336"/>
      <c r="G727" s="336"/>
      <c r="H727" s="336"/>
      <c r="I727" s="336"/>
      <c r="J727" s="336"/>
      <c r="K727" s="415"/>
      <c r="L727" s="336"/>
      <c r="M727" s="336"/>
      <c r="N727" s="336"/>
      <c r="O727" s="416"/>
      <c r="P727" s="336"/>
      <c r="Q727" s="415"/>
      <c r="R727" s="336"/>
      <c r="S727" s="336"/>
      <c r="T727" s="336"/>
      <c r="U727" s="336"/>
      <c r="V727" s="336"/>
      <c r="W727" s="336"/>
      <c r="X727" s="336"/>
      <c r="Y727" s="336"/>
      <c r="Z727" s="336"/>
      <c r="AA727" s="336"/>
      <c r="AB727" s="336"/>
      <c r="AC727" s="336"/>
      <c r="AD727" s="336"/>
      <c r="AE727"/>
      <c r="AF727" s="336"/>
      <c r="AG727" s="336"/>
      <c r="AH727" s="336"/>
      <c r="AI727" s="336"/>
      <c r="AJ727" s="336"/>
      <c r="AK727" s="336"/>
      <c r="AL727" s="336"/>
      <c r="AM727" s="336"/>
      <c r="AN727" s="336"/>
      <c r="AO727" s="336"/>
      <c r="AP727" s="336"/>
      <c r="AQ727" s="336"/>
      <c r="AR727" s="336"/>
      <c r="AS727" s="336"/>
      <c r="AT727" s="336"/>
    </row>
    <row r="728" spans="1:46" ht="14.45">
      <c r="A728" s="336"/>
      <c r="B728" s="336"/>
      <c r="C728" s="336"/>
      <c r="D728" s="336"/>
      <c r="E728" s="336"/>
      <c r="F728" s="336"/>
      <c r="G728" s="336"/>
      <c r="H728" s="336"/>
      <c r="I728" s="336"/>
      <c r="J728" s="336"/>
      <c r="K728" s="415"/>
      <c r="L728" s="336"/>
      <c r="M728" s="336"/>
      <c r="N728" s="336"/>
      <c r="O728" s="416"/>
      <c r="P728" s="336"/>
      <c r="Q728" s="415"/>
      <c r="R728" s="336"/>
      <c r="S728" s="336"/>
      <c r="T728" s="336"/>
      <c r="U728" s="336"/>
      <c r="V728" s="336"/>
      <c r="W728" s="336"/>
      <c r="X728" s="336"/>
      <c r="Y728" s="336"/>
      <c r="Z728" s="336"/>
      <c r="AA728" s="336"/>
      <c r="AB728" s="336"/>
      <c r="AC728" s="336"/>
      <c r="AD728" s="336"/>
      <c r="AE728"/>
      <c r="AF728" s="336"/>
      <c r="AG728" s="336"/>
      <c r="AH728" s="336"/>
      <c r="AI728" s="336"/>
      <c r="AJ728" s="336"/>
      <c r="AK728" s="336"/>
      <c r="AL728" s="336"/>
      <c r="AM728" s="336"/>
      <c r="AN728" s="336"/>
      <c r="AO728" s="336"/>
      <c r="AP728" s="336"/>
      <c r="AQ728" s="336"/>
      <c r="AR728" s="336"/>
      <c r="AS728" s="336"/>
      <c r="AT728" s="336"/>
    </row>
    <row r="729" spans="1:46" ht="14.45">
      <c r="A729" s="336"/>
      <c r="B729" s="336"/>
      <c r="C729" s="336"/>
      <c r="D729" s="336"/>
      <c r="E729" s="336"/>
      <c r="F729" s="336"/>
      <c r="G729" s="336"/>
      <c r="H729" s="336"/>
      <c r="I729" s="336"/>
      <c r="J729" s="336"/>
      <c r="K729" s="415"/>
      <c r="L729" s="336"/>
      <c r="M729" s="336"/>
      <c r="N729" s="336"/>
      <c r="O729" s="416"/>
      <c r="P729" s="336"/>
      <c r="Q729" s="415"/>
      <c r="R729" s="336"/>
      <c r="S729" s="336"/>
      <c r="T729" s="336"/>
      <c r="U729" s="336"/>
      <c r="V729" s="336"/>
      <c r="W729" s="336"/>
      <c r="X729" s="336"/>
      <c r="Y729" s="336"/>
      <c r="Z729" s="336"/>
      <c r="AA729" s="336"/>
      <c r="AB729" s="336"/>
      <c r="AC729" s="336"/>
      <c r="AD729" s="336"/>
      <c r="AE729"/>
      <c r="AF729" s="336"/>
      <c r="AG729" s="336"/>
      <c r="AH729" s="336"/>
      <c r="AI729" s="336"/>
      <c r="AJ729" s="336"/>
      <c r="AK729" s="336"/>
      <c r="AL729" s="336"/>
      <c r="AM729" s="336"/>
      <c r="AN729" s="336"/>
      <c r="AO729" s="336"/>
      <c r="AP729" s="336"/>
      <c r="AQ729" s="336"/>
      <c r="AR729" s="336"/>
      <c r="AS729" s="336"/>
      <c r="AT729" s="336"/>
    </row>
    <row r="730" spans="1:46" ht="14.45">
      <c r="A730" s="336"/>
      <c r="B730" s="336"/>
      <c r="C730" s="336"/>
      <c r="D730" s="336"/>
      <c r="E730" s="336"/>
      <c r="F730" s="336"/>
      <c r="G730" s="336"/>
      <c r="H730" s="336"/>
      <c r="I730" s="336"/>
      <c r="J730" s="336"/>
      <c r="K730" s="415"/>
      <c r="L730" s="336"/>
      <c r="M730" s="336"/>
      <c r="N730" s="336"/>
      <c r="O730" s="416"/>
      <c r="P730" s="336"/>
      <c r="Q730" s="415"/>
      <c r="R730" s="336"/>
      <c r="S730" s="336"/>
      <c r="T730" s="336"/>
      <c r="U730" s="336"/>
      <c r="V730" s="336"/>
      <c r="W730" s="336"/>
      <c r="X730" s="336"/>
      <c r="Y730" s="336"/>
      <c r="Z730" s="336"/>
      <c r="AA730" s="336"/>
      <c r="AB730" s="336"/>
      <c r="AC730" s="336"/>
      <c r="AD730" s="336"/>
      <c r="AE730"/>
      <c r="AF730" s="336"/>
      <c r="AG730" s="336"/>
      <c r="AH730" s="336"/>
      <c r="AI730" s="336"/>
      <c r="AJ730" s="336"/>
      <c r="AK730" s="336"/>
      <c r="AL730" s="336"/>
      <c r="AM730" s="336"/>
      <c r="AN730" s="336"/>
      <c r="AO730" s="336"/>
      <c r="AP730" s="336"/>
      <c r="AQ730" s="336"/>
      <c r="AR730" s="336"/>
      <c r="AS730" s="336"/>
      <c r="AT730" s="336"/>
    </row>
    <row r="731" spans="1:46" ht="14.45">
      <c r="A731" s="336"/>
      <c r="B731" s="336"/>
      <c r="C731" s="336"/>
      <c r="D731" s="336"/>
      <c r="E731" s="336"/>
      <c r="F731" s="336"/>
      <c r="G731" s="336"/>
      <c r="H731" s="336"/>
      <c r="I731" s="336"/>
      <c r="J731" s="336"/>
      <c r="K731" s="415"/>
      <c r="L731" s="336"/>
      <c r="M731" s="336"/>
      <c r="N731" s="336"/>
      <c r="O731" s="416"/>
      <c r="P731" s="336"/>
      <c r="Q731" s="415"/>
      <c r="R731" s="336"/>
      <c r="S731" s="336"/>
      <c r="T731" s="336"/>
      <c r="U731" s="336"/>
      <c r="V731" s="336"/>
      <c r="W731" s="336"/>
      <c r="X731" s="336"/>
      <c r="Y731" s="336"/>
      <c r="Z731" s="336"/>
      <c r="AA731" s="336"/>
      <c r="AB731" s="336"/>
      <c r="AC731" s="336"/>
      <c r="AD731" s="336"/>
      <c r="AE731"/>
      <c r="AF731" s="336"/>
      <c r="AG731" s="336"/>
      <c r="AH731" s="336"/>
      <c r="AI731" s="336"/>
      <c r="AJ731" s="336"/>
      <c r="AK731" s="336"/>
      <c r="AL731" s="336"/>
      <c r="AM731" s="336"/>
      <c r="AN731" s="336"/>
      <c r="AO731" s="336"/>
      <c r="AP731" s="336"/>
      <c r="AQ731" s="336"/>
      <c r="AR731" s="336"/>
      <c r="AS731" s="336"/>
      <c r="AT731" s="336"/>
    </row>
    <row r="732" spans="1:46" ht="14.45">
      <c r="A732" s="336"/>
      <c r="B732" s="336"/>
      <c r="C732" s="336"/>
      <c r="D732" s="336"/>
      <c r="E732" s="336"/>
      <c r="F732" s="336"/>
      <c r="G732" s="336"/>
      <c r="H732" s="336"/>
      <c r="I732" s="336"/>
      <c r="J732" s="336"/>
      <c r="K732" s="415"/>
      <c r="L732" s="336"/>
      <c r="M732" s="336"/>
      <c r="N732" s="336"/>
      <c r="O732" s="416"/>
      <c r="P732" s="336"/>
      <c r="Q732" s="415"/>
      <c r="R732" s="336"/>
      <c r="S732" s="336"/>
      <c r="T732" s="336"/>
      <c r="U732" s="336"/>
      <c r="V732" s="336"/>
      <c r="W732" s="336"/>
      <c r="X732" s="336"/>
      <c r="Y732" s="336"/>
      <c r="Z732" s="336"/>
      <c r="AA732" s="336"/>
      <c r="AB732" s="336"/>
      <c r="AC732" s="336"/>
      <c r="AD732" s="336"/>
      <c r="AE732"/>
      <c r="AF732" s="336"/>
      <c r="AG732" s="336"/>
      <c r="AH732" s="336"/>
      <c r="AI732" s="336"/>
      <c r="AJ732" s="336"/>
      <c r="AK732" s="336"/>
      <c r="AL732" s="336"/>
      <c r="AM732" s="336"/>
      <c r="AN732" s="336"/>
      <c r="AO732" s="336"/>
      <c r="AP732" s="336"/>
      <c r="AQ732" s="336"/>
      <c r="AR732" s="336"/>
      <c r="AS732" s="336"/>
      <c r="AT732" s="336"/>
    </row>
    <row r="733" spans="1:46" ht="14.45">
      <c r="A733" s="336"/>
      <c r="B733" s="336"/>
      <c r="C733" s="336"/>
      <c r="D733" s="336"/>
      <c r="E733" s="336"/>
      <c r="F733" s="336"/>
      <c r="G733" s="336"/>
      <c r="H733" s="336"/>
      <c r="I733" s="336"/>
      <c r="J733" s="336"/>
      <c r="K733" s="415"/>
      <c r="L733" s="336"/>
      <c r="M733" s="336"/>
      <c r="N733" s="336"/>
      <c r="O733" s="416"/>
      <c r="P733" s="336"/>
      <c r="Q733" s="415"/>
      <c r="R733" s="336"/>
      <c r="S733" s="336"/>
      <c r="T733" s="336"/>
      <c r="U733" s="336"/>
      <c r="V733" s="336"/>
      <c r="W733" s="336"/>
      <c r="X733" s="336"/>
      <c r="Y733" s="336"/>
      <c r="Z733" s="336"/>
      <c r="AA733" s="336"/>
      <c r="AB733" s="336"/>
      <c r="AC733" s="336"/>
      <c r="AD733" s="336"/>
      <c r="AE733"/>
      <c r="AF733" s="336"/>
      <c r="AG733" s="336"/>
      <c r="AH733" s="336"/>
      <c r="AI733" s="336"/>
      <c r="AJ733" s="336"/>
      <c r="AK733" s="336"/>
      <c r="AL733" s="336"/>
      <c r="AM733" s="336"/>
      <c r="AN733" s="336"/>
      <c r="AO733" s="336"/>
      <c r="AP733" s="336"/>
      <c r="AQ733" s="336"/>
      <c r="AR733" s="336"/>
      <c r="AS733" s="336"/>
      <c r="AT733" s="336"/>
    </row>
    <row r="734" spans="1:46" ht="14.45">
      <c r="A734" s="336"/>
      <c r="B734" s="336"/>
      <c r="C734" s="336"/>
      <c r="D734" s="336"/>
      <c r="E734" s="336"/>
      <c r="F734" s="336"/>
      <c r="G734" s="336"/>
      <c r="H734" s="336"/>
      <c r="I734" s="336"/>
      <c r="J734" s="336"/>
      <c r="K734" s="415"/>
      <c r="L734" s="336"/>
      <c r="M734" s="336"/>
      <c r="N734" s="336"/>
      <c r="O734" s="416"/>
      <c r="P734" s="336"/>
      <c r="Q734" s="415"/>
      <c r="R734" s="336"/>
      <c r="S734" s="336"/>
      <c r="T734" s="336"/>
      <c r="U734" s="336"/>
      <c r="V734" s="336"/>
      <c r="W734" s="336"/>
      <c r="X734" s="336"/>
      <c r="Y734" s="336"/>
      <c r="Z734" s="336"/>
      <c r="AA734" s="336"/>
      <c r="AB734" s="336"/>
      <c r="AC734" s="336"/>
      <c r="AD734" s="336"/>
      <c r="AE734"/>
      <c r="AF734" s="336"/>
      <c r="AG734" s="336"/>
      <c r="AH734" s="336"/>
      <c r="AI734" s="336"/>
      <c r="AJ734" s="336"/>
      <c r="AK734" s="336"/>
      <c r="AL734" s="336"/>
      <c r="AM734" s="336"/>
      <c r="AN734" s="336"/>
      <c r="AO734" s="336"/>
      <c r="AP734" s="336"/>
      <c r="AQ734" s="336"/>
      <c r="AR734" s="336"/>
      <c r="AS734" s="336"/>
      <c r="AT734" s="336"/>
    </row>
    <row r="735" spans="1:46" ht="14.45">
      <c r="A735" s="336"/>
      <c r="B735" s="336"/>
      <c r="C735" s="336"/>
      <c r="D735" s="336"/>
      <c r="E735" s="336"/>
      <c r="F735" s="336"/>
      <c r="G735" s="336"/>
      <c r="H735" s="336"/>
      <c r="I735" s="336"/>
      <c r="J735" s="336"/>
      <c r="K735" s="415"/>
      <c r="L735" s="336"/>
      <c r="M735" s="336"/>
      <c r="N735" s="336"/>
      <c r="O735" s="416"/>
      <c r="P735" s="336"/>
      <c r="Q735" s="415"/>
      <c r="R735" s="336"/>
      <c r="S735" s="336"/>
      <c r="T735" s="336"/>
      <c r="U735" s="336"/>
      <c r="V735" s="336"/>
      <c r="W735" s="336"/>
      <c r="X735" s="336"/>
      <c r="Y735" s="336"/>
      <c r="Z735" s="336"/>
      <c r="AA735" s="336"/>
      <c r="AB735" s="336"/>
      <c r="AC735" s="336"/>
      <c r="AD735" s="336"/>
      <c r="AE735"/>
      <c r="AF735" s="336"/>
      <c r="AG735" s="336"/>
      <c r="AH735" s="336"/>
      <c r="AI735" s="336"/>
      <c r="AJ735" s="336"/>
      <c r="AK735" s="336"/>
      <c r="AL735" s="336"/>
      <c r="AM735" s="336"/>
      <c r="AN735" s="336"/>
      <c r="AO735" s="336"/>
      <c r="AP735" s="336"/>
      <c r="AQ735" s="336"/>
      <c r="AR735" s="336"/>
      <c r="AS735" s="336"/>
      <c r="AT735" s="336"/>
    </row>
    <row r="736" spans="1:46" ht="14.45">
      <c r="A736" s="336"/>
      <c r="B736" s="336"/>
      <c r="C736" s="336"/>
      <c r="D736" s="336"/>
      <c r="E736" s="336"/>
      <c r="F736" s="336"/>
      <c r="G736" s="336"/>
      <c r="H736" s="336"/>
      <c r="I736" s="336"/>
      <c r="J736" s="336"/>
      <c r="K736" s="415"/>
      <c r="L736" s="336"/>
      <c r="M736" s="336"/>
      <c r="N736" s="336"/>
      <c r="O736" s="416"/>
      <c r="P736" s="336"/>
      <c r="Q736" s="415"/>
      <c r="R736" s="336"/>
      <c r="S736" s="336"/>
      <c r="T736" s="336"/>
      <c r="U736" s="336"/>
      <c r="V736" s="336"/>
      <c r="W736" s="336"/>
      <c r="X736" s="336"/>
      <c r="Y736" s="336"/>
      <c r="Z736" s="336"/>
      <c r="AA736" s="336"/>
      <c r="AB736" s="336"/>
      <c r="AC736" s="336"/>
      <c r="AD736" s="336"/>
      <c r="AE736"/>
      <c r="AF736" s="336"/>
      <c r="AG736" s="336"/>
      <c r="AH736" s="336"/>
      <c r="AI736" s="336"/>
      <c r="AJ736" s="336"/>
      <c r="AK736" s="336"/>
      <c r="AL736" s="336"/>
      <c r="AM736" s="336"/>
      <c r="AN736" s="336"/>
      <c r="AO736" s="336"/>
      <c r="AP736" s="336"/>
      <c r="AQ736" s="336"/>
      <c r="AR736" s="336"/>
      <c r="AS736" s="336"/>
      <c r="AT736" s="336"/>
    </row>
    <row r="737" spans="1:46" ht="14.45">
      <c r="A737" s="336"/>
      <c r="B737" s="336"/>
      <c r="C737" s="336"/>
      <c r="D737" s="336"/>
      <c r="E737" s="336"/>
      <c r="F737" s="336"/>
      <c r="G737" s="336"/>
      <c r="H737" s="336"/>
      <c r="I737" s="336"/>
      <c r="J737" s="336"/>
      <c r="K737" s="415"/>
      <c r="L737" s="336"/>
      <c r="M737" s="336"/>
      <c r="N737" s="336"/>
      <c r="O737" s="416"/>
      <c r="P737" s="336"/>
      <c r="Q737" s="415"/>
      <c r="R737" s="336"/>
      <c r="S737" s="336"/>
      <c r="T737" s="336"/>
      <c r="U737" s="336"/>
      <c r="V737" s="336"/>
      <c r="W737" s="336"/>
      <c r="X737" s="336"/>
      <c r="Y737" s="336"/>
      <c r="Z737" s="336"/>
      <c r="AA737" s="336"/>
      <c r="AB737" s="336"/>
      <c r="AC737" s="336"/>
      <c r="AD737" s="336"/>
      <c r="AE737"/>
      <c r="AF737" s="336"/>
      <c r="AG737" s="336"/>
      <c r="AH737" s="336"/>
      <c r="AI737" s="336"/>
      <c r="AJ737" s="336"/>
      <c r="AK737" s="336"/>
      <c r="AL737" s="336"/>
      <c r="AM737" s="336"/>
      <c r="AN737" s="336"/>
      <c r="AO737" s="336"/>
      <c r="AP737" s="336"/>
      <c r="AQ737" s="336"/>
      <c r="AR737" s="336"/>
      <c r="AS737" s="336"/>
      <c r="AT737" s="336"/>
    </row>
    <row r="738" spans="1:46" ht="14.45">
      <c r="A738" s="336"/>
      <c r="B738" s="336"/>
      <c r="C738" s="336"/>
      <c r="D738" s="336"/>
      <c r="E738" s="336"/>
      <c r="F738" s="336"/>
      <c r="G738" s="336"/>
      <c r="H738" s="336"/>
      <c r="I738" s="336"/>
      <c r="J738" s="336"/>
      <c r="K738" s="415"/>
      <c r="L738" s="336"/>
      <c r="M738" s="336"/>
      <c r="N738" s="336"/>
      <c r="O738" s="416"/>
      <c r="P738" s="336"/>
      <c r="Q738" s="415"/>
      <c r="R738" s="336"/>
      <c r="S738" s="336"/>
      <c r="T738" s="336"/>
      <c r="U738" s="336"/>
      <c r="V738" s="336"/>
      <c r="W738" s="336"/>
      <c r="X738" s="336"/>
      <c r="Y738" s="336"/>
      <c r="Z738" s="336"/>
      <c r="AA738" s="336"/>
      <c r="AB738" s="336"/>
      <c r="AC738" s="336"/>
      <c r="AD738" s="336"/>
      <c r="AE738"/>
      <c r="AF738" s="336"/>
      <c r="AG738" s="336"/>
      <c r="AH738" s="336"/>
      <c r="AI738" s="336"/>
      <c r="AJ738" s="336"/>
      <c r="AK738" s="336"/>
      <c r="AL738" s="336"/>
      <c r="AM738" s="336"/>
      <c r="AN738" s="336"/>
      <c r="AO738" s="336"/>
      <c r="AP738" s="336"/>
      <c r="AQ738" s="336"/>
      <c r="AR738" s="336"/>
      <c r="AS738" s="336"/>
      <c r="AT738" s="336"/>
    </row>
    <row r="739" spans="1:46" ht="14.45">
      <c r="A739" s="336"/>
      <c r="B739" s="336"/>
      <c r="C739" s="336"/>
      <c r="D739" s="336"/>
      <c r="E739" s="336"/>
      <c r="F739" s="336"/>
      <c r="G739" s="336"/>
      <c r="H739" s="336"/>
      <c r="I739" s="336"/>
      <c r="J739" s="336"/>
      <c r="K739" s="415"/>
      <c r="L739" s="336"/>
      <c r="M739" s="336"/>
      <c r="N739" s="336"/>
      <c r="O739" s="416"/>
      <c r="P739" s="336"/>
      <c r="Q739" s="415"/>
      <c r="R739" s="336"/>
      <c r="S739" s="336"/>
      <c r="T739" s="336"/>
      <c r="U739" s="336"/>
      <c r="V739" s="336"/>
      <c r="W739" s="336"/>
      <c r="X739" s="336"/>
      <c r="Y739" s="336"/>
      <c r="Z739" s="336"/>
      <c r="AA739" s="336"/>
      <c r="AB739" s="336"/>
      <c r="AC739" s="336"/>
      <c r="AD739" s="336"/>
      <c r="AE739"/>
      <c r="AF739" s="336"/>
      <c r="AG739" s="336"/>
      <c r="AH739" s="336"/>
      <c r="AI739" s="336"/>
      <c r="AJ739" s="336"/>
      <c r="AK739" s="336"/>
      <c r="AL739" s="336"/>
      <c r="AM739" s="336"/>
      <c r="AN739" s="336"/>
      <c r="AO739" s="336"/>
      <c r="AP739" s="336"/>
      <c r="AQ739" s="336"/>
      <c r="AR739" s="336"/>
      <c r="AS739" s="336"/>
      <c r="AT739" s="336"/>
    </row>
    <row r="740" spans="1:46" ht="14.45">
      <c r="A740" s="336"/>
      <c r="B740" s="336"/>
      <c r="C740" s="336"/>
      <c r="D740" s="336"/>
      <c r="E740" s="336"/>
      <c r="F740" s="336"/>
      <c r="G740" s="336"/>
      <c r="H740" s="336"/>
      <c r="I740" s="336"/>
      <c r="J740" s="336"/>
      <c r="K740" s="415"/>
      <c r="L740" s="336"/>
      <c r="M740" s="336"/>
      <c r="N740" s="336"/>
      <c r="O740" s="416"/>
      <c r="P740" s="336"/>
      <c r="Q740" s="415"/>
      <c r="R740" s="336"/>
      <c r="S740" s="336"/>
      <c r="T740" s="336"/>
      <c r="U740" s="336"/>
      <c r="V740" s="336"/>
      <c r="W740" s="336"/>
      <c r="X740" s="336"/>
      <c r="Y740" s="336"/>
      <c r="Z740" s="336"/>
      <c r="AA740" s="336"/>
      <c r="AB740" s="336"/>
      <c r="AC740" s="336"/>
      <c r="AD740" s="336"/>
      <c r="AE740"/>
      <c r="AF740" s="336"/>
      <c r="AG740" s="336"/>
      <c r="AH740" s="336"/>
      <c r="AI740" s="336"/>
      <c r="AJ740" s="336"/>
      <c r="AK740" s="336"/>
      <c r="AL740" s="336"/>
      <c r="AM740" s="336"/>
      <c r="AN740" s="336"/>
      <c r="AO740" s="336"/>
      <c r="AP740" s="336"/>
      <c r="AQ740" s="336"/>
      <c r="AR740" s="336"/>
      <c r="AS740" s="336"/>
      <c r="AT740" s="336"/>
    </row>
    <row r="741" spans="1:46" ht="14.45">
      <c r="A741" s="336"/>
      <c r="B741" s="336"/>
      <c r="C741" s="336"/>
      <c r="D741" s="336"/>
      <c r="E741" s="336"/>
      <c r="F741" s="336"/>
      <c r="G741" s="336"/>
      <c r="H741" s="336"/>
      <c r="I741" s="336"/>
      <c r="J741" s="336"/>
      <c r="K741" s="415"/>
      <c r="L741" s="336"/>
      <c r="M741" s="336"/>
      <c r="N741" s="336"/>
      <c r="O741" s="416"/>
      <c r="P741" s="336"/>
      <c r="Q741" s="415"/>
      <c r="R741" s="336"/>
      <c r="S741" s="336"/>
      <c r="T741" s="336"/>
      <c r="U741" s="336"/>
      <c r="V741" s="336"/>
      <c r="W741" s="336"/>
      <c r="X741" s="336"/>
      <c r="Y741" s="336"/>
      <c r="Z741" s="336"/>
      <c r="AA741" s="336"/>
      <c r="AB741" s="336"/>
      <c r="AC741" s="336"/>
      <c r="AD741" s="336"/>
      <c r="AE741"/>
      <c r="AF741" s="336"/>
      <c r="AG741" s="336"/>
      <c r="AH741" s="336"/>
      <c r="AI741" s="336"/>
      <c r="AJ741" s="336"/>
      <c r="AK741" s="336"/>
      <c r="AL741" s="336"/>
      <c r="AM741" s="336"/>
      <c r="AN741" s="336"/>
      <c r="AO741" s="336"/>
      <c r="AP741" s="336"/>
      <c r="AQ741" s="336"/>
      <c r="AR741" s="336"/>
      <c r="AS741" s="336"/>
      <c r="AT741" s="336"/>
    </row>
    <row r="742" spans="1:46" ht="14.45">
      <c r="A742" s="336"/>
      <c r="B742" s="336"/>
      <c r="C742" s="336"/>
      <c r="D742" s="336"/>
      <c r="E742" s="336"/>
      <c r="F742" s="336"/>
      <c r="G742" s="336"/>
      <c r="H742" s="336"/>
      <c r="I742" s="336"/>
      <c r="J742" s="336"/>
      <c r="K742" s="415"/>
      <c r="L742" s="336"/>
      <c r="M742" s="336"/>
      <c r="N742" s="336"/>
      <c r="O742" s="416"/>
      <c r="P742" s="336"/>
      <c r="Q742" s="415"/>
      <c r="R742" s="336"/>
      <c r="S742" s="336"/>
      <c r="T742" s="336"/>
      <c r="U742" s="336"/>
      <c r="V742" s="336"/>
      <c r="W742" s="336"/>
      <c r="X742" s="336"/>
      <c r="Y742" s="336"/>
      <c r="Z742" s="336"/>
      <c r="AA742" s="336"/>
      <c r="AB742" s="336"/>
      <c r="AC742" s="336"/>
      <c r="AD742" s="336"/>
      <c r="AE742"/>
      <c r="AF742" s="336"/>
      <c r="AG742" s="336"/>
      <c r="AH742" s="336"/>
      <c r="AI742" s="336"/>
      <c r="AJ742" s="336"/>
      <c r="AK742" s="336"/>
      <c r="AL742" s="336"/>
      <c r="AM742" s="336"/>
      <c r="AN742" s="336"/>
      <c r="AO742" s="336"/>
      <c r="AP742" s="336"/>
      <c r="AQ742" s="336"/>
      <c r="AR742" s="336"/>
      <c r="AS742" s="336"/>
      <c r="AT742" s="336"/>
    </row>
    <row r="743" spans="1:46" ht="14.45">
      <c r="A743" s="336"/>
      <c r="B743" s="336"/>
      <c r="C743" s="336"/>
      <c r="D743" s="336"/>
      <c r="E743" s="336"/>
      <c r="F743" s="336"/>
      <c r="G743" s="336"/>
      <c r="H743" s="336"/>
      <c r="I743" s="336"/>
      <c r="J743" s="336"/>
      <c r="K743" s="415"/>
      <c r="L743" s="336"/>
      <c r="M743" s="336"/>
      <c r="N743" s="336"/>
      <c r="O743" s="416"/>
      <c r="P743" s="336"/>
      <c r="Q743" s="415"/>
      <c r="R743" s="336"/>
      <c r="S743" s="336"/>
      <c r="T743" s="336"/>
      <c r="U743" s="336"/>
      <c r="V743" s="336"/>
      <c r="W743" s="336"/>
      <c r="X743" s="336"/>
      <c r="Y743" s="336"/>
      <c r="Z743" s="336"/>
      <c r="AA743" s="336"/>
      <c r="AB743" s="336"/>
      <c r="AC743" s="336"/>
      <c r="AD743" s="336"/>
      <c r="AE743"/>
      <c r="AF743" s="336"/>
      <c r="AG743" s="336"/>
      <c r="AH743" s="336"/>
      <c r="AI743" s="336"/>
      <c r="AJ743" s="336"/>
      <c r="AK743" s="336"/>
      <c r="AL743" s="336"/>
      <c r="AM743" s="336"/>
      <c r="AN743" s="336"/>
      <c r="AO743" s="336"/>
      <c r="AP743" s="336"/>
      <c r="AQ743" s="336"/>
      <c r="AR743" s="336"/>
      <c r="AS743" s="336"/>
      <c r="AT743" s="336"/>
    </row>
    <row r="744" spans="1:46" ht="14.45">
      <c r="A744" s="336"/>
      <c r="B744" s="336"/>
      <c r="C744" s="336"/>
      <c r="D744" s="336"/>
      <c r="E744" s="336"/>
      <c r="F744" s="336"/>
      <c r="G744" s="336"/>
      <c r="H744" s="336"/>
      <c r="I744" s="336"/>
      <c r="J744" s="336"/>
      <c r="K744" s="415"/>
      <c r="L744" s="336"/>
      <c r="M744" s="336"/>
      <c r="N744" s="336"/>
      <c r="O744" s="416"/>
      <c r="P744" s="336"/>
      <c r="Q744" s="415"/>
      <c r="R744" s="336"/>
      <c r="S744" s="336"/>
      <c r="T744" s="336"/>
      <c r="U744" s="336"/>
      <c r="V744" s="336"/>
      <c r="W744" s="336"/>
      <c r="X744" s="336"/>
      <c r="Y744" s="336"/>
      <c r="Z744" s="336"/>
      <c r="AA744" s="336"/>
      <c r="AB744" s="336"/>
      <c r="AC744" s="336"/>
      <c r="AD744" s="336"/>
      <c r="AE744"/>
      <c r="AF744" s="336"/>
      <c r="AG744" s="336"/>
      <c r="AH744" s="336"/>
      <c r="AI744" s="336"/>
      <c r="AJ744" s="336"/>
      <c r="AK744" s="336"/>
      <c r="AL744" s="336"/>
      <c r="AM744" s="336"/>
      <c r="AN744" s="336"/>
      <c r="AO744" s="336"/>
      <c r="AP744" s="336"/>
      <c r="AQ744" s="336"/>
      <c r="AR744" s="336"/>
      <c r="AS744" s="336"/>
      <c r="AT744" s="336"/>
    </row>
    <row r="745" spans="1:46" ht="14.45">
      <c r="A745" s="336"/>
      <c r="B745" s="336"/>
      <c r="C745" s="336"/>
      <c r="D745" s="336"/>
      <c r="E745" s="336"/>
      <c r="F745" s="336"/>
      <c r="G745" s="336"/>
      <c r="H745" s="336"/>
      <c r="I745" s="336"/>
      <c r="J745" s="336"/>
      <c r="K745" s="415"/>
      <c r="L745" s="336"/>
      <c r="M745" s="336"/>
      <c r="N745" s="336"/>
      <c r="O745" s="416"/>
      <c r="P745" s="336"/>
      <c r="Q745" s="415"/>
      <c r="R745" s="336"/>
      <c r="S745" s="336"/>
      <c r="T745" s="336"/>
      <c r="U745" s="336"/>
      <c r="V745" s="336"/>
      <c r="W745" s="336"/>
      <c r="X745" s="336"/>
      <c r="Y745" s="336"/>
      <c r="Z745" s="336"/>
      <c r="AA745" s="336"/>
      <c r="AB745" s="336"/>
      <c r="AC745" s="336"/>
      <c r="AD745" s="336"/>
      <c r="AE745"/>
      <c r="AF745" s="336"/>
      <c r="AG745" s="336"/>
      <c r="AH745" s="336"/>
      <c r="AI745" s="336"/>
      <c r="AJ745" s="336"/>
      <c r="AK745" s="336"/>
      <c r="AL745" s="336"/>
      <c r="AM745" s="336"/>
      <c r="AN745" s="336"/>
      <c r="AO745" s="336"/>
      <c r="AP745" s="336"/>
      <c r="AQ745" s="336"/>
      <c r="AR745" s="336"/>
      <c r="AS745" s="336"/>
      <c r="AT745" s="336"/>
    </row>
    <row r="746" spans="1:46" ht="14.45">
      <c r="A746" s="336"/>
      <c r="B746" s="336"/>
      <c r="C746" s="336"/>
      <c r="D746" s="336"/>
      <c r="E746" s="336"/>
      <c r="F746" s="336"/>
      <c r="G746" s="336"/>
      <c r="H746" s="336"/>
      <c r="I746" s="336"/>
      <c r="J746" s="336"/>
      <c r="K746" s="415"/>
      <c r="L746" s="336"/>
      <c r="M746" s="336"/>
      <c r="N746" s="336"/>
      <c r="O746" s="416"/>
      <c r="P746" s="336"/>
      <c r="Q746" s="415"/>
      <c r="R746" s="336"/>
      <c r="S746" s="336"/>
      <c r="T746" s="336"/>
      <c r="U746" s="336"/>
      <c r="V746" s="336"/>
      <c r="W746" s="336"/>
      <c r="X746" s="336"/>
      <c r="Y746" s="336"/>
      <c r="Z746" s="336"/>
      <c r="AA746" s="336"/>
      <c r="AB746" s="336"/>
      <c r="AC746" s="336"/>
      <c r="AD746" s="336"/>
      <c r="AE746"/>
      <c r="AF746" s="336"/>
      <c r="AG746" s="336"/>
      <c r="AH746" s="336"/>
      <c r="AI746" s="336"/>
      <c r="AJ746" s="336"/>
      <c r="AK746" s="336"/>
      <c r="AL746" s="336"/>
      <c r="AM746" s="336"/>
      <c r="AN746" s="336"/>
      <c r="AO746" s="336"/>
      <c r="AP746" s="336"/>
      <c r="AQ746" s="336"/>
      <c r="AR746" s="336"/>
      <c r="AS746" s="336"/>
      <c r="AT746" s="336"/>
    </row>
    <row r="747" spans="1:46" ht="14.45">
      <c r="A747" s="336"/>
      <c r="B747" s="336"/>
      <c r="C747" s="336"/>
      <c r="D747" s="336"/>
      <c r="E747" s="336"/>
      <c r="F747" s="336"/>
      <c r="G747" s="336"/>
      <c r="H747" s="336"/>
      <c r="I747" s="336"/>
      <c r="J747" s="336"/>
      <c r="K747" s="415"/>
      <c r="L747" s="336"/>
      <c r="M747" s="336"/>
      <c r="N747" s="336"/>
      <c r="O747" s="416"/>
      <c r="P747" s="336"/>
      <c r="Q747" s="415"/>
      <c r="R747" s="336"/>
      <c r="S747" s="336"/>
      <c r="T747" s="336"/>
      <c r="U747" s="336"/>
      <c r="V747" s="336"/>
      <c r="W747" s="336"/>
      <c r="X747" s="336"/>
      <c r="Y747" s="336"/>
      <c r="Z747" s="336"/>
      <c r="AA747" s="336"/>
      <c r="AB747" s="336"/>
      <c r="AC747" s="336"/>
      <c r="AD747" s="336"/>
      <c r="AE747"/>
      <c r="AF747" s="336"/>
      <c r="AG747" s="336"/>
      <c r="AH747" s="336"/>
      <c r="AI747" s="336"/>
      <c r="AJ747" s="336"/>
      <c r="AK747" s="336"/>
      <c r="AL747" s="336"/>
      <c r="AM747" s="336"/>
      <c r="AN747" s="336"/>
      <c r="AO747" s="336"/>
      <c r="AP747" s="336"/>
      <c r="AQ747" s="336"/>
      <c r="AR747" s="336"/>
      <c r="AS747" s="336"/>
      <c r="AT747" s="336"/>
    </row>
    <row r="748" spans="1:46" ht="14.45">
      <c r="A748" s="336"/>
      <c r="B748" s="336"/>
      <c r="C748" s="336"/>
      <c r="D748" s="336"/>
      <c r="E748" s="336"/>
      <c r="F748" s="336"/>
      <c r="G748" s="336"/>
      <c r="H748" s="336"/>
      <c r="I748" s="336"/>
      <c r="J748" s="336"/>
      <c r="K748" s="415"/>
      <c r="L748" s="336"/>
      <c r="M748" s="336"/>
      <c r="N748" s="336"/>
      <c r="O748" s="416"/>
      <c r="P748" s="336"/>
      <c r="Q748" s="415"/>
      <c r="R748" s="336"/>
      <c r="S748" s="336"/>
      <c r="T748" s="336"/>
      <c r="U748" s="336"/>
      <c r="V748" s="336"/>
      <c r="W748" s="336"/>
      <c r="X748" s="336"/>
      <c r="Y748" s="336"/>
      <c r="Z748" s="336"/>
      <c r="AA748" s="336"/>
      <c r="AB748" s="336"/>
      <c r="AC748" s="336"/>
      <c r="AD748" s="336"/>
      <c r="AE748"/>
      <c r="AF748" s="336"/>
      <c r="AG748" s="336"/>
      <c r="AH748" s="336"/>
      <c r="AI748" s="336"/>
      <c r="AJ748" s="336"/>
      <c r="AK748" s="336"/>
      <c r="AL748" s="336"/>
      <c r="AM748" s="336"/>
      <c r="AN748" s="336"/>
      <c r="AO748" s="336"/>
      <c r="AP748" s="336"/>
      <c r="AQ748" s="336"/>
      <c r="AR748" s="336"/>
      <c r="AS748" s="336"/>
      <c r="AT748" s="336"/>
    </row>
    <row r="749" spans="1:46" ht="14.45">
      <c r="A749" s="336"/>
      <c r="B749" s="336"/>
      <c r="C749" s="336"/>
      <c r="D749" s="336"/>
      <c r="E749" s="336"/>
      <c r="F749" s="336"/>
      <c r="G749" s="336"/>
      <c r="H749" s="336"/>
      <c r="I749" s="336"/>
      <c r="J749" s="336"/>
      <c r="K749" s="415"/>
      <c r="L749" s="336"/>
      <c r="M749" s="336"/>
      <c r="N749" s="336"/>
      <c r="O749" s="416"/>
      <c r="P749" s="336"/>
      <c r="Q749" s="415"/>
      <c r="R749" s="336"/>
      <c r="S749" s="336"/>
      <c r="T749" s="336"/>
      <c r="U749" s="336"/>
      <c r="V749" s="336"/>
      <c r="W749" s="336"/>
      <c r="X749" s="336"/>
      <c r="Y749" s="336"/>
      <c r="Z749" s="336"/>
      <c r="AA749" s="336"/>
      <c r="AB749" s="336"/>
      <c r="AC749" s="336"/>
      <c r="AD749" s="336"/>
      <c r="AE749"/>
      <c r="AF749" s="336"/>
      <c r="AG749" s="336"/>
      <c r="AH749" s="336"/>
      <c r="AI749" s="336"/>
      <c r="AJ749" s="336"/>
      <c r="AK749" s="336"/>
      <c r="AL749" s="336"/>
      <c r="AM749" s="336"/>
      <c r="AN749" s="336"/>
      <c r="AO749" s="336"/>
      <c r="AP749" s="336"/>
      <c r="AQ749" s="336"/>
      <c r="AR749" s="336"/>
      <c r="AS749" s="336"/>
      <c r="AT749" s="336"/>
    </row>
    <row r="750" spans="1:46" ht="14.45">
      <c r="A750" s="336"/>
      <c r="B750" s="336"/>
      <c r="C750" s="336"/>
      <c r="D750" s="336"/>
      <c r="E750" s="336"/>
      <c r="F750" s="336"/>
      <c r="G750" s="336"/>
      <c r="H750" s="336"/>
      <c r="I750" s="336"/>
      <c r="J750" s="336"/>
      <c r="K750" s="415"/>
      <c r="L750" s="336"/>
      <c r="M750" s="336"/>
      <c r="N750" s="336"/>
      <c r="O750" s="416"/>
      <c r="P750" s="336"/>
      <c r="Q750" s="415"/>
      <c r="R750" s="336"/>
      <c r="S750" s="336"/>
      <c r="T750" s="336"/>
      <c r="U750" s="336"/>
      <c r="V750" s="336"/>
      <c r="W750" s="336"/>
      <c r="X750" s="336"/>
      <c r="Y750" s="336"/>
      <c r="Z750" s="336"/>
      <c r="AA750" s="336"/>
      <c r="AB750" s="336"/>
      <c r="AC750" s="336"/>
      <c r="AD750" s="336"/>
      <c r="AE750"/>
      <c r="AF750" s="336"/>
      <c r="AG750" s="336"/>
      <c r="AH750" s="336"/>
      <c r="AI750" s="336"/>
      <c r="AJ750" s="336"/>
      <c r="AK750" s="336"/>
      <c r="AL750" s="336"/>
      <c r="AM750" s="336"/>
      <c r="AN750" s="336"/>
      <c r="AO750" s="336"/>
      <c r="AP750" s="336"/>
      <c r="AQ750" s="336"/>
      <c r="AR750" s="336"/>
      <c r="AS750" s="336"/>
      <c r="AT750" s="336"/>
    </row>
    <row r="751" spans="1:46" ht="14.45">
      <c r="A751" s="336"/>
      <c r="B751" s="336"/>
      <c r="C751" s="336"/>
      <c r="D751" s="336"/>
      <c r="E751" s="336"/>
      <c r="F751" s="336"/>
      <c r="G751" s="336"/>
      <c r="H751" s="336"/>
      <c r="I751" s="336"/>
      <c r="J751" s="336"/>
      <c r="K751" s="415"/>
      <c r="L751" s="336"/>
      <c r="M751" s="336"/>
      <c r="N751" s="336"/>
      <c r="O751" s="416"/>
      <c r="P751" s="336"/>
      <c r="Q751" s="415"/>
      <c r="R751" s="336"/>
      <c r="S751" s="336"/>
      <c r="T751" s="336"/>
      <c r="U751" s="336"/>
      <c r="V751" s="336"/>
      <c r="W751" s="336"/>
      <c r="X751" s="336"/>
      <c r="Y751" s="336"/>
      <c r="Z751" s="336"/>
      <c r="AA751" s="336"/>
      <c r="AB751" s="336"/>
      <c r="AC751" s="336"/>
      <c r="AD751" s="336"/>
      <c r="AE751"/>
      <c r="AF751" s="336"/>
      <c r="AG751" s="336"/>
      <c r="AH751" s="336"/>
      <c r="AI751" s="336"/>
      <c r="AJ751" s="336"/>
      <c r="AK751" s="336"/>
      <c r="AL751" s="336"/>
      <c r="AM751" s="336"/>
      <c r="AN751" s="336"/>
      <c r="AO751" s="336"/>
      <c r="AP751" s="336"/>
      <c r="AQ751" s="336"/>
      <c r="AR751" s="336"/>
      <c r="AS751" s="336"/>
      <c r="AT751" s="336"/>
    </row>
    <row r="752" spans="1:46" ht="14.45">
      <c r="A752" s="336"/>
      <c r="B752" s="336"/>
      <c r="C752" s="336"/>
      <c r="D752" s="336"/>
      <c r="E752" s="336"/>
      <c r="F752" s="336"/>
      <c r="G752" s="336"/>
      <c r="H752" s="336"/>
      <c r="I752" s="336"/>
      <c r="J752" s="336"/>
      <c r="K752" s="415"/>
      <c r="L752" s="336"/>
      <c r="M752" s="336"/>
      <c r="N752" s="336"/>
      <c r="O752" s="416"/>
      <c r="P752" s="336"/>
      <c r="Q752" s="415"/>
      <c r="R752" s="336"/>
      <c r="S752" s="336"/>
      <c r="T752" s="336"/>
      <c r="U752" s="336"/>
      <c r="V752" s="336"/>
      <c r="W752" s="336"/>
      <c r="X752" s="336"/>
      <c r="Y752" s="336"/>
      <c r="Z752" s="336"/>
      <c r="AA752" s="336"/>
      <c r="AB752" s="336"/>
      <c r="AC752" s="336"/>
      <c r="AD752" s="336"/>
      <c r="AE752"/>
      <c r="AF752" s="336"/>
      <c r="AG752" s="336"/>
      <c r="AH752" s="336"/>
      <c r="AI752" s="336"/>
      <c r="AJ752" s="336"/>
      <c r="AK752" s="336"/>
      <c r="AL752" s="336"/>
      <c r="AM752" s="336"/>
      <c r="AN752" s="336"/>
      <c r="AO752" s="336"/>
      <c r="AP752" s="336"/>
      <c r="AQ752" s="336"/>
      <c r="AR752" s="336"/>
      <c r="AS752" s="336"/>
      <c r="AT752" s="336"/>
    </row>
    <row r="753" spans="1:46" ht="14.45">
      <c r="A753" s="336"/>
      <c r="B753" s="336"/>
      <c r="C753" s="336"/>
      <c r="D753" s="336"/>
      <c r="E753" s="336"/>
      <c r="F753" s="336"/>
      <c r="G753" s="336"/>
      <c r="H753" s="336"/>
      <c r="I753" s="336"/>
      <c r="J753" s="336"/>
      <c r="K753" s="415"/>
      <c r="L753" s="336"/>
      <c r="M753" s="336"/>
      <c r="N753" s="336"/>
      <c r="O753" s="416"/>
      <c r="P753" s="336"/>
      <c r="Q753" s="415"/>
      <c r="R753" s="336"/>
      <c r="S753" s="336"/>
      <c r="T753" s="336"/>
      <c r="U753" s="336"/>
      <c r="V753" s="336"/>
      <c r="W753" s="336"/>
      <c r="X753" s="336"/>
      <c r="Y753" s="336"/>
      <c r="Z753" s="336"/>
      <c r="AA753" s="336"/>
      <c r="AB753" s="336"/>
      <c r="AC753" s="336"/>
      <c r="AD753" s="336"/>
      <c r="AE753"/>
      <c r="AF753" s="336"/>
      <c r="AG753" s="336"/>
      <c r="AH753" s="336"/>
      <c r="AI753" s="336"/>
      <c r="AJ753" s="336"/>
      <c r="AK753" s="336"/>
      <c r="AL753" s="336"/>
      <c r="AM753" s="336"/>
      <c r="AN753" s="336"/>
      <c r="AO753" s="336"/>
      <c r="AP753" s="336"/>
      <c r="AQ753" s="336"/>
      <c r="AR753" s="336"/>
      <c r="AS753" s="336"/>
      <c r="AT753" s="336"/>
    </row>
    <row r="754" spans="1:46" ht="14.45">
      <c r="A754" s="336"/>
      <c r="B754" s="336"/>
      <c r="C754" s="336"/>
      <c r="D754" s="336"/>
      <c r="E754" s="336"/>
      <c r="F754" s="336"/>
      <c r="G754" s="336"/>
      <c r="H754" s="336"/>
      <c r="I754" s="336"/>
      <c r="J754" s="336"/>
      <c r="K754" s="415"/>
      <c r="L754" s="336"/>
      <c r="M754" s="336"/>
      <c r="N754" s="336"/>
      <c r="O754" s="416"/>
      <c r="P754" s="336"/>
      <c r="Q754" s="415"/>
      <c r="R754" s="336"/>
      <c r="S754" s="336"/>
      <c r="T754" s="336"/>
      <c r="U754" s="336"/>
      <c r="V754" s="336"/>
      <c r="W754" s="336"/>
      <c r="X754" s="336"/>
      <c r="Y754" s="336"/>
      <c r="Z754" s="336"/>
      <c r="AA754" s="336"/>
      <c r="AB754" s="336"/>
      <c r="AC754" s="336"/>
      <c r="AD754" s="336"/>
      <c r="AE754"/>
      <c r="AF754" s="336"/>
      <c r="AG754" s="336"/>
      <c r="AH754" s="336"/>
      <c r="AI754" s="336"/>
      <c r="AJ754" s="336"/>
      <c r="AK754" s="336"/>
      <c r="AL754" s="336"/>
      <c r="AM754" s="336"/>
      <c r="AN754" s="336"/>
      <c r="AO754" s="336"/>
      <c r="AP754" s="336"/>
      <c r="AQ754" s="336"/>
      <c r="AR754" s="336"/>
      <c r="AS754" s="336"/>
      <c r="AT754" s="336"/>
    </row>
    <row r="755" spans="1:46" ht="14.45">
      <c r="A755" s="336"/>
      <c r="B755" s="336"/>
      <c r="C755" s="336"/>
      <c r="D755" s="336"/>
      <c r="E755" s="336"/>
      <c r="F755" s="336"/>
      <c r="G755" s="336"/>
      <c r="H755" s="336"/>
      <c r="I755" s="336"/>
      <c r="J755" s="336"/>
      <c r="K755" s="415"/>
      <c r="L755" s="336"/>
      <c r="M755" s="336"/>
      <c r="N755" s="336"/>
      <c r="O755" s="416"/>
      <c r="P755" s="336"/>
      <c r="Q755" s="415"/>
      <c r="R755" s="336"/>
      <c r="S755" s="336"/>
      <c r="T755" s="336"/>
      <c r="U755" s="336"/>
      <c r="V755" s="336"/>
      <c r="W755" s="336"/>
      <c r="X755" s="336"/>
      <c r="Y755" s="336"/>
      <c r="Z755" s="336"/>
      <c r="AA755" s="336"/>
      <c r="AB755" s="336"/>
      <c r="AC755" s="336"/>
      <c r="AD755" s="336"/>
      <c r="AE755"/>
      <c r="AF755" s="336"/>
      <c r="AG755" s="336"/>
      <c r="AH755" s="336"/>
      <c r="AI755" s="336"/>
      <c r="AJ755" s="336"/>
      <c r="AK755" s="336"/>
      <c r="AL755" s="336"/>
      <c r="AM755" s="336"/>
      <c r="AN755" s="336"/>
      <c r="AO755" s="336"/>
      <c r="AP755" s="336"/>
      <c r="AQ755" s="336"/>
      <c r="AR755" s="336"/>
      <c r="AS755" s="336"/>
      <c r="AT755" s="336"/>
    </row>
    <row r="756" spans="1:46" ht="14.45">
      <c r="A756" s="336"/>
      <c r="B756" s="336"/>
      <c r="C756" s="336"/>
      <c r="D756" s="336"/>
      <c r="E756" s="336"/>
      <c r="F756" s="336"/>
      <c r="G756" s="336"/>
      <c r="H756" s="336"/>
      <c r="I756" s="336"/>
      <c r="J756" s="336"/>
      <c r="K756" s="415"/>
      <c r="L756" s="336"/>
      <c r="M756" s="336"/>
      <c r="N756" s="336"/>
      <c r="O756" s="416"/>
      <c r="P756" s="336"/>
      <c r="Q756" s="415"/>
      <c r="R756" s="336"/>
      <c r="S756" s="336"/>
      <c r="T756" s="336"/>
      <c r="U756" s="336"/>
      <c r="V756" s="336"/>
      <c r="W756" s="336"/>
      <c r="X756" s="336"/>
      <c r="Y756" s="336"/>
      <c r="Z756" s="336"/>
      <c r="AA756" s="336"/>
      <c r="AB756" s="336"/>
      <c r="AC756" s="336"/>
      <c r="AD756" s="336"/>
      <c r="AE756"/>
      <c r="AF756" s="336"/>
      <c r="AG756" s="336"/>
      <c r="AH756" s="336"/>
      <c r="AI756" s="336"/>
      <c r="AJ756" s="336"/>
      <c r="AK756" s="336"/>
      <c r="AL756" s="336"/>
      <c r="AM756" s="336"/>
      <c r="AN756" s="336"/>
      <c r="AO756" s="336"/>
      <c r="AP756" s="336"/>
      <c r="AQ756" s="336"/>
      <c r="AR756" s="336"/>
      <c r="AS756" s="336"/>
      <c r="AT756" s="336"/>
    </row>
    <row r="757" spans="1:46" ht="14.45">
      <c r="A757" s="336"/>
      <c r="B757" s="336"/>
      <c r="C757" s="336"/>
      <c r="D757" s="336"/>
      <c r="E757" s="336"/>
      <c r="F757" s="336"/>
      <c r="G757" s="336"/>
      <c r="H757" s="336"/>
      <c r="I757" s="336"/>
      <c r="J757" s="336"/>
      <c r="K757" s="415"/>
      <c r="L757" s="336"/>
      <c r="M757" s="336"/>
      <c r="N757" s="336"/>
      <c r="O757" s="416"/>
      <c r="P757" s="336"/>
      <c r="Q757" s="415"/>
      <c r="R757" s="336"/>
      <c r="S757" s="336"/>
      <c r="T757" s="336"/>
      <c r="U757" s="336"/>
      <c r="V757" s="336"/>
      <c r="W757" s="336"/>
      <c r="X757" s="336"/>
      <c r="Y757" s="336"/>
      <c r="Z757" s="336"/>
      <c r="AA757" s="336"/>
      <c r="AB757" s="336"/>
      <c r="AC757" s="336"/>
      <c r="AD757" s="336"/>
      <c r="AE757"/>
      <c r="AF757" s="336"/>
      <c r="AG757" s="336"/>
      <c r="AH757" s="336"/>
      <c r="AI757" s="336"/>
      <c r="AJ757" s="336"/>
      <c r="AK757" s="336"/>
      <c r="AL757" s="336"/>
      <c r="AM757" s="336"/>
      <c r="AN757" s="336"/>
      <c r="AO757" s="336"/>
      <c r="AP757" s="336"/>
      <c r="AQ757" s="336"/>
      <c r="AR757" s="336"/>
      <c r="AS757" s="336"/>
      <c r="AT757" s="336"/>
    </row>
    <row r="758" spans="1:46" ht="14.45">
      <c r="A758" s="336"/>
      <c r="B758" s="336"/>
      <c r="C758" s="336"/>
      <c r="D758" s="336"/>
      <c r="E758" s="336"/>
      <c r="F758" s="336"/>
      <c r="G758" s="336"/>
      <c r="H758" s="336"/>
      <c r="I758" s="336"/>
      <c r="J758" s="336"/>
      <c r="K758" s="415"/>
      <c r="L758" s="336"/>
      <c r="M758" s="336"/>
      <c r="N758" s="336"/>
      <c r="O758" s="416"/>
      <c r="P758" s="336"/>
      <c r="Q758" s="415"/>
      <c r="R758" s="336"/>
      <c r="S758" s="336"/>
      <c r="T758" s="336"/>
      <c r="U758" s="336"/>
      <c r="V758" s="336"/>
      <c r="W758" s="336"/>
      <c r="X758" s="336"/>
      <c r="Y758" s="336"/>
      <c r="Z758" s="336"/>
      <c r="AA758" s="336"/>
      <c r="AB758" s="336"/>
      <c r="AC758" s="336"/>
      <c r="AD758" s="336"/>
      <c r="AE758"/>
      <c r="AF758" s="336"/>
      <c r="AG758" s="336"/>
      <c r="AH758" s="336"/>
      <c r="AI758" s="336"/>
      <c r="AJ758" s="336"/>
      <c r="AK758" s="336"/>
      <c r="AL758" s="336"/>
      <c r="AM758" s="336"/>
      <c r="AN758" s="336"/>
      <c r="AO758" s="336"/>
      <c r="AP758" s="336"/>
      <c r="AQ758" s="336"/>
      <c r="AR758" s="336"/>
      <c r="AS758" s="336"/>
      <c r="AT758" s="336"/>
    </row>
    <row r="759" spans="1:46" ht="14.45">
      <c r="A759" s="336"/>
      <c r="B759" s="336"/>
      <c r="C759" s="336"/>
      <c r="D759" s="336"/>
      <c r="E759" s="336"/>
      <c r="F759" s="336"/>
      <c r="G759" s="336"/>
      <c r="H759" s="336"/>
      <c r="I759" s="336"/>
      <c r="J759" s="336"/>
      <c r="K759" s="415"/>
      <c r="L759" s="336"/>
      <c r="M759" s="336"/>
      <c r="N759" s="336"/>
      <c r="O759" s="416"/>
      <c r="P759" s="336"/>
      <c r="Q759" s="415"/>
      <c r="R759" s="336"/>
      <c r="S759" s="336"/>
      <c r="T759" s="336"/>
      <c r="U759" s="336"/>
      <c r="V759" s="336"/>
      <c r="W759" s="336"/>
      <c r="X759" s="336"/>
      <c r="Y759" s="336"/>
      <c r="Z759" s="336"/>
      <c r="AA759" s="336"/>
      <c r="AB759" s="336"/>
      <c r="AC759" s="336"/>
      <c r="AD759" s="336"/>
      <c r="AE759"/>
      <c r="AF759" s="336"/>
      <c r="AG759" s="336"/>
      <c r="AH759" s="336"/>
      <c r="AI759" s="336"/>
      <c r="AJ759" s="336"/>
      <c r="AK759" s="336"/>
      <c r="AL759" s="336"/>
      <c r="AM759" s="336"/>
      <c r="AN759" s="336"/>
      <c r="AO759" s="336"/>
      <c r="AP759" s="336"/>
      <c r="AQ759" s="336"/>
      <c r="AR759" s="336"/>
      <c r="AS759" s="336"/>
      <c r="AT759" s="336"/>
    </row>
    <row r="760" spans="1:46" ht="14.45">
      <c r="A760" s="336"/>
      <c r="B760" s="336"/>
      <c r="C760" s="336"/>
      <c r="D760" s="336"/>
      <c r="E760" s="336"/>
      <c r="F760" s="336"/>
      <c r="G760" s="336"/>
      <c r="H760" s="336"/>
      <c r="I760" s="336"/>
      <c r="J760" s="336"/>
      <c r="K760" s="415"/>
      <c r="L760" s="336"/>
      <c r="M760" s="336"/>
      <c r="N760" s="336"/>
      <c r="O760" s="416"/>
      <c r="P760" s="336"/>
      <c r="Q760" s="415"/>
      <c r="R760" s="336"/>
      <c r="S760" s="336"/>
      <c r="T760" s="336"/>
      <c r="U760" s="336"/>
      <c r="V760" s="336"/>
      <c r="W760" s="336"/>
      <c r="X760" s="336"/>
      <c r="Y760" s="336"/>
      <c r="Z760" s="336"/>
      <c r="AA760" s="336"/>
      <c r="AB760" s="336"/>
      <c r="AC760" s="336"/>
      <c r="AD760" s="336"/>
      <c r="AE760"/>
      <c r="AF760" s="336"/>
      <c r="AG760" s="336"/>
      <c r="AH760" s="336"/>
      <c r="AI760" s="336"/>
      <c r="AJ760" s="336"/>
      <c r="AK760" s="336"/>
      <c r="AL760" s="336"/>
      <c r="AM760" s="336"/>
      <c r="AN760" s="336"/>
      <c r="AO760" s="336"/>
      <c r="AP760" s="336"/>
      <c r="AQ760" s="336"/>
      <c r="AR760" s="336"/>
      <c r="AS760" s="336"/>
      <c r="AT760" s="336"/>
    </row>
    <row r="761" spans="1:46" ht="14.45">
      <c r="A761" s="336"/>
      <c r="B761" s="336"/>
      <c r="C761" s="336"/>
      <c r="D761" s="336"/>
      <c r="E761" s="336"/>
      <c r="F761" s="336"/>
      <c r="G761" s="336"/>
      <c r="H761" s="336"/>
      <c r="I761" s="336"/>
      <c r="J761" s="336"/>
      <c r="K761" s="415"/>
      <c r="L761" s="336"/>
      <c r="M761" s="336"/>
      <c r="N761" s="336"/>
      <c r="O761" s="416"/>
      <c r="P761" s="336"/>
      <c r="Q761" s="415"/>
      <c r="R761" s="336"/>
      <c r="S761" s="336"/>
      <c r="T761" s="336"/>
      <c r="U761" s="336"/>
      <c r="V761" s="336"/>
      <c r="W761" s="336"/>
      <c r="X761" s="336"/>
      <c r="Y761" s="336"/>
      <c r="Z761" s="336"/>
      <c r="AA761" s="336"/>
      <c r="AB761" s="336"/>
      <c r="AC761" s="336"/>
      <c r="AD761" s="336"/>
      <c r="AE761"/>
      <c r="AF761" s="336"/>
      <c r="AG761" s="336"/>
      <c r="AH761" s="336"/>
      <c r="AI761" s="336"/>
      <c r="AJ761" s="336"/>
      <c r="AK761" s="336"/>
      <c r="AL761" s="336"/>
      <c r="AM761" s="336"/>
      <c r="AN761" s="336"/>
      <c r="AO761" s="336"/>
      <c r="AP761" s="336"/>
      <c r="AQ761" s="336"/>
      <c r="AR761" s="336"/>
      <c r="AS761" s="336"/>
      <c r="AT761" s="336"/>
    </row>
    <row r="762" spans="1:46" ht="14.45">
      <c r="A762" s="336"/>
      <c r="B762" s="336"/>
      <c r="C762" s="336"/>
      <c r="D762" s="336"/>
      <c r="E762" s="336"/>
      <c r="F762" s="336"/>
      <c r="G762" s="336"/>
      <c r="H762" s="336"/>
      <c r="I762" s="336"/>
      <c r="J762" s="336"/>
      <c r="K762" s="415"/>
      <c r="L762" s="336"/>
      <c r="M762" s="336"/>
      <c r="N762" s="336"/>
      <c r="O762" s="416"/>
      <c r="P762" s="336"/>
      <c r="Q762" s="415"/>
      <c r="R762" s="336"/>
      <c r="S762" s="336"/>
      <c r="T762" s="336"/>
      <c r="U762" s="336"/>
      <c r="V762" s="336"/>
      <c r="W762" s="336"/>
      <c r="X762" s="336"/>
      <c r="Y762" s="336"/>
      <c r="Z762" s="336"/>
      <c r="AA762" s="336"/>
      <c r="AB762" s="336"/>
      <c r="AC762" s="336"/>
      <c r="AD762" s="336"/>
      <c r="AE762"/>
      <c r="AF762" s="336"/>
      <c r="AG762" s="336"/>
      <c r="AH762" s="336"/>
      <c r="AI762" s="336"/>
      <c r="AJ762" s="336"/>
      <c r="AK762" s="336"/>
      <c r="AL762" s="336"/>
      <c r="AM762" s="336"/>
      <c r="AN762" s="336"/>
      <c r="AO762" s="336"/>
      <c r="AP762" s="336"/>
      <c r="AQ762" s="336"/>
      <c r="AR762" s="336"/>
      <c r="AS762" s="336"/>
      <c r="AT762" s="336"/>
    </row>
    <row r="763" spans="1:46" ht="14.45">
      <c r="A763" s="336"/>
      <c r="B763" s="336"/>
      <c r="C763" s="336"/>
      <c r="D763" s="336"/>
      <c r="E763" s="336"/>
      <c r="F763" s="336"/>
      <c r="G763" s="336"/>
      <c r="H763" s="336"/>
      <c r="I763" s="336"/>
      <c r="J763" s="336"/>
      <c r="K763" s="415"/>
      <c r="L763" s="336"/>
      <c r="M763" s="336"/>
      <c r="N763" s="336"/>
      <c r="O763" s="416"/>
      <c r="P763" s="336"/>
      <c r="Q763" s="415"/>
      <c r="R763" s="336"/>
      <c r="S763" s="336"/>
      <c r="T763" s="336"/>
      <c r="U763" s="336"/>
      <c r="V763" s="336"/>
      <c r="W763" s="336"/>
      <c r="X763" s="336"/>
      <c r="Y763" s="336"/>
      <c r="Z763" s="336"/>
      <c r="AA763" s="336"/>
      <c r="AB763" s="336"/>
      <c r="AC763" s="336"/>
      <c r="AD763" s="336"/>
      <c r="AE763"/>
      <c r="AF763" s="336"/>
      <c r="AG763" s="336"/>
      <c r="AH763" s="336"/>
      <c r="AI763" s="336"/>
      <c r="AJ763" s="336"/>
      <c r="AK763" s="336"/>
      <c r="AL763" s="336"/>
      <c r="AM763" s="336"/>
      <c r="AN763" s="336"/>
      <c r="AO763" s="336"/>
      <c r="AP763" s="336"/>
      <c r="AQ763" s="336"/>
      <c r="AR763" s="336"/>
      <c r="AS763" s="336"/>
      <c r="AT763" s="336"/>
    </row>
    <row r="764" spans="1:46" ht="14.45">
      <c r="A764" s="336"/>
      <c r="B764" s="336"/>
      <c r="C764" s="336"/>
      <c r="D764" s="336"/>
      <c r="E764" s="336"/>
      <c r="F764" s="336"/>
      <c r="G764" s="336"/>
      <c r="H764" s="336"/>
      <c r="I764" s="336"/>
      <c r="J764" s="336"/>
      <c r="K764" s="415"/>
      <c r="L764" s="336"/>
      <c r="M764" s="336"/>
      <c r="N764" s="336"/>
      <c r="O764" s="416"/>
      <c r="P764" s="336"/>
      <c r="Q764" s="415"/>
      <c r="R764" s="336"/>
      <c r="S764" s="336"/>
      <c r="T764" s="336"/>
      <c r="U764" s="336"/>
      <c r="V764" s="336"/>
      <c r="W764" s="336"/>
      <c r="X764" s="336"/>
      <c r="Y764" s="336"/>
      <c r="Z764" s="336"/>
      <c r="AA764" s="336"/>
      <c r="AB764" s="336"/>
      <c r="AC764" s="336"/>
      <c r="AD764" s="336"/>
      <c r="AE764"/>
      <c r="AF764" s="336"/>
      <c r="AG764" s="336"/>
      <c r="AH764" s="336"/>
      <c r="AI764" s="336"/>
      <c r="AJ764" s="336"/>
      <c r="AK764" s="336"/>
      <c r="AL764" s="336"/>
      <c r="AM764" s="336"/>
      <c r="AN764" s="336"/>
      <c r="AO764" s="336"/>
      <c r="AP764" s="336"/>
      <c r="AQ764" s="336"/>
      <c r="AR764" s="336"/>
      <c r="AS764" s="336"/>
      <c r="AT764" s="336"/>
    </row>
    <row r="765" spans="1:46" ht="14.45">
      <c r="A765" s="336"/>
      <c r="B765" s="336"/>
      <c r="C765" s="336"/>
      <c r="D765" s="336"/>
      <c r="E765" s="336"/>
      <c r="F765" s="336"/>
      <c r="G765" s="336"/>
      <c r="H765" s="336"/>
      <c r="I765" s="336"/>
      <c r="J765" s="336"/>
      <c r="K765" s="415"/>
      <c r="L765" s="336"/>
      <c r="M765" s="336"/>
      <c r="N765" s="336"/>
      <c r="O765" s="416"/>
      <c r="P765" s="336"/>
      <c r="Q765" s="415"/>
      <c r="R765" s="336"/>
      <c r="S765" s="336"/>
      <c r="T765" s="336"/>
      <c r="U765" s="336"/>
      <c r="V765" s="336"/>
      <c r="W765" s="336"/>
      <c r="X765" s="336"/>
      <c r="Y765" s="336"/>
      <c r="Z765" s="336"/>
      <c r="AA765" s="336"/>
      <c r="AB765" s="336"/>
      <c r="AC765" s="336"/>
      <c r="AD765" s="336"/>
      <c r="AE765"/>
      <c r="AF765" s="336"/>
      <c r="AG765" s="336"/>
      <c r="AH765" s="336"/>
      <c r="AI765" s="336"/>
      <c r="AJ765" s="336"/>
      <c r="AK765" s="336"/>
      <c r="AL765" s="336"/>
      <c r="AM765" s="336"/>
      <c r="AN765" s="336"/>
      <c r="AO765" s="336"/>
      <c r="AP765" s="336"/>
      <c r="AQ765" s="336"/>
      <c r="AR765" s="336"/>
      <c r="AS765" s="336"/>
      <c r="AT765" s="336"/>
    </row>
    <row r="766" spans="1:46" ht="14.45">
      <c r="A766" s="336"/>
      <c r="B766" s="336"/>
      <c r="C766" s="336"/>
      <c r="D766" s="336"/>
      <c r="E766" s="336"/>
      <c r="F766" s="336"/>
      <c r="G766" s="336"/>
      <c r="H766" s="336"/>
      <c r="I766" s="336"/>
      <c r="J766" s="336"/>
      <c r="K766" s="415"/>
      <c r="L766" s="336"/>
      <c r="M766" s="336"/>
      <c r="N766" s="336"/>
      <c r="O766" s="416"/>
      <c r="P766" s="336"/>
      <c r="Q766" s="415"/>
      <c r="R766" s="336"/>
      <c r="S766" s="336"/>
      <c r="T766" s="336"/>
      <c r="U766" s="336"/>
      <c r="V766" s="336"/>
      <c r="W766" s="336"/>
      <c r="X766" s="336"/>
      <c r="Y766" s="336"/>
      <c r="Z766" s="336"/>
      <c r="AA766" s="336"/>
      <c r="AB766" s="336"/>
      <c r="AC766" s="336"/>
      <c r="AD766" s="336"/>
      <c r="AE766"/>
      <c r="AF766" s="336"/>
      <c r="AG766" s="336"/>
      <c r="AH766" s="336"/>
      <c r="AI766" s="336"/>
      <c r="AJ766" s="336"/>
      <c r="AK766" s="336"/>
      <c r="AL766" s="336"/>
      <c r="AM766" s="336"/>
      <c r="AN766" s="336"/>
      <c r="AO766" s="336"/>
      <c r="AP766" s="336"/>
      <c r="AQ766" s="336"/>
      <c r="AR766" s="336"/>
      <c r="AS766" s="336"/>
      <c r="AT766" s="336"/>
    </row>
    <row r="767" spans="1:46" ht="14.45">
      <c r="A767" s="336"/>
      <c r="B767" s="336"/>
      <c r="C767" s="336"/>
      <c r="D767" s="336"/>
      <c r="E767" s="336"/>
      <c r="F767" s="336"/>
      <c r="G767" s="336"/>
      <c r="H767" s="336"/>
      <c r="I767" s="336"/>
      <c r="J767" s="336"/>
      <c r="K767" s="415"/>
      <c r="L767" s="336"/>
      <c r="M767" s="336"/>
      <c r="N767" s="336"/>
      <c r="O767" s="416"/>
      <c r="P767" s="336"/>
      <c r="Q767" s="415"/>
      <c r="R767" s="336"/>
      <c r="S767" s="336"/>
      <c r="T767" s="336"/>
      <c r="U767" s="336"/>
      <c r="V767" s="336"/>
      <c r="W767" s="336"/>
      <c r="X767" s="336"/>
      <c r="Y767" s="336"/>
      <c r="Z767" s="336"/>
      <c r="AA767" s="336"/>
      <c r="AB767" s="336"/>
      <c r="AC767" s="336"/>
      <c r="AD767" s="336"/>
      <c r="AE767"/>
      <c r="AF767" s="336"/>
      <c r="AG767" s="336"/>
      <c r="AH767" s="336"/>
      <c r="AI767" s="336"/>
      <c r="AJ767" s="336"/>
      <c r="AK767" s="336"/>
      <c r="AL767" s="336"/>
      <c r="AM767" s="336"/>
      <c r="AN767" s="336"/>
      <c r="AO767" s="336"/>
      <c r="AP767" s="336"/>
      <c r="AQ767" s="336"/>
      <c r="AR767" s="336"/>
      <c r="AS767" s="336"/>
      <c r="AT767" s="336"/>
    </row>
    <row r="768" spans="1:46" ht="14.45">
      <c r="A768" s="336"/>
      <c r="B768" s="336"/>
      <c r="C768" s="336"/>
      <c r="D768" s="336"/>
      <c r="E768" s="336"/>
      <c r="F768" s="336"/>
      <c r="G768" s="336"/>
      <c r="H768" s="336"/>
      <c r="I768" s="336"/>
      <c r="J768" s="336"/>
      <c r="K768" s="415"/>
      <c r="L768" s="336"/>
      <c r="M768" s="336"/>
      <c r="N768" s="336"/>
      <c r="O768" s="416"/>
      <c r="P768" s="336"/>
      <c r="Q768" s="415"/>
      <c r="R768" s="336"/>
      <c r="S768" s="336"/>
      <c r="T768" s="336"/>
      <c r="U768" s="336"/>
      <c r="V768" s="336"/>
      <c r="W768" s="336"/>
      <c r="X768" s="336"/>
      <c r="Y768" s="336"/>
      <c r="Z768" s="336"/>
      <c r="AA768" s="336"/>
      <c r="AB768" s="336"/>
      <c r="AC768" s="336"/>
      <c r="AD768" s="336"/>
      <c r="AE768"/>
      <c r="AF768" s="336"/>
      <c r="AG768" s="336"/>
      <c r="AH768" s="336"/>
      <c r="AI768" s="336"/>
      <c r="AJ768" s="336"/>
      <c r="AK768" s="336"/>
      <c r="AL768" s="336"/>
      <c r="AM768" s="336"/>
      <c r="AN768" s="336"/>
      <c r="AO768" s="336"/>
      <c r="AP768" s="336"/>
      <c r="AQ768" s="336"/>
      <c r="AR768" s="336"/>
      <c r="AS768" s="336"/>
      <c r="AT768" s="336"/>
    </row>
    <row r="769" spans="1:46" ht="14.45">
      <c r="A769" s="336"/>
      <c r="B769" s="336"/>
      <c r="C769" s="336"/>
      <c r="D769" s="336"/>
      <c r="E769" s="336"/>
      <c r="F769" s="336"/>
      <c r="G769" s="336"/>
      <c r="H769" s="336"/>
      <c r="I769" s="336"/>
      <c r="J769" s="336"/>
      <c r="K769" s="415"/>
      <c r="L769" s="336"/>
      <c r="M769" s="336"/>
      <c r="N769" s="336"/>
      <c r="O769" s="416"/>
      <c r="P769" s="336"/>
      <c r="Q769" s="415"/>
      <c r="R769" s="336"/>
      <c r="S769" s="336"/>
      <c r="T769" s="336"/>
      <c r="U769" s="336"/>
      <c r="V769" s="336"/>
      <c r="W769" s="336"/>
      <c r="X769" s="336"/>
      <c r="Y769" s="336"/>
      <c r="Z769" s="336"/>
      <c r="AA769" s="336"/>
      <c r="AB769" s="336"/>
      <c r="AC769" s="336"/>
      <c r="AD769" s="336"/>
      <c r="AE769"/>
      <c r="AF769" s="336"/>
      <c r="AG769" s="336"/>
      <c r="AH769" s="336"/>
      <c r="AI769" s="336"/>
      <c r="AJ769" s="336"/>
      <c r="AK769" s="336"/>
      <c r="AL769" s="336"/>
      <c r="AM769" s="336"/>
      <c r="AN769" s="336"/>
      <c r="AO769" s="336"/>
      <c r="AP769" s="336"/>
      <c r="AQ769" s="336"/>
      <c r="AR769" s="336"/>
      <c r="AS769" s="336"/>
      <c r="AT769" s="336"/>
    </row>
    <row r="770" spans="1:46" ht="14.45">
      <c r="A770" s="336"/>
      <c r="B770" s="336"/>
      <c r="C770" s="336"/>
      <c r="D770" s="336"/>
      <c r="E770" s="336"/>
      <c r="F770" s="336"/>
      <c r="G770" s="336"/>
      <c r="H770" s="336"/>
      <c r="I770" s="336"/>
      <c r="J770" s="336"/>
      <c r="K770" s="415"/>
      <c r="L770" s="336"/>
      <c r="M770" s="336"/>
      <c r="N770" s="336"/>
      <c r="O770" s="416"/>
      <c r="P770" s="336"/>
      <c r="Q770" s="415"/>
      <c r="R770" s="336"/>
      <c r="S770" s="336"/>
      <c r="T770" s="336"/>
      <c r="U770" s="336"/>
      <c r="V770" s="336"/>
      <c r="W770" s="336"/>
      <c r="X770" s="336"/>
      <c r="Y770" s="336"/>
      <c r="Z770" s="336"/>
      <c r="AA770" s="336"/>
      <c r="AB770" s="336"/>
      <c r="AC770" s="336"/>
      <c r="AD770" s="336"/>
      <c r="AE770"/>
      <c r="AF770" s="336"/>
      <c r="AG770" s="336"/>
      <c r="AH770" s="336"/>
      <c r="AI770" s="336"/>
      <c r="AJ770" s="336"/>
      <c r="AK770" s="336"/>
      <c r="AL770" s="336"/>
      <c r="AM770" s="336"/>
      <c r="AN770" s="336"/>
      <c r="AO770" s="336"/>
      <c r="AP770" s="336"/>
      <c r="AQ770" s="336"/>
      <c r="AR770" s="336"/>
      <c r="AS770" s="336"/>
      <c r="AT770" s="336"/>
    </row>
    <row r="771" spans="1:46" ht="14.45">
      <c r="A771" s="336"/>
      <c r="B771" s="336"/>
      <c r="C771" s="336"/>
      <c r="D771" s="336"/>
      <c r="E771" s="336"/>
      <c r="F771" s="336"/>
      <c r="G771" s="336"/>
      <c r="H771" s="336"/>
      <c r="I771" s="336"/>
      <c r="J771" s="336"/>
      <c r="K771" s="415"/>
      <c r="L771" s="336"/>
      <c r="M771" s="336"/>
      <c r="N771" s="336"/>
      <c r="O771" s="416"/>
      <c r="P771" s="336"/>
      <c r="Q771" s="415"/>
      <c r="R771" s="336"/>
      <c r="S771" s="336"/>
      <c r="T771" s="336"/>
      <c r="U771" s="336"/>
      <c r="V771" s="336"/>
      <c r="W771" s="336"/>
      <c r="X771" s="336"/>
      <c r="Y771" s="336"/>
      <c r="Z771" s="336"/>
      <c r="AA771" s="336"/>
      <c r="AB771" s="336"/>
      <c r="AC771" s="336"/>
      <c r="AD771" s="336"/>
      <c r="AE771"/>
      <c r="AF771" s="336"/>
      <c r="AG771" s="336"/>
      <c r="AH771" s="336"/>
      <c r="AI771" s="336"/>
      <c r="AJ771" s="336"/>
      <c r="AK771" s="336"/>
      <c r="AL771" s="336"/>
      <c r="AM771" s="336"/>
      <c r="AN771" s="336"/>
      <c r="AO771" s="336"/>
      <c r="AP771" s="336"/>
      <c r="AQ771" s="336"/>
      <c r="AR771" s="336"/>
      <c r="AS771" s="336"/>
      <c r="AT771" s="336"/>
    </row>
    <row r="772" spans="1:46" ht="14.45">
      <c r="A772" s="336"/>
      <c r="B772" s="336"/>
      <c r="C772" s="336"/>
      <c r="D772" s="336"/>
      <c r="E772" s="336"/>
      <c r="F772" s="336"/>
      <c r="G772" s="336"/>
      <c r="H772" s="336"/>
      <c r="I772" s="336"/>
      <c r="J772" s="336"/>
      <c r="K772" s="415"/>
      <c r="L772" s="336"/>
      <c r="M772" s="336"/>
      <c r="N772" s="336"/>
      <c r="O772" s="416"/>
      <c r="P772" s="336"/>
      <c r="Q772" s="415"/>
      <c r="R772" s="336"/>
      <c r="S772" s="336"/>
      <c r="T772" s="336"/>
      <c r="U772" s="336"/>
      <c r="V772" s="336"/>
      <c r="W772" s="336"/>
      <c r="X772" s="336"/>
      <c r="Y772" s="336"/>
      <c r="Z772" s="336"/>
      <c r="AA772" s="336"/>
      <c r="AB772" s="336"/>
      <c r="AC772" s="336"/>
      <c r="AD772" s="336"/>
      <c r="AE772"/>
      <c r="AF772" s="336"/>
      <c r="AG772" s="336"/>
      <c r="AH772" s="336"/>
      <c r="AI772" s="336"/>
      <c r="AJ772" s="336"/>
      <c r="AK772" s="336"/>
      <c r="AL772" s="336"/>
      <c r="AM772" s="336"/>
      <c r="AN772" s="336"/>
      <c r="AO772" s="336"/>
      <c r="AP772" s="336"/>
      <c r="AQ772" s="336"/>
      <c r="AR772" s="336"/>
      <c r="AS772" s="336"/>
      <c r="AT772" s="336"/>
    </row>
    <row r="773" spans="1:46" ht="14.45">
      <c r="A773" s="336"/>
      <c r="B773" s="336"/>
      <c r="C773" s="336"/>
      <c r="D773" s="336"/>
      <c r="E773" s="336"/>
      <c r="F773" s="336"/>
      <c r="G773" s="336"/>
      <c r="H773" s="336"/>
      <c r="I773" s="336"/>
      <c r="J773" s="336"/>
      <c r="K773" s="415"/>
      <c r="L773" s="336"/>
      <c r="M773" s="336"/>
      <c r="N773" s="336"/>
      <c r="O773" s="416"/>
      <c r="P773" s="336"/>
      <c r="Q773" s="415"/>
      <c r="R773" s="336"/>
      <c r="S773" s="336"/>
      <c r="T773" s="336"/>
      <c r="U773" s="336"/>
      <c r="V773" s="336"/>
      <c r="W773" s="336"/>
      <c r="X773" s="336"/>
      <c r="Y773" s="336"/>
      <c r="Z773" s="336"/>
      <c r="AA773" s="336"/>
      <c r="AB773" s="336"/>
      <c r="AC773" s="336"/>
      <c r="AD773" s="336"/>
      <c r="AE773"/>
      <c r="AF773" s="336"/>
      <c r="AG773" s="336"/>
      <c r="AH773" s="336"/>
      <c r="AI773" s="336"/>
      <c r="AJ773" s="336"/>
      <c r="AK773" s="336"/>
      <c r="AL773" s="336"/>
      <c r="AM773" s="336"/>
      <c r="AN773" s="336"/>
      <c r="AO773" s="336"/>
      <c r="AP773" s="336"/>
      <c r="AQ773" s="336"/>
      <c r="AR773" s="336"/>
      <c r="AS773" s="336"/>
      <c r="AT773" s="336"/>
    </row>
    <row r="774" spans="1:46" ht="14.45">
      <c r="A774" s="336"/>
      <c r="B774" s="336"/>
      <c r="C774" s="336"/>
      <c r="D774" s="336"/>
      <c r="E774" s="336"/>
      <c r="F774" s="336"/>
      <c r="G774" s="336"/>
      <c r="H774" s="336"/>
      <c r="I774" s="336"/>
      <c r="J774" s="336"/>
      <c r="K774" s="415"/>
      <c r="L774" s="336"/>
      <c r="M774" s="336"/>
      <c r="N774" s="336"/>
      <c r="O774" s="416"/>
      <c r="P774" s="336"/>
      <c r="Q774" s="415"/>
      <c r="R774" s="336"/>
      <c r="S774" s="336"/>
      <c r="T774" s="336"/>
      <c r="U774" s="336"/>
      <c r="V774" s="336"/>
      <c r="W774" s="336"/>
      <c r="X774" s="336"/>
      <c r="Y774" s="336"/>
      <c r="Z774" s="336"/>
      <c r="AA774" s="336"/>
      <c r="AB774" s="336"/>
      <c r="AC774" s="336"/>
      <c r="AD774" s="336"/>
      <c r="AE774"/>
      <c r="AF774" s="336"/>
      <c r="AG774" s="336"/>
      <c r="AH774" s="336"/>
      <c r="AI774" s="336"/>
      <c r="AJ774" s="336"/>
      <c r="AK774" s="336"/>
      <c r="AL774" s="336"/>
      <c r="AM774" s="336"/>
      <c r="AN774" s="336"/>
      <c r="AO774" s="336"/>
      <c r="AP774" s="336"/>
      <c r="AQ774" s="336"/>
      <c r="AR774" s="336"/>
      <c r="AS774" s="336"/>
      <c r="AT774" s="336"/>
    </row>
    <row r="775" spans="1:46" ht="14.45">
      <c r="A775" s="336"/>
      <c r="B775" s="336"/>
      <c r="C775" s="336"/>
      <c r="D775" s="336"/>
      <c r="E775" s="336"/>
      <c r="F775" s="336"/>
      <c r="G775" s="336"/>
      <c r="H775" s="336"/>
      <c r="I775" s="336"/>
      <c r="J775" s="336"/>
      <c r="K775" s="415"/>
      <c r="L775" s="336"/>
      <c r="M775" s="336"/>
      <c r="N775" s="336"/>
      <c r="O775" s="416"/>
      <c r="P775" s="336"/>
      <c r="Q775" s="415"/>
      <c r="R775" s="336"/>
      <c r="S775" s="336"/>
      <c r="T775" s="336"/>
      <c r="U775" s="336"/>
      <c r="V775" s="336"/>
      <c r="W775" s="336"/>
      <c r="X775" s="336"/>
      <c r="Y775" s="336"/>
      <c r="Z775" s="336"/>
      <c r="AA775" s="336"/>
      <c r="AB775" s="336"/>
      <c r="AC775" s="336"/>
      <c r="AD775" s="336"/>
      <c r="AE775"/>
      <c r="AF775" s="336"/>
      <c r="AG775" s="336"/>
      <c r="AH775" s="336"/>
      <c r="AI775" s="336"/>
      <c r="AJ775" s="336"/>
      <c r="AK775" s="336"/>
      <c r="AL775" s="336"/>
      <c r="AM775" s="336"/>
      <c r="AN775" s="336"/>
      <c r="AO775" s="336"/>
      <c r="AP775" s="336"/>
      <c r="AQ775" s="336"/>
      <c r="AR775" s="336"/>
      <c r="AS775" s="336"/>
      <c r="AT775" s="336"/>
    </row>
    <row r="776" spans="1:46" ht="14.45">
      <c r="A776" s="336"/>
      <c r="B776" s="336"/>
      <c r="C776" s="336"/>
      <c r="D776" s="336"/>
      <c r="E776" s="336"/>
      <c r="F776" s="336"/>
      <c r="G776" s="336"/>
      <c r="H776" s="336"/>
      <c r="I776" s="336"/>
      <c r="J776" s="336"/>
      <c r="K776" s="415"/>
      <c r="L776" s="336"/>
      <c r="M776" s="336"/>
      <c r="N776" s="336"/>
      <c r="O776" s="416"/>
      <c r="P776" s="336"/>
      <c r="Q776" s="415"/>
      <c r="R776" s="336"/>
      <c r="S776" s="336"/>
      <c r="T776" s="336"/>
      <c r="U776" s="336"/>
      <c r="V776" s="336"/>
      <c r="W776" s="336"/>
      <c r="X776" s="336"/>
      <c r="Y776" s="336"/>
      <c r="Z776" s="336"/>
      <c r="AA776" s="336"/>
      <c r="AB776" s="336"/>
      <c r="AC776" s="336"/>
      <c r="AD776" s="336"/>
      <c r="AE776"/>
      <c r="AF776" s="336"/>
      <c r="AG776" s="336"/>
      <c r="AH776" s="336"/>
      <c r="AI776" s="336"/>
      <c r="AJ776" s="336"/>
      <c r="AK776" s="336"/>
      <c r="AL776" s="336"/>
      <c r="AM776" s="336"/>
      <c r="AN776" s="336"/>
      <c r="AO776" s="336"/>
      <c r="AP776" s="336"/>
      <c r="AQ776" s="336"/>
      <c r="AR776" s="336"/>
      <c r="AS776" s="336"/>
      <c r="AT776" s="336"/>
    </row>
    <row r="777" spans="1:46" ht="14.45">
      <c r="A777" s="336"/>
      <c r="B777" s="336"/>
      <c r="C777" s="336"/>
      <c r="D777" s="336"/>
      <c r="E777" s="336"/>
      <c r="F777" s="336"/>
      <c r="G777" s="336"/>
      <c r="H777" s="336"/>
      <c r="I777" s="336"/>
      <c r="J777" s="336"/>
      <c r="K777" s="415"/>
      <c r="L777" s="336"/>
      <c r="M777" s="336"/>
      <c r="N777" s="336"/>
      <c r="O777" s="416"/>
      <c r="P777" s="336"/>
      <c r="Q777" s="415"/>
      <c r="R777" s="336"/>
      <c r="S777" s="336"/>
      <c r="T777" s="336"/>
      <c r="U777" s="336"/>
      <c r="V777" s="336"/>
      <c r="W777" s="336"/>
      <c r="X777" s="336"/>
      <c r="Y777" s="336"/>
      <c r="Z777" s="336"/>
      <c r="AA777" s="336"/>
      <c r="AB777" s="336"/>
      <c r="AC777" s="336"/>
      <c r="AD777" s="336"/>
      <c r="AE777"/>
      <c r="AF777" s="336"/>
      <c r="AG777" s="336"/>
      <c r="AH777" s="336"/>
      <c r="AI777" s="336"/>
      <c r="AJ777" s="336"/>
      <c r="AK777" s="336"/>
      <c r="AL777" s="336"/>
      <c r="AM777" s="336"/>
      <c r="AN777" s="336"/>
      <c r="AO777" s="336"/>
      <c r="AP777" s="336"/>
      <c r="AQ777" s="336"/>
      <c r="AR777" s="336"/>
      <c r="AS777" s="336"/>
      <c r="AT777" s="336"/>
    </row>
    <row r="778" spans="1:46" ht="14.45">
      <c r="A778" s="336"/>
      <c r="B778" s="336"/>
      <c r="C778" s="336"/>
      <c r="D778" s="336"/>
      <c r="E778" s="336"/>
      <c r="F778" s="336"/>
      <c r="G778" s="336"/>
      <c r="H778" s="336"/>
      <c r="I778" s="336"/>
      <c r="J778" s="336"/>
      <c r="K778" s="415"/>
      <c r="L778" s="336"/>
      <c r="M778" s="336"/>
      <c r="N778" s="336"/>
      <c r="O778" s="416"/>
      <c r="P778" s="336"/>
      <c r="Q778" s="415"/>
      <c r="R778" s="336"/>
      <c r="S778" s="336"/>
      <c r="T778" s="336"/>
      <c r="U778" s="336"/>
      <c r="V778" s="336"/>
      <c r="W778" s="336"/>
      <c r="X778" s="336"/>
      <c r="Y778" s="336"/>
      <c r="Z778" s="336"/>
      <c r="AA778" s="336"/>
      <c r="AB778" s="336"/>
      <c r="AC778" s="336"/>
      <c r="AD778" s="336"/>
      <c r="AE778"/>
      <c r="AF778" s="336"/>
      <c r="AG778" s="336"/>
      <c r="AH778" s="336"/>
      <c r="AI778" s="336"/>
      <c r="AJ778" s="336"/>
      <c r="AK778" s="336"/>
      <c r="AL778" s="336"/>
      <c r="AM778" s="336"/>
      <c r="AN778" s="336"/>
      <c r="AO778" s="336"/>
      <c r="AP778" s="336"/>
      <c r="AQ778" s="336"/>
      <c r="AR778" s="336"/>
      <c r="AS778" s="336"/>
      <c r="AT778" s="336"/>
    </row>
    <row r="779" spans="1:46" ht="14.45">
      <c r="A779" s="336"/>
      <c r="B779" s="336"/>
      <c r="C779" s="336"/>
      <c r="D779" s="336"/>
      <c r="E779" s="336"/>
      <c r="F779" s="336"/>
      <c r="G779" s="336"/>
      <c r="H779" s="336"/>
      <c r="I779" s="336"/>
      <c r="J779" s="336"/>
      <c r="K779" s="415"/>
      <c r="L779" s="336"/>
      <c r="M779" s="336"/>
      <c r="N779" s="336"/>
      <c r="O779" s="416"/>
      <c r="P779" s="336"/>
      <c r="Q779" s="415"/>
      <c r="R779" s="336"/>
      <c r="S779" s="336"/>
      <c r="T779" s="336"/>
      <c r="U779" s="336"/>
      <c r="V779" s="336"/>
      <c r="W779" s="336"/>
      <c r="X779" s="336"/>
      <c r="Y779" s="336"/>
      <c r="Z779" s="336"/>
      <c r="AA779" s="336"/>
      <c r="AB779" s="336"/>
      <c r="AC779" s="336"/>
      <c r="AD779" s="336"/>
      <c r="AE779"/>
      <c r="AF779" s="336"/>
      <c r="AG779" s="336"/>
      <c r="AH779" s="336"/>
      <c r="AI779" s="336"/>
      <c r="AJ779" s="336"/>
      <c r="AK779" s="336"/>
      <c r="AL779" s="336"/>
      <c r="AM779" s="336"/>
      <c r="AN779" s="336"/>
      <c r="AO779" s="336"/>
      <c r="AP779" s="336"/>
      <c r="AQ779" s="336"/>
      <c r="AR779" s="336"/>
      <c r="AS779" s="336"/>
      <c r="AT779" s="336"/>
    </row>
    <row r="780" spans="1:46" ht="14.45">
      <c r="A780" s="336"/>
      <c r="B780" s="336"/>
      <c r="C780" s="336"/>
      <c r="D780" s="336"/>
      <c r="E780" s="336"/>
      <c r="F780" s="336"/>
      <c r="G780" s="336"/>
      <c r="H780" s="336"/>
      <c r="I780" s="336"/>
      <c r="J780" s="336"/>
      <c r="K780" s="415"/>
      <c r="L780" s="336"/>
      <c r="M780" s="336"/>
      <c r="N780" s="336"/>
      <c r="O780" s="416"/>
      <c r="P780" s="336"/>
      <c r="Q780" s="415"/>
      <c r="R780" s="336"/>
      <c r="S780" s="336"/>
      <c r="T780" s="336"/>
      <c r="U780" s="336"/>
      <c r="V780" s="336"/>
      <c r="W780" s="336"/>
      <c r="X780" s="336"/>
      <c r="Y780" s="336"/>
      <c r="Z780" s="336"/>
      <c r="AA780" s="336"/>
      <c r="AB780" s="336"/>
      <c r="AC780" s="336"/>
      <c r="AD780" s="336"/>
      <c r="AE780"/>
      <c r="AF780" s="336"/>
      <c r="AG780" s="336"/>
      <c r="AH780" s="336"/>
      <c r="AI780" s="336"/>
      <c r="AJ780" s="336"/>
      <c r="AK780" s="336"/>
      <c r="AL780" s="336"/>
      <c r="AM780" s="336"/>
      <c r="AN780" s="336"/>
      <c r="AO780" s="336"/>
      <c r="AP780" s="336"/>
      <c r="AQ780" s="336"/>
      <c r="AR780" s="336"/>
      <c r="AS780" s="336"/>
      <c r="AT780" s="336"/>
    </row>
    <row r="781" spans="1:46" ht="14.45">
      <c r="A781" s="336"/>
      <c r="B781" s="336"/>
      <c r="C781" s="336"/>
      <c r="D781" s="336"/>
      <c r="E781" s="336"/>
      <c r="F781" s="336"/>
      <c r="G781" s="336"/>
      <c r="H781" s="336"/>
      <c r="I781" s="336"/>
      <c r="J781" s="336"/>
      <c r="K781" s="415"/>
      <c r="L781" s="336"/>
      <c r="M781" s="336"/>
      <c r="N781" s="336"/>
      <c r="O781" s="416"/>
      <c r="P781" s="336"/>
      <c r="Q781" s="415"/>
      <c r="R781" s="336"/>
      <c r="S781" s="336"/>
      <c r="T781" s="336"/>
      <c r="U781" s="336"/>
      <c r="V781" s="336"/>
      <c r="W781" s="336"/>
      <c r="X781" s="336"/>
      <c r="Y781" s="336"/>
      <c r="Z781" s="336"/>
      <c r="AA781" s="336"/>
      <c r="AB781" s="336"/>
      <c r="AC781" s="336"/>
      <c r="AD781" s="336"/>
      <c r="AE781"/>
      <c r="AF781" s="336"/>
      <c r="AG781" s="336"/>
      <c r="AH781" s="336"/>
      <c r="AI781" s="336"/>
      <c r="AJ781" s="336"/>
      <c r="AK781" s="336"/>
      <c r="AL781" s="336"/>
      <c r="AM781" s="336"/>
      <c r="AN781" s="336"/>
      <c r="AO781" s="336"/>
      <c r="AP781" s="336"/>
      <c r="AQ781" s="336"/>
      <c r="AR781" s="336"/>
      <c r="AS781" s="336"/>
      <c r="AT781" s="336"/>
    </row>
    <row r="782" spans="1:46" ht="14.45">
      <c r="A782" s="336"/>
      <c r="B782" s="336"/>
      <c r="C782" s="336"/>
      <c r="D782" s="336"/>
      <c r="E782" s="336"/>
      <c r="F782" s="336"/>
      <c r="G782" s="336"/>
      <c r="H782" s="336"/>
      <c r="I782" s="336"/>
      <c r="J782" s="336"/>
      <c r="K782" s="415"/>
      <c r="L782" s="336"/>
      <c r="M782" s="336"/>
      <c r="N782" s="336"/>
      <c r="O782" s="416"/>
      <c r="P782" s="336"/>
      <c r="Q782" s="415"/>
      <c r="R782" s="336"/>
      <c r="S782" s="336"/>
      <c r="T782" s="336"/>
      <c r="U782" s="336"/>
      <c r="V782" s="336"/>
      <c r="W782" s="336"/>
      <c r="X782" s="336"/>
      <c r="Y782" s="336"/>
      <c r="Z782" s="336"/>
      <c r="AA782" s="336"/>
      <c r="AB782" s="336"/>
      <c r="AC782" s="336"/>
      <c r="AD782" s="336"/>
      <c r="AE782"/>
      <c r="AF782" s="336"/>
      <c r="AG782" s="336"/>
      <c r="AH782" s="336"/>
      <c r="AI782" s="336"/>
      <c r="AJ782" s="336"/>
      <c r="AK782" s="336"/>
      <c r="AL782" s="336"/>
      <c r="AM782" s="336"/>
      <c r="AN782" s="336"/>
      <c r="AO782" s="336"/>
      <c r="AP782" s="336"/>
      <c r="AQ782" s="336"/>
      <c r="AR782" s="336"/>
      <c r="AS782" s="336"/>
      <c r="AT782" s="336"/>
    </row>
    <row r="783" spans="1:46" ht="14.45">
      <c r="A783" s="336"/>
      <c r="B783" s="336"/>
      <c r="C783" s="336"/>
      <c r="D783" s="336"/>
      <c r="E783" s="336"/>
      <c r="F783" s="336"/>
      <c r="G783" s="336"/>
      <c r="H783" s="336"/>
      <c r="I783" s="336"/>
      <c r="J783" s="336"/>
      <c r="K783" s="415"/>
      <c r="L783" s="336"/>
      <c r="M783" s="336"/>
      <c r="N783" s="336"/>
      <c r="O783" s="416"/>
      <c r="P783" s="336"/>
      <c r="Q783" s="415"/>
      <c r="R783" s="336"/>
      <c r="S783" s="336"/>
      <c r="T783" s="336"/>
      <c r="U783" s="336"/>
      <c r="V783" s="336"/>
      <c r="W783" s="336"/>
      <c r="X783" s="336"/>
      <c r="Y783" s="336"/>
      <c r="Z783" s="336"/>
      <c r="AA783" s="336"/>
      <c r="AB783" s="336"/>
      <c r="AC783" s="336"/>
      <c r="AD783" s="336"/>
      <c r="AE783"/>
      <c r="AF783" s="336"/>
      <c r="AG783" s="336"/>
      <c r="AH783" s="336"/>
      <c r="AI783" s="336"/>
      <c r="AJ783" s="336"/>
      <c r="AK783" s="336"/>
      <c r="AL783" s="336"/>
      <c r="AM783" s="336"/>
      <c r="AN783" s="336"/>
      <c r="AO783" s="336"/>
      <c r="AP783" s="336"/>
      <c r="AQ783" s="336"/>
      <c r="AR783" s="336"/>
      <c r="AS783" s="336"/>
      <c r="AT783" s="336"/>
    </row>
    <row r="784" spans="1:46" ht="14.45">
      <c r="A784" s="336"/>
      <c r="B784" s="336"/>
      <c r="C784" s="336"/>
      <c r="D784" s="336"/>
      <c r="E784" s="336"/>
      <c r="F784" s="336"/>
      <c r="G784" s="336"/>
      <c r="H784" s="336"/>
      <c r="I784" s="336"/>
      <c r="J784" s="336"/>
      <c r="K784" s="415"/>
      <c r="L784" s="336"/>
      <c r="M784" s="336"/>
      <c r="N784" s="336"/>
      <c r="O784" s="416"/>
      <c r="P784" s="336"/>
      <c r="Q784" s="415"/>
      <c r="R784" s="336"/>
      <c r="S784" s="336"/>
      <c r="T784" s="336"/>
      <c r="U784" s="336"/>
      <c r="V784" s="336"/>
      <c r="W784" s="336"/>
      <c r="X784" s="336"/>
      <c r="Y784" s="336"/>
      <c r="Z784" s="336"/>
      <c r="AA784" s="336"/>
      <c r="AB784" s="336"/>
      <c r="AC784" s="336"/>
      <c r="AD784" s="336"/>
      <c r="AE784"/>
      <c r="AF784" s="336"/>
      <c r="AG784" s="336"/>
      <c r="AH784" s="336"/>
      <c r="AI784" s="336"/>
      <c r="AJ784" s="336"/>
      <c r="AK784" s="336"/>
      <c r="AL784" s="336"/>
      <c r="AM784" s="336"/>
      <c r="AN784" s="336"/>
      <c r="AO784" s="336"/>
      <c r="AP784" s="336"/>
      <c r="AQ784" s="336"/>
      <c r="AR784" s="336"/>
      <c r="AS784" s="336"/>
      <c r="AT784" s="336"/>
    </row>
    <row r="785" spans="1:46" ht="14.45">
      <c r="A785" s="336"/>
      <c r="B785" s="336"/>
      <c r="C785" s="336"/>
      <c r="D785" s="336"/>
      <c r="E785" s="336"/>
      <c r="F785" s="336"/>
      <c r="G785" s="336"/>
      <c r="H785" s="336"/>
      <c r="I785" s="336"/>
      <c r="J785" s="336"/>
      <c r="K785" s="415"/>
      <c r="L785" s="336"/>
      <c r="M785" s="336"/>
      <c r="N785" s="336"/>
      <c r="O785" s="416"/>
      <c r="P785" s="336"/>
      <c r="Q785" s="415"/>
      <c r="R785" s="336"/>
      <c r="S785" s="336"/>
      <c r="T785" s="336"/>
      <c r="U785" s="336"/>
      <c r="V785" s="336"/>
      <c r="W785" s="336"/>
      <c r="X785" s="336"/>
      <c r="Y785" s="336"/>
      <c r="Z785" s="336"/>
      <c r="AA785" s="336"/>
      <c r="AB785" s="336"/>
      <c r="AC785" s="336"/>
      <c r="AD785" s="336"/>
      <c r="AE785"/>
      <c r="AF785" s="336"/>
      <c r="AG785" s="336"/>
      <c r="AH785" s="336"/>
      <c r="AI785" s="336"/>
      <c r="AJ785" s="336"/>
      <c r="AK785" s="336"/>
      <c r="AL785" s="336"/>
      <c r="AM785" s="336"/>
      <c r="AN785" s="336"/>
      <c r="AO785" s="336"/>
      <c r="AP785" s="336"/>
      <c r="AQ785" s="336"/>
      <c r="AR785" s="336"/>
      <c r="AS785" s="336"/>
      <c r="AT785" s="336"/>
    </row>
    <row r="786" spans="1:46" ht="14.45">
      <c r="A786" s="336"/>
      <c r="B786" s="336"/>
      <c r="C786" s="336"/>
      <c r="D786" s="336"/>
      <c r="E786" s="336"/>
      <c r="F786" s="336"/>
      <c r="G786" s="336"/>
      <c r="H786" s="336"/>
      <c r="I786" s="336"/>
      <c r="J786" s="336"/>
      <c r="K786" s="415"/>
      <c r="L786" s="336"/>
      <c r="M786" s="336"/>
      <c r="N786" s="336"/>
      <c r="O786" s="416"/>
      <c r="P786" s="336"/>
      <c r="Q786" s="415"/>
      <c r="R786" s="336"/>
      <c r="S786" s="336"/>
      <c r="T786" s="336"/>
      <c r="U786" s="336"/>
      <c r="V786" s="336"/>
      <c r="W786" s="336"/>
      <c r="X786" s="336"/>
      <c r="Y786" s="336"/>
      <c r="Z786" s="336"/>
      <c r="AA786" s="336"/>
      <c r="AB786" s="336"/>
      <c r="AC786" s="336"/>
      <c r="AD786" s="336"/>
      <c r="AE786"/>
      <c r="AF786" s="336"/>
      <c r="AG786" s="336"/>
      <c r="AH786" s="336"/>
      <c r="AI786" s="336"/>
      <c r="AJ786" s="336"/>
      <c r="AK786" s="336"/>
      <c r="AL786" s="336"/>
      <c r="AM786" s="336"/>
      <c r="AN786" s="336"/>
      <c r="AO786" s="336"/>
      <c r="AP786" s="336"/>
      <c r="AQ786" s="336"/>
      <c r="AR786" s="336"/>
      <c r="AS786" s="336"/>
      <c r="AT786" s="336"/>
    </row>
    <row r="787" spans="1:46" ht="14.45">
      <c r="A787" s="336"/>
      <c r="B787" s="336"/>
      <c r="C787" s="336"/>
      <c r="D787" s="336"/>
      <c r="E787" s="336"/>
      <c r="F787" s="336"/>
      <c r="G787" s="336"/>
      <c r="H787" s="336"/>
      <c r="I787" s="336"/>
      <c r="J787" s="336"/>
      <c r="K787" s="415"/>
      <c r="L787" s="336"/>
      <c r="M787" s="336"/>
      <c r="N787" s="336"/>
      <c r="O787" s="416"/>
      <c r="P787" s="336"/>
      <c r="Q787" s="415"/>
      <c r="R787" s="336"/>
      <c r="S787" s="336"/>
      <c r="T787" s="336"/>
      <c r="U787" s="336"/>
      <c r="V787" s="336"/>
      <c r="W787" s="336"/>
      <c r="X787" s="336"/>
      <c r="Y787" s="336"/>
      <c r="Z787" s="336"/>
      <c r="AA787" s="336"/>
      <c r="AB787" s="336"/>
      <c r="AC787" s="336"/>
      <c r="AD787" s="336"/>
      <c r="AE787"/>
      <c r="AF787" s="336"/>
      <c r="AG787" s="336"/>
      <c r="AH787" s="336"/>
      <c r="AI787" s="336"/>
      <c r="AJ787" s="336"/>
      <c r="AK787" s="336"/>
      <c r="AL787" s="336"/>
      <c r="AM787" s="336"/>
      <c r="AN787" s="336"/>
      <c r="AO787" s="336"/>
      <c r="AP787" s="336"/>
      <c r="AQ787" s="336"/>
      <c r="AR787" s="336"/>
      <c r="AS787" s="336"/>
      <c r="AT787" s="336"/>
    </row>
    <row r="788" spans="1:46" ht="14.45">
      <c r="A788" s="336"/>
      <c r="B788" s="336"/>
      <c r="C788" s="336"/>
      <c r="D788" s="336"/>
      <c r="E788" s="336"/>
      <c r="F788" s="336"/>
      <c r="G788" s="336"/>
      <c r="H788" s="336"/>
      <c r="I788" s="336"/>
      <c r="J788" s="336"/>
      <c r="K788" s="415"/>
      <c r="L788" s="336"/>
      <c r="M788" s="336"/>
      <c r="N788" s="336"/>
      <c r="O788" s="416"/>
      <c r="P788" s="336"/>
      <c r="Q788" s="415"/>
      <c r="R788" s="336"/>
      <c r="S788" s="336"/>
      <c r="T788" s="336"/>
      <c r="U788" s="336"/>
      <c r="V788" s="336"/>
      <c r="W788" s="336"/>
      <c r="X788" s="336"/>
      <c r="Y788" s="336"/>
      <c r="Z788" s="336"/>
      <c r="AA788" s="336"/>
      <c r="AB788" s="336"/>
      <c r="AC788" s="336"/>
      <c r="AD788" s="336"/>
      <c r="AE788"/>
      <c r="AF788" s="336"/>
      <c r="AG788" s="336"/>
      <c r="AH788" s="336"/>
      <c r="AI788" s="336"/>
      <c r="AJ788" s="336"/>
      <c r="AK788" s="336"/>
      <c r="AL788" s="336"/>
      <c r="AM788" s="336"/>
      <c r="AN788" s="336"/>
      <c r="AO788" s="336"/>
      <c r="AP788" s="336"/>
      <c r="AQ788" s="336"/>
      <c r="AR788" s="336"/>
      <c r="AS788" s="336"/>
      <c r="AT788" s="336"/>
    </row>
    <row r="789" spans="1:46" ht="14.45">
      <c r="A789" s="336"/>
      <c r="B789" s="336"/>
      <c r="C789" s="336"/>
      <c r="D789" s="336"/>
      <c r="E789" s="336"/>
      <c r="F789" s="336"/>
      <c r="G789" s="336"/>
      <c r="H789" s="336"/>
      <c r="I789" s="336"/>
      <c r="J789" s="336"/>
      <c r="K789" s="415"/>
      <c r="L789" s="336"/>
      <c r="M789" s="336"/>
      <c r="N789" s="336"/>
      <c r="O789" s="416"/>
      <c r="P789" s="336"/>
      <c r="Q789" s="415"/>
      <c r="R789" s="336"/>
      <c r="S789" s="336"/>
      <c r="T789" s="336"/>
      <c r="U789" s="336"/>
      <c r="V789" s="336"/>
      <c r="W789" s="336"/>
      <c r="X789" s="336"/>
      <c r="Y789" s="336"/>
      <c r="Z789" s="336"/>
      <c r="AA789" s="336"/>
      <c r="AB789" s="336"/>
      <c r="AC789" s="336"/>
      <c r="AD789" s="336"/>
      <c r="AE789"/>
      <c r="AF789" s="336"/>
      <c r="AG789" s="336"/>
      <c r="AH789" s="336"/>
      <c r="AI789" s="336"/>
      <c r="AJ789" s="336"/>
      <c r="AK789" s="336"/>
      <c r="AL789" s="336"/>
      <c r="AM789" s="336"/>
      <c r="AN789" s="336"/>
      <c r="AO789" s="336"/>
      <c r="AP789" s="336"/>
      <c r="AQ789" s="336"/>
      <c r="AR789" s="336"/>
      <c r="AS789" s="336"/>
      <c r="AT789" s="336"/>
    </row>
    <row r="790" spans="1:46" ht="14.45">
      <c r="A790" s="336"/>
      <c r="B790" s="336"/>
      <c r="C790" s="336"/>
      <c r="D790" s="336"/>
      <c r="E790" s="336"/>
      <c r="F790" s="336"/>
      <c r="G790" s="336"/>
      <c r="H790" s="336"/>
      <c r="I790" s="336"/>
      <c r="J790" s="336"/>
      <c r="K790" s="415"/>
      <c r="L790" s="336"/>
      <c r="M790" s="336"/>
      <c r="N790" s="336"/>
      <c r="O790" s="416"/>
      <c r="P790" s="336"/>
      <c r="Q790" s="415"/>
      <c r="R790" s="336"/>
      <c r="S790" s="336"/>
      <c r="T790" s="336"/>
      <c r="U790" s="336"/>
      <c r="V790" s="336"/>
      <c r="W790" s="336"/>
      <c r="X790" s="336"/>
      <c r="Y790" s="336"/>
      <c r="Z790" s="336"/>
      <c r="AA790" s="336"/>
      <c r="AB790" s="336"/>
      <c r="AC790" s="336"/>
      <c r="AD790" s="336"/>
      <c r="AE790"/>
      <c r="AF790" s="336"/>
      <c r="AG790" s="336"/>
      <c r="AH790" s="336"/>
      <c r="AI790" s="336"/>
      <c r="AJ790" s="336"/>
      <c r="AK790" s="336"/>
      <c r="AL790" s="336"/>
      <c r="AM790" s="336"/>
      <c r="AN790" s="336"/>
      <c r="AO790" s="336"/>
      <c r="AP790" s="336"/>
      <c r="AQ790" s="336"/>
      <c r="AR790" s="336"/>
      <c r="AS790" s="336"/>
      <c r="AT790" s="336"/>
    </row>
    <row r="791" spans="1:46" ht="14.45">
      <c r="A791" s="336"/>
      <c r="B791" s="336"/>
      <c r="C791" s="336"/>
      <c r="D791" s="336"/>
      <c r="E791" s="336"/>
      <c r="F791" s="336"/>
      <c r="G791" s="336"/>
      <c r="H791" s="336"/>
      <c r="I791" s="336"/>
      <c r="J791" s="336"/>
      <c r="K791" s="415"/>
      <c r="L791" s="336"/>
      <c r="M791" s="336"/>
      <c r="N791" s="336"/>
      <c r="O791" s="416"/>
      <c r="P791" s="336"/>
      <c r="Q791" s="415"/>
      <c r="R791" s="336"/>
      <c r="S791" s="336"/>
      <c r="T791" s="336"/>
      <c r="U791" s="336"/>
      <c r="V791" s="336"/>
      <c r="W791" s="336"/>
      <c r="X791" s="336"/>
      <c r="Y791" s="336"/>
      <c r="Z791" s="336"/>
      <c r="AA791" s="336"/>
      <c r="AB791" s="336"/>
      <c r="AC791" s="336"/>
      <c r="AD791" s="336"/>
      <c r="AE791"/>
      <c r="AF791" s="336"/>
      <c r="AG791" s="336"/>
      <c r="AH791" s="336"/>
      <c r="AI791" s="336"/>
      <c r="AJ791" s="336"/>
      <c r="AK791" s="336"/>
      <c r="AL791" s="336"/>
      <c r="AM791" s="336"/>
      <c r="AN791" s="336"/>
      <c r="AO791" s="336"/>
      <c r="AP791" s="336"/>
      <c r="AQ791" s="336"/>
      <c r="AR791" s="336"/>
      <c r="AS791" s="336"/>
      <c r="AT791" s="336"/>
    </row>
    <row r="792" spans="1:46" ht="14.45">
      <c r="A792" s="336"/>
      <c r="B792" s="336"/>
      <c r="C792" s="336"/>
      <c r="D792" s="336"/>
      <c r="E792" s="336"/>
      <c r="F792" s="336"/>
      <c r="G792" s="336"/>
      <c r="H792" s="336"/>
      <c r="I792" s="336"/>
      <c r="J792" s="336"/>
      <c r="K792" s="415"/>
      <c r="L792" s="336"/>
      <c r="M792" s="336"/>
      <c r="N792" s="336"/>
      <c r="O792" s="416"/>
      <c r="P792" s="336"/>
      <c r="Q792" s="415"/>
      <c r="R792" s="336"/>
      <c r="S792" s="336"/>
      <c r="T792" s="336"/>
      <c r="U792" s="336"/>
      <c r="V792" s="336"/>
      <c r="W792" s="336"/>
      <c r="X792" s="336"/>
      <c r="Y792" s="336"/>
      <c r="Z792" s="336"/>
      <c r="AA792" s="336"/>
      <c r="AB792" s="336"/>
      <c r="AC792" s="336"/>
      <c r="AD792" s="336"/>
      <c r="AE792"/>
      <c r="AF792" s="336"/>
      <c r="AG792" s="336"/>
      <c r="AH792" s="336"/>
      <c r="AI792" s="336"/>
      <c r="AJ792" s="336"/>
      <c r="AK792" s="336"/>
      <c r="AL792" s="336"/>
      <c r="AM792" s="336"/>
      <c r="AN792" s="336"/>
      <c r="AO792" s="336"/>
      <c r="AP792" s="336"/>
      <c r="AQ792" s="336"/>
      <c r="AR792" s="336"/>
      <c r="AS792" s="336"/>
      <c r="AT792" s="336"/>
    </row>
    <row r="793" spans="1:46" ht="14.45">
      <c r="A793" s="336"/>
      <c r="B793" s="336"/>
      <c r="C793" s="336"/>
      <c r="D793" s="336"/>
      <c r="E793" s="336"/>
      <c r="F793" s="336"/>
      <c r="G793" s="336"/>
      <c r="H793" s="336"/>
      <c r="I793" s="336"/>
      <c r="J793" s="336"/>
      <c r="K793" s="415"/>
      <c r="L793" s="336"/>
      <c r="M793" s="336"/>
      <c r="N793" s="336"/>
      <c r="O793" s="416"/>
      <c r="P793" s="336"/>
      <c r="Q793" s="415"/>
      <c r="R793" s="336"/>
      <c r="S793" s="336"/>
      <c r="T793" s="336"/>
      <c r="U793" s="336"/>
      <c r="V793" s="336"/>
      <c r="W793" s="336"/>
      <c r="X793" s="336"/>
      <c r="Y793" s="336"/>
      <c r="Z793" s="336"/>
      <c r="AA793" s="336"/>
      <c r="AB793" s="336"/>
      <c r="AC793" s="336"/>
      <c r="AD793" s="336"/>
      <c r="AE793"/>
      <c r="AF793" s="336"/>
      <c r="AG793" s="336"/>
      <c r="AH793" s="336"/>
      <c r="AI793" s="336"/>
      <c r="AJ793" s="336"/>
      <c r="AK793" s="336"/>
      <c r="AL793" s="336"/>
      <c r="AM793" s="336"/>
      <c r="AN793" s="336"/>
      <c r="AO793" s="336"/>
      <c r="AP793" s="336"/>
      <c r="AQ793" s="336"/>
      <c r="AR793" s="336"/>
      <c r="AS793" s="336"/>
      <c r="AT793" s="336"/>
    </row>
    <row r="794" spans="1:46" ht="14.45">
      <c r="A794" s="336"/>
      <c r="B794" s="336"/>
      <c r="C794" s="336"/>
      <c r="D794" s="336"/>
      <c r="E794" s="336"/>
      <c r="F794" s="336"/>
      <c r="G794" s="336"/>
      <c r="H794" s="336"/>
      <c r="I794" s="336"/>
      <c r="J794" s="336"/>
      <c r="K794" s="415"/>
      <c r="L794" s="336"/>
      <c r="M794" s="336"/>
      <c r="N794" s="336"/>
      <c r="O794" s="416"/>
      <c r="P794" s="336"/>
      <c r="Q794" s="415"/>
      <c r="R794" s="336"/>
      <c r="S794" s="336"/>
      <c r="T794" s="336"/>
      <c r="U794" s="336"/>
      <c r="V794" s="336"/>
      <c r="W794" s="336"/>
      <c r="X794" s="336"/>
      <c r="Y794" s="336"/>
      <c r="Z794" s="336"/>
      <c r="AA794" s="336"/>
      <c r="AB794" s="336"/>
      <c r="AC794" s="336"/>
      <c r="AD794" s="336"/>
      <c r="AE794"/>
      <c r="AF794" s="336"/>
      <c r="AG794" s="336"/>
      <c r="AH794" s="336"/>
      <c r="AI794" s="336"/>
      <c r="AJ794" s="336"/>
      <c r="AK794" s="336"/>
      <c r="AL794" s="336"/>
      <c r="AM794" s="336"/>
      <c r="AN794" s="336"/>
      <c r="AO794" s="336"/>
      <c r="AP794" s="336"/>
      <c r="AQ794" s="336"/>
      <c r="AR794" s="336"/>
      <c r="AS794" s="336"/>
      <c r="AT794" s="336"/>
    </row>
    <row r="795" spans="1:46" ht="14.45">
      <c r="A795" s="336"/>
      <c r="B795" s="336"/>
      <c r="C795" s="336"/>
      <c r="D795" s="336"/>
      <c r="E795" s="336"/>
      <c r="F795" s="336"/>
      <c r="G795" s="336"/>
      <c r="H795" s="336"/>
      <c r="I795" s="336"/>
      <c r="J795" s="336"/>
      <c r="K795" s="415"/>
      <c r="L795" s="336"/>
      <c r="M795" s="336"/>
      <c r="N795" s="336"/>
      <c r="O795" s="416"/>
      <c r="P795" s="336"/>
      <c r="Q795" s="415"/>
      <c r="R795" s="336"/>
      <c r="S795" s="336"/>
      <c r="T795" s="336"/>
      <c r="U795" s="336"/>
      <c r="V795" s="336"/>
      <c r="W795" s="336"/>
      <c r="X795" s="336"/>
      <c r="Y795" s="336"/>
      <c r="Z795" s="336"/>
      <c r="AA795" s="336"/>
      <c r="AB795" s="336"/>
      <c r="AC795" s="336"/>
      <c r="AD795" s="336"/>
      <c r="AE795"/>
      <c r="AF795" s="336"/>
      <c r="AG795" s="336"/>
      <c r="AH795" s="336"/>
      <c r="AI795" s="336"/>
      <c r="AJ795" s="336"/>
      <c r="AK795" s="336"/>
      <c r="AL795" s="336"/>
      <c r="AM795" s="336"/>
      <c r="AN795" s="336"/>
      <c r="AO795" s="336"/>
      <c r="AP795" s="336"/>
      <c r="AQ795" s="336"/>
      <c r="AR795" s="336"/>
      <c r="AS795" s="336"/>
      <c r="AT795" s="336"/>
    </row>
    <row r="796" spans="1:46" ht="14.45">
      <c r="A796" s="336"/>
      <c r="B796" s="336"/>
      <c r="C796" s="336"/>
      <c r="D796" s="336"/>
      <c r="E796" s="336"/>
      <c r="F796" s="336"/>
      <c r="G796" s="336"/>
      <c r="H796" s="336"/>
      <c r="I796" s="336"/>
      <c r="J796" s="336"/>
      <c r="K796" s="415"/>
      <c r="L796" s="336"/>
      <c r="M796" s="336"/>
      <c r="N796" s="336"/>
      <c r="O796" s="416"/>
      <c r="P796" s="336"/>
      <c r="Q796" s="415"/>
      <c r="R796" s="336"/>
      <c r="S796" s="336"/>
      <c r="T796" s="336"/>
      <c r="U796" s="336"/>
      <c r="V796" s="336"/>
      <c r="W796" s="336"/>
      <c r="X796" s="336"/>
      <c r="Y796" s="336"/>
      <c r="Z796" s="336"/>
      <c r="AA796" s="336"/>
      <c r="AB796" s="336"/>
      <c r="AC796" s="336"/>
      <c r="AD796" s="336"/>
      <c r="AE796"/>
      <c r="AF796" s="336"/>
      <c r="AG796" s="336"/>
      <c r="AH796" s="336"/>
      <c r="AI796" s="336"/>
      <c r="AJ796" s="336"/>
      <c r="AK796" s="336"/>
      <c r="AL796" s="336"/>
      <c r="AM796" s="336"/>
      <c r="AN796" s="336"/>
      <c r="AO796" s="336"/>
      <c r="AP796" s="336"/>
      <c r="AQ796" s="336"/>
      <c r="AR796" s="336"/>
      <c r="AS796" s="336"/>
      <c r="AT796" s="336"/>
    </row>
    <row r="797" spans="1:46" ht="14.45">
      <c r="A797" s="336"/>
      <c r="B797" s="336"/>
      <c r="C797" s="336"/>
      <c r="D797" s="336"/>
      <c r="E797" s="336"/>
      <c r="F797" s="336"/>
      <c r="G797" s="336"/>
      <c r="H797" s="336"/>
      <c r="I797" s="336"/>
      <c r="J797" s="336"/>
      <c r="K797" s="415"/>
      <c r="L797" s="336"/>
      <c r="M797" s="336"/>
      <c r="N797" s="336"/>
      <c r="O797" s="416"/>
      <c r="P797" s="336"/>
      <c r="Q797" s="415"/>
      <c r="R797" s="336"/>
      <c r="S797" s="336"/>
      <c r="T797" s="336"/>
      <c r="U797" s="336"/>
      <c r="V797" s="336"/>
      <c r="W797" s="336"/>
      <c r="X797" s="336"/>
      <c r="Y797" s="336"/>
      <c r="Z797" s="336"/>
      <c r="AA797" s="336"/>
      <c r="AB797" s="336"/>
      <c r="AC797" s="336"/>
      <c r="AD797" s="336"/>
      <c r="AE797"/>
      <c r="AF797" s="336"/>
      <c r="AG797" s="336"/>
      <c r="AH797" s="336"/>
      <c r="AI797" s="336"/>
      <c r="AJ797" s="336"/>
      <c r="AK797" s="336"/>
      <c r="AL797" s="336"/>
      <c r="AM797" s="336"/>
      <c r="AN797" s="336"/>
      <c r="AO797" s="336"/>
      <c r="AP797" s="336"/>
      <c r="AQ797" s="336"/>
      <c r="AR797" s="336"/>
      <c r="AS797" s="336"/>
      <c r="AT797" s="336"/>
    </row>
    <row r="798" spans="1:46" ht="14.45">
      <c r="A798" s="336"/>
      <c r="B798" s="336"/>
      <c r="C798" s="336"/>
      <c r="D798" s="336"/>
      <c r="E798" s="336"/>
      <c r="F798" s="336"/>
      <c r="G798" s="336"/>
      <c r="H798" s="336"/>
      <c r="I798" s="336"/>
      <c r="J798" s="336"/>
      <c r="K798" s="415"/>
      <c r="L798" s="336"/>
      <c r="M798" s="336"/>
      <c r="N798" s="336"/>
      <c r="O798" s="416"/>
      <c r="P798" s="336"/>
      <c r="Q798" s="415"/>
      <c r="R798" s="336"/>
      <c r="S798" s="336"/>
      <c r="T798" s="336"/>
      <c r="U798" s="336"/>
      <c r="V798" s="336"/>
      <c r="W798" s="336"/>
      <c r="X798" s="336"/>
      <c r="Y798" s="336"/>
      <c r="Z798" s="336"/>
      <c r="AA798" s="336"/>
      <c r="AB798" s="336"/>
      <c r="AC798" s="336"/>
      <c r="AD798" s="336"/>
      <c r="AE798"/>
      <c r="AF798" s="336"/>
      <c r="AG798" s="336"/>
      <c r="AH798" s="336"/>
      <c r="AI798" s="336"/>
      <c r="AJ798" s="336"/>
      <c r="AK798" s="336"/>
      <c r="AL798" s="336"/>
      <c r="AM798" s="336"/>
      <c r="AN798" s="336"/>
      <c r="AO798" s="336"/>
      <c r="AP798" s="336"/>
      <c r="AQ798" s="336"/>
      <c r="AR798" s="336"/>
      <c r="AS798" s="336"/>
      <c r="AT798" s="336"/>
    </row>
    <row r="799" spans="1:46" ht="14.45">
      <c r="A799" s="336"/>
      <c r="B799" s="336"/>
      <c r="C799" s="336"/>
      <c r="D799" s="336"/>
      <c r="E799" s="336"/>
      <c r="F799" s="336"/>
      <c r="G799" s="336"/>
      <c r="H799" s="336"/>
      <c r="I799" s="336"/>
      <c r="J799" s="336"/>
      <c r="K799" s="415"/>
      <c r="L799" s="336"/>
      <c r="M799" s="336"/>
      <c r="N799" s="336"/>
      <c r="O799" s="416"/>
      <c r="P799" s="336"/>
      <c r="Q799" s="415"/>
      <c r="R799" s="336"/>
      <c r="S799" s="336"/>
      <c r="T799" s="336"/>
      <c r="U799" s="336"/>
      <c r="V799" s="336"/>
      <c r="W799" s="336"/>
      <c r="X799" s="336"/>
      <c r="Y799" s="336"/>
      <c r="Z799" s="336"/>
      <c r="AA799" s="336"/>
      <c r="AB799" s="336"/>
      <c r="AC799" s="336"/>
      <c r="AD799" s="336"/>
      <c r="AE799"/>
      <c r="AF799" s="336"/>
      <c r="AG799" s="336"/>
      <c r="AH799" s="336"/>
      <c r="AI799" s="336"/>
      <c r="AJ799" s="336"/>
      <c r="AK799" s="336"/>
      <c r="AL799" s="336"/>
      <c r="AM799" s="336"/>
      <c r="AN799" s="336"/>
      <c r="AO799" s="336"/>
      <c r="AP799" s="336"/>
      <c r="AQ799" s="336"/>
      <c r="AR799" s="336"/>
      <c r="AS799" s="336"/>
      <c r="AT799" s="336"/>
    </row>
    <row r="800" spans="1:46" ht="14.45">
      <c r="A800" s="336"/>
      <c r="B800" s="336"/>
      <c r="C800" s="336"/>
      <c r="D800" s="336"/>
      <c r="E800" s="336"/>
      <c r="F800" s="336"/>
      <c r="G800" s="336"/>
      <c r="H800" s="336"/>
      <c r="I800" s="336"/>
      <c r="J800" s="336"/>
      <c r="K800" s="415"/>
      <c r="L800" s="336"/>
      <c r="M800" s="336"/>
      <c r="N800" s="336"/>
      <c r="O800" s="416"/>
      <c r="P800" s="336"/>
      <c r="Q800" s="415"/>
      <c r="R800" s="336"/>
      <c r="S800" s="336"/>
      <c r="T800" s="336"/>
      <c r="U800" s="336"/>
      <c r="V800" s="336"/>
      <c r="W800" s="336"/>
      <c r="X800" s="336"/>
      <c r="Y800" s="336"/>
      <c r="Z800" s="336"/>
      <c r="AA800" s="336"/>
      <c r="AB800" s="336"/>
      <c r="AC800" s="336"/>
      <c r="AD800" s="336"/>
      <c r="AE800"/>
      <c r="AF800" s="336"/>
      <c r="AG800" s="336"/>
      <c r="AH800" s="336"/>
      <c r="AI800" s="336"/>
      <c r="AJ800" s="336"/>
      <c r="AK800" s="336"/>
      <c r="AL800" s="336"/>
      <c r="AM800" s="336"/>
      <c r="AN800" s="336"/>
      <c r="AO800" s="336"/>
      <c r="AP800" s="336"/>
      <c r="AQ800" s="336"/>
      <c r="AR800" s="336"/>
      <c r="AS800" s="336"/>
      <c r="AT800" s="336"/>
    </row>
    <row r="801" spans="1:46" ht="14.45">
      <c r="A801" s="336"/>
      <c r="B801" s="336"/>
      <c r="C801" s="336"/>
      <c r="D801" s="336"/>
      <c r="E801" s="336"/>
      <c r="F801" s="336"/>
      <c r="G801" s="336"/>
      <c r="H801" s="336"/>
      <c r="I801" s="336"/>
      <c r="J801" s="336"/>
      <c r="K801" s="415"/>
      <c r="L801" s="336"/>
      <c r="M801" s="336"/>
      <c r="N801" s="336"/>
      <c r="O801" s="416"/>
      <c r="P801" s="336"/>
      <c r="Q801" s="415"/>
      <c r="R801" s="336"/>
      <c r="S801" s="336"/>
      <c r="T801" s="336"/>
      <c r="U801" s="336"/>
      <c r="V801" s="336"/>
      <c r="W801" s="336"/>
      <c r="X801" s="336"/>
      <c r="Y801" s="336"/>
      <c r="Z801" s="336"/>
      <c r="AA801" s="336"/>
      <c r="AB801" s="336"/>
      <c r="AC801" s="336"/>
      <c r="AD801" s="336"/>
      <c r="AE801"/>
      <c r="AF801" s="336"/>
      <c r="AG801" s="336"/>
      <c r="AH801" s="336"/>
      <c r="AI801" s="336"/>
      <c r="AJ801" s="336"/>
      <c r="AK801" s="336"/>
      <c r="AL801" s="336"/>
      <c r="AM801" s="336"/>
      <c r="AN801" s="336"/>
      <c r="AO801" s="336"/>
      <c r="AP801" s="336"/>
      <c r="AQ801" s="336"/>
      <c r="AR801" s="336"/>
      <c r="AS801" s="336"/>
      <c r="AT801" s="336"/>
    </row>
    <row r="802" spans="1:46" ht="14.45">
      <c r="A802" s="336"/>
      <c r="B802" s="336"/>
      <c r="C802" s="336"/>
      <c r="D802" s="336"/>
      <c r="E802" s="336"/>
      <c r="F802" s="336"/>
      <c r="G802" s="336"/>
      <c r="H802" s="336"/>
      <c r="I802" s="336"/>
      <c r="J802" s="336"/>
      <c r="K802" s="415"/>
      <c r="L802" s="336"/>
      <c r="M802" s="336"/>
      <c r="N802" s="336"/>
      <c r="O802" s="416"/>
      <c r="P802" s="336"/>
      <c r="Q802" s="415"/>
      <c r="R802" s="336"/>
      <c r="S802" s="336"/>
      <c r="T802" s="336"/>
      <c r="U802" s="336"/>
      <c r="V802" s="336"/>
      <c r="W802" s="336"/>
      <c r="X802" s="336"/>
      <c r="Y802" s="336"/>
      <c r="Z802" s="336"/>
      <c r="AA802" s="336"/>
      <c r="AB802" s="336"/>
      <c r="AC802" s="336"/>
      <c r="AD802" s="336"/>
      <c r="AE802"/>
      <c r="AF802" s="336"/>
      <c r="AG802" s="336"/>
      <c r="AH802" s="336"/>
      <c r="AI802" s="336"/>
      <c r="AJ802" s="336"/>
      <c r="AK802" s="336"/>
      <c r="AL802" s="336"/>
      <c r="AM802" s="336"/>
      <c r="AN802" s="336"/>
      <c r="AO802" s="336"/>
      <c r="AP802" s="336"/>
      <c r="AQ802" s="336"/>
      <c r="AR802" s="336"/>
      <c r="AS802" s="336"/>
      <c r="AT802" s="336"/>
    </row>
    <row r="803" spans="1:46" ht="14.45">
      <c r="A803" s="336"/>
      <c r="B803" s="336"/>
      <c r="C803" s="336"/>
      <c r="D803" s="336"/>
      <c r="E803" s="336"/>
      <c r="F803" s="336"/>
      <c r="G803" s="336"/>
      <c r="H803" s="336"/>
      <c r="I803" s="336"/>
      <c r="J803" s="336"/>
      <c r="K803" s="415"/>
      <c r="L803" s="336"/>
      <c r="M803" s="336"/>
      <c r="N803" s="336"/>
      <c r="O803" s="416"/>
      <c r="P803" s="336"/>
      <c r="Q803" s="415"/>
      <c r="R803" s="336"/>
      <c r="S803" s="336"/>
      <c r="T803" s="336"/>
      <c r="U803" s="336"/>
      <c r="V803" s="336"/>
      <c r="W803" s="336"/>
      <c r="X803" s="336"/>
      <c r="Y803" s="336"/>
      <c r="Z803" s="336"/>
      <c r="AA803" s="336"/>
      <c r="AB803" s="336"/>
      <c r="AC803" s="336"/>
      <c r="AD803" s="336"/>
      <c r="AE803"/>
      <c r="AF803" s="336"/>
      <c r="AG803" s="336"/>
      <c r="AH803" s="336"/>
      <c r="AI803" s="336"/>
      <c r="AJ803" s="336"/>
      <c r="AK803" s="336"/>
      <c r="AL803" s="336"/>
      <c r="AM803" s="336"/>
      <c r="AN803" s="336"/>
      <c r="AO803" s="336"/>
      <c r="AP803" s="336"/>
      <c r="AQ803" s="336"/>
      <c r="AR803" s="336"/>
      <c r="AS803" s="336"/>
      <c r="AT803" s="336"/>
    </row>
    <row r="804" spans="1:46" ht="14.45">
      <c r="A804" s="336"/>
      <c r="B804" s="336"/>
      <c r="C804" s="336"/>
      <c r="D804" s="336"/>
      <c r="E804" s="336"/>
      <c r="F804" s="336"/>
      <c r="G804" s="336"/>
      <c r="H804" s="336"/>
      <c r="I804" s="336"/>
      <c r="J804" s="336"/>
      <c r="K804" s="415"/>
      <c r="L804" s="336"/>
      <c r="M804" s="336"/>
      <c r="N804" s="336"/>
      <c r="O804" s="416"/>
      <c r="P804" s="336"/>
      <c r="Q804" s="415"/>
      <c r="R804" s="336"/>
      <c r="S804" s="336"/>
      <c r="T804" s="336"/>
      <c r="U804" s="336"/>
      <c r="V804" s="336"/>
      <c r="W804" s="336"/>
      <c r="X804" s="336"/>
      <c r="Y804" s="336"/>
      <c r="Z804" s="336"/>
      <c r="AA804" s="336"/>
      <c r="AB804" s="336"/>
      <c r="AC804" s="336"/>
      <c r="AD804" s="336"/>
      <c r="AE804"/>
      <c r="AF804" s="336"/>
      <c r="AG804" s="336"/>
      <c r="AH804" s="336"/>
      <c r="AI804" s="336"/>
      <c r="AJ804" s="336"/>
      <c r="AK804" s="336"/>
      <c r="AL804" s="336"/>
      <c r="AM804" s="336"/>
      <c r="AN804" s="336"/>
      <c r="AO804" s="336"/>
      <c r="AP804" s="336"/>
      <c r="AQ804" s="336"/>
      <c r="AR804" s="336"/>
      <c r="AS804" s="336"/>
      <c r="AT804" s="336"/>
    </row>
    <row r="805" spans="1:46" ht="14.45">
      <c r="A805" s="336"/>
      <c r="B805" s="336"/>
      <c r="C805" s="336"/>
      <c r="D805" s="336"/>
      <c r="E805" s="336"/>
      <c r="F805" s="336"/>
      <c r="G805" s="336"/>
      <c r="H805" s="336"/>
      <c r="I805" s="336"/>
      <c r="J805" s="336"/>
      <c r="K805" s="415"/>
      <c r="L805" s="336"/>
      <c r="M805" s="336"/>
      <c r="N805" s="336"/>
      <c r="O805" s="416"/>
      <c r="P805" s="336"/>
      <c r="Q805" s="415"/>
      <c r="R805" s="336"/>
      <c r="S805" s="336"/>
      <c r="T805" s="336"/>
      <c r="U805" s="336"/>
      <c r="V805" s="336"/>
      <c r="W805" s="336"/>
      <c r="X805" s="336"/>
      <c r="Y805" s="336"/>
      <c r="Z805" s="336"/>
      <c r="AA805" s="336"/>
      <c r="AB805" s="336"/>
      <c r="AC805" s="336"/>
      <c r="AD805" s="336"/>
      <c r="AE805"/>
      <c r="AF805" s="336"/>
      <c r="AG805" s="336"/>
      <c r="AH805" s="336"/>
      <c r="AI805" s="336"/>
      <c r="AJ805" s="336"/>
      <c r="AK805" s="336"/>
      <c r="AL805" s="336"/>
      <c r="AM805" s="336"/>
      <c r="AN805" s="336"/>
      <c r="AO805" s="336"/>
      <c r="AP805" s="336"/>
      <c r="AQ805" s="336"/>
      <c r="AR805" s="336"/>
      <c r="AS805" s="336"/>
      <c r="AT805" s="336"/>
    </row>
    <row r="806" spans="1:46" ht="14.45">
      <c r="A806" s="336"/>
      <c r="B806" s="336"/>
      <c r="C806" s="336"/>
      <c r="D806" s="336"/>
      <c r="E806" s="336"/>
      <c r="F806" s="336"/>
      <c r="G806" s="336"/>
      <c r="H806" s="336"/>
      <c r="I806" s="336"/>
      <c r="J806" s="336"/>
      <c r="K806" s="415"/>
      <c r="L806" s="336"/>
      <c r="M806" s="336"/>
      <c r="N806" s="336"/>
      <c r="O806" s="416"/>
      <c r="P806" s="336"/>
      <c r="Q806" s="415"/>
      <c r="R806" s="336"/>
      <c r="S806" s="336"/>
      <c r="T806" s="336"/>
      <c r="U806" s="336"/>
      <c r="V806" s="336"/>
      <c r="W806" s="336"/>
      <c r="X806" s="336"/>
      <c r="Y806" s="336"/>
      <c r="Z806" s="336"/>
      <c r="AA806" s="336"/>
      <c r="AB806" s="336"/>
      <c r="AC806" s="336"/>
      <c r="AD806" s="336"/>
      <c r="AE806"/>
      <c r="AF806" s="336"/>
      <c r="AG806" s="336"/>
      <c r="AH806" s="336"/>
      <c r="AI806" s="336"/>
      <c r="AJ806" s="336"/>
      <c r="AK806" s="336"/>
      <c r="AL806" s="336"/>
      <c r="AM806" s="336"/>
      <c r="AN806" s="336"/>
      <c r="AO806" s="336"/>
      <c r="AP806" s="336"/>
      <c r="AQ806" s="336"/>
      <c r="AR806" s="336"/>
      <c r="AS806" s="336"/>
      <c r="AT806" s="336"/>
    </row>
    <row r="807" spans="1:46" ht="14.45">
      <c r="A807" s="336"/>
      <c r="B807" s="336"/>
      <c r="C807" s="336"/>
      <c r="D807" s="336"/>
      <c r="E807" s="336"/>
      <c r="F807" s="336"/>
      <c r="G807" s="336"/>
      <c r="H807" s="336"/>
      <c r="I807" s="336"/>
      <c r="J807" s="336"/>
      <c r="K807" s="415"/>
      <c r="L807" s="336"/>
      <c r="M807" s="336"/>
      <c r="N807" s="336"/>
      <c r="O807" s="416"/>
      <c r="P807" s="336"/>
      <c r="Q807" s="415"/>
      <c r="R807" s="336"/>
      <c r="S807" s="336"/>
      <c r="T807" s="336"/>
      <c r="U807" s="336"/>
      <c r="V807" s="336"/>
      <c r="W807" s="336"/>
      <c r="X807" s="336"/>
      <c r="Y807" s="336"/>
      <c r="Z807" s="336"/>
      <c r="AA807" s="336"/>
      <c r="AB807" s="336"/>
      <c r="AC807" s="336"/>
      <c r="AD807" s="336"/>
      <c r="AE807"/>
      <c r="AF807" s="336"/>
      <c r="AG807" s="336"/>
      <c r="AH807" s="336"/>
      <c r="AI807" s="336"/>
      <c r="AJ807" s="336"/>
      <c r="AK807" s="336"/>
      <c r="AL807" s="336"/>
      <c r="AM807" s="336"/>
      <c r="AN807" s="336"/>
      <c r="AO807" s="336"/>
      <c r="AP807" s="336"/>
      <c r="AQ807" s="336"/>
      <c r="AR807" s="336"/>
      <c r="AS807" s="336"/>
      <c r="AT807" s="336"/>
    </row>
    <row r="808" spans="1:46" ht="14.45">
      <c r="A808" s="336"/>
      <c r="B808" s="336"/>
      <c r="C808" s="336"/>
      <c r="D808" s="336"/>
      <c r="E808" s="336"/>
      <c r="F808" s="336"/>
      <c r="G808" s="336"/>
      <c r="H808" s="336"/>
      <c r="I808" s="336"/>
      <c r="J808" s="336"/>
      <c r="K808" s="415"/>
      <c r="L808" s="336"/>
      <c r="M808" s="336"/>
      <c r="N808" s="336"/>
      <c r="O808" s="416"/>
      <c r="P808" s="336"/>
      <c r="Q808" s="415"/>
      <c r="R808" s="336"/>
      <c r="S808" s="336"/>
      <c r="T808" s="336"/>
      <c r="U808" s="336"/>
      <c r="V808" s="336"/>
      <c r="W808" s="336"/>
      <c r="X808" s="336"/>
      <c r="Y808" s="336"/>
      <c r="Z808" s="336"/>
      <c r="AA808" s="336"/>
      <c r="AB808" s="336"/>
      <c r="AC808" s="336"/>
      <c r="AD808" s="336"/>
      <c r="AE808"/>
      <c r="AF808" s="336"/>
      <c r="AG808" s="336"/>
      <c r="AH808" s="336"/>
      <c r="AI808" s="336"/>
      <c r="AJ808" s="336"/>
      <c r="AK808" s="336"/>
      <c r="AL808" s="336"/>
      <c r="AM808" s="336"/>
      <c r="AN808" s="336"/>
      <c r="AO808" s="336"/>
      <c r="AP808" s="336"/>
      <c r="AQ808" s="336"/>
      <c r="AR808" s="336"/>
      <c r="AS808" s="336"/>
      <c r="AT808" s="336"/>
    </row>
    <row r="809" spans="1:46" ht="14.45">
      <c r="A809" s="336"/>
      <c r="B809" s="336"/>
      <c r="C809" s="336"/>
      <c r="D809" s="336"/>
      <c r="E809" s="336"/>
      <c r="F809" s="336"/>
      <c r="G809" s="336"/>
      <c r="H809" s="336"/>
      <c r="I809" s="336"/>
      <c r="J809" s="336"/>
      <c r="K809" s="415"/>
      <c r="L809" s="336"/>
      <c r="M809" s="336"/>
      <c r="N809" s="336"/>
      <c r="O809" s="416"/>
      <c r="P809" s="336"/>
      <c r="Q809" s="415"/>
      <c r="R809" s="336"/>
      <c r="S809" s="336"/>
      <c r="T809" s="336"/>
      <c r="U809" s="336"/>
      <c r="V809" s="336"/>
      <c r="W809" s="336"/>
      <c r="X809" s="336"/>
      <c r="Y809" s="336"/>
      <c r="Z809" s="336"/>
      <c r="AA809" s="336"/>
      <c r="AB809" s="336"/>
      <c r="AC809" s="336"/>
      <c r="AD809" s="336"/>
      <c r="AE809"/>
      <c r="AF809" s="336"/>
      <c r="AG809" s="336"/>
      <c r="AH809" s="336"/>
      <c r="AI809" s="336"/>
      <c r="AJ809" s="336"/>
      <c r="AK809" s="336"/>
      <c r="AL809" s="336"/>
      <c r="AM809" s="336"/>
      <c r="AN809" s="336"/>
      <c r="AO809" s="336"/>
      <c r="AP809" s="336"/>
      <c r="AQ809" s="336"/>
      <c r="AR809" s="336"/>
      <c r="AS809" s="336"/>
      <c r="AT809" s="336"/>
    </row>
    <row r="810" spans="1:46" ht="14.45">
      <c r="A810" s="336"/>
      <c r="B810" s="336"/>
      <c r="C810" s="336"/>
      <c r="D810" s="336"/>
      <c r="E810" s="336"/>
      <c r="F810" s="336"/>
      <c r="G810" s="336"/>
      <c r="H810" s="336"/>
      <c r="I810" s="336"/>
      <c r="J810" s="336"/>
      <c r="K810" s="415"/>
      <c r="L810" s="336"/>
      <c r="M810" s="336"/>
      <c r="N810" s="336"/>
      <c r="O810" s="416"/>
      <c r="P810" s="336"/>
      <c r="Q810" s="415"/>
      <c r="R810" s="336"/>
      <c r="S810" s="336"/>
      <c r="T810" s="336"/>
      <c r="U810" s="336"/>
      <c r="V810" s="336"/>
      <c r="W810" s="336"/>
      <c r="X810" s="336"/>
      <c r="Y810" s="336"/>
      <c r="Z810" s="336"/>
      <c r="AA810" s="336"/>
      <c r="AB810" s="336"/>
      <c r="AC810" s="336"/>
      <c r="AD810" s="336"/>
      <c r="AE810"/>
      <c r="AF810" s="336"/>
      <c r="AG810" s="336"/>
      <c r="AH810" s="336"/>
      <c r="AI810" s="336"/>
      <c r="AJ810" s="336"/>
      <c r="AK810" s="336"/>
      <c r="AL810" s="336"/>
      <c r="AM810" s="336"/>
      <c r="AN810" s="336"/>
      <c r="AO810" s="336"/>
      <c r="AP810" s="336"/>
      <c r="AQ810" s="336"/>
      <c r="AR810" s="336"/>
      <c r="AS810" s="336"/>
      <c r="AT810" s="336"/>
    </row>
    <row r="811" spans="1:46" ht="14.45">
      <c r="A811" s="336"/>
      <c r="B811" s="336"/>
      <c r="C811" s="336"/>
      <c r="D811" s="336"/>
      <c r="E811" s="336"/>
      <c r="F811" s="336"/>
      <c r="G811" s="336"/>
      <c r="H811" s="336"/>
      <c r="I811" s="336"/>
      <c r="J811" s="336"/>
      <c r="K811" s="415"/>
      <c r="L811" s="336"/>
      <c r="M811" s="336"/>
      <c r="N811" s="336"/>
      <c r="O811" s="416"/>
      <c r="P811" s="336"/>
      <c r="Q811" s="415"/>
      <c r="R811" s="336"/>
      <c r="S811" s="336"/>
      <c r="T811" s="336"/>
      <c r="U811" s="336"/>
      <c r="V811" s="336"/>
      <c r="W811" s="336"/>
      <c r="X811" s="336"/>
      <c r="Y811" s="336"/>
      <c r="Z811" s="336"/>
      <c r="AA811" s="336"/>
      <c r="AB811" s="336"/>
      <c r="AC811" s="336"/>
      <c r="AD811" s="336"/>
      <c r="AE811"/>
      <c r="AF811" s="336"/>
      <c r="AG811" s="336"/>
      <c r="AH811" s="336"/>
      <c r="AI811" s="336"/>
      <c r="AJ811" s="336"/>
      <c r="AK811" s="336"/>
      <c r="AL811" s="336"/>
      <c r="AM811" s="336"/>
      <c r="AN811" s="336"/>
      <c r="AO811" s="336"/>
      <c r="AP811" s="336"/>
      <c r="AQ811" s="336"/>
      <c r="AR811" s="336"/>
      <c r="AS811" s="336"/>
      <c r="AT811" s="336"/>
    </row>
    <row r="812" spans="1:46" ht="14.45">
      <c r="A812" s="336"/>
      <c r="B812" s="336"/>
      <c r="C812" s="336"/>
      <c r="D812" s="336"/>
      <c r="E812" s="336"/>
      <c r="F812" s="336"/>
      <c r="G812" s="336"/>
      <c r="H812" s="336"/>
      <c r="I812" s="336"/>
      <c r="J812" s="336"/>
      <c r="K812" s="415"/>
      <c r="L812" s="336"/>
      <c r="M812" s="336"/>
      <c r="N812" s="336"/>
      <c r="O812" s="416"/>
      <c r="P812" s="336"/>
      <c r="Q812" s="415"/>
      <c r="R812" s="336"/>
      <c r="S812" s="336"/>
      <c r="T812" s="336"/>
      <c r="U812" s="336"/>
      <c r="V812" s="336"/>
      <c r="W812" s="336"/>
      <c r="X812" s="336"/>
      <c r="Y812" s="336"/>
      <c r="Z812" s="336"/>
      <c r="AA812" s="336"/>
      <c r="AB812" s="336"/>
      <c r="AC812" s="336"/>
      <c r="AD812" s="336"/>
      <c r="AE812"/>
      <c r="AF812" s="336"/>
      <c r="AG812" s="336"/>
      <c r="AH812" s="336"/>
      <c r="AI812" s="336"/>
      <c r="AJ812" s="336"/>
      <c r="AK812" s="336"/>
      <c r="AL812" s="336"/>
      <c r="AM812" s="336"/>
      <c r="AN812" s="336"/>
      <c r="AO812" s="336"/>
      <c r="AP812" s="336"/>
      <c r="AQ812" s="336"/>
      <c r="AR812" s="336"/>
      <c r="AS812" s="336"/>
      <c r="AT812" s="336"/>
    </row>
    <row r="813" spans="1:46" ht="14.45">
      <c r="A813" s="336"/>
      <c r="B813" s="336"/>
      <c r="C813" s="336"/>
      <c r="D813" s="336"/>
      <c r="E813" s="336"/>
      <c r="F813" s="336"/>
      <c r="G813" s="336"/>
      <c r="H813" s="336"/>
      <c r="I813" s="336"/>
      <c r="J813" s="336"/>
      <c r="K813" s="415"/>
      <c r="L813" s="336"/>
      <c r="M813" s="336"/>
      <c r="N813" s="336"/>
      <c r="O813" s="416"/>
      <c r="P813" s="336"/>
      <c r="Q813" s="415"/>
      <c r="R813" s="336"/>
      <c r="S813" s="336"/>
      <c r="T813" s="336"/>
      <c r="U813" s="336"/>
      <c r="V813" s="336"/>
      <c r="W813" s="336"/>
      <c r="X813" s="336"/>
      <c r="Y813" s="336"/>
      <c r="Z813" s="336"/>
      <c r="AA813" s="336"/>
      <c r="AB813" s="336"/>
      <c r="AC813" s="336"/>
      <c r="AD813" s="336"/>
      <c r="AE813"/>
      <c r="AF813" s="336"/>
      <c r="AG813" s="336"/>
      <c r="AH813" s="336"/>
      <c r="AI813" s="336"/>
      <c r="AJ813" s="336"/>
      <c r="AK813" s="336"/>
      <c r="AL813" s="336"/>
      <c r="AM813" s="336"/>
      <c r="AN813" s="336"/>
      <c r="AO813" s="336"/>
      <c r="AP813" s="336"/>
      <c r="AQ813" s="336"/>
      <c r="AR813" s="336"/>
      <c r="AS813" s="336"/>
      <c r="AT813" s="336"/>
    </row>
    <row r="814" spans="1:46" ht="14.45">
      <c r="A814" s="336"/>
      <c r="B814" s="336"/>
      <c r="C814" s="336"/>
      <c r="D814" s="336"/>
      <c r="E814" s="336"/>
      <c r="F814" s="336"/>
      <c r="G814" s="336"/>
      <c r="H814" s="336"/>
      <c r="I814" s="336"/>
      <c r="J814" s="336"/>
      <c r="K814" s="415"/>
      <c r="L814" s="336"/>
      <c r="M814" s="336"/>
      <c r="N814" s="336"/>
      <c r="O814" s="416"/>
      <c r="P814" s="336"/>
      <c r="Q814" s="415"/>
      <c r="R814" s="336"/>
      <c r="S814" s="336"/>
      <c r="T814" s="336"/>
      <c r="U814" s="336"/>
      <c r="V814" s="336"/>
      <c r="W814" s="336"/>
      <c r="X814" s="336"/>
      <c r="Y814" s="336"/>
      <c r="Z814" s="336"/>
      <c r="AA814" s="336"/>
      <c r="AB814" s="336"/>
      <c r="AC814" s="336"/>
      <c r="AD814" s="336"/>
      <c r="AE814"/>
      <c r="AF814" s="336"/>
      <c r="AG814" s="336"/>
      <c r="AH814" s="336"/>
      <c r="AI814" s="336"/>
      <c r="AJ814" s="336"/>
      <c r="AK814" s="336"/>
      <c r="AL814" s="336"/>
      <c r="AM814" s="336"/>
      <c r="AN814" s="336"/>
      <c r="AO814" s="336"/>
      <c r="AP814" s="336"/>
      <c r="AQ814" s="336"/>
      <c r="AR814" s="336"/>
      <c r="AS814" s="336"/>
      <c r="AT814" s="336"/>
    </row>
    <row r="815" spans="1:46" ht="14.45">
      <c r="A815" s="336"/>
      <c r="B815" s="336"/>
      <c r="C815" s="336"/>
      <c r="D815" s="336"/>
      <c r="E815" s="336"/>
      <c r="F815" s="336"/>
      <c r="G815" s="336"/>
      <c r="H815" s="336"/>
      <c r="I815" s="336"/>
      <c r="J815" s="336"/>
      <c r="K815" s="415"/>
      <c r="L815" s="336"/>
      <c r="M815" s="336"/>
      <c r="N815" s="336"/>
      <c r="O815" s="416"/>
      <c r="P815" s="336"/>
      <c r="Q815" s="415"/>
      <c r="R815" s="336"/>
      <c r="S815" s="336"/>
      <c r="T815" s="336"/>
      <c r="U815" s="336"/>
      <c r="V815" s="336"/>
      <c r="W815" s="336"/>
      <c r="X815" s="336"/>
      <c r="Y815" s="336"/>
      <c r="Z815" s="336"/>
      <c r="AA815" s="336"/>
      <c r="AB815" s="336"/>
      <c r="AC815" s="336"/>
      <c r="AD815" s="336"/>
      <c r="AE815"/>
      <c r="AF815" s="336"/>
      <c r="AG815" s="336"/>
      <c r="AH815" s="336"/>
      <c r="AI815" s="336"/>
      <c r="AJ815" s="336"/>
      <c r="AK815" s="336"/>
      <c r="AL815" s="336"/>
      <c r="AM815" s="336"/>
      <c r="AN815" s="336"/>
      <c r="AO815" s="336"/>
      <c r="AP815" s="336"/>
      <c r="AQ815" s="336"/>
      <c r="AR815" s="336"/>
      <c r="AS815" s="336"/>
      <c r="AT815" s="336"/>
    </row>
    <row r="816" spans="1:46" ht="14.45">
      <c r="A816" s="336"/>
      <c r="B816" s="336"/>
      <c r="C816" s="336"/>
      <c r="D816" s="336"/>
      <c r="E816" s="336"/>
      <c r="F816" s="336"/>
      <c r="G816" s="336"/>
      <c r="H816" s="336"/>
      <c r="I816" s="336"/>
      <c r="J816" s="336"/>
      <c r="K816" s="415"/>
      <c r="L816" s="336"/>
      <c r="M816" s="336"/>
      <c r="N816" s="336"/>
      <c r="O816" s="416"/>
      <c r="P816" s="336"/>
      <c r="Q816" s="415"/>
      <c r="R816" s="336"/>
      <c r="S816" s="336"/>
      <c r="T816" s="336"/>
      <c r="U816" s="336"/>
      <c r="V816" s="336"/>
      <c r="W816" s="336"/>
      <c r="X816" s="336"/>
      <c r="Y816" s="336"/>
      <c r="Z816" s="336"/>
      <c r="AA816" s="336"/>
      <c r="AB816" s="336"/>
      <c r="AC816" s="336"/>
      <c r="AD816" s="336"/>
      <c r="AE816"/>
      <c r="AF816" s="336"/>
      <c r="AG816" s="336"/>
      <c r="AH816" s="336"/>
      <c r="AI816" s="336"/>
      <c r="AJ816" s="336"/>
      <c r="AK816" s="336"/>
      <c r="AL816" s="336"/>
      <c r="AM816" s="336"/>
      <c r="AN816" s="336"/>
      <c r="AO816" s="336"/>
      <c r="AP816" s="336"/>
      <c r="AQ816" s="336"/>
      <c r="AR816" s="336"/>
      <c r="AS816" s="336"/>
      <c r="AT816" s="336"/>
    </row>
    <row r="817" spans="1:46" ht="14.45">
      <c r="A817" s="336"/>
      <c r="B817" s="336"/>
      <c r="C817" s="336"/>
      <c r="D817" s="336"/>
      <c r="E817" s="336"/>
      <c r="F817" s="336"/>
      <c r="G817" s="336"/>
      <c r="H817" s="336"/>
      <c r="I817" s="336"/>
      <c r="J817" s="336"/>
      <c r="K817" s="415"/>
      <c r="L817" s="336"/>
      <c r="M817" s="336"/>
      <c r="N817" s="336"/>
      <c r="O817" s="416"/>
      <c r="P817" s="336"/>
      <c r="Q817" s="415"/>
      <c r="R817" s="336"/>
      <c r="S817" s="336"/>
      <c r="T817" s="336"/>
      <c r="U817" s="336"/>
      <c r="V817" s="336"/>
      <c r="W817" s="336"/>
      <c r="X817" s="336"/>
      <c r="Y817" s="336"/>
      <c r="Z817" s="336"/>
      <c r="AA817" s="336"/>
      <c r="AB817" s="336"/>
      <c r="AC817" s="336"/>
      <c r="AD817" s="336"/>
      <c r="AE817"/>
      <c r="AF817" s="336"/>
      <c r="AG817" s="336"/>
      <c r="AH817" s="336"/>
      <c r="AI817" s="336"/>
      <c r="AJ817" s="336"/>
      <c r="AK817" s="336"/>
      <c r="AL817" s="336"/>
      <c r="AM817" s="336"/>
      <c r="AN817" s="336"/>
      <c r="AO817" s="336"/>
      <c r="AP817" s="336"/>
      <c r="AQ817" s="336"/>
      <c r="AR817" s="336"/>
      <c r="AS817" s="336"/>
      <c r="AT817" s="336"/>
    </row>
    <row r="818" spans="1:46" ht="14.45">
      <c r="A818" s="336"/>
      <c r="B818" s="336"/>
      <c r="C818" s="336"/>
      <c r="D818" s="336"/>
      <c r="E818" s="336"/>
      <c r="F818" s="336"/>
      <c r="G818" s="336"/>
      <c r="H818" s="336"/>
      <c r="I818" s="336"/>
      <c r="J818" s="336"/>
      <c r="K818" s="415"/>
      <c r="L818" s="336"/>
      <c r="M818" s="336"/>
      <c r="N818" s="336"/>
      <c r="O818" s="416"/>
      <c r="P818" s="336"/>
      <c r="Q818" s="415"/>
      <c r="R818" s="336"/>
      <c r="S818" s="336"/>
      <c r="T818" s="336"/>
      <c r="U818" s="336"/>
      <c r="V818" s="336"/>
      <c r="W818" s="336"/>
      <c r="X818" s="336"/>
      <c r="Y818" s="336"/>
      <c r="Z818" s="336"/>
      <c r="AA818" s="336"/>
      <c r="AB818" s="336"/>
      <c r="AC818" s="336"/>
      <c r="AD818" s="336"/>
      <c r="AE818"/>
      <c r="AF818" s="336"/>
      <c r="AG818" s="336"/>
      <c r="AH818" s="336"/>
      <c r="AI818" s="336"/>
      <c r="AJ818" s="336"/>
      <c r="AK818" s="336"/>
      <c r="AL818" s="336"/>
      <c r="AM818" s="336"/>
      <c r="AN818" s="336"/>
      <c r="AO818" s="336"/>
      <c r="AP818" s="336"/>
      <c r="AQ818" s="336"/>
      <c r="AR818" s="336"/>
      <c r="AS818" s="336"/>
      <c r="AT818" s="336"/>
    </row>
    <row r="819" spans="1:46" ht="14.45">
      <c r="A819" s="336"/>
      <c r="B819" s="336"/>
      <c r="C819" s="336"/>
      <c r="D819" s="336"/>
      <c r="E819" s="336"/>
      <c r="F819" s="336"/>
      <c r="G819" s="336"/>
      <c r="H819" s="336"/>
      <c r="I819" s="336"/>
      <c r="J819" s="336"/>
      <c r="K819" s="415"/>
      <c r="L819" s="336"/>
      <c r="M819" s="336"/>
      <c r="N819" s="336"/>
      <c r="O819" s="416"/>
      <c r="P819" s="336"/>
      <c r="Q819" s="415"/>
      <c r="R819" s="336"/>
      <c r="S819" s="336"/>
      <c r="T819" s="336"/>
      <c r="U819" s="336"/>
      <c r="V819" s="336"/>
      <c r="W819" s="336"/>
      <c r="X819" s="336"/>
      <c r="Y819" s="336"/>
      <c r="Z819" s="336"/>
      <c r="AA819" s="336"/>
      <c r="AB819" s="336"/>
      <c r="AC819" s="336"/>
      <c r="AD819" s="336"/>
      <c r="AE819"/>
      <c r="AF819" s="336"/>
      <c r="AG819" s="336"/>
      <c r="AH819" s="336"/>
      <c r="AI819" s="336"/>
      <c r="AJ819" s="336"/>
      <c r="AK819" s="336"/>
      <c r="AL819" s="336"/>
      <c r="AM819" s="336"/>
      <c r="AN819" s="336"/>
      <c r="AO819" s="336"/>
      <c r="AP819" s="336"/>
      <c r="AQ819" s="336"/>
      <c r="AR819" s="336"/>
      <c r="AS819" s="336"/>
      <c r="AT819" s="336"/>
    </row>
    <row r="820" spans="1:46" ht="14.45">
      <c r="A820" s="336"/>
      <c r="B820" s="336"/>
      <c r="C820" s="336"/>
      <c r="D820" s="336"/>
      <c r="E820" s="336"/>
      <c r="F820" s="336"/>
      <c r="G820" s="336"/>
      <c r="H820" s="336"/>
      <c r="I820" s="336"/>
      <c r="J820" s="336"/>
      <c r="K820" s="415"/>
      <c r="L820" s="336"/>
      <c r="M820" s="336"/>
      <c r="N820" s="336"/>
      <c r="O820" s="416"/>
      <c r="P820" s="336"/>
      <c r="Q820" s="415"/>
      <c r="R820" s="336"/>
      <c r="S820" s="336"/>
      <c r="T820" s="336"/>
      <c r="U820" s="336"/>
      <c r="V820" s="336"/>
      <c r="W820" s="336"/>
      <c r="X820" s="336"/>
      <c r="Y820" s="336"/>
      <c r="Z820" s="336"/>
      <c r="AA820" s="336"/>
      <c r="AB820" s="336"/>
      <c r="AC820" s="336"/>
      <c r="AD820" s="336"/>
      <c r="AE820"/>
      <c r="AF820" s="336"/>
      <c r="AG820" s="336"/>
      <c r="AH820" s="336"/>
      <c r="AI820" s="336"/>
      <c r="AJ820" s="336"/>
      <c r="AK820" s="336"/>
      <c r="AL820" s="336"/>
      <c r="AM820" s="336"/>
      <c r="AN820" s="336"/>
      <c r="AO820" s="336"/>
      <c r="AP820" s="336"/>
      <c r="AQ820" s="336"/>
      <c r="AR820" s="336"/>
      <c r="AS820" s="336"/>
      <c r="AT820" s="336"/>
    </row>
    <row r="821" spans="1:46" ht="14.45">
      <c r="A821" s="336"/>
      <c r="B821" s="336"/>
      <c r="C821" s="336"/>
      <c r="D821" s="336"/>
      <c r="E821" s="336"/>
      <c r="F821" s="336"/>
      <c r="G821" s="336"/>
      <c r="H821" s="336"/>
      <c r="I821" s="336"/>
      <c r="J821" s="336"/>
      <c r="K821" s="415"/>
      <c r="L821" s="336"/>
      <c r="M821" s="336"/>
      <c r="N821" s="336"/>
      <c r="O821" s="416"/>
      <c r="P821" s="336"/>
      <c r="Q821" s="415"/>
      <c r="R821" s="336"/>
      <c r="S821" s="336"/>
      <c r="T821" s="336"/>
      <c r="U821" s="336"/>
      <c r="V821" s="336"/>
      <c r="W821" s="336"/>
      <c r="X821" s="336"/>
      <c r="Y821" s="336"/>
      <c r="Z821" s="336"/>
      <c r="AA821" s="336"/>
      <c r="AB821" s="336"/>
      <c r="AC821" s="336"/>
      <c r="AD821" s="336"/>
      <c r="AE821"/>
      <c r="AF821" s="336"/>
      <c r="AG821" s="336"/>
      <c r="AH821" s="336"/>
      <c r="AI821" s="336"/>
      <c r="AJ821" s="336"/>
      <c r="AK821" s="336"/>
      <c r="AL821" s="336"/>
      <c r="AM821" s="336"/>
      <c r="AN821" s="336"/>
      <c r="AO821" s="336"/>
      <c r="AP821" s="336"/>
      <c r="AQ821" s="336"/>
      <c r="AR821" s="336"/>
      <c r="AS821" s="336"/>
      <c r="AT821" s="336"/>
    </row>
    <row r="822" spans="1:46" ht="14.45">
      <c r="A822" s="336"/>
      <c r="B822" s="336"/>
      <c r="C822" s="336"/>
      <c r="D822" s="336"/>
      <c r="E822" s="336"/>
      <c r="F822" s="336"/>
      <c r="G822" s="336"/>
      <c r="H822" s="336"/>
      <c r="I822" s="336"/>
      <c r="J822" s="336"/>
      <c r="K822" s="415"/>
      <c r="L822" s="336"/>
      <c r="M822" s="336"/>
      <c r="N822" s="336"/>
      <c r="O822" s="416"/>
      <c r="P822" s="336"/>
      <c r="Q822" s="415"/>
      <c r="R822" s="336"/>
      <c r="S822" s="336"/>
      <c r="T822" s="336"/>
      <c r="U822" s="336"/>
      <c r="V822" s="336"/>
      <c r="W822" s="336"/>
      <c r="X822" s="336"/>
      <c r="Y822" s="336"/>
      <c r="Z822" s="336"/>
      <c r="AA822" s="336"/>
      <c r="AB822" s="336"/>
      <c r="AC822" s="336"/>
      <c r="AD822" s="336"/>
      <c r="AE822"/>
      <c r="AF822" s="336"/>
      <c r="AG822" s="336"/>
      <c r="AH822" s="336"/>
      <c r="AI822" s="336"/>
      <c r="AJ822" s="336"/>
      <c r="AK822" s="336"/>
      <c r="AL822" s="336"/>
      <c r="AM822" s="336"/>
      <c r="AN822" s="336"/>
      <c r="AO822" s="336"/>
      <c r="AP822" s="336"/>
      <c r="AQ822" s="336"/>
      <c r="AR822" s="336"/>
      <c r="AS822" s="336"/>
      <c r="AT822" s="336"/>
    </row>
    <row r="823" spans="1:46" ht="14.45">
      <c r="A823" s="336"/>
      <c r="B823" s="336"/>
      <c r="C823" s="336"/>
      <c r="D823" s="336"/>
      <c r="E823" s="336"/>
      <c r="F823" s="336"/>
      <c r="G823" s="336"/>
      <c r="H823" s="336"/>
      <c r="I823" s="336"/>
      <c r="J823" s="336"/>
      <c r="K823" s="415"/>
      <c r="L823" s="336"/>
      <c r="M823" s="336"/>
      <c r="N823" s="336"/>
      <c r="O823" s="416"/>
      <c r="P823" s="336"/>
      <c r="Q823" s="415"/>
      <c r="R823" s="336"/>
      <c r="S823" s="336"/>
      <c r="T823" s="336"/>
      <c r="U823" s="336"/>
      <c r="V823" s="336"/>
      <c r="W823" s="336"/>
      <c r="X823" s="336"/>
      <c r="Y823" s="336"/>
      <c r="Z823" s="336"/>
      <c r="AA823" s="336"/>
      <c r="AB823" s="336"/>
      <c r="AC823" s="336"/>
      <c r="AD823" s="336"/>
      <c r="AE823"/>
      <c r="AF823" s="336"/>
      <c r="AG823" s="336"/>
      <c r="AH823" s="336"/>
      <c r="AI823" s="336"/>
      <c r="AJ823" s="336"/>
      <c r="AK823" s="336"/>
      <c r="AL823" s="336"/>
      <c r="AM823" s="336"/>
      <c r="AN823" s="336"/>
      <c r="AO823" s="336"/>
      <c r="AP823" s="336"/>
      <c r="AQ823" s="336"/>
      <c r="AR823" s="336"/>
      <c r="AS823" s="336"/>
      <c r="AT823" s="336"/>
    </row>
    <row r="824" spans="1:46" ht="14.45">
      <c r="A824" s="336"/>
      <c r="B824" s="336"/>
      <c r="C824" s="336"/>
      <c r="D824" s="336"/>
      <c r="E824" s="336"/>
      <c r="F824" s="336"/>
      <c r="G824" s="336"/>
      <c r="H824" s="336"/>
      <c r="I824" s="336"/>
      <c r="J824" s="336"/>
      <c r="K824" s="415"/>
      <c r="L824" s="336"/>
      <c r="M824" s="336"/>
      <c r="N824" s="336"/>
      <c r="O824" s="416"/>
      <c r="P824" s="336"/>
      <c r="Q824" s="415"/>
      <c r="R824" s="336"/>
      <c r="S824" s="336"/>
      <c r="T824" s="336"/>
      <c r="U824" s="336"/>
      <c r="V824" s="336"/>
      <c r="W824" s="336"/>
      <c r="X824" s="336"/>
      <c r="Y824" s="336"/>
      <c r="Z824" s="336"/>
      <c r="AA824" s="336"/>
      <c r="AB824" s="336"/>
      <c r="AC824" s="336"/>
      <c r="AD824" s="336"/>
      <c r="AE824"/>
      <c r="AF824" s="336"/>
      <c r="AG824" s="336"/>
      <c r="AH824" s="336"/>
      <c r="AI824" s="336"/>
      <c r="AJ824" s="336"/>
      <c r="AK824" s="336"/>
      <c r="AL824" s="336"/>
      <c r="AM824" s="336"/>
      <c r="AN824" s="336"/>
      <c r="AO824" s="336"/>
      <c r="AP824" s="336"/>
      <c r="AQ824" s="336"/>
      <c r="AR824" s="336"/>
      <c r="AS824" s="336"/>
      <c r="AT824" s="336"/>
    </row>
    <row r="825" spans="1:46" ht="14.45">
      <c r="A825" s="336"/>
      <c r="B825" s="336"/>
      <c r="C825" s="336"/>
      <c r="D825" s="336"/>
      <c r="E825" s="336"/>
      <c r="F825" s="336"/>
      <c r="G825" s="336"/>
      <c r="H825" s="336"/>
      <c r="I825" s="336"/>
      <c r="J825" s="336"/>
      <c r="K825" s="415"/>
      <c r="L825" s="336"/>
      <c r="M825" s="336"/>
      <c r="N825" s="336"/>
      <c r="O825" s="416"/>
      <c r="P825" s="336"/>
      <c r="Q825" s="415"/>
      <c r="R825" s="336"/>
      <c r="S825" s="336"/>
      <c r="T825" s="336"/>
      <c r="U825" s="336"/>
      <c r="V825" s="336"/>
      <c r="W825" s="336"/>
      <c r="X825" s="336"/>
      <c r="Y825" s="336"/>
      <c r="Z825" s="336"/>
      <c r="AA825" s="336"/>
      <c r="AB825" s="336"/>
      <c r="AC825" s="336"/>
      <c r="AD825" s="336"/>
      <c r="AE825"/>
      <c r="AF825" s="336"/>
      <c r="AG825" s="336"/>
      <c r="AH825" s="336"/>
      <c r="AI825" s="336"/>
      <c r="AJ825" s="336"/>
      <c r="AK825" s="336"/>
      <c r="AL825" s="336"/>
      <c r="AM825" s="336"/>
      <c r="AN825" s="336"/>
      <c r="AO825" s="336"/>
      <c r="AP825" s="336"/>
      <c r="AQ825" s="336"/>
      <c r="AR825" s="336"/>
      <c r="AS825" s="336"/>
      <c r="AT825" s="336"/>
    </row>
    <row r="826" spans="1:46" ht="14.45">
      <c r="A826" s="336"/>
      <c r="B826" s="336"/>
      <c r="C826" s="336"/>
      <c r="D826" s="336"/>
      <c r="E826" s="336"/>
      <c r="F826" s="336"/>
      <c r="G826" s="336"/>
      <c r="H826" s="336"/>
      <c r="I826" s="336"/>
      <c r="J826" s="336"/>
      <c r="K826" s="415"/>
      <c r="L826" s="336"/>
      <c r="M826" s="336"/>
      <c r="N826" s="336"/>
      <c r="O826" s="416"/>
      <c r="P826" s="336"/>
      <c r="Q826" s="415"/>
      <c r="R826" s="336"/>
      <c r="S826" s="336"/>
      <c r="T826" s="336"/>
      <c r="U826" s="336"/>
      <c r="V826" s="336"/>
      <c r="W826" s="336"/>
      <c r="X826" s="336"/>
      <c r="Y826" s="336"/>
      <c r="Z826" s="336"/>
      <c r="AA826" s="336"/>
      <c r="AB826" s="336"/>
      <c r="AC826" s="336"/>
      <c r="AD826" s="336"/>
      <c r="AE826"/>
      <c r="AF826" s="336"/>
      <c r="AG826" s="336"/>
      <c r="AH826" s="336"/>
      <c r="AI826" s="336"/>
      <c r="AJ826" s="336"/>
      <c r="AK826" s="336"/>
      <c r="AL826" s="336"/>
      <c r="AM826" s="336"/>
      <c r="AN826" s="336"/>
      <c r="AO826" s="336"/>
      <c r="AP826" s="336"/>
      <c r="AQ826" s="336"/>
      <c r="AR826" s="336"/>
      <c r="AS826" s="336"/>
      <c r="AT826" s="336"/>
    </row>
    <row r="827" spans="1:46" ht="14.45">
      <c r="A827" s="336"/>
      <c r="B827" s="336"/>
      <c r="C827" s="336"/>
      <c r="D827" s="336"/>
      <c r="E827" s="336"/>
      <c r="F827" s="336"/>
      <c r="G827" s="336"/>
      <c r="H827" s="336"/>
      <c r="I827" s="336"/>
      <c r="J827" s="336"/>
      <c r="K827" s="415"/>
      <c r="L827" s="336"/>
      <c r="M827" s="336"/>
      <c r="N827" s="336"/>
      <c r="O827" s="416"/>
      <c r="P827" s="336"/>
      <c r="Q827" s="415"/>
      <c r="R827" s="336"/>
      <c r="S827" s="336"/>
      <c r="T827" s="336"/>
      <c r="U827" s="336"/>
      <c r="V827" s="336"/>
      <c r="W827" s="336"/>
      <c r="X827" s="336"/>
      <c r="Y827" s="336"/>
      <c r="Z827" s="336"/>
      <c r="AA827" s="336"/>
      <c r="AB827" s="336"/>
      <c r="AC827" s="336"/>
      <c r="AD827" s="336"/>
      <c r="AE827"/>
      <c r="AF827" s="336"/>
      <c r="AG827" s="336"/>
      <c r="AH827" s="336"/>
      <c r="AI827" s="336"/>
      <c r="AJ827" s="336"/>
      <c r="AK827" s="336"/>
      <c r="AL827" s="336"/>
      <c r="AM827" s="336"/>
      <c r="AN827" s="336"/>
      <c r="AO827" s="336"/>
      <c r="AP827" s="336"/>
      <c r="AQ827" s="336"/>
      <c r="AR827" s="336"/>
      <c r="AS827" s="336"/>
      <c r="AT827" s="336"/>
    </row>
    <row r="828" spans="1:46" ht="14.45">
      <c r="A828" s="336"/>
      <c r="B828" s="336"/>
      <c r="C828" s="336"/>
      <c r="D828" s="336"/>
      <c r="E828" s="336"/>
      <c r="F828" s="336"/>
      <c r="G828" s="336"/>
      <c r="H828" s="336"/>
      <c r="I828" s="336"/>
      <c r="J828" s="336"/>
      <c r="K828" s="415"/>
      <c r="L828" s="336"/>
      <c r="M828" s="336"/>
      <c r="N828" s="336"/>
      <c r="O828" s="416"/>
      <c r="P828" s="336"/>
      <c r="Q828" s="415"/>
      <c r="R828" s="336"/>
      <c r="S828" s="336"/>
      <c r="T828" s="336"/>
      <c r="U828" s="336"/>
      <c r="V828" s="336"/>
      <c r="W828" s="336"/>
      <c r="X828" s="336"/>
      <c r="Y828" s="336"/>
      <c r="Z828" s="336"/>
      <c r="AA828" s="336"/>
      <c r="AB828" s="336"/>
      <c r="AC828" s="336"/>
      <c r="AD828" s="336"/>
      <c r="AE828"/>
      <c r="AF828" s="336"/>
      <c r="AG828" s="336"/>
      <c r="AH828" s="336"/>
      <c r="AI828" s="336"/>
      <c r="AJ828" s="336"/>
      <c r="AK828" s="336"/>
      <c r="AL828" s="336"/>
      <c r="AM828" s="336"/>
      <c r="AN828" s="336"/>
      <c r="AO828" s="336"/>
      <c r="AP828" s="336"/>
      <c r="AQ828" s="336"/>
      <c r="AR828" s="336"/>
      <c r="AS828" s="336"/>
      <c r="AT828" s="336"/>
    </row>
    <row r="829" spans="1:46" ht="14.45">
      <c r="A829" s="336"/>
      <c r="B829" s="336"/>
      <c r="C829" s="336"/>
      <c r="D829" s="336"/>
      <c r="E829" s="336"/>
      <c r="F829" s="336"/>
      <c r="G829" s="336"/>
      <c r="H829" s="336"/>
      <c r="I829" s="336"/>
      <c r="J829" s="336"/>
      <c r="K829" s="415"/>
      <c r="L829" s="336"/>
      <c r="M829" s="336"/>
      <c r="N829" s="336"/>
      <c r="O829" s="416"/>
      <c r="P829" s="336"/>
      <c r="Q829" s="415"/>
      <c r="R829" s="336"/>
      <c r="S829" s="336"/>
      <c r="T829" s="336"/>
      <c r="U829" s="336"/>
      <c r="V829" s="336"/>
      <c r="W829" s="336"/>
      <c r="X829" s="336"/>
      <c r="Y829" s="336"/>
      <c r="Z829" s="336"/>
      <c r="AA829" s="336"/>
      <c r="AB829" s="336"/>
      <c r="AC829" s="336"/>
      <c r="AD829" s="336"/>
      <c r="AE829"/>
      <c r="AF829" s="336"/>
      <c r="AG829" s="336"/>
      <c r="AH829" s="336"/>
      <c r="AI829" s="336"/>
      <c r="AJ829" s="336"/>
      <c r="AK829" s="336"/>
      <c r="AL829" s="336"/>
      <c r="AM829" s="336"/>
      <c r="AN829" s="336"/>
      <c r="AO829" s="336"/>
      <c r="AP829" s="336"/>
      <c r="AQ829" s="336"/>
      <c r="AR829" s="336"/>
      <c r="AS829" s="336"/>
      <c r="AT829" s="336"/>
    </row>
    <row r="830" spans="1:46" ht="14.45">
      <c r="A830" s="336"/>
      <c r="B830" s="336"/>
      <c r="C830" s="336"/>
      <c r="D830" s="336"/>
      <c r="E830" s="336"/>
      <c r="F830" s="336"/>
      <c r="G830" s="336"/>
      <c r="H830" s="336"/>
      <c r="I830" s="336"/>
      <c r="J830" s="336"/>
      <c r="K830" s="415"/>
      <c r="L830" s="336"/>
      <c r="M830" s="336"/>
      <c r="N830" s="336"/>
      <c r="O830" s="416"/>
      <c r="P830" s="336"/>
      <c r="Q830" s="415"/>
      <c r="R830" s="336"/>
      <c r="S830" s="336"/>
      <c r="T830" s="336"/>
      <c r="U830" s="336"/>
      <c r="V830" s="336"/>
      <c r="W830" s="336"/>
      <c r="X830" s="336"/>
      <c r="Y830" s="336"/>
      <c r="Z830" s="336"/>
      <c r="AA830" s="336"/>
      <c r="AB830" s="336"/>
      <c r="AC830" s="336"/>
      <c r="AD830" s="336"/>
      <c r="AE830"/>
      <c r="AF830" s="336"/>
      <c r="AG830" s="336"/>
      <c r="AH830" s="336"/>
      <c r="AI830" s="336"/>
      <c r="AJ830" s="336"/>
      <c r="AK830" s="336"/>
      <c r="AL830" s="336"/>
      <c r="AM830" s="336"/>
      <c r="AN830" s="336"/>
      <c r="AO830" s="336"/>
      <c r="AP830" s="336"/>
      <c r="AQ830" s="336"/>
      <c r="AR830" s="336"/>
      <c r="AS830" s="336"/>
      <c r="AT830" s="336"/>
    </row>
    <row r="831" spans="1:46" ht="14.45">
      <c r="A831" s="336"/>
      <c r="B831" s="336"/>
      <c r="C831" s="336"/>
      <c r="D831" s="336"/>
      <c r="E831" s="336"/>
      <c r="F831" s="336"/>
      <c r="G831" s="336"/>
      <c r="H831" s="336"/>
      <c r="I831" s="336"/>
      <c r="J831" s="336"/>
      <c r="K831" s="415"/>
      <c r="L831" s="336"/>
      <c r="M831" s="336"/>
      <c r="N831" s="336"/>
      <c r="O831" s="416"/>
      <c r="P831" s="336"/>
      <c r="Q831" s="415"/>
      <c r="R831" s="336"/>
      <c r="S831" s="336"/>
      <c r="T831" s="336"/>
      <c r="U831" s="336"/>
      <c r="V831" s="336"/>
      <c r="W831" s="336"/>
      <c r="X831" s="336"/>
      <c r="Y831" s="336"/>
      <c r="Z831" s="336"/>
      <c r="AA831" s="336"/>
      <c r="AB831" s="336"/>
      <c r="AC831" s="336"/>
      <c r="AD831" s="336"/>
      <c r="AE831"/>
      <c r="AF831" s="336"/>
      <c r="AG831" s="336"/>
      <c r="AH831" s="336"/>
      <c r="AI831" s="336"/>
      <c r="AJ831" s="336"/>
      <c r="AK831" s="336"/>
      <c r="AL831" s="336"/>
      <c r="AM831" s="336"/>
      <c r="AN831" s="336"/>
      <c r="AO831" s="336"/>
      <c r="AP831" s="336"/>
      <c r="AQ831" s="336"/>
      <c r="AR831" s="336"/>
      <c r="AS831" s="336"/>
      <c r="AT831" s="336"/>
    </row>
    <row r="832" spans="1:46" ht="14.45">
      <c r="A832" s="336"/>
      <c r="B832" s="336"/>
      <c r="C832" s="336"/>
      <c r="D832" s="336"/>
      <c r="E832" s="336"/>
      <c r="F832" s="336"/>
      <c r="G832" s="336"/>
      <c r="H832" s="336"/>
      <c r="I832" s="336"/>
      <c r="J832" s="336"/>
      <c r="K832" s="415"/>
      <c r="L832" s="336"/>
      <c r="M832" s="336"/>
      <c r="N832" s="336"/>
      <c r="O832" s="416"/>
      <c r="P832" s="336"/>
      <c r="Q832" s="415"/>
      <c r="R832" s="336"/>
      <c r="S832" s="336"/>
      <c r="T832" s="336"/>
      <c r="U832" s="336"/>
      <c r="V832" s="336"/>
      <c r="W832" s="336"/>
      <c r="X832" s="336"/>
      <c r="Y832" s="336"/>
      <c r="Z832" s="336"/>
      <c r="AA832" s="336"/>
      <c r="AB832" s="336"/>
      <c r="AC832" s="336"/>
      <c r="AD832" s="336"/>
      <c r="AE832"/>
      <c r="AF832" s="336"/>
      <c r="AG832" s="336"/>
      <c r="AH832" s="336"/>
      <c r="AI832" s="336"/>
      <c r="AJ832" s="336"/>
      <c r="AK832" s="336"/>
      <c r="AL832" s="336"/>
      <c r="AM832" s="336"/>
      <c r="AN832" s="336"/>
      <c r="AO832" s="336"/>
      <c r="AP832" s="336"/>
      <c r="AQ832" s="336"/>
      <c r="AR832" s="336"/>
      <c r="AS832" s="336"/>
      <c r="AT832" s="336"/>
    </row>
    <row r="833" spans="1:46" ht="14.45">
      <c r="A833" s="336"/>
      <c r="B833" s="336"/>
      <c r="C833" s="336"/>
      <c r="D833" s="336"/>
      <c r="E833" s="336"/>
      <c r="F833" s="336"/>
      <c r="G833" s="336"/>
      <c r="H833" s="336"/>
      <c r="I833" s="336"/>
      <c r="J833" s="336"/>
      <c r="K833" s="415"/>
      <c r="L833" s="336"/>
      <c r="M833" s="336"/>
      <c r="N833" s="336"/>
      <c r="O833" s="416"/>
      <c r="P833" s="336"/>
      <c r="Q833" s="415"/>
      <c r="R833" s="336"/>
      <c r="S833" s="336"/>
      <c r="T833" s="336"/>
      <c r="U833" s="336"/>
      <c r="V833" s="336"/>
      <c r="W833" s="336"/>
      <c r="X833" s="336"/>
      <c r="Y833" s="336"/>
      <c r="Z833" s="336"/>
      <c r="AA833" s="336"/>
      <c r="AB833" s="336"/>
      <c r="AC833" s="336"/>
      <c r="AD833" s="336"/>
      <c r="AE833"/>
      <c r="AF833" s="336"/>
      <c r="AG833" s="336"/>
      <c r="AH833" s="336"/>
      <c r="AI833" s="336"/>
      <c r="AJ833" s="336"/>
      <c r="AK833" s="336"/>
      <c r="AL833" s="336"/>
      <c r="AM833" s="336"/>
      <c r="AN833" s="336"/>
      <c r="AO833" s="336"/>
      <c r="AP833" s="336"/>
      <c r="AQ833" s="336"/>
      <c r="AR833" s="336"/>
      <c r="AS833" s="336"/>
      <c r="AT833" s="336"/>
    </row>
    <row r="834" spans="1:46" ht="14.45">
      <c r="A834" s="336"/>
      <c r="B834" s="336"/>
      <c r="C834" s="336"/>
      <c r="D834" s="336"/>
      <c r="E834" s="336"/>
      <c r="F834" s="336"/>
      <c r="G834" s="336"/>
      <c r="H834" s="336"/>
      <c r="I834" s="336"/>
      <c r="J834" s="336"/>
      <c r="K834" s="415"/>
      <c r="L834" s="336"/>
      <c r="M834" s="336"/>
      <c r="N834" s="336"/>
      <c r="O834" s="416"/>
      <c r="P834" s="336"/>
      <c r="Q834" s="415"/>
      <c r="R834" s="336"/>
      <c r="S834" s="336"/>
      <c r="T834" s="336"/>
      <c r="U834" s="336"/>
      <c r="V834" s="336"/>
      <c r="W834" s="336"/>
      <c r="X834" s="336"/>
      <c r="Y834" s="336"/>
      <c r="Z834" s="336"/>
      <c r="AA834" s="336"/>
      <c r="AB834" s="336"/>
      <c r="AC834" s="336"/>
      <c r="AD834" s="336"/>
      <c r="AE834"/>
      <c r="AF834" s="336"/>
      <c r="AG834" s="336"/>
      <c r="AH834" s="336"/>
      <c r="AI834" s="336"/>
      <c r="AJ834" s="336"/>
      <c r="AK834" s="336"/>
      <c r="AL834" s="336"/>
      <c r="AM834" s="336"/>
      <c r="AN834" s="336"/>
      <c r="AO834" s="336"/>
      <c r="AP834" s="336"/>
      <c r="AQ834" s="336"/>
      <c r="AR834" s="336"/>
      <c r="AS834" s="336"/>
      <c r="AT834" s="336"/>
    </row>
    <row r="835" spans="1:46" ht="14.45">
      <c r="A835" s="336"/>
      <c r="B835" s="336"/>
      <c r="C835" s="336"/>
      <c r="D835" s="336"/>
      <c r="E835" s="336"/>
      <c r="F835" s="336"/>
      <c r="G835" s="336"/>
      <c r="H835" s="336"/>
      <c r="I835" s="336"/>
      <c r="J835" s="336"/>
      <c r="K835" s="415"/>
      <c r="L835" s="336"/>
      <c r="M835" s="336"/>
      <c r="N835" s="336"/>
      <c r="O835" s="416"/>
      <c r="P835" s="336"/>
      <c r="Q835" s="415"/>
      <c r="R835" s="336"/>
      <c r="S835" s="336"/>
      <c r="T835" s="336"/>
      <c r="U835" s="336"/>
      <c r="V835" s="336"/>
      <c r="W835" s="336"/>
      <c r="X835" s="336"/>
      <c r="Y835" s="336"/>
      <c r="Z835" s="336"/>
      <c r="AA835" s="336"/>
      <c r="AB835" s="336"/>
      <c r="AC835" s="336"/>
      <c r="AD835" s="336"/>
      <c r="AE835"/>
      <c r="AF835" s="336"/>
      <c r="AG835" s="336"/>
      <c r="AH835" s="336"/>
      <c r="AI835" s="336"/>
      <c r="AJ835" s="336"/>
      <c r="AK835" s="336"/>
      <c r="AL835" s="336"/>
      <c r="AM835" s="336"/>
      <c r="AN835" s="336"/>
      <c r="AO835" s="336"/>
      <c r="AP835" s="336"/>
      <c r="AQ835" s="336"/>
      <c r="AR835" s="336"/>
      <c r="AS835" s="336"/>
      <c r="AT835" s="336"/>
    </row>
    <row r="836" spans="1:46" ht="14.45">
      <c r="A836" s="336"/>
      <c r="B836" s="336"/>
      <c r="C836" s="336"/>
      <c r="D836" s="336"/>
      <c r="E836" s="336"/>
      <c r="F836" s="336"/>
      <c r="G836" s="336"/>
      <c r="H836" s="336"/>
      <c r="I836" s="336"/>
      <c r="J836" s="336"/>
      <c r="K836" s="415"/>
      <c r="L836" s="336"/>
      <c r="M836" s="336"/>
      <c r="N836" s="336"/>
      <c r="O836" s="416"/>
      <c r="P836" s="336"/>
      <c r="Q836" s="415"/>
      <c r="R836" s="336"/>
      <c r="S836" s="336"/>
      <c r="T836" s="336"/>
      <c r="U836" s="336"/>
      <c r="V836" s="336"/>
      <c r="W836" s="336"/>
      <c r="X836" s="336"/>
      <c r="Y836" s="336"/>
      <c r="Z836" s="336"/>
      <c r="AA836" s="336"/>
      <c r="AB836" s="336"/>
      <c r="AC836" s="336"/>
      <c r="AD836" s="336"/>
      <c r="AE836"/>
      <c r="AF836" s="336"/>
      <c r="AG836" s="336"/>
      <c r="AH836" s="336"/>
      <c r="AI836" s="336"/>
      <c r="AJ836" s="336"/>
      <c r="AK836" s="336"/>
      <c r="AL836" s="336"/>
      <c r="AM836" s="336"/>
      <c r="AN836" s="336"/>
      <c r="AO836" s="336"/>
      <c r="AP836" s="336"/>
      <c r="AQ836" s="336"/>
      <c r="AR836" s="336"/>
      <c r="AS836" s="336"/>
      <c r="AT836" s="336"/>
    </row>
    <row r="837" spans="1:46" ht="14.45">
      <c r="A837" s="336"/>
      <c r="B837" s="336"/>
      <c r="C837" s="336"/>
      <c r="D837" s="336"/>
      <c r="E837" s="336"/>
      <c r="F837" s="336"/>
      <c r="G837" s="336"/>
      <c r="H837" s="336"/>
      <c r="I837" s="336"/>
      <c r="J837" s="336"/>
      <c r="K837" s="415"/>
      <c r="L837" s="336"/>
      <c r="M837" s="336"/>
      <c r="N837" s="336"/>
      <c r="O837" s="416"/>
      <c r="P837" s="336"/>
      <c r="Q837" s="415"/>
      <c r="R837" s="336"/>
      <c r="S837" s="336"/>
      <c r="T837" s="336"/>
      <c r="U837" s="336"/>
      <c r="V837" s="336"/>
      <c r="W837" s="336"/>
      <c r="X837" s="336"/>
      <c r="Y837" s="336"/>
      <c r="Z837" s="336"/>
      <c r="AA837" s="336"/>
      <c r="AB837" s="336"/>
      <c r="AC837" s="336"/>
      <c r="AD837" s="336"/>
      <c r="AE837"/>
      <c r="AF837" s="336"/>
      <c r="AG837" s="336"/>
      <c r="AH837" s="336"/>
      <c r="AI837" s="336"/>
      <c r="AJ837" s="336"/>
      <c r="AK837" s="336"/>
      <c r="AL837" s="336"/>
      <c r="AM837" s="336"/>
      <c r="AN837" s="336"/>
      <c r="AO837" s="336"/>
      <c r="AP837" s="336"/>
      <c r="AQ837" s="336"/>
      <c r="AR837" s="336"/>
      <c r="AS837" s="336"/>
      <c r="AT837" s="336"/>
    </row>
    <row r="838" spans="1:46" ht="14.45">
      <c r="A838" s="336"/>
      <c r="B838" s="336"/>
      <c r="C838" s="336"/>
      <c r="D838" s="336"/>
      <c r="E838" s="336"/>
      <c r="F838" s="336"/>
      <c r="G838" s="336"/>
      <c r="H838" s="336"/>
      <c r="I838" s="336"/>
      <c r="J838" s="336"/>
      <c r="K838" s="415"/>
      <c r="L838" s="336"/>
      <c r="M838" s="336"/>
      <c r="N838" s="336"/>
      <c r="O838" s="416"/>
      <c r="P838" s="336"/>
      <c r="Q838" s="415"/>
      <c r="R838" s="336"/>
      <c r="S838" s="336"/>
      <c r="T838" s="336"/>
      <c r="U838" s="336"/>
      <c r="V838" s="336"/>
      <c r="W838" s="336"/>
      <c r="X838" s="336"/>
      <c r="Y838" s="336"/>
      <c r="Z838" s="336"/>
      <c r="AA838" s="336"/>
      <c r="AB838" s="336"/>
      <c r="AC838" s="336"/>
      <c r="AD838" s="336"/>
      <c r="AE838"/>
      <c r="AF838" s="336"/>
      <c r="AG838" s="336"/>
      <c r="AH838" s="336"/>
      <c r="AI838" s="336"/>
      <c r="AJ838" s="336"/>
      <c r="AK838" s="336"/>
      <c r="AL838" s="336"/>
      <c r="AM838" s="336"/>
      <c r="AN838" s="336"/>
      <c r="AO838" s="336"/>
      <c r="AP838" s="336"/>
      <c r="AQ838" s="336"/>
      <c r="AR838" s="336"/>
      <c r="AS838" s="336"/>
      <c r="AT838" s="336"/>
    </row>
    <row r="839" spans="1:46" ht="14.45">
      <c r="A839" s="336"/>
      <c r="B839" s="336"/>
      <c r="C839" s="336"/>
      <c r="D839" s="336"/>
      <c r="E839" s="336"/>
      <c r="F839" s="336"/>
      <c r="G839" s="336"/>
      <c r="H839" s="336"/>
      <c r="I839" s="336"/>
      <c r="J839" s="336"/>
      <c r="K839" s="415"/>
      <c r="L839" s="336"/>
      <c r="M839" s="336"/>
      <c r="N839" s="336"/>
      <c r="O839" s="416"/>
      <c r="P839" s="336"/>
      <c r="Q839" s="415"/>
      <c r="R839" s="336"/>
      <c r="S839" s="336"/>
      <c r="T839" s="336"/>
      <c r="U839" s="336"/>
      <c r="V839" s="336"/>
      <c r="W839" s="336"/>
      <c r="X839" s="336"/>
      <c r="Y839" s="336"/>
      <c r="Z839" s="336"/>
      <c r="AA839" s="336"/>
      <c r="AB839" s="336"/>
      <c r="AC839" s="336"/>
      <c r="AD839" s="336"/>
      <c r="AE839"/>
      <c r="AF839" s="336"/>
      <c r="AG839" s="336"/>
      <c r="AH839" s="336"/>
      <c r="AI839" s="336"/>
      <c r="AJ839" s="336"/>
      <c r="AK839" s="336"/>
      <c r="AL839" s="336"/>
      <c r="AM839" s="336"/>
      <c r="AN839" s="336"/>
      <c r="AO839" s="336"/>
      <c r="AP839" s="336"/>
      <c r="AQ839" s="336"/>
      <c r="AR839" s="336"/>
      <c r="AS839" s="336"/>
      <c r="AT839" s="336"/>
    </row>
    <row r="840" spans="1:46" ht="14.45">
      <c r="A840" s="336"/>
      <c r="B840" s="336"/>
      <c r="C840" s="336"/>
      <c r="D840" s="336"/>
      <c r="E840" s="336"/>
      <c r="F840" s="336"/>
      <c r="G840" s="336"/>
      <c r="H840" s="336"/>
      <c r="I840" s="336"/>
      <c r="J840" s="336"/>
      <c r="K840" s="415"/>
      <c r="L840" s="336"/>
      <c r="M840" s="336"/>
      <c r="N840" s="336"/>
      <c r="O840" s="416"/>
      <c r="P840" s="336"/>
      <c r="Q840" s="415"/>
      <c r="R840" s="336"/>
      <c r="S840" s="336"/>
      <c r="T840" s="336"/>
      <c r="U840" s="336"/>
      <c r="V840" s="336"/>
      <c r="W840" s="336"/>
      <c r="X840" s="336"/>
      <c r="Y840" s="336"/>
      <c r="Z840" s="336"/>
      <c r="AA840" s="336"/>
      <c r="AB840" s="336"/>
      <c r="AC840" s="336"/>
      <c r="AD840" s="336"/>
      <c r="AE840"/>
      <c r="AF840" s="336"/>
      <c r="AG840" s="336"/>
      <c r="AH840" s="336"/>
      <c r="AI840" s="336"/>
      <c r="AJ840" s="336"/>
      <c r="AK840" s="336"/>
      <c r="AL840" s="336"/>
      <c r="AM840" s="336"/>
      <c r="AN840" s="336"/>
      <c r="AO840" s="336"/>
      <c r="AP840" s="336"/>
      <c r="AQ840" s="336"/>
      <c r="AR840" s="336"/>
      <c r="AS840" s="336"/>
      <c r="AT840" s="336"/>
    </row>
    <row r="841" spans="1:46" ht="14.45">
      <c r="A841" s="336"/>
      <c r="B841" s="336"/>
      <c r="C841" s="336"/>
      <c r="D841" s="336"/>
      <c r="E841" s="336"/>
      <c r="F841" s="336"/>
      <c r="G841" s="336"/>
      <c r="H841" s="336"/>
      <c r="I841" s="336"/>
      <c r="J841" s="336"/>
      <c r="K841" s="415"/>
      <c r="L841" s="336"/>
      <c r="M841" s="336"/>
      <c r="N841" s="336"/>
      <c r="O841" s="416"/>
      <c r="P841" s="336"/>
      <c r="Q841" s="415"/>
      <c r="R841" s="336"/>
      <c r="S841" s="336"/>
      <c r="T841" s="336"/>
      <c r="U841" s="336"/>
      <c r="V841" s="336"/>
      <c r="W841" s="336"/>
      <c r="X841" s="336"/>
      <c r="Y841" s="336"/>
      <c r="Z841" s="336"/>
      <c r="AA841" s="336"/>
      <c r="AB841" s="336"/>
      <c r="AC841" s="336"/>
      <c r="AD841" s="336"/>
      <c r="AE841"/>
      <c r="AF841" s="336"/>
      <c r="AG841" s="336"/>
      <c r="AH841" s="336"/>
      <c r="AI841" s="336"/>
      <c r="AJ841" s="336"/>
      <c r="AK841" s="336"/>
      <c r="AL841" s="336"/>
      <c r="AM841" s="336"/>
      <c r="AN841" s="336"/>
      <c r="AO841" s="336"/>
      <c r="AP841" s="336"/>
      <c r="AQ841" s="336"/>
      <c r="AR841" s="336"/>
      <c r="AS841" s="336"/>
      <c r="AT841" s="336"/>
    </row>
    <row r="842" spans="1:46" ht="14.45">
      <c r="A842" s="336"/>
      <c r="B842" s="336"/>
      <c r="C842" s="336"/>
      <c r="D842" s="336"/>
      <c r="E842" s="336"/>
      <c r="F842" s="336"/>
      <c r="G842" s="336"/>
      <c r="H842" s="336"/>
      <c r="I842" s="336"/>
      <c r="J842" s="336"/>
      <c r="K842" s="415"/>
      <c r="L842" s="336"/>
      <c r="M842" s="336"/>
      <c r="N842" s="336"/>
      <c r="O842" s="416"/>
      <c r="P842" s="336"/>
      <c r="Q842" s="415"/>
      <c r="R842" s="336"/>
      <c r="S842" s="336"/>
      <c r="T842" s="336"/>
      <c r="U842" s="336"/>
      <c r="V842" s="336"/>
      <c r="W842" s="336"/>
      <c r="X842" s="336"/>
      <c r="Y842" s="336"/>
      <c r="Z842" s="336"/>
      <c r="AA842" s="336"/>
      <c r="AB842" s="336"/>
      <c r="AC842" s="336"/>
      <c r="AD842" s="336"/>
      <c r="AE842"/>
      <c r="AF842" s="336"/>
      <c r="AG842" s="336"/>
      <c r="AH842" s="336"/>
      <c r="AI842" s="336"/>
      <c r="AJ842" s="336"/>
      <c r="AK842" s="336"/>
      <c r="AL842" s="336"/>
      <c r="AM842" s="336"/>
      <c r="AN842" s="336"/>
      <c r="AO842" s="336"/>
      <c r="AP842" s="336"/>
      <c r="AQ842" s="336"/>
      <c r="AR842" s="336"/>
      <c r="AS842" s="336"/>
      <c r="AT842" s="336"/>
    </row>
    <row r="843" spans="1:46" ht="14.45">
      <c r="A843" s="336"/>
      <c r="B843" s="336"/>
      <c r="C843" s="336"/>
      <c r="D843" s="336"/>
      <c r="E843" s="336"/>
      <c r="F843" s="336"/>
      <c r="G843" s="336"/>
      <c r="H843" s="336"/>
      <c r="I843" s="336"/>
      <c r="J843" s="336"/>
      <c r="K843" s="415"/>
      <c r="L843" s="336"/>
      <c r="M843" s="336"/>
      <c r="N843" s="336"/>
      <c r="O843" s="416"/>
      <c r="P843" s="336"/>
      <c r="Q843" s="415"/>
      <c r="R843" s="336"/>
      <c r="S843" s="336"/>
      <c r="T843" s="336"/>
      <c r="U843" s="336"/>
      <c r="V843" s="336"/>
      <c r="W843" s="336"/>
      <c r="X843" s="336"/>
      <c r="Y843" s="336"/>
      <c r="Z843" s="336"/>
      <c r="AA843" s="336"/>
      <c r="AB843" s="336"/>
      <c r="AC843" s="336"/>
      <c r="AD843" s="336"/>
      <c r="AE843"/>
      <c r="AF843" s="336"/>
      <c r="AG843" s="336"/>
      <c r="AH843" s="336"/>
      <c r="AI843" s="336"/>
      <c r="AJ843" s="336"/>
      <c r="AK843" s="336"/>
      <c r="AL843" s="336"/>
      <c r="AM843" s="336"/>
      <c r="AN843" s="336"/>
      <c r="AO843" s="336"/>
      <c r="AP843" s="336"/>
      <c r="AQ843" s="336"/>
      <c r="AR843" s="336"/>
      <c r="AS843" s="336"/>
      <c r="AT843" s="336"/>
    </row>
    <row r="844" spans="1:46" ht="14.45">
      <c r="A844" s="336"/>
      <c r="B844" s="336"/>
      <c r="C844" s="336"/>
      <c r="D844" s="336"/>
      <c r="E844" s="336"/>
      <c r="F844" s="336"/>
      <c r="G844" s="336"/>
      <c r="H844" s="336"/>
      <c r="I844" s="336"/>
      <c r="J844" s="336"/>
      <c r="K844" s="415"/>
      <c r="L844" s="336"/>
      <c r="M844" s="336"/>
      <c r="N844" s="336"/>
      <c r="O844" s="416"/>
      <c r="P844" s="336"/>
      <c r="Q844" s="415"/>
      <c r="R844" s="336"/>
      <c r="S844" s="336"/>
      <c r="T844" s="336"/>
      <c r="U844" s="336"/>
      <c r="V844" s="336"/>
      <c r="W844" s="336"/>
      <c r="X844" s="336"/>
      <c r="Y844" s="336"/>
      <c r="Z844" s="336"/>
      <c r="AA844" s="336"/>
      <c r="AB844" s="336"/>
      <c r="AC844" s="336"/>
      <c r="AD844" s="336"/>
      <c r="AE844"/>
      <c r="AF844" s="336"/>
      <c r="AG844" s="336"/>
      <c r="AH844" s="336"/>
      <c r="AI844" s="336"/>
      <c r="AJ844" s="336"/>
      <c r="AK844" s="336"/>
      <c r="AL844" s="336"/>
      <c r="AM844" s="336"/>
      <c r="AN844" s="336"/>
      <c r="AO844" s="336"/>
      <c r="AP844" s="336"/>
      <c r="AQ844" s="336"/>
      <c r="AR844" s="336"/>
      <c r="AS844" s="336"/>
      <c r="AT844" s="336"/>
    </row>
    <row r="845" spans="1:46" ht="14.45">
      <c r="A845" s="336"/>
      <c r="B845" s="336"/>
      <c r="C845" s="336"/>
      <c r="D845" s="336"/>
      <c r="E845" s="336"/>
      <c r="F845" s="336"/>
      <c r="G845" s="336"/>
      <c r="H845" s="336"/>
      <c r="I845" s="336"/>
      <c r="J845" s="336"/>
      <c r="K845" s="415"/>
      <c r="L845" s="336"/>
      <c r="M845" s="336"/>
      <c r="N845" s="336"/>
      <c r="O845" s="416"/>
      <c r="P845" s="336"/>
      <c r="Q845" s="415"/>
      <c r="R845" s="336"/>
      <c r="S845" s="336"/>
      <c r="T845" s="336"/>
      <c r="U845" s="336"/>
      <c r="V845" s="336"/>
      <c r="W845" s="336"/>
      <c r="X845" s="336"/>
      <c r="Y845" s="336"/>
      <c r="Z845" s="336"/>
      <c r="AA845" s="336"/>
      <c r="AB845" s="336"/>
      <c r="AC845" s="336"/>
      <c r="AD845" s="336"/>
      <c r="AE845"/>
      <c r="AF845" s="336"/>
      <c r="AG845" s="336"/>
      <c r="AH845" s="336"/>
      <c r="AI845" s="336"/>
      <c r="AJ845" s="336"/>
      <c r="AK845" s="336"/>
      <c r="AL845" s="336"/>
      <c r="AM845" s="336"/>
      <c r="AN845" s="336"/>
      <c r="AO845" s="336"/>
      <c r="AP845" s="336"/>
      <c r="AQ845" s="336"/>
      <c r="AR845" s="336"/>
      <c r="AS845" s="336"/>
      <c r="AT845" s="336"/>
    </row>
    <row r="846" spans="1:46" ht="14.45">
      <c r="A846" s="336"/>
      <c r="B846" s="336"/>
      <c r="C846" s="336"/>
      <c r="D846" s="336"/>
      <c r="E846" s="336"/>
      <c r="F846" s="336"/>
      <c r="G846" s="336"/>
      <c r="H846" s="336"/>
      <c r="I846" s="336"/>
      <c r="J846" s="336"/>
      <c r="K846" s="415"/>
      <c r="L846" s="336"/>
      <c r="M846" s="336"/>
      <c r="N846" s="336"/>
      <c r="O846" s="416"/>
      <c r="P846" s="336"/>
      <c r="Q846" s="415"/>
      <c r="R846" s="336"/>
      <c r="S846" s="336"/>
      <c r="T846" s="336"/>
      <c r="U846" s="336"/>
      <c r="V846" s="336"/>
      <c r="W846" s="336"/>
      <c r="X846" s="336"/>
      <c r="Y846" s="336"/>
      <c r="Z846" s="336"/>
      <c r="AA846" s="336"/>
      <c r="AB846" s="336"/>
      <c r="AC846" s="336"/>
      <c r="AD846" s="336"/>
      <c r="AE846"/>
      <c r="AF846" s="336"/>
      <c r="AG846" s="336"/>
      <c r="AH846" s="336"/>
      <c r="AI846" s="336"/>
      <c r="AJ846" s="336"/>
      <c r="AK846" s="336"/>
      <c r="AL846" s="336"/>
      <c r="AM846" s="336"/>
      <c r="AN846" s="336"/>
      <c r="AO846" s="336"/>
      <c r="AP846" s="336"/>
      <c r="AQ846" s="336"/>
      <c r="AR846" s="336"/>
      <c r="AS846" s="336"/>
      <c r="AT846" s="336"/>
    </row>
    <row r="847" spans="1:46" ht="14.45">
      <c r="A847" s="336"/>
      <c r="B847" s="336"/>
      <c r="C847" s="336"/>
      <c r="D847" s="336"/>
      <c r="E847" s="336"/>
      <c r="F847" s="336"/>
      <c r="G847" s="336"/>
      <c r="H847" s="336"/>
      <c r="I847" s="336"/>
      <c r="J847" s="336"/>
      <c r="K847" s="415"/>
      <c r="L847" s="336"/>
      <c r="M847" s="336"/>
      <c r="N847" s="336"/>
      <c r="O847" s="416"/>
      <c r="P847" s="336"/>
      <c r="Q847" s="415"/>
      <c r="R847" s="336"/>
      <c r="S847" s="336"/>
      <c r="T847" s="336"/>
      <c r="U847" s="336"/>
      <c r="V847" s="336"/>
      <c r="W847" s="336"/>
      <c r="X847" s="336"/>
      <c r="Y847" s="336"/>
      <c r="Z847" s="336"/>
      <c r="AA847" s="336"/>
      <c r="AB847" s="336"/>
      <c r="AC847" s="336"/>
      <c r="AD847" s="336"/>
      <c r="AE847"/>
      <c r="AF847" s="336"/>
      <c r="AG847" s="336"/>
      <c r="AH847" s="336"/>
      <c r="AI847" s="336"/>
      <c r="AJ847" s="336"/>
      <c r="AK847" s="336"/>
      <c r="AL847" s="336"/>
      <c r="AM847" s="336"/>
      <c r="AN847" s="336"/>
      <c r="AO847" s="336"/>
      <c r="AP847" s="336"/>
      <c r="AQ847" s="336"/>
      <c r="AR847" s="336"/>
      <c r="AS847" s="336"/>
      <c r="AT847" s="336"/>
    </row>
    <row r="848" spans="1:46" ht="14.45">
      <c r="A848" s="336"/>
      <c r="B848" s="336"/>
      <c r="C848" s="336"/>
      <c r="D848" s="336"/>
      <c r="E848" s="336"/>
      <c r="F848" s="336"/>
      <c r="G848" s="336"/>
      <c r="H848" s="336"/>
      <c r="I848" s="336"/>
      <c r="J848" s="336"/>
      <c r="K848" s="415"/>
      <c r="L848" s="336"/>
      <c r="M848" s="336"/>
      <c r="N848" s="336"/>
      <c r="O848" s="416"/>
      <c r="P848" s="336"/>
      <c r="Q848" s="415"/>
      <c r="R848" s="336"/>
      <c r="S848" s="336"/>
      <c r="T848" s="336"/>
      <c r="U848" s="336"/>
      <c r="V848" s="336"/>
      <c r="W848" s="336"/>
      <c r="X848" s="336"/>
      <c r="Y848" s="336"/>
      <c r="Z848" s="336"/>
      <c r="AA848" s="336"/>
      <c r="AB848" s="336"/>
      <c r="AC848" s="336"/>
      <c r="AD848" s="336"/>
      <c r="AE848"/>
      <c r="AF848" s="336"/>
      <c r="AG848" s="336"/>
      <c r="AH848" s="336"/>
      <c r="AI848" s="336"/>
      <c r="AJ848" s="336"/>
      <c r="AK848" s="336"/>
      <c r="AL848" s="336"/>
      <c r="AM848" s="336"/>
      <c r="AN848" s="336"/>
      <c r="AO848" s="336"/>
      <c r="AP848" s="336"/>
      <c r="AQ848" s="336"/>
      <c r="AR848" s="336"/>
      <c r="AS848" s="336"/>
      <c r="AT848" s="336"/>
    </row>
    <row r="849" spans="1:46" ht="14.45">
      <c r="A849" s="336"/>
      <c r="B849" s="336"/>
      <c r="C849" s="336"/>
      <c r="D849" s="336"/>
      <c r="E849" s="336"/>
      <c r="F849" s="336"/>
      <c r="G849" s="336"/>
      <c r="H849" s="336"/>
      <c r="I849" s="336"/>
      <c r="J849" s="336"/>
      <c r="K849" s="415"/>
      <c r="L849" s="336"/>
      <c r="M849" s="336"/>
      <c r="N849" s="336"/>
      <c r="O849" s="416"/>
      <c r="P849" s="336"/>
      <c r="Q849" s="415"/>
      <c r="R849" s="336"/>
      <c r="S849" s="336"/>
      <c r="T849" s="336"/>
      <c r="U849" s="336"/>
      <c r="V849" s="336"/>
      <c r="W849" s="336"/>
      <c r="X849" s="336"/>
      <c r="Y849" s="336"/>
      <c r="Z849" s="336"/>
      <c r="AA849" s="336"/>
      <c r="AB849" s="336"/>
      <c r="AC849" s="336"/>
      <c r="AD849" s="336"/>
      <c r="AE849"/>
      <c r="AF849" s="336"/>
      <c r="AG849" s="336"/>
      <c r="AH849" s="336"/>
      <c r="AI849" s="336"/>
      <c r="AJ849" s="336"/>
      <c r="AK849" s="336"/>
      <c r="AL849" s="336"/>
      <c r="AM849" s="336"/>
      <c r="AN849" s="336"/>
      <c r="AO849" s="336"/>
      <c r="AP849" s="336"/>
      <c r="AQ849" s="336"/>
      <c r="AR849" s="336"/>
      <c r="AS849" s="336"/>
      <c r="AT849" s="336"/>
    </row>
    <row r="850" spans="1:46" ht="14.45">
      <c r="A850" s="336"/>
      <c r="B850" s="336"/>
      <c r="C850" s="336"/>
      <c r="D850" s="336"/>
      <c r="E850" s="336"/>
      <c r="F850" s="336"/>
      <c r="G850" s="336"/>
      <c r="H850" s="336"/>
      <c r="I850" s="336"/>
      <c r="J850" s="336"/>
      <c r="K850" s="415"/>
      <c r="L850" s="336"/>
      <c r="M850" s="336"/>
      <c r="N850" s="336"/>
      <c r="O850" s="416"/>
      <c r="P850" s="336"/>
      <c r="Q850" s="415"/>
      <c r="R850" s="336"/>
      <c r="S850" s="336"/>
      <c r="T850" s="336"/>
      <c r="U850" s="336"/>
      <c r="V850" s="336"/>
      <c r="W850" s="336"/>
      <c r="X850" s="336"/>
      <c r="Y850" s="336"/>
      <c r="Z850" s="336"/>
      <c r="AA850" s="336"/>
      <c r="AB850" s="336"/>
      <c r="AC850" s="336"/>
      <c r="AD850" s="336"/>
      <c r="AE850"/>
      <c r="AF850" s="336"/>
      <c r="AG850" s="336"/>
      <c r="AH850" s="336"/>
      <c r="AI850" s="336"/>
      <c r="AJ850" s="336"/>
      <c r="AK850" s="336"/>
      <c r="AL850" s="336"/>
      <c r="AM850" s="336"/>
      <c r="AN850" s="336"/>
      <c r="AO850" s="336"/>
      <c r="AP850" s="336"/>
      <c r="AQ850" s="336"/>
      <c r="AR850" s="336"/>
      <c r="AS850" s="336"/>
      <c r="AT850" s="336"/>
    </row>
    <row r="851" spans="1:46" ht="14.45">
      <c r="A851" s="336"/>
      <c r="B851" s="336"/>
      <c r="C851" s="336"/>
      <c r="D851" s="336"/>
      <c r="E851" s="336"/>
      <c r="F851" s="336"/>
      <c r="G851" s="336"/>
      <c r="H851" s="336"/>
      <c r="I851" s="336"/>
      <c r="J851" s="336"/>
      <c r="K851" s="415"/>
      <c r="L851" s="336"/>
      <c r="M851" s="336"/>
      <c r="N851" s="336"/>
      <c r="O851" s="416"/>
      <c r="P851" s="336"/>
      <c r="Q851" s="415"/>
      <c r="R851" s="336"/>
      <c r="S851" s="336"/>
      <c r="T851" s="336"/>
      <c r="U851" s="336"/>
      <c r="V851" s="336"/>
      <c r="W851" s="336"/>
      <c r="X851" s="336"/>
      <c r="Y851" s="336"/>
      <c r="Z851" s="336"/>
      <c r="AA851" s="336"/>
      <c r="AB851" s="336"/>
      <c r="AC851" s="336"/>
      <c r="AD851" s="336"/>
      <c r="AE851"/>
      <c r="AF851" s="336"/>
      <c r="AG851" s="336"/>
      <c r="AH851" s="336"/>
      <c r="AI851" s="336"/>
      <c r="AJ851" s="336"/>
      <c r="AK851" s="336"/>
      <c r="AL851" s="336"/>
      <c r="AM851" s="336"/>
      <c r="AN851" s="336"/>
      <c r="AO851" s="336"/>
      <c r="AP851" s="336"/>
      <c r="AQ851" s="336"/>
      <c r="AR851" s="336"/>
      <c r="AS851" s="336"/>
      <c r="AT851" s="336"/>
    </row>
    <row r="852" spans="1:46" ht="14.45">
      <c r="A852" s="336"/>
      <c r="B852" s="336"/>
      <c r="C852" s="336"/>
      <c r="D852" s="336"/>
      <c r="E852" s="336"/>
      <c r="F852" s="336"/>
      <c r="G852" s="336"/>
      <c r="H852" s="336"/>
      <c r="I852" s="336"/>
      <c r="J852" s="336"/>
      <c r="K852" s="415"/>
      <c r="L852" s="336"/>
      <c r="M852" s="336"/>
      <c r="N852" s="336"/>
      <c r="O852" s="416"/>
      <c r="P852" s="336"/>
      <c r="Q852" s="415"/>
      <c r="R852" s="336"/>
      <c r="S852" s="336"/>
      <c r="T852" s="336"/>
      <c r="U852" s="336"/>
      <c r="V852" s="336"/>
      <c r="W852" s="336"/>
      <c r="X852" s="336"/>
      <c r="Y852" s="336"/>
      <c r="Z852" s="336"/>
      <c r="AA852" s="336"/>
      <c r="AB852" s="336"/>
      <c r="AC852" s="336"/>
      <c r="AD852" s="336"/>
      <c r="AE852"/>
      <c r="AF852" s="336"/>
      <c r="AG852" s="336"/>
      <c r="AH852" s="336"/>
      <c r="AI852" s="336"/>
      <c r="AJ852" s="336"/>
      <c r="AK852" s="336"/>
      <c r="AL852" s="336"/>
      <c r="AM852" s="336"/>
      <c r="AN852" s="336"/>
      <c r="AO852" s="336"/>
      <c r="AP852" s="336"/>
      <c r="AQ852" s="336"/>
      <c r="AR852" s="336"/>
      <c r="AS852" s="336"/>
      <c r="AT852" s="336"/>
    </row>
    <row r="853" spans="1:46" ht="14.45">
      <c r="A853" s="336"/>
      <c r="B853" s="336"/>
      <c r="C853" s="336"/>
      <c r="D853" s="336"/>
      <c r="E853" s="336"/>
      <c r="F853" s="336"/>
      <c r="G853" s="336"/>
      <c r="H853" s="336"/>
      <c r="I853" s="336"/>
      <c r="J853" s="336"/>
      <c r="K853" s="415"/>
      <c r="L853" s="336"/>
      <c r="M853" s="336"/>
      <c r="N853" s="336"/>
      <c r="O853" s="416"/>
      <c r="P853" s="336"/>
      <c r="Q853" s="415"/>
      <c r="R853" s="336"/>
      <c r="S853" s="336"/>
      <c r="T853" s="336"/>
      <c r="U853" s="336"/>
      <c r="V853" s="336"/>
      <c r="W853" s="336"/>
      <c r="X853" s="336"/>
      <c r="Y853" s="336"/>
      <c r="Z853" s="336"/>
      <c r="AA853" s="336"/>
      <c r="AB853" s="336"/>
      <c r="AC853" s="336"/>
      <c r="AD853" s="336"/>
      <c r="AE853"/>
      <c r="AF853" s="336"/>
      <c r="AG853" s="336"/>
      <c r="AH853" s="336"/>
      <c r="AI853" s="336"/>
      <c r="AJ853" s="336"/>
      <c r="AK853" s="336"/>
      <c r="AL853" s="336"/>
      <c r="AM853" s="336"/>
      <c r="AN853" s="336"/>
      <c r="AO853" s="336"/>
      <c r="AP853" s="336"/>
      <c r="AQ853" s="336"/>
      <c r="AR853" s="336"/>
      <c r="AS853" s="336"/>
      <c r="AT853" s="336"/>
    </row>
    <row r="854" spans="1:46" ht="14.45">
      <c r="A854" s="336"/>
      <c r="B854" s="336"/>
      <c r="C854" s="336"/>
      <c r="D854" s="336"/>
      <c r="E854" s="336"/>
      <c r="F854" s="336"/>
      <c r="G854" s="336"/>
      <c r="H854" s="336"/>
      <c r="I854" s="336"/>
      <c r="J854" s="336"/>
      <c r="K854" s="415"/>
      <c r="L854" s="336"/>
      <c r="M854" s="336"/>
      <c r="N854" s="336"/>
      <c r="O854" s="416"/>
      <c r="P854" s="336"/>
      <c r="Q854" s="415"/>
      <c r="R854" s="336"/>
      <c r="S854" s="336"/>
      <c r="T854" s="336"/>
      <c r="U854" s="336"/>
      <c r="V854" s="336"/>
      <c r="W854" s="336"/>
      <c r="X854" s="336"/>
      <c r="Y854" s="336"/>
      <c r="Z854" s="336"/>
      <c r="AA854" s="336"/>
      <c r="AB854" s="336"/>
      <c r="AC854" s="336"/>
      <c r="AD854" s="336"/>
      <c r="AE854"/>
      <c r="AF854" s="336"/>
      <c r="AG854" s="336"/>
      <c r="AH854" s="336"/>
      <c r="AI854" s="336"/>
      <c r="AJ854" s="336"/>
      <c r="AK854" s="336"/>
      <c r="AL854" s="336"/>
      <c r="AM854" s="336"/>
      <c r="AN854" s="336"/>
      <c r="AO854" s="336"/>
      <c r="AP854" s="336"/>
      <c r="AQ854" s="336"/>
      <c r="AR854" s="336"/>
      <c r="AS854" s="336"/>
      <c r="AT854" s="336"/>
    </row>
    <row r="855" spans="1:46" ht="14.45">
      <c r="A855" s="336"/>
      <c r="B855" s="336"/>
      <c r="C855" s="336"/>
      <c r="D855" s="336"/>
      <c r="E855" s="336"/>
      <c r="F855" s="336"/>
      <c r="G855" s="336"/>
      <c r="H855" s="336"/>
      <c r="I855" s="336"/>
      <c r="J855" s="336"/>
      <c r="K855" s="415"/>
      <c r="L855" s="336"/>
      <c r="M855" s="336"/>
      <c r="N855" s="336"/>
      <c r="O855" s="416"/>
      <c r="P855" s="336"/>
      <c r="Q855" s="415"/>
      <c r="R855" s="336"/>
      <c r="S855" s="336"/>
      <c r="T855" s="336"/>
      <c r="U855" s="336"/>
      <c r="V855" s="336"/>
      <c r="W855" s="336"/>
      <c r="X855" s="336"/>
      <c r="Y855" s="336"/>
      <c r="Z855" s="336"/>
      <c r="AA855" s="336"/>
      <c r="AB855" s="336"/>
      <c r="AC855" s="336"/>
      <c r="AD855" s="336"/>
      <c r="AE855"/>
      <c r="AF855" s="336"/>
      <c r="AG855" s="336"/>
      <c r="AH855" s="336"/>
      <c r="AI855" s="336"/>
      <c r="AJ855" s="336"/>
      <c r="AK855" s="336"/>
      <c r="AL855" s="336"/>
      <c r="AM855" s="336"/>
      <c r="AN855" s="336"/>
      <c r="AO855" s="336"/>
      <c r="AP855" s="336"/>
      <c r="AQ855" s="336"/>
      <c r="AR855" s="336"/>
      <c r="AS855" s="336"/>
      <c r="AT855" s="336"/>
    </row>
    <row r="856" spans="1:46" ht="14.45">
      <c r="A856" s="336"/>
      <c r="B856" s="336"/>
      <c r="C856" s="336"/>
      <c r="D856" s="336"/>
      <c r="E856" s="336"/>
      <c r="F856" s="336"/>
      <c r="G856" s="336"/>
      <c r="H856" s="336"/>
      <c r="I856" s="336"/>
      <c r="J856" s="336"/>
      <c r="K856" s="415"/>
      <c r="L856" s="336"/>
      <c r="M856" s="336"/>
      <c r="N856" s="336"/>
      <c r="O856" s="416"/>
      <c r="P856" s="336"/>
      <c r="Q856" s="415"/>
      <c r="R856" s="336"/>
      <c r="S856" s="336"/>
      <c r="T856" s="336"/>
      <c r="U856" s="336"/>
      <c r="V856" s="336"/>
      <c r="W856" s="336"/>
      <c r="X856" s="336"/>
      <c r="Y856" s="336"/>
      <c r="Z856" s="336"/>
      <c r="AA856" s="336"/>
      <c r="AB856" s="336"/>
      <c r="AC856" s="336"/>
      <c r="AD856" s="336"/>
      <c r="AE856"/>
      <c r="AF856" s="336"/>
      <c r="AG856" s="336"/>
      <c r="AH856" s="336"/>
      <c r="AI856" s="336"/>
      <c r="AJ856" s="336"/>
      <c r="AK856" s="336"/>
      <c r="AL856" s="336"/>
      <c r="AM856" s="336"/>
      <c r="AN856" s="336"/>
      <c r="AO856" s="336"/>
      <c r="AP856" s="336"/>
      <c r="AQ856" s="336"/>
      <c r="AR856" s="336"/>
      <c r="AS856" s="336"/>
      <c r="AT856" s="336"/>
    </row>
    <row r="857" spans="1:46" ht="14.45">
      <c r="A857" s="336"/>
      <c r="B857" s="336"/>
      <c r="C857" s="336"/>
      <c r="D857" s="336"/>
      <c r="E857" s="336"/>
      <c r="F857" s="336"/>
      <c r="G857" s="336"/>
      <c r="H857" s="336"/>
      <c r="I857" s="336"/>
      <c r="J857" s="336"/>
      <c r="K857" s="415"/>
      <c r="L857" s="336"/>
      <c r="M857" s="336"/>
      <c r="N857" s="336"/>
      <c r="O857" s="416"/>
      <c r="P857" s="336"/>
      <c r="Q857" s="415"/>
      <c r="R857" s="336"/>
      <c r="S857" s="336"/>
      <c r="T857" s="336"/>
      <c r="U857" s="336"/>
      <c r="V857" s="336"/>
      <c r="W857" s="336"/>
      <c r="X857" s="336"/>
      <c r="Y857" s="336"/>
      <c r="Z857" s="336"/>
      <c r="AA857" s="336"/>
      <c r="AB857" s="336"/>
      <c r="AC857" s="336"/>
      <c r="AD857" s="336"/>
      <c r="AE857"/>
      <c r="AF857" s="336"/>
      <c r="AG857" s="336"/>
      <c r="AH857" s="336"/>
      <c r="AI857" s="336"/>
      <c r="AJ857" s="336"/>
      <c r="AK857" s="336"/>
      <c r="AL857" s="336"/>
      <c r="AM857" s="336"/>
      <c r="AN857" s="336"/>
      <c r="AO857" s="336"/>
      <c r="AP857" s="336"/>
      <c r="AQ857" s="336"/>
      <c r="AR857" s="336"/>
      <c r="AS857" s="336"/>
      <c r="AT857" s="336"/>
    </row>
    <row r="858" spans="1:46" ht="14.45">
      <c r="A858" s="336"/>
      <c r="B858" s="336"/>
      <c r="C858" s="336"/>
      <c r="D858" s="336"/>
      <c r="E858" s="336"/>
      <c r="F858" s="336"/>
      <c r="G858" s="336"/>
      <c r="H858" s="336"/>
      <c r="I858" s="336"/>
      <c r="J858" s="336"/>
      <c r="K858" s="415"/>
      <c r="L858" s="336"/>
      <c r="M858" s="336"/>
      <c r="N858" s="336"/>
      <c r="O858" s="416"/>
      <c r="P858" s="336"/>
      <c r="Q858" s="415"/>
      <c r="R858" s="336"/>
      <c r="S858" s="336"/>
      <c r="T858" s="336"/>
      <c r="U858" s="336"/>
      <c r="V858" s="336"/>
      <c r="W858" s="336"/>
      <c r="X858" s="336"/>
      <c r="Y858" s="336"/>
      <c r="Z858" s="336"/>
      <c r="AA858" s="336"/>
      <c r="AB858" s="336"/>
      <c r="AC858" s="336"/>
      <c r="AD858" s="336"/>
      <c r="AE858"/>
      <c r="AF858" s="336"/>
      <c r="AG858" s="336"/>
      <c r="AH858" s="336"/>
      <c r="AI858" s="336"/>
      <c r="AJ858" s="336"/>
      <c r="AK858" s="336"/>
      <c r="AL858" s="336"/>
      <c r="AM858" s="336"/>
      <c r="AN858" s="336"/>
      <c r="AO858" s="336"/>
      <c r="AP858" s="336"/>
      <c r="AQ858" s="336"/>
      <c r="AR858" s="336"/>
      <c r="AS858" s="336"/>
      <c r="AT858" s="336"/>
    </row>
    <row r="859" spans="1:46" ht="14.45">
      <c r="A859" s="336"/>
      <c r="B859" s="336"/>
      <c r="C859" s="336"/>
      <c r="D859" s="336"/>
      <c r="E859" s="336"/>
      <c r="F859" s="336"/>
      <c r="G859" s="336"/>
      <c r="H859" s="336"/>
      <c r="I859" s="336"/>
      <c r="J859" s="336"/>
      <c r="K859" s="415"/>
      <c r="L859" s="336"/>
      <c r="M859" s="336"/>
      <c r="N859" s="336"/>
      <c r="O859" s="416"/>
      <c r="P859" s="336"/>
      <c r="Q859" s="415"/>
      <c r="R859" s="336"/>
      <c r="S859" s="336"/>
      <c r="T859" s="336"/>
      <c r="U859" s="336"/>
      <c r="V859" s="336"/>
      <c r="W859" s="336"/>
      <c r="X859" s="336"/>
      <c r="Y859" s="336"/>
      <c r="Z859" s="336"/>
      <c r="AA859" s="336"/>
      <c r="AB859" s="336"/>
      <c r="AC859" s="336"/>
      <c r="AD859" s="336"/>
      <c r="AE859"/>
      <c r="AF859" s="336"/>
      <c r="AG859" s="336"/>
      <c r="AH859" s="336"/>
      <c r="AI859" s="336"/>
      <c r="AJ859" s="336"/>
      <c r="AK859" s="336"/>
      <c r="AL859" s="336"/>
      <c r="AM859" s="336"/>
      <c r="AN859" s="336"/>
      <c r="AO859" s="336"/>
      <c r="AP859" s="336"/>
      <c r="AQ859" s="336"/>
      <c r="AR859" s="336"/>
      <c r="AS859" s="336"/>
      <c r="AT859" s="336"/>
    </row>
    <row r="860" spans="1:46" ht="14.45">
      <c r="A860" s="336"/>
      <c r="B860" s="336"/>
      <c r="C860" s="336"/>
      <c r="D860" s="336"/>
      <c r="E860" s="336"/>
      <c r="F860" s="336"/>
      <c r="G860" s="336"/>
      <c r="H860" s="336"/>
      <c r="I860" s="336"/>
      <c r="J860" s="336"/>
      <c r="K860" s="415"/>
      <c r="L860" s="336"/>
      <c r="M860" s="336"/>
      <c r="N860" s="336"/>
      <c r="O860" s="416"/>
      <c r="P860" s="336"/>
      <c r="Q860" s="415"/>
      <c r="R860" s="336"/>
      <c r="S860" s="336"/>
      <c r="T860" s="336"/>
      <c r="U860" s="336"/>
      <c r="V860" s="336"/>
      <c r="W860" s="336"/>
      <c r="X860" s="336"/>
      <c r="Y860" s="336"/>
      <c r="Z860" s="336"/>
      <c r="AA860" s="336"/>
      <c r="AB860" s="336"/>
      <c r="AC860" s="336"/>
      <c r="AD860" s="336"/>
      <c r="AE860"/>
      <c r="AF860" s="336"/>
      <c r="AG860" s="336"/>
      <c r="AH860" s="336"/>
      <c r="AI860" s="336"/>
      <c r="AJ860" s="336"/>
      <c r="AK860" s="336"/>
      <c r="AL860" s="336"/>
      <c r="AM860" s="336"/>
      <c r="AN860" s="336"/>
      <c r="AO860" s="336"/>
      <c r="AP860" s="336"/>
      <c r="AQ860" s="336"/>
      <c r="AR860" s="336"/>
      <c r="AS860" s="336"/>
      <c r="AT860" s="336"/>
    </row>
    <row r="861" spans="1:46" ht="14.45">
      <c r="A861" s="336"/>
      <c r="B861" s="336"/>
      <c r="C861" s="336"/>
      <c r="D861" s="336"/>
      <c r="E861" s="336"/>
      <c r="F861" s="336"/>
      <c r="G861" s="336"/>
      <c r="H861" s="336"/>
      <c r="I861" s="336"/>
      <c r="J861" s="336"/>
      <c r="K861" s="415"/>
      <c r="L861" s="336"/>
      <c r="M861" s="336"/>
      <c r="N861" s="336"/>
      <c r="O861" s="416"/>
      <c r="P861" s="336"/>
      <c r="Q861" s="415"/>
      <c r="R861" s="336"/>
      <c r="S861" s="336"/>
      <c r="T861" s="336"/>
      <c r="U861" s="336"/>
      <c r="V861" s="336"/>
      <c r="W861" s="336"/>
      <c r="X861" s="336"/>
      <c r="Y861" s="336"/>
      <c r="Z861" s="336"/>
      <c r="AA861" s="336"/>
      <c r="AB861" s="336"/>
      <c r="AC861" s="336"/>
      <c r="AD861" s="336"/>
      <c r="AE861"/>
      <c r="AF861" s="336"/>
      <c r="AG861" s="336"/>
      <c r="AH861" s="336"/>
      <c r="AI861" s="336"/>
      <c r="AJ861" s="336"/>
      <c r="AK861" s="336"/>
      <c r="AL861" s="336"/>
      <c r="AM861" s="336"/>
      <c r="AN861" s="336"/>
      <c r="AO861" s="336"/>
      <c r="AP861" s="336"/>
      <c r="AQ861" s="336"/>
      <c r="AR861" s="336"/>
      <c r="AS861" s="336"/>
      <c r="AT861" s="336"/>
    </row>
    <row r="862" spans="1:46" ht="14.45">
      <c r="A862" s="336"/>
      <c r="B862" s="336"/>
      <c r="C862" s="336"/>
      <c r="D862" s="336"/>
      <c r="E862" s="336"/>
      <c r="F862" s="336"/>
      <c r="G862" s="336"/>
      <c r="H862" s="336"/>
      <c r="I862" s="336"/>
      <c r="J862" s="336"/>
      <c r="K862" s="415"/>
      <c r="L862" s="336"/>
      <c r="M862" s="336"/>
      <c r="N862" s="336"/>
      <c r="O862" s="416"/>
      <c r="P862" s="336"/>
      <c r="Q862" s="415"/>
      <c r="R862" s="336"/>
      <c r="S862" s="336"/>
      <c r="T862" s="336"/>
      <c r="U862" s="336"/>
      <c r="V862" s="336"/>
      <c r="W862" s="336"/>
      <c r="X862" s="336"/>
      <c r="Y862" s="336"/>
      <c r="Z862" s="336"/>
      <c r="AA862" s="336"/>
      <c r="AB862" s="336"/>
      <c r="AC862" s="336"/>
      <c r="AD862" s="336"/>
      <c r="AE862"/>
      <c r="AF862" s="336"/>
      <c r="AG862" s="336"/>
      <c r="AH862" s="336"/>
      <c r="AI862" s="336"/>
      <c r="AJ862" s="336"/>
      <c r="AK862" s="336"/>
      <c r="AL862" s="336"/>
      <c r="AM862" s="336"/>
      <c r="AN862" s="336"/>
      <c r="AO862" s="336"/>
      <c r="AP862" s="336"/>
      <c r="AQ862" s="336"/>
      <c r="AR862" s="336"/>
      <c r="AS862" s="336"/>
      <c r="AT862" s="336"/>
    </row>
    <row r="863" spans="1:46" ht="14.45">
      <c r="A863" s="336"/>
      <c r="B863" s="336"/>
      <c r="C863" s="336"/>
      <c r="D863" s="336"/>
      <c r="E863" s="336"/>
      <c r="F863" s="336"/>
      <c r="G863" s="336"/>
      <c r="H863" s="336"/>
      <c r="I863" s="336"/>
      <c r="J863" s="336"/>
      <c r="K863" s="415"/>
      <c r="L863" s="336"/>
      <c r="M863" s="336"/>
      <c r="N863" s="336"/>
      <c r="O863" s="416"/>
      <c r="P863" s="336"/>
      <c r="Q863" s="415"/>
      <c r="R863" s="336"/>
      <c r="S863" s="336"/>
      <c r="T863" s="336"/>
      <c r="U863" s="336"/>
      <c r="V863" s="336"/>
      <c r="W863" s="336"/>
      <c r="X863" s="336"/>
      <c r="Y863" s="336"/>
      <c r="Z863" s="336"/>
      <c r="AA863" s="336"/>
      <c r="AB863" s="336"/>
      <c r="AC863" s="336"/>
      <c r="AD863" s="336"/>
      <c r="AE863"/>
      <c r="AF863" s="336"/>
      <c r="AG863" s="336"/>
      <c r="AH863" s="336"/>
      <c r="AI863" s="336"/>
      <c r="AJ863" s="336"/>
      <c r="AK863" s="336"/>
      <c r="AL863" s="336"/>
      <c r="AM863" s="336"/>
      <c r="AN863" s="336"/>
      <c r="AO863" s="336"/>
      <c r="AP863" s="336"/>
      <c r="AQ863" s="336"/>
      <c r="AR863" s="336"/>
      <c r="AS863" s="336"/>
      <c r="AT863" s="336"/>
    </row>
    <row r="864" spans="1:46" ht="14.45">
      <c r="A864" s="336"/>
      <c r="B864" s="336"/>
      <c r="C864" s="336"/>
      <c r="D864" s="336"/>
      <c r="E864" s="336"/>
      <c r="F864" s="336"/>
      <c r="G864" s="336"/>
      <c r="H864" s="336"/>
      <c r="I864" s="336"/>
      <c r="J864" s="336"/>
      <c r="K864" s="415"/>
      <c r="L864" s="336"/>
      <c r="M864" s="336"/>
      <c r="N864" s="336"/>
      <c r="O864" s="416"/>
      <c r="P864" s="336"/>
      <c r="Q864" s="415"/>
      <c r="R864" s="336"/>
      <c r="S864" s="336"/>
      <c r="T864" s="336"/>
      <c r="U864" s="336"/>
      <c r="V864" s="336"/>
      <c r="W864" s="336"/>
      <c r="X864" s="336"/>
      <c r="Y864" s="336"/>
      <c r="Z864" s="336"/>
      <c r="AA864" s="336"/>
      <c r="AB864" s="336"/>
      <c r="AC864" s="336"/>
      <c r="AD864" s="336"/>
      <c r="AE864"/>
      <c r="AF864" s="336"/>
      <c r="AG864" s="336"/>
      <c r="AH864" s="336"/>
      <c r="AI864" s="336"/>
      <c r="AJ864" s="336"/>
      <c r="AK864" s="336"/>
      <c r="AL864" s="336"/>
      <c r="AM864" s="336"/>
      <c r="AN864" s="336"/>
      <c r="AO864" s="336"/>
      <c r="AP864" s="336"/>
      <c r="AQ864" s="336"/>
      <c r="AR864" s="336"/>
      <c r="AS864" s="336"/>
      <c r="AT864" s="336"/>
    </row>
    <row r="865" spans="1:46" ht="14.45">
      <c r="A865" s="336"/>
      <c r="B865" s="336"/>
      <c r="C865" s="336"/>
      <c r="D865" s="336"/>
      <c r="E865" s="336"/>
      <c r="F865" s="336"/>
      <c r="G865" s="336"/>
      <c r="H865" s="336"/>
      <c r="I865" s="336"/>
      <c r="J865" s="336"/>
      <c r="K865" s="415"/>
      <c r="L865" s="336"/>
      <c r="M865" s="336"/>
      <c r="N865" s="336"/>
      <c r="O865" s="416"/>
      <c r="P865" s="336"/>
      <c r="Q865" s="415"/>
      <c r="R865" s="336"/>
      <c r="S865" s="336"/>
      <c r="T865" s="336"/>
      <c r="U865" s="336"/>
      <c r="V865" s="336"/>
      <c r="W865" s="336"/>
      <c r="X865" s="336"/>
      <c r="Y865" s="336"/>
      <c r="Z865" s="336"/>
      <c r="AA865" s="336"/>
      <c r="AB865" s="336"/>
      <c r="AC865" s="336"/>
      <c r="AD865" s="336"/>
      <c r="AE865"/>
      <c r="AF865" s="336"/>
      <c r="AG865" s="336"/>
      <c r="AH865" s="336"/>
      <c r="AI865" s="336"/>
      <c r="AJ865" s="336"/>
      <c r="AK865" s="336"/>
      <c r="AL865" s="336"/>
      <c r="AM865" s="336"/>
      <c r="AN865" s="336"/>
      <c r="AO865" s="336"/>
      <c r="AP865" s="336"/>
      <c r="AQ865" s="336"/>
      <c r="AR865" s="336"/>
      <c r="AS865" s="336"/>
      <c r="AT865" s="336"/>
    </row>
    <row r="866" spans="1:46" ht="14.45">
      <c r="A866" s="336"/>
      <c r="B866" s="336"/>
      <c r="C866" s="336"/>
      <c r="D866" s="336"/>
      <c r="E866" s="336"/>
      <c r="F866" s="336"/>
      <c r="G866" s="336"/>
      <c r="H866" s="336"/>
      <c r="I866" s="336"/>
      <c r="J866" s="336"/>
      <c r="K866" s="415"/>
      <c r="L866" s="336"/>
      <c r="M866" s="336"/>
      <c r="N866" s="336"/>
      <c r="O866" s="416"/>
      <c r="P866" s="336"/>
      <c r="Q866" s="415"/>
      <c r="R866" s="336"/>
      <c r="S866" s="336"/>
      <c r="T866" s="336"/>
      <c r="U866" s="336"/>
      <c r="V866" s="336"/>
      <c r="W866" s="336"/>
      <c r="X866" s="336"/>
      <c r="Y866" s="336"/>
      <c r="Z866" s="336"/>
      <c r="AA866" s="336"/>
      <c r="AB866" s="336"/>
      <c r="AC866" s="336"/>
      <c r="AD866" s="336"/>
      <c r="AE866"/>
      <c r="AF866" s="336"/>
      <c r="AG866" s="336"/>
      <c r="AH866" s="336"/>
      <c r="AI866" s="336"/>
      <c r="AJ866" s="336"/>
      <c r="AK866" s="336"/>
      <c r="AL866" s="336"/>
      <c r="AM866" s="336"/>
      <c r="AN866" s="336"/>
      <c r="AO866" s="336"/>
      <c r="AP866" s="336"/>
      <c r="AQ866" s="336"/>
      <c r="AR866" s="336"/>
      <c r="AS866" s="336"/>
      <c r="AT866" s="336"/>
    </row>
    <row r="867" spans="1:46" ht="14.45">
      <c r="A867" s="336"/>
      <c r="B867" s="336"/>
      <c r="C867" s="336"/>
      <c r="D867" s="336"/>
      <c r="E867" s="336"/>
      <c r="F867" s="336"/>
      <c r="G867" s="336"/>
      <c r="H867" s="336"/>
      <c r="I867" s="336"/>
      <c r="J867" s="336"/>
      <c r="K867" s="415"/>
      <c r="L867" s="336"/>
      <c r="M867" s="336"/>
      <c r="N867" s="336"/>
      <c r="O867" s="416"/>
      <c r="P867" s="336"/>
      <c r="Q867" s="415"/>
      <c r="R867" s="336"/>
      <c r="S867" s="336"/>
      <c r="T867" s="336"/>
      <c r="U867" s="336"/>
      <c r="V867" s="336"/>
      <c r="W867" s="336"/>
      <c r="X867" s="336"/>
      <c r="Y867" s="336"/>
      <c r="Z867" s="336"/>
      <c r="AA867" s="336"/>
      <c r="AB867" s="336"/>
      <c r="AC867" s="336"/>
      <c r="AD867" s="336"/>
      <c r="AE867"/>
      <c r="AF867" s="336"/>
      <c r="AG867" s="336"/>
      <c r="AH867" s="336"/>
      <c r="AI867" s="336"/>
      <c r="AJ867" s="336"/>
      <c r="AK867" s="336"/>
      <c r="AL867" s="336"/>
      <c r="AM867" s="336"/>
      <c r="AN867" s="336"/>
      <c r="AO867" s="336"/>
      <c r="AP867" s="336"/>
      <c r="AQ867" s="336"/>
      <c r="AR867" s="336"/>
      <c r="AS867" s="336"/>
      <c r="AT867" s="336"/>
    </row>
    <row r="868" spans="1:46" ht="14.45">
      <c r="A868" s="336"/>
      <c r="B868" s="336"/>
      <c r="C868" s="336"/>
      <c r="D868" s="336"/>
      <c r="E868" s="336"/>
      <c r="F868" s="336"/>
      <c r="G868" s="336"/>
      <c r="H868" s="336"/>
      <c r="I868" s="336"/>
      <c r="J868" s="336"/>
      <c r="K868" s="415"/>
      <c r="L868" s="336"/>
      <c r="M868" s="336"/>
      <c r="N868" s="336"/>
      <c r="O868" s="416"/>
      <c r="P868" s="336"/>
      <c r="Q868" s="415"/>
      <c r="R868" s="336"/>
      <c r="S868" s="336"/>
      <c r="T868" s="336"/>
      <c r="U868" s="336"/>
      <c r="V868" s="336"/>
      <c r="W868" s="336"/>
      <c r="X868" s="336"/>
      <c r="Y868" s="336"/>
      <c r="Z868" s="336"/>
      <c r="AA868" s="336"/>
      <c r="AB868" s="336"/>
      <c r="AC868" s="336"/>
      <c r="AD868" s="336"/>
      <c r="AE868"/>
      <c r="AF868" s="336"/>
      <c r="AG868" s="336"/>
      <c r="AH868" s="336"/>
      <c r="AI868" s="336"/>
      <c r="AJ868" s="336"/>
      <c r="AK868" s="336"/>
      <c r="AL868" s="336"/>
      <c r="AM868" s="336"/>
      <c r="AN868" s="336"/>
      <c r="AO868" s="336"/>
      <c r="AP868" s="336"/>
      <c r="AQ868" s="336"/>
      <c r="AR868" s="336"/>
      <c r="AS868" s="336"/>
      <c r="AT868" s="336"/>
    </row>
    <row r="869" spans="1:46" ht="14.45">
      <c r="A869" s="336"/>
      <c r="B869" s="336"/>
      <c r="C869" s="336"/>
      <c r="D869" s="336"/>
      <c r="E869" s="336"/>
      <c r="F869" s="336"/>
      <c r="G869" s="336"/>
      <c r="H869" s="336"/>
      <c r="I869" s="336"/>
      <c r="J869" s="336"/>
      <c r="K869" s="415"/>
      <c r="L869" s="336"/>
      <c r="M869" s="336"/>
      <c r="N869" s="336"/>
      <c r="O869" s="416"/>
      <c r="P869" s="336"/>
      <c r="Q869" s="415"/>
      <c r="R869" s="336"/>
      <c r="S869" s="336"/>
      <c r="T869" s="336"/>
      <c r="U869" s="336"/>
      <c r="V869" s="336"/>
      <c r="W869" s="336"/>
      <c r="X869" s="336"/>
      <c r="Y869" s="336"/>
      <c r="Z869" s="336"/>
      <c r="AA869" s="336"/>
      <c r="AB869" s="336"/>
      <c r="AC869" s="336"/>
      <c r="AD869" s="336"/>
      <c r="AE869"/>
      <c r="AF869" s="336"/>
      <c r="AG869" s="336"/>
      <c r="AH869" s="336"/>
      <c r="AI869" s="336"/>
      <c r="AJ869" s="336"/>
      <c r="AK869" s="336"/>
      <c r="AL869" s="336"/>
      <c r="AM869" s="336"/>
      <c r="AN869" s="336"/>
      <c r="AO869" s="336"/>
      <c r="AP869" s="336"/>
      <c r="AQ869" s="336"/>
      <c r="AR869" s="336"/>
      <c r="AS869" s="336"/>
      <c r="AT869" s="336"/>
    </row>
    <row r="870" spans="1:46" ht="14.45">
      <c r="A870" s="336"/>
      <c r="B870" s="336"/>
      <c r="C870" s="336"/>
      <c r="D870" s="336"/>
      <c r="E870" s="336"/>
      <c r="F870" s="336"/>
      <c r="G870" s="336"/>
      <c r="H870" s="336"/>
      <c r="I870" s="336"/>
      <c r="J870" s="336"/>
      <c r="K870" s="415"/>
      <c r="L870" s="336"/>
      <c r="M870" s="336"/>
      <c r="N870" s="336"/>
      <c r="O870" s="416"/>
      <c r="P870" s="336"/>
      <c r="Q870" s="415"/>
      <c r="R870" s="336"/>
      <c r="S870" s="336"/>
      <c r="T870" s="336"/>
      <c r="U870" s="336"/>
      <c r="V870" s="336"/>
      <c r="W870" s="336"/>
      <c r="X870" s="336"/>
      <c r="Y870" s="336"/>
      <c r="Z870" s="336"/>
      <c r="AA870" s="336"/>
      <c r="AB870" s="336"/>
      <c r="AC870" s="336"/>
      <c r="AD870" s="336"/>
      <c r="AE870"/>
      <c r="AF870" s="336"/>
      <c r="AG870" s="336"/>
      <c r="AH870" s="336"/>
      <c r="AI870" s="336"/>
      <c r="AJ870" s="336"/>
      <c r="AK870" s="336"/>
      <c r="AL870" s="336"/>
      <c r="AM870" s="336"/>
      <c r="AN870" s="336"/>
      <c r="AO870" s="336"/>
      <c r="AP870" s="336"/>
      <c r="AQ870" s="336"/>
      <c r="AR870" s="336"/>
      <c r="AS870" s="336"/>
      <c r="AT870" s="336"/>
    </row>
    <row r="871" spans="1:46" ht="14.45">
      <c r="A871" s="336"/>
      <c r="B871" s="336"/>
      <c r="C871" s="336"/>
      <c r="D871" s="336"/>
      <c r="E871" s="336"/>
      <c r="F871" s="336"/>
      <c r="G871" s="336"/>
      <c r="H871" s="336"/>
      <c r="I871" s="336"/>
      <c r="J871" s="336"/>
      <c r="K871" s="415"/>
      <c r="L871" s="336"/>
      <c r="M871" s="336"/>
      <c r="N871" s="336"/>
      <c r="O871" s="416"/>
      <c r="P871" s="336"/>
      <c r="Q871" s="415"/>
      <c r="R871" s="336"/>
      <c r="S871" s="336"/>
      <c r="T871" s="336"/>
      <c r="U871" s="336"/>
      <c r="V871" s="336"/>
      <c r="W871" s="336"/>
      <c r="X871" s="336"/>
      <c r="Y871" s="336"/>
      <c r="Z871" s="336"/>
      <c r="AA871" s="336"/>
      <c r="AB871" s="336"/>
      <c r="AC871" s="336"/>
      <c r="AD871" s="336"/>
      <c r="AE871"/>
      <c r="AF871" s="336"/>
      <c r="AG871" s="336"/>
      <c r="AH871" s="336"/>
      <c r="AI871" s="336"/>
      <c r="AJ871" s="336"/>
      <c r="AK871" s="336"/>
      <c r="AL871" s="336"/>
      <c r="AM871" s="336"/>
      <c r="AN871" s="336"/>
      <c r="AO871" s="336"/>
      <c r="AP871" s="336"/>
      <c r="AQ871" s="336"/>
      <c r="AR871" s="336"/>
      <c r="AS871" s="336"/>
      <c r="AT871" s="336"/>
    </row>
    <row r="872" spans="1:46" ht="14.45">
      <c r="A872" s="336"/>
      <c r="B872" s="336"/>
      <c r="C872" s="336"/>
      <c r="D872" s="336"/>
      <c r="E872" s="336"/>
      <c r="F872" s="336"/>
      <c r="G872" s="336"/>
      <c r="H872" s="336"/>
      <c r="I872" s="336"/>
      <c r="J872" s="336"/>
      <c r="K872" s="415"/>
      <c r="L872" s="336"/>
      <c r="M872" s="336"/>
      <c r="N872" s="336"/>
      <c r="O872" s="416"/>
      <c r="P872" s="336"/>
      <c r="Q872" s="415"/>
      <c r="R872" s="336"/>
      <c r="S872" s="336"/>
      <c r="T872" s="336"/>
      <c r="U872" s="336"/>
      <c r="V872" s="336"/>
      <c r="W872" s="336"/>
      <c r="X872" s="336"/>
      <c r="Y872" s="336"/>
      <c r="Z872" s="336"/>
      <c r="AA872" s="336"/>
      <c r="AB872" s="336"/>
      <c r="AC872" s="336"/>
      <c r="AD872" s="336"/>
      <c r="AE872"/>
      <c r="AF872" s="336"/>
      <c r="AG872" s="336"/>
      <c r="AH872" s="336"/>
      <c r="AI872" s="336"/>
      <c r="AJ872" s="336"/>
      <c r="AK872" s="336"/>
      <c r="AL872" s="336"/>
      <c r="AM872" s="336"/>
      <c r="AN872" s="336"/>
      <c r="AO872" s="336"/>
      <c r="AP872" s="336"/>
      <c r="AQ872" s="336"/>
      <c r="AR872" s="336"/>
      <c r="AS872" s="336"/>
      <c r="AT872" s="336"/>
    </row>
    <row r="873" spans="1:46" ht="14.45">
      <c r="A873" s="336"/>
      <c r="B873" s="336"/>
      <c r="C873" s="336"/>
      <c r="D873" s="336"/>
      <c r="E873" s="336"/>
      <c r="F873" s="336"/>
      <c r="G873" s="336"/>
      <c r="H873" s="336"/>
      <c r="I873" s="336"/>
      <c r="J873" s="336"/>
      <c r="K873" s="415"/>
      <c r="L873" s="336"/>
      <c r="M873" s="336"/>
      <c r="N873" s="336"/>
      <c r="O873" s="416"/>
      <c r="P873" s="336"/>
      <c r="Q873" s="415"/>
      <c r="R873" s="336"/>
      <c r="S873" s="336"/>
      <c r="T873" s="336"/>
      <c r="U873" s="336"/>
      <c r="V873" s="336"/>
      <c r="W873" s="336"/>
      <c r="X873" s="336"/>
      <c r="Y873" s="336"/>
      <c r="Z873" s="336"/>
      <c r="AA873" s="336"/>
      <c r="AB873" s="336"/>
      <c r="AC873" s="336"/>
      <c r="AD873" s="336"/>
      <c r="AE873"/>
      <c r="AF873" s="336"/>
      <c r="AG873" s="336"/>
      <c r="AH873" s="336"/>
      <c r="AI873" s="336"/>
      <c r="AJ873" s="336"/>
      <c r="AK873" s="336"/>
      <c r="AL873" s="336"/>
      <c r="AM873" s="336"/>
      <c r="AN873" s="336"/>
      <c r="AO873" s="336"/>
      <c r="AP873" s="336"/>
      <c r="AQ873" s="336"/>
      <c r="AR873" s="336"/>
      <c r="AS873" s="336"/>
      <c r="AT873" s="336"/>
    </row>
    <row r="874" spans="1:46" ht="14.45">
      <c r="A874" s="336"/>
      <c r="B874" s="336"/>
      <c r="C874" s="336"/>
      <c r="D874" s="336"/>
      <c r="E874" s="336"/>
      <c r="F874" s="336"/>
      <c r="G874" s="336"/>
      <c r="H874" s="336"/>
      <c r="I874" s="336"/>
      <c r="J874" s="336"/>
      <c r="K874" s="415"/>
      <c r="L874" s="336"/>
      <c r="M874" s="336"/>
      <c r="N874" s="336"/>
      <c r="O874" s="416"/>
      <c r="P874" s="336"/>
      <c r="Q874" s="415"/>
      <c r="R874" s="336"/>
      <c r="S874" s="336"/>
      <c r="T874" s="336"/>
      <c r="U874" s="336"/>
      <c r="V874" s="336"/>
      <c r="W874" s="336"/>
      <c r="X874" s="336"/>
      <c r="Y874" s="336"/>
      <c r="Z874" s="336"/>
      <c r="AA874" s="336"/>
      <c r="AB874" s="336"/>
      <c r="AC874" s="336"/>
      <c r="AD874" s="336"/>
      <c r="AE874"/>
      <c r="AF874" s="336"/>
      <c r="AG874" s="336"/>
      <c r="AH874" s="336"/>
      <c r="AI874" s="336"/>
      <c r="AJ874" s="336"/>
      <c r="AK874" s="336"/>
      <c r="AL874" s="336"/>
      <c r="AM874" s="336"/>
      <c r="AN874" s="336"/>
      <c r="AO874" s="336"/>
      <c r="AP874" s="336"/>
      <c r="AQ874" s="336"/>
      <c r="AR874" s="336"/>
      <c r="AS874" s="336"/>
      <c r="AT874" s="336"/>
    </row>
    <row r="875" spans="1:46" ht="14.45">
      <c r="A875" s="336"/>
      <c r="B875" s="336"/>
      <c r="C875" s="336"/>
      <c r="D875" s="336"/>
      <c r="E875" s="336"/>
      <c r="F875" s="336"/>
      <c r="G875" s="336"/>
      <c r="H875" s="336"/>
      <c r="I875" s="336"/>
      <c r="J875" s="336"/>
      <c r="K875" s="415"/>
      <c r="L875" s="336"/>
      <c r="M875" s="336"/>
      <c r="N875" s="336"/>
      <c r="O875" s="416"/>
      <c r="P875" s="336"/>
      <c r="Q875" s="415"/>
      <c r="R875" s="336"/>
      <c r="S875" s="336"/>
      <c r="T875" s="336"/>
      <c r="U875" s="336"/>
      <c r="V875" s="336"/>
      <c r="W875" s="336"/>
      <c r="X875" s="336"/>
      <c r="Y875" s="336"/>
      <c r="Z875" s="336"/>
      <c r="AA875" s="336"/>
      <c r="AB875" s="336"/>
      <c r="AC875" s="336"/>
      <c r="AD875" s="336"/>
      <c r="AE875"/>
      <c r="AF875" s="336"/>
      <c r="AG875" s="336"/>
      <c r="AH875" s="336"/>
      <c r="AI875" s="336"/>
      <c r="AJ875" s="336"/>
      <c r="AK875" s="336"/>
      <c r="AL875" s="336"/>
      <c r="AM875" s="336"/>
      <c r="AN875" s="336"/>
      <c r="AO875" s="336"/>
      <c r="AP875" s="336"/>
      <c r="AQ875" s="336"/>
      <c r="AR875" s="336"/>
      <c r="AS875" s="336"/>
      <c r="AT875" s="336"/>
    </row>
    <row r="876" spans="1:46" ht="14.45">
      <c r="A876" s="336"/>
      <c r="B876" s="336"/>
      <c r="C876" s="336"/>
      <c r="D876" s="336"/>
      <c r="E876" s="336"/>
      <c r="F876" s="336"/>
      <c r="G876" s="336"/>
      <c r="H876" s="336"/>
      <c r="I876" s="336"/>
      <c r="J876" s="336"/>
      <c r="K876" s="415"/>
      <c r="L876" s="336"/>
      <c r="M876" s="336"/>
      <c r="N876" s="336"/>
      <c r="O876" s="416"/>
      <c r="P876" s="336"/>
      <c r="Q876" s="415"/>
      <c r="R876" s="336"/>
      <c r="S876" s="336"/>
      <c r="T876" s="336"/>
      <c r="U876" s="336"/>
      <c r="V876" s="336"/>
      <c r="W876" s="336"/>
      <c r="X876" s="336"/>
      <c r="Y876" s="336"/>
      <c r="Z876" s="336"/>
      <c r="AA876" s="336"/>
      <c r="AB876" s="336"/>
      <c r="AC876" s="336"/>
      <c r="AD876" s="336"/>
      <c r="AE876"/>
      <c r="AF876" s="336"/>
      <c r="AG876" s="336"/>
      <c r="AH876" s="336"/>
      <c r="AI876" s="336"/>
      <c r="AJ876" s="336"/>
      <c r="AK876" s="336"/>
      <c r="AL876" s="336"/>
      <c r="AM876" s="336"/>
      <c r="AN876" s="336"/>
      <c r="AO876" s="336"/>
      <c r="AP876" s="336"/>
      <c r="AQ876" s="336"/>
      <c r="AR876" s="336"/>
      <c r="AS876" s="336"/>
      <c r="AT876" s="336"/>
    </row>
    <row r="877" spans="1:46" ht="14.45">
      <c r="A877" s="336"/>
      <c r="B877" s="336"/>
      <c r="C877" s="336"/>
      <c r="D877" s="336"/>
      <c r="E877" s="336"/>
      <c r="F877" s="336"/>
      <c r="G877" s="336"/>
      <c r="H877" s="336"/>
      <c r="I877" s="336"/>
      <c r="J877" s="336"/>
      <c r="K877" s="415"/>
      <c r="L877" s="336"/>
      <c r="M877" s="336"/>
      <c r="N877" s="336"/>
      <c r="O877" s="416"/>
      <c r="P877" s="336"/>
      <c r="Q877" s="415"/>
      <c r="R877" s="336"/>
      <c r="S877" s="336"/>
      <c r="T877" s="336"/>
      <c r="U877" s="336"/>
      <c r="V877" s="336"/>
      <c r="W877" s="336"/>
      <c r="X877" s="336"/>
      <c r="Y877" s="336"/>
      <c r="Z877" s="336"/>
      <c r="AA877" s="336"/>
      <c r="AB877" s="336"/>
      <c r="AC877" s="336"/>
      <c r="AD877" s="336"/>
      <c r="AE877"/>
      <c r="AF877" s="336"/>
      <c r="AG877" s="336"/>
      <c r="AH877" s="336"/>
      <c r="AI877" s="336"/>
      <c r="AJ877" s="336"/>
      <c r="AK877" s="336"/>
      <c r="AL877" s="336"/>
      <c r="AM877" s="336"/>
      <c r="AN877" s="336"/>
      <c r="AO877" s="336"/>
      <c r="AP877" s="336"/>
      <c r="AQ877" s="336"/>
      <c r="AR877" s="336"/>
      <c r="AS877" s="336"/>
      <c r="AT877" s="336"/>
    </row>
    <row r="878" spans="1:46" ht="14.45">
      <c r="A878" s="336"/>
      <c r="B878" s="336"/>
      <c r="C878" s="336"/>
      <c r="D878" s="336"/>
      <c r="E878" s="336"/>
      <c r="F878" s="336"/>
      <c r="G878" s="336"/>
      <c r="H878" s="336"/>
      <c r="I878" s="336"/>
      <c r="J878" s="336"/>
      <c r="K878" s="415"/>
      <c r="L878" s="336"/>
      <c r="M878" s="336"/>
      <c r="N878" s="336"/>
      <c r="O878" s="416"/>
      <c r="P878" s="336"/>
      <c r="Q878" s="415"/>
      <c r="R878" s="336"/>
      <c r="S878" s="336"/>
      <c r="T878" s="336"/>
      <c r="U878" s="336"/>
      <c r="V878" s="336"/>
      <c r="W878" s="336"/>
      <c r="X878" s="336"/>
      <c r="Y878" s="336"/>
      <c r="Z878" s="336"/>
      <c r="AA878" s="336"/>
      <c r="AB878" s="336"/>
      <c r="AC878" s="336"/>
      <c r="AD878" s="336"/>
      <c r="AE878"/>
      <c r="AF878" s="336"/>
      <c r="AG878" s="336"/>
      <c r="AH878" s="336"/>
      <c r="AI878" s="336"/>
      <c r="AJ878" s="336"/>
      <c r="AK878" s="336"/>
      <c r="AL878" s="336"/>
      <c r="AM878" s="336"/>
      <c r="AN878" s="336"/>
      <c r="AO878" s="336"/>
      <c r="AP878" s="336"/>
      <c r="AQ878" s="336"/>
      <c r="AR878" s="336"/>
      <c r="AS878" s="336"/>
      <c r="AT878" s="336"/>
    </row>
    <row r="879" spans="1:46" ht="14.45">
      <c r="A879" s="336"/>
      <c r="B879" s="336"/>
      <c r="C879" s="336"/>
      <c r="D879" s="336"/>
      <c r="E879" s="336"/>
      <c r="F879" s="336"/>
      <c r="G879" s="336"/>
      <c r="H879" s="336"/>
      <c r="I879" s="336"/>
      <c r="J879" s="336"/>
      <c r="K879" s="415"/>
      <c r="L879" s="336"/>
      <c r="M879" s="336"/>
      <c r="N879" s="336"/>
      <c r="O879" s="416"/>
      <c r="P879" s="336"/>
      <c r="Q879" s="415"/>
      <c r="R879" s="336"/>
      <c r="S879" s="336"/>
      <c r="T879" s="336"/>
      <c r="U879" s="336"/>
      <c r="V879" s="336"/>
      <c r="W879" s="336"/>
      <c r="X879" s="336"/>
      <c r="Y879" s="336"/>
      <c r="Z879" s="336"/>
      <c r="AA879" s="336"/>
      <c r="AB879" s="336"/>
      <c r="AC879" s="336"/>
      <c r="AD879" s="336"/>
      <c r="AE879"/>
      <c r="AF879" s="336"/>
      <c r="AG879" s="336"/>
      <c r="AH879" s="336"/>
      <c r="AI879" s="336"/>
      <c r="AJ879" s="336"/>
      <c r="AK879" s="336"/>
      <c r="AL879" s="336"/>
      <c r="AM879" s="336"/>
      <c r="AN879" s="336"/>
      <c r="AO879" s="336"/>
      <c r="AP879" s="336"/>
      <c r="AQ879" s="336"/>
      <c r="AR879" s="336"/>
      <c r="AS879" s="336"/>
      <c r="AT879" s="336"/>
    </row>
    <row r="880" spans="1:46" ht="14.45">
      <c r="A880" s="336"/>
      <c r="B880" s="336"/>
      <c r="C880" s="336"/>
      <c r="D880" s="336"/>
      <c r="E880" s="336"/>
      <c r="F880" s="336"/>
      <c r="G880" s="336"/>
      <c r="H880" s="336"/>
      <c r="I880" s="336"/>
      <c r="J880" s="336"/>
      <c r="K880" s="415"/>
      <c r="L880" s="336"/>
      <c r="M880" s="336"/>
      <c r="N880" s="336"/>
      <c r="O880" s="416"/>
      <c r="P880" s="336"/>
      <c r="Q880" s="415"/>
      <c r="R880" s="336"/>
      <c r="S880" s="336"/>
      <c r="T880" s="336"/>
      <c r="U880" s="336"/>
      <c r="V880" s="336"/>
      <c r="W880" s="336"/>
      <c r="X880" s="336"/>
      <c r="Y880" s="336"/>
      <c r="Z880" s="336"/>
      <c r="AA880" s="336"/>
      <c r="AB880" s="336"/>
      <c r="AC880" s="336"/>
      <c r="AD880" s="336"/>
      <c r="AE880"/>
      <c r="AF880" s="336"/>
      <c r="AG880" s="336"/>
      <c r="AH880" s="336"/>
      <c r="AI880" s="336"/>
      <c r="AJ880" s="336"/>
      <c r="AK880" s="336"/>
      <c r="AL880" s="336"/>
      <c r="AM880" s="336"/>
      <c r="AN880" s="336"/>
      <c r="AO880" s="336"/>
      <c r="AP880" s="336"/>
      <c r="AQ880" s="336"/>
      <c r="AR880" s="336"/>
      <c r="AS880" s="336"/>
      <c r="AT880" s="336"/>
    </row>
    <row r="881" spans="1:46" ht="14.45">
      <c r="A881" s="336"/>
      <c r="B881" s="336"/>
      <c r="C881" s="336"/>
      <c r="D881" s="336"/>
      <c r="E881" s="336"/>
      <c r="F881" s="336"/>
      <c r="G881" s="336"/>
      <c r="H881" s="336"/>
      <c r="I881" s="336"/>
      <c r="J881" s="336"/>
      <c r="K881" s="415"/>
      <c r="L881" s="336"/>
      <c r="M881" s="336"/>
      <c r="N881" s="336"/>
      <c r="O881" s="416"/>
      <c r="P881" s="336"/>
      <c r="Q881" s="415"/>
      <c r="R881" s="336"/>
      <c r="S881" s="336"/>
      <c r="T881" s="336"/>
      <c r="U881" s="336"/>
      <c r="V881" s="336"/>
      <c r="W881" s="336"/>
      <c r="X881" s="336"/>
      <c r="Y881" s="336"/>
      <c r="Z881" s="336"/>
      <c r="AA881" s="336"/>
      <c r="AB881" s="336"/>
      <c r="AC881" s="336"/>
      <c r="AD881" s="336"/>
      <c r="AE881"/>
      <c r="AF881" s="336"/>
      <c r="AG881" s="336"/>
      <c r="AH881" s="336"/>
      <c r="AI881" s="336"/>
      <c r="AJ881" s="336"/>
      <c r="AK881" s="336"/>
      <c r="AL881" s="336"/>
      <c r="AM881" s="336"/>
      <c r="AN881" s="336"/>
      <c r="AO881" s="336"/>
      <c r="AP881" s="336"/>
      <c r="AQ881" s="336"/>
      <c r="AR881" s="336"/>
      <c r="AS881" s="336"/>
      <c r="AT881" s="336"/>
    </row>
    <row r="882" spans="1:46" ht="14.45">
      <c r="A882" s="336"/>
      <c r="B882" s="336"/>
      <c r="C882" s="336"/>
      <c r="D882" s="336"/>
      <c r="E882" s="336"/>
      <c r="F882" s="336"/>
      <c r="G882" s="336"/>
      <c r="H882" s="336"/>
      <c r="I882" s="336"/>
      <c r="J882" s="336"/>
      <c r="K882" s="415"/>
      <c r="L882" s="336"/>
      <c r="M882" s="336"/>
      <c r="N882" s="336"/>
      <c r="O882" s="416"/>
      <c r="P882" s="336"/>
      <c r="Q882" s="415"/>
      <c r="R882" s="336"/>
      <c r="S882" s="336"/>
      <c r="T882" s="336"/>
      <c r="U882" s="336"/>
      <c r="V882" s="336"/>
      <c r="W882" s="336"/>
      <c r="X882" s="336"/>
      <c r="Y882" s="336"/>
      <c r="Z882" s="336"/>
      <c r="AA882" s="336"/>
      <c r="AB882" s="336"/>
      <c r="AC882" s="336"/>
      <c r="AD882" s="336"/>
      <c r="AE882"/>
      <c r="AF882" s="336"/>
      <c r="AG882" s="336"/>
      <c r="AH882" s="336"/>
      <c r="AI882" s="336"/>
      <c r="AJ882" s="336"/>
      <c r="AK882" s="336"/>
      <c r="AL882" s="336"/>
      <c r="AM882" s="336"/>
      <c r="AN882" s="336"/>
      <c r="AO882" s="336"/>
      <c r="AP882" s="336"/>
      <c r="AQ882" s="336"/>
      <c r="AR882" s="336"/>
      <c r="AS882" s="336"/>
      <c r="AT882" s="336"/>
    </row>
    <row r="883" spans="1:46" ht="14.45">
      <c r="A883" s="336"/>
      <c r="B883" s="336"/>
      <c r="C883" s="336"/>
      <c r="D883" s="336"/>
      <c r="E883" s="336"/>
      <c r="F883" s="336"/>
      <c r="G883" s="336"/>
      <c r="H883" s="336"/>
      <c r="I883" s="336"/>
      <c r="J883" s="336"/>
      <c r="K883" s="415"/>
      <c r="L883" s="336"/>
      <c r="M883" s="336"/>
      <c r="N883" s="336"/>
      <c r="O883" s="416"/>
      <c r="P883" s="336"/>
      <c r="Q883" s="415"/>
      <c r="R883" s="336"/>
      <c r="S883" s="336"/>
      <c r="T883" s="336"/>
      <c r="U883" s="336"/>
      <c r="V883" s="336"/>
      <c r="W883" s="336"/>
      <c r="X883" s="336"/>
      <c r="Y883" s="336"/>
      <c r="Z883" s="336"/>
      <c r="AA883" s="336"/>
      <c r="AB883" s="336"/>
      <c r="AC883" s="336"/>
      <c r="AD883" s="336"/>
      <c r="AE883"/>
      <c r="AF883" s="336"/>
      <c r="AG883" s="336"/>
      <c r="AH883" s="336"/>
      <c r="AI883" s="336"/>
      <c r="AJ883" s="336"/>
      <c r="AK883" s="336"/>
      <c r="AL883" s="336"/>
      <c r="AM883" s="336"/>
      <c r="AN883" s="336"/>
      <c r="AO883" s="336"/>
      <c r="AP883" s="336"/>
      <c r="AQ883" s="336"/>
      <c r="AR883" s="336"/>
      <c r="AS883" s="336"/>
      <c r="AT883" s="336"/>
    </row>
    <row r="884" spans="1:46" ht="14.45">
      <c r="A884" s="336"/>
      <c r="B884" s="336"/>
      <c r="C884" s="336"/>
      <c r="D884" s="336"/>
      <c r="E884" s="336"/>
      <c r="F884" s="336"/>
      <c r="G884" s="336"/>
      <c r="H884" s="336"/>
      <c r="I884" s="336"/>
      <c r="J884" s="336"/>
      <c r="K884" s="415"/>
      <c r="L884" s="336"/>
      <c r="M884" s="336"/>
      <c r="N884" s="336"/>
      <c r="O884" s="416"/>
      <c r="P884" s="336"/>
      <c r="Q884" s="415"/>
      <c r="R884" s="336"/>
      <c r="S884" s="336"/>
      <c r="T884" s="336"/>
      <c r="U884" s="336"/>
      <c r="V884" s="336"/>
      <c r="W884" s="336"/>
      <c r="X884" s="336"/>
      <c r="Y884" s="336"/>
      <c r="Z884" s="336"/>
      <c r="AA884" s="336"/>
      <c r="AB884" s="336"/>
      <c r="AC884" s="336"/>
      <c r="AD884" s="336"/>
      <c r="AE884"/>
      <c r="AF884" s="336"/>
      <c r="AG884" s="336"/>
      <c r="AH884" s="336"/>
      <c r="AI884" s="336"/>
      <c r="AJ884" s="336"/>
      <c r="AK884" s="336"/>
      <c r="AL884" s="336"/>
      <c r="AM884" s="336"/>
      <c r="AN884" s="336"/>
      <c r="AO884" s="336"/>
      <c r="AP884" s="336"/>
      <c r="AQ884" s="336"/>
      <c r="AR884" s="336"/>
      <c r="AS884" s="336"/>
      <c r="AT884" s="336"/>
    </row>
    <row r="885" spans="1:46" ht="14.45">
      <c r="A885" s="336"/>
      <c r="B885" s="336"/>
      <c r="C885" s="336"/>
      <c r="D885" s="336"/>
      <c r="E885" s="336"/>
      <c r="F885" s="336"/>
      <c r="G885" s="336"/>
      <c r="H885" s="336"/>
      <c r="I885" s="336"/>
      <c r="J885" s="336"/>
      <c r="K885" s="415"/>
      <c r="L885" s="336"/>
      <c r="M885" s="336"/>
      <c r="N885" s="336"/>
      <c r="O885" s="416"/>
      <c r="P885" s="336"/>
      <c r="Q885" s="415"/>
      <c r="R885" s="336"/>
      <c r="S885" s="336"/>
      <c r="T885" s="336"/>
      <c r="U885" s="336"/>
      <c r="V885" s="336"/>
      <c r="W885" s="336"/>
      <c r="X885" s="336"/>
      <c r="Y885" s="336"/>
      <c r="Z885" s="336"/>
      <c r="AA885" s="336"/>
      <c r="AB885" s="336"/>
      <c r="AC885" s="336"/>
      <c r="AD885" s="336"/>
      <c r="AE885"/>
      <c r="AF885" s="336"/>
      <c r="AG885" s="336"/>
      <c r="AH885" s="336"/>
      <c r="AI885" s="336"/>
      <c r="AJ885" s="336"/>
      <c r="AK885" s="336"/>
      <c r="AL885" s="336"/>
      <c r="AM885" s="336"/>
      <c r="AN885" s="336"/>
      <c r="AO885" s="336"/>
      <c r="AP885" s="336"/>
      <c r="AQ885" s="336"/>
      <c r="AR885" s="336"/>
      <c r="AS885" s="336"/>
      <c r="AT885" s="336"/>
    </row>
    <row r="886" spans="1:46" ht="14.45">
      <c r="A886" s="336"/>
      <c r="B886" s="336"/>
      <c r="C886" s="336"/>
      <c r="D886" s="336"/>
      <c r="E886" s="336"/>
      <c r="F886" s="336"/>
      <c r="G886" s="336"/>
      <c r="H886" s="336"/>
      <c r="I886" s="336"/>
      <c r="J886" s="336"/>
      <c r="K886" s="415"/>
      <c r="L886" s="336"/>
      <c r="M886" s="336"/>
      <c r="N886" s="336"/>
      <c r="O886" s="416"/>
      <c r="P886" s="336"/>
      <c r="Q886" s="415"/>
      <c r="R886" s="336"/>
      <c r="S886" s="336"/>
      <c r="T886" s="336"/>
      <c r="U886" s="336"/>
      <c r="V886" s="336"/>
      <c r="W886" s="336"/>
      <c r="X886" s="336"/>
      <c r="Y886" s="336"/>
      <c r="Z886" s="336"/>
      <c r="AA886" s="336"/>
      <c r="AB886" s="336"/>
      <c r="AC886" s="336"/>
      <c r="AD886" s="336"/>
      <c r="AE886"/>
      <c r="AF886" s="336"/>
      <c r="AG886" s="336"/>
      <c r="AH886" s="336"/>
      <c r="AI886" s="336"/>
      <c r="AJ886" s="336"/>
      <c r="AK886" s="336"/>
      <c r="AL886" s="336"/>
      <c r="AM886" s="336"/>
      <c r="AN886" s="336"/>
      <c r="AO886" s="336"/>
      <c r="AP886" s="336"/>
      <c r="AQ886" s="336"/>
      <c r="AR886" s="336"/>
      <c r="AS886" s="336"/>
      <c r="AT886" s="336"/>
    </row>
    <row r="887" spans="1:46" ht="14.45">
      <c r="A887" s="336"/>
      <c r="B887" s="336"/>
      <c r="C887" s="336"/>
      <c r="D887" s="336"/>
      <c r="E887" s="336"/>
      <c r="F887" s="336"/>
      <c r="G887" s="336"/>
      <c r="H887" s="336"/>
      <c r="I887" s="336"/>
      <c r="J887" s="336"/>
      <c r="K887" s="415"/>
      <c r="L887" s="336"/>
      <c r="M887" s="336"/>
      <c r="N887" s="336"/>
      <c r="O887" s="416"/>
      <c r="P887" s="336"/>
      <c r="Q887" s="415"/>
      <c r="R887" s="336"/>
      <c r="S887" s="336"/>
      <c r="T887" s="336"/>
      <c r="U887" s="336"/>
      <c r="V887" s="336"/>
      <c r="W887" s="336"/>
      <c r="X887" s="336"/>
      <c r="Y887" s="336"/>
      <c r="Z887" s="336"/>
      <c r="AA887" s="336"/>
      <c r="AB887" s="336"/>
      <c r="AC887" s="336"/>
      <c r="AD887" s="336"/>
      <c r="AE887"/>
      <c r="AF887" s="336"/>
      <c r="AG887" s="336"/>
      <c r="AH887" s="336"/>
      <c r="AI887" s="336"/>
      <c r="AJ887" s="336"/>
      <c r="AK887" s="336"/>
      <c r="AL887" s="336"/>
      <c r="AM887" s="336"/>
      <c r="AN887" s="336"/>
      <c r="AO887" s="336"/>
      <c r="AP887" s="336"/>
      <c r="AQ887" s="336"/>
      <c r="AR887" s="336"/>
      <c r="AS887" s="336"/>
      <c r="AT887" s="336"/>
    </row>
    <row r="888" spans="1:46" ht="14.45">
      <c r="A888" s="336"/>
      <c r="B888" s="336"/>
      <c r="C888" s="336"/>
      <c r="D888" s="336"/>
      <c r="E888" s="336"/>
      <c r="F888" s="336"/>
      <c r="G888" s="336"/>
      <c r="H888" s="336"/>
      <c r="I888" s="336"/>
      <c r="J888" s="336"/>
      <c r="K888" s="415"/>
      <c r="L888" s="336"/>
      <c r="M888" s="336"/>
      <c r="N888" s="336"/>
      <c r="O888" s="416"/>
      <c r="P888" s="336"/>
      <c r="Q888" s="415"/>
      <c r="R888" s="336"/>
      <c r="S888" s="336"/>
      <c r="T888" s="336"/>
      <c r="U888" s="336"/>
      <c r="V888" s="336"/>
      <c r="W888" s="336"/>
      <c r="X888" s="336"/>
      <c r="Y888" s="336"/>
      <c r="Z888" s="336"/>
      <c r="AA888" s="336"/>
      <c r="AB888" s="336"/>
      <c r="AC888" s="336"/>
      <c r="AD888" s="336"/>
      <c r="AE888"/>
      <c r="AF888" s="336"/>
      <c r="AG888" s="336"/>
      <c r="AH888" s="336"/>
      <c r="AI888" s="336"/>
      <c r="AJ888" s="336"/>
      <c r="AK888" s="336"/>
      <c r="AL888" s="336"/>
      <c r="AM888" s="336"/>
      <c r="AN888" s="336"/>
      <c r="AO888" s="336"/>
      <c r="AP888" s="336"/>
      <c r="AQ888" s="336"/>
      <c r="AR888" s="336"/>
      <c r="AS888" s="336"/>
      <c r="AT888" s="336"/>
    </row>
    <row r="889" spans="1:46" ht="14.45">
      <c r="A889" s="336"/>
      <c r="B889" s="336"/>
      <c r="C889" s="336"/>
      <c r="D889" s="336"/>
      <c r="E889" s="336"/>
      <c r="F889" s="336"/>
      <c r="G889" s="336"/>
      <c r="H889" s="336"/>
      <c r="I889" s="336"/>
      <c r="J889" s="336"/>
      <c r="K889" s="415"/>
      <c r="L889" s="336"/>
      <c r="M889" s="336"/>
      <c r="N889" s="336"/>
      <c r="O889" s="416"/>
      <c r="P889" s="336"/>
      <c r="Q889" s="415"/>
      <c r="R889" s="336"/>
      <c r="S889" s="336"/>
      <c r="T889" s="336"/>
      <c r="U889" s="336"/>
      <c r="V889" s="336"/>
      <c r="W889" s="336"/>
      <c r="X889" s="336"/>
      <c r="Y889" s="336"/>
      <c r="Z889" s="336"/>
      <c r="AA889" s="336"/>
      <c r="AB889" s="336"/>
      <c r="AC889" s="336"/>
      <c r="AD889" s="336"/>
      <c r="AE889"/>
      <c r="AF889" s="336"/>
      <c r="AG889" s="336"/>
      <c r="AH889" s="336"/>
      <c r="AI889" s="336"/>
      <c r="AJ889" s="336"/>
      <c r="AK889" s="336"/>
      <c r="AL889" s="336"/>
      <c r="AM889" s="336"/>
      <c r="AN889" s="336"/>
      <c r="AO889" s="336"/>
      <c r="AP889" s="336"/>
      <c r="AQ889" s="336"/>
      <c r="AR889" s="336"/>
      <c r="AS889" s="336"/>
      <c r="AT889" s="336"/>
    </row>
    <row r="890" spans="1:46" ht="14.45">
      <c r="A890" s="336"/>
      <c r="B890" s="336"/>
      <c r="C890" s="336"/>
      <c r="D890" s="336"/>
      <c r="E890" s="336"/>
      <c r="F890" s="336"/>
      <c r="G890" s="336"/>
      <c r="H890" s="336"/>
      <c r="I890" s="336"/>
      <c r="J890" s="336"/>
      <c r="K890" s="415"/>
      <c r="L890" s="336"/>
      <c r="M890" s="336"/>
      <c r="N890" s="336"/>
      <c r="O890" s="416"/>
      <c r="P890" s="336"/>
      <c r="Q890" s="415"/>
      <c r="R890" s="336"/>
      <c r="S890" s="336"/>
      <c r="T890" s="336"/>
      <c r="U890" s="336"/>
      <c r="V890" s="336"/>
      <c r="W890" s="336"/>
      <c r="X890" s="336"/>
      <c r="Y890" s="336"/>
      <c r="Z890" s="336"/>
      <c r="AA890" s="336"/>
      <c r="AB890" s="336"/>
      <c r="AC890" s="336"/>
      <c r="AD890" s="336"/>
      <c r="AE890"/>
      <c r="AF890" s="336"/>
      <c r="AG890" s="336"/>
      <c r="AH890" s="336"/>
      <c r="AI890" s="336"/>
      <c r="AJ890" s="336"/>
      <c r="AK890" s="336"/>
      <c r="AL890" s="336"/>
      <c r="AM890" s="336"/>
      <c r="AN890" s="336"/>
      <c r="AO890" s="336"/>
      <c r="AP890" s="336"/>
      <c r="AQ890" s="336"/>
      <c r="AR890" s="336"/>
      <c r="AS890" s="336"/>
      <c r="AT890" s="336"/>
    </row>
    <row r="891" spans="1:46" ht="14.45">
      <c r="A891" s="336"/>
      <c r="B891" s="336"/>
      <c r="C891" s="336"/>
      <c r="D891" s="336"/>
      <c r="E891" s="336"/>
      <c r="F891" s="336"/>
      <c r="G891" s="336"/>
      <c r="H891" s="336"/>
      <c r="I891" s="336"/>
      <c r="J891" s="336"/>
      <c r="K891" s="415"/>
      <c r="L891" s="336"/>
      <c r="M891" s="336"/>
      <c r="N891" s="336"/>
      <c r="O891" s="416"/>
      <c r="P891" s="336"/>
      <c r="Q891" s="415"/>
      <c r="R891" s="336"/>
      <c r="S891" s="336"/>
      <c r="T891" s="336"/>
      <c r="U891" s="336"/>
      <c r="V891" s="336"/>
      <c r="W891" s="336"/>
      <c r="X891" s="336"/>
      <c r="Y891" s="336"/>
      <c r="Z891" s="336"/>
      <c r="AA891" s="336"/>
      <c r="AB891" s="336"/>
      <c r="AC891" s="336"/>
      <c r="AD891" s="336"/>
      <c r="AE891"/>
      <c r="AF891" s="336"/>
      <c r="AG891" s="336"/>
      <c r="AH891" s="336"/>
      <c r="AI891" s="336"/>
      <c r="AJ891" s="336"/>
      <c r="AK891" s="336"/>
      <c r="AL891" s="336"/>
      <c r="AM891" s="336"/>
      <c r="AN891" s="336"/>
      <c r="AO891" s="336"/>
      <c r="AP891" s="336"/>
      <c r="AQ891" s="336"/>
      <c r="AR891" s="336"/>
      <c r="AS891" s="336"/>
      <c r="AT891" s="336"/>
    </row>
    <row r="892" spans="1:46" ht="14.45">
      <c r="A892" s="336"/>
      <c r="B892" s="336"/>
      <c r="C892" s="336"/>
      <c r="D892" s="336"/>
      <c r="E892" s="336"/>
      <c r="F892" s="336"/>
      <c r="G892" s="336"/>
      <c r="H892" s="336"/>
      <c r="I892" s="336"/>
      <c r="J892" s="336"/>
      <c r="K892" s="415"/>
      <c r="L892" s="336"/>
      <c r="M892" s="336"/>
      <c r="N892" s="336"/>
      <c r="O892" s="416"/>
      <c r="P892" s="336"/>
      <c r="Q892" s="415"/>
      <c r="R892" s="336"/>
      <c r="S892" s="336"/>
      <c r="T892" s="336"/>
      <c r="U892" s="336"/>
      <c r="V892" s="336"/>
      <c r="W892" s="336"/>
      <c r="X892" s="336"/>
      <c r="Y892" s="336"/>
      <c r="Z892" s="336"/>
      <c r="AA892" s="336"/>
      <c r="AB892" s="336"/>
      <c r="AC892" s="336"/>
      <c r="AD892" s="336"/>
      <c r="AE892"/>
      <c r="AF892" s="336"/>
      <c r="AG892" s="336"/>
      <c r="AH892" s="336"/>
      <c r="AI892" s="336"/>
      <c r="AJ892" s="336"/>
      <c r="AK892" s="336"/>
      <c r="AL892" s="336"/>
      <c r="AM892" s="336"/>
      <c r="AN892" s="336"/>
      <c r="AO892" s="336"/>
      <c r="AP892" s="336"/>
      <c r="AQ892" s="336"/>
      <c r="AR892" s="336"/>
      <c r="AS892" s="336"/>
      <c r="AT892" s="336"/>
    </row>
    <row r="893" spans="1:46" ht="14.45">
      <c r="A893" s="336"/>
      <c r="B893" s="336"/>
      <c r="C893" s="336"/>
      <c r="D893" s="336"/>
      <c r="E893" s="336"/>
      <c r="F893" s="336"/>
      <c r="G893" s="336"/>
      <c r="H893" s="336"/>
      <c r="I893" s="336"/>
      <c r="J893" s="336"/>
      <c r="K893" s="415"/>
      <c r="L893" s="336"/>
      <c r="M893" s="336"/>
      <c r="N893" s="336"/>
      <c r="O893" s="416"/>
      <c r="P893" s="336"/>
      <c r="Q893" s="415"/>
      <c r="R893" s="336"/>
      <c r="S893" s="336"/>
      <c r="T893" s="336"/>
      <c r="U893" s="336"/>
      <c r="V893" s="336"/>
      <c r="W893" s="336"/>
      <c r="X893" s="336"/>
      <c r="Y893" s="336"/>
      <c r="Z893" s="336"/>
      <c r="AA893" s="336"/>
      <c r="AB893" s="336"/>
      <c r="AC893" s="336"/>
      <c r="AD893" s="336"/>
      <c r="AE893"/>
      <c r="AF893" s="336"/>
      <c r="AG893" s="336"/>
      <c r="AH893" s="336"/>
      <c r="AI893" s="336"/>
      <c r="AJ893" s="336"/>
      <c r="AK893" s="336"/>
      <c r="AL893" s="336"/>
      <c r="AM893" s="336"/>
      <c r="AN893" s="336"/>
      <c r="AO893" s="336"/>
      <c r="AP893" s="336"/>
      <c r="AQ893" s="336"/>
      <c r="AR893" s="336"/>
      <c r="AS893" s="336"/>
      <c r="AT893" s="336"/>
    </row>
    <row r="894" spans="1:46" ht="14.45">
      <c r="A894" s="336"/>
      <c r="B894" s="336"/>
      <c r="C894" s="336"/>
      <c r="D894" s="336"/>
      <c r="E894" s="336"/>
      <c r="F894" s="336"/>
      <c r="G894" s="336"/>
      <c r="H894" s="336"/>
      <c r="I894" s="336"/>
      <c r="J894" s="336"/>
      <c r="K894" s="415"/>
      <c r="L894" s="336"/>
      <c r="M894" s="336"/>
      <c r="N894" s="336"/>
      <c r="O894" s="416"/>
      <c r="P894" s="336"/>
      <c r="Q894" s="415"/>
      <c r="R894" s="336"/>
      <c r="S894" s="336"/>
      <c r="T894" s="336"/>
      <c r="U894" s="336"/>
      <c r="V894" s="336"/>
      <c r="W894" s="336"/>
      <c r="X894" s="336"/>
      <c r="Y894" s="336"/>
      <c r="Z894" s="336"/>
      <c r="AA894" s="336"/>
      <c r="AB894" s="336"/>
      <c r="AC894" s="336"/>
      <c r="AD894" s="336"/>
      <c r="AE894"/>
      <c r="AF894" s="336"/>
      <c r="AG894" s="336"/>
      <c r="AH894" s="336"/>
      <c r="AI894" s="336"/>
      <c r="AJ894" s="336"/>
      <c r="AK894" s="336"/>
      <c r="AL894" s="336"/>
      <c r="AM894" s="336"/>
      <c r="AN894" s="336"/>
      <c r="AO894" s="336"/>
      <c r="AP894" s="336"/>
      <c r="AQ894" s="336"/>
      <c r="AR894" s="336"/>
      <c r="AS894" s="336"/>
      <c r="AT894" s="336"/>
    </row>
    <row r="895" spans="1:46" ht="14.45">
      <c r="A895" s="336"/>
      <c r="B895" s="336"/>
      <c r="C895" s="336"/>
      <c r="D895" s="336"/>
      <c r="E895" s="336"/>
      <c r="F895" s="336"/>
      <c r="G895" s="336"/>
      <c r="H895" s="336"/>
      <c r="I895" s="336"/>
      <c r="J895" s="336"/>
      <c r="K895" s="415"/>
      <c r="L895" s="336"/>
      <c r="M895" s="336"/>
      <c r="N895" s="336"/>
      <c r="O895" s="416"/>
      <c r="P895" s="336"/>
      <c r="Q895" s="415"/>
      <c r="R895" s="336"/>
      <c r="S895" s="336"/>
      <c r="T895" s="336"/>
      <c r="U895" s="336"/>
      <c r="V895" s="336"/>
      <c r="W895" s="336"/>
      <c r="X895" s="336"/>
      <c r="Y895" s="336"/>
      <c r="Z895" s="336"/>
      <c r="AA895" s="336"/>
      <c r="AB895" s="336"/>
      <c r="AC895" s="336"/>
      <c r="AD895" s="336"/>
      <c r="AE895"/>
      <c r="AF895" s="336"/>
      <c r="AG895" s="336"/>
      <c r="AH895" s="336"/>
      <c r="AI895" s="336"/>
      <c r="AJ895" s="336"/>
      <c r="AK895" s="336"/>
      <c r="AL895" s="336"/>
      <c r="AM895" s="336"/>
      <c r="AN895" s="336"/>
      <c r="AO895" s="336"/>
      <c r="AP895" s="336"/>
      <c r="AQ895" s="336"/>
      <c r="AR895" s="336"/>
      <c r="AS895" s="336"/>
      <c r="AT895" s="336"/>
    </row>
    <row r="896" spans="1:46" ht="14.45">
      <c r="A896" s="336"/>
      <c r="B896" s="336"/>
      <c r="C896" s="336"/>
      <c r="D896" s="336"/>
      <c r="E896" s="336"/>
      <c r="F896" s="336"/>
      <c r="G896" s="336"/>
      <c r="H896" s="336"/>
      <c r="I896" s="336"/>
      <c r="J896" s="336"/>
      <c r="K896" s="415"/>
      <c r="L896" s="336"/>
      <c r="M896" s="336"/>
      <c r="N896" s="336"/>
      <c r="O896" s="416"/>
      <c r="P896" s="336"/>
      <c r="Q896" s="415"/>
      <c r="R896" s="336"/>
      <c r="S896" s="336"/>
      <c r="T896" s="336"/>
      <c r="U896" s="336"/>
      <c r="V896" s="336"/>
      <c r="W896" s="336"/>
      <c r="X896" s="336"/>
      <c r="Y896" s="336"/>
      <c r="Z896" s="336"/>
      <c r="AA896" s="336"/>
      <c r="AB896" s="336"/>
      <c r="AC896" s="336"/>
      <c r="AD896" s="336"/>
      <c r="AE896"/>
      <c r="AF896" s="336"/>
      <c r="AG896" s="336"/>
      <c r="AH896" s="336"/>
      <c r="AI896" s="336"/>
      <c r="AJ896" s="336"/>
      <c r="AK896" s="336"/>
      <c r="AL896" s="336"/>
      <c r="AM896" s="336"/>
      <c r="AN896" s="336"/>
      <c r="AO896" s="336"/>
      <c r="AP896" s="336"/>
      <c r="AQ896" s="336"/>
      <c r="AR896" s="336"/>
      <c r="AS896" s="336"/>
      <c r="AT896" s="336"/>
    </row>
    <row r="897" spans="1:46" ht="14.45">
      <c r="A897" s="336"/>
      <c r="B897" s="336"/>
      <c r="C897" s="336"/>
      <c r="D897" s="336"/>
      <c r="E897" s="336"/>
      <c r="F897" s="336"/>
      <c r="G897" s="336"/>
      <c r="H897" s="336"/>
      <c r="I897" s="336"/>
      <c r="J897" s="336"/>
      <c r="K897" s="415"/>
      <c r="L897" s="336"/>
      <c r="M897" s="336"/>
      <c r="N897" s="336"/>
      <c r="O897" s="416"/>
      <c r="P897" s="336"/>
      <c r="Q897" s="415"/>
      <c r="R897" s="336"/>
      <c r="S897" s="336"/>
      <c r="T897" s="336"/>
      <c r="U897" s="336"/>
      <c r="V897" s="336"/>
      <c r="W897" s="336"/>
      <c r="X897" s="336"/>
      <c r="Y897" s="336"/>
      <c r="Z897" s="336"/>
      <c r="AA897" s="336"/>
      <c r="AB897" s="336"/>
      <c r="AC897" s="336"/>
      <c r="AD897" s="336"/>
      <c r="AE897"/>
      <c r="AF897" s="336"/>
      <c r="AG897" s="336"/>
      <c r="AH897" s="336"/>
      <c r="AI897" s="336"/>
      <c r="AJ897" s="336"/>
      <c r="AK897" s="336"/>
      <c r="AL897" s="336"/>
      <c r="AM897" s="336"/>
      <c r="AN897" s="336"/>
      <c r="AO897" s="336"/>
      <c r="AP897" s="336"/>
      <c r="AQ897" s="336"/>
      <c r="AR897" s="336"/>
      <c r="AS897" s="336"/>
      <c r="AT897" s="336"/>
    </row>
    <row r="898" spans="1:46" ht="14.45">
      <c r="A898" s="336"/>
      <c r="B898" s="336"/>
      <c r="C898" s="336"/>
      <c r="D898" s="336"/>
      <c r="E898" s="336"/>
      <c r="F898" s="336"/>
      <c r="G898" s="336"/>
      <c r="H898" s="336"/>
      <c r="I898" s="336"/>
      <c r="J898" s="336"/>
      <c r="K898" s="415"/>
      <c r="L898" s="336"/>
      <c r="M898" s="336"/>
      <c r="N898" s="336"/>
      <c r="O898" s="416"/>
      <c r="P898" s="336"/>
      <c r="Q898" s="415"/>
      <c r="R898" s="336"/>
      <c r="S898" s="336"/>
      <c r="T898" s="336"/>
      <c r="U898" s="336"/>
      <c r="V898" s="336"/>
      <c r="W898" s="336"/>
      <c r="X898" s="336"/>
      <c r="Y898" s="336"/>
      <c r="Z898" s="336"/>
      <c r="AA898" s="336"/>
      <c r="AB898" s="336"/>
      <c r="AC898" s="336"/>
      <c r="AD898" s="336"/>
      <c r="AE898"/>
      <c r="AF898" s="336"/>
      <c r="AG898" s="336"/>
      <c r="AH898" s="336"/>
      <c r="AI898" s="336"/>
      <c r="AJ898" s="336"/>
      <c r="AK898" s="336"/>
      <c r="AL898" s="336"/>
      <c r="AM898" s="336"/>
      <c r="AN898" s="336"/>
      <c r="AO898" s="336"/>
      <c r="AP898" s="336"/>
      <c r="AQ898" s="336"/>
      <c r="AR898" s="336"/>
      <c r="AS898" s="336"/>
      <c r="AT898" s="336"/>
    </row>
    <row r="899" spans="1:46" ht="14.45">
      <c r="A899" s="336"/>
      <c r="B899" s="336"/>
      <c r="C899" s="336"/>
      <c r="D899" s="336"/>
      <c r="E899" s="336"/>
      <c r="F899" s="336"/>
      <c r="G899" s="336"/>
      <c r="H899" s="336"/>
      <c r="I899" s="336"/>
      <c r="J899" s="336"/>
      <c r="K899" s="415"/>
      <c r="L899" s="336"/>
      <c r="M899" s="336"/>
      <c r="N899" s="336"/>
      <c r="O899" s="416"/>
      <c r="P899" s="336"/>
      <c r="Q899" s="415"/>
      <c r="R899" s="336"/>
      <c r="S899" s="336"/>
      <c r="T899" s="336"/>
      <c r="U899" s="336"/>
      <c r="V899" s="336"/>
      <c r="W899" s="336"/>
      <c r="X899" s="336"/>
      <c r="Y899" s="336"/>
      <c r="Z899" s="336"/>
      <c r="AA899" s="336"/>
      <c r="AB899" s="336"/>
      <c r="AC899" s="336"/>
      <c r="AD899" s="336"/>
      <c r="AE899"/>
      <c r="AF899" s="336"/>
      <c r="AG899" s="336"/>
      <c r="AH899" s="336"/>
      <c r="AI899" s="336"/>
      <c r="AJ899" s="336"/>
      <c r="AK899" s="336"/>
      <c r="AL899" s="336"/>
      <c r="AM899" s="336"/>
      <c r="AN899" s="336"/>
      <c r="AO899" s="336"/>
      <c r="AP899" s="336"/>
      <c r="AQ899" s="336"/>
      <c r="AR899" s="336"/>
      <c r="AS899" s="336"/>
      <c r="AT899" s="336"/>
    </row>
    <row r="900" spans="1:46" ht="14.45">
      <c r="A900" s="336"/>
      <c r="B900" s="336"/>
      <c r="C900" s="336"/>
      <c r="D900" s="336"/>
      <c r="E900" s="336"/>
      <c r="F900" s="336"/>
      <c r="G900" s="336"/>
      <c r="H900" s="336"/>
      <c r="I900" s="336"/>
      <c r="J900" s="336"/>
      <c r="K900" s="415"/>
      <c r="L900" s="336"/>
      <c r="M900" s="336"/>
      <c r="N900" s="336"/>
      <c r="O900" s="416"/>
      <c r="P900" s="336"/>
      <c r="Q900" s="415"/>
      <c r="R900" s="336"/>
      <c r="S900" s="336"/>
      <c r="T900" s="336"/>
      <c r="U900" s="336"/>
      <c r="V900" s="336"/>
      <c r="W900" s="336"/>
      <c r="X900" s="336"/>
      <c r="Y900" s="336"/>
      <c r="Z900" s="336"/>
      <c r="AA900" s="336"/>
      <c r="AB900" s="336"/>
      <c r="AC900" s="336"/>
      <c r="AD900" s="336"/>
      <c r="AE900"/>
      <c r="AF900" s="336"/>
      <c r="AG900" s="336"/>
      <c r="AH900" s="336"/>
      <c r="AI900" s="336"/>
      <c r="AJ900" s="336"/>
      <c r="AK900" s="336"/>
      <c r="AL900" s="336"/>
      <c r="AM900" s="336"/>
      <c r="AN900" s="336"/>
      <c r="AO900" s="336"/>
      <c r="AP900" s="336"/>
      <c r="AQ900" s="336"/>
      <c r="AR900" s="336"/>
      <c r="AS900" s="336"/>
      <c r="AT900" s="336"/>
    </row>
    <row r="901" spans="1:46" ht="14.45">
      <c r="A901" s="336"/>
      <c r="B901" s="336"/>
      <c r="C901" s="336"/>
      <c r="D901" s="336"/>
      <c r="E901" s="336"/>
      <c r="F901" s="336"/>
      <c r="G901" s="336"/>
      <c r="H901" s="336"/>
      <c r="I901" s="336"/>
      <c r="J901" s="336"/>
      <c r="K901" s="415"/>
      <c r="L901" s="336"/>
      <c r="M901" s="336"/>
      <c r="N901" s="336"/>
      <c r="O901" s="416"/>
      <c r="P901" s="336"/>
      <c r="Q901" s="415"/>
      <c r="R901" s="336"/>
      <c r="S901" s="336"/>
      <c r="T901" s="336"/>
      <c r="U901" s="336"/>
      <c r="V901" s="336"/>
      <c r="W901" s="336"/>
      <c r="X901" s="336"/>
      <c r="Y901" s="336"/>
      <c r="Z901" s="336"/>
      <c r="AA901" s="336"/>
      <c r="AB901" s="336"/>
      <c r="AC901" s="336"/>
      <c r="AD901" s="336"/>
      <c r="AE901"/>
      <c r="AF901" s="336"/>
      <c r="AG901" s="336"/>
      <c r="AH901" s="336"/>
      <c r="AI901" s="336"/>
      <c r="AJ901" s="336"/>
      <c r="AK901" s="336"/>
      <c r="AL901" s="336"/>
      <c r="AM901" s="336"/>
      <c r="AN901" s="336"/>
      <c r="AO901" s="336"/>
      <c r="AP901" s="336"/>
      <c r="AQ901" s="336"/>
      <c r="AR901" s="336"/>
      <c r="AS901" s="336"/>
      <c r="AT901" s="336"/>
    </row>
    <row r="902" spans="1:46" ht="14.45">
      <c r="A902" s="336"/>
      <c r="B902" s="336"/>
      <c r="C902" s="336"/>
      <c r="D902" s="336"/>
      <c r="E902" s="336"/>
      <c r="F902" s="336"/>
      <c r="G902" s="336"/>
      <c r="H902" s="336"/>
      <c r="I902" s="336"/>
      <c r="J902" s="336"/>
      <c r="K902" s="415"/>
      <c r="L902" s="336"/>
      <c r="M902" s="336"/>
      <c r="N902" s="336"/>
      <c r="O902" s="416"/>
      <c r="P902" s="336"/>
      <c r="Q902" s="415"/>
      <c r="R902" s="336"/>
      <c r="S902" s="336"/>
      <c r="T902" s="336"/>
      <c r="U902" s="336"/>
      <c r="V902" s="336"/>
      <c r="W902" s="336"/>
      <c r="X902" s="336"/>
      <c r="Y902" s="336"/>
      <c r="Z902" s="336"/>
      <c r="AA902" s="336"/>
      <c r="AB902" s="336"/>
      <c r="AC902" s="336"/>
      <c r="AD902" s="336"/>
      <c r="AE902"/>
      <c r="AF902" s="336"/>
      <c r="AG902" s="336"/>
      <c r="AH902" s="336"/>
      <c r="AI902" s="336"/>
      <c r="AJ902" s="336"/>
      <c r="AK902" s="336"/>
      <c r="AL902" s="336"/>
      <c r="AM902" s="336"/>
      <c r="AN902" s="336"/>
      <c r="AO902" s="336"/>
      <c r="AP902" s="336"/>
      <c r="AQ902" s="336"/>
      <c r="AR902" s="336"/>
      <c r="AS902" s="336"/>
      <c r="AT902" s="336"/>
    </row>
    <row r="903" spans="1:46" ht="14.45">
      <c r="A903" s="336"/>
      <c r="B903" s="336"/>
      <c r="C903" s="336"/>
      <c r="D903" s="336"/>
      <c r="E903" s="336"/>
      <c r="F903" s="336"/>
      <c r="G903" s="336"/>
      <c r="H903" s="336"/>
      <c r="I903" s="336"/>
      <c r="J903" s="336"/>
      <c r="K903" s="415"/>
      <c r="L903" s="336"/>
      <c r="M903" s="336"/>
      <c r="N903" s="336"/>
      <c r="O903" s="416"/>
      <c r="P903" s="336"/>
      <c r="Q903" s="415"/>
      <c r="R903" s="336"/>
      <c r="S903" s="336"/>
      <c r="T903" s="336"/>
      <c r="U903" s="336"/>
      <c r="V903" s="336"/>
      <c r="W903" s="336"/>
      <c r="X903" s="336"/>
      <c r="Y903" s="336"/>
      <c r="Z903" s="336"/>
      <c r="AA903" s="336"/>
      <c r="AB903" s="336"/>
      <c r="AC903" s="336"/>
      <c r="AD903" s="336"/>
      <c r="AE903"/>
      <c r="AF903" s="336"/>
      <c r="AG903" s="336"/>
      <c r="AH903" s="336"/>
      <c r="AI903" s="336"/>
      <c r="AJ903" s="336"/>
      <c r="AK903" s="336"/>
      <c r="AL903" s="336"/>
      <c r="AM903" s="336"/>
      <c r="AN903" s="336"/>
      <c r="AO903" s="336"/>
      <c r="AP903" s="336"/>
      <c r="AQ903" s="336"/>
      <c r="AR903" s="336"/>
      <c r="AS903" s="336"/>
      <c r="AT903" s="336"/>
    </row>
    <row r="904" spans="1:46" ht="14.45">
      <c r="A904" s="336"/>
      <c r="B904" s="336"/>
      <c r="C904" s="336"/>
      <c r="D904" s="336"/>
      <c r="E904" s="336"/>
      <c r="F904" s="336"/>
      <c r="G904" s="336"/>
      <c r="H904" s="336"/>
      <c r="I904" s="336"/>
      <c r="J904" s="336"/>
      <c r="K904" s="415"/>
      <c r="L904" s="336"/>
      <c r="M904" s="336"/>
      <c r="N904" s="336"/>
      <c r="O904" s="416"/>
      <c r="P904" s="336"/>
      <c r="Q904" s="415"/>
      <c r="R904" s="336"/>
      <c r="S904" s="336"/>
      <c r="T904" s="336"/>
      <c r="U904" s="336"/>
      <c r="V904" s="336"/>
      <c r="W904" s="336"/>
      <c r="X904" s="336"/>
      <c r="Y904" s="336"/>
      <c r="Z904" s="336"/>
      <c r="AA904" s="336"/>
      <c r="AB904" s="336"/>
      <c r="AC904" s="336"/>
      <c r="AD904" s="336"/>
      <c r="AE904"/>
      <c r="AF904" s="336"/>
      <c r="AG904" s="336"/>
      <c r="AH904" s="336"/>
      <c r="AI904" s="336"/>
      <c r="AJ904" s="336"/>
      <c r="AK904" s="336"/>
      <c r="AL904" s="336"/>
      <c r="AM904" s="336"/>
      <c r="AN904" s="336"/>
      <c r="AO904" s="336"/>
      <c r="AP904" s="336"/>
      <c r="AQ904" s="336"/>
      <c r="AR904" s="336"/>
      <c r="AS904" s="336"/>
      <c r="AT904" s="336"/>
    </row>
    <row r="905" spans="1:46" ht="14.45">
      <c r="A905" s="336"/>
      <c r="B905" s="336"/>
      <c r="C905" s="336"/>
      <c r="D905" s="336"/>
      <c r="E905" s="336"/>
      <c r="F905" s="336"/>
      <c r="G905" s="336"/>
      <c r="H905" s="336"/>
      <c r="I905" s="336"/>
      <c r="J905" s="336"/>
      <c r="K905" s="415"/>
      <c r="L905" s="336"/>
      <c r="M905" s="336"/>
      <c r="N905" s="336"/>
      <c r="O905" s="416"/>
      <c r="P905" s="336"/>
      <c r="Q905" s="415"/>
      <c r="R905" s="336"/>
      <c r="S905" s="336"/>
      <c r="T905" s="336"/>
      <c r="U905" s="336"/>
      <c r="V905" s="336"/>
      <c r="W905" s="336"/>
      <c r="X905" s="336"/>
      <c r="Y905" s="336"/>
      <c r="Z905" s="336"/>
      <c r="AA905" s="336"/>
      <c r="AB905" s="336"/>
      <c r="AC905" s="336"/>
      <c r="AD905" s="336"/>
      <c r="AE905"/>
      <c r="AF905" s="336"/>
      <c r="AG905" s="336"/>
      <c r="AH905" s="336"/>
      <c r="AI905" s="336"/>
      <c r="AJ905" s="336"/>
      <c r="AK905" s="336"/>
      <c r="AL905" s="336"/>
      <c r="AM905" s="336"/>
      <c r="AN905" s="336"/>
      <c r="AO905" s="336"/>
      <c r="AP905" s="336"/>
      <c r="AQ905" s="336"/>
      <c r="AR905" s="336"/>
      <c r="AS905" s="336"/>
      <c r="AT905" s="336"/>
    </row>
    <row r="906" spans="1:46" ht="14.45">
      <c r="A906" s="336"/>
      <c r="B906" s="336"/>
      <c r="C906" s="336"/>
      <c r="D906" s="336"/>
      <c r="E906" s="336"/>
      <c r="F906" s="336"/>
      <c r="G906" s="336"/>
      <c r="H906" s="336"/>
      <c r="I906" s="336"/>
      <c r="J906" s="336"/>
      <c r="K906" s="415"/>
      <c r="L906" s="336"/>
      <c r="M906" s="336"/>
      <c r="N906" s="336"/>
      <c r="O906" s="416"/>
      <c r="P906" s="336"/>
      <c r="Q906" s="415"/>
      <c r="R906" s="336"/>
      <c r="S906" s="336"/>
      <c r="T906" s="336"/>
      <c r="U906" s="336"/>
      <c r="V906" s="336"/>
      <c r="W906" s="336"/>
      <c r="X906" s="336"/>
      <c r="Y906" s="336"/>
      <c r="Z906" s="336"/>
      <c r="AA906" s="336"/>
      <c r="AB906" s="336"/>
      <c r="AC906" s="336"/>
      <c r="AD906" s="336"/>
      <c r="AE906"/>
      <c r="AF906" s="336"/>
      <c r="AG906" s="336"/>
      <c r="AH906" s="336"/>
      <c r="AI906" s="336"/>
      <c r="AJ906" s="336"/>
      <c r="AK906" s="336"/>
      <c r="AL906" s="336"/>
      <c r="AM906" s="336"/>
      <c r="AN906" s="336"/>
      <c r="AO906" s="336"/>
      <c r="AP906" s="336"/>
      <c r="AQ906" s="336"/>
      <c r="AR906" s="336"/>
      <c r="AS906" s="336"/>
      <c r="AT906" s="336"/>
    </row>
    <row r="907" spans="1:46" ht="14.45">
      <c r="A907" s="336"/>
      <c r="B907" s="336"/>
      <c r="C907" s="336"/>
      <c r="D907" s="336"/>
      <c r="E907" s="336"/>
      <c r="F907" s="336"/>
      <c r="G907" s="336"/>
      <c r="H907" s="336"/>
      <c r="I907" s="336"/>
      <c r="J907" s="336"/>
      <c r="K907" s="415"/>
      <c r="L907" s="336"/>
      <c r="M907" s="336"/>
      <c r="N907" s="336"/>
      <c r="O907" s="416"/>
      <c r="P907" s="336"/>
      <c r="Q907" s="415"/>
      <c r="R907" s="336"/>
      <c r="S907" s="336"/>
      <c r="T907" s="336"/>
      <c r="U907" s="336"/>
      <c r="V907" s="336"/>
      <c r="W907" s="336"/>
      <c r="X907" s="336"/>
      <c r="Y907" s="336"/>
      <c r="Z907" s="336"/>
      <c r="AA907" s="336"/>
      <c r="AB907" s="336"/>
      <c r="AC907" s="336"/>
      <c r="AD907" s="336"/>
      <c r="AE907"/>
      <c r="AF907" s="336"/>
      <c r="AG907" s="336"/>
      <c r="AH907" s="336"/>
      <c r="AI907" s="336"/>
      <c r="AJ907" s="336"/>
      <c r="AK907" s="336"/>
      <c r="AL907" s="336"/>
      <c r="AM907" s="336"/>
      <c r="AN907" s="336"/>
      <c r="AO907" s="336"/>
      <c r="AP907" s="336"/>
      <c r="AQ907" s="336"/>
      <c r="AR907" s="336"/>
      <c r="AS907" s="336"/>
      <c r="AT907" s="336"/>
    </row>
    <row r="908" spans="1:46" ht="14.45">
      <c r="A908" s="336"/>
      <c r="B908" s="336"/>
      <c r="C908" s="336"/>
      <c r="D908" s="336"/>
      <c r="E908" s="336"/>
      <c r="F908" s="336"/>
      <c r="G908" s="336"/>
      <c r="H908" s="336"/>
      <c r="I908" s="336"/>
      <c r="J908" s="336"/>
      <c r="K908" s="415"/>
      <c r="L908" s="336"/>
      <c r="M908" s="336"/>
      <c r="N908" s="336"/>
      <c r="O908" s="416"/>
      <c r="P908" s="336"/>
      <c r="Q908" s="415"/>
      <c r="R908" s="336"/>
      <c r="S908" s="336"/>
      <c r="T908" s="336"/>
      <c r="U908" s="336"/>
      <c r="V908" s="336"/>
      <c r="W908" s="336"/>
      <c r="X908" s="336"/>
      <c r="Y908" s="336"/>
      <c r="Z908" s="336"/>
      <c r="AA908" s="336"/>
      <c r="AB908" s="336"/>
      <c r="AC908" s="336"/>
      <c r="AD908" s="336"/>
      <c r="AE908"/>
      <c r="AF908" s="336"/>
      <c r="AG908" s="336"/>
      <c r="AH908" s="336"/>
      <c r="AI908" s="336"/>
      <c r="AJ908" s="336"/>
      <c r="AK908" s="336"/>
      <c r="AL908" s="336"/>
      <c r="AM908" s="336"/>
      <c r="AN908" s="336"/>
      <c r="AO908" s="336"/>
      <c r="AP908" s="336"/>
      <c r="AQ908" s="336"/>
      <c r="AR908" s="336"/>
      <c r="AS908" s="336"/>
      <c r="AT908" s="336"/>
    </row>
    <row r="909" spans="1:46" ht="14.45">
      <c r="A909" s="336"/>
      <c r="B909" s="336"/>
      <c r="C909" s="336"/>
      <c r="D909" s="336"/>
      <c r="E909" s="336"/>
      <c r="F909" s="336"/>
      <c r="G909" s="336"/>
      <c r="H909" s="336"/>
      <c r="I909" s="336"/>
      <c r="J909" s="336"/>
      <c r="K909" s="415"/>
      <c r="L909" s="336"/>
      <c r="M909" s="336"/>
      <c r="N909" s="336"/>
      <c r="O909" s="416"/>
      <c r="P909" s="336"/>
      <c r="Q909" s="415"/>
      <c r="R909" s="336"/>
      <c r="S909" s="336"/>
      <c r="T909" s="336"/>
      <c r="U909" s="336"/>
      <c r="V909" s="336"/>
      <c r="W909" s="336"/>
      <c r="X909" s="336"/>
      <c r="Y909" s="336"/>
      <c r="Z909" s="336"/>
      <c r="AA909" s="336"/>
      <c r="AB909" s="336"/>
      <c r="AC909" s="336"/>
      <c r="AD909" s="336"/>
      <c r="AE909"/>
      <c r="AF909" s="336"/>
      <c r="AG909" s="336"/>
      <c r="AH909" s="336"/>
      <c r="AI909" s="336"/>
      <c r="AJ909" s="336"/>
      <c r="AK909" s="336"/>
      <c r="AL909" s="336"/>
      <c r="AM909" s="336"/>
      <c r="AN909" s="336"/>
      <c r="AO909" s="336"/>
      <c r="AP909" s="336"/>
      <c r="AQ909" s="336"/>
      <c r="AR909" s="336"/>
      <c r="AS909" s="336"/>
      <c r="AT909" s="336"/>
    </row>
    <row r="910" spans="1:46" ht="14.45">
      <c r="A910" s="336"/>
      <c r="B910" s="336"/>
      <c r="C910" s="336"/>
      <c r="D910" s="336"/>
      <c r="E910" s="336"/>
      <c r="F910" s="336"/>
      <c r="G910" s="336"/>
      <c r="H910" s="336"/>
      <c r="I910" s="336"/>
      <c r="J910" s="336"/>
      <c r="K910" s="415"/>
      <c r="L910" s="336"/>
      <c r="M910" s="336"/>
      <c r="N910" s="336"/>
      <c r="O910" s="416"/>
      <c r="P910" s="336"/>
      <c r="Q910" s="415"/>
      <c r="R910" s="336"/>
      <c r="S910" s="336"/>
      <c r="T910" s="336"/>
      <c r="U910" s="336"/>
      <c r="V910" s="336"/>
      <c r="W910" s="336"/>
      <c r="X910" s="336"/>
      <c r="Y910" s="336"/>
      <c r="Z910" s="336"/>
      <c r="AA910" s="336"/>
      <c r="AB910" s="336"/>
      <c r="AC910" s="336"/>
      <c r="AD910" s="336"/>
      <c r="AE910"/>
      <c r="AF910" s="336"/>
      <c r="AG910" s="336"/>
      <c r="AH910" s="336"/>
      <c r="AI910" s="336"/>
      <c r="AJ910" s="336"/>
      <c r="AK910" s="336"/>
      <c r="AL910" s="336"/>
      <c r="AM910" s="336"/>
      <c r="AN910" s="336"/>
      <c r="AO910" s="336"/>
      <c r="AP910" s="336"/>
      <c r="AQ910" s="336"/>
      <c r="AR910" s="336"/>
      <c r="AS910" s="336"/>
      <c r="AT910" s="336"/>
    </row>
    <row r="911" spans="1:46" ht="14.45">
      <c r="A911" s="336"/>
      <c r="B911" s="336"/>
      <c r="C911" s="336"/>
      <c r="D911" s="336"/>
      <c r="E911" s="336"/>
      <c r="F911" s="336"/>
      <c r="G911" s="336"/>
      <c r="H911" s="336"/>
      <c r="I911" s="336"/>
      <c r="J911" s="336"/>
      <c r="K911" s="415"/>
      <c r="L911" s="336"/>
      <c r="M911" s="336"/>
      <c r="N911" s="336"/>
      <c r="O911" s="416"/>
      <c r="P911" s="336"/>
      <c r="Q911" s="415"/>
      <c r="R911" s="336"/>
      <c r="S911" s="336"/>
      <c r="T911" s="336"/>
      <c r="U911" s="336"/>
      <c r="V911" s="336"/>
      <c r="W911" s="336"/>
      <c r="X911" s="336"/>
      <c r="Y911" s="336"/>
      <c r="Z911" s="336"/>
      <c r="AA911" s="336"/>
      <c r="AB911" s="336"/>
      <c r="AC911" s="336"/>
      <c r="AD911" s="336"/>
      <c r="AE911"/>
      <c r="AF911" s="336"/>
      <c r="AG911" s="336"/>
      <c r="AH911" s="336"/>
      <c r="AI911" s="336"/>
      <c r="AJ911" s="336"/>
      <c r="AK911" s="336"/>
      <c r="AL911" s="336"/>
      <c r="AM911" s="336"/>
      <c r="AN911" s="336"/>
      <c r="AO911" s="336"/>
      <c r="AP911" s="336"/>
      <c r="AQ911" s="336"/>
      <c r="AR911" s="336"/>
      <c r="AS911" s="336"/>
      <c r="AT911" s="336"/>
    </row>
    <row r="912" spans="1:46" ht="14.45">
      <c r="A912" s="336"/>
      <c r="B912" s="336"/>
      <c r="C912" s="336"/>
      <c r="D912" s="336"/>
      <c r="E912" s="336"/>
      <c r="F912" s="336"/>
      <c r="G912" s="336"/>
      <c r="H912" s="336"/>
      <c r="I912" s="336"/>
      <c r="J912" s="336"/>
      <c r="K912" s="415"/>
      <c r="L912" s="336"/>
      <c r="M912" s="336"/>
      <c r="N912" s="336"/>
      <c r="O912" s="416"/>
      <c r="P912" s="336"/>
      <c r="Q912" s="415"/>
      <c r="R912" s="336"/>
      <c r="S912" s="336"/>
      <c r="T912" s="336"/>
      <c r="U912" s="336"/>
      <c r="V912" s="336"/>
      <c r="W912" s="336"/>
      <c r="X912" s="336"/>
      <c r="Y912" s="336"/>
      <c r="Z912" s="336"/>
      <c r="AA912" s="336"/>
      <c r="AB912" s="336"/>
      <c r="AC912" s="336"/>
      <c r="AD912" s="336"/>
      <c r="AE912"/>
      <c r="AF912" s="336"/>
      <c r="AG912" s="336"/>
      <c r="AH912" s="336"/>
      <c r="AI912" s="336"/>
      <c r="AJ912" s="336"/>
      <c r="AK912" s="336"/>
      <c r="AL912" s="336"/>
      <c r="AM912" s="336"/>
      <c r="AN912" s="336"/>
      <c r="AO912" s="336"/>
      <c r="AP912" s="336"/>
      <c r="AQ912" s="336"/>
      <c r="AR912" s="336"/>
      <c r="AS912" s="336"/>
      <c r="AT912" s="336"/>
    </row>
    <row r="913" spans="1:46" ht="14.45">
      <c r="A913" s="336"/>
      <c r="B913" s="336"/>
      <c r="C913" s="336"/>
      <c r="D913" s="336"/>
      <c r="E913" s="336"/>
      <c r="F913" s="336"/>
      <c r="G913" s="336"/>
      <c r="H913" s="336"/>
      <c r="I913" s="336"/>
      <c r="J913" s="336"/>
      <c r="K913" s="415"/>
      <c r="L913" s="336"/>
      <c r="M913" s="336"/>
      <c r="N913" s="336"/>
      <c r="O913" s="416"/>
      <c r="P913" s="336"/>
      <c r="Q913" s="415"/>
      <c r="R913" s="336"/>
      <c r="S913" s="336"/>
      <c r="T913" s="336"/>
      <c r="U913" s="336"/>
      <c r="V913" s="336"/>
      <c r="W913" s="336"/>
      <c r="X913" s="336"/>
      <c r="Y913" s="336"/>
      <c r="Z913" s="336"/>
      <c r="AA913" s="336"/>
      <c r="AB913" s="336"/>
      <c r="AC913" s="336"/>
      <c r="AD913" s="336"/>
      <c r="AE913"/>
      <c r="AF913" s="336"/>
      <c r="AG913" s="336"/>
      <c r="AH913" s="336"/>
      <c r="AI913" s="336"/>
      <c r="AJ913" s="336"/>
      <c r="AK913" s="336"/>
      <c r="AL913" s="336"/>
      <c r="AM913" s="336"/>
      <c r="AN913" s="336"/>
      <c r="AO913" s="336"/>
      <c r="AP913" s="336"/>
      <c r="AQ913" s="336"/>
      <c r="AR913" s="336"/>
      <c r="AS913" s="336"/>
      <c r="AT913" s="336"/>
    </row>
    <row r="914" spans="1:46" ht="14.45">
      <c r="A914" s="336"/>
      <c r="B914" s="336"/>
      <c r="C914" s="336"/>
      <c r="D914" s="336"/>
      <c r="E914" s="336"/>
      <c r="F914" s="336"/>
      <c r="G914" s="336"/>
      <c r="H914" s="336"/>
      <c r="I914" s="336"/>
      <c r="J914" s="336"/>
      <c r="K914" s="415"/>
      <c r="L914" s="336"/>
      <c r="M914" s="336"/>
      <c r="N914" s="336"/>
      <c r="O914" s="416"/>
      <c r="P914" s="336"/>
      <c r="Q914" s="415"/>
      <c r="R914" s="336"/>
      <c r="S914" s="336"/>
      <c r="T914" s="336"/>
      <c r="U914" s="336"/>
      <c r="V914" s="336"/>
      <c r="W914" s="336"/>
      <c r="X914" s="336"/>
      <c r="Y914" s="336"/>
      <c r="Z914" s="336"/>
      <c r="AA914" s="336"/>
      <c r="AB914" s="336"/>
      <c r="AC914" s="336"/>
      <c r="AD914" s="336"/>
      <c r="AE914"/>
      <c r="AF914" s="336"/>
      <c r="AG914" s="336"/>
      <c r="AH914" s="336"/>
      <c r="AI914" s="336"/>
      <c r="AJ914" s="336"/>
      <c r="AK914" s="336"/>
      <c r="AL914" s="336"/>
      <c r="AM914" s="336"/>
      <c r="AN914" s="336"/>
      <c r="AO914" s="336"/>
      <c r="AP914" s="336"/>
      <c r="AQ914" s="336"/>
      <c r="AR914" s="336"/>
      <c r="AS914" s="336"/>
      <c r="AT914" s="336"/>
    </row>
    <row r="915" spans="1:46" ht="14.45">
      <c r="A915" s="336"/>
      <c r="B915" s="336"/>
      <c r="C915" s="336"/>
      <c r="D915" s="336"/>
      <c r="E915" s="336"/>
      <c r="F915" s="336"/>
      <c r="G915" s="336"/>
      <c r="H915" s="336"/>
      <c r="I915" s="336"/>
      <c r="J915" s="336"/>
      <c r="K915" s="415"/>
      <c r="L915" s="336"/>
      <c r="M915" s="336"/>
      <c r="N915" s="336"/>
      <c r="O915" s="416"/>
      <c r="P915" s="336"/>
      <c r="Q915" s="415"/>
      <c r="R915" s="336"/>
      <c r="S915" s="336"/>
      <c r="T915" s="336"/>
      <c r="U915" s="336"/>
      <c r="V915" s="336"/>
      <c r="W915" s="336"/>
      <c r="X915" s="336"/>
      <c r="Y915" s="336"/>
      <c r="Z915" s="336"/>
      <c r="AA915" s="336"/>
      <c r="AB915" s="336"/>
      <c r="AC915" s="336"/>
      <c r="AD915" s="336"/>
      <c r="AE915"/>
      <c r="AF915" s="336"/>
      <c r="AG915" s="336"/>
      <c r="AH915" s="336"/>
      <c r="AI915" s="336"/>
      <c r="AJ915" s="336"/>
      <c r="AK915" s="336"/>
      <c r="AL915" s="336"/>
      <c r="AM915" s="336"/>
      <c r="AN915" s="336"/>
      <c r="AO915" s="336"/>
      <c r="AP915" s="336"/>
      <c r="AQ915" s="336"/>
      <c r="AR915" s="336"/>
      <c r="AS915" s="336"/>
      <c r="AT915" s="336"/>
    </row>
    <row r="916" spans="1:46" ht="14.45">
      <c r="A916" s="336"/>
      <c r="B916" s="336"/>
      <c r="C916" s="336"/>
      <c r="D916" s="336"/>
      <c r="E916" s="336"/>
      <c r="F916" s="336"/>
      <c r="G916" s="336"/>
      <c r="H916" s="336"/>
      <c r="I916" s="336"/>
      <c r="J916" s="336"/>
      <c r="K916" s="415"/>
      <c r="L916" s="336"/>
      <c r="M916" s="336"/>
      <c r="N916" s="336"/>
      <c r="O916" s="416"/>
      <c r="P916" s="336"/>
      <c r="Q916" s="415"/>
      <c r="R916" s="336"/>
      <c r="S916" s="336"/>
      <c r="T916" s="336"/>
      <c r="U916" s="336"/>
      <c r="V916" s="336"/>
      <c r="W916" s="336"/>
      <c r="X916" s="336"/>
      <c r="Y916" s="336"/>
      <c r="Z916" s="336"/>
      <c r="AA916" s="336"/>
      <c r="AB916" s="336"/>
      <c r="AC916" s="336"/>
      <c r="AD916" s="336"/>
      <c r="AE916"/>
      <c r="AF916" s="336"/>
      <c r="AG916" s="336"/>
      <c r="AH916" s="336"/>
      <c r="AI916" s="336"/>
      <c r="AJ916" s="336"/>
      <c r="AK916" s="336"/>
      <c r="AL916" s="336"/>
      <c r="AM916" s="336"/>
      <c r="AN916" s="336"/>
      <c r="AO916" s="336"/>
      <c r="AP916" s="336"/>
      <c r="AQ916" s="336"/>
      <c r="AR916" s="336"/>
      <c r="AS916" s="336"/>
      <c r="AT916" s="336"/>
    </row>
    <row r="917" spans="1:46" ht="14.45">
      <c r="A917" s="336"/>
      <c r="B917" s="336"/>
      <c r="C917" s="336"/>
      <c r="D917" s="336"/>
      <c r="E917" s="336"/>
      <c r="F917" s="336"/>
      <c r="G917" s="336"/>
      <c r="H917" s="336"/>
      <c r="I917" s="336"/>
      <c r="J917" s="336"/>
      <c r="K917" s="415"/>
      <c r="L917" s="336"/>
      <c r="M917" s="336"/>
      <c r="N917" s="336"/>
      <c r="O917" s="416"/>
      <c r="P917" s="336"/>
      <c r="Q917" s="415"/>
      <c r="R917" s="336"/>
      <c r="S917" s="336"/>
      <c r="T917" s="336"/>
      <c r="U917" s="336"/>
      <c r="V917" s="336"/>
      <c r="W917" s="336"/>
      <c r="X917" s="336"/>
      <c r="Y917" s="336"/>
      <c r="Z917" s="336"/>
      <c r="AA917" s="336"/>
      <c r="AB917" s="336"/>
      <c r="AC917" s="336"/>
      <c r="AD917" s="336"/>
      <c r="AE917"/>
      <c r="AF917" s="336"/>
      <c r="AG917" s="336"/>
      <c r="AH917" s="336"/>
      <c r="AI917" s="336"/>
      <c r="AJ917" s="336"/>
      <c r="AK917" s="336"/>
      <c r="AL917" s="336"/>
      <c r="AM917" s="336"/>
      <c r="AN917" s="336"/>
      <c r="AO917" s="336"/>
      <c r="AP917" s="336"/>
      <c r="AQ917" s="336"/>
      <c r="AR917" s="336"/>
      <c r="AS917" s="336"/>
      <c r="AT917" s="336"/>
    </row>
    <row r="918" spans="1:46" ht="14.45">
      <c r="A918" s="336"/>
      <c r="B918" s="336"/>
      <c r="C918" s="336"/>
      <c r="D918" s="336"/>
      <c r="E918" s="336"/>
      <c r="F918" s="336"/>
      <c r="G918" s="336"/>
      <c r="H918" s="336"/>
      <c r="I918" s="336"/>
      <c r="J918" s="336"/>
      <c r="K918" s="415"/>
      <c r="L918" s="336"/>
      <c r="M918" s="336"/>
      <c r="N918" s="336"/>
      <c r="O918" s="416"/>
      <c r="P918" s="336"/>
      <c r="Q918" s="415"/>
      <c r="R918" s="336"/>
      <c r="S918" s="336"/>
      <c r="T918" s="336"/>
      <c r="U918" s="336"/>
      <c r="V918" s="336"/>
      <c r="W918" s="336"/>
      <c r="X918" s="336"/>
      <c r="Y918" s="336"/>
      <c r="Z918" s="336"/>
      <c r="AA918" s="336"/>
      <c r="AB918" s="336"/>
      <c r="AC918" s="336"/>
      <c r="AD918" s="336"/>
      <c r="AE918"/>
      <c r="AF918" s="336"/>
      <c r="AG918" s="336"/>
      <c r="AH918" s="336"/>
      <c r="AI918" s="336"/>
      <c r="AJ918" s="336"/>
      <c r="AK918" s="336"/>
      <c r="AL918" s="336"/>
      <c r="AM918" s="336"/>
      <c r="AN918" s="336"/>
      <c r="AO918" s="336"/>
      <c r="AP918" s="336"/>
      <c r="AQ918" s="336"/>
      <c r="AR918" s="336"/>
      <c r="AS918" s="336"/>
      <c r="AT918" s="336"/>
    </row>
    <row r="919" spans="1:46" ht="14.45">
      <c r="A919" s="336"/>
      <c r="B919" s="336"/>
      <c r="C919" s="336"/>
      <c r="D919" s="336"/>
      <c r="E919" s="336"/>
      <c r="F919" s="336"/>
      <c r="G919" s="336"/>
      <c r="H919" s="336"/>
      <c r="I919" s="336"/>
      <c r="J919" s="336"/>
      <c r="K919" s="415"/>
      <c r="L919" s="336"/>
      <c r="M919" s="336"/>
      <c r="N919" s="336"/>
      <c r="O919" s="416"/>
      <c r="P919" s="336"/>
      <c r="Q919" s="415"/>
      <c r="R919" s="336"/>
      <c r="S919" s="336"/>
      <c r="T919" s="336"/>
      <c r="U919" s="336"/>
      <c r="V919" s="336"/>
      <c r="W919" s="336"/>
      <c r="X919" s="336"/>
      <c r="Y919" s="336"/>
      <c r="Z919" s="336"/>
      <c r="AA919" s="336"/>
      <c r="AB919" s="336"/>
      <c r="AC919" s="336"/>
      <c r="AD919" s="336"/>
      <c r="AE919"/>
      <c r="AF919" s="336"/>
      <c r="AG919" s="336"/>
      <c r="AH919" s="336"/>
      <c r="AI919" s="336"/>
      <c r="AJ919" s="336"/>
      <c r="AK919" s="336"/>
      <c r="AL919" s="336"/>
      <c r="AM919" s="336"/>
      <c r="AN919" s="336"/>
      <c r="AO919" s="336"/>
      <c r="AP919" s="336"/>
      <c r="AQ919" s="336"/>
      <c r="AR919" s="336"/>
      <c r="AS919" s="336"/>
      <c r="AT919" s="336"/>
    </row>
    <row r="920" spans="1:46" ht="14.45">
      <c r="A920" s="336"/>
      <c r="B920" s="336"/>
      <c r="C920" s="336"/>
      <c r="D920" s="336"/>
      <c r="E920" s="336"/>
      <c r="F920" s="336"/>
      <c r="G920" s="336"/>
      <c r="H920" s="336"/>
      <c r="I920" s="336"/>
      <c r="J920" s="336"/>
      <c r="K920" s="415"/>
      <c r="L920" s="336"/>
      <c r="M920" s="336"/>
      <c r="N920" s="336"/>
      <c r="O920" s="416"/>
      <c r="P920" s="336"/>
      <c r="Q920" s="415"/>
      <c r="R920" s="336"/>
      <c r="S920" s="336"/>
      <c r="T920" s="336"/>
      <c r="U920" s="336"/>
      <c r="V920" s="336"/>
      <c r="W920" s="336"/>
      <c r="X920" s="336"/>
      <c r="Y920" s="336"/>
      <c r="Z920" s="336"/>
      <c r="AA920" s="336"/>
      <c r="AB920" s="336"/>
      <c r="AC920" s="336"/>
      <c r="AD920" s="336"/>
      <c r="AE920"/>
      <c r="AF920" s="336"/>
      <c r="AG920" s="336"/>
      <c r="AH920" s="336"/>
      <c r="AI920" s="336"/>
      <c r="AJ920" s="336"/>
      <c r="AK920" s="336"/>
      <c r="AL920" s="336"/>
      <c r="AM920" s="336"/>
      <c r="AN920" s="336"/>
      <c r="AO920" s="336"/>
      <c r="AP920" s="336"/>
      <c r="AQ920" s="336"/>
      <c r="AR920" s="336"/>
      <c r="AS920" s="336"/>
      <c r="AT920" s="336"/>
    </row>
    <row r="921" spans="1:46" ht="14.45">
      <c r="A921" s="336"/>
      <c r="B921" s="336"/>
      <c r="C921" s="336"/>
      <c r="D921" s="336"/>
      <c r="E921" s="336"/>
      <c r="F921" s="336"/>
      <c r="G921" s="336"/>
      <c r="H921" s="336"/>
      <c r="I921" s="336"/>
      <c r="J921" s="336"/>
      <c r="K921" s="415"/>
      <c r="L921" s="336"/>
      <c r="M921" s="336"/>
      <c r="N921" s="336"/>
      <c r="O921" s="416"/>
      <c r="P921" s="336"/>
      <c r="Q921" s="415"/>
      <c r="R921" s="336"/>
      <c r="S921" s="336"/>
      <c r="T921" s="336"/>
      <c r="U921" s="336"/>
      <c r="V921" s="336"/>
      <c r="W921" s="336"/>
      <c r="X921" s="336"/>
      <c r="Y921" s="336"/>
      <c r="Z921" s="336"/>
      <c r="AA921" s="336"/>
      <c r="AB921" s="336"/>
      <c r="AC921" s="336"/>
      <c r="AD921" s="336"/>
      <c r="AE921"/>
      <c r="AF921" s="336"/>
      <c r="AG921" s="336"/>
      <c r="AH921" s="336"/>
      <c r="AI921" s="336"/>
      <c r="AJ921" s="336"/>
      <c r="AK921" s="336"/>
      <c r="AL921" s="336"/>
      <c r="AM921" s="336"/>
      <c r="AN921" s="336"/>
      <c r="AO921" s="336"/>
      <c r="AP921" s="336"/>
      <c r="AQ921" s="336"/>
      <c r="AR921" s="336"/>
      <c r="AS921" s="336"/>
      <c r="AT921" s="336"/>
    </row>
    <row r="922" spans="1:46" ht="14.45">
      <c r="A922" s="336"/>
      <c r="B922" s="336"/>
      <c r="C922" s="336"/>
      <c r="D922" s="336"/>
      <c r="E922" s="336"/>
      <c r="F922" s="336"/>
      <c r="G922" s="336"/>
      <c r="H922" s="336"/>
      <c r="I922" s="336"/>
      <c r="J922" s="336"/>
      <c r="K922" s="415"/>
      <c r="L922" s="336"/>
      <c r="M922" s="336"/>
      <c r="N922" s="336"/>
      <c r="O922" s="416"/>
      <c r="P922" s="336"/>
      <c r="Q922" s="415"/>
      <c r="R922" s="336"/>
      <c r="S922" s="336"/>
      <c r="T922" s="336"/>
      <c r="U922" s="336"/>
      <c r="V922" s="336"/>
      <c r="W922" s="336"/>
      <c r="X922" s="336"/>
      <c r="Y922" s="336"/>
      <c r="Z922" s="336"/>
      <c r="AA922" s="336"/>
      <c r="AB922" s="336"/>
      <c r="AC922" s="336"/>
      <c r="AD922" s="336"/>
      <c r="AE922"/>
      <c r="AF922" s="336"/>
      <c r="AG922" s="336"/>
      <c r="AH922" s="336"/>
      <c r="AI922" s="336"/>
      <c r="AJ922" s="336"/>
      <c r="AK922" s="336"/>
      <c r="AL922" s="336"/>
      <c r="AM922" s="336"/>
      <c r="AN922" s="336"/>
      <c r="AO922" s="336"/>
      <c r="AP922" s="336"/>
      <c r="AQ922" s="336"/>
      <c r="AR922" s="336"/>
      <c r="AS922" s="336"/>
      <c r="AT922" s="336"/>
    </row>
    <row r="923" spans="1:46" ht="14.45">
      <c r="A923" s="336"/>
      <c r="B923" s="336"/>
      <c r="C923" s="336"/>
      <c r="D923" s="336"/>
      <c r="E923" s="336"/>
      <c r="F923" s="336"/>
      <c r="G923" s="336"/>
      <c r="H923" s="336"/>
      <c r="I923" s="336"/>
      <c r="J923" s="336"/>
      <c r="K923" s="415"/>
      <c r="L923" s="336"/>
      <c r="M923" s="336"/>
      <c r="N923" s="336"/>
      <c r="O923" s="416"/>
      <c r="P923" s="336"/>
      <c r="Q923" s="415"/>
      <c r="R923" s="336"/>
      <c r="S923" s="336"/>
      <c r="T923" s="336"/>
      <c r="U923" s="336"/>
      <c r="V923" s="336"/>
      <c r="W923" s="336"/>
      <c r="X923" s="336"/>
      <c r="Y923" s="336"/>
      <c r="Z923" s="336"/>
      <c r="AA923" s="336"/>
      <c r="AB923" s="336"/>
      <c r="AC923" s="336"/>
      <c r="AD923" s="336"/>
      <c r="AE923"/>
      <c r="AF923" s="336"/>
      <c r="AG923" s="336"/>
      <c r="AH923" s="336"/>
      <c r="AI923" s="336"/>
      <c r="AJ923" s="336"/>
      <c r="AK923" s="336"/>
      <c r="AL923" s="336"/>
      <c r="AM923" s="336"/>
      <c r="AN923" s="336"/>
      <c r="AO923" s="336"/>
      <c r="AP923" s="336"/>
      <c r="AQ923" s="336"/>
      <c r="AR923" s="336"/>
      <c r="AS923" s="336"/>
      <c r="AT923" s="336"/>
    </row>
    <row r="924" spans="1:46" ht="14.45">
      <c r="A924" s="336"/>
      <c r="B924" s="336"/>
      <c r="C924" s="336"/>
      <c r="D924" s="336"/>
      <c r="E924" s="336"/>
      <c r="F924" s="336"/>
      <c r="G924" s="336"/>
      <c r="H924" s="336"/>
      <c r="I924" s="336"/>
      <c r="J924" s="336"/>
      <c r="K924" s="415"/>
      <c r="L924" s="336"/>
      <c r="M924" s="336"/>
      <c r="N924" s="336"/>
      <c r="O924" s="416"/>
      <c r="P924" s="336"/>
      <c r="Q924" s="415"/>
      <c r="R924" s="336"/>
      <c r="S924" s="336"/>
      <c r="T924" s="336"/>
      <c r="U924" s="336"/>
      <c r="V924" s="336"/>
      <c r="W924" s="336"/>
      <c r="X924" s="336"/>
      <c r="Y924" s="336"/>
      <c r="Z924" s="336"/>
      <c r="AA924" s="336"/>
      <c r="AB924" s="336"/>
      <c r="AC924" s="336"/>
      <c r="AD924" s="336"/>
      <c r="AE924"/>
      <c r="AF924" s="336"/>
      <c r="AG924" s="336"/>
      <c r="AH924" s="336"/>
      <c r="AI924" s="336"/>
      <c r="AJ924" s="336"/>
      <c r="AK924" s="336"/>
      <c r="AL924" s="336"/>
      <c r="AM924" s="336"/>
      <c r="AN924" s="336"/>
      <c r="AO924" s="336"/>
      <c r="AP924" s="336"/>
      <c r="AQ924" s="336"/>
      <c r="AR924" s="336"/>
      <c r="AS924" s="336"/>
      <c r="AT924" s="336"/>
    </row>
    <row r="925" spans="1:46" ht="14.45">
      <c r="A925" s="336"/>
      <c r="B925" s="336"/>
      <c r="C925" s="336"/>
      <c r="D925" s="336"/>
      <c r="E925" s="336"/>
      <c r="F925" s="336"/>
      <c r="G925" s="336"/>
      <c r="H925" s="336"/>
      <c r="I925" s="336"/>
      <c r="J925" s="336"/>
      <c r="K925" s="415"/>
      <c r="L925" s="336"/>
      <c r="M925" s="336"/>
      <c r="N925" s="336"/>
      <c r="O925" s="416"/>
      <c r="P925" s="336"/>
      <c r="Q925" s="415"/>
      <c r="R925" s="336"/>
      <c r="S925" s="336"/>
      <c r="T925" s="336"/>
      <c r="U925" s="336"/>
      <c r="V925" s="336"/>
      <c r="W925" s="336"/>
      <c r="X925" s="336"/>
      <c r="Y925" s="336"/>
      <c r="Z925" s="336"/>
      <c r="AA925" s="336"/>
      <c r="AB925" s="336"/>
      <c r="AC925" s="336"/>
      <c r="AD925" s="336"/>
      <c r="AE925"/>
      <c r="AF925" s="336"/>
      <c r="AG925" s="336"/>
      <c r="AH925" s="336"/>
      <c r="AI925" s="336"/>
      <c r="AJ925" s="336"/>
      <c r="AK925" s="336"/>
      <c r="AL925" s="336"/>
      <c r="AM925" s="336"/>
      <c r="AN925" s="336"/>
      <c r="AO925" s="336"/>
      <c r="AP925" s="336"/>
      <c r="AQ925" s="336"/>
      <c r="AR925" s="336"/>
      <c r="AS925" s="336"/>
      <c r="AT925" s="336"/>
    </row>
    <row r="926" spans="1:46" ht="14.45">
      <c r="A926" s="336"/>
      <c r="B926" s="336"/>
      <c r="C926" s="336"/>
      <c r="D926" s="336"/>
      <c r="E926" s="336"/>
      <c r="F926" s="336"/>
      <c r="G926" s="336"/>
      <c r="H926" s="336"/>
      <c r="I926" s="336"/>
      <c r="J926" s="336"/>
      <c r="K926" s="415"/>
      <c r="L926" s="336"/>
      <c r="M926" s="336"/>
      <c r="N926" s="336"/>
      <c r="O926" s="416"/>
      <c r="P926" s="336"/>
      <c r="Q926" s="415"/>
      <c r="R926" s="336"/>
      <c r="S926" s="336"/>
      <c r="T926" s="336"/>
      <c r="U926" s="336"/>
      <c r="V926" s="336"/>
      <c r="W926" s="336"/>
      <c r="X926" s="336"/>
      <c r="Y926" s="336"/>
      <c r="Z926" s="336"/>
      <c r="AA926" s="336"/>
      <c r="AB926" s="336"/>
      <c r="AC926" s="336"/>
      <c r="AD926" s="336"/>
      <c r="AE926"/>
      <c r="AF926" s="336"/>
      <c r="AG926" s="336"/>
      <c r="AH926" s="336"/>
      <c r="AI926" s="336"/>
      <c r="AJ926" s="336"/>
      <c r="AK926" s="336"/>
      <c r="AL926" s="336"/>
      <c r="AM926" s="336"/>
      <c r="AN926" s="336"/>
      <c r="AO926" s="336"/>
      <c r="AP926" s="336"/>
      <c r="AQ926" s="336"/>
      <c r="AR926" s="336"/>
      <c r="AS926" s="336"/>
      <c r="AT926" s="336"/>
    </row>
    <row r="927" spans="1:46" ht="14.45">
      <c r="A927" s="336"/>
      <c r="B927" s="336"/>
      <c r="C927" s="336"/>
      <c r="D927" s="336"/>
      <c r="E927" s="336"/>
      <c r="F927" s="336"/>
      <c r="G927" s="336"/>
      <c r="H927" s="336"/>
      <c r="I927" s="336"/>
      <c r="J927" s="336"/>
      <c r="K927" s="415"/>
      <c r="L927" s="336"/>
      <c r="M927" s="336"/>
      <c r="N927" s="336"/>
      <c r="O927" s="416"/>
      <c r="P927" s="336"/>
      <c r="Q927" s="415"/>
      <c r="R927" s="336"/>
      <c r="S927" s="336"/>
      <c r="T927" s="336"/>
      <c r="U927" s="336"/>
      <c r="V927" s="336"/>
      <c r="W927" s="336"/>
      <c r="X927" s="336"/>
      <c r="Y927" s="336"/>
      <c r="Z927" s="336"/>
      <c r="AA927" s="336"/>
      <c r="AB927" s="336"/>
      <c r="AC927" s="336"/>
      <c r="AD927" s="336"/>
      <c r="AE927"/>
      <c r="AF927" s="336"/>
      <c r="AG927" s="336"/>
      <c r="AH927" s="336"/>
      <c r="AI927" s="336"/>
      <c r="AJ927" s="336"/>
      <c r="AK927" s="336"/>
      <c r="AL927" s="336"/>
      <c r="AM927" s="336"/>
      <c r="AN927" s="336"/>
      <c r="AO927" s="336"/>
      <c r="AP927" s="336"/>
      <c r="AQ927" s="336"/>
      <c r="AR927" s="336"/>
      <c r="AS927" s="336"/>
      <c r="AT927" s="336"/>
    </row>
    <row r="928" spans="1:46" ht="14.45">
      <c r="A928" s="336"/>
      <c r="B928" s="336"/>
      <c r="C928" s="336"/>
      <c r="D928" s="336"/>
      <c r="E928" s="336"/>
      <c r="F928" s="336"/>
      <c r="G928" s="336"/>
      <c r="H928" s="336"/>
      <c r="I928" s="336"/>
      <c r="J928" s="336"/>
      <c r="K928" s="415"/>
      <c r="L928" s="336"/>
      <c r="M928" s="336"/>
      <c r="N928" s="336"/>
      <c r="O928" s="416"/>
      <c r="P928" s="336"/>
      <c r="Q928" s="415"/>
      <c r="R928" s="336"/>
      <c r="S928" s="336"/>
      <c r="T928" s="336"/>
      <c r="U928" s="336"/>
      <c r="V928" s="336"/>
      <c r="W928" s="336"/>
      <c r="X928" s="336"/>
      <c r="Y928" s="336"/>
      <c r="Z928" s="336"/>
      <c r="AA928" s="336"/>
      <c r="AB928" s="336"/>
      <c r="AC928" s="336"/>
      <c r="AD928" s="336"/>
      <c r="AE928"/>
      <c r="AF928" s="336"/>
      <c r="AG928" s="336"/>
      <c r="AH928" s="336"/>
      <c r="AI928" s="336"/>
      <c r="AJ928" s="336"/>
      <c r="AK928" s="336"/>
      <c r="AL928" s="336"/>
      <c r="AM928" s="336"/>
      <c r="AN928" s="336"/>
      <c r="AO928" s="336"/>
      <c r="AP928" s="336"/>
      <c r="AQ928" s="336"/>
      <c r="AR928" s="336"/>
      <c r="AS928" s="336"/>
      <c r="AT928" s="336"/>
    </row>
    <row r="929" spans="1:46" ht="14.45">
      <c r="A929" s="336"/>
      <c r="B929" s="336"/>
      <c r="C929" s="336"/>
      <c r="D929" s="336"/>
      <c r="E929" s="336"/>
      <c r="F929" s="336"/>
      <c r="G929" s="336"/>
      <c r="H929" s="336"/>
      <c r="I929" s="336"/>
      <c r="J929" s="336"/>
      <c r="K929" s="415"/>
      <c r="L929" s="336"/>
      <c r="M929" s="336"/>
      <c r="N929" s="336"/>
      <c r="O929" s="416"/>
      <c r="P929" s="336"/>
      <c r="Q929" s="415"/>
      <c r="R929" s="336"/>
      <c r="S929" s="336"/>
      <c r="T929" s="336"/>
      <c r="U929" s="336"/>
      <c r="V929" s="336"/>
      <c r="W929" s="336"/>
      <c r="X929" s="336"/>
      <c r="Y929" s="336"/>
      <c r="Z929" s="336"/>
      <c r="AA929" s="336"/>
      <c r="AB929" s="336"/>
      <c r="AC929" s="336"/>
      <c r="AD929" s="336"/>
      <c r="AE929"/>
      <c r="AF929" s="336"/>
      <c r="AG929" s="336"/>
      <c r="AH929" s="336"/>
      <c r="AI929" s="336"/>
      <c r="AJ929" s="336"/>
      <c r="AK929" s="336"/>
      <c r="AL929" s="336"/>
      <c r="AM929" s="336"/>
      <c r="AN929" s="336"/>
      <c r="AO929" s="336"/>
      <c r="AP929" s="336"/>
      <c r="AQ929" s="336"/>
      <c r="AR929" s="336"/>
      <c r="AS929" s="336"/>
      <c r="AT929" s="336"/>
    </row>
    <row r="930" spans="1:46" ht="14.45">
      <c r="A930" s="336"/>
      <c r="B930" s="336"/>
      <c r="C930" s="336"/>
      <c r="D930" s="336"/>
      <c r="E930" s="336"/>
      <c r="F930" s="336"/>
      <c r="G930" s="336"/>
      <c r="H930" s="336"/>
      <c r="I930" s="336"/>
      <c r="J930" s="336"/>
      <c r="K930" s="415"/>
      <c r="L930" s="336"/>
      <c r="M930" s="336"/>
      <c r="N930" s="336"/>
      <c r="O930" s="416"/>
      <c r="P930" s="336"/>
      <c r="Q930" s="415"/>
      <c r="R930" s="336"/>
      <c r="S930" s="336"/>
      <c r="T930" s="336"/>
      <c r="U930" s="336"/>
      <c r="V930" s="336"/>
      <c r="W930" s="336"/>
      <c r="X930" s="336"/>
      <c r="Y930" s="336"/>
      <c r="Z930" s="336"/>
      <c r="AA930" s="336"/>
      <c r="AB930" s="336"/>
      <c r="AC930" s="336"/>
      <c r="AD930" s="336"/>
      <c r="AE930"/>
      <c r="AF930" s="336"/>
      <c r="AG930" s="336"/>
      <c r="AH930" s="336"/>
      <c r="AI930" s="336"/>
      <c r="AJ930" s="336"/>
      <c r="AK930" s="336"/>
      <c r="AL930" s="336"/>
      <c r="AM930" s="336"/>
      <c r="AN930" s="336"/>
      <c r="AO930" s="336"/>
      <c r="AP930" s="336"/>
      <c r="AQ930" s="336"/>
      <c r="AR930" s="336"/>
      <c r="AS930" s="336"/>
      <c r="AT930" s="336"/>
    </row>
    <row r="931" spans="1:46" ht="14.45">
      <c r="A931" s="336"/>
      <c r="B931" s="336"/>
      <c r="C931" s="336"/>
      <c r="D931" s="336"/>
      <c r="E931" s="336"/>
      <c r="F931" s="336"/>
      <c r="G931" s="336"/>
      <c r="H931" s="336"/>
      <c r="I931" s="336"/>
      <c r="J931" s="336"/>
      <c r="K931" s="415"/>
      <c r="L931" s="336"/>
      <c r="M931" s="336"/>
      <c r="N931" s="336"/>
      <c r="O931" s="416"/>
      <c r="P931" s="336"/>
      <c r="Q931" s="415"/>
      <c r="R931" s="336"/>
      <c r="S931" s="336"/>
      <c r="T931" s="336"/>
      <c r="U931" s="336"/>
      <c r="V931" s="336"/>
      <c r="W931" s="336"/>
      <c r="X931" s="336"/>
      <c r="Y931" s="336"/>
      <c r="Z931" s="336"/>
      <c r="AA931" s="336"/>
      <c r="AB931" s="336"/>
      <c r="AC931" s="336"/>
      <c r="AD931" s="336"/>
      <c r="AE931"/>
      <c r="AF931" s="336"/>
      <c r="AG931" s="336"/>
      <c r="AH931" s="336"/>
      <c r="AI931" s="336"/>
      <c r="AJ931" s="336"/>
      <c r="AK931" s="336"/>
      <c r="AL931" s="336"/>
      <c r="AM931" s="336"/>
      <c r="AN931" s="336"/>
      <c r="AO931" s="336"/>
      <c r="AP931" s="336"/>
      <c r="AQ931" s="336"/>
      <c r="AR931" s="336"/>
      <c r="AS931" s="336"/>
      <c r="AT931" s="336"/>
    </row>
    <row r="932" spans="1:46" ht="14.45">
      <c r="A932" s="336"/>
      <c r="B932" s="336"/>
      <c r="C932" s="336"/>
      <c r="D932" s="336"/>
      <c r="E932" s="336"/>
      <c r="F932" s="336"/>
      <c r="G932" s="336"/>
      <c r="H932" s="336"/>
      <c r="I932" s="336"/>
      <c r="J932" s="336"/>
      <c r="K932" s="415"/>
      <c r="L932" s="336"/>
      <c r="M932" s="336"/>
      <c r="N932" s="336"/>
      <c r="O932" s="416"/>
      <c r="P932" s="336"/>
      <c r="Q932" s="415"/>
      <c r="R932" s="336"/>
      <c r="S932" s="336"/>
      <c r="T932" s="336"/>
      <c r="U932" s="336"/>
      <c r="V932" s="336"/>
      <c r="W932" s="336"/>
      <c r="X932" s="336"/>
      <c r="Y932" s="336"/>
      <c r="Z932" s="336"/>
      <c r="AA932" s="336"/>
      <c r="AB932" s="336"/>
      <c r="AC932" s="336"/>
      <c r="AD932" s="336"/>
      <c r="AE932"/>
      <c r="AF932" s="336"/>
      <c r="AG932" s="336"/>
      <c r="AH932" s="336"/>
      <c r="AI932" s="336"/>
      <c r="AJ932" s="336"/>
      <c r="AK932" s="336"/>
      <c r="AL932" s="336"/>
      <c r="AM932" s="336"/>
      <c r="AN932" s="336"/>
      <c r="AO932" s="336"/>
      <c r="AP932" s="336"/>
      <c r="AQ932" s="336"/>
      <c r="AR932" s="336"/>
      <c r="AS932" s="336"/>
      <c r="AT932" s="336"/>
    </row>
    <row r="933" spans="1:46" ht="14.45">
      <c r="A933" s="336"/>
      <c r="B933" s="336"/>
      <c r="C933" s="336"/>
      <c r="D933" s="336"/>
      <c r="E933" s="336"/>
      <c r="F933" s="336"/>
      <c r="G933" s="336"/>
      <c r="H933" s="336"/>
      <c r="I933" s="336"/>
      <c r="J933" s="336"/>
      <c r="K933" s="415"/>
      <c r="L933" s="336"/>
      <c r="M933" s="336"/>
      <c r="N933" s="336"/>
      <c r="O933" s="416"/>
      <c r="P933" s="336"/>
      <c r="Q933" s="415"/>
      <c r="R933" s="336"/>
      <c r="S933" s="336"/>
      <c r="T933" s="336"/>
      <c r="U933" s="336"/>
      <c r="V933" s="336"/>
      <c r="W933" s="336"/>
      <c r="X933" s="336"/>
      <c r="Y933" s="336"/>
      <c r="Z933" s="336"/>
      <c r="AA933" s="336"/>
      <c r="AB933" s="336"/>
      <c r="AC933" s="336"/>
      <c r="AD933" s="336"/>
      <c r="AE933"/>
      <c r="AF933" s="336"/>
      <c r="AG933" s="336"/>
      <c r="AH933" s="336"/>
      <c r="AI933" s="336"/>
      <c r="AJ933" s="336"/>
      <c r="AK933" s="336"/>
      <c r="AL933" s="336"/>
      <c r="AM933" s="336"/>
      <c r="AN933" s="336"/>
      <c r="AO933" s="336"/>
      <c r="AP933" s="336"/>
      <c r="AQ933" s="336"/>
      <c r="AR933" s="336"/>
      <c r="AS933" s="336"/>
      <c r="AT933" s="336"/>
    </row>
    <row r="934" spans="1:46" ht="14.45">
      <c r="A934" s="336"/>
      <c r="B934" s="336"/>
      <c r="C934" s="336"/>
      <c r="D934" s="336"/>
      <c r="E934" s="336"/>
      <c r="F934" s="336"/>
      <c r="G934" s="336"/>
      <c r="H934" s="336"/>
      <c r="I934" s="336"/>
      <c r="J934" s="336"/>
      <c r="K934" s="415"/>
      <c r="L934" s="336"/>
      <c r="M934" s="336"/>
      <c r="N934" s="336"/>
      <c r="O934" s="416"/>
      <c r="P934" s="336"/>
      <c r="Q934" s="415"/>
      <c r="R934" s="336"/>
      <c r="S934" s="336"/>
      <c r="T934" s="336"/>
      <c r="U934" s="336"/>
      <c r="V934" s="336"/>
      <c r="W934" s="336"/>
      <c r="X934" s="336"/>
      <c r="Y934" s="336"/>
      <c r="Z934" s="336"/>
      <c r="AA934" s="336"/>
      <c r="AB934" s="336"/>
      <c r="AC934" s="336"/>
      <c r="AD934" s="336"/>
      <c r="AE934"/>
      <c r="AF934" s="336"/>
      <c r="AG934" s="336"/>
      <c r="AH934" s="336"/>
      <c r="AI934" s="336"/>
      <c r="AJ934" s="336"/>
      <c r="AK934" s="336"/>
      <c r="AL934" s="336"/>
      <c r="AM934" s="336"/>
      <c r="AN934" s="336"/>
      <c r="AO934" s="336"/>
      <c r="AP934" s="336"/>
      <c r="AQ934" s="336"/>
      <c r="AR934" s="336"/>
      <c r="AS934" s="336"/>
      <c r="AT934" s="336"/>
    </row>
    <row r="935" spans="1:46" ht="14.45">
      <c r="A935" s="336"/>
      <c r="B935" s="336"/>
      <c r="C935" s="336"/>
      <c r="D935" s="336"/>
      <c r="E935" s="336"/>
      <c r="F935" s="336"/>
      <c r="G935" s="336"/>
      <c r="H935" s="336"/>
      <c r="I935" s="336"/>
      <c r="J935" s="336"/>
      <c r="K935" s="415"/>
      <c r="L935" s="336"/>
      <c r="M935" s="336"/>
      <c r="N935" s="336"/>
      <c r="O935" s="416"/>
      <c r="P935" s="336"/>
      <c r="Q935" s="415"/>
      <c r="R935" s="336"/>
      <c r="S935" s="336"/>
      <c r="T935" s="336"/>
      <c r="U935" s="336"/>
      <c r="V935" s="336"/>
      <c r="W935" s="336"/>
      <c r="X935" s="336"/>
      <c r="Y935" s="336"/>
      <c r="Z935" s="336"/>
      <c r="AA935" s="336"/>
      <c r="AB935" s="336"/>
      <c r="AC935" s="336"/>
      <c r="AD935" s="336"/>
      <c r="AE935"/>
      <c r="AF935" s="336"/>
      <c r="AG935" s="336"/>
      <c r="AH935" s="336"/>
      <c r="AI935" s="336"/>
      <c r="AJ935" s="336"/>
      <c r="AK935" s="336"/>
      <c r="AL935" s="336"/>
      <c r="AM935" s="336"/>
      <c r="AN935" s="336"/>
      <c r="AO935" s="336"/>
      <c r="AP935" s="336"/>
      <c r="AQ935" s="336"/>
      <c r="AR935" s="336"/>
      <c r="AS935" s="336"/>
      <c r="AT935" s="336"/>
    </row>
    <row r="936" spans="1:46" ht="14.45">
      <c r="A936" s="336"/>
      <c r="B936" s="336"/>
      <c r="C936" s="336"/>
      <c r="D936" s="336"/>
      <c r="E936" s="336"/>
      <c r="F936" s="336"/>
      <c r="G936" s="336"/>
      <c r="H936" s="336"/>
      <c r="I936" s="336"/>
      <c r="J936" s="336"/>
      <c r="K936" s="415"/>
      <c r="L936" s="336"/>
      <c r="M936" s="336"/>
      <c r="N936" s="336"/>
      <c r="O936" s="416"/>
      <c r="P936" s="336"/>
      <c r="Q936" s="415"/>
      <c r="R936" s="336"/>
      <c r="S936" s="336"/>
      <c r="T936" s="336"/>
      <c r="U936" s="336"/>
      <c r="V936" s="336"/>
      <c r="W936" s="336"/>
      <c r="X936" s="336"/>
      <c r="Y936" s="336"/>
      <c r="Z936" s="336"/>
      <c r="AA936" s="336"/>
      <c r="AB936" s="336"/>
      <c r="AC936" s="336"/>
      <c r="AD936" s="336"/>
      <c r="AE936"/>
      <c r="AF936" s="336"/>
      <c r="AG936" s="336"/>
      <c r="AH936" s="336"/>
      <c r="AI936" s="336"/>
      <c r="AJ936" s="336"/>
      <c r="AK936" s="336"/>
      <c r="AL936" s="336"/>
      <c r="AM936" s="336"/>
      <c r="AN936" s="336"/>
      <c r="AO936" s="336"/>
      <c r="AP936" s="336"/>
      <c r="AQ936" s="336"/>
      <c r="AR936" s="336"/>
      <c r="AS936" s="336"/>
      <c r="AT936" s="336"/>
    </row>
    <row r="937" spans="1:46" ht="14.45">
      <c r="A937" s="336"/>
      <c r="B937" s="336"/>
      <c r="C937" s="336"/>
      <c r="D937" s="336"/>
      <c r="E937" s="336"/>
      <c r="F937" s="336"/>
      <c r="G937" s="336"/>
      <c r="H937" s="336"/>
      <c r="I937" s="336"/>
      <c r="J937" s="336"/>
      <c r="K937" s="415"/>
      <c r="L937" s="336"/>
      <c r="M937" s="336"/>
      <c r="N937" s="336"/>
      <c r="O937" s="416"/>
      <c r="P937" s="336"/>
      <c r="Q937" s="415"/>
      <c r="R937" s="336"/>
      <c r="S937" s="336"/>
      <c r="T937" s="336"/>
      <c r="U937" s="336"/>
      <c r="V937" s="336"/>
      <c r="W937" s="336"/>
      <c r="X937" s="336"/>
      <c r="Y937" s="336"/>
      <c r="Z937" s="336"/>
      <c r="AA937" s="336"/>
      <c r="AB937" s="336"/>
      <c r="AC937" s="336"/>
      <c r="AD937" s="336"/>
      <c r="AE937"/>
      <c r="AF937" s="336"/>
      <c r="AG937" s="336"/>
      <c r="AH937" s="336"/>
      <c r="AI937" s="336"/>
      <c r="AJ937" s="336"/>
      <c r="AK937" s="336"/>
      <c r="AL937" s="336"/>
      <c r="AM937" s="336"/>
      <c r="AN937" s="336"/>
      <c r="AO937" s="336"/>
      <c r="AP937" s="336"/>
      <c r="AQ937" s="336"/>
      <c r="AR937" s="336"/>
      <c r="AS937" s="336"/>
      <c r="AT937" s="336"/>
    </row>
    <row r="938" spans="1:46" ht="14.45">
      <c r="A938" s="336"/>
      <c r="B938" s="336"/>
      <c r="C938" s="336"/>
      <c r="D938" s="336"/>
      <c r="E938" s="336"/>
      <c r="F938" s="336"/>
      <c r="G938" s="336"/>
      <c r="H938" s="336"/>
      <c r="I938" s="336"/>
      <c r="J938" s="336"/>
      <c r="K938" s="415"/>
      <c r="L938" s="336"/>
      <c r="M938" s="336"/>
      <c r="N938" s="336"/>
      <c r="O938" s="416"/>
      <c r="P938" s="336"/>
      <c r="Q938" s="415"/>
      <c r="R938" s="336"/>
      <c r="S938" s="336"/>
      <c r="T938" s="336"/>
      <c r="U938" s="336"/>
      <c r="V938" s="336"/>
      <c r="W938" s="336"/>
      <c r="X938" s="336"/>
      <c r="Y938" s="336"/>
      <c r="Z938" s="336"/>
      <c r="AA938" s="336"/>
      <c r="AB938" s="336"/>
      <c r="AC938" s="336"/>
      <c r="AD938" s="336"/>
      <c r="AE938"/>
      <c r="AF938" s="336"/>
      <c r="AG938" s="336"/>
      <c r="AH938" s="336"/>
      <c r="AI938" s="336"/>
      <c r="AJ938" s="336"/>
      <c r="AK938" s="336"/>
      <c r="AL938" s="336"/>
      <c r="AM938" s="336"/>
      <c r="AN938" s="336"/>
      <c r="AO938" s="336"/>
      <c r="AP938" s="336"/>
      <c r="AQ938" s="336"/>
      <c r="AR938" s="336"/>
      <c r="AS938" s="336"/>
      <c r="AT938" s="336"/>
    </row>
    <row r="939" spans="1:46" ht="14.45">
      <c r="A939" s="336"/>
      <c r="B939" s="336"/>
      <c r="C939" s="336"/>
      <c r="D939" s="336"/>
      <c r="E939" s="336"/>
      <c r="F939" s="336"/>
      <c r="G939" s="336"/>
      <c r="H939" s="336"/>
      <c r="I939" s="336"/>
      <c r="J939" s="336"/>
      <c r="K939" s="415"/>
      <c r="L939" s="336"/>
      <c r="M939" s="336"/>
      <c r="N939" s="336"/>
      <c r="O939" s="416"/>
      <c r="P939" s="336"/>
      <c r="Q939" s="415"/>
      <c r="R939" s="336"/>
      <c r="S939" s="336"/>
      <c r="T939" s="336"/>
      <c r="U939" s="336"/>
      <c r="V939" s="336"/>
      <c r="W939" s="336"/>
      <c r="X939" s="336"/>
      <c r="Y939" s="336"/>
      <c r="Z939" s="336"/>
      <c r="AA939" s="336"/>
      <c r="AB939" s="336"/>
      <c r="AC939" s="336"/>
      <c r="AD939" s="336"/>
      <c r="AE939"/>
      <c r="AF939" s="336"/>
      <c r="AG939" s="336"/>
      <c r="AH939" s="336"/>
      <c r="AI939" s="336"/>
      <c r="AJ939" s="336"/>
      <c r="AK939" s="336"/>
      <c r="AL939" s="336"/>
      <c r="AM939" s="336"/>
      <c r="AN939" s="336"/>
      <c r="AO939" s="336"/>
      <c r="AP939" s="336"/>
      <c r="AQ939" s="336"/>
      <c r="AR939" s="336"/>
      <c r="AS939" s="336"/>
      <c r="AT939" s="336"/>
    </row>
    <row r="940" spans="1:46" ht="14.45">
      <c r="A940" s="336"/>
      <c r="B940" s="336"/>
      <c r="C940" s="336"/>
      <c r="D940" s="336"/>
      <c r="E940" s="336"/>
      <c r="F940" s="336"/>
      <c r="G940" s="336"/>
      <c r="H940" s="336"/>
      <c r="I940" s="336"/>
      <c r="J940" s="336"/>
      <c r="K940" s="415"/>
      <c r="L940" s="336"/>
      <c r="M940" s="336"/>
      <c r="N940" s="336"/>
      <c r="O940" s="416"/>
      <c r="P940" s="336"/>
      <c r="Q940" s="415"/>
      <c r="R940" s="336"/>
      <c r="S940" s="336"/>
      <c r="T940" s="336"/>
      <c r="U940" s="336"/>
      <c r="V940" s="336"/>
      <c r="W940" s="336"/>
      <c r="X940" s="336"/>
      <c r="Y940" s="336"/>
      <c r="Z940" s="336"/>
      <c r="AA940" s="336"/>
      <c r="AB940" s="336"/>
      <c r="AC940" s="336"/>
      <c r="AD940" s="336"/>
      <c r="AE940"/>
      <c r="AF940" s="336"/>
      <c r="AG940" s="336"/>
      <c r="AH940" s="336"/>
      <c r="AI940" s="336"/>
      <c r="AJ940" s="336"/>
      <c r="AK940" s="336"/>
      <c r="AL940" s="336"/>
      <c r="AM940" s="336"/>
      <c r="AN940" s="336"/>
      <c r="AO940" s="336"/>
      <c r="AP940" s="336"/>
      <c r="AQ940" s="336"/>
      <c r="AR940" s="336"/>
      <c r="AS940" s="336"/>
      <c r="AT940" s="336"/>
    </row>
    <row r="941" spans="1:46" ht="14.45">
      <c r="A941" s="336"/>
      <c r="B941" s="336"/>
      <c r="C941" s="336"/>
      <c r="D941" s="336"/>
      <c r="E941" s="336"/>
      <c r="F941" s="336"/>
      <c r="G941" s="336"/>
      <c r="H941" s="336"/>
      <c r="I941" s="336"/>
      <c r="J941" s="336"/>
      <c r="K941" s="415"/>
      <c r="L941" s="336"/>
      <c r="M941" s="336"/>
      <c r="N941" s="336"/>
      <c r="O941" s="416"/>
      <c r="P941" s="336"/>
      <c r="Q941" s="415"/>
      <c r="R941" s="336"/>
      <c r="S941" s="336"/>
      <c r="T941" s="336"/>
      <c r="U941" s="336"/>
      <c r="V941" s="336"/>
      <c r="W941" s="336"/>
      <c r="X941" s="336"/>
      <c r="Y941" s="336"/>
      <c r="Z941" s="336"/>
      <c r="AA941" s="336"/>
      <c r="AB941" s="336"/>
      <c r="AC941" s="336"/>
      <c r="AD941" s="336"/>
      <c r="AE941"/>
      <c r="AF941" s="336"/>
      <c r="AG941" s="336"/>
      <c r="AH941" s="336"/>
      <c r="AI941" s="336"/>
      <c r="AJ941" s="336"/>
      <c r="AK941" s="336"/>
      <c r="AL941" s="336"/>
      <c r="AM941" s="336"/>
      <c r="AN941" s="336"/>
      <c r="AO941" s="336"/>
      <c r="AP941" s="336"/>
      <c r="AQ941" s="336"/>
      <c r="AR941" s="336"/>
      <c r="AS941" s="336"/>
      <c r="AT941" s="336"/>
    </row>
    <row r="942" spans="1:46" ht="14.45">
      <c r="A942" s="336"/>
      <c r="B942" s="336"/>
      <c r="C942" s="336"/>
      <c r="D942" s="336"/>
      <c r="E942" s="336"/>
      <c r="F942" s="336"/>
      <c r="G942" s="336"/>
      <c r="H942" s="336"/>
      <c r="I942" s="336"/>
      <c r="J942" s="336"/>
      <c r="K942" s="415"/>
      <c r="L942" s="336"/>
      <c r="M942" s="336"/>
      <c r="N942" s="336"/>
      <c r="O942" s="416"/>
      <c r="P942" s="336"/>
      <c r="Q942" s="415"/>
      <c r="R942" s="336"/>
      <c r="S942" s="336"/>
      <c r="T942" s="336"/>
      <c r="U942" s="336"/>
      <c r="V942" s="336"/>
      <c r="W942" s="336"/>
      <c r="X942" s="336"/>
      <c r="Y942" s="336"/>
      <c r="Z942" s="336"/>
      <c r="AA942" s="336"/>
      <c r="AB942" s="336"/>
      <c r="AC942" s="336"/>
      <c r="AD942" s="336"/>
      <c r="AE942"/>
      <c r="AF942" s="336"/>
      <c r="AG942" s="336"/>
      <c r="AH942" s="336"/>
      <c r="AI942" s="336"/>
      <c r="AJ942" s="336"/>
      <c r="AK942" s="336"/>
      <c r="AL942" s="336"/>
      <c r="AM942" s="336"/>
      <c r="AN942" s="336"/>
      <c r="AO942" s="336"/>
      <c r="AP942" s="336"/>
      <c r="AQ942" s="336"/>
      <c r="AR942" s="336"/>
      <c r="AS942" s="336"/>
      <c r="AT942" s="336"/>
    </row>
    <row r="943" spans="1:46" ht="14.45">
      <c r="A943" s="336"/>
      <c r="B943" s="336"/>
      <c r="C943" s="336"/>
      <c r="D943" s="336"/>
      <c r="E943" s="336"/>
      <c r="F943" s="336"/>
      <c r="G943" s="336"/>
      <c r="H943" s="336"/>
      <c r="I943" s="336"/>
      <c r="J943" s="336"/>
      <c r="K943" s="415"/>
      <c r="L943" s="336"/>
      <c r="M943" s="336"/>
      <c r="N943" s="336"/>
      <c r="O943" s="416"/>
      <c r="P943" s="336"/>
      <c r="Q943" s="415"/>
      <c r="R943" s="336"/>
      <c r="S943" s="336"/>
      <c r="T943" s="336"/>
      <c r="U943" s="336"/>
      <c r="V943" s="336"/>
      <c r="W943" s="336"/>
      <c r="X943" s="336"/>
      <c r="Y943" s="336"/>
      <c r="Z943" s="336"/>
      <c r="AA943" s="336"/>
      <c r="AB943" s="336"/>
      <c r="AC943" s="336"/>
      <c r="AD943" s="336"/>
      <c r="AE943"/>
      <c r="AF943" s="336"/>
      <c r="AG943" s="336"/>
      <c r="AH943" s="336"/>
      <c r="AI943" s="336"/>
      <c r="AJ943" s="336"/>
      <c r="AK943" s="336"/>
      <c r="AL943" s="336"/>
      <c r="AM943" s="336"/>
      <c r="AN943" s="336"/>
      <c r="AO943" s="336"/>
      <c r="AP943" s="336"/>
      <c r="AQ943" s="336"/>
      <c r="AR943" s="336"/>
      <c r="AS943" s="336"/>
      <c r="AT943" s="336"/>
    </row>
    <row r="944" spans="1:46" ht="14.45">
      <c r="A944" s="336"/>
      <c r="B944" s="336"/>
      <c r="C944" s="336"/>
      <c r="D944" s="336"/>
      <c r="E944" s="336"/>
      <c r="F944" s="336"/>
      <c r="G944" s="336"/>
      <c r="H944" s="336"/>
      <c r="I944" s="336"/>
      <c r="J944" s="336"/>
      <c r="K944" s="415"/>
      <c r="L944" s="336"/>
      <c r="M944" s="336"/>
      <c r="N944" s="336"/>
      <c r="O944" s="416"/>
      <c r="P944" s="336"/>
      <c r="Q944" s="415"/>
      <c r="R944" s="336"/>
      <c r="S944" s="336"/>
      <c r="T944" s="336"/>
      <c r="U944" s="336"/>
      <c r="V944" s="336"/>
      <c r="W944" s="336"/>
      <c r="X944" s="336"/>
      <c r="Y944" s="336"/>
      <c r="Z944" s="336"/>
      <c r="AA944" s="336"/>
      <c r="AB944" s="336"/>
      <c r="AC944" s="336"/>
      <c r="AD944" s="336"/>
      <c r="AE944"/>
      <c r="AF944" s="336"/>
      <c r="AG944" s="336"/>
      <c r="AH944" s="336"/>
      <c r="AI944" s="336"/>
      <c r="AJ944" s="336"/>
      <c r="AK944" s="336"/>
      <c r="AL944" s="336"/>
      <c r="AM944" s="336"/>
      <c r="AN944" s="336"/>
      <c r="AO944" s="336"/>
      <c r="AP944" s="336"/>
      <c r="AQ944" s="336"/>
      <c r="AR944" s="336"/>
      <c r="AS944" s="336"/>
      <c r="AT944" s="336"/>
    </row>
    <row r="945" spans="1:46" ht="14.45">
      <c r="A945" s="336"/>
      <c r="B945" s="336"/>
      <c r="C945" s="336"/>
      <c r="D945" s="336"/>
      <c r="E945" s="336"/>
      <c r="F945" s="336"/>
      <c r="G945" s="336"/>
      <c r="H945" s="336"/>
      <c r="I945" s="336"/>
      <c r="J945" s="336"/>
      <c r="K945" s="415"/>
      <c r="L945" s="336"/>
      <c r="M945" s="336"/>
      <c r="N945" s="336"/>
      <c r="O945" s="416"/>
      <c r="P945" s="336"/>
      <c r="Q945" s="415"/>
      <c r="R945" s="336"/>
      <c r="S945" s="336"/>
      <c r="T945" s="336"/>
      <c r="U945" s="336"/>
      <c r="V945" s="336"/>
      <c r="W945" s="336"/>
      <c r="X945" s="336"/>
      <c r="Y945" s="336"/>
      <c r="Z945" s="336"/>
      <c r="AA945" s="336"/>
      <c r="AB945" s="336"/>
      <c r="AC945" s="336"/>
      <c r="AD945" s="336"/>
      <c r="AE945"/>
      <c r="AF945" s="336"/>
      <c r="AG945" s="336"/>
      <c r="AH945" s="336"/>
      <c r="AI945" s="336"/>
      <c r="AJ945" s="336"/>
      <c r="AK945" s="336"/>
      <c r="AL945" s="336"/>
      <c r="AM945" s="336"/>
      <c r="AN945" s="336"/>
      <c r="AO945" s="336"/>
      <c r="AP945" s="336"/>
      <c r="AQ945" s="336"/>
      <c r="AR945" s="336"/>
      <c r="AS945" s="336"/>
      <c r="AT945" s="336"/>
    </row>
    <row r="946" spans="1:46" ht="14.45">
      <c r="A946" s="336"/>
      <c r="B946" s="336"/>
      <c r="C946" s="336"/>
      <c r="D946" s="336"/>
      <c r="E946" s="336"/>
      <c r="F946" s="336"/>
      <c r="G946" s="336"/>
      <c r="H946" s="336"/>
      <c r="I946" s="336"/>
      <c r="J946" s="336"/>
      <c r="K946" s="415"/>
      <c r="L946" s="336"/>
      <c r="M946" s="336"/>
      <c r="N946" s="336"/>
      <c r="O946" s="416"/>
      <c r="P946" s="336"/>
      <c r="Q946" s="415"/>
      <c r="R946" s="336"/>
      <c r="S946" s="336"/>
      <c r="T946" s="336"/>
      <c r="U946" s="336"/>
      <c r="V946" s="336"/>
      <c r="W946" s="336"/>
      <c r="X946" s="336"/>
      <c r="Y946" s="336"/>
      <c r="Z946" s="336"/>
      <c r="AA946" s="336"/>
      <c r="AB946" s="336"/>
      <c r="AC946" s="336"/>
      <c r="AD946" s="336"/>
      <c r="AE946"/>
      <c r="AF946" s="336"/>
      <c r="AG946" s="336"/>
      <c r="AH946" s="336"/>
      <c r="AI946" s="336"/>
      <c r="AJ946" s="336"/>
      <c r="AK946" s="336"/>
      <c r="AL946" s="336"/>
      <c r="AM946" s="336"/>
      <c r="AN946" s="336"/>
      <c r="AO946" s="336"/>
      <c r="AP946" s="336"/>
      <c r="AQ946" s="336"/>
      <c r="AR946" s="336"/>
      <c r="AS946" s="336"/>
      <c r="AT946" s="336"/>
    </row>
    <row r="947" spans="1:46" ht="14.45">
      <c r="A947" s="336"/>
      <c r="B947" s="336"/>
      <c r="C947" s="336"/>
      <c r="D947" s="336"/>
      <c r="E947" s="336"/>
      <c r="F947" s="336"/>
      <c r="G947" s="336"/>
      <c r="H947" s="336"/>
      <c r="I947" s="336"/>
      <c r="J947" s="336"/>
      <c r="K947" s="415"/>
      <c r="L947" s="336"/>
      <c r="M947" s="336"/>
      <c r="N947" s="336"/>
      <c r="O947" s="416"/>
      <c r="P947" s="336"/>
      <c r="Q947" s="415"/>
      <c r="R947" s="336"/>
      <c r="S947" s="336"/>
      <c r="T947" s="336"/>
      <c r="U947" s="336"/>
      <c r="V947" s="336"/>
      <c r="W947" s="336"/>
      <c r="X947" s="336"/>
      <c r="Y947" s="336"/>
      <c r="Z947" s="336"/>
      <c r="AA947" s="336"/>
      <c r="AB947" s="336"/>
      <c r="AC947" s="336"/>
      <c r="AD947" s="336"/>
      <c r="AE947"/>
      <c r="AF947" s="336"/>
      <c r="AG947" s="336"/>
      <c r="AH947" s="336"/>
      <c r="AI947" s="336"/>
      <c r="AJ947" s="336"/>
      <c r="AK947" s="336"/>
      <c r="AL947" s="336"/>
      <c r="AM947" s="336"/>
      <c r="AN947" s="336"/>
      <c r="AO947" s="336"/>
      <c r="AP947" s="336"/>
      <c r="AQ947" s="336"/>
      <c r="AR947" s="336"/>
      <c r="AS947" s="336"/>
      <c r="AT947" s="336"/>
    </row>
    <row r="948" spans="1:46" ht="14.45">
      <c r="A948" s="336"/>
      <c r="B948" s="336"/>
      <c r="C948" s="336"/>
      <c r="D948" s="336"/>
      <c r="E948" s="336"/>
      <c r="F948" s="336"/>
      <c r="G948" s="336"/>
      <c r="H948" s="336"/>
      <c r="I948" s="336"/>
      <c r="J948" s="336"/>
      <c r="K948" s="415"/>
      <c r="L948" s="336"/>
      <c r="M948" s="336"/>
      <c r="N948" s="336"/>
      <c r="O948" s="416"/>
      <c r="P948" s="336"/>
      <c r="Q948" s="415"/>
      <c r="R948" s="336"/>
      <c r="S948" s="336"/>
      <c r="T948" s="336"/>
      <c r="U948" s="336"/>
      <c r="V948" s="336"/>
      <c r="W948" s="336"/>
      <c r="X948" s="336"/>
      <c r="Y948" s="336"/>
      <c r="Z948" s="336"/>
      <c r="AA948" s="336"/>
      <c r="AB948" s="336"/>
      <c r="AC948" s="336"/>
      <c r="AD948" s="336"/>
      <c r="AE948"/>
      <c r="AF948" s="336"/>
      <c r="AG948" s="336"/>
      <c r="AH948" s="336"/>
      <c r="AI948" s="336"/>
      <c r="AJ948" s="336"/>
      <c r="AK948" s="336"/>
      <c r="AL948" s="336"/>
      <c r="AM948" s="336"/>
      <c r="AN948" s="336"/>
      <c r="AO948" s="336"/>
      <c r="AP948" s="336"/>
      <c r="AQ948" s="336"/>
      <c r="AR948" s="336"/>
      <c r="AS948" s="336"/>
      <c r="AT948" s="336"/>
    </row>
    <row r="949" spans="1:46" ht="14.45">
      <c r="A949" s="336"/>
      <c r="B949" s="336"/>
      <c r="C949" s="336"/>
      <c r="D949" s="336"/>
      <c r="E949" s="336"/>
      <c r="F949" s="336"/>
      <c r="G949" s="336"/>
      <c r="H949" s="336"/>
      <c r="I949" s="336"/>
      <c r="J949" s="336"/>
      <c r="K949" s="415"/>
      <c r="L949" s="336"/>
      <c r="M949" s="336"/>
      <c r="N949" s="336"/>
      <c r="O949" s="416"/>
      <c r="P949" s="336"/>
      <c r="Q949" s="415"/>
      <c r="R949" s="336"/>
      <c r="S949" s="336"/>
      <c r="T949" s="336"/>
      <c r="U949" s="336"/>
      <c r="V949" s="336"/>
      <c r="W949" s="336"/>
      <c r="X949" s="336"/>
      <c r="Y949" s="336"/>
      <c r="Z949" s="336"/>
      <c r="AA949" s="336"/>
      <c r="AB949" s="336"/>
      <c r="AC949" s="336"/>
      <c r="AD949" s="336"/>
      <c r="AE949"/>
      <c r="AF949" s="336"/>
      <c r="AG949" s="336"/>
      <c r="AH949" s="336"/>
      <c r="AI949" s="336"/>
      <c r="AJ949" s="336"/>
      <c r="AK949" s="336"/>
      <c r="AL949" s="336"/>
      <c r="AM949" s="336"/>
      <c r="AN949" s="336"/>
      <c r="AO949" s="336"/>
      <c r="AP949" s="336"/>
      <c r="AQ949" s="336"/>
      <c r="AR949" s="336"/>
      <c r="AS949" s="336"/>
      <c r="AT949" s="336"/>
    </row>
    <row r="950" spans="1:46" ht="14.45">
      <c r="A950" s="336"/>
      <c r="B950" s="336"/>
      <c r="C950" s="336"/>
      <c r="D950" s="336"/>
      <c r="E950" s="336"/>
      <c r="F950" s="336"/>
      <c r="G950" s="336"/>
      <c r="H950" s="336"/>
      <c r="I950" s="336"/>
      <c r="J950" s="336"/>
      <c r="K950" s="415"/>
      <c r="L950" s="336"/>
      <c r="M950" s="336"/>
      <c r="N950" s="336"/>
      <c r="O950" s="416"/>
      <c r="P950" s="336"/>
      <c r="Q950" s="415"/>
      <c r="R950" s="336"/>
      <c r="S950" s="336"/>
      <c r="T950" s="336"/>
      <c r="U950" s="336"/>
      <c r="V950" s="336"/>
      <c r="W950" s="336"/>
      <c r="X950" s="336"/>
      <c r="Y950" s="336"/>
      <c r="Z950" s="336"/>
      <c r="AA950" s="336"/>
      <c r="AB950" s="336"/>
      <c r="AC950" s="336"/>
      <c r="AD950" s="336"/>
      <c r="AE950"/>
      <c r="AF950" s="336"/>
      <c r="AG950" s="336"/>
      <c r="AH950" s="336"/>
      <c r="AI950" s="336"/>
      <c r="AJ950" s="336"/>
      <c r="AK950" s="336"/>
      <c r="AL950" s="336"/>
      <c r="AM950" s="336"/>
      <c r="AN950" s="336"/>
      <c r="AO950" s="336"/>
      <c r="AP950" s="336"/>
      <c r="AQ950" s="336"/>
      <c r="AR950" s="336"/>
      <c r="AS950" s="336"/>
      <c r="AT950" s="336"/>
    </row>
    <row r="951" spans="1:46" ht="14.45">
      <c r="A951" s="336"/>
      <c r="B951" s="336"/>
      <c r="C951" s="336"/>
      <c r="D951" s="336"/>
      <c r="E951" s="336"/>
      <c r="F951" s="336"/>
      <c r="G951" s="336"/>
      <c r="H951" s="336"/>
      <c r="I951" s="336"/>
      <c r="J951" s="336"/>
      <c r="K951" s="415"/>
      <c r="L951" s="336"/>
      <c r="M951" s="336"/>
      <c r="N951" s="336"/>
      <c r="O951" s="416"/>
      <c r="P951" s="336"/>
      <c r="Q951" s="415"/>
      <c r="R951" s="336"/>
      <c r="S951" s="336"/>
      <c r="T951" s="336"/>
      <c r="U951" s="336"/>
      <c r="V951" s="336"/>
      <c r="W951" s="336"/>
      <c r="X951" s="336"/>
      <c r="Y951" s="336"/>
      <c r="Z951" s="336"/>
      <c r="AA951" s="336"/>
      <c r="AB951" s="336"/>
      <c r="AC951" s="336"/>
      <c r="AD951" s="336"/>
      <c r="AE951"/>
      <c r="AF951" s="336"/>
      <c r="AG951" s="336"/>
      <c r="AH951" s="336"/>
      <c r="AI951" s="336"/>
      <c r="AJ951" s="336"/>
      <c r="AK951" s="336"/>
      <c r="AL951" s="336"/>
      <c r="AM951" s="336"/>
      <c r="AN951" s="336"/>
      <c r="AO951" s="336"/>
      <c r="AP951" s="336"/>
      <c r="AQ951" s="336"/>
      <c r="AR951" s="336"/>
      <c r="AS951" s="336"/>
      <c r="AT951" s="336"/>
    </row>
    <row r="952" spans="1:46" ht="14.45">
      <c r="A952" s="336"/>
      <c r="B952" s="336"/>
      <c r="C952" s="336"/>
      <c r="D952" s="336"/>
      <c r="E952" s="336"/>
      <c r="F952" s="336"/>
      <c r="G952" s="336"/>
      <c r="H952" s="336"/>
      <c r="I952" s="336"/>
      <c r="J952" s="336"/>
      <c r="K952" s="415"/>
      <c r="L952" s="336"/>
      <c r="M952" s="336"/>
      <c r="N952" s="336"/>
      <c r="O952" s="416"/>
      <c r="P952" s="336"/>
      <c r="Q952" s="415"/>
      <c r="R952" s="336"/>
      <c r="S952" s="336"/>
      <c r="T952" s="336"/>
      <c r="U952" s="336"/>
      <c r="V952" s="336"/>
      <c r="W952" s="336"/>
      <c r="X952" s="336"/>
      <c r="Y952" s="336"/>
      <c r="Z952" s="336"/>
      <c r="AA952" s="336"/>
      <c r="AB952" s="336"/>
      <c r="AC952" s="336"/>
      <c r="AD952" s="336"/>
      <c r="AE952"/>
      <c r="AF952" s="336"/>
      <c r="AG952" s="336"/>
      <c r="AH952" s="336"/>
      <c r="AI952" s="336"/>
      <c r="AJ952" s="336"/>
      <c r="AK952" s="336"/>
      <c r="AL952" s="336"/>
      <c r="AM952" s="336"/>
      <c r="AN952" s="336"/>
      <c r="AO952" s="336"/>
      <c r="AP952" s="336"/>
      <c r="AQ952" s="336"/>
      <c r="AR952" s="336"/>
      <c r="AS952" s="336"/>
      <c r="AT952" s="336"/>
    </row>
    <row r="953" spans="1:46" ht="14.45">
      <c r="A953" s="336"/>
      <c r="B953" s="336"/>
      <c r="C953" s="336"/>
      <c r="D953" s="336"/>
      <c r="E953" s="336"/>
      <c r="F953" s="336"/>
      <c r="G953" s="336"/>
      <c r="H953" s="336"/>
      <c r="I953" s="336"/>
      <c r="J953" s="336"/>
      <c r="K953" s="415"/>
      <c r="L953" s="336"/>
      <c r="M953" s="336"/>
      <c r="N953" s="336"/>
      <c r="O953" s="416"/>
      <c r="P953" s="336"/>
      <c r="Q953" s="415"/>
      <c r="R953" s="336"/>
      <c r="S953" s="336"/>
      <c r="T953" s="336"/>
      <c r="U953" s="336"/>
      <c r="V953" s="336"/>
      <c r="W953" s="336"/>
      <c r="X953" s="336"/>
      <c r="Y953" s="336"/>
      <c r="Z953" s="336"/>
      <c r="AA953" s="336"/>
      <c r="AB953" s="336"/>
      <c r="AC953" s="336"/>
      <c r="AD953" s="336"/>
      <c r="AE953"/>
      <c r="AF953" s="336"/>
      <c r="AG953" s="336"/>
      <c r="AH953" s="336"/>
      <c r="AI953" s="336"/>
      <c r="AJ953" s="336"/>
      <c r="AK953" s="336"/>
      <c r="AL953" s="336"/>
      <c r="AM953" s="336"/>
      <c r="AN953" s="336"/>
      <c r="AO953" s="336"/>
      <c r="AP953" s="336"/>
      <c r="AQ953" s="336"/>
      <c r="AR953" s="336"/>
      <c r="AS953" s="336"/>
      <c r="AT953" s="336"/>
    </row>
    <row r="954" spans="1:46" ht="14.45">
      <c r="A954" s="336"/>
      <c r="B954" s="336"/>
      <c r="C954" s="336"/>
      <c r="D954" s="336"/>
      <c r="E954" s="336"/>
      <c r="F954" s="336"/>
      <c r="G954" s="336"/>
      <c r="H954" s="336"/>
      <c r="I954" s="336"/>
      <c r="J954" s="336"/>
      <c r="K954" s="415"/>
      <c r="L954" s="336"/>
      <c r="M954" s="336"/>
      <c r="N954" s="336"/>
      <c r="O954" s="416"/>
      <c r="P954" s="336"/>
      <c r="Q954" s="415"/>
      <c r="R954" s="336"/>
      <c r="S954" s="336"/>
      <c r="T954" s="336"/>
      <c r="U954" s="336"/>
      <c r="V954" s="336"/>
      <c r="W954" s="336"/>
      <c r="X954" s="336"/>
      <c r="Y954" s="336"/>
      <c r="Z954" s="336"/>
      <c r="AA954" s="336"/>
      <c r="AB954" s="336"/>
      <c r="AC954" s="336"/>
      <c r="AD954" s="336"/>
      <c r="AE954"/>
      <c r="AF954" s="336"/>
      <c r="AG954" s="336"/>
      <c r="AH954" s="336"/>
      <c r="AI954" s="336"/>
      <c r="AJ954" s="336"/>
      <c r="AK954" s="336"/>
      <c r="AL954" s="336"/>
      <c r="AM954" s="336"/>
      <c r="AN954" s="336"/>
      <c r="AO954" s="336"/>
      <c r="AP954" s="336"/>
      <c r="AQ954" s="336"/>
      <c r="AR954" s="336"/>
      <c r="AS954" s="336"/>
      <c r="AT954" s="336"/>
    </row>
    <row r="955" spans="1:46" ht="14.45">
      <c r="A955" s="336"/>
      <c r="B955" s="336"/>
      <c r="C955" s="336"/>
      <c r="D955" s="336"/>
      <c r="E955" s="336"/>
      <c r="F955" s="336"/>
      <c r="G955" s="336"/>
      <c r="H955" s="336"/>
      <c r="I955" s="336"/>
      <c r="J955" s="336"/>
      <c r="K955" s="415"/>
      <c r="L955" s="336"/>
      <c r="M955" s="336"/>
      <c r="N955" s="336"/>
      <c r="O955" s="416"/>
      <c r="P955" s="336"/>
      <c r="Q955" s="415"/>
      <c r="R955" s="336"/>
      <c r="S955" s="336"/>
      <c r="T955" s="336"/>
      <c r="U955" s="336"/>
      <c r="V955" s="336"/>
      <c r="W955" s="336"/>
      <c r="X955" s="336"/>
      <c r="Y955" s="336"/>
      <c r="Z955" s="336"/>
      <c r="AA955" s="336"/>
      <c r="AB955" s="336"/>
      <c r="AC955" s="336"/>
      <c r="AD955" s="336"/>
      <c r="AE955"/>
      <c r="AF955" s="336"/>
      <c r="AG955" s="336"/>
      <c r="AH955" s="336"/>
      <c r="AI955" s="336"/>
      <c r="AJ955" s="336"/>
      <c r="AK955" s="336"/>
      <c r="AL955" s="336"/>
      <c r="AM955" s="336"/>
      <c r="AN955" s="336"/>
      <c r="AO955" s="336"/>
      <c r="AP955" s="336"/>
      <c r="AQ955" s="336"/>
      <c r="AR955" s="336"/>
      <c r="AS955" s="336"/>
      <c r="AT955" s="336"/>
    </row>
    <row r="956" spans="1:46" ht="14.45">
      <c r="A956" s="336"/>
      <c r="B956" s="336"/>
      <c r="C956" s="336"/>
      <c r="D956" s="336"/>
      <c r="E956" s="336"/>
      <c r="F956" s="336"/>
      <c r="G956" s="336"/>
      <c r="H956" s="336"/>
      <c r="I956" s="336"/>
      <c r="J956" s="336"/>
      <c r="K956" s="415"/>
      <c r="L956" s="336"/>
      <c r="M956" s="336"/>
      <c r="N956" s="336"/>
      <c r="O956" s="416"/>
      <c r="P956" s="336"/>
      <c r="Q956" s="415"/>
      <c r="R956" s="336"/>
      <c r="S956" s="336"/>
      <c r="T956" s="336"/>
      <c r="U956" s="336"/>
      <c r="V956" s="336"/>
      <c r="W956" s="336"/>
      <c r="X956" s="336"/>
      <c r="Y956" s="336"/>
      <c r="Z956" s="336"/>
      <c r="AA956" s="336"/>
      <c r="AB956" s="336"/>
      <c r="AC956" s="336"/>
      <c r="AD956" s="336"/>
      <c r="AE956"/>
      <c r="AF956" s="336"/>
      <c r="AG956" s="336"/>
      <c r="AH956" s="336"/>
      <c r="AI956" s="336"/>
      <c r="AJ956" s="336"/>
      <c r="AK956" s="336"/>
      <c r="AL956" s="336"/>
      <c r="AM956" s="336"/>
      <c r="AN956" s="336"/>
      <c r="AO956" s="336"/>
      <c r="AP956" s="336"/>
      <c r="AQ956" s="336"/>
      <c r="AR956" s="336"/>
      <c r="AS956" s="336"/>
      <c r="AT956" s="336"/>
    </row>
    <row r="957" spans="1:46" ht="14.45">
      <c r="A957" s="336"/>
      <c r="B957" s="336"/>
      <c r="C957" s="336"/>
      <c r="D957" s="336"/>
      <c r="E957" s="336"/>
      <c r="F957" s="336"/>
      <c r="G957" s="336"/>
      <c r="H957" s="336"/>
      <c r="I957" s="336"/>
      <c r="J957" s="336"/>
      <c r="K957" s="415"/>
      <c r="L957" s="336"/>
      <c r="M957" s="336"/>
      <c r="N957" s="336"/>
      <c r="O957" s="416"/>
      <c r="P957" s="336"/>
      <c r="Q957" s="415"/>
      <c r="R957" s="336"/>
      <c r="S957" s="336"/>
      <c r="T957" s="336"/>
      <c r="U957" s="336"/>
      <c r="V957" s="336"/>
      <c r="W957" s="336"/>
      <c r="X957" s="336"/>
      <c r="Y957" s="336"/>
      <c r="Z957" s="336"/>
      <c r="AA957" s="336"/>
      <c r="AB957" s="336"/>
      <c r="AC957" s="336"/>
      <c r="AD957" s="336"/>
      <c r="AE957"/>
      <c r="AF957" s="336"/>
      <c r="AG957" s="336"/>
      <c r="AH957" s="336"/>
      <c r="AI957" s="336"/>
      <c r="AJ957" s="336"/>
      <c r="AK957" s="336"/>
      <c r="AL957" s="336"/>
      <c r="AM957" s="336"/>
      <c r="AN957" s="336"/>
      <c r="AO957" s="336"/>
      <c r="AP957" s="336"/>
      <c r="AQ957" s="336"/>
      <c r="AR957" s="336"/>
      <c r="AS957" s="336"/>
      <c r="AT957" s="336"/>
    </row>
    <row r="958" spans="1:46" ht="14.45">
      <c r="A958" s="336"/>
      <c r="B958" s="336"/>
      <c r="C958" s="336"/>
      <c r="D958" s="336"/>
      <c r="E958" s="336"/>
      <c r="F958" s="336"/>
      <c r="G958" s="336"/>
      <c r="H958" s="336"/>
      <c r="I958" s="336"/>
      <c r="J958" s="336"/>
      <c r="K958" s="415"/>
      <c r="L958" s="336"/>
      <c r="M958" s="336"/>
      <c r="N958" s="336"/>
      <c r="O958" s="416"/>
      <c r="P958" s="336"/>
      <c r="Q958" s="415"/>
      <c r="R958" s="336"/>
      <c r="S958" s="336"/>
      <c r="T958" s="336"/>
      <c r="U958" s="336"/>
      <c r="V958" s="336"/>
      <c r="W958" s="336"/>
      <c r="X958" s="336"/>
      <c r="Y958" s="336"/>
      <c r="Z958" s="336"/>
      <c r="AA958" s="336"/>
      <c r="AB958" s="336"/>
      <c r="AC958" s="336"/>
      <c r="AD958" s="336"/>
      <c r="AE958"/>
      <c r="AF958" s="336"/>
      <c r="AG958" s="336"/>
      <c r="AH958" s="336"/>
      <c r="AI958" s="336"/>
      <c r="AJ958" s="336"/>
      <c r="AK958" s="336"/>
      <c r="AL958" s="336"/>
      <c r="AM958" s="336"/>
      <c r="AN958" s="336"/>
      <c r="AO958" s="336"/>
      <c r="AP958" s="336"/>
      <c r="AQ958" s="336"/>
      <c r="AR958" s="336"/>
      <c r="AS958" s="336"/>
      <c r="AT958" s="336"/>
    </row>
    <row r="959" spans="1:46" ht="14.45">
      <c r="A959" s="336"/>
      <c r="B959" s="336"/>
      <c r="C959" s="336"/>
      <c r="D959" s="336"/>
      <c r="E959" s="336"/>
      <c r="F959" s="336"/>
      <c r="G959" s="336"/>
      <c r="H959" s="336"/>
      <c r="I959" s="336"/>
      <c r="J959" s="336"/>
      <c r="K959" s="415"/>
      <c r="L959" s="336"/>
      <c r="M959" s="336"/>
      <c r="N959" s="336"/>
      <c r="O959" s="416"/>
      <c r="P959" s="336"/>
      <c r="Q959" s="415"/>
      <c r="R959" s="336"/>
      <c r="S959" s="336"/>
      <c r="T959" s="336"/>
      <c r="U959" s="336"/>
      <c r="V959" s="336"/>
      <c r="W959" s="336"/>
      <c r="X959" s="336"/>
      <c r="Y959" s="336"/>
      <c r="Z959" s="336"/>
      <c r="AA959" s="336"/>
      <c r="AB959" s="336"/>
      <c r="AC959" s="336"/>
      <c r="AD959" s="336"/>
      <c r="AE959"/>
      <c r="AF959" s="336"/>
      <c r="AG959" s="336"/>
      <c r="AH959" s="336"/>
      <c r="AI959" s="336"/>
      <c r="AJ959" s="336"/>
      <c r="AK959" s="336"/>
      <c r="AL959" s="336"/>
      <c r="AM959" s="336"/>
      <c r="AN959" s="336"/>
      <c r="AO959" s="336"/>
      <c r="AP959" s="336"/>
      <c r="AQ959" s="336"/>
      <c r="AR959" s="336"/>
      <c r="AS959" s="336"/>
      <c r="AT959" s="336"/>
    </row>
    <row r="960" spans="1:46" ht="14.45">
      <c r="A960" s="336"/>
      <c r="B960" s="336"/>
      <c r="C960" s="336"/>
      <c r="D960" s="336"/>
      <c r="E960" s="336"/>
      <c r="F960" s="336"/>
      <c r="G960" s="336"/>
      <c r="H960" s="336"/>
      <c r="I960" s="336"/>
      <c r="J960" s="336"/>
      <c r="K960" s="415"/>
      <c r="L960" s="336"/>
      <c r="M960" s="336"/>
      <c r="N960" s="336"/>
      <c r="O960" s="416"/>
      <c r="P960" s="336"/>
      <c r="Q960" s="415"/>
      <c r="R960" s="336"/>
      <c r="S960" s="336"/>
      <c r="T960" s="336"/>
      <c r="U960" s="336"/>
      <c r="V960" s="336"/>
      <c r="W960" s="336"/>
      <c r="X960" s="336"/>
      <c r="Y960" s="336"/>
      <c r="Z960" s="336"/>
      <c r="AA960" s="336"/>
      <c r="AB960" s="336"/>
      <c r="AC960" s="336"/>
      <c r="AD960" s="336"/>
      <c r="AE960"/>
      <c r="AF960" s="336"/>
      <c r="AG960" s="336"/>
      <c r="AH960" s="336"/>
      <c r="AI960" s="336"/>
      <c r="AJ960" s="336"/>
      <c r="AK960" s="336"/>
      <c r="AL960" s="336"/>
      <c r="AM960" s="336"/>
      <c r="AN960" s="336"/>
      <c r="AO960" s="336"/>
      <c r="AP960" s="336"/>
      <c r="AQ960" s="336"/>
      <c r="AR960" s="336"/>
      <c r="AS960" s="336"/>
      <c r="AT960" s="336"/>
    </row>
    <row r="961" spans="1:46" ht="14.45">
      <c r="A961" s="336"/>
      <c r="B961" s="336"/>
      <c r="C961" s="336"/>
      <c r="D961" s="336"/>
      <c r="E961" s="336"/>
      <c r="F961" s="336"/>
      <c r="G961" s="336"/>
      <c r="H961" s="336"/>
      <c r="I961" s="336"/>
      <c r="J961" s="336"/>
      <c r="K961" s="415"/>
      <c r="L961" s="336"/>
      <c r="M961" s="336"/>
      <c r="N961" s="336"/>
      <c r="O961" s="416"/>
      <c r="P961" s="336"/>
      <c r="Q961" s="415"/>
      <c r="R961" s="336"/>
      <c r="S961" s="336"/>
      <c r="T961" s="336"/>
      <c r="U961" s="336"/>
      <c r="V961" s="336"/>
      <c r="W961" s="336"/>
      <c r="X961" s="336"/>
      <c r="Y961" s="336"/>
      <c r="Z961" s="336"/>
      <c r="AA961" s="336"/>
      <c r="AB961" s="336"/>
      <c r="AC961" s="336"/>
      <c r="AD961" s="336"/>
      <c r="AE961"/>
      <c r="AF961" s="336"/>
      <c r="AG961" s="336"/>
      <c r="AH961" s="336"/>
      <c r="AI961" s="336"/>
      <c r="AJ961" s="336"/>
      <c r="AK961" s="336"/>
      <c r="AL961" s="336"/>
      <c r="AM961" s="336"/>
      <c r="AN961" s="336"/>
      <c r="AO961" s="336"/>
      <c r="AP961" s="336"/>
      <c r="AQ961" s="336"/>
      <c r="AR961" s="336"/>
      <c r="AS961" s="336"/>
      <c r="AT961" s="336"/>
    </row>
    <row r="962" spans="1:46" ht="14.45">
      <c r="A962" s="336"/>
      <c r="B962" s="336"/>
      <c r="C962" s="336"/>
      <c r="D962" s="336"/>
      <c r="E962" s="336"/>
      <c r="F962" s="336"/>
      <c r="G962" s="336"/>
      <c r="H962" s="336"/>
      <c r="I962" s="336"/>
      <c r="J962" s="336"/>
      <c r="K962" s="415"/>
      <c r="L962" s="336"/>
      <c r="M962" s="336"/>
      <c r="N962" s="336"/>
      <c r="O962" s="416"/>
      <c r="P962" s="336"/>
      <c r="Q962" s="415"/>
      <c r="R962" s="336"/>
      <c r="S962" s="336"/>
      <c r="T962" s="336"/>
      <c r="U962" s="336"/>
      <c r="V962" s="336"/>
      <c r="W962" s="336"/>
      <c r="X962" s="336"/>
      <c r="Y962" s="336"/>
      <c r="Z962" s="336"/>
      <c r="AA962" s="336"/>
      <c r="AB962" s="336"/>
      <c r="AC962" s="336"/>
      <c r="AD962" s="336"/>
      <c r="AE962"/>
      <c r="AF962" s="336"/>
      <c r="AG962" s="336"/>
      <c r="AH962" s="336"/>
      <c r="AI962" s="336"/>
      <c r="AJ962" s="336"/>
      <c r="AK962" s="336"/>
      <c r="AL962" s="336"/>
      <c r="AM962" s="336"/>
      <c r="AN962" s="336"/>
      <c r="AO962" s="336"/>
      <c r="AP962" s="336"/>
      <c r="AQ962" s="336"/>
      <c r="AR962" s="336"/>
      <c r="AS962" s="336"/>
      <c r="AT962" s="336"/>
    </row>
    <row r="963" spans="1:46" ht="14.45">
      <c r="A963" s="336"/>
      <c r="B963" s="336"/>
      <c r="C963" s="336"/>
      <c r="D963" s="336"/>
      <c r="E963" s="336"/>
      <c r="F963" s="336"/>
      <c r="G963" s="336"/>
      <c r="H963" s="336"/>
      <c r="I963" s="336"/>
      <c r="J963" s="336"/>
      <c r="K963" s="415"/>
      <c r="L963" s="336"/>
      <c r="M963" s="336"/>
      <c r="N963" s="336"/>
      <c r="O963" s="416"/>
      <c r="P963" s="336"/>
      <c r="Q963" s="415"/>
      <c r="R963" s="336"/>
      <c r="S963" s="336"/>
      <c r="T963" s="336"/>
      <c r="U963" s="336"/>
      <c r="V963" s="336"/>
      <c r="W963" s="336"/>
      <c r="X963" s="336"/>
      <c r="Y963" s="336"/>
      <c r="Z963" s="336"/>
      <c r="AA963" s="336"/>
      <c r="AB963" s="336"/>
      <c r="AC963" s="336"/>
      <c r="AD963" s="336"/>
      <c r="AE963"/>
      <c r="AF963" s="336"/>
      <c r="AG963" s="336"/>
      <c r="AH963" s="336"/>
      <c r="AI963" s="336"/>
      <c r="AJ963" s="336"/>
      <c r="AK963" s="336"/>
      <c r="AL963" s="336"/>
      <c r="AM963" s="336"/>
      <c r="AN963" s="336"/>
      <c r="AO963" s="336"/>
      <c r="AP963" s="336"/>
      <c r="AQ963" s="336"/>
      <c r="AR963" s="336"/>
      <c r="AS963" s="336"/>
      <c r="AT963" s="336"/>
    </row>
    <row r="964" spans="1:46" ht="14.45">
      <c r="A964" s="336"/>
      <c r="B964" s="336"/>
      <c r="C964" s="336"/>
      <c r="D964" s="336"/>
      <c r="E964" s="336"/>
      <c r="F964" s="336"/>
      <c r="G964" s="336"/>
      <c r="H964" s="336"/>
      <c r="I964" s="336"/>
      <c r="J964" s="336"/>
      <c r="K964" s="415"/>
      <c r="L964" s="336"/>
      <c r="M964" s="336"/>
      <c r="N964" s="336"/>
      <c r="O964" s="416"/>
      <c r="P964" s="336"/>
      <c r="Q964" s="415"/>
      <c r="R964" s="336"/>
      <c r="S964" s="336"/>
      <c r="T964" s="336"/>
      <c r="U964" s="336"/>
      <c r="V964" s="336"/>
      <c r="W964" s="336"/>
      <c r="X964" s="336"/>
      <c r="Y964" s="336"/>
      <c r="Z964" s="336"/>
      <c r="AA964" s="336"/>
      <c r="AB964" s="336"/>
      <c r="AC964" s="336"/>
      <c r="AD964" s="336"/>
      <c r="AE964"/>
      <c r="AF964" s="336"/>
      <c r="AG964" s="336"/>
      <c r="AH964" s="336"/>
      <c r="AI964" s="336"/>
      <c r="AJ964" s="336"/>
      <c r="AK964" s="336"/>
      <c r="AL964" s="336"/>
      <c r="AM964" s="336"/>
      <c r="AN964" s="336"/>
      <c r="AO964" s="336"/>
      <c r="AP964" s="336"/>
      <c r="AQ964" s="336"/>
      <c r="AR964" s="336"/>
      <c r="AS964" s="336"/>
      <c r="AT964" s="336"/>
    </row>
    <row r="965" spans="1:46" ht="14.45">
      <c r="A965" s="336"/>
      <c r="B965" s="336"/>
      <c r="C965" s="336"/>
      <c r="D965" s="336"/>
      <c r="E965" s="336"/>
      <c r="F965" s="336"/>
      <c r="G965" s="336"/>
      <c r="H965" s="336"/>
      <c r="I965" s="336"/>
      <c r="J965" s="336"/>
      <c r="K965" s="415"/>
      <c r="L965" s="336"/>
      <c r="M965" s="336"/>
      <c r="N965" s="336"/>
      <c r="O965" s="416"/>
      <c r="P965" s="336"/>
      <c r="Q965" s="415"/>
      <c r="R965" s="336"/>
      <c r="S965" s="336"/>
      <c r="T965" s="336"/>
      <c r="U965" s="336"/>
      <c r="V965" s="336"/>
      <c r="W965" s="336"/>
      <c r="X965" s="336"/>
      <c r="Y965" s="336"/>
      <c r="Z965" s="336"/>
      <c r="AA965" s="336"/>
      <c r="AB965" s="336"/>
      <c r="AC965" s="336"/>
      <c r="AD965" s="336"/>
      <c r="AE965"/>
      <c r="AF965" s="336"/>
      <c r="AG965" s="336"/>
      <c r="AH965" s="336"/>
      <c r="AI965" s="336"/>
      <c r="AJ965" s="336"/>
      <c r="AK965" s="336"/>
      <c r="AL965" s="336"/>
      <c r="AM965" s="336"/>
      <c r="AN965" s="336"/>
      <c r="AO965" s="336"/>
      <c r="AP965" s="336"/>
      <c r="AQ965" s="336"/>
      <c r="AR965" s="336"/>
      <c r="AS965" s="336"/>
      <c r="AT965" s="336"/>
    </row>
    <row r="966" spans="1:46" ht="14.45">
      <c r="A966" s="336"/>
      <c r="B966" s="336"/>
      <c r="C966" s="336"/>
      <c r="D966" s="336"/>
      <c r="E966" s="336"/>
      <c r="F966" s="336"/>
      <c r="G966" s="336"/>
      <c r="H966" s="336"/>
      <c r="I966" s="336"/>
      <c r="J966" s="336"/>
      <c r="K966" s="415"/>
      <c r="L966" s="336"/>
      <c r="M966" s="336"/>
      <c r="N966" s="336"/>
      <c r="O966" s="416"/>
      <c r="P966" s="336"/>
      <c r="Q966" s="415"/>
      <c r="R966" s="336"/>
      <c r="S966" s="336"/>
      <c r="T966" s="336"/>
      <c r="U966" s="336"/>
      <c r="V966" s="336"/>
      <c r="W966" s="336"/>
      <c r="X966" s="336"/>
      <c r="Y966" s="336"/>
      <c r="Z966" s="336"/>
      <c r="AA966" s="336"/>
      <c r="AB966" s="336"/>
      <c r="AC966" s="336"/>
      <c r="AD966" s="336"/>
      <c r="AE966"/>
      <c r="AF966" s="336"/>
      <c r="AG966" s="336"/>
      <c r="AH966" s="336"/>
      <c r="AI966" s="336"/>
      <c r="AJ966" s="336"/>
      <c r="AK966" s="336"/>
      <c r="AL966" s="336"/>
      <c r="AM966" s="336"/>
      <c r="AN966" s="336"/>
      <c r="AO966" s="336"/>
      <c r="AP966" s="336"/>
      <c r="AQ966" s="336"/>
      <c r="AR966" s="336"/>
      <c r="AS966" s="336"/>
      <c r="AT966" s="336"/>
    </row>
    <row r="967" spans="1:46" ht="14.45">
      <c r="A967" s="336"/>
      <c r="B967" s="336"/>
      <c r="C967" s="336"/>
      <c r="D967" s="336"/>
      <c r="E967" s="336"/>
      <c r="F967" s="336"/>
      <c r="G967" s="336"/>
      <c r="H967" s="336"/>
      <c r="I967" s="336"/>
      <c r="J967" s="336"/>
      <c r="K967" s="415"/>
      <c r="L967" s="336"/>
      <c r="M967" s="336"/>
      <c r="N967" s="336"/>
      <c r="O967" s="416"/>
      <c r="P967" s="336"/>
      <c r="Q967" s="415"/>
      <c r="R967" s="336"/>
      <c r="S967" s="336"/>
      <c r="T967" s="336"/>
      <c r="U967" s="336"/>
      <c r="V967" s="336"/>
      <c r="W967" s="336"/>
      <c r="X967" s="336"/>
      <c r="Y967" s="336"/>
      <c r="Z967" s="336"/>
      <c r="AA967" s="336"/>
      <c r="AB967" s="336"/>
      <c r="AC967" s="336"/>
      <c r="AD967" s="336"/>
      <c r="AE967"/>
      <c r="AF967" s="336"/>
      <c r="AG967" s="336"/>
      <c r="AH967" s="336"/>
      <c r="AI967" s="336"/>
      <c r="AJ967" s="336"/>
      <c r="AK967" s="336"/>
      <c r="AL967" s="336"/>
      <c r="AM967" s="336"/>
      <c r="AN967" s="336"/>
      <c r="AO967" s="336"/>
      <c r="AP967" s="336"/>
      <c r="AQ967" s="336"/>
      <c r="AR967" s="336"/>
      <c r="AS967" s="336"/>
      <c r="AT967" s="336"/>
    </row>
    <row r="968" spans="1:46" ht="14.45">
      <c r="A968" s="336"/>
      <c r="B968" s="336"/>
      <c r="C968" s="336"/>
      <c r="D968" s="336"/>
      <c r="E968" s="336"/>
      <c r="F968" s="336"/>
      <c r="G968" s="336"/>
      <c r="H968" s="336"/>
      <c r="I968" s="336"/>
      <c r="J968" s="336"/>
      <c r="K968" s="415"/>
      <c r="L968" s="336"/>
      <c r="M968" s="336"/>
      <c r="N968" s="336"/>
      <c r="O968" s="416"/>
      <c r="P968" s="336"/>
      <c r="Q968" s="415"/>
      <c r="R968" s="336"/>
      <c r="S968" s="336"/>
      <c r="T968" s="336"/>
      <c r="U968" s="336"/>
      <c r="V968" s="336"/>
      <c r="W968" s="336"/>
      <c r="X968" s="336"/>
      <c r="Y968" s="336"/>
      <c r="Z968" s="336"/>
      <c r="AA968" s="336"/>
      <c r="AB968" s="336"/>
      <c r="AC968" s="336"/>
      <c r="AD968" s="336"/>
      <c r="AE968"/>
      <c r="AF968" s="336"/>
      <c r="AG968" s="336"/>
      <c r="AH968" s="336"/>
      <c r="AI968" s="336"/>
      <c r="AJ968" s="336"/>
      <c r="AK968" s="336"/>
      <c r="AL968" s="336"/>
      <c r="AM968" s="336"/>
      <c r="AN968" s="336"/>
      <c r="AO968" s="336"/>
      <c r="AP968" s="336"/>
      <c r="AQ968" s="336"/>
      <c r="AR968" s="336"/>
      <c r="AS968" s="336"/>
      <c r="AT968" s="336"/>
    </row>
    <row r="969" spans="1:46" ht="14.45">
      <c r="A969" s="336"/>
      <c r="B969" s="336"/>
      <c r="C969" s="336"/>
      <c r="D969" s="336"/>
      <c r="E969" s="336"/>
      <c r="F969" s="336"/>
      <c r="G969" s="336"/>
      <c r="H969" s="336"/>
      <c r="I969" s="336"/>
      <c r="J969" s="336"/>
      <c r="K969" s="415"/>
      <c r="L969" s="336"/>
      <c r="M969" s="336"/>
      <c r="N969" s="336"/>
      <c r="O969" s="416"/>
      <c r="P969" s="336"/>
      <c r="Q969" s="415"/>
      <c r="R969" s="336"/>
      <c r="S969" s="336"/>
      <c r="T969" s="336"/>
      <c r="U969" s="336"/>
      <c r="V969" s="336"/>
      <c r="W969" s="336"/>
      <c r="X969" s="336"/>
      <c r="Y969" s="336"/>
      <c r="Z969" s="336"/>
      <c r="AA969" s="336"/>
      <c r="AB969" s="336"/>
      <c r="AC969" s="336"/>
      <c r="AD969" s="336"/>
      <c r="AE969"/>
      <c r="AF969" s="336"/>
      <c r="AG969" s="336"/>
      <c r="AH969" s="336"/>
      <c r="AI969" s="336"/>
      <c r="AJ969" s="336"/>
      <c r="AK969" s="336"/>
      <c r="AL969" s="336"/>
      <c r="AM969" s="336"/>
      <c r="AN969" s="336"/>
      <c r="AO969" s="336"/>
      <c r="AP969" s="336"/>
      <c r="AQ969" s="336"/>
      <c r="AR969" s="336"/>
      <c r="AS969" s="336"/>
      <c r="AT969" s="336"/>
    </row>
    <row r="970" spans="1:46" ht="14.45">
      <c r="A970" s="336"/>
      <c r="B970" s="336"/>
      <c r="C970" s="336"/>
      <c r="D970" s="336"/>
      <c r="E970" s="336"/>
      <c r="F970" s="336"/>
      <c r="G970" s="336"/>
      <c r="H970" s="336"/>
      <c r="I970" s="336"/>
      <c r="J970" s="336"/>
      <c r="K970" s="415"/>
      <c r="L970" s="336"/>
      <c r="M970" s="336"/>
      <c r="N970" s="336"/>
      <c r="O970" s="416"/>
      <c r="P970" s="336"/>
      <c r="Q970" s="415"/>
      <c r="R970" s="336"/>
      <c r="S970" s="336"/>
      <c r="T970" s="336"/>
      <c r="U970" s="336"/>
      <c r="V970" s="336"/>
      <c r="W970" s="336"/>
      <c r="X970" s="336"/>
      <c r="Y970" s="336"/>
      <c r="Z970" s="336"/>
      <c r="AA970" s="336"/>
      <c r="AB970" s="336"/>
      <c r="AC970" s="336"/>
      <c r="AD970" s="336"/>
      <c r="AE970"/>
      <c r="AF970" s="336"/>
      <c r="AG970" s="336"/>
      <c r="AH970" s="336"/>
      <c r="AI970" s="336"/>
      <c r="AJ970" s="336"/>
      <c r="AK970" s="336"/>
      <c r="AL970" s="336"/>
      <c r="AM970" s="336"/>
      <c r="AN970" s="336"/>
      <c r="AO970" s="336"/>
      <c r="AP970" s="336"/>
      <c r="AQ970" s="336"/>
      <c r="AR970" s="336"/>
      <c r="AS970" s="336"/>
      <c r="AT970" s="336"/>
    </row>
    <row r="971" spans="1:46" ht="14.45">
      <c r="A971" s="336"/>
      <c r="B971" s="336"/>
      <c r="C971" s="336"/>
      <c r="D971" s="336"/>
      <c r="E971" s="336"/>
      <c r="F971" s="336"/>
      <c r="G971" s="336"/>
      <c r="H971" s="336"/>
      <c r="I971" s="336"/>
      <c r="J971" s="336"/>
      <c r="K971" s="415"/>
      <c r="L971" s="336"/>
      <c r="M971" s="336"/>
      <c r="N971" s="336"/>
      <c r="O971" s="416"/>
      <c r="P971" s="336"/>
      <c r="Q971" s="415"/>
      <c r="R971" s="336"/>
      <c r="S971" s="336"/>
      <c r="T971" s="336"/>
      <c r="U971" s="336"/>
      <c r="V971" s="336"/>
      <c r="W971" s="336"/>
      <c r="X971" s="336"/>
      <c r="Y971" s="336"/>
      <c r="Z971" s="336"/>
      <c r="AA971" s="336"/>
      <c r="AB971" s="336"/>
      <c r="AC971" s="336"/>
      <c r="AD971" s="336"/>
      <c r="AE971"/>
      <c r="AF971" s="336"/>
      <c r="AG971" s="336"/>
      <c r="AH971" s="336"/>
      <c r="AI971" s="336"/>
      <c r="AJ971" s="336"/>
      <c r="AK971" s="336"/>
      <c r="AL971" s="336"/>
      <c r="AM971" s="336"/>
      <c r="AN971" s="336"/>
      <c r="AO971" s="336"/>
      <c r="AP971" s="336"/>
      <c r="AQ971" s="336"/>
      <c r="AR971" s="336"/>
      <c r="AS971" s="336"/>
      <c r="AT971" s="336"/>
    </row>
    <row r="972" spans="1:46" ht="14.45">
      <c r="A972" s="336"/>
      <c r="B972" s="336"/>
      <c r="C972" s="336"/>
      <c r="D972" s="336"/>
      <c r="E972" s="336"/>
      <c r="F972" s="336"/>
      <c r="G972" s="336"/>
      <c r="H972" s="336"/>
      <c r="I972" s="336"/>
      <c r="J972" s="336"/>
      <c r="K972" s="415"/>
      <c r="L972" s="336"/>
      <c r="M972" s="336"/>
      <c r="N972" s="336"/>
      <c r="O972" s="416"/>
      <c r="P972" s="336"/>
      <c r="Q972" s="415"/>
      <c r="R972" s="336"/>
      <c r="S972" s="336"/>
      <c r="T972" s="336"/>
      <c r="U972" s="336"/>
      <c r="V972" s="336"/>
      <c r="W972" s="336"/>
      <c r="X972" s="336"/>
      <c r="Y972" s="336"/>
      <c r="Z972" s="336"/>
      <c r="AA972" s="336"/>
      <c r="AB972" s="336"/>
      <c r="AC972" s="336"/>
      <c r="AD972" s="336"/>
      <c r="AE972"/>
      <c r="AF972" s="336"/>
      <c r="AG972" s="336"/>
      <c r="AH972" s="336"/>
      <c r="AI972" s="336"/>
      <c r="AJ972" s="336"/>
      <c r="AK972" s="336"/>
      <c r="AL972" s="336"/>
      <c r="AM972" s="336"/>
      <c r="AN972" s="336"/>
      <c r="AO972" s="336"/>
      <c r="AP972" s="336"/>
      <c r="AQ972" s="336"/>
      <c r="AR972" s="336"/>
      <c r="AS972" s="336"/>
      <c r="AT972" s="336"/>
    </row>
    <row r="973" spans="1:46" ht="14.45">
      <c r="A973" s="336"/>
      <c r="B973" s="336"/>
      <c r="C973" s="336"/>
      <c r="D973" s="336"/>
      <c r="E973" s="336"/>
      <c r="F973" s="336"/>
      <c r="G973" s="336"/>
      <c r="H973" s="336"/>
      <c r="I973" s="336"/>
      <c r="J973" s="336"/>
      <c r="K973" s="415"/>
      <c r="L973" s="336"/>
      <c r="M973" s="336"/>
      <c r="N973" s="336"/>
      <c r="O973" s="416"/>
      <c r="P973" s="336"/>
      <c r="Q973" s="415"/>
      <c r="R973" s="336"/>
      <c r="S973" s="336"/>
      <c r="T973" s="336"/>
      <c r="U973" s="336"/>
      <c r="V973" s="336"/>
      <c r="W973" s="336"/>
      <c r="X973" s="336"/>
      <c r="Y973" s="336"/>
      <c r="Z973" s="336"/>
      <c r="AA973" s="336"/>
      <c r="AB973" s="336"/>
      <c r="AC973" s="336"/>
      <c r="AD973" s="336"/>
      <c r="AE973"/>
      <c r="AF973" s="336"/>
      <c r="AG973" s="336"/>
      <c r="AH973" s="336"/>
      <c r="AI973" s="336"/>
      <c r="AJ973" s="336"/>
      <c r="AK973" s="336"/>
      <c r="AL973" s="336"/>
      <c r="AM973" s="336"/>
      <c r="AN973" s="336"/>
      <c r="AO973" s="336"/>
      <c r="AP973" s="336"/>
      <c r="AQ973" s="336"/>
      <c r="AR973" s="336"/>
      <c r="AS973" s="336"/>
      <c r="AT973" s="336"/>
    </row>
    <row r="974" spans="1:46" ht="14.45">
      <c r="A974" s="336"/>
      <c r="B974" s="336"/>
      <c r="C974" s="336"/>
      <c r="D974" s="336"/>
      <c r="E974" s="336"/>
      <c r="F974" s="336"/>
      <c r="G974" s="336"/>
      <c r="H974" s="336"/>
      <c r="I974" s="336"/>
      <c r="J974" s="336"/>
      <c r="K974" s="415"/>
      <c r="L974" s="336"/>
      <c r="M974" s="336"/>
      <c r="N974" s="336"/>
      <c r="O974" s="416"/>
      <c r="P974" s="336"/>
      <c r="Q974" s="415"/>
      <c r="R974" s="336"/>
      <c r="S974" s="336"/>
      <c r="T974" s="336"/>
      <c r="U974" s="336"/>
      <c r="V974" s="336"/>
      <c r="W974" s="336"/>
      <c r="X974" s="336"/>
      <c r="Y974" s="336"/>
      <c r="Z974" s="336"/>
      <c r="AA974" s="336"/>
      <c r="AB974" s="336"/>
      <c r="AC974" s="336"/>
      <c r="AD974" s="336"/>
      <c r="AE974"/>
      <c r="AF974" s="336"/>
      <c r="AG974" s="336"/>
      <c r="AH974" s="336"/>
      <c r="AI974" s="336"/>
      <c r="AJ974" s="336"/>
      <c r="AK974" s="336"/>
      <c r="AL974" s="336"/>
      <c r="AM974" s="336"/>
      <c r="AN974" s="336"/>
      <c r="AO974" s="336"/>
      <c r="AP974" s="336"/>
      <c r="AQ974" s="336"/>
      <c r="AR974" s="336"/>
      <c r="AS974" s="336"/>
      <c r="AT974" s="336"/>
    </row>
    <row r="975" spans="1:46" ht="14.45">
      <c r="A975" s="336"/>
      <c r="B975" s="336"/>
      <c r="C975" s="336"/>
      <c r="D975" s="336"/>
      <c r="E975" s="336"/>
      <c r="F975" s="336"/>
      <c r="G975" s="336"/>
      <c r="H975" s="336"/>
      <c r="I975" s="336"/>
      <c r="J975" s="336"/>
      <c r="K975" s="415"/>
      <c r="L975" s="336"/>
      <c r="M975" s="336"/>
      <c r="N975" s="336"/>
      <c r="O975" s="416"/>
      <c r="P975" s="336"/>
      <c r="Q975" s="415"/>
      <c r="R975" s="336"/>
      <c r="S975" s="336"/>
      <c r="T975" s="336"/>
      <c r="U975" s="336"/>
      <c r="V975" s="336"/>
      <c r="W975" s="336"/>
      <c r="X975" s="336"/>
      <c r="Y975" s="336"/>
      <c r="Z975" s="336"/>
      <c r="AA975" s="336"/>
      <c r="AB975" s="336"/>
      <c r="AC975" s="336"/>
      <c r="AD975" s="336"/>
      <c r="AE975"/>
      <c r="AF975" s="336"/>
      <c r="AG975" s="336"/>
      <c r="AH975" s="336"/>
      <c r="AI975" s="336"/>
      <c r="AJ975" s="336"/>
      <c r="AK975" s="336"/>
      <c r="AL975" s="336"/>
      <c r="AM975" s="336"/>
      <c r="AN975" s="336"/>
      <c r="AO975" s="336"/>
      <c r="AP975" s="336"/>
      <c r="AQ975" s="336"/>
      <c r="AR975" s="336"/>
      <c r="AS975" s="336"/>
      <c r="AT975" s="336"/>
    </row>
    <row r="976" spans="1:46" ht="14.45">
      <c r="A976" s="336"/>
      <c r="B976" s="336"/>
      <c r="C976" s="336"/>
      <c r="D976" s="336"/>
      <c r="E976" s="336"/>
      <c r="F976" s="336"/>
      <c r="G976" s="336"/>
      <c r="H976" s="336"/>
      <c r="I976" s="336"/>
      <c r="J976" s="336"/>
      <c r="K976" s="415"/>
      <c r="L976" s="336"/>
      <c r="M976" s="336"/>
      <c r="N976" s="336"/>
      <c r="O976" s="416"/>
      <c r="P976" s="336"/>
      <c r="Q976" s="415"/>
      <c r="R976" s="336"/>
      <c r="S976" s="336"/>
      <c r="T976" s="336"/>
      <c r="U976" s="336"/>
      <c r="V976" s="336"/>
      <c r="W976" s="336"/>
      <c r="X976" s="336"/>
      <c r="Y976" s="336"/>
      <c r="Z976" s="336"/>
      <c r="AA976" s="336"/>
      <c r="AB976" s="336"/>
      <c r="AC976" s="336"/>
      <c r="AD976" s="336"/>
      <c r="AE976"/>
      <c r="AF976" s="336"/>
      <c r="AG976" s="336"/>
      <c r="AH976" s="336"/>
      <c r="AI976" s="336"/>
      <c r="AJ976" s="336"/>
      <c r="AK976" s="336"/>
      <c r="AL976" s="336"/>
      <c r="AM976" s="336"/>
      <c r="AN976" s="336"/>
      <c r="AO976" s="336"/>
      <c r="AP976" s="336"/>
      <c r="AQ976" s="336"/>
      <c r="AR976" s="336"/>
      <c r="AS976" s="336"/>
      <c r="AT976" s="336"/>
    </row>
    <row r="977" spans="1:46" ht="14.45">
      <c r="A977" s="336"/>
      <c r="B977" s="336"/>
      <c r="C977" s="336"/>
      <c r="D977" s="336"/>
      <c r="E977" s="336"/>
      <c r="F977" s="336"/>
      <c r="G977" s="336"/>
      <c r="H977" s="336"/>
      <c r="I977" s="336"/>
      <c r="J977" s="336"/>
      <c r="K977" s="415"/>
      <c r="L977" s="336"/>
      <c r="M977" s="336"/>
      <c r="N977" s="336"/>
      <c r="O977" s="416"/>
      <c r="P977" s="336"/>
      <c r="Q977" s="415"/>
      <c r="R977" s="336"/>
      <c r="S977" s="336"/>
      <c r="T977" s="336"/>
      <c r="U977" s="336"/>
      <c r="V977" s="336"/>
      <c r="W977" s="336"/>
      <c r="X977" s="336"/>
      <c r="Y977" s="336"/>
      <c r="Z977" s="336"/>
      <c r="AA977" s="336"/>
      <c r="AB977" s="336"/>
      <c r="AC977" s="336"/>
      <c r="AD977" s="336"/>
      <c r="AE977"/>
      <c r="AF977" s="336"/>
      <c r="AG977" s="336"/>
      <c r="AH977" s="336"/>
      <c r="AI977" s="336"/>
      <c r="AJ977" s="336"/>
      <c r="AK977" s="336"/>
      <c r="AL977" s="336"/>
      <c r="AM977" s="336"/>
      <c r="AN977" s="336"/>
      <c r="AO977" s="336"/>
      <c r="AP977" s="336"/>
      <c r="AQ977" s="336"/>
      <c r="AR977" s="336"/>
      <c r="AS977" s="336"/>
      <c r="AT977" s="336"/>
    </row>
    <row r="978" spans="1:46" ht="14.45">
      <c r="A978" s="336"/>
      <c r="B978" s="336"/>
      <c r="C978" s="336"/>
      <c r="D978" s="336"/>
      <c r="E978" s="336"/>
      <c r="F978" s="336"/>
      <c r="G978" s="336"/>
      <c r="H978" s="336"/>
      <c r="I978" s="336"/>
      <c r="J978" s="336"/>
      <c r="K978" s="415"/>
      <c r="L978" s="336"/>
      <c r="M978" s="336"/>
      <c r="N978" s="336"/>
      <c r="O978" s="416"/>
      <c r="P978" s="336"/>
      <c r="Q978" s="415"/>
      <c r="R978" s="336"/>
      <c r="S978" s="336"/>
      <c r="T978" s="336"/>
      <c r="U978" s="336"/>
      <c r="V978" s="336"/>
      <c r="W978" s="336"/>
      <c r="X978" s="336"/>
      <c r="Y978" s="336"/>
      <c r="Z978" s="336"/>
      <c r="AA978" s="336"/>
      <c r="AB978" s="336"/>
      <c r="AC978" s="336"/>
      <c r="AD978" s="336"/>
      <c r="AE978"/>
      <c r="AF978" s="336"/>
      <c r="AG978" s="336"/>
      <c r="AH978" s="336"/>
      <c r="AI978" s="336"/>
      <c r="AJ978" s="336"/>
      <c r="AK978" s="336"/>
      <c r="AL978" s="336"/>
      <c r="AM978" s="336"/>
      <c r="AN978" s="336"/>
      <c r="AO978" s="336"/>
      <c r="AP978" s="336"/>
      <c r="AQ978" s="336"/>
      <c r="AR978" s="336"/>
      <c r="AS978" s="336"/>
      <c r="AT978" s="336"/>
    </row>
    <row r="979" spans="1:46" ht="14.45">
      <c r="A979" s="336"/>
      <c r="B979" s="336"/>
      <c r="C979" s="336"/>
      <c r="D979" s="336"/>
      <c r="E979" s="336"/>
      <c r="F979" s="336"/>
      <c r="G979" s="336"/>
      <c r="H979" s="336"/>
      <c r="I979" s="336"/>
      <c r="J979" s="336"/>
      <c r="K979" s="415"/>
      <c r="L979" s="336"/>
      <c r="M979" s="336"/>
      <c r="N979" s="336"/>
      <c r="O979" s="416"/>
      <c r="P979" s="336"/>
      <c r="Q979" s="415"/>
      <c r="R979" s="336"/>
      <c r="S979" s="336"/>
      <c r="T979" s="336"/>
      <c r="U979" s="336"/>
      <c r="V979" s="336"/>
      <c r="W979" s="336"/>
      <c r="X979" s="336"/>
      <c r="Y979" s="336"/>
      <c r="Z979" s="336"/>
      <c r="AA979" s="336"/>
      <c r="AB979" s="336"/>
      <c r="AC979" s="336"/>
      <c r="AD979" s="336"/>
      <c r="AE979"/>
      <c r="AF979" s="336"/>
      <c r="AG979" s="336"/>
      <c r="AH979" s="336"/>
      <c r="AI979" s="336"/>
      <c r="AJ979" s="336"/>
      <c r="AK979" s="336"/>
      <c r="AL979" s="336"/>
      <c r="AM979" s="336"/>
      <c r="AN979" s="336"/>
      <c r="AO979" s="336"/>
      <c r="AP979" s="336"/>
      <c r="AQ979" s="336"/>
      <c r="AR979" s="336"/>
      <c r="AS979" s="336"/>
      <c r="AT979" s="336"/>
    </row>
    <row r="980" spans="1:46" ht="14.45">
      <c r="A980" s="336"/>
      <c r="B980" s="336"/>
      <c r="C980" s="336"/>
      <c r="D980" s="336"/>
      <c r="E980" s="336"/>
      <c r="F980" s="336"/>
      <c r="G980" s="336"/>
      <c r="H980" s="336"/>
      <c r="I980" s="336"/>
      <c r="J980" s="336"/>
      <c r="K980" s="415"/>
      <c r="L980" s="336"/>
      <c r="M980" s="336"/>
      <c r="N980" s="336"/>
      <c r="O980" s="416"/>
      <c r="P980" s="336"/>
      <c r="Q980" s="415"/>
      <c r="R980" s="336"/>
      <c r="S980" s="336"/>
      <c r="T980" s="336"/>
      <c r="U980" s="336"/>
      <c r="V980" s="336"/>
      <c r="W980" s="336"/>
      <c r="X980" s="336"/>
      <c r="Y980" s="336"/>
      <c r="Z980" s="336"/>
      <c r="AA980" s="336"/>
      <c r="AB980" s="336"/>
      <c r="AC980" s="336"/>
      <c r="AD980" s="336"/>
      <c r="AE980"/>
      <c r="AF980" s="336"/>
      <c r="AG980" s="336"/>
      <c r="AH980" s="336"/>
      <c r="AI980" s="336"/>
      <c r="AJ980" s="336"/>
      <c r="AK980" s="336"/>
      <c r="AL980" s="336"/>
      <c r="AM980" s="336"/>
      <c r="AN980" s="336"/>
      <c r="AO980" s="336"/>
      <c r="AP980" s="336"/>
      <c r="AQ980" s="336"/>
      <c r="AR980" s="336"/>
      <c r="AS980" s="336"/>
      <c r="AT980" s="336"/>
    </row>
    <row r="981" spans="1:46" ht="14.45">
      <c r="A981" s="336"/>
      <c r="B981" s="336"/>
      <c r="C981" s="336"/>
      <c r="D981" s="336"/>
      <c r="E981" s="336"/>
      <c r="F981" s="336"/>
      <c r="G981" s="336"/>
      <c r="H981" s="336"/>
      <c r="I981" s="336"/>
      <c r="J981" s="336"/>
      <c r="K981" s="415"/>
      <c r="L981" s="336"/>
      <c r="M981" s="336"/>
      <c r="N981" s="336"/>
      <c r="O981" s="416"/>
      <c r="P981" s="336"/>
      <c r="Q981" s="415"/>
      <c r="R981" s="336"/>
      <c r="S981" s="336"/>
      <c r="T981" s="336"/>
      <c r="U981" s="336"/>
      <c r="V981" s="336"/>
      <c r="W981" s="336"/>
      <c r="X981" s="336"/>
      <c r="Y981" s="336"/>
      <c r="Z981" s="336"/>
      <c r="AA981" s="336"/>
      <c r="AB981" s="336"/>
      <c r="AC981" s="336"/>
      <c r="AD981" s="336"/>
      <c r="AE981"/>
      <c r="AF981" s="336"/>
      <c r="AG981" s="336"/>
      <c r="AH981" s="336"/>
      <c r="AI981" s="336"/>
      <c r="AJ981" s="336"/>
      <c r="AK981" s="336"/>
      <c r="AL981" s="336"/>
      <c r="AM981" s="336"/>
      <c r="AN981" s="336"/>
      <c r="AO981" s="336"/>
      <c r="AP981" s="336"/>
      <c r="AQ981" s="336"/>
      <c r="AR981" s="336"/>
      <c r="AS981" s="336"/>
      <c r="AT981" s="336"/>
    </row>
    <row r="982" spans="1:46" ht="14.45">
      <c r="A982" s="336"/>
      <c r="B982" s="336"/>
      <c r="C982" s="336"/>
      <c r="D982" s="336"/>
      <c r="E982" s="336"/>
      <c r="F982" s="336"/>
      <c r="G982" s="336"/>
      <c r="H982" s="336"/>
      <c r="I982" s="336"/>
      <c r="J982" s="336"/>
      <c r="K982" s="415"/>
      <c r="L982" s="336"/>
      <c r="M982" s="336"/>
      <c r="N982" s="336"/>
      <c r="O982" s="416"/>
      <c r="P982" s="336"/>
      <c r="Q982" s="415"/>
      <c r="R982" s="336"/>
      <c r="S982" s="336"/>
      <c r="T982" s="336"/>
      <c r="U982" s="336"/>
      <c r="V982" s="336"/>
      <c r="W982" s="336"/>
      <c r="X982" s="336"/>
      <c r="Y982" s="336"/>
      <c r="Z982" s="336"/>
      <c r="AA982" s="336"/>
      <c r="AB982" s="336"/>
      <c r="AC982" s="336"/>
      <c r="AD982" s="336"/>
      <c r="AE982"/>
      <c r="AF982" s="336"/>
      <c r="AG982" s="336"/>
      <c r="AH982" s="336"/>
      <c r="AI982" s="336"/>
      <c r="AJ982" s="336"/>
      <c r="AK982" s="336"/>
      <c r="AL982" s="336"/>
      <c r="AM982" s="336"/>
      <c r="AN982" s="336"/>
      <c r="AO982" s="336"/>
      <c r="AP982" s="336"/>
      <c r="AQ982" s="336"/>
      <c r="AR982" s="336"/>
      <c r="AS982" s="336"/>
      <c r="AT982" s="336"/>
    </row>
    <row r="983" spans="1:46" ht="14.45">
      <c r="A983" s="336"/>
      <c r="B983" s="336"/>
      <c r="C983" s="336"/>
      <c r="D983" s="336"/>
      <c r="E983" s="336"/>
      <c r="F983" s="336"/>
      <c r="G983" s="336"/>
      <c r="H983" s="336"/>
      <c r="I983" s="336"/>
      <c r="J983" s="336"/>
      <c r="K983" s="415"/>
      <c r="L983" s="336"/>
      <c r="M983" s="336"/>
      <c r="N983" s="336"/>
      <c r="O983" s="416"/>
      <c r="P983" s="336"/>
      <c r="Q983" s="415"/>
      <c r="R983" s="336"/>
      <c r="S983" s="336"/>
      <c r="T983" s="336"/>
      <c r="U983" s="336"/>
      <c r="V983" s="336"/>
      <c r="W983" s="336"/>
      <c r="X983" s="336"/>
      <c r="Y983" s="336"/>
      <c r="Z983" s="336"/>
      <c r="AA983" s="336"/>
      <c r="AB983" s="336"/>
      <c r="AC983" s="336"/>
      <c r="AD983" s="336"/>
      <c r="AE983"/>
      <c r="AF983" s="336"/>
      <c r="AG983" s="336"/>
      <c r="AH983" s="336"/>
      <c r="AI983" s="336"/>
      <c r="AJ983" s="336"/>
      <c r="AK983" s="336"/>
      <c r="AL983" s="336"/>
      <c r="AM983" s="336"/>
      <c r="AN983" s="336"/>
      <c r="AO983" s="336"/>
      <c r="AP983" s="336"/>
      <c r="AQ983" s="336"/>
      <c r="AR983" s="336"/>
      <c r="AS983" s="336"/>
      <c r="AT983" s="336"/>
    </row>
    <row r="984" spans="1:46" ht="14.45">
      <c r="A984" s="336"/>
      <c r="B984" s="336"/>
      <c r="C984" s="336"/>
      <c r="D984" s="336"/>
      <c r="E984" s="336"/>
      <c r="F984" s="336"/>
      <c r="G984" s="336"/>
      <c r="H984" s="336"/>
      <c r="I984" s="336"/>
      <c r="J984" s="336"/>
      <c r="K984" s="415"/>
      <c r="L984" s="336"/>
      <c r="M984" s="336"/>
      <c r="N984" s="336"/>
      <c r="O984" s="416"/>
      <c r="P984" s="336"/>
      <c r="Q984" s="415"/>
      <c r="R984" s="336"/>
      <c r="S984" s="336"/>
      <c r="T984" s="336"/>
      <c r="U984" s="336"/>
      <c r="V984" s="336"/>
      <c r="W984" s="336"/>
      <c r="X984" s="336"/>
      <c r="Y984" s="336"/>
      <c r="Z984" s="336"/>
      <c r="AA984" s="336"/>
      <c r="AB984" s="336"/>
      <c r="AC984" s="336"/>
      <c r="AD984" s="336"/>
      <c r="AE984"/>
      <c r="AF984" s="336"/>
      <c r="AG984" s="336"/>
      <c r="AH984" s="336"/>
      <c r="AI984" s="336"/>
      <c r="AJ984" s="336"/>
      <c r="AK984" s="336"/>
      <c r="AL984" s="336"/>
      <c r="AM984" s="336"/>
      <c r="AN984" s="336"/>
      <c r="AO984" s="336"/>
      <c r="AP984" s="336"/>
      <c r="AQ984" s="336"/>
      <c r="AR984" s="336"/>
      <c r="AS984" s="336"/>
      <c r="AT984" s="336"/>
    </row>
    <row r="985" spans="1:46" ht="14.45">
      <c r="A985" s="336"/>
      <c r="B985" s="336"/>
      <c r="C985" s="336"/>
      <c r="D985" s="336"/>
      <c r="E985" s="336"/>
      <c r="F985" s="336"/>
      <c r="G985" s="336"/>
      <c r="H985" s="336"/>
      <c r="I985" s="336"/>
      <c r="J985" s="336"/>
      <c r="K985" s="415"/>
      <c r="L985" s="336"/>
      <c r="M985" s="336"/>
      <c r="N985" s="336"/>
      <c r="O985" s="416"/>
      <c r="P985" s="336"/>
      <c r="Q985" s="415"/>
      <c r="R985" s="336"/>
      <c r="S985" s="336"/>
      <c r="T985" s="336"/>
      <c r="U985" s="336"/>
      <c r="V985" s="336"/>
      <c r="W985" s="336"/>
      <c r="X985" s="336"/>
      <c r="Y985" s="336"/>
      <c r="Z985" s="336"/>
      <c r="AA985" s="336"/>
      <c r="AB985" s="336"/>
      <c r="AC985" s="336"/>
      <c r="AD985" s="336"/>
      <c r="AE985"/>
      <c r="AF985" s="336"/>
      <c r="AG985" s="336"/>
      <c r="AH985" s="336"/>
      <c r="AI985" s="336"/>
      <c r="AJ985" s="336"/>
      <c r="AK985" s="336"/>
      <c r="AL985" s="336"/>
      <c r="AM985" s="336"/>
      <c r="AN985" s="336"/>
      <c r="AO985" s="336"/>
      <c r="AP985" s="336"/>
      <c r="AQ985" s="336"/>
      <c r="AR985" s="336"/>
      <c r="AS985" s="336"/>
      <c r="AT985" s="336"/>
    </row>
    <row r="986" spans="1:46" ht="14.45">
      <c r="A986" s="336"/>
      <c r="B986" s="336"/>
      <c r="C986" s="336"/>
      <c r="D986" s="336"/>
      <c r="E986" s="336"/>
      <c r="F986" s="336"/>
      <c r="G986" s="336"/>
      <c r="H986" s="336"/>
      <c r="I986" s="336"/>
      <c r="J986" s="336"/>
      <c r="K986" s="415"/>
      <c r="L986" s="336"/>
      <c r="M986" s="336"/>
      <c r="N986" s="336"/>
      <c r="O986" s="416"/>
      <c r="P986" s="336"/>
      <c r="Q986" s="415"/>
      <c r="R986" s="336"/>
      <c r="S986" s="336"/>
      <c r="T986" s="336"/>
      <c r="U986" s="336"/>
      <c r="V986" s="336"/>
      <c r="W986" s="336"/>
      <c r="X986" s="336"/>
      <c r="Y986" s="336"/>
      <c r="Z986" s="336"/>
      <c r="AA986" s="336"/>
      <c r="AB986" s="336"/>
      <c r="AC986" s="336"/>
      <c r="AD986" s="336"/>
      <c r="AE986"/>
      <c r="AF986" s="336"/>
      <c r="AG986" s="336"/>
      <c r="AH986" s="336"/>
      <c r="AI986" s="336"/>
      <c r="AJ986" s="336"/>
      <c r="AK986" s="336"/>
      <c r="AL986" s="336"/>
      <c r="AM986" s="336"/>
      <c r="AN986" s="336"/>
      <c r="AO986" s="336"/>
      <c r="AP986" s="336"/>
      <c r="AQ986" s="336"/>
      <c r="AR986" s="336"/>
      <c r="AS986" s="336"/>
      <c r="AT986" s="336"/>
    </row>
    <row r="987" spans="1:46" ht="14.45">
      <c r="A987" s="336"/>
      <c r="B987" s="336"/>
      <c r="C987" s="336"/>
      <c r="D987" s="336"/>
      <c r="E987" s="336"/>
      <c r="F987" s="336"/>
      <c r="G987" s="336"/>
      <c r="H987" s="336"/>
      <c r="I987" s="336"/>
      <c r="J987" s="336"/>
      <c r="K987" s="415"/>
      <c r="L987" s="336"/>
      <c r="M987" s="336"/>
      <c r="N987" s="336"/>
      <c r="O987" s="416"/>
      <c r="P987" s="336"/>
      <c r="Q987" s="415"/>
      <c r="R987" s="336"/>
      <c r="S987" s="336"/>
      <c r="T987" s="336"/>
      <c r="U987" s="336"/>
      <c r="V987" s="336"/>
      <c r="W987" s="336"/>
      <c r="X987" s="336"/>
      <c r="Y987" s="336"/>
      <c r="Z987" s="336"/>
      <c r="AA987" s="336"/>
      <c r="AB987" s="336"/>
      <c r="AC987" s="336"/>
      <c r="AD987" s="336"/>
      <c r="AE987"/>
      <c r="AF987" s="336"/>
      <c r="AG987" s="336"/>
      <c r="AH987" s="336"/>
      <c r="AI987" s="336"/>
      <c r="AJ987" s="336"/>
      <c r="AK987" s="336"/>
      <c r="AL987" s="336"/>
      <c r="AM987" s="336"/>
      <c r="AN987" s="336"/>
      <c r="AO987" s="336"/>
      <c r="AP987" s="336"/>
      <c r="AQ987" s="336"/>
      <c r="AR987" s="336"/>
      <c r="AS987" s="336"/>
      <c r="AT987" s="336"/>
    </row>
    <row r="988" spans="1:46" ht="14.45">
      <c r="A988" s="336"/>
      <c r="B988" s="336"/>
      <c r="C988" s="336"/>
      <c r="D988" s="336"/>
      <c r="E988" s="336"/>
      <c r="F988" s="336"/>
      <c r="G988" s="336"/>
      <c r="H988" s="336"/>
      <c r="I988" s="336"/>
      <c r="J988" s="336"/>
      <c r="K988" s="415"/>
      <c r="L988" s="336"/>
      <c r="M988" s="336"/>
      <c r="N988" s="336"/>
      <c r="O988" s="416"/>
      <c r="P988" s="336"/>
      <c r="Q988" s="415"/>
      <c r="R988" s="336"/>
      <c r="S988" s="336"/>
      <c r="T988" s="336"/>
      <c r="U988" s="336"/>
      <c r="V988" s="336"/>
      <c r="W988" s="336"/>
      <c r="X988" s="336"/>
      <c r="Y988" s="336"/>
      <c r="Z988" s="336"/>
      <c r="AA988" s="336"/>
      <c r="AB988" s="336"/>
      <c r="AC988" s="336"/>
      <c r="AD988" s="336"/>
      <c r="AE988"/>
      <c r="AF988" s="336"/>
      <c r="AG988" s="336"/>
      <c r="AH988" s="336"/>
      <c r="AI988" s="336"/>
      <c r="AJ988" s="336"/>
      <c r="AK988" s="336"/>
      <c r="AL988" s="336"/>
      <c r="AM988" s="336"/>
      <c r="AN988" s="336"/>
      <c r="AO988" s="336"/>
      <c r="AP988" s="336"/>
      <c r="AQ988" s="336"/>
      <c r="AR988" s="336"/>
      <c r="AS988" s="336"/>
      <c r="AT988" s="336"/>
    </row>
    <row r="989" spans="1:46" ht="14.45">
      <c r="A989" s="336"/>
      <c r="B989" s="336"/>
      <c r="C989" s="336"/>
      <c r="D989" s="336"/>
      <c r="E989" s="336"/>
      <c r="F989" s="336"/>
      <c r="G989" s="336"/>
      <c r="H989" s="336"/>
      <c r="I989" s="336"/>
      <c r="J989" s="336"/>
      <c r="K989" s="415"/>
      <c r="L989" s="336"/>
      <c r="M989" s="336"/>
      <c r="N989" s="336"/>
      <c r="O989" s="416"/>
      <c r="P989" s="336"/>
      <c r="Q989" s="415"/>
      <c r="R989" s="336"/>
      <c r="S989" s="336"/>
      <c r="T989" s="336"/>
      <c r="U989" s="336"/>
      <c r="V989" s="336"/>
      <c r="W989" s="336"/>
      <c r="X989" s="336"/>
      <c r="Y989" s="336"/>
      <c r="Z989" s="336"/>
      <c r="AA989" s="336"/>
      <c r="AB989" s="336"/>
      <c r="AC989" s="336"/>
      <c r="AD989" s="336"/>
      <c r="AE989"/>
      <c r="AF989" s="336"/>
      <c r="AG989" s="336"/>
      <c r="AH989" s="336"/>
      <c r="AI989" s="336"/>
      <c r="AJ989" s="336"/>
      <c r="AK989" s="336"/>
      <c r="AL989" s="336"/>
      <c r="AM989" s="336"/>
      <c r="AN989" s="336"/>
      <c r="AO989" s="336"/>
      <c r="AP989" s="336"/>
      <c r="AQ989" s="336"/>
      <c r="AR989" s="336"/>
      <c r="AS989" s="336"/>
      <c r="AT989" s="336"/>
    </row>
    <row r="990" spans="1:46" ht="14.45">
      <c r="A990" s="336"/>
      <c r="B990" s="336"/>
      <c r="C990" s="336"/>
      <c r="D990" s="336"/>
      <c r="E990" s="336"/>
      <c r="F990" s="336"/>
      <c r="G990" s="336"/>
      <c r="H990" s="336"/>
      <c r="I990" s="336"/>
      <c r="J990" s="336"/>
      <c r="K990" s="415"/>
      <c r="L990" s="336"/>
      <c r="M990" s="336"/>
      <c r="N990" s="336"/>
      <c r="O990" s="416"/>
      <c r="P990" s="336"/>
      <c r="Q990" s="415"/>
      <c r="R990" s="336"/>
      <c r="S990" s="336"/>
      <c r="T990" s="336"/>
      <c r="U990" s="336"/>
      <c r="V990" s="336"/>
      <c r="W990" s="336"/>
      <c r="X990" s="336"/>
      <c r="Y990" s="336"/>
      <c r="Z990" s="336"/>
      <c r="AA990" s="336"/>
      <c r="AB990" s="336"/>
      <c r="AC990" s="336"/>
      <c r="AD990" s="336"/>
      <c r="AE990"/>
      <c r="AF990" s="336"/>
      <c r="AG990" s="336"/>
      <c r="AH990" s="336"/>
      <c r="AI990" s="336"/>
      <c r="AJ990" s="336"/>
      <c r="AK990" s="336"/>
      <c r="AL990" s="336"/>
      <c r="AM990" s="336"/>
      <c r="AN990" s="336"/>
      <c r="AO990" s="336"/>
      <c r="AP990" s="336"/>
      <c r="AQ990" s="336"/>
      <c r="AR990" s="336"/>
      <c r="AS990" s="336"/>
      <c r="AT990" s="336"/>
    </row>
    <row r="991" spans="1:46" ht="14.45">
      <c r="A991" s="336"/>
      <c r="B991" s="336"/>
      <c r="C991" s="336"/>
      <c r="D991" s="336"/>
      <c r="E991" s="336"/>
      <c r="F991" s="336"/>
      <c r="G991" s="336"/>
      <c r="H991" s="336"/>
      <c r="I991" s="336"/>
      <c r="J991" s="336"/>
      <c r="K991" s="415"/>
      <c r="L991" s="336"/>
      <c r="M991" s="336"/>
      <c r="N991" s="336"/>
      <c r="O991" s="416"/>
      <c r="P991" s="336"/>
      <c r="Q991" s="415"/>
      <c r="R991" s="336"/>
      <c r="S991" s="336"/>
      <c r="T991" s="336"/>
      <c r="U991" s="336"/>
      <c r="V991" s="336"/>
      <c r="W991" s="336"/>
      <c r="X991" s="336"/>
      <c r="Y991" s="336"/>
      <c r="Z991" s="336"/>
      <c r="AA991" s="336"/>
      <c r="AB991" s="336"/>
      <c r="AC991" s="336"/>
      <c r="AD991" s="336"/>
      <c r="AE991"/>
      <c r="AF991" s="336"/>
      <c r="AG991" s="336"/>
      <c r="AH991" s="336"/>
      <c r="AI991" s="336"/>
      <c r="AJ991" s="336"/>
      <c r="AK991" s="336"/>
      <c r="AL991" s="336"/>
      <c r="AM991" s="336"/>
      <c r="AN991" s="336"/>
      <c r="AO991" s="336"/>
      <c r="AP991" s="336"/>
      <c r="AQ991" s="336"/>
      <c r="AR991" s="336"/>
      <c r="AS991" s="336"/>
      <c r="AT991" s="336"/>
    </row>
    <row r="992" spans="1:46" ht="14.45">
      <c r="A992" s="336"/>
      <c r="B992" s="336"/>
      <c r="C992" s="336"/>
      <c r="D992" s="336"/>
      <c r="E992" s="336"/>
      <c r="F992" s="336"/>
      <c r="G992" s="336"/>
      <c r="H992" s="336"/>
      <c r="I992" s="336"/>
      <c r="J992" s="336"/>
      <c r="K992" s="415"/>
      <c r="L992" s="336"/>
      <c r="M992" s="336"/>
      <c r="N992" s="336"/>
      <c r="O992" s="416"/>
      <c r="P992" s="336"/>
      <c r="Q992" s="415"/>
      <c r="R992" s="336"/>
      <c r="S992" s="336"/>
      <c r="T992" s="336"/>
      <c r="U992" s="336"/>
      <c r="V992" s="336"/>
      <c r="W992" s="336"/>
      <c r="X992" s="336"/>
      <c r="Y992" s="336"/>
      <c r="Z992" s="336"/>
      <c r="AA992" s="336"/>
      <c r="AB992" s="336"/>
      <c r="AC992" s="336"/>
      <c r="AD992" s="336"/>
      <c r="AE992"/>
      <c r="AF992" s="336"/>
      <c r="AG992" s="336"/>
      <c r="AH992" s="336"/>
      <c r="AI992" s="336"/>
      <c r="AJ992" s="336"/>
      <c r="AK992" s="336"/>
      <c r="AL992" s="336"/>
      <c r="AM992" s="336"/>
      <c r="AN992" s="336"/>
      <c r="AO992" s="336"/>
      <c r="AP992" s="336"/>
      <c r="AQ992" s="336"/>
      <c r="AR992" s="336"/>
      <c r="AS992" s="336"/>
      <c r="AT992" s="336"/>
    </row>
    <row r="993" spans="1:46" ht="14.45">
      <c r="A993" s="336"/>
      <c r="B993" s="336"/>
      <c r="C993" s="336"/>
      <c r="D993" s="336"/>
      <c r="E993" s="336"/>
      <c r="F993" s="336"/>
      <c r="G993" s="336"/>
      <c r="H993" s="336"/>
      <c r="I993" s="336"/>
      <c r="J993" s="336"/>
      <c r="K993" s="415"/>
      <c r="L993" s="336"/>
      <c r="M993" s="336"/>
      <c r="N993" s="336"/>
      <c r="O993" s="416"/>
      <c r="P993" s="336"/>
      <c r="Q993" s="415"/>
      <c r="R993" s="336"/>
      <c r="S993" s="336"/>
      <c r="T993" s="336"/>
      <c r="U993" s="336"/>
      <c r="V993" s="336"/>
      <c r="W993" s="336"/>
      <c r="X993" s="336"/>
      <c r="Y993" s="336"/>
      <c r="Z993" s="336"/>
      <c r="AA993" s="336"/>
      <c r="AB993" s="336"/>
      <c r="AC993" s="336"/>
      <c r="AD993" s="336"/>
      <c r="AE993"/>
      <c r="AF993" s="336"/>
      <c r="AG993" s="336"/>
      <c r="AH993" s="336"/>
      <c r="AI993" s="336"/>
      <c r="AJ993" s="336"/>
      <c r="AK993" s="336"/>
      <c r="AL993" s="336"/>
      <c r="AM993" s="336"/>
      <c r="AN993" s="336"/>
      <c r="AO993" s="336"/>
      <c r="AP993" s="336"/>
      <c r="AQ993" s="336"/>
      <c r="AR993" s="336"/>
      <c r="AS993" s="336"/>
      <c r="AT993" s="336"/>
    </row>
    <row r="994" spans="1:46" ht="14.45">
      <c r="A994" s="336"/>
      <c r="B994" s="336"/>
      <c r="C994" s="336"/>
      <c r="D994" s="336"/>
      <c r="E994" s="336"/>
      <c r="F994" s="336"/>
      <c r="G994" s="336"/>
      <c r="H994" s="336"/>
      <c r="I994" s="336"/>
      <c r="J994" s="336"/>
      <c r="K994" s="415"/>
      <c r="L994" s="336"/>
      <c r="M994" s="336"/>
      <c r="N994" s="336"/>
      <c r="O994" s="416"/>
      <c r="P994" s="336"/>
      <c r="Q994" s="415"/>
      <c r="R994" s="336"/>
      <c r="S994" s="336"/>
      <c r="T994" s="336"/>
      <c r="U994" s="336"/>
      <c r="V994" s="336"/>
      <c r="W994" s="336"/>
      <c r="X994" s="336"/>
      <c r="Y994" s="336"/>
      <c r="Z994" s="336"/>
      <c r="AA994" s="336"/>
      <c r="AB994" s="336"/>
      <c r="AC994" s="336"/>
      <c r="AD994" s="336"/>
      <c r="AE994"/>
      <c r="AF994" s="336"/>
      <c r="AG994" s="336"/>
      <c r="AH994" s="336"/>
      <c r="AI994" s="336"/>
      <c r="AJ994" s="336"/>
      <c r="AK994" s="336"/>
      <c r="AL994" s="336"/>
      <c r="AM994" s="336"/>
      <c r="AN994" s="336"/>
      <c r="AO994" s="336"/>
      <c r="AP994" s="336"/>
      <c r="AQ994" s="336"/>
      <c r="AR994" s="336"/>
      <c r="AS994" s="336"/>
      <c r="AT994" s="336"/>
    </row>
    <row r="995" spans="1:46" ht="14.45">
      <c r="A995" s="336"/>
      <c r="B995" s="336"/>
      <c r="C995" s="336"/>
      <c r="D995" s="336"/>
      <c r="E995" s="336"/>
      <c r="F995" s="336"/>
      <c r="G995" s="336"/>
      <c r="H995" s="336"/>
      <c r="I995" s="336"/>
      <c r="J995" s="336"/>
      <c r="K995" s="415"/>
      <c r="L995" s="336"/>
      <c r="M995" s="336"/>
      <c r="N995" s="336"/>
      <c r="O995" s="416"/>
      <c r="P995" s="336"/>
      <c r="Q995" s="415"/>
      <c r="R995" s="336"/>
      <c r="S995" s="336"/>
      <c r="T995" s="336"/>
      <c r="U995" s="336"/>
      <c r="V995" s="336"/>
      <c r="W995" s="336"/>
      <c r="X995" s="336"/>
      <c r="Y995" s="336"/>
      <c r="Z995" s="336"/>
      <c r="AA995" s="336"/>
      <c r="AB995" s="336"/>
      <c r="AC995" s="336"/>
      <c r="AD995" s="336"/>
      <c r="AE995"/>
      <c r="AF995" s="336"/>
      <c r="AG995" s="336"/>
      <c r="AH995" s="336"/>
      <c r="AI995" s="336"/>
      <c r="AJ995" s="336"/>
      <c r="AK995" s="336"/>
      <c r="AL995" s="336"/>
      <c r="AM995" s="336"/>
      <c r="AN995" s="336"/>
      <c r="AO995" s="336"/>
      <c r="AP995" s="336"/>
      <c r="AQ995" s="336"/>
      <c r="AR995" s="336"/>
      <c r="AS995" s="336"/>
      <c r="AT995" s="336"/>
    </row>
    <row r="996" spans="1:46" ht="14.45">
      <c r="A996" s="336"/>
      <c r="B996" s="336"/>
      <c r="C996" s="336"/>
      <c r="D996" s="336"/>
      <c r="E996" s="336"/>
      <c r="F996" s="336"/>
      <c r="G996" s="336"/>
      <c r="H996" s="336"/>
      <c r="I996" s="336"/>
      <c r="J996" s="336"/>
      <c r="K996" s="415"/>
      <c r="L996" s="336"/>
      <c r="M996" s="336"/>
      <c r="N996" s="336"/>
      <c r="O996" s="416"/>
      <c r="P996" s="336"/>
      <c r="Q996" s="415"/>
      <c r="R996" s="336"/>
      <c r="S996" s="336"/>
      <c r="T996" s="336"/>
      <c r="U996" s="336"/>
      <c r="V996" s="336"/>
      <c r="W996" s="336"/>
      <c r="X996" s="336"/>
      <c r="Y996" s="336"/>
      <c r="Z996" s="336"/>
      <c r="AA996" s="336"/>
      <c r="AB996" s="336"/>
      <c r="AC996" s="336"/>
      <c r="AD996" s="336"/>
      <c r="AE996"/>
      <c r="AF996" s="336"/>
      <c r="AG996" s="336"/>
      <c r="AH996" s="336"/>
      <c r="AI996" s="336"/>
      <c r="AJ996" s="336"/>
      <c r="AK996" s="336"/>
      <c r="AL996" s="336"/>
      <c r="AM996" s="336"/>
      <c r="AN996" s="336"/>
      <c r="AO996" s="336"/>
      <c r="AP996" s="336"/>
      <c r="AQ996" s="336"/>
      <c r="AR996" s="336"/>
      <c r="AS996" s="336"/>
      <c r="AT996" s="336"/>
    </row>
    <row r="997" spans="1:46" ht="14.45">
      <c r="A997" s="336"/>
      <c r="B997" s="336"/>
      <c r="C997" s="336"/>
      <c r="D997" s="336"/>
      <c r="E997" s="336"/>
      <c r="F997" s="336"/>
      <c r="G997" s="336"/>
      <c r="H997" s="336"/>
      <c r="I997" s="336"/>
      <c r="J997" s="336"/>
      <c r="K997" s="415"/>
      <c r="L997" s="336"/>
      <c r="M997" s="336"/>
      <c r="N997" s="336"/>
      <c r="O997" s="416"/>
      <c r="P997" s="336"/>
      <c r="Q997" s="415"/>
      <c r="R997" s="336"/>
      <c r="S997" s="336"/>
      <c r="T997" s="336"/>
      <c r="U997" s="336"/>
      <c r="V997" s="336"/>
      <c r="W997" s="336"/>
      <c r="X997" s="336"/>
      <c r="Y997" s="336"/>
      <c r="Z997" s="336"/>
      <c r="AA997" s="336"/>
      <c r="AB997" s="336"/>
      <c r="AC997" s="336"/>
      <c r="AD997" s="336"/>
      <c r="AE997"/>
      <c r="AF997" s="336"/>
      <c r="AG997" s="336"/>
      <c r="AH997" s="336"/>
      <c r="AI997" s="336"/>
      <c r="AJ997" s="336"/>
      <c r="AK997" s="336"/>
      <c r="AL997" s="336"/>
      <c r="AM997" s="336"/>
      <c r="AN997" s="336"/>
      <c r="AO997" s="336"/>
      <c r="AP997" s="336"/>
      <c r="AQ997" s="336"/>
      <c r="AR997" s="336"/>
      <c r="AS997" s="336"/>
      <c r="AT997" s="336"/>
    </row>
    <row r="998" spans="1:46" ht="14.45">
      <c r="A998" s="336"/>
      <c r="B998" s="336"/>
      <c r="C998" s="336"/>
      <c r="D998" s="336"/>
      <c r="E998" s="336"/>
      <c r="F998" s="336"/>
      <c r="G998" s="336"/>
      <c r="H998" s="336"/>
      <c r="I998" s="336"/>
      <c r="J998" s="336"/>
      <c r="K998" s="415"/>
      <c r="L998" s="336"/>
      <c r="M998" s="336"/>
      <c r="N998" s="336"/>
      <c r="O998" s="416"/>
      <c r="P998" s="336"/>
      <c r="Q998" s="415"/>
      <c r="R998" s="336"/>
      <c r="S998" s="336"/>
      <c r="T998" s="336"/>
      <c r="U998" s="336"/>
      <c r="V998" s="336"/>
      <c r="W998" s="336"/>
      <c r="X998" s="336"/>
      <c r="Y998" s="336"/>
      <c r="Z998" s="336"/>
      <c r="AA998" s="336"/>
      <c r="AB998" s="336"/>
      <c r="AC998" s="336"/>
      <c r="AD998" s="336"/>
      <c r="AE998"/>
      <c r="AF998" s="336"/>
      <c r="AG998" s="336"/>
      <c r="AH998" s="336"/>
      <c r="AI998" s="336"/>
      <c r="AJ998" s="336"/>
      <c r="AK998" s="336"/>
      <c r="AL998" s="336"/>
      <c r="AM998" s="336"/>
      <c r="AN998" s="336"/>
      <c r="AO998" s="336"/>
      <c r="AP998" s="336"/>
      <c r="AQ998" s="336"/>
      <c r="AR998" s="336"/>
      <c r="AS998" s="336"/>
      <c r="AT998" s="336"/>
    </row>
    <row r="999" spans="1:46" ht="14.45">
      <c r="A999" s="336"/>
      <c r="B999" s="336"/>
      <c r="C999" s="336"/>
      <c r="D999" s="336"/>
      <c r="E999" s="336"/>
      <c r="F999" s="336"/>
      <c r="G999" s="336"/>
      <c r="H999" s="336"/>
      <c r="I999" s="336"/>
      <c r="J999" s="336"/>
      <c r="K999" s="415"/>
      <c r="L999" s="336"/>
      <c r="M999" s="336"/>
      <c r="N999" s="336"/>
      <c r="O999" s="416"/>
      <c r="P999" s="336"/>
      <c r="Q999" s="415"/>
      <c r="R999" s="336"/>
      <c r="S999" s="336"/>
      <c r="T999" s="336"/>
      <c r="U999" s="336"/>
      <c r="V999" s="336"/>
      <c r="W999" s="336"/>
      <c r="X999" s="336"/>
      <c r="Y999" s="336"/>
      <c r="Z999" s="336"/>
      <c r="AA999" s="336"/>
      <c r="AB999" s="336"/>
      <c r="AC999" s="336"/>
      <c r="AD999" s="336"/>
      <c r="AE999"/>
      <c r="AF999" s="336"/>
      <c r="AG999" s="336"/>
      <c r="AH999" s="336"/>
      <c r="AI999" s="336"/>
      <c r="AJ999" s="336"/>
      <c r="AK999" s="336"/>
      <c r="AL999" s="336"/>
      <c r="AM999" s="336"/>
      <c r="AN999" s="336"/>
      <c r="AO999" s="336"/>
      <c r="AP999" s="336"/>
      <c r="AQ999" s="336"/>
      <c r="AR999" s="336"/>
      <c r="AS999" s="336"/>
      <c r="AT999" s="336"/>
    </row>
    <row r="1000" spans="1:46" ht="14.45">
      <c r="A1000" s="336"/>
      <c r="B1000" s="336"/>
      <c r="C1000" s="336"/>
      <c r="D1000" s="336"/>
      <c r="E1000" s="336"/>
      <c r="F1000" s="336"/>
      <c r="G1000" s="336"/>
      <c r="H1000" s="336"/>
      <c r="I1000" s="336"/>
      <c r="J1000" s="336"/>
      <c r="K1000" s="415"/>
      <c r="L1000" s="336"/>
      <c r="M1000" s="336"/>
      <c r="N1000" s="336"/>
      <c r="O1000" s="416"/>
      <c r="P1000" s="336"/>
      <c r="Q1000" s="415"/>
      <c r="R1000" s="336"/>
      <c r="S1000" s="336"/>
      <c r="T1000" s="336"/>
      <c r="U1000" s="336"/>
      <c r="V1000" s="336"/>
      <c r="W1000" s="336"/>
      <c r="X1000" s="336"/>
      <c r="Y1000" s="336"/>
      <c r="Z1000" s="336"/>
      <c r="AA1000" s="336"/>
      <c r="AB1000" s="336"/>
      <c r="AC1000" s="336"/>
      <c r="AD1000" s="336"/>
      <c r="AE1000"/>
      <c r="AF1000" s="336"/>
      <c r="AG1000" s="336"/>
      <c r="AH1000" s="336"/>
      <c r="AI1000" s="336"/>
      <c r="AJ1000" s="336"/>
      <c r="AK1000" s="336"/>
      <c r="AL1000" s="336"/>
      <c r="AM1000" s="336"/>
      <c r="AN1000" s="336"/>
      <c r="AO1000" s="336"/>
      <c r="AP1000" s="336"/>
      <c r="AQ1000" s="336"/>
      <c r="AR1000" s="336"/>
      <c r="AS1000" s="336"/>
      <c r="AT1000" s="336"/>
    </row>
    <row r="1001" spans="1:46" ht="14.45">
      <c r="A1001" s="336"/>
      <c r="B1001" s="336"/>
      <c r="C1001" s="336"/>
      <c r="D1001" s="336"/>
      <c r="E1001" s="336"/>
      <c r="F1001" s="336"/>
      <c r="G1001" s="336"/>
      <c r="H1001" s="336"/>
      <c r="I1001" s="336"/>
      <c r="J1001" s="336"/>
      <c r="K1001" s="415"/>
      <c r="L1001" s="336"/>
      <c r="M1001" s="336"/>
      <c r="N1001" s="336"/>
      <c r="O1001" s="416"/>
      <c r="P1001" s="336"/>
      <c r="Q1001" s="415"/>
      <c r="R1001" s="336"/>
      <c r="S1001" s="336"/>
      <c r="T1001" s="336"/>
      <c r="U1001" s="336"/>
      <c r="V1001" s="336"/>
      <c r="W1001" s="336"/>
      <c r="X1001" s="336"/>
      <c r="Y1001" s="336"/>
      <c r="Z1001" s="336"/>
      <c r="AA1001" s="336"/>
      <c r="AB1001" s="336"/>
      <c r="AC1001" s="336"/>
      <c r="AD1001" s="336"/>
      <c r="AE1001"/>
      <c r="AF1001" s="336"/>
      <c r="AG1001" s="336"/>
      <c r="AH1001" s="336"/>
      <c r="AI1001" s="336"/>
      <c r="AJ1001" s="336"/>
      <c r="AK1001" s="336"/>
      <c r="AL1001" s="336"/>
      <c r="AM1001" s="336"/>
      <c r="AN1001" s="336"/>
      <c r="AO1001" s="336"/>
      <c r="AP1001" s="336"/>
      <c r="AQ1001" s="336"/>
      <c r="AR1001" s="336"/>
      <c r="AS1001" s="336"/>
      <c r="AT1001" s="336"/>
    </row>
    <row r="1002" spans="1:46" ht="14.45">
      <c r="A1002" s="336"/>
      <c r="B1002" s="336"/>
      <c r="C1002" s="336"/>
      <c r="D1002" s="336"/>
      <c r="E1002" s="336"/>
      <c r="F1002" s="336"/>
      <c r="G1002" s="336"/>
      <c r="H1002" s="336"/>
      <c r="I1002" s="336"/>
      <c r="J1002" s="336"/>
      <c r="K1002" s="415"/>
      <c r="L1002" s="336"/>
      <c r="M1002" s="336"/>
      <c r="N1002" s="336"/>
      <c r="O1002" s="416"/>
      <c r="P1002" s="336"/>
      <c r="Q1002" s="415"/>
      <c r="R1002" s="336"/>
      <c r="S1002" s="336"/>
      <c r="T1002" s="336"/>
      <c r="U1002" s="336"/>
      <c r="V1002" s="336"/>
      <c r="W1002" s="336"/>
      <c r="X1002" s="336"/>
      <c r="Y1002" s="336"/>
      <c r="Z1002" s="336"/>
      <c r="AA1002" s="336"/>
      <c r="AB1002" s="336"/>
      <c r="AC1002" s="336"/>
      <c r="AD1002" s="336"/>
      <c r="AE1002"/>
      <c r="AF1002" s="336"/>
      <c r="AG1002" s="336"/>
      <c r="AH1002" s="336"/>
      <c r="AI1002" s="336"/>
      <c r="AJ1002" s="336"/>
      <c r="AK1002" s="336"/>
      <c r="AL1002" s="336"/>
      <c r="AM1002" s="336"/>
      <c r="AN1002" s="336"/>
      <c r="AO1002" s="336"/>
      <c r="AP1002" s="336"/>
      <c r="AQ1002" s="336"/>
      <c r="AR1002" s="336"/>
      <c r="AS1002" s="336"/>
      <c r="AT1002" s="336"/>
    </row>
    <row r="1003" spans="1:46" ht="14.45">
      <c r="A1003" s="336"/>
      <c r="B1003" s="336"/>
      <c r="C1003" s="336"/>
      <c r="D1003" s="336"/>
      <c r="E1003" s="336"/>
      <c r="F1003" s="336"/>
      <c r="G1003" s="336"/>
      <c r="H1003" s="336"/>
      <c r="I1003" s="336"/>
      <c r="J1003" s="336"/>
      <c r="K1003" s="415"/>
      <c r="L1003" s="336"/>
      <c r="M1003" s="336"/>
      <c r="N1003" s="336"/>
      <c r="O1003" s="416"/>
      <c r="P1003" s="336"/>
      <c r="Q1003" s="415"/>
      <c r="R1003" s="336"/>
      <c r="S1003" s="336"/>
      <c r="T1003" s="336"/>
      <c r="U1003" s="336"/>
      <c r="V1003" s="336"/>
      <c r="W1003" s="336"/>
      <c r="X1003" s="336"/>
      <c r="Y1003" s="336"/>
      <c r="Z1003" s="336"/>
      <c r="AA1003" s="336"/>
      <c r="AB1003" s="336"/>
      <c r="AC1003" s="336"/>
      <c r="AD1003" s="336"/>
      <c r="AE1003"/>
      <c r="AF1003" s="336"/>
      <c r="AG1003" s="336"/>
      <c r="AH1003" s="336"/>
      <c r="AI1003" s="336"/>
      <c r="AJ1003" s="336"/>
      <c r="AK1003" s="336"/>
      <c r="AL1003" s="336"/>
      <c r="AM1003" s="336"/>
      <c r="AN1003" s="336"/>
      <c r="AO1003" s="336"/>
      <c r="AP1003" s="336"/>
      <c r="AQ1003" s="336"/>
      <c r="AR1003" s="336"/>
      <c r="AS1003" s="336"/>
      <c r="AT1003" s="336"/>
    </row>
    <row r="1004" spans="1:46" ht="14.45">
      <c r="A1004" s="336"/>
      <c r="B1004" s="336"/>
      <c r="C1004" s="336"/>
      <c r="D1004" s="336"/>
      <c r="E1004" s="336"/>
      <c r="F1004" s="336"/>
      <c r="G1004" s="336"/>
      <c r="H1004" s="336"/>
      <c r="I1004" s="336"/>
      <c r="J1004" s="336"/>
      <c r="K1004" s="415"/>
      <c r="L1004" s="336"/>
      <c r="M1004" s="336"/>
      <c r="N1004" s="336"/>
      <c r="O1004" s="416"/>
      <c r="P1004" s="336"/>
      <c r="Q1004" s="415"/>
      <c r="R1004" s="336"/>
      <c r="S1004" s="336"/>
      <c r="T1004" s="336"/>
      <c r="U1004" s="336"/>
      <c r="V1004" s="336"/>
      <c r="W1004" s="336"/>
      <c r="X1004" s="336"/>
      <c r="Y1004" s="336"/>
      <c r="Z1004" s="336"/>
      <c r="AA1004" s="336"/>
      <c r="AB1004" s="336"/>
      <c r="AC1004" s="336"/>
      <c r="AD1004" s="336"/>
      <c r="AE1004"/>
      <c r="AF1004" s="336"/>
      <c r="AG1004" s="336"/>
      <c r="AH1004" s="336"/>
      <c r="AI1004" s="336"/>
      <c r="AJ1004" s="336"/>
      <c r="AK1004" s="336"/>
      <c r="AL1004" s="336"/>
      <c r="AM1004" s="336"/>
      <c r="AN1004" s="336"/>
      <c r="AO1004" s="336"/>
      <c r="AP1004" s="336"/>
      <c r="AQ1004" s="336"/>
      <c r="AR1004" s="336"/>
      <c r="AS1004" s="336"/>
      <c r="AT1004" s="336"/>
    </row>
    <row r="1005" spans="1:46" ht="14.45">
      <c r="A1005" s="336"/>
      <c r="B1005" s="336"/>
      <c r="C1005" s="336"/>
      <c r="D1005" s="336"/>
      <c r="E1005" s="336"/>
      <c r="F1005" s="336"/>
      <c r="G1005" s="336"/>
      <c r="H1005" s="336"/>
      <c r="I1005" s="336"/>
      <c r="J1005" s="336"/>
      <c r="K1005" s="415"/>
      <c r="L1005" s="336"/>
      <c r="M1005" s="336"/>
      <c r="N1005" s="336"/>
      <c r="O1005" s="416"/>
      <c r="P1005" s="336"/>
      <c r="Q1005" s="415"/>
      <c r="R1005" s="336"/>
      <c r="S1005" s="336"/>
      <c r="T1005" s="336"/>
      <c r="U1005" s="336"/>
      <c r="V1005" s="336"/>
      <c r="W1005" s="336"/>
      <c r="X1005" s="336"/>
      <c r="Y1005" s="336"/>
      <c r="Z1005" s="336"/>
      <c r="AA1005" s="336"/>
      <c r="AB1005" s="336"/>
      <c r="AC1005" s="336"/>
      <c r="AD1005" s="336"/>
      <c r="AE1005"/>
      <c r="AF1005" s="336"/>
      <c r="AG1005" s="336"/>
      <c r="AH1005" s="336"/>
      <c r="AI1005" s="336"/>
      <c r="AJ1005" s="336"/>
      <c r="AK1005" s="336"/>
      <c r="AL1005" s="336"/>
      <c r="AM1005" s="336"/>
      <c r="AN1005" s="336"/>
      <c r="AO1005" s="336"/>
      <c r="AP1005" s="336"/>
      <c r="AQ1005" s="336"/>
      <c r="AR1005" s="336"/>
      <c r="AS1005" s="336"/>
      <c r="AT1005" s="336"/>
    </row>
    <row r="1006" spans="1:46" ht="14.45">
      <c r="A1006" s="336"/>
      <c r="B1006" s="336"/>
      <c r="C1006" s="336"/>
      <c r="D1006" s="336"/>
      <c r="E1006" s="336"/>
      <c r="F1006" s="336"/>
      <c r="G1006" s="336"/>
      <c r="H1006" s="336"/>
      <c r="I1006" s="336"/>
      <c r="J1006" s="336"/>
      <c r="K1006" s="415"/>
      <c r="L1006" s="336"/>
      <c r="M1006" s="336"/>
      <c r="N1006" s="336"/>
      <c r="O1006" s="416"/>
      <c r="P1006" s="336"/>
      <c r="Q1006" s="415"/>
      <c r="R1006" s="336"/>
      <c r="S1006" s="336"/>
      <c r="T1006" s="336"/>
      <c r="U1006" s="336"/>
      <c r="V1006" s="336"/>
      <c r="W1006" s="336"/>
      <c r="X1006" s="336"/>
      <c r="Y1006" s="336"/>
      <c r="Z1006" s="336"/>
      <c r="AA1006" s="336"/>
      <c r="AB1006" s="336"/>
      <c r="AC1006" s="336"/>
      <c r="AD1006" s="336"/>
      <c r="AE1006"/>
      <c r="AF1006" s="336"/>
      <c r="AG1006" s="336"/>
      <c r="AH1006" s="336"/>
      <c r="AI1006" s="336"/>
      <c r="AJ1006" s="336"/>
      <c r="AK1006" s="336"/>
      <c r="AL1006" s="336"/>
      <c r="AM1006" s="336"/>
      <c r="AN1006" s="336"/>
      <c r="AO1006" s="336"/>
      <c r="AP1006" s="336"/>
      <c r="AQ1006" s="336"/>
      <c r="AR1006" s="336"/>
      <c r="AS1006" s="336"/>
      <c r="AT1006" s="336"/>
    </row>
    <row r="1007" spans="1:46" ht="15.75" customHeight="1">
      <c r="AE1007"/>
    </row>
    <row r="1008" spans="1:46" ht="15.75" customHeight="1">
      <c r="AE1008"/>
    </row>
    <row r="1009" spans="16:31" ht="15.75" customHeight="1">
      <c r="AE1009"/>
    </row>
    <row r="1010" spans="16:31" ht="15.75" customHeight="1">
      <c r="AE1010"/>
    </row>
    <row r="1011" spans="16:31" ht="15.75" customHeight="1">
      <c r="AE1011"/>
    </row>
    <row r="1012" spans="16:31" ht="15.75" customHeight="1">
      <c r="AE1012"/>
    </row>
    <row r="1013" spans="16:31" ht="15.75" customHeight="1">
      <c r="AE1013"/>
    </row>
    <row r="1014" spans="16:31" ht="15.75" customHeight="1">
      <c r="AE1014"/>
    </row>
    <row r="1015" spans="16:31" ht="15.75" customHeight="1">
      <c r="AE1015"/>
    </row>
    <row r="1016" spans="16:31" ht="15.75" customHeight="1">
      <c r="AE1016"/>
    </row>
    <row r="1017" spans="16:31" ht="15.75" customHeight="1">
      <c r="AE1017"/>
    </row>
    <row r="1018" spans="16:31" ht="15.75" customHeight="1">
      <c r="AE1018"/>
    </row>
    <row r="1019" spans="16:31" ht="15.75" customHeight="1">
      <c r="AE1019"/>
    </row>
    <row r="1020" spans="16:31" ht="15.75" customHeight="1">
      <c r="AE1020"/>
    </row>
    <row r="1021" spans="16:31" ht="15.75" customHeight="1">
      <c r="AE1021"/>
    </row>
    <row r="1022" spans="16:31" ht="15.75" customHeight="1">
      <c r="P1022" s="301" t="s">
        <v>9332</v>
      </c>
      <c r="AE1022"/>
    </row>
    <row r="1023" spans="16:31" ht="15.75" customHeight="1">
      <c r="AE1023"/>
    </row>
    <row r="1024" spans="16:31" ht="15.75" customHeight="1">
      <c r="AE1024"/>
    </row>
    <row r="1025" spans="31:31" ht="15.75" customHeight="1">
      <c r="AE1025"/>
    </row>
    <row r="1026" spans="31:31" ht="15.75" customHeight="1">
      <c r="AE1026"/>
    </row>
    <row r="1027" spans="31:31" ht="15.75" customHeight="1">
      <c r="AE1027"/>
    </row>
    <row r="1028" spans="31:31" ht="15.75" customHeight="1">
      <c r="AE1028"/>
    </row>
    <row r="1029" spans="31:31" ht="15.75" customHeight="1">
      <c r="AE1029"/>
    </row>
    <row r="1030" spans="31:31" ht="15.75" customHeight="1">
      <c r="AE1030"/>
    </row>
    <row r="1031" spans="31:31" ht="15.75" customHeight="1">
      <c r="AE1031"/>
    </row>
    <row r="1032" spans="31:31" ht="15.75" customHeight="1">
      <c r="AE1032"/>
    </row>
    <row r="1033" spans="31:31" ht="15.75" customHeight="1">
      <c r="AE1033"/>
    </row>
    <row r="1034" spans="31:31" ht="15.75" customHeight="1">
      <c r="AE1034"/>
    </row>
    <row r="1035" spans="31:31" ht="15.75" customHeight="1">
      <c r="AE1035"/>
    </row>
    <row r="1036" spans="31:31" ht="15.75" customHeight="1">
      <c r="AE1036"/>
    </row>
    <row r="1037" spans="31:31" ht="15.75" customHeight="1">
      <c r="AE1037"/>
    </row>
    <row r="1038" spans="31:31" ht="15.75" customHeight="1">
      <c r="AE1038"/>
    </row>
    <row r="1039" spans="31:31" ht="15.75" customHeight="1">
      <c r="AE1039"/>
    </row>
    <row r="1040" spans="31:31" ht="15.75" customHeight="1">
      <c r="AE1040"/>
    </row>
    <row r="1041" spans="31:31" ht="15.75" customHeight="1">
      <c r="AE1041"/>
    </row>
    <row r="1042" spans="31:31" ht="15.75" customHeight="1">
      <c r="AE1042"/>
    </row>
    <row r="1043" spans="31:31" ht="15.75" customHeight="1">
      <c r="AE1043"/>
    </row>
    <row r="1044" spans="31:31" ht="15.75" customHeight="1">
      <c r="AE1044"/>
    </row>
    <row r="1045" spans="31:31" ht="15.75" customHeight="1">
      <c r="AE1045"/>
    </row>
    <row r="1046" spans="31:31" ht="15.75" customHeight="1">
      <c r="AE1046"/>
    </row>
    <row r="1047" spans="31:31" ht="15.75" customHeight="1">
      <c r="AE1047"/>
    </row>
    <row r="1048" spans="31:31" ht="15.75" customHeight="1">
      <c r="AE1048"/>
    </row>
    <row r="1049" spans="31:31" ht="15.75" customHeight="1">
      <c r="AE1049"/>
    </row>
    <row r="1050" spans="31:31" ht="15.75" customHeight="1">
      <c r="AE1050"/>
    </row>
    <row r="1051" spans="31:31" ht="15.75" customHeight="1">
      <c r="AE1051"/>
    </row>
    <row r="1052" spans="31:31" ht="15.75" customHeight="1">
      <c r="AE1052"/>
    </row>
    <row r="1053" spans="31:31" ht="15.75" customHeight="1">
      <c r="AE1053"/>
    </row>
    <row r="1054" spans="31:31" ht="15.75" customHeight="1">
      <c r="AE1054"/>
    </row>
    <row r="1055" spans="31:31" ht="15.75" customHeight="1">
      <c r="AE1055"/>
    </row>
    <row r="1056" spans="31:31" ht="15.75" customHeight="1">
      <c r="AE1056"/>
    </row>
    <row r="1057" spans="31:31" ht="15.75" customHeight="1">
      <c r="AE1057"/>
    </row>
    <row r="1058" spans="31:31" ht="15.75" customHeight="1">
      <c r="AE1058"/>
    </row>
    <row r="1059" spans="31:31" ht="15.75" customHeight="1">
      <c r="AE1059"/>
    </row>
    <row r="1060" spans="31:31" ht="15.75" customHeight="1">
      <c r="AE1060"/>
    </row>
    <row r="1061" spans="31:31" ht="15.75" customHeight="1">
      <c r="AE1061"/>
    </row>
    <row r="1062" spans="31:31" ht="15.75" customHeight="1">
      <c r="AE1062"/>
    </row>
    <row r="1063" spans="31:31" ht="15.75" customHeight="1">
      <c r="AE1063"/>
    </row>
    <row r="1064" spans="31:31" ht="15.75" customHeight="1">
      <c r="AE1064"/>
    </row>
    <row r="1065" spans="31:31" ht="15.75" customHeight="1">
      <c r="AE1065"/>
    </row>
    <row r="1066" spans="31:31" ht="15.75" customHeight="1">
      <c r="AE1066"/>
    </row>
    <row r="1067" spans="31:31" ht="15.75" customHeight="1">
      <c r="AE1067"/>
    </row>
    <row r="1068" spans="31:31" ht="15.75" customHeight="1">
      <c r="AE1068"/>
    </row>
    <row r="1069" spans="31:31" ht="15.75" customHeight="1">
      <c r="AE1069"/>
    </row>
    <row r="1070" spans="31:31" ht="15.75" customHeight="1">
      <c r="AE1070"/>
    </row>
    <row r="1071" spans="31:31" ht="15.75" customHeight="1">
      <c r="AE1071"/>
    </row>
    <row r="1072" spans="31:31" ht="15.75" customHeight="1">
      <c r="AE1072"/>
    </row>
    <row r="1073" spans="31:31" ht="15.75" customHeight="1">
      <c r="AE1073"/>
    </row>
    <row r="1074" spans="31:31" ht="15.75" customHeight="1">
      <c r="AE1074"/>
    </row>
    <row r="1075" spans="31:31" ht="15.75" customHeight="1">
      <c r="AE1075"/>
    </row>
    <row r="1076" spans="31:31" ht="15.75" customHeight="1">
      <c r="AE1076"/>
    </row>
    <row r="1077" spans="31:31" ht="15.75" customHeight="1">
      <c r="AE1077"/>
    </row>
    <row r="1078" spans="31:31" ht="15.75" customHeight="1">
      <c r="AE1078"/>
    </row>
    <row r="1079" spans="31:31" ht="15.75" customHeight="1">
      <c r="AE1079"/>
    </row>
    <row r="1080" spans="31:31" ht="15.75" customHeight="1">
      <c r="AE1080"/>
    </row>
    <row r="1081" spans="31:31" ht="15.75" customHeight="1">
      <c r="AE1081"/>
    </row>
    <row r="1082" spans="31:31" ht="15.75" customHeight="1">
      <c r="AE1082"/>
    </row>
    <row r="1083" spans="31:31" ht="15.75" customHeight="1">
      <c r="AE1083"/>
    </row>
    <row r="1084" spans="31:31" ht="15.75" customHeight="1">
      <c r="AE1084"/>
    </row>
    <row r="1085" spans="31:31" ht="15.75" customHeight="1">
      <c r="AE1085"/>
    </row>
    <row r="1086" spans="31:31" ht="15.75" customHeight="1">
      <c r="AE1086"/>
    </row>
    <row r="1087" spans="31:31" ht="15.75" customHeight="1">
      <c r="AE1087"/>
    </row>
    <row r="1088" spans="31:31" ht="15.75" customHeight="1">
      <c r="AE1088"/>
    </row>
    <row r="1089" spans="31:31" ht="15.75" customHeight="1">
      <c r="AE1089"/>
    </row>
    <row r="1090" spans="31:31" ht="15.75" customHeight="1">
      <c r="AE1090"/>
    </row>
    <row r="1091" spans="31:31" ht="15.75" customHeight="1">
      <c r="AE1091"/>
    </row>
    <row r="1092" spans="31:31" ht="15.75" customHeight="1">
      <c r="AE1092"/>
    </row>
    <row r="1093" spans="31:31" ht="15.75" customHeight="1">
      <c r="AE1093"/>
    </row>
    <row r="1094" spans="31:31" ht="15.75" customHeight="1">
      <c r="AE1094"/>
    </row>
    <row r="1095" spans="31:31" ht="15.75" customHeight="1">
      <c r="AE1095"/>
    </row>
    <row r="1096" spans="31:31" ht="15.75" customHeight="1">
      <c r="AE1096"/>
    </row>
    <row r="1097" spans="31:31" ht="15.75" customHeight="1">
      <c r="AE1097"/>
    </row>
    <row r="1098" spans="31:31" ht="15.75" customHeight="1">
      <c r="AE1098"/>
    </row>
    <row r="1099" spans="31:31" ht="15.75" customHeight="1">
      <c r="AE1099"/>
    </row>
    <row r="1100" spans="31:31" ht="15.75" customHeight="1">
      <c r="AE1100"/>
    </row>
    <row r="1101" spans="31:31" ht="15.75" customHeight="1">
      <c r="AE1101"/>
    </row>
    <row r="1102" spans="31:31" ht="15.75" customHeight="1">
      <c r="AE1102"/>
    </row>
    <row r="1103" spans="31:31" ht="15.75" customHeight="1">
      <c r="AE1103"/>
    </row>
    <row r="1104" spans="31:31" ht="15.75" customHeight="1">
      <c r="AE1104"/>
    </row>
    <row r="1105" spans="31:31" ht="15.75" customHeight="1">
      <c r="AE1105"/>
    </row>
    <row r="1106" spans="31:31" ht="15.75" customHeight="1">
      <c r="AE1106"/>
    </row>
    <row r="1107" spans="31:31" ht="15.75" customHeight="1">
      <c r="AE1107"/>
    </row>
    <row r="1108" spans="31:31" ht="15.75" customHeight="1">
      <c r="AE1108"/>
    </row>
    <row r="1109" spans="31:31" ht="15.75" customHeight="1">
      <c r="AE1109"/>
    </row>
    <row r="1110" spans="31:31" ht="15.75" customHeight="1">
      <c r="AE1110"/>
    </row>
    <row r="1111" spans="31:31" ht="15.75" customHeight="1">
      <c r="AE1111"/>
    </row>
    <row r="1112" spans="31:31" ht="15.75" customHeight="1">
      <c r="AE1112"/>
    </row>
    <row r="1113" spans="31:31" ht="15.75" customHeight="1">
      <c r="AE1113"/>
    </row>
    <row r="1114" spans="31:31" ht="15.75" customHeight="1">
      <c r="AE1114"/>
    </row>
    <row r="1115" spans="31:31" ht="15.75" customHeight="1">
      <c r="AE1115"/>
    </row>
    <row r="1116" spans="31:31" ht="15.75" customHeight="1">
      <c r="AE1116"/>
    </row>
    <row r="1117" spans="31:31" ht="15.75" customHeight="1">
      <c r="AE1117"/>
    </row>
    <row r="1118" spans="31:31" ht="15.75" customHeight="1">
      <c r="AE1118"/>
    </row>
    <row r="1119" spans="31:31" ht="15.75" customHeight="1">
      <c r="AE1119"/>
    </row>
    <row r="1120" spans="31:31" ht="15.75" customHeight="1">
      <c r="AE1120"/>
    </row>
    <row r="1121" spans="31:31" ht="15.75" customHeight="1">
      <c r="AE1121"/>
    </row>
    <row r="1122" spans="31:31" ht="15.75" customHeight="1">
      <c r="AE1122"/>
    </row>
    <row r="1123" spans="31:31" ht="15.75" customHeight="1">
      <c r="AE1123"/>
    </row>
    <row r="1124" spans="31:31" ht="15.75" customHeight="1">
      <c r="AE1124"/>
    </row>
    <row r="1125" spans="31:31" ht="15.75" customHeight="1">
      <c r="AE1125"/>
    </row>
    <row r="1126" spans="31:31" ht="15.75" customHeight="1">
      <c r="AE1126"/>
    </row>
    <row r="1127" spans="31:31" ht="15.75" customHeight="1">
      <c r="AE1127"/>
    </row>
    <row r="1128" spans="31:31" ht="15.75" customHeight="1">
      <c r="AE1128"/>
    </row>
    <row r="1129" spans="31:31" ht="15.75" customHeight="1">
      <c r="AE1129"/>
    </row>
    <row r="1130" spans="31:31" ht="15.75" customHeight="1">
      <c r="AE1130"/>
    </row>
    <row r="1131" spans="31:31" ht="15.75" customHeight="1">
      <c r="AE1131"/>
    </row>
    <row r="1132" spans="31:31" ht="15.75" customHeight="1">
      <c r="AE1132"/>
    </row>
    <row r="1133" spans="31:31" ht="15.75" customHeight="1">
      <c r="AE1133"/>
    </row>
    <row r="1134" spans="31:31" ht="15.75" customHeight="1">
      <c r="AE1134"/>
    </row>
    <row r="1135" spans="31:31" ht="15.75" customHeight="1">
      <c r="AE1135"/>
    </row>
    <row r="1136" spans="31:31" ht="15.75" customHeight="1">
      <c r="AE1136"/>
    </row>
    <row r="1137" spans="31:31" ht="15.75" customHeight="1">
      <c r="AE1137"/>
    </row>
    <row r="1138" spans="31:31" ht="15.75" customHeight="1">
      <c r="AE1138"/>
    </row>
    <row r="1139" spans="31:31" ht="15.75" customHeight="1">
      <c r="AE1139"/>
    </row>
    <row r="1140" spans="31:31" ht="15.75" customHeight="1">
      <c r="AE1140"/>
    </row>
    <row r="1141" spans="31:31" ht="15.75" customHeight="1">
      <c r="AE1141"/>
    </row>
    <row r="1142" spans="31:31" ht="15.75" customHeight="1">
      <c r="AE1142"/>
    </row>
    <row r="1143" spans="31:31" ht="15.75" customHeight="1">
      <c r="AE1143"/>
    </row>
    <row r="1144" spans="31:31" ht="15.75" customHeight="1">
      <c r="AE1144"/>
    </row>
    <row r="1145" spans="31:31" ht="15.75" customHeight="1">
      <c r="AE1145"/>
    </row>
    <row r="1146" spans="31:31" ht="15.75" customHeight="1">
      <c r="AE1146"/>
    </row>
    <row r="1147" spans="31:31" ht="15.75" customHeight="1">
      <c r="AE1147"/>
    </row>
    <row r="1148" spans="31:31" ht="15.75" customHeight="1">
      <c r="AE1148"/>
    </row>
    <row r="1149" spans="31:31" ht="15.75" customHeight="1">
      <c r="AE1149"/>
    </row>
    <row r="1150" spans="31:31" ht="15.75" customHeight="1">
      <c r="AE1150"/>
    </row>
    <row r="1151" spans="31:31" ht="15.75" customHeight="1">
      <c r="AE1151"/>
    </row>
    <row r="1152" spans="31:31" ht="15.75" customHeight="1">
      <c r="AE1152"/>
    </row>
    <row r="1153" spans="31:31" ht="15.75" customHeight="1">
      <c r="AE1153"/>
    </row>
    <row r="1154" spans="31:31" ht="15.75" customHeight="1">
      <c r="AE1154"/>
    </row>
    <row r="1155" spans="31:31" ht="15.75" customHeight="1">
      <c r="AE1155"/>
    </row>
    <row r="1156" spans="31:31" ht="15.75" customHeight="1">
      <c r="AE1156"/>
    </row>
    <row r="1157" spans="31:31" ht="15.75" customHeight="1">
      <c r="AE1157"/>
    </row>
    <row r="1158" spans="31:31" ht="15.75" customHeight="1">
      <c r="AE1158"/>
    </row>
    <row r="1159" spans="31:31" ht="15.75" customHeight="1">
      <c r="AE1159"/>
    </row>
    <row r="1160" spans="31:31" ht="15.75" customHeight="1">
      <c r="AE1160"/>
    </row>
    <row r="1161" spans="31:31" ht="15.75" customHeight="1">
      <c r="AE1161"/>
    </row>
    <row r="1162" spans="31:31" ht="15.75" customHeight="1">
      <c r="AE1162"/>
    </row>
    <row r="1163" spans="31:31" ht="15.75" customHeight="1">
      <c r="AE1163"/>
    </row>
    <row r="1164" spans="31:31" ht="15.75" customHeight="1">
      <c r="AE1164"/>
    </row>
    <row r="1165" spans="31:31" ht="15.75" customHeight="1">
      <c r="AE1165"/>
    </row>
    <row r="1166" spans="31:31" ht="15.75" customHeight="1">
      <c r="AE1166"/>
    </row>
    <row r="1167" spans="31:31" ht="15.75" customHeight="1">
      <c r="AE1167"/>
    </row>
    <row r="1168" spans="31:31" ht="15.75" customHeight="1">
      <c r="AE1168"/>
    </row>
    <row r="1169" spans="31:31" ht="15.75" customHeight="1">
      <c r="AE1169"/>
    </row>
    <row r="1170" spans="31:31" ht="15.75" customHeight="1">
      <c r="AE1170"/>
    </row>
    <row r="1171" spans="31:31" ht="15.75" customHeight="1">
      <c r="AE1171"/>
    </row>
    <row r="1172" spans="31:31" ht="15.75" customHeight="1">
      <c r="AE1172"/>
    </row>
    <row r="1173" spans="31:31" ht="15.75" customHeight="1">
      <c r="AE1173"/>
    </row>
    <row r="1174" spans="31:31" ht="15.75" customHeight="1">
      <c r="AE1174"/>
    </row>
    <row r="1175" spans="31:31" ht="15.75" customHeight="1">
      <c r="AE1175"/>
    </row>
    <row r="1176" spans="31:31" ht="15.75" customHeight="1">
      <c r="AE1176"/>
    </row>
    <row r="1177" spans="31:31" ht="15.75" customHeight="1">
      <c r="AE1177"/>
    </row>
    <row r="1178" spans="31:31" ht="15.75" customHeight="1">
      <c r="AE1178"/>
    </row>
    <row r="1179" spans="31:31" ht="15.75" customHeight="1">
      <c r="AE1179"/>
    </row>
    <row r="1180" spans="31:31" ht="15.75" customHeight="1">
      <c r="AE1180"/>
    </row>
    <row r="1181" spans="31:31" ht="15.75" customHeight="1">
      <c r="AE1181"/>
    </row>
    <row r="1182" spans="31:31" ht="15.75" customHeight="1">
      <c r="AE1182"/>
    </row>
    <row r="1183" spans="31:31" ht="15.75" customHeight="1">
      <c r="AE1183"/>
    </row>
    <row r="1184" spans="31:31" ht="15.75" customHeight="1">
      <c r="AE1184"/>
    </row>
    <row r="1185" spans="31:31" ht="15.75" customHeight="1">
      <c r="AE1185"/>
    </row>
    <row r="1186" spans="31:31" ht="15.75" customHeight="1">
      <c r="AE1186"/>
    </row>
    <row r="1187" spans="31:31" ht="15.75" customHeight="1">
      <c r="AE1187"/>
    </row>
    <row r="1188" spans="31:31" ht="15.75" customHeight="1">
      <c r="AE1188"/>
    </row>
    <row r="1189" spans="31:31" ht="15.75" customHeight="1">
      <c r="AE1189"/>
    </row>
    <row r="1190" spans="31:31" ht="15.75" customHeight="1">
      <c r="AE1190"/>
    </row>
    <row r="1191" spans="31:31" ht="15.75" customHeight="1">
      <c r="AE1191"/>
    </row>
    <row r="1192" spans="31:31" ht="15.75" customHeight="1">
      <c r="AE1192"/>
    </row>
    <row r="1193" spans="31:31" ht="15.75" customHeight="1">
      <c r="AE1193"/>
    </row>
    <row r="1194" spans="31:31" ht="15.75" customHeight="1">
      <c r="AE1194"/>
    </row>
    <row r="1195" spans="31:31" ht="15.75" customHeight="1">
      <c r="AE1195"/>
    </row>
    <row r="1196" spans="31:31" ht="15.75" customHeight="1">
      <c r="AE1196"/>
    </row>
    <row r="1197" spans="31:31" ht="15.75" customHeight="1">
      <c r="AE1197"/>
    </row>
    <row r="1198" spans="31:31" ht="15.75" customHeight="1">
      <c r="AE1198"/>
    </row>
    <row r="1199" spans="31:31" ht="15.75" customHeight="1">
      <c r="AE1199"/>
    </row>
    <row r="1200" spans="31:31" ht="15.75" customHeight="1">
      <c r="AE1200"/>
    </row>
    <row r="1201" spans="31:31" ht="15.75" customHeight="1">
      <c r="AE1201"/>
    </row>
    <row r="1202" spans="31:31" ht="15.75" customHeight="1">
      <c r="AE1202"/>
    </row>
    <row r="1203" spans="31:31" ht="15.75" customHeight="1">
      <c r="AE1203"/>
    </row>
    <row r="1204" spans="31:31" ht="15.75" customHeight="1">
      <c r="AE1204"/>
    </row>
    <row r="1205" spans="31:31" ht="15.75" customHeight="1">
      <c r="AE1205"/>
    </row>
    <row r="1206" spans="31:31" ht="15.75" customHeight="1">
      <c r="AE1206"/>
    </row>
    <row r="1207" spans="31:31" ht="15.75" customHeight="1">
      <c r="AE1207"/>
    </row>
    <row r="1208" spans="31:31" ht="15.75" customHeight="1">
      <c r="AE1208"/>
    </row>
    <row r="1209" spans="31:31" ht="15.75" customHeight="1">
      <c r="AE1209"/>
    </row>
    <row r="1210" spans="31:31" ht="15.75" customHeight="1">
      <c r="AE1210"/>
    </row>
    <row r="1211" spans="31:31" ht="15.75" customHeight="1">
      <c r="AE1211"/>
    </row>
    <row r="1212" spans="31:31" ht="15.75" customHeight="1">
      <c r="AE1212"/>
    </row>
    <row r="1213" spans="31:31" ht="15.75" customHeight="1">
      <c r="AE1213"/>
    </row>
    <row r="1214" spans="31:31" ht="15.75" customHeight="1">
      <c r="AE1214"/>
    </row>
    <row r="1215" spans="31:31" ht="15.75" customHeight="1">
      <c r="AE1215"/>
    </row>
    <row r="1216" spans="31:31" ht="15.75" customHeight="1">
      <c r="AE1216"/>
    </row>
    <row r="1217" spans="31:31" ht="15.75" customHeight="1">
      <c r="AE1217"/>
    </row>
    <row r="1218" spans="31:31" ht="15.75" customHeight="1">
      <c r="AE1218"/>
    </row>
    <row r="1219" spans="31:31" ht="15.75" customHeight="1">
      <c r="AE1219"/>
    </row>
    <row r="1220" spans="31:31" ht="15.75" customHeight="1">
      <c r="AE1220"/>
    </row>
    <row r="1221" spans="31:31" ht="15.75" customHeight="1">
      <c r="AE1221"/>
    </row>
    <row r="1222" spans="31:31" ht="15.75" customHeight="1">
      <c r="AE1222"/>
    </row>
    <row r="1223" spans="31:31" ht="15.75" customHeight="1">
      <c r="AE1223"/>
    </row>
    <row r="1224" spans="31:31" ht="15.75" customHeight="1">
      <c r="AE1224"/>
    </row>
    <row r="1225" spans="31:31" ht="15.75" customHeight="1">
      <c r="AE1225"/>
    </row>
    <row r="1226" spans="31:31" ht="15.75" customHeight="1">
      <c r="AE1226"/>
    </row>
    <row r="1227" spans="31:31" ht="15.75" customHeight="1">
      <c r="AE1227"/>
    </row>
    <row r="1228" spans="31:31" ht="15.75" customHeight="1">
      <c r="AE1228"/>
    </row>
    <row r="1229" spans="31:31" ht="15.75" customHeight="1">
      <c r="AE1229"/>
    </row>
    <row r="1230" spans="31:31" ht="15.75" customHeight="1">
      <c r="AE1230"/>
    </row>
    <row r="1231" spans="31:31" ht="15.75" customHeight="1">
      <c r="AE1231"/>
    </row>
    <row r="1232" spans="31:31" ht="15.75" customHeight="1">
      <c r="AE1232"/>
    </row>
    <row r="1233" spans="31:31" ht="15.75" customHeight="1">
      <c r="AE1233"/>
    </row>
    <row r="1234" spans="31:31" ht="15.75" customHeight="1">
      <c r="AE1234"/>
    </row>
    <row r="1235" spans="31:31" ht="15.75" customHeight="1">
      <c r="AE1235"/>
    </row>
    <row r="1236" spans="31:31" ht="15.75" customHeight="1">
      <c r="AE1236"/>
    </row>
    <row r="1237" spans="31:31" ht="15.75" customHeight="1">
      <c r="AE1237"/>
    </row>
    <row r="1238" spans="31:31" ht="15.75" customHeight="1">
      <c r="AE1238"/>
    </row>
    <row r="1239" spans="31:31" ht="15.75" customHeight="1">
      <c r="AE1239"/>
    </row>
    <row r="1240" spans="31:31" ht="15.75" customHeight="1">
      <c r="AE1240"/>
    </row>
    <row r="1241" spans="31:31" ht="15.75" customHeight="1">
      <c r="AE1241"/>
    </row>
    <row r="1242" spans="31:31" ht="15.75" customHeight="1">
      <c r="AE1242"/>
    </row>
    <row r="1243" spans="31:31" ht="15.75" customHeight="1">
      <c r="AE1243"/>
    </row>
    <row r="1244" spans="31:31" ht="15.75" customHeight="1">
      <c r="AE1244"/>
    </row>
    <row r="1245" spans="31:31" ht="15.75" customHeight="1">
      <c r="AE1245"/>
    </row>
    <row r="1246" spans="31:31" ht="15.75" customHeight="1">
      <c r="AE1246"/>
    </row>
    <row r="1247" spans="31:31" ht="15.75" customHeight="1">
      <c r="AE1247"/>
    </row>
    <row r="1248" spans="31:31" ht="15.75" customHeight="1">
      <c r="AE1248"/>
    </row>
    <row r="1249" spans="31:31" ht="15.75" customHeight="1">
      <c r="AE1249"/>
    </row>
    <row r="1250" spans="31:31" ht="15.75" customHeight="1">
      <c r="AE1250"/>
    </row>
    <row r="1251" spans="31:31" ht="15.75" customHeight="1">
      <c r="AE1251"/>
    </row>
    <row r="1252" spans="31:31" ht="15.75" customHeight="1">
      <c r="AE1252"/>
    </row>
    <row r="1253" spans="31:31" ht="15.75" customHeight="1">
      <c r="AE1253"/>
    </row>
    <row r="1254" spans="31:31" ht="15.75" customHeight="1">
      <c r="AE1254"/>
    </row>
    <row r="1255" spans="31:31" ht="15.75" customHeight="1">
      <c r="AE1255"/>
    </row>
    <row r="1256" spans="31:31" ht="15.75" customHeight="1">
      <c r="AE1256"/>
    </row>
    <row r="1257" spans="31:31" ht="15.75" customHeight="1">
      <c r="AE1257"/>
    </row>
    <row r="1258" spans="31:31" ht="15.75" customHeight="1">
      <c r="AE1258"/>
    </row>
    <row r="1259" spans="31:31" ht="15.75" customHeight="1">
      <c r="AE1259"/>
    </row>
    <row r="1260" spans="31:31" ht="15.75" customHeight="1">
      <c r="AE1260"/>
    </row>
    <row r="1261" spans="31:31" ht="15.75" customHeight="1">
      <c r="AE1261"/>
    </row>
    <row r="1262" spans="31:31" ht="15.75" customHeight="1">
      <c r="AE1262"/>
    </row>
    <row r="1263" spans="31:31" ht="15.75" customHeight="1">
      <c r="AE1263"/>
    </row>
    <row r="1264" spans="31:31" ht="15.75" customHeight="1">
      <c r="AE1264"/>
    </row>
    <row r="1265" spans="31:31" ht="15.75" customHeight="1">
      <c r="AE1265"/>
    </row>
    <row r="1266" spans="31:31" ht="15.75" customHeight="1">
      <c r="AE1266"/>
    </row>
    <row r="1267" spans="31:31" ht="15.75" customHeight="1">
      <c r="AE1267"/>
    </row>
    <row r="1268" spans="31:31" ht="15.75" customHeight="1">
      <c r="AE1268"/>
    </row>
    <row r="1269" spans="31:31" ht="15.75" customHeight="1">
      <c r="AE1269"/>
    </row>
    <row r="1270" spans="31:31" ht="15.75" customHeight="1">
      <c r="AE1270"/>
    </row>
    <row r="1271" spans="31:31" ht="15.75" customHeight="1">
      <c r="AE1271"/>
    </row>
    <row r="1272" spans="31:31" ht="15.75" customHeight="1">
      <c r="AE1272"/>
    </row>
    <row r="1273" spans="31:31" ht="15.75" customHeight="1">
      <c r="AE1273"/>
    </row>
    <row r="1274" spans="31:31" ht="15.75" customHeight="1">
      <c r="AE1274"/>
    </row>
    <row r="1275" spans="31:31" ht="15.75" customHeight="1">
      <c r="AE1275"/>
    </row>
    <row r="1276" spans="31:31" ht="15.75" customHeight="1">
      <c r="AE1276"/>
    </row>
    <row r="1277" spans="31:31" ht="15.75" customHeight="1">
      <c r="AE1277"/>
    </row>
    <row r="1278" spans="31:31" ht="15.75" customHeight="1">
      <c r="AE1278"/>
    </row>
    <row r="1279" spans="31:31" ht="15.75" customHeight="1">
      <c r="AE1279"/>
    </row>
    <row r="1280" spans="31:31" ht="15.75" customHeight="1">
      <c r="AE1280"/>
    </row>
    <row r="1281" spans="31:31" ht="15.75" customHeight="1">
      <c r="AE1281"/>
    </row>
    <row r="1282" spans="31:31" ht="15.75" customHeight="1">
      <c r="AE1282"/>
    </row>
    <row r="1283" spans="31:31" ht="15.75" customHeight="1">
      <c r="AE1283"/>
    </row>
    <row r="1284" spans="31:31" ht="15.75" customHeight="1">
      <c r="AE1284"/>
    </row>
    <row r="1285" spans="31:31" ht="15.75" customHeight="1">
      <c r="AE1285"/>
    </row>
    <row r="1286" spans="31:31" ht="15.75" customHeight="1">
      <c r="AE1286"/>
    </row>
    <row r="1287" spans="31:31" ht="15.75" customHeight="1">
      <c r="AE1287"/>
    </row>
    <row r="1288" spans="31:31" ht="15.75" customHeight="1">
      <c r="AE1288"/>
    </row>
    <row r="1289" spans="31:31" ht="15.75" customHeight="1">
      <c r="AE1289"/>
    </row>
    <row r="1290" spans="31:31" ht="15.75" customHeight="1">
      <c r="AE1290"/>
    </row>
    <row r="1291" spans="31:31" ht="15.75" customHeight="1">
      <c r="AE1291"/>
    </row>
    <row r="1292" spans="31:31" ht="15.75" customHeight="1">
      <c r="AE1292"/>
    </row>
    <row r="1293" spans="31:31" ht="15.75" customHeight="1">
      <c r="AE1293"/>
    </row>
    <row r="1294" spans="31:31" ht="15.75" customHeight="1">
      <c r="AE1294"/>
    </row>
    <row r="1295" spans="31:31" ht="15.75" customHeight="1">
      <c r="AE1295"/>
    </row>
    <row r="1296" spans="31:31" ht="15.75" customHeight="1">
      <c r="AE1296"/>
    </row>
    <row r="1297" spans="31:31" ht="15.75" customHeight="1">
      <c r="AE1297"/>
    </row>
    <row r="1298" spans="31:31" ht="15.75" customHeight="1">
      <c r="AE1298"/>
    </row>
    <row r="1299" spans="31:31" ht="15.75" customHeight="1">
      <c r="AE1299"/>
    </row>
    <row r="1300" spans="31:31" ht="15.75" customHeight="1">
      <c r="AE1300"/>
    </row>
    <row r="1301" spans="31:31" ht="15.75" customHeight="1">
      <c r="AE1301"/>
    </row>
    <row r="1302" spans="31:31" ht="15.75" customHeight="1">
      <c r="AE1302"/>
    </row>
    <row r="1303" spans="31:31" ht="15.75" customHeight="1">
      <c r="AE1303"/>
    </row>
    <row r="1304" spans="31:31" ht="15.75" customHeight="1">
      <c r="AE1304"/>
    </row>
    <row r="1305" spans="31:31" ht="15.75" customHeight="1">
      <c r="AE1305"/>
    </row>
    <row r="1306" spans="31:31" ht="15.75" customHeight="1">
      <c r="AE1306"/>
    </row>
    <row r="1307" spans="31:31" ht="15.75" customHeight="1">
      <c r="AE1307"/>
    </row>
    <row r="1308" spans="31:31" ht="15.75" customHeight="1">
      <c r="AE1308"/>
    </row>
    <row r="1309" spans="31:31" ht="15.75" customHeight="1">
      <c r="AE1309"/>
    </row>
    <row r="1310" spans="31:31" ht="15.75" customHeight="1">
      <c r="AE1310"/>
    </row>
    <row r="1311" spans="31:31" ht="15.75" customHeight="1">
      <c r="AE1311"/>
    </row>
    <row r="1312" spans="31:31" ht="15.75" customHeight="1">
      <c r="AE1312"/>
    </row>
    <row r="1313" spans="31:31" ht="15.75" customHeight="1">
      <c r="AE1313"/>
    </row>
    <row r="1314" spans="31:31" ht="15.75" customHeight="1">
      <c r="AE1314"/>
    </row>
    <row r="1315" spans="31:31" ht="15.75" customHeight="1">
      <c r="AE1315"/>
    </row>
    <row r="1316" spans="31:31" ht="15.75" customHeight="1">
      <c r="AE1316"/>
    </row>
    <row r="1317" spans="31:31" ht="15.75" customHeight="1">
      <c r="AE1317"/>
    </row>
    <row r="1318" spans="31:31" ht="15.75" customHeight="1">
      <c r="AE1318"/>
    </row>
    <row r="1319" spans="31:31" ht="15.75" customHeight="1">
      <c r="AE1319"/>
    </row>
    <row r="1320" spans="31:31" ht="15.75" customHeight="1">
      <c r="AE1320"/>
    </row>
    <row r="1321" spans="31:31" ht="15.75" customHeight="1">
      <c r="AE1321"/>
    </row>
    <row r="1322" spans="31:31" ht="15.75" customHeight="1">
      <c r="AE1322"/>
    </row>
    <row r="1323" spans="31:31" ht="15.75" customHeight="1">
      <c r="AE1323"/>
    </row>
    <row r="1324" spans="31:31" ht="15.75" customHeight="1">
      <c r="AE1324"/>
    </row>
    <row r="1325" spans="31:31" ht="15.75" customHeight="1">
      <c r="AE1325"/>
    </row>
    <row r="1326" spans="31:31" ht="15.75" customHeight="1">
      <c r="AE1326"/>
    </row>
    <row r="1327" spans="31:31" ht="15.75" customHeight="1">
      <c r="AE1327"/>
    </row>
    <row r="1328" spans="31:31" ht="15.75" customHeight="1">
      <c r="AE1328"/>
    </row>
    <row r="1329" spans="31:31" ht="15.75" customHeight="1">
      <c r="AE1329"/>
    </row>
    <row r="1330" spans="31:31" ht="15.75" customHeight="1">
      <c r="AE1330"/>
    </row>
    <row r="1331" spans="31:31" ht="15.75" customHeight="1">
      <c r="AE1331"/>
    </row>
    <row r="1332" spans="31:31" ht="15.75" customHeight="1">
      <c r="AE1332"/>
    </row>
    <row r="1333" spans="31:31" ht="15.75" customHeight="1">
      <c r="AE1333"/>
    </row>
    <row r="1334" spans="31:31" ht="15.75" customHeight="1">
      <c r="AE1334"/>
    </row>
    <row r="1335" spans="31:31" ht="15.75" customHeight="1">
      <c r="AE1335"/>
    </row>
    <row r="1336" spans="31:31" ht="15.75" customHeight="1">
      <c r="AE1336"/>
    </row>
    <row r="1337" spans="31:31" ht="15.75" customHeight="1">
      <c r="AE1337"/>
    </row>
    <row r="1338" spans="31:31" ht="15.75" customHeight="1">
      <c r="AE1338"/>
    </row>
    <row r="1339" spans="31:31" ht="15.75" customHeight="1">
      <c r="AE1339"/>
    </row>
    <row r="1340" spans="31:31" ht="15.75" customHeight="1">
      <c r="AE1340"/>
    </row>
    <row r="1341" spans="31:31" ht="15.75" customHeight="1">
      <c r="AE1341"/>
    </row>
    <row r="1342" spans="31:31" ht="15.75" customHeight="1">
      <c r="AE1342"/>
    </row>
    <row r="1343" spans="31:31" ht="15.75" customHeight="1">
      <c r="AE1343"/>
    </row>
    <row r="1344" spans="31:31" ht="15.75" customHeight="1">
      <c r="AE1344"/>
    </row>
    <row r="1345" spans="31:31" ht="15.75" customHeight="1">
      <c r="AE1345"/>
    </row>
    <row r="1346" spans="31:31" ht="15.75" customHeight="1">
      <c r="AE1346"/>
    </row>
    <row r="1347" spans="31:31" ht="15.75" customHeight="1">
      <c r="AE1347"/>
    </row>
    <row r="1348" spans="31:31" ht="15.75" customHeight="1">
      <c r="AE1348"/>
    </row>
    <row r="1349" spans="31:31" ht="15.75" customHeight="1">
      <c r="AE1349"/>
    </row>
    <row r="1350" spans="31:31" ht="15.75" customHeight="1">
      <c r="AE1350"/>
    </row>
    <row r="1351" spans="31:31" ht="15.75" customHeight="1">
      <c r="AE1351"/>
    </row>
    <row r="1352" spans="31:31" ht="15.75" customHeight="1">
      <c r="AE1352"/>
    </row>
    <row r="1353" spans="31:31" ht="15.75" customHeight="1">
      <c r="AE1353"/>
    </row>
    <row r="1354" spans="31:31" ht="15.75" customHeight="1">
      <c r="AE1354"/>
    </row>
    <row r="1355" spans="31:31" ht="15.75" customHeight="1">
      <c r="AE1355"/>
    </row>
    <row r="1356" spans="31:31" ht="15.75" customHeight="1">
      <c r="AE1356"/>
    </row>
    <row r="1357" spans="31:31" ht="15.75" customHeight="1">
      <c r="AE1357"/>
    </row>
    <row r="1358" spans="31:31" ht="15.75" customHeight="1">
      <c r="AE1358"/>
    </row>
    <row r="1359" spans="31:31" ht="15.75" customHeight="1">
      <c r="AE1359"/>
    </row>
    <row r="1360" spans="31:31" ht="15.75" customHeight="1">
      <c r="AE1360"/>
    </row>
    <row r="1361" spans="31:31" ht="15.75" customHeight="1">
      <c r="AE1361"/>
    </row>
    <row r="1362" spans="31:31" ht="15.75" customHeight="1">
      <c r="AE1362"/>
    </row>
    <row r="1363" spans="31:31" ht="15.75" customHeight="1">
      <c r="AE1363"/>
    </row>
    <row r="1364" spans="31:31" ht="15.75" customHeight="1">
      <c r="AE1364"/>
    </row>
    <row r="1365" spans="31:31" ht="15.75" customHeight="1">
      <c r="AE1365"/>
    </row>
    <row r="1366" spans="31:31" ht="15.75" customHeight="1">
      <c r="AE1366"/>
    </row>
    <row r="1367" spans="31:31" ht="15.75" customHeight="1">
      <c r="AE1367"/>
    </row>
    <row r="1368" spans="31:31" ht="15.75" customHeight="1">
      <c r="AE1368"/>
    </row>
    <row r="1369" spans="31:31" ht="15.75" customHeight="1">
      <c r="AE1369"/>
    </row>
    <row r="1370" spans="31:31" ht="15.75" customHeight="1">
      <c r="AE1370"/>
    </row>
    <row r="1371" spans="31:31" ht="15.75" customHeight="1">
      <c r="AE1371"/>
    </row>
    <row r="1372" spans="31:31" ht="15.75" customHeight="1">
      <c r="AE1372"/>
    </row>
    <row r="1373" spans="31:31" ht="15.75" customHeight="1">
      <c r="AE1373"/>
    </row>
    <row r="1374" spans="31:31" ht="15.75" customHeight="1">
      <c r="AE1374"/>
    </row>
    <row r="1375" spans="31:31" ht="15.75" customHeight="1">
      <c r="AE1375"/>
    </row>
    <row r="1376" spans="31:31" ht="15.75" customHeight="1">
      <c r="AE1376"/>
    </row>
    <row r="1377" spans="31:31" ht="15.75" customHeight="1">
      <c r="AE1377"/>
    </row>
    <row r="1378" spans="31:31" ht="15.75" customHeight="1">
      <c r="AE1378"/>
    </row>
    <row r="1379" spans="31:31" ht="15.75" customHeight="1">
      <c r="AE1379"/>
    </row>
    <row r="1380" spans="31:31" ht="15.75" customHeight="1">
      <c r="AE1380"/>
    </row>
    <row r="1381" spans="31:31" ht="15.75" customHeight="1">
      <c r="AE1381"/>
    </row>
    <row r="1382" spans="31:31" ht="15.75" customHeight="1">
      <c r="AE1382"/>
    </row>
    <row r="1383" spans="31:31" ht="15.75" customHeight="1">
      <c r="AE1383"/>
    </row>
    <row r="1384" spans="31:31" ht="15.75" customHeight="1">
      <c r="AE1384"/>
    </row>
    <row r="1385" spans="31:31" ht="15.75" customHeight="1">
      <c r="AE1385"/>
    </row>
    <row r="1386" spans="31:31" ht="15.75" customHeight="1">
      <c r="AE1386"/>
    </row>
    <row r="1387" spans="31:31" ht="15.75" customHeight="1">
      <c r="AE1387"/>
    </row>
    <row r="1388" spans="31:31" ht="15.75" customHeight="1">
      <c r="AE1388"/>
    </row>
    <row r="1389" spans="31:31" ht="15.75" customHeight="1">
      <c r="AE1389"/>
    </row>
    <row r="1390" spans="31:31" ht="15.75" customHeight="1">
      <c r="AE1390"/>
    </row>
    <row r="1391" spans="31:31" ht="15.75" customHeight="1">
      <c r="AE1391"/>
    </row>
    <row r="1392" spans="31:31" ht="15.75" customHeight="1">
      <c r="AE1392"/>
    </row>
    <row r="1393" spans="31:31" ht="15.75" customHeight="1">
      <c r="AE1393"/>
    </row>
    <row r="1394" spans="31:31" ht="15.75" customHeight="1">
      <c r="AE1394"/>
    </row>
    <row r="1395" spans="31:31" ht="15.75" customHeight="1">
      <c r="AE1395"/>
    </row>
    <row r="1396" spans="31:31" ht="15.75" customHeight="1">
      <c r="AE1396"/>
    </row>
    <row r="1397" spans="31:31" ht="15.75" customHeight="1">
      <c r="AE1397"/>
    </row>
    <row r="1398" spans="31:31" ht="15.75" customHeight="1">
      <c r="AE1398"/>
    </row>
    <row r="1399" spans="31:31" ht="15.75" customHeight="1">
      <c r="AE1399"/>
    </row>
    <row r="1400" spans="31:31" ht="15.75" customHeight="1">
      <c r="AE1400"/>
    </row>
    <row r="1401" spans="31:31" ht="15.75" customHeight="1">
      <c r="AE1401"/>
    </row>
    <row r="1402" spans="31:31" ht="15.75" customHeight="1">
      <c r="AE1402"/>
    </row>
    <row r="1403" spans="31:31" ht="15.75" customHeight="1">
      <c r="AE1403"/>
    </row>
    <row r="1404" spans="31:31" ht="15.75" customHeight="1">
      <c r="AE1404"/>
    </row>
    <row r="1405" spans="31:31" ht="15.75" customHeight="1">
      <c r="AE1405"/>
    </row>
    <row r="1406" spans="31:31" ht="15.75" customHeight="1">
      <c r="AE1406"/>
    </row>
    <row r="1407" spans="31:31" ht="15.75" customHeight="1">
      <c r="AE1407"/>
    </row>
    <row r="1408" spans="31:31" ht="15.75" customHeight="1">
      <c r="AE1408"/>
    </row>
    <row r="1409" spans="31:31" ht="15.75" customHeight="1">
      <c r="AE1409"/>
    </row>
    <row r="1410" spans="31:31" ht="15.75" customHeight="1">
      <c r="AE1410"/>
    </row>
    <row r="1411" spans="31:31" ht="15.75" customHeight="1">
      <c r="AE1411"/>
    </row>
    <row r="1412" spans="31:31" ht="15.75" customHeight="1">
      <c r="AE1412"/>
    </row>
    <row r="1413" spans="31:31" ht="15.75" customHeight="1">
      <c r="AE1413"/>
    </row>
    <row r="1414" spans="31:31" ht="15.75" customHeight="1">
      <c r="AE1414"/>
    </row>
    <row r="1415" spans="31:31" ht="15.75" customHeight="1">
      <c r="AE1415"/>
    </row>
    <row r="1416" spans="31:31" ht="15.75" customHeight="1">
      <c r="AE1416"/>
    </row>
    <row r="1417" spans="31:31" ht="15.75" customHeight="1">
      <c r="AE1417"/>
    </row>
    <row r="1418" spans="31:31" ht="15.75" customHeight="1">
      <c r="AE1418"/>
    </row>
    <row r="1419" spans="31:31" ht="15.75" customHeight="1">
      <c r="AE1419"/>
    </row>
    <row r="1420" spans="31:31" ht="15.75" customHeight="1">
      <c r="AE1420"/>
    </row>
    <row r="1421" spans="31:31" ht="15.75" customHeight="1">
      <c r="AE1421"/>
    </row>
    <row r="1422" spans="31:31" ht="15.75" customHeight="1">
      <c r="AE1422"/>
    </row>
    <row r="1423" spans="31:31" ht="15.75" customHeight="1">
      <c r="AE1423"/>
    </row>
    <row r="1424" spans="31:31" ht="15.75" customHeight="1">
      <c r="AE1424"/>
    </row>
    <row r="1425" spans="31:31" ht="15.75" customHeight="1">
      <c r="AE1425"/>
    </row>
    <row r="1426" spans="31:31" ht="15.75" customHeight="1">
      <c r="AE1426"/>
    </row>
    <row r="1427" spans="31:31" ht="15.75" customHeight="1">
      <c r="AE1427"/>
    </row>
    <row r="1428" spans="31:31" ht="15.75" customHeight="1">
      <c r="AE1428"/>
    </row>
    <row r="1429" spans="31:31" ht="15.75" customHeight="1">
      <c r="AE1429"/>
    </row>
    <row r="1430" spans="31:31" ht="15.75" customHeight="1">
      <c r="AE1430"/>
    </row>
    <row r="1431" spans="31:31" ht="15.75" customHeight="1">
      <c r="AE1431"/>
    </row>
    <row r="1432" spans="31:31" ht="15.75" customHeight="1">
      <c r="AE1432"/>
    </row>
    <row r="1433" spans="31:31" ht="15.75" customHeight="1">
      <c r="AE1433"/>
    </row>
    <row r="1434" spans="31:31" ht="15.75" customHeight="1">
      <c r="AE1434"/>
    </row>
    <row r="1435" spans="31:31" ht="15.75" customHeight="1">
      <c r="AE1435"/>
    </row>
    <row r="1436" spans="31:31" ht="15.75" customHeight="1">
      <c r="AE1436"/>
    </row>
    <row r="1437" spans="31:31" ht="15.75" customHeight="1">
      <c r="AE1437"/>
    </row>
    <row r="1438" spans="31:31" ht="15.75" customHeight="1">
      <c r="AE1438"/>
    </row>
    <row r="1439" spans="31:31" ht="15.75" customHeight="1">
      <c r="AE1439"/>
    </row>
    <row r="1440" spans="31:31" ht="15.75" customHeight="1">
      <c r="AE1440"/>
    </row>
    <row r="1441" spans="31:31" ht="15.75" customHeight="1">
      <c r="AE1441"/>
    </row>
    <row r="1442" spans="31:31" ht="15.75" customHeight="1">
      <c r="AE1442"/>
    </row>
    <row r="1443" spans="31:31" ht="15.75" customHeight="1">
      <c r="AE1443"/>
    </row>
    <row r="1444" spans="31:31" ht="15.75" customHeight="1">
      <c r="AE1444"/>
    </row>
    <row r="1445" spans="31:31" ht="15.75" customHeight="1">
      <c r="AE1445"/>
    </row>
    <row r="1446" spans="31:31" ht="15.75" customHeight="1">
      <c r="AE1446"/>
    </row>
    <row r="1447" spans="31:31" ht="15.75" customHeight="1">
      <c r="AE1447"/>
    </row>
    <row r="1448" spans="31:31" ht="15.75" customHeight="1">
      <c r="AE1448"/>
    </row>
    <row r="1449" spans="31:31" ht="15.75" customHeight="1">
      <c r="AE1449"/>
    </row>
    <row r="1450" spans="31:31" ht="15.75" customHeight="1">
      <c r="AE1450"/>
    </row>
    <row r="1451" spans="31:31" ht="15.75" customHeight="1">
      <c r="AE1451"/>
    </row>
    <row r="1452" spans="31:31" ht="15.75" customHeight="1">
      <c r="AE1452"/>
    </row>
    <row r="1453" spans="31:31" ht="15.75" customHeight="1">
      <c r="AE1453"/>
    </row>
    <row r="1454" spans="31:31" ht="15.75" customHeight="1">
      <c r="AE1454"/>
    </row>
    <row r="1455" spans="31:31" ht="15.75" customHeight="1">
      <c r="AE1455"/>
    </row>
    <row r="1456" spans="31:31" ht="15.75" customHeight="1">
      <c r="AE1456"/>
    </row>
    <row r="1457" spans="31:31" ht="15.75" customHeight="1">
      <c r="AE1457"/>
    </row>
    <row r="1458" spans="31:31" ht="15.75" customHeight="1">
      <c r="AE1458"/>
    </row>
    <row r="1459" spans="31:31" ht="15.75" customHeight="1">
      <c r="AE1459"/>
    </row>
    <row r="1460" spans="31:31" ht="15.75" customHeight="1">
      <c r="AE1460"/>
    </row>
    <row r="1461" spans="31:31" ht="15.75" customHeight="1">
      <c r="AE1461"/>
    </row>
    <row r="1462" spans="31:31" ht="15.75" customHeight="1">
      <c r="AE1462"/>
    </row>
    <row r="1463" spans="31:31" ht="15.75" customHeight="1">
      <c r="AE1463"/>
    </row>
    <row r="1464" spans="31:31" ht="15.75" customHeight="1">
      <c r="AE1464"/>
    </row>
    <row r="1465" spans="31:31" ht="15.75" customHeight="1">
      <c r="AE1465"/>
    </row>
    <row r="1466" spans="31:31" ht="15.75" customHeight="1">
      <c r="AE1466"/>
    </row>
    <row r="1467" spans="31:31" ht="15.75" customHeight="1">
      <c r="AE1467"/>
    </row>
    <row r="1468" spans="31:31" ht="15.75" customHeight="1">
      <c r="AE1468"/>
    </row>
    <row r="1469" spans="31:31" ht="15.75" customHeight="1">
      <c r="AE1469"/>
    </row>
    <row r="1470" spans="31:31" ht="15.75" customHeight="1">
      <c r="AE1470"/>
    </row>
    <row r="1471" spans="31:31" ht="15.75" customHeight="1">
      <c r="AE1471"/>
    </row>
    <row r="1472" spans="31:31" ht="15.75" customHeight="1">
      <c r="AE1472"/>
    </row>
    <row r="1473" spans="31:31" ht="15.75" customHeight="1">
      <c r="AE1473"/>
    </row>
    <row r="1474" spans="31:31" ht="15.75" customHeight="1">
      <c r="AE1474"/>
    </row>
    <row r="1475" spans="31:31" ht="15.75" customHeight="1">
      <c r="AE1475"/>
    </row>
    <row r="1476" spans="31:31" ht="15.75" customHeight="1">
      <c r="AE1476"/>
    </row>
    <row r="1477" spans="31:31" ht="15.75" customHeight="1">
      <c r="AE1477"/>
    </row>
    <row r="1478" spans="31:31" ht="15.75" customHeight="1">
      <c r="AE1478"/>
    </row>
    <row r="1479" spans="31:31" ht="15.75" customHeight="1">
      <c r="AE1479"/>
    </row>
    <row r="1480" spans="31:31" ht="15.75" customHeight="1">
      <c r="AE1480"/>
    </row>
    <row r="1481" spans="31:31" ht="15.75" customHeight="1">
      <c r="AE1481"/>
    </row>
    <row r="1482" spans="31:31" ht="15.75" customHeight="1">
      <c r="AE1482"/>
    </row>
    <row r="1483" spans="31:31" ht="15.75" customHeight="1">
      <c r="AE1483"/>
    </row>
    <row r="1484" spans="31:31" ht="15.75" customHeight="1">
      <c r="AE1484"/>
    </row>
    <row r="1485" spans="31:31" ht="15.75" customHeight="1">
      <c r="AE1485"/>
    </row>
    <row r="1486" spans="31:31" ht="15.75" customHeight="1">
      <c r="AE1486"/>
    </row>
    <row r="1487" spans="31:31" ht="15.75" customHeight="1">
      <c r="AE1487"/>
    </row>
    <row r="1488" spans="31:31" ht="15.75" customHeight="1">
      <c r="AE1488"/>
    </row>
    <row r="1489" spans="31:31" ht="15.75" customHeight="1">
      <c r="AE1489"/>
    </row>
    <row r="1490" spans="31:31" ht="15.75" customHeight="1">
      <c r="AE1490"/>
    </row>
    <row r="1491" spans="31:31" ht="15.75" customHeight="1">
      <c r="AE1491"/>
    </row>
    <row r="1492" spans="31:31" ht="15.75" customHeight="1">
      <c r="AE1492"/>
    </row>
    <row r="1493" spans="31:31" ht="15.75" customHeight="1">
      <c r="AE1493"/>
    </row>
    <row r="1494" spans="31:31" ht="15.75" customHeight="1">
      <c r="AE1494"/>
    </row>
    <row r="1495" spans="31:31" ht="15.75" customHeight="1">
      <c r="AE1495"/>
    </row>
    <row r="1496" spans="31:31" ht="15.75" customHeight="1">
      <c r="AE1496"/>
    </row>
    <row r="1497" spans="31:31" ht="15.75" customHeight="1">
      <c r="AE1497"/>
    </row>
    <row r="1498" spans="31:31" ht="15.75" customHeight="1">
      <c r="AE1498"/>
    </row>
    <row r="1499" spans="31:31" ht="15.75" customHeight="1">
      <c r="AE1499"/>
    </row>
    <row r="1500" spans="31:31" ht="15.75" customHeight="1">
      <c r="AE1500"/>
    </row>
    <row r="1501" spans="31:31" ht="15.75" customHeight="1">
      <c r="AE1501"/>
    </row>
    <row r="1502" spans="31:31" ht="15.75" customHeight="1">
      <c r="AE1502"/>
    </row>
    <row r="1503" spans="31:31" ht="15.75" customHeight="1">
      <c r="AE1503"/>
    </row>
    <row r="1504" spans="31:31" ht="15.75" customHeight="1">
      <c r="AE1504"/>
    </row>
    <row r="1505" spans="31:31" ht="15.75" customHeight="1">
      <c r="AE1505"/>
    </row>
    <row r="1506" spans="31:31" ht="15.75" customHeight="1">
      <c r="AE1506"/>
    </row>
    <row r="1507" spans="31:31" ht="15.75" customHeight="1">
      <c r="AE1507"/>
    </row>
    <row r="1508" spans="31:31" ht="15.75" customHeight="1">
      <c r="AE1508"/>
    </row>
    <row r="1509" spans="31:31" ht="15.75" customHeight="1">
      <c r="AE1509"/>
    </row>
    <row r="1510" spans="31:31" ht="15.75" customHeight="1">
      <c r="AE1510"/>
    </row>
    <row r="1511" spans="31:31" ht="15.75" customHeight="1">
      <c r="AE1511"/>
    </row>
    <row r="1512" spans="31:31" ht="15.75" customHeight="1">
      <c r="AE1512"/>
    </row>
    <row r="1513" spans="31:31" ht="15.75" customHeight="1">
      <c r="AE1513"/>
    </row>
    <row r="1514" spans="31:31" ht="15.75" customHeight="1">
      <c r="AE1514"/>
    </row>
    <row r="1515" spans="31:31" ht="15.75" customHeight="1">
      <c r="AE1515"/>
    </row>
    <row r="1516" spans="31:31" ht="15.75" customHeight="1">
      <c r="AE1516"/>
    </row>
    <row r="1517" spans="31:31" ht="15.75" customHeight="1">
      <c r="AE1517"/>
    </row>
    <row r="1518" spans="31:31" ht="15.75" customHeight="1">
      <c r="AE1518"/>
    </row>
    <row r="1519" spans="31:31" ht="15.75" customHeight="1">
      <c r="AE1519"/>
    </row>
    <row r="1520" spans="31:31" ht="15.75" customHeight="1">
      <c r="AE1520"/>
    </row>
    <row r="1521" spans="31:31" ht="15.75" customHeight="1">
      <c r="AE1521"/>
    </row>
    <row r="1522" spans="31:31" ht="15.75" customHeight="1">
      <c r="AE1522"/>
    </row>
    <row r="1523" spans="31:31" ht="15.75" customHeight="1">
      <c r="AE1523"/>
    </row>
    <row r="1524" spans="31:31" ht="15.75" customHeight="1">
      <c r="AE1524"/>
    </row>
    <row r="1525" spans="31:31" ht="15.75" customHeight="1">
      <c r="AE1525"/>
    </row>
    <row r="1526" spans="31:31" ht="15.75" customHeight="1">
      <c r="AE1526"/>
    </row>
    <row r="1527" spans="31:31" ht="15.75" customHeight="1">
      <c r="AE1527"/>
    </row>
    <row r="1528" spans="31:31" ht="15.75" customHeight="1">
      <c r="AE1528"/>
    </row>
    <row r="1529" spans="31:31" ht="15.75" customHeight="1">
      <c r="AE1529"/>
    </row>
    <row r="1530" spans="31:31" ht="15.75" customHeight="1">
      <c r="AE1530"/>
    </row>
    <row r="1531" spans="31:31" ht="15.75" customHeight="1">
      <c r="AE1531"/>
    </row>
    <row r="1532" spans="31:31" ht="15.75" customHeight="1">
      <c r="AE1532"/>
    </row>
    <row r="1533" spans="31:31" ht="15.75" customHeight="1">
      <c r="AE1533"/>
    </row>
    <row r="1534" spans="31:31" ht="15.75" customHeight="1">
      <c r="AE1534"/>
    </row>
    <row r="1535" spans="31:31" ht="15.75" customHeight="1">
      <c r="AE1535"/>
    </row>
    <row r="1536" spans="31:31" ht="15.75" customHeight="1">
      <c r="AE1536"/>
    </row>
    <row r="1537" spans="31:31" ht="15.75" customHeight="1">
      <c r="AE1537"/>
    </row>
    <row r="1538" spans="31:31" ht="15.75" customHeight="1">
      <c r="AE1538"/>
    </row>
    <row r="1539" spans="31:31" ht="15.75" customHeight="1">
      <c r="AE1539"/>
    </row>
    <row r="1540" spans="31:31" ht="15.75" customHeight="1">
      <c r="AE1540"/>
    </row>
    <row r="1541" spans="31:31" ht="15.75" customHeight="1">
      <c r="AE1541"/>
    </row>
    <row r="1542" spans="31:31" ht="15.75" customHeight="1">
      <c r="AE1542"/>
    </row>
    <row r="1543" spans="31:31" ht="15.75" customHeight="1">
      <c r="AE1543"/>
    </row>
    <row r="1544" spans="31:31" ht="15.75" customHeight="1">
      <c r="AE1544"/>
    </row>
    <row r="1545" spans="31:31" ht="15.75" customHeight="1">
      <c r="AE1545"/>
    </row>
    <row r="1546" spans="31:31" ht="15.75" customHeight="1">
      <c r="AE1546"/>
    </row>
    <row r="1547" spans="31:31" ht="15.75" customHeight="1">
      <c r="AE1547"/>
    </row>
    <row r="1548" spans="31:31" ht="15.75" customHeight="1">
      <c r="AE1548"/>
    </row>
    <row r="1549" spans="31:31" ht="15.75" customHeight="1">
      <c r="AE1549"/>
    </row>
    <row r="1550" spans="31:31" ht="15.75" customHeight="1">
      <c r="AE1550"/>
    </row>
    <row r="1551" spans="31:31" ht="15.75" customHeight="1">
      <c r="AE1551"/>
    </row>
    <row r="1552" spans="31:31" ht="15.75" customHeight="1">
      <c r="AE1552"/>
    </row>
    <row r="1553" spans="31:31" ht="15.75" customHeight="1">
      <c r="AE1553"/>
    </row>
    <row r="1554" spans="31:31" ht="15.75" customHeight="1">
      <c r="AE1554"/>
    </row>
    <row r="1555" spans="31:31" ht="15.75" customHeight="1">
      <c r="AE1555"/>
    </row>
    <row r="1556" spans="31:31" ht="15.75" customHeight="1">
      <c r="AE1556"/>
    </row>
    <row r="1557" spans="31:31" ht="15.75" customHeight="1">
      <c r="AE1557"/>
    </row>
    <row r="1558" spans="31:31" ht="15.75" customHeight="1">
      <c r="AE1558"/>
    </row>
    <row r="1559" spans="31:31" ht="15.75" customHeight="1">
      <c r="AE1559"/>
    </row>
    <row r="1560" spans="31:31" ht="15.75" customHeight="1">
      <c r="AE1560"/>
    </row>
    <row r="1561" spans="31:31" ht="15.75" customHeight="1">
      <c r="AE1561"/>
    </row>
    <row r="1562" spans="31:31" ht="15.75" customHeight="1">
      <c r="AE1562"/>
    </row>
    <row r="1563" spans="31:31" ht="15.75" customHeight="1">
      <c r="AE1563"/>
    </row>
    <row r="1564" spans="31:31" ht="15.75" customHeight="1">
      <c r="AE1564"/>
    </row>
    <row r="1565" spans="31:31" ht="15.75" customHeight="1">
      <c r="AE1565"/>
    </row>
    <row r="1566" spans="31:31" ht="15.75" customHeight="1">
      <c r="AE1566"/>
    </row>
    <row r="1567" spans="31:31" ht="15.75" customHeight="1">
      <c r="AE1567"/>
    </row>
    <row r="1568" spans="31:31" ht="15.75" customHeight="1">
      <c r="AE1568"/>
    </row>
    <row r="1569" spans="31:31" ht="15.75" customHeight="1">
      <c r="AE1569"/>
    </row>
    <row r="1570" spans="31:31" ht="15.75" customHeight="1">
      <c r="AE1570"/>
    </row>
    <row r="1571" spans="31:31" ht="15.75" customHeight="1">
      <c r="AE1571"/>
    </row>
    <row r="1572" spans="31:31" ht="15.75" customHeight="1">
      <c r="AE1572"/>
    </row>
    <row r="1573" spans="31:31" ht="15.75" customHeight="1">
      <c r="AE1573"/>
    </row>
    <row r="1574" spans="31:31" ht="15.75" customHeight="1">
      <c r="AE1574"/>
    </row>
    <row r="1575" spans="31:31" ht="15.75" customHeight="1">
      <c r="AE1575"/>
    </row>
    <row r="1576" spans="31:31" ht="15.75" customHeight="1">
      <c r="AE1576"/>
    </row>
    <row r="1577" spans="31:31" ht="15.75" customHeight="1">
      <c r="AE1577"/>
    </row>
    <row r="1578" spans="31:31" ht="15.75" customHeight="1">
      <c r="AE1578"/>
    </row>
    <row r="1579" spans="31:31" ht="15.75" customHeight="1">
      <c r="AE1579"/>
    </row>
    <row r="1580" spans="31:31" ht="15.75" customHeight="1">
      <c r="AE1580"/>
    </row>
    <row r="1581" spans="31:31" ht="15.75" customHeight="1">
      <c r="AE1581"/>
    </row>
    <row r="1582" spans="31:31" ht="15.75" customHeight="1">
      <c r="AE1582"/>
    </row>
    <row r="1583" spans="31:31" ht="15.75" customHeight="1">
      <c r="AE1583"/>
    </row>
    <row r="1584" spans="31:31" ht="15.75" customHeight="1">
      <c r="AE1584"/>
    </row>
    <row r="1585" spans="31:31" ht="15.75" customHeight="1">
      <c r="AE1585"/>
    </row>
    <row r="1586" spans="31:31" ht="15.75" customHeight="1">
      <c r="AE1586"/>
    </row>
    <row r="1587" spans="31:31" ht="15.75" customHeight="1">
      <c r="AE1587"/>
    </row>
    <row r="1588" spans="31:31" ht="15.75" customHeight="1">
      <c r="AE1588"/>
    </row>
    <row r="1589" spans="31:31" ht="15.75" customHeight="1">
      <c r="AE1589"/>
    </row>
    <row r="1590" spans="31:31" ht="15.75" customHeight="1">
      <c r="AE1590"/>
    </row>
    <row r="1591" spans="31:31" ht="15.75" customHeight="1">
      <c r="AE1591"/>
    </row>
    <row r="1592" spans="31:31" ht="15.75" customHeight="1">
      <c r="AE1592"/>
    </row>
    <row r="1593" spans="31:31" ht="15.75" customHeight="1">
      <c r="AE1593"/>
    </row>
    <row r="1594" spans="31:31" ht="15.75" customHeight="1">
      <c r="AE1594"/>
    </row>
    <row r="1595" spans="31:31" ht="15.75" customHeight="1">
      <c r="AE1595"/>
    </row>
    <row r="1596" spans="31:31" ht="15.75" customHeight="1">
      <c r="AE1596"/>
    </row>
    <row r="1597" spans="31:31" ht="15.75" customHeight="1">
      <c r="AE1597"/>
    </row>
    <row r="1598" spans="31:31" ht="15.75" customHeight="1">
      <c r="AE1598"/>
    </row>
    <row r="1599" spans="31:31" ht="15.75" customHeight="1">
      <c r="AE1599"/>
    </row>
    <row r="1600" spans="31:31" ht="15.75" customHeight="1">
      <c r="AE1600"/>
    </row>
    <row r="1601" spans="31:31" ht="15.75" customHeight="1">
      <c r="AE1601"/>
    </row>
    <row r="1602" spans="31:31" ht="15.75" customHeight="1">
      <c r="AE1602"/>
    </row>
    <row r="1603" spans="31:31" ht="15.75" customHeight="1">
      <c r="AE1603"/>
    </row>
    <row r="1604" spans="31:31" ht="15.75" customHeight="1">
      <c r="AE1604"/>
    </row>
    <row r="1605" spans="31:31" ht="15.75" customHeight="1">
      <c r="AE1605"/>
    </row>
    <row r="1606" spans="31:31" ht="15.75" customHeight="1">
      <c r="AE1606"/>
    </row>
    <row r="1607" spans="31:31" ht="15.75" customHeight="1">
      <c r="AE1607"/>
    </row>
    <row r="1608" spans="31:31" ht="15.75" customHeight="1">
      <c r="AE1608"/>
    </row>
    <row r="1609" spans="31:31" ht="15.75" customHeight="1">
      <c r="AE1609"/>
    </row>
    <row r="1610" spans="31:31" ht="15.75" customHeight="1">
      <c r="AE1610"/>
    </row>
    <row r="1611" spans="31:31" ht="15.75" customHeight="1">
      <c r="AE1611"/>
    </row>
    <row r="1612" spans="31:31" ht="15.75" customHeight="1">
      <c r="AE1612"/>
    </row>
    <row r="1613" spans="31:31" ht="15.75" customHeight="1">
      <c r="AE1613"/>
    </row>
    <row r="1614" spans="31:31" ht="15.75" customHeight="1">
      <c r="AE1614"/>
    </row>
    <row r="1615" spans="31:31" ht="15.75" customHeight="1">
      <c r="AE1615"/>
    </row>
    <row r="1616" spans="31:31" ht="15.75" customHeight="1">
      <c r="AE1616"/>
    </row>
    <row r="1617" spans="31:31" ht="15.75" customHeight="1">
      <c r="AE1617"/>
    </row>
    <row r="1618" spans="31:31" ht="15.75" customHeight="1">
      <c r="AE1618"/>
    </row>
    <row r="1619" spans="31:31" ht="15.75" customHeight="1">
      <c r="AE1619"/>
    </row>
    <row r="1620" spans="31:31" ht="15.75" customHeight="1">
      <c r="AE1620"/>
    </row>
    <row r="1621" spans="31:31" ht="15.75" customHeight="1">
      <c r="AE1621"/>
    </row>
    <row r="1622" spans="31:31" ht="15.75" customHeight="1">
      <c r="AE1622"/>
    </row>
    <row r="1623" spans="31:31" ht="15.75" customHeight="1">
      <c r="AE1623"/>
    </row>
    <row r="1624" spans="31:31" ht="15.75" customHeight="1">
      <c r="AE1624"/>
    </row>
    <row r="1625" spans="31:31" ht="15.75" customHeight="1">
      <c r="AE1625"/>
    </row>
    <row r="1626" spans="31:31" ht="15.75" customHeight="1">
      <c r="AE1626"/>
    </row>
    <row r="1627" spans="31:31" ht="15.75" customHeight="1">
      <c r="AE1627"/>
    </row>
    <row r="1628" spans="31:31" ht="15.75" customHeight="1">
      <c r="AE1628"/>
    </row>
    <row r="1629" spans="31:31" ht="15.75" customHeight="1">
      <c r="AE1629"/>
    </row>
    <row r="1630" spans="31:31" ht="15.75" customHeight="1">
      <c r="AE1630"/>
    </row>
    <row r="1631" spans="31:31" ht="15.75" customHeight="1">
      <c r="AE1631"/>
    </row>
    <row r="1632" spans="31:31" ht="15.75" customHeight="1">
      <c r="AE1632"/>
    </row>
    <row r="1633" spans="31:31" ht="15.75" customHeight="1">
      <c r="AE1633"/>
    </row>
    <row r="1634" spans="31:31" ht="15.75" customHeight="1">
      <c r="AE1634"/>
    </row>
    <row r="1635" spans="31:31" ht="15.75" customHeight="1">
      <c r="AE1635"/>
    </row>
    <row r="1636" spans="31:31" ht="15.75" customHeight="1">
      <c r="AE1636"/>
    </row>
    <row r="1637" spans="31:31" ht="15.75" customHeight="1">
      <c r="AE1637"/>
    </row>
    <row r="1638" spans="31:31" ht="15.75" customHeight="1">
      <c r="AE1638"/>
    </row>
    <row r="1639" spans="31:31" ht="15.75" customHeight="1">
      <c r="AE1639"/>
    </row>
    <row r="1640" spans="31:31" ht="15.75" customHeight="1">
      <c r="AE1640"/>
    </row>
    <row r="1641" spans="31:31" ht="15.75" customHeight="1">
      <c r="AE1641"/>
    </row>
    <row r="1642" spans="31:31" ht="15.75" customHeight="1">
      <c r="AE1642"/>
    </row>
    <row r="1643" spans="31:31" ht="15.75" customHeight="1">
      <c r="AE1643"/>
    </row>
    <row r="1644" spans="31:31" ht="15.75" customHeight="1">
      <c r="AE1644"/>
    </row>
    <row r="1645" spans="31:31" ht="15.75" customHeight="1">
      <c r="AE1645"/>
    </row>
    <row r="1646" spans="31:31" ht="15.75" customHeight="1">
      <c r="AE1646"/>
    </row>
    <row r="1647" spans="31:31" ht="15.75" customHeight="1">
      <c r="AE1647"/>
    </row>
    <row r="1648" spans="31:31" ht="15.75" customHeight="1">
      <c r="AE1648"/>
    </row>
    <row r="1649" spans="31:31" ht="15.75" customHeight="1">
      <c r="AE1649"/>
    </row>
    <row r="1650" spans="31:31" ht="15.75" customHeight="1">
      <c r="AE1650"/>
    </row>
    <row r="1651" spans="31:31" ht="15.75" customHeight="1">
      <c r="AE1651"/>
    </row>
    <row r="1652" spans="31:31" ht="15.75" customHeight="1">
      <c r="AE1652"/>
    </row>
    <row r="1653" spans="31:31" ht="15.75" customHeight="1">
      <c r="AE1653"/>
    </row>
    <row r="1654" spans="31:31" ht="15.75" customHeight="1">
      <c r="AE1654"/>
    </row>
    <row r="1655" spans="31:31" ht="15.75" customHeight="1">
      <c r="AE1655"/>
    </row>
    <row r="1656" spans="31:31" ht="15.75" customHeight="1">
      <c r="AE1656"/>
    </row>
    <row r="1657" spans="31:31" ht="15.75" customHeight="1">
      <c r="AE1657"/>
    </row>
    <row r="1658" spans="31:31" ht="15.75" customHeight="1">
      <c r="AE1658"/>
    </row>
    <row r="1659" spans="31:31" ht="15.75" customHeight="1">
      <c r="AE1659"/>
    </row>
    <row r="1660" spans="31:31" ht="15.75" customHeight="1">
      <c r="AE1660"/>
    </row>
    <row r="1661" spans="31:31" ht="15.75" customHeight="1">
      <c r="AE1661"/>
    </row>
    <row r="1662" spans="31:31" ht="15.75" customHeight="1">
      <c r="AE1662"/>
    </row>
    <row r="1663" spans="31:31" ht="15.75" customHeight="1">
      <c r="AE1663"/>
    </row>
    <row r="1664" spans="31:31" ht="15.75" customHeight="1">
      <c r="AE1664"/>
    </row>
    <row r="1665" spans="31:31" ht="15.75" customHeight="1">
      <c r="AE1665"/>
    </row>
    <row r="1666" spans="31:31" ht="15.75" customHeight="1">
      <c r="AE1666"/>
    </row>
    <row r="1667" spans="31:31" ht="15.75" customHeight="1">
      <c r="AE1667"/>
    </row>
    <row r="1668" spans="31:31" ht="15.75" customHeight="1">
      <c r="AE1668"/>
    </row>
    <row r="1669" spans="31:31" ht="15.75" customHeight="1">
      <c r="AE1669"/>
    </row>
    <row r="1670" spans="31:31" ht="15.75" customHeight="1">
      <c r="AE1670"/>
    </row>
    <row r="1671" spans="31:31" ht="15.75" customHeight="1">
      <c r="AE1671"/>
    </row>
    <row r="1672" spans="31:31" ht="15.75" customHeight="1">
      <c r="AE1672"/>
    </row>
    <row r="1673" spans="31:31" ht="15.75" customHeight="1">
      <c r="AE1673"/>
    </row>
    <row r="1674" spans="31:31" ht="15.75" customHeight="1">
      <c r="AE1674"/>
    </row>
    <row r="1675" spans="31:31" ht="15.75" customHeight="1">
      <c r="AE1675"/>
    </row>
    <row r="1676" spans="31:31" ht="15.75" customHeight="1">
      <c r="AE1676"/>
    </row>
    <row r="1677" spans="31:31" ht="15.75" customHeight="1">
      <c r="AE1677"/>
    </row>
    <row r="1678" spans="31:31" ht="15.75" customHeight="1">
      <c r="AE1678"/>
    </row>
    <row r="1679" spans="31:31" ht="15.75" customHeight="1">
      <c r="AE1679"/>
    </row>
    <row r="1680" spans="31:31" ht="15.75" customHeight="1">
      <c r="AE1680"/>
    </row>
    <row r="1681" spans="31:31" ht="15.75" customHeight="1">
      <c r="AE1681"/>
    </row>
    <row r="1682" spans="31:31" ht="15.75" customHeight="1">
      <c r="AE1682"/>
    </row>
    <row r="1683" spans="31:31" ht="15.75" customHeight="1">
      <c r="AE1683"/>
    </row>
    <row r="1684" spans="31:31" ht="15.75" customHeight="1">
      <c r="AE1684"/>
    </row>
    <row r="1685" spans="31:31" ht="15.75" customHeight="1">
      <c r="AE1685"/>
    </row>
    <row r="1686" spans="31:31" ht="15.75" customHeight="1">
      <c r="AE1686"/>
    </row>
    <row r="1687" spans="31:31" ht="15.75" customHeight="1">
      <c r="AE1687"/>
    </row>
    <row r="1688" spans="31:31" ht="15.75" customHeight="1">
      <c r="AE1688"/>
    </row>
    <row r="1689" spans="31:31" ht="15.75" customHeight="1">
      <c r="AE1689"/>
    </row>
    <row r="1690" spans="31:31" ht="15.75" customHeight="1">
      <c r="AE1690"/>
    </row>
    <row r="1691" spans="31:31" ht="15.75" customHeight="1">
      <c r="AE1691"/>
    </row>
    <row r="1692" spans="31:31" ht="15.75" customHeight="1">
      <c r="AE1692"/>
    </row>
    <row r="1693" spans="31:31" ht="15.75" customHeight="1">
      <c r="AE1693"/>
    </row>
    <row r="1694" spans="31:31" ht="15.75" customHeight="1">
      <c r="AE1694"/>
    </row>
    <row r="1695" spans="31:31" ht="15.75" customHeight="1">
      <c r="AE1695"/>
    </row>
    <row r="1696" spans="31:31" ht="15.75" customHeight="1">
      <c r="AE1696"/>
    </row>
    <row r="1697" spans="31:31" ht="15.75" customHeight="1">
      <c r="AE1697"/>
    </row>
    <row r="1698" spans="31:31" ht="15.75" customHeight="1">
      <c r="AE1698"/>
    </row>
    <row r="1699" spans="31:31" ht="15.75" customHeight="1">
      <c r="AE1699"/>
    </row>
    <row r="1700" spans="31:31" ht="15.75" customHeight="1">
      <c r="AE1700"/>
    </row>
    <row r="1701" spans="31:31" ht="15.75" customHeight="1">
      <c r="AE1701"/>
    </row>
    <row r="1702" spans="31:31" ht="15.75" customHeight="1">
      <c r="AE1702"/>
    </row>
    <row r="1703" spans="31:31" ht="15.75" customHeight="1">
      <c r="AE1703"/>
    </row>
    <row r="1704" spans="31:31" ht="15.75" customHeight="1">
      <c r="AE1704"/>
    </row>
    <row r="1705" spans="31:31" ht="15.75" customHeight="1">
      <c r="AE1705"/>
    </row>
    <row r="1706" spans="31:31" ht="15.75" customHeight="1">
      <c r="AE1706"/>
    </row>
    <row r="1707" spans="31:31" ht="15.75" customHeight="1">
      <c r="AE1707"/>
    </row>
    <row r="1708" spans="31:31" ht="15.75" customHeight="1">
      <c r="AE1708"/>
    </row>
    <row r="1709" spans="31:31" ht="15.75" customHeight="1">
      <c r="AE1709"/>
    </row>
    <row r="1710" spans="31:31" ht="15.75" customHeight="1">
      <c r="AE1710"/>
    </row>
    <row r="1711" spans="31:31" ht="15.75" customHeight="1">
      <c r="AE1711"/>
    </row>
    <row r="1712" spans="31:31" ht="15.75" customHeight="1">
      <c r="AE1712"/>
    </row>
    <row r="1713" spans="31:31" ht="15.75" customHeight="1">
      <c r="AE1713"/>
    </row>
    <row r="1714" spans="31:31" ht="15.75" customHeight="1">
      <c r="AE1714"/>
    </row>
    <row r="1715" spans="31:31" ht="15.75" customHeight="1">
      <c r="AE1715"/>
    </row>
    <row r="1716" spans="31:31" ht="15.75" customHeight="1">
      <c r="AE1716"/>
    </row>
    <row r="1717" spans="31:31" ht="15.75" customHeight="1">
      <c r="AE1717"/>
    </row>
    <row r="1718" spans="31:31" ht="15.75" customHeight="1">
      <c r="AE1718"/>
    </row>
    <row r="1719" spans="31:31" ht="15.75" customHeight="1">
      <c r="AE1719"/>
    </row>
    <row r="1720" spans="31:31" ht="15.75" customHeight="1">
      <c r="AE1720"/>
    </row>
    <row r="1721" spans="31:31" ht="15.75" customHeight="1">
      <c r="AE1721"/>
    </row>
    <row r="1722" spans="31:31" ht="15.75" customHeight="1">
      <c r="AE1722"/>
    </row>
    <row r="1723" spans="31:31" ht="15.75" customHeight="1">
      <c r="AE1723"/>
    </row>
    <row r="1724" spans="31:31" ht="15.75" customHeight="1">
      <c r="AE1724"/>
    </row>
    <row r="1725" spans="31:31" ht="15.75" customHeight="1">
      <c r="AE1725"/>
    </row>
    <row r="1726" spans="31:31" ht="15.75" customHeight="1">
      <c r="AE1726"/>
    </row>
    <row r="1727" spans="31:31" ht="15.75" customHeight="1">
      <c r="AE1727"/>
    </row>
    <row r="1728" spans="31:31" ht="15.75" customHeight="1">
      <c r="AE1728"/>
    </row>
    <row r="1729" spans="31:31" ht="15.75" customHeight="1">
      <c r="AE1729"/>
    </row>
    <row r="1730" spans="31:31" ht="15.75" customHeight="1">
      <c r="AE1730"/>
    </row>
    <row r="1731" spans="31:31" ht="15.75" customHeight="1">
      <c r="AE1731"/>
    </row>
    <row r="1732" spans="31:31" ht="15.75" customHeight="1">
      <c r="AE1732"/>
    </row>
    <row r="1733" spans="31:31" ht="15.75" customHeight="1">
      <c r="AE1733"/>
    </row>
    <row r="1734" spans="31:31" ht="15.75" customHeight="1">
      <c r="AE1734"/>
    </row>
    <row r="1735" spans="31:31" ht="15.75" customHeight="1">
      <c r="AE1735"/>
    </row>
    <row r="1736" spans="31:31" ht="15.75" customHeight="1">
      <c r="AE1736"/>
    </row>
    <row r="1737" spans="31:31" ht="15.75" customHeight="1">
      <c r="AE1737"/>
    </row>
    <row r="1738" spans="31:31" ht="15.75" customHeight="1">
      <c r="AE1738"/>
    </row>
    <row r="1739" spans="31:31" ht="15.75" customHeight="1">
      <c r="AE1739"/>
    </row>
    <row r="1740" spans="31:31" ht="15.75" customHeight="1">
      <c r="AE1740"/>
    </row>
    <row r="1741" spans="31:31" ht="15.75" customHeight="1">
      <c r="AE1741"/>
    </row>
    <row r="1742" spans="31:31" ht="15.75" customHeight="1">
      <c r="AE1742"/>
    </row>
    <row r="1743" spans="31:31" ht="15.75" customHeight="1">
      <c r="AE1743"/>
    </row>
    <row r="1744" spans="31:31" ht="15.75" customHeight="1">
      <c r="AE1744"/>
    </row>
    <row r="1745" spans="31:31" ht="15.75" customHeight="1">
      <c r="AE1745"/>
    </row>
    <row r="1746" spans="31:31" ht="15.75" customHeight="1">
      <c r="AE1746"/>
    </row>
    <row r="1747" spans="31:31" ht="15.75" customHeight="1">
      <c r="AE1747"/>
    </row>
    <row r="1748" spans="31:31" ht="15.75" customHeight="1">
      <c r="AE1748"/>
    </row>
    <row r="1749" spans="31:31" ht="15.75" customHeight="1">
      <c r="AE1749"/>
    </row>
    <row r="1750" spans="31:31" ht="15.75" customHeight="1">
      <c r="AE1750"/>
    </row>
    <row r="1751" spans="31:31" ht="15.75" customHeight="1">
      <c r="AE1751"/>
    </row>
    <row r="1752" spans="31:31" ht="15.75" customHeight="1">
      <c r="AE1752"/>
    </row>
    <row r="1753" spans="31:31" ht="15.75" customHeight="1">
      <c r="AE1753"/>
    </row>
    <row r="1754" spans="31:31" ht="15.75" customHeight="1">
      <c r="AE1754"/>
    </row>
    <row r="1755" spans="31:31" ht="15.75" customHeight="1">
      <c r="AE1755"/>
    </row>
    <row r="1756" spans="31:31" ht="15.75" customHeight="1">
      <c r="AE1756"/>
    </row>
    <row r="1757" spans="31:31" ht="15.75" customHeight="1">
      <c r="AE1757"/>
    </row>
    <row r="1758" spans="31:31" ht="15.75" customHeight="1">
      <c r="AE1758"/>
    </row>
    <row r="1759" spans="31:31" ht="15.75" customHeight="1">
      <c r="AE1759"/>
    </row>
    <row r="1760" spans="31:31" ht="15.75" customHeight="1">
      <c r="AE1760"/>
    </row>
    <row r="1761" spans="31:31" ht="15.75" customHeight="1">
      <c r="AE1761"/>
    </row>
    <row r="1762" spans="31:31" ht="15.75" customHeight="1">
      <c r="AE1762"/>
    </row>
    <row r="1763" spans="31:31" ht="15.75" customHeight="1">
      <c r="AE1763"/>
    </row>
    <row r="1764" spans="31:31" ht="15.75" customHeight="1">
      <c r="AE1764"/>
    </row>
    <row r="1765" spans="31:31" ht="15.75" customHeight="1">
      <c r="AE1765"/>
    </row>
    <row r="1766" spans="31:31" ht="15.75" customHeight="1">
      <c r="AE1766"/>
    </row>
    <row r="1767" spans="31:31" ht="15.75" customHeight="1">
      <c r="AE1767"/>
    </row>
    <row r="1768" spans="31:31" ht="15.75" customHeight="1">
      <c r="AE1768"/>
    </row>
    <row r="1769" spans="31:31" ht="15.75" customHeight="1">
      <c r="AE1769"/>
    </row>
    <row r="1770" spans="31:31" ht="15.75" customHeight="1">
      <c r="AE1770"/>
    </row>
    <row r="1771" spans="31:31" ht="15.75" customHeight="1">
      <c r="AE1771"/>
    </row>
    <row r="1772" spans="31:31" ht="15.75" customHeight="1">
      <c r="AE1772"/>
    </row>
    <row r="1773" spans="31:31" ht="15.75" customHeight="1">
      <c r="AE1773"/>
    </row>
    <row r="1774" spans="31:31" ht="15.75" customHeight="1">
      <c r="AE1774"/>
    </row>
    <row r="1775" spans="31:31" ht="15.75" customHeight="1">
      <c r="AE1775"/>
    </row>
    <row r="1776" spans="31:31" ht="15.75" customHeight="1">
      <c r="AE1776"/>
    </row>
    <row r="1777" spans="31:31" ht="15.75" customHeight="1">
      <c r="AE1777"/>
    </row>
    <row r="1778" spans="31:31" ht="15.75" customHeight="1">
      <c r="AE1778"/>
    </row>
    <row r="1779" spans="31:31" ht="15.75" customHeight="1">
      <c r="AE1779"/>
    </row>
    <row r="1780" spans="31:31" ht="15.75" customHeight="1">
      <c r="AE1780"/>
    </row>
    <row r="1781" spans="31:31" ht="15.75" customHeight="1">
      <c r="AE1781"/>
    </row>
    <row r="1782" spans="31:31" ht="15.75" customHeight="1">
      <c r="AE1782"/>
    </row>
    <row r="1783" spans="31:31" ht="15.75" customHeight="1">
      <c r="AE1783"/>
    </row>
    <row r="1784" spans="31:31" ht="15.75" customHeight="1">
      <c r="AE1784"/>
    </row>
    <row r="1785" spans="31:31" ht="15.75" customHeight="1">
      <c r="AE1785"/>
    </row>
    <row r="1786" spans="31:31" ht="15.75" customHeight="1">
      <c r="AE1786"/>
    </row>
    <row r="1787" spans="31:31" ht="15.75" customHeight="1">
      <c r="AE1787"/>
    </row>
    <row r="1788" spans="31:31" ht="15.75" customHeight="1">
      <c r="AE1788"/>
    </row>
    <row r="1789" spans="31:31" ht="15.75" customHeight="1">
      <c r="AE1789"/>
    </row>
    <row r="1790" spans="31:31" ht="15.75" customHeight="1">
      <c r="AE1790"/>
    </row>
    <row r="1791" spans="31:31" ht="15.75" customHeight="1">
      <c r="AE1791"/>
    </row>
    <row r="1792" spans="31:31" ht="15.75" customHeight="1">
      <c r="AE1792"/>
    </row>
    <row r="1793" spans="31:31" ht="15.75" customHeight="1">
      <c r="AE1793"/>
    </row>
    <row r="1794" spans="31:31" ht="15.75" customHeight="1">
      <c r="AE1794"/>
    </row>
    <row r="1795" spans="31:31" ht="15.75" customHeight="1">
      <c r="AE1795"/>
    </row>
    <row r="1796" spans="31:31" ht="15.75" customHeight="1">
      <c r="AE1796"/>
    </row>
    <row r="1797" spans="31:31" ht="15.75" customHeight="1">
      <c r="AE1797"/>
    </row>
    <row r="1798" spans="31:31" ht="15.75" customHeight="1">
      <c r="AE1798"/>
    </row>
    <row r="1799" spans="31:31" ht="15.75" customHeight="1">
      <c r="AE1799"/>
    </row>
    <row r="1800" spans="31:31" ht="15.75" customHeight="1">
      <c r="AE1800"/>
    </row>
    <row r="1801" spans="31:31" ht="15.75" customHeight="1">
      <c r="AE1801"/>
    </row>
    <row r="1802" spans="31:31" ht="15.75" customHeight="1">
      <c r="AE1802"/>
    </row>
    <row r="1803" spans="31:31" ht="15.75" customHeight="1">
      <c r="AE1803"/>
    </row>
    <row r="1804" spans="31:31" ht="15.75" customHeight="1">
      <c r="AE1804"/>
    </row>
    <row r="1805" spans="31:31" ht="15.75" customHeight="1">
      <c r="AE1805"/>
    </row>
    <row r="1806" spans="31:31" ht="15.75" customHeight="1">
      <c r="AE1806"/>
    </row>
    <row r="1807" spans="31:31" ht="15.75" customHeight="1">
      <c r="AE1807"/>
    </row>
    <row r="1808" spans="31:31" ht="15.75" customHeight="1">
      <c r="AE1808"/>
    </row>
    <row r="1809" spans="31:31" ht="15.75" customHeight="1">
      <c r="AE1809"/>
    </row>
    <row r="1810" spans="31:31" ht="15.75" customHeight="1">
      <c r="AE1810"/>
    </row>
    <row r="1811" spans="31:31" ht="15.75" customHeight="1">
      <c r="AE1811"/>
    </row>
    <row r="1812" spans="31:31" ht="15.75" customHeight="1">
      <c r="AE1812"/>
    </row>
    <row r="1813" spans="31:31" ht="15.75" customHeight="1">
      <c r="AE1813"/>
    </row>
    <row r="1814" spans="31:31" ht="15.75" customHeight="1">
      <c r="AE1814"/>
    </row>
    <row r="1815" spans="31:31" ht="15.75" customHeight="1">
      <c r="AE1815"/>
    </row>
    <row r="1816" spans="31:31" ht="15.75" customHeight="1">
      <c r="AE1816"/>
    </row>
    <row r="1817" spans="31:31" ht="15.75" customHeight="1">
      <c r="AE1817"/>
    </row>
    <row r="1818" spans="31:31" ht="15.75" customHeight="1">
      <c r="AE1818"/>
    </row>
    <row r="1819" spans="31:31" ht="15.75" customHeight="1">
      <c r="AE1819"/>
    </row>
    <row r="1820" spans="31:31" ht="15.75" customHeight="1">
      <c r="AE1820"/>
    </row>
    <row r="1821" spans="31:31" ht="15.75" customHeight="1">
      <c r="AE1821"/>
    </row>
    <row r="1822" spans="31:31" ht="15.75" customHeight="1">
      <c r="AE1822"/>
    </row>
    <row r="1823" spans="31:31" ht="15.75" customHeight="1">
      <c r="AE1823"/>
    </row>
    <row r="1824" spans="31:31" ht="15.75" customHeight="1">
      <c r="AE1824"/>
    </row>
    <row r="1825" spans="31:31" ht="15.75" customHeight="1">
      <c r="AE1825"/>
    </row>
    <row r="1826" spans="31:31" ht="15.75" customHeight="1">
      <c r="AE1826"/>
    </row>
    <row r="1827" spans="31:31" ht="15.75" customHeight="1">
      <c r="AE1827"/>
    </row>
    <row r="1828" spans="31:31" ht="15.75" customHeight="1">
      <c r="AE1828"/>
    </row>
    <row r="1829" spans="31:31" ht="15.75" customHeight="1">
      <c r="AE1829"/>
    </row>
    <row r="1830" spans="31:31" ht="15.75" customHeight="1">
      <c r="AE1830"/>
    </row>
    <row r="1831" spans="31:31" ht="15.75" customHeight="1">
      <c r="AE1831"/>
    </row>
    <row r="1832" spans="31:31" ht="15.75" customHeight="1">
      <c r="AE1832"/>
    </row>
    <row r="1833" spans="31:31" ht="15.75" customHeight="1">
      <c r="AE1833"/>
    </row>
    <row r="1834" spans="31:31" ht="15.75" customHeight="1">
      <c r="AE1834"/>
    </row>
    <row r="1835" spans="31:31" ht="15.75" customHeight="1">
      <c r="AE1835"/>
    </row>
    <row r="1836" spans="31:31" ht="15.75" customHeight="1">
      <c r="AE1836"/>
    </row>
    <row r="1837" spans="31:31" ht="15.75" customHeight="1">
      <c r="AE1837"/>
    </row>
    <row r="1838" spans="31:31" ht="15.75" customHeight="1">
      <c r="AE1838"/>
    </row>
    <row r="1839" spans="31:31" ht="15.75" customHeight="1">
      <c r="AE1839"/>
    </row>
    <row r="1840" spans="31:31" ht="15.75" customHeight="1">
      <c r="AE1840"/>
    </row>
    <row r="1841" spans="31:31" ht="15.75" customHeight="1">
      <c r="AE1841"/>
    </row>
    <row r="1842" spans="31:31" ht="15.75" customHeight="1">
      <c r="AE1842"/>
    </row>
    <row r="1843" spans="31:31" ht="15.75" customHeight="1">
      <c r="AE1843"/>
    </row>
    <row r="1844" spans="31:31" ht="15.75" customHeight="1">
      <c r="AE1844"/>
    </row>
    <row r="1845" spans="31:31" ht="15.75" customHeight="1">
      <c r="AE1845"/>
    </row>
    <row r="1846" spans="31:31" ht="15.75" customHeight="1">
      <c r="AE1846"/>
    </row>
    <row r="1847" spans="31:31" ht="15.75" customHeight="1">
      <c r="AE1847"/>
    </row>
    <row r="1848" spans="31:31" ht="15.75" customHeight="1">
      <c r="AE1848"/>
    </row>
    <row r="1849" spans="31:31" ht="15.75" customHeight="1">
      <c r="AE1849"/>
    </row>
    <row r="1850" spans="31:31" ht="15.75" customHeight="1">
      <c r="AE1850"/>
    </row>
    <row r="1851" spans="31:31" ht="15.75" customHeight="1">
      <c r="AE1851"/>
    </row>
    <row r="1852" spans="31:31" ht="15.75" customHeight="1">
      <c r="AE1852"/>
    </row>
    <row r="1853" spans="31:31" ht="15.75" customHeight="1">
      <c r="AE1853"/>
    </row>
    <row r="1854" spans="31:31" ht="15.75" customHeight="1">
      <c r="AE1854"/>
    </row>
    <row r="1855" spans="31:31" ht="15.75" customHeight="1">
      <c r="AE1855"/>
    </row>
    <row r="1856" spans="31:31" ht="15.75" customHeight="1">
      <c r="AE1856"/>
    </row>
    <row r="1857" spans="31:31" ht="15.75" customHeight="1">
      <c r="AE1857"/>
    </row>
    <row r="1858" spans="31:31" ht="15.75" customHeight="1">
      <c r="AE1858"/>
    </row>
    <row r="1859" spans="31:31" ht="15.75" customHeight="1">
      <c r="AE1859"/>
    </row>
    <row r="1860" spans="31:31" ht="15.75" customHeight="1">
      <c r="AE1860"/>
    </row>
    <row r="1861" spans="31:31" ht="15.75" customHeight="1">
      <c r="AE1861"/>
    </row>
    <row r="1862" spans="31:31" ht="15.75" customHeight="1">
      <c r="AE1862"/>
    </row>
    <row r="1863" spans="31:31" ht="15.75" customHeight="1">
      <c r="AE1863"/>
    </row>
    <row r="1864" spans="31:31" ht="15.75" customHeight="1">
      <c r="AE1864"/>
    </row>
    <row r="1865" spans="31:31" ht="15.75" customHeight="1">
      <c r="AE1865"/>
    </row>
    <row r="1866" spans="31:31" ht="15.75" customHeight="1">
      <c r="AE1866"/>
    </row>
    <row r="1867" spans="31:31" ht="15.75" customHeight="1">
      <c r="AE1867"/>
    </row>
    <row r="1868" spans="31:31" ht="15.75" customHeight="1">
      <c r="AE1868"/>
    </row>
    <row r="1869" spans="31:31" ht="15.75" customHeight="1">
      <c r="AE1869"/>
    </row>
    <row r="1870" spans="31:31" ht="15.75" customHeight="1">
      <c r="AE1870"/>
    </row>
    <row r="1871" spans="31:31" ht="15.75" customHeight="1">
      <c r="AE1871"/>
    </row>
    <row r="1872" spans="31:31" ht="15.75" customHeight="1">
      <c r="AE1872"/>
    </row>
    <row r="1873" spans="31:31" ht="15.75" customHeight="1">
      <c r="AE1873"/>
    </row>
    <row r="1874" spans="31:31" ht="15.75" customHeight="1">
      <c r="AE1874"/>
    </row>
    <row r="1875" spans="31:31" ht="15.75" customHeight="1">
      <c r="AE1875"/>
    </row>
    <row r="1876" spans="31:31" ht="15.75" customHeight="1">
      <c r="AE1876"/>
    </row>
    <row r="1877" spans="31:31" ht="15.75" customHeight="1">
      <c r="AE1877"/>
    </row>
    <row r="1878" spans="31:31" ht="15.75" customHeight="1">
      <c r="AE1878"/>
    </row>
    <row r="1879" spans="31:31" ht="15.75" customHeight="1">
      <c r="AE1879"/>
    </row>
    <row r="1880" spans="31:31" ht="15.75" customHeight="1">
      <c r="AE1880"/>
    </row>
    <row r="1881" spans="31:31" ht="15.75" customHeight="1">
      <c r="AE1881"/>
    </row>
    <row r="1882" spans="31:31" ht="15.75" customHeight="1">
      <c r="AE1882"/>
    </row>
    <row r="1883" spans="31:31" ht="15.75" customHeight="1">
      <c r="AE1883"/>
    </row>
    <row r="1884" spans="31:31" ht="15.75" customHeight="1">
      <c r="AE1884"/>
    </row>
    <row r="1885" spans="31:31" ht="15.75" customHeight="1">
      <c r="AE1885"/>
    </row>
    <row r="1886" spans="31:31" ht="15.75" customHeight="1">
      <c r="AE1886"/>
    </row>
    <row r="1887" spans="31:31" ht="15.75" customHeight="1">
      <c r="AE1887"/>
    </row>
    <row r="1888" spans="31:31" ht="15.75" customHeight="1">
      <c r="AE1888"/>
    </row>
    <row r="1889" spans="31:31" ht="15.75" customHeight="1">
      <c r="AE1889"/>
    </row>
    <row r="1890" spans="31:31" ht="15.75" customHeight="1">
      <c r="AE1890"/>
    </row>
    <row r="1891" spans="31:31" ht="15.75" customHeight="1">
      <c r="AE1891"/>
    </row>
    <row r="1892" spans="31:31" ht="15.75" customHeight="1">
      <c r="AE1892"/>
    </row>
    <row r="1893" spans="31:31" ht="15.75" customHeight="1">
      <c r="AE1893"/>
    </row>
    <row r="1894" spans="31:31" ht="15.75" customHeight="1">
      <c r="AE1894"/>
    </row>
    <row r="1895" spans="31:31" ht="15.75" customHeight="1">
      <c r="AE1895"/>
    </row>
    <row r="1896" spans="31:31" ht="15.75" customHeight="1">
      <c r="AE1896"/>
    </row>
    <row r="1897" spans="31:31" ht="15.75" customHeight="1">
      <c r="AE1897"/>
    </row>
    <row r="1898" spans="31:31" ht="15.75" customHeight="1">
      <c r="AE1898"/>
    </row>
    <row r="1899" spans="31:31" ht="15.75" customHeight="1">
      <c r="AE1899"/>
    </row>
    <row r="1900" spans="31:31" ht="15.75" customHeight="1">
      <c r="AE1900"/>
    </row>
    <row r="1901" spans="31:31" ht="15.75" customHeight="1">
      <c r="AE1901"/>
    </row>
    <row r="1902" spans="31:31" ht="15.75" customHeight="1">
      <c r="AE1902"/>
    </row>
    <row r="1903" spans="31:31" ht="15.75" customHeight="1">
      <c r="AE1903"/>
    </row>
    <row r="1904" spans="31:31" ht="15.75" customHeight="1">
      <c r="AE1904"/>
    </row>
    <row r="1905" spans="31:31" ht="15.75" customHeight="1">
      <c r="AE1905"/>
    </row>
    <row r="1906" spans="31:31" ht="15.75" customHeight="1">
      <c r="AE1906"/>
    </row>
    <row r="1907" spans="31:31" ht="15.75" customHeight="1">
      <c r="AE1907"/>
    </row>
    <row r="1908" spans="31:31" ht="15.75" customHeight="1">
      <c r="AE1908"/>
    </row>
    <row r="1909" spans="31:31" ht="15.75" customHeight="1">
      <c r="AE1909"/>
    </row>
    <row r="1910" spans="31:31" ht="15.75" customHeight="1">
      <c r="AE1910"/>
    </row>
    <row r="1911" spans="31:31" ht="15.75" customHeight="1">
      <c r="AE1911"/>
    </row>
    <row r="1912" spans="31:31" ht="15.75" customHeight="1">
      <c r="AE1912"/>
    </row>
    <row r="1913" spans="31:31" ht="15.75" customHeight="1">
      <c r="AE1913"/>
    </row>
    <row r="1914" spans="31:31" ht="15.75" customHeight="1">
      <c r="AE1914"/>
    </row>
    <row r="1915" spans="31:31" ht="15.75" customHeight="1">
      <c r="AE1915"/>
    </row>
    <row r="1916" spans="31:31" ht="15.75" customHeight="1">
      <c r="AE1916"/>
    </row>
    <row r="1917" spans="31:31" ht="15.75" customHeight="1">
      <c r="AE1917"/>
    </row>
    <row r="1918" spans="31:31" ht="15.75" customHeight="1">
      <c r="AE1918"/>
    </row>
    <row r="1919" spans="31:31" ht="15.75" customHeight="1">
      <c r="AE1919"/>
    </row>
    <row r="1920" spans="31:31" ht="15.75" customHeight="1">
      <c r="AE1920"/>
    </row>
    <row r="1921" spans="31:31" ht="15.75" customHeight="1">
      <c r="AE1921"/>
    </row>
    <row r="1922" spans="31:31" ht="15.75" customHeight="1">
      <c r="AE1922"/>
    </row>
    <row r="1923" spans="31:31" ht="15.75" customHeight="1">
      <c r="AE1923"/>
    </row>
    <row r="1924" spans="31:31" ht="15.75" customHeight="1">
      <c r="AE1924"/>
    </row>
    <row r="1925" spans="31:31" ht="15.75" customHeight="1">
      <c r="AE1925"/>
    </row>
    <row r="1926" spans="31:31" ht="15.75" customHeight="1">
      <c r="AE1926"/>
    </row>
    <row r="1927" spans="31:31" ht="15.75" customHeight="1">
      <c r="AE1927"/>
    </row>
    <row r="1928" spans="31:31" ht="15.75" customHeight="1">
      <c r="AE1928"/>
    </row>
    <row r="1929" spans="31:31" ht="15.75" customHeight="1">
      <c r="AE1929"/>
    </row>
    <row r="1930" spans="31:31" ht="15.75" customHeight="1">
      <c r="AE1930"/>
    </row>
    <row r="1931" spans="31:31" ht="15.75" customHeight="1">
      <c r="AE1931"/>
    </row>
    <row r="1932" spans="31:31" ht="15.75" customHeight="1">
      <c r="AE1932"/>
    </row>
    <row r="1933" spans="31:31" ht="15.75" customHeight="1">
      <c r="AE1933"/>
    </row>
    <row r="1934" spans="31:31" ht="15.75" customHeight="1">
      <c r="AE1934"/>
    </row>
    <row r="1935" spans="31:31" ht="15.75" customHeight="1">
      <c r="AE1935"/>
    </row>
    <row r="1936" spans="31:31" ht="15.75" customHeight="1">
      <c r="AE1936"/>
    </row>
    <row r="1937" spans="31:31" ht="15.75" customHeight="1">
      <c r="AE1937"/>
    </row>
    <row r="1938" spans="31:31" ht="15.75" customHeight="1">
      <c r="AE1938"/>
    </row>
    <row r="1939" spans="31:31" ht="15.75" customHeight="1">
      <c r="AE1939"/>
    </row>
    <row r="1940" spans="31:31" ht="15.75" customHeight="1">
      <c r="AE1940"/>
    </row>
    <row r="1941" spans="31:31" ht="15.75" customHeight="1">
      <c r="AE1941"/>
    </row>
    <row r="1942" spans="31:31" ht="15.75" customHeight="1">
      <c r="AE1942"/>
    </row>
    <row r="1943" spans="31:31" ht="15.75" customHeight="1">
      <c r="AE1943"/>
    </row>
    <row r="1944" spans="31:31" ht="15.75" customHeight="1">
      <c r="AE1944"/>
    </row>
    <row r="1945" spans="31:31" ht="15.75" customHeight="1">
      <c r="AE1945"/>
    </row>
    <row r="1946" spans="31:31" ht="15.75" customHeight="1">
      <c r="AE1946"/>
    </row>
    <row r="1947" spans="31:31" ht="15.75" customHeight="1">
      <c r="AE1947"/>
    </row>
    <row r="1948" spans="31:31" ht="15.75" customHeight="1">
      <c r="AE1948"/>
    </row>
    <row r="1949" spans="31:31" ht="15.75" customHeight="1">
      <c r="AE1949"/>
    </row>
    <row r="1950" spans="31:31" ht="15.75" customHeight="1">
      <c r="AE1950"/>
    </row>
    <row r="1951" spans="31:31" ht="15.75" customHeight="1">
      <c r="AE1951"/>
    </row>
    <row r="1952" spans="31:31" ht="15.75" customHeight="1">
      <c r="AE1952"/>
    </row>
    <row r="1953" spans="31:31" ht="15.75" customHeight="1">
      <c r="AE1953"/>
    </row>
    <row r="1954" spans="31:31" ht="15.75" customHeight="1">
      <c r="AE1954"/>
    </row>
    <row r="1955" spans="31:31" ht="15.75" customHeight="1">
      <c r="AE1955"/>
    </row>
    <row r="1956" spans="31:31" ht="15.75" customHeight="1">
      <c r="AE1956"/>
    </row>
    <row r="1957" spans="31:31" ht="15.75" customHeight="1">
      <c r="AE1957"/>
    </row>
    <row r="1958" spans="31:31" ht="15.75" customHeight="1">
      <c r="AE1958"/>
    </row>
    <row r="1959" spans="31:31" ht="15.75" customHeight="1">
      <c r="AE1959"/>
    </row>
    <row r="1960" spans="31:31" ht="15.75" customHeight="1">
      <c r="AE1960"/>
    </row>
    <row r="1961" spans="31:31" ht="15.75" customHeight="1">
      <c r="AE1961"/>
    </row>
    <row r="1962" spans="31:31" ht="15.75" customHeight="1">
      <c r="AE1962"/>
    </row>
    <row r="1963" spans="31:31" ht="15.75" customHeight="1">
      <c r="AE1963"/>
    </row>
    <row r="1964" spans="31:31" ht="15.75" customHeight="1">
      <c r="AE1964"/>
    </row>
    <row r="1965" spans="31:31" ht="15.75" customHeight="1">
      <c r="AE1965"/>
    </row>
    <row r="1966" spans="31:31" ht="15.75" customHeight="1">
      <c r="AE1966"/>
    </row>
    <row r="1967" spans="31:31" ht="15.75" customHeight="1">
      <c r="AE1967"/>
    </row>
    <row r="1968" spans="31:31" ht="15.75" customHeight="1">
      <c r="AE1968"/>
    </row>
    <row r="1969" spans="31:31" ht="15.75" customHeight="1">
      <c r="AE1969"/>
    </row>
    <row r="1970" spans="31:31" ht="15.75" customHeight="1">
      <c r="AE1970"/>
    </row>
    <row r="1971" spans="31:31" ht="15.75" customHeight="1">
      <c r="AE1971"/>
    </row>
    <row r="1972" spans="31:31" ht="15.75" customHeight="1">
      <c r="AE1972"/>
    </row>
    <row r="1973" spans="31:31" ht="15.75" customHeight="1">
      <c r="AE1973"/>
    </row>
    <row r="1974" spans="31:31" ht="15.75" customHeight="1">
      <c r="AE1974"/>
    </row>
    <row r="1975" spans="31:31" ht="15.75" customHeight="1">
      <c r="AE1975"/>
    </row>
    <row r="1976" spans="31:31" ht="15.75" customHeight="1">
      <c r="AE1976"/>
    </row>
    <row r="1977" spans="31:31" ht="15.75" customHeight="1">
      <c r="AE1977"/>
    </row>
    <row r="1978" spans="31:31" ht="15.75" customHeight="1">
      <c r="AE1978"/>
    </row>
    <row r="1979" spans="31:31" ht="15.75" customHeight="1">
      <c r="AE1979"/>
    </row>
    <row r="1980" spans="31:31" ht="15.75" customHeight="1">
      <c r="AE1980"/>
    </row>
    <row r="1981" spans="31:31" ht="15.75" customHeight="1">
      <c r="AE1981"/>
    </row>
    <row r="1982" spans="31:31" ht="15.75" customHeight="1">
      <c r="AE1982"/>
    </row>
    <row r="1983" spans="31:31" ht="15.75" customHeight="1">
      <c r="AE1983"/>
    </row>
    <row r="1984" spans="31:31" ht="15.75" customHeight="1">
      <c r="AE1984"/>
    </row>
    <row r="1985" spans="31:31" ht="15.75" customHeight="1">
      <c r="AE1985"/>
    </row>
    <row r="1986" spans="31:31" ht="15.75" customHeight="1">
      <c r="AE1986"/>
    </row>
    <row r="1987" spans="31:31" ht="15.75" customHeight="1">
      <c r="AE1987"/>
    </row>
    <row r="1988" spans="31:31" ht="15.75" customHeight="1">
      <c r="AE1988"/>
    </row>
    <row r="1989" spans="31:31" ht="15.75" customHeight="1">
      <c r="AE1989"/>
    </row>
    <row r="1990" spans="31:31" ht="15.75" customHeight="1">
      <c r="AE1990"/>
    </row>
    <row r="1991" spans="31:31" ht="15.75" customHeight="1">
      <c r="AE1991"/>
    </row>
    <row r="1992" spans="31:31" ht="15.75" customHeight="1">
      <c r="AE1992"/>
    </row>
    <row r="1993" spans="31:31" ht="15.75" customHeight="1">
      <c r="AE1993"/>
    </row>
    <row r="1994" spans="31:31" ht="15.75" customHeight="1">
      <c r="AE1994"/>
    </row>
    <row r="1995" spans="31:31" ht="15.75" customHeight="1">
      <c r="AE1995"/>
    </row>
    <row r="1996" spans="31:31" ht="15.75" customHeight="1">
      <c r="AE1996"/>
    </row>
    <row r="1997" spans="31:31" ht="15.75" customHeight="1">
      <c r="AE1997"/>
    </row>
    <row r="1998" spans="31:31" ht="15.75" customHeight="1">
      <c r="AE1998"/>
    </row>
    <row r="1999" spans="31:31" ht="15.75" customHeight="1">
      <c r="AE1999"/>
    </row>
    <row r="2000" spans="31:31" ht="15.75" customHeight="1">
      <c r="AE2000"/>
    </row>
    <row r="2001" spans="31:31" ht="15.75" customHeight="1">
      <c r="AE2001"/>
    </row>
    <row r="2002" spans="31:31" ht="15.75" customHeight="1">
      <c r="AE2002"/>
    </row>
    <row r="2003" spans="31:31" ht="15.75" customHeight="1">
      <c r="AE2003"/>
    </row>
    <row r="2004" spans="31:31" ht="15.75" customHeight="1">
      <c r="AE2004"/>
    </row>
    <row r="2005" spans="31:31" ht="15.75" customHeight="1">
      <c r="AE2005"/>
    </row>
    <row r="2006" spans="31:31" ht="15.75" customHeight="1">
      <c r="AE2006"/>
    </row>
    <row r="2007" spans="31:31" ht="15.75" customHeight="1">
      <c r="AE2007"/>
    </row>
    <row r="2008" spans="31:31" ht="15.75" customHeight="1">
      <c r="AE2008"/>
    </row>
    <row r="2009" spans="31:31" ht="15.75" customHeight="1">
      <c r="AE2009"/>
    </row>
    <row r="2010" spans="31:31" ht="15.75" customHeight="1">
      <c r="AE2010"/>
    </row>
    <row r="2011" spans="31:31" ht="15.75" customHeight="1">
      <c r="AE2011"/>
    </row>
    <row r="2012" spans="31:31" ht="15.75" customHeight="1">
      <c r="AE2012"/>
    </row>
    <row r="2013" spans="31:31" ht="15.75" customHeight="1">
      <c r="AE2013"/>
    </row>
    <row r="2014" spans="31:31" ht="15.75" customHeight="1">
      <c r="AE2014"/>
    </row>
    <row r="2015" spans="31:31" ht="15.75" customHeight="1">
      <c r="AE2015"/>
    </row>
    <row r="2016" spans="31:31" ht="15.75" customHeight="1">
      <c r="AE2016"/>
    </row>
    <row r="2017" spans="31:31" ht="15.75" customHeight="1">
      <c r="AE2017"/>
    </row>
    <row r="2018" spans="31:31" ht="15.75" customHeight="1">
      <c r="AE2018"/>
    </row>
    <row r="2019" spans="31:31" ht="15.75" customHeight="1">
      <c r="AE2019"/>
    </row>
    <row r="2020" spans="31:31" ht="15.75" customHeight="1">
      <c r="AE2020"/>
    </row>
    <row r="2021" spans="31:31" ht="15.75" customHeight="1">
      <c r="AE2021"/>
    </row>
    <row r="2022" spans="31:31" ht="15.75" customHeight="1">
      <c r="AE2022"/>
    </row>
    <row r="2023" spans="31:31" ht="15.75" customHeight="1">
      <c r="AE2023"/>
    </row>
    <row r="2024" spans="31:31" ht="15.75" customHeight="1">
      <c r="AE2024"/>
    </row>
    <row r="2025" spans="31:31" ht="15.75" customHeight="1">
      <c r="AE2025"/>
    </row>
    <row r="2026" spans="31:31" ht="15.75" customHeight="1">
      <c r="AE2026"/>
    </row>
    <row r="2027" spans="31:31" ht="15.75" customHeight="1">
      <c r="AE2027"/>
    </row>
    <row r="2028" spans="31:31" ht="15.75" customHeight="1">
      <c r="AE2028"/>
    </row>
    <row r="2029" spans="31:31" ht="15.75" customHeight="1">
      <c r="AE2029"/>
    </row>
    <row r="2030" spans="31:31" ht="15.75" customHeight="1">
      <c r="AE2030"/>
    </row>
    <row r="2031" spans="31:31" ht="15.75" customHeight="1">
      <c r="AE2031"/>
    </row>
    <row r="2032" spans="31:31" ht="15.75" customHeight="1">
      <c r="AE2032"/>
    </row>
    <row r="2033" spans="31:31" ht="15.75" customHeight="1">
      <c r="AE2033"/>
    </row>
    <row r="2034" spans="31:31" ht="15.75" customHeight="1">
      <c r="AE2034"/>
    </row>
    <row r="2035" spans="31:31" ht="15.75" customHeight="1">
      <c r="AE2035"/>
    </row>
    <row r="2036" spans="31:31" ht="15.75" customHeight="1">
      <c r="AE2036"/>
    </row>
    <row r="2037" spans="31:31" ht="15.75" customHeight="1">
      <c r="AE2037"/>
    </row>
    <row r="2038" spans="31:31" ht="15.75" customHeight="1">
      <c r="AE2038"/>
    </row>
    <row r="2039" spans="31:31" ht="15.75" customHeight="1">
      <c r="AE2039"/>
    </row>
    <row r="2040" spans="31:31" ht="15.75" customHeight="1">
      <c r="AE2040"/>
    </row>
    <row r="2041" spans="31:31" ht="15.75" customHeight="1">
      <c r="AE2041"/>
    </row>
    <row r="2042" spans="31:31" ht="15.75" customHeight="1">
      <c r="AE2042"/>
    </row>
    <row r="2043" spans="31:31" ht="15.75" customHeight="1">
      <c r="AE2043"/>
    </row>
    <row r="2044" spans="31:31" ht="15.75" customHeight="1">
      <c r="AE2044"/>
    </row>
    <row r="2045" spans="31:31" ht="15.75" customHeight="1">
      <c r="AE2045"/>
    </row>
    <row r="2046" spans="31:31" ht="15.75" customHeight="1">
      <c r="AE2046"/>
    </row>
    <row r="2047" spans="31:31" ht="15.75" customHeight="1">
      <c r="AE2047"/>
    </row>
    <row r="2048" spans="31:31" ht="15.75" customHeight="1">
      <c r="AE2048"/>
    </row>
    <row r="2049" spans="31:31" ht="15.75" customHeight="1">
      <c r="AE2049"/>
    </row>
    <row r="2050" spans="31:31" ht="15.75" customHeight="1">
      <c r="AE2050"/>
    </row>
    <row r="2051" spans="31:31" ht="15.75" customHeight="1">
      <c r="AE2051"/>
    </row>
    <row r="2052" spans="31:31" ht="15.75" customHeight="1">
      <c r="AE2052"/>
    </row>
    <row r="2053" spans="31:31" ht="15.75" customHeight="1">
      <c r="AE2053"/>
    </row>
    <row r="2054" spans="31:31" ht="15.75" customHeight="1">
      <c r="AE2054"/>
    </row>
    <row r="2055" spans="31:31" ht="15.75" customHeight="1">
      <c r="AE2055"/>
    </row>
    <row r="2056" spans="31:31" ht="15.75" customHeight="1">
      <c r="AE2056"/>
    </row>
    <row r="2057" spans="31:31" ht="15.75" customHeight="1">
      <c r="AE2057"/>
    </row>
    <row r="2058" spans="31:31" ht="15.75" customHeight="1">
      <c r="AE2058"/>
    </row>
    <row r="2059" spans="31:31" ht="15.75" customHeight="1">
      <c r="AE2059"/>
    </row>
    <row r="2060" spans="31:31" ht="15.75" customHeight="1">
      <c r="AE2060"/>
    </row>
    <row r="2061" spans="31:31" ht="15.75" customHeight="1">
      <c r="AE2061"/>
    </row>
    <row r="2062" spans="31:31" ht="15.75" customHeight="1">
      <c r="AE2062"/>
    </row>
    <row r="2063" spans="31:31" ht="15.75" customHeight="1">
      <c r="AE2063"/>
    </row>
    <row r="2064" spans="31:31" ht="15.75" customHeight="1">
      <c r="AE2064"/>
    </row>
    <row r="2065" spans="31:31" ht="15.75" customHeight="1">
      <c r="AE2065"/>
    </row>
    <row r="2066" spans="31:31" ht="15.75" customHeight="1">
      <c r="AE2066"/>
    </row>
    <row r="2067" spans="31:31" ht="15.75" customHeight="1">
      <c r="AE2067"/>
    </row>
    <row r="2068" spans="31:31" ht="15.75" customHeight="1">
      <c r="AE2068"/>
    </row>
    <row r="2069" spans="31:31" ht="15.75" customHeight="1">
      <c r="AE2069"/>
    </row>
    <row r="2070" spans="31:31" ht="15.75" customHeight="1">
      <c r="AE2070"/>
    </row>
    <row r="2071" spans="31:31" ht="15.75" customHeight="1">
      <c r="AE2071"/>
    </row>
    <row r="2072" spans="31:31" ht="15.75" customHeight="1">
      <c r="AE2072"/>
    </row>
    <row r="2073" spans="31:31" ht="15.75" customHeight="1">
      <c r="AE2073"/>
    </row>
    <row r="2074" spans="31:31" ht="15.75" customHeight="1">
      <c r="AE2074"/>
    </row>
    <row r="2075" spans="31:31" ht="15.75" customHeight="1">
      <c r="AE2075"/>
    </row>
    <row r="2076" spans="31:31" ht="15.75" customHeight="1">
      <c r="AE2076"/>
    </row>
    <row r="2077" spans="31:31" ht="15.75" customHeight="1">
      <c r="AE2077"/>
    </row>
    <row r="2078" spans="31:31" ht="15.75" customHeight="1">
      <c r="AE2078"/>
    </row>
    <row r="2079" spans="31:31" ht="15.75" customHeight="1">
      <c r="AE2079"/>
    </row>
    <row r="2080" spans="31:31" ht="15.75" customHeight="1">
      <c r="AE2080"/>
    </row>
    <row r="2081" spans="31:31" ht="15.75" customHeight="1">
      <c r="AE2081"/>
    </row>
    <row r="2082" spans="31:31" ht="15.75" customHeight="1">
      <c r="AE2082"/>
    </row>
    <row r="2083" spans="31:31" ht="15.75" customHeight="1">
      <c r="AE2083"/>
    </row>
    <row r="2084" spans="31:31" ht="15.75" customHeight="1">
      <c r="AE2084"/>
    </row>
    <row r="2085" spans="31:31" ht="15.75" customHeight="1">
      <c r="AE2085"/>
    </row>
    <row r="2086" spans="31:31" ht="15.75" customHeight="1">
      <c r="AE2086"/>
    </row>
    <row r="2087" spans="31:31" ht="15.75" customHeight="1">
      <c r="AE2087"/>
    </row>
    <row r="2088" spans="31:31" ht="15.75" customHeight="1">
      <c r="AE2088"/>
    </row>
    <row r="2089" spans="31:31" ht="15.75" customHeight="1">
      <c r="AE2089"/>
    </row>
    <row r="2090" spans="31:31" ht="15.75" customHeight="1">
      <c r="AE2090"/>
    </row>
    <row r="2091" spans="31:31" ht="15.75" customHeight="1">
      <c r="AE2091"/>
    </row>
    <row r="2092" spans="31:31" ht="15.75" customHeight="1">
      <c r="AE2092"/>
    </row>
    <row r="2093" spans="31:31" ht="15.75" customHeight="1">
      <c r="AE2093"/>
    </row>
    <row r="2094" spans="31:31" ht="15.75" customHeight="1">
      <c r="AE2094"/>
    </row>
    <row r="2095" spans="31:31" ht="15.75" customHeight="1">
      <c r="AE2095"/>
    </row>
    <row r="2096" spans="31:31" ht="15.75" customHeight="1">
      <c r="AE2096"/>
    </row>
    <row r="2097" spans="31:31" ht="15.75" customHeight="1">
      <c r="AE2097"/>
    </row>
    <row r="2098" spans="31:31" ht="15.75" customHeight="1">
      <c r="AE2098"/>
    </row>
    <row r="2099" spans="31:31" ht="15.75" customHeight="1">
      <c r="AE2099"/>
    </row>
    <row r="2100" spans="31:31" ht="15.75" customHeight="1">
      <c r="AE2100"/>
    </row>
    <row r="2101" spans="31:31" ht="15.75" customHeight="1">
      <c r="AE2101"/>
    </row>
    <row r="2102" spans="31:31" ht="15.75" customHeight="1">
      <c r="AE2102"/>
    </row>
    <row r="2103" spans="31:31" ht="15.75" customHeight="1">
      <c r="AE2103"/>
    </row>
    <row r="2104" spans="31:31" ht="15.75" customHeight="1">
      <c r="AE2104"/>
    </row>
    <row r="2105" spans="31:31" ht="15.75" customHeight="1">
      <c r="AE2105"/>
    </row>
    <row r="2106" spans="31:31" ht="15.75" customHeight="1">
      <c r="AE2106"/>
    </row>
    <row r="2107" spans="31:31" ht="15.75" customHeight="1">
      <c r="AE2107"/>
    </row>
    <row r="2108" spans="31:31" ht="15.75" customHeight="1">
      <c r="AE2108"/>
    </row>
    <row r="2109" spans="31:31" ht="15.75" customHeight="1">
      <c r="AE2109"/>
    </row>
    <row r="2110" spans="31:31" ht="15.75" customHeight="1">
      <c r="AE2110"/>
    </row>
    <row r="2111" spans="31:31" ht="15.75" customHeight="1">
      <c r="AE2111"/>
    </row>
    <row r="2112" spans="31:31" ht="15.75" customHeight="1">
      <c r="AE2112"/>
    </row>
    <row r="2113" spans="31:31" ht="15.75" customHeight="1">
      <c r="AE2113"/>
    </row>
    <row r="2114" spans="31:31" ht="15.75" customHeight="1">
      <c r="AE2114"/>
    </row>
    <row r="2115" spans="31:31" ht="15.75" customHeight="1">
      <c r="AE2115"/>
    </row>
    <row r="2116" spans="31:31" ht="15.75" customHeight="1">
      <c r="AE2116"/>
    </row>
    <row r="2117" spans="31:31" ht="15.75" customHeight="1">
      <c r="AE2117"/>
    </row>
    <row r="2118" spans="31:31" ht="15.75" customHeight="1">
      <c r="AE2118"/>
    </row>
    <row r="2119" spans="31:31" ht="15.75" customHeight="1">
      <c r="AE2119"/>
    </row>
    <row r="2120" spans="31:31" ht="15.75" customHeight="1">
      <c r="AE2120"/>
    </row>
    <row r="2121" spans="31:31" ht="15.75" customHeight="1">
      <c r="AE2121"/>
    </row>
    <row r="2122" spans="31:31" ht="15.75" customHeight="1">
      <c r="AE2122"/>
    </row>
    <row r="2123" spans="31:31" ht="15.75" customHeight="1">
      <c r="AE2123"/>
    </row>
    <row r="2124" spans="31:31" ht="15.75" customHeight="1">
      <c r="AE2124"/>
    </row>
    <row r="2125" spans="31:31" ht="15.75" customHeight="1">
      <c r="AE2125"/>
    </row>
    <row r="2126" spans="31:31" ht="15.75" customHeight="1">
      <c r="AE2126"/>
    </row>
    <row r="2127" spans="31:31" ht="15.75" customHeight="1">
      <c r="AE2127"/>
    </row>
    <row r="2128" spans="31:31" ht="15.75" customHeight="1">
      <c r="AE2128"/>
    </row>
    <row r="2129" spans="31:31" ht="15.75" customHeight="1">
      <c r="AE2129"/>
    </row>
    <row r="2130" spans="31:31" ht="15.75" customHeight="1">
      <c r="AE2130"/>
    </row>
    <row r="2131" spans="31:31" ht="15.75" customHeight="1">
      <c r="AE2131"/>
    </row>
    <row r="2132" spans="31:31" ht="15.75" customHeight="1">
      <c r="AE2132"/>
    </row>
    <row r="2133" spans="31:31" ht="15.75" customHeight="1">
      <c r="AE2133"/>
    </row>
    <row r="2134" spans="31:31" ht="15.75" customHeight="1">
      <c r="AE2134"/>
    </row>
    <row r="2135" spans="31:31" ht="15.75" customHeight="1">
      <c r="AE2135"/>
    </row>
    <row r="2136" spans="31:31" ht="15.75" customHeight="1">
      <c r="AE2136"/>
    </row>
    <row r="2137" spans="31:31" ht="15.75" customHeight="1">
      <c r="AE2137"/>
    </row>
    <row r="2138" spans="31:31" ht="15.75" customHeight="1">
      <c r="AE2138"/>
    </row>
    <row r="2139" spans="31:31" ht="15.75" customHeight="1">
      <c r="AE2139"/>
    </row>
    <row r="2140" spans="31:31" ht="15.75" customHeight="1">
      <c r="AE2140"/>
    </row>
    <row r="2141" spans="31:31" ht="15.75" customHeight="1">
      <c r="AE2141"/>
    </row>
    <row r="2142" spans="31:31" ht="15.75" customHeight="1">
      <c r="AE2142"/>
    </row>
    <row r="2143" spans="31:31" ht="15.75" customHeight="1">
      <c r="AE2143"/>
    </row>
    <row r="2144" spans="31:31" ht="15.75" customHeight="1">
      <c r="AE2144"/>
    </row>
    <row r="2145" spans="31:31" ht="15.75" customHeight="1">
      <c r="AE2145"/>
    </row>
    <row r="2146" spans="31:31" ht="15.75" customHeight="1">
      <c r="AE2146"/>
    </row>
    <row r="2147" spans="31:31" ht="15.75" customHeight="1">
      <c r="AE2147"/>
    </row>
    <row r="2148" spans="31:31" ht="15.75" customHeight="1">
      <c r="AE2148"/>
    </row>
    <row r="2149" spans="31:31" ht="15.75" customHeight="1">
      <c r="AE2149"/>
    </row>
    <row r="2150" spans="31:31" ht="15.75" customHeight="1">
      <c r="AE2150"/>
    </row>
    <row r="2151" spans="31:31" ht="15.75" customHeight="1">
      <c r="AE2151"/>
    </row>
    <row r="2152" spans="31:31" ht="15.75" customHeight="1">
      <c r="AE2152"/>
    </row>
    <row r="2153" spans="31:31" ht="15.75" customHeight="1">
      <c r="AE2153"/>
    </row>
    <row r="2154" spans="31:31" ht="15.75" customHeight="1">
      <c r="AE2154"/>
    </row>
    <row r="2155" spans="31:31" ht="15.75" customHeight="1">
      <c r="AE2155"/>
    </row>
    <row r="2156" spans="31:31" ht="15.75" customHeight="1">
      <c r="AE2156"/>
    </row>
    <row r="2157" spans="31:31" ht="15.75" customHeight="1">
      <c r="AE2157"/>
    </row>
    <row r="2158" spans="31:31" ht="15.75" customHeight="1">
      <c r="AE2158"/>
    </row>
    <row r="2159" spans="31:31" ht="15.75" customHeight="1">
      <c r="AE2159"/>
    </row>
    <row r="2160" spans="31:31" ht="15.75" customHeight="1">
      <c r="AE2160"/>
    </row>
    <row r="2161" spans="31:31" ht="15.75" customHeight="1">
      <c r="AE2161"/>
    </row>
    <row r="2162" spans="31:31" ht="15.75" customHeight="1">
      <c r="AE2162"/>
    </row>
    <row r="2163" spans="31:31" ht="15.75" customHeight="1">
      <c r="AE2163"/>
    </row>
    <row r="2164" spans="31:31" ht="15.75" customHeight="1">
      <c r="AE2164"/>
    </row>
    <row r="2165" spans="31:31" ht="15.75" customHeight="1">
      <c r="AE2165"/>
    </row>
    <row r="2166" spans="31:31" ht="15.75" customHeight="1">
      <c r="AE2166"/>
    </row>
    <row r="2167" spans="31:31" ht="15.75" customHeight="1">
      <c r="AE2167"/>
    </row>
    <row r="2168" spans="31:31" ht="15.75" customHeight="1">
      <c r="AE2168"/>
    </row>
    <row r="2169" spans="31:31" ht="15.75" customHeight="1">
      <c r="AE2169"/>
    </row>
    <row r="2170" spans="31:31" ht="15.75" customHeight="1">
      <c r="AE2170"/>
    </row>
    <row r="2171" spans="31:31" ht="15.75" customHeight="1">
      <c r="AE2171"/>
    </row>
    <row r="2172" spans="31:31" ht="15.75" customHeight="1">
      <c r="AE2172"/>
    </row>
    <row r="2173" spans="31:31" ht="15.75" customHeight="1">
      <c r="AE2173"/>
    </row>
    <row r="2174" spans="31:31" ht="15.75" customHeight="1">
      <c r="AE2174"/>
    </row>
    <row r="2175" spans="31:31" ht="15.75" customHeight="1">
      <c r="AE2175"/>
    </row>
    <row r="2176" spans="31:31" ht="15.75" customHeight="1">
      <c r="AE2176"/>
    </row>
    <row r="2177" spans="31:31" ht="15.75" customHeight="1">
      <c r="AE2177"/>
    </row>
    <row r="2178" spans="31:31" ht="15.75" customHeight="1">
      <c r="AE2178"/>
    </row>
    <row r="2179" spans="31:31" ht="15.75" customHeight="1">
      <c r="AE2179"/>
    </row>
    <row r="2180" spans="31:31" ht="15.75" customHeight="1">
      <c r="AE2180"/>
    </row>
    <row r="2181" spans="31:31" ht="15.75" customHeight="1">
      <c r="AE2181"/>
    </row>
    <row r="2182" spans="31:31" ht="15.75" customHeight="1">
      <c r="AE2182"/>
    </row>
    <row r="2183" spans="31:31" ht="15.75" customHeight="1">
      <c r="AE2183"/>
    </row>
    <row r="2184" spans="31:31" ht="15.75" customHeight="1">
      <c r="AE2184"/>
    </row>
    <row r="2185" spans="31:31" ht="15.75" customHeight="1">
      <c r="AE2185"/>
    </row>
    <row r="2186" spans="31:31" ht="15.75" customHeight="1">
      <c r="AE2186"/>
    </row>
    <row r="2187" spans="31:31" ht="15.75" customHeight="1">
      <c r="AE2187"/>
    </row>
    <row r="2188" spans="31:31" ht="15.75" customHeight="1">
      <c r="AE2188"/>
    </row>
    <row r="2189" spans="31:31" ht="15.75" customHeight="1">
      <c r="AE2189"/>
    </row>
    <row r="2190" spans="31:31" ht="15.75" customHeight="1">
      <c r="AE2190"/>
    </row>
    <row r="2191" spans="31:31" ht="15.75" customHeight="1">
      <c r="AE2191"/>
    </row>
    <row r="2192" spans="31:31" ht="15.75" customHeight="1">
      <c r="AE2192"/>
    </row>
    <row r="2193" spans="31:31" ht="15.75" customHeight="1">
      <c r="AE2193"/>
    </row>
    <row r="2194" spans="31:31" ht="15.75" customHeight="1">
      <c r="AE2194"/>
    </row>
    <row r="2195" spans="31:31" ht="15.75" customHeight="1">
      <c r="AE2195"/>
    </row>
    <row r="2196" spans="31:31" ht="15.75" customHeight="1">
      <c r="AE2196"/>
    </row>
    <row r="2197" spans="31:31" ht="15.75" customHeight="1">
      <c r="AE2197"/>
    </row>
    <row r="2198" spans="31:31" ht="15.75" customHeight="1">
      <c r="AE2198"/>
    </row>
    <row r="2199" spans="31:31" ht="15.75" customHeight="1">
      <c r="AE2199"/>
    </row>
    <row r="2200" spans="31:31" ht="15.75" customHeight="1">
      <c r="AE2200"/>
    </row>
    <row r="2201" spans="31:31" ht="15.75" customHeight="1">
      <c r="AE2201"/>
    </row>
    <row r="2202" spans="31:31" ht="15.75" customHeight="1">
      <c r="AE2202"/>
    </row>
    <row r="2203" spans="31:31" ht="15.75" customHeight="1">
      <c r="AE2203"/>
    </row>
    <row r="2204" spans="31:31" ht="15.75" customHeight="1">
      <c r="AE2204"/>
    </row>
    <row r="2205" spans="31:31" ht="15.75" customHeight="1">
      <c r="AE2205"/>
    </row>
    <row r="2206" spans="31:31" ht="15.75" customHeight="1">
      <c r="AE2206"/>
    </row>
    <row r="2207" spans="31:31" ht="15.75" customHeight="1">
      <c r="AE2207"/>
    </row>
    <row r="2208" spans="31:31" ht="15.75" customHeight="1">
      <c r="AE2208"/>
    </row>
    <row r="2209" spans="31:31" ht="15.75" customHeight="1">
      <c r="AE2209"/>
    </row>
    <row r="2210" spans="31:31" ht="15.75" customHeight="1">
      <c r="AE2210"/>
    </row>
    <row r="2211" spans="31:31" ht="15.75" customHeight="1">
      <c r="AE2211"/>
    </row>
    <row r="2212" spans="31:31" ht="15.75" customHeight="1">
      <c r="AE2212"/>
    </row>
    <row r="2213" spans="31:31" ht="15.75" customHeight="1">
      <c r="AE2213"/>
    </row>
    <row r="2214" spans="31:31" ht="15.75" customHeight="1">
      <c r="AE2214"/>
    </row>
    <row r="2215" spans="31:31" ht="15.75" customHeight="1">
      <c r="AE2215"/>
    </row>
    <row r="2216" spans="31:31" ht="15.75" customHeight="1">
      <c r="AE2216"/>
    </row>
    <row r="2217" spans="31:31" ht="15.75" customHeight="1">
      <c r="AE2217"/>
    </row>
    <row r="2218" spans="31:31" ht="15.75" customHeight="1">
      <c r="AE2218"/>
    </row>
    <row r="2219" spans="31:31" ht="15.75" customHeight="1">
      <c r="AE2219"/>
    </row>
    <row r="2220" spans="31:31" ht="15.75" customHeight="1">
      <c r="AE2220"/>
    </row>
    <row r="2221" spans="31:31" ht="15.75" customHeight="1">
      <c r="AE2221"/>
    </row>
    <row r="2222" spans="31:31" ht="15.75" customHeight="1">
      <c r="AE2222"/>
    </row>
    <row r="2223" spans="31:31" ht="15.75" customHeight="1">
      <c r="AE2223"/>
    </row>
    <row r="2224" spans="31:31" ht="15.75" customHeight="1">
      <c r="AE2224"/>
    </row>
    <row r="2225" spans="31:31" ht="15.75" customHeight="1">
      <c r="AE2225"/>
    </row>
    <row r="2226" spans="31:31" ht="15.75" customHeight="1">
      <c r="AE2226"/>
    </row>
    <row r="2227" spans="31:31" ht="15.75" customHeight="1">
      <c r="AE2227"/>
    </row>
    <row r="2228" spans="31:31" ht="15.75" customHeight="1">
      <c r="AE2228"/>
    </row>
    <row r="2229" spans="31:31" ht="15.75" customHeight="1">
      <c r="AE2229"/>
    </row>
    <row r="2230" spans="31:31" ht="15.75" customHeight="1">
      <c r="AE2230"/>
    </row>
    <row r="2231" spans="31:31" ht="15.75" customHeight="1">
      <c r="AE2231"/>
    </row>
    <row r="2232" spans="31:31" ht="15.75" customHeight="1">
      <c r="AE2232"/>
    </row>
    <row r="2233" spans="31:31" ht="15.75" customHeight="1">
      <c r="AE2233"/>
    </row>
    <row r="2234" spans="31:31" ht="15.75" customHeight="1">
      <c r="AE2234"/>
    </row>
    <row r="2235" spans="31:31" ht="15.75" customHeight="1">
      <c r="AE2235"/>
    </row>
    <row r="2236" spans="31:31" ht="15.75" customHeight="1">
      <c r="AE2236"/>
    </row>
    <row r="2237" spans="31:31" ht="15.75" customHeight="1">
      <c r="AE2237"/>
    </row>
    <row r="2238" spans="31:31" ht="15.75" customHeight="1">
      <c r="AE2238"/>
    </row>
    <row r="2239" spans="31:31" ht="15.75" customHeight="1">
      <c r="AE2239"/>
    </row>
    <row r="2240" spans="31:31" ht="15.75" customHeight="1">
      <c r="AE2240"/>
    </row>
    <row r="2241" spans="31:31" ht="15.75" customHeight="1">
      <c r="AE2241"/>
    </row>
    <row r="2242" spans="31:31" ht="15.75" customHeight="1">
      <c r="AE2242"/>
    </row>
    <row r="2243" spans="31:31" ht="15.75" customHeight="1">
      <c r="AE2243"/>
    </row>
    <row r="2244" spans="31:31" ht="15.75" customHeight="1">
      <c r="AE2244"/>
    </row>
    <row r="2245" spans="31:31" ht="15.75" customHeight="1">
      <c r="AE2245"/>
    </row>
    <row r="2246" spans="31:31" ht="15.75" customHeight="1">
      <c r="AE2246"/>
    </row>
    <row r="2247" spans="31:31" ht="15.75" customHeight="1">
      <c r="AE2247"/>
    </row>
    <row r="2248" spans="31:31" ht="15.75" customHeight="1">
      <c r="AE2248"/>
    </row>
    <row r="2249" spans="31:31" ht="15.75" customHeight="1">
      <c r="AE2249"/>
    </row>
    <row r="2250" spans="31:31" ht="15.75" customHeight="1">
      <c r="AE2250"/>
    </row>
    <row r="2251" spans="31:31" ht="15.75" customHeight="1">
      <c r="AE2251"/>
    </row>
    <row r="2252" spans="31:31" ht="15.75" customHeight="1">
      <c r="AE2252"/>
    </row>
    <row r="2253" spans="31:31" ht="15.75" customHeight="1">
      <c r="AE2253"/>
    </row>
    <row r="2254" spans="31:31" ht="15.75" customHeight="1">
      <c r="AE2254"/>
    </row>
    <row r="2255" spans="31:31" ht="15.75" customHeight="1">
      <c r="AE2255"/>
    </row>
    <row r="2256" spans="31:31" ht="15.75" customHeight="1">
      <c r="AE2256"/>
    </row>
    <row r="2257" spans="31:31" ht="15.75" customHeight="1">
      <c r="AE2257"/>
    </row>
    <row r="2258" spans="31:31" ht="15.75" customHeight="1">
      <c r="AE2258"/>
    </row>
    <row r="2259" spans="31:31" ht="15.75" customHeight="1">
      <c r="AE2259"/>
    </row>
    <row r="2260" spans="31:31" ht="15.75" customHeight="1">
      <c r="AE2260"/>
    </row>
    <row r="2261" spans="31:31" ht="15.75" customHeight="1">
      <c r="AE2261"/>
    </row>
    <row r="2262" spans="31:31" ht="15.75" customHeight="1">
      <c r="AE2262"/>
    </row>
    <row r="2263" spans="31:31" ht="15.75" customHeight="1">
      <c r="AE2263"/>
    </row>
    <row r="2264" spans="31:31" ht="15.75" customHeight="1">
      <c r="AE2264"/>
    </row>
    <row r="2265" spans="31:31" ht="15.75" customHeight="1">
      <c r="AE2265"/>
    </row>
    <row r="2266" spans="31:31" ht="15.75" customHeight="1">
      <c r="AE2266"/>
    </row>
    <row r="2267" spans="31:31" ht="15.75" customHeight="1">
      <c r="AE2267"/>
    </row>
    <row r="2268" spans="31:31" ht="15.75" customHeight="1">
      <c r="AE2268"/>
    </row>
    <row r="2269" spans="31:31" ht="15.75" customHeight="1">
      <c r="AE2269"/>
    </row>
    <row r="2270" spans="31:31" ht="15.75" customHeight="1">
      <c r="AE2270"/>
    </row>
    <row r="2271" spans="31:31" ht="15.75" customHeight="1">
      <c r="AE2271"/>
    </row>
    <row r="2272" spans="31:31" ht="15.75" customHeight="1">
      <c r="AE2272"/>
    </row>
    <row r="2273" spans="31:31" ht="15.75" customHeight="1">
      <c r="AE2273"/>
    </row>
    <row r="2274" spans="31:31" ht="15.75" customHeight="1">
      <c r="AE2274"/>
    </row>
    <row r="2275" spans="31:31" ht="15.75" customHeight="1">
      <c r="AE2275"/>
    </row>
    <row r="2276" spans="31:31" ht="15.75" customHeight="1">
      <c r="AE2276"/>
    </row>
    <row r="2277" spans="31:31" ht="15.75" customHeight="1">
      <c r="AE2277"/>
    </row>
    <row r="2278" spans="31:31" ht="15.75" customHeight="1">
      <c r="AE2278"/>
    </row>
    <row r="2279" spans="31:31" ht="15.75" customHeight="1">
      <c r="AE2279"/>
    </row>
    <row r="2280" spans="31:31" ht="15.75" customHeight="1">
      <c r="AE2280"/>
    </row>
    <row r="2281" spans="31:31" ht="15.75" customHeight="1">
      <c r="AE2281"/>
    </row>
    <row r="2282" spans="31:31" ht="15.75" customHeight="1">
      <c r="AE2282"/>
    </row>
    <row r="2283" spans="31:31" ht="15.75" customHeight="1">
      <c r="AE2283"/>
    </row>
    <row r="2284" spans="31:31" ht="15.75" customHeight="1">
      <c r="AE2284"/>
    </row>
    <row r="2285" spans="31:31" ht="15.75" customHeight="1">
      <c r="AE2285"/>
    </row>
    <row r="2286" spans="31:31" ht="15.75" customHeight="1">
      <c r="AE2286"/>
    </row>
    <row r="2287" spans="31:31" ht="15.75" customHeight="1">
      <c r="AE2287"/>
    </row>
    <row r="2288" spans="31:31" ht="15.75" customHeight="1">
      <c r="AE2288"/>
    </row>
    <row r="2289" spans="31:31" ht="15.75" customHeight="1">
      <c r="AE2289"/>
    </row>
    <row r="2290" spans="31:31" ht="15.75" customHeight="1">
      <c r="AE2290"/>
    </row>
    <row r="2291" spans="31:31" ht="15.75" customHeight="1">
      <c r="AE2291"/>
    </row>
    <row r="2292" spans="31:31" ht="15.75" customHeight="1">
      <c r="AE2292"/>
    </row>
    <row r="2293" spans="31:31" ht="15.75" customHeight="1">
      <c r="AE2293"/>
    </row>
    <row r="2294" spans="31:31" ht="15.75" customHeight="1">
      <c r="AE2294"/>
    </row>
    <row r="2295" spans="31:31" ht="15.75" customHeight="1">
      <c r="AE2295"/>
    </row>
    <row r="2296" spans="31:31" ht="15.75" customHeight="1">
      <c r="AE2296"/>
    </row>
    <row r="2297" spans="31:31" ht="15.75" customHeight="1">
      <c r="AE2297"/>
    </row>
    <row r="2298" spans="31:31" ht="15.75" customHeight="1">
      <c r="AE2298"/>
    </row>
    <row r="2299" spans="31:31" ht="15.75" customHeight="1">
      <c r="AE2299"/>
    </row>
    <row r="2300" spans="31:31" ht="15.75" customHeight="1">
      <c r="AE2300"/>
    </row>
    <row r="2301" spans="31:31" ht="15.75" customHeight="1">
      <c r="AE2301"/>
    </row>
    <row r="2302" spans="31:31" ht="15.75" customHeight="1">
      <c r="AE2302"/>
    </row>
    <row r="2303" spans="31:31" ht="15.75" customHeight="1">
      <c r="AE2303"/>
    </row>
    <row r="2304" spans="31:31" ht="15.75" customHeight="1">
      <c r="AE2304"/>
    </row>
    <row r="2305" spans="31:31" ht="15.75" customHeight="1">
      <c r="AE2305"/>
    </row>
    <row r="2306" spans="31:31" ht="15.75" customHeight="1">
      <c r="AE2306"/>
    </row>
    <row r="2307" spans="31:31" ht="15.75" customHeight="1">
      <c r="AE2307"/>
    </row>
    <row r="2308" spans="31:31" ht="15.75" customHeight="1">
      <c r="AE2308"/>
    </row>
    <row r="2309" spans="31:31" ht="15.75" customHeight="1">
      <c r="AE2309"/>
    </row>
    <row r="2310" spans="31:31" ht="15.75" customHeight="1">
      <c r="AE2310"/>
    </row>
    <row r="2311" spans="31:31" ht="15.75" customHeight="1">
      <c r="AE2311"/>
    </row>
    <row r="2312" spans="31:31" ht="15.75" customHeight="1">
      <c r="AE2312"/>
    </row>
    <row r="2313" spans="31:31" ht="15.75" customHeight="1">
      <c r="AE2313"/>
    </row>
    <row r="2314" spans="31:31" ht="15.75" customHeight="1">
      <c r="AE2314"/>
    </row>
    <row r="2315" spans="31:31" ht="15.75" customHeight="1">
      <c r="AE2315"/>
    </row>
    <row r="2316" spans="31:31" ht="15.75" customHeight="1">
      <c r="AE2316"/>
    </row>
    <row r="2317" spans="31:31" ht="15.75" customHeight="1">
      <c r="AE2317"/>
    </row>
    <row r="2318" spans="31:31" ht="15.75" customHeight="1">
      <c r="AE2318"/>
    </row>
    <row r="2319" spans="31:31" ht="15.75" customHeight="1">
      <c r="AE2319"/>
    </row>
    <row r="2320" spans="31:31" ht="15.75" customHeight="1">
      <c r="AE2320"/>
    </row>
    <row r="2321" spans="31:31" ht="15.75" customHeight="1">
      <c r="AE2321"/>
    </row>
    <row r="2322" spans="31:31" ht="15.75" customHeight="1">
      <c r="AE2322"/>
    </row>
    <row r="2323" spans="31:31" ht="15.75" customHeight="1">
      <c r="AE2323"/>
    </row>
    <row r="2324" spans="31:31" ht="15.75" customHeight="1">
      <c r="AE2324"/>
    </row>
    <row r="2325" spans="31:31" ht="15.75" customHeight="1">
      <c r="AE2325"/>
    </row>
    <row r="2326" spans="31:31" ht="15.75" customHeight="1">
      <c r="AE2326"/>
    </row>
    <row r="2327" spans="31:31" ht="15.75" customHeight="1">
      <c r="AE2327"/>
    </row>
    <row r="2328" spans="31:31" ht="15.75" customHeight="1">
      <c r="AE2328"/>
    </row>
    <row r="2329" spans="31:31" ht="15.75" customHeight="1">
      <c r="AE2329"/>
    </row>
    <row r="2330" spans="31:31" ht="15.75" customHeight="1">
      <c r="AE2330"/>
    </row>
    <row r="2331" spans="31:31" ht="15.75" customHeight="1">
      <c r="AE2331"/>
    </row>
    <row r="2332" spans="31:31" ht="15.75" customHeight="1">
      <c r="AE2332"/>
    </row>
    <row r="2333" spans="31:31" ht="15.75" customHeight="1">
      <c r="AE2333"/>
    </row>
    <row r="2334" spans="31:31" ht="15.75" customHeight="1">
      <c r="AE2334"/>
    </row>
    <row r="2335" spans="31:31" ht="15.75" customHeight="1">
      <c r="AE2335"/>
    </row>
    <row r="2336" spans="31:31" ht="15.75" customHeight="1">
      <c r="AE2336"/>
    </row>
    <row r="2337" spans="31:31" ht="15.75" customHeight="1">
      <c r="AE2337"/>
    </row>
    <row r="2338" spans="31:31" ht="15.75" customHeight="1">
      <c r="AE2338"/>
    </row>
    <row r="2339" spans="31:31" ht="15.75" customHeight="1">
      <c r="AE2339"/>
    </row>
    <row r="2340" spans="31:31" ht="15.75" customHeight="1">
      <c r="AE2340"/>
    </row>
    <row r="2341" spans="31:31" ht="15.75" customHeight="1">
      <c r="AE2341"/>
    </row>
    <row r="2342" spans="31:31" ht="15.75" customHeight="1">
      <c r="AE2342"/>
    </row>
    <row r="2343" spans="31:31" ht="15.75" customHeight="1">
      <c r="AE2343"/>
    </row>
    <row r="2344" spans="31:31" ht="15.75" customHeight="1">
      <c r="AE2344"/>
    </row>
    <row r="2345" spans="31:31" ht="15.75" customHeight="1">
      <c r="AE2345"/>
    </row>
    <row r="2346" spans="31:31" ht="15.75" customHeight="1">
      <c r="AE2346"/>
    </row>
    <row r="2347" spans="31:31" ht="15.75" customHeight="1">
      <c r="AE2347"/>
    </row>
    <row r="2348" spans="31:31" ht="15.75" customHeight="1">
      <c r="AE2348"/>
    </row>
    <row r="2349" spans="31:31" ht="15.75" customHeight="1">
      <c r="AE2349"/>
    </row>
    <row r="2350" spans="31:31" ht="15.75" customHeight="1">
      <c r="AE2350"/>
    </row>
    <row r="2351" spans="31:31" ht="15.75" customHeight="1">
      <c r="AE2351"/>
    </row>
    <row r="2352" spans="31:31" ht="15.75" customHeight="1">
      <c r="AE2352"/>
    </row>
    <row r="2353" spans="31:31" ht="15.75" customHeight="1">
      <c r="AE2353"/>
    </row>
    <row r="2354" spans="31:31" ht="15.75" customHeight="1">
      <c r="AE2354"/>
    </row>
    <row r="2355" spans="31:31" ht="15.75" customHeight="1">
      <c r="AE2355"/>
    </row>
    <row r="2356" spans="31:31" ht="15.75" customHeight="1">
      <c r="AE2356"/>
    </row>
    <row r="2357" spans="31:31" ht="15.75" customHeight="1">
      <c r="AE2357"/>
    </row>
    <row r="2358" spans="31:31" ht="15.75" customHeight="1">
      <c r="AE2358"/>
    </row>
    <row r="2359" spans="31:31" ht="15.75" customHeight="1">
      <c r="AE2359"/>
    </row>
    <row r="2360" spans="31:31" ht="15.75" customHeight="1">
      <c r="AE2360"/>
    </row>
    <row r="2361" spans="31:31" ht="15.75" customHeight="1">
      <c r="AE2361"/>
    </row>
    <row r="2362" spans="31:31" ht="15.75" customHeight="1">
      <c r="AE2362"/>
    </row>
    <row r="2363" spans="31:31" ht="15.75" customHeight="1">
      <c r="AE2363"/>
    </row>
    <row r="2364" spans="31:31" ht="15.75" customHeight="1">
      <c r="AE2364"/>
    </row>
    <row r="2365" spans="31:31" ht="15.75" customHeight="1">
      <c r="AE2365"/>
    </row>
    <row r="2366" spans="31:31" ht="15.75" customHeight="1">
      <c r="AE2366"/>
    </row>
    <row r="2367" spans="31:31" ht="15.75" customHeight="1">
      <c r="AE2367"/>
    </row>
    <row r="2368" spans="31:31" ht="15.75" customHeight="1">
      <c r="AE2368"/>
    </row>
    <row r="2369" spans="31:31" ht="15.75" customHeight="1">
      <c r="AE2369"/>
    </row>
    <row r="2370" spans="31:31" ht="15.75" customHeight="1">
      <c r="AE2370"/>
    </row>
    <row r="2371" spans="31:31" ht="15.75" customHeight="1">
      <c r="AE2371"/>
    </row>
    <row r="2372" spans="31:31" ht="15.75" customHeight="1">
      <c r="AE2372"/>
    </row>
    <row r="2373" spans="31:31" ht="15.75" customHeight="1">
      <c r="AE2373"/>
    </row>
    <row r="2374" spans="31:31" ht="15.75" customHeight="1">
      <c r="AE2374"/>
    </row>
    <row r="2375" spans="31:31" ht="15.75" customHeight="1">
      <c r="AE2375"/>
    </row>
    <row r="2376" spans="31:31" ht="15.75" customHeight="1">
      <c r="AE2376"/>
    </row>
    <row r="2377" spans="31:31" ht="15.75" customHeight="1">
      <c r="AE2377"/>
    </row>
    <row r="2378" spans="31:31" ht="15.75" customHeight="1">
      <c r="AE2378"/>
    </row>
    <row r="2379" spans="31:31" ht="15.75" customHeight="1">
      <c r="AE2379"/>
    </row>
    <row r="2380" spans="31:31" ht="15.75" customHeight="1">
      <c r="AE2380"/>
    </row>
    <row r="2381" spans="31:31" ht="15.75" customHeight="1">
      <c r="AE2381"/>
    </row>
    <row r="2382" spans="31:31" ht="15.75" customHeight="1">
      <c r="AE2382"/>
    </row>
    <row r="2383" spans="31:31" ht="15.75" customHeight="1">
      <c r="AE2383"/>
    </row>
    <row r="2384" spans="31:31" ht="15.75" customHeight="1">
      <c r="AE2384"/>
    </row>
    <row r="2385" spans="31:31" ht="15.75" customHeight="1">
      <c r="AE2385"/>
    </row>
    <row r="2386" spans="31:31" ht="15.75" customHeight="1">
      <c r="AE2386"/>
    </row>
    <row r="2387" spans="31:31" ht="15.75" customHeight="1">
      <c r="AE2387"/>
    </row>
    <row r="2388" spans="31:31" ht="15.75" customHeight="1">
      <c r="AE2388"/>
    </row>
    <row r="2389" spans="31:31" ht="15.75" customHeight="1">
      <c r="AE2389"/>
    </row>
    <row r="2390" spans="31:31" ht="15.75" customHeight="1">
      <c r="AE2390"/>
    </row>
    <row r="2391" spans="31:31" ht="15.75" customHeight="1">
      <c r="AE2391"/>
    </row>
    <row r="2392" spans="31:31" ht="15.75" customHeight="1">
      <c r="AE2392"/>
    </row>
    <row r="2393" spans="31:31" ht="15.75" customHeight="1">
      <c r="AE2393"/>
    </row>
    <row r="2394" spans="31:31" ht="15.75" customHeight="1">
      <c r="AE2394"/>
    </row>
    <row r="2395" spans="31:31" ht="15.75" customHeight="1">
      <c r="AE2395"/>
    </row>
    <row r="2396" spans="31:31" ht="15.75" customHeight="1">
      <c r="AE2396"/>
    </row>
    <row r="2397" spans="31:31" ht="15.75" customHeight="1">
      <c r="AE2397"/>
    </row>
    <row r="2398" spans="31:31" ht="15.75" customHeight="1">
      <c r="AE2398"/>
    </row>
    <row r="2399" spans="31:31" ht="15.75" customHeight="1">
      <c r="AE2399"/>
    </row>
    <row r="2400" spans="31:31" ht="15.75" customHeight="1">
      <c r="AE2400"/>
    </row>
    <row r="2401" spans="31:31" ht="15.75" customHeight="1">
      <c r="AE2401"/>
    </row>
    <row r="2402" spans="31:31" ht="15.75" customHeight="1">
      <c r="AE2402"/>
    </row>
    <row r="2403" spans="31:31" ht="15.75" customHeight="1">
      <c r="AE2403"/>
    </row>
    <row r="2404" spans="31:31" ht="15.75" customHeight="1">
      <c r="AE2404"/>
    </row>
    <row r="2405" spans="31:31" ht="15.75" customHeight="1">
      <c r="AE2405"/>
    </row>
    <row r="2406" spans="31:31" ht="15.75" customHeight="1">
      <c r="AE2406"/>
    </row>
    <row r="2407" spans="31:31" ht="15.75" customHeight="1">
      <c r="AE2407"/>
    </row>
    <row r="2408" spans="31:31" ht="15.75" customHeight="1">
      <c r="AE2408"/>
    </row>
    <row r="2409" spans="31:31" ht="15.75" customHeight="1">
      <c r="AE2409"/>
    </row>
    <row r="2410" spans="31:31" ht="15.75" customHeight="1">
      <c r="AE2410"/>
    </row>
    <row r="2411" spans="31:31" ht="15.75" customHeight="1">
      <c r="AE2411"/>
    </row>
    <row r="2412" spans="31:31" ht="15.75" customHeight="1">
      <c r="AE2412"/>
    </row>
    <row r="2413" spans="31:31" ht="15.75" customHeight="1">
      <c r="AE2413"/>
    </row>
    <row r="2414" spans="31:31" ht="15.75" customHeight="1">
      <c r="AE2414"/>
    </row>
    <row r="2415" spans="31:31" ht="15.75" customHeight="1">
      <c r="AE2415"/>
    </row>
    <row r="2416" spans="31:31" ht="15.75" customHeight="1">
      <c r="AE2416"/>
    </row>
    <row r="2417" spans="31:31" ht="15.75" customHeight="1">
      <c r="AE2417"/>
    </row>
    <row r="2418" spans="31:31" ht="15.75" customHeight="1">
      <c r="AE2418"/>
    </row>
    <row r="2419" spans="31:31" ht="15.75" customHeight="1">
      <c r="AE2419"/>
    </row>
    <row r="2420" spans="31:31" ht="15.75" customHeight="1">
      <c r="AE2420"/>
    </row>
    <row r="2421" spans="31:31" ht="15.75" customHeight="1">
      <c r="AE2421"/>
    </row>
    <row r="2422" spans="31:31" ht="15.75" customHeight="1">
      <c r="AE2422"/>
    </row>
    <row r="2423" spans="31:31" ht="15.75" customHeight="1">
      <c r="AE2423"/>
    </row>
    <row r="2424" spans="31:31" ht="15.75" customHeight="1">
      <c r="AE2424"/>
    </row>
    <row r="2425" spans="31:31" ht="15.75" customHeight="1">
      <c r="AE2425"/>
    </row>
    <row r="2426" spans="31:31" ht="15.75" customHeight="1">
      <c r="AE2426"/>
    </row>
    <row r="2427" spans="31:31" ht="15.75" customHeight="1">
      <c r="AE2427"/>
    </row>
    <row r="2428" spans="31:31" ht="15.75" customHeight="1">
      <c r="AE2428"/>
    </row>
    <row r="2429" spans="31:31" ht="15.75" customHeight="1">
      <c r="AE2429"/>
    </row>
    <row r="2430" spans="31:31" ht="15.75" customHeight="1">
      <c r="AE2430"/>
    </row>
    <row r="2431" spans="31:31" ht="15.75" customHeight="1">
      <c r="AE2431"/>
    </row>
    <row r="2432" spans="31:31" ht="15.75" customHeight="1">
      <c r="AE2432"/>
    </row>
    <row r="2433" spans="31:31" ht="15.75" customHeight="1">
      <c r="AE2433"/>
    </row>
    <row r="2434" spans="31:31" ht="15.75" customHeight="1">
      <c r="AE2434"/>
    </row>
    <row r="2435" spans="31:31" ht="15.75" customHeight="1">
      <c r="AE2435"/>
    </row>
    <row r="2436" spans="31:31" ht="15.75" customHeight="1">
      <c r="AE2436"/>
    </row>
    <row r="2437" spans="31:31" ht="15.75" customHeight="1">
      <c r="AE2437"/>
    </row>
    <row r="2438" spans="31:31" ht="15.75" customHeight="1">
      <c r="AE2438"/>
    </row>
    <row r="2439" spans="31:31" ht="15.75" customHeight="1">
      <c r="AE2439"/>
    </row>
    <row r="2440" spans="31:31" ht="15.75" customHeight="1">
      <c r="AE2440"/>
    </row>
    <row r="2441" spans="31:31" ht="15.75" customHeight="1">
      <c r="AE2441"/>
    </row>
    <row r="2442" spans="31:31" ht="15.75" customHeight="1">
      <c r="AE2442"/>
    </row>
    <row r="2443" spans="31:31" ht="15.75" customHeight="1">
      <c r="AE2443"/>
    </row>
    <row r="2444" spans="31:31" ht="15.75" customHeight="1">
      <c r="AE2444"/>
    </row>
    <row r="2445" spans="31:31" ht="15.75" customHeight="1">
      <c r="AE2445"/>
    </row>
    <row r="2446" spans="31:31" ht="15.75" customHeight="1">
      <c r="AE2446"/>
    </row>
    <row r="2447" spans="31:31" ht="15.75" customHeight="1">
      <c r="AE2447"/>
    </row>
    <row r="2448" spans="31:31" ht="15.75" customHeight="1">
      <c r="AE2448"/>
    </row>
    <row r="2449" spans="31:31" ht="15.75" customHeight="1">
      <c r="AE2449"/>
    </row>
    <row r="2450" spans="31:31" ht="15.75" customHeight="1">
      <c r="AE2450"/>
    </row>
    <row r="2451" spans="31:31" ht="15.75" customHeight="1">
      <c r="AE2451"/>
    </row>
    <row r="2452" spans="31:31" ht="15.75" customHeight="1">
      <c r="AE2452"/>
    </row>
    <row r="2453" spans="31:31" ht="15.75" customHeight="1">
      <c r="AE2453"/>
    </row>
    <row r="2454" spans="31:31" ht="15.75" customHeight="1">
      <c r="AE2454"/>
    </row>
    <row r="2455" spans="31:31" ht="15.75" customHeight="1">
      <c r="AE2455"/>
    </row>
    <row r="2456" spans="31:31" ht="15.75" customHeight="1">
      <c r="AE2456"/>
    </row>
    <row r="2457" spans="31:31" ht="15.75" customHeight="1">
      <c r="AE2457"/>
    </row>
    <row r="2458" spans="31:31" ht="15.75" customHeight="1">
      <c r="AE2458"/>
    </row>
    <row r="2459" spans="31:31" ht="15.75" customHeight="1">
      <c r="AE2459"/>
    </row>
    <row r="2460" spans="31:31" ht="15.75" customHeight="1">
      <c r="AE2460"/>
    </row>
    <row r="2461" spans="31:31" ht="15.75" customHeight="1">
      <c r="AE2461"/>
    </row>
    <row r="2462" spans="31:31" ht="15.75" customHeight="1">
      <c r="AE2462"/>
    </row>
    <row r="2463" spans="31:31" ht="15.75" customHeight="1">
      <c r="AE2463"/>
    </row>
    <row r="2464" spans="31:31" ht="15.75" customHeight="1">
      <c r="AE2464"/>
    </row>
    <row r="2465" spans="31:31" ht="15.75" customHeight="1">
      <c r="AE2465"/>
    </row>
    <row r="2466" spans="31:31" ht="15.75" customHeight="1">
      <c r="AE2466"/>
    </row>
    <row r="2467" spans="31:31" ht="15.75" customHeight="1">
      <c r="AE2467"/>
    </row>
    <row r="2468" spans="31:31" ht="15.75" customHeight="1">
      <c r="AE2468"/>
    </row>
    <row r="2469" spans="31:31" ht="15.75" customHeight="1">
      <c r="AE2469"/>
    </row>
    <row r="2470" spans="31:31" ht="15.75" customHeight="1">
      <c r="AE2470"/>
    </row>
    <row r="2471" spans="31:31" ht="15.75" customHeight="1">
      <c r="AE2471"/>
    </row>
    <row r="2472" spans="31:31" ht="15.75" customHeight="1">
      <c r="AE2472"/>
    </row>
    <row r="2473" spans="31:31" ht="15.75" customHeight="1">
      <c r="AE2473"/>
    </row>
    <row r="2474" spans="31:31" ht="15.75" customHeight="1">
      <c r="AE2474"/>
    </row>
    <row r="2475" spans="31:31" ht="15.75" customHeight="1">
      <c r="AE2475"/>
    </row>
    <row r="2476" spans="31:31" ht="15.75" customHeight="1">
      <c r="AE2476"/>
    </row>
    <row r="2477" spans="31:31" ht="15.75" customHeight="1">
      <c r="AE2477"/>
    </row>
    <row r="2478" spans="31:31" ht="15.75" customHeight="1">
      <c r="AE2478"/>
    </row>
    <row r="2479" spans="31:31" ht="15.75" customHeight="1">
      <c r="AE2479"/>
    </row>
    <row r="2480" spans="31:31" ht="15.75" customHeight="1">
      <c r="AE2480"/>
    </row>
    <row r="2481" spans="31:31" ht="15.75" customHeight="1">
      <c r="AE2481"/>
    </row>
    <row r="2482" spans="31:31" ht="15.75" customHeight="1">
      <c r="AE2482"/>
    </row>
    <row r="2483" spans="31:31" ht="15.75" customHeight="1">
      <c r="AE2483"/>
    </row>
    <row r="2484" spans="31:31" ht="15.75" customHeight="1">
      <c r="AE2484"/>
    </row>
    <row r="2485" spans="31:31" ht="15.75" customHeight="1">
      <c r="AE2485"/>
    </row>
    <row r="2486" spans="31:31" ht="15.75" customHeight="1">
      <c r="AE2486"/>
    </row>
    <row r="2487" spans="31:31" ht="15.75" customHeight="1">
      <c r="AE2487"/>
    </row>
    <row r="2488" spans="31:31" ht="15.75" customHeight="1">
      <c r="AE2488"/>
    </row>
    <row r="2489" spans="31:31" ht="15.75" customHeight="1">
      <c r="AE2489"/>
    </row>
    <row r="2490" spans="31:31" ht="15.75" customHeight="1">
      <c r="AE2490"/>
    </row>
    <row r="2491" spans="31:31" ht="15.75" customHeight="1">
      <c r="AE2491"/>
    </row>
    <row r="2492" spans="31:31" ht="15.75" customHeight="1">
      <c r="AE2492"/>
    </row>
    <row r="2493" spans="31:31" ht="15.75" customHeight="1">
      <c r="AE2493"/>
    </row>
    <row r="2494" spans="31:31" ht="15.75" customHeight="1">
      <c r="AE2494"/>
    </row>
    <row r="2495" spans="31:31" ht="15.75" customHeight="1">
      <c r="AE2495"/>
    </row>
    <row r="2496" spans="31:31" ht="15.75" customHeight="1">
      <c r="AE2496"/>
    </row>
    <row r="2497" spans="31:31" ht="15.75" customHeight="1">
      <c r="AE2497"/>
    </row>
    <row r="2498" spans="31:31" ht="15.75" customHeight="1">
      <c r="AE2498"/>
    </row>
    <row r="2499" spans="31:31" ht="15.75" customHeight="1">
      <c r="AE2499"/>
    </row>
    <row r="2500" spans="31:31" ht="15.75" customHeight="1">
      <c r="AE2500"/>
    </row>
    <row r="2501" spans="31:31" ht="15.75" customHeight="1">
      <c r="AE2501"/>
    </row>
    <row r="2502" spans="31:31" ht="15.75" customHeight="1">
      <c r="AE2502"/>
    </row>
    <row r="2503" spans="31:31" ht="15.75" customHeight="1">
      <c r="AE2503"/>
    </row>
    <row r="2504" spans="31:31" ht="15.75" customHeight="1">
      <c r="AE2504"/>
    </row>
    <row r="2505" spans="31:31" ht="15.75" customHeight="1">
      <c r="AE2505"/>
    </row>
    <row r="2506" spans="31:31" ht="15.75" customHeight="1">
      <c r="AE2506"/>
    </row>
    <row r="2507" spans="31:31" ht="15.75" customHeight="1">
      <c r="AE2507"/>
    </row>
    <row r="2508" spans="31:31" ht="15.75" customHeight="1">
      <c r="AE2508"/>
    </row>
    <row r="2509" spans="31:31" ht="15.75" customHeight="1">
      <c r="AE2509"/>
    </row>
    <row r="2510" spans="31:31" ht="15.75" customHeight="1">
      <c r="AE2510"/>
    </row>
    <row r="2511" spans="31:31" ht="15.75" customHeight="1">
      <c r="AE2511"/>
    </row>
    <row r="2512" spans="31:31" ht="15.75" customHeight="1">
      <c r="AE2512"/>
    </row>
    <row r="2513" spans="31:31" ht="15.75" customHeight="1">
      <c r="AE2513"/>
    </row>
    <row r="2514" spans="31:31" ht="15.75" customHeight="1">
      <c r="AE2514"/>
    </row>
    <row r="2515" spans="31:31" ht="15.75" customHeight="1">
      <c r="AE2515"/>
    </row>
    <row r="2516" spans="31:31" ht="15.75" customHeight="1">
      <c r="AE2516"/>
    </row>
    <row r="2517" spans="31:31" ht="15.75" customHeight="1">
      <c r="AE2517"/>
    </row>
    <row r="2518" spans="31:31" ht="15.75" customHeight="1">
      <c r="AE2518"/>
    </row>
    <row r="2519" spans="31:31" ht="15.75" customHeight="1">
      <c r="AE2519"/>
    </row>
    <row r="2520" spans="31:31" ht="15.75" customHeight="1">
      <c r="AE2520"/>
    </row>
    <row r="2521" spans="31:31" ht="15.75" customHeight="1">
      <c r="AE2521"/>
    </row>
    <row r="2522" spans="31:31" ht="15.75" customHeight="1">
      <c r="AE2522"/>
    </row>
    <row r="2523" spans="31:31" ht="15.75" customHeight="1">
      <c r="AE2523"/>
    </row>
    <row r="2524" spans="31:31" ht="15.75" customHeight="1">
      <c r="AE2524"/>
    </row>
    <row r="2525" spans="31:31" ht="15.75" customHeight="1">
      <c r="AE2525"/>
    </row>
    <row r="2526" spans="31:31" ht="15.75" customHeight="1">
      <c r="AE2526"/>
    </row>
    <row r="2527" spans="31:31" ht="15.75" customHeight="1">
      <c r="AE2527"/>
    </row>
    <row r="2528" spans="31:31" ht="15.75" customHeight="1">
      <c r="AE2528"/>
    </row>
    <row r="2529" spans="31:31" ht="15.75" customHeight="1">
      <c r="AE2529"/>
    </row>
    <row r="2530" spans="31:31" ht="15.75" customHeight="1">
      <c r="AE2530"/>
    </row>
    <row r="2531" spans="31:31" ht="15.75" customHeight="1">
      <c r="AE2531"/>
    </row>
    <row r="2532" spans="31:31" ht="15.75" customHeight="1">
      <c r="AE2532"/>
    </row>
    <row r="2533" spans="31:31" ht="15.75" customHeight="1">
      <c r="AE2533"/>
    </row>
    <row r="2534" spans="31:31" ht="15.75" customHeight="1">
      <c r="AE2534"/>
    </row>
    <row r="2535" spans="31:31" ht="15.75" customHeight="1">
      <c r="AE2535"/>
    </row>
    <row r="2536" spans="31:31" ht="15.75" customHeight="1">
      <c r="AE2536"/>
    </row>
    <row r="2537" spans="31:31" ht="15.75" customHeight="1">
      <c r="AE2537"/>
    </row>
    <row r="2538" spans="31:31" ht="15.75" customHeight="1">
      <c r="AE2538"/>
    </row>
    <row r="2539" spans="31:31" ht="15.75" customHeight="1">
      <c r="AE2539"/>
    </row>
    <row r="2540" spans="31:31" ht="15.75" customHeight="1">
      <c r="AE2540"/>
    </row>
    <row r="2541" spans="31:31" ht="15.75" customHeight="1">
      <c r="AE2541"/>
    </row>
    <row r="2542" spans="31:31" ht="15.75" customHeight="1">
      <c r="AE2542"/>
    </row>
    <row r="2543" spans="31:31" ht="15.75" customHeight="1">
      <c r="AE2543"/>
    </row>
    <row r="2544" spans="31:31" ht="15.75" customHeight="1">
      <c r="AE2544"/>
    </row>
    <row r="2545" spans="31:31" ht="15.75" customHeight="1">
      <c r="AE2545"/>
    </row>
    <row r="2546" spans="31:31" ht="15.75" customHeight="1">
      <c r="AE2546"/>
    </row>
    <row r="2547" spans="31:31" ht="15.75" customHeight="1">
      <c r="AE2547"/>
    </row>
    <row r="2548" spans="31:31" ht="15.75" customHeight="1">
      <c r="AE2548"/>
    </row>
    <row r="2549" spans="31:31" ht="15.75" customHeight="1">
      <c r="AE2549"/>
    </row>
    <row r="2550" spans="31:31" ht="15.75" customHeight="1">
      <c r="AE2550"/>
    </row>
    <row r="2551" spans="31:31" ht="15.75" customHeight="1">
      <c r="AE2551"/>
    </row>
    <row r="2552" spans="31:31" ht="15.75" customHeight="1">
      <c r="AE2552"/>
    </row>
    <row r="2553" spans="31:31" ht="15.75" customHeight="1">
      <c r="AE2553"/>
    </row>
    <row r="2554" spans="31:31" ht="15.75" customHeight="1">
      <c r="AE2554"/>
    </row>
    <row r="2555" spans="31:31" ht="15.75" customHeight="1">
      <c r="AE2555"/>
    </row>
    <row r="2556" spans="31:31" ht="15.75" customHeight="1">
      <c r="AE2556"/>
    </row>
    <row r="2557" spans="31:31" ht="15.75" customHeight="1">
      <c r="AE2557"/>
    </row>
    <row r="2558" spans="31:31" ht="15.75" customHeight="1">
      <c r="AE2558"/>
    </row>
    <row r="2559" spans="31:31" ht="15.75" customHeight="1">
      <c r="AE2559"/>
    </row>
    <row r="2560" spans="31:31" ht="15.75" customHeight="1">
      <c r="AE2560"/>
    </row>
    <row r="2561" spans="31:31" ht="15.75" customHeight="1">
      <c r="AE2561"/>
    </row>
    <row r="2562" spans="31:31" ht="15.75" customHeight="1">
      <c r="AE2562"/>
    </row>
    <row r="2563" spans="31:31" ht="15.75" customHeight="1">
      <c r="AE2563"/>
    </row>
    <row r="2564" spans="31:31" ht="15.75" customHeight="1">
      <c r="AE2564"/>
    </row>
    <row r="2565" spans="31:31" ht="15.75" customHeight="1">
      <c r="AE2565"/>
    </row>
    <row r="2566" spans="31:31" ht="15.75" customHeight="1">
      <c r="AE2566"/>
    </row>
    <row r="2567" spans="31:31" ht="15.75" customHeight="1">
      <c r="AE2567"/>
    </row>
    <row r="2568" spans="31:31" ht="15.75" customHeight="1">
      <c r="AE2568"/>
    </row>
    <row r="2569" spans="31:31" ht="15.75" customHeight="1">
      <c r="AE2569"/>
    </row>
    <row r="2570" spans="31:31" ht="15.75" customHeight="1">
      <c r="AE2570"/>
    </row>
    <row r="2571" spans="31:31" ht="15.75" customHeight="1">
      <c r="AE2571"/>
    </row>
    <row r="2572" spans="31:31" ht="15.75" customHeight="1">
      <c r="AE2572"/>
    </row>
    <row r="2573" spans="31:31" ht="15.75" customHeight="1">
      <c r="AE2573"/>
    </row>
    <row r="2574" spans="31:31" ht="15.75" customHeight="1">
      <c r="AE2574"/>
    </row>
    <row r="2575" spans="31:31" ht="15.75" customHeight="1">
      <c r="AE2575"/>
    </row>
    <row r="2576" spans="31:31" ht="15.75" customHeight="1">
      <c r="AE2576"/>
    </row>
    <row r="2577" spans="31:31" ht="15.75" customHeight="1">
      <c r="AE2577"/>
    </row>
    <row r="2578" spans="31:31" ht="15.75" customHeight="1">
      <c r="AE2578"/>
    </row>
    <row r="2579" spans="31:31" ht="15.75" customHeight="1">
      <c r="AE2579"/>
    </row>
    <row r="2580" spans="31:31" ht="15.75" customHeight="1">
      <c r="AE2580"/>
    </row>
    <row r="2581" spans="31:31" ht="15.75" customHeight="1">
      <c r="AE2581"/>
    </row>
    <row r="2582" spans="31:31" ht="15.75" customHeight="1">
      <c r="AE2582"/>
    </row>
    <row r="2583" spans="31:31" ht="15.75" customHeight="1">
      <c r="AE2583"/>
    </row>
    <row r="2584" spans="31:31" ht="15.75" customHeight="1">
      <c r="AE2584"/>
    </row>
    <row r="2585" spans="31:31" ht="15.75" customHeight="1">
      <c r="AE2585"/>
    </row>
    <row r="2586" spans="31:31" ht="15.75" customHeight="1">
      <c r="AE2586"/>
    </row>
    <row r="2587" spans="31:31" ht="15.75" customHeight="1">
      <c r="AE2587"/>
    </row>
    <row r="2588" spans="31:31" ht="15.75" customHeight="1">
      <c r="AE2588"/>
    </row>
    <row r="2589" spans="31:31" ht="15.75" customHeight="1">
      <c r="AE2589"/>
    </row>
    <row r="2590" spans="31:31" ht="15.75" customHeight="1">
      <c r="AE2590"/>
    </row>
    <row r="2591" spans="31:31" ht="15.75" customHeight="1">
      <c r="AE2591"/>
    </row>
    <row r="2592" spans="31:31" ht="15.75" customHeight="1">
      <c r="AE2592"/>
    </row>
    <row r="2593" spans="31:31" ht="15.75" customHeight="1">
      <c r="AE2593"/>
    </row>
    <row r="2594" spans="31:31" ht="15.75" customHeight="1">
      <c r="AE2594"/>
    </row>
    <row r="2595" spans="31:31" ht="15.75" customHeight="1">
      <c r="AE2595"/>
    </row>
    <row r="2596" spans="31:31" ht="15.75" customHeight="1">
      <c r="AE2596"/>
    </row>
    <row r="2597" spans="31:31" ht="15.75" customHeight="1">
      <c r="AE2597"/>
    </row>
    <row r="2598" spans="31:31" ht="15.75" customHeight="1">
      <c r="AE2598"/>
    </row>
    <row r="2599" spans="31:31" ht="15.75" customHeight="1">
      <c r="AE2599"/>
    </row>
    <row r="2600" spans="31:31" ht="15.75" customHeight="1">
      <c r="AE2600"/>
    </row>
    <row r="2601" spans="31:31" ht="15.75" customHeight="1">
      <c r="AE2601"/>
    </row>
    <row r="2602" spans="31:31" ht="15.75" customHeight="1">
      <c r="AE2602"/>
    </row>
    <row r="2603" spans="31:31" ht="15.75" customHeight="1">
      <c r="AE2603"/>
    </row>
    <row r="2604" spans="31:31" ht="15.75" customHeight="1">
      <c r="AE2604"/>
    </row>
    <row r="2605" spans="31:31" ht="15.75" customHeight="1">
      <c r="AE2605"/>
    </row>
    <row r="2606" spans="31:31" ht="15.75" customHeight="1">
      <c r="AE2606"/>
    </row>
    <row r="2607" spans="31:31" ht="15.75" customHeight="1">
      <c r="AE2607"/>
    </row>
    <row r="2608" spans="31:31" ht="15.75" customHeight="1">
      <c r="AE2608"/>
    </row>
    <row r="2609" spans="31:31" ht="15.75" customHeight="1">
      <c r="AE2609"/>
    </row>
    <row r="2610" spans="31:31" ht="15.75" customHeight="1">
      <c r="AE2610"/>
    </row>
    <row r="2611" spans="31:31" ht="15.75" customHeight="1">
      <c r="AE2611"/>
    </row>
    <row r="2612" spans="31:31" ht="15.75" customHeight="1">
      <c r="AE2612"/>
    </row>
    <row r="2613" spans="31:31" ht="15.75" customHeight="1">
      <c r="AE2613"/>
    </row>
    <row r="2614" spans="31:31" ht="15.75" customHeight="1">
      <c r="AE2614"/>
    </row>
    <row r="2615" spans="31:31" ht="15.75" customHeight="1">
      <c r="AE2615"/>
    </row>
    <row r="2616" spans="31:31" ht="15.75" customHeight="1">
      <c r="AE2616"/>
    </row>
    <row r="2617" spans="31:31" ht="15.75" customHeight="1">
      <c r="AE2617"/>
    </row>
    <row r="2618" spans="31:31" ht="15.75" customHeight="1">
      <c r="AE2618"/>
    </row>
    <row r="2619" spans="31:31" ht="15.75" customHeight="1">
      <c r="AE2619"/>
    </row>
    <row r="2620" spans="31:31" ht="15.75" customHeight="1">
      <c r="AE2620"/>
    </row>
    <row r="2621" spans="31:31" ht="15.75" customHeight="1">
      <c r="AE2621"/>
    </row>
    <row r="2622" spans="31:31" ht="15.75" customHeight="1">
      <c r="AE2622"/>
    </row>
    <row r="2623" spans="31:31" ht="15.75" customHeight="1">
      <c r="AE2623"/>
    </row>
    <row r="2624" spans="31:31" ht="15.75" customHeight="1">
      <c r="AE2624"/>
    </row>
    <row r="2625" spans="31:31" ht="15.75" customHeight="1">
      <c r="AE2625"/>
    </row>
    <row r="2626" spans="31:31" ht="15.75" customHeight="1">
      <c r="AE2626"/>
    </row>
    <row r="2627" spans="31:31" ht="15.75" customHeight="1">
      <c r="AE2627"/>
    </row>
    <row r="2628" spans="31:31" ht="15.75" customHeight="1">
      <c r="AE2628"/>
    </row>
    <row r="2629" spans="31:31" ht="15.75" customHeight="1">
      <c r="AE2629"/>
    </row>
    <row r="2630" spans="31:31" ht="15.75" customHeight="1">
      <c r="AE2630"/>
    </row>
    <row r="2631" spans="31:31" ht="15.75" customHeight="1">
      <c r="AE2631"/>
    </row>
    <row r="2632" spans="31:31" ht="15.75" customHeight="1">
      <c r="AE2632"/>
    </row>
    <row r="2633" spans="31:31" ht="15.75" customHeight="1">
      <c r="AE2633"/>
    </row>
    <row r="2634" spans="31:31" ht="15.75" customHeight="1">
      <c r="AE2634"/>
    </row>
    <row r="2635" spans="31:31" ht="15.75" customHeight="1">
      <c r="AE2635"/>
    </row>
    <row r="2636" spans="31:31" ht="15.75" customHeight="1">
      <c r="AE2636"/>
    </row>
    <row r="2637" spans="31:31" ht="15.75" customHeight="1">
      <c r="AE2637"/>
    </row>
    <row r="2638" spans="31:31" ht="15.75" customHeight="1">
      <c r="AE2638"/>
    </row>
    <row r="2639" spans="31:31" ht="15.75" customHeight="1">
      <c r="AE2639"/>
    </row>
    <row r="2640" spans="31:31" ht="15.75" customHeight="1">
      <c r="AE2640"/>
    </row>
    <row r="2641" spans="31:31" ht="15.75" customHeight="1">
      <c r="AE2641"/>
    </row>
    <row r="2642" spans="31:31" ht="15.75" customHeight="1">
      <c r="AE2642"/>
    </row>
    <row r="2643" spans="31:31" ht="15.75" customHeight="1">
      <c r="AE2643"/>
    </row>
    <row r="2644" spans="31:31" ht="15.75" customHeight="1">
      <c r="AE2644"/>
    </row>
    <row r="2645" spans="31:31" ht="15.75" customHeight="1">
      <c r="AE2645"/>
    </row>
    <row r="2646" spans="31:31" ht="15.75" customHeight="1">
      <c r="AE2646"/>
    </row>
    <row r="2647" spans="31:31" ht="15.75" customHeight="1">
      <c r="AE2647"/>
    </row>
    <row r="2648" spans="31:31" ht="15.75" customHeight="1">
      <c r="AE2648"/>
    </row>
    <row r="2649" spans="31:31" ht="15.75" customHeight="1">
      <c r="AE2649"/>
    </row>
    <row r="2650" spans="31:31" ht="15.75" customHeight="1">
      <c r="AE2650"/>
    </row>
    <row r="2651" spans="31:31" ht="15.75" customHeight="1">
      <c r="AE2651"/>
    </row>
    <row r="2652" spans="31:31" ht="15.75" customHeight="1">
      <c r="AE2652"/>
    </row>
    <row r="2653" spans="31:31" ht="15.75" customHeight="1">
      <c r="AE2653"/>
    </row>
    <row r="2654" spans="31:31" ht="15.75" customHeight="1">
      <c r="AE2654"/>
    </row>
    <row r="2655" spans="31:31" ht="15.75" customHeight="1">
      <c r="AE2655"/>
    </row>
    <row r="2656" spans="31:31" ht="15.75" customHeight="1">
      <c r="AE2656"/>
    </row>
    <row r="2657" spans="31:31" ht="15.75" customHeight="1">
      <c r="AE2657"/>
    </row>
    <row r="2658" spans="31:31" ht="15.75" customHeight="1">
      <c r="AE2658"/>
    </row>
    <row r="2659" spans="31:31" ht="15.75" customHeight="1">
      <c r="AE2659"/>
    </row>
    <row r="2660" spans="31:31" ht="15.75" customHeight="1">
      <c r="AE2660"/>
    </row>
    <row r="2661" spans="31:31" ht="15.75" customHeight="1">
      <c r="AE2661"/>
    </row>
    <row r="2662" spans="31:31" ht="15.75" customHeight="1">
      <c r="AE2662"/>
    </row>
    <row r="2663" spans="31:31" ht="15.75" customHeight="1">
      <c r="AE2663"/>
    </row>
    <row r="2664" spans="31:31" ht="15.75" customHeight="1">
      <c r="AE2664"/>
    </row>
    <row r="2665" spans="31:31" ht="15.75" customHeight="1">
      <c r="AE2665"/>
    </row>
    <row r="2666" spans="31:31" ht="15.75" customHeight="1">
      <c r="AE2666"/>
    </row>
    <row r="2667" spans="31:31" ht="15.75" customHeight="1">
      <c r="AE2667"/>
    </row>
    <row r="2668" spans="31:31" ht="15.75" customHeight="1">
      <c r="AE2668"/>
    </row>
    <row r="2669" spans="31:31" ht="15.75" customHeight="1">
      <c r="AE2669"/>
    </row>
    <row r="2670" spans="31:31" ht="15.75" customHeight="1">
      <c r="AE2670"/>
    </row>
    <row r="2671" spans="31:31" ht="15.75" customHeight="1">
      <c r="AE2671"/>
    </row>
    <row r="2672" spans="31:31" ht="15.75" customHeight="1">
      <c r="AE2672"/>
    </row>
    <row r="2673" spans="31:31" ht="15.75" customHeight="1">
      <c r="AE2673"/>
    </row>
    <row r="2674" spans="31:31" ht="15.75" customHeight="1">
      <c r="AE2674"/>
    </row>
    <row r="2675" spans="31:31" ht="15.75" customHeight="1">
      <c r="AE2675"/>
    </row>
    <row r="2676" spans="31:31" ht="15.75" customHeight="1">
      <c r="AE2676"/>
    </row>
    <row r="2677" spans="31:31" ht="15.75" customHeight="1">
      <c r="AE2677"/>
    </row>
    <row r="2678" spans="31:31" ht="15.75" customHeight="1">
      <c r="AE2678"/>
    </row>
    <row r="2679" spans="31:31" ht="15.75" customHeight="1">
      <c r="AE2679"/>
    </row>
    <row r="2680" spans="31:31" ht="15.75" customHeight="1">
      <c r="AE2680"/>
    </row>
    <row r="2681" spans="31:31" ht="15.75" customHeight="1">
      <c r="AE2681"/>
    </row>
    <row r="2682" spans="31:31" ht="15.75" customHeight="1">
      <c r="AE2682"/>
    </row>
    <row r="2683" spans="31:31" ht="15.75" customHeight="1">
      <c r="AE2683"/>
    </row>
    <row r="2684" spans="31:31" ht="15.75" customHeight="1">
      <c r="AE2684"/>
    </row>
    <row r="2685" spans="31:31" ht="15.75" customHeight="1">
      <c r="AE2685"/>
    </row>
    <row r="2686" spans="31:31" ht="15.75" customHeight="1">
      <c r="AE2686"/>
    </row>
    <row r="2687" spans="31:31" ht="15.75" customHeight="1">
      <c r="AE2687"/>
    </row>
    <row r="2688" spans="31:31" ht="15.75" customHeight="1">
      <c r="AE2688"/>
    </row>
    <row r="2689" spans="31:31" ht="15.75" customHeight="1">
      <c r="AE2689"/>
    </row>
    <row r="2690" spans="31:31" ht="15.75" customHeight="1">
      <c r="AE2690"/>
    </row>
    <row r="2691" spans="31:31" ht="15.75" customHeight="1">
      <c r="AE2691"/>
    </row>
    <row r="2692" spans="31:31" ht="15.75" customHeight="1">
      <c r="AE2692"/>
    </row>
    <row r="2693" spans="31:31" ht="15.75" customHeight="1">
      <c r="AE2693"/>
    </row>
    <row r="2694" spans="31:31" ht="15.75" customHeight="1">
      <c r="AE2694"/>
    </row>
    <row r="2695" spans="31:31" ht="15.75" customHeight="1">
      <c r="AE2695"/>
    </row>
    <row r="2696" spans="31:31" ht="15.75" customHeight="1">
      <c r="AE2696"/>
    </row>
    <row r="2697" spans="31:31" ht="15.75" customHeight="1">
      <c r="AE2697"/>
    </row>
    <row r="2698" spans="31:31" ht="15.75" customHeight="1">
      <c r="AE2698"/>
    </row>
    <row r="2699" spans="31:31" ht="15.75" customHeight="1">
      <c r="AE2699"/>
    </row>
    <row r="2700" spans="31:31" ht="15.75" customHeight="1">
      <c r="AE2700"/>
    </row>
    <row r="2701" spans="31:31" ht="15.75" customHeight="1">
      <c r="AE2701"/>
    </row>
    <row r="2702" spans="31:31" ht="15.75" customHeight="1">
      <c r="AE2702"/>
    </row>
    <row r="2703" spans="31:31" ht="15.75" customHeight="1">
      <c r="AE2703"/>
    </row>
    <row r="2704" spans="31:31" ht="15.75" customHeight="1">
      <c r="AE2704"/>
    </row>
    <row r="2705" spans="31:31" ht="15.75" customHeight="1">
      <c r="AE2705"/>
    </row>
    <row r="2706" spans="31:31" ht="15.75" customHeight="1">
      <c r="AE2706"/>
    </row>
    <row r="2707" spans="31:31" ht="15.75" customHeight="1">
      <c r="AE2707"/>
    </row>
    <row r="2708" spans="31:31" ht="15.75" customHeight="1">
      <c r="AE2708"/>
    </row>
    <row r="2709" spans="31:31" ht="15.75" customHeight="1">
      <c r="AE2709"/>
    </row>
    <row r="2710" spans="31:31" ht="15.75" customHeight="1">
      <c r="AE2710"/>
    </row>
    <row r="2711" spans="31:31" ht="15.75" customHeight="1">
      <c r="AE2711"/>
    </row>
    <row r="2712" spans="31:31" ht="15.75" customHeight="1">
      <c r="AE2712"/>
    </row>
    <row r="2713" spans="31:31" ht="15.75" customHeight="1">
      <c r="AE2713"/>
    </row>
    <row r="2714" spans="31:31" ht="15.75" customHeight="1">
      <c r="AE2714"/>
    </row>
    <row r="2715" spans="31:31" ht="15.75" customHeight="1">
      <c r="AE2715"/>
    </row>
    <row r="2716" spans="31:31" ht="15.75" customHeight="1">
      <c r="AE2716"/>
    </row>
    <row r="2717" spans="31:31" ht="15.75" customHeight="1">
      <c r="AE2717"/>
    </row>
    <row r="2718" spans="31:31" ht="15.75" customHeight="1">
      <c r="AE2718"/>
    </row>
    <row r="2719" spans="31:31" ht="15.75" customHeight="1">
      <c r="AE2719"/>
    </row>
    <row r="2720" spans="31:31" ht="15.75" customHeight="1">
      <c r="AE2720"/>
    </row>
    <row r="2721" spans="31:31" ht="15.75" customHeight="1">
      <c r="AE2721"/>
    </row>
    <row r="2722" spans="31:31" ht="15.75" customHeight="1">
      <c r="AE2722"/>
    </row>
    <row r="2723" spans="31:31" ht="15.75" customHeight="1">
      <c r="AE2723"/>
    </row>
    <row r="2724" spans="31:31" ht="15.75" customHeight="1">
      <c r="AE2724"/>
    </row>
    <row r="2725" spans="31:31" ht="15.75" customHeight="1">
      <c r="AE2725"/>
    </row>
    <row r="2726" spans="31:31" ht="15.75" customHeight="1">
      <c r="AE2726"/>
    </row>
    <row r="2727" spans="31:31" ht="15.75" customHeight="1">
      <c r="AE2727"/>
    </row>
    <row r="2728" spans="31:31" ht="15.75" customHeight="1">
      <c r="AE2728"/>
    </row>
    <row r="2729" spans="31:31" ht="15.75" customHeight="1">
      <c r="AE2729"/>
    </row>
    <row r="2730" spans="31:31" ht="15.75" customHeight="1">
      <c r="AE2730"/>
    </row>
    <row r="2731" spans="31:31" ht="15.75" customHeight="1">
      <c r="AE2731"/>
    </row>
    <row r="2732" spans="31:31" ht="15.75" customHeight="1">
      <c r="AE2732"/>
    </row>
    <row r="2733" spans="31:31" ht="15.75" customHeight="1">
      <c r="AE2733"/>
    </row>
    <row r="2734" spans="31:31" ht="15.75" customHeight="1">
      <c r="AE2734"/>
    </row>
    <row r="2735" spans="31:31" ht="15.75" customHeight="1">
      <c r="AE2735"/>
    </row>
    <row r="2736" spans="31:31" ht="15.75" customHeight="1">
      <c r="AE2736"/>
    </row>
    <row r="2737" spans="31:31" ht="15.75" customHeight="1">
      <c r="AE2737"/>
    </row>
    <row r="2738" spans="31:31" ht="15.75" customHeight="1">
      <c r="AE2738"/>
    </row>
    <row r="2739" spans="31:31" ht="15.75" customHeight="1">
      <c r="AE2739"/>
    </row>
    <row r="2740" spans="31:31" ht="15.75" customHeight="1">
      <c r="AE2740"/>
    </row>
    <row r="2741" spans="31:31" ht="15.75" customHeight="1">
      <c r="AE2741"/>
    </row>
    <row r="2742" spans="31:31" ht="15.75" customHeight="1">
      <c r="AE2742"/>
    </row>
    <row r="2743" spans="31:31" ht="15.75" customHeight="1">
      <c r="AE2743"/>
    </row>
    <row r="2744" spans="31:31" ht="15.75" customHeight="1">
      <c r="AE2744"/>
    </row>
    <row r="2745" spans="31:31" ht="15.75" customHeight="1">
      <c r="AE2745"/>
    </row>
    <row r="2746" spans="31:31" ht="15.75" customHeight="1">
      <c r="AE2746"/>
    </row>
    <row r="2747" spans="31:31" ht="15.75" customHeight="1">
      <c r="AE2747"/>
    </row>
    <row r="2748" spans="31:31" ht="15.75" customHeight="1">
      <c r="AE2748"/>
    </row>
    <row r="2749" spans="31:31" ht="15.75" customHeight="1">
      <c r="AE2749"/>
    </row>
    <row r="2750" spans="31:31" ht="15.75" customHeight="1">
      <c r="AE2750"/>
    </row>
    <row r="2751" spans="31:31" ht="15.75" customHeight="1">
      <c r="AE2751"/>
    </row>
    <row r="2752" spans="31:31" ht="15.75" customHeight="1">
      <c r="AE2752"/>
    </row>
    <row r="2753" spans="31:31" ht="15.75" customHeight="1">
      <c r="AE2753"/>
    </row>
    <row r="2754" spans="31:31" ht="15.75" customHeight="1">
      <c r="AE2754"/>
    </row>
    <row r="2755" spans="31:31" ht="15.75" customHeight="1">
      <c r="AE2755"/>
    </row>
    <row r="2756" spans="31:31" ht="15.75" customHeight="1">
      <c r="AE2756"/>
    </row>
    <row r="2757" spans="31:31" ht="15.75" customHeight="1">
      <c r="AE2757"/>
    </row>
    <row r="2758" spans="31:31" ht="15.75" customHeight="1">
      <c r="AE2758"/>
    </row>
    <row r="2759" spans="31:31" ht="15.75" customHeight="1">
      <c r="AE2759"/>
    </row>
    <row r="2760" spans="31:31" ht="15.75" customHeight="1">
      <c r="AE2760"/>
    </row>
    <row r="2761" spans="31:31" ht="15.75" customHeight="1">
      <c r="AE2761"/>
    </row>
    <row r="2762" spans="31:31" ht="15.75" customHeight="1">
      <c r="AE2762"/>
    </row>
    <row r="2763" spans="31:31" ht="15.75" customHeight="1">
      <c r="AE2763"/>
    </row>
    <row r="2764" spans="31:31" ht="15.75" customHeight="1">
      <c r="AE2764"/>
    </row>
    <row r="2765" spans="31:31" ht="15.75" customHeight="1">
      <c r="AE2765"/>
    </row>
    <row r="2766" spans="31:31" ht="15.75" customHeight="1">
      <c r="AE2766"/>
    </row>
    <row r="2767" spans="31:31" ht="15.75" customHeight="1">
      <c r="AE2767"/>
    </row>
    <row r="2768" spans="31:31" ht="15.75" customHeight="1">
      <c r="AE2768"/>
    </row>
    <row r="2769" spans="31:31" ht="15.75" customHeight="1">
      <c r="AE2769"/>
    </row>
    <row r="2770" spans="31:31" ht="15.75" customHeight="1">
      <c r="AE2770"/>
    </row>
    <row r="2771" spans="31:31" ht="15.75" customHeight="1">
      <c r="AE2771"/>
    </row>
    <row r="2772" spans="31:31" ht="15.75" customHeight="1">
      <c r="AE2772"/>
    </row>
    <row r="2773" spans="31:31" ht="15.75" customHeight="1">
      <c r="AE2773"/>
    </row>
    <row r="2774" spans="31:31" ht="15.75" customHeight="1">
      <c r="AE2774"/>
    </row>
    <row r="2775" spans="31:31" ht="15.75" customHeight="1">
      <c r="AE2775"/>
    </row>
    <row r="2776" spans="31:31" ht="15.75" customHeight="1">
      <c r="AE2776"/>
    </row>
    <row r="2777" spans="31:31" ht="15.75" customHeight="1">
      <c r="AE2777"/>
    </row>
    <row r="2778" spans="31:31" ht="15.75" customHeight="1">
      <c r="AE2778"/>
    </row>
    <row r="2779" spans="31:31" ht="15.75" customHeight="1">
      <c r="AE2779"/>
    </row>
    <row r="2780" spans="31:31" ht="15.75" customHeight="1">
      <c r="AE2780"/>
    </row>
    <row r="2781" spans="31:31" ht="15.75" customHeight="1">
      <c r="AE2781"/>
    </row>
    <row r="2782" spans="31:31" ht="15.75" customHeight="1">
      <c r="AE2782"/>
    </row>
    <row r="2783" spans="31:31" ht="15.75" customHeight="1">
      <c r="AE2783"/>
    </row>
    <row r="2784" spans="31:31" ht="15.75" customHeight="1">
      <c r="AE2784"/>
    </row>
    <row r="2785" spans="31:31" ht="15.75" customHeight="1">
      <c r="AE2785"/>
    </row>
    <row r="2786" spans="31:31" ht="15.75" customHeight="1">
      <c r="AE2786"/>
    </row>
    <row r="2787" spans="31:31" ht="15.75" customHeight="1">
      <c r="AE2787"/>
    </row>
    <row r="2788" spans="31:31" ht="15.75" customHeight="1">
      <c r="AE2788"/>
    </row>
    <row r="2789" spans="31:31" ht="15.75" customHeight="1">
      <c r="AE2789"/>
    </row>
    <row r="2790" spans="31:31" ht="15.75" customHeight="1">
      <c r="AE2790"/>
    </row>
    <row r="2791" spans="31:31" ht="15.75" customHeight="1">
      <c r="AE2791"/>
    </row>
    <row r="2792" spans="31:31" ht="15.75" customHeight="1">
      <c r="AE2792"/>
    </row>
    <row r="2793" spans="31:31" ht="15.75" customHeight="1">
      <c r="AE2793"/>
    </row>
    <row r="2794" spans="31:31" ht="15.75" customHeight="1">
      <c r="AE2794"/>
    </row>
    <row r="2795" spans="31:31" ht="15.75" customHeight="1">
      <c r="AE2795"/>
    </row>
    <row r="2796" spans="31:31" ht="15.75" customHeight="1">
      <c r="AE2796"/>
    </row>
    <row r="2797" spans="31:31" ht="15.75" customHeight="1">
      <c r="AE2797"/>
    </row>
    <row r="2798" spans="31:31" ht="15.75" customHeight="1">
      <c r="AE2798"/>
    </row>
    <row r="2799" spans="31:31" ht="15.75" customHeight="1">
      <c r="AE2799"/>
    </row>
    <row r="2800" spans="31:31" ht="15.75" customHeight="1">
      <c r="AE2800"/>
    </row>
    <row r="2801" spans="31:31" ht="15.75" customHeight="1">
      <c r="AE2801"/>
    </row>
    <row r="2802" spans="31:31" ht="15.75" customHeight="1">
      <c r="AE2802"/>
    </row>
    <row r="2803" spans="31:31" ht="15.75" customHeight="1">
      <c r="AE2803"/>
    </row>
    <row r="2804" spans="31:31" ht="15.75" customHeight="1">
      <c r="AE2804"/>
    </row>
    <row r="2805" spans="31:31" ht="15.75" customHeight="1">
      <c r="AE2805"/>
    </row>
    <row r="2806" spans="31:31" ht="15.75" customHeight="1">
      <c r="AE2806"/>
    </row>
    <row r="2807" spans="31:31" ht="15.75" customHeight="1">
      <c r="AE2807"/>
    </row>
    <row r="2808" spans="31:31" ht="15.75" customHeight="1">
      <c r="AE2808"/>
    </row>
    <row r="2809" spans="31:31" ht="15.75" customHeight="1">
      <c r="AE2809"/>
    </row>
    <row r="2810" spans="31:31" ht="15.75" customHeight="1">
      <c r="AE2810"/>
    </row>
    <row r="2811" spans="31:31" ht="15.75" customHeight="1">
      <c r="AE2811"/>
    </row>
    <row r="2812" spans="31:31" ht="15.75" customHeight="1">
      <c r="AE2812"/>
    </row>
    <row r="2813" spans="31:31" ht="15.75" customHeight="1">
      <c r="AE2813"/>
    </row>
    <row r="2814" spans="31:31" ht="15.75" customHeight="1">
      <c r="AE2814"/>
    </row>
    <row r="2815" spans="31:31" ht="15.75" customHeight="1">
      <c r="AE2815"/>
    </row>
    <row r="2816" spans="31:31" ht="15.75" customHeight="1">
      <c r="AE2816"/>
    </row>
    <row r="2817" spans="31:31" ht="15.75" customHeight="1">
      <c r="AE2817"/>
    </row>
    <row r="2818" spans="31:31" ht="15.75" customHeight="1">
      <c r="AE2818"/>
    </row>
    <row r="2819" spans="31:31" ht="15.75" customHeight="1">
      <c r="AE2819"/>
    </row>
    <row r="2820" spans="31:31" ht="15.75" customHeight="1">
      <c r="AE2820"/>
    </row>
    <row r="2821" spans="31:31" ht="15.75" customHeight="1">
      <c r="AE2821"/>
    </row>
    <row r="2822" spans="31:31" ht="15.75" customHeight="1">
      <c r="AE2822"/>
    </row>
    <row r="2823" spans="31:31" ht="15.75" customHeight="1">
      <c r="AE2823"/>
    </row>
    <row r="2824" spans="31:31" ht="15.75" customHeight="1">
      <c r="AE2824"/>
    </row>
    <row r="2825" spans="31:31" ht="15.75" customHeight="1">
      <c r="AE2825"/>
    </row>
    <row r="2826" spans="31:31" ht="15.75" customHeight="1">
      <c r="AE2826"/>
    </row>
    <row r="2827" spans="31:31" ht="15.75" customHeight="1">
      <c r="AE2827"/>
    </row>
    <row r="2828" spans="31:31" ht="15.75" customHeight="1">
      <c r="AE2828"/>
    </row>
    <row r="2829" spans="31:31" ht="15.75" customHeight="1">
      <c r="AE2829"/>
    </row>
    <row r="2830" spans="31:31" ht="15.75" customHeight="1">
      <c r="AE2830"/>
    </row>
    <row r="2831" spans="31:31" ht="15.75" customHeight="1">
      <c r="AE2831"/>
    </row>
    <row r="2832" spans="31:31" ht="15.75" customHeight="1">
      <c r="AE2832"/>
    </row>
    <row r="2833" spans="31:31" ht="15.75" customHeight="1">
      <c r="AE2833"/>
    </row>
    <row r="2834" spans="31:31" ht="15.75" customHeight="1">
      <c r="AE2834"/>
    </row>
    <row r="2835" spans="31:31" ht="15.75" customHeight="1">
      <c r="AE2835"/>
    </row>
    <row r="2836" spans="31:31" ht="15.75" customHeight="1">
      <c r="AE2836"/>
    </row>
    <row r="2837" spans="31:31" ht="15.75" customHeight="1">
      <c r="AE2837"/>
    </row>
    <row r="2838" spans="31:31" ht="15.75" customHeight="1">
      <c r="AE2838"/>
    </row>
    <row r="2839" spans="31:31" ht="15.75" customHeight="1">
      <c r="AE2839"/>
    </row>
    <row r="2840" spans="31:31" ht="15.75" customHeight="1">
      <c r="AE2840"/>
    </row>
    <row r="2841" spans="31:31" ht="15.75" customHeight="1">
      <c r="AE2841"/>
    </row>
    <row r="2842" spans="31:31" ht="15.75" customHeight="1">
      <c r="AE2842"/>
    </row>
    <row r="2843" spans="31:31" ht="15.75" customHeight="1">
      <c r="AE2843"/>
    </row>
    <row r="2844" spans="31:31" ht="15.75" customHeight="1">
      <c r="AE2844"/>
    </row>
    <row r="2845" spans="31:31" ht="15.75" customHeight="1">
      <c r="AE2845"/>
    </row>
    <row r="2846" spans="31:31" ht="15.75" customHeight="1">
      <c r="AE2846"/>
    </row>
    <row r="2847" spans="31:31" ht="15.75" customHeight="1">
      <c r="AE2847"/>
    </row>
    <row r="2848" spans="31:31" ht="15.75" customHeight="1">
      <c r="AE2848"/>
    </row>
    <row r="2849" spans="31:31" ht="15.75" customHeight="1">
      <c r="AE2849"/>
    </row>
    <row r="2850" spans="31:31" ht="15.75" customHeight="1">
      <c r="AE2850"/>
    </row>
    <row r="2851" spans="31:31" ht="15.75" customHeight="1">
      <c r="AE2851"/>
    </row>
    <row r="2852" spans="31:31" ht="15.75" customHeight="1">
      <c r="AE2852"/>
    </row>
    <row r="2853" spans="31:31" ht="15.75" customHeight="1">
      <c r="AE2853"/>
    </row>
    <row r="2854" spans="31:31" ht="15.75" customHeight="1">
      <c r="AE2854"/>
    </row>
    <row r="2855" spans="31:31" ht="15.75" customHeight="1">
      <c r="AE2855"/>
    </row>
    <row r="2856" spans="31:31" ht="15.75" customHeight="1">
      <c r="AE2856"/>
    </row>
    <row r="2857" spans="31:31" ht="15.75" customHeight="1">
      <c r="AE2857"/>
    </row>
    <row r="2858" spans="31:31" ht="15.75" customHeight="1">
      <c r="AE2858"/>
    </row>
    <row r="2859" spans="31:31" ht="15.75" customHeight="1">
      <c r="AE2859"/>
    </row>
    <row r="2860" spans="31:31" ht="15.75" customHeight="1">
      <c r="AE2860"/>
    </row>
    <row r="2861" spans="31:31" ht="15.75" customHeight="1">
      <c r="AE2861"/>
    </row>
    <row r="2862" spans="31:31" ht="15.75" customHeight="1">
      <c r="AE2862"/>
    </row>
    <row r="2863" spans="31:31" ht="15.75" customHeight="1">
      <c r="AE2863"/>
    </row>
    <row r="2864" spans="31:31" ht="15.75" customHeight="1">
      <c r="AE2864"/>
    </row>
    <row r="2865" spans="31:31" ht="15.75" customHeight="1">
      <c r="AE2865"/>
    </row>
    <row r="2866" spans="31:31" ht="15.75" customHeight="1">
      <c r="AE2866"/>
    </row>
    <row r="2867" spans="31:31" ht="15.75" customHeight="1">
      <c r="AE2867"/>
    </row>
    <row r="2868" spans="31:31" ht="15.75" customHeight="1">
      <c r="AE2868"/>
    </row>
    <row r="2869" spans="31:31" ht="15.75" customHeight="1">
      <c r="AE2869"/>
    </row>
    <row r="2870" spans="31:31" ht="15.75" customHeight="1">
      <c r="AE2870"/>
    </row>
    <row r="2871" spans="31:31" ht="15.75" customHeight="1">
      <c r="AE2871"/>
    </row>
    <row r="2872" spans="31:31" ht="15.75" customHeight="1">
      <c r="AE2872"/>
    </row>
    <row r="2873" spans="31:31" ht="15.75" customHeight="1">
      <c r="AE2873"/>
    </row>
    <row r="2874" spans="31:31" ht="15.75" customHeight="1">
      <c r="AE2874"/>
    </row>
    <row r="2875" spans="31:31" ht="15.75" customHeight="1">
      <c r="AE2875"/>
    </row>
    <row r="2876" spans="31:31" ht="15.75" customHeight="1">
      <c r="AE2876"/>
    </row>
    <row r="2877" spans="31:31" ht="15.75" customHeight="1">
      <c r="AE2877"/>
    </row>
    <row r="2878" spans="31:31" ht="15.75" customHeight="1">
      <c r="AE2878"/>
    </row>
    <row r="2879" spans="31:31" ht="15.75" customHeight="1">
      <c r="AE2879"/>
    </row>
    <row r="2880" spans="31:31" ht="15.75" customHeight="1">
      <c r="AE2880"/>
    </row>
    <row r="2881" spans="31:31" ht="15.75" customHeight="1">
      <c r="AE2881"/>
    </row>
    <row r="2882" spans="31:31" ht="15.75" customHeight="1">
      <c r="AE2882"/>
    </row>
    <row r="2883" spans="31:31" ht="15.75" customHeight="1">
      <c r="AE2883"/>
    </row>
    <row r="2884" spans="31:31" ht="15.75" customHeight="1">
      <c r="AE2884"/>
    </row>
    <row r="2885" spans="31:31" ht="15.75" customHeight="1">
      <c r="AE2885"/>
    </row>
    <row r="2886" spans="31:31" ht="15.75" customHeight="1">
      <c r="AE2886"/>
    </row>
    <row r="2887" spans="31:31" ht="15.75" customHeight="1">
      <c r="AE2887"/>
    </row>
    <row r="2888" spans="31:31" ht="15.75" customHeight="1">
      <c r="AE2888"/>
    </row>
    <row r="2889" spans="31:31" ht="15.75" customHeight="1">
      <c r="AE2889"/>
    </row>
    <row r="2890" spans="31:31" ht="15.75" customHeight="1">
      <c r="AE2890"/>
    </row>
    <row r="2891" spans="31:31" ht="15.75" customHeight="1">
      <c r="AE2891"/>
    </row>
    <row r="2892" spans="31:31" ht="15.75" customHeight="1">
      <c r="AE2892"/>
    </row>
    <row r="2893" spans="31:31" ht="15.75" customHeight="1">
      <c r="AE2893"/>
    </row>
    <row r="2894" spans="31:31" ht="15.75" customHeight="1">
      <c r="AE2894"/>
    </row>
    <row r="2895" spans="31:31" ht="15.75" customHeight="1">
      <c r="AE2895"/>
    </row>
    <row r="2896" spans="31:31" ht="15.75" customHeight="1">
      <c r="AE2896"/>
    </row>
    <row r="2897" spans="31:31" ht="15.75" customHeight="1">
      <c r="AE2897"/>
    </row>
    <row r="2898" spans="31:31" ht="15.75" customHeight="1">
      <c r="AE2898"/>
    </row>
    <row r="2899" spans="31:31" ht="15.75" customHeight="1">
      <c r="AE2899"/>
    </row>
    <row r="2900" spans="31:31" ht="15.75" customHeight="1">
      <c r="AE2900"/>
    </row>
    <row r="2901" spans="31:31" ht="15.75" customHeight="1">
      <c r="AE2901"/>
    </row>
    <row r="2902" spans="31:31" ht="15.75" customHeight="1">
      <c r="AE2902"/>
    </row>
    <row r="2903" spans="31:31" ht="15.75" customHeight="1">
      <c r="AE2903"/>
    </row>
    <row r="2904" spans="31:31" ht="15.75" customHeight="1">
      <c r="AE2904"/>
    </row>
    <row r="2905" spans="31:31" ht="15.75" customHeight="1">
      <c r="AE2905"/>
    </row>
    <row r="2906" spans="31:31" ht="15.75" customHeight="1">
      <c r="AE2906"/>
    </row>
    <row r="2907" spans="31:31" ht="15.75" customHeight="1">
      <c r="AE2907"/>
    </row>
    <row r="2908" spans="31:31" ht="15.75" customHeight="1">
      <c r="AE2908"/>
    </row>
    <row r="2909" spans="31:31" ht="15.75" customHeight="1">
      <c r="AE2909"/>
    </row>
    <row r="2910" spans="31:31" ht="15.75" customHeight="1">
      <c r="AE2910"/>
    </row>
    <row r="2911" spans="31:31" ht="15.75" customHeight="1">
      <c r="AE2911"/>
    </row>
    <row r="2912" spans="31:31" ht="15.75" customHeight="1">
      <c r="AE2912"/>
    </row>
    <row r="2913" spans="31:31" ht="15.75" customHeight="1">
      <c r="AE2913"/>
    </row>
    <row r="2914" spans="31:31" ht="15.75" customHeight="1">
      <c r="AE2914"/>
    </row>
    <row r="2915" spans="31:31" ht="15.75" customHeight="1">
      <c r="AE2915"/>
    </row>
    <row r="2916" spans="31:31" ht="15.75" customHeight="1">
      <c r="AE2916"/>
    </row>
    <row r="2917" spans="31:31" ht="15.75" customHeight="1">
      <c r="AE2917"/>
    </row>
    <row r="2918" spans="31:31" ht="15.75" customHeight="1">
      <c r="AE2918"/>
    </row>
    <row r="2919" spans="31:31" ht="15.75" customHeight="1">
      <c r="AE2919"/>
    </row>
    <row r="2920" spans="31:31" ht="15.75" customHeight="1">
      <c r="AE2920"/>
    </row>
    <row r="2921" spans="31:31" ht="15.75" customHeight="1">
      <c r="AE2921"/>
    </row>
    <row r="2922" spans="31:31" ht="15.75" customHeight="1">
      <c r="AE2922"/>
    </row>
    <row r="2923" spans="31:31" ht="15.75" customHeight="1">
      <c r="AE2923"/>
    </row>
    <row r="2924" spans="31:31" ht="15.75" customHeight="1">
      <c r="AE2924"/>
    </row>
    <row r="2925" spans="31:31" ht="15.75" customHeight="1">
      <c r="AE2925"/>
    </row>
    <row r="2926" spans="31:31" ht="15.75" customHeight="1">
      <c r="AE2926"/>
    </row>
    <row r="2927" spans="31:31" ht="15.75" customHeight="1">
      <c r="AE2927"/>
    </row>
    <row r="2928" spans="31:31" ht="15.75" customHeight="1">
      <c r="AE2928"/>
    </row>
    <row r="2929" spans="31:31" ht="15.75" customHeight="1">
      <c r="AE2929"/>
    </row>
    <row r="2930" spans="31:31" ht="15.75" customHeight="1">
      <c r="AE2930"/>
    </row>
    <row r="2931" spans="31:31" ht="15.75" customHeight="1">
      <c r="AE2931"/>
    </row>
    <row r="2932" spans="31:31" ht="15.75" customHeight="1">
      <c r="AE2932"/>
    </row>
    <row r="2933" spans="31:31" ht="15.75" customHeight="1">
      <c r="AE2933"/>
    </row>
    <row r="2934" spans="31:31" ht="15.75" customHeight="1">
      <c r="AE2934"/>
    </row>
    <row r="2935" spans="31:31" ht="15.75" customHeight="1">
      <c r="AE2935"/>
    </row>
    <row r="2936" spans="31:31" ht="15.75" customHeight="1">
      <c r="AE2936"/>
    </row>
    <row r="2937" spans="31:31" ht="15.75" customHeight="1">
      <c r="AE2937"/>
    </row>
    <row r="2938" spans="31:31" ht="15.75" customHeight="1">
      <c r="AE2938"/>
    </row>
    <row r="2939" spans="31:31" ht="15.75" customHeight="1">
      <c r="AE2939"/>
    </row>
    <row r="2940" spans="31:31" ht="15.75" customHeight="1">
      <c r="AE2940"/>
    </row>
    <row r="2941" spans="31:31" ht="15.75" customHeight="1">
      <c r="AE2941"/>
    </row>
    <row r="2942" spans="31:31" ht="15.75" customHeight="1">
      <c r="AE2942"/>
    </row>
    <row r="2943" spans="31:31" ht="15.75" customHeight="1">
      <c r="AE2943"/>
    </row>
    <row r="2944" spans="31:31" ht="15.75" customHeight="1">
      <c r="AE2944"/>
    </row>
    <row r="2945" spans="31:31" ht="15.75" customHeight="1">
      <c r="AE2945"/>
    </row>
    <row r="2946" spans="31:31" ht="15.75" customHeight="1">
      <c r="AE2946"/>
    </row>
    <row r="2947" spans="31:31" ht="15.75" customHeight="1">
      <c r="AE2947"/>
    </row>
    <row r="2948" spans="31:31" ht="15.75" customHeight="1">
      <c r="AE2948"/>
    </row>
    <row r="2949" spans="31:31" ht="15.75" customHeight="1">
      <c r="AE2949"/>
    </row>
    <row r="2950" spans="31:31" ht="15.75" customHeight="1">
      <c r="AE2950"/>
    </row>
    <row r="2951" spans="31:31" ht="15.75" customHeight="1">
      <c r="AE2951"/>
    </row>
    <row r="2952" spans="31:31" ht="15.75" customHeight="1">
      <c r="AE2952"/>
    </row>
    <row r="2953" spans="31:31" ht="15.75" customHeight="1">
      <c r="AE2953"/>
    </row>
    <row r="2954" spans="31:31" ht="15.75" customHeight="1">
      <c r="AE2954"/>
    </row>
    <row r="2955" spans="31:31" ht="15.75" customHeight="1">
      <c r="AE2955"/>
    </row>
    <row r="2956" spans="31:31" ht="15.75" customHeight="1">
      <c r="AE2956"/>
    </row>
    <row r="2957" spans="31:31" ht="15.75" customHeight="1">
      <c r="AE2957"/>
    </row>
    <row r="2958" spans="31:31" ht="15.75" customHeight="1">
      <c r="AE2958"/>
    </row>
    <row r="2959" spans="31:31" ht="15.75" customHeight="1">
      <c r="AE2959"/>
    </row>
    <row r="2960" spans="31:31" ht="15.75" customHeight="1">
      <c r="AE2960"/>
    </row>
    <row r="2961" spans="31:31" ht="15.75" customHeight="1">
      <c r="AE2961"/>
    </row>
    <row r="2962" spans="31:31" ht="15.75" customHeight="1">
      <c r="AE2962"/>
    </row>
    <row r="2963" spans="31:31" ht="15.75" customHeight="1">
      <c r="AE2963"/>
    </row>
    <row r="2964" spans="31:31" ht="15.75" customHeight="1">
      <c r="AE2964"/>
    </row>
    <row r="2965" spans="31:31" ht="15.75" customHeight="1">
      <c r="AE2965"/>
    </row>
    <row r="2966" spans="31:31" ht="15.75" customHeight="1">
      <c r="AE2966"/>
    </row>
    <row r="2967" spans="31:31" ht="15.75" customHeight="1">
      <c r="AE2967"/>
    </row>
    <row r="2968" spans="31:31" ht="15.75" customHeight="1">
      <c r="AE2968"/>
    </row>
    <row r="2969" spans="31:31" ht="15.75" customHeight="1">
      <c r="AE2969"/>
    </row>
    <row r="2970" spans="31:31" ht="15.75" customHeight="1">
      <c r="AE2970"/>
    </row>
    <row r="2971" spans="31:31" ht="15.75" customHeight="1">
      <c r="AE2971"/>
    </row>
    <row r="2972" spans="31:31" ht="15.75" customHeight="1">
      <c r="AE2972"/>
    </row>
    <row r="2973" spans="31:31" ht="15.75" customHeight="1">
      <c r="AE2973"/>
    </row>
    <row r="2974" spans="31:31" ht="15.75" customHeight="1">
      <c r="AE2974"/>
    </row>
    <row r="2975" spans="31:31" ht="15.75" customHeight="1">
      <c r="AE2975"/>
    </row>
    <row r="2976" spans="31:31" ht="15.75" customHeight="1">
      <c r="AE2976"/>
    </row>
    <row r="2977" spans="31:31" ht="15.75" customHeight="1">
      <c r="AE2977"/>
    </row>
    <row r="2978" spans="31:31" ht="15.75" customHeight="1">
      <c r="AE2978"/>
    </row>
    <row r="2979" spans="31:31" ht="15.75" customHeight="1">
      <c r="AE2979"/>
    </row>
    <row r="2980" spans="31:31" ht="15.75" customHeight="1">
      <c r="AE2980"/>
    </row>
    <row r="2981" spans="31:31" ht="15.75" customHeight="1">
      <c r="AE2981"/>
    </row>
    <row r="2982" spans="31:31" ht="15.75" customHeight="1">
      <c r="AE2982"/>
    </row>
    <row r="2983" spans="31:31" ht="15.75" customHeight="1">
      <c r="AE2983"/>
    </row>
    <row r="2984" spans="31:31" ht="15.75" customHeight="1">
      <c r="AE2984"/>
    </row>
    <row r="2985" spans="31:31" ht="15.75" customHeight="1">
      <c r="AE2985"/>
    </row>
    <row r="2986" spans="31:31" ht="15.75" customHeight="1">
      <c r="AE2986"/>
    </row>
    <row r="2987" spans="31:31" ht="15.75" customHeight="1">
      <c r="AE2987"/>
    </row>
    <row r="2988" spans="31:31" ht="15.75" customHeight="1">
      <c r="AE2988"/>
    </row>
    <row r="2989" spans="31:31" ht="15.75" customHeight="1">
      <c r="AE2989"/>
    </row>
    <row r="2990" spans="31:31" ht="15.75" customHeight="1">
      <c r="AE2990"/>
    </row>
    <row r="2991" spans="31:31" ht="15.75" customHeight="1">
      <c r="AE2991"/>
    </row>
    <row r="2992" spans="31:31" ht="15.75" customHeight="1">
      <c r="AE2992"/>
    </row>
    <row r="2993" spans="31:31" ht="15.75" customHeight="1">
      <c r="AE2993"/>
    </row>
    <row r="2994" spans="31:31" ht="15.75" customHeight="1">
      <c r="AE2994"/>
    </row>
    <row r="2995" spans="31:31" ht="15.75" customHeight="1">
      <c r="AE2995"/>
    </row>
    <row r="2996" spans="31:31" ht="15.75" customHeight="1">
      <c r="AE2996"/>
    </row>
    <row r="2997" spans="31:31" ht="15.75" customHeight="1">
      <c r="AE2997"/>
    </row>
    <row r="2998" spans="31:31" ht="15.75" customHeight="1">
      <c r="AE2998"/>
    </row>
    <row r="2999" spans="31:31" ht="15.75" customHeight="1">
      <c r="AE2999"/>
    </row>
    <row r="3000" spans="31:31" ht="15.75" customHeight="1">
      <c r="AE3000"/>
    </row>
    <row r="3001" spans="31:31" ht="15.75" customHeight="1">
      <c r="AE3001"/>
    </row>
    <row r="3002" spans="31:31" ht="15.75" customHeight="1">
      <c r="AE3002"/>
    </row>
    <row r="3003" spans="31:31" ht="15.75" customHeight="1">
      <c r="AE3003"/>
    </row>
    <row r="3004" spans="31:31" ht="15.75" customHeight="1">
      <c r="AE3004"/>
    </row>
    <row r="3005" spans="31:31" ht="15.75" customHeight="1">
      <c r="AE3005"/>
    </row>
    <row r="3006" spans="31:31" ht="15.75" customHeight="1">
      <c r="AE3006"/>
    </row>
    <row r="3007" spans="31:31" ht="15.75" customHeight="1">
      <c r="AE3007"/>
    </row>
    <row r="3008" spans="31:31" ht="15.75" customHeight="1">
      <c r="AE3008"/>
    </row>
    <row r="3009" spans="31:31" ht="15.75" customHeight="1">
      <c r="AE3009"/>
    </row>
    <row r="3010" spans="31:31" ht="15.75" customHeight="1">
      <c r="AE3010"/>
    </row>
    <row r="3011" spans="31:31" ht="15.75" customHeight="1">
      <c r="AE3011"/>
    </row>
    <row r="3012" spans="31:31" ht="15.75" customHeight="1">
      <c r="AE3012"/>
    </row>
    <row r="3013" spans="31:31" ht="15.75" customHeight="1">
      <c r="AE3013"/>
    </row>
    <row r="3014" spans="31:31" ht="15.75" customHeight="1">
      <c r="AE3014"/>
    </row>
    <row r="3015" spans="31:31" ht="15.75" customHeight="1">
      <c r="AE3015"/>
    </row>
    <row r="3016" spans="31:31" ht="15.75" customHeight="1">
      <c r="AE3016"/>
    </row>
    <row r="3017" spans="31:31" ht="15.75" customHeight="1">
      <c r="AE3017"/>
    </row>
    <row r="3018" spans="31:31" ht="15.75" customHeight="1">
      <c r="AE3018"/>
    </row>
    <row r="3019" spans="31:31" ht="15.75" customHeight="1">
      <c r="AE3019"/>
    </row>
    <row r="3020" spans="31:31" ht="15.75" customHeight="1">
      <c r="AE3020"/>
    </row>
    <row r="3021" spans="31:31" ht="15.75" customHeight="1">
      <c r="AE3021"/>
    </row>
    <row r="3022" spans="31:31" ht="15.75" customHeight="1">
      <c r="AE3022"/>
    </row>
    <row r="3023" spans="31:31" ht="15.75" customHeight="1">
      <c r="AE3023"/>
    </row>
    <row r="3024" spans="31:31" ht="15.75" customHeight="1">
      <c r="AE3024"/>
    </row>
    <row r="3025" spans="31:31" ht="15.75" customHeight="1">
      <c r="AE3025"/>
    </row>
    <row r="3026" spans="31:31" ht="15.75" customHeight="1">
      <c r="AE3026"/>
    </row>
    <row r="3027" spans="31:31" ht="15.75" customHeight="1">
      <c r="AE3027"/>
    </row>
    <row r="3028" spans="31:31" ht="15.75" customHeight="1">
      <c r="AE3028"/>
    </row>
    <row r="3029" spans="31:31" ht="15.75" customHeight="1">
      <c r="AE3029"/>
    </row>
    <row r="3030" spans="31:31" ht="15.75" customHeight="1">
      <c r="AE3030"/>
    </row>
    <row r="3031" spans="31:31" ht="15.75" customHeight="1">
      <c r="AE3031"/>
    </row>
    <row r="3032" spans="31:31" ht="15.75" customHeight="1">
      <c r="AE3032"/>
    </row>
    <row r="3033" spans="31:31" ht="15.75" customHeight="1">
      <c r="AE3033"/>
    </row>
    <row r="3034" spans="31:31" ht="15.75" customHeight="1">
      <c r="AE3034"/>
    </row>
    <row r="3035" spans="31:31" ht="15.75" customHeight="1">
      <c r="AE3035"/>
    </row>
    <row r="3036" spans="31:31" ht="15.75" customHeight="1">
      <c r="AE3036"/>
    </row>
    <row r="3037" spans="31:31" ht="15.75" customHeight="1">
      <c r="AE3037"/>
    </row>
    <row r="3038" spans="31:31" ht="15.75" customHeight="1">
      <c r="AE3038"/>
    </row>
    <row r="3039" spans="31:31" ht="15.75" customHeight="1">
      <c r="AE3039"/>
    </row>
    <row r="3040" spans="31:31" ht="15.75" customHeight="1">
      <c r="AE3040"/>
    </row>
    <row r="3041" spans="31:31" ht="15.75" customHeight="1">
      <c r="AE3041"/>
    </row>
    <row r="3042" spans="31:31" ht="15.75" customHeight="1">
      <c r="AE3042"/>
    </row>
    <row r="3043" spans="31:31" ht="15.75" customHeight="1">
      <c r="AE3043"/>
    </row>
    <row r="3044" spans="31:31" ht="15.75" customHeight="1">
      <c r="AE3044"/>
    </row>
    <row r="3045" spans="31:31" ht="15.75" customHeight="1">
      <c r="AE3045"/>
    </row>
    <row r="3046" spans="31:31" ht="15.75" customHeight="1">
      <c r="AE3046"/>
    </row>
    <row r="3047" spans="31:31" ht="15.75" customHeight="1">
      <c r="AE3047"/>
    </row>
    <row r="3048" spans="31:31" ht="15.75" customHeight="1">
      <c r="AE3048"/>
    </row>
    <row r="3049" spans="31:31" ht="15.75" customHeight="1">
      <c r="AE3049"/>
    </row>
    <row r="3050" spans="31:31" ht="15.75" customHeight="1">
      <c r="AE3050"/>
    </row>
    <row r="3051" spans="31:31" ht="15.75" customHeight="1">
      <c r="AE3051"/>
    </row>
    <row r="3052" spans="31:31" ht="15.75" customHeight="1">
      <c r="AE3052"/>
    </row>
    <row r="3053" spans="31:31" ht="15.75" customHeight="1">
      <c r="AE3053"/>
    </row>
    <row r="3054" spans="31:31" ht="15.75" customHeight="1">
      <c r="AE3054"/>
    </row>
    <row r="3055" spans="31:31" ht="15.75" customHeight="1">
      <c r="AE3055"/>
    </row>
    <row r="3056" spans="31:31" ht="15.75" customHeight="1">
      <c r="AE3056"/>
    </row>
    <row r="3057" spans="31:31" ht="15.75" customHeight="1">
      <c r="AE3057"/>
    </row>
    <row r="3058" spans="31:31" ht="15.75" customHeight="1">
      <c r="AE3058"/>
    </row>
    <row r="3059" spans="31:31" ht="15.75" customHeight="1">
      <c r="AE3059"/>
    </row>
    <row r="3060" spans="31:31" ht="15.75" customHeight="1">
      <c r="AE3060"/>
    </row>
    <row r="3061" spans="31:31" ht="15.75" customHeight="1">
      <c r="AE3061"/>
    </row>
    <row r="3062" spans="31:31" ht="15.75" customHeight="1">
      <c r="AE3062"/>
    </row>
    <row r="3063" spans="31:31" ht="15.75" customHeight="1">
      <c r="AE3063"/>
    </row>
    <row r="3064" spans="31:31" ht="15.75" customHeight="1">
      <c r="AE3064"/>
    </row>
    <row r="3065" spans="31:31" ht="15.75" customHeight="1">
      <c r="AE3065"/>
    </row>
    <row r="3066" spans="31:31" ht="15.75" customHeight="1">
      <c r="AE3066"/>
    </row>
    <row r="3067" spans="31:31" ht="15.75" customHeight="1">
      <c r="AE3067"/>
    </row>
    <row r="3068" spans="31:31" ht="15.75" customHeight="1">
      <c r="AE3068"/>
    </row>
    <row r="3069" spans="31:31" ht="15.75" customHeight="1">
      <c r="AE3069"/>
    </row>
    <row r="3070" spans="31:31" ht="15.75" customHeight="1">
      <c r="AE3070"/>
    </row>
    <row r="3071" spans="31:31" ht="15.75" customHeight="1">
      <c r="AE3071"/>
    </row>
    <row r="3072" spans="31:31" ht="15.75" customHeight="1">
      <c r="AE3072"/>
    </row>
    <row r="3073" spans="31:31" ht="15.75" customHeight="1">
      <c r="AE3073"/>
    </row>
    <row r="3074" spans="31:31" ht="15.75" customHeight="1">
      <c r="AE3074"/>
    </row>
    <row r="3075" spans="31:31" ht="15.75" customHeight="1">
      <c r="AE3075"/>
    </row>
    <row r="3076" spans="31:31" ht="15.75" customHeight="1">
      <c r="AE3076"/>
    </row>
    <row r="3077" spans="31:31" ht="15.75" customHeight="1">
      <c r="AE3077"/>
    </row>
    <row r="3078" spans="31:31" ht="15.75" customHeight="1">
      <c r="AE3078"/>
    </row>
    <row r="3079" spans="31:31" ht="15.75" customHeight="1">
      <c r="AE3079"/>
    </row>
    <row r="3080" spans="31:31" ht="15.75" customHeight="1">
      <c r="AE3080"/>
    </row>
    <row r="3081" spans="31:31" ht="15.75" customHeight="1">
      <c r="AE3081"/>
    </row>
    <row r="3082" spans="31:31" ht="15.75" customHeight="1">
      <c r="AE3082"/>
    </row>
    <row r="3083" spans="31:31" ht="15.75" customHeight="1">
      <c r="AE3083"/>
    </row>
    <row r="3084" spans="31:31" ht="15.75" customHeight="1">
      <c r="AE3084"/>
    </row>
    <row r="3085" spans="31:31" ht="15.75" customHeight="1">
      <c r="AE3085"/>
    </row>
    <row r="3086" spans="31:31" ht="15.75" customHeight="1">
      <c r="AE3086"/>
    </row>
    <row r="3087" spans="31:31" ht="15.75" customHeight="1">
      <c r="AE3087"/>
    </row>
    <row r="3088" spans="31:31" ht="15.75" customHeight="1">
      <c r="AE3088"/>
    </row>
    <row r="3089" spans="31:31" ht="15.75" customHeight="1">
      <c r="AE3089"/>
    </row>
    <row r="3090" spans="31:31" ht="15.75" customHeight="1">
      <c r="AE3090"/>
    </row>
    <row r="3091" spans="31:31" ht="15.75" customHeight="1">
      <c r="AE3091"/>
    </row>
    <row r="3092" spans="31:31" ht="15.75" customHeight="1">
      <c r="AE3092"/>
    </row>
    <row r="3093" spans="31:31" ht="15.75" customHeight="1">
      <c r="AE3093"/>
    </row>
    <row r="3094" spans="31:31" ht="15.75" customHeight="1">
      <c r="AE3094"/>
    </row>
    <row r="3095" spans="31:31" ht="15.75" customHeight="1">
      <c r="AE3095"/>
    </row>
    <row r="3096" spans="31:31" ht="15.75" customHeight="1">
      <c r="AE3096"/>
    </row>
    <row r="3097" spans="31:31" ht="15.75" customHeight="1">
      <c r="AE3097"/>
    </row>
    <row r="3098" spans="31:31" ht="15.75" customHeight="1">
      <c r="AE3098"/>
    </row>
    <row r="3099" spans="31:31" ht="15.75" customHeight="1">
      <c r="AE3099"/>
    </row>
    <row r="3100" spans="31:31" ht="15.75" customHeight="1">
      <c r="AE3100"/>
    </row>
    <row r="3101" spans="31:31" ht="15.75" customHeight="1">
      <c r="AE3101"/>
    </row>
    <row r="3102" spans="31:31" ht="15.75" customHeight="1">
      <c r="AE3102"/>
    </row>
    <row r="3103" spans="31:31" ht="15.75" customHeight="1">
      <c r="AE3103"/>
    </row>
    <row r="3104" spans="31:31" ht="15.75" customHeight="1">
      <c r="AE3104"/>
    </row>
    <row r="3105" spans="31:31" ht="15.75" customHeight="1">
      <c r="AE3105"/>
    </row>
    <row r="3106" spans="31:31" ht="15.75" customHeight="1">
      <c r="AE3106"/>
    </row>
    <row r="3107" spans="31:31" ht="15.75" customHeight="1">
      <c r="AE3107"/>
    </row>
    <row r="3108" spans="31:31" ht="15.75" customHeight="1">
      <c r="AE3108"/>
    </row>
    <row r="3109" spans="31:31" ht="15.75" customHeight="1">
      <c r="AE3109"/>
    </row>
    <row r="3110" spans="31:31" ht="15.75" customHeight="1">
      <c r="AE3110"/>
    </row>
    <row r="3111" spans="31:31" ht="15.75" customHeight="1">
      <c r="AE3111"/>
    </row>
    <row r="3112" spans="31:31" ht="15.75" customHeight="1">
      <c r="AE3112"/>
    </row>
    <row r="3113" spans="31:31" ht="15.75" customHeight="1">
      <c r="AE3113"/>
    </row>
    <row r="3114" spans="31:31" ht="15.75" customHeight="1">
      <c r="AE3114"/>
    </row>
    <row r="3115" spans="31:31" ht="15.75" customHeight="1">
      <c r="AE3115"/>
    </row>
    <row r="3116" spans="31:31" ht="15.75" customHeight="1">
      <c r="AE3116"/>
    </row>
    <row r="3117" spans="31:31" ht="15.75" customHeight="1">
      <c r="AE3117"/>
    </row>
    <row r="3118" spans="31:31" ht="15.75" customHeight="1">
      <c r="AE3118"/>
    </row>
    <row r="3119" spans="31:31" ht="15.75" customHeight="1">
      <c r="AE3119"/>
    </row>
    <row r="3120" spans="31:31" ht="15.75" customHeight="1">
      <c r="AE3120"/>
    </row>
    <row r="3121" spans="31:31" ht="15.75" customHeight="1">
      <c r="AE3121"/>
    </row>
    <row r="3122" spans="31:31" ht="15.75" customHeight="1">
      <c r="AE3122"/>
    </row>
    <row r="3123" spans="31:31" ht="15.75" customHeight="1">
      <c r="AE3123"/>
    </row>
    <row r="3124" spans="31:31" ht="15.75" customHeight="1">
      <c r="AE3124"/>
    </row>
    <row r="3125" spans="31:31" ht="15.75" customHeight="1">
      <c r="AE3125"/>
    </row>
    <row r="3126" spans="31:31" ht="15.75" customHeight="1">
      <c r="AE3126"/>
    </row>
    <row r="3127" spans="31:31" ht="15.75" customHeight="1">
      <c r="AE3127"/>
    </row>
    <row r="3128" spans="31:31" ht="15.75" customHeight="1">
      <c r="AE3128"/>
    </row>
    <row r="3129" spans="31:31" ht="15.75" customHeight="1">
      <c r="AE3129"/>
    </row>
    <row r="3130" spans="31:31" ht="15.75" customHeight="1">
      <c r="AE3130"/>
    </row>
    <row r="3131" spans="31:31" ht="15.75" customHeight="1">
      <c r="AE3131"/>
    </row>
    <row r="3132" spans="31:31" ht="15.75" customHeight="1">
      <c r="AE3132"/>
    </row>
    <row r="3133" spans="31:31" ht="15.75" customHeight="1">
      <c r="AE3133"/>
    </row>
    <row r="3134" spans="31:31" ht="15.75" customHeight="1">
      <c r="AE3134"/>
    </row>
    <row r="3135" spans="31:31" ht="15.75" customHeight="1">
      <c r="AE3135"/>
    </row>
    <row r="3136" spans="31:31" ht="15.75" customHeight="1">
      <c r="AE3136"/>
    </row>
    <row r="3137" spans="31:31" ht="15.75" customHeight="1">
      <c r="AE3137"/>
    </row>
    <row r="3138" spans="31:31" ht="15.75" customHeight="1">
      <c r="AE3138"/>
    </row>
    <row r="3139" spans="31:31" ht="15.75" customHeight="1">
      <c r="AE3139"/>
    </row>
    <row r="3140" spans="31:31" ht="15.75" customHeight="1">
      <c r="AE3140"/>
    </row>
    <row r="3141" spans="31:31" ht="15.75" customHeight="1">
      <c r="AE3141"/>
    </row>
    <row r="3142" spans="31:31" ht="15.75" customHeight="1">
      <c r="AE3142"/>
    </row>
    <row r="3143" spans="31:31" ht="15.75" customHeight="1">
      <c r="AE3143"/>
    </row>
    <row r="3144" spans="31:31" ht="15.75" customHeight="1">
      <c r="AE3144"/>
    </row>
    <row r="3145" spans="31:31" ht="15.75" customHeight="1">
      <c r="AE3145"/>
    </row>
    <row r="3146" spans="31:31" ht="15.75" customHeight="1">
      <c r="AE3146"/>
    </row>
    <row r="3147" spans="31:31" ht="15.75" customHeight="1">
      <c r="AE3147"/>
    </row>
    <row r="3148" spans="31:31" ht="15.75" customHeight="1">
      <c r="AE3148"/>
    </row>
    <row r="3149" spans="31:31" ht="15.75" customHeight="1">
      <c r="AE3149"/>
    </row>
    <row r="3150" spans="31:31" ht="15.75" customHeight="1">
      <c r="AE3150"/>
    </row>
    <row r="3151" spans="31:31" ht="15.75" customHeight="1">
      <c r="AE3151"/>
    </row>
    <row r="3152" spans="31:31" ht="15.75" customHeight="1">
      <c r="AE3152"/>
    </row>
    <row r="3153" spans="31:31" ht="15.75" customHeight="1">
      <c r="AE3153"/>
    </row>
    <row r="3154" spans="31:31" ht="15.75" customHeight="1">
      <c r="AE3154"/>
    </row>
    <row r="3155" spans="31:31" ht="15.75" customHeight="1">
      <c r="AE3155"/>
    </row>
    <row r="3156" spans="31:31" ht="15.75" customHeight="1">
      <c r="AE3156"/>
    </row>
    <row r="3157" spans="31:31" ht="15.75" customHeight="1">
      <c r="AE3157"/>
    </row>
    <row r="3158" spans="31:31" ht="15.75" customHeight="1">
      <c r="AE3158"/>
    </row>
    <row r="3159" spans="31:31" ht="15.75" customHeight="1">
      <c r="AE3159"/>
    </row>
    <row r="3160" spans="31:31" ht="15.75" customHeight="1">
      <c r="AE3160"/>
    </row>
    <row r="3161" spans="31:31" ht="15.75" customHeight="1">
      <c r="AE3161"/>
    </row>
    <row r="3162" spans="31:31" ht="15.75" customHeight="1">
      <c r="AE3162"/>
    </row>
    <row r="3163" spans="31:31" ht="15.75" customHeight="1">
      <c r="AE3163"/>
    </row>
    <row r="3164" spans="31:31" ht="15.75" customHeight="1">
      <c r="AE3164"/>
    </row>
    <row r="3165" spans="31:31" ht="15.75" customHeight="1">
      <c r="AE3165"/>
    </row>
    <row r="3166" spans="31:31" ht="15.75" customHeight="1">
      <c r="AE3166"/>
    </row>
    <row r="3167" spans="31:31" ht="15.75" customHeight="1">
      <c r="AE3167"/>
    </row>
    <row r="3168" spans="31:31" ht="15.75" customHeight="1">
      <c r="AE3168"/>
    </row>
    <row r="3169" spans="31:31" ht="15.75" customHeight="1">
      <c r="AE3169"/>
    </row>
    <row r="3170" spans="31:31" ht="15.75" customHeight="1">
      <c r="AE3170"/>
    </row>
    <row r="3171" spans="31:31" ht="15.75" customHeight="1">
      <c r="AE3171"/>
    </row>
    <row r="3172" spans="31:31" ht="15.75" customHeight="1">
      <c r="AE3172"/>
    </row>
    <row r="3173" spans="31:31" ht="15.75" customHeight="1">
      <c r="AE3173"/>
    </row>
    <row r="3174" spans="31:31" ht="15.75" customHeight="1">
      <c r="AE3174"/>
    </row>
    <row r="3175" spans="31:31" ht="15.75" customHeight="1">
      <c r="AE3175"/>
    </row>
    <row r="3176" spans="31:31" ht="15.75" customHeight="1">
      <c r="AE3176"/>
    </row>
    <row r="3177" spans="31:31" ht="15.75" customHeight="1">
      <c r="AE3177"/>
    </row>
    <row r="3178" spans="31:31" ht="15.75" customHeight="1">
      <c r="AE3178"/>
    </row>
    <row r="3179" spans="31:31" ht="15.75" customHeight="1">
      <c r="AE3179"/>
    </row>
    <row r="3180" spans="31:31" ht="15.75" customHeight="1">
      <c r="AE3180"/>
    </row>
    <row r="3181" spans="31:31" ht="15.75" customHeight="1">
      <c r="AE3181"/>
    </row>
    <row r="3182" spans="31:31" ht="15.75" customHeight="1">
      <c r="AE3182"/>
    </row>
    <row r="3183" spans="31:31" ht="15.75" customHeight="1">
      <c r="AE3183"/>
    </row>
    <row r="3184" spans="31:31" ht="15.75" customHeight="1">
      <c r="AE3184"/>
    </row>
    <row r="3185" spans="31:31" ht="15.75" customHeight="1">
      <c r="AE3185"/>
    </row>
    <row r="3186" spans="31:31" ht="15.75" customHeight="1">
      <c r="AE3186"/>
    </row>
    <row r="3187" spans="31:31" ht="15.75" customHeight="1">
      <c r="AE3187"/>
    </row>
    <row r="3188" spans="31:31" ht="15.75" customHeight="1">
      <c r="AE3188"/>
    </row>
    <row r="3189" spans="31:31" ht="15.75" customHeight="1">
      <c r="AE3189"/>
    </row>
    <row r="3190" spans="31:31" ht="15.75" customHeight="1">
      <c r="AE3190"/>
    </row>
    <row r="3191" spans="31:31" ht="15.75" customHeight="1">
      <c r="AE3191"/>
    </row>
    <row r="3192" spans="31:31" ht="15.75" customHeight="1">
      <c r="AE3192"/>
    </row>
    <row r="3193" spans="31:31" ht="15.75" customHeight="1">
      <c r="AE3193"/>
    </row>
    <row r="3194" spans="31:31" ht="15.75" customHeight="1">
      <c r="AE3194"/>
    </row>
    <row r="3195" spans="31:31" ht="15.75" customHeight="1">
      <c r="AE3195"/>
    </row>
    <row r="3196" spans="31:31" ht="15.75" customHeight="1">
      <c r="AE3196"/>
    </row>
    <row r="3197" spans="31:31" ht="15.75" customHeight="1">
      <c r="AE3197"/>
    </row>
    <row r="3198" spans="31:31" ht="15.75" customHeight="1">
      <c r="AE3198"/>
    </row>
    <row r="3199" spans="31:31" ht="15.75" customHeight="1">
      <c r="AE3199"/>
    </row>
    <row r="3200" spans="31:31" ht="15.75" customHeight="1">
      <c r="AE3200"/>
    </row>
    <row r="3201" spans="31:31" ht="15.75" customHeight="1">
      <c r="AE3201"/>
    </row>
    <row r="3202" spans="31:31" ht="15.75" customHeight="1">
      <c r="AE3202"/>
    </row>
    <row r="3203" spans="31:31" ht="15.75" customHeight="1">
      <c r="AE3203"/>
    </row>
    <row r="3204" spans="31:31" ht="15.75" customHeight="1">
      <c r="AE3204"/>
    </row>
    <row r="3205" spans="31:31" ht="15.75" customHeight="1">
      <c r="AE3205"/>
    </row>
    <row r="3206" spans="31:31" ht="15.75" customHeight="1">
      <c r="AE3206"/>
    </row>
    <row r="3207" spans="31:31" ht="15.75" customHeight="1">
      <c r="AE3207"/>
    </row>
    <row r="3208" spans="31:31" ht="15.75" customHeight="1">
      <c r="AE3208"/>
    </row>
    <row r="3209" spans="31:31" ht="15.75" customHeight="1">
      <c r="AE3209"/>
    </row>
    <row r="3210" spans="31:31" ht="15.75" customHeight="1">
      <c r="AE3210"/>
    </row>
    <row r="3211" spans="31:31" ht="15.75" customHeight="1">
      <c r="AE3211"/>
    </row>
    <row r="3212" spans="31:31" ht="15.75" customHeight="1">
      <c r="AE3212"/>
    </row>
    <row r="3213" spans="31:31" ht="15.75" customHeight="1">
      <c r="AE3213"/>
    </row>
    <row r="3214" spans="31:31" ht="15.75" customHeight="1">
      <c r="AE3214"/>
    </row>
    <row r="3215" spans="31:31" ht="15.75" customHeight="1">
      <c r="AE3215"/>
    </row>
    <row r="3216" spans="31:31" ht="15.75" customHeight="1">
      <c r="AE3216"/>
    </row>
    <row r="3217" spans="31:31" ht="15.75" customHeight="1">
      <c r="AE3217"/>
    </row>
    <row r="3218" spans="31:31" ht="15.75" customHeight="1">
      <c r="AE3218"/>
    </row>
    <row r="3219" spans="31:31" ht="15.75" customHeight="1">
      <c r="AE3219"/>
    </row>
    <row r="3220" spans="31:31" ht="15.75" customHeight="1">
      <c r="AE3220"/>
    </row>
    <row r="3221" spans="31:31" ht="15.75" customHeight="1">
      <c r="AE3221"/>
    </row>
    <row r="3222" spans="31:31" ht="15.75" customHeight="1">
      <c r="AE3222"/>
    </row>
    <row r="3223" spans="31:31" ht="15.75" customHeight="1">
      <c r="AE3223"/>
    </row>
    <row r="3224" spans="31:31" ht="15.75" customHeight="1">
      <c r="AE3224"/>
    </row>
    <row r="3225" spans="31:31" ht="15.75" customHeight="1">
      <c r="AE3225"/>
    </row>
    <row r="3226" spans="31:31" ht="15.75" customHeight="1">
      <c r="AE3226"/>
    </row>
    <row r="3227" spans="31:31" ht="15.75" customHeight="1">
      <c r="AE3227"/>
    </row>
    <row r="3228" spans="31:31" ht="15.75" customHeight="1">
      <c r="AE3228"/>
    </row>
    <row r="3229" spans="31:31" ht="15.75" customHeight="1">
      <c r="AE3229"/>
    </row>
    <row r="3230" spans="31:31" ht="15.75" customHeight="1">
      <c r="AE3230"/>
    </row>
    <row r="3231" spans="31:31" ht="15.75" customHeight="1">
      <c r="AE3231"/>
    </row>
    <row r="3232" spans="31:31" ht="15.75" customHeight="1">
      <c r="AE3232"/>
    </row>
    <row r="3233" spans="31:31" ht="15.75" customHeight="1">
      <c r="AE3233"/>
    </row>
    <row r="3234" spans="31:31" ht="15.75" customHeight="1">
      <c r="AE3234"/>
    </row>
    <row r="3235" spans="31:31" ht="15.75" customHeight="1">
      <c r="AE3235"/>
    </row>
    <row r="3236" spans="31:31" ht="15.75" customHeight="1">
      <c r="AE3236"/>
    </row>
    <row r="3237" spans="31:31" ht="15.75" customHeight="1">
      <c r="AE3237"/>
    </row>
    <row r="3238" spans="31:31" ht="15.75" customHeight="1">
      <c r="AE3238"/>
    </row>
    <row r="3239" spans="31:31" ht="15.75" customHeight="1">
      <c r="AE3239"/>
    </row>
    <row r="3240" spans="31:31" ht="15.75" customHeight="1">
      <c r="AE3240"/>
    </row>
    <row r="3241" spans="31:31" ht="15.75" customHeight="1">
      <c r="AE3241"/>
    </row>
    <row r="3242" spans="31:31" ht="15.75" customHeight="1">
      <c r="AE3242"/>
    </row>
    <row r="3243" spans="31:31" ht="15.75" customHeight="1">
      <c r="AE3243"/>
    </row>
    <row r="3244" spans="31:31" ht="15.75" customHeight="1">
      <c r="AE3244"/>
    </row>
    <row r="3245" spans="31:31" ht="15.75" customHeight="1">
      <c r="AE3245"/>
    </row>
    <row r="3246" spans="31:31" ht="15.75" customHeight="1">
      <c r="AE3246"/>
    </row>
    <row r="3247" spans="31:31" ht="15.75" customHeight="1">
      <c r="AE3247"/>
    </row>
    <row r="3248" spans="31:31" ht="15.75" customHeight="1">
      <c r="AE3248"/>
    </row>
    <row r="3249" spans="31:31" ht="15.75" customHeight="1">
      <c r="AE3249"/>
    </row>
    <row r="3250" spans="31:31" ht="15.75" customHeight="1">
      <c r="AE3250"/>
    </row>
    <row r="3251" spans="31:31" ht="15.75" customHeight="1">
      <c r="AE3251"/>
    </row>
    <row r="3252" spans="31:31" ht="15.75" customHeight="1">
      <c r="AE3252"/>
    </row>
    <row r="3253" spans="31:31" ht="15.75" customHeight="1">
      <c r="AE3253"/>
    </row>
    <row r="3254" spans="31:31" ht="15.75" customHeight="1">
      <c r="AE3254"/>
    </row>
    <row r="3255" spans="31:31" ht="15.75" customHeight="1">
      <c r="AE3255"/>
    </row>
    <row r="3256" spans="31:31" ht="15.75" customHeight="1">
      <c r="AE3256"/>
    </row>
    <row r="3257" spans="31:31" ht="15.75" customHeight="1">
      <c r="AE3257"/>
    </row>
    <row r="3258" spans="31:31" ht="15.75" customHeight="1">
      <c r="AE3258"/>
    </row>
    <row r="3259" spans="31:31" ht="15.75" customHeight="1">
      <c r="AE3259"/>
    </row>
    <row r="3260" spans="31:31" ht="15.75" customHeight="1">
      <c r="AE3260"/>
    </row>
    <row r="3261" spans="31:31" ht="15.75" customHeight="1">
      <c r="AE3261"/>
    </row>
    <row r="3262" spans="31:31" ht="15.75" customHeight="1">
      <c r="AE3262"/>
    </row>
    <row r="3263" spans="31:31" ht="15.75" customHeight="1">
      <c r="AE3263"/>
    </row>
    <row r="3264" spans="31:31" ht="15.75" customHeight="1">
      <c r="AE3264"/>
    </row>
    <row r="3265" spans="31:31" ht="15.75" customHeight="1">
      <c r="AE3265"/>
    </row>
    <row r="3266" spans="31:31" ht="15.75" customHeight="1">
      <c r="AE3266"/>
    </row>
    <row r="3267" spans="31:31" ht="15.75" customHeight="1">
      <c r="AE3267"/>
    </row>
    <row r="3268" spans="31:31" ht="15.75" customHeight="1">
      <c r="AE3268"/>
    </row>
    <row r="3269" spans="31:31" ht="15.75" customHeight="1">
      <c r="AE3269"/>
    </row>
    <row r="3270" spans="31:31" ht="15.75" customHeight="1">
      <c r="AE3270"/>
    </row>
    <row r="3271" spans="31:31" ht="15.75" customHeight="1">
      <c r="AE3271"/>
    </row>
    <row r="3272" spans="31:31" ht="15.75" customHeight="1">
      <c r="AE3272"/>
    </row>
    <row r="3273" spans="31:31" ht="15.75" customHeight="1">
      <c r="AE3273"/>
    </row>
    <row r="3274" spans="31:31" ht="15.75" customHeight="1">
      <c r="AE3274"/>
    </row>
    <row r="3275" spans="31:31" ht="15.75" customHeight="1">
      <c r="AE3275"/>
    </row>
    <row r="3276" spans="31:31" ht="15.75" customHeight="1">
      <c r="AE3276"/>
    </row>
    <row r="3277" spans="31:31" ht="15.75" customHeight="1">
      <c r="AE3277"/>
    </row>
    <row r="3278" spans="31:31" ht="15.75" customHeight="1">
      <c r="AE3278"/>
    </row>
    <row r="3279" spans="31:31" ht="15.75" customHeight="1">
      <c r="AE3279"/>
    </row>
    <row r="3280" spans="31:31" ht="15.75" customHeight="1">
      <c r="AE3280"/>
    </row>
    <row r="3281" spans="31:31" ht="15.75" customHeight="1">
      <c r="AE3281"/>
    </row>
    <row r="3282" spans="31:31" ht="15.75" customHeight="1">
      <c r="AE3282"/>
    </row>
    <row r="3283" spans="31:31" ht="15.75" customHeight="1">
      <c r="AE3283"/>
    </row>
    <row r="3284" spans="31:31" ht="15.75" customHeight="1">
      <c r="AE3284"/>
    </row>
    <row r="3285" spans="31:31" ht="15.75" customHeight="1">
      <c r="AE3285"/>
    </row>
    <row r="3286" spans="31:31" ht="15.75" customHeight="1">
      <c r="AE3286"/>
    </row>
    <row r="3287" spans="31:31" ht="15.75" customHeight="1">
      <c r="AE3287"/>
    </row>
    <row r="3288" spans="31:31" ht="15.75" customHeight="1">
      <c r="AE3288"/>
    </row>
    <row r="3289" spans="31:31" ht="15.75" customHeight="1">
      <c r="AE3289"/>
    </row>
    <row r="3290" spans="31:31" ht="15.75" customHeight="1">
      <c r="AE3290"/>
    </row>
    <row r="3291" spans="31:31" ht="15.75" customHeight="1">
      <c r="AE3291"/>
    </row>
    <row r="3292" spans="31:31" ht="15.75" customHeight="1">
      <c r="AE3292"/>
    </row>
    <row r="3293" spans="31:31" ht="15.75" customHeight="1">
      <c r="AE3293"/>
    </row>
    <row r="3294" spans="31:31" ht="15.75" customHeight="1">
      <c r="AE3294"/>
    </row>
    <row r="3295" spans="31:31" ht="15.75" customHeight="1">
      <c r="AE3295"/>
    </row>
    <row r="3296" spans="31:31" ht="15.75" customHeight="1">
      <c r="AE3296"/>
    </row>
    <row r="3297" spans="31:31" ht="15.75" customHeight="1">
      <c r="AE3297"/>
    </row>
    <row r="3298" spans="31:31" ht="15.75" customHeight="1">
      <c r="AE3298"/>
    </row>
    <row r="3299" spans="31:31" ht="15.75" customHeight="1">
      <c r="AE3299"/>
    </row>
    <row r="3300" spans="31:31" ht="15.75" customHeight="1">
      <c r="AE3300"/>
    </row>
    <row r="3301" spans="31:31" ht="15.75" customHeight="1">
      <c r="AE3301"/>
    </row>
    <row r="3302" spans="31:31" ht="15.75" customHeight="1">
      <c r="AE3302"/>
    </row>
    <row r="3303" spans="31:31" ht="15.75" customHeight="1">
      <c r="AE3303"/>
    </row>
    <row r="3304" spans="31:31" ht="15.75" customHeight="1">
      <c r="AE3304"/>
    </row>
    <row r="3305" spans="31:31" ht="15.75" customHeight="1">
      <c r="AE3305"/>
    </row>
    <row r="3306" spans="31:31" ht="15.75" customHeight="1">
      <c r="AE3306"/>
    </row>
    <row r="3307" spans="31:31" ht="15.75" customHeight="1">
      <c r="AE3307"/>
    </row>
    <row r="3308" spans="31:31" ht="15.75" customHeight="1">
      <c r="AE3308"/>
    </row>
    <row r="3309" spans="31:31" ht="15.75" customHeight="1">
      <c r="AE3309"/>
    </row>
    <row r="3310" spans="31:31" ht="15.75" customHeight="1">
      <c r="AE3310"/>
    </row>
    <row r="3311" spans="31:31" ht="15.75" customHeight="1">
      <c r="AE3311"/>
    </row>
    <row r="3312" spans="31:31" ht="15.75" customHeight="1">
      <c r="AE3312"/>
    </row>
    <row r="3313" spans="31:31" ht="15.75" customHeight="1">
      <c r="AE3313"/>
    </row>
    <row r="3314" spans="31:31" ht="15.75" customHeight="1">
      <c r="AE3314"/>
    </row>
    <row r="3315" spans="31:31" ht="15.75" customHeight="1">
      <c r="AE3315"/>
    </row>
    <row r="3316" spans="31:31" ht="15.75" customHeight="1">
      <c r="AE3316"/>
    </row>
    <row r="3317" spans="31:31" ht="15.75" customHeight="1">
      <c r="AE3317"/>
    </row>
    <row r="3318" spans="31:31" ht="15.75" customHeight="1">
      <c r="AE3318"/>
    </row>
    <row r="3319" spans="31:31" ht="15.75" customHeight="1">
      <c r="AE3319"/>
    </row>
    <row r="3320" spans="31:31" ht="15.75" customHeight="1">
      <c r="AE3320"/>
    </row>
    <row r="3321" spans="31:31" ht="15.75" customHeight="1">
      <c r="AE3321"/>
    </row>
    <row r="3322" spans="31:31" ht="15.75" customHeight="1">
      <c r="AE3322"/>
    </row>
    <row r="3323" spans="31:31" ht="15.75" customHeight="1">
      <c r="AE3323"/>
    </row>
    <row r="3324" spans="31:31" ht="15.75" customHeight="1">
      <c r="AE3324"/>
    </row>
    <row r="3325" spans="31:31" ht="15.75" customHeight="1">
      <c r="AE3325"/>
    </row>
    <row r="3326" spans="31:31" ht="15.75" customHeight="1">
      <c r="AE3326"/>
    </row>
    <row r="3327" spans="31:31" ht="15.75" customHeight="1">
      <c r="AE3327"/>
    </row>
    <row r="3328" spans="31:31" ht="15.75" customHeight="1">
      <c r="AE3328"/>
    </row>
    <row r="3329" spans="31:31" ht="15.75" customHeight="1">
      <c r="AE3329"/>
    </row>
    <row r="3330" spans="31:31" ht="15.75" customHeight="1">
      <c r="AE3330"/>
    </row>
    <row r="3331" spans="31:31" ht="15.75" customHeight="1">
      <c r="AE3331"/>
    </row>
    <row r="3332" spans="31:31" ht="15.75" customHeight="1">
      <c r="AE3332"/>
    </row>
    <row r="3333" spans="31:31" ht="15.75" customHeight="1">
      <c r="AE3333"/>
    </row>
    <row r="3334" spans="31:31" ht="15.75" customHeight="1">
      <c r="AE3334"/>
    </row>
    <row r="3335" spans="31:31" ht="15.75" customHeight="1">
      <c r="AE3335"/>
    </row>
    <row r="3336" spans="31:31" ht="15.75" customHeight="1">
      <c r="AE3336"/>
    </row>
    <row r="3337" spans="31:31" ht="15.75" customHeight="1">
      <c r="AE3337"/>
    </row>
    <row r="3338" spans="31:31" ht="15.75" customHeight="1">
      <c r="AE3338"/>
    </row>
    <row r="3339" spans="31:31" ht="15.75" customHeight="1">
      <c r="AE3339"/>
    </row>
    <row r="3340" spans="31:31" ht="15.75" customHeight="1">
      <c r="AE3340"/>
    </row>
    <row r="3341" spans="31:31" ht="15.75" customHeight="1">
      <c r="AE3341"/>
    </row>
    <row r="3342" spans="31:31" ht="15.75" customHeight="1">
      <c r="AE3342"/>
    </row>
    <row r="3343" spans="31:31" ht="15.75" customHeight="1">
      <c r="AE3343"/>
    </row>
    <row r="3344" spans="31:31" ht="15.75" customHeight="1">
      <c r="AE3344"/>
    </row>
    <row r="3345" spans="31:31" ht="15.75" customHeight="1">
      <c r="AE3345"/>
    </row>
    <row r="3346" spans="31:31" ht="15.75" customHeight="1">
      <c r="AE3346"/>
    </row>
    <row r="3347" spans="31:31" ht="15.75" customHeight="1">
      <c r="AE3347"/>
    </row>
    <row r="3348" spans="31:31" ht="15.75" customHeight="1">
      <c r="AE3348"/>
    </row>
    <row r="3349" spans="31:31" ht="15.75" customHeight="1">
      <c r="AE3349"/>
    </row>
    <row r="3350" spans="31:31" ht="15.75" customHeight="1">
      <c r="AE3350"/>
    </row>
    <row r="3351" spans="31:31" ht="15.75" customHeight="1">
      <c r="AE3351"/>
    </row>
    <row r="3352" spans="31:31" ht="15.75" customHeight="1">
      <c r="AE3352"/>
    </row>
    <row r="3353" spans="31:31" ht="15.75" customHeight="1">
      <c r="AE3353"/>
    </row>
    <row r="3354" spans="31:31" ht="15.75" customHeight="1">
      <c r="AE3354"/>
    </row>
    <row r="3355" spans="31:31" ht="15.75" customHeight="1">
      <c r="AE3355"/>
    </row>
    <row r="3356" spans="31:31" ht="15.75" customHeight="1">
      <c r="AE3356"/>
    </row>
    <row r="3357" spans="31:31" ht="15.75" customHeight="1">
      <c r="AE3357"/>
    </row>
    <row r="3358" spans="31:31" ht="15.75" customHeight="1">
      <c r="AE3358"/>
    </row>
    <row r="3359" spans="31:31" ht="15.75" customHeight="1">
      <c r="AE3359"/>
    </row>
    <row r="3360" spans="31:31" ht="15.75" customHeight="1">
      <c r="AE3360"/>
    </row>
    <row r="3361" spans="31:31" ht="15.75" customHeight="1">
      <c r="AE3361"/>
    </row>
    <row r="3362" spans="31:31" ht="15.75" customHeight="1">
      <c r="AE3362"/>
    </row>
    <row r="3363" spans="31:31" ht="15.75" customHeight="1">
      <c r="AE3363"/>
    </row>
    <row r="3364" spans="31:31" ht="15.75" customHeight="1">
      <c r="AE3364"/>
    </row>
    <row r="3365" spans="31:31" ht="15.75" customHeight="1">
      <c r="AE3365"/>
    </row>
    <row r="3366" spans="31:31" ht="15.75" customHeight="1">
      <c r="AE3366"/>
    </row>
    <row r="3367" spans="31:31" ht="15.75" customHeight="1">
      <c r="AE3367"/>
    </row>
    <row r="3368" spans="31:31" ht="15.75" customHeight="1">
      <c r="AE3368"/>
    </row>
    <row r="3369" spans="31:31" ht="15.75" customHeight="1">
      <c r="AE3369"/>
    </row>
    <row r="3370" spans="31:31" ht="15.75" customHeight="1">
      <c r="AE3370"/>
    </row>
    <row r="3371" spans="31:31" ht="15.75" customHeight="1">
      <c r="AE3371"/>
    </row>
    <row r="3372" spans="31:31" ht="15.75" customHeight="1">
      <c r="AE3372"/>
    </row>
    <row r="3373" spans="31:31" ht="15.75" customHeight="1">
      <c r="AE3373"/>
    </row>
    <row r="3374" spans="31:31" ht="15.75" customHeight="1">
      <c r="AE3374"/>
    </row>
    <row r="3375" spans="31:31" ht="15.75" customHeight="1">
      <c r="AE3375"/>
    </row>
    <row r="3376" spans="31:31" ht="15.75" customHeight="1">
      <c r="AE3376"/>
    </row>
    <row r="3377" spans="31:31" ht="15.75" customHeight="1">
      <c r="AE3377"/>
    </row>
    <row r="3378" spans="31:31" ht="15.75" customHeight="1">
      <c r="AE3378"/>
    </row>
    <row r="3379" spans="31:31" ht="15.75" customHeight="1">
      <c r="AE3379"/>
    </row>
    <row r="3380" spans="31:31" ht="15.75" customHeight="1">
      <c r="AE3380"/>
    </row>
    <row r="3381" spans="31:31" ht="15.75" customHeight="1">
      <c r="AE3381"/>
    </row>
    <row r="3382" spans="31:31" ht="15.75" customHeight="1">
      <c r="AE3382"/>
    </row>
    <row r="3383" spans="31:31" ht="15.75" customHeight="1">
      <c r="AE3383"/>
    </row>
    <row r="3384" spans="31:31" ht="15.75" customHeight="1">
      <c r="AE3384"/>
    </row>
    <row r="3385" spans="31:31" ht="15.75" customHeight="1">
      <c r="AE3385"/>
    </row>
    <row r="3386" spans="31:31" ht="15.75" customHeight="1">
      <c r="AE3386"/>
    </row>
    <row r="3387" spans="31:31" ht="15.75" customHeight="1">
      <c r="AE3387"/>
    </row>
    <row r="3388" spans="31:31" ht="15.75" customHeight="1">
      <c r="AE3388"/>
    </row>
    <row r="3389" spans="31:31" ht="15.75" customHeight="1">
      <c r="AE3389"/>
    </row>
    <row r="3390" spans="31:31" ht="15.75" customHeight="1">
      <c r="AE3390"/>
    </row>
    <row r="3391" spans="31:31" ht="15.75" customHeight="1">
      <c r="AE3391"/>
    </row>
    <row r="3392" spans="31:31" ht="15.75" customHeight="1">
      <c r="AE3392"/>
    </row>
    <row r="3393" spans="31:31" ht="15.75" customHeight="1">
      <c r="AE3393"/>
    </row>
    <row r="3394" spans="31:31" ht="15.75" customHeight="1">
      <c r="AE3394"/>
    </row>
    <row r="3395" spans="31:31" ht="15.75" customHeight="1">
      <c r="AE3395"/>
    </row>
    <row r="3396" spans="31:31" ht="15.75" customHeight="1">
      <c r="AE3396"/>
    </row>
    <row r="3397" spans="31:31" ht="15.75" customHeight="1">
      <c r="AE3397"/>
    </row>
    <row r="3398" spans="31:31" ht="15.75" customHeight="1">
      <c r="AE3398"/>
    </row>
    <row r="3399" spans="31:31" ht="15.75" customHeight="1">
      <c r="AE3399"/>
    </row>
    <row r="3400" spans="31:31" ht="15.75" customHeight="1">
      <c r="AE3400"/>
    </row>
    <row r="3401" spans="31:31" ht="15.75" customHeight="1">
      <c r="AE3401"/>
    </row>
    <row r="3402" spans="31:31" ht="15.75" customHeight="1">
      <c r="AE3402"/>
    </row>
    <row r="3403" spans="31:31" ht="15.75" customHeight="1">
      <c r="AE3403"/>
    </row>
    <row r="3404" spans="31:31" ht="15.75" customHeight="1">
      <c r="AE3404"/>
    </row>
    <row r="3405" spans="31:31" ht="15.75" customHeight="1">
      <c r="AE3405"/>
    </row>
    <row r="3406" spans="31:31" ht="15.75" customHeight="1">
      <c r="AE3406"/>
    </row>
    <row r="3407" spans="31:31" ht="15.75" customHeight="1">
      <c r="AE3407"/>
    </row>
    <row r="3408" spans="31:31" ht="15.75" customHeight="1">
      <c r="AE3408"/>
    </row>
    <row r="3409" spans="31:31" ht="15.75" customHeight="1">
      <c r="AE3409"/>
    </row>
    <row r="3410" spans="31:31" ht="15.75" customHeight="1">
      <c r="AE3410"/>
    </row>
    <row r="3411" spans="31:31" ht="15.75" customHeight="1">
      <c r="AE3411"/>
    </row>
    <row r="3412" spans="31:31" ht="15.75" customHeight="1">
      <c r="AE3412"/>
    </row>
    <row r="3413" spans="31:31" ht="15.75" customHeight="1">
      <c r="AE3413"/>
    </row>
    <row r="3414" spans="31:31" ht="15.75" customHeight="1">
      <c r="AE3414"/>
    </row>
    <row r="3415" spans="31:31" ht="15.75" customHeight="1">
      <c r="AE3415"/>
    </row>
    <row r="3416" spans="31:31" ht="15.75" customHeight="1">
      <c r="AE3416"/>
    </row>
    <row r="3417" spans="31:31" ht="15.75" customHeight="1">
      <c r="AE3417"/>
    </row>
    <row r="3418" spans="31:31" ht="15.75" customHeight="1">
      <c r="AE3418"/>
    </row>
    <row r="3419" spans="31:31" ht="15.75" customHeight="1">
      <c r="AE3419"/>
    </row>
    <row r="3420" spans="31:31" ht="15.75" customHeight="1">
      <c r="AE3420"/>
    </row>
    <row r="3421" spans="31:31" ht="15.75" customHeight="1">
      <c r="AE3421"/>
    </row>
    <row r="3422" spans="31:31" ht="15.75" customHeight="1">
      <c r="AE3422"/>
    </row>
    <row r="3423" spans="31:31" ht="15.75" customHeight="1">
      <c r="AE3423"/>
    </row>
    <row r="3424" spans="31:31" ht="15.75" customHeight="1">
      <c r="AE3424"/>
    </row>
    <row r="3425" spans="31:31" ht="15.75" customHeight="1">
      <c r="AE3425"/>
    </row>
    <row r="3426" spans="31:31" ht="15.75" customHeight="1">
      <c r="AE3426"/>
    </row>
    <row r="3427" spans="31:31" ht="15.75" customHeight="1">
      <c r="AE3427"/>
    </row>
    <row r="3428" spans="31:31" ht="15.75" customHeight="1">
      <c r="AE3428"/>
    </row>
    <row r="3429" spans="31:31" ht="15.75" customHeight="1">
      <c r="AE3429"/>
    </row>
    <row r="3430" spans="31:31" ht="15.75" customHeight="1">
      <c r="AE3430"/>
    </row>
    <row r="3431" spans="31:31" ht="15.75" customHeight="1">
      <c r="AE3431"/>
    </row>
    <row r="3432" spans="31:31" ht="15.75" customHeight="1">
      <c r="AE3432"/>
    </row>
    <row r="3433" spans="31:31" ht="15.75" customHeight="1">
      <c r="AE3433"/>
    </row>
    <row r="3434" spans="31:31" ht="15.75" customHeight="1">
      <c r="AE3434"/>
    </row>
    <row r="3435" spans="31:31" ht="15.75" customHeight="1">
      <c r="AE3435"/>
    </row>
    <row r="3436" spans="31:31" ht="15.75" customHeight="1">
      <c r="AE3436"/>
    </row>
    <row r="3437" spans="31:31" ht="15.75" customHeight="1">
      <c r="AE3437"/>
    </row>
    <row r="3438" spans="31:31" ht="15.75" customHeight="1">
      <c r="AE3438"/>
    </row>
    <row r="3439" spans="31:31" ht="15.75" customHeight="1">
      <c r="AE3439"/>
    </row>
    <row r="3440" spans="31:31" ht="15.75" customHeight="1">
      <c r="AE3440"/>
    </row>
    <row r="3441" spans="31:31" ht="15.75" customHeight="1">
      <c r="AE3441"/>
    </row>
    <row r="3442" spans="31:31" ht="15.75" customHeight="1">
      <c r="AE3442"/>
    </row>
    <row r="3443" spans="31:31" ht="15.75" customHeight="1">
      <c r="AE3443"/>
    </row>
    <row r="3444" spans="31:31" ht="15.75" customHeight="1">
      <c r="AE3444"/>
    </row>
    <row r="3445" spans="31:31" ht="15.75" customHeight="1">
      <c r="AE3445"/>
    </row>
    <row r="3446" spans="31:31" ht="15.75" customHeight="1">
      <c r="AE3446"/>
    </row>
    <row r="3447" spans="31:31" ht="15.75" customHeight="1">
      <c r="AE3447"/>
    </row>
    <row r="3448" spans="31:31" ht="15.75" customHeight="1">
      <c r="AE3448"/>
    </row>
    <row r="3449" spans="31:31" ht="15.75" customHeight="1">
      <c r="AE3449"/>
    </row>
    <row r="3450" spans="31:31" ht="15.75" customHeight="1">
      <c r="AE3450"/>
    </row>
    <row r="3451" spans="31:31" ht="15.75" customHeight="1">
      <c r="AE3451"/>
    </row>
    <row r="3452" spans="31:31" ht="15.75" customHeight="1">
      <c r="AE3452"/>
    </row>
    <row r="3453" spans="31:31" ht="15.75" customHeight="1">
      <c r="AE3453"/>
    </row>
    <row r="3454" spans="31:31" ht="15.75" customHeight="1">
      <c r="AE3454"/>
    </row>
    <row r="3455" spans="31:31" ht="15.75" customHeight="1">
      <c r="AE3455"/>
    </row>
    <row r="3456" spans="31:31" ht="15.75" customHeight="1">
      <c r="AE3456"/>
    </row>
    <row r="3457" spans="31:31" ht="15.75" customHeight="1">
      <c r="AE3457"/>
    </row>
    <row r="3458" spans="31:31" ht="15.75" customHeight="1">
      <c r="AE3458"/>
    </row>
    <row r="3459" spans="31:31" ht="15.75" customHeight="1">
      <c r="AE3459"/>
    </row>
    <row r="3460" spans="31:31" ht="15.75" customHeight="1">
      <c r="AE3460"/>
    </row>
    <row r="3461" spans="31:31" ht="15.75" customHeight="1">
      <c r="AE3461"/>
    </row>
    <row r="3462" spans="31:31" ht="15.75" customHeight="1">
      <c r="AE3462"/>
    </row>
    <row r="3463" spans="31:31" ht="15.75" customHeight="1">
      <c r="AE3463"/>
    </row>
    <row r="3464" spans="31:31" ht="15.75" customHeight="1">
      <c r="AE3464"/>
    </row>
    <row r="3465" spans="31:31" ht="15.75" customHeight="1">
      <c r="AE3465"/>
    </row>
    <row r="3466" spans="31:31" ht="15.75" customHeight="1">
      <c r="AE3466"/>
    </row>
    <row r="3467" spans="31:31" ht="15.75" customHeight="1">
      <c r="AE3467"/>
    </row>
    <row r="3468" spans="31:31" ht="15.75" customHeight="1">
      <c r="AE3468"/>
    </row>
    <row r="3469" spans="31:31" ht="15.75" customHeight="1">
      <c r="AE3469"/>
    </row>
    <row r="3470" spans="31:31" ht="15.75" customHeight="1">
      <c r="AE3470"/>
    </row>
    <row r="3471" spans="31:31" ht="15.75" customHeight="1">
      <c r="AE3471"/>
    </row>
    <row r="3472" spans="31:31" ht="15.75" customHeight="1">
      <c r="AE3472"/>
    </row>
    <row r="3473" spans="31:31" ht="15.75" customHeight="1">
      <c r="AE3473"/>
    </row>
    <row r="3474" spans="31:31" ht="15.75" customHeight="1">
      <c r="AE3474"/>
    </row>
    <row r="3475" spans="31:31" ht="15.75" customHeight="1">
      <c r="AE3475"/>
    </row>
    <row r="3476" spans="31:31" ht="15.75" customHeight="1">
      <c r="AE3476"/>
    </row>
    <row r="3477" spans="31:31" ht="15.75" customHeight="1">
      <c r="AE3477"/>
    </row>
    <row r="3478" spans="31:31" ht="15.75" customHeight="1">
      <c r="AE3478"/>
    </row>
    <row r="3479" spans="31:31" ht="15.75" customHeight="1">
      <c r="AE3479"/>
    </row>
    <row r="3480" spans="31:31" ht="15.75" customHeight="1">
      <c r="AE3480"/>
    </row>
    <row r="3481" spans="31:31" ht="15.75" customHeight="1">
      <c r="AE3481"/>
    </row>
    <row r="3482" spans="31:31" ht="15.75" customHeight="1">
      <c r="AE3482"/>
    </row>
    <row r="3483" spans="31:31" ht="15.75" customHeight="1">
      <c r="AE3483"/>
    </row>
    <row r="3484" spans="31:31" ht="15.75" customHeight="1">
      <c r="AE3484"/>
    </row>
    <row r="3485" spans="31:31" ht="15.75" customHeight="1">
      <c r="AE3485"/>
    </row>
    <row r="3486" spans="31:31" ht="15.75" customHeight="1">
      <c r="AE3486"/>
    </row>
    <row r="3487" spans="31:31" ht="15.75" customHeight="1">
      <c r="AE3487"/>
    </row>
    <row r="3488" spans="31:31" ht="15.75" customHeight="1">
      <c r="AE3488"/>
    </row>
    <row r="3489" spans="31:31" ht="15.75" customHeight="1">
      <c r="AE3489"/>
    </row>
    <row r="3490" spans="31:31" ht="15.75" customHeight="1">
      <c r="AE3490"/>
    </row>
    <row r="3491" spans="31:31" ht="15.75" customHeight="1">
      <c r="AE3491"/>
    </row>
    <row r="3492" spans="31:31" ht="15.75" customHeight="1">
      <c r="AE3492"/>
    </row>
    <row r="3493" spans="31:31" ht="15.75" customHeight="1">
      <c r="AE3493"/>
    </row>
    <row r="3494" spans="31:31" ht="15.75" customHeight="1">
      <c r="AE3494"/>
    </row>
    <row r="3495" spans="31:31" ht="15.75" customHeight="1">
      <c r="AE3495"/>
    </row>
    <row r="3496" spans="31:31" ht="15.75" customHeight="1">
      <c r="AE3496"/>
    </row>
    <row r="3497" spans="31:31" ht="15.75" customHeight="1">
      <c r="AE3497"/>
    </row>
    <row r="3498" spans="31:31" ht="15.75" customHeight="1">
      <c r="AE3498"/>
    </row>
    <row r="3499" spans="31:31" ht="15.75" customHeight="1">
      <c r="AE3499"/>
    </row>
    <row r="3500" spans="31:31" ht="15.75" customHeight="1">
      <c r="AE3500"/>
    </row>
    <row r="3501" spans="31:31" ht="15.75" customHeight="1">
      <c r="AE3501"/>
    </row>
    <row r="3502" spans="31:31" ht="15.75" customHeight="1">
      <c r="AE3502"/>
    </row>
    <row r="3503" spans="31:31" ht="15.75" customHeight="1">
      <c r="AE3503"/>
    </row>
    <row r="3504" spans="31:31" ht="15.75" customHeight="1">
      <c r="AE3504"/>
    </row>
    <row r="3505" spans="31:31" ht="15.75" customHeight="1">
      <c r="AE3505"/>
    </row>
    <row r="3506" spans="31:31" ht="15.75" customHeight="1">
      <c r="AE3506"/>
    </row>
    <row r="3507" spans="31:31" ht="15.75" customHeight="1">
      <c r="AE3507"/>
    </row>
    <row r="3508" spans="31:31" ht="15.75" customHeight="1">
      <c r="AE3508"/>
    </row>
    <row r="3509" spans="31:31" ht="15.75" customHeight="1">
      <c r="AE3509"/>
    </row>
    <row r="3510" spans="31:31" ht="15.75" customHeight="1">
      <c r="AE3510"/>
    </row>
    <row r="3511" spans="31:31" ht="15.75" customHeight="1">
      <c r="AE3511"/>
    </row>
    <row r="3512" spans="31:31" ht="15.75" customHeight="1">
      <c r="AE3512"/>
    </row>
    <row r="3513" spans="31:31" ht="15.75" customHeight="1">
      <c r="AE3513"/>
    </row>
    <row r="3514" spans="31:31" ht="15.75" customHeight="1">
      <c r="AE3514"/>
    </row>
    <row r="3515" spans="31:31" ht="15.75" customHeight="1">
      <c r="AE3515"/>
    </row>
    <row r="3516" spans="31:31" ht="15.75" customHeight="1">
      <c r="AE3516"/>
    </row>
    <row r="3517" spans="31:31" ht="15.75" customHeight="1">
      <c r="AE3517"/>
    </row>
    <row r="3518" spans="31:31" ht="15.75" customHeight="1">
      <c r="AE3518"/>
    </row>
    <row r="3519" spans="31:31" ht="15.75" customHeight="1">
      <c r="AE3519"/>
    </row>
    <row r="3520" spans="31:31" ht="15.75" customHeight="1">
      <c r="AE3520"/>
    </row>
    <row r="3521" spans="31:31" ht="15.75" customHeight="1">
      <c r="AE3521"/>
    </row>
    <row r="3522" spans="31:31" ht="15.75" customHeight="1">
      <c r="AE3522"/>
    </row>
    <row r="3523" spans="31:31" ht="15.75" customHeight="1">
      <c r="AE3523"/>
    </row>
    <row r="3524" spans="31:31" ht="15.75" customHeight="1">
      <c r="AE3524"/>
    </row>
    <row r="3525" spans="31:31" ht="15.75" customHeight="1">
      <c r="AE3525"/>
    </row>
    <row r="3526" spans="31:31" ht="15.75" customHeight="1">
      <c r="AE3526"/>
    </row>
    <row r="3527" spans="31:31" ht="15.75" customHeight="1">
      <c r="AE3527"/>
    </row>
    <row r="3528" spans="31:31" ht="15.75" customHeight="1">
      <c r="AE3528"/>
    </row>
    <row r="3529" spans="31:31" ht="15.75" customHeight="1">
      <c r="AE3529"/>
    </row>
    <row r="3530" spans="31:31" ht="15.75" customHeight="1">
      <c r="AE3530"/>
    </row>
    <row r="3531" spans="31:31" ht="15.75" customHeight="1">
      <c r="AE3531"/>
    </row>
    <row r="3532" spans="31:31" ht="15.75" customHeight="1">
      <c r="AE3532"/>
    </row>
    <row r="3533" spans="31:31" ht="15.75" customHeight="1">
      <c r="AE3533"/>
    </row>
    <row r="3534" spans="31:31" ht="15.75" customHeight="1">
      <c r="AE3534"/>
    </row>
    <row r="3535" spans="31:31" ht="15.75" customHeight="1">
      <c r="AE3535"/>
    </row>
    <row r="3536" spans="31:31" ht="15.75" customHeight="1">
      <c r="AE3536"/>
    </row>
    <row r="3537" spans="31:31" ht="15.75" customHeight="1">
      <c r="AE3537"/>
    </row>
    <row r="3538" spans="31:31" ht="15.75" customHeight="1">
      <c r="AE3538"/>
    </row>
    <row r="3539" spans="31:31" ht="15.75" customHeight="1">
      <c r="AE3539"/>
    </row>
    <row r="3540" spans="31:31" ht="15.75" customHeight="1">
      <c r="AE3540"/>
    </row>
    <row r="3541" spans="31:31" ht="15.75" customHeight="1">
      <c r="AE3541"/>
    </row>
    <row r="3542" spans="31:31" ht="15.75" customHeight="1">
      <c r="AE3542"/>
    </row>
    <row r="3543" spans="31:31" ht="15.75" customHeight="1">
      <c r="AE3543"/>
    </row>
    <row r="3544" spans="31:31" ht="15.75" customHeight="1">
      <c r="AE3544"/>
    </row>
    <row r="3545" spans="31:31" ht="15.75" customHeight="1">
      <c r="AE3545"/>
    </row>
    <row r="3546" spans="31:31" ht="15.75" customHeight="1">
      <c r="AE3546"/>
    </row>
    <row r="3547" spans="31:31" ht="15.75" customHeight="1">
      <c r="AE3547"/>
    </row>
    <row r="3548" spans="31:31" ht="15.75" customHeight="1">
      <c r="AE3548"/>
    </row>
    <row r="3549" spans="31:31" ht="15.75" customHeight="1">
      <c r="AE3549"/>
    </row>
    <row r="3550" spans="31:31" ht="15.75" customHeight="1">
      <c r="AE3550"/>
    </row>
    <row r="3551" spans="31:31" ht="15.75" customHeight="1">
      <c r="AE3551"/>
    </row>
    <row r="3552" spans="31:31" ht="15.75" customHeight="1">
      <c r="AE3552"/>
    </row>
    <row r="3553" spans="31:31" ht="15.75" customHeight="1">
      <c r="AE3553"/>
    </row>
    <row r="3554" spans="31:31" ht="15.75" customHeight="1">
      <c r="AE3554"/>
    </row>
    <row r="3555" spans="31:31" ht="15.75" customHeight="1">
      <c r="AE3555"/>
    </row>
    <row r="3556" spans="31:31" ht="15.75" customHeight="1">
      <c r="AE3556"/>
    </row>
    <row r="3557" spans="31:31" ht="15.75" customHeight="1">
      <c r="AE3557"/>
    </row>
    <row r="3558" spans="31:31" ht="15.75" customHeight="1">
      <c r="AE3558"/>
    </row>
    <row r="3559" spans="31:31" ht="15.75" customHeight="1">
      <c r="AE3559"/>
    </row>
    <row r="3560" spans="31:31" ht="15.75" customHeight="1">
      <c r="AE3560"/>
    </row>
    <row r="3561" spans="31:31" ht="15.75" customHeight="1">
      <c r="AE3561"/>
    </row>
    <row r="3562" spans="31:31" ht="15.75" customHeight="1">
      <c r="AE3562"/>
    </row>
    <row r="3563" spans="31:31" ht="15.75" customHeight="1">
      <c r="AE3563"/>
    </row>
    <row r="3564" spans="31:31" ht="15.75" customHeight="1">
      <c r="AE3564"/>
    </row>
    <row r="3565" spans="31:31" ht="15.75" customHeight="1">
      <c r="AE3565"/>
    </row>
    <row r="3566" spans="31:31" ht="15.75" customHeight="1">
      <c r="AE3566"/>
    </row>
    <row r="3567" spans="31:31" ht="15.75" customHeight="1">
      <c r="AE3567"/>
    </row>
    <row r="3568" spans="31:31" ht="15.75" customHeight="1">
      <c r="AE3568"/>
    </row>
    <row r="3569" spans="31:31" ht="15.75" customHeight="1">
      <c r="AE3569"/>
    </row>
    <row r="3570" spans="31:31" ht="15.75" customHeight="1">
      <c r="AE3570"/>
    </row>
    <row r="3571" spans="31:31" ht="15.75" customHeight="1">
      <c r="AE3571"/>
    </row>
    <row r="3572" spans="31:31" ht="15.75" customHeight="1">
      <c r="AE3572"/>
    </row>
    <row r="3573" spans="31:31" ht="15.75" customHeight="1">
      <c r="AE3573"/>
    </row>
    <row r="3574" spans="31:31" ht="15.75" customHeight="1">
      <c r="AE3574"/>
    </row>
    <row r="3575" spans="31:31" ht="15.75" customHeight="1">
      <c r="AE3575"/>
    </row>
    <row r="3576" spans="31:31" ht="15.75" customHeight="1">
      <c r="AE3576"/>
    </row>
    <row r="3577" spans="31:31" ht="15.75" customHeight="1">
      <c r="AE3577"/>
    </row>
    <row r="3578" spans="31:31" ht="15.75" customHeight="1">
      <c r="AE3578"/>
    </row>
    <row r="3579" spans="31:31" ht="15.75" customHeight="1">
      <c r="AE3579"/>
    </row>
    <row r="3580" spans="31:31" ht="15.75" customHeight="1">
      <c r="AE3580"/>
    </row>
    <row r="3581" spans="31:31" ht="15.75" customHeight="1">
      <c r="AE3581"/>
    </row>
    <row r="3582" spans="31:31" ht="15.75" customHeight="1">
      <c r="AE3582"/>
    </row>
    <row r="3583" spans="31:31" ht="15.75" customHeight="1">
      <c r="AE3583"/>
    </row>
    <row r="3584" spans="31:31" ht="15.75" customHeight="1">
      <c r="AE3584"/>
    </row>
    <row r="3585" spans="31:31" ht="15.75" customHeight="1">
      <c r="AE3585"/>
    </row>
    <row r="3586" spans="31:31" ht="15.75" customHeight="1">
      <c r="AE3586"/>
    </row>
    <row r="3587" spans="31:31" ht="15.75" customHeight="1">
      <c r="AE3587"/>
    </row>
    <row r="3588" spans="31:31" ht="15.75" customHeight="1">
      <c r="AE3588"/>
    </row>
    <row r="3589" spans="31:31" ht="15.75" customHeight="1">
      <c r="AE3589"/>
    </row>
    <row r="3590" spans="31:31" ht="15.75" customHeight="1">
      <c r="AE3590"/>
    </row>
    <row r="3591" spans="31:31" ht="15.75" customHeight="1">
      <c r="AE3591"/>
    </row>
    <row r="3592" spans="31:31" ht="15.75" customHeight="1">
      <c r="AE3592"/>
    </row>
    <row r="3593" spans="31:31" ht="15.75" customHeight="1">
      <c r="AE3593"/>
    </row>
    <row r="3594" spans="31:31" ht="15.75" customHeight="1">
      <c r="AE3594"/>
    </row>
    <row r="3595" spans="31:31" ht="15.75" customHeight="1">
      <c r="AE3595"/>
    </row>
    <row r="3596" spans="31:31" ht="15.75" customHeight="1">
      <c r="AE3596"/>
    </row>
    <row r="3597" spans="31:31" ht="15.75" customHeight="1">
      <c r="AE3597"/>
    </row>
    <row r="3598" spans="31:31" ht="15.75" customHeight="1">
      <c r="AE3598"/>
    </row>
    <row r="3599" spans="31:31" ht="15.75" customHeight="1">
      <c r="AE3599"/>
    </row>
    <row r="3600" spans="31:31" ht="15.75" customHeight="1">
      <c r="AE3600"/>
    </row>
    <row r="3601" spans="31:31" ht="15.75" customHeight="1">
      <c r="AE3601"/>
    </row>
    <row r="3602" spans="31:31" ht="15.75" customHeight="1">
      <c r="AE3602"/>
    </row>
    <row r="3603" spans="31:31" ht="15.75" customHeight="1">
      <c r="AE3603"/>
    </row>
    <row r="3604" spans="31:31" ht="15.75" customHeight="1">
      <c r="AE3604"/>
    </row>
    <row r="3605" spans="31:31" ht="15.75" customHeight="1">
      <c r="AE3605"/>
    </row>
    <row r="3606" spans="31:31" ht="15.75" customHeight="1">
      <c r="AE3606"/>
    </row>
    <row r="3607" spans="31:31" ht="15.75" customHeight="1">
      <c r="AE3607"/>
    </row>
    <row r="3608" spans="31:31" ht="15.75" customHeight="1">
      <c r="AE3608"/>
    </row>
    <row r="3609" spans="31:31" ht="15.75" customHeight="1">
      <c r="AE3609"/>
    </row>
    <row r="3610" spans="31:31" ht="15.75" customHeight="1">
      <c r="AE3610"/>
    </row>
    <row r="3611" spans="31:31" ht="15.75" customHeight="1">
      <c r="AE3611"/>
    </row>
    <row r="3612" spans="31:31" ht="15.75" customHeight="1">
      <c r="AE3612"/>
    </row>
    <row r="3613" spans="31:31" ht="15.75" customHeight="1">
      <c r="AE3613"/>
    </row>
    <row r="3614" spans="31:31" ht="15.75" customHeight="1">
      <c r="AE3614"/>
    </row>
    <row r="3615" spans="31:31" ht="15.75" customHeight="1">
      <c r="AE3615"/>
    </row>
    <row r="3616" spans="31:31" ht="15.75" customHeight="1">
      <c r="AE3616"/>
    </row>
    <row r="3617" spans="31:31" ht="15.75" customHeight="1">
      <c r="AE3617"/>
    </row>
    <row r="3618" spans="31:31" ht="15.75" customHeight="1">
      <c r="AE3618"/>
    </row>
    <row r="3619" spans="31:31" ht="15.75" customHeight="1">
      <c r="AE3619"/>
    </row>
    <row r="3620" spans="31:31" ht="15.75" customHeight="1">
      <c r="AE3620"/>
    </row>
    <row r="3621" spans="31:31" ht="15.75" customHeight="1">
      <c r="AE3621"/>
    </row>
    <row r="3622" spans="31:31" ht="15.75" customHeight="1">
      <c r="AE3622"/>
    </row>
    <row r="3623" spans="31:31" ht="15.75" customHeight="1">
      <c r="AE3623"/>
    </row>
    <row r="3624" spans="31:31" ht="15.75" customHeight="1">
      <c r="AE3624"/>
    </row>
    <row r="3625" spans="31:31" ht="15.75" customHeight="1">
      <c r="AE3625"/>
    </row>
    <row r="3626" spans="31:31" ht="15.75" customHeight="1">
      <c r="AE3626"/>
    </row>
    <row r="3627" spans="31:31" ht="15.75" customHeight="1">
      <c r="AE3627"/>
    </row>
    <row r="3628" spans="31:31" ht="15.75" customHeight="1">
      <c r="AE3628"/>
    </row>
    <row r="3629" spans="31:31" ht="15.75" customHeight="1">
      <c r="AE3629"/>
    </row>
    <row r="3630" spans="31:31" ht="15.75" customHeight="1">
      <c r="AE3630"/>
    </row>
    <row r="3631" spans="31:31" ht="15.75" customHeight="1">
      <c r="AE3631"/>
    </row>
    <row r="3632" spans="31:31" ht="15.75" customHeight="1">
      <c r="AE3632"/>
    </row>
    <row r="3633" spans="31:31" ht="15.75" customHeight="1">
      <c r="AE3633"/>
    </row>
    <row r="3634" spans="31:31" ht="15.75" customHeight="1">
      <c r="AE3634"/>
    </row>
    <row r="3635" spans="31:31" ht="15.75" customHeight="1">
      <c r="AE3635"/>
    </row>
    <row r="3636" spans="31:31" ht="15.75" customHeight="1">
      <c r="AE3636"/>
    </row>
    <row r="3637" spans="31:31" ht="15.75" customHeight="1">
      <c r="AE3637"/>
    </row>
    <row r="3638" spans="31:31" ht="15.75" customHeight="1">
      <c r="AE3638"/>
    </row>
    <row r="3639" spans="31:31" ht="15.75" customHeight="1">
      <c r="AE3639"/>
    </row>
    <row r="3640" spans="31:31" ht="15.75" customHeight="1">
      <c r="AE3640"/>
    </row>
    <row r="3641" spans="31:31" ht="15.75" customHeight="1">
      <c r="AE3641"/>
    </row>
    <row r="3642" spans="31:31" ht="15.75" customHeight="1">
      <c r="AE3642"/>
    </row>
    <row r="3643" spans="31:31" ht="15.75" customHeight="1">
      <c r="AE3643"/>
    </row>
    <row r="3644" spans="31:31" ht="15.75" customHeight="1">
      <c r="AE3644"/>
    </row>
    <row r="3645" spans="31:31" ht="15.75" customHeight="1">
      <c r="AE3645"/>
    </row>
    <row r="3646" spans="31:31" ht="15.75" customHeight="1">
      <c r="AE3646"/>
    </row>
    <row r="3647" spans="31:31" ht="15.75" customHeight="1">
      <c r="AE3647"/>
    </row>
    <row r="3648" spans="31:31" ht="15.75" customHeight="1">
      <c r="AE3648"/>
    </row>
    <row r="3649" spans="31:31" ht="15.75" customHeight="1">
      <c r="AE3649"/>
    </row>
    <row r="3650" spans="31:31" ht="15.75" customHeight="1">
      <c r="AE3650"/>
    </row>
    <row r="3651" spans="31:31" ht="15.75" customHeight="1">
      <c r="AE3651"/>
    </row>
    <row r="3652" spans="31:31" ht="15.75" customHeight="1">
      <c r="AE3652"/>
    </row>
    <row r="3653" spans="31:31" ht="15.75" customHeight="1">
      <c r="AE3653"/>
    </row>
    <row r="3654" spans="31:31" ht="15.75" customHeight="1">
      <c r="AE3654"/>
    </row>
    <row r="3655" spans="31:31" ht="15.75" customHeight="1">
      <c r="AE3655"/>
    </row>
    <row r="3656" spans="31:31" ht="15.75" customHeight="1">
      <c r="AE3656"/>
    </row>
    <row r="3657" spans="31:31" ht="15.75" customHeight="1">
      <c r="AE3657"/>
    </row>
    <row r="3658" spans="31:31" ht="15.75" customHeight="1">
      <c r="AE3658"/>
    </row>
    <row r="3659" spans="31:31" ht="15.75" customHeight="1">
      <c r="AE3659"/>
    </row>
    <row r="3660" spans="31:31" ht="15.75" customHeight="1">
      <c r="AE3660"/>
    </row>
    <row r="3661" spans="31:31" ht="15.75" customHeight="1">
      <c r="AE3661"/>
    </row>
    <row r="3662" spans="31:31" ht="15.75" customHeight="1">
      <c r="AE3662"/>
    </row>
    <row r="3663" spans="31:31" ht="15.75" customHeight="1">
      <c r="AE3663"/>
    </row>
    <row r="3664" spans="31:31" ht="15.75" customHeight="1">
      <c r="AE3664"/>
    </row>
    <row r="3665" spans="31:31" ht="15.75" customHeight="1">
      <c r="AE3665"/>
    </row>
    <row r="3666" spans="31:31" ht="15.75" customHeight="1">
      <c r="AE3666"/>
    </row>
    <row r="3667" spans="31:31" ht="15.75" customHeight="1">
      <c r="AE3667"/>
    </row>
    <row r="3668" spans="31:31" ht="15.75" customHeight="1">
      <c r="AE3668"/>
    </row>
    <row r="3669" spans="31:31" ht="15.75" customHeight="1">
      <c r="AE3669"/>
    </row>
    <row r="3670" spans="31:31" ht="15.75" customHeight="1">
      <c r="AE3670"/>
    </row>
    <row r="3671" spans="31:31" ht="15.75" customHeight="1">
      <c r="AE3671"/>
    </row>
    <row r="3672" spans="31:31" ht="15.75" customHeight="1">
      <c r="AE3672"/>
    </row>
    <row r="3673" spans="31:31" ht="15.75" customHeight="1">
      <c r="AE3673"/>
    </row>
    <row r="3674" spans="31:31" ht="15.75" customHeight="1">
      <c r="AE3674"/>
    </row>
    <row r="3675" spans="31:31" ht="15.75" customHeight="1">
      <c r="AE3675"/>
    </row>
    <row r="3676" spans="31:31" ht="15.75" customHeight="1">
      <c r="AE3676"/>
    </row>
    <row r="3677" spans="31:31" ht="15.75" customHeight="1">
      <c r="AE3677"/>
    </row>
    <row r="3678" spans="31:31" ht="15.75" customHeight="1">
      <c r="AE3678"/>
    </row>
    <row r="3679" spans="31:31" ht="15.75" customHeight="1">
      <c r="AE3679"/>
    </row>
    <row r="3680" spans="31:31" ht="15.75" customHeight="1">
      <c r="AE3680"/>
    </row>
    <row r="3681" spans="31:31" ht="15.75" customHeight="1">
      <c r="AE3681"/>
    </row>
    <row r="3682" spans="31:31" ht="15.75" customHeight="1">
      <c r="AE3682"/>
    </row>
    <row r="3683" spans="31:31" ht="15.75" customHeight="1">
      <c r="AE3683"/>
    </row>
    <row r="3684" spans="31:31" ht="15.75" customHeight="1">
      <c r="AE3684"/>
    </row>
    <row r="3685" spans="31:31" ht="15.75" customHeight="1">
      <c r="AE3685"/>
    </row>
    <row r="3686" spans="31:31" ht="15.75" customHeight="1">
      <c r="AE3686"/>
    </row>
    <row r="3687" spans="31:31" ht="15.75" customHeight="1">
      <c r="AE3687"/>
    </row>
    <row r="3688" spans="31:31" ht="15.75" customHeight="1">
      <c r="AE3688"/>
    </row>
    <row r="3689" spans="31:31" ht="15.75" customHeight="1">
      <c r="AE3689"/>
    </row>
    <row r="3690" spans="31:31" ht="15.75" customHeight="1">
      <c r="AE3690"/>
    </row>
    <row r="3691" spans="31:31" ht="15.75" customHeight="1">
      <c r="AE3691"/>
    </row>
    <row r="3692" spans="31:31" ht="15.75" customHeight="1">
      <c r="AE3692"/>
    </row>
    <row r="3693" spans="31:31" ht="15.75" customHeight="1">
      <c r="AE3693"/>
    </row>
    <row r="3694" spans="31:31" ht="15.75" customHeight="1">
      <c r="AE3694"/>
    </row>
    <row r="3695" spans="31:31" ht="15.75" customHeight="1">
      <c r="AE3695"/>
    </row>
    <row r="3696" spans="31:31" ht="15.75" customHeight="1">
      <c r="AE3696"/>
    </row>
    <row r="3697" spans="31:31" ht="15.75" customHeight="1">
      <c r="AE3697"/>
    </row>
    <row r="3698" spans="31:31" ht="15.75" customHeight="1">
      <c r="AE3698"/>
    </row>
    <row r="3699" spans="31:31" ht="15.75" customHeight="1">
      <c r="AE3699"/>
    </row>
    <row r="3700" spans="31:31" ht="15.75" customHeight="1">
      <c r="AE3700"/>
    </row>
    <row r="3701" spans="31:31" ht="15.75" customHeight="1">
      <c r="AE3701"/>
    </row>
    <row r="3702" spans="31:31" ht="15.75" customHeight="1">
      <c r="AE3702"/>
    </row>
    <row r="3703" spans="31:31" ht="15.75" customHeight="1">
      <c r="AE3703"/>
    </row>
    <row r="3704" spans="31:31" ht="15.75" customHeight="1">
      <c r="AE3704"/>
    </row>
    <row r="3705" spans="31:31" ht="15.75" customHeight="1">
      <c r="AE3705"/>
    </row>
    <row r="3706" spans="31:31" ht="15.75" customHeight="1">
      <c r="AE3706"/>
    </row>
    <row r="3707" spans="31:31" ht="15.75" customHeight="1">
      <c r="AE3707"/>
    </row>
    <row r="3708" spans="31:31" ht="15.75" customHeight="1">
      <c r="AE3708"/>
    </row>
    <row r="3709" spans="31:31" ht="15.75" customHeight="1">
      <c r="AE3709"/>
    </row>
    <row r="3710" spans="31:31" ht="15.75" customHeight="1">
      <c r="AE3710"/>
    </row>
    <row r="3711" spans="31:31" ht="15.75" customHeight="1">
      <c r="AE3711"/>
    </row>
    <row r="3712" spans="31:31" ht="15.75" customHeight="1">
      <c r="AE3712"/>
    </row>
    <row r="3713" spans="31:31" ht="15.75" customHeight="1">
      <c r="AE3713"/>
    </row>
    <row r="3714" spans="31:31" ht="15.75" customHeight="1">
      <c r="AE3714"/>
    </row>
    <row r="3715" spans="31:31" ht="15.75" customHeight="1">
      <c r="AE3715"/>
    </row>
    <row r="3716" spans="31:31" ht="15.75" customHeight="1">
      <c r="AE3716"/>
    </row>
    <row r="3717" spans="31:31" ht="15.75" customHeight="1">
      <c r="AE3717"/>
    </row>
    <row r="3718" spans="31:31" ht="15.75" customHeight="1">
      <c r="AE3718"/>
    </row>
    <row r="3719" spans="31:31" ht="15.75" customHeight="1">
      <c r="AE3719"/>
    </row>
    <row r="3720" spans="31:31" ht="15.75" customHeight="1">
      <c r="AE3720"/>
    </row>
    <row r="3721" spans="31:31" ht="15.75" customHeight="1">
      <c r="AE3721"/>
    </row>
    <row r="3722" spans="31:31" ht="15.75" customHeight="1">
      <c r="AE3722"/>
    </row>
    <row r="3723" spans="31:31" ht="15.75" customHeight="1">
      <c r="AE3723"/>
    </row>
    <row r="3724" spans="31:31" ht="15.75" customHeight="1">
      <c r="AE3724"/>
    </row>
    <row r="3725" spans="31:31" ht="15.75" customHeight="1">
      <c r="AE3725"/>
    </row>
    <row r="3726" spans="31:31" ht="15.75" customHeight="1">
      <c r="AE3726"/>
    </row>
    <row r="3727" spans="31:31" ht="15.75" customHeight="1">
      <c r="AE3727"/>
    </row>
    <row r="3728" spans="31:31" ht="15.75" customHeight="1">
      <c r="AE3728"/>
    </row>
    <row r="3729" spans="31:31" ht="15.75" customHeight="1">
      <c r="AE3729"/>
    </row>
    <row r="3730" spans="31:31" ht="15.75" customHeight="1">
      <c r="AE3730"/>
    </row>
    <row r="3731" spans="31:31" ht="15.75" customHeight="1">
      <c r="AE3731"/>
    </row>
    <row r="3732" spans="31:31" ht="15.75" customHeight="1">
      <c r="AE3732"/>
    </row>
    <row r="3733" spans="31:31" ht="15.75" customHeight="1">
      <c r="AE3733"/>
    </row>
    <row r="3734" spans="31:31" ht="15.75" customHeight="1">
      <c r="AE3734"/>
    </row>
    <row r="3735" spans="31:31" ht="15.75" customHeight="1">
      <c r="AE3735"/>
    </row>
    <row r="3736" spans="31:31" ht="15.75" customHeight="1">
      <c r="AE3736"/>
    </row>
    <row r="3737" spans="31:31" ht="15.75" customHeight="1">
      <c r="AE3737"/>
    </row>
    <row r="3738" spans="31:31" ht="15.75" customHeight="1">
      <c r="AE3738"/>
    </row>
    <row r="3739" spans="31:31" ht="15.75" customHeight="1">
      <c r="AE3739"/>
    </row>
    <row r="3740" spans="31:31" ht="15.75" customHeight="1">
      <c r="AE3740"/>
    </row>
    <row r="3741" spans="31:31" ht="15.75" customHeight="1">
      <c r="AE3741"/>
    </row>
    <row r="3742" spans="31:31" ht="15.75" customHeight="1">
      <c r="AE3742"/>
    </row>
    <row r="3743" spans="31:31" ht="15.75" customHeight="1">
      <c r="AE3743"/>
    </row>
    <row r="3744" spans="31:31" ht="15.75" customHeight="1">
      <c r="AE3744"/>
    </row>
    <row r="3745" spans="31:31" ht="15.75" customHeight="1">
      <c r="AE3745"/>
    </row>
    <row r="3746" spans="31:31" ht="15.75" customHeight="1">
      <c r="AE3746"/>
    </row>
    <row r="3747" spans="31:31" ht="15.75" customHeight="1">
      <c r="AE3747"/>
    </row>
    <row r="3748" spans="31:31" ht="15.75" customHeight="1">
      <c r="AE3748"/>
    </row>
    <row r="3749" spans="31:31" ht="15.75" customHeight="1">
      <c r="AE3749"/>
    </row>
    <row r="3750" spans="31:31" ht="15.75" customHeight="1">
      <c r="AE3750"/>
    </row>
    <row r="3751" spans="31:31" ht="15.75" customHeight="1">
      <c r="AE3751"/>
    </row>
    <row r="3752" spans="31:31" ht="15.75" customHeight="1">
      <c r="AE3752"/>
    </row>
    <row r="3753" spans="31:31" ht="15.75" customHeight="1">
      <c r="AE3753"/>
    </row>
    <row r="3754" spans="31:31" ht="15.75" customHeight="1">
      <c r="AE3754"/>
    </row>
    <row r="3755" spans="31:31" ht="15.75" customHeight="1">
      <c r="AE3755"/>
    </row>
    <row r="3756" spans="31:31" ht="15.75" customHeight="1">
      <c r="AE3756"/>
    </row>
    <row r="3757" spans="31:31" ht="15.75" customHeight="1">
      <c r="AE3757"/>
    </row>
    <row r="3758" spans="31:31" ht="15.75" customHeight="1">
      <c r="AE3758"/>
    </row>
    <row r="3759" spans="31:31" ht="15.75" customHeight="1">
      <c r="AE3759"/>
    </row>
    <row r="3760" spans="31:31" ht="15.75" customHeight="1">
      <c r="AE3760"/>
    </row>
    <row r="3761" spans="31:31" ht="15.75" customHeight="1">
      <c r="AE3761"/>
    </row>
    <row r="3762" spans="31:31" ht="15.75" customHeight="1">
      <c r="AE3762"/>
    </row>
    <row r="3763" spans="31:31" ht="15.75" customHeight="1">
      <c r="AE3763"/>
    </row>
    <row r="3764" spans="31:31" ht="15.75" customHeight="1">
      <c r="AE3764"/>
    </row>
    <row r="3765" spans="31:31" ht="15.75" customHeight="1">
      <c r="AE3765"/>
    </row>
    <row r="3766" spans="31:31" ht="15.75" customHeight="1">
      <c r="AE3766"/>
    </row>
    <row r="3767" spans="31:31" ht="15.75" customHeight="1">
      <c r="AE3767"/>
    </row>
    <row r="3768" spans="31:31" ht="15.75" customHeight="1">
      <c r="AE3768"/>
    </row>
    <row r="3769" spans="31:31" ht="15.75" customHeight="1">
      <c r="AE3769"/>
    </row>
    <row r="3770" spans="31:31" ht="15.75" customHeight="1">
      <c r="AE3770"/>
    </row>
    <row r="3771" spans="31:31" ht="15.75" customHeight="1">
      <c r="AE3771"/>
    </row>
    <row r="3772" spans="31:31" ht="15.75" customHeight="1">
      <c r="AE3772"/>
    </row>
    <row r="3773" spans="31:31" ht="15.75" customHeight="1">
      <c r="AE3773"/>
    </row>
    <row r="3774" spans="31:31" ht="15.75" customHeight="1">
      <c r="AE3774"/>
    </row>
    <row r="3775" spans="31:31" ht="15.75" customHeight="1">
      <c r="AE3775"/>
    </row>
    <row r="3776" spans="31:31" ht="15.75" customHeight="1">
      <c r="AE3776"/>
    </row>
    <row r="3777" spans="31:31" ht="15.75" customHeight="1">
      <c r="AE3777"/>
    </row>
    <row r="3778" spans="31:31" ht="15.75" customHeight="1">
      <c r="AE3778"/>
    </row>
    <row r="3779" spans="31:31" ht="15.75" customHeight="1">
      <c r="AE3779"/>
    </row>
    <row r="3780" spans="31:31" ht="15.75" customHeight="1">
      <c r="AE3780"/>
    </row>
    <row r="3781" spans="31:31" ht="15.75" customHeight="1">
      <c r="AE3781"/>
    </row>
    <row r="3782" spans="31:31" ht="15.75" customHeight="1">
      <c r="AE3782"/>
    </row>
    <row r="3783" spans="31:31" ht="15.75" customHeight="1">
      <c r="AE3783"/>
    </row>
    <row r="3784" spans="31:31" ht="15.75" customHeight="1">
      <c r="AE3784"/>
    </row>
    <row r="3785" spans="31:31" ht="15.75" customHeight="1">
      <c r="AE3785"/>
    </row>
    <row r="3786" spans="31:31" ht="15.75" customHeight="1">
      <c r="AE3786"/>
    </row>
    <row r="3787" spans="31:31" ht="15.75" customHeight="1">
      <c r="AE3787"/>
    </row>
    <row r="3788" spans="31:31" ht="15.75" customHeight="1">
      <c r="AE3788"/>
    </row>
    <row r="3789" spans="31:31" ht="15.75" customHeight="1">
      <c r="AE3789"/>
    </row>
    <row r="3790" spans="31:31" ht="15.75" customHeight="1">
      <c r="AE3790"/>
    </row>
    <row r="3791" spans="31:31" ht="15.75" customHeight="1">
      <c r="AE3791"/>
    </row>
    <row r="3792" spans="31:31" ht="15.75" customHeight="1">
      <c r="AE3792"/>
    </row>
    <row r="3793" spans="31:31" ht="15.75" customHeight="1">
      <c r="AE3793"/>
    </row>
    <row r="3794" spans="31:31" ht="15.75" customHeight="1">
      <c r="AE3794"/>
    </row>
    <row r="3795" spans="31:31" ht="15.75" customHeight="1">
      <c r="AE3795"/>
    </row>
    <row r="3796" spans="31:31" ht="15.75" customHeight="1">
      <c r="AE3796"/>
    </row>
    <row r="3797" spans="31:31" ht="15.75" customHeight="1">
      <c r="AE3797"/>
    </row>
    <row r="3798" spans="31:31" ht="15.75" customHeight="1">
      <c r="AE3798"/>
    </row>
    <row r="3799" spans="31:31" ht="15.75" customHeight="1">
      <c r="AE3799"/>
    </row>
    <row r="3800" spans="31:31" ht="15.75" customHeight="1">
      <c r="AE3800"/>
    </row>
    <row r="3801" spans="31:31" ht="15.75" customHeight="1">
      <c r="AE3801"/>
    </row>
    <row r="3802" spans="31:31" ht="15.75" customHeight="1">
      <c r="AE3802"/>
    </row>
    <row r="3803" spans="31:31" ht="15.75" customHeight="1">
      <c r="AE3803"/>
    </row>
    <row r="3804" spans="31:31" ht="15.75" customHeight="1">
      <c r="AE3804"/>
    </row>
    <row r="3805" spans="31:31" ht="15.75" customHeight="1">
      <c r="AE3805"/>
    </row>
    <row r="3806" spans="31:31" ht="15.75" customHeight="1">
      <c r="AE3806"/>
    </row>
    <row r="3807" spans="31:31" ht="15.75" customHeight="1">
      <c r="AE3807"/>
    </row>
    <row r="3808" spans="31:31" ht="15.75" customHeight="1">
      <c r="AE3808"/>
    </row>
    <row r="3809" spans="31:31" ht="15.75" customHeight="1">
      <c r="AE3809"/>
    </row>
    <row r="3810" spans="31:31" ht="15.75" customHeight="1">
      <c r="AE3810"/>
    </row>
    <row r="3811" spans="31:31" ht="15.75" customHeight="1">
      <c r="AE3811"/>
    </row>
    <row r="3812" spans="31:31" ht="15.75" customHeight="1">
      <c r="AE3812"/>
    </row>
    <row r="3813" spans="31:31" ht="15.75" customHeight="1">
      <c r="AE3813"/>
    </row>
    <row r="3814" spans="31:31" ht="15.75" customHeight="1">
      <c r="AE3814"/>
    </row>
    <row r="3815" spans="31:31" ht="15.75" customHeight="1">
      <c r="AE3815"/>
    </row>
    <row r="3816" spans="31:31" ht="15.75" customHeight="1">
      <c r="AE3816"/>
    </row>
    <row r="3817" spans="31:31" ht="15.75" customHeight="1">
      <c r="AE3817"/>
    </row>
    <row r="3818" spans="31:31" ht="15.75" customHeight="1">
      <c r="AE3818"/>
    </row>
    <row r="3819" spans="31:31" ht="15.75" customHeight="1">
      <c r="AE3819"/>
    </row>
    <row r="3820" spans="31:31" ht="15.75" customHeight="1">
      <c r="AE3820"/>
    </row>
    <row r="3821" spans="31:31" ht="15.75" customHeight="1">
      <c r="AE3821"/>
    </row>
    <row r="3822" spans="31:31" ht="15.75" customHeight="1">
      <c r="AE3822"/>
    </row>
    <row r="3823" spans="31:31" ht="15.75" customHeight="1">
      <c r="AE3823"/>
    </row>
    <row r="3824" spans="31:31" ht="15.75" customHeight="1">
      <c r="AE3824"/>
    </row>
    <row r="3825" spans="31:31" ht="15.75" customHeight="1">
      <c r="AE3825"/>
    </row>
    <row r="3826" spans="31:31" ht="15.75" customHeight="1">
      <c r="AE3826"/>
    </row>
    <row r="3827" spans="31:31" ht="15.75" customHeight="1">
      <c r="AE3827"/>
    </row>
    <row r="3828" spans="31:31" ht="15.75" customHeight="1">
      <c r="AE3828"/>
    </row>
    <row r="3829" spans="31:31" ht="15.75" customHeight="1">
      <c r="AE3829"/>
    </row>
    <row r="3830" spans="31:31" ht="15.75" customHeight="1">
      <c r="AE3830"/>
    </row>
    <row r="3831" spans="31:31" ht="15.75" customHeight="1">
      <c r="AE3831"/>
    </row>
    <row r="3832" spans="31:31" ht="15.75" customHeight="1">
      <c r="AE3832"/>
    </row>
    <row r="3833" spans="31:31" ht="15.75" customHeight="1">
      <c r="AE3833"/>
    </row>
    <row r="3834" spans="31:31" ht="15.75" customHeight="1">
      <c r="AE3834"/>
    </row>
    <row r="3835" spans="31:31" ht="15.75" customHeight="1">
      <c r="AE3835"/>
    </row>
    <row r="3836" spans="31:31" ht="15.75" customHeight="1">
      <c r="AE3836"/>
    </row>
    <row r="3837" spans="31:31" ht="15.75" customHeight="1">
      <c r="AE3837"/>
    </row>
    <row r="3838" spans="31:31" ht="15.75" customHeight="1">
      <c r="AE3838"/>
    </row>
    <row r="3839" spans="31:31" ht="15.75" customHeight="1">
      <c r="AE3839"/>
    </row>
    <row r="3840" spans="31:31" ht="15.75" customHeight="1">
      <c r="AE3840"/>
    </row>
    <row r="3841" spans="31:31" ht="15.75" customHeight="1">
      <c r="AE3841"/>
    </row>
    <row r="3842" spans="31:31" ht="15.75" customHeight="1">
      <c r="AE3842"/>
    </row>
    <row r="3843" spans="31:31" ht="15.75" customHeight="1">
      <c r="AE3843"/>
    </row>
    <row r="3844" spans="31:31" ht="15.75" customHeight="1">
      <c r="AE3844"/>
    </row>
    <row r="3845" spans="31:31" ht="15.75" customHeight="1">
      <c r="AE3845"/>
    </row>
    <row r="3846" spans="31:31" ht="15.75" customHeight="1">
      <c r="AE3846"/>
    </row>
    <row r="3847" spans="31:31" ht="15.75" customHeight="1">
      <c r="AE3847"/>
    </row>
    <row r="3848" spans="31:31" ht="15.75" customHeight="1">
      <c r="AE3848"/>
    </row>
    <row r="3849" spans="31:31" ht="15.75" customHeight="1">
      <c r="AE3849"/>
    </row>
    <row r="3850" spans="31:31" ht="15.75" customHeight="1">
      <c r="AE3850"/>
    </row>
    <row r="3851" spans="31:31" ht="15.75" customHeight="1">
      <c r="AE3851"/>
    </row>
    <row r="3852" spans="31:31" ht="15.75" customHeight="1">
      <c r="AE3852"/>
    </row>
    <row r="3853" spans="31:31" ht="15.75" customHeight="1">
      <c r="AE3853"/>
    </row>
    <row r="3854" spans="31:31" ht="15.75" customHeight="1">
      <c r="AE3854"/>
    </row>
    <row r="3855" spans="31:31" ht="15.75" customHeight="1">
      <c r="AE3855"/>
    </row>
    <row r="3856" spans="31:31" ht="15.75" customHeight="1">
      <c r="AE3856"/>
    </row>
    <row r="3857" spans="31:31" ht="15.75" customHeight="1">
      <c r="AE3857"/>
    </row>
    <row r="3858" spans="31:31" ht="15.75" customHeight="1">
      <c r="AE3858"/>
    </row>
    <row r="3859" spans="31:31" ht="15.75" customHeight="1">
      <c r="AE3859"/>
    </row>
    <row r="3860" spans="31:31" ht="15.75" customHeight="1">
      <c r="AE3860"/>
    </row>
    <row r="3861" spans="31:31" ht="15.75" customHeight="1">
      <c r="AE3861"/>
    </row>
    <row r="3862" spans="31:31" ht="15.75" customHeight="1">
      <c r="AE3862"/>
    </row>
    <row r="3863" spans="31:31" ht="15.75" customHeight="1">
      <c r="AE3863"/>
    </row>
    <row r="3864" spans="31:31" ht="15.75" customHeight="1">
      <c r="AE3864"/>
    </row>
    <row r="3865" spans="31:31" ht="15.75" customHeight="1">
      <c r="AE3865"/>
    </row>
    <row r="3866" spans="31:31" ht="15.75" customHeight="1">
      <c r="AE3866"/>
    </row>
    <row r="3867" spans="31:31" ht="15.75" customHeight="1">
      <c r="AE3867"/>
    </row>
    <row r="3868" spans="31:31" ht="15.75" customHeight="1">
      <c r="AE3868"/>
    </row>
    <row r="3869" spans="31:31" ht="15.75" customHeight="1">
      <c r="AE3869"/>
    </row>
    <row r="3870" spans="31:31" ht="15.75" customHeight="1">
      <c r="AE3870"/>
    </row>
    <row r="3871" spans="31:31" ht="15.75" customHeight="1">
      <c r="AE3871"/>
    </row>
    <row r="3872" spans="31:31" ht="15.75" customHeight="1">
      <c r="AE3872"/>
    </row>
    <row r="3873" spans="31:31" ht="15.75" customHeight="1">
      <c r="AE3873"/>
    </row>
    <row r="3874" spans="31:31" ht="15.75" customHeight="1">
      <c r="AE3874"/>
    </row>
    <row r="3875" spans="31:31" ht="15.75" customHeight="1">
      <c r="AE3875"/>
    </row>
    <row r="3876" spans="31:31" ht="15.75" customHeight="1">
      <c r="AE3876"/>
    </row>
    <row r="3877" spans="31:31" ht="15.75" customHeight="1">
      <c r="AE3877"/>
    </row>
    <row r="3878" spans="31:31" ht="15.75" customHeight="1">
      <c r="AE3878"/>
    </row>
    <row r="3879" spans="31:31" ht="15.75" customHeight="1">
      <c r="AE3879"/>
    </row>
    <row r="3880" spans="31:31" ht="15.75" customHeight="1">
      <c r="AE3880"/>
    </row>
    <row r="3881" spans="31:31" ht="15.75" customHeight="1">
      <c r="AE3881"/>
    </row>
    <row r="3882" spans="31:31" ht="15.75" customHeight="1">
      <c r="AE3882"/>
    </row>
    <row r="3883" spans="31:31" ht="15.75" customHeight="1">
      <c r="AE3883"/>
    </row>
    <row r="3884" spans="31:31" ht="15.75" customHeight="1">
      <c r="AE3884"/>
    </row>
    <row r="3885" spans="31:31" ht="15.75" customHeight="1">
      <c r="AE3885"/>
    </row>
    <row r="3886" spans="31:31" ht="15.75" customHeight="1">
      <c r="AE3886"/>
    </row>
    <row r="3887" spans="31:31" ht="15.75" customHeight="1">
      <c r="AE3887"/>
    </row>
    <row r="3888" spans="31:31" ht="15.75" customHeight="1">
      <c r="AE3888"/>
    </row>
    <row r="3889" spans="31:31" ht="15.75" customHeight="1">
      <c r="AE3889"/>
    </row>
    <row r="3890" spans="31:31" ht="15.75" customHeight="1">
      <c r="AE3890"/>
    </row>
    <row r="3891" spans="31:31" ht="15.75" customHeight="1">
      <c r="AE3891"/>
    </row>
    <row r="3892" spans="31:31" ht="15.75" customHeight="1">
      <c r="AE3892"/>
    </row>
    <row r="3893" spans="31:31" ht="15.75" customHeight="1">
      <c r="AE3893"/>
    </row>
    <row r="3894" spans="31:31" ht="15.75" customHeight="1">
      <c r="AE3894"/>
    </row>
    <row r="3895" spans="31:31" ht="15.75" customHeight="1">
      <c r="AE3895"/>
    </row>
    <row r="3896" spans="31:31" ht="15.75" customHeight="1">
      <c r="AE3896"/>
    </row>
    <row r="3897" spans="31:31" ht="15.75" customHeight="1">
      <c r="AE3897"/>
    </row>
    <row r="3898" spans="31:31" ht="15.75" customHeight="1">
      <c r="AE3898"/>
    </row>
    <row r="3899" spans="31:31" ht="15.75" customHeight="1">
      <c r="AE3899"/>
    </row>
    <row r="3900" spans="31:31" ht="15.75" customHeight="1">
      <c r="AE3900"/>
    </row>
    <row r="3901" spans="31:31" ht="15.75" customHeight="1">
      <c r="AE3901"/>
    </row>
    <row r="3902" spans="31:31" ht="15.75" customHeight="1">
      <c r="AE3902"/>
    </row>
    <row r="3903" spans="31:31" ht="15.75" customHeight="1">
      <c r="AE3903"/>
    </row>
    <row r="3904" spans="31:31" ht="15.75" customHeight="1">
      <c r="AE3904"/>
    </row>
    <row r="3905" spans="31:31" ht="15.75" customHeight="1">
      <c r="AE3905"/>
    </row>
    <row r="3906" spans="31:31" ht="15.75" customHeight="1">
      <c r="AE3906"/>
    </row>
    <row r="3907" spans="31:31" ht="15.75" customHeight="1">
      <c r="AE3907"/>
    </row>
    <row r="3908" spans="31:31" ht="15.75" customHeight="1">
      <c r="AE3908"/>
    </row>
    <row r="3909" spans="31:31" ht="15.75" customHeight="1">
      <c r="AE3909"/>
    </row>
    <row r="3910" spans="31:31" ht="15.75" customHeight="1">
      <c r="AE3910"/>
    </row>
    <row r="3911" spans="31:31" ht="15.75" customHeight="1">
      <c r="AE3911"/>
    </row>
    <row r="3912" spans="31:31" ht="15.75" customHeight="1">
      <c r="AE3912"/>
    </row>
    <row r="3913" spans="31:31" ht="15.75" customHeight="1">
      <c r="AE3913"/>
    </row>
    <row r="3914" spans="31:31" ht="15.75" customHeight="1">
      <c r="AE3914"/>
    </row>
    <row r="3915" spans="31:31" ht="15.75" customHeight="1">
      <c r="AE3915"/>
    </row>
    <row r="3916" spans="31:31" ht="15.75" customHeight="1">
      <c r="AE3916"/>
    </row>
    <row r="3917" spans="31:31" ht="15.75" customHeight="1">
      <c r="AE3917"/>
    </row>
    <row r="3918" spans="31:31" ht="15.75" customHeight="1">
      <c r="AE3918"/>
    </row>
    <row r="3919" spans="31:31" ht="15.75" customHeight="1">
      <c r="AE3919"/>
    </row>
    <row r="3920" spans="31:31" ht="15.75" customHeight="1">
      <c r="AE3920"/>
    </row>
    <row r="3921" spans="31:31" ht="15.75" customHeight="1">
      <c r="AE3921"/>
    </row>
    <row r="3922" spans="31:31" ht="15.75" customHeight="1">
      <c r="AE3922"/>
    </row>
    <row r="3923" spans="31:31" ht="15.75" customHeight="1">
      <c r="AE3923"/>
    </row>
    <row r="3924" spans="31:31" ht="15.75" customHeight="1">
      <c r="AE3924"/>
    </row>
    <row r="3925" spans="31:31" ht="15.75" customHeight="1">
      <c r="AE3925"/>
    </row>
    <row r="3926" spans="31:31" ht="15.75" customHeight="1">
      <c r="AE3926"/>
    </row>
    <row r="3927" spans="31:31" ht="15.75" customHeight="1">
      <c r="AE3927"/>
    </row>
    <row r="3928" spans="31:31" ht="15.75" customHeight="1">
      <c r="AE3928"/>
    </row>
    <row r="3929" spans="31:31" ht="15.75" customHeight="1">
      <c r="AE3929"/>
    </row>
    <row r="3930" spans="31:31" ht="15.75" customHeight="1">
      <c r="AE3930"/>
    </row>
    <row r="3931" spans="31:31" ht="15.75" customHeight="1">
      <c r="AE3931"/>
    </row>
    <row r="3932" spans="31:31" ht="15.75" customHeight="1">
      <c r="AE3932"/>
    </row>
    <row r="3933" spans="31:31" ht="15.75" customHeight="1">
      <c r="AE3933"/>
    </row>
    <row r="3934" spans="31:31" ht="15.75" customHeight="1">
      <c r="AE3934"/>
    </row>
    <row r="3935" spans="31:31" ht="15.75" customHeight="1">
      <c r="AE3935"/>
    </row>
    <row r="3936" spans="31:31" ht="15.75" customHeight="1">
      <c r="AE3936"/>
    </row>
    <row r="3937" spans="31:31" ht="15.75" customHeight="1">
      <c r="AE3937"/>
    </row>
    <row r="3938" spans="31:31" ht="15.75" customHeight="1">
      <c r="AE3938"/>
    </row>
    <row r="3939" spans="31:31" ht="15.75" customHeight="1">
      <c r="AE3939"/>
    </row>
    <row r="3940" spans="31:31" ht="15.75" customHeight="1">
      <c r="AE3940"/>
    </row>
    <row r="3941" spans="31:31" ht="15.75" customHeight="1">
      <c r="AE3941"/>
    </row>
    <row r="3942" spans="31:31" ht="15.75" customHeight="1">
      <c r="AE3942"/>
    </row>
    <row r="3943" spans="31:31" ht="15.75" customHeight="1">
      <c r="AE3943"/>
    </row>
    <row r="3944" spans="31:31" ht="15.75" customHeight="1">
      <c r="AE3944"/>
    </row>
    <row r="3945" spans="31:31" ht="15.75" customHeight="1">
      <c r="AE3945"/>
    </row>
    <row r="3946" spans="31:31" ht="15.75" customHeight="1">
      <c r="AE3946"/>
    </row>
    <row r="3947" spans="31:31" ht="15.75" customHeight="1">
      <c r="AE3947"/>
    </row>
    <row r="3948" spans="31:31" ht="15.75" customHeight="1">
      <c r="AE3948"/>
    </row>
    <row r="3949" spans="31:31" ht="15.75" customHeight="1">
      <c r="AE3949"/>
    </row>
    <row r="3950" spans="31:31" ht="15.75" customHeight="1">
      <c r="AE3950"/>
    </row>
    <row r="3951" spans="31:31" ht="15.75" customHeight="1">
      <c r="AE3951"/>
    </row>
    <row r="3952" spans="31:31" ht="15.75" customHeight="1">
      <c r="AE3952"/>
    </row>
    <row r="3953" spans="31:31" ht="15.75" customHeight="1">
      <c r="AE3953"/>
    </row>
    <row r="3954" spans="31:31" ht="15.75" customHeight="1">
      <c r="AE3954"/>
    </row>
    <row r="3955" spans="31:31" ht="15.75" customHeight="1">
      <c r="AE3955"/>
    </row>
    <row r="3956" spans="31:31" ht="15.75" customHeight="1">
      <c r="AE3956"/>
    </row>
    <row r="3957" spans="31:31" ht="15.75" customHeight="1">
      <c r="AE3957"/>
    </row>
    <row r="3958" spans="31:31" ht="15.75" customHeight="1">
      <c r="AE3958"/>
    </row>
    <row r="3959" spans="31:31" ht="15.75" customHeight="1">
      <c r="AE3959"/>
    </row>
    <row r="3960" spans="31:31" ht="15.75" customHeight="1">
      <c r="AE3960"/>
    </row>
    <row r="3961" spans="31:31" ht="15.75" customHeight="1">
      <c r="AE3961"/>
    </row>
    <row r="3962" spans="31:31" ht="15.75" customHeight="1">
      <c r="AE3962"/>
    </row>
    <row r="3963" spans="31:31" ht="15.75" customHeight="1">
      <c r="AE3963"/>
    </row>
    <row r="3964" spans="31:31" ht="15.75" customHeight="1">
      <c r="AE3964"/>
    </row>
    <row r="3965" spans="31:31" ht="15.75" customHeight="1">
      <c r="AE3965"/>
    </row>
    <row r="3966" spans="31:31" ht="15.75" customHeight="1">
      <c r="AE3966"/>
    </row>
    <row r="3967" spans="31:31" ht="15.75" customHeight="1">
      <c r="AE3967"/>
    </row>
    <row r="3968" spans="31:31" ht="15.75" customHeight="1">
      <c r="AE3968"/>
    </row>
    <row r="3969" spans="31:31" ht="15.75" customHeight="1">
      <c r="AE3969"/>
    </row>
    <row r="3970" spans="31:31" ht="15.75" customHeight="1">
      <c r="AE3970"/>
    </row>
    <row r="3971" spans="31:31" ht="15.75" customHeight="1">
      <c r="AE3971"/>
    </row>
    <row r="3972" spans="31:31" ht="15.75" customHeight="1">
      <c r="AE3972"/>
    </row>
    <row r="3973" spans="31:31" ht="15.75" customHeight="1">
      <c r="AE3973"/>
    </row>
    <row r="3974" spans="31:31" ht="15.75" customHeight="1">
      <c r="AE3974"/>
    </row>
    <row r="3975" spans="31:31" ht="15.75" customHeight="1">
      <c r="AE3975"/>
    </row>
    <row r="3976" spans="31:31" ht="15.75" customHeight="1">
      <c r="AE3976"/>
    </row>
    <row r="3977" spans="31:31" ht="15.75" customHeight="1">
      <c r="AE3977"/>
    </row>
    <row r="3978" spans="31:31" ht="15.75" customHeight="1">
      <c r="AE3978"/>
    </row>
    <row r="3979" spans="31:31" ht="15.75" customHeight="1">
      <c r="AE3979"/>
    </row>
    <row r="3980" spans="31:31" ht="15.75" customHeight="1">
      <c r="AE3980"/>
    </row>
    <row r="3981" spans="31:31" ht="15.75" customHeight="1">
      <c r="AE3981"/>
    </row>
    <row r="3982" spans="31:31" ht="15.75" customHeight="1">
      <c r="AE3982"/>
    </row>
    <row r="3983" spans="31:31" ht="15.75" customHeight="1">
      <c r="AE3983"/>
    </row>
    <row r="3984" spans="31:31" ht="15.75" customHeight="1">
      <c r="AE3984"/>
    </row>
    <row r="3985" spans="31:31" ht="15.75" customHeight="1">
      <c r="AE3985"/>
    </row>
    <row r="3986" spans="31:31" ht="15.75" customHeight="1">
      <c r="AE3986"/>
    </row>
    <row r="3987" spans="31:31" ht="15.75" customHeight="1">
      <c r="AE3987"/>
    </row>
    <row r="3988" spans="31:31" ht="15.75" customHeight="1">
      <c r="AE3988"/>
    </row>
    <row r="3989" spans="31:31" ht="15.75" customHeight="1">
      <c r="AE3989"/>
    </row>
    <row r="3990" spans="31:31" ht="15.75" customHeight="1">
      <c r="AE3990"/>
    </row>
    <row r="3991" spans="31:31" ht="15.75" customHeight="1">
      <c r="AE3991"/>
    </row>
    <row r="3992" spans="31:31" ht="15.75" customHeight="1">
      <c r="AE3992"/>
    </row>
    <row r="3993" spans="31:31" ht="15.75" customHeight="1">
      <c r="AE3993"/>
    </row>
    <row r="3994" spans="31:31" ht="15.75" customHeight="1">
      <c r="AE3994"/>
    </row>
    <row r="3995" spans="31:31" ht="15.75" customHeight="1">
      <c r="AE3995"/>
    </row>
    <row r="3996" spans="31:31" ht="15.75" customHeight="1">
      <c r="AE3996"/>
    </row>
    <row r="3997" spans="31:31" ht="15.75" customHeight="1">
      <c r="AE3997"/>
    </row>
    <row r="3998" spans="31:31" ht="15.75" customHeight="1">
      <c r="AE3998"/>
    </row>
    <row r="3999" spans="31:31" ht="15.75" customHeight="1">
      <c r="AE3999"/>
    </row>
    <row r="4000" spans="31:31" ht="15.75" customHeight="1">
      <c r="AE4000"/>
    </row>
    <row r="4001" spans="31:31" ht="15.75" customHeight="1">
      <c r="AE4001"/>
    </row>
    <row r="4002" spans="31:31" ht="15.75" customHeight="1">
      <c r="AE4002"/>
    </row>
    <row r="4003" spans="31:31" ht="15.75" customHeight="1">
      <c r="AE4003"/>
    </row>
    <row r="4004" spans="31:31" ht="15.75" customHeight="1">
      <c r="AE4004"/>
    </row>
    <row r="4005" spans="31:31" ht="15.75" customHeight="1">
      <c r="AE4005"/>
    </row>
    <row r="4006" spans="31:31" ht="15.75" customHeight="1">
      <c r="AE4006"/>
    </row>
    <row r="4007" spans="31:31" ht="15.75" customHeight="1">
      <c r="AE4007"/>
    </row>
    <row r="4008" spans="31:31" ht="15.75" customHeight="1">
      <c r="AE4008"/>
    </row>
    <row r="4009" spans="31:31" ht="15.75" customHeight="1">
      <c r="AE4009"/>
    </row>
    <row r="4010" spans="31:31" ht="15.75" customHeight="1">
      <c r="AE4010"/>
    </row>
    <row r="4011" spans="31:31" ht="15.75" customHeight="1">
      <c r="AE4011"/>
    </row>
    <row r="4012" spans="31:31" ht="15.75" customHeight="1">
      <c r="AE4012"/>
    </row>
    <row r="4013" spans="31:31" ht="15.75" customHeight="1">
      <c r="AE4013"/>
    </row>
    <row r="4014" spans="31:31" ht="15.75" customHeight="1">
      <c r="AE4014"/>
    </row>
    <row r="4015" spans="31:31" ht="15.75" customHeight="1">
      <c r="AE4015"/>
    </row>
    <row r="4016" spans="31:31" ht="15.75" customHeight="1">
      <c r="AE4016"/>
    </row>
    <row r="4017" spans="31:31" ht="15.75" customHeight="1">
      <c r="AE4017"/>
    </row>
    <row r="4018" spans="31:31" ht="15.75" customHeight="1">
      <c r="AE4018"/>
    </row>
    <row r="4019" spans="31:31" ht="15.75" customHeight="1">
      <c r="AE4019"/>
    </row>
    <row r="4020" spans="31:31" ht="15.75" customHeight="1">
      <c r="AE4020"/>
    </row>
    <row r="4021" spans="31:31" ht="15.75" customHeight="1">
      <c r="AE4021"/>
    </row>
    <row r="4022" spans="31:31" ht="15.75" customHeight="1">
      <c r="AE4022"/>
    </row>
    <row r="4023" spans="31:31" ht="15.75" customHeight="1">
      <c r="AE4023"/>
    </row>
    <row r="4024" spans="31:31" ht="15.75" customHeight="1">
      <c r="AE4024"/>
    </row>
    <row r="4025" spans="31:31" ht="15.75" customHeight="1">
      <c r="AE4025"/>
    </row>
    <row r="4026" spans="31:31" ht="15.75" customHeight="1">
      <c r="AE4026"/>
    </row>
    <row r="4027" spans="31:31" ht="15.75" customHeight="1">
      <c r="AE4027"/>
    </row>
    <row r="4028" spans="31:31" ht="15.75" customHeight="1">
      <c r="AE4028"/>
    </row>
    <row r="4029" spans="31:31" ht="15.75" customHeight="1">
      <c r="AE4029"/>
    </row>
    <row r="4030" spans="31:31" ht="15.75" customHeight="1">
      <c r="AE4030"/>
    </row>
    <row r="4031" spans="31:31" ht="15.75" customHeight="1">
      <c r="AE4031"/>
    </row>
    <row r="4032" spans="31:31" ht="15.75" customHeight="1">
      <c r="AE4032"/>
    </row>
    <row r="4033" spans="31:31" ht="15.75" customHeight="1">
      <c r="AE4033"/>
    </row>
    <row r="4034" spans="31:31" ht="15.75" customHeight="1">
      <c r="AE4034"/>
    </row>
    <row r="4035" spans="31:31" ht="15.75" customHeight="1">
      <c r="AE4035"/>
    </row>
    <row r="4036" spans="31:31" ht="15.75" customHeight="1">
      <c r="AE4036"/>
    </row>
    <row r="4037" spans="31:31" ht="15.75" customHeight="1">
      <c r="AE4037"/>
    </row>
    <row r="4038" spans="31:31" ht="15.75" customHeight="1">
      <c r="AE4038"/>
    </row>
    <row r="4039" spans="31:31" ht="15.75" customHeight="1">
      <c r="AE4039"/>
    </row>
    <row r="4040" spans="31:31" ht="15.75" customHeight="1">
      <c r="AE4040"/>
    </row>
    <row r="4041" spans="31:31" ht="15.75" customHeight="1">
      <c r="AE4041"/>
    </row>
    <row r="4042" spans="31:31" ht="15.75" customHeight="1">
      <c r="AE4042"/>
    </row>
    <row r="4043" spans="31:31" ht="15.75" customHeight="1">
      <c r="AE4043"/>
    </row>
    <row r="4044" spans="31:31" ht="15.75" customHeight="1">
      <c r="AE4044"/>
    </row>
    <row r="4045" spans="31:31" ht="15.75" customHeight="1">
      <c r="AE4045"/>
    </row>
    <row r="4046" spans="31:31" ht="15.75" customHeight="1">
      <c r="AE4046"/>
    </row>
    <row r="4047" spans="31:31" ht="15.75" customHeight="1">
      <c r="AE4047"/>
    </row>
    <row r="4048" spans="31:31" ht="15.75" customHeight="1">
      <c r="AE4048"/>
    </row>
    <row r="4049" spans="31:31" ht="15.75" customHeight="1">
      <c r="AE4049"/>
    </row>
    <row r="4050" spans="31:31" ht="15.75" customHeight="1">
      <c r="AE4050"/>
    </row>
    <row r="4051" spans="31:31" ht="15.75" customHeight="1">
      <c r="AE4051"/>
    </row>
    <row r="4052" spans="31:31" ht="15.75" customHeight="1">
      <c r="AE4052"/>
    </row>
    <row r="4053" spans="31:31" ht="15.75" customHeight="1">
      <c r="AE4053"/>
    </row>
    <row r="4054" spans="31:31" ht="15.75" customHeight="1">
      <c r="AE4054"/>
    </row>
    <row r="4055" spans="31:31" ht="15.75" customHeight="1">
      <c r="AE4055"/>
    </row>
    <row r="4056" spans="31:31" ht="15.75" customHeight="1">
      <c r="AE4056"/>
    </row>
    <row r="4057" spans="31:31" ht="15.75" customHeight="1">
      <c r="AE4057"/>
    </row>
    <row r="4058" spans="31:31" ht="15.75" customHeight="1">
      <c r="AE4058"/>
    </row>
    <row r="4059" spans="31:31" ht="15.75" customHeight="1">
      <c r="AE4059"/>
    </row>
    <row r="4060" spans="31:31" ht="15.75" customHeight="1">
      <c r="AE4060"/>
    </row>
    <row r="4061" spans="31:31" ht="15.75" customHeight="1">
      <c r="AE4061"/>
    </row>
    <row r="4062" spans="31:31" ht="15.75" customHeight="1">
      <c r="AE4062"/>
    </row>
    <row r="4063" spans="31:31" ht="15.75" customHeight="1">
      <c r="AE4063"/>
    </row>
    <row r="4064" spans="31:31" ht="15.75" customHeight="1">
      <c r="AE4064"/>
    </row>
    <row r="4065" spans="31:31" ht="15.75" customHeight="1">
      <c r="AE4065"/>
    </row>
    <row r="4066" spans="31:31" ht="15.75" customHeight="1">
      <c r="AE4066"/>
    </row>
    <row r="4067" spans="31:31" ht="15.75" customHeight="1">
      <c r="AE4067"/>
    </row>
    <row r="4068" spans="31:31" ht="15.75" customHeight="1">
      <c r="AE4068"/>
    </row>
    <row r="4069" spans="31:31" ht="15.75" customHeight="1">
      <c r="AE4069"/>
    </row>
    <row r="4070" spans="31:31" ht="15.75" customHeight="1">
      <c r="AE4070"/>
    </row>
    <row r="4071" spans="31:31" ht="15.75" customHeight="1">
      <c r="AE4071"/>
    </row>
    <row r="4072" spans="31:31" ht="15.75" customHeight="1">
      <c r="AE4072"/>
    </row>
    <row r="4073" spans="31:31" ht="15.75" customHeight="1">
      <c r="AE4073"/>
    </row>
    <row r="4074" spans="31:31" ht="15.75" customHeight="1">
      <c r="AE4074"/>
    </row>
    <row r="4075" spans="31:31" ht="15.75" customHeight="1">
      <c r="AE4075"/>
    </row>
    <row r="4076" spans="31:31" ht="15.75" customHeight="1">
      <c r="AE4076"/>
    </row>
    <row r="4077" spans="31:31" ht="15.75" customHeight="1">
      <c r="AE4077"/>
    </row>
    <row r="4078" spans="31:31" ht="15.75" customHeight="1">
      <c r="AE4078"/>
    </row>
    <row r="4079" spans="31:31" ht="15.75" customHeight="1">
      <c r="AE4079"/>
    </row>
    <row r="4080" spans="31:31" ht="15.75" customHeight="1">
      <c r="AE4080"/>
    </row>
    <row r="4081" spans="31:31" ht="15.75" customHeight="1">
      <c r="AE4081"/>
    </row>
    <row r="4082" spans="31:31" ht="15.75" customHeight="1">
      <c r="AE4082"/>
    </row>
    <row r="4083" spans="31:31" ht="15.75" customHeight="1">
      <c r="AE4083"/>
    </row>
    <row r="4084" spans="31:31" ht="15.75" customHeight="1">
      <c r="AE4084"/>
    </row>
    <row r="4085" spans="31:31" ht="15.75" customHeight="1">
      <c r="AE4085"/>
    </row>
    <row r="4086" spans="31:31" ht="15.75" customHeight="1">
      <c r="AE4086"/>
    </row>
    <row r="4087" spans="31:31" ht="15.75" customHeight="1">
      <c r="AE4087"/>
    </row>
    <row r="4088" spans="31:31" ht="15.75" customHeight="1">
      <c r="AE4088"/>
    </row>
    <row r="4089" spans="31:31" ht="15.75" customHeight="1">
      <c r="AE4089"/>
    </row>
    <row r="4090" spans="31:31" ht="15.75" customHeight="1">
      <c r="AE4090"/>
    </row>
    <row r="4091" spans="31:31" ht="15.75" customHeight="1">
      <c r="AE4091"/>
    </row>
    <row r="4092" spans="31:31" ht="15.75" customHeight="1">
      <c r="AE4092"/>
    </row>
    <row r="4093" spans="31:31" ht="15.75" customHeight="1">
      <c r="AE4093"/>
    </row>
    <row r="4094" spans="31:31" ht="15.75" customHeight="1">
      <c r="AE4094"/>
    </row>
    <row r="4095" spans="31:31" ht="15.75" customHeight="1">
      <c r="AE4095"/>
    </row>
    <row r="4096" spans="31:31" ht="15.75" customHeight="1">
      <c r="AE4096"/>
    </row>
    <row r="4097" spans="31:31" ht="15.75" customHeight="1">
      <c r="AE4097"/>
    </row>
    <row r="4098" spans="31:31" ht="15.75" customHeight="1">
      <c r="AE4098"/>
    </row>
    <row r="4099" spans="31:31" ht="15.75" customHeight="1">
      <c r="AE4099"/>
    </row>
    <row r="4100" spans="31:31" ht="15.75" customHeight="1">
      <c r="AE4100"/>
    </row>
    <row r="4101" spans="31:31" ht="15.75" customHeight="1">
      <c r="AE4101"/>
    </row>
    <row r="4102" spans="31:31" ht="15.75" customHeight="1">
      <c r="AE4102"/>
    </row>
    <row r="4103" spans="31:31" ht="15.75" customHeight="1">
      <c r="AE4103"/>
    </row>
    <row r="4104" spans="31:31" ht="15.75" customHeight="1">
      <c r="AE4104"/>
    </row>
    <row r="4105" spans="31:31" ht="15.75" customHeight="1">
      <c r="AE4105"/>
    </row>
    <row r="4106" spans="31:31" ht="15.75" customHeight="1">
      <c r="AE4106"/>
    </row>
    <row r="4107" spans="31:31" ht="15.75" customHeight="1">
      <c r="AE4107"/>
    </row>
    <row r="4108" spans="31:31" ht="15.75" customHeight="1">
      <c r="AE4108"/>
    </row>
    <row r="4109" spans="31:31" ht="15.75" customHeight="1">
      <c r="AE4109"/>
    </row>
    <row r="4110" spans="31:31" ht="15.75" customHeight="1">
      <c r="AE4110"/>
    </row>
    <row r="4111" spans="31:31" ht="15.75" customHeight="1">
      <c r="AE4111"/>
    </row>
    <row r="4112" spans="31:31" ht="15.75" customHeight="1">
      <c r="AE4112"/>
    </row>
    <row r="4113" spans="31:31" ht="15.75" customHeight="1">
      <c r="AE4113"/>
    </row>
    <row r="4114" spans="31:31" ht="15.75" customHeight="1">
      <c r="AE4114"/>
    </row>
    <row r="4115" spans="31:31" ht="15.75" customHeight="1">
      <c r="AE4115"/>
    </row>
    <row r="4116" spans="31:31" ht="15.75" customHeight="1">
      <c r="AE4116"/>
    </row>
    <row r="4117" spans="31:31" ht="15.75" customHeight="1">
      <c r="AE4117"/>
    </row>
    <row r="4118" spans="31:31" ht="15.75" customHeight="1">
      <c r="AE4118"/>
    </row>
    <row r="4119" spans="31:31" ht="15.75" customHeight="1">
      <c r="AE4119"/>
    </row>
    <row r="4120" spans="31:31" ht="15.75" customHeight="1">
      <c r="AE4120"/>
    </row>
    <row r="4121" spans="31:31" ht="15.75" customHeight="1">
      <c r="AE4121"/>
    </row>
    <row r="4122" spans="31:31" ht="15.75" customHeight="1">
      <c r="AE4122"/>
    </row>
    <row r="4123" spans="31:31" ht="15.75" customHeight="1">
      <c r="AE4123"/>
    </row>
    <row r="4124" spans="31:31" ht="15.75" customHeight="1">
      <c r="AE4124"/>
    </row>
    <row r="4125" spans="31:31" ht="15.75" customHeight="1">
      <c r="AE4125"/>
    </row>
    <row r="4126" spans="31:31" ht="15.75" customHeight="1">
      <c r="AE4126"/>
    </row>
    <row r="4127" spans="31:31" ht="15.75" customHeight="1">
      <c r="AE4127"/>
    </row>
    <row r="4128" spans="31:31" ht="15.75" customHeight="1">
      <c r="AE4128"/>
    </row>
    <row r="4129" spans="31:31" ht="15.75" customHeight="1">
      <c r="AE4129"/>
    </row>
    <row r="4130" spans="31:31" ht="15.75" customHeight="1">
      <c r="AE4130"/>
    </row>
    <row r="4131" spans="31:31" ht="15.75" customHeight="1">
      <c r="AE4131"/>
    </row>
    <row r="4132" spans="31:31" ht="15.75" customHeight="1">
      <c r="AE4132"/>
    </row>
    <row r="4133" spans="31:31" ht="15.75" customHeight="1">
      <c r="AE4133"/>
    </row>
    <row r="4134" spans="31:31" ht="15.75" customHeight="1">
      <c r="AE4134"/>
    </row>
    <row r="4135" spans="31:31" ht="15.75" customHeight="1">
      <c r="AE4135"/>
    </row>
    <row r="4136" spans="31:31" ht="15.75" customHeight="1">
      <c r="AE4136"/>
    </row>
    <row r="4137" spans="31:31" ht="15.75" customHeight="1">
      <c r="AE4137"/>
    </row>
    <row r="4138" spans="31:31" ht="15.75" customHeight="1">
      <c r="AE4138"/>
    </row>
    <row r="4139" spans="31:31" ht="15.75" customHeight="1">
      <c r="AE4139"/>
    </row>
    <row r="4140" spans="31:31" ht="15.75" customHeight="1">
      <c r="AE4140"/>
    </row>
    <row r="4141" spans="31:31" ht="15.75" customHeight="1">
      <c r="AE4141"/>
    </row>
    <row r="4142" spans="31:31" ht="15.75" customHeight="1">
      <c r="AE4142"/>
    </row>
    <row r="4143" spans="31:31" ht="15.75" customHeight="1">
      <c r="AE4143"/>
    </row>
    <row r="4144" spans="31:31" ht="15.75" customHeight="1">
      <c r="AE4144"/>
    </row>
    <row r="4145" spans="31:31" ht="15.75" customHeight="1">
      <c r="AE4145"/>
    </row>
    <row r="4146" spans="31:31" ht="15.75" customHeight="1">
      <c r="AE4146"/>
    </row>
    <row r="4147" spans="31:31" ht="15.75" customHeight="1">
      <c r="AE4147"/>
    </row>
    <row r="4148" spans="31:31" ht="15.75" customHeight="1">
      <c r="AE4148"/>
    </row>
    <row r="4149" spans="31:31" ht="15.75" customHeight="1">
      <c r="AE4149"/>
    </row>
    <row r="4150" spans="31:31" ht="15.75" customHeight="1">
      <c r="AE4150"/>
    </row>
    <row r="4151" spans="31:31" ht="15.75" customHeight="1">
      <c r="AE4151"/>
    </row>
    <row r="4152" spans="31:31" ht="15.75" customHeight="1">
      <c r="AE4152"/>
    </row>
    <row r="4153" spans="31:31" ht="15.75" customHeight="1">
      <c r="AE4153"/>
    </row>
    <row r="4154" spans="31:31" ht="15.75" customHeight="1">
      <c r="AE4154"/>
    </row>
    <row r="4155" spans="31:31" ht="15.75" customHeight="1">
      <c r="AE4155"/>
    </row>
    <row r="4156" spans="31:31" ht="15.75" customHeight="1">
      <c r="AE4156"/>
    </row>
    <row r="4157" spans="31:31" ht="15.75" customHeight="1">
      <c r="AE4157"/>
    </row>
    <row r="4158" spans="31:31" ht="15.75" customHeight="1">
      <c r="AE4158"/>
    </row>
    <row r="4159" spans="31:31" ht="15.75" customHeight="1">
      <c r="AE4159"/>
    </row>
    <row r="4160" spans="31:31" ht="15.75" customHeight="1">
      <c r="AE4160"/>
    </row>
    <row r="4161" spans="31:31" ht="15.75" customHeight="1">
      <c r="AE4161"/>
    </row>
    <row r="4162" spans="31:31" ht="15.75" customHeight="1">
      <c r="AE4162"/>
    </row>
    <row r="4163" spans="31:31" ht="15.75" customHeight="1">
      <c r="AE4163"/>
    </row>
    <row r="4164" spans="31:31" ht="15.75" customHeight="1">
      <c r="AE4164"/>
    </row>
    <row r="4165" spans="31:31" ht="15.75" customHeight="1">
      <c r="AE4165"/>
    </row>
    <row r="4166" spans="31:31" ht="15.75" customHeight="1">
      <c r="AE4166"/>
    </row>
    <row r="4167" spans="31:31" ht="15.75" customHeight="1">
      <c r="AE4167"/>
    </row>
    <row r="4168" spans="31:31" ht="15.75" customHeight="1">
      <c r="AE4168"/>
    </row>
    <row r="4169" spans="31:31" ht="15.75" customHeight="1">
      <c r="AE4169"/>
    </row>
    <row r="4170" spans="31:31" ht="15.75" customHeight="1">
      <c r="AE4170"/>
    </row>
    <row r="4171" spans="31:31" ht="15.75" customHeight="1">
      <c r="AE4171"/>
    </row>
    <row r="4172" spans="31:31" ht="15.75" customHeight="1">
      <c r="AE4172"/>
    </row>
    <row r="4173" spans="31:31" ht="15.75" customHeight="1">
      <c r="AE4173"/>
    </row>
    <row r="4174" spans="31:31" ht="15.75" customHeight="1">
      <c r="AE4174"/>
    </row>
    <row r="4175" spans="31:31" ht="15.75" customHeight="1">
      <c r="AE4175"/>
    </row>
    <row r="4176" spans="31:31" ht="15.75" customHeight="1">
      <c r="AE4176"/>
    </row>
    <row r="4177" spans="31:31" ht="15.75" customHeight="1">
      <c r="AE4177"/>
    </row>
    <row r="4178" spans="31:31" ht="15.75" customHeight="1">
      <c r="AE4178"/>
    </row>
    <row r="4179" spans="31:31" ht="15.75" customHeight="1">
      <c r="AE4179"/>
    </row>
    <row r="4180" spans="31:31" ht="15.75" customHeight="1">
      <c r="AE4180"/>
    </row>
    <row r="4181" spans="31:31" ht="15.75" customHeight="1">
      <c r="AE4181"/>
    </row>
    <row r="4182" spans="31:31" ht="15.75" customHeight="1">
      <c r="AE4182"/>
    </row>
    <row r="4183" spans="31:31" ht="15.75" customHeight="1">
      <c r="AE4183"/>
    </row>
    <row r="4184" spans="31:31" ht="15.75" customHeight="1">
      <c r="AE4184"/>
    </row>
    <row r="4185" spans="31:31" ht="15.75" customHeight="1">
      <c r="AE4185"/>
    </row>
    <row r="4186" spans="31:31" ht="15.75" customHeight="1">
      <c r="AE4186"/>
    </row>
    <row r="4187" spans="31:31" ht="15.75" customHeight="1">
      <c r="AE4187"/>
    </row>
    <row r="4188" spans="31:31" ht="15.75" customHeight="1">
      <c r="AE4188"/>
    </row>
    <row r="4189" spans="31:31" ht="15.75" customHeight="1">
      <c r="AE4189"/>
    </row>
    <row r="4190" spans="31:31" ht="15.75" customHeight="1">
      <c r="AE4190"/>
    </row>
    <row r="4191" spans="31:31" ht="15.75" customHeight="1">
      <c r="AE4191"/>
    </row>
    <row r="4192" spans="31:31" ht="15.75" customHeight="1">
      <c r="AE4192"/>
    </row>
    <row r="4193" spans="31:31" ht="15.75" customHeight="1">
      <c r="AE4193"/>
    </row>
    <row r="4194" spans="31:31" ht="15.75" customHeight="1">
      <c r="AE4194"/>
    </row>
    <row r="4195" spans="31:31" ht="15.75" customHeight="1">
      <c r="AE4195"/>
    </row>
    <row r="4196" spans="31:31" ht="15.75" customHeight="1">
      <c r="AE4196"/>
    </row>
    <row r="4197" spans="31:31" ht="15.75" customHeight="1">
      <c r="AE4197"/>
    </row>
    <row r="4198" spans="31:31" ht="15.75" customHeight="1">
      <c r="AE4198"/>
    </row>
    <row r="4199" spans="31:31" ht="15.75" customHeight="1">
      <c r="AE4199"/>
    </row>
    <row r="4200" spans="31:31" ht="15.75" customHeight="1">
      <c r="AE4200"/>
    </row>
    <row r="4201" spans="31:31" ht="15.75" customHeight="1">
      <c r="AE4201"/>
    </row>
    <row r="4202" spans="31:31" ht="15.75" customHeight="1">
      <c r="AE4202"/>
    </row>
    <row r="4203" spans="31:31" ht="15.75" customHeight="1">
      <c r="AE4203"/>
    </row>
    <row r="4204" spans="31:31" ht="15.75" customHeight="1">
      <c r="AE4204"/>
    </row>
    <row r="4205" spans="31:31" ht="15.75" customHeight="1">
      <c r="AE4205"/>
    </row>
    <row r="4206" spans="31:31" ht="15.75" customHeight="1">
      <c r="AE4206"/>
    </row>
    <row r="4207" spans="31:31" ht="15.75" customHeight="1">
      <c r="AE4207"/>
    </row>
    <row r="4208" spans="31:31" ht="15.75" customHeight="1">
      <c r="AE4208"/>
    </row>
    <row r="4209" spans="31:31" ht="15.75" customHeight="1">
      <c r="AE4209"/>
    </row>
    <row r="4210" spans="31:31" ht="15.75" customHeight="1">
      <c r="AE4210"/>
    </row>
    <row r="4211" spans="31:31" ht="15.75" customHeight="1">
      <c r="AE4211"/>
    </row>
    <row r="4212" spans="31:31" ht="15.75" customHeight="1">
      <c r="AE4212"/>
    </row>
    <row r="4213" spans="31:31" ht="15.75" customHeight="1">
      <c r="AE4213"/>
    </row>
    <row r="4214" spans="31:31" ht="15.75" customHeight="1">
      <c r="AE4214"/>
    </row>
    <row r="4215" spans="31:31" ht="15.75" customHeight="1">
      <c r="AE4215"/>
    </row>
    <row r="4216" spans="31:31" ht="15.75" customHeight="1">
      <c r="AE4216"/>
    </row>
    <row r="4217" spans="31:31" ht="15.75" customHeight="1">
      <c r="AE4217"/>
    </row>
    <row r="4218" spans="31:31" ht="15.75" customHeight="1">
      <c r="AE4218"/>
    </row>
    <row r="4219" spans="31:31" ht="15.75" customHeight="1">
      <c r="AE4219"/>
    </row>
    <row r="4220" spans="31:31" ht="15.75" customHeight="1">
      <c r="AE4220"/>
    </row>
    <row r="4221" spans="31:31" ht="15.75" customHeight="1">
      <c r="AE4221"/>
    </row>
    <row r="4222" spans="31:31" ht="15.75" customHeight="1">
      <c r="AE4222"/>
    </row>
    <row r="4223" spans="31:31" ht="15.75" customHeight="1">
      <c r="AE4223"/>
    </row>
    <row r="4224" spans="31:31" ht="15.75" customHeight="1">
      <c r="AE4224"/>
    </row>
    <row r="4225" spans="31:31" ht="15.75" customHeight="1">
      <c r="AE4225"/>
    </row>
    <row r="4226" spans="31:31" ht="15.75" customHeight="1">
      <c r="AE4226"/>
    </row>
    <row r="4227" spans="31:31" ht="15.75" customHeight="1">
      <c r="AE4227"/>
    </row>
    <row r="4228" spans="31:31" ht="15.75" customHeight="1">
      <c r="AE4228"/>
    </row>
    <row r="4229" spans="31:31" ht="15.75" customHeight="1">
      <c r="AE4229"/>
    </row>
    <row r="4230" spans="31:31" ht="15.75" customHeight="1">
      <c r="AE4230"/>
    </row>
    <row r="4231" spans="31:31" ht="15.75" customHeight="1">
      <c r="AE4231"/>
    </row>
    <row r="4232" spans="31:31" ht="15.75" customHeight="1">
      <c r="AE4232"/>
    </row>
    <row r="4233" spans="31:31" ht="15.75" customHeight="1">
      <c r="AE4233"/>
    </row>
    <row r="4234" spans="31:31" ht="15.75" customHeight="1">
      <c r="AE4234"/>
    </row>
    <row r="4235" spans="31:31" ht="15.75" customHeight="1">
      <c r="AE4235"/>
    </row>
    <row r="4236" spans="31:31" ht="15.75" customHeight="1">
      <c r="AE4236"/>
    </row>
    <row r="4237" spans="31:31" ht="15.75" customHeight="1">
      <c r="AE4237"/>
    </row>
    <row r="4238" spans="31:31" ht="15.75" customHeight="1">
      <c r="AE4238"/>
    </row>
    <row r="4239" spans="31:31" ht="15.75" customHeight="1">
      <c r="AE4239"/>
    </row>
    <row r="4240" spans="31:31" ht="15.75" customHeight="1">
      <c r="AE4240"/>
    </row>
    <row r="4241" spans="31:31" ht="15.75" customHeight="1">
      <c r="AE4241"/>
    </row>
    <row r="4242" spans="31:31" ht="15.75" customHeight="1">
      <c r="AE4242"/>
    </row>
    <row r="4243" spans="31:31" ht="15.75" customHeight="1">
      <c r="AE4243"/>
    </row>
    <row r="4244" spans="31:31" ht="15.75" customHeight="1">
      <c r="AE4244"/>
    </row>
    <row r="4245" spans="31:31" ht="15.75" customHeight="1">
      <c r="AE4245"/>
    </row>
    <row r="4246" spans="31:31" ht="15.75" customHeight="1">
      <c r="AE4246"/>
    </row>
    <row r="4247" spans="31:31" ht="15.75" customHeight="1">
      <c r="AE4247"/>
    </row>
    <row r="4248" spans="31:31" ht="15.75" customHeight="1">
      <c r="AE4248"/>
    </row>
    <row r="4249" spans="31:31" ht="15.75" customHeight="1">
      <c r="AE4249"/>
    </row>
    <row r="4250" spans="31:31" ht="15.75" customHeight="1">
      <c r="AE4250"/>
    </row>
    <row r="4251" spans="31:31" ht="15.75" customHeight="1">
      <c r="AE4251"/>
    </row>
    <row r="4252" spans="31:31" ht="15.75" customHeight="1">
      <c r="AE4252"/>
    </row>
    <row r="4253" spans="31:31" ht="15.75" customHeight="1">
      <c r="AE4253"/>
    </row>
    <row r="4254" spans="31:31" ht="15.75" customHeight="1">
      <c r="AE4254"/>
    </row>
    <row r="4255" spans="31:31" ht="15.75" customHeight="1">
      <c r="AE4255"/>
    </row>
    <row r="4256" spans="31:31" ht="15.75" customHeight="1">
      <c r="AE4256"/>
    </row>
    <row r="4257" spans="31:31" ht="15.75" customHeight="1">
      <c r="AE4257"/>
    </row>
    <row r="4258" spans="31:31" ht="15.75" customHeight="1">
      <c r="AE4258"/>
    </row>
    <row r="4259" spans="31:31" ht="15.75" customHeight="1">
      <c r="AE4259"/>
    </row>
    <row r="4260" spans="31:31" ht="15.75" customHeight="1">
      <c r="AE4260"/>
    </row>
    <row r="4261" spans="31:31" ht="15.75" customHeight="1">
      <c r="AE4261"/>
    </row>
    <row r="4262" spans="31:31" ht="15.75" customHeight="1">
      <c r="AE4262"/>
    </row>
    <row r="4263" spans="31:31" ht="15.75" customHeight="1">
      <c r="AE4263"/>
    </row>
    <row r="4264" spans="31:31" ht="15.75" customHeight="1">
      <c r="AE4264"/>
    </row>
    <row r="4265" spans="31:31" ht="15.75" customHeight="1">
      <c r="AE4265"/>
    </row>
    <row r="4266" spans="31:31" ht="15.75" customHeight="1">
      <c r="AE4266"/>
    </row>
    <row r="4267" spans="31:31" ht="15.75" customHeight="1">
      <c r="AE4267"/>
    </row>
    <row r="4268" spans="31:31" ht="15.75" customHeight="1">
      <c r="AE4268"/>
    </row>
    <row r="4269" spans="31:31" ht="15.75" customHeight="1">
      <c r="AE4269"/>
    </row>
    <row r="4270" spans="31:31" ht="15.75" customHeight="1">
      <c r="AE4270"/>
    </row>
    <row r="4271" spans="31:31" ht="15.75" customHeight="1">
      <c r="AE4271"/>
    </row>
    <row r="4272" spans="31:31" ht="15.75" customHeight="1">
      <c r="AE4272"/>
    </row>
    <row r="4273" spans="31:31" ht="15.75" customHeight="1">
      <c r="AE4273"/>
    </row>
    <row r="4274" spans="31:31" ht="15.75" customHeight="1">
      <c r="AE4274"/>
    </row>
    <row r="4275" spans="31:31" ht="15.75" customHeight="1">
      <c r="AE4275"/>
    </row>
    <row r="4276" spans="31:31" ht="15.75" customHeight="1">
      <c r="AE4276"/>
    </row>
    <row r="4277" spans="31:31" ht="15.75" customHeight="1">
      <c r="AE4277"/>
    </row>
    <row r="4278" spans="31:31" ht="15.75" customHeight="1">
      <c r="AE4278"/>
    </row>
    <row r="4279" spans="31:31" ht="15.75" customHeight="1">
      <c r="AE4279"/>
    </row>
    <row r="4280" spans="31:31" ht="15.75" customHeight="1">
      <c r="AE4280"/>
    </row>
    <row r="4281" spans="31:31" ht="15.75" customHeight="1">
      <c r="AE4281"/>
    </row>
    <row r="4282" spans="31:31" ht="15.75" customHeight="1">
      <c r="AE4282"/>
    </row>
    <row r="4283" spans="31:31" ht="15.75" customHeight="1">
      <c r="AE4283"/>
    </row>
    <row r="4284" spans="31:31" ht="15.75" customHeight="1">
      <c r="AE4284"/>
    </row>
    <row r="4285" spans="31:31" ht="15.75" customHeight="1">
      <c r="AE4285"/>
    </row>
    <row r="4286" spans="31:31" ht="15.75" customHeight="1">
      <c r="AE4286"/>
    </row>
    <row r="4287" spans="31:31" ht="15.75" customHeight="1">
      <c r="AE4287"/>
    </row>
    <row r="4288" spans="31:31" ht="15.75" customHeight="1">
      <c r="AE4288"/>
    </row>
    <row r="4289" spans="31:31" ht="15.75" customHeight="1">
      <c r="AE4289"/>
    </row>
    <row r="4290" spans="31:31" ht="15.75" customHeight="1">
      <c r="AE4290"/>
    </row>
    <row r="4291" spans="31:31" ht="15.75" customHeight="1">
      <c r="AE4291"/>
    </row>
    <row r="4292" spans="31:31" ht="15.75" customHeight="1">
      <c r="AE4292"/>
    </row>
    <row r="4293" spans="31:31" ht="15.75" customHeight="1">
      <c r="AE4293"/>
    </row>
    <row r="4294" spans="31:31" ht="15.75" customHeight="1">
      <c r="AE4294"/>
    </row>
    <row r="4295" spans="31:31" ht="15.75" customHeight="1">
      <c r="AE4295"/>
    </row>
    <row r="4296" spans="31:31" ht="15.75" customHeight="1">
      <c r="AE4296"/>
    </row>
    <row r="4297" spans="31:31" ht="15.75" customHeight="1">
      <c r="AE4297"/>
    </row>
    <row r="4298" spans="31:31" ht="15.75" customHeight="1">
      <c r="AE4298"/>
    </row>
    <row r="4299" spans="31:31" ht="15.75" customHeight="1">
      <c r="AE4299"/>
    </row>
    <row r="4300" spans="31:31" ht="15.75" customHeight="1">
      <c r="AE4300"/>
    </row>
    <row r="4301" spans="31:31" ht="15.75" customHeight="1">
      <c r="AE4301"/>
    </row>
    <row r="4302" spans="31:31" ht="15.75" customHeight="1">
      <c r="AE4302"/>
    </row>
    <row r="4303" spans="31:31" ht="15.75" customHeight="1">
      <c r="AE4303"/>
    </row>
    <row r="4304" spans="31:31" ht="15.75" customHeight="1">
      <c r="AE4304"/>
    </row>
    <row r="4305" spans="31:31" ht="15.75" customHeight="1">
      <c r="AE4305"/>
    </row>
    <row r="4306" spans="31:31" ht="15.75" customHeight="1">
      <c r="AE4306"/>
    </row>
    <row r="4307" spans="31:31" ht="15.75" customHeight="1">
      <c r="AE4307"/>
    </row>
    <row r="4308" spans="31:31" ht="15.75" customHeight="1">
      <c r="AE4308"/>
    </row>
    <row r="4309" spans="31:31" ht="15.75" customHeight="1">
      <c r="AE4309"/>
    </row>
    <row r="4310" spans="31:31" ht="15.75" customHeight="1">
      <c r="AE4310"/>
    </row>
    <row r="4311" spans="31:31" ht="15.75" customHeight="1">
      <c r="AE4311"/>
    </row>
    <row r="4312" spans="31:31" ht="15.75" customHeight="1">
      <c r="AE4312"/>
    </row>
    <row r="4313" spans="31:31" ht="15.75" customHeight="1">
      <c r="AE4313"/>
    </row>
    <row r="4314" spans="31:31" ht="15.75" customHeight="1">
      <c r="AE4314"/>
    </row>
    <row r="4315" spans="31:31" ht="15.75" customHeight="1">
      <c r="AE4315"/>
    </row>
    <row r="4316" spans="31:31" ht="15.75" customHeight="1">
      <c r="AE4316"/>
    </row>
    <row r="4317" spans="31:31" ht="15.75" customHeight="1">
      <c r="AE4317"/>
    </row>
    <row r="4318" spans="31:31" ht="15.75" customHeight="1">
      <c r="AE4318"/>
    </row>
    <row r="4319" spans="31:31" ht="15.75" customHeight="1">
      <c r="AE4319"/>
    </row>
    <row r="4320" spans="31:31" ht="15.75" customHeight="1">
      <c r="AE4320"/>
    </row>
    <row r="4321" spans="31:31" ht="15.75" customHeight="1">
      <c r="AE4321"/>
    </row>
    <row r="4322" spans="31:31" ht="15.75" customHeight="1">
      <c r="AE4322"/>
    </row>
    <row r="4323" spans="31:31" ht="15.75" customHeight="1">
      <c r="AE4323"/>
    </row>
    <row r="4324" spans="31:31" ht="15.75" customHeight="1">
      <c r="AE4324"/>
    </row>
    <row r="4325" spans="31:31" ht="15.75" customHeight="1">
      <c r="AE4325"/>
    </row>
    <row r="4326" spans="31:31" ht="15.75" customHeight="1">
      <c r="AE4326"/>
    </row>
    <row r="4327" spans="31:31" ht="15.75" customHeight="1">
      <c r="AE4327"/>
    </row>
    <row r="4328" spans="31:31" ht="15.75" customHeight="1">
      <c r="AE4328"/>
    </row>
    <row r="4329" spans="31:31" ht="15.75" customHeight="1">
      <c r="AE4329"/>
    </row>
    <row r="4330" spans="31:31" ht="15.75" customHeight="1">
      <c r="AE4330"/>
    </row>
    <row r="4331" spans="31:31" ht="15.75" customHeight="1">
      <c r="AE4331"/>
    </row>
    <row r="4332" spans="31:31" ht="15.75" customHeight="1">
      <c r="AE4332"/>
    </row>
    <row r="4333" spans="31:31" ht="15.75" customHeight="1">
      <c r="AE4333"/>
    </row>
    <row r="4334" spans="31:31" ht="15.75" customHeight="1">
      <c r="AE4334"/>
    </row>
    <row r="4335" spans="31:31" ht="15.75" customHeight="1">
      <c r="AE4335"/>
    </row>
    <row r="4336" spans="31:31" ht="15.75" customHeight="1">
      <c r="AE4336"/>
    </row>
    <row r="4337" spans="31:31" ht="15.75" customHeight="1">
      <c r="AE4337"/>
    </row>
    <row r="4338" spans="31:31" ht="15.75" customHeight="1">
      <c r="AE4338"/>
    </row>
    <row r="4339" spans="31:31" ht="15.75" customHeight="1">
      <c r="AE4339"/>
    </row>
    <row r="4340" spans="31:31" ht="15.75" customHeight="1">
      <c r="AE4340"/>
    </row>
    <row r="4341" spans="31:31" ht="15.75" customHeight="1">
      <c r="AE4341"/>
    </row>
    <row r="4342" spans="31:31" ht="15.75" customHeight="1">
      <c r="AE4342"/>
    </row>
    <row r="4343" spans="31:31" ht="15.75" customHeight="1">
      <c r="AE4343"/>
    </row>
    <row r="4344" spans="31:31" ht="15.75" customHeight="1">
      <c r="AE4344"/>
    </row>
    <row r="4345" spans="31:31" ht="15.75" customHeight="1">
      <c r="AE4345"/>
    </row>
    <row r="4346" spans="31:31" ht="15.75" customHeight="1">
      <c r="AE4346"/>
    </row>
    <row r="4347" spans="31:31" ht="15.75" customHeight="1">
      <c r="AE4347"/>
    </row>
    <row r="4348" spans="31:31" ht="15.75" customHeight="1">
      <c r="AE4348"/>
    </row>
    <row r="4349" spans="31:31" ht="15.75" customHeight="1">
      <c r="AE4349"/>
    </row>
    <row r="4350" spans="31:31" ht="15.75" customHeight="1">
      <c r="AE4350"/>
    </row>
    <row r="4351" spans="31:31" ht="15.75" customHeight="1">
      <c r="AE4351"/>
    </row>
    <row r="4352" spans="31:31" ht="15.75" customHeight="1">
      <c r="AE4352"/>
    </row>
    <row r="4353" spans="31:31" ht="15.75" customHeight="1">
      <c r="AE4353"/>
    </row>
    <row r="4354" spans="31:31" ht="15.75" customHeight="1">
      <c r="AE4354"/>
    </row>
    <row r="4355" spans="31:31" ht="15.75" customHeight="1">
      <c r="AE4355"/>
    </row>
    <row r="4356" spans="31:31" ht="15.75" customHeight="1">
      <c r="AE4356"/>
    </row>
    <row r="4357" spans="31:31" ht="15.75" customHeight="1">
      <c r="AE4357"/>
    </row>
    <row r="4358" spans="31:31" ht="15.75" customHeight="1">
      <c r="AE4358"/>
    </row>
    <row r="4359" spans="31:31" ht="15.75" customHeight="1">
      <c r="AE4359"/>
    </row>
    <row r="4360" spans="31:31" ht="15.75" customHeight="1">
      <c r="AE4360"/>
    </row>
    <row r="4361" spans="31:31" ht="15.75" customHeight="1">
      <c r="AE4361"/>
    </row>
    <row r="4362" spans="31:31" ht="15.75" customHeight="1">
      <c r="AE4362"/>
    </row>
    <row r="4363" spans="31:31" ht="15.75" customHeight="1">
      <c r="AE4363"/>
    </row>
    <row r="4364" spans="31:31" ht="15.75" customHeight="1">
      <c r="AE4364"/>
    </row>
    <row r="4365" spans="31:31" ht="15.75" customHeight="1">
      <c r="AE4365"/>
    </row>
    <row r="4366" spans="31:31" ht="15.75" customHeight="1">
      <c r="AE4366"/>
    </row>
    <row r="4367" spans="31:31" ht="15.75" customHeight="1">
      <c r="AE4367"/>
    </row>
    <row r="4368" spans="31:31" ht="15.75" customHeight="1">
      <c r="AE4368"/>
    </row>
    <row r="4369" spans="31:31" ht="15.75" customHeight="1">
      <c r="AE4369"/>
    </row>
    <row r="4370" spans="31:31" ht="15.75" customHeight="1">
      <c r="AE4370"/>
    </row>
    <row r="4371" spans="31:31" ht="15.75" customHeight="1">
      <c r="AE4371"/>
    </row>
    <row r="4372" spans="31:31" ht="15.75" customHeight="1">
      <c r="AE4372"/>
    </row>
    <row r="4373" spans="31:31" ht="15.75" customHeight="1">
      <c r="AE4373"/>
    </row>
    <row r="4374" spans="31:31" ht="15.75" customHeight="1">
      <c r="AE4374"/>
    </row>
    <row r="4375" spans="31:31" ht="15.75" customHeight="1">
      <c r="AE4375"/>
    </row>
    <row r="4376" spans="31:31" ht="15.75" customHeight="1">
      <c r="AE4376"/>
    </row>
    <row r="4377" spans="31:31" ht="15.75" customHeight="1">
      <c r="AE4377"/>
    </row>
    <row r="4378" spans="31:31" ht="15.75" customHeight="1">
      <c r="AE4378"/>
    </row>
    <row r="4379" spans="31:31" ht="15.75" customHeight="1">
      <c r="AE4379"/>
    </row>
    <row r="4380" spans="31:31" ht="15.75" customHeight="1">
      <c r="AE4380"/>
    </row>
    <row r="4381" spans="31:31" ht="15.75" customHeight="1">
      <c r="AE4381"/>
    </row>
    <row r="4382" spans="31:31" ht="15.75" customHeight="1">
      <c r="AE4382"/>
    </row>
    <row r="4383" spans="31:31" ht="15.75" customHeight="1">
      <c r="AE4383"/>
    </row>
    <row r="4384" spans="31:31" ht="15.75" customHeight="1">
      <c r="AE4384"/>
    </row>
    <row r="4385" spans="31:31" ht="15.75" customHeight="1">
      <c r="AE4385"/>
    </row>
    <row r="4386" spans="31:31" ht="15.75" customHeight="1">
      <c r="AE4386"/>
    </row>
    <row r="4387" spans="31:31" ht="15.75" customHeight="1">
      <c r="AE4387"/>
    </row>
    <row r="4388" spans="31:31" ht="15.75" customHeight="1">
      <c r="AE4388"/>
    </row>
    <row r="4389" spans="31:31" ht="15.75" customHeight="1">
      <c r="AE4389"/>
    </row>
    <row r="4390" spans="31:31" ht="15.75" customHeight="1">
      <c r="AE4390"/>
    </row>
    <row r="4391" spans="31:31" ht="15.75" customHeight="1">
      <c r="AE4391"/>
    </row>
    <row r="4392" spans="31:31" ht="15.75" customHeight="1">
      <c r="AE4392"/>
    </row>
    <row r="4393" spans="31:31" ht="15.75" customHeight="1">
      <c r="AE4393"/>
    </row>
    <row r="4394" spans="31:31" ht="15.75" customHeight="1">
      <c r="AE4394"/>
    </row>
    <row r="4395" spans="31:31" ht="15.75" customHeight="1">
      <c r="AE4395"/>
    </row>
    <row r="4396" spans="31:31" ht="15.75" customHeight="1">
      <c r="AE4396"/>
    </row>
    <row r="4397" spans="31:31" ht="15.75" customHeight="1">
      <c r="AE4397"/>
    </row>
    <row r="4398" spans="31:31" ht="15.75" customHeight="1">
      <c r="AE4398"/>
    </row>
    <row r="4399" spans="31:31" ht="15.75" customHeight="1">
      <c r="AE4399"/>
    </row>
    <row r="4400" spans="31:31" ht="15.75" customHeight="1">
      <c r="AE4400"/>
    </row>
    <row r="4401" spans="31:31" ht="15.75" customHeight="1">
      <c r="AE4401"/>
    </row>
    <row r="4402" spans="31:31" ht="15.75" customHeight="1">
      <c r="AE4402"/>
    </row>
    <row r="4403" spans="31:31" ht="15.75" customHeight="1">
      <c r="AE4403"/>
    </row>
    <row r="4404" spans="31:31" ht="15.75" customHeight="1">
      <c r="AE4404"/>
    </row>
    <row r="4405" spans="31:31" ht="15.75" customHeight="1">
      <c r="AE4405"/>
    </row>
    <row r="4406" spans="31:31" ht="15.75" customHeight="1">
      <c r="AE4406"/>
    </row>
    <row r="4407" spans="31:31" ht="15.75" customHeight="1">
      <c r="AE4407"/>
    </row>
    <row r="4408" spans="31:31" ht="15.75" customHeight="1">
      <c r="AE4408"/>
    </row>
    <row r="4409" spans="31:31" ht="15.75" customHeight="1">
      <c r="AE4409"/>
    </row>
    <row r="4410" spans="31:31" ht="15.75" customHeight="1">
      <c r="AE4410"/>
    </row>
    <row r="4411" spans="31:31" ht="15.75" customHeight="1">
      <c r="AE4411"/>
    </row>
    <row r="4412" spans="31:31" ht="15.75" customHeight="1">
      <c r="AE4412"/>
    </row>
    <row r="4413" spans="31:31" ht="15.75" customHeight="1">
      <c r="AE4413"/>
    </row>
    <row r="4414" spans="31:31" ht="15.75" customHeight="1">
      <c r="AE4414"/>
    </row>
    <row r="4415" spans="31:31" ht="15.75" customHeight="1">
      <c r="AE4415"/>
    </row>
    <row r="4416" spans="31:31" ht="15.75" customHeight="1">
      <c r="AE4416"/>
    </row>
    <row r="4417" spans="31:31" ht="15.75" customHeight="1">
      <c r="AE4417"/>
    </row>
    <row r="4418" spans="31:31" ht="15.75" customHeight="1">
      <c r="AE4418"/>
    </row>
    <row r="4419" spans="31:31" ht="15.75" customHeight="1">
      <c r="AE4419"/>
    </row>
    <row r="4420" spans="31:31" ht="15.75" customHeight="1">
      <c r="AE4420"/>
    </row>
    <row r="4421" spans="31:31" ht="15.75" customHeight="1">
      <c r="AE4421"/>
    </row>
    <row r="4422" spans="31:31" ht="15.75" customHeight="1">
      <c r="AE4422"/>
    </row>
    <row r="4423" spans="31:31" ht="15.75" customHeight="1">
      <c r="AE4423"/>
    </row>
    <row r="4424" spans="31:31" ht="15.75" customHeight="1">
      <c r="AE4424"/>
    </row>
    <row r="4425" spans="31:31" ht="15.75" customHeight="1">
      <c r="AE4425"/>
    </row>
    <row r="4426" spans="31:31" ht="15.75" customHeight="1">
      <c r="AE4426"/>
    </row>
    <row r="4427" spans="31:31" ht="15.75" customHeight="1">
      <c r="AE4427"/>
    </row>
    <row r="4428" spans="31:31" ht="15.75" customHeight="1">
      <c r="AE4428"/>
    </row>
    <row r="4429" spans="31:31" ht="15.75" customHeight="1">
      <c r="AE4429"/>
    </row>
    <row r="4430" spans="31:31" ht="15.75" customHeight="1">
      <c r="AE4430"/>
    </row>
    <row r="4431" spans="31:31" ht="15.75" customHeight="1">
      <c r="AE4431"/>
    </row>
    <row r="4432" spans="31:31" ht="15.75" customHeight="1">
      <c r="AE4432"/>
    </row>
    <row r="4433" spans="31:31" ht="15.75" customHeight="1">
      <c r="AE4433"/>
    </row>
    <row r="4434" spans="31:31" ht="15.75" customHeight="1">
      <c r="AE4434"/>
    </row>
    <row r="4435" spans="31:31" ht="15.75" customHeight="1">
      <c r="AE4435"/>
    </row>
    <row r="4436" spans="31:31" ht="15.75" customHeight="1">
      <c r="AE4436"/>
    </row>
    <row r="4437" spans="31:31" ht="15.75" customHeight="1">
      <c r="AE4437"/>
    </row>
    <row r="4438" spans="31:31" ht="15.75" customHeight="1">
      <c r="AE4438"/>
    </row>
    <row r="4439" spans="31:31" ht="15.75" customHeight="1">
      <c r="AE4439"/>
    </row>
    <row r="4440" spans="31:31" ht="15.75" customHeight="1">
      <c r="AE4440"/>
    </row>
    <row r="4441" spans="31:31" ht="15.75" customHeight="1">
      <c r="AE4441"/>
    </row>
    <row r="4442" spans="31:31" ht="15.75" customHeight="1">
      <c r="AE4442"/>
    </row>
    <row r="4443" spans="31:31" ht="15.75" customHeight="1">
      <c r="AE4443"/>
    </row>
    <row r="4444" spans="31:31" ht="15.75" customHeight="1">
      <c r="AE4444"/>
    </row>
    <row r="4445" spans="31:31" ht="15.75" customHeight="1">
      <c r="AE4445"/>
    </row>
    <row r="4446" spans="31:31" ht="15.75" customHeight="1">
      <c r="AE4446"/>
    </row>
    <row r="4447" spans="31:31" ht="15.75" customHeight="1">
      <c r="AE4447"/>
    </row>
    <row r="4448" spans="31:31" ht="15.75" customHeight="1">
      <c r="AE4448"/>
    </row>
    <row r="4449" spans="31:31" ht="15.75" customHeight="1">
      <c r="AE4449"/>
    </row>
    <row r="4450" spans="31:31" ht="15.75" customHeight="1">
      <c r="AE4450"/>
    </row>
    <row r="4451" spans="31:31" ht="15.75" customHeight="1">
      <c r="AE4451"/>
    </row>
    <row r="4452" spans="31:31" ht="15.75" customHeight="1">
      <c r="AE4452"/>
    </row>
    <row r="4453" spans="31:31" ht="15.75" customHeight="1">
      <c r="AE4453"/>
    </row>
    <row r="4454" spans="31:31" ht="15.75" customHeight="1">
      <c r="AE4454"/>
    </row>
    <row r="4455" spans="31:31" ht="15.75" customHeight="1">
      <c r="AE4455"/>
    </row>
    <row r="4456" spans="31:31" ht="15.75" customHeight="1">
      <c r="AE4456"/>
    </row>
    <row r="4457" spans="31:31" ht="15.75" customHeight="1">
      <c r="AE4457"/>
    </row>
    <row r="4458" spans="31:31" ht="15.75" customHeight="1">
      <c r="AE4458"/>
    </row>
    <row r="4459" spans="31:31" ht="15.75" customHeight="1">
      <c r="AE4459"/>
    </row>
    <row r="4460" spans="31:31" ht="15.75" customHeight="1">
      <c r="AE4460"/>
    </row>
    <row r="4461" spans="31:31" ht="15.75" customHeight="1">
      <c r="AE4461"/>
    </row>
    <row r="4462" spans="31:31" ht="15.75" customHeight="1">
      <c r="AE4462"/>
    </row>
    <row r="4463" spans="31:31" ht="15.75" customHeight="1">
      <c r="AE4463"/>
    </row>
    <row r="4464" spans="31:31" ht="15.75" customHeight="1">
      <c r="AE4464"/>
    </row>
    <row r="4465" spans="31:31" ht="15.75" customHeight="1">
      <c r="AE4465"/>
    </row>
    <row r="4466" spans="31:31" ht="15.75" customHeight="1">
      <c r="AE4466"/>
    </row>
    <row r="4467" spans="31:31" ht="15.75" customHeight="1">
      <c r="AE4467"/>
    </row>
    <row r="4468" spans="31:31" ht="15.75" customHeight="1">
      <c r="AE4468"/>
    </row>
    <row r="4469" spans="31:31" ht="15.75" customHeight="1">
      <c r="AE4469"/>
    </row>
    <row r="4470" spans="31:31" ht="15.75" customHeight="1">
      <c r="AE4470"/>
    </row>
    <row r="4471" spans="31:31" ht="15.75" customHeight="1">
      <c r="AE4471"/>
    </row>
    <row r="4472" spans="31:31" ht="15.75" customHeight="1">
      <c r="AE4472"/>
    </row>
    <row r="4473" spans="31:31" ht="15.75" customHeight="1">
      <c r="AE4473"/>
    </row>
    <row r="4474" spans="31:31" ht="15.75" customHeight="1">
      <c r="AE4474"/>
    </row>
    <row r="4475" spans="31:31" ht="15.75" customHeight="1">
      <c r="AE4475"/>
    </row>
    <row r="4476" spans="31:31" ht="15.75" customHeight="1">
      <c r="AE4476"/>
    </row>
    <row r="4477" spans="31:31" ht="15.75" customHeight="1">
      <c r="AE4477"/>
    </row>
    <row r="4478" spans="31:31" ht="15.75" customHeight="1">
      <c r="AE4478"/>
    </row>
    <row r="4479" spans="31:31" ht="15.75" customHeight="1">
      <c r="AE4479"/>
    </row>
    <row r="4480" spans="31:31" ht="15.75" customHeight="1">
      <c r="AE4480"/>
    </row>
    <row r="4481" spans="31:31" ht="15.75" customHeight="1">
      <c r="AE4481"/>
    </row>
    <row r="4482" spans="31:31" ht="15.75" customHeight="1">
      <c r="AE4482"/>
    </row>
    <row r="4483" spans="31:31" ht="15.75" customHeight="1">
      <c r="AE4483"/>
    </row>
    <row r="4484" spans="31:31" ht="15.75" customHeight="1">
      <c r="AE4484"/>
    </row>
    <row r="4485" spans="31:31" ht="15.75" customHeight="1">
      <c r="AE4485"/>
    </row>
    <row r="4486" spans="31:31" ht="15.75" customHeight="1">
      <c r="AE4486"/>
    </row>
    <row r="4487" spans="31:31" ht="15.75" customHeight="1">
      <c r="AE4487"/>
    </row>
    <row r="4488" spans="31:31" ht="15.75" customHeight="1">
      <c r="AE4488"/>
    </row>
    <row r="4489" spans="31:31" ht="15.75" customHeight="1">
      <c r="AE4489"/>
    </row>
    <row r="4490" spans="31:31" ht="15.75" customHeight="1">
      <c r="AE4490"/>
    </row>
    <row r="4491" spans="31:31" ht="15.75" customHeight="1">
      <c r="AE4491"/>
    </row>
    <row r="4492" spans="31:31" ht="15.75" customHeight="1">
      <c r="AE4492"/>
    </row>
    <row r="4493" spans="31:31" ht="15.75" customHeight="1">
      <c r="AE4493"/>
    </row>
    <row r="4494" spans="31:31" ht="15.75" customHeight="1">
      <c r="AE4494"/>
    </row>
    <row r="4495" spans="31:31" ht="15.75" customHeight="1">
      <c r="AE4495"/>
    </row>
    <row r="4496" spans="31:31" ht="15.75" customHeight="1">
      <c r="AE4496"/>
    </row>
    <row r="4497" spans="31:31" ht="15.75" customHeight="1">
      <c r="AE4497"/>
    </row>
    <row r="4498" spans="31:31" ht="15.75" customHeight="1">
      <c r="AE4498"/>
    </row>
    <row r="4499" spans="31:31" ht="15.75" customHeight="1">
      <c r="AE4499"/>
    </row>
    <row r="4500" spans="31:31" ht="15.75" customHeight="1">
      <c r="AE4500"/>
    </row>
    <row r="4501" spans="31:31" ht="15.75" customHeight="1">
      <c r="AE4501"/>
    </row>
    <row r="4502" spans="31:31" ht="15.75" customHeight="1">
      <c r="AE4502"/>
    </row>
    <row r="4503" spans="31:31" ht="15.75" customHeight="1">
      <c r="AE4503"/>
    </row>
    <row r="4504" spans="31:31" ht="15.75" customHeight="1">
      <c r="AE4504"/>
    </row>
    <row r="4505" spans="31:31" ht="15.75" customHeight="1">
      <c r="AE4505"/>
    </row>
    <row r="4506" spans="31:31" ht="15.75" customHeight="1">
      <c r="AE4506"/>
    </row>
    <row r="4507" spans="31:31" ht="15.75" customHeight="1">
      <c r="AE4507"/>
    </row>
    <row r="4508" spans="31:31" ht="15.75" customHeight="1">
      <c r="AE4508"/>
    </row>
    <row r="4509" spans="31:31" ht="15.75" customHeight="1">
      <c r="AE4509"/>
    </row>
    <row r="4510" spans="31:31" ht="15.75" customHeight="1">
      <c r="AE4510"/>
    </row>
    <row r="4511" spans="31:31" ht="15.75" customHeight="1">
      <c r="AE4511"/>
    </row>
    <row r="4512" spans="31:31" ht="15.75" customHeight="1">
      <c r="AE4512"/>
    </row>
    <row r="4513" spans="31:31" ht="15.75" customHeight="1">
      <c r="AE4513"/>
    </row>
    <row r="4514" spans="31:31" ht="15.75" customHeight="1">
      <c r="AE4514"/>
    </row>
    <row r="4515" spans="31:31" ht="15.75" customHeight="1">
      <c r="AE4515"/>
    </row>
    <row r="4516" spans="31:31" ht="15.75" customHeight="1">
      <c r="AE4516"/>
    </row>
    <row r="4517" spans="31:31" ht="15.75" customHeight="1">
      <c r="AE4517"/>
    </row>
    <row r="4518" spans="31:31" ht="15.75" customHeight="1">
      <c r="AE4518"/>
    </row>
    <row r="4519" spans="31:31" ht="15.75" customHeight="1">
      <c r="AE4519"/>
    </row>
    <row r="4520" spans="31:31" ht="15.75" customHeight="1">
      <c r="AE4520"/>
    </row>
    <row r="4521" spans="31:31" ht="15.75" customHeight="1">
      <c r="AE4521"/>
    </row>
    <row r="4522" spans="31:31" ht="15.75" customHeight="1">
      <c r="AE4522"/>
    </row>
    <row r="4523" spans="31:31" ht="15.75" customHeight="1">
      <c r="AE4523"/>
    </row>
    <row r="4524" spans="31:31" ht="15.75" customHeight="1">
      <c r="AE4524"/>
    </row>
    <row r="4525" spans="31:31" ht="15.75" customHeight="1">
      <c r="AE4525"/>
    </row>
    <row r="4526" spans="31:31" ht="15.75" customHeight="1">
      <c r="AE4526"/>
    </row>
    <row r="4527" spans="31:31" ht="15.75" customHeight="1">
      <c r="AE4527"/>
    </row>
    <row r="4528" spans="31:31" ht="15.75" customHeight="1">
      <c r="AE4528"/>
    </row>
    <row r="4529" spans="31:31" ht="15.75" customHeight="1">
      <c r="AE4529"/>
    </row>
    <row r="4530" spans="31:31" ht="15.75" customHeight="1">
      <c r="AE4530"/>
    </row>
    <row r="4531" spans="31:31" ht="15.75" customHeight="1">
      <c r="AE4531"/>
    </row>
    <row r="4532" spans="31:31" ht="15.75" customHeight="1">
      <c r="AE4532"/>
    </row>
    <row r="4533" spans="31:31" ht="15.75" customHeight="1">
      <c r="AE4533"/>
    </row>
    <row r="4534" spans="31:31" ht="15.75" customHeight="1">
      <c r="AE4534"/>
    </row>
    <row r="4535" spans="31:31" ht="15.75" customHeight="1">
      <c r="AE4535"/>
    </row>
    <row r="4536" spans="31:31" ht="15.75" customHeight="1">
      <c r="AE4536"/>
    </row>
    <row r="4537" spans="31:31" ht="15.75" customHeight="1">
      <c r="AE4537"/>
    </row>
    <row r="4538" spans="31:31" ht="15.75" customHeight="1">
      <c r="AE4538"/>
    </row>
    <row r="4539" spans="31:31" ht="15.75" customHeight="1">
      <c r="AE4539"/>
    </row>
    <row r="4540" spans="31:31" ht="15.75" customHeight="1">
      <c r="AE4540"/>
    </row>
    <row r="4541" spans="31:31" ht="15.75" customHeight="1">
      <c r="AE4541"/>
    </row>
    <row r="4542" spans="31:31" ht="15.75" customHeight="1">
      <c r="AE4542"/>
    </row>
    <row r="4543" spans="31:31" ht="15.75" customHeight="1">
      <c r="AE4543"/>
    </row>
    <row r="4544" spans="31:31" ht="15.75" customHeight="1">
      <c r="AE4544"/>
    </row>
    <row r="4545" spans="31:31" ht="15.75" customHeight="1">
      <c r="AE4545"/>
    </row>
    <row r="4546" spans="31:31" ht="15.75" customHeight="1">
      <c r="AE4546"/>
    </row>
    <row r="4547" spans="31:31" ht="15.75" customHeight="1">
      <c r="AE4547"/>
    </row>
    <row r="4548" spans="31:31" ht="15.75" customHeight="1">
      <c r="AE4548"/>
    </row>
    <row r="4549" spans="31:31" ht="15.75" customHeight="1">
      <c r="AE4549"/>
    </row>
    <row r="4550" spans="31:31" ht="15.75" customHeight="1">
      <c r="AE4550"/>
    </row>
    <row r="4551" spans="31:31" ht="15.75" customHeight="1">
      <c r="AE4551"/>
    </row>
    <row r="4552" spans="31:31" ht="15.75" customHeight="1">
      <c r="AE4552"/>
    </row>
    <row r="4553" spans="31:31" ht="15.75" customHeight="1">
      <c r="AE4553"/>
    </row>
    <row r="4554" spans="31:31" ht="15.75" customHeight="1">
      <c r="AE4554"/>
    </row>
    <row r="4555" spans="31:31" ht="15.75" customHeight="1">
      <c r="AE4555"/>
    </row>
    <row r="4556" spans="31:31" ht="15.75" customHeight="1">
      <c r="AE4556"/>
    </row>
    <row r="4557" spans="31:31" ht="15.75" customHeight="1">
      <c r="AE4557"/>
    </row>
    <row r="4558" spans="31:31" ht="15.75" customHeight="1">
      <c r="AE4558"/>
    </row>
    <row r="4559" spans="31:31" ht="15.75" customHeight="1">
      <c r="AE4559"/>
    </row>
    <row r="4560" spans="31:31" ht="15.75" customHeight="1">
      <c r="AE4560"/>
    </row>
    <row r="4561" spans="31:31" ht="15.75" customHeight="1">
      <c r="AE4561"/>
    </row>
    <row r="4562" spans="31:31" ht="15.75" customHeight="1">
      <c r="AE4562"/>
    </row>
    <row r="4563" spans="31:31" ht="15.75" customHeight="1">
      <c r="AE4563"/>
    </row>
    <row r="4564" spans="31:31" ht="15.75" customHeight="1">
      <c r="AE4564"/>
    </row>
    <row r="4565" spans="31:31" ht="15.75" customHeight="1">
      <c r="AE4565"/>
    </row>
    <row r="4566" spans="31:31" ht="15.75" customHeight="1">
      <c r="AE4566"/>
    </row>
    <row r="4567" spans="31:31" ht="15.75" customHeight="1">
      <c r="AE4567"/>
    </row>
    <row r="4568" spans="31:31" ht="15.75" customHeight="1">
      <c r="AE4568"/>
    </row>
    <row r="4569" spans="31:31" ht="15.75" customHeight="1">
      <c r="AE4569"/>
    </row>
    <row r="4570" spans="31:31" ht="15.75" customHeight="1">
      <c r="AE4570"/>
    </row>
    <row r="4571" spans="31:31" ht="15.75" customHeight="1">
      <c r="AE4571"/>
    </row>
    <row r="4572" spans="31:31" ht="15.75" customHeight="1">
      <c r="AE4572"/>
    </row>
    <row r="4573" spans="31:31" ht="15.75" customHeight="1">
      <c r="AE4573"/>
    </row>
    <row r="4574" spans="31:31" ht="15.75" customHeight="1">
      <c r="AE4574"/>
    </row>
    <row r="4575" spans="31:31" ht="15.75" customHeight="1">
      <c r="AE4575"/>
    </row>
    <row r="4576" spans="31:31" ht="15.75" customHeight="1">
      <c r="AE4576"/>
    </row>
    <row r="4577" spans="31:31" ht="15.75" customHeight="1">
      <c r="AE4577"/>
    </row>
    <row r="4578" spans="31:31" ht="15.75" customHeight="1">
      <c r="AE4578"/>
    </row>
    <row r="4579" spans="31:31" ht="15.75" customHeight="1">
      <c r="AE4579"/>
    </row>
    <row r="4580" spans="31:31" ht="15.75" customHeight="1">
      <c r="AE4580"/>
    </row>
    <row r="4581" spans="31:31" ht="15.75" customHeight="1">
      <c r="AE4581"/>
    </row>
    <row r="4582" spans="31:31" ht="15.75" customHeight="1">
      <c r="AE4582"/>
    </row>
    <row r="4583" spans="31:31" ht="15.75" customHeight="1">
      <c r="AE4583"/>
    </row>
    <row r="4584" spans="31:31" ht="15.75" customHeight="1">
      <c r="AE4584"/>
    </row>
    <row r="4585" spans="31:31" ht="15.75" customHeight="1">
      <c r="AE4585"/>
    </row>
    <row r="4586" spans="31:31" ht="15.75" customHeight="1">
      <c r="AE4586"/>
    </row>
    <row r="4587" spans="31:31" ht="15.75" customHeight="1">
      <c r="AE4587"/>
    </row>
    <row r="4588" spans="31:31" ht="15.75" customHeight="1">
      <c r="AE4588"/>
    </row>
    <row r="4589" spans="31:31" ht="15.75" customHeight="1">
      <c r="AE4589"/>
    </row>
    <row r="4590" spans="31:31" ht="15.75" customHeight="1">
      <c r="AE4590"/>
    </row>
    <row r="4591" spans="31:31" ht="15.75" customHeight="1">
      <c r="AE4591"/>
    </row>
    <row r="4592" spans="31:31" ht="15.75" customHeight="1">
      <c r="AE4592"/>
    </row>
    <row r="4593" spans="31:31" ht="15.75" customHeight="1">
      <c r="AE4593"/>
    </row>
    <row r="4594" spans="31:31" ht="15.75" customHeight="1">
      <c r="AE4594"/>
    </row>
    <row r="4595" spans="31:31" ht="15.75" customHeight="1">
      <c r="AE4595"/>
    </row>
    <row r="4596" spans="31:31" ht="15.75" customHeight="1">
      <c r="AE4596"/>
    </row>
    <row r="4597" spans="31:31" ht="15.75" customHeight="1">
      <c r="AE4597"/>
    </row>
    <row r="4598" spans="31:31" ht="15.75" customHeight="1">
      <c r="AE4598"/>
    </row>
    <row r="4599" spans="31:31" ht="15.75" customHeight="1">
      <c r="AE4599"/>
    </row>
    <row r="4600" spans="31:31" ht="15.75" customHeight="1">
      <c r="AE4600"/>
    </row>
    <row r="4601" spans="31:31" ht="15.75" customHeight="1">
      <c r="AE4601"/>
    </row>
    <row r="4602" spans="31:31" ht="15.75" customHeight="1">
      <c r="AE4602"/>
    </row>
    <row r="4603" spans="31:31" ht="15.75" customHeight="1">
      <c r="AE4603"/>
    </row>
    <row r="4604" spans="31:31" ht="15.75" customHeight="1">
      <c r="AE4604"/>
    </row>
    <row r="4605" spans="31:31" ht="15.75" customHeight="1">
      <c r="AE4605"/>
    </row>
    <row r="4606" spans="31:31" ht="15.75" customHeight="1">
      <c r="AE4606"/>
    </row>
    <row r="4607" spans="31:31" ht="15.75" customHeight="1">
      <c r="AE4607"/>
    </row>
    <row r="4608" spans="31:31" ht="15.75" customHeight="1">
      <c r="AE4608"/>
    </row>
    <row r="4609" spans="31:31" ht="15.75" customHeight="1">
      <c r="AE4609"/>
    </row>
    <row r="4610" spans="31:31" ht="15.75" customHeight="1">
      <c r="AE4610"/>
    </row>
    <row r="4611" spans="31:31" ht="15.75" customHeight="1">
      <c r="AE4611"/>
    </row>
    <row r="4612" spans="31:31" ht="15.75" customHeight="1">
      <c r="AE4612"/>
    </row>
    <row r="4613" spans="31:31" ht="15.75" customHeight="1">
      <c r="AE4613"/>
    </row>
    <row r="4614" spans="31:31" ht="15.75" customHeight="1">
      <c r="AE4614"/>
    </row>
    <row r="4615" spans="31:31" ht="15.75" customHeight="1">
      <c r="AE4615"/>
    </row>
    <row r="4616" spans="31:31" ht="15.75" customHeight="1">
      <c r="AE4616"/>
    </row>
    <row r="4617" spans="31:31" ht="15.75" customHeight="1">
      <c r="AE4617"/>
    </row>
    <row r="4618" spans="31:31" ht="15.75" customHeight="1">
      <c r="AE4618"/>
    </row>
    <row r="4619" spans="31:31" ht="15.75" customHeight="1">
      <c r="AE4619"/>
    </row>
    <row r="4620" spans="31:31" ht="15.75" customHeight="1">
      <c r="AE4620"/>
    </row>
    <row r="4621" spans="31:31" ht="15.75" customHeight="1">
      <c r="AE4621"/>
    </row>
    <row r="4622" spans="31:31" ht="15.75" customHeight="1">
      <c r="AE4622"/>
    </row>
    <row r="4623" spans="31:31" ht="15.75" customHeight="1">
      <c r="AE4623"/>
    </row>
    <row r="4624" spans="31:31" ht="15.75" customHeight="1">
      <c r="AE4624"/>
    </row>
    <row r="4625" spans="31:31" ht="15.75" customHeight="1">
      <c r="AE4625"/>
    </row>
    <row r="4626" spans="31:31" ht="15.75" customHeight="1">
      <c r="AE4626"/>
    </row>
    <row r="4627" spans="31:31" ht="15.75" customHeight="1">
      <c r="AE4627"/>
    </row>
    <row r="4628" spans="31:31" ht="15.75" customHeight="1">
      <c r="AE4628"/>
    </row>
    <row r="4629" spans="31:31" ht="15.75" customHeight="1">
      <c r="AE4629"/>
    </row>
    <row r="4630" spans="31:31" ht="15.75" customHeight="1">
      <c r="AE4630"/>
    </row>
    <row r="4631" spans="31:31" ht="15.75" customHeight="1">
      <c r="AE4631"/>
    </row>
    <row r="4632" spans="31:31" ht="15.75" customHeight="1">
      <c r="AE4632"/>
    </row>
    <row r="4633" spans="31:31" ht="15.75" customHeight="1">
      <c r="AE4633"/>
    </row>
    <row r="4634" spans="31:31" ht="15.75" customHeight="1">
      <c r="AE4634"/>
    </row>
    <row r="4635" spans="31:31" ht="15.75" customHeight="1">
      <c r="AE4635"/>
    </row>
    <row r="4636" spans="31:31" ht="15.75" customHeight="1">
      <c r="AE4636"/>
    </row>
    <row r="4637" spans="31:31" ht="15.75" customHeight="1">
      <c r="AE4637"/>
    </row>
    <row r="4638" spans="31:31" ht="15.75" customHeight="1">
      <c r="AE4638"/>
    </row>
    <row r="4639" spans="31:31" ht="15.75" customHeight="1">
      <c r="AE4639"/>
    </row>
    <row r="4640" spans="31:31" ht="15.75" customHeight="1">
      <c r="AE4640"/>
    </row>
    <row r="4641" spans="31:31" ht="15.75" customHeight="1">
      <c r="AE4641"/>
    </row>
    <row r="4642" spans="31:31" ht="15.75" customHeight="1">
      <c r="AE4642"/>
    </row>
    <row r="4643" spans="31:31" ht="15.75" customHeight="1">
      <c r="AE4643"/>
    </row>
    <row r="4644" spans="31:31" ht="15.75" customHeight="1">
      <c r="AE4644"/>
    </row>
    <row r="4645" spans="31:31" ht="15.75" customHeight="1">
      <c r="AE4645"/>
    </row>
    <row r="4646" spans="31:31" ht="15.75" customHeight="1">
      <c r="AE4646"/>
    </row>
    <row r="4647" spans="31:31" ht="15.75" customHeight="1">
      <c r="AE4647"/>
    </row>
    <row r="4648" spans="31:31" ht="15.75" customHeight="1">
      <c r="AE4648"/>
    </row>
    <row r="4649" spans="31:31" ht="15.75" customHeight="1">
      <c r="AE4649"/>
    </row>
    <row r="4650" spans="31:31" ht="15.75" customHeight="1">
      <c r="AE4650"/>
    </row>
    <row r="4651" spans="31:31" ht="15.75" customHeight="1">
      <c r="AE4651"/>
    </row>
    <row r="4652" spans="31:31" ht="15.75" customHeight="1">
      <c r="AE4652"/>
    </row>
    <row r="4653" spans="31:31" ht="15.75" customHeight="1">
      <c r="AE4653"/>
    </row>
    <row r="4654" spans="31:31" ht="15.75" customHeight="1">
      <c r="AE4654"/>
    </row>
    <row r="4655" spans="31:31" ht="15.75" customHeight="1">
      <c r="AE4655"/>
    </row>
    <row r="4656" spans="31:31" ht="15.75" customHeight="1">
      <c r="AE4656"/>
    </row>
    <row r="4657" spans="31:31" ht="15.75" customHeight="1">
      <c r="AE4657"/>
    </row>
    <row r="4658" spans="31:31" ht="15.75" customHeight="1">
      <c r="AE4658"/>
    </row>
    <row r="4659" spans="31:31" ht="15.75" customHeight="1">
      <c r="AE4659"/>
    </row>
    <row r="4660" spans="31:31" ht="15.75" customHeight="1">
      <c r="AE4660"/>
    </row>
    <row r="4661" spans="31:31" ht="15.75" customHeight="1">
      <c r="AE4661"/>
    </row>
    <row r="4662" spans="31:31" ht="15.75" customHeight="1">
      <c r="AE4662"/>
    </row>
    <row r="4663" spans="31:31" ht="15.75" customHeight="1">
      <c r="AE4663"/>
    </row>
    <row r="4664" spans="31:31" ht="15.75" customHeight="1">
      <c r="AE4664"/>
    </row>
    <row r="4665" spans="31:31" ht="15.75" customHeight="1">
      <c r="AE4665"/>
    </row>
    <row r="4666" spans="31:31" ht="15.75" customHeight="1">
      <c r="AE4666"/>
    </row>
    <row r="4667" spans="31:31" ht="15.75" customHeight="1">
      <c r="AE4667"/>
    </row>
    <row r="4668" spans="31:31" ht="15.75" customHeight="1">
      <c r="AE4668"/>
    </row>
    <row r="4669" spans="31:31" ht="15.75" customHeight="1">
      <c r="AE4669"/>
    </row>
    <row r="4670" spans="31:31" ht="15.75" customHeight="1">
      <c r="AE4670"/>
    </row>
    <row r="4671" spans="31:31" ht="15.75" customHeight="1">
      <c r="AE4671"/>
    </row>
    <row r="4672" spans="31:31" ht="15.75" customHeight="1">
      <c r="AE4672"/>
    </row>
    <row r="4673" spans="31:31" ht="15.75" customHeight="1">
      <c r="AE4673"/>
    </row>
    <row r="4674" spans="31:31" ht="15.75" customHeight="1">
      <c r="AE4674"/>
    </row>
    <row r="4675" spans="31:31" ht="15.75" customHeight="1">
      <c r="AE4675"/>
    </row>
    <row r="4676" spans="31:31" ht="15.75" customHeight="1">
      <c r="AE4676"/>
    </row>
    <row r="4677" spans="31:31" ht="15.75" customHeight="1">
      <c r="AE4677"/>
    </row>
    <row r="4678" spans="31:31" ht="15.75" customHeight="1">
      <c r="AE4678"/>
    </row>
    <row r="4679" spans="31:31" ht="15.75" customHeight="1">
      <c r="AE4679"/>
    </row>
    <row r="4680" spans="31:31" ht="15.75" customHeight="1">
      <c r="AE4680"/>
    </row>
    <row r="4681" spans="31:31" ht="15.75" customHeight="1">
      <c r="AE4681"/>
    </row>
    <row r="4682" spans="31:31" ht="15.75" customHeight="1">
      <c r="AE4682"/>
    </row>
    <row r="4683" spans="31:31" ht="15.75" customHeight="1">
      <c r="AE4683"/>
    </row>
    <row r="4684" spans="31:31" ht="15.75" customHeight="1">
      <c r="AE4684"/>
    </row>
    <row r="4685" spans="31:31" ht="15.75" customHeight="1">
      <c r="AE4685"/>
    </row>
    <row r="4686" spans="31:31" ht="15.75" customHeight="1">
      <c r="AE4686"/>
    </row>
    <row r="4687" spans="31:31" ht="15.75" customHeight="1">
      <c r="AE4687"/>
    </row>
    <row r="4688" spans="31:31" ht="15.75" customHeight="1">
      <c r="AE4688"/>
    </row>
    <row r="4689" spans="31:31" ht="15.75" customHeight="1">
      <c r="AE4689"/>
    </row>
    <row r="4690" spans="31:31" ht="15.75" customHeight="1">
      <c r="AE4690"/>
    </row>
    <row r="4691" spans="31:31" ht="15.75" customHeight="1">
      <c r="AE4691"/>
    </row>
    <row r="4692" spans="31:31" ht="15.75" customHeight="1">
      <c r="AE4692"/>
    </row>
    <row r="4693" spans="31:31" ht="15.75" customHeight="1">
      <c r="AE4693"/>
    </row>
    <row r="4694" spans="31:31" ht="15.75" customHeight="1">
      <c r="AE4694"/>
    </row>
    <row r="4695" spans="31:31" ht="15.75" customHeight="1">
      <c r="AE4695"/>
    </row>
    <row r="4696" spans="31:31" ht="15.75" customHeight="1">
      <c r="AE4696"/>
    </row>
    <row r="4697" spans="31:31" ht="15.75" customHeight="1">
      <c r="AE4697"/>
    </row>
    <row r="4698" spans="31:31" ht="15.75" customHeight="1">
      <c r="AE4698"/>
    </row>
    <row r="4699" spans="31:31" ht="15.75" customHeight="1">
      <c r="AE4699"/>
    </row>
    <row r="4700" spans="31:31" ht="15.75" customHeight="1">
      <c r="AE4700"/>
    </row>
    <row r="4701" spans="31:31" ht="15.75" customHeight="1">
      <c r="AE4701"/>
    </row>
    <row r="4702" spans="31:31" ht="15.75" customHeight="1">
      <c r="AE4702"/>
    </row>
    <row r="4703" spans="31:31" ht="15.75" customHeight="1">
      <c r="AE4703"/>
    </row>
    <row r="4704" spans="31:31" ht="15.75" customHeight="1">
      <c r="AE4704"/>
    </row>
    <row r="4705" spans="31:31" ht="15.75" customHeight="1">
      <c r="AE4705"/>
    </row>
    <row r="4706" spans="31:31" ht="15.75" customHeight="1">
      <c r="AE4706"/>
    </row>
    <row r="4707" spans="31:31" ht="15.75" customHeight="1">
      <c r="AE4707"/>
    </row>
    <row r="4708" spans="31:31" ht="15.75" customHeight="1">
      <c r="AE4708"/>
    </row>
    <row r="4709" spans="31:31" ht="15.75" customHeight="1">
      <c r="AE4709"/>
    </row>
    <row r="4710" spans="31:31" ht="15.75" customHeight="1">
      <c r="AE4710"/>
    </row>
    <row r="4711" spans="31:31" ht="15.75" customHeight="1">
      <c r="AE4711"/>
    </row>
    <row r="4712" spans="31:31" ht="15.75" customHeight="1">
      <c r="AE4712"/>
    </row>
    <row r="4713" spans="31:31" ht="15.75" customHeight="1">
      <c r="AE4713"/>
    </row>
    <row r="4714" spans="31:31" ht="15.75" customHeight="1">
      <c r="AE4714"/>
    </row>
    <row r="4715" spans="31:31" ht="15.75" customHeight="1">
      <c r="AE4715"/>
    </row>
    <row r="4716" spans="31:31" ht="15.75" customHeight="1">
      <c r="AE4716"/>
    </row>
    <row r="4717" spans="31:31" ht="15.75" customHeight="1">
      <c r="AE4717"/>
    </row>
    <row r="4718" spans="31:31" ht="15.75" customHeight="1">
      <c r="AE4718"/>
    </row>
    <row r="4719" spans="31:31" ht="15.75" customHeight="1">
      <c r="AE4719"/>
    </row>
    <row r="4720" spans="31:31" ht="15.75" customHeight="1">
      <c r="AE4720"/>
    </row>
    <row r="4721" spans="31:31" ht="15.75" customHeight="1">
      <c r="AE4721"/>
    </row>
    <row r="4722" spans="31:31" ht="15.75" customHeight="1">
      <c r="AE4722"/>
    </row>
    <row r="4723" spans="31:31" ht="15.75" customHeight="1">
      <c r="AE4723"/>
    </row>
    <row r="4724" spans="31:31" ht="15.75" customHeight="1">
      <c r="AE4724"/>
    </row>
    <row r="4725" spans="31:31" ht="15.75" customHeight="1">
      <c r="AE4725"/>
    </row>
    <row r="4726" spans="31:31" ht="15.75" customHeight="1">
      <c r="AE4726"/>
    </row>
    <row r="4727" spans="31:31" ht="15.75" customHeight="1">
      <c r="AE4727"/>
    </row>
    <row r="4728" spans="31:31" ht="15.75" customHeight="1">
      <c r="AE4728"/>
    </row>
    <row r="4729" spans="31:31" ht="15.75" customHeight="1">
      <c r="AE4729"/>
    </row>
    <row r="4730" spans="31:31" ht="15.75" customHeight="1">
      <c r="AE4730"/>
    </row>
    <row r="4731" spans="31:31" ht="15.75" customHeight="1">
      <c r="AE4731"/>
    </row>
    <row r="4732" spans="31:31" ht="15.75" customHeight="1">
      <c r="AE4732"/>
    </row>
    <row r="4733" spans="31:31" ht="15.75" customHeight="1">
      <c r="AE4733"/>
    </row>
    <row r="4734" spans="31:31" ht="15.75" customHeight="1">
      <c r="AE4734"/>
    </row>
    <row r="4735" spans="31:31" ht="15.75" customHeight="1">
      <c r="AE4735"/>
    </row>
    <row r="4736" spans="31:31" ht="15.75" customHeight="1">
      <c r="AE4736"/>
    </row>
    <row r="4737" spans="31:31" ht="15.75" customHeight="1">
      <c r="AE4737"/>
    </row>
    <row r="4738" spans="31:31" ht="15.75" customHeight="1">
      <c r="AE4738"/>
    </row>
    <row r="4739" spans="31:31" ht="15.75" customHeight="1">
      <c r="AE4739"/>
    </row>
    <row r="4740" spans="31:31" ht="15.75" customHeight="1">
      <c r="AE4740"/>
    </row>
    <row r="4741" spans="31:31" ht="15.75" customHeight="1">
      <c r="AE4741"/>
    </row>
    <row r="4742" spans="31:31" ht="15.75" customHeight="1">
      <c r="AE4742"/>
    </row>
    <row r="4743" spans="31:31" ht="15.75" customHeight="1">
      <c r="AE4743"/>
    </row>
    <row r="4744" spans="31:31" ht="15.75" customHeight="1">
      <c r="AE4744"/>
    </row>
    <row r="4745" spans="31:31" ht="15.75" customHeight="1">
      <c r="AE4745"/>
    </row>
    <row r="4746" spans="31:31" ht="15.75" customHeight="1">
      <c r="AE4746"/>
    </row>
    <row r="4747" spans="31:31" ht="15.75" customHeight="1">
      <c r="AE4747"/>
    </row>
    <row r="4748" spans="31:31" ht="15.75" customHeight="1">
      <c r="AE4748"/>
    </row>
    <row r="4749" spans="31:31" ht="15.75" customHeight="1">
      <c r="AE4749"/>
    </row>
    <row r="4750" spans="31:31" ht="15.75" customHeight="1">
      <c r="AE4750"/>
    </row>
    <row r="4751" spans="31:31" ht="15.75" customHeight="1">
      <c r="AE4751"/>
    </row>
    <row r="4752" spans="31:31" ht="15.75" customHeight="1">
      <c r="AE4752"/>
    </row>
    <row r="4753" spans="31:31" ht="15.75" customHeight="1">
      <c r="AE4753"/>
    </row>
    <row r="4754" spans="31:31" ht="15.75" customHeight="1">
      <c r="AE4754"/>
    </row>
    <row r="4755" spans="31:31" ht="15.75" customHeight="1">
      <c r="AE4755"/>
    </row>
    <row r="4756" spans="31:31" ht="15.75" customHeight="1">
      <c r="AE4756"/>
    </row>
    <row r="4757" spans="31:31" ht="15.75" customHeight="1">
      <c r="AE4757"/>
    </row>
    <row r="4758" spans="31:31" ht="15.75" customHeight="1">
      <c r="AE4758"/>
    </row>
    <row r="4759" spans="31:31" ht="15.75" customHeight="1">
      <c r="AE4759"/>
    </row>
    <row r="4760" spans="31:31" ht="15.75" customHeight="1">
      <c r="AE4760"/>
    </row>
    <row r="4761" spans="31:31" ht="15.75" customHeight="1">
      <c r="AE4761"/>
    </row>
    <row r="4762" spans="31:31" ht="15.75" customHeight="1">
      <c r="AE4762"/>
    </row>
    <row r="4763" spans="31:31" ht="15.75" customHeight="1">
      <c r="AE4763"/>
    </row>
    <row r="4764" spans="31:31" ht="15.75" customHeight="1">
      <c r="AE4764"/>
    </row>
    <row r="4765" spans="31:31" ht="15.75" customHeight="1">
      <c r="AE4765"/>
    </row>
    <row r="4766" spans="31:31" ht="15.75" customHeight="1">
      <c r="AE4766"/>
    </row>
    <row r="4767" spans="31:31" ht="15.75" customHeight="1">
      <c r="AE4767"/>
    </row>
    <row r="4768" spans="31:31" ht="15.75" customHeight="1">
      <c r="AE4768"/>
    </row>
    <row r="4769" spans="31:31" ht="15.75" customHeight="1">
      <c r="AE4769"/>
    </row>
    <row r="4770" spans="31:31" ht="15.75" customHeight="1">
      <c r="AE4770"/>
    </row>
    <row r="4771" spans="31:31" ht="15.75" customHeight="1">
      <c r="AE4771"/>
    </row>
    <row r="4772" spans="31:31" ht="15.75" customHeight="1">
      <c r="AE4772"/>
    </row>
    <row r="4773" spans="31:31" ht="15.75" customHeight="1">
      <c r="AE4773"/>
    </row>
    <row r="4774" spans="31:31" ht="15.75" customHeight="1">
      <c r="AE4774"/>
    </row>
    <row r="4775" spans="31:31" ht="15.75" customHeight="1">
      <c r="AE4775"/>
    </row>
    <row r="4776" spans="31:31" ht="15.75" customHeight="1">
      <c r="AE4776"/>
    </row>
    <row r="4777" spans="31:31" ht="15.75" customHeight="1">
      <c r="AE4777"/>
    </row>
    <row r="4778" spans="31:31" ht="15.75" customHeight="1">
      <c r="AE4778"/>
    </row>
    <row r="4779" spans="31:31" ht="15.75" customHeight="1">
      <c r="AE4779"/>
    </row>
    <row r="4780" spans="31:31" ht="15.75" customHeight="1">
      <c r="AE4780"/>
    </row>
    <row r="4781" spans="31:31" ht="15.75" customHeight="1">
      <c r="AE4781"/>
    </row>
    <row r="4782" spans="31:31" ht="15.75" customHeight="1">
      <c r="AE4782"/>
    </row>
    <row r="4783" spans="31:31" ht="15.75" customHeight="1">
      <c r="AE4783"/>
    </row>
    <row r="4784" spans="31:31" ht="15.75" customHeight="1">
      <c r="AE4784"/>
    </row>
    <row r="4785" spans="31:31" ht="15.75" customHeight="1">
      <c r="AE4785"/>
    </row>
    <row r="4786" spans="31:31" ht="15.75" customHeight="1">
      <c r="AE4786"/>
    </row>
    <row r="4787" spans="31:31" ht="15.75" customHeight="1">
      <c r="AE4787"/>
    </row>
    <row r="4788" spans="31:31" ht="15.75" customHeight="1">
      <c r="AE4788"/>
    </row>
    <row r="4789" spans="31:31" ht="15.75" customHeight="1">
      <c r="AE4789"/>
    </row>
    <row r="4790" spans="31:31" ht="15.75" customHeight="1">
      <c r="AE4790"/>
    </row>
    <row r="4791" spans="31:31" ht="15.75" customHeight="1">
      <c r="AE4791"/>
    </row>
    <row r="4792" spans="31:31" ht="15.75" customHeight="1">
      <c r="AE4792"/>
    </row>
    <row r="4793" spans="31:31" ht="15.75" customHeight="1">
      <c r="AE4793"/>
    </row>
    <row r="4794" spans="31:31" ht="15.75" customHeight="1">
      <c r="AE4794"/>
    </row>
    <row r="4795" spans="31:31" ht="15.75" customHeight="1">
      <c r="AE4795"/>
    </row>
    <row r="4796" spans="31:31" ht="15.75" customHeight="1">
      <c r="AE4796"/>
    </row>
    <row r="4797" spans="31:31" ht="15.75" customHeight="1">
      <c r="AE4797"/>
    </row>
    <row r="4798" spans="31:31" ht="15.75" customHeight="1">
      <c r="AE4798"/>
    </row>
    <row r="4799" spans="31:31" ht="15.75" customHeight="1">
      <c r="AE4799"/>
    </row>
    <row r="4800" spans="31:31" ht="15.75" customHeight="1">
      <c r="AE4800"/>
    </row>
    <row r="4801" spans="31:31" ht="15.75" customHeight="1">
      <c r="AE4801"/>
    </row>
    <row r="4802" spans="31:31" ht="15.75" customHeight="1">
      <c r="AE4802"/>
    </row>
    <row r="4803" spans="31:31" ht="15.75" customHeight="1">
      <c r="AE4803"/>
    </row>
    <row r="4804" spans="31:31" ht="15.75" customHeight="1">
      <c r="AE4804"/>
    </row>
    <row r="4805" spans="31:31" ht="15.75" customHeight="1">
      <c r="AE4805"/>
    </row>
    <row r="4806" spans="31:31" ht="15.75" customHeight="1">
      <c r="AE4806"/>
    </row>
    <row r="4807" spans="31:31" ht="15.75" customHeight="1">
      <c r="AE4807"/>
    </row>
    <row r="4808" spans="31:31" ht="15.75" customHeight="1">
      <c r="AE4808"/>
    </row>
    <row r="4809" spans="31:31" ht="15.75" customHeight="1">
      <c r="AE4809"/>
    </row>
    <row r="4810" spans="31:31" ht="15.75" customHeight="1">
      <c r="AE4810"/>
    </row>
    <row r="4811" spans="31:31" ht="15.75" customHeight="1">
      <c r="AE4811"/>
    </row>
    <row r="4812" spans="31:31" ht="15.75" customHeight="1">
      <c r="AE4812"/>
    </row>
    <row r="4813" spans="31:31" ht="15.75" customHeight="1">
      <c r="AE4813"/>
    </row>
    <row r="4814" spans="31:31" ht="15.75" customHeight="1">
      <c r="AE4814"/>
    </row>
    <row r="4815" spans="31:31" ht="15.75" customHeight="1">
      <c r="AE4815"/>
    </row>
    <row r="4816" spans="31:31" ht="15.75" customHeight="1">
      <c r="AE4816"/>
    </row>
    <row r="4817" spans="31:31" ht="15.75" customHeight="1">
      <c r="AE4817"/>
    </row>
    <row r="4818" spans="31:31" ht="15.75" customHeight="1">
      <c r="AE4818"/>
    </row>
    <row r="4819" spans="31:31" ht="15.75" customHeight="1">
      <c r="AE4819"/>
    </row>
    <row r="4820" spans="31:31" ht="15.75" customHeight="1">
      <c r="AE4820"/>
    </row>
    <row r="4821" spans="31:31" ht="15.75" customHeight="1">
      <c r="AE4821"/>
    </row>
    <row r="4822" spans="31:31" ht="15.75" customHeight="1">
      <c r="AE4822"/>
    </row>
    <row r="4823" spans="31:31" ht="15.75" customHeight="1">
      <c r="AE4823"/>
    </row>
    <row r="4824" spans="31:31" ht="15.75" customHeight="1">
      <c r="AE4824"/>
    </row>
    <row r="4825" spans="31:31" ht="15.75" customHeight="1">
      <c r="AE4825"/>
    </row>
    <row r="4826" spans="31:31" ht="15.75" customHeight="1">
      <c r="AE4826"/>
    </row>
    <row r="4827" spans="31:31" ht="15.75" customHeight="1">
      <c r="AE4827"/>
    </row>
    <row r="4828" spans="31:31" ht="15.75" customHeight="1">
      <c r="AE4828"/>
    </row>
    <row r="4829" spans="31:31" ht="15.75" customHeight="1">
      <c r="AE4829"/>
    </row>
    <row r="4830" spans="31:31" ht="15.75" customHeight="1">
      <c r="AE4830"/>
    </row>
    <row r="4831" spans="31:31" ht="15.75" customHeight="1">
      <c r="AE4831"/>
    </row>
    <row r="4832" spans="31:31" ht="15.75" customHeight="1">
      <c r="AE4832"/>
    </row>
    <row r="4833" spans="31:31" ht="15.75" customHeight="1">
      <c r="AE4833"/>
    </row>
    <row r="4834" spans="31:31" ht="15.75" customHeight="1">
      <c r="AE4834"/>
    </row>
    <row r="4835" spans="31:31" ht="15.75" customHeight="1">
      <c r="AE4835"/>
    </row>
    <row r="4836" spans="31:31" ht="15.75" customHeight="1">
      <c r="AE4836"/>
    </row>
    <row r="4837" spans="31:31" ht="15.75" customHeight="1">
      <c r="AE4837"/>
    </row>
    <row r="4838" spans="31:31" ht="15.75" customHeight="1">
      <c r="AE4838"/>
    </row>
    <row r="4839" spans="31:31" ht="15.75" customHeight="1">
      <c r="AE4839"/>
    </row>
    <row r="4840" spans="31:31" ht="15.75" customHeight="1">
      <c r="AE4840"/>
    </row>
    <row r="4841" spans="31:31" ht="15.75" customHeight="1">
      <c r="AE4841"/>
    </row>
    <row r="4842" spans="31:31" ht="15.75" customHeight="1">
      <c r="AE4842"/>
    </row>
    <row r="4843" spans="31:31" ht="15.75" customHeight="1">
      <c r="AE4843"/>
    </row>
    <row r="4844" spans="31:31" ht="15.75" customHeight="1">
      <c r="AE4844"/>
    </row>
    <row r="4845" spans="31:31" ht="15.75" customHeight="1">
      <c r="AE4845"/>
    </row>
    <row r="4846" spans="31:31" ht="15.75" customHeight="1">
      <c r="AE4846"/>
    </row>
    <row r="4847" spans="31:31" ht="15.75" customHeight="1">
      <c r="AE4847"/>
    </row>
    <row r="4848" spans="31:31" ht="15.75" customHeight="1">
      <c r="AE4848"/>
    </row>
    <row r="4849" spans="31:31" ht="15.75" customHeight="1">
      <c r="AE4849"/>
    </row>
    <row r="4850" spans="31:31" ht="15.75" customHeight="1">
      <c r="AE4850"/>
    </row>
    <row r="4851" spans="31:31" ht="15.75" customHeight="1">
      <c r="AE4851"/>
    </row>
    <row r="4852" spans="31:31" ht="15.75" customHeight="1">
      <c r="AE4852"/>
    </row>
    <row r="4853" spans="31:31" ht="15.75" customHeight="1">
      <c r="AE4853"/>
    </row>
    <row r="4854" spans="31:31" ht="15.75" customHeight="1">
      <c r="AE4854"/>
    </row>
    <row r="4855" spans="31:31" ht="15.75" customHeight="1">
      <c r="AE4855"/>
    </row>
    <row r="4856" spans="31:31" ht="15.75" customHeight="1">
      <c r="AE4856"/>
    </row>
    <row r="4857" spans="31:31" ht="15.75" customHeight="1">
      <c r="AE4857"/>
    </row>
    <row r="4858" spans="31:31" ht="15.75" customHeight="1">
      <c r="AE4858"/>
    </row>
    <row r="4859" spans="31:31" ht="15.75" customHeight="1">
      <c r="AE4859"/>
    </row>
    <row r="4860" spans="31:31" ht="15.75" customHeight="1">
      <c r="AE4860"/>
    </row>
    <row r="4861" spans="31:31" ht="15.75" customHeight="1">
      <c r="AE4861"/>
    </row>
    <row r="4862" spans="31:31" ht="15.75" customHeight="1">
      <c r="AE4862"/>
    </row>
    <row r="4863" spans="31:31" ht="15.75" customHeight="1">
      <c r="AE4863"/>
    </row>
    <row r="4864" spans="31:31" ht="15.75" customHeight="1">
      <c r="AE4864"/>
    </row>
    <row r="4865" spans="31:31" ht="15.75" customHeight="1">
      <c r="AE4865"/>
    </row>
    <row r="4866" spans="31:31" ht="15.75" customHeight="1">
      <c r="AE4866"/>
    </row>
    <row r="4867" spans="31:31" ht="15.75" customHeight="1">
      <c r="AE4867"/>
    </row>
    <row r="4868" spans="31:31" ht="15.75" customHeight="1">
      <c r="AE4868"/>
    </row>
    <row r="4869" spans="31:31" ht="15.75" customHeight="1">
      <c r="AE4869"/>
    </row>
    <row r="4870" spans="31:31" ht="15.75" customHeight="1">
      <c r="AE4870"/>
    </row>
    <row r="4871" spans="31:31" ht="15.75" customHeight="1">
      <c r="AE4871"/>
    </row>
    <row r="4872" spans="31:31" ht="15.75" customHeight="1">
      <c r="AE4872"/>
    </row>
    <row r="4873" spans="31:31" ht="15.75" customHeight="1">
      <c r="AE4873"/>
    </row>
    <row r="4874" spans="31:31" ht="15.75" customHeight="1">
      <c r="AE4874"/>
    </row>
    <row r="4875" spans="31:31" ht="15.75" customHeight="1">
      <c r="AE4875"/>
    </row>
    <row r="4876" spans="31:31" ht="15.75" customHeight="1">
      <c r="AE4876"/>
    </row>
    <row r="4877" spans="31:31" ht="15.75" customHeight="1">
      <c r="AE4877"/>
    </row>
    <row r="4878" spans="31:31" ht="15.75" customHeight="1">
      <c r="AE4878"/>
    </row>
    <row r="4879" spans="31:31" ht="15.75" customHeight="1">
      <c r="AE4879"/>
    </row>
    <row r="4880" spans="31:31" ht="15.75" customHeight="1">
      <c r="AE4880"/>
    </row>
    <row r="4881" spans="31:31" ht="15.75" customHeight="1">
      <c r="AE4881"/>
    </row>
    <row r="4882" spans="31:31" ht="15.75" customHeight="1">
      <c r="AE4882"/>
    </row>
    <row r="4883" spans="31:31" ht="15.75" customHeight="1">
      <c r="AE4883"/>
    </row>
    <row r="4884" spans="31:31" ht="15.75" customHeight="1">
      <c r="AE4884"/>
    </row>
    <row r="4885" spans="31:31" ht="15.75" customHeight="1">
      <c r="AE4885"/>
    </row>
    <row r="4886" spans="31:31" ht="15.75" customHeight="1">
      <c r="AE4886"/>
    </row>
    <row r="4887" spans="31:31" ht="15.75" customHeight="1">
      <c r="AE4887"/>
    </row>
    <row r="4888" spans="31:31" ht="15.75" customHeight="1">
      <c r="AE4888"/>
    </row>
    <row r="4889" spans="31:31" ht="15.75" customHeight="1">
      <c r="AE4889"/>
    </row>
    <row r="4890" spans="31:31" ht="15.75" customHeight="1">
      <c r="AE4890"/>
    </row>
    <row r="4891" spans="31:31" ht="15.75" customHeight="1">
      <c r="AE4891"/>
    </row>
    <row r="4892" spans="31:31" ht="15.75" customHeight="1">
      <c r="AE4892"/>
    </row>
    <row r="4893" spans="31:31" ht="15.75" customHeight="1">
      <c r="AE4893"/>
    </row>
    <row r="4894" spans="31:31" ht="15.75" customHeight="1">
      <c r="AE4894"/>
    </row>
    <row r="4895" spans="31:31" ht="15.75" customHeight="1">
      <c r="AE4895"/>
    </row>
    <row r="4896" spans="31:31" ht="15.75" customHeight="1">
      <c r="AE4896"/>
    </row>
    <row r="4897" spans="31:31" ht="15.75" customHeight="1">
      <c r="AE4897"/>
    </row>
    <row r="4898" spans="31:31" ht="15.75" customHeight="1">
      <c r="AE4898"/>
    </row>
    <row r="4899" spans="31:31" ht="15.75" customHeight="1">
      <c r="AE4899"/>
    </row>
    <row r="4900" spans="31:31" ht="15.75" customHeight="1">
      <c r="AE4900"/>
    </row>
    <row r="4901" spans="31:31" ht="15.75" customHeight="1">
      <c r="AE4901"/>
    </row>
    <row r="4902" spans="31:31" ht="15.75" customHeight="1">
      <c r="AE4902"/>
    </row>
    <row r="4903" spans="31:31" ht="15.75" customHeight="1">
      <c r="AE4903"/>
    </row>
    <row r="4904" spans="31:31" ht="15.75" customHeight="1">
      <c r="AE4904"/>
    </row>
    <row r="4905" spans="31:31" ht="15.75" customHeight="1">
      <c r="AE4905"/>
    </row>
    <row r="4906" spans="31:31" ht="15.75" customHeight="1">
      <c r="AE4906"/>
    </row>
    <row r="4907" spans="31:31" ht="15.75" customHeight="1">
      <c r="AE4907"/>
    </row>
    <row r="4908" spans="31:31" ht="15.75" customHeight="1">
      <c r="AE4908"/>
    </row>
    <row r="4909" spans="31:31" ht="15.75" customHeight="1">
      <c r="AE4909"/>
    </row>
    <row r="4910" spans="31:31" ht="15.75" customHeight="1">
      <c r="AE4910"/>
    </row>
    <row r="4911" spans="31:31" ht="15.75" customHeight="1">
      <c r="AE4911"/>
    </row>
    <row r="4912" spans="31:31" ht="15.75" customHeight="1">
      <c r="AE4912"/>
    </row>
    <row r="4913" spans="31:31" ht="15.75" customHeight="1">
      <c r="AE4913"/>
    </row>
    <row r="4914" spans="31:31" ht="15.75" customHeight="1">
      <c r="AE4914"/>
    </row>
    <row r="4915" spans="31:31" ht="15.75" customHeight="1">
      <c r="AE4915"/>
    </row>
    <row r="4916" spans="31:31" ht="15.75" customHeight="1">
      <c r="AE4916"/>
    </row>
    <row r="4917" spans="31:31" ht="15.75" customHeight="1">
      <c r="AE4917"/>
    </row>
    <row r="4918" spans="31:31" ht="15.75" customHeight="1">
      <c r="AE4918"/>
    </row>
    <row r="4919" spans="31:31" ht="15.75" customHeight="1">
      <c r="AE4919"/>
    </row>
    <row r="4920" spans="31:31" ht="15.75" customHeight="1">
      <c r="AE4920"/>
    </row>
    <row r="4921" spans="31:31" ht="15.75" customHeight="1">
      <c r="AE4921"/>
    </row>
    <row r="4922" spans="31:31" ht="15.75" customHeight="1">
      <c r="AE4922"/>
    </row>
    <row r="4923" spans="31:31" ht="15.75" customHeight="1">
      <c r="AE4923"/>
    </row>
    <row r="4924" spans="31:31" ht="15.75" customHeight="1">
      <c r="AE4924"/>
    </row>
    <row r="4925" spans="31:31" ht="15.75" customHeight="1">
      <c r="AE4925"/>
    </row>
    <row r="4926" spans="31:31" ht="15.75" customHeight="1">
      <c r="AE4926"/>
    </row>
    <row r="4927" spans="31:31" ht="15.75" customHeight="1">
      <c r="AE4927"/>
    </row>
    <row r="4928" spans="31:31" ht="15.75" customHeight="1">
      <c r="AE4928"/>
    </row>
    <row r="4929" spans="31:31" ht="15.75" customHeight="1">
      <c r="AE4929"/>
    </row>
    <row r="4930" spans="31:31" ht="15.75" customHeight="1">
      <c r="AE4930"/>
    </row>
    <row r="4931" spans="31:31" ht="15.75" customHeight="1">
      <c r="AE4931"/>
    </row>
    <row r="4932" spans="31:31" ht="15.75" customHeight="1">
      <c r="AE4932"/>
    </row>
    <row r="4933" spans="31:31" ht="15.75" customHeight="1">
      <c r="AE4933"/>
    </row>
    <row r="4934" spans="31:31" ht="15.75" customHeight="1">
      <c r="AE4934"/>
    </row>
    <row r="4935" spans="31:31" ht="15.75" customHeight="1">
      <c r="AE4935"/>
    </row>
    <row r="4936" spans="31:31" ht="15.75" customHeight="1">
      <c r="AE4936"/>
    </row>
    <row r="4937" spans="31:31" ht="15.75" customHeight="1">
      <c r="AE4937"/>
    </row>
    <row r="4938" spans="31:31" ht="15.75" customHeight="1">
      <c r="AE4938"/>
    </row>
    <row r="4939" spans="31:31" ht="15.75" customHeight="1">
      <c r="AE4939"/>
    </row>
    <row r="4940" spans="31:31" ht="15.75" customHeight="1">
      <c r="AE4940"/>
    </row>
    <row r="4941" spans="31:31" ht="15.75" customHeight="1">
      <c r="AE4941"/>
    </row>
    <row r="4942" spans="31:31" ht="15.75" customHeight="1">
      <c r="AE4942"/>
    </row>
    <row r="4943" spans="31:31" ht="15.75" customHeight="1">
      <c r="AE4943"/>
    </row>
    <row r="4944" spans="31:31" ht="15.75" customHeight="1">
      <c r="AE4944"/>
    </row>
    <row r="4945" spans="31:31" ht="15.75" customHeight="1">
      <c r="AE4945"/>
    </row>
    <row r="4946" spans="31:31" ht="15.75" customHeight="1">
      <c r="AE4946"/>
    </row>
    <row r="4947" spans="31:31" ht="15.75" customHeight="1">
      <c r="AE4947"/>
    </row>
    <row r="4948" spans="31:31" ht="15.75" customHeight="1">
      <c r="AE4948"/>
    </row>
    <row r="4949" spans="31:31" ht="15.75" customHeight="1">
      <c r="AE4949"/>
    </row>
    <row r="4950" spans="31:31" ht="15.75" customHeight="1">
      <c r="AE4950"/>
    </row>
    <row r="4951" spans="31:31" ht="15.75" customHeight="1">
      <c r="AE4951"/>
    </row>
    <row r="4952" spans="31:31" ht="15.75" customHeight="1">
      <c r="AE4952"/>
    </row>
    <row r="4953" spans="31:31" ht="15.75" customHeight="1">
      <c r="AE4953"/>
    </row>
    <row r="4954" spans="31:31" ht="15.75" customHeight="1">
      <c r="AE4954"/>
    </row>
    <row r="4955" spans="31:31" ht="15.75" customHeight="1">
      <c r="AE4955"/>
    </row>
    <row r="4956" spans="31:31" ht="15.75" customHeight="1">
      <c r="AE4956"/>
    </row>
    <row r="4957" spans="31:31" ht="15.75" customHeight="1">
      <c r="AE4957"/>
    </row>
    <row r="4958" spans="31:31" ht="15.75" customHeight="1">
      <c r="AE4958"/>
    </row>
    <row r="4959" spans="31:31" ht="15.75" customHeight="1">
      <c r="AE4959"/>
    </row>
    <row r="4960" spans="31:31" ht="15.75" customHeight="1">
      <c r="AE4960"/>
    </row>
    <row r="4961" spans="31:31" ht="15.75" customHeight="1">
      <c r="AE4961"/>
    </row>
    <row r="4962" spans="31:31" ht="15.75" customHeight="1">
      <c r="AE4962"/>
    </row>
    <row r="4963" spans="31:31" ht="15.75" customHeight="1">
      <c r="AE4963"/>
    </row>
    <row r="4964" spans="31:31" ht="15.75" customHeight="1">
      <c r="AE4964"/>
    </row>
    <row r="4965" spans="31:31" ht="15.75" customHeight="1">
      <c r="AE4965"/>
    </row>
    <row r="4966" spans="31:31" ht="15.75" customHeight="1">
      <c r="AE4966"/>
    </row>
    <row r="4967" spans="31:31" ht="15.75" customHeight="1">
      <c r="AE4967"/>
    </row>
    <row r="4968" spans="31:31" ht="15.75" customHeight="1">
      <c r="AE4968"/>
    </row>
    <row r="4969" spans="31:31" ht="15.75" customHeight="1">
      <c r="AE4969"/>
    </row>
    <row r="4970" spans="31:31" ht="15.75" customHeight="1">
      <c r="AE4970"/>
    </row>
    <row r="4971" spans="31:31" ht="15.75" customHeight="1">
      <c r="AE4971"/>
    </row>
    <row r="4972" spans="31:31" ht="15.75" customHeight="1">
      <c r="AE4972"/>
    </row>
    <row r="4973" spans="31:31" ht="15.75" customHeight="1">
      <c r="AE4973"/>
    </row>
    <row r="4974" spans="31:31" ht="15.75" customHeight="1">
      <c r="AE4974"/>
    </row>
    <row r="4975" spans="31:31" ht="15.75" customHeight="1">
      <c r="AE4975"/>
    </row>
    <row r="4976" spans="31:31" ht="15.75" customHeight="1">
      <c r="AE4976"/>
    </row>
    <row r="4977" spans="31:31" ht="15.75" customHeight="1">
      <c r="AE4977"/>
    </row>
    <row r="4978" spans="31:31" ht="15.75" customHeight="1">
      <c r="AE4978"/>
    </row>
    <row r="4979" spans="31:31" ht="15.75" customHeight="1">
      <c r="AE4979"/>
    </row>
    <row r="4980" spans="31:31" ht="15.75" customHeight="1">
      <c r="AE4980"/>
    </row>
    <row r="4981" spans="31:31" ht="15.75" customHeight="1">
      <c r="AE4981"/>
    </row>
    <row r="4982" spans="31:31" ht="15.75" customHeight="1">
      <c r="AE4982"/>
    </row>
    <row r="4983" spans="31:31" ht="15.75" customHeight="1">
      <c r="AE4983"/>
    </row>
    <row r="4984" spans="31:31" ht="15.75" customHeight="1">
      <c r="AE4984"/>
    </row>
    <row r="4985" spans="31:31" ht="15.75" customHeight="1">
      <c r="AE4985"/>
    </row>
    <row r="4986" spans="31:31" ht="15.75" customHeight="1">
      <c r="AE4986"/>
    </row>
    <row r="4987" spans="31:31" ht="15.75" customHeight="1">
      <c r="AE4987"/>
    </row>
    <row r="4988" spans="31:31" ht="15.75" customHeight="1">
      <c r="AE4988"/>
    </row>
    <row r="4989" spans="31:31" ht="15.75" customHeight="1">
      <c r="AE4989"/>
    </row>
    <row r="4990" spans="31:31" ht="15.75" customHeight="1">
      <c r="AE4990"/>
    </row>
    <row r="4991" spans="31:31" ht="15.75" customHeight="1">
      <c r="AE4991"/>
    </row>
    <row r="4992" spans="31:31" ht="15.75" customHeight="1">
      <c r="AE4992"/>
    </row>
    <row r="4993" spans="31:31" ht="15.75" customHeight="1">
      <c r="AE4993"/>
    </row>
    <row r="4994" spans="31:31" ht="15.75" customHeight="1">
      <c r="AE4994"/>
    </row>
    <row r="4995" spans="31:31" ht="15.75" customHeight="1">
      <c r="AE4995"/>
    </row>
    <row r="4996" spans="31:31" ht="15.75" customHeight="1">
      <c r="AE4996"/>
    </row>
    <row r="4997" spans="31:31" ht="15.75" customHeight="1">
      <c r="AE4997"/>
    </row>
    <row r="4998" spans="31:31" ht="15.75" customHeight="1">
      <c r="AE4998"/>
    </row>
    <row r="4999" spans="31:31" ht="15.75" customHeight="1">
      <c r="AE4999"/>
    </row>
    <row r="5000" spans="31:31" ht="15.75" customHeight="1">
      <c r="AE5000"/>
    </row>
    <row r="5001" spans="31:31" ht="15.75" customHeight="1">
      <c r="AE5001"/>
    </row>
    <row r="5002" spans="31:31" ht="15.75" customHeight="1">
      <c r="AE5002"/>
    </row>
    <row r="5003" spans="31:31" ht="15.75" customHeight="1">
      <c r="AE5003"/>
    </row>
    <row r="5004" spans="31:31" ht="15.75" customHeight="1">
      <c r="AE5004"/>
    </row>
    <row r="5005" spans="31:31" ht="15.75" customHeight="1">
      <c r="AE5005"/>
    </row>
    <row r="5006" spans="31:31" ht="15.75" customHeight="1">
      <c r="AE5006"/>
    </row>
    <row r="5007" spans="31:31" ht="15.75" customHeight="1">
      <c r="AE5007"/>
    </row>
    <row r="5008" spans="31:31" ht="15.75" customHeight="1">
      <c r="AE5008"/>
    </row>
    <row r="5009" spans="31:31" ht="15.75" customHeight="1">
      <c r="AE5009"/>
    </row>
    <row r="5010" spans="31:31" ht="15.75" customHeight="1">
      <c r="AE5010"/>
    </row>
    <row r="5011" spans="31:31" ht="15.75" customHeight="1">
      <c r="AE5011"/>
    </row>
    <row r="5012" spans="31:31" ht="15.75" customHeight="1">
      <c r="AE5012"/>
    </row>
    <row r="5013" spans="31:31" ht="15.75" customHeight="1">
      <c r="AE5013"/>
    </row>
    <row r="5014" spans="31:31" ht="15.75" customHeight="1">
      <c r="AE5014"/>
    </row>
    <row r="5015" spans="31:31" ht="15.75" customHeight="1">
      <c r="AE5015"/>
    </row>
    <row r="5016" spans="31:31" ht="15.75" customHeight="1">
      <c r="AE5016"/>
    </row>
    <row r="5017" spans="31:31" ht="15.75" customHeight="1">
      <c r="AE5017"/>
    </row>
    <row r="5018" spans="31:31" ht="15.75" customHeight="1">
      <c r="AE5018"/>
    </row>
    <row r="5019" spans="31:31" ht="15.75" customHeight="1">
      <c r="AE5019"/>
    </row>
    <row r="5020" spans="31:31" ht="15.75" customHeight="1">
      <c r="AE5020"/>
    </row>
    <row r="5021" spans="31:31" ht="15.75" customHeight="1">
      <c r="AE5021"/>
    </row>
    <row r="5022" spans="31:31" ht="15.75" customHeight="1">
      <c r="AE5022"/>
    </row>
    <row r="5023" spans="31:31" ht="15.75" customHeight="1">
      <c r="AE5023"/>
    </row>
    <row r="5024" spans="31:31" ht="15.75" customHeight="1">
      <c r="AE5024"/>
    </row>
    <row r="5025" spans="31:31" ht="15.75" customHeight="1">
      <c r="AE5025"/>
    </row>
    <row r="5026" spans="31:31" ht="15.75" customHeight="1">
      <c r="AE5026"/>
    </row>
    <row r="5027" spans="31:31" ht="15.75" customHeight="1">
      <c r="AE5027"/>
    </row>
    <row r="5028" spans="31:31" ht="15.75" customHeight="1">
      <c r="AE5028"/>
    </row>
    <row r="5029" spans="31:31" ht="15.75" customHeight="1">
      <c r="AE5029"/>
    </row>
    <row r="5030" spans="31:31" ht="15.75" customHeight="1">
      <c r="AE5030"/>
    </row>
    <row r="5031" spans="31:31" ht="15.75" customHeight="1">
      <c r="AE5031"/>
    </row>
    <row r="5032" spans="31:31" ht="15.75" customHeight="1">
      <c r="AE5032"/>
    </row>
    <row r="5033" spans="31:31" ht="15.75" customHeight="1">
      <c r="AE5033"/>
    </row>
    <row r="5034" spans="31:31" ht="15.75" customHeight="1">
      <c r="AE5034"/>
    </row>
    <row r="5035" spans="31:31" ht="15.75" customHeight="1">
      <c r="AE5035"/>
    </row>
    <row r="5036" spans="31:31" ht="15.75" customHeight="1">
      <c r="AE5036"/>
    </row>
    <row r="5037" spans="31:31" ht="15.75" customHeight="1">
      <c r="AE5037"/>
    </row>
    <row r="5038" spans="31:31" ht="15.75" customHeight="1">
      <c r="AE5038"/>
    </row>
    <row r="5039" spans="31:31" ht="15.75" customHeight="1">
      <c r="AE5039"/>
    </row>
    <row r="5040" spans="31:31" ht="15.75" customHeight="1">
      <c r="AE5040"/>
    </row>
    <row r="5041" spans="31:31" ht="15.75" customHeight="1">
      <c r="AE5041"/>
    </row>
    <row r="5042" spans="31:31" ht="15.75" customHeight="1">
      <c r="AE5042"/>
    </row>
    <row r="5043" spans="31:31" ht="15.75" customHeight="1">
      <c r="AE5043"/>
    </row>
    <row r="5044" spans="31:31" ht="15.75" customHeight="1">
      <c r="AE5044"/>
    </row>
    <row r="5045" spans="31:31" ht="15.75" customHeight="1">
      <c r="AE5045"/>
    </row>
    <row r="5046" spans="31:31" ht="15.75" customHeight="1">
      <c r="AE5046"/>
    </row>
    <row r="5047" spans="31:31" ht="15.75" customHeight="1">
      <c r="AE5047"/>
    </row>
    <row r="5048" spans="31:31" ht="15.75" customHeight="1">
      <c r="AE5048"/>
    </row>
    <row r="5049" spans="31:31" ht="15.75" customHeight="1">
      <c r="AE5049"/>
    </row>
    <row r="5050" spans="31:31" ht="15.75" customHeight="1">
      <c r="AE5050"/>
    </row>
    <row r="5051" spans="31:31" ht="15.75" customHeight="1">
      <c r="AE5051"/>
    </row>
    <row r="5052" spans="31:31" ht="15.75" customHeight="1">
      <c r="AE5052"/>
    </row>
    <row r="5053" spans="31:31" ht="15.75" customHeight="1">
      <c r="AE5053"/>
    </row>
    <row r="5054" spans="31:31" ht="15.75" customHeight="1">
      <c r="AE5054"/>
    </row>
    <row r="5055" spans="31:31" ht="15.75" customHeight="1">
      <c r="AE5055"/>
    </row>
    <row r="5056" spans="31:31" ht="15.75" customHeight="1">
      <c r="AE5056"/>
    </row>
    <row r="5057" spans="31:31" ht="15.75" customHeight="1">
      <c r="AE5057"/>
    </row>
    <row r="5058" spans="31:31" ht="15.75" customHeight="1">
      <c r="AE5058"/>
    </row>
    <row r="5059" spans="31:31" ht="15.75" customHeight="1">
      <c r="AE5059"/>
    </row>
    <row r="5060" spans="31:31" ht="15.75" customHeight="1">
      <c r="AE5060"/>
    </row>
    <row r="5061" spans="31:31" ht="15.75" customHeight="1">
      <c r="AE5061"/>
    </row>
    <row r="5062" spans="31:31" ht="15.75" customHeight="1">
      <c r="AE5062"/>
    </row>
    <row r="5063" spans="31:31" ht="15.75" customHeight="1">
      <c r="AE5063"/>
    </row>
    <row r="5064" spans="31:31" ht="15.75" customHeight="1">
      <c r="AE5064"/>
    </row>
    <row r="5065" spans="31:31" ht="15.75" customHeight="1">
      <c r="AE5065"/>
    </row>
    <row r="5066" spans="31:31" ht="15.75" customHeight="1">
      <c r="AE5066"/>
    </row>
    <row r="5067" spans="31:31" ht="15.75" customHeight="1">
      <c r="AE5067"/>
    </row>
    <row r="5068" spans="31:31" ht="15.75" customHeight="1">
      <c r="AE5068"/>
    </row>
    <row r="5069" spans="31:31" ht="15.75" customHeight="1">
      <c r="AE5069"/>
    </row>
    <row r="5070" spans="31:31" ht="15.75" customHeight="1">
      <c r="AE5070"/>
    </row>
    <row r="5071" spans="31:31" ht="15.75" customHeight="1">
      <c r="AE5071"/>
    </row>
    <row r="5072" spans="31:31" ht="15.75" customHeight="1">
      <c r="AE5072"/>
    </row>
    <row r="5073" spans="31:31" ht="15.75" customHeight="1">
      <c r="AE5073"/>
    </row>
    <row r="5074" spans="31:31" ht="15.75" customHeight="1">
      <c r="AE5074"/>
    </row>
    <row r="5075" spans="31:31" ht="15.75" customHeight="1">
      <c r="AE5075"/>
    </row>
    <row r="5076" spans="31:31" ht="15.75" customHeight="1">
      <c r="AE5076"/>
    </row>
    <row r="5077" spans="31:31" ht="15.75" customHeight="1">
      <c r="AE5077"/>
    </row>
    <row r="5078" spans="31:31" ht="15.75" customHeight="1">
      <c r="AE5078"/>
    </row>
    <row r="5079" spans="31:31" ht="15.75" customHeight="1">
      <c r="AE5079"/>
    </row>
    <row r="5080" spans="31:31" ht="15.75" customHeight="1">
      <c r="AE5080"/>
    </row>
    <row r="5081" spans="31:31" ht="15.75" customHeight="1">
      <c r="AE5081"/>
    </row>
    <row r="5082" spans="31:31" ht="15.75" customHeight="1">
      <c r="AE5082"/>
    </row>
    <row r="5083" spans="31:31" ht="15.75" customHeight="1">
      <c r="AE5083"/>
    </row>
    <row r="5084" spans="31:31" ht="15.75" customHeight="1">
      <c r="AE5084"/>
    </row>
    <row r="5085" spans="31:31" ht="15.75" customHeight="1">
      <c r="AE5085"/>
    </row>
    <row r="5086" spans="31:31" ht="15.75" customHeight="1">
      <c r="AE5086"/>
    </row>
    <row r="5087" spans="31:31" ht="15.75" customHeight="1">
      <c r="AE5087"/>
    </row>
    <row r="5088" spans="31:31" ht="15.75" customHeight="1">
      <c r="AE5088"/>
    </row>
    <row r="5089" spans="31:31" ht="15.75" customHeight="1">
      <c r="AE5089"/>
    </row>
    <row r="5090" spans="31:31" ht="15.75" customHeight="1">
      <c r="AE5090"/>
    </row>
    <row r="5091" spans="31:31" ht="15.75" customHeight="1">
      <c r="AE5091"/>
    </row>
    <row r="5092" spans="31:31" ht="15.75" customHeight="1">
      <c r="AE5092"/>
    </row>
    <row r="5093" spans="31:31" ht="15.75" customHeight="1">
      <c r="AE5093"/>
    </row>
    <row r="5094" spans="31:31" ht="15.75" customHeight="1">
      <c r="AE5094"/>
    </row>
    <row r="5095" spans="31:31" ht="15.75" customHeight="1">
      <c r="AE5095"/>
    </row>
    <row r="5096" spans="31:31" ht="15.75" customHeight="1">
      <c r="AE5096"/>
    </row>
    <row r="5097" spans="31:31" ht="15.75" customHeight="1">
      <c r="AE5097"/>
    </row>
    <row r="5098" spans="31:31" ht="15.75" customHeight="1">
      <c r="AE5098"/>
    </row>
    <row r="5099" spans="31:31" ht="15.75" customHeight="1">
      <c r="AE5099"/>
    </row>
    <row r="5100" spans="31:31" ht="15.75" customHeight="1">
      <c r="AE5100"/>
    </row>
    <row r="5101" spans="31:31" ht="15.75" customHeight="1">
      <c r="AE5101"/>
    </row>
    <row r="5102" spans="31:31" ht="15.75" customHeight="1">
      <c r="AE5102"/>
    </row>
    <row r="5103" spans="31:31" ht="15.75" customHeight="1">
      <c r="AE5103"/>
    </row>
    <row r="5104" spans="31:31" ht="15.75" customHeight="1">
      <c r="AE5104"/>
    </row>
    <row r="5105" spans="31:31" ht="15.75" customHeight="1">
      <c r="AE5105"/>
    </row>
    <row r="5106" spans="31:31" ht="15.75" customHeight="1">
      <c r="AE5106"/>
    </row>
    <row r="5107" spans="31:31" ht="15.75" customHeight="1">
      <c r="AE5107"/>
    </row>
    <row r="5108" spans="31:31" ht="15.75" customHeight="1">
      <c r="AE5108"/>
    </row>
    <row r="5109" spans="31:31" ht="15.75" customHeight="1">
      <c r="AE5109"/>
    </row>
    <row r="5110" spans="31:31" ht="15.75" customHeight="1">
      <c r="AE5110"/>
    </row>
    <row r="5111" spans="31:31" ht="15.75" customHeight="1">
      <c r="AE5111"/>
    </row>
    <row r="5112" spans="31:31" ht="15.75" customHeight="1">
      <c r="AE5112"/>
    </row>
    <row r="5113" spans="31:31" ht="15.75" customHeight="1">
      <c r="AE5113"/>
    </row>
    <row r="5114" spans="31:31" ht="15.75" customHeight="1">
      <c r="AE5114"/>
    </row>
    <row r="5115" spans="31:31" ht="15.75" customHeight="1">
      <c r="AE5115"/>
    </row>
    <row r="5116" spans="31:31" ht="15.75" customHeight="1">
      <c r="AE5116"/>
    </row>
    <row r="5117" spans="31:31" ht="15.75" customHeight="1">
      <c r="AE5117"/>
    </row>
    <row r="5118" spans="31:31" ht="15.75" customHeight="1">
      <c r="AE5118"/>
    </row>
    <row r="5119" spans="31:31" ht="15.75" customHeight="1">
      <c r="AE5119"/>
    </row>
    <row r="5120" spans="31:31" ht="15.75" customHeight="1">
      <c r="AE5120"/>
    </row>
    <row r="5121" spans="31:31" ht="15.75" customHeight="1">
      <c r="AE5121"/>
    </row>
    <row r="5122" spans="31:31" ht="15.75" customHeight="1">
      <c r="AE5122"/>
    </row>
    <row r="5123" spans="31:31" ht="15.75" customHeight="1">
      <c r="AE5123"/>
    </row>
    <row r="5124" spans="31:31" ht="15.75" customHeight="1">
      <c r="AE5124"/>
    </row>
    <row r="5125" spans="31:31" ht="15.75" customHeight="1">
      <c r="AE5125"/>
    </row>
    <row r="5126" spans="31:31" ht="15.75" customHeight="1">
      <c r="AE5126"/>
    </row>
    <row r="5127" spans="31:31" ht="15.75" customHeight="1">
      <c r="AE5127"/>
    </row>
    <row r="5128" spans="31:31" ht="15.75" customHeight="1">
      <c r="AE5128"/>
    </row>
    <row r="5129" spans="31:31" ht="15.75" customHeight="1">
      <c r="AE5129"/>
    </row>
    <row r="5130" spans="31:31" ht="15.75" customHeight="1">
      <c r="AE5130"/>
    </row>
    <row r="5131" spans="31:31" ht="15.75" customHeight="1">
      <c r="AE5131"/>
    </row>
    <row r="5132" spans="31:31" ht="15.75" customHeight="1">
      <c r="AE5132"/>
    </row>
    <row r="5133" spans="31:31" ht="15.75" customHeight="1">
      <c r="AE5133"/>
    </row>
    <row r="5134" spans="31:31" ht="15.75" customHeight="1">
      <c r="AE5134"/>
    </row>
    <row r="5135" spans="31:31" ht="15.75" customHeight="1">
      <c r="AE5135"/>
    </row>
    <row r="5136" spans="31:31" ht="15.75" customHeight="1">
      <c r="AE5136"/>
    </row>
    <row r="5137" spans="31:31" ht="15.75" customHeight="1">
      <c r="AE5137"/>
    </row>
    <row r="5138" spans="31:31" ht="15.75" customHeight="1">
      <c r="AE5138"/>
    </row>
    <row r="5139" spans="31:31" ht="15.75" customHeight="1">
      <c r="AE5139"/>
    </row>
    <row r="5140" spans="31:31" ht="15.75" customHeight="1">
      <c r="AE5140"/>
    </row>
    <row r="5141" spans="31:31" ht="15.75" customHeight="1">
      <c r="AE5141"/>
    </row>
    <row r="5142" spans="31:31" ht="15.75" customHeight="1">
      <c r="AE5142"/>
    </row>
    <row r="5143" spans="31:31" ht="15.75" customHeight="1">
      <c r="AE5143"/>
    </row>
    <row r="5144" spans="31:31" ht="15.75" customHeight="1">
      <c r="AE5144"/>
    </row>
    <row r="5145" spans="31:31" ht="15.75" customHeight="1">
      <c r="AE5145"/>
    </row>
    <row r="5146" spans="31:31" ht="15.75" customHeight="1">
      <c r="AE5146"/>
    </row>
    <row r="5147" spans="31:31" ht="15.75" customHeight="1">
      <c r="AE5147"/>
    </row>
    <row r="5148" spans="31:31" ht="15.75" customHeight="1">
      <c r="AE5148"/>
    </row>
    <row r="5149" spans="31:31" ht="15.75" customHeight="1">
      <c r="AE5149"/>
    </row>
    <row r="5150" spans="31:31" ht="15.75" customHeight="1">
      <c r="AE5150"/>
    </row>
    <row r="5151" spans="31:31" ht="15.75" customHeight="1">
      <c r="AE5151"/>
    </row>
    <row r="5152" spans="31:31" ht="15.75" customHeight="1">
      <c r="AE5152"/>
    </row>
    <row r="5153" spans="31:31" ht="15.75" customHeight="1">
      <c r="AE5153"/>
    </row>
    <row r="5154" spans="31:31" ht="15.75" customHeight="1">
      <c r="AE5154"/>
    </row>
    <row r="5155" spans="31:31" ht="15.75" customHeight="1">
      <c r="AE5155"/>
    </row>
    <row r="5156" spans="31:31" ht="15.75" customHeight="1">
      <c r="AE5156"/>
    </row>
    <row r="5157" spans="31:31" ht="15.75" customHeight="1">
      <c r="AE5157"/>
    </row>
    <row r="5158" spans="31:31" ht="15.75" customHeight="1">
      <c r="AE5158"/>
    </row>
    <row r="5159" spans="31:31" ht="15.75" customHeight="1">
      <c r="AE5159"/>
    </row>
    <row r="5160" spans="31:31" ht="15.75" customHeight="1">
      <c r="AE5160"/>
    </row>
    <row r="5161" spans="31:31" ht="15.75" customHeight="1">
      <c r="AE5161"/>
    </row>
    <row r="5162" spans="31:31" ht="15.75" customHeight="1">
      <c r="AE5162"/>
    </row>
    <row r="5163" spans="31:31" ht="15.75" customHeight="1">
      <c r="AE5163"/>
    </row>
    <row r="5164" spans="31:31" ht="15.75" customHeight="1">
      <c r="AE5164"/>
    </row>
    <row r="5165" spans="31:31" ht="15.75" customHeight="1">
      <c r="AE5165"/>
    </row>
    <row r="5166" spans="31:31" ht="15.75" customHeight="1">
      <c r="AE5166"/>
    </row>
    <row r="5167" spans="31:31" ht="15.75" customHeight="1">
      <c r="AE5167"/>
    </row>
    <row r="5168" spans="31:31" ht="15.75" customHeight="1">
      <c r="AE5168"/>
    </row>
    <row r="5169" spans="31:31" ht="15.75" customHeight="1">
      <c r="AE5169"/>
    </row>
    <row r="5170" spans="31:31" ht="15.75" customHeight="1">
      <c r="AE5170"/>
    </row>
    <row r="5171" spans="31:31" ht="15.75" customHeight="1">
      <c r="AE5171"/>
    </row>
    <row r="5172" spans="31:31" ht="15.75" customHeight="1">
      <c r="AE5172"/>
    </row>
    <row r="5173" spans="31:31" ht="15.75" customHeight="1">
      <c r="AE5173"/>
    </row>
    <row r="5174" spans="31:31" ht="15.75" customHeight="1">
      <c r="AE5174"/>
    </row>
    <row r="5175" spans="31:31" ht="15.75" customHeight="1">
      <c r="AE5175"/>
    </row>
    <row r="5176" spans="31:31" ht="15.75" customHeight="1">
      <c r="AE5176"/>
    </row>
    <row r="5177" spans="31:31" ht="15.75" customHeight="1">
      <c r="AE5177"/>
    </row>
    <row r="5178" spans="31:31" ht="15.75" customHeight="1">
      <c r="AE5178"/>
    </row>
    <row r="5179" spans="31:31" ht="15.75" customHeight="1">
      <c r="AE5179"/>
    </row>
    <row r="5180" spans="31:31" ht="15.75" customHeight="1">
      <c r="AE5180"/>
    </row>
    <row r="5181" spans="31:31" ht="15.75" customHeight="1">
      <c r="AE5181"/>
    </row>
    <row r="5182" spans="31:31" ht="15.75" customHeight="1">
      <c r="AE5182"/>
    </row>
    <row r="5183" spans="31:31" ht="15.75" customHeight="1">
      <c r="AE5183"/>
    </row>
    <row r="5184" spans="31:31" ht="15.75" customHeight="1">
      <c r="AE5184"/>
    </row>
    <row r="5185" spans="31:31" ht="15.75" customHeight="1">
      <c r="AE5185"/>
    </row>
    <row r="5186" spans="31:31" ht="15.75" customHeight="1">
      <c r="AE5186"/>
    </row>
    <row r="5187" spans="31:31" ht="15.75" customHeight="1">
      <c r="AE5187"/>
    </row>
    <row r="5188" spans="31:31" ht="15.75" customHeight="1">
      <c r="AE5188"/>
    </row>
    <row r="5189" spans="31:31" ht="15.75" customHeight="1">
      <c r="AE5189"/>
    </row>
    <row r="5190" spans="31:31" ht="15.75" customHeight="1">
      <c r="AE5190"/>
    </row>
    <row r="5191" spans="31:31" ht="15.75" customHeight="1">
      <c r="AE5191"/>
    </row>
    <row r="5192" spans="31:31" ht="15.75" customHeight="1">
      <c r="AE5192"/>
    </row>
    <row r="5193" spans="31:31" ht="15.75" customHeight="1">
      <c r="AE5193"/>
    </row>
    <row r="5194" spans="31:31" ht="15.75" customHeight="1">
      <c r="AE5194"/>
    </row>
    <row r="5195" spans="31:31" ht="15.75" customHeight="1">
      <c r="AE5195"/>
    </row>
    <row r="5196" spans="31:31" ht="15.75" customHeight="1">
      <c r="AE5196"/>
    </row>
    <row r="5197" spans="31:31" ht="15.75" customHeight="1">
      <c r="AE5197"/>
    </row>
    <row r="5198" spans="31:31" ht="15.75" customHeight="1">
      <c r="AE5198"/>
    </row>
    <row r="5199" spans="31:31" ht="15.75" customHeight="1">
      <c r="AE5199"/>
    </row>
    <row r="5200" spans="31:31" ht="15.75" customHeight="1">
      <c r="AE5200"/>
    </row>
    <row r="5201" spans="31:31" ht="15.75" customHeight="1">
      <c r="AE5201"/>
    </row>
    <row r="5202" spans="31:31" ht="15.75" customHeight="1">
      <c r="AE5202"/>
    </row>
    <row r="5203" spans="31:31" ht="15.75" customHeight="1">
      <c r="AE5203"/>
    </row>
    <row r="5204" spans="31:31" ht="15.75" customHeight="1">
      <c r="AE5204"/>
    </row>
    <row r="5205" spans="31:31" ht="15.75" customHeight="1">
      <c r="AE5205"/>
    </row>
    <row r="5206" spans="31:31" ht="15.75" customHeight="1">
      <c r="AE5206"/>
    </row>
    <row r="5207" spans="31:31" ht="15.75" customHeight="1">
      <c r="AE5207"/>
    </row>
    <row r="5208" spans="31:31" ht="15.75" customHeight="1">
      <c r="AE5208"/>
    </row>
    <row r="5209" spans="31:31" ht="15.75" customHeight="1">
      <c r="AE5209"/>
    </row>
    <row r="5210" spans="31:31" ht="15.75" customHeight="1">
      <c r="AE5210"/>
    </row>
    <row r="5211" spans="31:31" ht="15.75" customHeight="1">
      <c r="AE5211"/>
    </row>
    <row r="5212" spans="31:31" ht="15.75" customHeight="1">
      <c r="AE5212"/>
    </row>
    <row r="5213" spans="31:31" ht="15.75" customHeight="1">
      <c r="AE5213"/>
    </row>
    <row r="5214" spans="31:31" ht="15.75" customHeight="1">
      <c r="AE5214"/>
    </row>
    <row r="5215" spans="31:31" ht="15.75" customHeight="1">
      <c r="AE5215"/>
    </row>
    <row r="5216" spans="31:31" ht="15.75" customHeight="1">
      <c r="AE5216"/>
    </row>
    <row r="5217" spans="31:31" ht="15.75" customHeight="1">
      <c r="AE5217"/>
    </row>
    <row r="5218" spans="31:31" ht="15.75" customHeight="1">
      <c r="AE5218"/>
    </row>
    <row r="5219" spans="31:31" ht="15.75" customHeight="1">
      <c r="AE5219"/>
    </row>
    <row r="5220" spans="31:31" ht="15.75" customHeight="1">
      <c r="AE5220"/>
    </row>
    <row r="5221" spans="31:31" ht="15.75" customHeight="1">
      <c r="AE5221"/>
    </row>
    <row r="5222" spans="31:31" ht="15.75" customHeight="1">
      <c r="AE5222"/>
    </row>
    <row r="5223" spans="31:31" ht="15.75" customHeight="1">
      <c r="AE5223"/>
    </row>
    <row r="5224" spans="31:31" ht="15.75" customHeight="1">
      <c r="AE5224"/>
    </row>
    <row r="5225" spans="31:31" ht="15.75" customHeight="1">
      <c r="AE5225"/>
    </row>
    <row r="5226" spans="31:31" ht="15.75" customHeight="1">
      <c r="AE5226"/>
    </row>
    <row r="5227" spans="31:31" ht="15.75" customHeight="1">
      <c r="AE5227"/>
    </row>
    <row r="5228" spans="31:31" ht="15.75" customHeight="1">
      <c r="AE5228"/>
    </row>
    <row r="5229" spans="31:31" ht="15.75" customHeight="1">
      <c r="AE5229"/>
    </row>
    <row r="5230" spans="31:31" ht="15.75" customHeight="1">
      <c r="AE5230"/>
    </row>
    <row r="5231" spans="31:31" ht="15.75" customHeight="1">
      <c r="AE5231"/>
    </row>
    <row r="5232" spans="31:31" ht="15.75" customHeight="1">
      <c r="AE5232"/>
    </row>
    <row r="5233" spans="31:31" ht="15.75" customHeight="1">
      <c r="AE5233"/>
    </row>
    <row r="5234" spans="31:31" ht="15.75" customHeight="1">
      <c r="AE5234"/>
    </row>
    <row r="5235" spans="31:31" ht="15.75" customHeight="1">
      <c r="AE5235"/>
    </row>
    <row r="5236" spans="31:31" ht="15.75" customHeight="1">
      <c r="AE5236"/>
    </row>
    <row r="5237" spans="31:31" ht="15.75" customHeight="1">
      <c r="AE5237"/>
    </row>
    <row r="5238" spans="31:31" ht="15.75" customHeight="1">
      <c r="AE5238"/>
    </row>
    <row r="5239" spans="31:31" ht="15.75" customHeight="1">
      <c r="AE5239"/>
    </row>
    <row r="5240" spans="31:31" ht="15.75" customHeight="1">
      <c r="AE5240"/>
    </row>
    <row r="5241" spans="31:31" ht="15.75" customHeight="1">
      <c r="AE5241"/>
    </row>
    <row r="5242" spans="31:31" ht="15.75" customHeight="1">
      <c r="AE5242"/>
    </row>
    <row r="5243" spans="31:31" ht="15.75" customHeight="1">
      <c r="AE5243"/>
    </row>
    <row r="5244" spans="31:31" ht="15.75" customHeight="1">
      <c r="AE5244"/>
    </row>
    <row r="5245" spans="31:31" ht="15.75" customHeight="1">
      <c r="AE5245"/>
    </row>
    <row r="5246" spans="31:31" ht="15.75" customHeight="1">
      <c r="AE5246"/>
    </row>
    <row r="5247" spans="31:31" ht="15.75" customHeight="1">
      <c r="AE5247"/>
    </row>
    <row r="5248" spans="31:31" ht="15.75" customHeight="1">
      <c r="AE5248"/>
    </row>
    <row r="5249" spans="31:31" ht="15.75" customHeight="1">
      <c r="AE5249"/>
    </row>
    <row r="5250" spans="31:31" ht="15.75" customHeight="1">
      <c r="AE5250"/>
    </row>
    <row r="5251" spans="31:31" ht="15.75" customHeight="1">
      <c r="AE5251"/>
    </row>
    <row r="5252" spans="31:31" ht="15.75" customHeight="1">
      <c r="AE5252"/>
    </row>
    <row r="5253" spans="31:31" ht="15.75" customHeight="1">
      <c r="AE5253"/>
    </row>
    <row r="5254" spans="31:31" ht="15.75" customHeight="1">
      <c r="AE5254"/>
    </row>
    <row r="5255" spans="31:31" ht="15.75" customHeight="1">
      <c r="AE5255"/>
    </row>
    <row r="5256" spans="31:31" ht="15.75" customHeight="1">
      <c r="AE5256"/>
    </row>
    <row r="5257" spans="31:31" ht="15.75" customHeight="1">
      <c r="AE5257"/>
    </row>
    <row r="5258" spans="31:31" ht="15.75" customHeight="1">
      <c r="AE5258"/>
    </row>
    <row r="5259" spans="31:31" ht="15.75" customHeight="1">
      <c r="AE5259"/>
    </row>
    <row r="5260" spans="31:31" ht="15.75" customHeight="1">
      <c r="AE5260"/>
    </row>
    <row r="5261" spans="31:31" ht="15.75" customHeight="1">
      <c r="AE5261"/>
    </row>
    <row r="5262" spans="31:31" ht="15.75" customHeight="1">
      <c r="AE5262"/>
    </row>
    <row r="5263" spans="31:31" ht="15.75" customHeight="1">
      <c r="AE5263"/>
    </row>
    <row r="5264" spans="31:31" ht="15.75" customHeight="1">
      <c r="AE5264"/>
    </row>
    <row r="5265" spans="31:31" ht="15.75" customHeight="1">
      <c r="AE5265"/>
    </row>
    <row r="5266" spans="31:31" ht="15.75" customHeight="1">
      <c r="AE5266"/>
    </row>
    <row r="5267" spans="31:31" ht="15.75" customHeight="1">
      <c r="AE5267"/>
    </row>
    <row r="5268" spans="31:31" ht="15.75" customHeight="1">
      <c r="AE5268"/>
    </row>
    <row r="5269" spans="31:31" ht="15.75" customHeight="1">
      <c r="AE5269"/>
    </row>
    <row r="5270" spans="31:31" ht="15.75" customHeight="1">
      <c r="AE5270"/>
    </row>
    <row r="5271" spans="31:31" ht="15.75" customHeight="1">
      <c r="AE5271"/>
    </row>
    <row r="5272" spans="31:31" ht="15.75" customHeight="1">
      <c r="AE5272"/>
    </row>
    <row r="5273" spans="31:31" ht="15.75" customHeight="1">
      <c r="AE5273"/>
    </row>
    <row r="5274" spans="31:31" ht="15.75" customHeight="1">
      <c r="AE5274"/>
    </row>
    <row r="5275" spans="31:31" ht="15.75" customHeight="1">
      <c r="AE5275"/>
    </row>
    <row r="5276" spans="31:31" ht="15.75" customHeight="1">
      <c r="AE5276"/>
    </row>
    <row r="5277" spans="31:31" ht="15.75" customHeight="1">
      <c r="AE5277"/>
    </row>
    <row r="5278" spans="31:31" ht="15.75" customHeight="1">
      <c r="AE5278"/>
    </row>
    <row r="5279" spans="31:31" ht="15.75" customHeight="1">
      <c r="AE5279"/>
    </row>
    <row r="5280" spans="31:31" ht="15.75" customHeight="1">
      <c r="AE5280"/>
    </row>
    <row r="5281" spans="31:31" ht="15.75" customHeight="1">
      <c r="AE5281"/>
    </row>
    <row r="5282" spans="31:31" ht="15.75" customHeight="1">
      <c r="AE5282"/>
    </row>
    <row r="5283" spans="31:31" ht="15.75" customHeight="1">
      <c r="AE5283"/>
    </row>
    <row r="5284" spans="31:31" ht="15.75" customHeight="1">
      <c r="AE5284"/>
    </row>
    <row r="5285" spans="31:31" ht="15.75" customHeight="1">
      <c r="AE5285"/>
    </row>
    <row r="5286" spans="31:31" ht="15.75" customHeight="1">
      <c r="AE5286"/>
    </row>
    <row r="5287" spans="31:31" ht="15.75" customHeight="1">
      <c r="AE5287"/>
    </row>
    <row r="5288" spans="31:31" ht="15.75" customHeight="1">
      <c r="AE5288"/>
    </row>
    <row r="5289" spans="31:31" ht="15.75" customHeight="1">
      <c r="AE5289"/>
    </row>
    <row r="5290" spans="31:31" ht="15.75" customHeight="1">
      <c r="AE5290"/>
    </row>
    <row r="5291" spans="31:31" ht="15.75" customHeight="1">
      <c r="AE5291"/>
    </row>
    <row r="5292" spans="31:31" ht="15.75" customHeight="1">
      <c r="AE5292"/>
    </row>
    <row r="5293" spans="31:31" ht="15.75" customHeight="1">
      <c r="AE5293"/>
    </row>
    <row r="5294" spans="31:31" ht="15.75" customHeight="1">
      <c r="AE5294"/>
    </row>
    <row r="5295" spans="31:31" ht="15.75" customHeight="1">
      <c r="AE5295"/>
    </row>
    <row r="5296" spans="31:31" ht="15.75" customHeight="1">
      <c r="AE5296"/>
    </row>
    <row r="5297" spans="31:31" ht="15.75" customHeight="1">
      <c r="AE5297"/>
    </row>
    <row r="5298" spans="31:31" ht="15.75" customHeight="1">
      <c r="AE5298"/>
    </row>
    <row r="5299" spans="31:31" ht="15.75" customHeight="1">
      <c r="AE5299"/>
    </row>
    <row r="5300" spans="31:31" ht="15.75" customHeight="1">
      <c r="AE5300"/>
    </row>
    <row r="5301" spans="31:31" ht="15.75" customHeight="1">
      <c r="AE5301"/>
    </row>
    <row r="5302" spans="31:31" ht="15.75" customHeight="1">
      <c r="AE5302"/>
    </row>
    <row r="5303" spans="31:31" ht="15.75" customHeight="1">
      <c r="AE5303"/>
    </row>
    <row r="5304" spans="31:31" ht="15.75" customHeight="1">
      <c r="AE5304"/>
    </row>
    <row r="5305" spans="31:31" ht="15.75" customHeight="1">
      <c r="AE5305"/>
    </row>
    <row r="5306" spans="31:31" ht="15.75" customHeight="1">
      <c r="AE5306"/>
    </row>
    <row r="5307" spans="31:31" ht="15.75" customHeight="1">
      <c r="AE5307"/>
    </row>
    <row r="5308" spans="31:31" ht="15.75" customHeight="1">
      <c r="AE5308"/>
    </row>
    <row r="5309" spans="31:31" ht="15.75" customHeight="1">
      <c r="AE5309"/>
    </row>
    <row r="5310" spans="31:31" ht="15.75" customHeight="1">
      <c r="AE5310"/>
    </row>
    <row r="5311" spans="31:31" ht="15.75" customHeight="1">
      <c r="AE5311"/>
    </row>
    <row r="5312" spans="31:31" ht="15.75" customHeight="1">
      <c r="AE5312"/>
    </row>
    <row r="5313" spans="31:31" ht="15.75" customHeight="1">
      <c r="AE5313"/>
    </row>
    <row r="5314" spans="31:31" ht="15.75" customHeight="1">
      <c r="AE5314"/>
    </row>
    <row r="5315" spans="31:31" ht="15.75" customHeight="1">
      <c r="AE5315"/>
    </row>
    <row r="5316" spans="31:31" ht="15.75" customHeight="1">
      <c r="AE5316"/>
    </row>
    <row r="5317" spans="31:31" ht="15.75" customHeight="1">
      <c r="AE5317"/>
    </row>
    <row r="5318" spans="31:31" ht="15.75" customHeight="1">
      <c r="AE5318"/>
    </row>
    <row r="5319" spans="31:31" ht="15.75" customHeight="1">
      <c r="AE5319"/>
    </row>
    <row r="5320" spans="31:31" ht="15.75" customHeight="1">
      <c r="AE5320"/>
    </row>
    <row r="5321" spans="31:31" ht="15.75" customHeight="1">
      <c r="AE5321"/>
    </row>
    <row r="5322" spans="31:31" ht="15.75" customHeight="1">
      <c r="AE5322"/>
    </row>
    <row r="5323" spans="31:31" ht="15.75" customHeight="1">
      <c r="AE5323"/>
    </row>
    <row r="5324" spans="31:31" ht="15.75" customHeight="1">
      <c r="AE5324"/>
    </row>
    <row r="5325" spans="31:31" ht="15.75" customHeight="1">
      <c r="AE5325"/>
    </row>
    <row r="5326" spans="31:31" ht="15.75" customHeight="1">
      <c r="AE5326"/>
    </row>
    <row r="5327" spans="31:31" ht="15.75" customHeight="1">
      <c r="AE5327"/>
    </row>
    <row r="5328" spans="31:31" ht="15.75" customHeight="1">
      <c r="AE5328"/>
    </row>
    <row r="5329" spans="31:31" ht="15.75" customHeight="1">
      <c r="AE5329"/>
    </row>
    <row r="5330" spans="31:31" ht="15.75" customHeight="1">
      <c r="AE5330"/>
    </row>
    <row r="5331" spans="31:31" ht="15.75" customHeight="1">
      <c r="AE5331"/>
    </row>
    <row r="5332" spans="31:31" ht="15.75" customHeight="1">
      <c r="AE5332"/>
    </row>
    <row r="5333" spans="31:31" ht="15.75" customHeight="1">
      <c r="AE5333"/>
    </row>
    <row r="5334" spans="31:31" ht="15.75" customHeight="1">
      <c r="AE5334"/>
    </row>
    <row r="5335" spans="31:31" ht="15.75" customHeight="1">
      <c r="AE5335"/>
    </row>
    <row r="5336" spans="31:31" ht="15.75" customHeight="1">
      <c r="AE5336"/>
    </row>
    <row r="5337" spans="31:31" ht="15.75" customHeight="1">
      <c r="AE5337"/>
    </row>
    <row r="5338" spans="31:31" ht="15.75" customHeight="1">
      <c r="AE5338"/>
    </row>
    <row r="5339" spans="31:31" ht="15.75" customHeight="1">
      <c r="AE5339"/>
    </row>
    <row r="5340" spans="31:31" ht="15.75" customHeight="1">
      <c r="AE5340"/>
    </row>
    <row r="5341" spans="31:31" ht="15.75" customHeight="1">
      <c r="AE5341"/>
    </row>
    <row r="5342" spans="31:31" ht="15.75" customHeight="1">
      <c r="AE5342"/>
    </row>
    <row r="5343" spans="31:31" ht="15.75" customHeight="1">
      <c r="AE5343"/>
    </row>
    <row r="5344" spans="31:31" ht="15.75" customHeight="1">
      <c r="AE5344"/>
    </row>
    <row r="5345" spans="31:31" ht="15.75" customHeight="1">
      <c r="AE5345"/>
    </row>
    <row r="5346" spans="31:31" ht="15.75" customHeight="1">
      <c r="AE5346"/>
    </row>
    <row r="5347" spans="31:31" ht="15.75" customHeight="1">
      <c r="AE5347"/>
    </row>
    <row r="5348" spans="31:31" ht="15.75" customHeight="1">
      <c r="AE5348"/>
    </row>
    <row r="5349" spans="31:31" ht="15.75" customHeight="1">
      <c r="AE5349"/>
    </row>
    <row r="5350" spans="31:31" ht="15.75" customHeight="1">
      <c r="AE5350"/>
    </row>
    <row r="5351" spans="31:31" ht="15.75" customHeight="1">
      <c r="AE5351"/>
    </row>
    <row r="5352" spans="31:31" ht="15.75" customHeight="1">
      <c r="AE5352"/>
    </row>
    <row r="5353" spans="31:31" ht="15.75" customHeight="1">
      <c r="AE5353"/>
    </row>
    <row r="5354" spans="31:31" ht="15.75" customHeight="1">
      <c r="AE5354"/>
    </row>
    <row r="5355" spans="31:31" ht="15.75" customHeight="1">
      <c r="AE5355"/>
    </row>
    <row r="5356" spans="31:31" ht="15.75" customHeight="1">
      <c r="AE5356"/>
    </row>
    <row r="5357" spans="31:31" ht="15.75" customHeight="1">
      <c r="AE5357"/>
    </row>
    <row r="5358" spans="31:31" ht="15.75" customHeight="1">
      <c r="AE5358"/>
    </row>
    <row r="5359" spans="31:31" ht="15.75" customHeight="1">
      <c r="AE5359"/>
    </row>
    <row r="5360" spans="31:31" ht="15.75" customHeight="1">
      <c r="AE5360"/>
    </row>
    <row r="5361" spans="31:31" ht="15.75" customHeight="1">
      <c r="AE5361"/>
    </row>
    <row r="5362" spans="31:31" ht="15.75" customHeight="1">
      <c r="AE5362"/>
    </row>
    <row r="5363" spans="31:31" ht="15.75" customHeight="1">
      <c r="AE5363"/>
    </row>
    <row r="5364" spans="31:31" ht="15.75" customHeight="1">
      <c r="AE5364"/>
    </row>
    <row r="5365" spans="31:31" ht="15.75" customHeight="1">
      <c r="AE5365"/>
    </row>
    <row r="5366" spans="31:31" ht="15.75" customHeight="1">
      <c r="AE5366"/>
    </row>
    <row r="5367" spans="31:31" ht="15.75" customHeight="1">
      <c r="AE5367"/>
    </row>
    <row r="5368" spans="31:31" ht="15.75" customHeight="1">
      <c r="AE5368"/>
    </row>
    <row r="5369" spans="31:31" ht="15.75" customHeight="1">
      <c r="AE5369"/>
    </row>
    <row r="5370" spans="31:31" ht="15.75" customHeight="1">
      <c r="AE5370"/>
    </row>
    <row r="5371" spans="31:31" ht="15.75" customHeight="1">
      <c r="AE5371"/>
    </row>
    <row r="5372" spans="31:31" ht="15.75" customHeight="1">
      <c r="AE5372"/>
    </row>
    <row r="5373" spans="31:31" ht="15.75" customHeight="1">
      <c r="AE5373"/>
    </row>
    <row r="5374" spans="31:31" ht="15.75" customHeight="1">
      <c r="AE5374"/>
    </row>
    <row r="5375" spans="31:31" ht="15.75" customHeight="1">
      <c r="AE5375"/>
    </row>
    <row r="5376" spans="31:31" ht="15.75" customHeight="1">
      <c r="AE5376"/>
    </row>
    <row r="5377" spans="31:31" ht="15.75" customHeight="1">
      <c r="AE5377"/>
    </row>
    <row r="5378" spans="31:31" ht="15.75" customHeight="1">
      <c r="AE5378"/>
    </row>
    <row r="5379" spans="31:31" ht="15.75" customHeight="1">
      <c r="AE5379"/>
    </row>
    <row r="5380" spans="31:31" ht="15.75" customHeight="1">
      <c r="AE5380"/>
    </row>
    <row r="5381" spans="31:31" ht="15.75" customHeight="1">
      <c r="AE5381"/>
    </row>
    <row r="5382" spans="31:31" ht="15.75" customHeight="1">
      <c r="AE5382"/>
    </row>
    <row r="5383" spans="31:31" ht="15.75" customHeight="1">
      <c r="AE5383"/>
    </row>
    <row r="5384" spans="31:31" ht="15.75" customHeight="1">
      <c r="AE5384"/>
    </row>
    <row r="5385" spans="31:31" ht="15.75" customHeight="1">
      <c r="AE5385"/>
    </row>
    <row r="5386" spans="31:31" ht="15.75" customHeight="1">
      <c r="AE5386"/>
    </row>
    <row r="5387" spans="31:31" ht="15.75" customHeight="1">
      <c r="AE5387"/>
    </row>
    <row r="5388" spans="31:31" ht="15.75" customHeight="1">
      <c r="AE5388"/>
    </row>
    <row r="5389" spans="31:31" ht="15.75" customHeight="1">
      <c r="AE5389"/>
    </row>
    <row r="5390" spans="31:31" ht="15.75" customHeight="1">
      <c r="AE5390"/>
    </row>
    <row r="5391" spans="31:31" ht="15.75" customHeight="1">
      <c r="AE5391"/>
    </row>
    <row r="5392" spans="31:31" ht="15.75" customHeight="1">
      <c r="AE5392"/>
    </row>
    <row r="5393" spans="31:31" ht="15.75" customHeight="1">
      <c r="AE5393"/>
    </row>
    <row r="5394" spans="31:31" ht="15.75" customHeight="1">
      <c r="AE5394"/>
    </row>
    <row r="5395" spans="31:31" ht="15.75" customHeight="1">
      <c r="AE5395"/>
    </row>
    <row r="5396" spans="31:31" ht="15.75" customHeight="1">
      <c r="AE5396"/>
    </row>
    <row r="5397" spans="31:31" ht="15.75" customHeight="1">
      <c r="AE5397"/>
    </row>
    <row r="5398" spans="31:31" ht="15.75" customHeight="1">
      <c r="AE5398"/>
    </row>
    <row r="5399" spans="31:31" ht="15.75" customHeight="1">
      <c r="AE5399"/>
    </row>
    <row r="5400" spans="31:31" ht="15.75" customHeight="1">
      <c r="AE5400"/>
    </row>
    <row r="5401" spans="31:31" ht="15.75" customHeight="1">
      <c r="AE5401"/>
    </row>
    <row r="5402" spans="31:31" ht="15.75" customHeight="1">
      <c r="AE5402"/>
    </row>
    <row r="5403" spans="31:31" ht="15.75" customHeight="1">
      <c r="AE5403"/>
    </row>
    <row r="5404" spans="31:31" ht="15.75" customHeight="1">
      <c r="AE5404"/>
    </row>
    <row r="5405" spans="31:31" ht="15.75" customHeight="1">
      <c r="AE5405"/>
    </row>
    <row r="5406" spans="31:31" ht="15.75" customHeight="1">
      <c r="AE5406"/>
    </row>
    <row r="5407" spans="31:31" ht="15.75" customHeight="1">
      <c r="AE5407"/>
    </row>
    <row r="5408" spans="31:31" ht="15.75" customHeight="1">
      <c r="AE5408"/>
    </row>
    <row r="5409" spans="31:31" ht="15.75" customHeight="1">
      <c r="AE5409"/>
    </row>
    <row r="5410" spans="31:31" ht="15.75" customHeight="1">
      <c r="AE5410"/>
    </row>
    <row r="5411" spans="31:31" ht="15.75" customHeight="1">
      <c r="AE5411"/>
    </row>
    <row r="5412" spans="31:31" ht="15.75" customHeight="1">
      <c r="AE5412"/>
    </row>
    <row r="5413" spans="31:31" ht="15.75" customHeight="1">
      <c r="AE5413"/>
    </row>
    <row r="5414" spans="31:31" ht="15.75" customHeight="1">
      <c r="AE5414"/>
    </row>
    <row r="5415" spans="31:31" ht="15.75" customHeight="1">
      <c r="AE5415"/>
    </row>
    <row r="5416" spans="31:31" ht="15.75" customHeight="1">
      <c r="AE5416"/>
    </row>
    <row r="5417" spans="31:31" ht="15.75" customHeight="1">
      <c r="AE5417"/>
    </row>
    <row r="5418" spans="31:31" ht="15.75" customHeight="1">
      <c r="AE5418"/>
    </row>
    <row r="5419" spans="31:31" ht="15.75" customHeight="1">
      <c r="AE5419"/>
    </row>
    <row r="5420" spans="31:31" ht="15.75" customHeight="1">
      <c r="AE5420"/>
    </row>
    <row r="5421" spans="31:31" ht="15.75" customHeight="1">
      <c r="AE5421"/>
    </row>
    <row r="5422" spans="31:31" ht="15.75" customHeight="1">
      <c r="AE5422"/>
    </row>
    <row r="5423" spans="31:31" ht="15.75" customHeight="1">
      <c r="AE5423"/>
    </row>
    <row r="5424" spans="31:31" ht="15.75" customHeight="1">
      <c r="AE5424"/>
    </row>
    <row r="5425" spans="31:31" ht="15.75" customHeight="1">
      <c r="AE5425"/>
    </row>
    <row r="5426" spans="31:31" ht="15.75" customHeight="1">
      <c r="AE5426"/>
    </row>
    <row r="5427" spans="31:31" ht="15.75" customHeight="1">
      <c r="AE5427"/>
    </row>
    <row r="5428" spans="31:31" ht="15.75" customHeight="1">
      <c r="AE5428"/>
    </row>
    <row r="5429" spans="31:31" ht="15.75" customHeight="1">
      <c r="AE5429"/>
    </row>
    <row r="5430" spans="31:31" ht="15.75" customHeight="1">
      <c r="AE5430"/>
    </row>
    <row r="5431" spans="31:31" ht="15.75" customHeight="1">
      <c r="AE5431"/>
    </row>
    <row r="5432" spans="31:31" ht="15.75" customHeight="1">
      <c r="AE5432"/>
    </row>
    <row r="5433" spans="31:31" ht="15.75" customHeight="1">
      <c r="AE5433"/>
    </row>
    <row r="5434" spans="31:31" ht="15.75" customHeight="1">
      <c r="AE5434"/>
    </row>
    <row r="5435" spans="31:31" ht="15.75" customHeight="1">
      <c r="AE5435"/>
    </row>
    <row r="5436" spans="31:31" ht="15.75" customHeight="1">
      <c r="AE5436"/>
    </row>
    <row r="5437" spans="31:31" ht="15.75" customHeight="1">
      <c r="AE5437"/>
    </row>
    <row r="5438" spans="31:31" ht="15.75" customHeight="1">
      <c r="AE5438"/>
    </row>
    <row r="5439" spans="31:31" ht="15.75" customHeight="1">
      <c r="AE5439"/>
    </row>
    <row r="5440" spans="31:31" ht="15.75" customHeight="1">
      <c r="AE5440"/>
    </row>
    <row r="5441" spans="31:31" ht="15.75" customHeight="1">
      <c r="AE5441"/>
    </row>
    <row r="5442" spans="31:31" ht="15.75" customHeight="1">
      <c r="AE5442"/>
    </row>
    <row r="5443" spans="31:31" ht="15.75" customHeight="1">
      <c r="AE5443"/>
    </row>
    <row r="5444" spans="31:31" ht="15.75" customHeight="1">
      <c r="AE5444"/>
    </row>
    <row r="5445" spans="31:31" ht="15.75" customHeight="1">
      <c r="AE5445"/>
    </row>
    <row r="5446" spans="31:31" ht="15.75" customHeight="1">
      <c r="AE5446"/>
    </row>
    <row r="5447" spans="31:31" ht="15.75" customHeight="1">
      <c r="AE5447"/>
    </row>
    <row r="5448" spans="31:31" ht="15.75" customHeight="1">
      <c r="AE5448"/>
    </row>
    <row r="5449" spans="31:31" ht="15.75" customHeight="1">
      <c r="AE5449"/>
    </row>
    <row r="5450" spans="31:31" ht="15.75" customHeight="1">
      <c r="AE5450"/>
    </row>
    <row r="5451" spans="31:31" ht="15.75" customHeight="1">
      <c r="AE5451"/>
    </row>
    <row r="5452" spans="31:31" ht="15.75" customHeight="1">
      <c r="AE5452"/>
    </row>
    <row r="5453" spans="31:31" ht="15.75" customHeight="1">
      <c r="AE5453"/>
    </row>
    <row r="5454" spans="31:31" ht="15.75" customHeight="1">
      <c r="AE5454"/>
    </row>
    <row r="5455" spans="31:31" ht="15.75" customHeight="1">
      <c r="AE5455"/>
    </row>
    <row r="5456" spans="31:31" ht="15.75" customHeight="1">
      <c r="AE5456"/>
    </row>
    <row r="5457" spans="31:31" ht="15.75" customHeight="1">
      <c r="AE5457"/>
    </row>
    <row r="5458" spans="31:31" ht="15.75" customHeight="1">
      <c r="AE5458"/>
    </row>
    <row r="5459" spans="31:31" ht="15.75" customHeight="1">
      <c r="AE5459"/>
    </row>
    <row r="5460" spans="31:31" ht="15.75" customHeight="1">
      <c r="AE5460"/>
    </row>
    <row r="5461" spans="31:31" ht="15.75" customHeight="1">
      <c r="AE5461"/>
    </row>
    <row r="5462" spans="31:31" ht="15.75" customHeight="1">
      <c r="AE5462"/>
    </row>
    <row r="5463" spans="31:31" ht="15.75" customHeight="1">
      <c r="AE5463"/>
    </row>
    <row r="5464" spans="31:31" ht="15.75" customHeight="1">
      <c r="AE5464"/>
    </row>
    <row r="5465" spans="31:31" ht="15.75" customHeight="1">
      <c r="AE5465"/>
    </row>
    <row r="5466" spans="31:31" ht="15.75" customHeight="1">
      <c r="AE5466"/>
    </row>
    <row r="5467" spans="31:31" ht="15.75" customHeight="1">
      <c r="AE5467"/>
    </row>
    <row r="5468" spans="31:31" ht="15.75" customHeight="1">
      <c r="AE5468"/>
    </row>
    <row r="5469" spans="31:31" ht="15.75" customHeight="1">
      <c r="AE5469"/>
    </row>
    <row r="5470" spans="31:31" ht="15.75" customHeight="1">
      <c r="AE5470"/>
    </row>
    <row r="5471" spans="31:31" ht="15.75" customHeight="1">
      <c r="AE5471"/>
    </row>
    <row r="5472" spans="31:31" ht="15.75" customHeight="1">
      <c r="AE5472"/>
    </row>
    <row r="5473" spans="31:31" ht="15.75" customHeight="1">
      <c r="AE5473"/>
    </row>
    <row r="5474" spans="31:31" ht="15.75" customHeight="1">
      <c r="AE5474"/>
    </row>
    <row r="5475" spans="31:31" ht="15.75" customHeight="1">
      <c r="AE5475"/>
    </row>
    <row r="5476" spans="31:31" ht="15.75" customHeight="1">
      <c r="AE5476"/>
    </row>
    <row r="5477" spans="31:31" ht="15.75" customHeight="1">
      <c r="AE5477"/>
    </row>
    <row r="5478" spans="31:31" ht="15.75" customHeight="1">
      <c r="AE5478"/>
    </row>
    <row r="5479" spans="31:31" ht="15.75" customHeight="1">
      <c r="AE5479"/>
    </row>
    <row r="5480" spans="31:31" ht="15.75" customHeight="1">
      <c r="AE5480"/>
    </row>
    <row r="5481" spans="31:31" ht="15.75" customHeight="1">
      <c r="AE5481"/>
    </row>
    <row r="5482" spans="31:31" ht="15.75" customHeight="1">
      <c r="AE5482"/>
    </row>
    <row r="5483" spans="31:31" ht="15.75" customHeight="1">
      <c r="AE5483"/>
    </row>
    <row r="5484" spans="31:31" ht="15.75" customHeight="1">
      <c r="AE5484"/>
    </row>
    <row r="5485" spans="31:31" ht="15.75" customHeight="1">
      <c r="AE5485"/>
    </row>
    <row r="5486" spans="31:31" ht="15.75" customHeight="1">
      <c r="AE5486"/>
    </row>
    <row r="5487" spans="31:31" ht="15.75" customHeight="1">
      <c r="AE5487"/>
    </row>
    <row r="5488" spans="31:31" ht="15.75" customHeight="1">
      <c r="AE5488"/>
    </row>
    <row r="5489" spans="31:31" ht="15.75" customHeight="1">
      <c r="AE5489"/>
    </row>
    <row r="5490" spans="31:31" ht="15.75" customHeight="1">
      <c r="AE5490"/>
    </row>
    <row r="5491" spans="31:31" ht="15.75" customHeight="1">
      <c r="AE5491"/>
    </row>
    <row r="5492" spans="31:31" ht="15.75" customHeight="1">
      <c r="AE5492"/>
    </row>
    <row r="5493" spans="31:31" ht="15.75" customHeight="1">
      <c r="AE5493"/>
    </row>
    <row r="5494" spans="31:31" ht="15.75" customHeight="1">
      <c r="AE5494"/>
    </row>
    <row r="5495" spans="31:31" ht="15.75" customHeight="1">
      <c r="AE5495"/>
    </row>
    <row r="5496" spans="31:31" ht="15.75" customHeight="1">
      <c r="AE5496"/>
    </row>
    <row r="5497" spans="31:31" ht="15.75" customHeight="1">
      <c r="AE5497"/>
    </row>
    <row r="5498" spans="31:31" ht="15.75" customHeight="1">
      <c r="AE5498"/>
    </row>
    <row r="5499" spans="31:31" ht="15.75" customHeight="1">
      <c r="AE5499"/>
    </row>
    <row r="5500" spans="31:31" ht="15.75" customHeight="1">
      <c r="AE5500"/>
    </row>
    <row r="5501" spans="31:31" ht="15.75" customHeight="1">
      <c r="AE5501"/>
    </row>
    <row r="5502" spans="31:31" ht="15.75" customHeight="1">
      <c r="AE5502"/>
    </row>
    <row r="5503" spans="31:31" ht="15.75" customHeight="1">
      <c r="AE5503"/>
    </row>
    <row r="5504" spans="31:31" ht="15.75" customHeight="1">
      <c r="AE5504"/>
    </row>
    <row r="5505" spans="31:31" ht="15.75" customHeight="1">
      <c r="AE5505"/>
    </row>
    <row r="5506" spans="31:31" ht="15.75" customHeight="1">
      <c r="AE5506"/>
    </row>
    <row r="5507" spans="31:31" ht="15.75" customHeight="1">
      <c r="AE5507"/>
    </row>
    <row r="5508" spans="31:31" ht="15.75" customHeight="1">
      <c r="AE5508"/>
    </row>
    <row r="5509" spans="31:31" ht="15.75" customHeight="1">
      <c r="AE5509"/>
    </row>
    <row r="5510" spans="31:31" ht="15.75" customHeight="1">
      <c r="AE5510"/>
    </row>
    <row r="5511" spans="31:31" ht="15.75" customHeight="1">
      <c r="AE5511"/>
    </row>
    <row r="5512" spans="31:31" ht="15.75" customHeight="1">
      <c r="AE5512"/>
    </row>
    <row r="5513" spans="31:31" ht="15.75" customHeight="1">
      <c r="AE5513"/>
    </row>
    <row r="5514" spans="31:31" ht="15.75" customHeight="1">
      <c r="AE5514"/>
    </row>
    <row r="5515" spans="31:31" ht="15.75" customHeight="1">
      <c r="AE5515"/>
    </row>
    <row r="5516" spans="31:31" ht="15.75" customHeight="1">
      <c r="AE5516"/>
    </row>
    <row r="5517" spans="31:31" ht="15.75" customHeight="1">
      <c r="AE5517"/>
    </row>
    <row r="5518" spans="31:31" ht="15.75" customHeight="1">
      <c r="AE5518"/>
    </row>
    <row r="5519" spans="31:31" ht="15.75" customHeight="1">
      <c r="AE5519"/>
    </row>
    <row r="5520" spans="31:31" ht="15.75" customHeight="1">
      <c r="AE5520"/>
    </row>
    <row r="5521" spans="31:31" ht="15.75" customHeight="1">
      <c r="AE5521"/>
    </row>
    <row r="5522" spans="31:31" ht="15.75" customHeight="1">
      <c r="AE5522"/>
    </row>
    <row r="5523" spans="31:31" ht="15.75" customHeight="1">
      <c r="AE5523"/>
    </row>
    <row r="5524" spans="31:31" ht="15.75" customHeight="1">
      <c r="AE5524"/>
    </row>
    <row r="5525" spans="31:31" ht="15.75" customHeight="1">
      <c r="AE5525"/>
    </row>
    <row r="5526" spans="31:31" ht="15.75" customHeight="1">
      <c r="AE5526"/>
    </row>
    <row r="5527" spans="31:31" ht="15.75" customHeight="1">
      <c r="AE5527"/>
    </row>
    <row r="5528" spans="31:31" ht="15.75" customHeight="1">
      <c r="AE5528"/>
    </row>
    <row r="5529" spans="31:31" ht="15.75" customHeight="1">
      <c r="AE5529"/>
    </row>
    <row r="5530" spans="31:31" ht="15.75" customHeight="1">
      <c r="AE5530"/>
    </row>
    <row r="5531" spans="31:31" ht="15.75" customHeight="1">
      <c r="AE5531"/>
    </row>
    <row r="5532" spans="31:31" ht="15.75" customHeight="1">
      <c r="AE5532"/>
    </row>
    <row r="5533" spans="31:31" ht="15.75" customHeight="1">
      <c r="AE5533"/>
    </row>
    <row r="5534" spans="31:31" ht="15.75" customHeight="1">
      <c r="AE5534"/>
    </row>
    <row r="5535" spans="31:31" ht="15.75" customHeight="1">
      <c r="AE5535"/>
    </row>
    <row r="5536" spans="31:31" ht="15.75" customHeight="1">
      <c r="AE5536"/>
    </row>
    <row r="5537" spans="31:31" ht="15.75" customHeight="1">
      <c r="AE5537"/>
    </row>
    <row r="5538" spans="31:31" ht="15.75" customHeight="1">
      <c r="AE5538"/>
    </row>
    <row r="5539" spans="31:31" ht="15.75" customHeight="1">
      <c r="AE5539"/>
    </row>
    <row r="5540" spans="31:31" ht="15.75" customHeight="1">
      <c r="AE5540"/>
    </row>
    <row r="5541" spans="31:31" ht="15.75" customHeight="1">
      <c r="AE5541"/>
    </row>
    <row r="5542" spans="31:31" ht="15.75" customHeight="1">
      <c r="AE5542"/>
    </row>
    <row r="5543" spans="31:31" ht="15.75" customHeight="1">
      <c r="AE5543"/>
    </row>
    <row r="5544" spans="31:31" ht="15.75" customHeight="1">
      <c r="AE5544"/>
    </row>
    <row r="5545" spans="31:31" ht="15.75" customHeight="1">
      <c r="AE5545"/>
    </row>
    <row r="5546" spans="31:31" ht="15.75" customHeight="1">
      <c r="AE5546"/>
    </row>
    <row r="5547" spans="31:31" ht="15.75" customHeight="1">
      <c r="AE5547"/>
    </row>
    <row r="5548" spans="31:31" ht="15.75" customHeight="1">
      <c r="AE5548"/>
    </row>
    <row r="5549" spans="31:31" ht="15.75" customHeight="1">
      <c r="AE5549"/>
    </row>
    <row r="5550" spans="31:31" ht="15.75" customHeight="1">
      <c r="AE5550"/>
    </row>
    <row r="5551" spans="31:31" ht="15.75" customHeight="1">
      <c r="AE5551"/>
    </row>
    <row r="5552" spans="31:31" ht="15.75" customHeight="1">
      <c r="AE5552"/>
    </row>
    <row r="5553" spans="31:31" ht="15.75" customHeight="1">
      <c r="AE5553"/>
    </row>
    <row r="5554" spans="31:31" ht="15.75" customHeight="1">
      <c r="AE5554"/>
    </row>
    <row r="5555" spans="31:31" ht="15.75" customHeight="1">
      <c r="AE5555"/>
    </row>
    <row r="5556" spans="31:31" ht="15.75" customHeight="1">
      <c r="AE5556"/>
    </row>
    <row r="5557" spans="31:31" ht="15.75" customHeight="1">
      <c r="AE5557"/>
    </row>
    <row r="5558" spans="31:31" ht="15.75" customHeight="1">
      <c r="AE5558"/>
    </row>
    <row r="5559" spans="31:31" ht="15.75" customHeight="1">
      <c r="AE5559"/>
    </row>
    <row r="5560" spans="31:31" ht="15.75" customHeight="1">
      <c r="AE5560"/>
    </row>
    <row r="5561" spans="31:31" ht="15.75" customHeight="1">
      <c r="AE5561"/>
    </row>
    <row r="5562" spans="31:31" ht="15.75" customHeight="1">
      <c r="AE5562"/>
    </row>
    <row r="5563" spans="31:31" ht="15.75" customHeight="1">
      <c r="AE5563"/>
    </row>
    <row r="5564" spans="31:31" ht="15.75" customHeight="1">
      <c r="AE5564"/>
    </row>
    <row r="5565" spans="31:31" ht="15.75" customHeight="1">
      <c r="AE5565"/>
    </row>
    <row r="5566" spans="31:31" ht="15.75" customHeight="1">
      <c r="AE5566"/>
    </row>
    <row r="5567" spans="31:31" ht="15.75" customHeight="1">
      <c r="AE5567"/>
    </row>
    <row r="5568" spans="31:31" ht="15.75" customHeight="1">
      <c r="AE5568"/>
    </row>
    <row r="5569" spans="31:31" ht="15.75" customHeight="1">
      <c r="AE5569"/>
    </row>
    <row r="5570" spans="31:31" ht="15.75" customHeight="1">
      <c r="AE5570"/>
    </row>
    <row r="5571" spans="31:31" ht="15.75" customHeight="1">
      <c r="AE5571"/>
    </row>
    <row r="5572" spans="31:31" ht="15.75" customHeight="1">
      <c r="AE5572"/>
    </row>
    <row r="5573" spans="31:31" ht="15.75" customHeight="1">
      <c r="AE5573"/>
    </row>
    <row r="5574" spans="31:31" ht="15.75" customHeight="1">
      <c r="AE5574"/>
    </row>
    <row r="5575" spans="31:31" ht="15.75" customHeight="1">
      <c r="AE5575"/>
    </row>
    <row r="5576" spans="31:31" ht="15.75" customHeight="1">
      <c r="AE5576"/>
    </row>
    <row r="5577" spans="31:31" ht="15.75" customHeight="1">
      <c r="AE5577"/>
    </row>
    <row r="5578" spans="31:31" ht="15.75" customHeight="1">
      <c r="AE5578"/>
    </row>
    <row r="5579" spans="31:31" ht="15.75" customHeight="1">
      <c r="AE5579"/>
    </row>
    <row r="5580" spans="31:31" ht="15.75" customHeight="1">
      <c r="AE5580"/>
    </row>
    <row r="5581" spans="31:31" ht="15.75" customHeight="1">
      <c r="AE5581"/>
    </row>
    <row r="5582" spans="31:31" ht="15.75" customHeight="1">
      <c r="AE5582"/>
    </row>
    <row r="5583" spans="31:31" ht="15.75" customHeight="1">
      <c r="AE5583"/>
    </row>
    <row r="5584" spans="31:31" ht="15.75" customHeight="1">
      <c r="AE5584"/>
    </row>
    <row r="5585" spans="31:31" ht="15.75" customHeight="1">
      <c r="AE5585"/>
    </row>
    <row r="5586" spans="31:31" ht="15.75" customHeight="1">
      <c r="AE5586"/>
    </row>
    <row r="5587" spans="31:31" ht="15.75" customHeight="1">
      <c r="AE5587"/>
    </row>
    <row r="5588" spans="31:31" ht="15.75" customHeight="1">
      <c r="AE5588"/>
    </row>
    <row r="5589" spans="31:31" ht="15.75" customHeight="1">
      <c r="AE5589"/>
    </row>
    <row r="5590" spans="31:31" ht="15.75" customHeight="1">
      <c r="AE5590"/>
    </row>
    <row r="5591" spans="31:31" ht="15.75" customHeight="1">
      <c r="AE5591"/>
    </row>
    <row r="5592" spans="31:31" ht="15.75" customHeight="1">
      <c r="AE5592"/>
    </row>
    <row r="5593" spans="31:31" ht="15.75" customHeight="1">
      <c r="AE5593"/>
    </row>
    <row r="5594" spans="31:31" ht="15.75" customHeight="1">
      <c r="AE5594"/>
    </row>
    <row r="5595" spans="31:31" ht="15.75" customHeight="1">
      <c r="AE5595"/>
    </row>
    <row r="5596" spans="31:31" ht="15.75" customHeight="1">
      <c r="AE5596"/>
    </row>
    <row r="5597" spans="31:31" ht="15.75" customHeight="1">
      <c r="AE5597"/>
    </row>
    <row r="5598" spans="31:31" ht="15.75" customHeight="1">
      <c r="AE5598"/>
    </row>
    <row r="5599" spans="31:31" ht="15.75" customHeight="1">
      <c r="AE5599"/>
    </row>
    <row r="5600" spans="31:31" ht="15.75" customHeight="1">
      <c r="AE5600"/>
    </row>
    <row r="5601" spans="31:31" ht="15.75" customHeight="1">
      <c r="AE5601"/>
    </row>
    <row r="5602" spans="31:31" ht="15.75" customHeight="1">
      <c r="AE5602"/>
    </row>
    <row r="5603" spans="31:31" ht="15.75" customHeight="1">
      <c r="AE5603"/>
    </row>
    <row r="5604" spans="31:31" ht="15.75" customHeight="1">
      <c r="AE5604"/>
    </row>
    <row r="5605" spans="31:31" ht="15.75" customHeight="1">
      <c r="AE5605"/>
    </row>
    <row r="5606" spans="31:31" ht="15.75" customHeight="1">
      <c r="AE5606"/>
    </row>
    <row r="5607" spans="31:31" ht="15.75" customHeight="1">
      <c r="AE5607"/>
    </row>
    <row r="5608" spans="31:31" ht="15.75" customHeight="1">
      <c r="AE5608"/>
    </row>
    <row r="5609" spans="31:31" ht="15.75" customHeight="1">
      <c r="AE5609"/>
    </row>
    <row r="5610" spans="31:31" ht="15.75" customHeight="1">
      <c r="AE5610"/>
    </row>
    <row r="5611" spans="31:31" ht="15.75" customHeight="1">
      <c r="AE5611"/>
    </row>
    <row r="5612" spans="31:31" ht="15.75" customHeight="1">
      <c r="AE5612"/>
    </row>
    <row r="5613" spans="31:31" ht="15.75" customHeight="1">
      <c r="AE5613"/>
    </row>
    <row r="5614" spans="31:31" ht="15.75" customHeight="1">
      <c r="AE5614"/>
    </row>
    <row r="5615" spans="31:31" ht="15.75" customHeight="1">
      <c r="AE5615"/>
    </row>
    <row r="5616" spans="31:31" ht="15.75" customHeight="1">
      <c r="AE5616"/>
    </row>
    <row r="5617" spans="31:31" ht="15.75" customHeight="1">
      <c r="AE5617"/>
    </row>
    <row r="5618" spans="31:31" ht="15.75" customHeight="1">
      <c r="AE5618"/>
    </row>
    <row r="5619" spans="31:31" ht="15.75" customHeight="1">
      <c r="AE5619"/>
    </row>
    <row r="5620" spans="31:31" ht="15.75" customHeight="1">
      <c r="AE5620"/>
    </row>
    <row r="5621" spans="31:31" ht="15.75" customHeight="1">
      <c r="AE5621"/>
    </row>
    <row r="5622" spans="31:31" ht="15.75" customHeight="1">
      <c r="AE5622"/>
    </row>
    <row r="5623" spans="31:31" ht="15.75" customHeight="1">
      <c r="AE5623"/>
    </row>
    <row r="5624" spans="31:31" ht="15.75" customHeight="1">
      <c r="AE5624"/>
    </row>
    <row r="5625" spans="31:31" ht="15.75" customHeight="1">
      <c r="AE5625"/>
    </row>
    <row r="5626" spans="31:31" ht="15.75" customHeight="1">
      <c r="AE5626"/>
    </row>
    <row r="5627" spans="31:31" ht="15.75" customHeight="1">
      <c r="AE5627"/>
    </row>
    <row r="5628" spans="31:31" ht="15.75" customHeight="1">
      <c r="AE5628"/>
    </row>
    <row r="5629" spans="31:31" ht="15.75" customHeight="1">
      <c r="AE5629"/>
    </row>
    <row r="5630" spans="31:31" ht="15.75" customHeight="1">
      <c r="AE5630"/>
    </row>
    <row r="5631" spans="31:31" ht="15.75" customHeight="1">
      <c r="AE5631"/>
    </row>
    <row r="5632" spans="31:31" ht="15.75" customHeight="1">
      <c r="AE5632"/>
    </row>
    <row r="5633" spans="31:31" ht="15.75" customHeight="1">
      <c r="AE5633"/>
    </row>
    <row r="5634" spans="31:31" ht="15.75" customHeight="1">
      <c r="AE5634"/>
    </row>
    <row r="5635" spans="31:31" ht="15.75" customHeight="1">
      <c r="AE5635"/>
    </row>
    <row r="5636" spans="31:31" ht="15.75" customHeight="1">
      <c r="AE5636"/>
    </row>
    <row r="5637" spans="31:31" ht="15.75" customHeight="1">
      <c r="AE5637"/>
    </row>
    <row r="5638" spans="31:31" ht="15.75" customHeight="1">
      <c r="AE5638"/>
    </row>
    <row r="5639" spans="31:31" ht="15.75" customHeight="1">
      <c r="AE5639"/>
    </row>
    <row r="5640" spans="31:31" ht="15.75" customHeight="1">
      <c r="AE5640"/>
    </row>
    <row r="5641" spans="31:31" ht="15.75" customHeight="1">
      <c r="AE5641"/>
    </row>
    <row r="5642" spans="31:31" ht="15.75" customHeight="1">
      <c r="AE5642"/>
    </row>
    <row r="5643" spans="31:31" ht="15.75" customHeight="1">
      <c r="AE5643"/>
    </row>
    <row r="5644" spans="31:31" ht="15.75" customHeight="1">
      <c r="AE5644"/>
    </row>
    <row r="5645" spans="31:31" ht="15.75" customHeight="1">
      <c r="AE5645"/>
    </row>
    <row r="5646" spans="31:31" ht="15.75" customHeight="1">
      <c r="AE5646"/>
    </row>
    <row r="5647" spans="31:31" ht="15.75" customHeight="1">
      <c r="AE5647"/>
    </row>
    <row r="5648" spans="31:31" ht="15.75" customHeight="1">
      <c r="AE5648"/>
    </row>
    <row r="5649" spans="31:31" ht="15.75" customHeight="1">
      <c r="AE5649"/>
    </row>
    <row r="5650" spans="31:31" ht="15.75" customHeight="1">
      <c r="AE5650"/>
    </row>
    <row r="5651" spans="31:31" ht="15.75" customHeight="1">
      <c r="AE5651"/>
    </row>
    <row r="5652" spans="31:31" ht="15.75" customHeight="1">
      <c r="AE5652"/>
    </row>
    <row r="5653" spans="31:31" ht="15.75" customHeight="1">
      <c r="AE5653"/>
    </row>
    <row r="5654" spans="31:31" ht="15.75" customHeight="1">
      <c r="AE5654"/>
    </row>
    <row r="5655" spans="31:31" ht="15.75" customHeight="1">
      <c r="AE5655"/>
    </row>
    <row r="5656" spans="31:31" ht="15.75" customHeight="1">
      <c r="AE5656"/>
    </row>
    <row r="5657" spans="31:31" ht="15.75" customHeight="1">
      <c r="AE5657"/>
    </row>
    <row r="5658" spans="31:31" ht="15.75" customHeight="1">
      <c r="AE5658"/>
    </row>
    <row r="5659" spans="31:31" ht="15.75" customHeight="1">
      <c r="AE5659"/>
    </row>
    <row r="5660" spans="31:31" ht="15.75" customHeight="1">
      <c r="AE5660"/>
    </row>
    <row r="5661" spans="31:31" ht="15.75" customHeight="1">
      <c r="AE5661"/>
    </row>
    <row r="5662" spans="31:31" ht="15.75" customHeight="1">
      <c r="AE5662"/>
    </row>
    <row r="5663" spans="31:31" ht="15.75" customHeight="1">
      <c r="AE5663"/>
    </row>
    <row r="5664" spans="31:31" ht="15.75" customHeight="1">
      <c r="AE5664"/>
    </row>
    <row r="5665" spans="31:31" ht="15.75" customHeight="1">
      <c r="AE5665"/>
    </row>
    <row r="5666" spans="31:31" ht="15.75" customHeight="1">
      <c r="AE5666"/>
    </row>
    <row r="5667" spans="31:31" ht="15.75" customHeight="1">
      <c r="AE5667"/>
    </row>
    <row r="5668" spans="31:31" ht="15.75" customHeight="1">
      <c r="AE5668"/>
    </row>
    <row r="5669" spans="31:31" ht="15.75" customHeight="1">
      <c r="AE5669"/>
    </row>
    <row r="5670" spans="31:31" ht="15.75" customHeight="1">
      <c r="AE5670"/>
    </row>
    <row r="5671" spans="31:31" ht="15.75" customHeight="1">
      <c r="AE5671"/>
    </row>
    <row r="5672" spans="31:31" ht="15.75" customHeight="1">
      <c r="AE5672"/>
    </row>
    <row r="5673" spans="31:31" ht="15.75" customHeight="1">
      <c r="AE5673"/>
    </row>
    <row r="5674" spans="31:31" ht="15.75" customHeight="1">
      <c r="AE5674"/>
    </row>
    <row r="5675" spans="31:31" ht="15.75" customHeight="1">
      <c r="AE5675"/>
    </row>
    <row r="5676" spans="31:31" ht="15.75" customHeight="1">
      <c r="AE5676"/>
    </row>
    <row r="5677" spans="31:31" ht="15.75" customHeight="1">
      <c r="AE5677"/>
    </row>
    <row r="5678" spans="31:31" ht="15.75" customHeight="1">
      <c r="AE5678"/>
    </row>
    <row r="5679" spans="31:31" ht="15.75" customHeight="1">
      <c r="AE5679"/>
    </row>
    <row r="5680" spans="31:31" ht="15.75" customHeight="1">
      <c r="AE5680"/>
    </row>
    <row r="5681" spans="31:31" ht="15.75" customHeight="1">
      <c r="AE5681"/>
    </row>
    <row r="5682" spans="31:31" ht="15.75" customHeight="1">
      <c r="AE5682"/>
    </row>
    <row r="5683" spans="31:31" ht="15.75" customHeight="1">
      <c r="AE5683"/>
    </row>
    <row r="5684" spans="31:31" ht="15.75" customHeight="1">
      <c r="AE5684"/>
    </row>
    <row r="5685" spans="31:31" ht="15.75" customHeight="1">
      <c r="AE5685"/>
    </row>
    <row r="5686" spans="31:31" ht="15.75" customHeight="1">
      <c r="AE5686"/>
    </row>
    <row r="5687" spans="31:31" ht="15.75" customHeight="1">
      <c r="AE5687"/>
    </row>
    <row r="5688" spans="31:31" ht="15.75" customHeight="1">
      <c r="AE5688"/>
    </row>
    <row r="5689" spans="31:31" ht="15.75" customHeight="1">
      <c r="AE5689"/>
    </row>
    <row r="5690" spans="31:31" ht="15.75" customHeight="1">
      <c r="AE5690"/>
    </row>
    <row r="5691" spans="31:31" ht="15.75" customHeight="1">
      <c r="AE5691"/>
    </row>
    <row r="5692" spans="31:31" ht="15.75" customHeight="1">
      <c r="AE5692"/>
    </row>
    <row r="5693" spans="31:31" ht="15.75" customHeight="1">
      <c r="AE5693"/>
    </row>
    <row r="5694" spans="31:31" ht="15.75" customHeight="1">
      <c r="AE5694"/>
    </row>
    <row r="5695" spans="31:31" ht="15.75" customHeight="1">
      <c r="AE5695"/>
    </row>
    <row r="5696" spans="31:31" ht="15.75" customHeight="1">
      <c r="AE5696"/>
    </row>
    <row r="5697" spans="31:31" ht="15.75" customHeight="1">
      <c r="AE5697"/>
    </row>
    <row r="5698" spans="31:31" ht="15.75" customHeight="1">
      <c r="AE5698"/>
    </row>
    <row r="5699" spans="31:31" ht="15.75" customHeight="1">
      <c r="AE5699"/>
    </row>
    <row r="5700" spans="31:31" ht="15.75" customHeight="1">
      <c r="AE5700"/>
    </row>
    <row r="5701" spans="31:31" ht="15.75" customHeight="1">
      <c r="AE5701"/>
    </row>
    <row r="5702" spans="31:31" ht="15.75" customHeight="1">
      <c r="AE5702"/>
    </row>
    <row r="5703" spans="31:31" ht="15.75" customHeight="1">
      <c r="AE5703"/>
    </row>
    <row r="5704" spans="31:31" ht="15.75" customHeight="1">
      <c r="AE5704"/>
    </row>
    <row r="5705" spans="31:31" ht="15.75" customHeight="1">
      <c r="AE5705"/>
    </row>
    <row r="5706" spans="31:31" ht="15.75" customHeight="1">
      <c r="AE5706"/>
    </row>
    <row r="5707" spans="31:31" ht="15.75" customHeight="1">
      <c r="AE5707"/>
    </row>
    <row r="5708" spans="31:31" ht="15.75" customHeight="1">
      <c r="AE5708"/>
    </row>
    <row r="5709" spans="31:31" ht="15.75" customHeight="1">
      <c r="AE5709"/>
    </row>
    <row r="5710" spans="31:31" ht="15.75" customHeight="1">
      <c r="AE5710"/>
    </row>
    <row r="5711" spans="31:31" ht="15.75" customHeight="1">
      <c r="AE5711"/>
    </row>
    <row r="5712" spans="31:31" ht="15.75" customHeight="1">
      <c r="AE5712"/>
    </row>
    <row r="5713" spans="31:31" ht="15.75" customHeight="1">
      <c r="AE5713"/>
    </row>
    <row r="5714" spans="31:31" ht="15.75" customHeight="1">
      <c r="AE5714"/>
    </row>
    <row r="5715" spans="31:31" ht="15.75" customHeight="1">
      <c r="AE5715"/>
    </row>
    <row r="5716" spans="31:31" ht="15.75" customHeight="1">
      <c r="AE5716"/>
    </row>
    <row r="5717" spans="31:31" ht="15.75" customHeight="1">
      <c r="AE5717"/>
    </row>
    <row r="5718" spans="31:31" ht="15.75" customHeight="1">
      <c r="AE5718"/>
    </row>
    <row r="5719" spans="31:31" ht="15.75" customHeight="1">
      <c r="AE5719"/>
    </row>
    <row r="5720" spans="31:31" ht="15.75" customHeight="1">
      <c r="AE5720"/>
    </row>
    <row r="5721" spans="31:31" ht="15.75" customHeight="1">
      <c r="AE5721"/>
    </row>
    <row r="5722" spans="31:31" ht="15.75" customHeight="1">
      <c r="AE5722"/>
    </row>
    <row r="5723" spans="31:31" ht="15.75" customHeight="1">
      <c r="AE5723"/>
    </row>
    <row r="5724" spans="31:31" ht="15.75" customHeight="1">
      <c r="AE5724"/>
    </row>
    <row r="5725" spans="31:31" ht="15.75" customHeight="1">
      <c r="AE5725"/>
    </row>
    <row r="5726" spans="31:31" ht="15.75" customHeight="1">
      <c r="AE5726"/>
    </row>
    <row r="5727" spans="31:31" ht="15.75" customHeight="1">
      <c r="AE5727"/>
    </row>
    <row r="5728" spans="31:31" ht="15.75" customHeight="1">
      <c r="AE5728"/>
    </row>
    <row r="5729" spans="31:31" ht="15.75" customHeight="1">
      <c r="AE5729"/>
    </row>
    <row r="5730" spans="31:31" ht="15.75" customHeight="1">
      <c r="AE5730"/>
    </row>
    <row r="5731" spans="31:31" ht="15.75" customHeight="1">
      <c r="AE5731"/>
    </row>
    <row r="5732" spans="31:31" ht="15.75" customHeight="1">
      <c r="AE5732"/>
    </row>
    <row r="5733" spans="31:31" ht="15.75" customHeight="1">
      <c r="AE5733"/>
    </row>
    <row r="5734" spans="31:31" ht="15.75" customHeight="1">
      <c r="AE5734"/>
    </row>
    <row r="5735" spans="31:31" ht="15.75" customHeight="1">
      <c r="AE5735"/>
    </row>
    <row r="5736" spans="31:31" ht="15.75" customHeight="1">
      <c r="AE5736"/>
    </row>
    <row r="5737" spans="31:31" ht="15.75" customHeight="1">
      <c r="AE5737"/>
    </row>
    <row r="5738" spans="31:31" ht="15.75" customHeight="1">
      <c r="AE5738"/>
    </row>
    <row r="5739" spans="31:31" ht="15.75" customHeight="1">
      <c r="AE5739"/>
    </row>
    <row r="5740" spans="31:31" ht="15.75" customHeight="1">
      <c r="AE5740"/>
    </row>
    <row r="5741" spans="31:31" ht="15.75" customHeight="1">
      <c r="AE5741"/>
    </row>
    <row r="5742" spans="31:31" ht="15.75" customHeight="1">
      <c r="AE5742"/>
    </row>
    <row r="5743" spans="31:31" ht="15.75" customHeight="1">
      <c r="AE5743"/>
    </row>
    <row r="5744" spans="31:31" ht="15.75" customHeight="1">
      <c r="AE5744"/>
    </row>
    <row r="5745" spans="31:31" ht="15.75" customHeight="1">
      <c r="AE5745"/>
    </row>
    <row r="5746" spans="31:31" ht="15.75" customHeight="1">
      <c r="AE5746"/>
    </row>
    <row r="5747" spans="31:31" ht="15.75" customHeight="1">
      <c r="AE5747"/>
    </row>
    <row r="5748" spans="31:31" ht="15.75" customHeight="1">
      <c r="AE5748"/>
    </row>
    <row r="5749" spans="31:31" ht="15.75" customHeight="1">
      <c r="AE5749"/>
    </row>
    <row r="5750" spans="31:31" ht="15.75" customHeight="1">
      <c r="AE5750"/>
    </row>
    <row r="5751" spans="31:31" ht="15.75" customHeight="1">
      <c r="AE5751"/>
    </row>
    <row r="5752" spans="31:31" ht="15.75" customHeight="1">
      <c r="AE5752"/>
    </row>
    <row r="5753" spans="31:31" ht="15.75" customHeight="1">
      <c r="AE5753"/>
    </row>
    <row r="5754" spans="31:31" ht="15.75" customHeight="1">
      <c r="AE5754"/>
    </row>
    <row r="5755" spans="31:31" ht="15.75" customHeight="1">
      <c r="AE5755"/>
    </row>
    <row r="5756" spans="31:31" ht="15.75" customHeight="1">
      <c r="AE5756"/>
    </row>
    <row r="5757" spans="31:31" ht="15.75" customHeight="1">
      <c r="AE5757"/>
    </row>
    <row r="5758" spans="31:31" ht="15.75" customHeight="1">
      <c r="AE5758"/>
    </row>
    <row r="5759" spans="31:31" ht="15.75" customHeight="1">
      <c r="AE5759"/>
    </row>
    <row r="5760" spans="31:31" ht="15.75" customHeight="1">
      <c r="AE5760"/>
    </row>
    <row r="5761" spans="31:31" ht="15.75" customHeight="1">
      <c r="AE5761"/>
    </row>
    <row r="5762" spans="31:31" ht="15.75" customHeight="1">
      <c r="AE5762"/>
    </row>
    <row r="5763" spans="31:31" ht="15.75" customHeight="1">
      <c r="AE5763"/>
    </row>
    <row r="5764" spans="31:31" ht="15.75" customHeight="1">
      <c r="AE5764"/>
    </row>
    <row r="5765" spans="31:31" ht="15.75" customHeight="1">
      <c r="AE5765"/>
    </row>
    <row r="5766" spans="31:31" ht="15.75" customHeight="1">
      <c r="AE5766"/>
    </row>
    <row r="5767" spans="31:31" ht="15.75" customHeight="1">
      <c r="AE5767"/>
    </row>
    <row r="5768" spans="31:31" ht="15.75" customHeight="1">
      <c r="AE5768"/>
    </row>
    <row r="5769" spans="31:31" ht="15.75" customHeight="1">
      <c r="AE5769"/>
    </row>
    <row r="5770" spans="31:31" ht="15.75" customHeight="1">
      <c r="AE5770"/>
    </row>
    <row r="5771" spans="31:31" ht="15.75" customHeight="1">
      <c r="AE5771"/>
    </row>
    <row r="5772" spans="31:31" ht="15.75" customHeight="1">
      <c r="AE5772"/>
    </row>
    <row r="5773" spans="31:31" ht="15.75" customHeight="1">
      <c r="AE5773"/>
    </row>
    <row r="5774" spans="31:31" ht="15.75" customHeight="1">
      <c r="AE5774"/>
    </row>
    <row r="5775" spans="31:31" ht="15.75" customHeight="1">
      <c r="AE5775"/>
    </row>
    <row r="5776" spans="31:31" ht="15.75" customHeight="1">
      <c r="AE5776"/>
    </row>
    <row r="5777" spans="31:31" ht="15.75" customHeight="1">
      <c r="AE5777"/>
    </row>
    <row r="5778" spans="31:31" ht="15.75" customHeight="1">
      <c r="AE5778"/>
    </row>
    <row r="5779" spans="31:31" ht="15.75" customHeight="1">
      <c r="AE5779"/>
    </row>
    <row r="5780" spans="31:31" ht="15.75" customHeight="1">
      <c r="AE5780"/>
    </row>
    <row r="5781" spans="31:31" ht="15.75" customHeight="1">
      <c r="AE5781"/>
    </row>
    <row r="5782" spans="31:31" ht="15.75" customHeight="1">
      <c r="AE5782"/>
    </row>
    <row r="5783" spans="31:31" ht="15.75" customHeight="1">
      <c r="AE5783"/>
    </row>
    <row r="5784" spans="31:31" ht="15.75" customHeight="1">
      <c r="AE5784"/>
    </row>
    <row r="5785" spans="31:31" ht="15.75" customHeight="1">
      <c r="AE5785"/>
    </row>
    <row r="5786" spans="31:31" ht="15.75" customHeight="1">
      <c r="AE5786"/>
    </row>
    <row r="5787" spans="31:31" ht="15.75" customHeight="1">
      <c r="AE5787"/>
    </row>
    <row r="5788" spans="31:31" ht="15.75" customHeight="1">
      <c r="AE5788"/>
    </row>
    <row r="5789" spans="31:31" ht="15.75" customHeight="1">
      <c r="AE5789"/>
    </row>
    <row r="5790" spans="31:31" ht="15.75" customHeight="1">
      <c r="AE5790"/>
    </row>
    <row r="5791" spans="31:31" ht="15.75" customHeight="1">
      <c r="AE5791"/>
    </row>
    <row r="5792" spans="31:31" ht="15.75" customHeight="1">
      <c r="AE5792"/>
    </row>
    <row r="5793" spans="31:31" ht="15.75" customHeight="1">
      <c r="AE5793"/>
    </row>
    <row r="5794" spans="31:31" ht="15.75" customHeight="1">
      <c r="AE5794"/>
    </row>
    <row r="5795" spans="31:31" ht="15.75" customHeight="1">
      <c r="AE5795"/>
    </row>
    <row r="5796" spans="31:31" ht="15.75" customHeight="1">
      <c r="AE5796"/>
    </row>
    <row r="5797" spans="31:31" ht="15.75" customHeight="1">
      <c r="AE5797"/>
    </row>
    <row r="5798" spans="31:31" ht="15.75" customHeight="1">
      <c r="AE5798"/>
    </row>
    <row r="5799" spans="31:31" ht="15.75" customHeight="1">
      <c r="AE5799"/>
    </row>
    <row r="5800" spans="31:31" ht="15.75" customHeight="1">
      <c r="AE5800"/>
    </row>
    <row r="5801" spans="31:31" ht="15.75" customHeight="1">
      <c r="AE5801"/>
    </row>
    <row r="5802" spans="31:31" ht="15.75" customHeight="1">
      <c r="AE5802"/>
    </row>
    <row r="5803" spans="31:31" ht="15.75" customHeight="1">
      <c r="AE5803"/>
    </row>
    <row r="5804" spans="31:31" ht="15.75" customHeight="1">
      <c r="AE5804"/>
    </row>
    <row r="5805" spans="31:31" ht="15.75" customHeight="1">
      <c r="AE5805"/>
    </row>
    <row r="5806" spans="31:31" ht="15.75" customHeight="1">
      <c r="AE5806"/>
    </row>
    <row r="5807" spans="31:31" ht="15.75" customHeight="1">
      <c r="AE5807"/>
    </row>
    <row r="5808" spans="31:31" ht="15.75" customHeight="1">
      <c r="AE5808"/>
    </row>
    <row r="5809" spans="31:31" ht="15.75" customHeight="1">
      <c r="AE5809"/>
    </row>
    <row r="5810" spans="31:31" ht="15.75" customHeight="1">
      <c r="AE5810"/>
    </row>
    <row r="5811" spans="31:31" ht="15.75" customHeight="1">
      <c r="AE5811"/>
    </row>
    <row r="5812" spans="31:31" ht="15.75" customHeight="1">
      <c r="AE5812"/>
    </row>
    <row r="5813" spans="31:31" ht="15.75" customHeight="1">
      <c r="AE5813"/>
    </row>
    <row r="5814" spans="31:31" ht="15.75" customHeight="1">
      <c r="AE5814"/>
    </row>
    <row r="5815" spans="31:31" ht="15.75" customHeight="1">
      <c r="AE5815"/>
    </row>
    <row r="5816" spans="31:31" ht="15.75" customHeight="1">
      <c r="AE5816"/>
    </row>
    <row r="5817" spans="31:31" ht="15.75" customHeight="1">
      <c r="AE5817"/>
    </row>
    <row r="5818" spans="31:31" ht="15.75" customHeight="1">
      <c r="AE5818"/>
    </row>
    <row r="5819" spans="31:31" ht="15.75" customHeight="1">
      <c r="AE5819"/>
    </row>
    <row r="5820" spans="31:31" ht="15.75" customHeight="1">
      <c r="AE5820"/>
    </row>
    <row r="5821" spans="31:31" ht="15.75" customHeight="1">
      <c r="AE5821"/>
    </row>
    <row r="5822" spans="31:31" ht="15.75" customHeight="1">
      <c r="AE5822"/>
    </row>
    <row r="5823" spans="31:31" ht="15.75" customHeight="1">
      <c r="AE5823"/>
    </row>
    <row r="5824" spans="31:31" ht="15.75" customHeight="1">
      <c r="AE5824"/>
    </row>
    <row r="5825" spans="31:31" ht="15.75" customHeight="1">
      <c r="AE5825"/>
    </row>
    <row r="5826" spans="31:31" ht="15.75" customHeight="1">
      <c r="AE5826"/>
    </row>
    <row r="5827" spans="31:31" ht="15.75" customHeight="1">
      <c r="AE5827"/>
    </row>
    <row r="5828" spans="31:31" ht="15.75" customHeight="1">
      <c r="AE5828"/>
    </row>
    <row r="5829" spans="31:31" ht="15.75" customHeight="1">
      <c r="AE5829"/>
    </row>
    <row r="5830" spans="31:31" ht="15.75" customHeight="1">
      <c r="AE5830"/>
    </row>
    <row r="5831" spans="31:31" ht="15.75" customHeight="1">
      <c r="AE5831"/>
    </row>
    <row r="5832" spans="31:31" ht="15.75" customHeight="1">
      <c r="AE5832"/>
    </row>
    <row r="5833" spans="31:31" ht="15.75" customHeight="1">
      <c r="AE5833"/>
    </row>
    <row r="5834" spans="31:31" ht="15.75" customHeight="1">
      <c r="AE5834"/>
    </row>
    <row r="5835" spans="31:31" ht="15.75" customHeight="1">
      <c r="AE5835"/>
    </row>
    <row r="5836" spans="31:31" ht="15.75" customHeight="1">
      <c r="AE5836"/>
    </row>
    <row r="5837" spans="31:31" ht="15.75" customHeight="1">
      <c r="AE5837"/>
    </row>
    <row r="5838" spans="31:31" ht="15.75" customHeight="1">
      <c r="AE5838"/>
    </row>
    <row r="5839" spans="31:31" ht="15.75" customHeight="1">
      <c r="AE5839"/>
    </row>
    <row r="5840" spans="31:31" ht="15.75" customHeight="1">
      <c r="AE5840"/>
    </row>
    <row r="5841" spans="31:31" ht="15.75" customHeight="1">
      <c r="AE5841"/>
    </row>
    <row r="5842" spans="31:31" ht="15.75" customHeight="1">
      <c r="AE5842"/>
    </row>
    <row r="5843" spans="31:31" ht="15.75" customHeight="1">
      <c r="AE5843"/>
    </row>
    <row r="5844" spans="31:31" ht="15.75" customHeight="1">
      <c r="AE5844"/>
    </row>
    <row r="5845" spans="31:31" ht="15.75" customHeight="1">
      <c r="AE5845"/>
    </row>
    <row r="5846" spans="31:31" ht="15.75" customHeight="1">
      <c r="AE5846"/>
    </row>
    <row r="5847" spans="31:31" ht="15.75" customHeight="1">
      <c r="AE5847"/>
    </row>
    <row r="5848" spans="31:31" ht="15.75" customHeight="1">
      <c r="AE5848"/>
    </row>
    <row r="5849" spans="31:31" ht="15.75" customHeight="1">
      <c r="AE5849"/>
    </row>
    <row r="5850" spans="31:31" ht="15.75" customHeight="1">
      <c r="AE5850"/>
    </row>
    <row r="5851" spans="31:31" ht="15.75" customHeight="1">
      <c r="AE5851"/>
    </row>
    <row r="5852" spans="31:31" ht="15.75" customHeight="1">
      <c r="AE5852"/>
    </row>
    <row r="5853" spans="31:31" ht="15.75" customHeight="1">
      <c r="AE5853"/>
    </row>
    <row r="5854" spans="31:31" ht="15.75" customHeight="1">
      <c r="AE5854"/>
    </row>
    <row r="5855" spans="31:31" ht="15.75" customHeight="1">
      <c r="AE5855"/>
    </row>
    <row r="5856" spans="31:31" ht="15.75" customHeight="1">
      <c r="AE5856"/>
    </row>
    <row r="5857" spans="31:31" ht="15.75" customHeight="1">
      <c r="AE5857"/>
    </row>
    <row r="5858" spans="31:31" ht="15.75" customHeight="1">
      <c r="AE5858"/>
    </row>
    <row r="5859" spans="31:31" ht="15.75" customHeight="1">
      <c r="AE5859"/>
    </row>
    <row r="5860" spans="31:31" ht="15.75" customHeight="1">
      <c r="AE5860"/>
    </row>
    <row r="5861" spans="31:31" ht="15.75" customHeight="1">
      <c r="AE5861"/>
    </row>
    <row r="5862" spans="31:31" ht="15.75" customHeight="1">
      <c r="AE5862"/>
    </row>
    <row r="5863" spans="31:31" ht="15.75" customHeight="1">
      <c r="AE5863"/>
    </row>
    <row r="5864" spans="31:31" ht="15.75" customHeight="1">
      <c r="AE5864"/>
    </row>
    <row r="5865" spans="31:31" ht="15.75" customHeight="1">
      <c r="AE5865"/>
    </row>
    <row r="5866" spans="31:31" ht="15.75" customHeight="1">
      <c r="AE5866"/>
    </row>
    <row r="5867" spans="31:31" ht="15.75" customHeight="1">
      <c r="AE5867"/>
    </row>
    <row r="5868" spans="31:31" ht="15.75" customHeight="1">
      <c r="AE5868"/>
    </row>
    <row r="5869" spans="31:31" ht="15.75" customHeight="1">
      <c r="AE5869"/>
    </row>
    <row r="5870" spans="31:31" ht="15.75" customHeight="1">
      <c r="AE5870"/>
    </row>
    <row r="5871" spans="31:31" ht="15.75" customHeight="1">
      <c r="AE5871"/>
    </row>
    <row r="5872" spans="31:31" ht="15.75" customHeight="1">
      <c r="AE5872"/>
    </row>
    <row r="5873" spans="31:31" ht="15.75" customHeight="1">
      <c r="AE5873"/>
    </row>
    <row r="5874" spans="31:31" ht="15.75" customHeight="1">
      <c r="AE5874"/>
    </row>
    <row r="5875" spans="31:31" ht="15.75" customHeight="1">
      <c r="AE5875"/>
    </row>
    <row r="5876" spans="31:31" ht="15.75" customHeight="1">
      <c r="AE5876"/>
    </row>
    <row r="5877" spans="31:31" ht="15.75" customHeight="1">
      <c r="AE5877"/>
    </row>
    <row r="5878" spans="31:31" ht="15.75" customHeight="1">
      <c r="AE5878"/>
    </row>
    <row r="5879" spans="31:31" ht="15.75" customHeight="1">
      <c r="AE5879"/>
    </row>
    <row r="5880" spans="31:31" ht="15.75" customHeight="1">
      <c r="AE5880"/>
    </row>
    <row r="5881" spans="31:31" ht="15.75" customHeight="1">
      <c r="AE5881"/>
    </row>
    <row r="5882" spans="31:31" ht="15.75" customHeight="1">
      <c r="AE5882"/>
    </row>
    <row r="5883" spans="31:31" ht="15.75" customHeight="1">
      <c r="AE5883"/>
    </row>
    <row r="5884" spans="31:31" ht="15.75" customHeight="1">
      <c r="AE5884"/>
    </row>
    <row r="5885" spans="31:31" ht="15.75" customHeight="1">
      <c r="AE5885"/>
    </row>
    <row r="5886" spans="31:31" ht="15.75" customHeight="1">
      <c r="AE5886"/>
    </row>
    <row r="5887" spans="31:31" ht="15.75" customHeight="1">
      <c r="AE5887"/>
    </row>
    <row r="5888" spans="31:31" ht="15.75" customHeight="1">
      <c r="AE5888"/>
    </row>
    <row r="5889" spans="31:31" ht="15.75" customHeight="1">
      <c r="AE5889"/>
    </row>
    <row r="5890" spans="31:31" ht="15.75" customHeight="1">
      <c r="AE5890"/>
    </row>
    <row r="5891" spans="31:31" ht="15.75" customHeight="1">
      <c r="AE5891"/>
    </row>
    <row r="5892" spans="31:31" ht="15.75" customHeight="1">
      <c r="AE5892"/>
    </row>
    <row r="5893" spans="31:31" ht="15.75" customHeight="1">
      <c r="AE5893"/>
    </row>
    <row r="5894" spans="31:31" ht="15.75" customHeight="1">
      <c r="AE5894"/>
    </row>
    <row r="5895" spans="31:31" ht="15.75" customHeight="1">
      <c r="AE5895"/>
    </row>
    <row r="5896" spans="31:31" ht="15.75" customHeight="1">
      <c r="AE5896"/>
    </row>
    <row r="5897" spans="31:31" ht="15.75" customHeight="1">
      <c r="AE5897"/>
    </row>
    <row r="5898" spans="31:31" ht="15.75" customHeight="1">
      <c r="AE5898"/>
    </row>
    <row r="5899" spans="31:31" ht="15.75" customHeight="1">
      <c r="AE5899"/>
    </row>
    <row r="5900" spans="31:31" ht="15.75" customHeight="1">
      <c r="AE5900"/>
    </row>
    <row r="5901" spans="31:31" ht="15.75" customHeight="1">
      <c r="AE5901"/>
    </row>
    <row r="5902" spans="31:31" ht="15.75" customHeight="1">
      <c r="AE5902"/>
    </row>
    <row r="5903" spans="31:31" ht="15.75" customHeight="1">
      <c r="AE5903"/>
    </row>
    <row r="5904" spans="31:31" ht="15.75" customHeight="1">
      <c r="AE5904"/>
    </row>
    <row r="5905" spans="31:31" ht="15.75" customHeight="1">
      <c r="AE5905"/>
    </row>
    <row r="5906" spans="31:31" ht="15.75" customHeight="1">
      <c r="AE5906"/>
    </row>
    <row r="5907" spans="31:31" ht="15.75" customHeight="1">
      <c r="AE5907"/>
    </row>
    <row r="5908" spans="31:31" ht="15.75" customHeight="1">
      <c r="AE5908"/>
    </row>
    <row r="5909" spans="31:31" ht="15.75" customHeight="1">
      <c r="AE5909"/>
    </row>
    <row r="5910" spans="31:31" ht="15.75" customHeight="1">
      <c r="AE5910"/>
    </row>
    <row r="5911" spans="31:31" ht="15.75" customHeight="1">
      <c r="AE5911"/>
    </row>
    <row r="5912" spans="31:31" ht="15.75" customHeight="1">
      <c r="AE5912"/>
    </row>
    <row r="5913" spans="31:31" ht="15.75" customHeight="1">
      <c r="AE5913"/>
    </row>
    <row r="5914" spans="31:31" ht="15.75" customHeight="1">
      <c r="AE5914"/>
    </row>
    <row r="5915" spans="31:31" ht="15.75" customHeight="1">
      <c r="AE5915"/>
    </row>
    <row r="5916" spans="31:31" ht="15.75" customHeight="1">
      <c r="AE5916"/>
    </row>
    <row r="5917" spans="31:31" ht="15.75" customHeight="1">
      <c r="AE5917"/>
    </row>
    <row r="5918" spans="31:31" ht="15.75" customHeight="1">
      <c r="AE5918"/>
    </row>
    <row r="5919" spans="31:31" ht="15.75" customHeight="1">
      <c r="AE5919"/>
    </row>
    <row r="5920" spans="31:31" ht="15.75" customHeight="1">
      <c r="AE5920"/>
    </row>
    <row r="5921" spans="31:31" ht="15.75" customHeight="1">
      <c r="AE5921"/>
    </row>
    <row r="5922" spans="31:31" ht="15.75" customHeight="1">
      <c r="AE5922"/>
    </row>
    <row r="5923" spans="31:31" ht="15.75" customHeight="1">
      <c r="AE5923"/>
    </row>
    <row r="5924" spans="31:31" ht="15.75" customHeight="1">
      <c r="AE5924"/>
    </row>
    <row r="5925" spans="31:31" ht="15.75" customHeight="1">
      <c r="AE5925"/>
    </row>
    <row r="5926" spans="31:31" ht="15.75" customHeight="1">
      <c r="AE5926"/>
    </row>
    <row r="5927" spans="31:31" ht="15.75" customHeight="1">
      <c r="AE5927"/>
    </row>
    <row r="5928" spans="31:31" ht="15.75" customHeight="1">
      <c r="AE5928"/>
    </row>
    <row r="5929" spans="31:31" ht="15.75" customHeight="1">
      <c r="AE5929"/>
    </row>
    <row r="5930" spans="31:31" ht="15.75" customHeight="1">
      <c r="AE5930"/>
    </row>
    <row r="5931" spans="31:31" ht="15.75" customHeight="1">
      <c r="AE5931"/>
    </row>
    <row r="5932" spans="31:31" ht="15.75" customHeight="1">
      <c r="AE5932"/>
    </row>
    <row r="5933" spans="31:31" ht="15.75" customHeight="1">
      <c r="AE5933"/>
    </row>
    <row r="5934" spans="31:31" ht="15.75" customHeight="1">
      <c r="AE5934"/>
    </row>
    <row r="5935" spans="31:31" ht="15.75" customHeight="1">
      <c r="AE5935"/>
    </row>
    <row r="5936" spans="31:31" ht="15.75" customHeight="1">
      <c r="AE5936"/>
    </row>
    <row r="5937" spans="31:31" ht="15.75" customHeight="1">
      <c r="AE5937"/>
    </row>
    <row r="5938" spans="31:31" ht="15.75" customHeight="1">
      <c r="AE5938"/>
    </row>
    <row r="5939" spans="31:31" ht="15.75" customHeight="1">
      <c r="AE5939"/>
    </row>
    <row r="5940" spans="31:31" ht="15.75" customHeight="1">
      <c r="AE5940"/>
    </row>
    <row r="5941" spans="31:31" ht="15.75" customHeight="1">
      <c r="AE5941"/>
    </row>
    <row r="5942" spans="31:31" ht="15.75" customHeight="1">
      <c r="AE5942"/>
    </row>
    <row r="5943" spans="31:31" ht="15.75" customHeight="1">
      <c r="AE5943"/>
    </row>
    <row r="5944" spans="31:31" ht="15.75" customHeight="1">
      <c r="AE5944"/>
    </row>
    <row r="5945" spans="31:31" ht="15.75" customHeight="1">
      <c r="AE5945"/>
    </row>
    <row r="5946" spans="31:31" ht="15.75" customHeight="1">
      <c r="AE5946"/>
    </row>
    <row r="5947" spans="31:31" ht="15.75" customHeight="1">
      <c r="AE5947"/>
    </row>
    <row r="5948" spans="31:31" ht="15.75" customHeight="1">
      <c r="AE5948"/>
    </row>
    <row r="5949" spans="31:31" ht="15.75" customHeight="1">
      <c r="AE5949"/>
    </row>
    <row r="5950" spans="31:31" ht="15.75" customHeight="1">
      <c r="AE5950"/>
    </row>
    <row r="5951" spans="31:31" ht="15.75" customHeight="1">
      <c r="AE5951"/>
    </row>
    <row r="5952" spans="31:31" ht="15.75" customHeight="1">
      <c r="AE5952"/>
    </row>
    <row r="5953" spans="31:31" ht="15.75" customHeight="1">
      <c r="AE5953"/>
    </row>
    <row r="5954" spans="31:31" ht="15.75" customHeight="1">
      <c r="AE5954"/>
    </row>
    <row r="5955" spans="31:31" ht="15.75" customHeight="1">
      <c r="AE5955"/>
    </row>
    <row r="5956" spans="31:31" ht="15.75" customHeight="1">
      <c r="AE5956"/>
    </row>
    <row r="5957" spans="31:31" ht="15.75" customHeight="1">
      <c r="AE5957"/>
    </row>
    <row r="5958" spans="31:31" ht="15.75" customHeight="1">
      <c r="AE5958"/>
    </row>
    <row r="5959" spans="31:31" ht="15.75" customHeight="1">
      <c r="AE5959"/>
    </row>
    <row r="5960" spans="31:31" ht="15.75" customHeight="1">
      <c r="AE5960"/>
    </row>
    <row r="5961" spans="31:31" ht="15.75" customHeight="1">
      <c r="AE5961"/>
    </row>
    <row r="5962" spans="31:31" ht="15.75" customHeight="1">
      <c r="AE5962"/>
    </row>
    <row r="5963" spans="31:31" ht="15.75" customHeight="1">
      <c r="AE5963"/>
    </row>
    <row r="5964" spans="31:31" ht="15.75" customHeight="1">
      <c r="AE5964"/>
    </row>
    <row r="5965" spans="31:31" ht="15.75" customHeight="1">
      <c r="AE5965"/>
    </row>
    <row r="5966" spans="31:31" ht="15.75" customHeight="1">
      <c r="AE5966"/>
    </row>
    <row r="5967" spans="31:31" ht="15.75" customHeight="1">
      <c r="AE5967"/>
    </row>
    <row r="5968" spans="31:31" ht="15.75" customHeight="1">
      <c r="AE5968"/>
    </row>
    <row r="5969" spans="31:31" ht="15.75" customHeight="1">
      <c r="AE5969"/>
    </row>
    <row r="5970" spans="31:31" ht="15.75" customHeight="1">
      <c r="AE5970"/>
    </row>
    <row r="5971" spans="31:31" ht="15.75" customHeight="1">
      <c r="AE5971"/>
    </row>
    <row r="5972" spans="31:31" ht="15.75" customHeight="1">
      <c r="AE5972"/>
    </row>
    <row r="5973" spans="31:31" ht="15.75" customHeight="1">
      <c r="AE5973"/>
    </row>
    <row r="5974" spans="31:31" ht="15.75" customHeight="1">
      <c r="AE5974"/>
    </row>
    <row r="5975" spans="31:31" ht="15.75" customHeight="1">
      <c r="AE5975"/>
    </row>
    <row r="5976" spans="31:31" ht="15.75" customHeight="1">
      <c r="AE5976"/>
    </row>
    <row r="5977" spans="31:31" ht="15.75" customHeight="1">
      <c r="AE5977"/>
    </row>
    <row r="5978" spans="31:31" ht="15.75" customHeight="1">
      <c r="AE5978"/>
    </row>
    <row r="5979" spans="31:31" ht="15.75" customHeight="1">
      <c r="AE5979"/>
    </row>
    <row r="5980" spans="31:31" ht="15.75" customHeight="1">
      <c r="AE5980"/>
    </row>
    <row r="5981" spans="31:31" ht="15.75" customHeight="1">
      <c r="AE5981"/>
    </row>
    <row r="5982" spans="31:31" ht="15.75" customHeight="1">
      <c r="AE5982"/>
    </row>
    <row r="5983" spans="31:31" ht="15.75" customHeight="1">
      <c r="AE5983"/>
    </row>
    <row r="5984" spans="31:31" ht="15.75" customHeight="1">
      <c r="AE5984"/>
    </row>
    <row r="5985" spans="31:31" ht="15.75" customHeight="1">
      <c r="AE5985"/>
    </row>
    <row r="5986" spans="31:31" ht="15.75" customHeight="1">
      <c r="AE5986"/>
    </row>
    <row r="5987" spans="31:31" ht="15.75" customHeight="1">
      <c r="AE5987"/>
    </row>
    <row r="5988" spans="31:31" ht="15.75" customHeight="1">
      <c r="AE5988"/>
    </row>
    <row r="5989" spans="31:31" ht="15.75" customHeight="1">
      <c r="AE5989"/>
    </row>
    <row r="5990" spans="31:31" ht="15.75" customHeight="1">
      <c r="AE5990"/>
    </row>
    <row r="5991" spans="31:31" ht="15.75" customHeight="1">
      <c r="AE5991"/>
    </row>
    <row r="5992" spans="31:31" ht="15.75" customHeight="1">
      <c r="AE5992"/>
    </row>
    <row r="5993" spans="31:31" ht="15.75" customHeight="1">
      <c r="AE5993"/>
    </row>
    <row r="5994" spans="31:31" ht="15.75" customHeight="1">
      <c r="AE5994"/>
    </row>
    <row r="5995" spans="31:31" ht="15.75" customHeight="1">
      <c r="AE5995"/>
    </row>
    <row r="5996" spans="31:31" ht="15.75" customHeight="1">
      <c r="AE5996"/>
    </row>
    <row r="5997" spans="31:31" ht="15.75" customHeight="1">
      <c r="AE5997"/>
    </row>
    <row r="5998" spans="31:31" ht="15.75" customHeight="1">
      <c r="AE5998"/>
    </row>
    <row r="5999" spans="31:31" ht="15.75" customHeight="1">
      <c r="AE5999"/>
    </row>
    <row r="6000" spans="31:31" ht="15.75" customHeight="1">
      <c r="AE6000"/>
    </row>
    <row r="6001" spans="31:31" ht="15.75" customHeight="1">
      <c r="AE6001"/>
    </row>
    <row r="6002" spans="31:31" ht="15.75" customHeight="1">
      <c r="AE6002"/>
    </row>
    <row r="6003" spans="31:31" ht="15.75" customHeight="1">
      <c r="AE6003"/>
    </row>
    <row r="6004" spans="31:31" ht="15.75" customHeight="1">
      <c r="AE6004"/>
    </row>
    <row r="6005" spans="31:31" ht="15.75" customHeight="1">
      <c r="AE6005"/>
    </row>
    <row r="6006" spans="31:31" ht="15.75" customHeight="1">
      <c r="AE6006"/>
    </row>
    <row r="6007" spans="31:31" ht="15.75" customHeight="1">
      <c r="AE6007"/>
    </row>
    <row r="6008" spans="31:31" ht="15.75" customHeight="1">
      <c r="AE6008"/>
    </row>
    <row r="6009" spans="31:31" ht="15.75" customHeight="1">
      <c r="AE6009"/>
    </row>
    <row r="6010" spans="31:31" ht="15.75" customHeight="1">
      <c r="AE6010"/>
    </row>
    <row r="6011" spans="31:31" ht="15.75" customHeight="1">
      <c r="AE6011"/>
    </row>
    <row r="6012" spans="31:31" ht="15.75" customHeight="1">
      <c r="AE6012"/>
    </row>
    <row r="6013" spans="31:31" ht="15.75" customHeight="1">
      <c r="AE6013"/>
    </row>
    <row r="6014" spans="31:31" ht="15.75" customHeight="1">
      <c r="AE6014"/>
    </row>
    <row r="6015" spans="31:31" ht="15.75" customHeight="1">
      <c r="AE6015"/>
    </row>
    <row r="6016" spans="31:31" ht="15.75" customHeight="1">
      <c r="AE6016"/>
    </row>
    <row r="6017" spans="31:31" ht="15.75" customHeight="1">
      <c r="AE6017"/>
    </row>
    <row r="6018" spans="31:31" ht="15.75" customHeight="1">
      <c r="AE6018"/>
    </row>
    <row r="6019" spans="31:31" ht="15.75" customHeight="1">
      <c r="AE6019"/>
    </row>
    <row r="6020" spans="31:31" ht="15.75" customHeight="1">
      <c r="AE6020"/>
    </row>
    <row r="6021" spans="31:31" ht="15.75" customHeight="1">
      <c r="AE6021"/>
    </row>
    <row r="6022" spans="31:31" ht="15.75" customHeight="1">
      <c r="AE6022"/>
    </row>
    <row r="6023" spans="31:31" ht="15.75" customHeight="1">
      <c r="AE6023"/>
    </row>
    <row r="6024" spans="31:31" ht="15.75" customHeight="1">
      <c r="AE6024"/>
    </row>
    <row r="6025" spans="31:31" ht="15.75" customHeight="1">
      <c r="AE6025"/>
    </row>
    <row r="6026" spans="31:31" ht="15.75" customHeight="1">
      <c r="AE6026"/>
    </row>
    <row r="6027" spans="31:31" ht="15.75" customHeight="1">
      <c r="AE6027"/>
    </row>
    <row r="6028" spans="31:31" ht="15.75" customHeight="1">
      <c r="AE6028"/>
    </row>
    <row r="6029" spans="31:31" ht="15.75" customHeight="1">
      <c r="AE6029"/>
    </row>
    <row r="6030" spans="31:31" ht="15.75" customHeight="1">
      <c r="AE6030"/>
    </row>
    <row r="6031" spans="31:31" ht="15.75" customHeight="1">
      <c r="AE6031"/>
    </row>
    <row r="6032" spans="31:31" ht="15.75" customHeight="1">
      <c r="AE6032"/>
    </row>
    <row r="6033" spans="31:31" ht="15.75" customHeight="1">
      <c r="AE6033"/>
    </row>
    <row r="6034" spans="31:31" ht="15.75" customHeight="1">
      <c r="AE6034"/>
    </row>
    <row r="6035" spans="31:31" ht="15.75" customHeight="1">
      <c r="AE6035"/>
    </row>
    <row r="6036" spans="31:31" ht="15.75" customHeight="1">
      <c r="AE6036"/>
    </row>
    <row r="6037" spans="31:31" ht="15.75" customHeight="1">
      <c r="AE6037"/>
    </row>
    <row r="6038" spans="31:31" ht="15.75" customHeight="1">
      <c r="AE6038"/>
    </row>
    <row r="6039" spans="31:31" ht="15.75" customHeight="1">
      <c r="AE6039"/>
    </row>
    <row r="6040" spans="31:31" ht="15.75" customHeight="1">
      <c r="AE6040"/>
    </row>
    <row r="6041" spans="31:31" ht="15.75" customHeight="1">
      <c r="AE6041"/>
    </row>
    <row r="6042" spans="31:31" ht="15.75" customHeight="1">
      <c r="AE6042"/>
    </row>
    <row r="6043" spans="31:31" ht="15.75" customHeight="1">
      <c r="AE6043"/>
    </row>
    <row r="6044" spans="31:31" ht="15.75" customHeight="1">
      <c r="AE6044"/>
    </row>
    <row r="6045" spans="31:31" ht="15.75" customHeight="1">
      <c r="AE6045"/>
    </row>
    <row r="6046" spans="31:31" ht="15.75" customHeight="1">
      <c r="AE6046"/>
    </row>
    <row r="6047" spans="31:31" ht="15.75" customHeight="1">
      <c r="AE6047"/>
    </row>
    <row r="6048" spans="31:31" ht="15.75" customHeight="1">
      <c r="AE6048"/>
    </row>
    <row r="6049" spans="31:31" ht="15.75" customHeight="1">
      <c r="AE6049"/>
    </row>
    <row r="6050" spans="31:31" ht="15.75" customHeight="1">
      <c r="AE6050"/>
    </row>
    <row r="6051" spans="31:31" ht="15.75" customHeight="1">
      <c r="AE6051"/>
    </row>
    <row r="6052" spans="31:31" ht="15.75" customHeight="1">
      <c r="AE6052"/>
    </row>
    <row r="6053" spans="31:31" ht="15.75" customHeight="1">
      <c r="AE6053"/>
    </row>
    <row r="6054" spans="31:31" ht="15.75" customHeight="1">
      <c r="AE6054"/>
    </row>
    <row r="6055" spans="31:31" ht="15.75" customHeight="1">
      <c r="AE6055"/>
    </row>
    <row r="6056" spans="31:31" ht="15.75" customHeight="1">
      <c r="AE6056"/>
    </row>
    <row r="6057" spans="31:31" ht="15.75" customHeight="1">
      <c r="AE6057"/>
    </row>
    <row r="6058" spans="31:31" ht="15.75" customHeight="1">
      <c r="AE6058"/>
    </row>
    <row r="6059" spans="31:31" ht="15.75" customHeight="1">
      <c r="AE6059"/>
    </row>
    <row r="6060" spans="31:31" ht="15.75" customHeight="1">
      <c r="AE6060"/>
    </row>
    <row r="6061" spans="31:31" ht="15.75" customHeight="1">
      <c r="AE6061"/>
    </row>
    <row r="6062" spans="31:31" ht="15.75" customHeight="1">
      <c r="AE6062"/>
    </row>
    <row r="6063" spans="31:31" ht="15.75" customHeight="1">
      <c r="AE6063"/>
    </row>
    <row r="6064" spans="31:31" ht="15.75" customHeight="1">
      <c r="AE6064"/>
    </row>
    <row r="6065" spans="31:31" ht="15.75" customHeight="1">
      <c r="AE6065"/>
    </row>
    <row r="6066" spans="31:31" ht="15.75" customHeight="1">
      <c r="AE6066"/>
    </row>
    <row r="6067" spans="31:31" ht="15.75" customHeight="1">
      <c r="AE6067"/>
    </row>
    <row r="6068" spans="31:31" ht="15.75" customHeight="1">
      <c r="AE6068"/>
    </row>
    <row r="6069" spans="31:31" ht="15.75" customHeight="1">
      <c r="AE6069"/>
    </row>
    <row r="6070" spans="31:31" ht="15.75" customHeight="1">
      <c r="AE6070"/>
    </row>
    <row r="6071" spans="31:31" ht="15.75" customHeight="1">
      <c r="AE6071"/>
    </row>
    <row r="6072" spans="31:31" ht="15.75" customHeight="1">
      <c r="AE6072"/>
    </row>
    <row r="6073" spans="31:31" ht="15.75" customHeight="1">
      <c r="AE6073"/>
    </row>
    <row r="6074" spans="31:31" ht="15.75" customHeight="1">
      <c r="AE6074"/>
    </row>
    <row r="6075" spans="31:31" ht="15.75" customHeight="1">
      <c r="AE6075"/>
    </row>
    <row r="6076" spans="31:31" ht="15.75" customHeight="1">
      <c r="AE6076"/>
    </row>
    <row r="6077" spans="31:31" ht="15.75" customHeight="1">
      <c r="AE6077"/>
    </row>
    <row r="6078" spans="31:31" ht="15.75" customHeight="1">
      <c r="AE6078"/>
    </row>
    <row r="6079" spans="31:31" ht="15.75" customHeight="1">
      <c r="AE6079"/>
    </row>
    <row r="6080" spans="31:31" ht="15.75" customHeight="1">
      <c r="AE6080"/>
    </row>
    <row r="6081" spans="31:31" ht="15.75" customHeight="1">
      <c r="AE6081"/>
    </row>
    <row r="6082" spans="31:31" ht="15.75" customHeight="1">
      <c r="AE6082"/>
    </row>
    <row r="6083" spans="31:31" ht="15.75" customHeight="1">
      <c r="AE6083"/>
    </row>
    <row r="6084" spans="31:31" ht="15.75" customHeight="1">
      <c r="AE6084"/>
    </row>
    <row r="6085" spans="31:31" ht="15.75" customHeight="1">
      <c r="AE6085"/>
    </row>
    <row r="6086" spans="31:31" ht="15.75" customHeight="1">
      <c r="AE6086"/>
    </row>
    <row r="6087" spans="31:31" ht="15.75" customHeight="1">
      <c r="AE6087"/>
    </row>
    <row r="6088" spans="31:31" ht="15.75" customHeight="1">
      <c r="AE6088"/>
    </row>
    <row r="6089" spans="31:31" ht="15.75" customHeight="1">
      <c r="AE6089"/>
    </row>
    <row r="6090" spans="31:31" ht="15.75" customHeight="1">
      <c r="AE6090"/>
    </row>
    <row r="6091" spans="31:31" ht="15.75" customHeight="1">
      <c r="AE6091"/>
    </row>
    <row r="6092" spans="31:31" ht="15.75" customHeight="1">
      <c r="AE6092"/>
    </row>
    <row r="6093" spans="31:31" ht="15.75" customHeight="1">
      <c r="AE6093"/>
    </row>
    <row r="6094" spans="31:31" ht="15.75" customHeight="1">
      <c r="AE6094"/>
    </row>
    <row r="6095" spans="31:31" ht="15.75" customHeight="1">
      <c r="AE6095"/>
    </row>
    <row r="6096" spans="31:31" ht="15.75" customHeight="1">
      <c r="AE6096"/>
    </row>
    <row r="6097" spans="31:31" ht="15.75" customHeight="1">
      <c r="AE6097"/>
    </row>
    <row r="6098" spans="31:31" ht="15.75" customHeight="1">
      <c r="AE6098"/>
    </row>
    <row r="6099" spans="31:31" ht="15.75" customHeight="1">
      <c r="AE6099"/>
    </row>
    <row r="6100" spans="31:31" ht="15.75" customHeight="1">
      <c r="AE6100"/>
    </row>
    <row r="6101" spans="31:31" ht="15.75" customHeight="1">
      <c r="AE6101"/>
    </row>
    <row r="6102" spans="31:31" ht="15.75" customHeight="1">
      <c r="AE6102"/>
    </row>
    <row r="6103" spans="31:31" ht="15.75" customHeight="1">
      <c r="AE6103"/>
    </row>
    <row r="6104" spans="31:31" ht="15.75" customHeight="1">
      <c r="AE6104"/>
    </row>
    <row r="6105" spans="31:31" ht="15.75" customHeight="1">
      <c r="AE6105"/>
    </row>
    <row r="6106" spans="31:31" ht="15.75" customHeight="1">
      <c r="AE6106"/>
    </row>
    <row r="6107" spans="31:31" ht="15.75" customHeight="1">
      <c r="AE6107"/>
    </row>
    <row r="6108" spans="31:31" ht="15.75" customHeight="1">
      <c r="AE6108"/>
    </row>
    <row r="6109" spans="31:31" ht="15.75" customHeight="1">
      <c r="AE6109"/>
    </row>
    <row r="6110" spans="31:31" ht="15.75" customHeight="1">
      <c r="AE6110"/>
    </row>
    <row r="6111" spans="31:31" ht="15.75" customHeight="1">
      <c r="AE6111"/>
    </row>
    <row r="6112" spans="31:31" ht="15.75" customHeight="1">
      <c r="AE6112"/>
    </row>
    <row r="6113" spans="31:31" ht="15.75" customHeight="1">
      <c r="AE6113"/>
    </row>
    <row r="6114" spans="31:31" ht="15.75" customHeight="1">
      <c r="AE6114"/>
    </row>
    <row r="6115" spans="31:31" ht="15.75" customHeight="1">
      <c r="AE6115"/>
    </row>
    <row r="6116" spans="31:31" ht="15.75" customHeight="1">
      <c r="AE6116"/>
    </row>
    <row r="6117" spans="31:31" ht="15.75" customHeight="1">
      <c r="AE6117"/>
    </row>
    <row r="6118" spans="31:31" ht="15.75" customHeight="1">
      <c r="AE6118"/>
    </row>
    <row r="6119" spans="31:31" ht="15.75" customHeight="1">
      <c r="AE6119"/>
    </row>
    <row r="6120" spans="31:31" ht="15.75" customHeight="1">
      <c r="AE6120"/>
    </row>
    <row r="6121" spans="31:31" ht="15.75" customHeight="1">
      <c r="AE6121"/>
    </row>
    <row r="6122" spans="31:31" ht="15.75" customHeight="1">
      <c r="AE6122"/>
    </row>
    <row r="6123" spans="31:31" ht="15.75" customHeight="1">
      <c r="AE6123"/>
    </row>
    <row r="6124" spans="31:31" ht="15.75" customHeight="1">
      <c r="AE6124"/>
    </row>
    <row r="6125" spans="31:31" ht="15.75" customHeight="1">
      <c r="AE6125"/>
    </row>
    <row r="6126" spans="31:31" ht="15.75" customHeight="1">
      <c r="AE6126"/>
    </row>
    <row r="6127" spans="31:31" ht="15.75" customHeight="1">
      <c r="AE6127"/>
    </row>
    <row r="6128" spans="31:31" ht="15.75" customHeight="1">
      <c r="AE6128"/>
    </row>
    <row r="6129" spans="31:31" ht="15.75" customHeight="1">
      <c r="AE6129"/>
    </row>
    <row r="6130" spans="31:31" ht="15.75" customHeight="1">
      <c r="AE6130"/>
    </row>
    <row r="6131" spans="31:31" ht="15.75" customHeight="1">
      <c r="AE6131"/>
    </row>
    <row r="6132" spans="31:31" ht="15.75" customHeight="1">
      <c r="AE6132"/>
    </row>
    <row r="6133" spans="31:31" ht="15.75" customHeight="1">
      <c r="AE6133"/>
    </row>
    <row r="6134" spans="31:31" ht="15.75" customHeight="1">
      <c r="AE6134"/>
    </row>
    <row r="6135" spans="31:31" ht="15.75" customHeight="1">
      <c r="AE6135"/>
    </row>
    <row r="6136" spans="31:31" ht="15.75" customHeight="1">
      <c r="AE6136"/>
    </row>
    <row r="6137" spans="31:31" ht="15.75" customHeight="1">
      <c r="AE6137"/>
    </row>
    <row r="6138" spans="31:31" ht="15.75" customHeight="1">
      <c r="AE6138"/>
    </row>
    <row r="6139" spans="31:31" ht="15.75" customHeight="1">
      <c r="AE6139"/>
    </row>
    <row r="6140" spans="31:31" ht="15.75" customHeight="1">
      <c r="AE6140"/>
    </row>
    <row r="6141" spans="31:31" ht="15.75" customHeight="1">
      <c r="AE6141"/>
    </row>
    <row r="6142" spans="31:31" ht="15.75" customHeight="1">
      <c r="AE6142"/>
    </row>
    <row r="6143" spans="31:31" ht="15.75" customHeight="1">
      <c r="AE6143"/>
    </row>
    <row r="6144" spans="31:31" ht="15.75" customHeight="1">
      <c r="AE6144"/>
    </row>
    <row r="6145" spans="31:31" ht="15.75" customHeight="1">
      <c r="AE6145"/>
    </row>
    <row r="6146" spans="31:31" ht="15.75" customHeight="1">
      <c r="AE6146"/>
    </row>
    <row r="6147" spans="31:31" ht="15.75" customHeight="1">
      <c r="AE6147"/>
    </row>
    <row r="6148" spans="31:31" ht="15.75" customHeight="1">
      <c r="AE6148"/>
    </row>
    <row r="6149" spans="31:31" ht="15.75" customHeight="1">
      <c r="AE6149"/>
    </row>
    <row r="6150" spans="31:31" ht="15.75" customHeight="1">
      <c r="AE6150"/>
    </row>
    <row r="6151" spans="31:31" ht="15.75" customHeight="1">
      <c r="AE6151"/>
    </row>
    <row r="6152" spans="31:31" ht="15.75" customHeight="1">
      <c r="AE6152"/>
    </row>
    <row r="6153" spans="31:31" ht="15.75" customHeight="1">
      <c r="AE6153"/>
    </row>
    <row r="6154" spans="31:31" ht="15.75" customHeight="1">
      <c r="AE6154"/>
    </row>
    <row r="6155" spans="31:31" ht="15.75" customHeight="1">
      <c r="AE6155"/>
    </row>
    <row r="6156" spans="31:31" ht="15.75" customHeight="1">
      <c r="AE6156"/>
    </row>
    <row r="6157" spans="31:31" ht="15.75" customHeight="1">
      <c r="AE6157"/>
    </row>
    <row r="6158" spans="31:31" ht="15.75" customHeight="1">
      <c r="AE6158"/>
    </row>
    <row r="6159" spans="31:31" ht="15.75" customHeight="1">
      <c r="AE6159"/>
    </row>
    <row r="6160" spans="31:31" ht="15.75" customHeight="1">
      <c r="AE6160"/>
    </row>
    <row r="6161" spans="31:31" ht="15.75" customHeight="1">
      <c r="AE6161"/>
    </row>
    <row r="6162" spans="31:31" ht="15.75" customHeight="1">
      <c r="AE6162"/>
    </row>
    <row r="6163" spans="31:31" ht="15.75" customHeight="1">
      <c r="AE6163"/>
    </row>
    <row r="6164" spans="31:31" ht="15.75" customHeight="1">
      <c r="AE6164"/>
    </row>
    <row r="6165" spans="31:31" ht="15.75" customHeight="1">
      <c r="AE6165"/>
    </row>
    <row r="6166" spans="31:31" ht="15.75" customHeight="1">
      <c r="AE6166"/>
    </row>
    <row r="6167" spans="31:31" ht="15.75" customHeight="1">
      <c r="AE6167"/>
    </row>
    <row r="6168" spans="31:31" ht="15.75" customHeight="1">
      <c r="AE6168"/>
    </row>
    <row r="6169" spans="31:31" ht="15.75" customHeight="1">
      <c r="AE6169"/>
    </row>
    <row r="6170" spans="31:31" ht="15.75" customHeight="1">
      <c r="AE6170"/>
    </row>
    <row r="6171" spans="31:31" ht="15.75" customHeight="1">
      <c r="AE6171"/>
    </row>
    <row r="6172" spans="31:31" ht="15.75" customHeight="1">
      <c r="AE6172"/>
    </row>
    <row r="6173" spans="31:31" ht="15.75" customHeight="1">
      <c r="AE6173"/>
    </row>
    <row r="6174" spans="31:31" ht="15.75" customHeight="1">
      <c r="AE6174"/>
    </row>
    <row r="6175" spans="31:31" ht="15.75" customHeight="1">
      <c r="AE6175"/>
    </row>
    <row r="6176" spans="31:31" ht="15.75" customHeight="1">
      <c r="AE6176"/>
    </row>
    <row r="6177" spans="31:31" ht="15.75" customHeight="1">
      <c r="AE6177"/>
    </row>
    <row r="6178" spans="31:31" ht="15.75" customHeight="1">
      <c r="AE6178"/>
    </row>
    <row r="6179" spans="31:31" ht="15.75" customHeight="1">
      <c r="AE6179"/>
    </row>
    <row r="6180" spans="31:31" ht="15.75" customHeight="1">
      <c r="AE6180"/>
    </row>
    <row r="6181" spans="31:31" ht="15.75" customHeight="1">
      <c r="AE6181"/>
    </row>
    <row r="6182" spans="31:31" ht="15.75" customHeight="1">
      <c r="AE6182"/>
    </row>
    <row r="6183" spans="31:31" ht="15.75" customHeight="1">
      <c r="AE6183"/>
    </row>
    <row r="6184" spans="31:31" ht="15.75" customHeight="1">
      <c r="AE6184"/>
    </row>
    <row r="6185" spans="31:31" ht="15.75" customHeight="1">
      <c r="AE6185"/>
    </row>
    <row r="6186" spans="31:31" ht="15.75" customHeight="1">
      <c r="AE6186"/>
    </row>
    <row r="6187" spans="31:31" ht="15.75" customHeight="1">
      <c r="AE6187"/>
    </row>
    <row r="6188" spans="31:31" ht="15.75" customHeight="1">
      <c r="AE6188"/>
    </row>
    <row r="6189" spans="31:31" ht="15.75" customHeight="1">
      <c r="AE6189"/>
    </row>
    <row r="6190" spans="31:31" ht="15.75" customHeight="1">
      <c r="AE6190"/>
    </row>
    <row r="6191" spans="31:31" ht="15.75" customHeight="1">
      <c r="AE6191"/>
    </row>
    <row r="6192" spans="31:31" ht="15.75" customHeight="1">
      <c r="AE6192"/>
    </row>
    <row r="6193" spans="31:31" ht="15.75" customHeight="1">
      <c r="AE6193"/>
    </row>
    <row r="6194" spans="31:31" ht="15.75" customHeight="1">
      <c r="AE6194"/>
    </row>
    <row r="6195" spans="31:31" ht="15.75" customHeight="1">
      <c r="AE6195"/>
    </row>
    <row r="6196" spans="31:31" ht="15.75" customHeight="1">
      <c r="AE6196"/>
    </row>
    <row r="6197" spans="31:31" ht="15.75" customHeight="1">
      <c r="AE6197"/>
    </row>
    <row r="6198" spans="31:31" ht="15.75" customHeight="1">
      <c r="AE6198"/>
    </row>
    <row r="6199" spans="31:31" ht="15.75" customHeight="1">
      <c r="AE6199"/>
    </row>
    <row r="6200" spans="31:31" ht="15.75" customHeight="1">
      <c r="AE6200"/>
    </row>
    <row r="6201" spans="31:31" ht="15.75" customHeight="1">
      <c r="AE6201"/>
    </row>
    <row r="6202" spans="31:31" ht="15.75" customHeight="1">
      <c r="AE6202"/>
    </row>
    <row r="6203" spans="31:31" ht="15.75" customHeight="1">
      <c r="AE6203"/>
    </row>
    <row r="6204" spans="31:31" ht="15.75" customHeight="1">
      <c r="AE6204"/>
    </row>
    <row r="6205" spans="31:31" ht="15.75" customHeight="1">
      <c r="AE6205"/>
    </row>
    <row r="6206" spans="31:31" ht="15.75" customHeight="1">
      <c r="AE6206"/>
    </row>
    <row r="6207" spans="31:31" ht="15.75" customHeight="1">
      <c r="AE6207"/>
    </row>
    <row r="6208" spans="31:31" ht="15.75" customHeight="1">
      <c r="AE6208"/>
    </row>
    <row r="6209" spans="31:31" ht="15.75" customHeight="1">
      <c r="AE6209"/>
    </row>
    <row r="6210" spans="31:31" ht="15.75" customHeight="1">
      <c r="AE6210"/>
    </row>
    <row r="6211" spans="31:31" ht="15.75" customHeight="1">
      <c r="AE6211"/>
    </row>
    <row r="6212" spans="31:31" ht="15.75" customHeight="1">
      <c r="AE6212"/>
    </row>
    <row r="6213" spans="31:31" ht="15.75" customHeight="1">
      <c r="AE6213"/>
    </row>
    <row r="6214" spans="31:31" ht="15.75" customHeight="1">
      <c r="AE6214"/>
    </row>
    <row r="6215" spans="31:31" ht="15.75" customHeight="1">
      <c r="AE6215"/>
    </row>
    <row r="6216" spans="31:31" ht="15.75" customHeight="1">
      <c r="AE6216"/>
    </row>
    <row r="6217" spans="31:31" ht="15.75" customHeight="1">
      <c r="AE6217"/>
    </row>
    <row r="6218" spans="31:31" ht="15.75" customHeight="1">
      <c r="AE6218"/>
    </row>
    <row r="6219" spans="31:31" ht="15.75" customHeight="1">
      <c r="AE6219"/>
    </row>
    <row r="6220" spans="31:31" ht="15.75" customHeight="1">
      <c r="AE6220"/>
    </row>
    <row r="6221" spans="31:31" ht="15.75" customHeight="1">
      <c r="AE6221"/>
    </row>
    <row r="6222" spans="31:31" ht="15.75" customHeight="1">
      <c r="AE6222"/>
    </row>
    <row r="6223" spans="31:31" ht="15.75" customHeight="1">
      <c r="AE6223"/>
    </row>
    <row r="6224" spans="31:31" ht="15.75" customHeight="1">
      <c r="AE6224"/>
    </row>
    <row r="6225" spans="31:31" ht="15.75" customHeight="1">
      <c r="AE6225"/>
    </row>
    <row r="6226" spans="31:31" ht="15.75" customHeight="1">
      <c r="AE6226"/>
    </row>
    <row r="6227" spans="31:31" ht="15.75" customHeight="1">
      <c r="AE6227"/>
    </row>
    <row r="6228" spans="31:31" ht="15.75" customHeight="1">
      <c r="AE6228"/>
    </row>
    <row r="6229" spans="31:31" ht="15.75" customHeight="1">
      <c r="AE6229"/>
    </row>
    <row r="6230" spans="31:31" ht="15.75" customHeight="1">
      <c r="AE6230"/>
    </row>
    <row r="6231" spans="31:31" ht="15.75" customHeight="1">
      <c r="AE6231"/>
    </row>
    <row r="6232" spans="31:31" ht="15.75" customHeight="1">
      <c r="AE6232"/>
    </row>
    <row r="6233" spans="31:31" ht="15.75" customHeight="1">
      <c r="AE6233"/>
    </row>
    <row r="6234" spans="31:31" ht="15.75" customHeight="1">
      <c r="AE6234"/>
    </row>
    <row r="6235" spans="31:31" ht="15.75" customHeight="1">
      <c r="AE6235"/>
    </row>
    <row r="6236" spans="31:31" ht="15.75" customHeight="1">
      <c r="AE6236"/>
    </row>
    <row r="6237" spans="31:31" ht="15.75" customHeight="1">
      <c r="AE6237"/>
    </row>
    <row r="6238" spans="31:31" ht="15.75" customHeight="1">
      <c r="AE6238"/>
    </row>
    <row r="6239" spans="31:31" ht="15.75" customHeight="1">
      <c r="AE6239"/>
    </row>
    <row r="6240" spans="31:31" ht="15.75" customHeight="1">
      <c r="AE6240"/>
    </row>
    <row r="6241" spans="31:31" ht="15.75" customHeight="1">
      <c r="AE6241"/>
    </row>
    <row r="6242" spans="31:31" ht="15.75" customHeight="1">
      <c r="AE6242"/>
    </row>
    <row r="6243" spans="31:31" ht="15.75" customHeight="1">
      <c r="AE6243"/>
    </row>
    <row r="6244" spans="31:31" ht="15.75" customHeight="1">
      <c r="AE6244"/>
    </row>
    <row r="6245" spans="31:31" ht="15.75" customHeight="1">
      <c r="AE6245"/>
    </row>
    <row r="6246" spans="31:31" ht="15.75" customHeight="1">
      <c r="AE6246"/>
    </row>
    <row r="6247" spans="31:31" ht="15.75" customHeight="1">
      <c r="AE6247"/>
    </row>
    <row r="6248" spans="31:31" ht="15.75" customHeight="1">
      <c r="AE6248"/>
    </row>
    <row r="6249" spans="31:31" ht="15.75" customHeight="1">
      <c r="AE6249"/>
    </row>
    <row r="6250" spans="31:31" ht="15.75" customHeight="1">
      <c r="AE6250"/>
    </row>
    <row r="6251" spans="31:31" ht="15.75" customHeight="1">
      <c r="AE6251"/>
    </row>
    <row r="6252" spans="31:31" ht="15.75" customHeight="1">
      <c r="AE6252"/>
    </row>
    <row r="6253" spans="31:31" ht="15.75" customHeight="1">
      <c r="AE6253"/>
    </row>
    <row r="6254" spans="31:31" ht="15.75" customHeight="1">
      <c r="AE6254"/>
    </row>
    <row r="6255" spans="31:31" ht="15.75" customHeight="1">
      <c r="AE6255"/>
    </row>
    <row r="6256" spans="31:31" ht="15.75" customHeight="1">
      <c r="AE6256"/>
    </row>
    <row r="6257" spans="31:31" ht="15.75" customHeight="1">
      <c r="AE6257"/>
    </row>
    <row r="6258" spans="31:31" ht="15.75" customHeight="1">
      <c r="AE6258"/>
    </row>
    <row r="6259" spans="31:31" ht="15.75" customHeight="1">
      <c r="AE6259"/>
    </row>
    <row r="6260" spans="31:31" ht="15.75" customHeight="1">
      <c r="AE6260"/>
    </row>
    <row r="6261" spans="31:31" ht="15.75" customHeight="1">
      <c r="AE6261"/>
    </row>
    <row r="6262" spans="31:31" ht="15.75" customHeight="1">
      <c r="AE6262"/>
    </row>
    <row r="6263" spans="31:31" ht="15.75" customHeight="1">
      <c r="AE6263"/>
    </row>
    <row r="6264" spans="31:31" ht="15.75" customHeight="1">
      <c r="AE6264"/>
    </row>
    <row r="6265" spans="31:31" ht="15.75" customHeight="1">
      <c r="AE6265"/>
    </row>
    <row r="6266" spans="31:31" ht="15.75" customHeight="1">
      <c r="AE6266"/>
    </row>
    <row r="6267" spans="31:31" ht="15.75" customHeight="1">
      <c r="AE6267"/>
    </row>
    <row r="6268" spans="31:31" ht="15.75" customHeight="1">
      <c r="AE6268"/>
    </row>
    <row r="6269" spans="31:31" ht="15.75" customHeight="1">
      <c r="AE6269"/>
    </row>
    <row r="6270" spans="31:31" ht="15.75" customHeight="1">
      <c r="AE6270"/>
    </row>
    <row r="6271" spans="31:31" ht="15.75" customHeight="1">
      <c r="AE6271"/>
    </row>
    <row r="6272" spans="31:31" ht="15.75" customHeight="1">
      <c r="AE6272"/>
    </row>
    <row r="6273" spans="31:31" ht="15.75" customHeight="1">
      <c r="AE6273"/>
    </row>
    <row r="6274" spans="31:31" ht="15.75" customHeight="1">
      <c r="AE6274"/>
    </row>
    <row r="6275" spans="31:31" ht="15.75" customHeight="1">
      <c r="AE6275"/>
    </row>
    <row r="6276" spans="31:31" ht="15.75" customHeight="1">
      <c r="AE6276"/>
    </row>
    <row r="6277" spans="31:31" ht="15.75" customHeight="1">
      <c r="AE6277"/>
    </row>
    <row r="6278" spans="31:31" ht="15.75" customHeight="1">
      <c r="AE6278"/>
    </row>
    <row r="6279" spans="31:31" ht="15.75" customHeight="1">
      <c r="AE6279"/>
    </row>
    <row r="6280" spans="31:31" ht="15.75" customHeight="1">
      <c r="AE6280"/>
    </row>
    <row r="6281" spans="31:31" ht="15.75" customHeight="1">
      <c r="AE6281"/>
    </row>
    <row r="6282" spans="31:31" ht="15.75" customHeight="1">
      <c r="AE6282"/>
    </row>
    <row r="6283" spans="31:31" ht="15.75" customHeight="1">
      <c r="AE6283"/>
    </row>
    <row r="6284" spans="31:31" ht="15.75" customHeight="1">
      <c r="AE6284"/>
    </row>
    <row r="6285" spans="31:31" ht="15.75" customHeight="1">
      <c r="AE6285"/>
    </row>
    <row r="6286" spans="31:31" ht="15.75" customHeight="1">
      <c r="AE6286"/>
    </row>
    <row r="6287" spans="31:31" ht="15.75" customHeight="1">
      <c r="AE6287"/>
    </row>
    <row r="6288" spans="31:31" ht="15.75" customHeight="1">
      <c r="AE6288"/>
    </row>
    <row r="6289" spans="31:31" ht="15.75" customHeight="1">
      <c r="AE6289"/>
    </row>
    <row r="6290" spans="31:31" ht="15.75" customHeight="1">
      <c r="AE6290"/>
    </row>
    <row r="6291" spans="31:31" ht="15.75" customHeight="1">
      <c r="AE6291"/>
    </row>
    <row r="6292" spans="31:31" ht="15.75" customHeight="1">
      <c r="AE6292"/>
    </row>
    <row r="6293" spans="31:31" ht="15.75" customHeight="1">
      <c r="AE6293"/>
    </row>
    <row r="6294" spans="31:31" ht="15.75" customHeight="1">
      <c r="AE6294"/>
    </row>
    <row r="6295" spans="31:31" ht="15.75" customHeight="1">
      <c r="AE6295"/>
    </row>
    <row r="6296" spans="31:31" ht="15.75" customHeight="1">
      <c r="AE6296"/>
    </row>
    <row r="6297" spans="31:31" ht="15.75" customHeight="1">
      <c r="AE6297"/>
    </row>
    <row r="6298" spans="31:31" ht="15.75" customHeight="1">
      <c r="AE6298"/>
    </row>
    <row r="6299" spans="31:31" ht="15.75" customHeight="1">
      <c r="AE6299"/>
    </row>
    <row r="6300" spans="31:31" ht="15.75" customHeight="1">
      <c r="AE6300"/>
    </row>
    <row r="6301" spans="31:31" ht="15.75" customHeight="1">
      <c r="AE6301"/>
    </row>
    <row r="6302" spans="31:31" ht="15.75" customHeight="1">
      <c r="AE6302"/>
    </row>
    <row r="6303" spans="31:31" ht="15.75" customHeight="1">
      <c r="AE6303"/>
    </row>
    <row r="6304" spans="31:31" ht="15.75" customHeight="1">
      <c r="AE6304"/>
    </row>
    <row r="6305" spans="31:31" ht="15.75" customHeight="1">
      <c r="AE6305"/>
    </row>
    <row r="6306" spans="31:31" ht="15.75" customHeight="1">
      <c r="AE6306"/>
    </row>
    <row r="6307" spans="31:31" ht="15.75" customHeight="1">
      <c r="AE6307"/>
    </row>
    <row r="6308" spans="31:31" ht="15.75" customHeight="1">
      <c r="AE6308"/>
    </row>
    <row r="6309" spans="31:31" ht="15.75" customHeight="1">
      <c r="AE6309"/>
    </row>
    <row r="6310" spans="31:31" ht="15.75" customHeight="1">
      <c r="AE6310"/>
    </row>
    <row r="6311" spans="31:31" ht="15.75" customHeight="1">
      <c r="AE6311"/>
    </row>
    <row r="6312" spans="31:31" ht="15.75" customHeight="1">
      <c r="AE6312"/>
    </row>
    <row r="6313" spans="31:31" ht="15.75" customHeight="1">
      <c r="AE6313"/>
    </row>
    <row r="6314" spans="31:31" ht="15.75" customHeight="1">
      <c r="AE6314"/>
    </row>
    <row r="6315" spans="31:31" ht="15.75" customHeight="1">
      <c r="AE6315"/>
    </row>
    <row r="6316" spans="31:31" ht="15.75" customHeight="1">
      <c r="AE6316"/>
    </row>
    <row r="6317" spans="31:31" ht="15.75" customHeight="1">
      <c r="AE6317"/>
    </row>
    <row r="6318" spans="31:31" ht="15.75" customHeight="1">
      <c r="AE6318"/>
    </row>
    <row r="6319" spans="31:31" ht="15.75" customHeight="1">
      <c r="AE6319"/>
    </row>
    <row r="6320" spans="31:31" ht="15.75" customHeight="1">
      <c r="AE6320"/>
    </row>
    <row r="6321" spans="31:31" ht="15.75" customHeight="1">
      <c r="AE6321"/>
    </row>
    <row r="6322" spans="31:31" ht="15.75" customHeight="1">
      <c r="AE6322"/>
    </row>
    <row r="6323" spans="31:31" ht="15.75" customHeight="1">
      <c r="AE6323"/>
    </row>
    <row r="6324" spans="31:31" ht="15.75" customHeight="1">
      <c r="AE6324"/>
    </row>
    <row r="6325" spans="31:31" ht="15.75" customHeight="1">
      <c r="AE6325"/>
    </row>
    <row r="6326" spans="31:31" ht="15.75" customHeight="1">
      <c r="AE6326"/>
    </row>
    <row r="6327" spans="31:31" ht="15.75" customHeight="1">
      <c r="AE6327"/>
    </row>
    <row r="6328" spans="31:31" ht="15.75" customHeight="1">
      <c r="AE6328"/>
    </row>
    <row r="6329" spans="31:31" ht="15.75" customHeight="1">
      <c r="AE6329"/>
    </row>
    <row r="6330" spans="31:31" ht="15.75" customHeight="1">
      <c r="AE6330"/>
    </row>
    <row r="6331" spans="31:31" ht="15.75" customHeight="1">
      <c r="AE6331"/>
    </row>
    <row r="6332" spans="31:31" ht="15.75" customHeight="1">
      <c r="AE6332"/>
    </row>
    <row r="6333" spans="31:31" ht="15.75" customHeight="1">
      <c r="AE6333"/>
    </row>
    <row r="6334" spans="31:31" ht="15.75" customHeight="1">
      <c r="AE6334"/>
    </row>
    <row r="6335" spans="31:31" ht="15.75" customHeight="1">
      <c r="AE6335"/>
    </row>
    <row r="6336" spans="31:31" ht="15.75" customHeight="1">
      <c r="AE6336"/>
    </row>
    <row r="6337" spans="31:31" ht="15.75" customHeight="1">
      <c r="AE6337"/>
    </row>
    <row r="6338" spans="31:31" ht="15.75" customHeight="1">
      <c r="AE6338"/>
    </row>
    <row r="6339" spans="31:31" ht="15.75" customHeight="1">
      <c r="AE6339"/>
    </row>
    <row r="6340" spans="31:31" ht="15.75" customHeight="1">
      <c r="AE6340"/>
    </row>
    <row r="6341" spans="31:31" ht="15.75" customHeight="1">
      <c r="AE6341"/>
    </row>
    <row r="6342" spans="31:31" ht="15.75" customHeight="1">
      <c r="AE6342"/>
    </row>
    <row r="6343" spans="31:31" ht="15.75" customHeight="1">
      <c r="AE6343"/>
    </row>
    <row r="6344" spans="31:31" ht="15.75" customHeight="1">
      <c r="AE6344"/>
    </row>
    <row r="6345" spans="31:31" ht="15.75" customHeight="1">
      <c r="AE6345"/>
    </row>
    <row r="6346" spans="31:31" ht="15.75" customHeight="1">
      <c r="AE6346"/>
    </row>
    <row r="6347" spans="31:31" ht="15.75" customHeight="1">
      <c r="AE6347"/>
    </row>
    <row r="6348" spans="31:31" ht="15.75" customHeight="1">
      <c r="AE6348"/>
    </row>
    <row r="6349" spans="31:31" ht="15.75" customHeight="1">
      <c r="AE6349"/>
    </row>
    <row r="6350" spans="31:31" ht="15.75" customHeight="1">
      <c r="AE6350"/>
    </row>
    <row r="6351" spans="31:31" ht="15.75" customHeight="1">
      <c r="AE6351"/>
    </row>
    <row r="6352" spans="31:31" ht="15.75" customHeight="1">
      <c r="AE6352"/>
    </row>
    <row r="6353" spans="31:31" ht="15.75" customHeight="1">
      <c r="AE6353"/>
    </row>
    <row r="6354" spans="31:31" ht="15.75" customHeight="1">
      <c r="AE6354"/>
    </row>
    <row r="6355" spans="31:31" ht="15.75" customHeight="1">
      <c r="AE6355"/>
    </row>
    <row r="6356" spans="31:31" ht="15.75" customHeight="1">
      <c r="AE6356"/>
    </row>
    <row r="6357" spans="31:31" ht="15.75" customHeight="1">
      <c r="AE6357"/>
    </row>
    <row r="6358" spans="31:31" ht="15.75" customHeight="1">
      <c r="AE6358"/>
    </row>
    <row r="6359" spans="31:31" ht="15.75" customHeight="1">
      <c r="AE6359"/>
    </row>
    <row r="6360" spans="31:31" ht="15.75" customHeight="1">
      <c r="AE6360"/>
    </row>
    <row r="6361" spans="31:31" ht="15.75" customHeight="1">
      <c r="AE6361"/>
    </row>
    <row r="6362" spans="31:31" ht="15.75" customHeight="1">
      <c r="AE6362"/>
    </row>
    <row r="6363" spans="31:31" ht="15.75" customHeight="1">
      <c r="AE6363"/>
    </row>
    <row r="6364" spans="31:31" ht="15.75" customHeight="1">
      <c r="AE6364"/>
    </row>
    <row r="6365" spans="31:31" ht="15.75" customHeight="1">
      <c r="AE6365"/>
    </row>
    <row r="6366" spans="31:31" ht="15.75" customHeight="1">
      <c r="AE6366"/>
    </row>
    <row r="6367" spans="31:31" ht="15.75" customHeight="1">
      <c r="AE6367"/>
    </row>
    <row r="6368" spans="31:31" ht="15.75" customHeight="1">
      <c r="AE6368"/>
    </row>
    <row r="6369" spans="31:31" ht="15.75" customHeight="1">
      <c r="AE6369"/>
    </row>
    <row r="6370" spans="31:31" ht="15.75" customHeight="1">
      <c r="AE6370"/>
    </row>
    <row r="6371" spans="31:31" ht="15.75" customHeight="1">
      <c r="AE6371"/>
    </row>
    <row r="6372" spans="31:31" ht="15.75" customHeight="1">
      <c r="AE6372"/>
    </row>
    <row r="6373" spans="31:31" ht="15.75" customHeight="1">
      <c r="AE6373"/>
    </row>
    <row r="6374" spans="31:31" ht="15.75" customHeight="1">
      <c r="AE6374"/>
    </row>
    <row r="6375" spans="31:31" ht="15.75" customHeight="1">
      <c r="AE6375"/>
    </row>
    <row r="6376" spans="31:31" ht="15.75" customHeight="1">
      <c r="AE6376"/>
    </row>
    <row r="6377" spans="31:31" ht="15.75" customHeight="1">
      <c r="AE6377"/>
    </row>
    <row r="6378" spans="31:31" ht="15.75" customHeight="1">
      <c r="AE6378"/>
    </row>
    <row r="6379" spans="31:31" ht="15.75" customHeight="1">
      <c r="AE6379"/>
    </row>
    <row r="6380" spans="31:31" ht="15.75" customHeight="1">
      <c r="AE6380"/>
    </row>
    <row r="6381" spans="31:31" ht="15.75" customHeight="1">
      <c r="AE6381"/>
    </row>
    <row r="6382" spans="31:31" ht="15.75" customHeight="1">
      <c r="AE6382"/>
    </row>
    <row r="6383" spans="31:31" ht="15.75" customHeight="1">
      <c r="AE6383"/>
    </row>
    <row r="6384" spans="31:31" ht="15.75" customHeight="1">
      <c r="AE6384"/>
    </row>
    <row r="6385" spans="31:31" ht="15.75" customHeight="1">
      <c r="AE6385"/>
    </row>
    <row r="6386" spans="31:31" ht="15.75" customHeight="1">
      <c r="AE6386"/>
    </row>
    <row r="6387" spans="31:31" ht="15.75" customHeight="1">
      <c r="AE6387"/>
    </row>
    <row r="6388" spans="31:31" ht="15.75" customHeight="1">
      <c r="AE6388"/>
    </row>
    <row r="6389" spans="31:31" ht="15.75" customHeight="1">
      <c r="AE6389"/>
    </row>
    <row r="6390" spans="31:31" ht="15.75" customHeight="1">
      <c r="AE6390"/>
    </row>
    <row r="6391" spans="31:31" ht="15.75" customHeight="1">
      <c r="AE6391"/>
    </row>
    <row r="6392" spans="31:31" ht="15.75" customHeight="1">
      <c r="AE6392"/>
    </row>
    <row r="6393" spans="31:31" ht="15.75" customHeight="1">
      <c r="AE6393"/>
    </row>
    <row r="6394" spans="31:31" ht="15.75" customHeight="1">
      <c r="AE6394"/>
    </row>
    <row r="6395" spans="31:31" ht="15.75" customHeight="1">
      <c r="AE6395"/>
    </row>
    <row r="6396" spans="31:31" ht="15.75" customHeight="1">
      <c r="AE6396"/>
    </row>
    <row r="6397" spans="31:31" ht="15.75" customHeight="1">
      <c r="AE6397"/>
    </row>
    <row r="6398" spans="31:31" ht="15.75" customHeight="1">
      <c r="AE6398"/>
    </row>
    <row r="6399" spans="31:31" ht="15.75" customHeight="1">
      <c r="AE6399"/>
    </row>
    <row r="6400" spans="31:31" ht="15.75" customHeight="1">
      <c r="AE6400"/>
    </row>
    <row r="6401" spans="31:31" ht="15.75" customHeight="1">
      <c r="AE6401"/>
    </row>
    <row r="6402" spans="31:31" ht="15.75" customHeight="1">
      <c r="AE6402"/>
    </row>
    <row r="6403" spans="31:31" ht="15.75" customHeight="1">
      <c r="AE6403"/>
    </row>
    <row r="6404" spans="31:31" ht="15.75" customHeight="1">
      <c r="AE6404"/>
    </row>
    <row r="6405" spans="31:31" ht="15.75" customHeight="1">
      <c r="AE6405"/>
    </row>
    <row r="6406" spans="31:31" ht="15.75" customHeight="1">
      <c r="AE6406"/>
    </row>
    <row r="6407" spans="31:31" ht="15.75" customHeight="1">
      <c r="AE6407"/>
    </row>
    <row r="6408" spans="31:31" ht="15.75" customHeight="1">
      <c r="AE6408"/>
    </row>
    <row r="6409" spans="31:31" ht="15.75" customHeight="1">
      <c r="AE6409"/>
    </row>
    <row r="6410" spans="31:31" ht="15.75" customHeight="1">
      <c r="AE6410"/>
    </row>
    <row r="6411" spans="31:31" ht="15.75" customHeight="1">
      <c r="AE6411"/>
    </row>
    <row r="6412" spans="31:31" ht="15.75" customHeight="1">
      <c r="AE6412"/>
    </row>
    <row r="6413" spans="31:31" ht="15.75" customHeight="1">
      <c r="AE6413"/>
    </row>
    <row r="6414" spans="31:31" ht="15.75" customHeight="1">
      <c r="AE6414"/>
    </row>
    <row r="6415" spans="31:31" ht="15.75" customHeight="1">
      <c r="AE6415"/>
    </row>
    <row r="6416" spans="31:31" ht="15.75" customHeight="1">
      <c r="AE6416"/>
    </row>
    <row r="6417" spans="31:31" ht="15.75" customHeight="1">
      <c r="AE6417"/>
    </row>
    <row r="6418" spans="31:31" ht="15.75" customHeight="1">
      <c r="AE6418"/>
    </row>
    <row r="6419" spans="31:31" ht="15.75" customHeight="1">
      <c r="AE6419"/>
    </row>
    <row r="6420" spans="31:31" ht="15.75" customHeight="1">
      <c r="AE6420"/>
    </row>
    <row r="6421" spans="31:31" ht="15.75" customHeight="1">
      <c r="AE6421"/>
    </row>
    <row r="6422" spans="31:31" ht="15.75" customHeight="1">
      <c r="AE6422"/>
    </row>
    <row r="6423" spans="31:31" ht="15.75" customHeight="1">
      <c r="AE6423"/>
    </row>
    <row r="6424" spans="31:31" ht="15.75" customHeight="1">
      <c r="AE6424"/>
    </row>
    <row r="6425" spans="31:31" ht="15.75" customHeight="1">
      <c r="AE6425"/>
    </row>
    <row r="6426" spans="31:31" ht="15.75" customHeight="1">
      <c r="AE6426"/>
    </row>
    <row r="6427" spans="31:31" ht="15.75" customHeight="1">
      <c r="AE6427"/>
    </row>
    <row r="6428" spans="31:31" ht="15.75" customHeight="1">
      <c r="AE6428"/>
    </row>
    <row r="6429" spans="31:31" ht="15.75" customHeight="1">
      <c r="AE6429"/>
    </row>
    <row r="6430" spans="31:31" ht="15.75" customHeight="1">
      <c r="AE6430"/>
    </row>
    <row r="6431" spans="31:31" ht="15.75" customHeight="1">
      <c r="AE6431"/>
    </row>
    <row r="6432" spans="31:31" ht="15.75" customHeight="1">
      <c r="AE6432"/>
    </row>
    <row r="6433" spans="31:31" ht="15.75" customHeight="1">
      <c r="AE6433"/>
    </row>
    <row r="6434" spans="31:31" ht="15.75" customHeight="1">
      <c r="AE6434"/>
    </row>
    <row r="6435" spans="31:31" ht="15.75" customHeight="1">
      <c r="AE6435"/>
    </row>
    <row r="6436" spans="31:31" ht="15.75" customHeight="1">
      <c r="AE6436"/>
    </row>
    <row r="6437" spans="31:31" ht="15.75" customHeight="1">
      <c r="AE6437"/>
    </row>
    <row r="6438" spans="31:31" ht="15.75" customHeight="1">
      <c r="AE6438"/>
    </row>
    <row r="6439" spans="31:31" ht="15.75" customHeight="1">
      <c r="AE6439"/>
    </row>
    <row r="6440" spans="31:31" ht="15.75" customHeight="1">
      <c r="AE6440"/>
    </row>
    <row r="6441" spans="31:31" ht="15.75" customHeight="1">
      <c r="AE6441"/>
    </row>
    <row r="6442" spans="31:31" ht="15.75" customHeight="1">
      <c r="AE6442"/>
    </row>
    <row r="6443" spans="31:31" ht="15.75" customHeight="1">
      <c r="AE6443"/>
    </row>
    <row r="6444" spans="31:31" ht="15.75" customHeight="1">
      <c r="AE6444"/>
    </row>
    <row r="6445" spans="31:31" ht="15.75" customHeight="1">
      <c r="AE6445"/>
    </row>
    <row r="6446" spans="31:31" ht="15.75" customHeight="1">
      <c r="AE6446"/>
    </row>
    <row r="6447" spans="31:31" ht="15.75" customHeight="1">
      <c r="AE6447"/>
    </row>
    <row r="6448" spans="31:31" ht="15.75" customHeight="1">
      <c r="AE6448"/>
    </row>
    <row r="6449" spans="31:31" ht="15.75" customHeight="1">
      <c r="AE6449"/>
    </row>
    <row r="6450" spans="31:31" ht="15.75" customHeight="1">
      <c r="AE6450"/>
    </row>
    <row r="6451" spans="31:31" ht="15.75" customHeight="1">
      <c r="AE6451"/>
    </row>
    <row r="6452" spans="31:31" ht="15.75" customHeight="1">
      <c r="AE6452"/>
    </row>
    <row r="6453" spans="31:31" ht="15.75" customHeight="1">
      <c r="AE6453"/>
    </row>
    <row r="6454" spans="31:31" ht="15.75" customHeight="1">
      <c r="AE6454"/>
    </row>
    <row r="6455" spans="31:31" ht="15.75" customHeight="1">
      <c r="AE6455"/>
    </row>
    <row r="6456" spans="31:31" ht="15.75" customHeight="1">
      <c r="AE6456"/>
    </row>
    <row r="6457" spans="31:31" ht="15.75" customHeight="1">
      <c r="AE6457"/>
    </row>
    <row r="6458" spans="31:31" ht="15.75" customHeight="1">
      <c r="AE6458"/>
    </row>
    <row r="6459" spans="31:31" ht="15.75" customHeight="1">
      <c r="AE6459"/>
    </row>
    <row r="6460" spans="31:31" ht="15.75" customHeight="1">
      <c r="AE6460"/>
    </row>
    <row r="6461" spans="31:31" ht="15.75" customHeight="1">
      <c r="AE6461"/>
    </row>
    <row r="6462" spans="31:31" ht="15.75" customHeight="1">
      <c r="AE6462"/>
    </row>
    <row r="6463" spans="31:31" ht="15.75" customHeight="1">
      <c r="AE6463"/>
    </row>
    <row r="6464" spans="31:31" ht="15.75" customHeight="1">
      <c r="AE6464"/>
    </row>
    <row r="6465" spans="31:31" ht="15.75" customHeight="1">
      <c r="AE6465"/>
    </row>
    <row r="6466" spans="31:31" ht="15.75" customHeight="1">
      <c r="AE6466"/>
    </row>
    <row r="6467" spans="31:31" ht="15.75" customHeight="1">
      <c r="AE6467"/>
    </row>
    <row r="6468" spans="31:31" ht="15.75" customHeight="1">
      <c r="AE6468"/>
    </row>
    <row r="6469" spans="31:31" ht="15.75" customHeight="1">
      <c r="AE6469"/>
    </row>
    <row r="6470" spans="31:31" ht="15.75" customHeight="1">
      <c r="AE6470"/>
    </row>
    <row r="6471" spans="31:31" ht="15.75" customHeight="1">
      <c r="AE6471"/>
    </row>
    <row r="6472" spans="31:31" ht="15.75" customHeight="1">
      <c r="AE6472"/>
    </row>
    <row r="6473" spans="31:31" ht="15.75" customHeight="1">
      <c r="AE6473"/>
    </row>
    <row r="6474" spans="31:31" ht="15.75" customHeight="1">
      <c r="AE6474"/>
    </row>
    <row r="6475" spans="31:31" ht="15.75" customHeight="1">
      <c r="AE6475"/>
    </row>
    <row r="6476" spans="31:31" ht="15.75" customHeight="1">
      <c r="AE6476"/>
    </row>
    <row r="6477" spans="31:31" ht="15.75" customHeight="1">
      <c r="AE6477"/>
    </row>
    <row r="6478" spans="31:31" ht="15.75" customHeight="1">
      <c r="AE6478"/>
    </row>
    <row r="6479" spans="31:31" ht="15.75" customHeight="1">
      <c r="AE6479"/>
    </row>
    <row r="6480" spans="31:31" ht="15.75" customHeight="1">
      <c r="AE6480"/>
    </row>
    <row r="6481" spans="31:31" ht="15.75" customHeight="1">
      <c r="AE6481"/>
    </row>
    <row r="6482" spans="31:31" ht="15.75" customHeight="1">
      <c r="AE6482"/>
    </row>
    <row r="6483" spans="31:31" ht="15.75" customHeight="1">
      <c r="AE6483"/>
    </row>
    <row r="6484" spans="31:31" ht="15.75" customHeight="1">
      <c r="AE6484"/>
    </row>
    <row r="6485" spans="31:31" ht="15.75" customHeight="1">
      <c r="AE6485"/>
    </row>
    <row r="6486" spans="31:31" ht="15.75" customHeight="1">
      <c r="AE6486"/>
    </row>
    <row r="6487" spans="31:31" ht="15.75" customHeight="1">
      <c r="AE6487"/>
    </row>
    <row r="6488" spans="31:31" ht="15.75" customHeight="1">
      <c r="AE6488"/>
    </row>
    <row r="6489" spans="31:31" ht="15.75" customHeight="1">
      <c r="AE6489"/>
    </row>
    <row r="6490" spans="31:31" ht="15.75" customHeight="1">
      <c r="AE6490"/>
    </row>
    <row r="6491" spans="31:31" ht="15.75" customHeight="1">
      <c r="AE6491"/>
    </row>
    <row r="6492" spans="31:31" ht="15.75" customHeight="1">
      <c r="AE6492"/>
    </row>
    <row r="6493" spans="31:31" ht="15.75" customHeight="1">
      <c r="AE6493"/>
    </row>
    <row r="6494" spans="31:31" ht="15.75" customHeight="1">
      <c r="AE6494"/>
    </row>
    <row r="6495" spans="31:31" ht="15.75" customHeight="1">
      <c r="AE6495"/>
    </row>
    <row r="6496" spans="31:31" ht="15.75" customHeight="1">
      <c r="AE6496"/>
    </row>
    <row r="6497" spans="31:31" ht="15.75" customHeight="1">
      <c r="AE6497"/>
    </row>
    <row r="6498" spans="31:31" ht="15.75" customHeight="1">
      <c r="AE6498"/>
    </row>
    <row r="6499" spans="31:31" ht="15.75" customHeight="1">
      <c r="AE6499"/>
    </row>
    <row r="6500" spans="31:31" ht="15.75" customHeight="1">
      <c r="AE6500"/>
    </row>
    <row r="6501" spans="31:31" ht="15.75" customHeight="1">
      <c r="AE6501"/>
    </row>
    <row r="6502" spans="31:31" ht="15.75" customHeight="1">
      <c r="AE6502"/>
    </row>
    <row r="6503" spans="31:31" ht="15.75" customHeight="1">
      <c r="AE6503"/>
    </row>
    <row r="6504" spans="31:31" ht="15.75" customHeight="1">
      <c r="AE6504"/>
    </row>
    <row r="6505" spans="31:31" ht="15.75" customHeight="1">
      <c r="AE6505"/>
    </row>
    <row r="6506" spans="31:31" ht="15.75" customHeight="1">
      <c r="AE6506"/>
    </row>
    <row r="6507" spans="31:31" ht="15.75" customHeight="1">
      <c r="AE6507"/>
    </row>
    <row r="6508" spans="31:31" ht="15.75" customHeight="1">
      <c r="AE6508"/>
    </row>
    <row r="6509" spans="31:31" ht="15.75" customHeight="1">
      <c r="AE6509"/>
    </row>
    <row r="6510" spans="31:31" ht="15.75" customHeight="1">
      <c r="AE6510"/>
    </row>
    <row r="6511" spans="31:31" ht="15.75" customHeight="1">
      <c r="AE6511"/>
    </row>
    <row r="6512" spans="31:31" ht="15.75" customHeight="1">
      <c r="AE6512"/>
    </row>
    <row r="6513" spans="31:31" ht="15.75" customHeight="1">
      <c r="AE6513"/>
    </row>
    <row r="6514" spans="31:31" ht="15.75" customHeight="1">
      <c r="AE6514"/>
    </row>
    <row r="6515" spans="31:31" ht="15.75" customHeight="1">
      <c r="AE6515"/>
    </row>
    <row r="6516" spans="31:31" ht="15.75" customHeight="1">
      <c r="AE6516"/>
    </row>
    <row r="6517" spans="31:31" ht="15.75" customHeight="1">
      <c r="AE6517"/>
    </row>
    <row r="6518" spans="31:31" ht="15.75" customHeight="1">
      <c r="AE6518"/>
    </row>
    <row r="6519" spans="31:31" ht="15.75" customHeight="1">
      <c r="AE6519"/>
    </row>
    <row r="6520" spans="31:31" ht="15.75" customHeight="1">
      <c r="AE6520"/>
    </row>
    <row r="6521" spans="31:31" ht="15.75" customHeight="1">
      <c r="AE6521"/>
    </row>
    <row r="6522" spans="31:31" ht="15.75" customHeight="1">
      <c r="AE6522"/>
    </row>
    <row r="6523" spans="31:31" ht="15.75" customHeight="1">
      <c r="AE6523"/>
    </row>
    <row r="6524" spans="31:31" ht="15.75" customHeight="1">
      <c r="AE6524"/>
    </row>
    <row r="6525" spans="31:31" ht="15.75" customHeight="1">
      <c r="AE6525"/>
    </row>
    <row r="6526" spans="31:31" ht="15.75" customHeight="1">
      <c r="AE6526"/>
    </row>
    <row r="6527" spans="31:31" ht="15.75" customHeight="1">
      <c r="AE6527"/>
    </row>
    <row r="6528" spans="31:31" ht="15.75" customHeight="1">
      <c r="AE6528"/>
    </row>
    <row r="6529" spans="31:31" ht="15.75" customHeight="1">
      <c r="AE6529"/>
    </row>
    <row r="6530" spans="31:31" ht="15.75" customHeight="1">
      <c r="AE6530"/>
    </row>
    <row r="6531" spans="31:31" ht="15.75" customHeight="1">
      <c r="AE6531"/>
    </row>
    <row r="6532" spans="31:31" ht="15.75" customHeight="1">
      <c r="AE6532"/>
    </row>
    <row r="6533" spans="31:31" ht="15.75" customHeight="1">
      <c r="AE6533"/>
    </row>
    <row r="6534" spans="31:31" ht="15.75" customHeight="1">
      <c r="AE6534"/>
    </row>
    <row r="6535" spans="31:31" ht="15.75" customHeight="1">
      <c r="AE6535"/>
    </row>
    <row r="6536" spans="31:31" ht="15.75" customHeight="1">
      <c r="AE6536"/>
    </row>
    <row r="6537" spans="31:31" ht="15.75" customHeight="1">
      <c r="AE6537"/>
    </row>
    <row r="6538" spans="31:31" ht="15.75" customHeight="1">
      <c r="AE6538"/>
    </row>
    <row r="6539" spans="31:31" ht="15.75" customHeight="1">
      <c r="AE6539"/>
    </row>
    <row r="6540" spans="31:31" ht="15.75" customHeight="1">
      <c r="AE6540"/>
    </row>
    <row r="6541" spans="31:31" ht="15.75" customHeight="1">
      <c r="AE6541"/>
    </row>
    <row r="6542" spans="31:31" ht="15.75" customHeight="1">
      <c r="AE6542"/>
    </row>
    <row r="6543" spans="31:31" ht="15.75" customHeight="1">
      <c r="AE6543"/>
    </row>
    <row r="6544" spans="31:31" ht="15.75" customHeight="1">
      <c r="AE6544"/>
    </row>
    <row r="6545" spans="31:31" ht="15.75" customHeight="1">
      <c r="AE6545"/>
    </row>
    <row r="6546" spans="31:31" ht="15.75" customHeight="1">
      <c r="AE6546"/>
    </row>
    <row r="6547" spans="31:31" ht="15.75" customHeight="1">
      <c r="AE6547"/>
    </row>
    <row r="6548" spans="31:31" ht="15.75" customHeight="1">
      <c r="AE6548"/>
    </row>
    <row r="6549" spans="31:31" ht="15.75" customHeight="1">
      <c r="AE6549"/>
    </row>
    <row r="6550" spans="31:31" ht="15.75" customHeight="1">
      <c r="AE6550"/>
    </row>
    <row r="6551" spans="31:31" ht="15.75" customHeight="1">
      <c r="AE6551"/>
    </row>
    <row r="6552" spans="31:31" ht="15.75" customHeight="1">
      <c r="AE6552"/>
    </row>
    <row r="6553" spans="31:31" ht="15.75" customHeight="1">
      <c r="AE6553"/>
    </row>
    <row r="6554" spans="31:31" ht="15.75" customHeight="1">
      <c r="AE6554"/>
    </row>
    <row r="6555" spans="31:31" ht="15.75" customHeight="1">
      <c r="AE6555"/>
    </row>
    <row r="6556" spans="31:31" ht="15.75" customHeight="1">
      <c r="AE6556"/>
    </row>
    <row r="6557" spans="31:31" ht="15.75" customHeight="1">
      <c r="AE6557"/>
    </row>
    <row r="6558" spans="31:31" ht="15.75" customHeight="1">
      <c r="AE6558"/>
    </row>
    <row r="6559" spans="31:31" ht="15.75" customHeight="1">
      <c r="AE6559"/>
    </row>
    <row r="6560" spans="31:31" ht="15.75" customHeight="1">
      <c r="AE6560"/>
    </row>
    <row r="6561" spans="31:31" ht="15.75" customHeight="1">
      <c r="AE6561"/>
    </row>
    <row r="6562" spans="31:31" ht="15.75" customHeight="1">
      <c r="AE6562"/>
    </row>
    <row r="6563" spans="31:31" ht="15.75" customHeight="1">
      <c r="AE6563"/>
    </row>
    <row r="6564" spans="31:31" ht="15.75" customHeight="1">
      <c r="AE6564"/>
    </row>
    <row r="6565" spans="31:31" ht="15.75" customHeight="1">
      <c r="AE6565"/>
    </row>
    <row r="6566" spans="31:31" ht="15.75" customHeight="1">
      <c r="AE6566"/>
    </row>
    <row r="6567" spans="31:31" ht="15.75" customHeight="1">
      <c r="AE6567"/>
    </row>
    <row r="6568" spans="31:31" ht="15.75" customHeight="1">
      <c r="AE6568"/>
    </row>
    <row r="6569" spans="31:31" ht="15.75" customHeight="1">
      <c r="AE6569"/>
    </row>
    <row r="6570" spans="31:31" ht="15.75" customHeight="1">
      <c r="AE6570"/>
    </row>
    <row r="6571" spans="31:31" ht="15.75" customHeight="1">
      <c r="AE6571"/>
    </row>
    <row r="6572" spans="31:31" ht="15.75" customHeight="1">
      <c r="AE6572"/>
    </row>
    <row r="6573" spans="31:31" ht="15.75" customHeight="1">
      <c r="AE6573"/>
    </row>
    <row r="6574" spans="31:31" ht="15.75" customHeight="1">
      <c r="AE6574"/>
    </row>
    <row r="6575" spans="31:31" ht="15.75" customHeight="1">
      <c r="AE6575"/>
    </row>
    <row r="6576" spans="31:31" ht="15.75" customHeight="1">
      <c r="AE6576"/>
    </row>
    <row r="6577" spans="31:31" ht="15.75" customHeight="1">
      <c r="AE6577"/>
    </row>
    <row r="6578" spans="31:31" ht="15.75" customHeight="1">
      <c r="AE6578"/>
    </row>
    <row r="6579" spans="31:31" ht="15.75" customHeight="1">
      <c r="AE6579"/>
    </row>
    <row r="6580" spans="31:31" ht="15.75" customHeight="1">
      <c r="AE6580"/>
    </row>
    <row r="6581" spans="31:31" ht="15.75" customHeight="1">
      <c r="AE6581"/>
    </row>
    <row r="6582" spans="31:31" ht="15.75" customHeight="1">
      <c r="AE6582"/>
    </row>
    <row r="6583" spans="31:31" ht="15.75" customHeight="1">
      <c r="AE6583"/>
    </row>
    <row r="6584" spans="31:31" ht="15.75" customHeight="1">
      <c r="AE6584"/>
    </row>
    <row r="6585" spans="31:31" ht="15.75" customHeight="1">
      <c r="AE6585"/>
    </row>
    <row r="6586" spans="31:31" ht="15.75" customHeight="1">
      <c r="AE6586"/>
    </row>
    <row r="6587" spans="31:31" ht="15.75" customHeight="1">
      <c r="AE6587"/>
    </row>
    <row r="6588" spans="31:31" ht="15.75" customHeight="1">
      <c r="AE6588"/>
    </row>
    <row r="6589" spans="31:31" ht="15.75" customHeight="1">
      <c r="AE6589"/>
    </row>
    <row r="6590" spans="31:31" ht="15.75" customHeight="1">
      <c r="AE6590"/>
    </row>
    <row r="6591" spans="31:31" ht="15.75" customHeight="1">
      <c r="AE6591"/>
    </row>
    <row r="6592" spans="31:31" ht="15.75" customHeight="1">
      <c r="AE6592"/>
    </row>
    <row r="6593" spans="31:31" ht="15.75" customHeight="1">
      <c r="AE6593"/>
    </row>
    <row r="6594" spans="31:31" ht="15.75" customHeight="1">
      <c r="AE6594"/>
    </row>
    <row r="6595" spans="31:31" ht="15.75" customHeight="1">
      <c r="AE6595"/>
    </row>
    <row r="6596" spans="31:31" ht="15.75" customHeight="1">
      <c r="AE6596"/>
    </row>
    <row r="6597" spans="31:31" ht="15.75" customHeight="1">
      <c r="AE6597"/>
    </row>
    <row r="6598" spans="31:31" ht="15.75" customHeight="1">
      <c r="AE6598"/>
    </row>
    <row r="6599" spans="31:31" ht="15.75" customHeight="1">
      <c r="AE6599"/>
    </row>
    <row r="6600" spans="31:31" ht="15.75" customHeight="1">
      <c r="AE6600"/>
    </row>
    <row r="6601" spans="31:31" ht="15.75" customHeight="1">
      <c r="AE6601"/>
    </row>
    <row r="6602" spans="31:31" ht="15.75" customHeight="1">
      <c r="AE6602"/>
    </row>
    <row r="6603" spans="31:31" ht="15.75" customHeight="1">
      <c r="AE6603"/>
    </row>
    <row r="6604" spans="31:31" ht="15.75" customHeight="1">
      <c r="AE6604"/>
    </row>
    <row r="6605" spans="31:31" ht="15.75" customHeight="1">
      <c r="AE6605"/>
    </row>
    <row r="6606" spans="31:31" ht="15.75" customHeight="1">
      <c r="AE6606"/>
    </row>
    <row r="6607" spans="31:31" ht="15.75" customHeight="1">
      <c r="AE6607"/>
    </row>
    <row r="6608" spans="31:31" ht="15.75" customHeight="1">
      <c r="AE6608"/>
    </row>
    <row r="6609" spans="31:31" ht="15.75" customHeight="1">
      <c r="AE6609"/>
    </row>
    <row r="6610" spans="31:31" ht="15.75" customHeight="1">
      <c r="AE6610"/>
    </row>
    <row r="6611" spans="31:31" ht="15.75" customHeight="1">
      <c r="AE6611"/>
    </row>
    <row r="6612" spans="31:31" ht="15.75" customHeight="1">
      <c r="AE6612"/>
    </row>
    <row r="6613" spans="31:31" ht="15.75" customHeight="1">
      <c r="AE6613"/>
    </row>
    <row r="6614" spans="31:31" ht="15.75" customHeight="1">
      <c r="AE6614"/>
    </row>
    <row r="6615" spans="31:31" ht="15.75" customHeight="1">
      <c r="AE6615"/>
    </row>
    <row r="6616" spans="31:31" ht="15.75" customHeight="1">
      <c r="AE6616"/>
    </row>
    <row r="6617" spans="31:31" ht="15.75" customHeight="1">
      <c r="AE6617"/>
    </row>
    <row r="6618" spans="31:31" ht="15.75" customHeight="1">
      <c r="AE6618"/>
    </row>
    <row r="6619" spans="31:31" ht="15.75" customHeight="1">
      <c r="AE6619"/>
    </row>
    <row r="6620" spans="31:31" ht="15.75" customHeight="1">
      <c r="AE6620"/>
    </row>
    <row r="6621" spans="31:31" ht="15.75" customHeight="1">
      <c r="AE6621"/>
    </row>
    <row r="6622" spans="31:31" ht="15.75" customHeight="1">
      <c r="AE6622"/>
    </row>
    <row r="6623" spans="31:31" ht="15.75" customHeight="1">
      <c r="AE6623"/>
    </row>
    <row r="6624" spans="31:31" ht="15.75" customHeight="1">
      <c r="AE6624"/>
    </row>
    <row r="6625" spans="31:31" ht="15.75" customHeight="1">
      <c r="AE6625"/>
    </row>
    <row r="6626" spans="31:31" ht="15.75" customHeight="1">
      <c r="AE6626"/>
    </row>
    <row r="6627" spans="31:31" ht="15.75" customHeight="1">
      <c r="AE6627"/>
    </row>
    <row r="6628" spans="31:31" ht="15.75" customHeight="1">
      <c r="AE6628"/>
    </row>
    <row r="6629" spans="31:31" ht="15.75" customHeight="1">
      <c r="AE6629"/>
    </row>
    <row r="6630" spans="31:31" ht="15.75" customHeight="1">
      <c r="AE6630"/>
    </row>
    <row r="6631" spans="31:31" ht="15.75" customHeight="1">
      <c r="AE6631"/>
    </row>
    <row r="6632" spans="31:31" ht="15.75" customHeight="1">
      <c r="AE6632"/>
    </row>
    <row r="6633" spans="31:31" ht="15.75" customHeight="1">
      <c r="AE6633"/>
    </row>
    <row r="6634" spans="31:31" ht="15.75" customHeight="1">
      <c r="AE6634"/>
    </row>
    <row r="6635" spans="31:31" ht="15.75" customHeight="1">
      <c r="AE6635"/>
    </row>
    <row r="6636" spans="31:31" ht="15.75" customHeight="1">
      <c r="AE6636"/>
    </row>
    <row r="6637" spans="31:31" ht="15.75" customHeight="1">
      <c r="AE6637"/>
    </row>
    <row r="6638" spans="31:31" ht="15.75" customHeight="1">
      <c r="AE6638"/>
    </row>
    <row r="6639" spans="31:31" ht="15.75" customHeight="1">
      <c r="AE6639"/>
    </row>
    <row r="6640" spans="31:31" ht="15.75" customHeight="1">
      <c r="AE6640"/>
    </row>
    <row r="6641" spans="31:31" ht="15.75" customHeight="1">
      <c r="AE6641"/>
    </row>
    <row r="6642" spans="31:31" ht="15.75" customHeight="1">
      <c r="AE6642"/>
    </row>
    <row r="6643" spans="31:31" ht="15.75" customHeight="1">
      <c r="AE6643"/>
    </row>
    <row r="6644" spans="31:31" ht="15.75" customHeight="1">
      <c r="AE6644"/>
    </row>
    <row r="6645" spans="31:31" ht="15.75" customHeight="1">
      <c r="AE6645"/>
    </row>
    <row r="6646" spans="31:31" ht="15.75" customHeight="1">
      <c r="AE6646"/>
    </row>
    <row r="6647" spans="31:31" ht="15.75" customHeight="1">
      <c r="AE6647"/>
    </row>
    <row r="6648" spans="31:31" ht="15.75" customHeight="1">
      <c r="AE6648"/>
    </row>
    <row r="6649" spans="31:31" ht="15.75" customHeight="1">
      <c r="AE6649"/>
    </row>
    <row r="6650" spans="31:31" ht="15.75" customHeight="1">
      <c r="AE6650"/>
    </row>
    <row r="6651" spans="31:31" ht="15.75" customHeight="1">
      <c r="AE6651"/>
    </row>
    <row r="6652" spans="31:31" ht="15.75" customHeight="1">
      <c r="AE6652"/>
    </row>
    <row r="6653" spans="31:31" ht="15.75" customHeight="1">
      <c r="AE6653"/>
    </row>
    <row r="6654" spans="31:31" ht="15.75" customHeight="1">
      <c r="AE6654"/>
    </row>
    <row r="6655" spans="31:31" ht="15.75" customHeight="1">
      <c r="AE6655"/>
    </row>
    <row r="6656" spans="31:31" ht="15.75" customHeight="1">
      <c r="AE6656"/>
    </row>
    <row r="6657" spans="31:31" ht="15.75" customHeight="1">
      <c r="AE6657"/>
    </row>
    <row r="6658" spans="31:31" ht="15.75" customHeight="1">
      <c r="AE6658"/>
    </row>
    <row r="6659" spans="31:31" ht="15.75" customHeight="1">
      <c r="AE6659"/>
    </row>
    <row r="6660" spans="31:31" ht="15.75" customHeight="1">
      <c r="AE6660"/>
    </row>
    <row r="6661" spans="31:31" ht="15.75" customHeight="1">
      <c r="AE6661"/>
    </row>
    <row r="6662" spans="31:31" ht="15.75" customHeight="1">
      <c r="AE6662"/>
    </row>
    <row r="6663" spans="31:31" ht="15.75" customHeight="1">
      <c r="AE6663"/>
    </row>
    <row r="6664" spans="31:31" ht="15.75" customHeight="1">
      <c r="AE6664"/>
    </row>
    <row r="6665" spans="31:31" ht="15.75" customHeight="1">
      <c r="AE6665"/>
    </row>
    <row r="6666" spans="31:31" ht="15.75" customHeight="1">
      <c r="AE6666"/>
    </row>
    <row r="6667" spans="31:31" ht="15.75" customHeight="1">
      <c r="AE6667"/>
    </row>
    <row r="6668" spans="31:31" ht="15.75" customHeight="1">
      <c r="AE6668"/>
    </row>
    <row r="6669" spans="31:31" ht="15.75" customHeight="1">
      <c r="AE6669"/>
    </row>
    <row r="6670" spans="31:31" ht="15.75" customHeight="1">
      <c r="AE6670"/>
    </row>
    <row r="6671" spans="31:31" ht="15.75" customHeight="1">
      <c r="AE6671"/>
    </row>
    <row r="6672" spans="31:31" ht="15.75" customHeight="1">
      <c r="AE6672"/>
    </row>
    <row r="6673" spans="31:31" ht="15.75" customHeight="1">
      <c r="AE6673"/>
    </row>
    <row r="6674" spans="31:31" ht="15.75" customHeight="1">
      <c r="AE6674"/>
    </row>
    <row r="6675" spans="31:31" ht="15.75" customHeight="1">
      <c r="AE6675"/>
    </row>
    <row r="6676" spans="31:31" ht="15.75" customHeight="1">
      <c r="AE6676"/>
    </row>
    <row r="6677" spans="31:31" ht="15.75" customHeight="1">
      <c r="AE6677"/>
    </row>
    <row r="6678" spans="31:31" ht="15.75" customHeight="1">
      <c r="AE6678"/>
    </row>
    <row r="6679" spans="31:31" ht="15.75" customHeight="1">
      <c r="AE6679"/>
    </row>
    <row r="6680" spans="31:31" ht="15.75" customHeight="1">
      <c r="AE6680"/>
    </row>
    <row r="6681" spans="31:31" ht="15.75" customHeight="1">
      <c r="AE6681"/>
    </row>
    <row r="6682" spans="31:31" ht="15.75" customHeight="1">
      <c r="AE6682"/>
    </row>
    <row r="6683" spans="31:31" ht="15.75" customHeight="1">
      <c r="AE6683"/>
    </row>
    <row r="6684" spans="31:31" ht="15.75" customHeight="1">
      <c r="AE6684"/>
    </row>
    <row r="6685" spans="31:31" ht="15.75" customHeight="1">
      <c r="AE6685"/>
    </row>
    <row r="6686" spans="31:31" ht="15.75" customHeight="1">
      <c r="AE6686"/>
    </row>
    <row r="6687" spans="31:31" ht="15.75" customHeight="1">
      <c r="AE6687"/>
    </row>
    <row r="6688" spans="31:31" ht="15.75" customHeight="1">
      <c r="AE6688"/>
    </row>
    <row r="6689" spans="31:31" ht="15.75" customHeight="1">
      <c r="AE6689"/>
    </row>
    <row r="6690" spans="31:31" ht="15.75" customHeight="1">
      <c r="AE6690"/>
    </row>
    <row r="6691" spans="31:31" ht="15.75" customHeight="1">
      <c r="AE6691"/>
    </row>
    <row r="6692" spans="31:31" ht="15.75" customHeight="1">
      <c r="AE6692"/>
    </row>
    <row r="6693" spans="31:31" ht="15.75" customHeight="1">
      <c r="AE6693"/>
    </row>
    <row r="6694" spans="31:31" ht="15.75" customHeight="1">
      <c r="AE6694"/>
    </row>
    <row r="6695" spans="31:31" ht="15.75" customHeight="1">
      <c r="AE6695"/>
    </row>
    <row r="6696" spans="31:31" ht="15.75" customHeight="1">
      <c r="AE6696"/>
    </row>
    <row r="6697" spans="31:31" ht="15.75" customHeight="1">
      <c r="AE6697"/>
    </row>
    <row r="6698" spans="31:31" ht="15.75" customHeight="1">
      <c r="AE6698"/>
    </row>
    <row r="6699" spans="31:31" ht="15.75" customHeight="1">
      <c r="AE6699"/>
    </row>
    <row r="6700" spans="31:31" ht="15.75" customHeight="1">
      <c r="AE6700"/>
    </row>
    <row r="6701" spans="31:31" ht="15.75" customHeight="1">
      <c r="AE6701"/>
    </row>
    <row r="6702" spans="31:31" ht="15.75" customHeight="1">
      <c r="AE6702"/>
    </row>
    <row r="6703" spans="31:31" ht="15.75" customHeight="1">
      <c r="AE6703"/>
    </row>
    <row r="6704" spans="31:31" ht="15.75" customHeight="1">
      <c r="AE6704"/>
    </row>
    <row r="6705" spans="31:31" ht="15.75" customHeight="1">
      <c r="AE6705"/>
    </row>
    <row r="6706" spans="31:31" ht="15.75" customHeight="1">
      <c r="AE6706"/>
    </row>
    <row r="6707" spans="31:31" ht="15.75" customHeight="1">
      <c r="AE6707"/>
    </row>
    <row r="6708" spans="31:31" ht="15.75" customHeight="1">
      <c r="AE6708"/>
    </row>
    <row r="6709" spans="31:31" ht="15.75" customHeight="1">
      <c r="AE6709"/>
    </row>
    <row r="6710" spans="31:31" ht="15.75" customHeight="1">
      <c r="AE6710"/>
    </row>
    <row r="6711" spans="31:31" ht="15.75" customHeight="1">
      <c r="AE6711"/>
    </row>
    <row r="6712" spans="31:31" ht="15.75" customHeight="1">
      <c r="AE6712"/>
    </row>
    <row r="6713" spans="31:31" ht="15.75" customHeight="1">
      <c r="AE6713"/>
    </row>
    <row r="6714" spans="31:31" ht="15.75" customHeight="1">
      <c r="AE6714"/>
    </row>
    <row r="6715" spans="31:31" ht="15.75" customHeight="1">
      <c r="AE6715"/>
    </row>
    <row r="6716" spans="31:31" ht="15.75" customHeight="1">
      <c r="AE6716"/>
    </row>
    <row r="6717" spans="31:31" ht="15.75" customHeight="1">
      <c r="AE6717"/>
    </row>
    <row r="6718" spans="31:31" ht="15.75" customHeight="1">
      <c r="AE6718"/>
    </row>
    <row r="6719" spans="31:31" ht="15.75" customHeight="1">
      <c r="AE6719"/>
    </row>
    <row r="6720" spans="31:31" ht="15.75" customHeight="1">
      <c r="AE6720"/>
    </row>
    <row r="6721" spans="31:31" ht="15.75" customHeight="1">
      <c r="AE6721"/>
    </row>
    <row r="6722" spans="31:31" ht="15.75" customHeight="1">
      <c r="AE6722"/>
    </row>
    <row r="6723" spans="31:31" ht="15.75" customHeight="1">
      <c r="AE6723"/>
    </row>
    <row r="6724" spans="31:31" ht="15.75" customHeight="1">
      <c r="AE6724"/>
    </row>
    <row r="6725" spans="31:31" ht="15.75" customHeight="1">
      <c r="AE6725"/>
    </row>
    <row r="6726" spans="31:31" ht="15.75" customHeight="1">
      <c r="AE6726"/>
    </row>
    <row r="6727" spans="31:31" ht="15.75" customHeight="1">
      <c r="AE6727"/>
    </row>
    <row r="6728" spans="31:31" ht="15.75" customHeight="1">
      <c r="AE6728"/>
    </row>
    <row r="6729" spans="31:31" ht="15.75" customHeight="1">
      <c r="AE6729"/>
    </row>
    <row r="6730" spans="31:31" ht="15.75" customHeight="1">
      <c r="AE6730"/>
    </row>
    <row r="6731" spans="31:31" ht="15.75" customHeight="1">
      <c r="AE6731"/>
    </row>
    <row r="6732" spans="31:31" ht="15.75" customHeight="1">
      <c r="AE6732"/>
    </row>
    <row r="6733" spans="31:31" ht="15.75" customHeight="1">
      <c r="AE6733"/>
    </row>
    <row r="6734" spans="31:31" ht="15.75" customHeight="1">
      <c r="AE6734"/>
    </row>
    <row r="6735" spans="31:31" ht="15.75" customHeight="1">
      <c r="AE6735"/>
    </row>
    <row r="6736" spans="31:31" ht="15.75" customHeight="1">
      <c r="AE6736"/>
    </row>
    <row r="6737" spans="31:31" ht="15.75" customHeight="1">
      <c r="AE6737"/>
    </row>
    <row r="6738" spans="31:31" ht="15.75" customHeight="1">
      <c r="AE6738"/>
    </row>
    <row r="6739" spans="31:31" ht="15.75" customHeight="1">
      <c r="AE6739"/>
    </row>
    <row r="6740" spans="31:31" ht="15.75" customHeight="1">
      <c r="AE6740"/>
    </row>
    <row r="6741" spans="31:31" ht="15.75" customHeight="1">
      <c r="AE6741"/>
    </row>
    <row r="6742" spans="31:31" ht="15.75" customHeight="1">
      <c r="AE6742"/>
    </row>
    <row r="6743" spans="31:31" ht="15.75" customHeight="1">
      <c r="AE6743"/>
    </row>
    <row r="6744" spans="31:31" ht="15.75" customHeight="1">
      <c r="AE6744"/>
    </row>
    <row r="6745" spans="31:31" ht="15.75" customHeight="1">
      <c r="AE6745"/>
    </row>
    <row r="6746" spans="31:31" ht="15.75" customHeight="1">
      <c r="AE6746"/>
    </row>
    <row r="6747" spans="31:31" ht="15.75" customHeight="1">
      <c r="AE6747"/>
    </row>
    <row r="6748" spans="31:31" ht="15.75" customHeight="1">
      <c r="AE6748"/>
    </row>
    <row r="6749" spans="31:31" ht="15.75" customHeight="1">
      <c r="AE6749"/>
    </row>
    <row r="6750" spans="31:31" ht="15.75" customHeight="1">
      <c r="AE6750"/>
    </row>
    <row r="6751" spans="31:31" ht="15.75" customHeight="1">
      <c r="AE6751"/>
    </row>
    <row r="6752" spans="31:31" ht="15.75" customHeight="1">
      <c r="AE6752"/>
    </row>
    <row r="6753" spans="31:31" ht="15.75" customHeight="1">
      <c r="AE6753"/>
    </row>
    <row r="6754" spans="31:31" ht="15.75" customHeight="1">
      <c r="AE6754"/>
    </row>
    <row r="6755" spans="31:31" ht="15.75" customHeight="1">
      <c r="AE6755"/>
    </row>
    <row r="6756" spans="31:31" ht="15.75" customHeight="1">
      <c r="AE6756"/>
    </row>
    <row r="6757" spans="31:31" ht="15.75" customHeight="1">
      <c r="AE6757"/>
    </row>
    <row r="6758" spans="31:31" ht="15.75" customHeight="1">
      <c r="AE6758"/>
    </row>
    <row r="6759" spans="31:31" ht="15.75" customHeight="1">
      <c r="AE6759"/>
    </row>
    <row r="6760" spans="31:31" ht="15.75" customHeight="1">
      <c r="AE6760"/>
    </row>
    <row r="6761" spans="31:31" ht="15.75" customHeight="1">
      <c r="AE6761"/>
    </row>
    <row r="6762" spans="31:31" ht="15.75" customHeight="1">
      <c r="AE6762"/>
    </row>
    <row r="6763" spans="31:31" ht="15.75" customHeight="1">
      <c r="AE6763"/>
    </row>
    <row r="6764" spans="31:31" ht="15.75" customHeight="1">
      <c r="AE6764"/>
    </row>
    <row r="6765" spans="31:31" ht="15.75" customHeight="1">
      <c r="AE6765"/>
    </row>
    <row r="6766" spans="31:31" ht="15.75" customHeight="1">
      <c r="AE6766"/>
    </row>
    <row r="6767" spans="31:31" ht="15.75" customHeight="1">
      <c r="AE6767"/>
    </row>
    <row r="6768" spans="31:31" ht="15.75" customHeight="1">
      <c r="AE6768"/>
    </row>
    <row r="6769" spans="31:31" ht="15.75" customHeight="1">
      <c r="AE6769"/>
    </row>
    <row r="6770" spans="31:31" ht="15.75" customHeight="1">
      <c r="AE6770"/>
    </row>
    <row r="6771" spans="31:31" ht="15.75" customHeight="1">
      <c r="AE6771"/>
    </row>
    <row r="6772" spans="31:31" ht="15.75" customHeight="1">
      <c r="AE6772"/>
    </row>
    <row r="6773" spans="31:31" ht="15.75" customHeight="1">
      <c r="AE6773"/>
    </row>
    <row r="6774" spans="31:31" ht="15.75" customHeight="1">
      <c r="AE6774"/>
    </row>
    <row r="6775" spans="31:31" ht="15.75" customHeight="1">
      <c r="AE6775"/>
    </row>
    <row r="6776" spans="31:31" ht="15.75" customHeight="1">
      <c r="AE6776"/>
    </row>
    <row r="6777" spans="31:31" ht="15.75" customHeight="1">
      <c r="AE6777"/>
    </row>
    <row r="6778" spans="31:31" ht="15.75" customHeight="1">
      <c r="AE6778"/>
    </row>
    <row r="6779" spans="31:31" ht="15.75" customHeight="1">
      <c r="AE6779"/>
    </row>
    <row r="6780" spans="31:31" ht="15.75" customHeight="1">
      <c r="AE6780"/>
    </row>
    <row r="6781" spans="31:31" ht="15.75" customHeight="1">
      <c r="AE6781"/>
    </row>
    <row r="6782" spans="31:31" ht="15.75" customHeight="1">
      <c r="AE6782"/>
    </row>
    <row r="6783" spans="31:31" ht="15.75" customHeight="1">
      <c r="AE6783"/>
    </row>
    <row r="6784" spans="31:31" ht="15.75" customHeight="1">
      <c r="AE6784"/>
    </row>
    <row r="6785" spans="31:31" ht="15.75" customHeight="1">
      <c r="AE6785"/>
    </row>
    <row r="6786" spans="31:31" ht="15.75" customHeight="1">
      <c r="AE6786"/>
    </row>
    <row r="6787" spans="31:31" ht="15.75" customHeight="1">
      <c r="AE6787"/>
    </row>
    <row r="6788" spans="31:31" ht="15.75" customHeight="1">
      <c r="AE6788"/>
    </row>
    <row r="6789" spans="31:31" ht="15.75" customHeight="1">
      <c r="AE6789"/>
    </row>
    <row r="6790" spans="31:31" ht="15.75" customHeight="1">
      <c r="AE6790"/>
    </row>
    <row r="6791" spans="31:31" ht="15.75" customHeight="1">
      <c r="AE6791"/>
    </row>
    <row r="6792" spans="31:31" ht="15.75" customHeight="1">
      <c r="AE6792"/>
    </row>
    <row r="6793" spans="31:31" ht="15.75" customHeight="1">
      <c r="AE6793"/>
    </row>
    <row r="6794" spans="31:31" ht="15.75" customHeight="1">
      <c r="AE6794"/>
    </row>
    <row r="6795" spans="31:31" ht="15.75" customHeight="1">
      <c r="AE6795"/>
    </row>
    <row r="6796" spans="31:31" ht="15.75" customHeight="1">
      <c r="AE6796"/>
    </row>
    <row r="6797" spans="31:31" ht="15.75" customHeight="1">
      <c r="AE6797"/>
    </row>
    <row r="6798" spans="31:31" ht="15.75" customHeight="1">
      <c r="AE6798"/>
    </row>
    <row r="6799" spans="31:31" ht="15.75" customHeight="1">
      <c r="AE6799"/>
    </row>
    <row r="6800" spans="31:31" ht="15.75" customHeight="1">
      <c r="AE6800"/>
    </row>
    <row r="6801" spans="31:31" ht="15.75" customHeight="1">
      <c r="AE6801"/>
    </row>
    <row r="6802" spans="31:31" ht="15.75" customHeight="1">
      <c r="AE6802"/>
    </row>
    <row r="6803" spans="31:31" ht="15.75" customHeight="1">
      <c r="AE6803"/>
    </row>
    <row r="6804" spans="31:31" ht="15.75" customHeight="1">
      <c r="AE6804"/>
    </row>
    <row r="6805" spans="31:31" ht="15.75" customHeight="1">
      <c r="AE6805"/>
    </row>
    <row r="6806" spans="31:31" ht="15.75" customHeight="1">
      <c r="AE6806"/>
    </row>
    <row r="6807" spans="31:31" ht="15.75" customHeight="1">
      <c r="AE6807"/>
    </row>
    <row r="6808" spans="31:31" ht="15.75" customHeight="1">
      <c r="AE6808"/>
    </row>
    <row r="6809" spans="31:31" ht="15.75" customHeight="1">
      <c r="AE6809"/>
    </row>
    <row r="6810" spans="31:31" ht="15.75" customHeight="1">
      <c r="AE6810"/>
    </row>
    <row r="6811" spans="31:31" ht="15.75" customHeight="1">
      <c r="AE6811"/>
    </row>
    <row r="6812" spans="31:31" ht="15.75" customHeight="1">
      <c r="AE6812"/>
    </row>
    <row r="6813" spans="31:31" ht="15.75" customHeight="1">
      <c r="AE6813"/>
    </row>
    <row r="6814" spans="31:31" ht="15.75" customHeight="1">
      <c r="AE6814"/>
    </row>
    <row r="6815" spans="31:31" ht="15.75" customHeight="1">
      <c r="AE6815"/>
    </row>
    <row r="6816" spans="31:31" ht="15.75" customHeight="1">
      <c r="AE6816"/>
    </row>
    <row r="6817" spans="31:31" ht="15.75" customHeight="1">
      <c r="AE6817"/>
    </row>
    <row r="6818" spans="31:31" ht="15.75" customHeight="1">
      <c r="AE6818"/>
    </row>
    <row r="6819" spans="31:31" ht="15.75" customHeight="1">
      <c r="AE6819"/>
    </row>
    <row r="6820" spans="31:31" ht="15.75" customHeight="1">
      <c r="AE6820"/>
    </row>
    <row r="6821" spans="31:31" ht="15.75" customHeight="1">
      <c r="AE6821"/>
    </row>
    <row r="6822" spans="31:31" ht="15.75" customHeight="1">
      <c r="AE6822"/>
    </row>
    <row r="6823" spans="31:31" ht="15.75" customHeight="1">
      <c r="AE6823"/>
    </row>
    <row r="6824" spans="31:31" ht="15.75" customHeight="1">
      <c r="AE6824"/>
    </row>
    <row r="6825" spans="31:31" ht="15.75" customHeight="1">
      <c r="AE6825"/>
    </row>
    <row r="6826" spans="31:31" ht="15.75" customHeight="1">
      <c r="AE6826"/>
    </row>
    <row r="6827" spans="31:31" ht="15.75" customHeight="1">
      <c r="AE6827"/>
    </row>
    <row r="6828" spans="31:31" ht="15.75" customHeight="1">
      <c r="AE6828"/>
    </row>
    <row r="6829" spans="31:31" ht="15.75" customHeight="1">
      <c r="AE6829"/>
    </row>
    <row r="6830" spans="31:31" ht="15.75" customHeight="1">
      <c r="AE6830"/>
    </row>
    <row r="6831" spans="31:31" ht="15.75" customHeight="1">
      <c r="AE6831"/>
    </row>
    <row r="6832" spans="31:31" ht="15.75" customHeight="1">
      <c r="AE6832"/>
    </row>
    <row r="6833" spans="31:31" ht="15.75" customHeight="1">
      <c r="AE6833"/>
    </row>
    <row r="6834" spans="31:31" ht="15.75" customHeight="1">
      <c r="AE6834"/>
    </row>
    <row r="6835" spans="31:31" ht="15.75" customHeight="1">
      <c r="AE6835"/>
    </row>
    <row r="6836" spans="31:31" ht="15.75" customHeight="1">
      <c r="AE6836"/>
    </row>
    <row r="6837" spans="31:31" ht="15.75" customHeight="1">
      <c r="AE6837"/>
    </row>
    <row r="6838" spans="31:31" ht="15.75" customHeight="1">
      <c r="AE6838"/>
    </row>
    <row r="6839" spans="31:31" ht="15.75" customHeight="1">
      <c r="AE6839"/>
    </row>
    <row r="6840" spans="31:31" ht="15.75" customHeight="1">
      <c r="AE6840"/>
    </row>
    <row r="6841" spans="31:31" ht="15.75" customHeight="1">
      <c r="AE6841"/>
    </row>
    <row r="6842" spans="31:31" ht="15.75" customHeight="1">
      <c r="AE6842"/>
    </row>
    <row r="6843" spans="31:31" ht="15.75" customHeight="1">
      <c r="AE6843"/>
    </row>
    <row r="6844" spans="31:31" ht="15.75" customHeight="1">
      <c r="AE6844"/>
    </row>
    <row r="6845" spans="31:31" ht="15.75" customHeight="1">
      <c r="AE6845"/>
    </row>
    <row r="6846" spans="31:31" ht="15.75" customHeight="1">
      <c r="AE6846"/>
    </row>
    <row r="6847" spans="31:31" ht="15.75" customHeight="1">
      <c r="AE6847"/>
    </row>
    <row r="6848" spans="31:31" ht="15.75" customHeight="1">
      <c r="AE6848"/>
    </row>
    <row r="6849" spans="31:31" ht="15.75" customHeight="1">
      <c r="AE6849"/>
    </row>
    <row r="6850" spans="31:31" ht="15.75" customHeight="1">
      <c r="AE6850"/>
    </row>
    <row r="6851" spans="31:31" ht="15.75" customHeight="1">
      <c r="AE6851"/>
    </row>
    <row r="6852" spans="31:31" ht="15.75" customHeight="1">
      <c r="AE6852"/>
    </row>
    <row r="6853" spans="31:31" ht="15.75" customHeight="1">
      <c r="AE6853"/>
    </row>
    <row r="6854" spans="31:31" ht="15.75" customHeight="1">
      <c r="AE6854"/>
    </row>
    <row r="6855" spans="31:31" ht="15.75" customHeight="1">
      <c r="AE6855"/>
    </row>
    <row r="6856" spans="31:31" ht="15.75" customHeight="1">
      <c r="AE6856"/>
    </row>
    <row r="6857" spans="31:31" ht="15.75" customHeight="1">
      <c r="AE6857"/>
    </row>
    <row r="6858" spans="31:31" ht="15.75" customHeight="1">
      <c r="AE6858"/>
    </row>
    <row r="6859" spans="31:31" ht="15.75" customHeight="1">
      <c r="AE6859"/>
    </row>
    <row r="6860" spans="31:31" ht="15.75" customHeight="1">
      <c r="AE6860"/>
    </row>
    <row r="6861" spans="31:31" ht="15.75" customHeight="1">
      <c r="AE6861"/>
    </row>
    <row r="6862" spans="31:31" ht="15.75" customHeight="1">
      <c r="AE6862"/>
    </row>
    <row r="6863" spans="31:31" ht="15.75" customHeight="1">
      <c r="AE6863"/>
    </row>
    <row r="6864" spans="31:31" ht="15.75" customHeight="1">
      <c r="AE6864"/>
    </row>
    <row r="6865" spans="31:31" ht="15.75" customHeight="1">
      <c r="AE6865"/>
    </row>
    <row r="6866" spans="31:31" ht="15.75" customHeight="1">
      <c r="AE6866"/>
    </row>
    <row r="6867" spans="31:31" ht="15.75" customHeight="1">
      <c r="AE6867"/>
    </row>
    <row r="6868" spans="31:31" ht="15.75" customHeight="1">
      <c r="AE6868"/>
    </row>
    <row r="6869" spans="31:31" ht="15.75" customHeight="1">
      <c r="AE6869"/>
    </row>
    <row r="6870" spans="31:31" ht="15.75" customHeight="1">
      <c r="AE6870"/>
    </row>
    <row r="6871" spans="31:31" ht="15.75" customHeight="1">
      <c r="AE6871"/>
    </row>
    <row r="6872" spans="31:31" ht="15.75" customHeight="1">
      <c r="AE6872"/>
    </row>
    <row r="6873" spans="31:31" ht="15.75" customHeight="1">
      <c r="AE6873"/>
    </row>
    <row r="6874" spans="31:31" ht="15.75" customHeight="1">
      <c r="AE6874"/>
    </row>
    <row r="6875" spans="31:31" ht="15.75" customHeight="1">
      <c r="AE6875"/>
    </row>
    <row r="6876" spans="31:31" ht="15.75" customHeight="1">
      <c r="AE6876"/>
    </row>
    <row r="6877" spans="31:31" ht="15.75" customHeight="1">
      <c r="AE6877"/>
    </row>
    <row r="6878" spans="31:31" ht="15.75" customHeight="1">
      <c r="AE6878"/>
    </row>
    <row r="6879" spans="31:31" ht="15.75" customHeight="1">
      <c r="AE6879"/>
    </row>
    <row r="6880" spans="31:31" ht="15.75" customHeight="1">
      <c r="AE6880"/>
    </row>
    <row r="6881" spans="31:31" ht="15.75" customHeight="1">
      <c r="AE6881"/>
    </row>
    <row r="6882" spans="31:31" ht="15.75" customHeight="1">
      <c r="AE6882"/>
    </row>
    <row r="6883" spans="31:31" ht="15.75" customHeight="1">
      <c r="AE6883"/>
    </row>
    <row r="6884" spans="31:31" ht="15.75" customHeight="1">
      <c r="AE6884"/>
    </row>
    <row r="6885" spans="31:31" ht="15.75" customHeight="1">
      <c r="AE6885"/>
    </row>
    <row r="6886" spans="31:31" ht="15.75" customHeight="1">
      <c r="AE6886"/>
    </row>
    <row r="6887" spans="31:31" ht="15.75" customHeight="1">
      <c r="AE6887"/>
    </row>
    <row r="6888" spans="31:31" ht="15.75" customHeight="1">
      <c r="AE6888"/>
    </row>
    <row r="6889" spans="31:31" ht="15.75" customHeight="1">
      <c r="AE6889"/>
    </row>
    <row r="6890" spans="31:31" ht="15.75" customHeight="1">
      <c r="AE6890"/>
    </row>
    <row r="6891" spans="31:31" ht="15.75" customHeight="1">
      <c r="AE6891"/>
    </row>
    <row r="6892" spans="31:31" ht="15.75" customHeight="1">
      <c r="AE6892"/>
    </row>
    <row r="6893" spans="31:31" ht="15.75" customHeight="1">
      <c r="AE6893"/>
    </row>
    <row r="6894" spans="31:31" ht="15.75" customHeight="1">
      <c r="AE6894"/>
    </row>
    <row r="6895" spans="31:31" ht="15.75" customHeight="1">
      <c r="AE6895"/>
    </row>
    <row r="6896" spans="31:31" ht="15.75" customHeight="1">
      <c r="AE6896"/>
    </row>
    <row r="6897" spans="31:31" ht="15.75" customHeight="1">
      <c r="AE6897"/>
    </row>
    <row r="6898" spans="31:31" ht="15.75" customHeight="1">
      <c r="AE6898"/>
    </row>
    <row r="6899" spans="31:31" ht="15.75" customHeight="1">
      <c r="AE6899"/>
    </row>
    <row r="6900" spans="31:31" ht="15.75" customHeight="1">
      <c r="AE6900"/>
    </row>
    <row r="6901" spans="31:31" ht="15.75" customHeight="1">
      <c r="AE6901"/>
    </row>
    <row r="6902" spans="31:31" ht="15.75" customHeight="1">
      <c r="AE6902"/>
    </row>
    <row r="6903" spans="31:31" ht="15.75" customHeight="1">
      <c r="AE6903"/>
    </row>
    <row r="6904" spans="31:31" ht="15.75" customHeight="1">
      <c r="AE6904"/>
    </row>
    <row r="6905" spans="31:31" ht="15.75" customHeight="1">
      <c r="AE6905"/>
    </row>
    <row r="6906" spans="31:31" ht="15.75" customHeight="1">
      <c r="AE6906"/>
    </row>
    <row r="6907" spans="31:31" ht="15.75" customHeight="1">
      <c r="AE6907"/>
    </row>
    <row r="6908" spans="31:31" ht="15.75" customHeight="1">
      <c r="AE6908"/>
    </row>
    <row r="6909" spans="31:31" ht="15.75" customHeight="1">
      <c r="AE6909"/>
    </row>
    <row r="6910" spans="31:31" ht="15.75" customHeight="1">
      <c r="AE6910"/>
    </row>
    <row r="6911" spans="31:31" ht="15.75" customHeight="1">
      <c r="AE6911"/>
    </row>
    <row r="6912" spans="31:31" ht="15.75" customHeight="1">
      <c r="AE6912"/>
    </row>
    <row r="6913" spans="31:31" ht="15.75" customHeight="1">
      <c r="AE6913"/>
    </row>
    <row r="6914" spans="31:31" ht="15.75" customHeight="1">
      <c r="AE6914"/>
    </row>
    <row r="6915" spans="31:31" ht="15.75" customHeight="1">
      <c r="AE6915"/>
    </row>
    <row r="6916" spans="31:31" ht="15.75" customHeight="1">
      <c r="AE6916"/>
    </row>
    <row r="6917" spans="31:31" ht="15.75" customHeight="1">
      <c r="AE6917"/>
    </row>
    <row r="6918" spans="31:31" ht="15.75" customHeight="1">
      <c r="AE6918"/>
    </row>
    <row r="6919" spans="31:31" ht="15.75" customHeight="1">
      <c r="AE6919"/>
    </row>
    <row r="6920" spans="31:31" ht="15.75" customHeight="1">
      <c r="AE6920"/>
    </row>
    <row r="6921" spans="31:31" ht="15.75" customHeight="1">
      <c r="AE6921"/>
    </row>
    <row r="6922" spans="31:31" ht="15.75" customHeight="1">
      <c r="AE6922"/>
    </row>
    <row r="6923" spans="31:31" ht="15.75" customHeight="1">
      <c r="AE6923"/>
    </row>
    <row r="6924" spans="31:31" ht="15.75" customHeight="1">
      <c r="AE6924"/>
    </row>
    <row r="6925" spans="31:31" ht="15.75" customHeight="1">
      <c r="AE6925"/>
    </row>
    <row r="6926" spans="31:31" ht="15.75" customHeight="1">
      <c r="AE6926"/>
    </row>
    <row r="6927" spans="31:31" ht="15.75" customHeight="1">
      <c r="AE6927"/>
    </row>
    <row r="6928" spans="31:31" ht="15.75" customHeight="1">
      <c r="AE6928"/>
    </row>
    <row r="6929" spans="31:31" ht="15.75" customHeight="1">
      <c r="AE6929"/>
    </row>
    <row r="6930" spans="31:31" ht="15.75" customHeight="1">
      <c r="AE6930"/>
    </row>
    <row r="6931" spans="31:31" ht="15.75" customHeight="1">
      <c r="AE6931"/>
    </row>
    <row r="6932" spans="31:31" ht="15.75" customHeight="1">
      <c r="AE6932"/>
    </row>
    <row r="6933" spans="31:31" ht="15.75" customHeight="1">
      <c r="AE6933"/>
    </row>
    <row r="6934" spans="31:31" ht="15.75" customHeight="1">
      <c r="AE6934"/>
    </row>
    <row r="6935" spans="31:31" ht="15.75" customHeight="1">
      <c r="AE6935"/>
    </row>
    <row r="6936" spans="31:31" ht="15.75" customHeight="1">
      <c r="AE6936"/>
    </row>
    <row r="6937" spans="31:31" ht="15.75" customHeight="1">
      <c r="AE6937"/>
    </row>
    <row r="6938" spans="31:31" ht="15.75" customHeight="1">
      <c r="AE6938"/>
    </row>
    <row r="6939" spans="31:31" ht="15.75" customHeight="1">
      <c r="AE6939"/>
    </row>
    <row r="6940" spans="31:31" ht="15.75" customHeight="1">
      <c r="AE6940"/>
    </row>
    <row r="6941" spans="31:31" ht="15.75" customHeight="1">
      <c r="AE6941"/>
    </row>
    <row r="6942" spans="31:31" ht="15.75" customHeight="1">
      <c r="AE6942"/>
    </row>
    <row r="6943" spans="31:31" ht="15.75" customHeight="1">
      <c r="AE6943"/>
    </row>
    <row r="6944" spans="31:31" ht="15.75" customHeight="1">
      <c r="AE6944"/>
    </row>
    <row r="6945" spans="31:31" ht="15.75" customHeight="1">
      <c r="AE6945"/>
    </row>
    <row r="6946" spans="31:31" ht="15.75" customHeight="1">
      <c r="AE6946"/>
    </row>
    <row r="6947" spans="31:31" ht="15.75" customHeight="1">
      <c r="AE6947"/>
    </row>
    <row r="6948" spans="31:31" ht="15.75" customHeight="1">
      <c r="AE6948"/>
    </row>
    <row r="6949" spans="31:31" ht="15.75" customHeight="1">
      <c r="AE6949"/>
    </row>
    <row r="6950" spans="31:31" ht="15.75" customHeight="1">
      <c r="AE6950"/>
    </row>
    <row r="6951" spans="31:31" ht="15.75" customHeight="1">
      <c r="AE6951"/>
    </row>
    <row r="6952" spans="31:31" ht="15.75" customHeight="1">
      <c r="AE6952"/>
    </row>
    <row r="6953" spans="31:31" ht="15.75" customHeight="1">
      <c r="AE6953"/>
    </row>
    <row r="6954" spans="31:31" ht="15.75" customHeight="1">
      <c r="AE6954"/>
    </row>
    <row r="6955" spans="31:31" ht="15.75" customHeight="1">
      <c r="AE6955"/>
    </row>
    <row r="6956" spans="31:31" ht="15.75" customHeight="1">
      <c r="AE6956"/>
    </row>
    <row r="6957" spans="31:31" ht="15.75" customHeight="1">
      <c r="AE6957"/>
    </row>
    <row r="6958" spans="31:31" ht="15.75" customHeight="1">
      <c r="AE6958"/>
    </row>
    <row r="6959" spans="31:31" ht="15.75" customHeight="1">
      <c r="AE6959"/>
    </row>
    <row r="6960" spans="31:31" ht="15.75" customHeight="1">
      <c r="AE6960"/>
    </row>
    <row r="6961" spans="31:31" ht="15.75" customHeight="1">
      <c r="AE6961"/>
    </row>
    <row r="6962" spans="31:31" ht="15.75" customHeight="1">
      <c r="AE6962"/>
    </row>
    <row r="6963" spans="31:31" ht="15.75" customHeight="1">
      <c r="AE6963"/>
    </row>
    <row r="6964" spans="31:31" ht="15.75" customHeight="1">
      <c r="AE6964"/>
    </row>
    <row r="6965" spans="31:31" ht="15.75" customHeight="1">
      <c r="AE6965"/>
    </row>
    <row r="6966" spans="31:31" ht="15.75" customHeight="1">
      <c r="AE6966"/>
    </row>
    <row r="6967" spans="31:31" ht="15.75" customHeight="1">
      <c r="AE6967"/>
    </row>
    <row r="6968" spans="31:31" ht="15.75" customHeight="1">
      <c r="AE6968"/>
    </row>
    <row r="6969" spans="31:31" ht="15.75" customHeight="1">
      <c r="AE6969"/>
    </row>
    <row r="6970" spans="31:31" ht="15.75" customHeight="1">
      <c r="AE6970"/>
    </row>
    <row r="6971" spans="31:31" ht="15.75" customHeight="1">
      <c r="AE6971"/>
    </row>
    <row r="6972" spans="31:31" ht="15.75" customHeight="1">
      <c r="AE6972"/>
    </row>
    <row r="6973" spans="31:31" ht="15.75" customHeight="1">
      <c r="AE6973"/>
    </row>
    <row r="6974" spans="31:31" ht="15.75" customHeight="1">
      <c r="AE6974"/>
    </row>
    <row r="6975" spans="31:31" ht="15.75" customHeight="1">
      <c r="AE6975"/>
    </row>
    <row r="6976" spans="31:31" ht="15.75" customHeight="1">
      <c r="AE6976"/>
    </row>
    <row r="6977" spans="31:31" ht="15.75" customHeight="1">
      <c r="AE6977"/>
    </row>
    <row r="6978" spans="31:31" ht="15.75" customHeight="1">
      <c r="AE6978"/>
    </row>
    <row r="6979" spans="31:31" ht="15.75" customHeight="1">
      <c r="AE6979"/>
    </row>
    <row r="6980" spans="31:31" ht="15.75" customHeight="1">
      <c r="AE6980"/>
    </row>
    <row r="6981" spans="31:31" ht="15.75" customHeight="1">
      <c r="AE6981"/>
    </row>
    <row r="6982" spans="31:31" ht="15.75" customHeight="1">
      <c r="AE6982"/>
    </row>
    <row r="6983" spans="31:31" ht="15.75" customHeight="1">
      <c r="AE6983"/>
    </row>
    <row r="6984" spans="31:31" ht="15.75" customHeight="1">
      <c r="AE6984"/>
    </row>
    <row r="6985" spans="31:31" ht="15.75" customHeight="1">
      <c r="AE6985"/>
    </row>
    <row r="6986" spans="31:31" ht="15.75" customHeight="1">
      <c r="AE6986"/>
    </row>
    <row r="6987" spans="31:31" ht="15.75" customHeight="1">
      <c r="AE6987"/>
    </row>
    <row r="6988" spans="31:31" ht="15.75" customHeight="1">
      <c r="AE6988"/>
    </row>
    <row r="6989" spans="31:31" ht="15.75" customHeight="1">
      <c r="AE6989"/>
    </row>
    <row r="6990" spans="31:31" ht="15.75" customHeight="1">
      <c r="AE6990"/>
    </row>
    <row r="6991" spans="31:31" ht="15.75" customHeight="1">
      <c r="AE6991"/>
    </row>
    <row r="6992" spans="31:31" ht="15.75" customHeight="1">
      <c r="AE6992"/>
    </row>
    <row r="6993" spans="31:31" ht="15.75" customHeight="1">
      <c r="AE6993"/>
    </row>
    <row r="6994" spans="31:31" ht="15.75" customHeight="1">
      <c r="AE6994"/>
    </row>
    <row r="6995" spans="31:31" ht="15.75" customHeight="1">
      <c r="AE6995"/>
    </row>
    <row r="6996" spans="31:31" ht="15.75" customHeight="1">
      <c r="AE6996"/>
    </row>
    <row r="6997" spans="31:31" ht="15.75" customHeight="1">
      <c r="AE6997"/>
    </row>
    <row r="6998" spans="31:31" ht="15.75" customHeight="1">
      <c r="AE6998"/>
    </row>
    <row r="6999" spans="31:31" ht="15.75" customHeight="1">
      <c r="AE6999"/>
    </row>
    <row r="7000" spans="31:31" ht="15.75" customHeight="1">
      <c r="AE7000"/>
    </row>
    <row r="7001" spans="31:31" ht="15.75" customHeight="1">
      <c r="AE7001"/>
    </row>
    <row r="7002" spans="31:31" ht="15.75" customHeight="1">
      <c r="AE7002"/>
    </row>
    <row r="7003" spans="31:31" ht="15.75" customHeight="1">
      <c r="AE7003"/>
    </row>
    <row r="7004" spans="31:31" ht="15.75" customHeight="1">
      <c r="AE7004"/>
    </row>
    <row r="7005" spans="31:31" ht="15.75" customHeight="1">
      <c r="AE7005"/>
    </row>
    <row r="7006" spans="31:31" ht="15.75" customHeight="1">
      <c r="AE7006"/>
    </row>
    <row r="7007" spans="31:31" ht="15.75" customHeight="1">
      <c r="AE7007"/>
    </row>
    <row r="7008" spans="31:31" ht="15.75" customHeight="1">
      <c r="AE7008"/>
    </row>
    <row r="7009" spans="31:31" ht="15.75" customHeight="1">
      <c r="AE7009"/>
    </row>
    <row r="7010" spans="31:31" ht="15.75" customHeight="1">
      <c r="AE7010"/>
    </row>
    <row r="7011" spans="31:31" ht="15.75" customHeight="1">
      <c r="AE7011"/>
    </row>
    <row r="7012" spans="31:31" ht="15.75" customHeight="1">
      <c r="AE7012"/>
    </row>
    <row r="7013" spans="31:31" ht="15.75" customHeight="1">
      <c r="AE7013"/>
    </row>
    <row r="7014" spans="31:31" ht="15.75" customHeight="1">
      <c r="AE7014"/>
    </row>
    <row r="7015" spans="31:31" ht="15.75" customHeight="1">
      <c r="AE7015"/>
    </row>
    <row r="7016" spans="31:31" ht="15.75" customHeight="1">
      <c r="AE7016"/>
    </row>
    <row r="7017" spans="31:31" ht="15.75" customHeight="1">
      <c r="AE7017"/>
    </row>
    <row r="7018" spans="31:31" ht="15.75" customHeight="1">
      <c r="AE7018"/>
    </row>
    <row r="7019" spans="31:31" ht="15.75" customHeight="1">
      <c r="AE7019"/>
    </row>
    <row r="7020" spans="31:31" ht="15.75" customHeight="1">
      <c r="AE7020"/>
    </row>
    <row r="7021" spans="31:31" ht="15.75" customHeight="1">
      <c r="AE7021"/>
    </row>
    <row r="7022" spans="31:31" ht="15.75" customHeight="1">
      <c r="AE7022"/>
    </row>
    <row r="7023" spans="31:31" ht="15.75" customHeight="1">
      <c r="AE7023"/>
    </row>
    <row r="7024" spans="31:31" ht="15.75" customHeight="1">
      <c r="AE7024"/>
    </row>
    <row r="7025" spans="31:31" ht="15.75" customHeight="1">
      <c r="AE7025"/>
    </row>
    <row r="7026" spans="31:31" ht="15.75" customHeight="1">
      <c r="AE7026"/>
    </row>
    <row r="7027" spans="31:31" ht="15.75" customHeight="1">
      <c r="AE7027"/>
    </row>
    <row r="7028" spans="31:31" ht="15.75" customHeight="1">
      <c r="AE7028"/>
    </row>
    <row r="7029" spans="31:31" ht="15.75" customHeight="1">
      <c r="AE7029"/>
    </row>
    <row r="7030" spans="31:31" ht="15.75" customHeight="1">
      <c r="AE7030"/>
    </row>
    <row r="7031" spans="31:31" ht="15.75" customHeight="1">
      <c r="AE7031"/>
    </row>
    <row r="7032" spans="31:31" ht="15.75" customHeight="1">
      <c r="AE7032"/>
    </row>
    <row r="7033" spans="31:31" ht="15.75" customHeight="1">
      <c r="AE7033"/>
    </row>
    <row r="7034" spans="31:31" ht="15.75" customHeight="1">
      <c r="AE7034"/>
    </row>
    <row r="7035" spans="31:31" ht="15.75" customHeight="1">
      <c r="AE7035"/>
    </row>
    <row r="7036" spans="31:31" ht="15.75" customHeight="1">
      <c r="AE7036"/>
    </row>
    <row r="7037" spans="31:31" ht="15.75" customHeight="1">
      <c r="AE7037"/>
    </row>
    <row r="7038" spans="31:31" ht="15.75" customHeight="1">
      <c r="AE7038"/>
    </row>
    <row r="7039" spans="31:31" ht="15.75" customHeight="1">
      <c r="AE7039"/>
    </row>
    <row r="7040" spans="31:31" ht="15.75" customHeight="1">
      <c r="AE7040"/>
    </row>
    <row r="7041" spans="31:31" ht="15.75" customHeight="1">
      <c r="AE7041"/>
    </row>
    <row r="7042" spans="31:31" ht="15.75" customHeight="1">
      <c r="AE7042"/>
    </row>
    <row r="7043" spans="31:31" ht="15.75" customHeight="1">
      <c r="AE7043"/>
    </row>
    <row r="7044" spans="31:31" ht="15.75" customHeight="1">
      <c r="AE7044"/>
    </row>
    <row r="7045" spans="31:31" ht="15.75" customHeight="1">
      <c r="AE7045"/>
    </row>
    <row r="7046" spans="31:31" ht="15.75" customHeight="1">
      <c r="AE7046"/>
    </row>
    <row r="7047" spans="31:31" ht="15.75" customHeight="1">
      <c r="AE7047"/>
    </row>
    <row r="7048" spans="31:31" ht="15.75" customHeight="1">
      <c r="AE7048"/>
    </row>
    <row r="7049" spans="31:31" ht="15.75" customHeight="1">
      <c r="AE7049"/>
    </row>
    <row r="7050" spans="31:31" ht="15.75" customHeight="1">
      <c r="AE7050"/>
    </row>
    <row r="7051" spans="31:31" ht="15.75" customHeight="1">
      <c r="AE7051"/>
    </row>
    <row r="7052" spans="31:31" ht="15.75" customHeight="1">
      <c r="AE7052"/>
    </row>
    <row r="7053" spans="31:31" ht="15.75" customHeight="1">
      <c r="AE7053"/>
    </row>
    <row r="7054" spans="31:31" ht="15.75" customHeight="1">
      <c r="AE7054"/>
    </row>
    <row r="7055" spans="31:31" ht="15.75" customHeight="1">
      <c r="AE7055"/>
    </row>
    <row r="7056" spans="31:31" ht="15.75" customHeight="1">
      <c r="AE7056"/>
    </row>
    <row r="7057" spans="31:31" ht="15.75" customHeight="1">
      <c r="AE7057"/>
    </row>
    <row r="7058" spans="31:31" ht="15.75" customHeight="1">
      <c r="AE7058"/>
    </row>
    <row r="7059" spans="31:31" ht="15.75" customHeight="1">
      <c r="AE7059"/>
    </row>
    <row r="7060" spans="31:31" ht="15.75" customHeight="1">
      <c r="AE7060"/>
    </row>
    <row r="7061" spans="31:31" ht="15.75" customHeight="1">
      <c r="AE7061"/>
    </row>
    <row r="7062" spans="31:31" ht="15.75" customHeight="1">
      <c r="AE7062"/>
    </row>
    <row r="7063" spans="31:31" ht="15.75" customHeight="1">
      <c r="AE7063"/>
    </row>
    <row r="7064" spans="31:31" ht="15.75" customHeight="1">
      <c r="AE7064"/>
    </row>
    <row r="7065" spans="31:31" ht="15.75" customHeight="1">
      <c r="AE7065"/>
    </row>
    <row r="7066" spans="31:31" ht="15.75" customHeight="1">
      <c r="AE7066"/>
    </row>
    <row r="7067" spans="31:31" ht="15.75" customHeight="1">
      <c r="AE7067"/>
    </row>
    <row r="7068" spans="31:31" ht="15.75" customHeight="1">
      <c r="AE7068"/>
    </row>
    <row r="7069" spans="31:31" ht="15.75" customHeight="1">
      <c r="AE7069"/>
    </row>
    <row r="7070" spans="31:31" ht="15.75" customHeight="1">
      <c r="AE7070"/>
    </row>
    <row r="7071" spans="31:31" ht="15.75" customHeight="1">
      <c r="AE7071"/>
    </row>
    <row r="7072" spans="31:31" ht="15.75" customHeight="1">
      <c r="AE7072"/>
    </row>
    <row r="7073" spans="31:31" ht="15.75" customHeight="1">
      <c r="AE7073"/>
    </row>
    <row r="7074" spans="31:31" ht="15.75" customHeight="1">
      <c r="AE7074"/>
    </row>
    <row r="7075" spans="31:31" ht="15.75" customHeight="1">
      <c r="AE7075"/>
    </row>
    <row r="7076" spans="31:31" ht="15.75" customHeight="1">
      <c r="AE7076"/>
    </row>
    <row r="7077" spans="31:31" ht="15.75" customHeight="1">
      <c r="AE7077"/>
    </row>
    <row r="7078" spans="31:31" ht="15.75" customHeight="1">
      <c r="AE7078"/>
    </row>
    <row r="7079" spans="31:31" ht="15.75" customHeight="1">
      <c r="AE7079"/>
    </row>
    <row r="7080" spans="31:31" ht="15.75" customHeight="1">
      <c r="AE7080"/>
    </row>
    <row r="7081" spans="31:31" ht="15.75" customHeight="1">
      <c r="AE7081"/>
    </row>
    <row r="7082" spans="31:31" ht="15.75" customHeight="1">
      <c r="AE7082"/>
    </row>
    <row r="7083" spans="31:31" ht="15.75" customHeight="1">
      <c r="AE7083"/>
    </row>
    <row r="7084" spans="31:31" ht="15.75" customHeight="1">
      <c r="AE7084"/>
    </row>
    <row r="7085" spans="31:31" ht="15.75" customHeight="1">
      <c r="AE7085"/>
    </row>
    <row r="7086" spans="31:31" ht="15.75" customHeight="1">
      <c r="AE7086"/>
    </row>
    <row r="7087" spans="31:31" ht="15.75" customHeight="1">
      <c r="AE7087"/>
    </row>
    <row r="7088" spans="31:31" ht="15.75" customHeight="1">
      <c r="AE7088"/>
    </row>
    <row r="7089" spans="31:31" ht="15.75" customHeight="1">
      <c r="AE7089"/>
    </row>
    <row r="7090" spans="31:31" ht="15.75" customHeight="1">
      <c r="AE7090"/>
    </row>
    <row r="7091" spans="31:31" ht="15.75" customHeight="1">
      <c r="AE7091"/>
    </row>
    <row r="7092" spans="31:31" ht="15.75" customHeight="1">
      <c r="AE7092"/>
    </row>
    <row r="7093" spans="31:31" ht="15.75" customHeight="1">
      <c r="AE7093"/>
    </row>
    <row r="7094" spans="31:31" ht="15.75" customHeight="1">
      <c r="AE7094"/>
    </row>
    <row r="7095" spans="31:31" ht="15.75" customHeight="1">
      <c r="AE7095"/>
    </row>
    <row r="7096" spans="31:31" ht="15.75" customHeight="1">
      <c r="AE7096"/>
    </row>
    <row r="7097" spans="31:31" ht="15.75" customHeight="1">
      <c r="AE7097"/>
    </row>
    <row r="7098" spans="31:31" ht="15.75" customHeight="1">
      <c r="AE7098"/>
    </row>
    <row r="7099" spans="31:31" ht="15.75" customHeight="1">
      <c r="AE7099"/>
    </row>
    <row r="7100" spans="31:31" ht="15.75" customHeight="1">
      <c r="AE7100"/>
    </row>
    <row r="7101" spans="31:31" ht="15.75" customHeight="1">
      <c r="AE7101"/>
    </row>
    <row r="7102" spans="31:31" ht="15.75" customHeight="1">
      <c r="AE7102"/>
    </row>
    <row r="7103" spans="31:31" ht="15.75" customHeight="1">
      <c r="AE7103"/>
    </row>
    <row r="7104" spans="31:31" ht="15.75" customHeight="1">
      <c r="AE7104"/>
    </row>
    <row r="7105" spans="31:31" ht="15.75" customHeight="1">
      <c r="AE7105"/>
    </row>
    <row r="7106" spans="31:31" ht="15.75" customHeight="1">
      <c r="AE7106"/>
    </row>
    <row r="7107" spans="31:31" ht="15.75" customHeight="1">
      <c r="AE7107"/>
    </row>
    <row r="7108" spans="31:31" ht="15.75" customHeight="1">
      <c r="AE7108"/>
    </row>
    <row r="7109" spans="31:31" ht="15.75" customHeight="1">
      <c r="AE7109"/>
    </row>
    <row r="7110" spans="31:31" ht="15.75" customHeight="1">
      <c r="AE7110"/>
    </row>
    <row r="7111" spans="31:31" ht="15.75" customHeight="1">
      <c r="AE7111"/>
    </row>
    <row r="7112" spans="31:31" ht="15.75" customHeight="1">
      <c r="AE7112"/>
    </row>
    <row r="7113" spans="31:31" ht="15.75" customHeight="1">
      <c r="AE7113"/>
    </row>
    <row r="7114" spans="31:31" ht="15.75" customHeight="1">
      <c r="AE7114"/>
    </row>
    <row r="7115" spans="31:31" ht="15.75" customHeight="1">
      <c r="AE7115"/>
    </row>
    <row r="7116" spans="31:31" ht="15.75" customHeight="1">
      <c r="AE7116"/>
    </row>
    <row r="7117" spans="31:31" ht="15.75" customHeight="1">
      <c r="AE7117"/>
    </row>
    <row r="7118" spans="31:31" ht="15.75" customHeight="1">
      <c r="AE7118"/>
    </row>
    <row r="7119" spans="31:31" ht="15.75" customHeight="1">
      <c r="AE7119"/>
    </row>
    <row r="7120" spans="31:31" ht="15.75" customHeight="1">
      <c r="AE7120"/>
    </row>
    <row r="7121" spans="31:31" ht="15.75" customHeight="1">
      <c r="AE7121"/>
    </row>
    <row r="7122" spans="31:31" ht="15.75" customHeight="1">
      <c r="AE7122"/>
    </row>
    <row r="7123" spans="31:31" ht="15.75" customHeight="1">
      <c r="AE7123"/>
    </row>
    <row r="7124" spans="31:31" ht="15.75" customHeight="1">
      <c r="AE7124"/>
    </row>
    <row r="7125" spans="31:31" ht="15.75" customHeight="1">
      <c r="AE7125"/>
    </row>
    <row r="7126" spans="31:31" ht="15.75" customHeight="1">
      <c r="AE7126"/>
    </row>
    <row r="7127" spans="31:31" ht="15.75" customHeight="1">
      <c r="AE7127"/>
    </row>
    <row r="7128" spans="31:31" ht="15.75" customHeight="1">
      <c r="AE7128"/>
    </row>
    <row r="7129" spans="31:31" ht="15.75" customHeight="1">
      <c r="AE7129"/>
    </row>
    <row r="7130" spans="31:31" ht="15.75" customHeight="1">
      <c r="AE7130"/>
    </row>
    <row r="7131" spans="31:31" ht="15.75" customHeight="1">
      <c r="AE7131"/>
    </row>
    <row r="7132" spans="31:31" ht="15.75" customHeight="1">
      <c r="AE7132"/>
    </row>
    <row r="7133" spans="31:31" ht="15.75" customHeight="1">
      <c r="AE7133"/>
    </row>
    <row r="7134" spans="31:31" ht="15.75" customHeight="1">
      <c r="AE7134"/>
    </row>
    <row r="7135" spans="31:31" ht="15.75" customHeight="1">
      <c r="AE7135"/>
    </row>
    <row r="7136" spans="31:31" ht="15.75" customHeight="1">
      <c r="AE7136"/>
    </row>
    <row r="7137" spans="31:31" ht="15.75" customHeight="1">
      <c r="AE7137"/>
    </row>
    <row r="7138" spans="31:31" ht="15.75" customHeight="1">
      <c r="AE7138"/>
    </row>
    <row r="7139" spans="31:31" ht="15.75" customHeight="1">
      <c r="AE7139"/>
    </row>
    <row r="7140" spans="31:31" ht="15.75" customHeight="1">
      <c r="AE7140"/>
    </row>
    <row r="7141" spans="31:31" ht="15.75" customHeight="1">
      <c r="AE7141"/>
    </row>
    <row r="7142" spans="31:31" ht="15.75" customHeight="1">
      <c r="AE7142"/>
    </row>
    <row r="7143" spans="31:31" ht="15.75" customHeight="1">
      <c r="AE7143"/>
    </row>
    <row r="7144" spans="31:31" ht="15.75" customHeight="1">
      <c r="AE7144"/>
    </row>
    <row r="7145" spans="31:31" ht="15.75" customHeight="1">
      <c r="AE7145"/>
    </row>
    <row r="7146" spans="31:31" ht="15.75" customHeight="1">
      <c r="AE7146"/>
    </row>
    <row r="7147" spans="31:31" ht="15.75" customHeight="1">
      <c r="AE7147"/>
    </row>
    <row r="7148" spans="31:31" ht="15.75" customHeight="1">
      <c r="AE7148"/>
    </row>
    <row r="7149" spans="31:31" ht="15.75" customHeight="1">
      <c r="AE7149"/>
    </row>
    <row r="7150" spans="31:31" ht="15.75" customHeight="1">
      <c r="AE7150"/>
    </row>
    <row r="7151" spans="31:31" ht="15.75" customHeight="1">
      <c r="AE7151"/>
    </row>
    <row r="7152" spans="31:31" ht="15.75" customHeight="1">
      <c r="AE7152"/>
    </row>
    <row r="7153" spans="31:31" ht="15.75" customHeight="1">
      <c r="AE7153"/>
    </row>
    <row r="7154" spans="31:31" ht="15.75" customHeight="1">
      <c r="AE7154"/>
    </row>
    <row r="7155" spans="31:31" ht="15.75" customHeight="1">
      <c r="AE7155"/>
    </row>
    <row r="7156" spans="31:31" ht="15.75" customHeight="1">
      <c r="AE7156"/>
    </row>
    <row r="7157" spans="31:31" ht="15.75" customHeight="1">
      <c r="AE7157"/>
    </row>
    <row r="7158" spans="31:31" ht="15.75" customHeight="1">
      <c r="AE7158"/>
    </row>
    <row r="7159" spans="31:31" ht="15.75" customHeight="1">
      <c r="AE7159"/>
    </row>
    <row r="7160" spans="31:31" ht="15.75" customHeight="1">
      <c r="AE7160"/>
    </row>
    <row r="7161" spans="31:31" ht="15.75" customHeight="1">
      <c r="AE7161"/>
    </row>
    <row r="7162" spans="31:31" ht="15.75" customHeight="1">
      <c r="AE7162"/>
    </row>
    <row r="7163" spans="31:31" ht="15.75" customHeight="1">
      <c r="AE7163"/>
    </row>
    <row r="7164" spans="31:31" ht="15.75" customHeight="1">
      <c r="AE7164"/>
    </row>
    <row r="7165" spans="31:31" ht="15.75" customHeight="1">
      <c r="AE7165"/>
    </row>
    <row r="7166" spans="31:31" ht="15.75" customHeight="1">
      <c r="AE7166"/>
    </row>
    <row r="7167" spans="31:31" ht="15.75" customHeight="1">
      <c r="AE7167"/>
    </row>
    <row r="7168" spans="31:31" ht="15.75" customHeight="1">
      <c r="AE7168"/>
    </row>
    <row r="7169" spans="31:31" ht="15.75" customHeight="1">
      <c r="AE7169"/>
    </row>
    <row r="7170" spans="31:31" ht="15.75" customHeight="1">
      <c r="AE7170"/>
    </row>
    <row r="7171" spans="31:31" ht="15.75" customHeight="1">
      <c r="AE7171"/>
    </row>
    <row r="7172" spans="31:31" ht="15.75" customHeight="1">
      <c r="AE7172"/>
    </row>
    <row r="7173" spans="31:31" ht="15.75" customHeight="1">
      <c r="AE7173"/>
    </row>
    <row r="7174" spans="31:31" ht="15.75" customHeight="1">
      <c r="AE7174"/>
    </row>
    <row r="7175" spans="31:31" ht="15.75" customHeight="1">
      <c r="AE7175"/>
    </row>
    <row r="7176" spans="31:31" ht="15.75" customHeight="1">
      <c r="AE7176"/>
    </row>
    <row r="7177" spans="31:31" ht="15.75" customHeight="1">
      <c r="AE7177"/>
    </row>
    <row r="7178" spans="31:31" ht="15.75" customHeight="1">
      <c r="AE7178"/>
    </row>
    <row r="7179" spans="31:31" ht="15.75" customHeight="1">
      <c r="AE7179"/>
    </row>
    <row r="7180" spans="31:31" ht="15.75" customHeight="1">
      <c r="AE7180"/>
    </row>
    <row r="7181" spans="31:31" ht="15.75" customHeight="1">
      <c r="AE7181"/>
    </row>
    <row r="7182" spans="31:31" ht="15.75" customHeight="1">
      <c r="AE7182"/>
    </row>
    <row r="7183" spans="31:31" ht="15.75" customHeight="1">
      <c r="AE7183"/>
    </row>
    <row r="7184" spans="31:31" ht="15.75" customHeight="1">
      <c r="AE7184"/>
    </row>
    <row r="7185" spans="31:31" ht="15.75" customHeight="1">
      <c r="AE7185"/>
    </row>
    <row r="7186" spans="31:31" ht="15.75" customHeight="1">
      <c r="AE7186"/>
    </row>
    <row r="7187" spans="31:31" ht="15.75" customHeight="1">
      <c r="AE7187"/>
    </row>
    <row r="7188" spans="31:31" ht="15.75" customHeight="1">
      <c r="AE7188"/>
    </row>
    <row r="7189" spans="31:31" ht="15.75" customHeight="1">
      <c r="AE7189"/>
    </row>
    <row r="7190" spans="31:31" ht="15.75" customHeight="1">
      <c r="AE7190"/>
    </row>
    <row r="7191" spans="31:31" ht="15.75" customHeight="1">
      <c r="AE7191"/>
    </row>
    <row r="7192" spans="31:31" ht="15.75" customHeight="1">
      <c r="AE7192"/>
    </row>
    <row r="7193" spans="31:31" ht="15.75" customHeight="1">
      <c r="AE7193"/>
    </row>
    <row r="7194" spans="31:31" ht="15.75" customHeight="1">
      <c r="AE7194"/>
    </row>
    <row r="7195" spans="31:31" ht="15.75" customHeight="1">
      <c r="AE7195"/>
    </row>
    <row r="7196" spans="31:31" ht="15.75" customHeight="1">
      <c r="AE7196"/>
    </row>
    <row r="7197" spans="31:31" ht="15.75" customHeight="1">
      <c r="AE7197"/>
    </row>
    <row r="7198" spans="31:31" ht="15.75" customHeight="1">
      <c r="AE7198"/>
    </row>
    <row r="7199" spans="31:31" ht="15.75" customHeight="1">
      <c r="AE7199"/>
    </row>
    <row r="7200" spans="31:31" ht="15.75" customHeight="1">
      <c r="AE7200"/>
    </row>
    <row r="7201" spans="31:31" ht="15.75" customHeight="1">
      <c r="AE7201"/>
    </row>
    <row r="7202" spans="31:31" ht="15.75" customHeight="1">
      <c r="AE7202"/>
    </row>
    <row r="7203" spans="31:31" ht="15.75" customHeight="1">
      <c r="AE7203"/>
    </row>
    <row r="7204" spans="31:31" ht="15.75" customHeight="1">
      <c r="AE7204"/>
    </row>
    <row r="7205" spans="31:31" ht="15.75" customHeight="1">
      <c r="AE7205"/>
    </row>
    <row r="7206" spans="31:31" ht="15.75" customHeight="1">
      <c r="AE7206"/>
    </row>
    <row r="7207" spans="31:31" ht="15.75" customHeight="1">
      <c r="AE7207"/>
    </row>
    <row r="7208" spans="31:31" ht="15.75" customHeight="1">
      <c r="AE7208"/>
    </row>
    <row r="7209" spans="31:31" ht="15.75" customHeight="1">
      <c r="AE7209"/>
    </row>
    <row r="7210" spans="31:31" ht="15.75" customHeight="1">
      <c r="AE7210"/>
    </row>
    <row r="7211" spans="31:31" ht="15.75" customHeight="1">
      <c r="AE7211"/>
    </row>
    <row r="7212" spans="31:31" ht="15.75" customHeight="1">
      <c r="AE7212"/>
    </row>
    <row r="7213" spans="31:31" ht="15.75" customHeight="1">
      <c r="AE7213"/>
    </row>
    <row r="7214" spans="31:31" ht="15.75" customHeight="1">
      <c r="AE7214"/>
    </row>
    <row r="7215" spans="31:31" ht="15.75" customHeight="1">
      <c r="AE7215"/>
    </row>
    <row r="7216" spans="31:31" ht="15.75" customHeight="1">
      <c r="AE7216"/>
    </row>
    <row r="7217" spans="31:31" ht="15.75" customHeight="1">
      <c r="AE7217"/>
    </row>
    <row r="7218" spans="31:31" ht="15.75" customHeight="1">
      <c r="AE7218"/>
    </row>
    <row r="7219" spans="31:31" ht="15.75" customHeight="1">
      <c r="AE7219"/>
    </row>
    <row r="7220" spans="31:31" ht="15.75" customHeight="1">
      <c r="AE7220"/>
    </row>
    <row r="7221" spans="31:31" ht="15.75" customHeight="1">
      <c r="AE7221"/>
    </row>
    <row r="7222" spans="31:31" ht="15.75" customHeight="1">
      <c r="AE7222"/>
    </row>
    <row r="7223" spans="31:31" ht="15.75" customHeight="1">
      <c r="AE7223"/>
    </row>
    <row r="7224" spans="31:31" ht="15.75" customHeight="1">
      <c r="AE7224"/>
    </row>
    <row r="7225" spans="31:31" ht="15.75" customHeight="1">
      <c r="AE7225"/>
    </row>
    <row r="7226" spans="31:31" ht="15.75" customHeight="1">
      <c r="AE7226"/>
    </row>
    <row r="7227" spans="31:31" ht="15.75" customHeight="1">
      <c r="AE7227"/>
    </row>
    <row r="7228" spans="31:31" ht="15.75" customHeight="1">
      <c r="AE7228"/>
    </row>
    <row r="7229" spans="31:31" ht="15.75" customHeight="1">
      <c r="AE7229"/>
    </row>
    <row r="7230" spans="31:31" ht="15.75" customHeight="1">
      <c r="AE7230"/>
    </row>
    <row r="7231" spans="31:31" ht="15.75" customHeight="1">
      <c r="AE7231"/>
    </row>
    <row r="7232" spans="31:31" ht="15.75" customHeight="1">
      <c r="AE7232"/>
    </row>
    <row r="7233" spans="31:31" ht="15.75" customHeight="1">
      <c r="AE7233"/>
    </row>
    <row r="7234" spans="31:31" ht="15.75" customHeight="1">
      <c r="AE7234"/>
    </row>
    <row r="7235" spans="31:31" ht="15.75" customHeight="1">
      <c r="AE7235"/>
    </row>
    <row r="7236" spans="31:31" ht="15.75" customHeight="1">
      <c r="AE7236"/>
    </row>
    <row r="7237" spans="31:31" ht="15.75" customHeight="1">
      <c r="AE7237"/>
    </row>
    <row r="7238" spans="31:31" ht="15.75" customHeight="1">
      <c r="AE7238"/>
    </row>
    <row r="7239" spans="31:31" ht="15.75" customHeight="1">
      <c r="AE7239"/>
    </row>
    <row r="7240" spans="31:31" ht="15.75" customHeight="1">
      <c r="AE7240"/>
    </row>
    <row r="7241" spans="31:31" ht="15.75" customHeight="1">
      <c r="AE7241"/>
    </row>
    <row r="7242" spans="31:31" ht="15.75" customHeight="1">
      <c r="AE7242"/>
    </row>
    <row r="7243" spans="31:31" ht="15.75" customHeight="1">
      <c r="AE7243"/>
    </row>
    <row r="7244" spans="31:31" ht="15.75" customHeight="1">
      <c r="AE7244"/>
    </row>
    <row r="7245" spans="31:31" ht="15.75" customHeight="1">
      <c r="AE7245"/>
    </row>
    <row r="7246" spans="31:31" ht="15.75" customHeight="1">
      <c r="AE7246"/>
    </row>
    <row r="7247" spans="31:31" ht="15.75" customHeight="1">
      <c r="AE7247"/>
    </row>
    <row r="7248" spans="31:31" ht="15.75" customHeight="1">
      <c r="AE7248"/>
    </row>
    <row r="7249" spans="31:31" ht="15.75" customHeight="1">
      <c r="AE7249"/>
    </row>
    <row r="7250" spans="31:31" ht="15.75" customHeight="1">
      <c r="AE7250"/>
    </row>
    <row r="7251" spans="31:31" ht="15.75" customHeight="1">
      <c r="AE7251"/>
    </row>
    <row r="7252" spans="31:31" ht="15.75" customHeight="1">
      <c r="AE7252"/>
    </row>
    <row r="7253" spans="31:31" ht="15.75" customHeight="1">
      <c r="AE7253"/>
    </row>
    <row r="7254" spans="31:31" ht="15.75" customHeight="1">
      <c r="AE7254"/>
    </row>
    <row r="7255" spans="31:31" ht="15.75" customHeight="1">
      <c r="AE7255"/>
    </row>
    <row r="7256" spans="31:31" ht="15.75" customHeight="1">
      <c r="AE7256"/>
    </row>
    <row r="7257" spans="31:31" ht="15.75" customHeight="1">
      <c r="AE7257"/>
    </row>
    <row r="7258" spans="31:31" ht="15.75" customHeight="1">
      <c r="AE7258"/>
    </row>
    <row r="7259" spans="31:31" ht="15.75" customHeight="1">
      <c r="AE7259"/>
    </row>
    <row r="7260" spans="31:31" ht="15.75" customHeight="1">
      <c r="AE7260"/>
    </row>
    <row r="7261" spans="31:31" ht="15.75" customHeight="1">
      <c r="AE7261"/>
    </row>
    <row r="7262" spans="31:31" ht="15.75" customHeight="1">
      <c r="AE7262"/>
    </row>
    <row r="7263" spans="31:31" ht="15.75" customHeight="1">
      <c r="AE7263"/>
    </row>
    <row r="7264" spans="31:31" ht="15.75" customHeight="1">
      <c r="AE7264"/>
    </row>
    <row r="7265" spans="31:31" ht="15.75" customHeight="1">
      <c r="AE7265"/>
    </row>
    <row r="7266" spans="31:31" ht="15.75" customHeight="1">
      <c r="AE7266"/>
    </row>
    <row r="7267" spans="31:31" ht="15.75" customHeight="1">
      <c r="AE7267"/>
    </row>
    <row r="7268" spans="31:31" ht="15.75" customHeight="1">
      <c r="AE7268"/>
    </row>
    <row r="7269" spans="31:31" ht="15.75" customHeight="1">
      <c r="AE7269"/>
    </row>
    <row r="7270" spans="31:31" ht="15.75" customHeight="1">
      <c r="AE7270"/>
    </row>
    <row r="7271" spans="31:31" ht="15.75" customHeight="1">
      <c r="AE7271"/>
    </row>
    <row r="7272" spans="31:31" ht="15.75" customHeight="1">
      <c r="AE7272"/>
    </row>
    <row r="7273" spans="31:31" ht="15.75" customHeight="1">
      <c r="AE7273"/>
    </row>
    <row r="7274" spans="31:31" ht="15.75" customHeight="1">
      <c r="AE7274"/>
    </row>
    <row r="7275" spans="31:31" ht="15.75" customHeight="1">
      <c r="AE7275"/>
    </row>
    <row r="7276" spans="31:31" ht="15.75" customHeight="1">
      <c r="AE7276"/>
    </row>
    <row r="7277" spans="31:31" ht="15.75" customHeight="1">
      <c r="AE7277"/>
    </row>
    <row r="7278" spans="31:31" ht="15.75" customHeight="1">
      <c r="AE7278"/>
    </row>
    <row r="7279" spans="31:31" ht="15.75" customHeight="1">
      <c r="AE7279"/>
    </row>
    <row r="7280" spans="31:31" ht="15.75" customHeight="1">
      <c r="AE7280"/>
    </row>
    <row r="7281" spans="31:31" ht="15.75" customHeight="1">
      <c r="AE7281"/>
    </row>
    <row r="7282" spans="31:31" ht="15.75" customHeight="1">
      <c r="AE7282"/>
    </row>
    <row r="7283" spans="31:31" ht="15.75" customHeight="1">
      <c r="AE7283"/>
    </row>
    <row r="7284" spans="31:31" ht="15.75" customHeight="1">
      <c r="AE7284"/>
    </row>
    <row r="7285" spans="31:31" ht="15.75" customHeight="1">
      <c r="AE7285"/>
    </row>
    <row r="7286" spans="31:31" ht="15.75" customHeight="1">
      <c r="AE7286"/>
    </row>
    <row r="7287" spans="31:31" ht="15.75" customHeight="1">
      <c r="AE7287"/>
    </row>
    <row r="7288" spans="31:31" ht="15.75" customHeight="1">
      <c r="AE7288"/>
    </row>
    <row r="7289" spans="31:31" ht="15.75" customHeight="1">
      <c r="AE7289"/>
    </row>
    <row r="7290" spans="31:31" ht="15.75" customHeight="1">
      <c r="AE7290"/>
    </row>
    <row r="7291" spans="31:31" ht="15.75" customHeight="1">
      <c r="AE7291"/>
    </row>
    <row r="7292" spans="31:31" ht="15.75" customHeight="1">
      <c r="AE7292"/>
    </row>
    <row r="7293" spans="31:31" ht="15.75" customHeight="1">
      <c r="AE7293"/>
    </row>
    <row r="7294" spans="31:31" ht="15.75" customHeight="1">
      <c r="AE7294"/>
    </row>
    <row r="7295" spans="31:31" ht="15.75" customHeight="1">
      <c r="AE7295"/>
    </row>
    <row r="7296" spans="31:31" ht="15.75" customHeight="1">
      <c r="AE7296"/>
    </row>
    <row r="7297" spans="31:31" ht="15.75" customHeight="1">
      <c r="AE7297"/>
    </row>
    <row r="7298" spans="31:31" ht="15.75" customHeight="1">
      <c r="AE7298"/>
    </row>
    <row r="7299" spans="31:31" ht="15.75" customHeight="1">
      <c r="AE7299"/>
    </row>
    <row r="7300" spans="31:31" ht="15.75" customHeight="1">
      <c r="AE7300"/>
    </row>
    <row r="7301" spans="31:31" ht="15.75" customHeight="1">
      <c r="AE7301"/>
    </row>
    <row r="7302" spans="31:31" ht="15.75" customHeight="1">
      <c r="AE7302"/>
    </row>
    <row r="7303" spans="31:31" ht="15.75" customHeight="1">
      <c r="AE7303"/>
    </row>
    <row r="7304" spans="31:31" ht="15.75" customHeight="1">
      <c r="AE7304"/>
    </row>
    <row r="7305" spans="31:31" ht="15.75" customHeight="1">
      <c r="AE7305"/>
    </row>
    <row r="7306" spans="31:31" ht="15.75" customHeight="1">
      <c r="AE7306"/>
    </row>
    <row r="7307" spans="31:31" ht="15.75" customHeight="1">
      <c r="AE7307"/>
    </row>
    <row r="7308" spans="31:31" ht="15.75" customHeight="1">
      <c r="AE7308"/>
    </row>
    <row r="7309" spans="31:31" ht="15.75" customHeight="1">
      <c r="AE7309"/>
    </row>
    <row r="7310" spans="31:31" ht="15.75" customHeight="1">
      <c r="AE7310"/>
    </row>
    <row r="7311" spans="31:31" ht="15.75" customHeight="1">
      <c r="AE7311"/>
    </row>
    <row r="7312" spans="31:31" ht="15.75" customHeight="1">
      <c r="AE7312"/>
    </row>
    <row r="7313" spans="31:31" ht="15.75" customHeight="1">
      <c r="AE7313"/>
    </row>
    <row r="7314" spans="31:31" ht="15.75" customHeight="1">
      <c r="AE7314"/>
    </row>
    <row r="7315" spans="31:31" ht="15.75" customHeight="1">
      <c r="AE7315"/>
    </row>
    <row r="7316" spans="31:31" ht="15.75" customHeight="1">
      <c r="AE7316"/>
    </row>
    <row r="7317" spans="31:31" ht="15.75" customHeight="1">
      <c r="AE7317"/>
    </row>
    <row r="7318" spans="31:31" ht="15.75" customHeight="1">
      <c r="AE7318"/>
    </row>
    <row r="7319" spans="31:31" ht="15.75" customHeight="1">
      <c r="AE7319"/>
    </row>
    <row r="7320" spans="31:31" ht="15.75" customHeight="1">
      <c r="AE7320"/>
    </row>
    <row r="7321" spans="31:31" ht="15.75" customHeight="1">
      <c r="AE7321"/>
    </row>
    <row r="7322" spans="31:31" ht="15.75" customHeight="1">
      <c r="AE7322"/>
    </row>
    <row r="7323" spans="31:31" ht="15.75" customHeight="1">
      <c r="AE7323"/>
    </row>
    <row r="7324" spans="31:31" ht="15.75" customHeight="1">
      <c r="AE7324"/>
    </row>
    <row r="7325" spans="31:31" ht="15.75" customHeight="1">
      <c r="AE7325"/>
    </row>
    <row r="7326" spans="31:31" ht="15.75" customHeight="1">
      <c r="AE7326"/>
    </row>
    <row r="7327" spans="31:31" ht="15.75" customHeight="1">
      <c r="AE7327"/>
    </row>
    <row r="7328" spans="31:31" ht="15.75" customHeight="1">
      <c r="AE7328"/>
    </row>
    <row r="7329" spans="31:31" ht="15.75" customHeight="1">
      <c r="AE7329"/>
    </row>
    <row r="7330" spans="31:31" ht="15.75" customHeight="1">
      <c r="AE7330"/>
    </row>
    <row r="7331" spans="31:31" ht="15.75" customHeight="1">
      <c r="AE7331"/>
    </row>
    <row r="7332" spans="31:31" ht="15.75" customHeight="1">
      <c r="AE7332"/>
    </row>
    <row r="7333" spans="31:31" ht="15.75" customHeight="1">
      <c r="AE7333"/>
    </row>
    <row r="7334" spans="31:31" ht="15.75" customHeight="1">
      <c r="AE7334"/>
    </row>
    <row r="7335" spans="31:31" ht="15.75" customHeight="1">
      <c r="AE7335"/>
    </row>
    <row r="7336" spans="31:31" ht="15.75" customHeight="1">
      <c r="AE7336"/>
    </row>
    <row r="7337" spans="31:31" ht="15.75" customHeight="1">
      <c r="AE7337"/>
    </row>
    <row r="7338" spans="31:31" ht="15.75" customHeight="1">
      <c r="AE7338"/>
    </row>
    <row r="7339" spans="31:31" ht="15.75" customHeight="1">
      <c r="AE7339"/>
    </row>
    <row r="7340" spans="31:31" ht="15.75" customHeight="1">
      <c r="AE7340"/>
    </row>
    <row r="7341" spans="31:31" ht="15.75" customHeight="1">
      <c r="AE7341"/>
    </row>
    <row r="7342" spans="31:31" ht="15.75" customHeight="1">
      <c r="AE7342"/>
    </row>
    <row r="7343" spans="31:31" ht="15.75" customHeight="1">
      <c r="AE7343"/>
    </row>
    <row r="7344" spans="31:31" ht="15.75" customHeight="1">
      <c r="AE7344"/>
    </row>
    <row r="7345" spans="31:31" ht="15.75" customHeight="1">
      <c r="AE7345"/>
    </row>
    <row r="7346" spans="31:31" ht="15.75" customHeight="1">
      <c r="AE7346"/>
    </row>
    <row r="7347" spans="31:31" ht="15.75" customHeight="1">
      <c r="AE7347"/>
    </row>
    <row r="7348" spans="31:31" ht="15.75" customHeight="1">
      <c r="AE7348"/>
    </row>
    <row r="7349" spans="31:31" ht="15.75" customHeight="1">
      <c r="AE7349"/>
    </row>
    <row r="7350" spans="31:31" ht="15.75" customHeight="1">
      <c r="AE7350"/>
    </row>
    <row r="7351" spans="31:31" ht="15.75" customHeight="1">
      <c r="AE7351"/>
    </row>
    <row r="7352" spans="31:31" ht="15.75" customHeight="1">
      <c r="AE7352"/>
    </row>
    <row r="7353" spans="31:31" ht="15.75" customHeight="1">
      <c r="AE7353"/>
    </row>
    <row r="7354" spans="31:31" ht="15.75" customHeight="1">
      <c r="AE7354"/>
    </row>
    <row r="7355" spans="31:31" ht="15.75" customHeight="1">
      <c r="AE7355"/>
    </row>
    <row r="7356" spans="31:31" ht="15.75" customHeight="1">
      <c r="AE7356"/>
    </row>
    <row r="7357" spans="31:31" ht="15.75" customHeight="1">
      <c r="AE7357"/>
    </row>
    <row r="7358" spans="31:31" ht="15.75" customHeight="1">
      <c r="AE7358"/>
    </row>
    <row r="7359" spans="31:31" ht="15.75" customHeight="1">
      <c r="AE7359"/>
    </row>
    <row r="7360" spans="31:31" ht="15.75" customHeight="1">
      <c r="AE7360"/>
    </row>
    <row r="7361" spans="31:31" ht="15.75" customHeight="1">
      <c r="AE7361"/>
    </row>
    <row r="7362" spans="31:31" ht="15.75" customHeight="1">
      <c r="AE7362"/>
    </row>
    <row r="7363" spans="31:31" ht="15.75" customHeight="1">
      <c r="AE7363"/>
    </row>
    <row r="7364" spans="31:31" ht="15.75" customHeight="1">
      <c r="AE7364"/>
    </row>
    <row r="7365" spans="31:31" ht="15.75" customHeight="1">
      <c r="AE7365"/>
    </row>
    <row r="7366" spans="31:31" ht="15.75" customHeight="1">
      <c r="AE7366"/>
    </row>
    <row r="7367" spans="31:31" ht="15.75" customHeight="1">
      <c r="AE7367"/>
    </row>
    <row r="7368" spans="31:31" ht="15.75" customHeight="1">
      <c r="AE7368"/>
    </row>
    <row r="7369" spans="31:31" ht="15.75" customHeight="1">
      <c r="AE7369"/>
    </row>
    <row r="7370" spans="31:31" ht="15.75" customHeight="1">
      <c r="AE7370"/>
    </row>
    <row r="7371" spans="31:31" ht="15.75" customHeight="1">
      <c r="AE7371"/>
    </row>
    <row r="7372" spans="31:31" ht="15.75" customHeight="1">
      <c r="AE7372"/>
    </row>
    <row r="7373" spans="31:31" ht="15.75" customHeight="1">
      <c r="AE7373"/>
    </row>
    <row r="7374" spans="31:31" ht="15.75" customHeight="1">
      <c r="AE7374"/>
    </row>
    <row r="7375" spans="31:31" ht="15.75" customHeight="1">
      <c r="AE7375"/>
    </row>
    <row r="7376" spans="31:31" ht="15.75" customHeight="1">
      <c r="AE7376"/>
    </row>
    <row r="7377" spans="31:31" ht="15.75" customHeight="1">
      <c r="AE7377"/>
    </row>
    <row r="7378" spans="31:31" ht="15.75" customHeight="1">
      <c r="AE7378"/>
    </row>
    <row r="7379" spans="31:31" ht="15.75" customHeight="1">
      <c r="AE7379"/>
    </row>
    <row r="7380" spans="31:31" ht="15.75" customHeight="1">
      <c r="AE7380"/>
    </row>
    <row r="7381" spans="31:31" ht="15.75" customHeight="1">
      <c r="AE7381"/>
    </row>
    <row r="7382" spans="31:31" ht="15.75" customHeight="1">
      <c r="AE7382"/>
    </row>
    <row r="7383" spans="31:31" ht="15.75" customHeight="1">
      <c r="AE7383"/>
    </row>
    <row r="7384" spans="31:31" ht="15.75" customHeight="1">
      <c r="AE7384"/>
    </row>
    <row r="7385" spans="31:31" ht="15.75" customHeight="1">
      <c r="AE7385"/>
    </row>
    <row r="7386" spans="31:31" ht="15.75" customHeight="1">
      <c r="AE7386"/>
    </row>
    <row r="7387" spans="31:31" ht="15.75" customHeight="1">
      <c r="AE7387"/>
    </row>
    <row r="7388" spans="31:31" ht="15.75" customHeight="1">
      <c r="AE7388"/>
    </row>
    <row r="7389" spans="31:31" ht="15.75" customHeight="1">
      <c r="AE7389"/>
    </row>
    <row r="7390" spans="31:31" ht="15.75" customHeight="1">
      <c r="AE7390"/>
    </row>
    <row r="7391" spans="31:31" ht="15.75" customHeight="1">
      <c r="AE7391"/>
    </row>
    <row r="7392" spans="31:31" ht="15.75" customHeight="1">
      <c r="AE7392"/>
    </row>
    <row r="7393" spans="31:31" ht="15.75" customHeight="1">
      <c r="AE7393"/>
    </row>
    <row r="7394" spans="31:31" ht="15.75" customHeight="1">
      <c r="AE7394"/>
    </row>
    <row r="7395" spans="31:31" ht="15.75" customHeight="1">
      <c r="AE7395"/>
    </row>
    <row r="7396" spans="31:31" ht="15.75" customHeight="1">
      <c r="AE7396"/>
    </row>
    <row r="7397" spans="31:31" ht="15.75" customHeight="1">
      <c r="AE7397"/>
    </row>
    <row r="7398" spans="31:31" ht="15.75" customHeight="1">
      <c r="AE7398"/>
    </row>
    <row r="7399" spans="31:31" ht="15.75" customHeight="1">
      <c r="AE7399"/>
    </row>
    <row r="7400" spans="31:31" ht="15.75" customHeight="1">
      <c r="AE7400"/>
    </row>
    <row r="7401" spans="31:31" ht="15.75" customHeight="1">
      <c r="AE7401"/>
    </row>
    <row r="7402" spans="31:31" ht="15.75" customHeight="1">
      <c r="AE7402"/>
    </row>
    <row r="7403" spans="31:31" ht="15.75" customHeight="1">
      <c r="AE7403"/>
    </row>
    <row r="7404" spans="31:31" ht="15.75" customHeight="1">
      <c r="AE7404"/>
    </row>
    <row r="7405" spans="31:31" ht="15.75" customHeight="1">
      <c r="AE7405"/>
    </row>
    <row r="7406" spans="31:31" ht="15.75" customHeight="1">
      <c r="AE7406"/>
    </row>
    <row r="7407" spans="31:31" ht="15.75" customHeight="1">
      <c r="AE7407"/>
    </row>
    <row r="7408" spans="31:31" ht="15.75" customHeight="1">
      <c r="AE7408"/>
    </row>
    <row r="7409" spans="31:31" ht="15.75" customHeight="1">
      <c r="AE7409"/>
    </row>
    <row r="7410" spans="31:31" ht="15.75" customHeight="1">
      <c r="AE7410"/>
    </row>
    <row r="7411" spans="31:31" ht="15.75" customHeight="1">
      <c r="AE7411"/>
    </row>
    <row r="7412" spans="31:31" ht="15.75" customHeight="1">
      <c r="AE7412"/>
    </row>
    <row r="7413" spans="31:31" ht="15.75" customHeight="1">
      <c r="AE7413"/>
    </row>
    <row r="7414" spans="31:31" ht="15.75" customHeight="1">
      <c r="AE7414"/>
    </row>
    <row r="7415" spans="31:31" ht="15.75" customHeight="1">
      <c r="AE7415"/>
    </row>
    <row r="7416" spans="31:31" ht="15.75" customHeight="1">
      <c r="AE7416"/>
    </row>
    <row r="7417" spans="31:31" ht="15.75" customHeight="1">
      <c r="AE7417"/>
    </row>
    <row r="7418" spans="31:31" ht="15.75" customHeight="1">
      <c r="AE7418"/>
    </row>
    <row r="7419" spans="31:31" ht="15.75" customHeight="1">
      <c r="AE7419"/>
    </row>
    <row r="7420" spans="31:31" ht="15.75" customHeight="1">
      <c r="AE7420"/>
    </row>
    <row r="7421" spans="31:31" ht="15.75" customHeight="1">
      <c r="AE7421"/>
    </row>
    <row r="7422" spans="31:31" ht="15.75" customHeight="1">
      <c r="AE7422"/>
    </row>
    <row r="7423" spans="31:31" ht="15.75" customHeight="1">
      <c r="AE7423"/>
    </row>
    <row r="7424" spans="31:31" ht="15.75" customHeight="1">
      <c r="AE7424"/>
    </row>
    <row r="7425" spans="31:31" ht="15.75" customHeight="1">
      <c r="AE7425"/>
    </row>
    <row r="7426" spans="31:31" ht="15.75" customHeight="1">
      <c r="AE7426"/>
    </row>
    <row r="7427" spans="31:31" ht="15.75" customHeight="1">
      <c r="AE7427"/>
    </row>
    <row r="7428" spans="31:31" ht="15.75" customHeight="1">
      <c r="AE7428"/>
    </row>
    <row r="7429" spans="31:31" ht="15.75" customHeight="1">
      <c r="AE7429"/>
    </row>
    <row r="7430" spans="31:31" ht="15.75" customHeight="1">
      <c r="AE7430"/>
    </row>
    <row r="7431" spans="31:31" ht="15.75" customHeight="1">
      <c r="AE7431"/>
    </row>
    <row r="7432" spans="31:31" ht="15.75" customHeight="1">
      <c r="AE7432"/>
    </row>
    <row r="7433" spans="31:31" ht="15.75" customHeight="1">
      <c r="AE7433"/>
    </row>
    <row r="7434" spans="31:31" ht="15.75" customHeight="1">
      <c r="AE7434"/>
    </row>
    <row r="7435" spans="31:31" ht="15.75" customHeight="1">
      <c r="AE7435"/>
    </row>
    <row r="7436" spans="31:31" ht="15.75" customHeight="1">
      <c r="AE7436"/>
    </row>
    <row r="7437" spans="31:31" ht="15.75" customHeight="1">
      <c r="AE7437"/>
    </row>
    <row r="7438" spans="31:31" ht="15.75" customHeight="1">
      <c r="AE7438"/>
    </row>
    <row r="7439" spans="31:31" ht="15.75" customHeight="1">
      <c r="AE7439"/>
    </row>
    <row r="7440" spans="31:31" ht="15.75" customHeight="1">
      <c r="AE7440"/>
    </row>
    <row r="7441" spans="31:31" ht="15.75" customHeight="1">
      <c r="AE7441"/>
    </row>
    <row r="7442" spans="31:31" ht="15.75" customHeight="1">
      <c r="AE7442"/>
    </row>
    <row r="7443" spans="31:31" ht="15.75" customHeight="1">
      <c r="AE7443"/>
    </row>
    <row r="7444" spans="31:31" ht="15.75" customHeight="1">
      <c r="AE7444"/>
    </row>
    <row r="7445" spans="31:31" ht="15.75" customHeight="1">
      <c r="AE7445"/>
    </row>
    <row r="7446" spans="31:31" ht="15.75" customHeight="1">
      <c r="AE7446"/>
    </row>
    <row r="7447" spans="31:31" ht="15.75" customHeight="1">
      <c r="AE7447"/>
    </row>
    <row r="7448" spans="31:31" ht="15.75" customHeight="1">
      <c r="AE7448"/>
    </row>
    <row r="7449" spans="31:31" ht="15.75" customHeight="1">
      <c r="AE7449"/>
    </row>
    <row r="7450" spans="31:31" ht="15.75" customHeight="1">
      <c r="AE7450"/>
    </row>
    <row r="7451" spans="31:31" ht="15.75" customHeight="1">
      <c r="AE7451"/>
    </row>
    <row r="7452" spans="31:31" ht="15.75" customHeight="1">
      <c r="AE7452"/>
    </row>
    <row r="7453" spans="31:31" ht="15.75" customHeight="1">
      <c r="AE7453"/>
    </row>
    <row r="7454" spans="31:31" ht="15.75" customHeight="1">
      <c r="AE7454"/>
    </row>
    <row r="7455" spans="31:31" ht="15.75" customHeight="1">
      <c r="AE7455"/>
    </row>
    <row r="7456" spans="31:31" ht="15.75" customHeight="1">
      <c r="AE7456"/>
    </row>
    <row r="7457" spans="31:31" ht="15.75" customHeight="1">
      <c r="AE7457"/>
    </row>
    <row r="7458" spans="31:31" ht="15.75" customHeight="1">
      <c r="AE7458"/>
    </row>
    <row r="7459" spans="31:31" ht="15.75" customHeight="1">
      <c r="AE7459"/>
    </row>
    <row r="7460" spans="31:31" ht="15.75" customHeight="1">
      <c r="AE7460"/>
    </row>
    <row r="7461" spans="31:31" ht="15.75" customHeight="1">
      <c r="AE7461"/>
    </row>
    <row r="7462" spans="31:31" ht="15.75" customHeight="1">
      <c r="AE7462"/>
    </row>
    <row r="7463" spans="31:31" ht="15.75" customHeight="1">
      <c r="AE7463"/>
    </row>
    <row r="7464" spans="31:31" ht="15.75" customHeight="1">
      <c r="AE7464"/>
    </row>
    <row r="7465" spans="31:31" ht="15.75" customHeight="1">
      <c r="AE7465"/>
    </row>
    <row r="7466" spans="31:31" ht="15.75" customHeight="1">
      <c r="AE7466"/>
    </row>
    <row r="7467" spans="31:31" ht="15.75" customHeight="1">
      <c r="AE7467"/>
    </row>
    <row r="7468" spans="31:31" ht="15.75" customHeight="1">
      <c r="AE7468"/>
    </row>
    <row r="7469" spans="31:31" ht="15.75" customHeight="1">
      <c r="AE7469"/>
    </row>
    <row r="7470" spans="31:31" ht="15.75" customHeight="1">
      <c r="AE7470"/>
    </row>
    <row r="7471" spans="31:31" ht="15.75" customHeight="1">
      <c r="AE7471"/>
    </row>
    <row r="7472" spans="31:31" ht="15.75" customHeight="1">
      <c r="AE7472"/>
    </row>
    <row r="7473" spans="31:31" ht="15.75" customHeight="1">
      <c r="AE7473"/>
    </row>
    <row r="7474" spans="31:31" ht="15.75" customHeight="1">
      <c r="AE7474"/>
    </row>
    <row r="7475" spans="31:31" ht="15.75" customHeight="1">
      <c r="AE7475"/>
    </row>
    <row r="7476" spans="31:31" ht="15.75" customHeight="1">
      <c r="AE7476"/>
    </row>
    <row r="7477" spans="31:31" ht="15.75" customHeight="1">
      <c r="AE7477"/>
    </row>
    <row r="7478" spans="31:31" ht="15.75" customHeight="1">
      <c r="AE7478"/>
    </row>
    <row r="7479" spans="31:31" ht="15.75" customHeight="1">
      <c r="AE7479"/>
    </row>
    <row r="7480" spans="31:31" ht="15.75" customHeight="1">
      <c r="AE7480"/>
    </row>
    <row r="7481" spans="31:31" ht="15.75" customHeight="1">
      <c r="AE7481"/>
    </row>
    <row r="7482" spans="31:31" ht="15.75" customHeight="1">
      <c r="AE7482"/>
    </row>
    <row r="7483" spans="31:31" ht="15.75" customHeight="1">
      <c r="AE7483"/>
    </row>
    <row r="7484" spans="31:31" ht="15.75" customHeight="1">
      <c r="AE7484"/>
    </row>
    <row r="7485" spans="31:31" ht="15.75" customHeight="1">
      <c r="AE7485"/>
    </row>
    <row r="7486" spans="31:31" ht="15.75" customHeight="1">
      <c r="AE7486"/>
    </row>
    <row r="7487" spans="31:31" ht="15.75" customHeight="1">
      <c r="AE7487"/>
    </row>
    <row r="7488" spans="31:31" ht="15.75" customHeight="1">
      <c r="AE7488"/>
    </row>
    <row r="7489" spans="31:31" ht="15.75" customHeight="1">
      <c r="AE7489"/>
    </row>
    <row r="7490" spans="31:31" ht="15.75" customHeight="1">
      <c r="AE7490"/>
    </row>
    <row r="7491" spans="31:31" ht="15.75" customHeight="1">
      <c r="AE7491"/>
    </row>
    <row r="7492" spans="31:31" ht="15.75" customHeight="1">
      <c r="AE7492"/>
    </row>
    <row r="7493" spans="31:31" ht="15.75" customHeight="1">
      <c r="AE7493"/>
    </row>
    <row r="7494" spans="31:31" ht="15.75" customHeight="1">
      <c r="AE7494"/>
    </row>
    <row r="7495" spans="31:31" ht="15.75" customHeight="1">
      <c r="AE7495"/>
    </row>
    <row r="7496" spans="31:31" ht="15.75" customHeight="1">
      <c r="AE7496"/>
    </row>
    <row r="7497" spans="31:31" ht="15.75" customHeight="1">
      <c r="AE7497"/>
    </row>
    <row r="7498" spans="31:31" ht="15.75" customHeight="1">
      <c r="AE7498"/>
    </row>
    <row r="7499" spans="31:31" ht="15.75" customHeight="1">
      <c r="AE7499"/>
    </row>
    <row r="7500" spans="31:31" ht="15.75" customHeight="1">
      <c r="AE7500"/>
    </row>
    <row r="7501" spans="31:31" ht="15.75" customHeight="1">
      <c r="AE7501"/>
    </row>
    <row r="7502" spans="31:31" ht="15.75" customHeight="1">
      <c r="AE7502"/>
    </row>
    <row r="7503" spans="31:31" ht="15.75" customHeight="1">
      <c r="AE7503"/>
    </row>
    <row r="7504" spans="31:31" ht="15.75" customHeight="1">
      <c r="AE7504"/>
    </row>
    <row r="7505" spans="31:31" ht="15.75" customHeight="1">
      <c r="AE7505"/>
    </row>
    <row r="7506" spans="31:31" ht="15.75" customHeight="1">
      <c r="AE7506"/>
    </row>
    <row r="7507" spans="31:31" ht="15.75" customHeight="1">
      <c r="AE7507"/>
    </row>
    <row r="7508" spans="31:31" ht="15.75" customHeight="1">
      <c r="AE7508"/>
    </row>
    <row r="7509" spans="31:31" ht="15.75" customHeight="1">
      <c r="AE7509"/>
    </row>
    <row r="7510" spans="31:31" ht="15.75" customHeight="1">
      <c r="AE7510"/>
    </row>
    <row r="7511" spans="31:31" ht="15.75" customHeight="1">
      <c r="AE7511"/>
    </row>
    <row r="7512" spans="31:31" ht="15.75" customHeight="1">
      <c r="AE7512"/>
    </row>
    <row r="7513" spans="31:31" ht="15.75" customHeight="1">
      <c r="AE7513"/>
    </row>
    <row r="7514" spans="31:31" ht="15.75" customHeight="1">
      <c r="AE7514"/>
    </row>
    <row r="7515" spans="31:31" ht="15.75" customHeight="1">
      <c r="AE7515"/>
    </row>
    <row r="7516" spans="31:31" ht="15.75" customHeight="1">
      <c r="AE7516"/>
    </row>
    <row r="7517" spans="31:31" ht="15.75" customHeight="1">
      <c r="AE7517"/>
    </row>
    <row r="7518" spans="31:31" ht="15.75" customHeight="1">
      <c r="AE7518"/>
    </row>
    <row r="7519" spans="31:31" ht="15.75" customHeight="1">
      <c r="AE7519"/>
    </row>
    <row r="7520" spans="31:31" ht="15.75" customHeight="1">
      <c r="AE7520"/>
    </row>
    <row r="7521" spans="31:31" ht="15.75" customHeight="1">
      <c r="AE7521"/>
    </row>
    <row r="7522" spans="31:31" ht="15.75" customHeight="1">
      <c r="AE7522"/>
    </row>
    <row r="7523" spans="31:31" ht="15.75" customHeight="1">
      <c r="AE7523"/>
    </row>
    <row r="7524" spans="31:31" ht="15.75" customHeight="1">
      <c r="AE7524"/>
    </row>
    <row r="7525" spans="31:31" ht="15.75" customHeight="1">
      <c r="AE7525"/>
    </row>
    <row r="7526" spans="31:31" ht="15.75" customHeight="1">
      <c r="AE7526"/>
    </row>
    <row r="7527" spans="31:31" ht="15.75" customHeight="1">
      <c r="AE7527"/>
    </row>
    <row r="7528" spans="31:31" ht="15.75" customHeight="1">
      <c r="AE7528"/>
    </row>
    <row r="7529" spans="31:31" ht="15.75" customHeight="1">
      <c r="AE7529"/>
    </row>
    <row r="7530" spans="31:31" ht="15.75" customHeight="1">
      <c r="AE7530"/>
    </row>
    <row r="7531" spans="31:31" ht="15.75" customHeight="1">
      <c r="AE7531"/>
    </row>
    <row r="7532" spans="31:31" ht="15.75" customHeight="1">
      <c r="AE7532"/>
    </row>
    <row r="7533" spans="31:31" ht="15.75" customHeight="1">
      <c r="AE7533"/>
    </row>
    <row r="7534" spans="31:31" ht="15.75" customHeight="1">
      <c r="AE7534"/>
    </row>
    <row r="7535" spans="31:31" ht="15.75" customHeight="1">
      <c r="AE7535"/>
    </row>
    <row r="7536" spans="31:31" ht="15.75" customHeight="1">
      <c r="AE7536"/>
    </row>
    <row r="7537" spans="31:31" ht="15.75" customHeight="1">
      <c r="AE7537"/>
    </row>
    <row r="7538" spans="31:31" ht="15.75" customHeight="1">
      <c r="AE7538"/>
    </row>
    <row r="7539" spans="31:31" ht="15.75" customHeight="1">
      <c r="AE7539"/>
    </row>
    <row r="7540" spans="31:31" ht="15.75" customHeight="1">
      <c r="AE7540"/>
    </row>
    <row r="7541" spans="31:31" ht="15.75" customHeight="1">
      <c r="AE7541"/>
    </row>
    <row r="7542" spans="31:31" ht="15.75" customHeight="1">
      <c r="AE7542"/>
    </row>
    <row r="7543" spans="31:31" ht="15.75" customHeight="1">
      <c r="AE7543"/>
    </row>
    <row r="7544" spans="31:31" ht="15.75" customHeight="1">
      <c r="AE7544"/>
    </row>
    <row r="7545" spans="31:31" ht="15.75" customHeight="1">
      <c r="AE7545"/>
    </row>
    <row r="7546" spans="31:31" ht="15.75" customHeight="1">
      <c r="AE7546"/>
    </row>
    <row r="7547" spans="31:31" ht="15.75" customHeight="1">
      <c r="AE7547"/>
    </row>
    <row r="7548" spans="31:31" ht="15.75" customHeight="1">
      <c r="AE7548"/>
    </row>
    <row r="7549" spans="31:31" ht="15.75" customHeight="1">
      <c r="AE7549"/>
    </row>
    <row r="7550" spans="31:31" ht="15.75" customHeight="1">
      <c r="AE7550"/>
    </row>
    <row r="7551" spans="31:31" ht="15.75" customHeight="1">
      <c r="AE7551"/>
    </row>
    <row r="7552" spans="31:31" ht="15.75" customHeight="1">
      <c r="AE7552"/>
    </row>
    <row r="7553" spans="31:31" ht="15.75" customHeight="1">
      <c r="AE7553"/>
    </row>
    <row r="7554" spans="31:31" ht="15.75" customHeight="1">
      <c r="AE7554"/>
    </row>
    <row r="7555" spans="31:31" ht="15.75" customHeight="1">
      <c r="AE7555"/>
    </row>
    <row r="7556" spans="31:31" ht="15.75" customHeight="1">
      <c r="AE7556"/>
    </row>
    <row r="7557" spans="31:31" ht="15.75" customHeight="1">
      <c r="AE7557"/>
    </row>
    <row r="7558" spans="31:31" ht="15.75" customHeight="1">
      <c r="AE7558"/>
    </row>
    <row r="7559" spans="31:31" ht="15.75" customHeight="1">
      <c r="AE7559"/>
    </row>
    <row r="7560" spans="31:31" ht="15.75" customHeight="1">
      <c r="AE7560"/>
    </row>
    <row r="7561" spans="31:31" ht="15.75" customHeight="1">
      <c r="AE7561"/>
    </row>
    <row r="7562" spans="31:31" ht="15.75" customHeight="1">
      <c r="AE7562"/>
    </row>
    <row r="7563" spans="31:31" ht="15.75" customHeight="1">
      <c r="AE7563"/>
    </row>
    <row r="7564" spans="31:31" ht="15.75" customHeight="1">
      <c r="AE7564"/>
    </row>
    <row r="7565" spans="31:31" ht="15.75" customHeight="1">
      <c r="AE7565"/>
    </row>
    <row r="7566" spans="31:31" ht="15.75" customHeight="1">
      <c r="AE7566"/>
    </row>
    <row r="7567" spans="31:31" ht="15.75" customHeight="1">
      <c r="AE7567"/>
    </row>
    <row r="7568" spans="31:31" ht="15.75" customHeight="1">
      <c r="AE7568"/>
    </row>
    <row r="7569" spans="31:31" ht="15.75" customHeight="1">
      <c r="AE7569"/>
    </row>
    <row r="7570" spans="31:31" ht="15.75" customHeight="1">
      <c r="AE7570"/>
    </row>
    <row r="7571" spans="31:31" ht="15.75" customHeight="1">
      <c r="AE7571"/>
    </row>
    <row r="7572" spans="31:31" ht="15.75" customHeight="1">
      <c r="AE7572"/>
    </row>
    <row r="7573" spans="31:31" ht="15.75" customHeight="1">
      <c r="AE7573"/>
    </row>
    <row r="7574" spans="31:31" ht="15.75" customHeight="1">
      <c r="AE7574"/>
    </row>
    <row r="7575" spans="31:31" ht="15.75" customHeight="1">
      <c r="AE7575"/>
    </row>
    <row r="7576" spans="31:31" ht="15.75" customHeight="1">
      <c r="AE7576"/>
    </row>
    <row r="7577" spans="31:31" ht="15.75" customHeight="1">
      <c r="AE7577"/>
    </row>
    <row r="7578" spans="31:31" ht="15.75" customHeight="1">
      <c r="AE7578"/>
    </row>
    <row r="7579" spans="31:31" ht="15.75" customHeight="1">
      <c r="AE7579"/>
    </row>
    <row r="7580" spans="31:31" ht="15.75" customHeight="1">
      <c r="AE7580"/>
    </row>
    <row r="7581" spans="31:31" ht="15.75" customHeight="1">
      <c r="AE7581"/>
    </row>
    <row r="7582" spans="31:31" ht="15.75" customHeight="1">
      <c r="AE7582"/>
    </row>
    <row r="7583" spans="31:31" ht="15.75" customHeight="1">
      <c r="AE7583"/>
    </row>
    <row r="7584" spans="31:31" ht="15.75" customHeight="1">
      <c r="AE7584"/>
    </row>
    <row r="7585" spans="31:31" ht="15.75" customHeight="1">
      <c r="AE7585"/>
    </row>
    <row r="7586" spans="31:31" ht="15.75" customHeight="1">
      <c r="AE7586"/>
    </row>
    <row r="7587" spans="31:31" ht="15.75" customHeight="1">
      <c r="AE7587"/>
    </row>
    <row r="7588" spans="31:31" ht="15.75" customHeight="1">
      <c r="AE7588"/>
    </row>
    <row r="7589" spans="31:31" ht="15.75" customHeight="1">
      <c r="AE7589"/>
    </row>
    <row r="7590" spans="31:31" ht="15.75" customHeight="1">
      <c r="AE7590"/>
    </row>
    <row r="7591" spans="31:31" ht="15.75" customHeight="1">
      <c r="AE7591"/>
    </row>
    <row r="7592" spans="31:31" ht="15.75" customHeight="1">
      <c r="AE7592"/>
    </row>
    <row r="7593" spans="31:31" ht="15.75" customHeight="1">
      <c r="AE7593"/>
    </row>
    <row r="7594" spans="31:31" ht="15.75" customHeight="1">
      <c r="AE7594"/>
    </row>
    <row r="7595" spans="31:31" ht="15.75" customHeight="1">
      <c r="AE7595"/>
    </row>
    <row r="7596" spans="31:31" ht="15.75" customHeight="1">
      <c r="AE7596"/>
    </row>
    <row r="7597" spans="31:31" ht="15.75" customHeight="1">
      <c r="AE7597"/>
    </row>
    <row r="7598" spans="31:31" ht="15.75" customHeight="1">
      <c r="AE7598"/>
    </row>
    <row r="7599" spans="31:31" ht="15.75" customHeight="1">
      <c r="AE7599"/>
    </row>
    <row r="7600" spans="31:31" ht="15.75" customHeight="1">
      <c r="AE7600"/>
    </row>
    <row r="7601" spans="31:31" ht="15.75" customHeight="1">
      <c r="AE7601"/>
    </row>
    <row r="7602" spans="31:31" ht="15.75" customHeight="1">
      <c r="AE7602"/>
    </row>
    <row r="7603" spans="31:31" ht="15.75" customHeight="1">
      <c r="AE7603"/>
    </row>
    <row r="7604" spans="31:31" ht="15.75" customHeight="1">
      <c r="AE7604"/>
    </row>
    <row r="7605" spans="31:31" ht="15.75" customHeight="1">
      <c r="AE7605"/>
    </row>
    <row r="7606" spans="31:31" ht="15.75" customHeight="1">
      <c r="AE7606"/>
    </row>
    <row r="7607" spans="31:31" ht="15.75" customHeight="1">
      <c r="AE7607"/>
    </row>
    <row r="7608" spans="31:31" ht="15.75" customHeight="1">
      <c r="AE7608"/>
    </row>
    <row r="7609" spans="31:31" ht="15.75" customHeight="1">
      <c r="AE7609"/>
    </row>
    <row r="7610" spans="31:31" ht="15.75" customHeight="1">
      <c r="AE7610"/>
    </row>
    <row r="7611" spans="31:31" ht="15.75" customHeight="1">
      <c r="AE7611"/>
    </row>
    <row r="7612" spans="31:31" ht="15.75" customHeight="1">
      <c r="AE7612"/>
    </row>
    <row r="7613" spans="31:31" ht="15.75" customHeight="1">
      <c r="AE7613"/>
    </row>
    <row r="7614" spans="31:31" ht="15.75" customHeight="1">
      <c r="AE7614"/>
    </row>
    <row r="7615" spans="31:31" ht="15.75" customHeight="1">
      <c r="AE7615"/>
    </row>
    <row r="7616" spans="31:31" ht="15.75" customHeight="1">
      <c r="AE7616"/>
    </row>
    <row r="7617" spans="31:31" ht="15.75" customHeight="1">
      <c r="AE7617"/>
    </row>
    <row r="7618" spans="31:31" ht="15.75" customHeight="1">
      <c r="AE7618"/>
    </row>
    <row r="7619" spans="31:31" ht="15.75" customHeight="1">
      <c r="AE7619"/>
    </row>
    <row r="7620" spans="31:31" ht="15.75" customHeight="1">
      <c r="AE7620"/>
    </row>
    <row r="7621" spans="31:31" ht="15.75" customHeight="1">
      <c r="AE7621"/>
    </row>
    <row r="7622" spans="31:31" ht="15.75" customHeight="1">
      <c r="AE7622"/>
    </row>
    <row r="7623" spans="31:31" ht="15.75" customHeight="1">
      <c r="AE7623"/>
    </row>
    <row r="7624" spans="31:31" ht="15.75" customHeight="1">
      <c r="AE7624"/>
    </row>
    <row r="7625" spans="31:31" ht="15.75" customHeight="1">
      <c r="AE7625"/>
    </row>
    <row r="7626" spans="31:31" ht="15.75" customHeight="1">
      <c r="AE7626"/>
    </row>
    <row r="7627" spans="31:31" ht="15.75" customHeight="1">
      <c r="AE7627"/>
    </row>
    <row r="7628" spans="31:31" ht="15.75" customHeight="1">
      <c r="AE7628"/>
    </row>
    <row r="7629" spans="31:31" ht="15.75" customHeight="1">
      <c r="AE7629"/>
    </row>
    <row r="7630" spans="31:31" ht="15.75" customHeight="1">
      <c r="AE7630"/>
    </row>
    <row r="7631" spans="31:31" ht="15.75" customHeight="1">
      <c r="AE7631"/>
    </row>
    <row r="7632" spans="31:31" ht="15.75" customHeight="1">
      <c r="AE7632"/>
    </row>
    <row r="7633" spans="31:31" ht="15.75" customHeight="1">
      <c r="AE7633"/>
    </row>
    <row r="7634" spans="31:31" ht="15.75" customHeight="1">
      <c r="AE7634"/>
    </row>
    <row r="7635" spans="31:31" ht="15.75" customHeight="1">
      <c r="AE7635"/>
    </row>
    <row r="7636" spans="31:31" ht="15.75" customHeight="1">
      <c r="AE7636"/>
    </row>
    <row r="7637" spans="31:31" ht="15.75" customHeight="1">
      <c r="AE7637"/>
    </row>
    <row r="7638" spans="31:31" ht="15.75" customHeight="1">
      <c r="AE7638"/>
    </row>
    <row r="7639" spans="31:31" ht="15.75" customHeight="1">
      <c r="AE7639"/>
    </row>
    <row r="7640" spans="31:31" ht="15.75" customHeight="1">
      <c r="AE7640"/>
    </row>
    <row r="7641" spans="31:31" ht="15.75" customHeight="1">
      <c r="AE7641"/>
    </row>
    <row r="7642" spans="31:31" ht="15.75" customHeight="1">
      <c r="AE7642"/>
    </row>
    <row r="7643" spans="31:31" ht="15.75" customHeight="1">
      <c r="AE7643"/>
    </row>
    <row r="7644" spans="31:31" ht="15.75" customHeight="1">
      <c r="AE7644"/>
    </row>
    <row r="7645" spans="31:31" ht="15.75" customHeight="1">
      <c r="AE7645"/>
    </row>
    <row r="7646" spans="31:31" ht="15.75" customHeight="1">
      <c r="AE7646"/>
    </row>
    <row r="7647" spans="31:31" ht="15.75" customHeight="1">
      <c r="AE7647"/>
    </row>
    <row r="7648" spans="31:31" ht="15.75" customHeight="1">
      <c r="AE7648"/>
    </row>
    <row r="7649" spans="31:31" ht="15.75" customHeight="1">
      <c r="AE7649"/>
    </row>
    <row r="7650" spans="31:31" ht="15.75" customHeight="1">
      <c r="AE7650"/>
    </row>
    <row r="7651" spans="31:31" ht="15.75" customHeight="1">
      <c r="AE7651"/>
    </row>
    <row r="7652" spans="31:31" ht="15.75" customHeight="1">
      <c r="AE7652"/>
    </row>
    <row r="7653" spans="31:31" ht="15.75" customHeight="1">
      <c r="AE7653"/>
    </row>
    <row r="7654" spans="31:31" ht="15.75" customHeight="1">
      <c r="AE7654"/>
    </row>
    <row r="7655" spans="31:31" ht="15.75" customHeight="1">
      <c r="AE7655"/>
    </row>
    <row r="7656" spans="31:31" ht="15.75" customHeight="1">
      <c r="AE7656"/>
    </row>
    <row r="7657" spans="31:31" ht="15.75" customHeight="1">
      <c r="AE7657"/>
    </row>
    <row r="7658" spans="31:31" ht="15.75" customHeight="1">
      <c r="AE7658"/>
    </row>
    <row r="7659" spans="31:31" ht="15.75" customHeight="1">
      <c r="AE7659"/>
    </row>
    <row r="7660" spans="31:31" ht="15.75" customHeight="1">
      <c r="AE7660"/>
    </row>
    <row r="7661" spans="31:31" ht="15.75" customHeight="1">
      <c r="AE7661"/>
    </row>
    <row r="7662" spans="31:31" ht="15.75" customHeight="1">
      <c r="AE7662"/>
    </row>
    <row r="7663" spans="31:31" ht="15.75" customHeight="1">
      <c r="AE7663"/>
    </row>
    <row r="7664" spans="31:31" ht="15.75" customHeight="1">
      <c r="AE7664"/>
    </row>
    <row r="7665" spans="31:31" ht="15.75" customHeight="1">
      <c r="AE7665"/>
    </row>
    <row r="7666" spans="31:31" ht="15.75" customHeight="1">
      <c r="AE7666"/>
    </row>
    <row r="7667" spans="31:31" ht="15.75" customHeight="1">
      <c r="AE7667"/>
    </row>
    <row r="7668" spans="31:31" ht="15.75" customHeight="1">
      <c r="AE7668"/>
    </row>
    <row r="7669" spans="31:31" ht="15.75" customHeight="1">
      <c r="AE7669"/>
    </row>
    <row r="7670" spans="31:31" ht="15.75" customHeight="1">
      <c r="AE7670"/>
    </row>
    <row r="7671" spans="31:31" ht="15.75" customHeight="1">
      <c r="AE7671"/>
    </row>
    <row r="7672" spans="31:31" ht="15.75" customHeight="1">
      <c r="AE7672"/>
    </row>
    <row r="7673" spans="31:31" ht="15.75" customHeight="1">
      <c r="AE7673"/>
    </row>
    <row r="7674" spans="31:31" ht="15.75" customHeight="1">
      <c r="AE7674"/>
    </row>
    <row r="7675" spans="31:31" ht="15.75" customHeight="1">
      <c r="AE7675"/>
    </row>
    <row r="7676" spans="31:31" ht="15.75" customHeight="1">
      <c r="AE7676"/>
    </row>
    <row r="7677" spans="31:31" ht="15.75" customHeight="1">
      <c r="AE7677"/>
    </row>
    <row r="7678" spans="31:31" ht="15.75" customHeight="1">
      <c r="AE7678"/>
    </row>
    <row r="7679" spans="31:31" ht="15.75" customHeight="1">
      <c r="AE7679"/>
    </row>
    <row r="7680" spans="31:31" ht="15.75" customHeight="1">
      <c r="AE7680"/>
    </row>
    <row r="7681" spans="31:31" ht="15.75" customHeight="1">
      <c r="AE7681"/>
    </row>
    <row r="7682" spans="31:31" ht="15.75" customHeight="1">
      <c r="AE7682"/>
    </row>
    <row r="7683" spans="31:31" ht="15.75" customHeight="1">
      <c r="AE7683"/>
    </row>
    <row r="7684" spans="31:31" ht="15.75" customHeight="1">
      <c r="AE7684"/>
    </row>
    <row r="7685" spans="31:31" ht="15.75" customHeight="1">
      <c r="AE7685"/>
    </row>
    <row r="7686" spans="31:31" ht="15.75" customHeight="1">
      <c r="AE7686"/>
    </row>
    <row r="7687" spans="31:31" ht="15.75" customHeight="1">
      <c r="AE7687"/>
    </row>
    <row r="7688" spans="31:31" ht="15.75" customHeight="1">
      <c r="AE7688"/>
    </row>
    <row r="7689" spans="31:31" ht="15.75" customHeight="1">
      <c r="AE7689"/>
    </row>
    <row r="7690" spans="31:31" ht="15.75" customHeight="1">
      <c r="AE7690"/>
    </row>
    <row r="7691" spans="31:31" ht="15.75" customHeight="1">
      <c r="AE7691"/>
    </row>
    <row r="7692" spans="31:31" ht="15.75" customHeight="1">
      <c r="AE7692"/>
    </row>
    <row r="7693" spans="31:31" ht="15.75" customHeight="1">
      <c r="AE7693"/>
    </row>
    <row r="7694" spans="31:31" ht="15.75" customHeight="1">
      <c r="AE7694"/>
    </row>
    <row r="7695" spans="31:31" ht="15.75" customHeight="1">
      <c r="AE7695"/>
    </row>
    <row r="7696" spans="31:31" ht="15.75" customHeight="1">
      <c r="AE7696"/>
    </row>
    <row r="7697" spans="31:31" ht="15.75" customHeight="1">
      <c r="AE7697"/>
    </row>
    <row r="7698" spans="31:31" ht="15.75" customHeight="1">
      <c r="AE7698"/>
    </row>
    <row r="7699" spans="31:31" ht="15.75" customHeight="1">
      <c r="AE7699"/>
    </row>
    <row r="7700" spans="31:31" ht="15.75" customHeight="1">
      <c r="AE7700"/>
    </row>
    <row r="7701" spans="31:31" ht="15.75" customHeight="1">
      <c r="AE7701"/>
    </row>
    <row r="7702" spans="31:31" ht="15.75" customHeight="1">
      <c r="AE7702"/>
    </row>
    <row r="7703" spans="31:31" ht="15.75" customHeight="1">
      <c r="AE7703"/>
    </row>
    <row r="7704" spans="31:31" ht="15.75" customHeight="1">
      <c r="AE7704"/>
    </row>
    <row r="7705" spans="31:31" ht="15.75" customHeight="1">
      <c r="AE7705"/>
    </row>
    <row r="7706" spans="31:31" ht="15.75" customHeight="1">
      <c r="AE7706"/>
    </row>
    <row r="7707" spans="31:31" ht="15.75" customHeight="1">
      <c r="AE7707"/>
    </row>
    <row r="7708" spans="31:31" ht="15.75" customHeight="1">
      <c r="AE7708"/>
    </row>
    <row r="7709" spans="31:31" ht="15.75" customHeight="1">
      <c r="AE7709"/>
    </row>
    <row r="7710" spans="31:31" ht="15.75" customHeight="1">
      <c r="AE7710"/>
    </row>
    <row r="7711" spans="31:31" ht="15.75" customHeight="1">
      <c r="AE7711"/>
    </row>
    <row r="7712" spans="31:31" ht="15.75" customHeight="1">
      <c r="AE7712"/>
    </row>
    <row r="7713" spans="31:31" ht="15.75" customHeight="1">
      <c r="AE7713"/>
    </row>
    <row r="7714" spans="31:31" ht="15.75" customHeight="1">
      <c r="AE7714"/>
    </row>
    <row r="7715" spans="31:31" ht="15.75" customHeight="1">
      <c r="AE7715"/>
    </row>
    <row r="7716" spans="31:31" ht="15.75" customHeight="1">
      <c r="AE7716"/>
    </row>
    <row r="7717" spans="31:31" ht="15.75" customHeight="1">
      <c r="AE7717"/>
    </row>
    <row r="7718" spans="31:31" ht="15.75" customHeight="1">
      <c r="AE7718"/>
    </row>
    <row r="7719" spans="31:31" ht="15.75" customHeight="1">
      <c r="AE7719"/>
    </row>
    <row r="7720" spans="31:31" ht="15.75" customHeight="1">
      <c r="AE7720"/>
    </row>
    <row r="7721" spans="31:31" ht="15.75" customHeight="1">
      <c r="AE7721"/>
    </row>
    <row r="7722" spans="31:31" ht="15.75" customHeight="1">
      <c r="AE7722"/>
    </row>
    <row r="7723" spans="31:31" ht="15.75" customHeight="1">
      <c r="AE7723"/>
    </row>
    <row r="7724" spans="31:31" ht="15.75" customHeight="1">
      <c r="AE7724"/>
    </row>
    <row r="7725" spans="31:31" ht="15.75" customHeight="1">
      <c r="AE7725"/>
    </row>
    <row r="7726" spans="31:31" ht="15.75" customHeight="1">
      <c r="AE7726"/>
    </row>
    <row r="7727" spans="31:31" ht="15.75" customHeight="1">
      <c r="AE7727"/>
    </row>
    <row r="7728" spans="31:31" ht="15.75" customHeight="1">
      <c r="AE7728"/>
    </row>
    <row r="7729" spans="31:31" ht="15.75" customHeight="1">
      <c r="AE7729"/>
    </row>
    <row r="7730" spans="31:31" ht="15.75" customHeight="1">
      <c r="AE7730"/>
    </row>
    <row r="7731" spans="31:31" ht="15.75" customHeight="1">
      <c r="AE7731"/>
    </row>
    <row r="7732" spans="31:31" ht="15.75" customHeight="1">
      <c r="AE7732"/>
    </row>
    <row r="7733" spans="31:31" ht="15.75" customHeight="1">
      <c r="AE7733"/>
    </row>
    <row r="7734" spans="31:31" ht="15.75" customHeight="1">
      <c r="AE7734"/>
    </row>
    <row r="7735" spans="31:31" ht="15.75" customHeight="1">
      <c r="AE7735"/>
    </row>
    <row r="7736" spans="31:31" ht="15.75" customHeight="1">
      <c r="AE7736"/>
    </row>
    <row r="7737" spans="31:31" ht="15.75" customHeight="1">
      <c r="AE7737"/>
    </row>
    <row r="7738" spans="31:31" ht="15.75" customHeight="1">
      <c r="AE7738"/>
    </row>
    <row r="7739" spans="31:31" ht="15.75" customHeight="1">
      <c r="AE7739"/>
    </row>
    <row r="7740" spans="31:31" ht="15.75" customHeight="1">
      <c r="AE7740"/>
    </row>
    <row r="7741" spans="31:31" ht="15.75" customHeight="1">
      <c r="AE7741"/>
    </row>
    <row r="7742" spans="31:31" ht="15.75" customHeight="1">
      <c r="AE7742"/>
    </row>
    <row r="7743" spans="31:31" ht="15.75" customHeight="1">
      <c r="AE7743"/>
    </row>
    <row r="7744" spans="31:31" ht="15.75" customHeight="1">
      <c r="AE7744"/>
    </row>
    <row r="7745" spans="31:31" ht="15.75" customHeight="1">
      <c r="AE7745"/>
    </row>
    <row r="7746" spans="31:31" ht="15.75" customHeight="1">
      <c r="AE7746"/>
    </row>
    <row r="7747" spans="31:31" ht="15.75" customHeight="1">
      <c r="AE7747"/>
    </row>
    <row r="7748" spans="31:31" ht="15.75" customHeight="1">
      <c r="AE7748"/>
    </row>
    <row r="7749" spans="31:31" ht="15.75" customHeight="1">
      <c r="AE7749"/>
    </row>
    <row r="7750" spans="31:31" ht="15.75" customHeight="1">
      <c r="AE7750"/>
    </row>
    <row r="7751" spans="31:31" ht="15.75" customHeight="1">
      <c r="AE7751"/>
    </row>
    <row r="7752" spans="31:31" ht="15.75" customHeight="1">
      <c r="AE7752"/>
    </row>
    <row r="7753" spans="31:31" ht="15.75" customHeight="1">
      <c r="AE7753"/>
    </row>
    <row r="7754" spans="31:31" ht="15.75" customHeight="1">
      <c r="AE7754"/>
    </row>
    <row r="7755" spans="31:31" ht="15.75" customHeight="1">
      <c r="AE7755"/>
    </row>
    <row r="7756" spans="31:31" ht="15.75" customHeight="1">
      <c r="AE7756"/>
    </row>
    <row r="7757" spans="31:31" ht="15.75" customHeight="1">
      <c r="AE7757"/>
    </row>
    <row r="7758" spans="31:31" ht="15.75" customHeight="1">
      <c r="AE7758"/>
    </row>
    <row r="7759" spans="31:31" ht="15.75" customHeight="1">
      <c r="AE7759"/>
    </row>
    <row r="7760" spans="31:31" ht="15.75" customHeight="1">
      <c r="AE7760"/>
    </row>
    <row r="7761" spans="31:31" ht="15.75" customHeight="1">
      <c r="AE7761"/>
    </row>
    <row r="7762" spans="31:31" ht="15.75" customHeight="1">
      <c r="AE7762"/>
    </row>
    <row r="7763" spans="31:31" ht="15.75" customHeight="1">
      <c r="AE7763"/>
    </row>
    <row r="7764" spans="31:31" ht="15.75" customHeight="1">
      <c r="AE7764"/>
    </row>
    <row r="7765" spans="31:31" ht="15.75" customHeight="1">
      <c r="AE7765"/>
    </row>
    <row r="7766" spans="31:31" ht="15.75" customHeight="1">
      <c r="AE7766"/>
    </row>
    <row r="7767" spans="31:31" ht="15.75" customHeight="1">
      <c r="AE7767"/>
    </row>
    <row r="7768" spans="31:31" ht="15.75" customHeight="1">
      <c r="AE7768"/>
    </row>
    <row r="7769" spans="31:31" ht="15.75" customHeight="1">
      <c r="AE7769"/>
    </row>
    <row r="7770" spans="31:31" ht="15.75" customHeight="1">
      <c r="AE7770"/>
    </row>
    <row r="7771" spans="31:31" ht="15.75" customHeight="1">
      <c r="AE7771"/>
    </row>
    <row r="7772" spans="31:31" ht="15.75" customHeight="1">
      <c r="AE7772"/>
    </row>
    <row r="7773" spans="31:31" ht="15.75" customHeight="1">
      <c r="AE7773"/>
    </row>
    <row r="7774" spans="31:31" ht="15.75" customHeight="1">
      <c r="AE7774"/>
    </row>
    <row r="7775" spans="31:31" ht="15.75" customHeight="1">
      <c r="AE7775"/>
    </row>
    <row r="7776" spans="31:31" ht="15.75" customHeight="1">
      <c r="AE7776"/>
    </row>
    <row r="7777" spans="31:31" ht="15.75" customHeight="1">
      <c r="AE7777"/>
    </row>
    <row r="7778" spans="31:31" ht="15.75" customHeight="1">
      <c r="AE7778"/>
    </row>
    <row r="7779" spans="31:31" ht="15.75" customHeight="1">
      <c r="AE7779"/>
    </row>
    <row r="7780" spans="31:31" ht="15.75" customHeight="1">
      <c r="AE7780"/>
    </row>
    <row r="7781" spans="31:31" ht="15.75" customHeight="1">
      <c r="AE7781"/>
    </row>
    <row r="7782" spans="31:31" ht="15.75" customHeight="1">
      <c r="AE7782"/>
    </row>
    <row r="7783" spans="31:31" ht="15.75" customHeight="1">
      <c r="AE7783"/>
    </row>
    <row r="7784" spans="31:31" ht="15.75" customHeight="1">
      <c r="AE7784"/>
    </row>
    <row r="7785" spans="31:31" ht="15.75" customHeight="1">
      <c r="AE7785"/>
    </row>
    <row r="7786" spans="31:31" ht="15.75" customHeight="1">
      <c r="AE7786"/>
    </row>
    <row r="7787" spans="31:31" ht="15.75" customHeight="1">
      <c r="AE7787"/>
    </row>
    <row r="7788" spans="31:31" ht="15.75" customHeight="1">
      <c r="AE7788"/>
    </row>
    <row r="7789" spans="31:31" ht="15.75" customHeight="1">
      <c r="AE7789"/>
    </row>
    <row r="7790" spans="31:31" ht="15.75" customHeight="1">
      <c r="AE7790"/>
    </row>
    <row r="7791" spans="31:31" ht="15.75" customHeight="1">
      <c r="AE7791"/>
    </row>
    <row r="7792" spans="31:31" ht="15.75" customHeight="1">
      <c r="AE7792"/>
    </row>
    <row r="7793" spans="31:31" ht="15.75" customHeight="1">
      <c r="AE7793"/>
    </row>
    <row r="7794" spans="31:31" ht="15.75" customHeight="1">
      <c r="AE7794"/>
    </row>
    <row r="7795" spans="31:31" ht="15.75" customHeight="1">
      <c r="AE7795"/>
    </row>
    <row r="7796" spans="31:31" ht="15.75" customHeight="1">
      <c r="AE7796"/>
    </row>
    <row r="7797" spans="31:31" ht="15.75" customHeight="1">
      <c r="AE7797"/>
    </row>
    <row r="7798" spans="31:31" ht="15.75" customHeight="1">
      <c r="AE7798"/>
    </row>
    <row r="7799" spans="31:31" ht="15.75" customHeight="1">
      <c r="AE7799"/>
    </row>
    <row r="7800" spans="31:31" ht="15.75" customHeight="1">
      <c r="AE7800"/>
    </row>
    <row r="7801" spans="31:31" ht="15.75" customHeight="1">
      <c r="AE7801"/>
    </row>
    <row r="7802" spans="31:31" ht="15.75" customHeight="1">
      <c r="AE7802"/>
    </row>
    <row r="7803" spans="31:31" ht="15.75" customHeight="1">
      <c r="AE7803"/>
    </row>
    <row r="7804" spans="31:31" ht="15.75" customHeight="1">
      <c r="AE7804"/>
    </row>
    <row r="7805" spans="31:31" ht="15.75" customHeight="1">
      <c r="AE7805"/>
    </row>
    <row r="7806" spans="31:31" ht="15.75" customHeight="1">
      <c r="AE7806"/>
    </row>
    <row r="7807" spans="31:31" ht="15.75" customHeight="1">
      <c r="AE7807"/>
    </row>
    <row r="7808" spans="31:31" ht="15.75" customHeight="1">
      <c r="AE7808"/>
    </row>
    <row r="7809" spans="31:31" ht="15.75" customHeight="1">
      <c r="AE7809"/>
    </row>
    <row r="7810" spans="31:31" ht="15.75" customHeight="1">
      <c r="AE7810"/>
    </row>
    <row r="7811" spans="31:31" ht="15.75" customHeight="1">
      <c r="AE7811"/>
    </row>
    <row r="7812" spans="31:31" ht="15.75" customHeight="1">
      <c r="AE7812"/>
    </row>
    <row r="7813" spans="31:31" ht="15.75" customHeight="1">
      <c r="AE7813"/>
    </row>
    <row r="7814" spans="31:31" ht="15.75" customHeight="1">
      <c r="AE7814"/>
    </row>
    <row r="7815" spans="31:31" ht="15.75" customHeight="1">
      <c r="AE7815"/>
    </row>
    <row r="7816" spans="31:31" ht="15.75" customHeight="1">
      <c r="AE7816"/>
    </row>
    <row r="7817" spans="31:31" ht="15.75" customHeight="1">
      <c r="AE7817"/>
    </row>
    <row r="7818" spans="31:31" ht="15.75" customHeight="1">
      <c r="AE7818"/>
    </row>
    <row r="7819" spans="31:31" ht="15.75" customHeight="1">
      <c r="AE7819"/>
    </row>
    <row r="7820" spans="31:31" ht="15.75" customHeight="1">
      <c r="AE7820"/>
    </row>
    <row r="7821" spans="31:31" ht="15.75" customHeight="1">
      <c r="AE7821"/>
    </row>
    <row r="7822" spans="31:31" ht="15.75" customHeight="1">
      <c r="AE7822"/>
    </row>
    <row r="7823" spans="31:31" ht="15.75" customHeight="1">
      <c r="AE7823"/>
    </row>
    <row r="7824" spans="31:31" ht="15.75" customHeight="1">
      <c r="AE7824"/>
    </row>
    <row r="7825" spans="31:31" ht="15.75" customHeight="1">
      <c r="AE7825"/>
    </row>
    <row r="7826" spans="31:31" ht="15.75" customHeight="1">
      <c r="AE7826"/>
    </row>
    <row r="7827" spans="31:31" ht="15.75" customHeight="1">
      <c r="AE7827"/>
    </row>
    <row r="7828" spans="31:31" ht="15.75" customHeight="1">
      <c r="AE7828"/>
    </row>
    <row r="7829" spans="31:31" ht="15.75" customHeight="1">
      <c r="AE7829"/>
    </row>
    <row r="7830" spans="31:31" ht="15.75" customHeight="1">
      <c r="AE7830"/>
    </row>
    <row r="7831" spans="31:31" ht="15.75" customHeight="1">
      <c r="AE7831"/>
    </row>
    <row r="7832" spans="31:31" ht="15.75" customHeight="1">
      <c r="AE7832"/>
    </row>
    <row r="7833" spans="31:31" ht="15.75" customHeight="1">
      <c r="AE7833"/>
    </row>
    <row r="7834" spans="31:31" ht="15.75" customHeight="1">
      <c r="AE7834"/>
    </row>
    <row r="7835" spans="31:31" ht="15.75" customHeight="1">
      <c r="AE7835"/>
    </row>
    <row r="7836" spans="31:31" ht="15.75" customHeight="1">
      <c r="AE7836"/>
    </row>
    <row r="7837" spans="31:31" ht="15.75" customHeight="1">
      <c r="AE7837"/>
    </row>
    <row r="7838" spans="31:31" ht="15.75" customHeight="1">
      <c r="AE7838"/>
    </row>
    <row r="7839" spans="31:31" ht="15.75" customHeight="1">
      <c r="AE7839"/>
    </row>
    <row r="7840" spans="31:31" ht="15.75" customHeight="1">
      <c r="AE7840"/>
    </row>
    <row r="7841" spans="31:31" ht="15.75" customHeight="1">
      <c r="AE7841"/>
    </row>
    <row r="7842" spans="31:31" ht="15.75" customHeight="1">
      <c r="AE7842"/>
    </row>
    <row r="7843" spans="31:31" ht="15.75" customHeight="1">
      <c r="AE7843"/>
    </row>
    <row r="7844" spans="31:31" ht="15.75" customHeight="1">
      <c r="AE7844"/>
    </row>
    <row r="7845" spans="31:31" ht="15.75" customHeight="1">
      <c r="AE7845"/>
    </row>
    <row r="7846" spans="31:31" ht="15.75" customHeight="1">
      <c r="AE7846"/>
    </row>
    <row r="7847" spans="31:31" ht="15.75" customHeight="1">
      <c r="AE7847"/>
    </row>
    <row r="7848" spans="31:31" ht="15.75" customHeight="1">
      <c r="AE7848"/>
    </row>
    <row r="7849" spans="31:31" ht="15.75" customHeight="1">
      <c r="AE7849"/>
    </row>
    <row r="7850" spans="31:31" ht="15.75" customHeight="1">
      <c r="AE7850"/>
    </row>
    <row r="7851" spans="31:31" ht="15.75" customHeight="1">
      <c r="AE7851"/>
    </row>
    <row r="7852" spans="31:31" ht="15.75" customHeight="1">
      <c r="AE7852"/>
    </row>
    <row r="7853" spans="31:31" ht="15.75" customHeight="1">
      <c r="AE7853"/>
    </row>
    <row r="7854" spans="31:31" ht="15.75" customHeight="1">
      <c r="AE7854"/>
    </row>
    <row r="7855" spans="31:31" ht="15.75" customHeight="1">
      <c r="AE7855"/>
    </row>
    <row r="7856" spans="31:31" ht="15.75" customHeight="1">
      <c r="AE7856"/>
    </row>
    <row r="7857" spans="31:31" ht="15.75" customHeight="1">
      <c r="AE7857"/>
    </row>
    <row r="7858" spans="31:31" ht="15.75" customHeight="1">
      <c r="AE7858"/>
    </row>
    <row r="7859" spans="31:31" ht="15.75" customHeight="1">
      <c r="AE7859"/>
    </row>
    <row r="7860" spans="31:31" ht="15.75" customHeight="1">
      <c r="AE7860"/>
    </row>
    <row r="7861" spans="31:31" ht="15.75" customHeight="1">
      <c r="AE7861"/>
    </row>
    <row r="7862" spans="31:31" ht="15.75" customHeight="1">
      <c r="AE7862"/>
    </row>
    <row r="7863" spans="31:31" ht="15.75" customHeight="1">
      <c r="AE7863"/>
    </row>
    <row r="7864" spans="31:31" ht="15.75" customHeight="1">
      <c r="AE7864"/>
    </row>
    <row r="7865" spans="31:31" ht="15.75" customHeight="1">
      <c r="AE7865"/>
    </row>
    <row r="7866" spans="31:31" ht="15.75" customHeight="1">
      <c r="AE7866"/>
    </row>
    <row r="7867" spans="31:31" ht="15.75" customHeight="1">
      <c r="AE7867"/>
    </row>
    <row r="7868" spans="31:31" ht="15.75" customHeight="1">
      <c r="AE7868"/>
    </row>
    <row r="7869" spans="31:31" ht="15.75" customHeight="1">
      <c r="AE7869"/>
    </row>
    <row r="7870" spans="31:31" ht="15.75" customHeight="1">
      <c r="AE7870"/>
    </row>
    <row r="7871" spans="31:31" ht="15.75" customHeight="1">
      <c r="AE7871"/>
    </row>
    <row r="7872" spans="31:31" ht="15.75" customHeight="1">
      <c r="AE7872"/>
    </row>
    <row r="7873" spans="31:31" ht="15.75" customHeight="1">
      <c r="AE7873"/>
    </row>
    <row r="7874" spans="31:31" ht="15.75" customHeight="1">
      <c r="AE7874"/>
    </row>
    <row r="7875" spans="31:31" ht="15.75" customHeight="1">
      <c r="AE7875"/>
    </row>
    <row r="7876" spans="31:31" ht="15.75" customHeight="1">
      <c r="AE7876"/>
    </row>
    <row r="7877" spans="31:31" ht="15.75" customHeight="1">
      <c r="AE7877"/>
    </row>
    <row r="7878" spans="31:31" ht="15.75" customHeight="1">
      <c r="AE7878"/>
    </row>
    <row r="7879" spans="31:31" ht="15.75" customHeight="1">
      <c r="AE7879"/>
    </row>
    <row r="7880" spans="31:31" ht="15.75" customHeight="1">
      <c r="AE7880"/>
    </row>
    <row r="7881" spans="31:31" ht="15.75" customHeight="1">
      <c r="AE7881"/>
    </row>
    <row r="7882" spans="31:31" ht="15.75" customHeight="1">
      <c r="AE7882"/>
    </row>
    <row r="7883" spans="31:31" ht="15.75" customHeight="1">
      <c r="AE7883"/>
    </row>
    <row r="7884" spans="31:31" ht="15.75" customHeight="1">
      <c r="AE7884"/>
    </row>
    <row r="7885" spans="31:31" ht="15.75" customHeight="1">
      <c r="AE7885"/>
    </row>
    <row r="7886" spans="31:31" ht="15.75" customHeight="1">
      <c r="AE7886"/>
    </row>
    <row r="7887" spans="31:31" ht="15.75" customHeight="1">
      <c r="AE7887"/>
    </row>
    <row r="7888" spans="31:31" ht="15.75" customHeight="1">
      <c r="AE7888"/>
    </row>
    <row r="7889" spans="31:31" ht="15.75" customHeight="1">
      <c r="AE7889"/>
    </row>
    <row r="7890" spans="31:31" ht="15.75" customHeight="1">
      <c r="AE7890"/>
    </row>
    <row r="7891" spans="31:31" ht="15.75" customHeight="1">
      <c r="AE7891"/>
    </row>
    <row r="7892" spans="31:31" ht="15.75" customHeight="1">
      <c r="AE7892"/>
    </row>
    <row r="7893" spans="31:31" ht="15.75" customHeight="1">
      <c r="AE7893"/>
    </row>
    <row r="7894" spans="31:31" ht="15.75" customHeight="1">
      <c r="AE7894"/>
    </row>
    <row r="7895" spans="31:31" ht="15.75" customHeight="1">
      <c r="AE7895"/>
    </row>
    <row r="7896" spans="31:31" ht="15.75" customHeight="1">
      <c r="AE7896"/>
    </row>
    <row r="7897" spans="31:31" ht="15.75" customHeight="1">
      <c r="AE7897"/>
    </row>
    <row r="7898" spans="31:31" ht="15.75" customHeight="1">
      <c r="AE7898"/>
    </row>
    <row r="7899" spans="31:31" ht="15.75" customHeight="1">
      <c r="AE7899"/>
    </row>
    <row r="7900" spans="31:31" ht="15.75" customHeight="1">
      <c r="AE7900"/>
    </row>
    <row r="7901" spans="31:31" ht="15.75" customHeight="1">
      <c r="AE7901"/>
    </row>
    <row r="7902" spans="31:31" ht="15.75" customHeight="1">
      <c r="AE7902"/>
    </row>
    <row r="7903" spans="31:31" ht="15.75" customHeight="1">
      <c r="AE7903"/>
    </row>
    <row r="7904" spans="31:31" ht="15.75" customHeight="1">
      <c r="AE7904"/>
    </row>
    <row r="7905" spans="31:31" ht="15.75" customHeight="1">
      <c r="AE7905"/>
    </row>
    <row r="7906" spans="31:31" ht="15.75" customHeight="1">
      <c r="AE7906"/>
    </row>
    <row r="7907" spans="31:31" ht="15.75" customHeight="1">
      <c r="AE7907"/>
    </row>
    <row r="7908" spans="31:31" ht="15.75" customHeight="1">
      <c r="AE7908"/>
    </row>
    <row r="7909" spans="31:31" ht="15.75" customHeight="1">
      <c r="AE7909"/>
    </row>
    <row r="7910" spans="31:31" ht="15.75" customHeight="1">
      <c r="AE7910"/>
    </row>
    <row r="7911" spans="31:31" ht="15.75" customHeight="1">
      <c r="AE7911"/>
    </row>
    <row r="7912" spans="31:31" ht="15.75" customHeight="1">
      <c r="AE7912"/>
    </row>
    <row r="7913" spans="31:31" ht="15.75" customHeight="1">
      <c r="AE7913"/>
    </row>
    <row r="7914" spans="31:31" ht="15.75" customHeight="1">
      <c r="AE7914"/>
    </row>
    <row r="7915" spans="31:31" ht="15.75" customHeight="1">
      <c r="AE7915"/>
    </row>
    <row r="7916" spans="31:31" ht="15.75" customHeight="1">
      <c r="AE7916"/>
    </row>
    <row r="7917" spans="31:31" ht="15.75" customHeight="1">
      <c r="AE7917"/>
    </row>
    <row r="7918" spans="31:31" ht="15.75" customHeight="1">
      <c r="AE7918"/>
    </row>
    <row r="7919" spans="31:31" ht="15.75" customHeight="1">
      <c r="AE7919"/>
    </row>
    <row r="7920" spans="31:31" ht="15.75" customHeight="1">
      <c r="AE7920"/>
    </row>
    <row r="7921" spans="31:31" ht="15.75" customHeight="1">
      <c r="AE7921"/>
    </row>
    <row r="7922" spans="31:31" ht="15.75" customHeight="1">
      <c r="AE7922"/>
    </row>
    <row r="7923" spans="31:31" ht="15.75" customHeight="1">
      <c r="AE7923"/>
    </row>
    <row r="7924" spans="31:31" ht="15.75" customHeight="1">
      <c r="AE7924"/>
    </row>
    <row r="7925" spans="31:31" ht="15.75" customHeight="1">
      <c r="AE7925"/>
    </row>
    <row r="7926" spans="31:31" ht="15.75" customHeight="1">
      <c r="AE7926"/>
    </row>
    <row r="7927" spans="31:31" ht="15.75" customHeight="1">
      <c r="AE7927"/>
    </row>
    <row r="7928" spans="31:31" ht="15.75" customHeight="1">
      <c r="AE7928"/>
    </row>
    <row r="7929" spans="31:31" ht="15.75" customHeight="1">
      <c r="AE7929"/>
    </row>
    <row r="7930" spans="31:31" ht="15.75" customHeight="1">
      <c r="AE7930"/>
    </row>
    <row r="7931" spans="31:31" ht="15.75" customHeight="1">
      <c r="AE7931"/>
    </row>
    <row r="7932" spans="31:31" ht="15.75" customHeight="1">
      <c r="AE7932"/>
    </row>
    <row r="7933" spans="31:31" ht="15.75" customHeight="1">
      <c r="AE7933"/>
    </row>
    <row r="7934" spans="31:31" ht="15.75" customHeight="1">
      <c r="AE7934"/>
    </row>
    <row r="7935" spans="31:31" ht="15.75" customHeight="1">
      <c r="AE7935"/>
    </row>
    <row r="7936" spans="31:31" ht="15.75" customHeight="1">
      <c r="AE7936"/>
    </row>
    <row r="7937" spans="31:31" ht="15.75" customHeight="1">
      <c r="AE7937"/>
    </row>
    <row r="7938" spans="31:31" ht="15.75" customHeight="1">
      <c r="AE7938"/>
    </row>
    <row r="7939" spans="31:31" ht="15.75" customHeight="1">
      <c r="AE7939"/>
    </row>
    <row r="7940" spans="31:31" ht="15.75" customHeight="1">
      <c r="AE7940"/>
    </row>
    <row r="7941" spans="31:31" ht="15.75" customHeight="1">
      <c r="AE7941"/>
    </row>
    <row r="7942" spans="31:31" ht="15.75" customHeight="1">
      <c r="AE7942"/>
    </row>
    <row r="7943" spans="31:31" ht="15.75" customHeight="1">
      <c r="AE7943"/>
    </row>
    <row r="7944" spans="31:31" ht="15.75" customHeight="1">
      <c r="AE7944"/>
    </row>
    <row r="7945" spans="31:31" ht="15.75" customHeight="1">
      <c r="AE7945"/>
    </row>
    <row r="7946" spans="31:31" ht="15.75" customHeight="1">
      <c r="AE7946"/>
    </row>
    <row r="7947" spans="31:31" ht="15.75" customHeight="1">
      <c r="AE7947"/>
    </row>
    <row r="7948" spans="31:31" ht="15.75" customHeight="1">
      <c r="AE7948"/>
    </row>
    <row r="7949" spans="31:31" ht="15.75" customHeight="1">
      <c r="AE7949"/>
    </row>
    <row r="7950" spans="31:31" ht="15.75" customHeight="1">
      <c r="AE7950"/>
    </row>
    <row r="7951" spans="31:31" ht="15.75" customHeight="1">
      <c r="AE7951"/>
    </row>
    <row r="7952" spans="31:31" ht="15.75" customHeight="1">
      <c r="AE7952"/>
    </row>
    <row r="7953" spans="31:31" ht="15.75" customHeight="1">
      <c r="AE7953"/>
    </row>
    <row r="7954" spans="31:31" ht="15.75" customHeight="1">
      <c r="AE7954"/>
    </row>
    <row r="7955" spans="31:31" ht="15.75" customHeight="1">
      <c r="AE7955"/>
    </row>
    <row r="7956" spans="31:31" ht="15.75" customHeight="1">
      <c r="AE7956"/>
    </row>
    <row r="7957" spans="31:31" ht="15.75" customHeight="1">
      <c r="AE7957"/>
    </row>
    <row r="7958" spans="31:31" ht="15.75" customHeight="1">
      <c r="AE7958"/>
    </row>
    <row r="7959" spans="31:31" ht="15.75" customHeight="1">
      <c r="AE7959"/>
    </row>
    <row r="7960" spans="31:31" ht="15.75" customHeight="1">
      <c r="AE7960"/>
    </row>
    <row r="7961" spans="31:31" ht="15.75" customHeight="1">
      <c r="AE7961"/>
    </row>
    <row r="7962" spans="31:31" ht="15.75" customHeight="1">
      <c r="AE7962"/>
    </row>
    <row r="7963" spans="31:31" ht="15.75" customHeight="1">
      <c r="AE7963"/>
    </row>
    <row r="7964" spans="31:31" ht="15.75" customHeight="1">
      <c r="AE7964"/>
    </row>
    <row r="7965" spans="31:31" ht="15.75" customHeight="1">
      <c r="AE7965"/>
    </row>
    <row r="7966" spans="31:31" ht="15.75" customHeight="1">
      <c r="AE7966"/>
    </row>
    <row r="7967" spans="31:31" ht="15.75" customHeight="1">
      <c r="AE7967"/>
    </row>
    <row r="7968" spans="31:31" ht="15.75" customHeight="1">
      <c r="AE7968"/>
    </row>
    <row r="7969" spans="31:31" ht="15.75" customHeight="1">
      <c r="AE7969"/>
    </row>
    <row r="7970" spans="31:31" ht="15.75" customHeight="1">
      <c r="AE7970"/>
    </row>
    <row r="7971" spans="31:31" ht="15.75" customHeight="1">
      <c r="AE7971"/>
    </row>
    <row r="7972" spans="31:31" ht="15.75" customHeight="1">
      <c r="AE7972"/>
    </row>
    <row r="7973" spans="31:31" ht="15.75" customHeight="1">
      <c r="AE7973"/>
    </row>
    <row r="7974" spans="31:31" ht="15.75" customHeight="1">
      <c r="AE7974"/>
    </row>
    <row r="7975" spans="31:31" ht="15.75" customHeight="1">
      <c r="AE7975"/>
    </row>
    <row r="7976" spans="31:31" ht="15.75" customHeight="1">
      <c r="AE7976"/>
    </row>
    <row r="7977" spans="31:31" ht="15.75" customHeight="1">
      <c r="AE7977"/>
    </row>
    <row r="7978" spans="31:31" ht="15.75" customHeight="1">
      <c r="AE7978"/>
    </row>
    <row r="7979" spans="31:31" ht="15.75" customHeight="1">
      <c r="AE7979"/>
    </row>
    <row r="7980" spans="31:31" ht="15.75" customHeight="1">
      <c r="AE7980"/>
    </row>
    <row r="7981" spans="31:31" ht="15.75" customHeight="1">
      <c r="AE7981"/>
    </row>
    <row r="7982" spans="31:31" ht="15.75" customHeight="1">
      <c r="AE7982"/>
    </row>
    <row r="7983" spans="31:31" ht="15.75" customHeight="1">
      <c r="AE7983"/>
    </row>
    <row r="7984" spans="31:31" ht="15.75" customHeight="1">
      <c r="AE7984"/>
    </row>
    <row r="7985" spans="31:31" ht="15.75" customHeight="1">
      <c r="AE7985"/>
    </row>
    <row r="7986" spans="31:31" ht="15.75" customHeight="1">
      <c r="AE7986"/>
    </row>
    <row r="7987" spans="31:31" ht="15.75" customHeight="1">
      <c r="AE7987"/>
    </row>
    <row r="7988" spans="31:31" ht="15.75" customHeight="1">
      <c r="AE7988"/>
    </row>
    <row r="7989" spans="31:31" ht="15.75" customHeight="1">
      <c r="AE7989"/>
    </row>
    <row r="7990" spans="31:31" ht="15.75" customHeight="1">
      <c r="AE7990"/>
    </row>
    <row r="7991" spans="31:31" ht="15.75" customHeight="1">
      <c r="AE7991"/>
    </row>
    <row r="7992" spans="31:31" ht="15.75" customHeight="1">
      <c r="AE7992"/>
    </row>
    <row r="7993" spans="31:31" ht="15.75" customHeight="1">
      <c r="AE7993"/>
    </row>
    <row r="7994" spans="31:31" ht="15.75" customHeight="1">
      <c r="AE7994"/>
    </row>
    <row r="7995" spans="31:31" ht="15.75" customHeight="1">
      <c r="AE7995"/>
    </row>
    <row r="7996" spans="31:31" ht="15.75" customHeight="1">
      <c r="AE7996"/>
    </row>
    <row r="7997" spans="31:31" ht="15.75" customHeight="1">
      <c r="AE7997"/>
    </row>
    <row r="7998" spans="31:31" ht="15.75" customHeight="1">
      <c r="AE7998"/>
    </row>
    <row r="7999" spans="31:31" ht="15.75" customHeight="1">
      <c r="AE7999"/>
    </row>
    <row r="8000" spans="31:31" ht="15.75" customHeight="1">
      <c r="AE8000"/>
    </row>
    <row r="8001" spans="31:31" ht="15.75" customHeight="1">
      <c r="AE8001"/>
    </row>
    <row r="8002" spans="31:31" ht="15.75" customHeight="1">
      <c r="AE8002"/>
    </row>
    <row r="8003" spans="31:31" ht="15.75" customHeight="1">
      <c r="AE8003"/>
    </row>
    <row r="8004" spans="31:31" ht="15.75" customHeight="1">
      <c r="AE8004"/>
    </row>
    <row r="8005" spans="31:31" ht="15.75" customHeight="1">
      <c r="AE8005"/>
    </row>
    <row r="8006" spans="31:31" ht="15.75" customHeight="1">
      <c r="AE8006"/>
    </row>
    <row r="8007" spans="31:31" ht="15.75" customHeight="1">
      <c r="AE8007"/>
    </row>
    <row r="8008" spans="31:31" ht="15.75" customHeight="1">
      <c r="AE8008"/>
    </row>
    <row r="8009" spans="31:31" ht="15.75" customHeight="1">
      <c r="AE8009"/>
    </row>
    <row r="8010" spans="31:31" ht="15.75" customHeight="1">
      <c r="AE8010"/>
    </row>
    <row r="8011" spans="31:31" ht="15.75" customHeight="1">
      <c r="AE8011"/>
    </row>
    <row r="8012" spans="31:31" ht="15.75" customHeight="1">
      <c r="AE8012"/>
    </row>
    <row r="8013" spans="31:31" ht="15.75" customHeight="1">
      <c r="AE8013"/>
    </row>
    <row r="8014" spans="31:31" ht="15.75" customHeight="1">
      <c r="AE8014"/>
    </row>
    <row r="8015" spans="31:31" ht="15.75" customHeight="1">
      <c r="AE8015"/>
    </row>
    <row r="8016" spans="31:31" ht="15.75" customHeight="1">
      <c r="AE8016"/>
    </row>
    <row r="8017" spans="31:31" ht="15.75" customHeight="1">
      <c r="AE8017"/>
    </row>
    <row r="8018" spans="31:31" ht="15.75" customHeight="1">
      <c r="AE8018"/>
    </row>
    <row r="8019" spans="31:31" ht="15.75" customHeight="1">
      <c r="AE8019"/>
    </row>
    <row r="8020" spans="31:31" ht="15.75" customHeight="1">
      <c r="AE8020"/>
    </row>
    <row r="8021" spans="31:31" ht="15.75" customHeight="1">
      <c r="AE8021"/>
    </row>
    <row r="8022" spans="31:31" ht="15.75" customHeight="1">
      <c r="AE8022"/>
    </row>
    <row r="8023" spans="31:31" ht="15.75" customHeight="1">
      <c r="AE8023"/>
    </row>
    <row r="8024" spans="31:31" ht="15.75" customHeight="1">
      <c r="AE8024"/>
    </row>
    <row r="8025" spans="31:31" ht="15.75" customHeight="1">
      <c r="AE8025"/>
    </row>
    <row r="8026" spans="31:31" ht="15.75" customHeight="1">
      <c r="AE8026"/>
    </row>
    <row r="8027" spans="31:31" ht="15.75" customHeight="1">
      <c r="AE8027"/>
    </row>
    <row r="8028" spans="31:31" ht="15.75" customHeight="1">
      <c r="AE8028"/>
    </row>
    <row r="8029" spans="31:31" ht="15.75" customHeight="1">
      <c r="AE8029"/>
    </row>
    <row r="8030" spans="31:31" ht="15.75" customHeight="1">
      <c r="AE8030"/>
    </row>
    <row r="8031" spans="31:31" ht="15.75" customHeight="1">
      <c r="AE8031"/>
    </row>
    <row r="8032" spans="31:31" ht="15.75" customHeight="1">
      <c r="AE8032"/>
    </row>
    <row r="8033" spans="31:31" ht="15.75" customHeight="1">
      <c r="AE8033"/>
    </row>
    <row r="8034" spans="31:31" ht="15.75" customHeight="1">
      <c r="AE8034"/>
    </row>
    <row r="8035" spans="31:31" ht="15.75" customHeight="1">
      <c r="AE8035"/>
    </row>
    <row r="8036" spans="31:31" ht="15.75" customHeight="1">
      <c r="AE8036"/>
    </row>
    <row r="8037" spans="31:31" ht="15.75" customHeight="1">
      <c r="AE8037"/>
    </row>
    <row r="8038" spans="31:31" ht="15.75" customHeight="1">
      <c r="AE8038"/>
    </row>
    <row r="8039" spans="31:31" ht="15.75" customHeight="1">
      <c r="AE8039"/>
    </row>
    <row r="8040" spans="31:31" ht="15.75" customHeight="1">
      <c r="AE8040"/>
    </row>
    <row r="8041" spans="31:31" ht="15.75" customHeight="1">
      <c r="AE8041"/>
    </row>
    <row r="8042" spans="31:31" ht="15.75" customHeight="1">
      <c r="AE8042"/>
    </row>
    <row r="8043" spans="31:31" ht="15.75" customHeight="1">
      <c r="AE8043"/>
    </row>
    <row r="8044" spans="31:31" ht="15.75" customHeight="1">
      <c r="AE8044"/>
    </row>
    <row r="8045" spans="31:31" ht="15.75" customHeight="1">
      <c r="AE8045"/>
    </row>
    <row r="8046" spans="31:31" ht="15.75" customHeight="1">
      <c r="AE8046"/>
    </row>
    <row r="8047" spans="31:31" ht="15.75" customHeight="1">
      <c r="AE8047"/>
    </row>
    <row r="8048" spans="31:31" ht="15.75" customHeight="1">
      <c r="AE8048"/>
    </row>
    <row r="8049" spans="31:31" ht="15.75" customHeight="1">
      <c r="AE8049"/>
    </row>
    <row r="8050" spans="31:31" ht="15.75" customHeight="1">
      <c r="AE8050"/>
    </row>
    <row r="8051" spans="31:31" ht="15.75" customHeight="1">
      <c r="AE8051"/>
    </row>
    <row r="8052" spans="31:31" ht="15.75" customHeight="1">
      <c r="AE8052"/>
    </row>
    <row r="8053" spans="31:31" ht="15.75" customHeight="1">
      <c r="AE8053"/>
    </row>
    <row r="8054" spans="31:31" ht="15.75" customHeight="1">
      <c r="AE8054"/>
    </row>
    <row r="8055" spans="31:31" ht="15.75" customHeight="1">
      <c r="AE8055"/>
    </row>
    <row r="8056" spans="31:31" ht="15.75" customHeight="1">
      <c r="AE8056"/>
    </row>
    <row r="8057" spans="31:31" ht="15.75" customHeight="1">
      <c r="AE8057"/>
    </row>
    <row r="8058" spans="31:31" ht="15.75" customHeight="1">
      <c r="AE8058"/>
    </row>
    <row r="8059" spans="31:31" ht="15.75" customHeight="1">
      <c r="AE8059"/>
    </row>
    <row r="8060" spans="31:31" ht="15.75" customHeight="1">
      <c r="AE8060"/>
    </row>
    <row r="8061" spans="31:31" ht="15.75" customHeight="1">
      <c r="AE8061"/>
    </row>
    <row r="8062" spans="31:31" ht="15.75" customHeight="1">
      <c r="AE8062"/>
    </row>
    <row r="8063" spans="31:31" ht="15.75" customHeight="1">
      <c r="AE8063"/>
    </row>
    <row r="8064" spans="31:31" ht="15.75" customHeight="1">
      <c r="AE8064"/>
    </row>
    <row r="8065" spans="31:31" ht="15.75" customHeight="1">
      <c r="AE8065"/>
    </row>
    <row r="8066" spans="31:31" ht="15.75" customHeight="1">
      <c r="AE8066"/>
    </row>
    <row r="8067" spans="31:31" ht="15.75" customHeight="1">
      <c r="AE8067"/>
    </row>
    <row r="8068" spans="31:31" ht="15.75" customHeight="1">
      <c r="AE8068"/>
    </row>
    <row r="8069" spans="31:31" ht="15.75" customHeight="1">
      <c r="AE8069"/>
    </row>
    <row r="8070" spans="31:31" ht="15.75" customHeight="1">
      <c r="AE8070"/>
    </row>
    <row r="8071" spans="31:31" ht="15.75" customHeight="1">
      <c r="AE8071"/>
    </row>
    <row r="8072" spans="31:31" ht="15.75" customHeight="1">
      <c r="AE8072"/>
    </row>
    <row r="8073" spans="31:31" ht="15.75" customHeight="1">
      <c r="AE8073"/>
    </row>
    <row r="8074" spans="31:31" ht="15.75" customHeight="1">
      <c r="AE8074"/>
    </row>
    <row r="8075" spans="31:31" ht="15.75" customHeight="1">
      <c r="AE8075"/>
    </row>
    <row r="8076" spans="31:31" ht="15.75" customHeight="1">
      <c r="AE8076"/>
    </row>
    <row r="8077" spans="31:31" ht="15.75" customHeight="1">
      <c r="AE8077"/>
    </row>
    <row r="8078" spans="31:31" ht="15.75" customHeight="1">
      <c r="AE8078"/>
    </row>
    <row r="8079" spans="31:31" ht="15.75" customHeight="1">
      <c r="AE8079"/>
    </row>
    <row r="8080" spans="31:31" ht="15.75" customHeight="1">
      <c r="AE8080"/>
    </row>
    <row r="8081" spans="31:31" ht="15.75" customHeight="1">
      <c r="AE8081"/>
    </row>
    <row r="8082" spans="31:31" ht="15.75" customHeight="1">
      <c r="AE8082"/>
    </row>
    <row r="8083" spans="31:31" ht="15.75" customHeight="1">
      <c r="AE8083"/>
    </row>
    <row r="8084" spans="31:31" ht="15.75" customHeight="1">
      <c r="AE8084"/>
    </row>
    <row r="8085" spans="31:31" ht="15.75" customHeight="1">
      <c r="AE8085"/>
    </row>
    <row r="8086" spans="31:31" ht="15.75" customHeight="1">
      <c r="AE8086"/>
    </row>
    <row r="8087" spans="31:31" ht="15.75" customHeight="1">
      <c r="AE8087"/>
    </row>
    <row r="8088" spans="31:31" ht="15.75" customHeight="1">
      <c r="AE8088"/>
    </row>
    <row r="8089" spans="31:31" ht="15.75" customHeight="1">
      <c r="AE8089"/>
    </row>
    <row r="8090" spans="31:31" ht="15.75" customHeight="1">
      <c r="AE8090"/>
    </row>
    <row r="8091" spans="31:31" ht="15.75" customHeight="1">
      <c r="AE8091"/>
    </row>
    <row r="8092" spans="31:31" ht="15.75" customHeight="1">
      <c r="AE8092"/>
    </row>
    <row r="8093" spans="31:31" ht="15.75" customHeight="1">
      <c r="AE8093"/>
    </row>
    <row r="8094" spans="31:31" ht="15.75" customHeight="1">
      <c r="AE8094"/>
    </row>
    <row r="8095" spans="31:31" ht="15.75" customHeight="1">
      <c r="AE8095"/>
    </row>
    <row r="8096" spans="31:31" ht="15.75" customHeight="1">
      <c r="AE8096"/>
    </row>
    <row r="8097" spans="31:31" ht="15.75" customHeight="1">
      <c r="AE8097"/>
    </row>
    <row r="8098" spans="31:31" ht="15.75" customHeight="1">
      <c r="AE8098"/>
    </row>
    <row r="8099" spans="31:31" ht="15.75" customHeight="1">
      <c r="AE8099"/>
    </row>
    <row r="8100" spans="31:31" ht="15.75" customHeight="1">
      <c r="AE8100"/>
    </row>
    <row r="8101" spans="31:31" ht="15.75" customHeight="1">
      <c r="AE8101"/>
    </row>
    <row r="8102" spans="31:31" ht="15.75" customHeight="1">
      <c r="AE8102"/>
    </row>
    <row r="8103" spans="31:31" ht="15.75" customHeight="1">
      <c r="AE8103"/>
    </row>
    <row r="8104" spans="31:31" ht="15.75" customHeight="1">
      <c r="AE8104"/>
    </row>
    <row r="8105" spans="31:31" ht="15.75" customHeight="1">
      <c r="AE8105"/>
    </row>
    <row r="8106" spans="31:31" ht="15.75" customHeight="1">
      <c r="AE8106"/>
    </row>
    <row r="8107" spans="31:31" ht="15.75" customHeight="1">
      <c r="AE8107"/>
    </row>
    <row r="8108" spans="31:31" ht="15.75" customHeight="1">
      <c r="AE8108"/>
    </row>
    <row r="8109" spans="31:31" ht="15.75" customHeight="1">
      <c r="AE8109"/>
    </row>
    <row r="8110" spans="31:31" ht="15.75" customHeight="1">
      <c r="AE8110"/>
    </row>
    <row r="8111" spans="31:31" ht="15.75" customHeight="1">
      <c r="AE8111"/>
    </row>
    <row r="8112" spans="31:31" ht="15.75" customHeight="1">
      <c r="AE8112"/>
    </row>
    <row r="8113" spans="31:31" ht="15.75" customHeight="1">
      <c r="AE8113"/>
    </row>
    <row r="8114" spans="31:31" ht="15.75" customHeight="1">
      <c r="AE8114"/>
    </row>
    <row r="8115" spans="31:31" ht="15.75" customHeight="1">
      <c r="AE8115"/>
    </row>
    <row r="8116" spans="31:31" ht="15.75" customHeight="1">
      <c r="AE8116"/>
    </row>
    <row r="8117" spans="31:31" ht="15.75" customHeight="1">
      <c r="AE8117"/>
    </row>
    <row r="8118" spans="31:31" ht="15.75" customHeight="1">
      <c r="AE8118"/>
    </row>
    <row r="8119" spans="31:31" ht="15.75" customHeight="1">
      <c r="AE8119"/>
    </row>
    <row r="8120" spans="31:31" ht="15.75" customHeight="1">
      <c r="AE8120"/>
    </row>
    <row r="8121" spans="31:31" ht="15.75" customHeight="1">
      <c r="AE8121"/>
    </row>
    <row r="8122" spans="31:31" ht="15.75" customHeight="1">
      <c r="AE8122"/>
    </row>
    <row r="8123" spans="31:31" ht="15.75" customHeight="1">
      <c r="AE8123"/>
    </row>
    <row r="8124" spans="31:31" ht="15.75" customHeight="1">
      <c r="AE8124"/>
    </row>
    <row r="8125" spans="31:31" ht="15.75" customHeight="1">
      <c r="AE8125"/>
    </row>
    <row r="8126" spans="31:31" ht="15.75" customHeight="1">
      <c r="AE8126"/>
    </row>
    <row r="8127" spans="31:31" ht="15.75" customHeight="1">
      <c r="AE8127"/>
    </row>
    <row r="8128" spans="31:31" ht="15.75" customHeight="1">
      <c r="AE8128"/>
    </row>
    <row r="8129" spans="31:31" ht="15.75" customHeight="1">
      <c r="AE8129"/>
    </row>
    <row r="8130" spans="31:31" ht="15.75" customHeight="1">
      <c r="AE8130"/>
    </row>
    <row r="8131" spans="31:31" ht="15.75" customHeight="1">
      <c r="AE8131"/>
    </row>
    <row r="8132" spans="31:31" ht="15.75" customHeight="1">
      <c r="AE8132"/>
    </row>
    <row r="8133" spans="31:31" ht="15.75" customHeight="1">
      <c r="AE8133"/>
    </row>
    <row r="8134" spans="31:31" ht="15.75" customHeight="1">
      <c r="AE8134"/>
    </row>
    <row r="8135" spans="31:31" ht="15.75" customHeight="1">
      <c r="AE8135"/>
    </row>
    <row r="8136" spans="31:31" ht="15.75" customHeight="1">
      <c r="AE8136"/>
    </row>
    <row r="8137" spans="31:31" ht="15.75" customHeight="1">
      <c r="AE8137"/>
    </row>
    <row r="8138" spans="31:31" ht="15.75" customHeight="1">
      <c r="AE8138"/>
    </row>
    <row r="8139" spans="31:31" ht="15.75" customHeight="1">
      <c r="AE8139"/>
    </row>
    <row r="8140" spans="31:31" ht="15.75" customHeight="1">
      <c r="AE8140"/>
    </row>
    <row r="8141" spans="31:31" ht="15.75" customHeight="1">
      <c r="AE8141"/>
    </row>
    <row r="8142" spans="31:31" ht="15.75" customHeight="1">
      <c r="AE8142"/>
    </row>
    <row r="8143" spans="31:31" ht="15.75" customHeight="1">
      <c r="AE8143"/>
    </row>
    <row r="8144" spans="31:31" ht="15.75" customHeight="1">
      <c r="AE8144"/>
    </row>
    <row r="8145" spans="31:31" ht="15.75" customHeight="1">
      <c r="AE8145"/>
    </row>
    <row r="8146" spans="31:31" ht="15.75" customHeight="1">
      <c r="AE8146"/>
    </row>
    <row r="8147" spans="31:31" ht="15.75" customHeight="1">
      <c r="AE8147"/>
    </row>
    <row r="8148" spans="31:31" ht="15.75" customHeight="1">
      <c r="AE8148"/>
    </row>
    <row r="8149" spans="31:31" ht="15.75" customHeight="1">
      <c r="AE8149"/>
    </row>
    <row r="8150" spans="31:31" ht="15.75" customHeight="1">
      <c r="AE8150"/>
    </row>
    <row r="8151" spans="31:31" ht="15.75" customHeight="1">
      <c r="AE8151"/>
    </row>
    <row r="8152" spans="31:31" ht="15.75" customHeight="1">
      <c r="AE8152"/>
    </row>
    <row r="8153" spans="31:31" ht="15.75" customHeight="1">
      <c r="AE8153"/>
    </row>
    <row r="8154" spans="31:31" ht="15.75" customHeight="1">
      <c r="AE8154"/>
    </row>
    <row r="8155" spans="31:31" ht="15.75" customHeight="1">
      <c r="AE8155"/>
    </row>
    <row r="8156" spans="31:31" ht="15.75" customHeight="1">
      <c r="AE8156"/>
    </row>
    <row r="8157" spans="31:31" ht="15.75" customHeight="1">
      <c r="AE8157"/>
    </row>
    <row r="8158" spans="31:31" ht="15.75" customHeight="1">
      <c r="AE8158"/>
    </row>
    <row r="8159" spans="31:31" ht="15.75" customHeight="1">
      <c r="AE8159"/>
    </row>
    <row r="8160" spans="31:31" ht="15.75" customHeight="1">
      <c r="AE8160"/>
    </row>
    <row r="8161" spans="31:31" ht="15.75" customHeight="1">
      <c r="AE8161"/>
    </row>
    <row r="8162" spans="31:31" ht="15.75" customHeight="1">
      <c r="AE8162"/>
    </row>
    <row r="8163" spans="31:31" ht="15.75" customHeight="1">
      <c r="AE8163"/>
    </row>
    <row r="8164" spans="31:31" ht="15.75" customHeight="1">
      <c r="AE8164"/>
    </row>
    <row r="8165" spans="31:31" ht="15.75" customHeight="1">
      <c r="AE8165"/>
    </row>
    <row r="8166" spans="31:31" ht="15.75" customHeight="1">
      <c r="AE8166"/>
    </row>
    <row r="8167" spans="31:31" ht="15.75" customHeight="1">
      <c r="AE8167"/>
    </row>
    <row r="8168" spans="31:31" ht="15.75" customHeight="1">
      <c r="AE8168"/>
    </row>
    <row r="8169" spans="31:31" ht="15.75" customHeight="1">
      <c r="AE8169"/>
    </row>
    <row r="8170" spans="31:31" ht="15.75" customHeight="1">
      <c r="AE8170"/>
    </row>
    <row r="8171" spans="31:31" ht="15.75" customHeight="1">
      <c r="AE8171"/>
    </row>
    <row r="8172" spans="31:31" ht="15.75" customHeight="1">
      <c r="AE8172"/>
    </row>
    <row r="8173" spans="31:31" ht="15.75" customHeight="1">
      <c r="AE8173"/>
    </row>
    <row r="8174" spans="31:31" ht="15.75" customHeight="1">
      <c r="AE8174"/>
    </row>
    <row r="8175" spans="31:31" ht="15.75" customHeight="1">
      <c r="AE8175"/>
    </row>
    <row r="8176" spans="31:31" ht="15.75" customHeight="1">
      <c r="AE8176"/>
    </row>
    <row r="8177" spans="31:31" ht="15.75" customHeight="1">
      <c r="AE8177"/>
    </row>
    <row r="8178" spans="31:31" ht="15.75" customHeight="1">
      <c r="AE8178"/>
    </row>
    <row r="8179" spans="31:31" ht="15.75" customHeight="1">
      <c r="AE8179"/>
    </row>
    <row r="8180" spans="31:31" ht="15.75" customHeight="1">
      <c r="AE8180"/>
    </row>
    <row r="8181" spans="31:31" ht="15.75" customHeight="1">
      <c r="AE8181"/>
    </row>
    <row r="8182" spans="31:31" ht="15.75" customHeight="1">
      <c r="AE8182"/>
    </row>
    <row r="8183" spans="31:31" ht="15.75" customHeight="1">
      <c r="AE8183"/>
    </row>
    <row r="8184" spans="31:31" ht="15.75" customHeight="1">
      <c r="AE8184"/>
    </row>
    <row r="8185" spans="31:31" ht="15.75" customHeight="1">
      <c r="AE8185"/>
    </row>
    <row r="8186" spans="31:31" ht="15.75" customHeight="1">
      <c r="AE8186"/>
    </row>
    <row r="8187" spans="31:31" ht="15.75" customHeight="1">
      <c r="AE8187"/>
    </row>
    <row r="8188" spans="31:31" ht="15.75" customHeight="1">
      <c r="AE8188"/>
    </row>
    <row r="8189" spans="31:31" ht="15.75" customHeight="1">
      <c r="AE8189"/>
    </row>
    <row r="8190" spans="31:31" ht="15.75" customHeight="1">
      <c r="AE8190"/>
    </row>
    <row r="8191" spans="31:31" ht="15.75" customHeight="1">
      <c r="AE8191"/>
    </row>
    <row r="8192" spans="31:31" ht="15.75" customHeight="1">
      <c r="AE8192"/>
    </row>
    <row r="8193" spans="31:31" ht="15.75" customHeight="1">
      <c r="AE8193"/>
    </row>
    <row r="8194" spans="31:31" ht="15.75" customHeight="1">
      <c r="AE8194"/>
    </row>
    <row r="8195" spans="31:31" ht="15.75" customHeight="1">
      <c r="AE8195"/>
    </row>
    <row r="8196" spans="31:31" ht="15.75" customHeight="1">
      <c r="AE8196"/>
    </row>
    <row r="8197" spans="31:31" ht="15.75" customHeight="1">
      <c r="AE8197"/>
    </row>
    <row r="8198" spans="31:31" ht="15.75" customHeight="1">
      <c r="AE8198"/>
    </row>
    <row r="8199" spans="31:31" ht="15.75" customHeight="1">
      <c r="AE8199"/>
    </row>
    <row r="8200" spans="31:31" ht="15.75" customHeight="1">
      <c r="AE8200"/>
    </row>
    <row r="8201" spans="31:31" ht="15.75" customHeight="1">
      <c r="AE8201"/>
    </row>
    <row r="8202" spans="31:31" ht="15.75" customHeight="1">
      <c r="AE8202"/>
    </row>
    <row r="8203" spans="31:31" ht="15.75" customHeight="1">
      <c r="AE8203"/>
    </row>
    <row r="8204" spans="31:31" ht="15.75" customHeight="1">
      <c r="AE8204"/>
    </row>
    <row r="8205" spans="31:31" ht="15.75" customHeight="1">
      <c r="AE8205"/>
    </row>
    <row r="8206" spans="31:31" ht="15.75" customHeight="1">
      <c r="AE8206"/>
    </row>
    <row r="8207" spans="31:31" ht="15.75" customHeight="1">
      <c r="AE8207"/>
    </row>
    <row r="8208" spans="31:31" ht="15.75" customHeight="1">
      <c r="AE8208"/>
    </row>
    <row r="8209" spans="31:31" ht="15.75" customHeight="1">
      <c r="AE8209"/>
    </row>
    <row r="8210" spans="31:31" ht="15.75" customHeight="1">
      <c r="AE8210"/>
    </row>
    <row r="8211" spans="31:31" ht="15.75" customHeight="1">
      <c r="AE8211"/>
    </row>
    <row r="8212" spans="31:31" ht="15.75" customHeight="1">
      <c r="AE8212"/>
    </row>
    <row r="8213" spans="31:31" ht="15.75" customHeight="1">
      <c r="AE8213"/>
    </row>
    <row r="8214" spans="31:31" ht="15.75" customHeight="1">
      <c r="AE8214"/>
    </row>
    <row r="8215" spans="31:31" ht="15.75" customHeight="1">
      <c r="AE8215"/>
    </row>
    <row r="8216" spans="31:31" ht="15.75" customHeight="1">
      <c r="AE8216"/>
    </row>
    <row r="8217" spans="31:31" ht="15.75" customHeight="1">
      <c r="AE8217"/>
    </row>
    <row r="8218" spans="31:31" ht="15.75" customHeight="1">
      <c r="AE8218"/>
    </row>
    <row r="8219" spans="31:31" ht="15.75" customHeight="1">
      <c r="AE8219"/>
    </row>
    <row r="8220" spans="31:31" ht="15.75" customHeight="1">
      <c r="AE8220"/>
    </row>
    <row r="8221" spans="31:31" ht="15.75" customHeight="1">
      <c r="AE8221"/>
    </row>
    <row r="8222" spans="31:31" ht="15.75" customHeight="1">
      <c r="AE8222"/>
    </row>
    <row r="8223" spans="31:31" ht="15.75" customHeight="1">
      <c r="AE8223"/>
    </row>
    <row r="8224" spans="31:31" ht="15.75" customHeight="1">
      <c r="AE8224"/>
    </row>
    <row r="8225" spans="31:31" ht="15.75" customHeight="1">
      <c r="AE8225"/>
    </row>
    <row r="8226" spans="31:31" ht="15.75" customHeight="1">
      <c r="AE8226"/>
    </row>
    <row r="8227" spans="31:31" ht="15.75" customHeight="1">
      <c r="AE8227"/>
    </row>
    <row r="8228" spans="31:31" ht="15.75" customHeight="1">
      <c r="AE8228"/>
    </row>
    <row r="8229" spans="31:31" ht="15.75" customHeight="1">
      <c r="AE8229"/>
    </row>
    <row r="8230" spans="31:31" ht="15.75" customHeight="1">
      <c r="AE8230"/>
    </row>
    <row r="8231" spans="31:31" ht="15.75" customHeight="1">
      <c r="AE8231"/>
    </row>
    <row r="8232" spans="31:31" ht="15.75" customHeight="1">
      <c r="AE8232"/>
    </row>
    <row r="8233" spans="31:31" ht="15.75" customHeight="1">
      <c r="AE8233"/>
    </row>
    <row r="8234" spans="31:31" ht="15.75" customHeight="1">
      <c r="AE8234"/>
    </row>
    <row r="8235" spans="31:31" ht="15.75" customHeight="1">
      <c r="AE8235"/>
    </row>
    <row r="8236" spans="31:31" ht="15.75" customHeight="1">
      <c r="AE8236"/>
    </row>
    <row r="8237" spans="31:31" ht="15.75" customHeight="1">
      <c r="AE8237"/>
    </row>
    <row r="8238" spans="31:31" ht="15.75" customHeight="1">
      <c r="AE8238"/>
    </row>
    <row r="8239" spans="31:31" ht="15.75" customHeight="1">
      <c r="AE8239"/>
    </row>
    <row r="8240" spans="31:31" ht="15.75" customHeight="1">
      <c r="AE8240"/>
    </row>
    <row r="8241" spans="31:31" ht="15.75" customHeight="1">
      <c r="AE8241"/>
    </row>
    <row r="8242" spans="31:31" ht="15.75" customHeight="1">
      <c r="AE8242"/>
    </row>
    <row r="8243" spans="31:31" ht="15.75" customHeight="1">
      <c r="AE8243"/>
    </row>
    <row r="8244" spans="31:31" ht="15.75" customHeight="1">
      <c r="AE8244"/>
    </row>
    <row r="8245" spans="31:31" ht="15.75" customHeight="1">
      <c r="AE8245"/>
    </row>
    <row r="8246" spans="31:31" ht="15.75" customHeight="1">
      <c r="AE8246"/>
    </row>
    <row r="8247" spans="31:31" ht="15.75" customHeight="1">
      <c r="AE8247"/>
    </row>
    <row r="8248" spans="31:31" ht="15.75" customHeight="1">
      <c r="AE8248"/>
    </row>
    <row r="8249" spans="31:31" ht="15.75" customHeight="1">
      <c r="AE8249"/>
    </row>
    <row r="8250" spans="31:31" ht="15.75" customHeight="1">
      <c r="AE8250"/>
    </row>
    <row r="8251" spans="31:31" ht="15.75" customHeight="1">
      <c r="AE8251"/>
    </row>
    <row r="8252" spans="31:31" ht="15.75" customHeight="1">
      <c r="AE8252"/>
    </row>
    <row r="8253" spans="31:31" ht="15.75" customHeight="1">
      <c r="AE8253"/>
    </row>
    <row r="8254" spans="31:31" ht="15.75" customHeight="1">
      <c r="AE8254"/>
    </row>
    <row r="8255" spans="31:31" ht="15.75" customHeight="1">
      <c r="AE8255"/>
    </row>
    <row r="8256" spans="31:31" ht="15.75" customHeight="1">
      <c r="AE8256"/>
    </row>
    <row r="8257" spans="31:31" ht="15.75" customHeight="1">
      <c r="AE8257"/>
    </row>
    <row r="8258" spans="31:31" ht="15.75" customHeight="1">
      <c r="AE8258"/>
    </row>
    <row r="8259" spans="31:31" ht="15.75" customHeight="1">
      <c r="AE8259"/>
    </row>
    <row r="8260" spans="31:31" ht="15.75" customHeight="1">
      <c r="AE8260"/>
    </row>
    <row r="8261" spans="31:31" ht="15.75" customHeight="1">
      <c r="AE8261"/>
    </row>
    <row r="8262" spans="31:31" ht="15.75" customHeight="1">
      <c r="AE8262"/>
    </row>
    <row r="8263" spans="31:31" ht="15.75" customHeight="1">
      <c r="AE8263"/>
    </row>
    <row r="8264" spans="31:31" ht="15.75" customHeight="1">
      <c r="AE8264"/>
    </row>
    <row r="8265" spans="31:31" ht="15.75" customHeight="1">
      <c r="AE8265"/>
    </row>
    <row r="8266" spans="31:31" ht="15.75" customHeight="1">
      <c r="AE8266"/>
    </row>
    <row r="8267" spans="31:31" ht="15.75" customHeight="1">
      <c r="AE8267"/>
    </row>
    <row r="8268" spans="31:31" ht="15.75" customHeight="1">
      <c r="AE8268"/>
    </row>
    <row r="8269" spans="31:31" ht="15.75" customHeight="1">
      <c r="AE8269"/>
    </row>
    <row r="8270" spans="31:31" ht="15.75" customHeight="1">
      <c r="AE8270"/>
    </row>
    <row r="8271" spans="31:31" ht="15.75" customHeight="1">
      <c r="AE8271"/>
    </row>
    <row r="8272" spans="31:31" ht="15.75" customHeight="1">
      <c r="AE8272"/>
    </row>
    <row r="8273" spans="31:31" ht="15.75" customHeight="1">
      <c r="AE8273"/>
    </row>
    <row r="8274" spans="31:31" ht="15.75" customHeight="1">
      <c r="AE8274"/>
    </row>
    <row r="8275" spans="31:31" ht="15.75" customHeight="1">
      <c r="AE8275"/>
    </row>
    <row r="8276" spans="31:31" ht="15.75" customHeight="1">
      <c r="AE8276"/>
    </row>
    <row r="8277" spans="31:31" ht="15.75" customHeight="1">
      <c r="AE8277"/>
    </row>
    <row r="8278" spans="31:31" ht="15.75" customHeight="1">
      <c r="AE8278"/>
    </row>
    <row r="8279" spans="31:31" ht="15.75" customHeight="1">
      <c r="AE8279"/>
    </row>
    <row r="8280" spans="31:31" ht="15.75" customHeight="1">
      <c r="AE8280"/>
    </row>
    <row r="8281" spans="31:31" ht="15.75" customHeight="1">
      <c r="AE8281"/>
    </row>
    <row r="8282" spans="31:31" ht="15.75" customHeight="1">
      <c r="AE8282"/>
    </row>
    <row r="8283" spans="31:31" ht="15.75" customHeight="1">
      <c r="AE8283"/>
    </row>
    <row r="8284" spans="31:31" ht="15.75" customHeight="1">
      <c r="AE8284"/>
    </row>
    <row r="8285" spans="31:31" ht="15.75" customHeight="1">
      <c r="AE8285"/>
    </row>
    <row r="8286" spans="31:31" ht="15.75" customHeight="1">
      <c r="AE8286"/>
    </row>
    <row r="8287" spans="31:31" ht="15.75" customHeight="1">
      <c r="AE8287"/>
    </row>
    <row r="8288" spans="31:31" ht="15.75" customHeight="1">
      <c r="AE8288"/>
    </row>
    <row r="8289" spans="31:31" ht="15.75" customHeight="1">
      <c r="AE8289"/>
    </row>
    <row r="8290" spans="31:31" ht="15.75" customHeight="1">
      <c r="AE8290"/>
    </row>
    <row r="8291" spans="31:31" ht="15.75" customHeight="1">
      <c r="AE8291"/>
    </row>
    <row r="8292" spans="31:31" ht="15.75" customHeight="1">
      <c r="AE8292"/>
    </row>
    <row r="8293" spans="31:31" ht="15.75" customHeight="1">
      <c r="AE8293"/>
    </row>
    <row r="8294" spans="31:31" ht="15.75" customHeight="1">
      <c r="AE8294"/>
    </row>
    <row r="8295" spans="31:31" ht="15.75" customHeight="1">
      <c r="AE8295"/>
    </row>
    <row r="8296" spans="31:31" ht="15.75" customHeight="1">
      <c r="AE8296"/>
    </row>
    <row r="8297" spans="31:31" ht="15.75" customHeight="1">
      <c r="AE8297"/>
    </row>
    <row r="8298" spans="31:31" ht="15.75" customHeight="1">
      <c r="AE8298"/>
    </row>
    <row r="8299" spans="31:31" ht="15.75" customHeight="1">
      <c r="AE8299"/>
    </row>
    <row r="8300" spans="31:31" ht="15.75" customHeight="1">
      <c r="AE8300"/>
    </row>
    <row r="8301" spans="31:31" ht="15.75" customHeight="1">
      <c r="AE8301"/>
    </row>
    <row r="8302" spans="31:31" ht="15.75" customHeight="1">
      <c r="AE8302"/>
    </row>
    <row r="8303" spans="31:31" ht="15.75" customHeight="1">
      <c r="AE8303"/>
    </row>
    <row r="8304" spans="31:31" ht="15.75" customHeight="1">
      <c r="AE8304"/>
    </row>
    <row r="8305" spans="31:31" ht="15.75" customHeight="1">
      <c r="AE8305"/>
    </row>
    <row r="8306" spans="31:31" ht="15.75" customHeight="1">
      <c r="AE8306"/>
    </row>
    <row r="8307" spans="31:31" ht="15.75" customHeight="1">
      <c r="AE8307"/>
    </row>
    <row r="8308" spans="31:31" ht="15.75" customHeight="1">
      <c r="AE8308"/>
    </row>
    <row r="8309" spans="31:31" ht="15.75" customHeight="1">
      <c r="AE8309"/>
    </row>
    <row r="8310" spans="31:31" ht="15.75" customHeight="1">
      <c r="AE8310"/>
    </row>
    <row r="8311" spans="31:31" ht="15.75" customHeight="1">
      <c r="AE8311"/>
    </row>
    <row r="8312" spans="31:31" ht="15.75" customHeight="1">
      <c r="AE8312"/>
    </row>
    <row r="8313" spans="31:31" ht="15.75" customHeight="1">
      <c r="AE8313"/>
    </row>
    <row r="8314" spans="31:31" ht="15.75" customHeight="1">
      <c r="AE8314"/>
    </row>
    <row r="8315" spans="31:31" ht="15.75" customHeight="1">
      <c r="AE8315"/>
    </row>
    <row r="8316" spans="31:31" ht="15.75" customHeight="1">
      <c r="AE8316"/>
    </row>
    <row r="8317" spans="31:31" ht="15.75" customHeight="1">
      <c r="AE8317"/>
    </row>
    <row r="8318" spans="31:31" ht="15.75" customHeight="1">
      <c r="AE8318"/>
    </row>
    <row r="8319" spans="31:31" ht="15.75" customHeight="1">
      <c r="AE8319"/>
    </row>
    <row r="8320" spans="31:31" ht="15.75" customHeight="1">
      <c r="AE8320"/>
    </row>
    <row r="8321" spans="31:31" ht="15.75" customHeight="1">
      <c r="AE8321"/>
    </row>
    <row r="8322" spans="31:31" ht="15.75" customHeight="1">
      <c r="AE8322"/>
    </row>
    <row r="8323" spans="31:31" ht="15.75" customHeight="1">
      <c r="AE8323"/>
    </row>
    <row r="8324" spans="31:31" ht="15.75" customHeight="1">
      <c r="AE8324"/>
    </row>
    <row r="8325" spans="31:31" ht="15.75" customHeight="1">
      <c r="AE8325"/>
    </row>
    <row r="8326" spans="31:31" ht="15.75" customHeight="1">
      <c r="AE8326"/>
    </row>
    <row r="8327" spans="31:31" ht="15.75" customHeight="1">
      <c r="AE8327"/>
    </row>
    <row r="8328" spans="31:31" ht="15.75" customHeight="1">
      <c r="AE8328"/>
    </row>
    <row r="8329" spans="31:31" ht="15.75" customHeight="1">
      <c r="AE8329"/>
    </row>
    <row r="8330" spans="31:31" ht="15.75" customHeight="1">
      <c r="AE8330"/>
    </row>
    <row r="8331" spans="31:31" ht="15.75" customHeight="1">
      <c r="AE8331"/>
    </row>
    <row r="8332" spans="31:31" ht="15.75" customHeight="1">
      <c r="AE8332"/>
    </row>
    <row r="8333" spans="31:31" ht="15.75" customHeight="1">
      <c r="AE8333"/>
    </row>
    <row r="8334" spans="31:31" ht="15.75" customHeight="1">
      <c r="AE8334"/>
    </row>
    <row r="8335" spans="31:31" ht="15.75" customHeight="1">
      <c r="AE8335"/>
    </row>
    <row r="8336" spans="31:31" ht="15.75" customHeight="1">
      <c r="AE8336"/>
    </row>
    <row r="8337" spans="31:31" ht="15.75" customHeight="1">
      <c r="AE8337"/>
    </row>
    <row r="8338" spans="31:31" ht="15.75" customHeight="1">
      <c r="AE8338"/>
    </row>
    <row r="8339" spans="31:31" ht="15.75" customHeight="1">
      <c r="AE8339"/>
    </row>
    <row r="8340" spans="31:31" ht="15.75" customHeight="1">
      <c r="AE8340"/>
    </row>
    <row r="8341" spans="31:31" ht="15.75" customHeight="1">
      <c r="AE8341"/>
    </row>
    <row r="8342" spans="31:31" ht="15.75" customHeight="1">
      <c r="AE8342"/>
    </row>
    <row r="8343" spans="31:31" ht="15.75" customHeight="1">
      <c r="AE8343"/>
    </row>
    <row r="8344" spans="31:31" ht="15.75" customHeight="1">
      <c r="AE8344"/>
    </row>
    <row r="8345" spans="31:31" ht="15.75" customHeight="1">
      <c r="AE8345"/>
    </row>
    <row r="8346" spans="31:31" ht="15.75" customHeight="1">
      <c r="AE8346"/>
    </row>
    <row r="8347" spans="31:31" ht="15.75" customHeight="1">
      <c r="AE8347"/>
    </row>
    <row r="8348" spans="31:31" ht="15.75" customHeight="1">
      <c r="AE8348"/>
    </row>
    <row r="8349" spans="31:31" ht="15.75" customHeight="1">
      <c r="AE8349"/>
    </row>
    <row r="8350" spans="31:31" ht="15.75" customHeight="1">
      <c r="AE8350"/>
    </row>
    <row r="8351" spans="31:31" ht="15.75" customHeight="1">
      <c r="AE8351"/>
    </row>
    <row r="8352" spans="31:31" ht="15.75" customHeight="1">
      <c r="AE8352"/>
    </row>
    <row r="8353" spans="31:31" ht="15.75" customHeight="1">
      <c r="AE8353"/>
    </row>
    <row r="8354" spans="31:31" ht="15.75" customHeight="1">
      <c r="AE8354"/>
    </row>
    <row r="8355" spans="31:31" ht="15.75" customHeight="1">
      <c r="AE8355"/>
    </row>
    <row r="8356" spans="31:31" ht="15.75" customHeight="1">
      <c r="AE8356"/>
    </row>
    <row r="8357" spans="31:31" ht="15.75" customHeight="1">
      <c r="AE8357"/>
    </row>
    <row r="8358" spans="31:31" ht="15.75" customHeight="1">
      <c r="AE8358"/>
    </row>
    <row r="8359" spans="31:31" ht="15.75" customHeight="1">
      <c r="AE8359"/>
    </row>
    <row r="8360" spans="31:31" ht="15.75" customHeight="1">
      <c r="AE8360"/>
    </row>
    <row r="8361" spans="31:31" ht="15.75" customHeight="1">
      <c r="AE8361"/>
    </row>
    <row r="8362" spans="31:31" ht="15.75" customHeight="1">
      <c r="AE8362"/>
    </row>
    <row r="8363" spans="31:31" ht="15.75" customHeight="1">
      <c r="AE8363"/>
    </row>
    <row r="8364" spans="31:31" ht="15.75" customHeight="1">
      <c r="AE8364"/>
    </row>
    <row r="8365" spans="31:31" ht="15.75" customHeight="1">
      <c r="AE8365"/>
    </row>
    <row r="8366" spans="31:31" ht="15.75" customHeight="1">
      <c r="AE8366"/>
    </row>
    <row r="8367" spans="31:31" ht="15.75" customHeight="1">
      <c r="AE8367"/>
    </row>
    <row r="8368" spans="31:31" ht="15.75" customHeight="1">
      <c r="AE8368"/>
    </row>
    <row r="8369" spans="31:31" ht="15.75" customHeight="1">
      <c r="AE8369"/>
    </row>
    <row r="8370" spans="31:31" ht="15.75" customHeight="1">
      <c r="AE8370"/>
    </row>
    <row r="8371" spans="31:31" ht="15.75" customHeight="1">
      <c r="AE8371"/>
    </row>
    <row r="8372" spans="31:31" ht="15.75" customHeight="1">
      <c r="AE8372"/>
    </row>
    <row r="8373" spans="31:31" ht="15.75" customHeight="1">
      <c r="AE8373"/>
    </row>
    <row r="8374" spans="31:31" ht="15.75" customHeight="1">
      <c r="AE8374"/>
    </row>
    <row r="8375" spans="31:31" ht="15.75" customHeight="1">
      <c r="AE8375"/>
    </row>
    <row r="8376" spans="31:31" ht="15.75" customHeight="1">
      <c r="AE8376"/>
    </row>
    <row r="8377" spans="31:31" ht="15.75" customHeight="1">
      <c r="AE8377"/>
    </row>
    <row r="8378" spans="31:31" ht="15.75" customHeight="1">
      <c r="AE8378"/>
    </row>
    <row r="8379" spans="31:31" ht="15.75" customHeight="1">
      <c r="AE8379"/>
    </row>
    <row r="8380" spans="31:31" ht="15.75" customHeight="1">
      <c r="AE8380"/>
    </row>
    <row r="8381" spans="31:31" ht="15.75" customHeight="1">
      <c r="AE8381"/>
    </row>
    <row r="8382" spans="31:31" ht="15.75" customHeight="1">
      <c r="AE8382"/>
    </row>
    <row r="8383" spans="31:31" ht="15.75" customHeight="1">
      <c r="AE8383"/>
    </row>
    <row r="8384" spans="31:31" ht="15.75" customHeight="1">
      <c r="AE8384"/>
    </row>
    <row r="8385" spans="31:31" ht="15.75" customHeight="1">
      <c r="AE8385"/>
    </row>
    <row r="8386" spans="31:31" ht="15.75" customHeight="1">
      <c r="AE8386"/>
    </row>
    <row r="8387" spans="31:31" ht="15.75" customHeight="1">
      <c r="AE8387"/>
    </row>
    <row r="8388" spans="31:31" ht="15.75" customHeight="1">
      <c r="AE8388"/>
    </row>
    <row r="8389" spans="31:31" ht="15.75" customHeight="1">
      <c r="AE8389"/>
    </row>
    <row r="8390" spans="31:31" ht="15.75" customHeight="1">
      <c r="AE8390"/>
    </row>
    <row r="8391" spans="31:31" ht="15.75" customHeight="1">
      <c r="AE8391"/>
    </row>
    <row r="8392" spans="31:31" ht="15.75" customHeight="1">
      <c r="AE8392"/>
    </row>
    <row r="8393" spans="31:31" ht="15.75" customHeight="1">
      <c r="AE8393"/>
    </row>
    <row r="8394" spans="31:31" ht="15.75" customHeight="1">
      <c r="AE8394"/>
    </row>
    <row r="8395" spans="31:31" ht="15.75" customHeight="1">
      <c r="AE8395"/>
    </row>
    <row r="8396" spans="31:31" ht="15.75" customHeight="1">
      <c r="AE8396"/>
    </row>
    <row r="8397" spans="31:31" ht="15.75" customHeight="1">
      <c r="AE8397"/>
    </row>
    <row r="8398" spans="31:31" ht="15.75" customHeight="1">
      <c r="AE8398"/>
    </row>
    <row r="8399" spans="31:31" ht="15.75" customHeight="1">
      <c r="AE8399"/>
    </row>
    <row r="8400" spans="31:31" ht="15.75" customHeight="1">
      <c r="AE8400"/>
    </row>
    <row r="8401" spans="31:31" ht="15.75" customHeight="1">
      <c r="AE8401"/>
    </row>
    <row r="8402" spans="31:31" ht="15.75" customHeight="1">
      <c r="AE8402"/>
    </row>
    <row r="8403" spans="31:31" ht="15.75" customHeight="1">
      <c r="AE8403"/>
    </row>
    <row r="8404" spans="31:31" ht="15.75" customHeight="1">
      <c r="AE8404"/>
    </row>
    <row r="8405" spans="31:31" ht="15.75" customHeight="1">
      <c r="AE8405"/>
    </row>
    <row r="8406" spans="31:31" ht="15.75" customHeight="1">
      <c r="AE8406"/>
    </row>
    <row r="8407" spans="31:31" ht="15.75" customHeight="1">
      <c r="AE8407"/>
    </row>
    <row r="8408" spans="31:31" ht="15.75" customHeight="1">
      <c r="AE8408"/>
    </row>
    <row r="8409" spans="31:31" ht="15.75" customHeight="1">
      <c r="AE8409"/>
    </row>
    <row r="8410" spans="31:31" ht="15.75" customHeight="1">
      <c r="AE8410"/>
    </row>
    <row r="8411" spans="31:31" ht="15.75" customHeight="1">
      <c r="AE8411"/>
    </row>
    <row r="8412" spans="31:31" ht="15.75" customHeight="1">
      <c r="AE8412"/>
    </row>
    <row r="8413" spans="31:31" ht="15.75" customHeight="1">
      <c r="AE8413"/>
    </row>
    <row r="8414" spans="31:31" ht="15.75" customHeight="1">
      <c r="AE8414"/>
    </row>
    <row r="8415" spans="31:31" ht="15.75" customHeight="1">
      <c r="AE8415"/>
    </row>
    <row r="8416" spans="31:31" ht="15.75" customHeight="1">
      <c r="AE8416"/>
    </row>
    <row r="8417" spans="31:31" ht="15.75" customHeight="1">
      <c r="AE8417"/>
    </row>
    <row r="8418" spans="31:31" ht="15.75" customHeight="1">
      <c r="AE8418"/>
    </row>
    <row r="8419" spans="31:31" ht="15.75" customHeight="1">
      <c r="AE8419"/>
    </row>
    <row r="8420" spans="31:31" ht="15.75" customHeight="1">
      <c r="AE8420"/>
    </row>
    <row r="8421" spans="31:31" ht="15.75" customHeight="1">
      <c r="AE8421"/>
    </row>
    <row r="8422" spans="31:31" ht="15.75" customHeight="1">
      <c r="AE8422"/>
    </row>
    <row r="8423" spans="31:31" ht="15.75" customHeight="1">
      <c r="AE8423"/>
    </row>
    <row r="8424" spans="31:31" ht="15.75" customHeight="1">
      <c r="AE8424"/>
    </row>
    <row r="8425" spans="31:31" ht="15.75" customHeight="1">
      <c r="AE8425"/>
    </row>
    <row r="8426" spans="31:31" ht="15.75" customHeight="1">
      <c r="AE8426"/>
    </row>
    <row r="8427" spans="31:31" ht="15.75" customHeight="1">
      <c r="AE8427"/>
    </row>
    <row r="8428" spans="31:31" ht="15.75" customHeight="1">
      <c r="AE8428"/>
    </row>
    <row r="8429" spans="31:31" ht="15.75" customHeight="1">
      <c r="AE8429"/>
    </row>
    <row r="8430" spans="31:31" ht="15.75" customHeight="1">
      <c r="AE8430"/>
    </row>
    <row r="8431" spans="31:31" ht="15.75" customHeight="1">
      <c r="AE8431"/>
    </row>
    <row r="8432" spans="31:31" ht="15.75" customHeight="1">
      <c r="AE8432"/>
    </row>
    <row r="8433" spans="31:31" ht="15.75" customHeight="1">
      <c r="AE8433"/>
    </row>
    <row r="8434" spans="31:31" ht="15.75" customHeight="1">
      <c r="AE8434"/>
    </row>
    <row r="8435" spans="31:31" ht="15.75" customHeight="1">
      <c r="AE8435"/>
    </row>
    <row r="8436" spans="31:31" ht="15.75" customHeight="1">
      <c r="AE8436"/>
    </row>
    <row r="8437" spans="31:31" ht="15.75" customHeight="1">
      <c r="AE8437"/>
    </row>
    <row r="8438" spans="31:31" ht="15.75" customHeight="1">
      <c r="AE8438"/>
    </row>
    <row r="8439" spans="31:31" ht="15.75" customHeight="1">
      <c r="AE8439"/>
    </row>
    <row r="8440" spans="31:31" ht="15.75" customHeight="1">
      <c r="AE8440"/>
    </row>
    <row r="8441" spans="31:31" ht="15.75" customHeight="1">
      <c r="AE8441"/>
    </row>
    <row r="8442" spans="31:31" ht="15.75" customHeight="1">
      <c r="AE8442"/>
    </row>
    <row r="8443" spans="31:31" ht="15.75" customHeight="1">
      <c r="AE8443"/>
    </row>
    <row r="8444" spans="31:31" ht="15.75" customHeight="1">
      <c r="AE8444"/>
    </row>
    <row r="8445" spans="31:31" ht="15.75" customHeight="1">
      <c r="AE8445"/>
    </row>
    <row r="8446" spans="31:31" ht="15.75" customHeight="1">
      <c r="AE8446"/>
    </row>
    <row r="8447" spans="31:31" ht="15.75" customHeight="1">
      <c r="AE8447"/>
    </row>
    <row r="8448" spans="31:31" ht="15.75" customHeight="1">
      <c r="AE8448"/>
    </row>
    <row r="8449" spans="31:31" ht="15.75" customHeight="1">
      <c r="AE8449"/>
    </row>
    <row r="8450" spans="31:31" ht="15.75" customHeight="1">
      <c r="AE8450"/>
    </row>
    <row r="8451" spans="31:31" ht="15.75" customHeight="1">
      <c r="AE8451"/>
    </row>
    <row r="8452" spans="31:31" ht="15.75" customHeight="1">
      <c r="AE8452"/>
    </row>
    <row r="8453" spans="31:31" ht="15.75" customHeight="1">
      <c r="AE8453"/>
    </row>
    <row r="8454" spans="31:31" ht="15.75" customHeight="1">
      <c r="AE8454"/>
    </row>
    <row r="8455" spans="31:31" ht="15.75" customHeight="1">
      <c r="AE8455"/>
    </row>
    <row r="8456" spans="31:31" ht="15.75" customHeight="1">
      <c r="AE8456"/>
    </row>
    <row r="8457" spans="31:31" ht="15.75" customHeight="1">
      <c r="AE8457"/>
    </row>
    <row r="8458" spans="31:31" ht="15.75" customHeight="1">
      <c r="AE8458"/>
    </row>
    <row r="8459" spans="31:31" ht="15.75" customHeight="1">
      <c r="AE8459"/>
    </row>
    <row r="8460" spans="31:31" ht="15.75" customHeight="1">
      <c r="AE8460"/>
    </row>
    <row r="8461" spans="31:31" ht="15.75" customHeight="1">
      <c r="AE8461"/>
    </row>
    <row r="8462" spans="31:31" ht="15.75" customHeight="1">
      <c r="AE8462"/>
    </row>
    <row r="8463" spans="31:31" ht="15.75" customHeight="1">
      <c r="AE8463"/>
    </row>
    <row r="8464" spans="31:31" ht="15.75" customHeight="1">
      <c r="AE8464"/>
    </row>
    <row r="8465" spans="31:31" ht="15.75" customHeight="1">
      <c r="AE8465"/>
    </row>
    <row r="8466" spans="31:31" ht="15.75" customHeight="1">
      <c r="AE8466"/>
    </row>
    <row r="8467" spans="31:31" ht="15.75" customHeight="1">
      <c r="AE8467"/>
    </row>
    <row r="8468" spans="31:31" ht="15.75" customHeight="1">
      <c r="AE8468"/>
    </row>
    <row r="8469" spans="31:31" ht="15.75" customHeight="1">
      <c r="AE8469"/>
    </row>
    <row r="8470" spans="31:31" ht="15.75" customHeight="1">
      <c r="AE8470"/>
    </row>
    <row r="8471" spans="31:31" ht="15.75" customHeight="1">
      <c r="AE8471"/>
    </row>
    <row r="8472" spans="31:31" ht="15.75" customHeight="1">
      <c r="AE8472"/>
    </row>
    <row r="8473" spans="31:31" ht="15.75" customHeight="1">
      <c r="AE8473"/>
    </row>
    <row r="8474" spans="31:31" ht="15.75" customHeight="1">
      <c r="AE8474"/>
    </row>
    <row r="8475" spans="31:31" ht="15.75" customHeight="1">
      <c r="AE8475"/>
    </row>
    <row r="8476" spans="31:31" ht="15.75" customHeight="1">
      <c r="AE8476"/>
    </row>
    <row r="8477" spans="31:31" ht="15.75" customHeight="1">
      <c r="AE8477"/>
    </row>
    <row r="8478" spans="31:31" ht="15.75" customHeight="1">
      <c r="AE8478"/>
    </row>
    <row r="8479" spans="31:31" ht="15.75" customHeight="1">
      <c r="AE8479"/>
    </row>
    <row r="8480" spans="31:31" ht="15.75" customHeight="1">
      <c r="AE8480"/>
    </row>
    <row r="8481" spans="31:31" ht="15.75" customHeight="1">
      <c r="AE8481"/>
    </row>
    <row r="8482" spans="31:31" ht="15.75" customHeight="1">
      <c r="AE8482"/>
    </row>
    <row r="8483" spans="31:31" ht="15.75" customHeight="1">
      <c r="AE8483"/>
    </row>
    <row r="8484" spans="31:31" ht="15.75" customHeight="1">
      <c r="AE8484"/>
    </row>
    <row r="8485" spans="31:31" ht="15.75" customHeight="1">
      <c r="AE8485"/>
    </row>
    <row r="8486" spans="31:31" ht="15.75" customHeight="1">
      <c r="AE8486"/>
    </row>
    <row r="8487" spans="31:31" ht="15.75" customHeight="1">
      <c r="AE8487"/>
    </row>
    <row r="8488" spans="31:31" ht="15.75" customHeight="1">
      <c r="AE8488"/>
    </row>
    <row r="8489" spans="31:31" ht="15.75" customHeight="1">
      <c r="AE8489"/>
    </row>
    <row r="8490" spans="31:31" ht="15.75" customHeight="1">
      <c r="AE8490"/>
    </row>
    <row r="8491" spans="31:31" ht="15.75" customHeight="1">
      <c r="AE8491"/>
    </row>
    <row r="8492" spans="31:31" ht="15.75" customHeight="1">
      <c r="AE8492"/>
    </row>
    <row r="8493" spans="31:31" ht="15.75" customHeight="1">
      <c r="AE8493"/>
    </row>
    <row r="8494" spans="31:31" ht="15.75" customHeight="1">
      <c r="AE8494"/>
    </row>
    <row r="8495" spans="31:31" ht="15.75" customHeight="1">
      <c r="AE8495"/>
    </row>
    <row r="8496" spans="31:31" ht="15.75" customHeight="1">
      <c r="AE8496"/>
    </row>
    <row r="8497" spans="31:31" ht="15.75" customHeight="1">
      <c r="AE8497"/>
    </row>
    <row r="8498" spans="31:31" ht="15.75" customHeight="1">
      <c r="AE8498"/>
    </row>
    <row r="8499" spans="31:31" ht="15.75" customHeight="1">
      <c r="AE8499"/>
    </row>
    <row r="8500" spans="31:31" ht="15.75" customHeight="1">
      <c r="AE8500"/>
    </row>
    <row r="8501" spans="31:31" ht="15.75" customHeight="1">
      <c r="AE8501"/>
    </row>
    <row r="8502" spans="31:31" ht="15.75" customHeight="1">
      <c r="AE8502"/>
    </row>
    <row r="8503" spans="31:31" ht="15.75" customHeight="1">
      <c r="AE8503"/>
    </row>
    <row r="8504" spans="31:31" ht="15.75" customHeight="1">
      <c r="AE8504"/>
    </row>
    <row r="8505" spans="31:31" ht="15.75" customHeight="1">
      <c r="AE8505"/>
    </row>
    <row r="8506" spans="31:31" ht="15.75" customHeight="1">
      <c r="AE8506"/>
    </row>
    <row r="8507" spans="31:31" ht="15.75" customHeight="1">
      <c r="AE8507"/>
    </row>
    <row r="8508" spans="31:31" ht="15.75" customHeight="1">
      <c r="AE8508"/>
    </row>
    <row r="8509" spans="31:31" ht="15.75" customHeight="1">
      <c r="AE8509"/>
    </row>
    <row r="8510" spans="31:31" ht="15.75" customHeight="1">
      <c r="AE8510"/>
    </row>
    <row r="8511" spans="31:31" ht="15.75" customHeight="1">
      <c r="AE8511"/>
    </row>
    <row r="8512" spans="31:31" ht="15.75" customHeight="1">
      <c r="AE8512"/>
    </row>
    <row r="8513" spans="31:31" ht="15.75" customHeight="1">
      <c r="AE8513"/>
    </row>
    <row r="8514" spans="31:31" ht="15.75" customHeight="1">
      <c r="AE8514"/>
    </row>
    <row r="8515" spans="31:31" ht="15.75" customHeight="1">
      <c r="AE8515"/>
    </row>
    <row r="8516" spans="31:31" ht="15.75" customHeight="1">
      <c r="AE8516"/>
    </row>
    <row r="8517" spans="31:31" ht="15.75" customHeight="1">
      <c r="AE8517"/>
    </row>
    <row r="8518" spans="31:31" ht="15.75" customHeight="1">
      <c r="AE8518"/>
    </row>
    <row r="8519" spans="31:31" ht="15.75" customHeight="1">
      <c r="AE8519"/>
    </row>
    <row r="8520" spans="31:31" ht="15.75" customHeight="1">
      <c r="AE8520"/>
    </row>
    <row r="8521" spans="31:31" ht="15.75" customHeight="1">
      <c r="AE8521"/>
    </row>
    <row r="8522" spans="31:31" ht="15.75" customHeight="1">
      <c r="AE8522"/>
    </row>
    <row r="8523" spans="31:31" ht="15.75" customHeight="1">
      <c r="AE8523"/>
    </row>
    <row r="8524" spans="31:31" ht="15.75" customHeight="1">
      <c r="AE8524"/>
    </row>
    <row r="8525" spans="31:31" ht="15.75" customHeight="1">
      <c r="AE8525"/>
    </row>
    <row r="8526" spans="31:31" ht="15.75" customHeight="1">
      <c r="AE8526"/>
    </row>
    <row r="8527" spans="31:31" ht="15.75" customHeight="1">
      <c r="AE8527"/>
    </row>
    <row r="8528" spans="31:31" ht="15.75" customHeight="1">
      <c r="AE8528"/>
    </row>
    <row r="8529" spans="31:31" ht="15.75" customHeight="1">
      <c r="AE8529"/>
    </row>
    <row r="8530" spans="31:31" ht="15.75" customHeight="1">
      <c r="AE8530"/>
    </row>
    <row r="8531" spans="31:31" ht="15.75" customHeight="1">
      <c r="AE8531"/>
    </row>
    <row r="8532" spans="31:31" ht="15.75" customHeight="1">
      <c r="AE8532"/>
    </row>
    <row r="8533" spans="31:31" ht="15.75" customHeight="1">
      <c r="AE8533"/>
    </row>
    <row r="8534" spans="31:31" ht="15.75" customHeight="1">
      <c r="AE8534"/>
    </row>
    <row r="8535" spans="31:31" ht="15.75" customHeight="1">
      <c r="AE8535"/>
    </row>
    <row r="8536" spans="31:31" ht="15.75" customHeight="1">
      <c r="AE8536"/>
    </row>
    <row r="8537" spans="31:31" ht="15.75" customHeight="1">
      <c r="AE8537"/>
    </row>
    <row r="8538" spans="31:31" ht="15.75" customHeight="1">
      <c r="AE8538"/>
    </row>
    <row r="8539" spans="31:31" ht="15.75" customHeight="1">
      <c r="AE8539"/>
    </row>
    <row r="8540" spans="31:31" ht="15.75" customHeight="1">
      <c r="AE8540"/>
    </row>
    <row r="8541" spans="31:31" ht="15.75" customHeight="1">
      <c r="AE8541"/>
    </row>
    <row r="8542" spans="31:31" ht="15.75" customHeight="1">
      <c r="AE8542"/>
    </row>
    <row r="8543" spans="31:31" ht="15.75" customHeight="1">
      <c r="AE8543"/>
    </row>
    <row r="8544" spans="31:31" ht="15.75" customHeight="1">
      <c r="AE8544"/>
    </row>
    <row r="8545" spans="31:31" ht="15.75" customHeight="1">
      <c r="AE8545"/>
    </row>
    <row r="8546" spans="31:31" ht="15.75" customHeight="1">
      <c r="AE8546"/>
    </row>
    <row r="8547" spans="31:31" ht="15.75" customHeight="1">
      <c r="AE8547"/>
    </row>
    <row r="8548" spans="31:31" ht="15.75" customHeight="1">
      <c r="AE8548"/>
    </row>
    <row r="8549" spans="31:31" ht="15.75" customHeight="1">
      <c r="AE8549"/>
    </row>
    <row r="8550" spans="31:31" ht="15.75" customHeight="1">
      <c r="AE8550"/>
    </row>
    <row r="8551" spans="31:31" ht="15.75" customHeight="1">
      <c r="AE8551"/>
    </row>
    <row r="8552" spans="31:31" ht="15.75" customHeight="1">
      <c r="AE8552"/>
    </row>
    <row r="8553" spans="31:31" ht="15.75" customHeight="1">
      <c r="AE8553"/>
    </row>
    <row r="8554" spans="31:31" ht="15.75" customHeight="1">
      <c r="AE8554"/>
    </row>
    <row r="8555" spans="31:31" ht="15.75" customHeight="1">
      <c r="AE8555"/>
    </row>
    <row r="8556" spans="31:31" ht="15.75" customHeight="1">
      <c r="AE8556"/>
    </row>
    <row r="8557" spans="31:31" ht="15.75" customHeight="1">
      <c r="AE8557"/>
    </row>
    <row r="8558" spans="31:31" ht="15.75" customHeight="1">
      <c r="AE8558"/>
    </row>
    <row r="8559" spans="31:31" ht="15.75" customHeight="1">
      <c r="AE8559"/>
    </row>
    <row r="8560" spans="31:31" ht="15.75" customHeight="1">
      <c r="AE8560"/>
    </row>
    <row r="8561" spans="31:31" ht="15.75" customHeight="1">
      <c r="AE8561"/>
    </row>
    <row r="8562" spans="31:31" ht="15.75" customHeight="1">
      <c r="AE8562"/>
    </row>
    <row r="8563" spans="31:31" ht="15.75" customHeight="1">
      <c r="AE8563"/>
    </row>
    <row r="8564" spans="31:31" ht="15.75" customHeight="1">
      <c r="AE8564"/>
    </row>
    <row r="8565" spans="31:31" ht="15.75" customHeight="1">
      <c r="AE8565"/>
    </row>
    <row r="8566" spans="31:31" ht="15.75" customHeight="1">
      <c r="AE8566"/>
    </row>
    <row r="8567" spans="31:31" ht="15.75" customHeight="1">
      <c r="AE8567"/>
    </row>
    <row r="8568" spans="31:31" ht="15.75" customHeight="1">
      <c r="AE8568"/>
    </row>
    <row r="8569" spans="31:31" ht="15.75" customHeight="1">
      <c r="AE8569"/>
    </row>
    <row r="8570" spans="31:31" ht="15.75" customHeight="1">
      <c r="AE8570"/>
    </row>
    <row r="8571" spans="31:31" ht="15.75" customHeight="1">
      <c r="AE8571"/>
    </row>
    <row r="8572" spans="31:31" ht="15.75" customHeight="1">
      <c r="AE8572"/>
    </row>
    <row r="8573" spans="31:31" ht="15.75" customHeight="1">
      <c r="AE8573"/>
    </row>
    <row r="8574" spans="31:31" ht="15.75" customHeight="1">
      <c r="AE8574"/>
    </row>
    <row r="8575" spans="31:31" ht="15.75" customHeight="1">
      <c r="AE8575"/>
    </row>
    <row r="8576" spans="31:31" ht="15.75" customHeight="1">
      <c r="AE8576"/>
    </row>
    <row r="8577" spans="31:31" ht="15.75" customHeight="1">
      <c r="AE8577"/>
    </row>
    <row r="8578" spans="31:31" ht="15.75" customHeight="1">
      <c r="AE8578"/>
    </row>
    <row r="8579" spans="31:31" ht="15.75" customHeight="1">
      <c r="AE8579"/>
    </row>
    <row r="8580" spans="31:31" ht="15.75" customHeight="1">
      <c r="AE8580"/>
    </row>
    <row r="8581" spans="31:31" ht="15.75" customHeight="1">
      <c r="AE8581"/>
    </row>
    <row r="8582" spans="31:31" ht="15.75" customHeight="1">
      <c r="AE8582"/>
    </row>
    <row r="8583" spans="31:31" ht="15.75" customHeight="1">
      <c r="AE8583"/>
    </row>
    <row r="8584" spans="31:31" ht="15.75" customHeight="1">
      <c r="AE8584"/>
    </row>
    <row r="8585" spans="31:31" ht="15.75" customHeight="1">
      <c r="AE8585"/>
    </row>
    <row r="8586" spans="31:31" ht="15.75" customHeight="1">
      <c r="AE8586"/>
    </row>
    <row r="8587" spans="31:31" ht="15.75" customHeight="1">
      <c r="AE8587"/>
    </row>
    <row r="8588" spans="31:31" ht="15.75" customHeight="1">
      <c r="AE8588"/>
    </row>
    <row r="8589" spans="31:31" ht="15.75" customHeight="1">
      <c r="AE8589"/>
    </row>
    <row r="8590" spans="31:31" ht="15.75" customHeight="1">
      <c r="AE8590"/>
    </row>
    <row r="8591" spans="31:31" ht="15.75" customHeight="1">
      <c r="AE8591"/>
    </row>
    <row r="8592" spans="31:31" ht="15.75" customHeight="1">
      <c r="AE8592"/>
    </row>
    <row r="8593" spans="31:31" ht="15.75" customHeight="1">
      <c r="AE8593"/>
    </row>
    <row r="8594" spans="31:31" ht="15.75" customHeight="1">
      <c r="AE8594"/>
    </row>
    <row r="8595" spans="31:31" ht="15.75" customHeight="1">
      <c r="AE8595"/>
    </row>
    <row r="8596" spans="31:31" ht="15.75" customHeight="1">
      <c r="AE8596"/>
    </row>
    <row r="8597" spans="31:31" ht="15.75" customHeight="1">
      <c r="AE8597"/>
    </row>
    <row r="8598" spans="31:31" ht="15.75" customHeight="1">
      <c r="AE8598"/>
    </row>
    <row r="8599" spans="31:31" ht="15.75" customHeight="1">
      <c r="AE8599"/>
    </row>
    <row r="8600" spans="31:31" ht="15.75" customHeight="1">
      <c r="AE8600"/>
    </row>
    <row r="8601" spans="31:31" ht="15.75" customHeight="1">
      <c r="AE8601"/>
    </row>
    <row r="8602" spans="31:31" ht="15.75" customHeight="1">
      <c r="AE8602"/>
    </row>
    <row r="8603" spans="31:31" ht="15.75" customHeight="1">
      <c r="AE8603"/>
    </row>
    <row r="8604" spans="31:31" ht="15.75" customHeight="1">
      <c r="AE8604"/>
    </row>
    <row r="8605" spans="31:31" ht="15.75" customHeight="1">
      <c r="AE8605"/>
    </row>
    <row r="8606" spans="31:31" ht="15.75" customHeight="1">
      <c r="AE8606"/>
    </row>
    <row r="8607" spans="31:31" ht="15.75" customHeight="1">
      <c r="AE8607"/>
    </row>
    <row r="8608" spans="31:31" ht="15.75" customHeight="1">
      <c r="AE8608"/>
    </row>
    <row r="8609" spans="31:31" ht="15.75" customHeight="1">
      <c r="AE8609"/>
    </row>
    <row r="8610" spans="31:31" ht="15.75" customHeight="1">
      <c r="AE8610"/>
    </row>
    <row r="8611" spans="31:31" ht="15.75" customHeight="1">
      <c r="AE8611"/>
    </row>
    <row r="8612" spans="31:31" ht="15.75" customHeight="1">
      <c r="AE8612"/>
    </row>
    <row r="8613" spans="31:31" ht="15.75" customHeight="1">
      <c r="AE8613"/>
    </row>
    <row r="8614" spans="31:31" ht="15.75" customHeight="1">
      <c r="AE8614"/>
    </row>
    <row r="8615" spans="31:31" ht="15.75" customHeight="1">
      <c r="AE8615"/>
    </row>
    <row r="8616" spans="31:31" ht="15.75" customHeight="1">
      <c r="AE8616"/>
    </row>
    <row r="8617" spans="31:31" ht="15.75" customHeight="1">
      <c r="AE8617"/>
    </row>
    <row r="8618" spans="31:31" ht="15.75" customHeight="1">
      <c r="AE8618"/>
    </row>
    <row r="8619" spans="31:31" ht="15.75" customHeight="1">
      <c r="AE8619"/>
    </row>
    <row r="8620" spans="31:31" ht="15.75" customHeight="1">
      <c r="AE8620"/>
    </row>
    <row r="8621" spans="31:31" ht="15.75" customHeight="1">
      <c r="AE8621"/>
    </row>
    <row r="8622" spans="31:31" ht="15.75" customHeight="1">
      <c r="AE8622"/>
    </row>
    <row r="8623" spans="31:31" ht="15.75" customHeight="1">
      <c r="AE8623"/>
    </row>
    <row r="8624" spans="31:31" ht="15.75" customHeight="1">
      <c r="AE8624"/>
    </row>
    <row r="8625" spans="31:31" ht="15.75" customHeight="1">
      <c r="AE8625"/>
    </row>
    <row r="8626" spans="31:31" ht="15.75" customHeight="1">
      <c r="AE8626"/>
    </row>
    <row r="8627" spans="31:31" ht="15.75" customHeight="1">
      <c r="AE8627"/>
    </row>
    <row r="8628" spans="31:31" ht="15.75" customHeight="1">
      <c r="AE8628"/>
    </row>
    <row r="8629" spans="31:31" ht="15.75" customHeight="1">
      <c r="AE8629"/>
    </row>
    <row r="8630" spans="31:31" ht="15.75" customHeight="1">
      <c r="AE8630"/>
    </row>
    <row r="8631" spans="31:31" ht="15.75" customHeight="1">
      <c r="AE8631"/>
    </row>
    <row r="8632" spans="31:31" ht="15.75" customHeight="1">
      <c r="AE8632"/>
    </row>
    <row r="8633" spans="31:31" ht="15.75" customHeight="1">
      <c r="AE8633"/>
    </row>
    <row r="8634" spans="31:31" ht="15.75" customHeight="1">
      <c r="AE8634"/>
    </row>
    <row r="8635" spans="31:31" ht="15.75" customHeight="1">
      <c r="AE8635"/>
    </row>
    <row r="8636" spans="31:31" ht="15.75" customHeight="1">
      <c r="AE8636"/>
    </row>
    <row r="8637" spans="31:31" ht="15.75" customHeight="1">
      <c r="AE8637"/>
    </row>
    <row r="8638" spans="31:31" ht="15.75" customHeight="1">
      <c r="AE8638"/>
    </row>
    <row r="8639" spans="31:31" ht="15.75" customHeight="1">
      <c r="AE8639"/>
    </row>
    <row r="8640" spans="31:31" ht="15.75" customHeight="1">
      <c r="AE8640"/>
    </row>
    <row r="8641" spans="31:31" ht="15.75" customHeight="1">
      <c r="AE8641"/>
    </row>
    <row r="8642" spans="31:31" ht="15.75" customHeight="1">
      <c r="AE8642"/>
    </row>
    <row r="8643" spans="31:31" ht="15.75" customHeight="1">
      <c r="AE8643"/>
    </row>
    <row r="8644" spans="31:31" ht="15.75" customHeight="1">
      <c r="AE8644"/>
    </row>
    <row r="8645" spans="31:31" ht="15.75" customHeight="1">
      <c r="AE8645"/>
    </row>
    <row r="8646" spans="31:31" ht="15.75" customHeight="1">
      <c r="AE8646"/>
    </row>
    <row r="8647" spans="31:31" ht="15.75" customHeight="1">
      <c r="AE8647"/>
    </row>
    <row r="8648" spans="31:31" ht="15.75" customHeight="1">
      <c r="AE8648"/>
    </row>
    <row r="8649" spans="31:31" ht="15.75" customHeight="1">
      <c r="AE8649"/>
    </row>
    <row r="8650" spans="31:31" ht="15.75" customHeight="1">
      <c r="AE8650"/>
    </row>
    <row r="8651" spans="31:31" ht="15.75" customHeight="1">
      <c r="AE8651"/>
    </row>
    <row r="8652" spans="31:31" ht="15.75" customHeight="1">
      <c r="AE8652"/>
    </row>
    <row r="8653" spans="31:31" ht="15.75" customHeight="1">
      <c r="AE8653"/>
    </row>
    <row r="8654" spans="31:31" ht="15.75" customHeight="1">
      <c r="AE8654"/>
    </row>
    <row r="8655" spans="31:31" ht="15.75" customHeight="1">
      <c r="AE8655"/>
    </row>
    <row r="8656" spans="31:31" ht="15.75" customHeight="1">
      <c r="AE8656"/>
    </row>
    <row r="8657" spans="31:31" ht="15.75" customHeight="1">
      <c r="AE8657"/>
    </row>
    <row r="8658" spans="31:31" ht="15.75" customHeight="1">
      <c r="AE8658"/>
    </row>
    <row r="8659" spans="31:31" ht="15.75" customHeight="1">
      <c r="AE8659"/>
    </row>
    <row r="8660" spans="31:31" ht="15.75" customHeight="1">
      <c r="AE8660"/>
    </row>
    <row r="8661" spans="31:31" ht="15.75" customHeight="1">
      <c r="AE8661"/>
    </row>
    <row r="8662" spans="31:31" ht="15.75" customHeight="1">
      <c r="AE8662"/>
    </row>
    <row r="8663" spans="31:31" ht="15.75" customHeight="1">
      <c r="AE8663"/>
    </row>
    <row r="8664" spans="31:31" ht="15.75" customHeight="1">
      <c r="AE8664"/>
    </row>
    <row r="8665" spans="31:31" ht="15.75" customHeight="1">
      <c r="AE8665"/>
    </row>
    <row r="8666" spans="31:31" ht="15.75" customHeight="1">
      <c r="AE8666"/>
    </row>
    <row r="8667" spans="31:31" ht="15.75" customHeight="1">
      <c r="AE8667"/>
    </row>
    <row r="8668" spans="31:31" ht="15.75" customHeight="1">
      <c r="AE8668"/>
    </row>
    <row r="8669" spans="31:31" ht="15.75" customHeight="1">
      <c r="AE8669"/>
    </row>
    <row r="8670" spans="31:31" ht="15.75" customHeight="1">
      <c r="AE8670"/>
    </row>
    <row r="8671" spans="31:31" ht="15.75" customHeight="1">
      <c r="AE8671"/>
    </row>
    <row r="8672" spans="31:31" ht="15.75" customHeight="1">
      <c r="AE8672"/>
    </row>
    <row r="8673" spans="31:31" ht="15.75" customHeight="1">
      <c r="AE8673"/>
    </row>
    <row r="8674" spans="31:31" ht="15.75" customHeight="1">
      <c r="AE8674"/>
    </row>
    <row r="8675" spans="31:31" ht="15.75" customHeight="1">
      <c r="AE8675"/>
    </row>
    <row r="8676" spans="31:31" ht="15.75" customHeight="1">
      <c r="AE8676"/>
    </row>
    <row r="8677" spans="31:31" ht="15.75" customHeight="1">
      <c r="AE8677"/>
    </row>
    <row r="8678" spans="31:31" ht="15.75" customHeight="1">
      <c r="AE8678"/>
    </row>
    <row r="8679" spans="31:31" ht="15.75" customHeight="1">
      <c r="AE8679"/>
    </row>
    <row r="8680" spans="31:31" ht="15.75" customHeight="1">
      <c r="AE8680"/>
    </row>
    <row r="8681" spans="31:31" ht="15.75" customHeight="1">
      <c r="AE8681"/>
    </row>
    <row r="8682" spans="31:31" ht="15.75" customHeight="1">
      <c r="AE8682"/>
    </row>
    <row r="8683" spans="31:31" ht="15.75" customHeight="1">
      <c r="AE8683"/>
    </row>
    <row r="8684" spans="31:31" ht="15.75" customHeight="1">
      <c r="AE8684"/>
    </row>
    <row r="8685" spans="31:31" ht="15.75" customHeight="1">
      <c r="AE8685"/>
    </row>
    <row r="8686" spans="31:31" ht="15.75" customHeight="1">
      <c r="AE8686"/>
    </row>
    <row r="8687" spans="31:31" ht="15.75" customHeight="1">
      <c r="AE8687"/>
    </row>
    <row r="8688" spans="31:31" ht="15.75" customHeight="1">
      <c r="AE8688"/>
    </row>
    <row r="8689" spans="31:31" ht="15.75" customHeight="1">
      <c r="AE8689"/>
    </row>
    <row r="8690" spans="31:31" ht="15.75" customHeight="1">
      <c r="AE8690"/>
    </row>
    <row r="8691" spans="31:31" ht="15.75" customHeight="1">
      <c r="AE8691"/>
    </row>
    <row r="8692" spans="31:31" ht="15.75" customHeight="1">
      <c r="AE8692"/>
    </row>
    <row r="8693" spans="31:31" ht="15.75" customHeight="1">
      <c r="AE8693"/>
    </row>
    <row r="8694" spans="31:31" ht="15.75" customHeight="1">
      <c r="AE8694"/>
    </row>
    <row r="8695" spans="31:31" ht="15.75" customHeight="1">
      <c r="AE8695"/>
    </row>
    <row r="8696" spans="31:31" ht="15.75" customHeight="1">
      <c r="AE8696"/>
    </row>
    <row r="8697" spans="31:31" ht="15.75" customHeight="1">
      <c r="AE8697"/>
    </row>
    <row r="8698" spans="31:31" ht="15.75" customHeight="1">
      <c r="AE8698"/>
    </row>
    <row r="8699" spans="31:31" ht="15.75" customHeight="1">
      <c r="AE8699"/>
    </row>
    <row r="8700" spans="31:31" ht="15.75" customHeight="1">
      <c r="AE8700"/>
    </row>
    <row r="8701" spans="31:31" ht="15.75" customHeight="1">
      <c r="AE8701"/>
    </row>
    <row r="8702" spans="31:31" ht="15.75" customHeight="1">
      <c r="AE8702"/>
    </row>
    <row r="8703" spans="31:31" ht="15.75" customHeight="1">
      <c r="AE8703"/>
    </row>
    <row r="8704" spans="31:31" ht="15.75" customHeight="1">
      <c r="AE8704"/>
    </row>
    <row r="8705" spans="31:31" ht="15.75" customHeight="1">
      <c r="AE8705"/>
    </row>
    <row r="8706" spans="31:31" ht="15.75" customHeight="1">
      <c r="AE8706"/>
    </row>
    <row r="8707" spans="31:31" ht="15.75" customHeight="1">
      <c r="AE8707"/>
    </row>
    <row r="8708" spans="31:31" ht="15.75" customHeight="1">
      <c r="AE8708"/>
    </row>
    <row r="8709" spans="31:31" ht="15.75" customHeight="1">
      <c r="AE8709"/>
    </row>
    <row r="8710" spans="31:31" ht="15.75" customHeight="1">
      <c r="AE8710"/>
    </row>
    <row r="8711" spans="31:31" ht="15.75" customHeight="1">
      <c r="AE8711"/>
    </row>
    <row r="8712" spans="31:31" ht="15.75" customHeight="1">
      <c r="AE8712"/>
    </row>
    <row r="8713" spans="31:31" ht="15.75" customHeight="1">
      <c r="AE8713"/>
    </row>
    <row r="8714" spans="31:31" ht="15.75" customHeight="1">
      <c r="AE8714"/>
    </row>
    <row r="8715" spans="31:31" ht="15.75" customHeight="1">
      <c r="AE8715"/>
    </row>
    <row r="8716" spans="31:31" ht="15.75" customHeight="1">
      <c r="AE8716"/>
    </row>
    <row r="8717" spans="31:31" ht="15.75" customHeight="1">
      <c r="AE8717"/>
    </row>
    <row r="8718" spans="31:31" ht="15.75" customHeight="1">
      <c r="AE8718"/>
    </row>
    <row r="8719" spans="31:31" ht="15.75" customHeight="1">
      <c r="AE8719"/>
    </row>
    <row r="8720" spans="31:31" ht="15.75" customHeight="1">
      <c r="AE8720"/>
    </row>
    <row r="8721" spans="31:31" ht="15.75" customHeight="1">
      <c r="AE8721"/>
    </row>
    <row r="8722" spans="31:31" ht="15.75" customHeight="1">
      <c r="AE8722"/>
    </row>
    <row r="8723" spans="31:31" ht="15.75" customHeight="1">
      <c r="AE8723"/>
    </row>
    <row r="8724" spans="31:31" ht="15.75" customHeight="1">
      <c r="AE8724"/>
    </row>
    <row r="8725" spans="31:31" ht="15.75" customHeight="1">
      <c r="AE8725"/>
    </row>
    <row r="8726" spans="31:31" ht="15.75" customHeight="1">
      <c r="AE8726"/>
    </row>
    <row r="8727" spans="31:31" ht="15.75" customHeight="1">
      <c r="AE8727"/>
    </row>
    <row r="8728" spans="31:31" ht="15.75" customHeight="1">
      <c r="AE8728"/>
    </row>
    <row r="8729" spans="31:31" ht="15.75" customHeight="1">
      <c r="AE8729"/>
    </row>
    <row r="8730" spans="31:31" ht="15.75" customHeight="1">
      <c r="AE8730"/>
    </row>
    <row r="8731" spans="31:31" ht="15.75" customHeight="1">
      <c r="AE8731"/>
    </row>
    <row r="8732" spans="31:31" ht="15.75" customHeight="1">
      <c r="AE8732"/>
    </row>
    <row r="8733" spans="31:31" ht="15.75" customHeight="1">
      <c r="AE8733"/>
    </row>
    <row r="8734" spans="31:31" ht="15.75" customHeight="1">
      <c r="AE8734"/>
    </row>
    <row r="8735" spans="31:31" ht="15.75" customHeight="1">
      <c r="AE8735"/>
    </row>
    <row r="8736" spans="31:31" ht="15.75" customHeight="1">
      <c r="AE8736"/>
    </row>
    <row r="8737" spans="31:31" ht="15.75" customHeight="1">
      <c r="AE8737"/>
    </row>
    <row r="8738" spans="31:31" ht="15.75" customHeight="1">
      <c r="AE8738"/>
    </row>
    <row r="8739" spans="31:31" ht="15.75" customHeight="1">
      <c r="AE8739"/>
    </row>
    <row r="8740" spans="31:31" ht="15.75" customHeight="1">
      <c r="AE8740"/>
    </row>
    <row r="8741" spans="31:31" ht="15.75" customHeight="1">
      <c r="AE8741"/>
    </row>
    <row r="8742" spans="31:31" ht="15.75" customHeight="1">
      <c r="AE8742"/>
    </row>
    <row r="8743" spans="31:31" ht="15.75" customHeight="1">
      <c r="AE8743"/>
    </row>
    <row r="8744" spans="31:31" ht="15.75" customHeight="1">
      <c r="AE8744"/>
    </row>
    <row r="8745" spans="31:31" ht="15.75" customHeight="1">
      <c r="AE8745"/>
    </row>
    <row r="8746" spans="31:31" ht="15.75" customHeight="1">
      <c r="AE8746"/>
    </row>
    <row r="8747" spans="31:31" ht="15.75" customHeight="1">
      <c r="AE8747"/>
    </row>
    <row r="8748" spans="31:31" ht="15.75" customHeight="1">
      <c r="AE8748"/>
    </row>
    <row r="8749" spans="31:31" ht="15.75" customHeight="1">
      <c r="AE8749"/>
    </row>
    <row r="8750" spans="31:31" ht="15.75" customHeight="1">
      <c r="AE8750"/>
    </row>
    <row r="8751" spans="31:31" ht="15.75" customHeight="1">
      <c r="AE8751"/>
    </row>
    <row r="8752" spans="31:31" ht="15.75" customHeight="1">
      <c r="AE8752"/>
    </row>
    <row r="8753" spans="31:31" ht="15.75" customHeight="1">
      <c r="AE8753"/>
    </row>
    <row r="8754" spans="31:31" ht="15.75" customHeight="1">
      <c r="AE8754"/>
    </row>
    <row r="8755" spans="31:31" ht="15.75" customHeight="1">
      <c r="AE8755"/>
    </row>
    <row r="8756" spans="31:31" ht="15.75" customHeight="1">
      <c r="AE8756"/>
    </row>
    <row r="8757" spans="31:31" ht="15.75" customHeight="1">
      <c r="AE8757"/>
    </row>
    <row r="8758" spans="31:31" ht="15.75" customHeight="1">
      <c r="AE8758"/>
    </row>
    <row r="8759" spans="31:31" ht="15.75" customHeight="1">
      <c r="AE8759"/>
    </row>
    <row r="8760" spans="31:31" ht="15.75" customHeight="1">
      <c r="AE8760"/>
    </row>
    <row r="8761" spans="31:31" ht="15.75" customHeight="1">
      <c r="AE8761"/>
    </row>
    <row r="8762" spans="31:31" ht="15.75" customHeight="1">
      <c r="AE8762"/>
    </row>
    <row r="8763" spans="31:31" ht="15.75" customHeight="1">
      <c r="AE8763"/>
    </row>
    <row r="8764" spans="31:31" ht="15.75" customHeight="1">
      <c r="AE8764"/>
    </row>
    <row r="8765" spans="31:31" ht="15.75" customHeight="1">
      <c r="AE8765"/>
    </row>
    <row r="8766" spans="31:31" ht="15.75" customHeight="1">
      <c r="AE8766"/>
    </row>
    <row r="8767" spans="31:31" ht="15.75" customHeight="1">
      <c r="AE8767"/>
    </row>
    <row r="8768" spans="31:31" ht="15.75" customHeight="1">
      <c r="AE8768"/>
    </row>
    <row r="8769" spans="31:31" ht="15.75" customHeight="1">
      <c r="AE8769"/>
    </row>
    <row r="8770" spans="31:31" ht="15.75" customHeight="1">
      <c r="AE8770"/>
    </row>
    <row r="8771" spans="31:31" ht="15.75" customHeight="1">
      <c r="AE8771"/>
    </row>
    <row r="8772" spans="31:31" ht="15.75" customHeight="1">
      <c r="AE8772"/>
    </row>
    <row r="8773" spans="31:31" ht="15.75" customHeight="1">
      <c r="AE8773"/>
    </row>
    <row r="8774" spans="31:31" ht="15.75" customHeight="1">
      <c r="AE8774"/>
    </row>
    <row r="8775" spans="31:31" ht="15.75" customHeight="1">
      <c r="AE8775"/>
    </row>
    <row r="8776" spans="31:31" ht="15.75" customHeight="1">
      <c r="AE8776"/>
    </row>
    <row r="8777" spans="31:31" ht="15.75" customHeight="1">
      <c r="AE8777"/>
    </row>
    <row r="8778" spans="31:31" ht="15.75" customHeight="1">
      <c r="AE8778"/>
    </row>
    <row r="8779" spans="31:31" ht="15.75" customHeight="1">
      <c r="AE8779"/>
    </row>
    <row r="8780" spans="31:31" ht="15.75" customHeight="1">
      <c r="AE8780"/>
    </row>
    <row r="8781" spans="31:31" ht="15.75" customHeight="1">
      <c r="AE8781"/>
    </row>
    <row r="8782" spans="31:31" ht="15.75" customHeight="1">
      <c r="AE8782"/>
    </row>
    <row r="8783" spans="31:31" ht="15.75" customHeight="1">
      <c r="AE8783"/>
    </row>
    <row r="8784" spans="31:31" ht="15.75" customHeight="1">
      <c r="AE8784"/>
    </row>
    <row r="8785" spans="31:31" ht="15.75" customHeight="1">
      <c r="AE8785"/>
    </row>
    <row r="8786" spans="31:31" ht="15.75" customHeight="1">
      <c r="AE8786"/>
    </row>
    <row r="8787" spans="31:31" ht="15.75" customHeight="1">
      <c r="AE8787"/>
    </row>
    <row r="8788" spans="31:31" ht="15.75" customHeight="1">
      <c r="AE8788"/>
    </row>
    <row r="8789" spans="31:31" ht="15.75" customHeight="1">
      <c r="AE8789"/>
    </row>
    <row r="8790" spans="31:31" ht="15.75" customHeight="1">
      <c r="AE8790"/>
    </row>
    <row r="8791" spans="31:31" ht="15.75" customHeight="1">
      <c r="AE8791"/>
    </row>
    <row r="8792" spans="31:31" ht="15.75" customHeight="1">
      <c r="AE8792"/>
    </row>
    <row r="8793" spans="31:31" ht="15.75" customHeight="1">
      <c r="AE8793"/>
    </row>
    <row r="8794" spans="31:31" ht="15.75" customHeight="1">
      <c r="AE8794"/>
    </row>
    <row r="8795" spans="31:31" ht="15.75" customHeight="1">
      <c r="AE8795"/>
    </row>
    <row r="8796" spans="31:31" ht="15.75" customHeight="1">
      <c r="AE8796"/>
    </row>
    <row r="8797" spans="31:31" ht="15.75" customHeight="1">
      <c r="AE8797"/>
    </row>
    <row r="8798" spans="31:31" ht="15.75" customHeight="1">
      <c r="AE8798"/>
    </row>
    <row r="8799" spans="31:31" ht="15.75" customHeight="1">
      <c r="AE8799"/>
    </row>
    <row r="8800" spans="31:31" ht="15.75" customHeight="1">
      <c r="AE8800"/>
    </row>
    <row r="8801" spans="31:31" ht="15.75" customHeight="1">
      <c r="AE8801"/>
    </row>
    <row r="8802" spans="31:31" ht="15.75" customHeight="1">
      <c r="AE8802"/>
    </row>
    <row r="8803" spans="31:31" ht="15.75" customHeight="1">
      <c r="AE8803"/>
    </row>
    <row r="8804" spans="31:31" ht="15.75" customHeight="1">
      <c r="AE8804"/>
    </row>
    <row r="8805" spans="31:31" ht="15.75" customHeight="1">
      <c r="AE8805"/>
    </row>
    <row r="8806" spans="31:31" ht="15.75" customHeight="1">
      <c r="AE8806"/>
    </row>
    <row r="8807" spans="31:31" ht="15.75" customHeight="1">
      <c r="AE8807"/>
    </row>
    <row r="8808" spans="31:31" ht="15.75" customHeight="1">
      <c r="AE8808"/>
    </row>
    <row r="8809" spans="31:31" ht="15.75" customHeight="1">
      <c r="AE8809"/>
    </row>
    <row r="8810" spans="31:31" ht="15.75" customHeight="1">
      <c r="AE8810"/>
    </row>
    <row r="8811" spans="31:31" ht="15.75" customHeight="1">
      <c r="AE8811"/>
    </row>
    <row r="8812" spans="31:31" ht="15.75" customHeight="1">
      <c r="AE8812"/>
    </row>
    <row r="8813" spans="31:31" ht="15.75" customHeight="1">
      <c r="AE8813"/>
    </row>
    <row r="8814" spans="31:31" ht="15.75" customHeight="1">
      <c r="AE8814"/>
    </row>
    <row r="8815" spans="31:31" ht="15.75" customHeight="1">
      <c r="AE8815"/>
    </row>
    <row r="8816" spans="31:31" ht="15.75" customHeight="1">
      <c r="AE8816"/>
    </row>
    <row r="8817" spans="31:31" ht="15.75" customHeight="1">
      <c r="AE8817"/>
    </row>
    <row r="8818" spans="31:31" ht="15.75" customHeight="1">
      <c r="AE8818"/>
    </row>
    <row r="8819" spans="31:31" ht="15.75" customHeight="1">
      <c r="AE8819"/>
    </row>
    <row r="8820" spans="31:31" ht="15.75" customHeight="1">
      <c r="AE8820"/>
    </row>
    <row r="8821" spans="31:31" ht="15.75" customHeight="1">
      <c r="AE8821"/>
    </row>
    <row r="8822" spans="31:31" ht="15.75" customHeight="1">
      <c r="AE8822"/>
    </row>
    <row r="8823" spans="31:31" ht="15.75" customHeight="1">
      <c r="AE8823"/>
    </row>
    <row r="8824" spans="31:31" ht="15.75" customHeight="1">
      <c r="AE8824"/>
    </row>
    <row r="8825" spans="31:31" ht="15.75" customHeight="1">
      <c r="AE8825"/>
    </row>
    <row r="8826" spans="31:31" ht="15.75" customHeight="1">
      <c r="AE8826"/>
    </row>
    <row r="8827" spans="31:31" ht="15.75" customHeight="1">
      <c r="AE8827"/>
    </row>
    <row r="8828" spans="31:31" ht="15.75" customHeight="1">
      <c r="AE8828"/>
    </row>
    <row r="8829" spans="31:31" ht="15.75" customHeight="1">
      <c r="AE8829"/>
    </row>
    <row r="8830" spans="31:31" ht="15.75" customHeight="1">
      <c r="AE8830"/>
    </row>
    <row r="8831" spans="31:31" ht="15.75" customHeight="1">
      <c r="AE8831"/>
    </row>
    <row r="8832" spans="31:31" ht="15.75" customHeight="1">
      <c r="AE8832"/>
    </row>
    <row r="8833" spans="31:31" ht="15.75" customHeight="1">
      <c r="AE8833"/>
    </row>
    <row r="8834" spans="31:31" ht="15.75" customHeight="1">
      <c r="AE8834"/>
    </row>
    <row r="8835" spans="31:31" ht="15.75" customHeight="1">
      <c r="AE8835"/>
    </row>
    <row r="8836" spans="31:31" ht="15.75" customHeight="1">
      <c r="AE8836"/>
    </row>
    <row r="8837" spans="31:31" ht="15.75" customHeight="1">
      <c r="AE8837"/>
    </row>
    <row r="8838" spans="31:31" ht="15.75" customHeight="1">
      <c r="AE8838"/>
    </row>
    <row r="8839" spans="31:31" ht="15.75" customHeight="1">
      <c r="AE8839"/>
    </row>
    <row r="8840" spans="31:31" ht="15.75" customHeight="1">
      <c r="AE8840"/>
    </row>
    <row r="8841" spans="31:31" ht="15.75" customHeight="1">
      <c r="AE8841"/>
    </row>
    <row r="8842" spans="31:31" ht="15.75" customHeight="1">
      <c r="AE8842"/>
    </row>
    <row r="8843" spans="31:31" ht="15.75" customHeight="1">
      <c r="AE8843"/>
    </row>
    <row r="8844" spans="31:31" ht="15.75" customHeight="1">
      <c r="AE8844"/>
    </row>
    <row r="8845" spans="31:31" ht="15.75" customHeight="1">
      <c r="AE8845"/>
    </row>
    <row r="8846" spans="31:31" ht="15.75" customHeight="1">
      <c r="AE8846"/>
    </row>
    <row r="8847" spans="31:31" ht="15.75" customHeight="1">
      <c r="AE8847"/>
    </row>
    <row r="8848" spans="31:31" ht="15.75" customHeight="1">
      <c r="AE8848"/>
    </row>
    <row r="8849" spans="31:31" ht="15.75" customHeight="1">
      <c r="AE8849"/>
    </row>
    <row r="8850" spans="31:31" ht="15.75" customHeight="1">
      <c r="AE8850"/>
    </row>
    <row r="8851" spans="31:31" ht="15.75" customHeight="1">
      <c r="AE8851"/>
    </row>
    <row r="8852" spans="31:31" ht="15.75" customHeight="1">
      <c r="AE8852"/>
    </row>
    <row r="8853" spans="31:31" ht="15.75" customHeight="1">
      <c r="AE8853"/>
    </row>
    <row r="8854" spans="31:31" ht="15.75" customHeight="1">
      <c r="AE8854"/>
    </row>
    <row r="8855" spans="31:31" ht="15.75" customHeight="1">
      <c r="AE8855"/>
    </row>
    <row r="8856" spans="31:31" ht="15.75" customHeight="1">
      <c r="AE8856"/>
    </row>
    <row r="8857" spans="31:31" ht="15.75" customHeight="1">
      <c r="AE8857"/>
    </row>
    <row r="8858" spans="31:31" ht="15.75" customHeight="1">
      <c r="AE8858"/>
    </row>
    <row r="8859" spans="31:31" ht="15.75" customHeight="1">
      <c r="AE8859"/>
    </row>
    <row r="8860" spans="31:31" ht="15.75" customHeight="1">
      <c r="AE8860"/>
    </row>
    <row r="8861" spans="31:31" ht="15.75" customHeight="1">
      <c r="AE8861"/>
    </row>
    <row r="8862" spans="31:31" ht="15.75" customHeight="1">
      <c r="AE8862"/>
    </row>
    <row r="8863" spans="31:31" ht="15.75" customHeight="1">
      <c r="AE8863"/>
    </row>
    <row r="8864" spans="31:31" ht="15.75" customHeight="1">
      <c r="AE8864"/>
    </row>
    <row r="8865" spans="31:31" ht="15.75" customHeight="1">
      <c r="AE8865"/>
    </row>
    <row r="8866" spans="31:31" ht="15.75" customHeight="1">
      <c r="AE8866"/>
    </row>
    <row r="8867" spans="31:31" ht="15.75" customHeight="1">
      <c r="AE8867"/>
    </row>
    <row r="8868" spans="31:31" ht="15.75" customHeight="1">
      <c r="AE8868"/>
    </row>
    <row r="8869" spans="31:31" ht="15.75" customHeight="1">
      <c r="AE8869"/>
    </row>
    <row r="8870" spans="31:31" ht="15.75" customHeight="1">
      <c r="AE8870"/>
    </row>
    <row r="8871" spans="31:31" ht="15.75" customHeight="1">
      <c r="AE8871"/>
    </row>
    <row r="8872" spans="31:31" ht="15.75" customHeight="1">
      <c r="AE8872"/>
    </row>
    <row r="8873" spans="31:31" ht="15.75" customHeight="1">
      <c r="AE8873"/>
    </row>
    <row r="8874" spans="31:31" ht="15.75" customHeight="1">
      <c r="AE8874"/>
    </row>
    <row r="8875" spans="31:31" ht="15.75" customHeight="1">
      <c r="AE8875"/>
    </row>
    <row r="8876" spans="31:31" ht="15.75" customHeight="1">
      <c r="AE8876"/>
    </row>
    <row r="8877" spans="31:31" ht="15.75" customHeight="1">
      <c r="AE8877"/>
    </row>
    <row r="8878" spans="31:31" ht="15.75" customHeight="1">
      <c r="AE8878"/>
    </row>
    <row r="8879" spans="31:31" ht="15.75" customHeight="1">
      <c r="AE8879"/>
    </row>
    <row r="8880" spans="31:31" ht="15.75" customHeight="1">
      <c r="AE8880"/>
    </row>
    <row r="8881" spans="31:31" ht="15.75" customHeight="1">
      <c r="AE8881"/>
    </row>
    <row r="8882" spans="31:31" ht="15.75" customHeight="1">
      <c r="AE8882"/>
    </row>
    <row r="8883" spans="31:31" ht="15.75" customHeight="1">
      <c r="AE8883"/>
    </row>
    <row r="8884" spans="31:31" ht="15.75" customHeight="1">
      <c r="AE8884"/>
    </row>
    <row r="8885" spans="31:31" ht="15.75" customHeight="1">
      <c r="AE8885"/>
    </row>
    <row r="8886" spans="31:31" ht="15.75" customHeight="1">
      <c r="AE8886"/>
    </row>
    <row r="8887" spans="31:31" ht="15.75" customHeight="1">
      <c r="AE8887"/>
    </row>
    <row r="8888" spans="31:31" ht="15.75" customHeight="1">
      <c r="AE8888"/>
    </row>
    <row r="8889" spans="31:31" ht="15.75" customHeight="1">
      <c r="AE8889"/>
    </row>
    <row r="8890" spans="31:31" ht="15.75" customHeight="1">
      <c r="AE8890"/>
    </row>
    <row r="8891" spans="31:31" ht="15.75" customHeight="1">
      <c r="AE8891"/>
    </row>
    <row r="8892" spans="31:31" ht="15.75" customHeight="1">
      <c r="AE8892"/>
    </row>
    <row r="8893" spans="31:31" ht="15.75" customHeight="1">
      <c r="AE8893"/>
    </row>
    <row r="8894" spans="31:31" ht="15.75" customHeight="1">
      <c r="AE8894"/>
    </row>
    <row r="8895" spans="31:31" ht="15.75" customHeight="1">
      <c r="AE8895"/>
    </row>
    <row r="8896" spans="31:31" ht="15.75" customHeight="1">
      <c r="AE8896"/>
    </row>
    <row r="8897" spans="31:31" ht="15.75" customHeight="1">
      <c r="AE8897"/>
    </row>
    <row r="8898" spans="31:31" ht="15.75" customHeight="1">
      <c r="AE8898"/>
    </row>
    <row r="8899" spans="31:31" ht="15.75" customHeight="1">
      <c r="AE8899"/>
    </row>
    <row r="8900" spans="31:31" ht="15.75" customHeight="1">
      <c r="AE8900"/>
    </row>
    <row r="8901" spans="31:31" ht="15.75" customHeight="1">
      <c r="AE8901"/>
    </row>
    <row r="8902" spans="31:31" ht="15.75" customHeight="1">
      <c r="AE8902"/>
    </row>
    <row r="8903" spans="31:31" ht="15.75" customHeight="1">
      <c r="AE8903"/>
    </row>
    <row r="8904" spans="31:31" ht="15.75" customHeight="1">
      <c r="AE8904"/>
    </row>
    <row r="8905" spans="31:31" ht="15.75" customHeight="1">
      <c r="AE8905"/>
    </row>
    <row r="8906" spans="31:31" ht="15.75" customHeight="1">
      <c r="AE8906"/>
    </row>
    <row r="8907" spans="31:31" ht="15.75" customHeight="1">
      <c r="AE8907"/>
    </row>
    <row r="8908" spans="31:31" ht="15.75" customHeight="1">
      <c r="AE8908"/>
    </row>
    <row r="8909" spans="31:31" ht="15.75" customHeight="1">
      <c r="AE8909"/>
    </row>
    <row r="8910" spans="31:31" ht="15.75" customHeight="1">
      <c r="AE8910"/>
    </row>
    <row r="8911" spans="31:31" ht="15.75" customHeight="1">
      <c r="AE8911"/>
    </row>
    <row r="8912" spans="31:31" ht="15.75" customHeight="1">
      <c r="AE8912"/>
    </row>
    <row r="8913" spans="31:31" ht="15.75" customHeight="1">
      <c r="AE8913"/>
    </row>
    <row r="8914" spans="31:31" ht="15.75" customHeight="1">
      <c r="AE8914"/>
    </row>
    <row r="8915" spans="31:31" ht="15.75" customHeight="1">
      <c r="AE8915"/>
    </row>
    <row r="8916" spans="31:31" ht="15.75" customHeight="1">
      <c r="AE8916"/>
    </row>
    <row r="8917" spans="31:31" ht="15.75" customHeight="1">
      <c r="AE8917"/>
    </row>
    <row r="8918" spans="31:31" ht="15.75" customHeight="1">
      <c r="AE8918"/>
    </row>
    <row r="8919" spans="31:31" ht="15.75" customHeight="1">
      <c r="AE8919"/>
    </row>
    <row r="8920" spans="31:31" ht="15.75" customHeight="1">
      <c r="AE8920"/>
    </row>
    <row r="8921" spans="31:31" ht="15.75" customHeight="1">
      <c r="AE8921"/>
    </row>
    <row r="8922" spans="31:31" ht="15.75" customHeight="1">
      <c r="AE8922"/>
    </row>
    <row r="8923" spans="31:31" ht="15.75" customHeight="1">
      <c r="AE8923"/>
    </row>
    <row r="8924" spans="31:31" ht="15.75" customHeight="1">
      <c r="AE8924"/>
    </row>
    <row r="8925" spans="31:31" ht="15.75" customHeight="1">
      <c r="AE8925"/>
    </row>
    <row r="8926" spans="31:31" ht="15.75" customHeight="1">
      <c r="AE8926"/>
    </row>
    <row r="8927" spans="31:31" ht="15.75" customHeight="1">
      <c r="AE8927"/>
    </row>
    <row r="8928" spans="31:31" ht="15.75" customHeight="1">
      <c r="AE8928"/>
    </row>
    <row r="8929" spans="31:31" ht="15.75" customHeight="1">
      <c r="AE8929"/>
    </row>
    <row r="8930" spans="31:31" ht="15.75" customHeight="1">
      <c r="AE8930"/>
    </row>
    <row r="8931" spans="31:31" ht="15.75" customHeight="1">
      <c r="AE8931"/>
    </row>
    <row r="8932" spans="31:31" ht="15.75" customHeight="1">
      <c r="AE8932"/>
    </row>
    <row r="8933" spans="31:31" ht="15.75" customHeight="1">
      <c r="AE8933"/>
    </row>
    <row r="8934" spans="31:31" ht="15.75" customHeight="1">
      <c r="AE8934"/>
    </row>
    <row r="8935" spans="31:31" ht="15.75" customHeight="1">
      <c r="AE8935"/>
    </row>
    <row r="8936" spans="31:31" ht="15.75" customHeight="1">
      <c r="AE8936"/>
    </row>
    <row r="8937" spans="31:31" ht="15.75" customHeight="1">
      <c r="AE8937"/>
    </row>
    <row r="8938" spans="31:31" ht="15.75" customHeight="1">
      <c r="AE8938"/>
    </row>
    <row r="8939" spans="31:31" ht="15.75" customHeight="1">
      <c r="AE8939"/>
    </row>
    <row r="8940" spans="31:31" ht="15.75" customHeight="1">
      <c r="AE8940"/>
    </row>
    <row r="8941" spans="31:31" ht="15.75" customHeight="1">
      <c r="AE8941"/>
    </row>
    <row r="8942" spans="31:31" ht="15.75" customHeight="1">
      <c r="AE8942"/>
    </row>
    <row r="8943" spans="31:31" ht="15.75" customHeight="1">
      <c r="AE8943"/>
    </row>
    <row r="8944" spans="31:31" ht="15.75" customHeight="1">
      <c r="AE8944"/>
    </row>
    <row r="8945" spans="31:31" ht="15.75" customHeight="1">
      <c r="AE8945"/>
    </row>
    <row r="8946" spans="31:31" ht="15.75" customHeight="1">
      <c r="AE8946"/>
    </row>
    <row r="8947" spans="31:31" ht="15.75" customHeight="1">
      <c r="AE8947"/>
    </row>
    <row r="8948" spans="31:31" ht="15.75" customHeight="1">
      <c r="AE8948"/>
    </row>
    <row r="8949" spans="31:31" ht="15.75" customHeight="1">
      <c r="AE8949"/>
    </row>
    <row r="8950" spans="31:31" ht="15.75" customHeight="1">
      <c r="AE8950"/>
    </row>
    <row r="8951" spans="31:31" ht="15.75" customHeight="1">
      <c r="AE8951"/>
    </row>
    <row r="8952" spans="31:31" ht="15.75" customHeight="1">
      <c r="AE8952"/>
    </row>
    <row r="8953" spans="31:31" ht="15.75" customHeight="1">
      <c r="AE8953"/>
    </row>
    <row r="8954" spans="31:31" ht="15.75" customHeight="1">
      <c r="AE8954"/>
    </row>
    <row r="8955" spans="31:31" ht="15.75" customHeight="1">
      <c r="AE8955"/>
    </row>
    <row r="8956" spans="31:31" ht="15.75" customHeight="1">
      <c r="AE8956"/>
    </row>
    <row r="8957" spans="31:31" ht="15.75" customHeight="1">
      <c r="AE8957"/>
    </row>
    <row r="8958" spans="31:31" ht="15.75" customHeight="1">
      <c r="AE8958"/>
    </row>
    <row r="8959" spans="31:31" ht="15.75" customHeight="1">
      <c r="AE8959"/>
    </row>
    <row r="8960" spans="31:31" ht="15.75" customHeight="1">
      <c r="AE8960"/>
    </row>
    <row r="8961" spans="31:31" ht="15.75" customHeight="1">
      <c r="AE8961"/>
    </row>
    <row r="8962" spans="31:31" ht="15.75" customHeight="1">
      <c r="AE8962"/>
    </row>
    <row r="8963" spans="31:31" ht="15.75" customHeight="1">
      <c r="AE8963"/>
    </row>
    <row r="8964" spans="31:31" ht="15.75" customHeight="1">
      <c r="AE8964"/>
    </row>
    <row r="8965" spans="31:31" ht="15.75" customHeight="1">
      <c r="AE8965"/>
    </row>
    <row r="8966" spans="31:31" ht="15.75" customHeight="1">
      <c r="AE8966"/>
    </row>
    <row r="8967" spans="31:31" ht="15.75" customHeight="1">
      <c r="AE8967"/>
    </row>
    <row r="8968" spans="31:31" ht="15.75" customHeight="1">
      <c r="AE8968"/>
    </row>
    <row r="8969" spans="31:31" ht="15.75" customHeight="1">
      <c r="AE8969"/>
    </row>
    <row r="8970" spans="31:31" ht="15.75" customHeight="1">
      <c r="AE8970"/>
    </row>
    <row r="8971" spans="31:31" ht="15.75" customHeight="1">
      <c r="AE8971"/>
    </row>
    <row r="8972" spans="31:31" ht="15.75" customHeight="1">
      <c r="AE8972"/>
    </row>
    <row r="8973" spans="31:31" ht="15.75" customHeight="1">
      <c r="AE8973"/>
    </row>
    <row r="8974" spans="31:31" ht="15.75" customHeight="1">
      <c r="AE8974"/>
    </row>
    <row r="8975" spans="31:31" ht="15.75" customHeight="1">
      <c r="AE8975"/>
    </row>
    <row r="8976" spans="31:31" ht="15.75" customHeight="1">
      <c r="AE8976"/>
    </row>
    <row r="8977" spans="31:31" ht="15.75" customHeight="1">
      <c r="AE8977"/>
    </row>
    <row r="8978" spans="31:31" ht="15.75" customHeight="1">
      <c r="AE8978"/>
    </row>
    <row r="8979" spans="31:31" ht="15.75" customHeight="1">
      <c r="AE8979"/>
    </row>
    <row r="8980" spans="31:31" ht="15.75" customHeight="1">
      <c r="AE8980"/>
    </row>
    <row r="8981" spans="31:31" ht="15.75" customHeight="1">
      <c r="AE8981"/>
    </row>
    <row r="8982" spans="31:31" ht="15.75" customHeight="1">
      <c r="AE8982"/>
    </row>
    <row r="8983" spans="31:31" ht="15.75" customHeight="1">
      <c r="AE8983"/>
    </row>
    <row r="8984" spans="31:31" ht="15.75" customHeight="1">
      <c r="AE8984"/>
    </row>
    <row r="8985" spans="31:31" ht="15.75" customHeight="1">
      <c r="AE8985"/>
    </row>
    <row r="8986" spans="31:31" ht="15.75" customHeight="1">
      <c r="AE8986"/>
    </row>
    <row r="8987" spans="31:31" ht="15.75" customHeight="1">
      <c r="AE8987"/>
    </row>
    <row r="8988" spans="31:31" ht="15.75" customHeight="1">
      <c r="AE8988"/>
    </row>
    <row r="8989" spans="31:31" ht="15.75" customHeight="1">
      <c r="AE8989"/>
    </row>
    <row r="8990" spans="31:31" ht="15.75" customHeight="1">
      <c r="AE8990"/>
    </row>
    <row r="8991" spans="31:31" ht="15.75" customHeight="1">
      <c r="AE8991"/>
    </row>
    <row r="8992" spans="31:31" ht="15.75" customHeight="1">
      <c r="AE8992"/>
    </row>
    <row r="8993" spans="31:31" ht="15.75" customHeight="1">
      <c r="AE8993"/>
    </row>
    <row r="8994" spans="31:31" ht="15.75" customHeight="1">
      <c r="AE8994"/>
    </row>
    <row r="8995" spans="31:31" ht="15.75" customHeight="1">
      <c r="AE8995"/>
    </row>
    <row r="8996" spans="31:31" ht="15.75" customHeight="1">
      <c r="AE8996"/>
    </row>
    <row r="8997" spans="31:31" ht="15.75" customHeight="1">
      <c r="AE8997"/>
    </row>
    <row r="8998" spans="31:31" ht="15.75" customHeight="1">
      <c r="AE8998"/>
    </row>
    <row r="8999" spans="31:31" ht="15.75" customHeight="1">
      <c r="AE8999"/>
    </row>
    <row r="9000" spans="31:31" ht="15.75" customHeight="1">
      <c r="AE9000"/>
    </row>
    <row r="9001" spans="31:31" ht="15.75" customHeight="1">
      <c r="AE9001"/>
    </row>
    <row r="9002" spans="31:31" ht="15.75" customHeight="1">
      <c r="AE9002"/>
    </row>
    <row r="9003" spans="31:31" ht="15.75" customHeight="1">
      <c r="AE9003"/>
    </row>
    <row r="9004" spans="31:31" ht="15.75" customHeight="1">
      <c r="AE9004"/>
    </row>
    <row r="9005" spans="31:31" ht="15.75" customHeight="1">
      <c r="AE9005"/>
    </row>
    <row r="9006" spans="31:31" ht="15.75" customHeight="1">
      <c r="AE9006"/>
    </row>
    <row r="9007" spans="31:31" ht="15.75" customHeight="1">
      <c r="AE9007"/>
    </row>
    <row r="9008" spans="31:31" ht="15.75" customHeight="1">
      <c r="AE9008"/>
    </row>
    <row r="9009" spans="31:31" ht="15.75" customHeight="1">
      <c r="AE9009"/>
    </row>
    <row r="9010" spans="31:31" ht="15.75" customHeight="1">
      <c r="AE9010"/>
    </row>
    <row r="9011" spans="31:31" ht="15.75" customHeight="1">
      <c r="AE9011"/>
    </row>
    <row r="9012" spans="31:31" ht="15.75" customHeight="1">
      <c r="AE9012"/>
    </row>
    <row r="9013" spans="31:31" ht="15.75" customHeight="1">
      <c r="AE9013"/>
    </row>
    <row r="9014" spans="31:31" ht="15.75" customHeight="1">
      <c r="AE9014"/>
    </row>
    <row r="9015" spans="31:31" ht="15.75" customHeight="1">
      <c r="AE9015"/>
    </row>
    <row r="9016" spans="31:31" ht="15.75" customHeight="1">
      <c r="AE9016"/>
    </row>
    <row r="9017" spans="31:31" ht="15.75" customHeight="1">
      <c r="AE9017"/>
    </row>
    <row r="9018" spans="31:31" ht="15.75" customHeight="1">
      <c r="AE9018"/>
    </row>
    <row r="9019" spans="31:31" ht="15.75" customHeight="1">
      <c r="AE9019"/>
    </row>
    <row r="9020" spans="31:31" ht="15.75" customHeight="1">
      <c r="AE9020"/>
    </row>
    <row r="9021" spans="31:31" ht="15.75" customHeight="1">
      <c r="AE9021"/>
    </row>
    <row r="9022" spans="31:31" ht="15.75" customHeight="1">
      <c r="AE9022"/>
    </row>
    <row r="9023" spans="31:31" ht="15.75" customHeight="1">
      <c r="AE9023"/>
    </row>
    <row r="9024" spans="31:31" ht="15.75" customHeight="1">
      <c r="AE9024"/>
    </row>
    <row r="9025" spans="31:31" ht="15.75" customHeight="1">
      <c r="AE9025"/>
    </row>
    <row r="9026" spans="31:31" ht="15.75" customHeight="1">
      <c r="AE9026"/>
    </row>
    <row r="9027" spans="31:31" ht="15.75" customHeight="1">
      <c r="AE9027"/>
    </row>
    <row r="9028" spans="31:31" ht="15.75" customHeight="1">
      <c r="AE9028"/>
    </row>
    <row r="9029" spans="31:31" ht="15.75" customHeight="1">
      <c r="AE9029"/>
    </row>
    <row r="9030" spans="31:31" ht="15.75" customHeight="1">
      <c r="AE9030"/>
    </row>
    <row r="9031" spans="31:31" ht="15.75" customHeight="1">
      <c r="AE9031"/>
    </row>
    <row r="9032" spans="31:31" ht="15.75" customHeight="1">
      <c r="AE9032"/>
    </row>
    <row r="9033" spans="31:31" ht="15.75" customHeight="1">
      <c r="AE9033"/>
    </row>
    <row r="9034" spans="31:31" ht="15.75" customHeight="1">
      <c r="AE9034"/>
    </row>
    <row r="9035" spans="31:31" ht="15.75" customHeight="1">
      <c r="AE9035"/>
    </row>
    <row r="9036" spans="31:31" ht="15.75" customHeight="1">
      <c r="AE9036"/>
    </row>
    <row r="9037" spans="31:31" ht="15.75" customHeight="1">
      <c r="AE9037"/>
    </row>
    <row r="9038" spans="31:31" ht="15.75" customHeight="1">
      <c r="AE9038"/>
    </row>
    <row r="9039" spans="31:31" ht="15.75" customHeight="1">
      <c r="AE9039"/>
    </row>
    <row r="9040" spans="31:31" ht="15.75" customHeight="1">
      <c r="AE9040"/>
    </row>
    <row r="9041" spans="31:31" ht="15.75" customHeight="1">
      <c r="AE9041"/>
    </row>
    <row r="9042" spans="31:31" ht="15.75" customHeight="1">
      <c r="AE9042"/>
    </row>
    <row r="9043" spans="31:31" ht="15.75" customHeight="1">
      <c r="AE9043"/>
    </row>
    <row r="9044" spans="31:31" ht="15.75" customHeight="1">
      <c r="AE9044"/>
    </row>
    <row r="9045" spans="31:31" ht="15.75" customHeight="1">
      <c r="AE9045"/>
    </row>
    <row r="9046" spans="31:31" ht="15.75" customHeight="1">
      <c r="AE9046"/>
    </row>
    <row r="9047" spans="31:31" ht="15.75" customHeight="1">
      <c r="AE9047"/>
    </row>
    <row r="9048" spans="31:31" ht="15.75" customHeight="1">
      <c r="AE9048"/>
    </row>
    <row r="9049" spans="31:31" ht="15.75" customHeight="1">
      <c r="AE9049"/>
    </row>
    <row r="9050" spans="31:31" ht="15.75" customHeight="1">
      <c r="AE9050"/>
    </row>
    <row r="9051" spans="31:31" ht="15.75" customHeight="1">
      <c r="AE9051"/>
    </row>
    <row r="9052" spans="31:31" ht="15.75" customHeight="1">
      <c r="AE9052"/>
    </row>
    <row r="9053" spans="31:31" ht="15.75" customHeight="1">
      <c r="AE9053"/>
    </row>
    <row r="9054" spans="31:31" ht="15.75" customHeight="1">
      <c r="AE9054"/>
    </row>
    <row r="9055" spans="31:31" ht="15.75" customHeight="1">
      <c r="AE9055"/>
    </row>
    <row r="9056" spans="31:31" ht="15.75" customHeight="1">
      <c r="AE9056"/>
    </row>
    <row r="9057" spans="31:31" ht="15.75" customHeight="1">
      <c r="AE9057"/>
    </row>
    <row r="9058" spans="31:31" ht="15.75" customHeight="1">
      <c r="AE9058"/>
    </row>
    <row r="9059" spans="31:31" ht="15.75" customHeight="1">
      <c r="AE9059"/>
    </row>
    <row r="9060" spans="31:31" ht="15.75" customHeight="1">
      <c r="AE9060"/>
    </row>
    <row r="9061" spans="31:31" ht="15.75" customHeight="1">
      <c r="AE9061"/>
    </row>
    <row r="9062" spans="31:31" ht="15.75" customHeight="1">
      <c r="AE9062"/>
    </row>
    <row r="9063" spans="31:31" ht="15.75" customHeight="1">
      <c r="AE9063"/>
    </row>
    <row r="9064" spans="31:31" ht="15.75" customHeight="1">
      <c r="AE9064"/>
    </row>
    <row r="9065" spans="31:31" ht="15.75" customHeight="1">
      <c r="AE9065"/>
    </row>
    <row r="9066" spans="31:31" ht="15.75" customHeight="1">
      <c r="AE9066"/>
    </row>
    <row r="9067" spans="31:31" ht="15.75" customHeight="1">
      <c r="AE9067"/>
    </row>
    <row r="9068" spans="31:31" ht="15.75" customHeight="1">
      <c r="AE9068"/>
    </row>
    <row r="9069" spans="31:31" ht="15.75" customHeight="1">
      <c r="AE9069"/>
    </row>
    <row r="9070" spans="31:31" ht="15.75" customHeight="1">
      <c r="AE9070"/>
    </row>
    <row r="9071" spans="31:31" ht="15.75" customHeight="1">
      <c r="AE9071"/>
    </row>
    <row r="9072" spans="31:31" ht="15.75" customHeight="1">
      <c r="AE9072"/>
    </row>
    <row r="9073" spans="31:31" ht="15.75" customHeight="1">
      <c r="AE9073"/>
    </row>
    <row r="9074" spans="31:31" ht="15.75" customHeight="1">
      <c r="AE9074"/>
    </row>
    <row r="9075" spans="31:31" ht="15.75" customHeight="1">
      <c r="AE9075"/>
    </row>
    <row r="9076" spans="31:31" ht="15.75" customHeight="1">
      <c r="AE9076"/>
    </row>
    <row r="9077" spans="31:31" ht="15.75" customHeight="1">
      <c r="AE9077"/>
    </row>
    <row r="9078" spans="31:31" ht="15.75" customHeight="1">
      <c r="AE9078"/>
    </row>
    <row r="9079" spans="31:31" ht="15.75" customHeight="1">
      <c r="AE9079"/>
    </row>
    <row r="9080" spans="31:31" ht="15.75" customHeight="1">
      <c r="AE9080"/>
    </row>
    <row r="9081" spans="31:31" ht="15.75" customHeight="1">
      <c r="AE9081"/>
    </row>
    <row r="9082" spans="31:31" ht="15.75" customHeight="1">
      <c r="AE9082"/>
    </row>
    <row r="9083" spans="31:31" ht="15.75" customHeight="1">
      <c r="AE9083"/>
    </row>
    <row r="9084" spans="31:31" ht="15.75" customHeight="1">
      <c r="AE9084"/>
    </row>
    <row r="9085" spans="31:31" ht="15.75" customHeight="1">
      <c r="AE9085"/>
    </row>
    <row r="9086" spans="31:31" ht="15.75" customHeight="1">
      <c r="AE9086"/>
    </row>
    <row r="9087" spans="31:31" ht="15.75" customHeight="1">
      <c r="AE9087"/>
    </row>
    <row r="9088" spans="31:31" ht="15.75" customHeight="1">
      <c r="AE9088"/>
    </row>
    <row r="9089" spans="31:31" ht="15.75" customHeight="1">
      <c r="AE9089"/>
    </row>
    <row r="9090" spans="31:31" ht="15.75" customHeight="1">
      <c r="AE9090"/>
    </row>
    <row r="9091" spans="31:31" ht="15.75" customHeight="1">
      <c r="AE9091"/>
    </row>
    <row r="9092" spans="31:31" ht="15.75" customHeight="1">
      <c r="AE9092"/>
    </row>
    <row r="9093" spans="31:31" ht="15.75" customHeight="1">
      <c r="AE9093"/>
    </row>
    <row r="9094" spans="31:31" ht="15.75" customHeight="1">
      <c r="AE9094"/>
    </row>
    <row r="9095" spans="31:31" ht="15.75" customHeight="1">
      <c r="AE9095"/>
    </row>
    <row r="9096" spans="31:31" ht="15.75" customHeight="1">
      <c r="AE9096"/>
    </row>
    <row r="9097" spans="31:31" ht="15.75" customHeight="1">
      <c r="AE9097"/>
    </row>
    <row r="9098" spans="31:31" ht="15.75" customHeight="1">
      <c r="AE9098"/>
    </row>
    <row r="9099" spans="31:31" ht="15.75" customHeight="1">
      <c r="AE9099"/>
    </row>
    <row r="9100" spans="31:31" ht="15.75" customHeight="1">
      <c r="AE9100"/>
    </row>
    <row r="9101" spans="31:31" ht="15.75" customHeight="1">
      <c r="AE9101"/>
    </row>
    <row r="9102" spans="31:31" ht="15.75" customHeight="1">
      <c r="AE9102"/>
    </row>
    <row r="9103" spans="31:31" ht="15.75" customHeight="1">
      <c r="AE9103"/>
    </row>
    <row r="9104" spans="31:31" ht="15.75" customHeight="1">
      <c r="AE9104"/>
    </row>
    <row r="9105" spans="31:31" ht="15.75" customHeight="1">
      <c r="AE9105"/>
    </row>
    <row r="9106" spans="31:31" ht="15.75" customHeight="1">
      <c r="AE9106"/>
    </row>
    <row r="9107" spans="31:31" ht="15.75" customHeight="1">
      <c r="AE9107"/>
    </row>
    <row r="9108" spans="31:31" ht="15.75" customHeight="1">
      <c r="AE9108"/>
    </row>
    <row r="9109" spans="31:31" ht="15.75" customHeight="1">
      <c r="AE9109"/>
    </row>
    <row r="9110" spans="31:31" ht="15.75" customHeight="1">
      <c r="AE9110"/>
    </row>
    <row r="9111" spans="31:31" ht="15.75" customHeight="1">
      <c r="AE9111"/>
    </row>
    <row r="9112" spans="31:31" ht="15.75" customHeight="1">
      <c r="AE9112"/>
    </row>
    <row r="9113" spans="31:31" ht="15.75" customHeight="1">
      <c r="AE9113"/>
    </row>
    <row r="9114" spans="31:31" ht="15.75" customHeight="1">
      <c r="AE9114"/>
    </row>
    <row r="9115" spans="31:31" ht="15.75" customHeight="1">
      <c r="AE9115"/>
    </row>
    <row r="9116" spans="31:31" ht="15.75" customHeight="1">
      <c r="AE9116"/>
    </row>
    <row r="9117" spans="31:31" ht="15.75" customHeight="1">
      <c r="AE9117"/>
    </row>
    <row r="9118" spans="31:31" ht="15.75" customHeight="1">
      <c r="AE9118"/>
    </row>
    <row r="9119" spans="31:31" ht="15.75" customHeight="1">
      <c r="AE9119"/>
    </row>
    <row r="9120" spans="31:31" ht="15.75" customHeight="1">
      <c r="AE9120"/>
    </row>
    <row r="9121" spans="31:31" ht="15.75" customHeight="1">
      <c r="AE9121"/>
    </row>
    <row r="9122" spans="31:31" ht="15.75" customHeight="1">
      <c r="AE9122"/>
    </row>
    <row r="9123" spans="31:31" ht="15.75" customHeight="1">
      <c r="AE9123"/>
    </row>
    <row r="9124" spans="31:31" ht="15.75" customHeight="1">
      <c r="AE9124"/>
    </row>
    <row r="9125" spans="31:31" ht="15.75" customHeight="1">
      <c r="AE9125"/>
    </row>
    <row r="9126" spans="31:31" ht="15.75" customHeight="1">
      <c r="AE9126"/>
    </row>
    <row r="9127" spans="31:31" ht="15.75" customHeight="1">
      <c r="AE9127"/>
    </row>
    <row r="9128" spans="31:31" ht="15.75" customHeight="1">
      <c r="AE9128"/>
    </row>
    <row r="9129" spans="31:31" ht="15.75" customHeight="1">
      <c r="AE9129"/>
    </row>
    <row r="9130" spans="31:31" ht="15.75" customHeight="1">
      <c r="AE9130"/>
    </row>
    <row r="9131" spans="31:31" ht="15.75" customHeight="1">
      <c r="AE9131"/>
    </row>
    <row r="9132" spans="31:31" ht="15.75" customHeight="1">
      <c r="AE9132"/>
    </row>
    <row r="9133" spans="31:31" ht="15.75" customHeight="1">
      <c r="AE9133"/>
    </row>
    <row r="9134" spans="31:31" ht="15.75" customHeight="1">
      <c r="AE9134"/>
    </row>
    <row r="9135" spans="31:31" ht="15.75" customHeight="1">
      <c r="AE9135"/>
    </row>
    <row r="9136" spans="31:31" ht="15.75" customHeight="1">
      <c r="AE9136"/>
    </row>
    <row r="9137" spans="31:31" ht="15.75" customHeight="1">
      <c r="AE9137"/>
    </row>
    <row r="9138" spans="31:31" ht="15.75" customHeight="1">
      <c r="AE9138"/>
    </row>
    <row r="9139" spans="31:31" ht="15.75" customHeight="1">
      <c r="AE9139"/>
    </row>
    <row r="9140" spans="31:31" ht="15.75" customHeight="1">
      <c r="AE9140"/>
    </row>
    <row r="9141" spans="31:31" ht="15.75" customHeight="1">
      <c r="AE9141"/>
    </row>
    <row r="9142" spans="31:31" ht="15.75" customHeight="1">
      <c r="AE9142"/>
    </row>
    <row r="9143" spans="31:31" ht="15.75" customHeight="1">
      <c r="AE9143"/>
    </row>
    <row r="9144" spans="31:31" ht="15.75" customHeight="1">
      <c r="AE9144"/>
    </row>
    <row r="9145" spans="31:31" ht="15.75" customHeight="1">
      <c r="AE9145"/>
    </row>
    <row r="9146" spans="31:31" ht="15.75" customHeight="1">
      <c r="AE9146"/>
    </row>
    <row r="9147" spans="31:31" ht="15.75" customHeight="1">
      <c r="AE9147"/>
    </row>
    <row r="9148" spans="31:31" ht="15.75" customHeight="1">
      <c r="AE9148"/>
    </row>
    <row r="9149" spans="31:31" ht="15.75" customHeight="1">
      <c r="AE9149"/>
    </row>
    <row r="9150" spans="31:31" ht="15.75" customHeight="1">
      <c r="AE9150"/>
    </row>
    <row r="9151" spans="31:31" ht="15.75" customHeight="1">
      <c r="AE9151"/>
    </row>
    <row r="9152" spans="31:31" ht="15.75" customHeight="1">
      <c r="AE9152"/>
    </row>
    <row r="9153" spans="31:31" ht="15.75" customHeight="1">
      <c r="AE9153"/>
    </row>
    <row r="9154" spans="31:31" ht="15.75" customHeight="1">
      <c r="AE9154"/>
    </row>
    <row r="9155" spans="31:31" ht="15.75" customHeight="1">
      <c r="AE9155"/>
    </row>
    <row r="9156" spans="31:31" ht="15.75" customHeight="1">
      <c r="AE9156"/>
    </row>
    <row r="9157" spans="31:31" ht="15.75" customHeight="1">
      <c r="AE9157"/>
    </row>
    <row r="9158" spans="31:31" ht="15.75" customHeight="1">
      <c r="AE9158"/>
    </row>
    <row r="9159" spans="31:31" ht="15.75" customHeight="1">
      <c r="AE9159"/>
    </row>
    <row r="9160" spans="31:31" ht="15.75" customHeight="1">
      <c r="AE9160"/>
    </row>
    <row r="9161" spans="31:31" ht="15.75" customHeight="1">
      <c r="AE9161"/>
    </row>
    <row r="9162" spans="31:31" ht="15.75" customHeight="1">
      <c r="AE9162"/>
    </row>
    <row r="9163" spans="31:31" ht="15.75" customHeight="1">
      <c r="AE9163"/>
    </row>
    <row r="9164" spans="31:31" ht="15.75" customHeight="1">
      <c r="AE9164"/>
    </row>
    <row r="9165" spans="31:31" ht="15.75" customHeight="1">
      <c r="AE9165"/>
    </row>
    <row r="9166" spans="31:31" ht="15.75" customHeight="1">
      <c r="AE9166"/>
    </row>
    <row r="9167" spans="31:31" ht="15.75" customHeight="1">
      <c r="AE9167"/>
    </row>
    <row r="9168" spans="31:31" ht="15.75" customHeight="1">
      <c r="AE9168"/>
    </row>
    <row r="9169" spans="31:31" ht="15.75" customHeight="1">
      <c r="AE9169"/>
    </row>
    <row r="9170" spans="31:31" ht="15.75" customHeight="1">
      <c r="AE9170"/>
    </row>
    <row r="9171" spans="31:31" ht="15.75" customHeight="1">
      <c r="AE9171"/>
    </row>
    <row r="9172" spans="31:31" ht="15.75" customHeight="1">
      <c r="AE9172"/>
    </row>
    <row r="9173" spans="31:31" ht="15.75" customHeight="1">
      <c r="AE9173"/>
    </row>
    <row r="9174" spans="31:31" ht="15.75" customHeight="1">
      <c r="AE9174"/>
    </row>
    <row r="9175" spans="31:31" ht="15.75" customHeight="1">
      <c r="AE9175"/>
    </row>
    <row r="9176" spans="31:31" ht="15.75" customHeight="1">
      <c r="AE9176"/>
    </row>
    <row r="9177" spans="31:31" ht="15.75" customHeight="1">
      <c r="AE9177"/>
    </row>
    <row r="9178" spans="31:31" ht="15.75" customHeight="1">
      <c r="AE9178"/>
    </row>
    <row r="9179" spans="31:31" ht="15.75" customHeight="1">
      <c r="AE9179"/>
    </row>
    <row r="9180" spans="31:31" ht="15.75" customHeight="1">
      <c r="AE9180"/>
    </row>
    <row r="9181" spans="31:31" ht="15.75" customHeight="1">
      <c r="AE9181"/>
    </row>
    <row r="9182" spans="31:31" ht="15.75" customHeight="1">
      <c r="AE9182"/>
    </row>
    <row r="9183" spans="31:31" ht="15.75" customHeight="1">
      <c r="AE9183"/>
    </row>
    <row r="9184" spans="31:31" ht="15.75" customHeight="1">
      <c r="AE9184"/>
    </row>
    <row r="9185" spans="31:31" ht="15.75" customHeight="1">
      <c r="AE9185"/>
    </row>
    <row r="9186" spans="31:31" ht="15.75" customHeight="1">
      <c r="AE9186"/>
    </row>
    <row r="9187" spans="31:31" ht="15.75" customHeight="1">
      <c r="AE9187"/>
    </row>
    <row r="9188" spans="31:31" ht="15.75" customHeight="1">
      <c r="AE9188"/>
    </row>
    <row r="9189" spans="31:31" ht="15.75" customHeight="1">
      <c r="AE9189"/>
    </row>
    <row r="9190" spans="31:31" ht="15.75" customHeight="1">
      <c r="AE9190"/>
    </row>
    <row r="9191" spans="31:31" ht="15.75" customHeight="1">
      <c r="AE9191"/>
    </row>
    <row r="9192" spans="31:31" ht="15.75" customHeight="1">
      <c r="AE9192"/>
    </row>
    <row r="9193" spans="31:31" ht="15.75" customHeight="1">
      <c r="AE9193"/>
    </row>
    <row r="9194" spans="31:31" ht="15.75" customHeight="1">
      <c r="AE9194"/>
    </row>
    <row r="9195" spans="31:31" ht="15.75" customHeight="1">
      <c r="AE9195"/>
    </row>
    <row r="9196" spans="31:31" ht="15.75" customHeight="1">
      <c r="AE9196"/>
    </row>
    <row r="9197" spans="31:31" ht="15.75" customHeight="1">
      <c r="AE9197"/>
    </row>
    <row r="9198" spans="31:31" ht="15.75" customHeight="1">
      <c r="AE9198"/>
    </row>
    <row r="9199" spans="31:31" ht="15.75" customHeight="1">
      <c r="AE9199"/>
    </row>
    <row r="9200" spans="31:31" ht="15.75" customHeight="1">
      <c r="AE9200"/>
    </row>
    <row r="9201" spans="31:31" ht="15.75" customHeight="1">
      <c r="AE9201"/>
    </row>
    <row r="9202" spans="31:31" ht="15.75" customHeight="1">
      <c r="AE9202"/>
    </row>
    <row r="9203" spans="31:31" ht="15.75" customHeight="1">
      <c r="AE9203"/>
    </row>
    <row r="9204" spans="31:31" ht="15.75" customHeight="1">
      <c r="AE9204"/>
    </row>
    <row r="9205" spans="31:31" ht="15.75" customHeight="1">
      <c r="AE9205"/>
    </row>
    <row r="9206" spans="31:31" ht="15.75" customHeight="1">
      <c r="AE9206"/>
    </row>
    <row r="9207" spans="31:31" ht="15.75" customHeight="1">
      <c r="AE9207"/>
    </row>
    <row r="9208" spans="31:31" ht="15.75" customHeight="1">
      <c r="AE9208"/>
    </row>
    <row r="9209" spans="31:31" ht="15.75" customHeight="1">
      <c r="AE9209"/>
    </row>
    <row r="9210" spans="31:31" ht="15.75" customHeight="1">
      <c r="AE9210"/>
    </row>
    <row r="9211" spans="31:31" ht="15.75" customHeight="1">
      <c r="AE9211"/>
    </row>
    <row r="9212" spans="31:31" ht="15.75" customHeight="1">
      <c r="AE9212"/>
    </row>
    <row r="9213" spans="31:31" ht="15.75" customHeight="1">
      <c r="AE9213"/>
    </row>
    <row r="9214" spans="31:31" ht="15.75" customHeight="1">
      <c r="AE9214"/>
    </row>
    <row r="9215" spans="31:31" ht="15.75" customHeight="1">
      <c r="AE9215"/>
    </row>
    <row r="9216" spans="31:31" ht="15.75" customHeight="1">
      <c r="AE9216"/>
    </row>
    <row r="9217" spans="31:31" ht="15.75" customHeight="1">
      <c r="AE9217"/>
    </row>
    <row r="9218" spans="31:31" ht="15.75" customHeight="1">
      <c r="AE9218"/>
    </row>
    <row r="9219" spans="31:31" ht="15.75" customHeight="1">
      <c r="AE9219"/>
    </row>
    <row r="9220" spans="31:31" ht="15.75" customHeight="1">
      <c r="AE9220"/>
    </row>
    <row r="9221" spans="31:31" ht="15.75" customHeight="1">
      <c r="AE9221"/>
    </row>
    <row r="9222" spans="31:31" ht="15.75" customHeight="1">
      <c r="AE9222"/>
    </row>
    <row r="9223" spans="31:31" ht="15.75" customHeight="1">
      <c r="AE9223"/>
    </row>
    <row r="9224" spans="31:31" ht="15.75" customHeight="1">
      <c r="AE9224"/>
    </row>
    <row r="9225" spans="31:31" ht="15.75" customHeight="1">
      <c r="AE9225"/>
    </row>
    <row r="9226" spans="31:31" ht="15.75" customHeight="1">
      <c r="AE9226"/>
    </row>
    <row r="9227" spans="31:31" ht="15.75" customHeight="1">
      <c r="AE9227"/>
    </row>
    <row r="9228" spans="31:31" ht="15.75" customHeight="1">
      <c r="AE9228"/>
    </row>
    <row r="9229" spans="31:31" ht="15.75" customHeight="1">
      <c r="AE9229"/>
    </row>
    <row r="9230" spans="31:31" ht="15.75" customHeight="1">
      <c r="AE9230"/>
    </row>
    <row r="9231" spans="31:31" ht="15.75" customHeight="1">
      <c r="AE9231"/>
    </row>
    <row r="9232" spans="31:31" ht="15.75" customHeight="1">
      <c r="AE9232"/>
    </row>
    <row r="9233" spans="31:31" ht="15.75" customHeight="1">
      <c r="AE9233"/>
    </row>
    <row r="9234" spans="31:31" ht="15.75" customHeight="1">
      <c r="AE9234"/>
    </row>
    <row r="9235" spans="31:31" ht="15.75" customHeight="1">
      <c r="AE9235"/>
    </row>
    <row r="9236" spans="31:31" ht="15.75" customHeight="1">
      <c r="AE9236"/>
    </row>
    <row r="9237" spans="31:31" ht="15.75" customHeight="1">
      <c r="AE9237"/>
    </row>
    <row r="9238" spans="31:31" ht="15.75" customHeight="1">
      <c r="AE9238"/>
    </row>
    <row r="9239" spans="31:31" ht="15.75" customHeight="1">
      <c r="AE9239"/>
    </row>
    <row r="9240" spans="31:31" ht="15.75" customHeight="1">
      <c r="AE9240"/>
    </row>
    <row r="9241" spans="31:31" ht="15.75" customHeight="1">
      <c r="AE9241"/>
    </row>
    <row r="9242" spans="31:31" ht="15.75" customHeight="1">
      <c r="AE9242"/>
    </row>
    <row r="9243" spans="31:31" ht="15.75" customHeight="1">
      <c r="AE9243"/>
    </row>
    <row r="9244" spans="31:31" ht="15.75" customHeight="1">
      <c r="AE9244"/>
    </row>
    <row r="9245" spans="31:31" ht="15.75" customHeight="1">
      <c r="AE9245"/>
    </row>
    <row r="9246" spans="31:31" ht="15.75" customHeight="1">
      <c r="AE9246"/>
    </row>
    <row r="9247" spans="31:31" ht="15.75" customHeight="1">
      <c r="AE9247"/>
    </row>
    <row r="9248" spans="31:31" ht="15.75" customHeight="1">
      <c r="AE9248"/>
    </row>
    <row r="9249" spans="31:31" ht="15.75" customHeight="1">
      <c r="AE9249"/>
    </row>
    <row r="9250" spans="31:31" ht="15.75" customHeight="1">
      <c r="AE9250"/>
    </row>
    <row r="9251" spans="31:31" ht="15.75" customHeight="1">
      <c r="AE9251"/>
    </row>
    <row r="9252" spans="31:31" ht="15.75" customHeight="1">
      <c r="AE9252"/>
    </row>
    <row r="9253" spans="31:31" ht="15.75" customHeight="1">
      <c r="AE9253"/>
    </row>
    <row r="9254" spans="31:31" ht="15.75" customHeight="1">
      <c r="AE9254"/>
    </row>
    <row r="9255" spans="31:31" ht="15.75" customHeight="1">
      <c r="AE9255"/>
    </row>
    <row r="9256" spans="31:31" ht="15.75" customHeight="1">
      <c r="AE9256"/>
    </row>
    <row r="9257" spans="31:31" ht="15.75" customHeight="1">
      <c r="AE9257"/>
    </row>
    <row r="9258" spans="31:31" ht="15.75" customHeight="1">
      <c r="AE9258"/>
    </row>
    <row r="9259" spans="31:31" ht="15.75" customHeight="1">
      <c r="AE9259"/>
    </row>
    <row r="9260" spans="31:31" ht="15.75" customHeight="1">
      <c r="AE9260"/>
    </row>
    <row r="9261" spans="31:31" ht="15.75" customHeight="1">
      <c r="AE9261"/>
    </row>
    <row r="9262" spans="31:31" ht="15.75" customHeight="1">
      <c r="AE9262"/>
    </row>
    <row r="9263" spans="31:31" ht="15.75" customHeight="1">
      <c r="AE9263"/>
    </row>
    <row r="9264" spans="31:31" ht="15.75" customHeight="1">
      <c r="AE9264"/>
    </row>
    <row r="9265" spans="31:31" ht="15.75" customHeight="1">
      <c r="AE9265"/>
    </row>
    <row r="9266" spans="31:31" ht="15.75" customHeight="1">
      <c r="AE9266"/>
    </row>
    <row r="9267" spans="31:31" ht="15.75" customHeight="1">
      <c r="AE9267"/>
    </row>
    <row r="9268" spans="31:31" ht="15.75" customHeight="1">
      <c r="AE9268"/>
    </row>
    <row r="9269" spans="31:31" ht="15.75" customHeight="1">
      <c r="AE9269"/>
    </row>
    <row r="9270" spans="31:31" ht="15.75" customHeight="1">
      <c r="AE9270"/>
    </row>
    <row r="9271" spans="31:31" ht="15.75" customHeight="1">
      <c r="AE9271"/>
    </row>
    <row r="9272" spans="31:31" ht="15.75" customHeight="1">
      <c r="AE9272"/>
    </row>
    <row r="9273" spans="31:31" ht="15.75" customHeight="1">
      <c r="AE9273"/>
    </row>
    <row r="9274" spans="31:31" ht="15.75" customHeight="1">
      <c r="AE9274"/>
    </row>
    <row r="9275" spans="31:31" ht="15.75" customHeight="1">
      <c r="AE9275"/>
    </row>
    <row r="9276" spans="31:31" ht="15.75" customHeight="1">
      <c r="AE9276"/>
    </row>
    <row r="9277" spans="31:31" ht="15.75" customHeight="1">
      <c r="AE9277"/>
    </row>
    <row r="9278" spans="31:31" ht="15.75" customHeight="1">
      <c r="AE9278"/>
    </row>
    <row r="9279" spans="31:31" ht="15.75" customHeight="1">
      <c r="AE9279"/>
    </row>
    <row r="9280" spans="31:31" ht="15.75" customHeight="1">
      <c r="AE9280"/>
    </row>
    <row r="9281" spans="31:31" ht="15.75" customHeight="1">
      <c r="AE9281"/>
    </row>
    <row r="9282" spans="31:31" ht="15.75" customHeight="1">
      <c r="AE9282"/>
    </row>
    <row r="9283" spans="31:31" ht="15.75" customHeight="1">
      <c r="AE9283"/>
    </row>
    <row r="9284" spans="31:31" ht="15.75" customHeight="1">
      <c r="AE9284"/>
    </row>
    <row r="9285" spans="31:31" ht="15.75" customHeight="1">
      <c r="AE9285"/>
    </row>
    <row r="9286" spans="31:31" ht="15.75" customHeight="1">
      <c r="AE9286"/>
    </row>
    <row r="9287" spans="31:31" ht="15.75" customHeight="1">
      <c r="AE9287"/>
    </row>
    <row r="9288" spans="31:31" ht="15.75" customHeight="1">
      <c r="AE9288"/>
    </row>
    <row r="9289" spans="31:31" ht="15.75" customHeight="1">
      <c r="AE9289"/>
    </row>
    <row r="9290" spans="31:31" ht="15.75" customHeight="1">
      <c r="AE9290"/>
    </row>
    <row r="9291" spans="31:31" ht="15.75" customHeight="1">
      <c r="AE9291"/>
    </row>
    <row r="9292" spans="31:31" ht="15.75" customHeight="1">
      <c r="AE9292"/>
    </row>
    <row r="9293" spans="31:31" ht="15.75" customHeight="1">
      <c r="AE9293"/>
    </row>
    <row r="9294" spans="31:31" ht="15.75" customHeight="1">
      <c r="AE9294"/>
    </row>
    <row r="9295" spans="31:31" ht="15.75" customHeight="1">
      <c r="AE9295"/>
    </row>
    <row r="9296" spans="31:31" ht="15.75" customHeight="1">
      <c r="AE9296"/>
    </row>
    <row r="9297" spans="31:31" ht="15.75" customHeight="1">
      <c r="AE9297"/>
    </row>
    <row r="9298" spans="31:31" ht="15.75" customHeight="1">
      <c r="AE9298"/>
    </row>
    <row r="9299" spans="31:31" ht="15.75" customHeight="1">
      <c r="AE9299"/>
    </row>
    <row r="9300" spans="31:31" ht="15.75" customHeight="1">
      <c r="AE9300"/>
    </row>
    <row r="9301" spans="31:31" ht="15.75" customHeight="1">
      <c r="AE9301"/>
    </row>
    <row r="9302" spans="31:31" ht="15.75" customHeight="1">
      <c r="AE9302"/>
    </row>
    <row r="9303" spans="31:31" ht="15.75" customHeight="1">
      <c r="AE9303"/>
    </row>
    <row r="9304" spans="31:31" ht="15.75" customHeight="1">
      <c r="AE9304"/>
    </row>
    <row r="9305" spans="31:31" ht="15.75" customHeight="1">
      <c r="AE9305"/>
    </row>
    <row r="9306" spans="31:31" ht="15.75" customHeight="1">
      <c r="AE9306"/>
    </row>
    <row r="9307" spans="31:31" ht="15.75" customHeight="1">
      <c r="AE9307"/>
    </row>
    <row r="9308" spans="31:31" ht="15.75" customHeight="1">
      <c r="AE9308"/>
    </row>
    <row r="9309" spans="31:31" ht="15.75" customHeight="1">
      <c r="AE9309"/>
    </row>
    <row r="9310" spans="31:31" ht="15.75" customHeight="1">
      <c r="AE9310"/>
    </row>
    <row r="9311" spans="31:31" ht="15.75" customHeight="1">
      <c r="AE9311"/>
    </row>
    <row r="9312" spans="31:31" ht="15.75" customHeight="1">
      <c r="AE9312"/>
    </row>
    <row r="9313" spans="31:31" ht="15.75" customHeight="1">
      <c r="AE9313"/>
    </row>
    <row r="9314" spans="31:31" ht="15.75" customHeight="1">
      <c r="AE9314"/>
    </row>
    <row r="9315" spans="31:31" ht="15.75" customHeight="1">
      <c r="AE9315"/>
    </row>
    <row r="9316" spans="31:31" ht="15.75" customHeight="1">
      <c r="AE9316"/>
    </row>
    <row r="9317" spans="31:31" ht="15.75" customHeight="1">
      <c r="AE9317"/>
    </row>
    <row r="9318" spans="31:31" ht="15.75" customHeight="1">
      <c r="AE9318"/>
    </row>
    <row r="9319" spans="31:31" ht="15.75" customHeight="1">
      <c r="AE9319"/>
    </row>
    <row r="9320" spans="31:31" ht="15.75" customHeight="1">
      <c r="AE9320"/>
    </row>
    <row r="9321" spans="31:31" ht="15.75" customHeight="1">
      <c r="AE9321"/>
    </row>
    <row r="9322" spans="31:31" ht="15.75" customHeight="1">
      <c r="AE9322"/>
    </row>
    <row r="9323" spans="31:31" ht="15.75" customHeight="1">
      <c r="AE9323"/>
    </row>
    <row r="9324" spans="31:31" ht="15.75" customHeight="1">
      <c r="AE9324"/>
    </row>
    <row r="9325" spans="31:31" ht="15.75" customHeight="1">
      <c r="AE9325"/>
    </row>
    <row r="9326" spans="31:31" ht="15.75" customHeight="1">
      <c r="AE9326"/>
    </row>
    <row r="9327" spans="31:31" ht="15.75" customHeight="1">
      <c r="AE9327"/>
    </row>
    <row r="9328" spans="31:31" ht="15.75" customHeight="1">
      <c r="AE9328"/>
    </row>
    <row r="9329" spans="31:31" ht="15.75" customHeight="1">
      <c r="AE9329"/>
    </row>
    <row r="9330" spans="31:31" ht="15.75" customHeight="1">
      <c r="AE9330"/>
    </row>
    <row r="9331" spans="31:31" ht="15.75" customHeight="1">
      <c r="AE9331"/>
    </row>
    <row r="9332" spans="31:31" ht="15.75" customHeight="1">
      <c r="AE9332"/>
    </row>
    <row r="9333" spans="31:31" ht="15.75" customHeight="1">
      <c r="AE9333"/>
    </row>
    <row r="9334" spans="31:31" ht="15.75" customHeight="1">
      <c r="AE9334"/>
    </row>
    <row r="9335" spans="31:31" ht="15.75" customHeight="1">
      <c r="AE9335"/>
    </row>
    <row r="9336" spans="31:31" ht="15.75" customHeight="1">
      <c r="AE9336"/>
    </row>
    <row r="9337" spans="31:31" ht="15.75" customHeight="1">
      <c r="AE9337"/>
    </row>
    <row r="9338" spans="31:31" ht="15.75" customHeight="1">
      <c r="AE9338"/>
    </row>
    <row r="9339" spans="31:31" ht="15.75" customHeight="1">
      <c r="AE9339"/>
    </row>
    <row r="9340" spans="31:31" ht="15.75" customHeight="1">
      <c r="AE9340"/>
    </row>
    <row r="9341" spans="31:31" ht="15.75" customHeight="1">
      <c r="AE9341"/>
    </row>
    <row r="9342" spans="31:31" ht="15.75" customHeight="1">
      <c r="AE9342"/>
    </row>
    <row r="9343" spans="31:31" ht="15.75" customHeight="1">
      <c r="AE9343"/>
    </row>
    <row r="9344" spans="31:31" ht="15.75" customHeight="1">
      <c r="AE9344"/>
    </row>
    <row r="9345" spans="31:31" ht="15.75" customHeight="1">
      <c r="AE9345"/>
    </row>
    <row r="9346" spans="31:31" ht="15.75" customHeight="1">
      <c r="AE9346"/>
    </row>
    <row r="9347" spans="31:31" ht="15.75" customHeight="1">
      <c r="AE9347"/>
    </row>
    <row r="9348" spans="31:31" ht="15.75" customHeight="1">
      <c r="AE9348"/>
    </row>
    <row r="9349" spans="31:31" ht="15.75" customHeight="1">
      <c r="AE9349"/>
    </row>
    <row r="9350" spans="31:31" ht="15.75" customHeight="1">
      <c r="AE9350"/>
    </row>
    <row r="9351" spans="31:31" ht="15.75" customHeight="1">
      <c r="AE9351"/>
    </row>
    <row r="9352" spans="31:31" ht="15.75" customHeight="1">
      <c r="AE9352"/>
    </row>
    <row r="9353" spans="31:31" ht="15.75" customHeight="1">
      <c r="AE9353"/>
    </row>
    <row r="9354" spans="31:31" ht="15.75" customHeight="1">
      <c r="AE9354"/>
    </row>
    <row r="9355" spans="31:31" ht="15.75" customHeight="1">
      <c r="AE9355"/>
    </row>
    <row r="9356" spans="31:31" ht="15.75" customHeight="1">
      <c r="AE9356"/>
    </row>
    <row r="9357" spans="31:31" ht="15.75" customHeight="1">
      <c r="AE9357"/>
    </row>
    <row r="9358" spans="31:31" ht="15.75" customHeight="1">
      <c r="AE9358"/>
    </row>
    <row r="9359" spans="31:31" ht="15.75" customHeight="1">
      <c r="AE9359"/>
    </row>
    <row r="9360" spans="31:31" ht="15.75" customHeight="1">
      <c r="AE9360"/>
    </row>
    <row r="9361" spans="31:31" ht="15.75" customHeight="1">
      <c r="AE9361"/>
    </row>
    <row r="9362" spans="31:31" ht="15.75" customHeight="1">
      <c r="AE9362"/>
    </row>
    <row r="9363" spans="31:31" ht="15.75" customHeight="1">
      <c r="AE9363"/>
    </row>
    <row r="9364" spans="31:31" ht="15.75" customHeight="1">
      <c r="AE9364"/>
    </row>
    <row r="9365" spans="31:31" ht="15.75" customHeight="1">
      <c r="AE9365"/>
    </row>
    <row r="9366" spans="31:31" ht="15.75" customHeight="1">
      <c r="AE9366"/>
    </row>
    <row r="9367" spans="31:31" ht="15.75" customHeight="1">
      <c r="AE9367"/>
    </row>
    <row r="9368" spans="31:31" ht="15.75" customHeight="1">
      <c r="AE9368"/>
    </row>
    <row r="9369" spans="31:31" ht="15.75" customHeight="1">
      <c r="AE9369"/>
    </row>
    <row r="9370" spans="31:31" ht="15.75" customHeight="1">
      <c r="AE9370"/>
    </row>
    <row r="9371" spans="31:31" ht="15.75" customHeight="1">
      <c r="AE9371"/>
    </row>
    <row r="9372" spans="31:31" ht="15.75" customHeight="1">
      <c r="AE9372"/>
    </row>
    <row r="9373" spans="31:31" ht="15.75" customHeight="1">
      <c r="AE9373"/>
    </row>
    <row r="9374" spans="31:31" ht="15.75" customHeight="1">
      <c r="AE9374"/>
    </row>
    <row r="9375" spans="31:31" ht="15.75" customHeight="1">
      <c r="AE9375"/>
    </row>
    <row r="9376" spans="31:31" ht="15.75" customHeight="1">
      <c r="AE9376"/>
    </row>
    <row r="9377" spans="31:31" ht="15.75" customHeight="1">
      <c r="AE9377"/>
    </row>
    <row r="9378" spans="31:31" ht="15.75" customHeight="1">
      <c r="AE9378"/>
    </row>
    <row r="9379" spans="31:31" ht="15.75" customHeight="1">
      <c r="AE9379"/>
    </row>
    <row r="9380" spans="31:31" ht="15.75" customHeight="1">
      <c r="AE9380"/>
    </row>
    <row r="9381" spans="31:31" ht="15.75" customHeight="1">
      <c r="AE9381"/>
    </row>
    <row r="9382" spans="31:31" ht="15.75" customHeight="1">
      <c r="AE9382"/>
    </row>
    <row r="9383" spans="31:31" ht="15.75" customHeight="1">
      <c r="AE9383"/>
    </row>
    <row r="9384" spans="31:31" ht="15.75" customHeight="1">
      <c r="AE9384"/>
    </row>
    <row r="9385" spans="31:31" ht="15.75" customHeight="1">
      <c r="AE9385"/>
    </row>
    <row r="9386" spans="31:31" ht="15.75" customHeight="1">
      <c r="AE9386"/>
    </row>
    <row r="9387" spans="31:31" ht="15.75" customHeight="1">
      <c r="AE9387"/>
    </row>
    <row r="9388" spans="31:31" ht="15.75" customHeight="1">
      <c r="AE9388"/>
    </row>
    <row r="9389" spans="31:31" ht="15.75" customHeight="1">
      <c r="AE9389"/>
    </row>
    <row r="9390" spans="31:31" ht="15.75" customHeight="1">
      <c r="AE9390"/>
    </row>
    <row r="9391" spans="31:31" ht="15.75" customHeight="1">
      <c r="AE9391"/>
    </row>
    <row r="9392" spans="31:31" ht="15.75" customHeight="1">
      <c r="AE9392"/>
    </row>
    <row r="9393" spans="31:31" ht="15.75" customHeight="1">
      <c r="AE9393"/>
    </row>
    <row r="9394" spans="31:31" ht="15.75" customHeight="1">
      <c r="AE9394"/>
    </row>
    <row r="9395" spans="31:31" ht="15.75" customHeight="1">
      <c r="AE9395"/>
    </row>
    <row r="9396" spans="31:31" ht="15.75" customHeight="1">
      <c r="AE9396"/>
    </row>
    <row r="9397" spans="31:31" ht="15.75" customHeight="1">
      <c r="AE9397"/>
    </row>
    <row r="9398" spans="31:31" ht="15.75" customHeight="1">
      <c r="AE9398"/>
    </row>
    <row r="9399" spans="31:31" ht="15.75" customHeight="1">
      <c r="AE9399"/>
    </row>
    <row r="9400" spans="31:31" ht="15.75" customHeight="1">
      <c r="AE9400"/>
    </row>
    <row r="9401" spans="31:31" ht="15.75" customHeight="1">
      <c r="AE9401"/>
    </row>
    <row r="9402" spans="31:31" ht="15.75" customHeight="1">
      <c r="AE9402"/>
    </row>
    <row r="9403" spans="31:31" ht="15.75" customHeight="1">
      <c r="AE9403"/>
    </row>
    <row r="9404" spans="31:31" ht="15.75" customHeight="1">
      <c r="AE9404"/>
    </row>
    <row r="9405" spans="31:31" ht="15.75" customHeight="1">
      <c r="AE9405"/>
    </row>
    <row r="9406" spans="31:31" ht="15.75" customHeight="1">
      <c r="AE9406"/>
    </row>
    <row r="9407" spans="31:31" ht="15.75" customHeight="1">
      <c r="AE9407"/>
    </row>
    <row r="9408" spans="31:31" ht="15.75" customHeight="1">
      <c r="AE9408"/>
    </row>
    <row r="9409" spans="31:31" ht="15.75" customHeight="1">
      <c r="AE9409"/>
    </row>
    <row r="9410" spans="31:31" ht="15.75" customHeight="1">
      <c r="AE9410"/>
    </row>
    <row r="9411" spans="31:31" ht="15.75" customHeight="1">
      <c r="AE9411"/>
    </row>
    <row r="9412" spans="31:31" ht="15.75" customHeight="1">
      <c r="AE9412"/>
    </row>
    <row r="9413" spans="31:31" ht="15.75" customHeight="1">
      <c r="AE9413"/>
    </row>
    <row r="9414" spans="31:31" ht="15.75" customHeight="1">
      <c r="AE9414"/>
    </row>
    <row r="9415" spans="31:31" ht="15.75" customHeight="1">
      <c r="AE9415"/>
    </row>
    <row r="9416" spans="31:31" ht="15.75" customHeight="1">
      <c r="AE9416"/>
    </row>
    <row r="9417" spans="31:31" ht="15.75" customHeight="1">
      <c r="AE9417"/>
    </row>
    <row r="9418" spans="31:31" ht="15.75" customHeight="1">
      <c r="AE9418"/>
    </row>
    <row r="9419" spans="31:31" ht="15.75" customHeight="1">
      <c r="AE9419"/>
    </row>
    <row r="9420" spans="31:31" ht="15.75" customHeight="1">
      <c r="AE9420"/>
    </row>
    <row r="9421" spans="31:31" ht="15.75" customHeight="1">
      <c r="AE9421"/>
    </row>
    <row r="9422" spans="31:31" ht="15.75" customHeight="1">
      <c r="AE9422"/>
    </row>
    <row r="9423" spans="31:31" ht="15.75" customHeight="1">
      <c r="AE9423"/>
    </row>
    <row r="9424" spans="31:31" ht="15.75" customHeight="1">
      <c r="AE9424"/>
    </row>
    <row r="9425" spans="31:31" ht="15.75" customHeight="1">
      <c r="AE9425"/>
    </row>
    <row r="9426" spans="31:31" ht="15.75" customHeight="1">
      <c r="AE9426"/>
    </row>
    <row r="9427" spans="31:31" ht="15.75" customHeight="1">
      <c r="AE9427"/>
    </row>
    <row r="9428" spans="31:31" ht="15.75" customHeight="1">
      <c r="AE9428"/>
    </row>
    <row r="9429" spans="31:31" ht="15.75" customHeight="1">
      <c r="AE9429"/>
    </row>
    <row r="9430" spans="31:31" ht="15.75" customHeight="1">
      <c r="AE9430"/>
    </row>
    <row r="9431" spans="31:31" ht="15.75" customHeight="1">
      <c r="AE9431"/>
    </row>
    <row r="9432" spans="31:31" ht="15.75" customHeight="1">
      <c r="AE9432"/>
    </row>
    <row r="9433" spans="31:31" ht="15.75" customHeight="1">
      <c r="AE9433"/>
    </row>
    <row r="9434" spans="31:31" ht="15.75" customHeight="1">
      <c r="AE9434"/>
    </row>
    <row r="9435" spans="31:31" ht="15.75" customHeight="1">
      <c r="AE9435"/>
    </row>
    <row r="9436" spans="31:31" ht="15.75" customHeight="1">
      <c r="AE9436"/>
    </row>
    <row r="9437" spans="31:31" ht="15.75" customHeight="1">
      <c r="AE9437"/>
    </row>
    <row r="9438" spans="31:31" ht="15.75" customHeight="1">
      <c r="AE9438"/>
    </row>
    <row r="9439" spans="31:31" ht="15.75" customHeight="1">
      <c r="AE9439"/>
    </row>
    <row r="9440" spans="31:31" ht="15.75" customHeight="1">
      <c r="AE9440"/>
    </row>
    <row r="9441" spans="31:31" ht="15.75" customHeight="1">
      <c r="AE9441"/>
    </row>
    <row r="9442" spans="31:31" ht="15.75" customHeight="1">
      <c r="AE9442"/>
    </row>
    <row r="9443" spans="31:31" ht="15.75" customHeight="1">
      <c r="AE9443"/>
    </row>
    <row r="9444" spans="31:31" ht="15.75" customHeight="1">
      <c r="AE9444"/>
    </row>
    <row r="9445" spans="31:31" ht="15.75" customHeight="1">
      <c r="AE9445"/>
    </row>
    <row r="9446" spans="31:31" ht="15.75" customHeight="1">
      <c r="AE9446"/>
    </row>
    <row r="9447" spans="31:31" ht="15.75" customHeight="1">
      <c r="AE9447"/>
    </row>
    <row r="9448" spans="31:31" ht="15.75" customHeight="1">
      <c r="AE9448"/>
    </row>
    <row r="9449" spans="31:31" ht="15.75" customHeight="1">
      <c r="AE9449"/>
    </row>
    <row r="9450" spans="31:31" ht="15.75" customHeight="1">
      <c r="AE9450"/>
    </row>
    <row r="9451" spans="31:31" ht="15.75" customHeight="1">
      <c r="AE9451"/>
    </row>
    <row r="9452" spans="31:31" ht="15.75" customHeight="1">
      <c r="AE9452"/>
    </row>
    <row r="9453" spans="31:31" ht="15.75" customHeight="1">
      <c r="AE9453"/>
    </row>
    <row r="9454" spans="31:31" ht="15.75" customHeight="1">
      <c r="AE9454"/>
    </row>
    <row r="9455" spans="31:31" ht="15.75" customHeight="1">
      <c r="AE9455"/>
    </row>
    <row r="9456" spans="31:31" ht="15.75" customHeight="1">
      <c r="AE9456"/>
    </row>
    <row r="9457" spans="31:31" ht="15.75" customHeight="1">
      <c r="AE9457"/>
    </row>
    <row r="9458" spans="31:31" ht="15.75" customHeight="1">
      <c r="AE9458"/>
    </row>
    <row r="9459" spans="31:31" ht="15.75" customHeight="1">
      <c r="AE9459"/>
    </row>
    <row r="9460" spans="31:31" ht="15.75" customHeight="1">
      <c r="AE9460"/>
    </row>
    <row r="9461" spans="31:31" ht="15.75" customHeight="1">
      <c r="AE9461"/>
    </row>
    <row r="9462" spans="31:31" ht="15.75" customHeight="1">
      <c r="AE9462"/>
    </row>
    <row r="9463" spans="31:31" ht="15.75" customHeight="1">
      <c r="AE9463"/>
    </row>
    <row r="9464" spans="31:31" ht="15.75" customHeight="1">
      <c r="AE9464"/>
    </row>
    <row r="9465" spans="31:31" ht="15.75" customHeight="1">
      <c r="AE9465"/>
    </row>
    <row r="9466" spans="31:31" ht="15.75" customHeight="1">
      <c r="AE9466"/>
    </row>
    <row r="9467" spans="31:31" ht="15.75" customHeight="1">
      <c r="AE9467"/>
    </row>
    <row r="9468" spans="31:31" ht="15.75" customHeight="1">
      <c r="AE9468"/>
    </row>
    <row r="9469" spans="31:31" ht="15.75" customHeight="1">
      <c r="AE9469"/>
    </row>
    <row r="9470" spans="31:31" ht="15.75" customHeight="1">
      <c r="AE9470"/>
    </row>
    <row r="9471" spans="31:31" ht="15.75" customHeight="1">
      <c r="AE9471"/>
    </row>
    <row r="9472" spans="31:31" ht="15.75" customHeight="1">
      <c r="AE9472"/>
    </row>
    <row r="9473" spans="31:31" ht="15.75" customHeight="1">
      <c r="AE9473"/>
    </row>
    <row r="9474" spans="31:31" ht="15.75" customHeight="1">
      <c r="AE9474"/>
    </row>
    <row r="9475" spans="31:31" ht="15.75" customHeight="1">
      <c r="AE9475"/>
    </row>
    <row r="9476" spans="31:31" ht="15.75" customHeight="1">
      <c r="AE9476"/>
    </row>
    <row r="9477" spans="31:31" ht="15.75" customHeight="1">
      <c r="AE9477"/>
    </row>
    <row r="9478" spans="31:31" ht="15.75" customHeight="1">
      <c r="AE9478"/>
    </row>
    <row r="9479" spans="31:31" ht="15.75" customHeight="1">
      <c r="AE9479"/>
    </row>
    <row r="9480" spans="31:31" ht="15.75" customHeight="1">
      <c r="AE9480"/>
    </row>
    <row r="9481" spans="31:31" ht="15.75" customHeight="1">
      <c r="AE9481"/>
    </row>
    <row r="9482" spans="31:31" ht="15.75" customHeight="1">
      <c r="AE9482"/>
    </row>
    <row r="9483" spans="31:31" ht="15.75" customHeight="1">
      <c r="AE9483"/>
    </row>
    <row r="9484" spans="31:31" ht="15.75" customHeight="1">
      <c r="AE9484"/>
    </row>
    <row r="9485" spans="31:31" ht="15.75" customHeight="1">
      <c r="AE9485"/>
    </row>
    <row r="9486" spans="31:31" ht="15.75" customHeight="1">
      <c r="AE9486"/>
    </row>
    <row r="9487" spans="31:31" ht="15.75" customHeight="1">
      <c r="AE9487"/>
    </row>
    <row r="9488" spans="31:31" ht="15.75" customHeight="1">
      <c r="AE9488"/>
    </row>
    <row r="9489" spans="31:31" ht="15.75" customHeight="1">
      <c r="AE9489"/>
    </row>
    <row r="9490" spans="31:31" ht="15.75" customHeight="1">
      <c r="AE9490"/>
    </row>
    <row r="9491" spans="31:31" ht="15.75" customHeight="1">
      <c r="AE9491"/>
    </row>
    <row r="9492" spans="31:31" ht="15.75" customHeight="1">
      <c r="AE9492"/>
    </row>
    <row r="9493" spans="31:31" ht="15.75" customHeight="1">
      <c r="AE9493"/>
    </row>
    <row r="9494" spans="31:31" ht="15.75" customHeight="1">
      <c r="AE9494"/>
    </row>
    <row r="9495" spans="31:31" ht="15.75" customHeight="1">
      <c r="AE9495"/>
    </row>
    <row r="9496" spans="31:31" ht="15.75" customHeight="1">
      <c r="AE9496"/>
    </row>
    <row r="9497" spans="31:31" ht="15.75" customHeight="1">
      <c r="AE9497"/>
    </row>
    <row r="9498" spans="31:31" ht="15.75" customHeight="1">
      <c r="AE9498"/>
    </row>
    <row r="9499" spans="31:31" ht="15.75" customHeight="1">
      <c r="AE9499"/>
    </row>
    <row r="9500" spans="31:31" ht="15.75" customHeight="1">
      <c r="AE9500"/>
    </row>
    <row r="9501" spans="31:31" ht="15.75" customHeight="1">
      <c r="AE9501"/>
    </row>
    <row r="9502" spans="31:31" ht="15.75" customHeight="1">
      <c r="AE9502"/>
    </row>
    <row r="9503" spans="31:31" ht="15.75" customHeight="1">
      <c r="AE9503"/>
    </row>
    <row r="9504" spans="31:31" ht="15.75" customHeight="1">
      <c r="AE9504"/>
    </row>
    <row r="9505" spans="31:31" ht="15.75" customHeight="1">
      <c r="AE9505"/>
    </row>
    <row r="9506" spans="31:31" ht="15.75" customHeight="1">
      <c r="AE9506"/>
    </row>
    <row r="9507" spans="31:31" ht="15.75" customHeight="1">
      <c r="AE9507"/>
    </row>
    <row r="9508" spans="31:31" ht="15.75" customHeight="1">
      <c r="AE9508"/>
    </row>
    <row r="9509" spans="31:31" ht="15.75" customHeight="1">
      <c r="AE9509"/>
    </row>
    <row r="9510" spans="31:31" ht="15.75" customHeight="1">
      <c r="AE9510"/>
    </row>
    <row r="9511" spans="31:31" ht="15.75" customHeight="1">
      <c r="AE9511"/>
    </row>
    <row r="9512" spans="31:31" ht="15.75" customHeight="1">
      <c r="AE9512"/>
    </row>
    <row r="9513" spans="31:31" ht="15.75" customHeight="1">
      <c r="AE9513"/>
    </row>
    <row r="9514" spans="31:31" ht="15.75" customHeight="1">
      <c r="AE9514"/>
    </row>
    <row r="9515" spans="31:31" ht="15.75" customHeight="1">
      <c r="AE9515"/>
    </row>
    <row r="9516" spans="31:31" ht="15.75" customHeight="1">
      <c r="AE9516"/>
    </row>
    <row r="9517" spans="31:31" ht="15.75" customHeight="1">
      <c r="AE9517"/>
    </row>
    <row r="9518" spans="31:31" ht="15.75" customHeight="1">
      <c r="AE9518"/>
    </row>
    <row r="9519" spans="31:31" ht="15.75" customHeight="1">
      <c r="AE9519"/>
    </row>
    <row r="9520" spans="31:31" ht="15.75" customHeight="1">
      <c r="AE9520"/>
    </row>
    <row r="9521" spans="31:31" ht="15.75" customHeight="1">
      <c r="AE9521"/>
    </row>
    <row r="9522" spans="31:31" ht="15.75" customHeight="1">
      <c r="AE9522"/>
    </row>
    <row r="9523" spans="31:31" ht="15.75" customHeight="1">
      <c r="AE9523"/>
    </row>
    <row r="9524" spans="31:31" ht="15.75" customHeight="1">
      <c r="AE9524"/>
    </row>
    <row r="9525" spans="31:31" ht="15.75" customHeight="1">
      <c r="AE9525"/>
    </row>
    <row r="9526" spans="31:31" ht="15.75" customHeight="1">
      <c r="AE9526"/>
    </row>
    <row r="9527" spans="31:31" ht="15.75" customHeight="1">
      <c r="AE9527"/>
    </row>
    <row r="9528" spans="31:31" ht="15.75" customHeight="1">
      <c r="AE9528"/>
    </row>
    <row r="9529" spans="31:31" ht="15.75" customHeight="1">
      <c r="AE9529"/>
    </row>
    <row r="9530" spans="31:31" ht="15.75" customHeight="1">
      <c r="AE9530"/>
    </row>
    <row r="9531" spans="31:31" ht="15.75" customHeight="1">
      <c r="AE9531"/>
    </row>
    <row r="9532" spans="31:31" ht="15.75" customHeight="1">
      <c r="AE9532"/>
    </row>
    <row r="9533" spans="31:31" ht="15.75" customHeight="1">
      <c r="AE9533"/>
    </row>
    <row r="9534" spans="31:31" ht="15.75" customHeight="1">
      <c r="AE9534"/>
    </row>
    <row r="9535" spans="31:31" ht="15.75" customHeight="1">
      <c r="AE9535"/>
    </row>
    <row r="9536" spans="31:31" ht="15.75" customHeight="1">
      <c r="AE9536"/>
    </row>
    <row r="9537" spans="31:31" ht="15.75" customHeight="1">
      <c r="AE9537"/>
    </row>
    <row r="9538" spans="31:31" ht="15.75" customHeight="1">
      <c r="AE9538"/>
    </row>
    <row r="9539" spans="31:31" ht="15.75" customHeight="1">
      <c r="AE9539"/>
    </row>
    <row r="9540" spans="31:31" ht="15.75" customHeight="1">
      <c r="AE9540"/>
    </row>
    <row r="9541" spans="31:31" ht="15.75" customHeight="1">
      <c r="AE9541"/>
    </row>
    <row r="9542" spans="31:31" ht="15.75" customHeight="1">
      <c r="AE9542"/>
    </row>
    <row r="9543" spans="31:31" ht="15.75" customHeight="1">
      <c r="AE9543"/>
    </row>
    <row r="9544" spans="31:31" ht="15.75" customHeight="1">
      <c r="AE9544"/>
    </row>
    <row r="9545" spans="31:31" ht="15.75" customHeight="1">
      <c r="AE9545"/>
    </row>
    <row r="9546" spans="31:31" ht="15.75" customHeight="1">
      <c r="AE9546"/>
    </row>
    <row r="9547" spans="31:31" ht="15.75" customHeight="1">
      <c r="AE9547"/>
    </row>
    <row r="9548" spans="31:31" ht="15.75" customHeight="1">
      <c r="AE9548"/>
    </row>
    <row r="9549" spans="31:31" ht="15.75" customHeight="1">
      <c r="AE9549"/>
    </row>
    <row r="9550" spans="31:31" ht="15.75" customHeight="1">
      <c r="AE9550"/>
    </row>
    <row r="9551" spans="31:31" ht="15.75" customHeight="1">
      <c r="AE9551"/>
    </row>
    <row r="9552" spans="31:31" ht="15.75" customHeight="1">
      <c r="AE9552"/>
    </row>
    <row r="9553" spans="31:31" ht="15.75" customHeight="1">
      <c r="AE9553"/>
    </row>
    <row r="9554" spans="31:31" ht="15.75" customHeight="1">
      <c r="AE9554"/>
    </row>
    <row r="9555" spans="31:31" ht="15.75" customHeight="1">
      <c r="AE9555"/>
    </row>
    <row r="9556" spans="31:31" ht="15.75" customHeight="1">
      <c r="AE9556"/>
    </row>
    <row r="9557" spans="31:31" ht="15.75" customHeight="1">
      <c r="AE9557"/>
    </row>
    <row r="9558" spans="31:31" ht="15.75" customHeight="1">
      <c r="AE9558"/>
    </row>
    <row r="9559" spans="31:31" ht="15.75" customHeight="1">
      <c r="AE9559"/>
    </row>
    <row r="9560" spans="31:31" ht="15.75" customHeight="1">
      <c r="AE9560"/>
    </row>
    <row r="9561" spans="31:31" ht="15.75" customHeight="1">
      <c r="AE9561"/>
    </row>
    <row r="9562" spans="31:31" ht="15.75" customHeight="1">
      <c r="AE9562"/>
    </row>
    <row r="9563" spans="31:31" ht="15.75" customHeight="1">
      <c r="AE9563"/>
    </row>
    <row r="9564" spans="31:31" ht="15.75" customHeight="1">
      <c r="AE9564"/>
    </row>
    <row r="9565" spans="31:31" ht="15.75" customHeight="1">
      <c r="AE9565"/>
    </row>
    <row r="9566" spans="31:31" ht="15.75" customHeight="1">
      <c r="AE9566"/>
    </row>
    <row r="9567" spans="31:31" ht="15.75" customHeight="1">
      <c r="AE9567"/>
    </row>
    <row r="9568" spans="31:31" ht="15.75" customHeight="1">
      <c r="AE9568"/>
    </row>
    <row r="9569" spans="31:31" ht="15.75" customHeight="1">
      <c r="AE9569"/>
    </row>
    <row r="9570" spans="31:31" ht="15.75" customHeight="1">
      <c r="AE9570"/>
    </row>
    <row r="9571" spans="31:31" ht="15.75" customHeight="1">
      <c r="AE9571"/>
    </row>
    <row r="9572" spans="31:31" ht="15.75" customHeight="1">
      <c r="AE9572"/>
    </row>
    <row r="9573" spans="31:31" ht="15.75" customHeight="1">
      <c r="AE9573"/>
    </row>
    <row r="9574" spans="31:31" ht="15.75" customHeight="1">
      <c r="AE9574"/>
    </row>
    <row r="9575" spans="31:31" ht="15.75" customHeight="1">
      <c r="AE9575"/>
    </row>
    <row r="9576" spans="31:31" ht="15.75" customHeight="1">
      <c r="AE9576"/>
    </row>
    <row r="9577" spans="31:31" ht="15.75" customHeight="1">
      <c r="AE9577"/>
    </row>
    <row r="9578" spans="31:31" ht="15.75" customHeight="1">
      <c r="AE9578"/>
    </row>
    <row r="9579" spans="31:31" ht="15.75" customHeight="1">
      <c r="AE9579"/>
    </row>
    <row r="9580" spans="31:31" ht="15.75" customHeight="1">
      <c r="AE9580"/>
    </row>
    <row r="9581" spans="31:31" ht="15.75" customHeight="1">
      <c r="AE9581"/>
    </row>
    <row r="9582" spans="31:31" ht="15.75" customHeight="1">
      <c r="AE9582"/>
    </row>
    <row r="9583" spans="31:31" ht="15.75" customHeight="1">
      <c r="AE9583"/>
    </row>
    <row r="9584" spans="31:31" ht="15.75" customHeight="1">
      <c r="AE9584"/>
    </row>
    <row r="9585" spans="31:31" ht="15.75" customHeight="1">
      <c r="AE9585"/>
    </row>
    <row r="9586" spans="31:31" ht="15.75" customHeight="1">
      <c r="AE9586"/>
    </row>
    <row r="9587" spans="31:31" ht="15.75" customHeight="1">
      <c r="AE9587"/>
    </row>
    <row r="9588" spans="31:31" ht="15.75" customHeight="1">
      <c r="AE9588"/>
    </row>
    <row r="9589" spans="31:31" ht="15.75" customHeight="1">
      <c r="AE9589"/>
    </row>
    <row r="9590" spans="31:31" ht="15.75" customHeight="1">
      <c r="AE9590"/>
    </row>
    <row r="9591" spans="31:31" ht="15.75" customHeight="1">
      <c r="AE9591"/>
    </row>
    <row r="9592" spans="31:31" ht="15.75" customHeight="1">
      <c r="AE9592"/>
    </row>
    <row r="9593" spans="31:31" ht="15.75" customHeight="1">
      <c r="AE9593"/>
    </row>
    <row r="9594" spans="31:31" ht="15.75" customHeight="1">
      <c r="AE9594"/>
    </row>
    <row r="9595" spans="31:31" ht="15.75" customHeight="1">
      <c r="AE9595"/>
    </row>
    <row r="9596" spans="31:31" ht="15.75" customHeight="1">
      <c r="AE9596"/>
    </row>
    <row r="9597" spans="31:31" ht="15.75" customHeight="1">
      <c r="AE9597"/>
    </row>
    <row r="9598" spans="31:31" ht="15.75" customHeight="1">
      <c r="AE9598"/>
    </row>
    <row r="9599" spans="31:31" ht="15.75" customHeight="1">
      <c r="AE9599"/>
    </row>
    <row r="9600" spans="31:31" ht="15.75" customHeight="1">
      <c r="AE9600"/>
    </row>
    <row r="9601" spans="31:31" ht="15.75" customHeight="1">
      <c r="AE9601"/>
    </row>
    <row r="9602" spans="31:31" ht="15.75" customHeight="1">
      <c r="AE9602"/>
    </row>
    <row r="9603" spans="31:31" ht="15.75" customHeight="1">
      <c r="AE9603"/>
    </row>
    <row r="9604" spans="31:31" ht="15.75" customHeight="1">
      <c r="AE9604"/>
    </row>
    <row r="9605" spans="31:31" ht="15.75" customHeight="1">
      <c r="AE9605"/>
    </row>
    <row r="9606" spans="31:31" ht="15.75" customHeight="1">
      <c r="AE9606"/>
    </row>
    <row r="9607" spans="31:31" ht="15.75" customHeight="1">
      <c r="AE9607"/>
    </row>
    <row r="9608" spans="31:31" ht="15.75" customHeight="1">
      <c r="AE9608"/>
    </row>
    <row r="9609" spans="31:31" ht="15.75" customHeight="1">
      <c r="AE9609"/>
    </row>
    <row r="9610" spans="31:31" ht="15.75" customHeight="1">
      <c r="AE9610"/>
    </row>
    <row r="9611" spans="31:31" ht="15.75" customHeight="1">
      <c r="AE9611"/>
    </row>
    <row r="9612" spans="31:31" ht="15.75" customHeight="1">
      <c r="AE9612"/>
    </row>
    <row r="9613" spans="31:31" ht="15.75" customHeight="1">
      <c r="AE9613"/>
    </row>
    <row r="9614" spans="31:31" ht="15.75" customHeight="1">
      <c r="AE9614"/>
    </row>
    <row r="9615" spans="31:31" ht="15.75" customHeight="1">
      <c r="AE9615"/>
    </row>
    <row r="9616" spans="31:31" ht="15.75" customHeight="1">
      <c r="AE9616"/>
    </row>
    <row r="9617" spans="31:31" ht="15.75" customHeight="1">
      <c r="AE9617"/>
    </row>
    <row r="9618" spans="31:31" ht="15.75" customHeight="1">
      <c r="AE9618"/>
    </row>
    <row r="9619" spans="31:31" ht="15.75" customHeight="1">
      <c r="AE9619"/>
    </row>
    <row r="9620" spans="31:31" ht="15.75" customHeight="1">
      <c r="AE9620"/>
    </row>
    <row r="9621" spans="31:31" ht="15.75" customHeight="1">
      <c r="AE9621"/>
    </row>
    <row r="9622" spans="31:31" ht="15.75" customHeight="1">
      <c r="AE9622"/>
    </row>
    <row r="9623" spans="31:31" ht="15.75" customHeight="1">
      <c r="AE9623"/>
    </row>
    <row r="9624" spans="31:31" ht="15.75" customHeight="1">
      <c r="AE9624"/>
    </row>
    <row r="9625" spans="31:31" ht="15.75" customHeight="1">
      <c r="AE9625"/>
    </row>
    <row r="9626" spans="31:31" ht="15.75" customHeight="1">
      <c r="AE9626"/>
    </row>
    <row r="9627" spans="31:31" ht="15.75" customHeight="1">
      <c r="AE9627"/>
    </row>
    <row r="9628" spans="31:31" ht="15.75" customHeight="1">
      <c r="AE9628"/>
    </row>
    <row r="9629" spans="31:31" ht="15.75" customHeight="1">
      <c r="AE9629"/>
    </row>
    <row r="9630" spans="31:31" ht="15.75" customHeight="1">
      <c r="AE9630"/>
    </row>
    <row r="9631" spans="31:31" ht="15.75" customHeight="1">
      <c r="AE9631"/>
    </row>
    <row r="9632" spans="31:31" ht="15.75" customHeight="1">
      <c r="AE9632"/>
    </row>
    <row r="9633" spans="31:31" ht="15.75" customHeight="1">
      <c r="AE9633"/>
    </row>
    <row r="9634" spans="31:31" ht="15.75" customHeight="1">
      <c r="AE9634"/>
    </row>
    <row r="9635" spans="31:31" ht="15.75" customHeight="1">
      <c r="AE9635"/>
    </row>
    <row r="9636" spans="31:31" ht="15.75" customHeight="1">
      <c r="AE9636"/>
    </row>
    <row r="9637" spans="31:31" ht="15.75" customHeight="1">
      <c r="AE9637"/>
    </row>
    <row r="9638" spans="31:31" ht="15.75" customHeight="1">
      <c r="AE9638"/>
    </row>
    <row r="9639" spans="31:31" ht="15.75" customHeight="1">
      <c r="AE9639"/>
    </row>
    <row r="9640" spans="31:31" ht="15.75" customHeight="1">
      <c r="AE9640"/>
    </row>
    <row r="9641" spans="31:31" ht="15.75" customHeight="1">
      <c r="AE9641"/>
    </row>
    <row r="9642" spans="31:31" ht="15.75" customHeight="1">
      <c r="AE9642"/>
    </row>
    <row r="9643" spans="31:31" ht="15.75" customHeight="1">
      <c r="AE9643"/>
    </row>
    <row r="9644" spans="31:31" ht="15.75" customHeight="1">
      <c r="AE9644"/>
    </row>
    <row r="9645" spans="31:31" ht="15.75" customHeight="1">
      <c r="AE9645"/>
    </row>
    <row r="9646" spans="31:31" ht="15.75" customHeight="1">
      <c r="AE9646"/>
    </row>
    <row r="9647" spans="31:31" ht="15.75" customHeight="1">
      <c r="AE9647"/>
    </row>
    <row r="9648" spans="31:31" ht="15.75" customHeight="1">
      <c r="AE9648"/>
    </row>
    <row r="9649" spans="31:31" ht="15.75" customHeight="1">
      <c r="AE9649"/>
    </row>
    <row r="9650" spans="31:31" ht="15.75" customHeight="1">
      <c r="AE9650"/>
    </row>
    <row r="9651" spans="31:31" ht="15.75" customHeight="1">
      <c r="AE9651"/>
    </row>
    <row r="9652" spans="31:31" ht="15.75" customHeight="1">
      <c r="AE9652"/>
    </row>
    <row r="9653" spans="31:31" ht="15.75" customHeight="1">
      <c r="AE9653"/>
    </row>
    <row r="9654" spans="31:31" ht="15.75" customHeight="1">
      <c r="AE9654"/>
    </row>
    <row r="9655" spans="31:31" ht="15.75" customHeight="1">
      <c r="AE9655"/>
    </row>
    <row r="9656" spans="31:31" ht="15.75" customHeight="1">
      <c r="AE9656"/>
    </row>
    <row r="9657" spans="31:31" ht="15.75" customHeight="1">
      <c r="AE9657"/>
    </row>
    <row r="9658" spans="31:31" ht="15.75" customHeight="1">
      <c r="AE9658"/>
    </row>
    <row r="9659" spans="31:31" ht="15.75" customHeight="1">
      <c r="AE9659"/>
    </row>
    <row r="9660" spans="31:31" ht="15.75" customHeight="1">
      <c r="AE9660"/>
    </row>
    <row r="9661" spans="31:31" ht="15.75" customHeight="1">
      <c r="AE9661"/>
    </row>
    <row r="9662" spans="31:31" ht="15.75" customHeight="1">
      <c r="AE9662"/>
    </row>
    <row r="9663" spans="31:31" ht="15.75" customHeight="1">
      <c r="AE9663"/>
    </row>
    <row r="9664" spans="31:31" ht="15.75" customHeight="1">
      <c r="AE9664"/>
    </row>
    <row r="9665" spans="31:31" ht="15.75" customHeight="1">
      <c r="AE9665"/>
    </row>
    <row r="9666" spans="31:31" ht="15.75" customHeight="1">
      <c r="AE9666"/>
    </row>
    <row r="9667" spans="31:31" ht="15.75" customHeight="1">
      <c r="AE9667"/>
    </row>
    <row r="9668" spans="31:31" ht="15.75" customHeight="1">
      <c r="AE9668"/>
    </row>
    <row r="9669" spans="31:31" ht="15.75" customHeight="1">
      <c r="AE9669"/>
    </row>
    <row r="9670" spans="31:31" ht="15.75" customHeight="1">
      <c r="AE9670"/>
    </row>
    <row r="9671" spans="31:31" ht="15.75" customHeight="1">
      <c r="AE9671"/>
    </row>
    <row r="9672" spans="31:31" ht="15.75" customHeight="1">
      <c r="AE9672"/>
    </row>
    <row r="9673" spans="31:31" ht="15.75" customHeight="1">
      <c r="AE9673"/>
    </row>
    <row r="9674" spans="31:31" ht="15.75" customHeight="1">
      <c r="AE9674"/>
    </row>
    <row r="9675" spans="31:31" ht="15.75" customHeight="1">
      <c r="AE9675"/>
    </row>
    <row r="9676" spans="31:31" ht="15.75" customHeight="1">
      <c r="AE9676"/>
    </row>
    <row r="9677" spans="31:31" ht="15.75" customHeight="1">
      <c r="AE9677"/>
    </row>
    <row r="9678" spans="31:31" ht="15.75" customHeight="1">
      <c r="AE9678"/>
    </row>
    <row r="9679" spans="31:31" ht="15.75" customHeight="1">
      <c r="AE9679"/>
    </row>
    <row r="9680" spans="31:31" ht="15.75" customHeight="1">
      <c r="AE9680"/>
    </row>
    <row r="9681" spans="31:31" ht="15.75" customHeight="1">
      <c r="AE9681"/>
    </row>
    <row r="9682" spans="31:31" ht="15.75" customHeight="1">
      <c r="AE9682"/>
    </row>
    <row r="9683" spans="31:31" ht="15.75" customHeight="1">
      <c r="AE9683"/>
    </row>
    <row r="9684" spans="31:31" ht="15.75" customHeight="1">
      <c r="AE9684"/>
    </row>
    <row r="9685" spans="31:31" ht="15.75" customHeight="1">
      <c r="AE9685"/>
    </row>
    <row r="9686" spans="31:31" ht="15.75" customHeight="1">
      <c r="AE9686"/>
    </row>
    <row r="9687" spans="31:31" ht="15.75" customHeight="1">
      <c r="AE9687"/>
    </row>
    <row r="9688" spans="31:31" ht="15.75" customHeight="1">
      <c r="AE9688"/>
    </row>
    <row r="9689" spans="31:31" ht="15.75" customHeight="1">
      <c r="AE9689"/>
    </row>
    <row r="9690" spans="31:31" ht="15.75" customHeight="1">
      <c r="AE9690"/>
    </row>
    <row r="9691" spans="31:31" ht="15.75" customHeight="1">
      <c r="AE9691"/>
    </row>
    <row r="9692" spans="31:31" ht="15.75" customHeight="1">
      <c r="AE9692"/>
    </row>
    <row r="9693" spans="31:31" ht="15.75" customHeight="1">
      <c r="AE9693"/>
    </row>
    <row r="9694" spans="31:31" ht="15.75" customHeight="1">
      <c r="AE9694"/>
    </row>
    <row r="9695" spans="31:31" ht="15.75" customHeight="1">
      <c r="AE9695"/>
    </row>
    <row r="9696" spans="31:31" ht="15.75" customHeight="1">
      <c r="AE9696"/>
    </row>
    <row r="9697" spans="31:31" ht="15.75" customHeight="1">
      <c r="AE9697"/>
    </row>
    <row r="9698" spans="31:31" ht="15.75" customHeight="1">
      <c r="AE9698"/>
    </row>
    <row r="9699" spans="31:31" ht="15.75" customHeight="1">
      <c r="AE9699"/>
    </row>
    <row r="9700" spans="31:31" ht="15.75" customHeight="1">
      <c r="AE9700"/>
    </row>
    <row r="9701" spans="31:31" ht="15.75" customHeight="1">
      <c r="AE9701"/>
    </row>
    <row r="9702" spans="31:31" ht="15.75" customHeight="1">
      <c r="AE9702"/>
    </row>
    <row r="9703" spans="31:31" ht="15.75" customHeight="1">
      <c r="AE9703"/>
    </row>
    <row r="9704" spans="31:31" ht="15.75" customHeight="1">
      <c r="AE9704"/>
    </row>
    <row r="9705" spans="31:31" ht="15.75" customHeight="1">
      <c r="AE9705"/>
    </row>
    <row r="9706" spans="31:31" ht="15.75" customHeight="1">
      <c r="AE9706"/>
    </row>
    <row r="9707" spans="31:31" ht="15.75" customHeight="1">
      <c r="AE9707"/>
    </row>
    <row r="9708" spans="31:31" ht="15.75" customHeight="1">
      <c r="AE9708"/>
    </row>
    <row r="9709" spans="31:31" ht="15.75" customHeight="1">
      <c r="AE9709"/>
    </row>
    <row r="9710" spans="31:31" ht="15.75" customHeight="1">
      <c r="AE9710"/>
    </row>
    <row r="9711" spans="31:31" ht="15.75" customHeight="1">
      <c r="AE9711"/>
    </row>
    <row r="9712" spans="31:31" ht="15.75" customHeight="1">
      <c r="AE9712"/>
    </row>
    <row r="9713" spans="31:31" ht="15.75" customHeight="1">
      <c r="AE9713"/>
    </row>
    <row r="9714" spans="31:31" ht="15.75" customHeight="1">
      <c r="AE9714"/>
    </row>
    <row r="9715" spans="31:31" ht="15.75" customHeight="1">
      <c r="AE9715"/>
    </row>
    <row r="9716" spans="31:31" ht="15.75" customHeight="1">
      <c r="AE9716"/>
    </row>
    <row r="9717" spans="31:31" ht="15.75" customHeight="1">
      <c r="AE9717"/>
    </row>
    <row r="9718" spans="31:31" ht="15.75" customHeight="1">
      <c r="AE9718"/>
    </row>
    <row r="9719" spans="31:31" ht="15.75" customHeight="1">
      <c r="AE9719"/>
    </row>
    <row r="9720" spans="31:31" ht="15.75" customHeight="1">
      <c r="AE9720"/>
    </row>
    <row r="9721" spans="31:31" ht="15.75" customHeight="1">
      <c r="AE9721"/>
    </row>
    <row r="9722" spans="31:31" ht="15.75" customHeight="1">
      <c r="AE9722"/>
    </row>
    <row r="9723" spans="31:31" ht="15.75" customHeight="1">
      <c r="AE9723"/>
    </row>
    <row r="9724" spans="31:31" ht="15.75" customHeight="1">
      <c r="AE9724"/>
    </row>
    <row r="9725" spans="31:31" ht="15.75" customHeight="1">
      <c r="AE9725"/>
    </row>
    <row r="9726" spans="31:31" ht="15.75" customHeight="1">
      <c r="AE9726"/>
    </row>
    <row r="9727" spans="31:31" ht="15.75" customHeight="1">
      <c r="AE9727"/>
    </row>
    <row r="9728" spans="31:31" ht="15.75" customHeight="1">
      <c r="AE9728"/>
    </row>
    <row r="9729" spans="31:31" ht="15.75" customHeight="1">
      <c r="AE9729"/>
    </row>
    <row r="9730" spans="31:31" ht="15.75" customHeight="1">
      <c r="AE9730"/>
    </row>
    <row r="9731" spans="31:31" ht="15.75" customHeight="1">
      <c r="AE9731"/>
    </row>
    <row r="9732" spans="31:31" ht="15.75" customHeight="1">
      <c r="AE9732"/>
    </row>
    <row r="9733" spans="31:31" ht="15.75" customHeight="1">
      <c r="AE9733"/>
    </row>
    <row r="9734" spans="31:31" ht="15.75" customHeight="1">
      <c r="AE9734"/>
    </row>
    <row r="9735" spans="31:31" ht="15.75" customHeight="1">
      <c r="AE9735"/>
    </row>
    <row r="9736" spans="31:31" ht="15.75" customHeight="1">
      <c r="AE9736"/>
    </row>
    <row r="9737" spans="31:31" ht="15.75" customHeight="1">
      <c r="AE9737"/>
    </row>
    <row r="9738" spans="31:31" ht="15.75" customHeight="1">
      <c r="AE9738"/>
    </row>
    <row r="9739" spans="31:31" ht="15.75" customHeight="1">
      <c r="AE9739"/>
    </row>
    <row r="9740" spans="31:31" ht="15.75" customHeight="1">
      <c r="AE9740"/>
    </row>
    <row r="9741" spans="31:31" ht="15.75" customHeight="1">
      <c r="AE9741"/>
    </row>
    <row r="9742" spans="31:31" ht="15.75" customHeight="1">
      <c r="AE9742"/>
    </row>
    <row r="9743" spans="31:31" ht="15.75" customHeight="1">
      <c r="AE9743"/>
    </row>
    <row r="9744" spans="31:31" ht="15.75" customHeight="1">
      <c r="AE9744"/>
    </row>
    <row r="9745" spans="31:31" ht="15.75" customHeight="1">
      <c r="AE9745"/>
    </row>
    <row r="9746" spans="31:31" ht="15.75" customHeight="1">
      <c r="AE9746"/>
    </row>
    <row r="9747" spans="31:31" ht="15.75" customHeight="1">
      <c r="AE9747"/>
    </row>
    <row r="9748" spans="31:31" ht="15.75" customHeight="1">
      <c r="AE9748"/>
    </row>
    <row r="9749" spans="31:31" ht="15.75" customHeight="1">
      <c r="AE9749"/>
    </row>
    <row r="9750" spans="31:31" ht="15.75" customHeight="1">
      <c r="AE9750"/>
    </row>
    <row r="9751" spans="31:31" ht="15.75" customHeight="1">
      <c r="AE9751"/>
    </row>
    <row r="9752" spans="31:31" ht="15.75" customHeight="1">
      <c r="AE9752"/>
    </row>
    <row r="9753" spans="31:31" ht="15.75" customHeight="1">
      <c r="AE9753"/>
    </row>
    <row r="9754" spans="31:31" ht="15.75" customHeight="1">
      <c r="AE9754"/>
    </row>
    <row r="9755" spans="31:31" ht="15.75" customHeight="1">
      <c r="AE9755"/>
    </row>
    <row r="9756" spans="31:31" ht="15.75" customHeight="1">
      <c r="AE9756"/>
    </row>
    <row r="9757" spans="31:31" ht="15.75" customHeight="1">
      <c r="AE9757"/>
    </row>
    <row r="9758" spans="31:31" ht="15.75" customHeight="1">
      <c r="AE9758"/>
    </row>
    <row r="9759" spans="31:31" ht="15.75" customHeight="1">
      <c r="AE9759"/>
    </row>
    <row r="9760" spans="31:31" ht="15.75" customHeight="1">
      <c r="AE9760"/>
    </row>
    <row r="9761" spans="31:31" ht="15.75" customHeight="1">
      <c r="AE9761"/>
    </row>
    <row r="9762" spans="31:31" ht="15.75" customHeight="1">
      <c r="AE9762"/>
    </row>
    <row r="9763" spans="31:31" ht="15.75" customHeight="1">
      <c r="AE9763"/>
    </row>
    <row r="9764" spans="31:31" ht="15.75" customHeight="1">
      <c r="AE9764"/>
    </row>
    <row r="9765" spans="31:31" ht="15.75" customHeight="1">
      <c r="AE9765"/>
    </row>
    <row r="9766" spans="31:31" ht="15.75" customHeight="1">
      <c r="AE9766"/>
    </row>
    <row r="9767" spans="31:31" ht="15.75" customHeight="1">
      <c r="AE9767"/>
    </row>
    <row r="9768" spans="31:31" ht="15.75" customHeight="1">
      <c r="AE9768"/>
    </row>
    <row r="9769" spans="31:31" ht="15.75" customHeight="1">
      <c r="AE9769"/>
    </row>
    <row r="9770" spans="31:31" ht="15.75" customHeight="1">
      <c r="AE9770"/>
    </row>
    <row r="9771" spans="31:31" ht="15.75" customHeight="1">
      <c r="AE9771"/>
    </row>
    <row r="9772" spans="31:31" ht="15.75" customHeight="1">
      <c r="AE9772"/>
    </row>
    <row r="9773" spans="31:31" ht="15.75" customHeight="1">
      <c r="AE9773"/>
    </row>
    <row r="9774" spans="31:31" ht="15.75" customHeight="1">
      <c r="AE9774"/>
    </row>
    <row r="9775" spans="31:31" ht="15.75" customHeight="1">
      <c r="AE9775"/>
    </row>
    <row r="9776" spans="31:31" ht="15.75" customHeight="1">
      <c r="AE9776"/>
    </row>
    <row r="9777" spans="31:31" ht="15.75" customHeight="1">
      <c r="AE9777"/>
    </row>
    <row r="9778" spans="31:31" ht="15.75" customHeight="1">
      <c r="AE9778"/>
    </row>
    <row r="9779" spans="31:31" ht="15.75" customHeight="1">
      <c r="AE9779"/>
    </row>
    <row r="9780" spans="31:31" ht="15.75" customHeight="1">
      <c r="AE9780"/>
    </row>
    <row r="9781" spans="31:31" ht="15.75" customHeight="1">
      <c r="AE9781"/>
    </row>
    <row r="9782" spans="31:31" ht="15.75" customHeight="1">
      <c r="AE9782"/>
    </row>
    <row r="9783" spans="31:31" ht="15.75" customHeight="1">
      <c r="AE9783"/>
    </row>
    <row r="9784" spans="31:31" ht="15.75" customHeight="1">
      <c r="AE9784"/>
    </row>
    <row r="9785" spans="31:31" ht="15.75" customHeight="1">
      <c r="AE9785"/>
    </row>
    <row r="9786" spans="31:31" ht="15.75" customHeight="1">
      <c r="AE9786"/>
    </row>
    <row r="9787" spans="31:31" ht="15.75" customHeight="1">
      <c r="AE9787"/>
    </row>
    <row r="9788" spans="31:31" ht="15.75" customHeight="1">
      <c r="AE9788"/>
    </row>
    <row r="9789" spans="31:31" ht="15.75" customHeight="1">
      <c r="AE9789"/>
    </row>
    <row r="9790" spans="31:31" ht="15.75" customHeight="1">
      <c r="AE9790"/>
    </row>
    <row r="9791" spans="31:31" ht="15.75" customHeight="1">
      <c r="AE9791"/>
    </row>
    <row r="9792" spans="31:31" ht="15.75" customHeight="1">
      <c r="AE9792"/>
    </row>
    <row r="9793" spans="31:31" ht="15.75" customHeight="1">
      <c r="AE9793"/>
    </row>
    <row r="9794" spans="31:31" ht="15.75" customHeight="1">
      <c r="AE9794"/>
    </row>
    <row r="9795" spans="31:31" ht="15.75" customHeight="1">
      <c r="AE9795"/>
    </row>
    <row r="9796" spans="31:31" ht="15.75" customHeight="1">
      <c r="AE9796"/>
    </row>
    <row r="9797" spans="31:31" ht="15.75" customHeight="1">
      <c r="AE9797"/>
    </row>
    <row r="9798" spans="31:31" ht="15.75" customHeight="1">
      <c r="AE9798"/>
    </row>
    <row r="9799" spans="31:31" ht="15.75" customHeight="1">
      <c r="AE9799"/>
    </row>
    <row r="9800" spans="31:31" ht="15.75" customHeight="1">
      <c r="AE9800"/>
    </row>
    <row r="9801" spans="31:31" ht="15.75" customHeight="1">
      <c r="AE9801"/>
    </row>
    <row r="9802" spans="31:31" ht="15.75" customHeight="1">
      <c r="AE9802"/>
    </row>
    <row r="9803" spans="31:31" ht="15.75" customHeight="1">
      <c r="AE9803"/>
    </row>
    <row r="9804" spans="31:31" ht="15.75" customHeight="1">
      <c r="AE9804"/>
    </row>
    <row r="9805" spans="31:31" ht="15.75" customHeight="1">
      <c r="AE9805"/>
    </row>
    <row r="9806" spans="31:31" ht="15.75" customHeight="1">
      <c r="AE9806"/>
    </row>
    <row r="9807" spans="31:31" ht="15.75" customHeight="1">
      <c r="AE9807"/>
    </row>
    <row r="9808" spans="31:31" ht="15.75" customHeight="1">
      <c r="AE9808"/>
    </row>
    <row r="9809" spans="31:31" ht="15.75" customHeight="1">
      <c r="AE9809"/>
    </row>
    <row r="9810" spans="31:31" ht="15.75" customHeight="1">
      <c r="AE9810"/>
    </row>
    <row r="9811" spans="31:31" ht="15.75" customHeight="1">
      <c r="AE9811"/>
    </row>
    <row r="9812" spans="31:31" ht="15.75" customHeight="1">
      <c r="AE9812"/>
    </row>
    <row r="9813" spans="31:31" ht="15.75" customHeight="1">
      <c r="AE9813"/>
    </row>
    <row r="9814" spans="31:31" ht="15.75" customHeight="1">
      <c r="AE9814"/>
    </row>
    <row r="9815" spans="31:31" ht="15.75" customHeight="1">
      <c r="AE9815"/>
    </row>
    <row r="9816" spans="31:31" ht="15.75" customHeight="1">
      <c r="AE9816"/>
    </row>
    <row r="9817" spans="31:31" ht="15.75" customHeight="1">
      <c r="AE9817"/>
    </row>
    <row r="9818" spans="31:31" ht="15.75" customHeight="1">
      <c r="AE9818"/>
    </row>
    <row r="9819" spans="31:31" ht="15.75" customHeight="1">
      <c r="AE9819"/>
    </row>
    <row r="9820" spans="31:31" ht="15.75" customHeight="1">
      <c r="AE9820"/>
    </row>
    <row r="9821" spans="31:31" ht="15.75" customHeight="1">
      <c r="AE9821"/>
    </row>
    <row r="9822" spans="31:31" ht="15.75" customHeight="1">
      <c r="AE9822"/>
    </row>
    <row r="9823" spans="31:31" ht="15.75" customHeight="1">
      <c r="AE9823"/>
    </row>
    <row r="9824" spans="31:31" ht="15.75" customHeight="1">
      <c r="AE9824"/>
    </row>
    <row r="9825" spans="31:31" ht="15.75" customHeight="1">
      <c r="AE9825"/>
    </row>
    <row r="9826" spans="31:31" ht="15.75" customHeight="1">
      <c r="AE9826"/>
    </row>
    <row r="9827" spans="31:31" ht="15.75" customHeight="1">
      <c r="AE9827"/>
    </row>
    <row r="9828" spans="31:31" ht="15.75" customHeight="1">
      <c r="AE9828"/>
    </row>
    <row r="9829" spans="31:31" ht="15.75" customHeight="1">
      <c r="AE9829"/>
    </row>
    <row r="9830" spans="31:31" ht="15.75" customHeight="1">
      <c r="AE9830"/>
    </row>
    <row r="9831" spans="31:31" ht="15.75" customHeight="1">
      <c r="AE9831"/>
    </row>
    <row r="9832" spans="31:31" ht="15.75" customHeight="1">
      <c r="AE9832"/>
    </row>
    <row r="9833" spans="31:31" ht="15.75" customHeight="1">
      <c r="AE9833"/>
    </row>
    <row r="9834" spans="31:31" ht="15.75" customHeight="1">
      <c r="AE9834"/>
    </row>
    <row r="9835" spans="31:31" ht="15.75" customHeight="1">
      <c r="AE9835"/>
    </row>
    <row r="9836" spans="31:31" ht="15.75" customHeight="1">
      <c r="AE9836"/>
    </row>
    <row r="9837" spans="31:31" ht="15.75" customHeight="1">
      <c r="AE9837"/>
    </row>
    <row r="9838" spans="31:31" ht="15.75" customHeight="1">
      <c r="AE9838"/>
    </row>
    <row r="9839" spans="31:31" ht="15.75" customHeight="1">
      <c r="AE9839"/>
    </row>
    <row r="9840" spans="31:31" ht="15.75" customHeight="1">
      <c r="AE9840"/>
    </row>
    <row r="9841" spans="31:31" ht="15.75" customHeight="1">
      <c r="AE9841"/>
    </row>
    <row r="9842" spans="31:31" ht="15.75" customHeight="1">
      <c r="AE9842"/>
    </row>
    <row r="9843" spans="31:31" ht="15.75" customHeight="1">
      <c r="AE9843"/>
    </row>
    <row r="9844" spans="31:31" ht="15.75" customHeight="1">
      <c r="AE9844"/>
    </row>
    <row r="9845" spans="31:31" ht="15.75" customHeight="1">
      <c r="AE9845"/>
    </row>
    <row r="9846" spans="31:31" ht="15.75" customHeight="1">
      <c r="AE9846"/>
    </row>
    <row r="9847" spans="31:31" ht="15.75" customHeight="1">
      <c r="AE9847"/>
    </row>
    <row r="9848" spans="31:31" ht="15.75" customHeight="1">
      <c r="AE9848"/>
    </row>
    <row r="9849" spans="31:31" ht="15.75" customHeight="1">
      <c r="AE9849"/>
    </row>
    <row r="9850" spans="31:31" ht="15.75" customHeight="1">
      <c r="AE9850"/>
    </row>
    <row r="9851" spans="31:31" ht="15.75" customHeight="1">
      <c r="AE9851"/>
    </row>
    <row r="9852" spans="31:31" ht="15.75" customHeight="1">
      <c r="AE9852"/>
    </row>
    <row r="9853" spans="31:31" ht="15.75" customHeight="1">
      <c r="AE9853"/>
    </row>
    <row r="9854" spans="31:31" ht="15.75" customHeight="1">
      <c r="AE9854"/>
    </row>
    <row r="9855" spans="31:31" ht="15.75" customHeight="1">
      <c r="AE9855"/>
    </row>
    <row r="9856" spans="31:31" ht="15.75" customHeight="1">
      <c r="AE9856"/>
    </row>
    <row r="9857" spans="31:31" ht="15.75" customHeight="1">
      <c r="AE9857"/>
    </row>
    <row r="9858" spans="31:31" ht="15.75" customHeight="1">
      <c r="AE9858"/>
    </row>
    <row r="9859" spans="31:31" ht="15.75" customHeight="1">
      <c r="AE9859"/>
    </row>
    <row r="9860" spans="31:31" ht="15.75" customHeight="1">
      <c r="AE9860"/>
    </row>
    <row r="9861" spans="31:31" ht="15.75" customHeight="1">
      <c r="AE9861"/>
    </row>
    <row r="9862" spans="31:31" ht="15.75" customHeight="1">
      <c r="AE9862"/>
    </row>
    <row r="9863" spans="31:31" ht="15.75" customHeight="1">
      <c r="AE9863"/>
    </row>
    <row r="9864" spans="31:31" ht="15.75" customHeight="1">
      <c r="AE9864"/>
    </row>
    <row r="9865" spans="31:31" ht="15.75" customHeight="1">
      <c r="AE9865"/>
    </row>
    <row r="9866" spans="31:31" ht="15.75" customHeight="1">
      <c r="AE9866"/>
    </row>
    <row r="9867" spans="31:31" ht="15.75" customHeight="1">
      <c r="AE9867"/>
    </row>
    <row r="9868" spans="31:31" ht="15.75" customHeight="1">
      <c r="AE9868"/>
    </row>
    <row r="9869" spans="31:31" ht="15.75" customHeight="1">
      <c r="AE9869"/>
    </row>
    <row r="9870" spans="31:31" ht="15.75" customHeight="1">
      <c r="AE9870"/>
    </row>
    <row r="9871" spans="31:31" ht="15.75" customHeight="1">
      <c r="AE9871"/>
    </row>
    <row r="9872" spans="31:31" ht="15.75" customHeight="1">
      <c r="AE9872"/>
    </row>
    <row r="9873" spans="31:31" ht="15.75" customHeight="1">
      <c r="AE9873"/>
    </row>
    <row r="9874" spans="31:31" ht="15.75" customHeight="1">
      <c r="AE9874"/>
    </row>
    <row r="9875" spans="31:31" ht="15.75" customHeight="1">
      <c r="AE9875"/>
    </row>
    <row r="9876" spans="31:31" ht="15.75" customHeight="1">
      <c r="AE9876"/>
    </row>
    <row r="9877" spans="31:31" ht="15.75" customHeight="1">
      <c r="AE9877"/>
    </row>
    <row r="9878" spans="31:31" ht="15.75" customHeight="1">
      <c r="AE9878"/>
    </row>
    <row r="9879" spans="31:31" ht="15.75" customHeight="1">
      <c r="AE9879"/>
    </row>
    <row r="9880" spans="31:31" ht="15.75" customHeight="1">
      <c r="AE9880"/>
    </row>
    <row r="9881" spans="31:31" ht="15.75" customHeight="1">
      <c r="AE9881"/>
    </row>
    <row r="9882" spans="31:31" ht="15.75" customHeight="1">
      <c r="AE9882"/>
    </row>
    <row r="9883" spans="31:31" ht="15.75" customHeight="1">
      <c r="AE9883"/>
    </row>
    <row r="9884" spans="31:31" ht="15.75" customHeight="1">
      <c r="AE9884"/>
    </row>
    <row r="9885" spans="31:31" ht="15.75" customHeight="1">
      <c r="AE9885"/>
    </row>
    <row r="9886" spans="31:31" ht="15.75" customHeight="1">
      <c r="AE9886"/>
    </row>
    <row r="9887" spans="31:31" ht="15.75" customHeight="1">
      <c r="AE9887"/>
    </row>
    <row r="9888" spans="31:31" ht="15.75" customHeight="1">
      <c r="AE9888"/>
    </row>
    <row r="9889" spans="31:31" ht="15.75" customHeight="1">
      <c r="AE9889"/>
    </row>
    <row r="9890" spans="31:31" ht="15.75" customHeight="1">
      <c r="AE9890"/>
    </row>
    <row r="9891" spans="31:31" ht="15.75" customHeight="1">
      <c r="AE9891"/>
    </row>
    <row r="9892" spans="31:31" ht="15.75" customHeight="1">
      <c r="AE9892"/>
    </row>
    <row r="9893" spans="31:31" ht="15.75" customHeight="1">
      <c r="AE9893"/>
    </row>
    <row r="9894" spans="31:31" ht="15.75" customHeight="1">
      <c r="AE9894"/>
    </row>
    <row r="9895" spans="31:31" ht="15.75" customHeight="1">
      <c r="AE9895"/>
    </row>
    <row r="9896" spans="31:31" ht="15.75" customHeight="1">
      <c r="AE9896"/>
    </row>
    <row r="9897" spans="31:31" ht="15.75" customHeight="1">
      <c r="AE9897"/>
    </row>
    <row r="9898" spans="31:31" ht="15.75" customHeight="1">
      <c r="AE9898"/>
    </row>
    <row r="9899" spans="31:31" ht="15.75" customHeight="1">
      <c r="AE9899"/>
    </row>
    <row r="9900" spans="31:31" ht="15.75" customHeight="1">
      <c r="AE9900"/>
    </row>
    <row r="9901" spans="31:31" ht="15.75" customHeight="1">
      <c r="AE9901"/>
    </row>
    <row r="9902" spans="31:31" ht="15.75" customHeight="1">
      <c r="AE9902"/>
    </row>
    <row r="9903" spans="31:31" ht="15.75" customHeight="1">
      <c r="AE9903"/>
    </row>
    <row r="9904" spans="31:31" ht="15.75" customHeight="1">
      <c r="AE9904"/>
    </row>
    <row r="9905" spans="31:31" ht="15.75" customHeight="1">
      <c r="AE9905"/>
    </row>
    <row r="9906" spans="31:31" ht="15.75" customHeight="1">
      <c r="AE9906"/>
    </row>
    <row r="9907" spans="31:31" ht="15.75" customHeight="1">
      <c r="AE9907"/>
    </row>
    <row r="9908" spans="31:31" ht="15.75" customHeight="1">
      <c r="AE9908"/>
    </row>
    <row r="9909" spans="31:31" ht="15.75" customHeight="1">
      <c r="AE9909"/>
    </row>
    <row r="9910" spans="31:31" ht="15.75" customHeight="1">
      <c r="AE9910"/>
    </row>
    <row r="9911" spans="31:31" ht="15.75" customHeight="1">
      <c r="AE9911"/>
    </row>
    <row r="9912" spans="31:31" ht="15.75" customHeight="1">
      <c r="AE9912"/>
    </row>
    <row r="9913" spans="31:31" ht="15.75" customHeight="1">
      <c r="AE9913"/>
    </row>
    <row r="9914" spans="31:31" ht="15.75" customHeight="1">
      <c r="AE9914"/>
    </row>
    <row r="9915" spans="31:31" ht="15.75" customHeight="1">
      <c r="AE9915"/>
    </row>
    <row r="9916" spans="31:31" ht="15.75" customHeight="1">
      <c r="AE9916"/>
    </row>
    <row r="9917" spans="31:31" ht="15.75" customHeight="1">
      <c r="AE9917"/>
    </row>
    <row r="9918" spans="31:31" ht="15.75" customHeight="1">
      <c r="AE9918"/>
    </row>
    <row r="9919" spans="31:31" ht="15.75" customHeight="1">
      <c r="AE9919"/>
    </row>
    <row r="9920" spans="31:31" ht="15.75" customHeight="1">
      <c r="AE9920"/>
    </row>
    <row r="9921" spans="31:31" ht="15.75" customHeight="1">
      <c r="AE9921"/>
    </row>
    <row r="9922" spans="31:31" ht="15.75" customHeight="1">
      <c r="AE9922"/>
    </row>
    <row r="9923" spans="31:31" ht="15.75" customHeight="1">
      <c r="AE9923"/>
    </row>
    <row r="9924" spans="31:31" ht="15.75" customHeight="1">
      <c r="AE9924"/>
    </row>
    <row r="9925" spans="31:31" ht="15.75" customHeight="1">
      <c r="AE9925"/>
    </row>
    <row r="9926" spans="31:31" ht="15.75" customHeight="1">
      <c r="AE9926"/>
    </row>
    <row r="9927" spans="31:31" ht="15.75" customHeight="1">
      <c r="AE9927"/>
    </row>
    <row r="9928" spans="31:31" ht="15.75" customHeight="1">
      <c r="AE9928"/>
    </row>
    <row r="9929" spans="31:31" ht="15.75" customHeight="1">
      <c r="AE9929"/>
    </row>
    <row r="9930" spans="31:31" ht="15.75" customHeight="1">
      <c r="AE9930"/>
    </row>
    <row r="9931" spans="31:31" ht="15.75" customHeight="1">
      <c r="AE9931"/>
    </row>
    <row r="9932" spans="31:31" ht="15.75" customHeight="1">
      <c r="AE9932"/>
    </row>
    <row r="9933" spans="31:31" ht="15.75" customHeight="1">
      <c r="AE9933"/>
    </row>
    <row r="9934" spans="31:31" ht="15.75" customHeight="1">
      <c r="AE9934"/>
    </row>
    <row r="9935" spans="31:31" ht="15.75" customHeight="1">
      <c r="AE9935"/>
    </row>
    <row r="9936" spans="31:31" ht="15.75" customHeight="1">
      <c r="AE9936"/>
    </row>
    <row r="9937" spans="31:31" ht="15.75" customHeight="1">
      <c r="AE9937"/>
    </row>
    <row r="9938" spans="31:31" ht="15.75" customHeight="1">
      <c r="AE9938"/>
    </row>
    <row r="9939" spans="31:31" ht="15.75" customHeight="1">
      <c r="AE9939"/>
    </row>
    <row r="9940" spans="31:31" ht="15.75" customHeight="1">
      <c r="AE9940"/>
    </row>
    <row r="9941" spans="31:31" ht="15.75" customHeight="1">
      <c r="AE9941"/>
    </row>
    <row r="9942" spans="31:31" ht="15.75" customHeight="1">
      <c r="AE9942"/>
    </row>
    <row r="9943" spans="31:31" ht="15.75" customHeight="1">
      <c r="AE9943"/>
    </row>
    <row r="9944" spans="31:31" ht="15.75" customHeight="1">
      <c r="AE9944"/>
    </row>
    <row r="9945" spans="31:31" ht="15.75" customHeight="1">
      <c r="AE9945"/>
    </row>
    <row r="9946" spans="31:31" ht="15.75" customHeight="1">
      <c r="AE9946"/>
    </row>
    <row r="9947" spans="31:31" ht="15.75" customHeight="1">
      <c r="AE9947"/>
    </row>
    <row r="9948" spans="31:31" ht="15.75" customHeight="1">
      <c r="AE9948"/>
    </row>
    <row r="9949" spans="31:31" ht="15.75" customHeight="1">
      <c r="AE9949"/>
    </row>
    <row r="9950" spans="31:31" ht="15.75" customHeight="1">
      <c r="AE9950"/>
    </row>
    <row r="9951" spans="31:31" ht="15.75" customHeight="1">
      <c r="AE9951"/>
    </row>
    <row r="9952" spans="31:31" ht="15.75" customHeight="1">
      <c r="AE9952"/>
    </row>
    <row r="9953" spans="31:31" ht="15.75" customHeight="1">
      <c r="AE9953"/>
    </row>
    <row r="9954" spans="31:31" ht="15.75" customHeight="1">
      <c r="AE9954"/>
    </row>
    <row r="9955" spans="31:31" ht="15.75" customHeight="1">
      <c r="AE9955"/>
    </row>
    <row r="9956" spans="31:31" ht="15.75" customHeight="1">
      <c r="AE9956"/>
    </row>
    <row r="9957" spans="31:31" ht="15.75" customHeight="1">
      <c r="AE9957"/>
    </row>
    <row r="9958" spans="31:31" ht="15.75" customHeight="1">
      <c r="AE9958"/>
    </row>
    <row r="9959" spans="31:31" ht="15.75" customHeight="1">
      <c r="AE9959"/>
    </row>
    <row r="9960" spans="31:31" ht="15.75" customHeight="1">
      <c r="AE9960"/>
    </row>
    <row r="9961" spans="31:31" ht="15.75" customHeight="1">
      <c r="AE9961"/>
    </row>
    <row r="9962" spans="31:31" ht="15.75" customHeight="1">
      <c r="AE9962"/>
    </row>
    <row r="9963" spans="31:31" ht="15.75" customHeight="1">
      <c r="AE9963"/>
    </row>
    <row r="9964" spans="31:31" ht="15.75" customHeight="1">
      <c r="AE9964"/>
    </row>
    <row r="9965" spans="31:31" ht="15.75" customHeight="1">
      <c r="AE9965"/>
    </row>
    <row r="9966" spans="31:31" ht="15.75" customHeight="1">
      <c r="AE9966"/>
    </row>
    <row r="9967" spans="31:31" ht="15.75" customHeight="1">
      <c r="AE9967"/>
    </row>
    <row r="9968" spans="31:31" ht="15.75" customHeight="1">
      <c r="AE9968"/>
    </row>
    <row r="9969" spans="31:31" ht="15.75" customHeight="1">
      <c r="AE9969"/>
    </row>
    <row r="9970" spans="31:31" ht="15.75" customHeight="1">
      <c r="AE9970"/>
    </row>
    <row r="9971" spans="31:31" ht="15.75" customHeight="1">
      <c r="AE9971"/>
    </row>
    <row r="9972" spans="31:31" ht="15.75" customHeight="1">
      <c r="AE9972"/>
    </row>
    <row r="9973" spans="31:31" ht="15.75" customHeight="1">
      <c r="AE9973"/>
    </row>
    <row r="9974" spans="31:31" ht="15.75" customHeight="1">
      <c r="AE9974"/>
    </row>
    <row r="9975" spans="31:31" ht="15.75" customHeight="1">
      <c r="AE9975"/>
    </row>
    <row r="9976" spans="31:31" ht="15.75" customHeight="1">
      <c r="AE9976"/>
    </row>
    <row r="9977" spans="31:31" ht="15.75" customHeight="1">
      <c r="AE9977"/>
    </row>
    <row r="9978" spans="31:31" ht="15.75" customHeight="1">
      <c r="AE9978"/>
    </row>
    <row r="9979" spans="31:31" ht="15.75" customHeight="1">
      <c r="AE9979"/>
    </row>
    <row r="9980" spans="31:31" ht="15.75" customHeight="1">
      <c r="AE9980"/>
    </row>
    <row r="9981" spans="31:31" ht="15.75" customHeight="1">
      <c r="AE9981"/>
    </row>
    <row r="9982" spans="31:31" ht="15.75" customHeight="1">
      <c r="AE9982"/>
    </row>
    <row r="9983" spans="31:31" ht="15.75" customHeight="1">
      <c r="AE9983"/>
    </row>
    <row r="9984" spans="31:31" ht="15.75" customHeight="1">
      <c r="AE9984"/>
    </row>
    <row r="9985" spans="31:31" ht="15.75" customHeight="1">
      <c r="AE9985"/>
    </row>
    <row r="9986" spans="31:31" ht="15.75" customHeight="1">
      <c r="AE9986"/>
    </row>
    <row r="9987" spans="31:31" ht="15.75" customHeight="1">
      <c r="AE9987"/>
    </row>
    <row r="9988" spans="31:31" ht="15.75" customHeight="1">
      <c r="AE9988"/>
    </row>
    <row r="9989" spans="31:31" ht="15.75" customHeight="1">
      <c r="AE9989"/>
    </row>
    <row r="9990" spans="31:31" ht="15.75" customHeight="1">
      <c r="AE9990"/>
    </row>
    <row r="9991" spans="31:31" ht="15.75" customHeight="1">
      <c r="AE9991"/>
    </row>
    <row r="9992" spans="31:31" ht="15.75" customHeight="1">
      <c r="AE9992"/>
    </row>
    <row r="9993" spans="31:31" ht="15.75" customHeight="1">
      <c r="AE9993"/>
    </row>
    <row r="9994" spans="31:31" ht="15.75" customHeight="1">
      <c r="AE9994"/>
    </row>
    <row r="9995" spans="31:31" ht="15.75" customHeight="1">
      <c r="AE9995"/>
    </row>
    <row r="9996" spans="31:31" ht="15.75" customHeight="1">
      <c r="AE9996"/>
    </row>
    <row r="9997" spans="31:31" ht="15.75" customHeight="1">
      <c r="AE9997"/>
    </row>
    <row r="9998" spans="31:31" ht="15.75" customHeight="1">
      <c r="AE9998"/>
    </row>
    <row r="9999" spans="31:31" ht="15.75" customHeight="1">
      <c r="AE9999"/>
    </row>
    <row r="10000" spans="31:31" ht="15.75" customHeight="1">
      <c r="AE10000"/>
    </row>
    <row r="10001" spans="31:31" ht="15.75" customHeight="1">
      <c r="AE10001"/>
    </row>
    <row r="10002" spans="31:31" ht="15.75" customHeight="1">
      <c r="AE10002"/>
    </row>
    <row r="10003" spans="31:31" ht="15.75" customHeight="1">
      <c r="AE10003"/>
    </row>
    <row r="10004" spans="31:31" ht="15.75" customHeight="1">
      <c r="AE10004"/>
    </row>
    <row r="10005" spans="31:31" ht="15.75" customHeight="1">
      <c r="AE10005"/>
    </row>
    <row r="10006" spans="31:31" ht="15.75" customHeight="1">
      <c r="AE10006"/>
    </row>
    <row r="10007" spans="31:31" ht="15.75" customHeight="1">
      <c r="AE10007"/>
    </row>
    <row r="10008" spans="31:31" ht="15.75" customHeight="1">
      <c r="AE10008"/>
    </row>
    <row r="10009" spans="31:31" ht="15.75" customHeight="1">
      <c r="AE10009"/>
    </row>
    <row r="10010" spans="31:31" ht="15.75" customHeight="1">
      <c r="AE10010"/>
    </row>
    <row r="10011" spans="31:31" ht="15.75" customHeight="1">
      <c r="AE10011"/>
    </row>
    <row r="10012" spans="31:31" ht="15.75" customHeight="1">
      <c r="AE10012"/>
    </row>
    <row r="10013" spans="31:31" ht="15.75" customHeight="1">
      <c r="AE10013"/>
    </row>
    <row r="10014" spans="31:31" ht="15.75" customHeight="1">
      <c r="AE10014"/>
    </row>
    <row r="10015" spans="31:31" ht="15.75" customHeight="1">
      <c r="AE10015"/>
    </row>
    <row r="10016" spans="31:31" ht="15.75" customHeight="1">
      <c r="AE10016"/>
    </row>
    <row r="10017" spans="31:31" ht="15.75" customHeight="1">
      <c r="AE10017"/>
    </row>
    <row r="10018" spans="31:31" ht="15.75" customHeight="1">
      <c r="AE10018"/>
    </row>
    <row r="10019" spans="31:31" ht="15.75" customHeight="1">
      <c r="AE10019"/>
    </row>
    <row r="10020" spans="31:31" ht="15.75" customHeight="1">
      <c r="AE10020"/>
    </row>
    <row r="10021" spans="31:31" ht="15.75" customHeight="1">
      <c r="AE10021"/>
    </row>
    <row r="10022" spans="31:31" ht="15.75" customHeight="1">
      <c r="AE10022"/>
    </row>
    <row r="10023" spans="31:31" ht="15.75" customHeight="1">
      <c r="AE10023"/>
    </row>
    <row r="10024" spans="31:31" ht="15.75" customHeight="1">
      <c r="AE10024"/>
    </row>
    <row r="10025" spans="31:31" ht="15.75" customHeight="1">
      <c r="AE10025"/>
    </row>
    <row r="10026" spans="31:31" ht="15.75" customHeight="1">
      <c r="AE10026"/>
    </row>
    <row r="10027" spans="31:31" ht="15.75" customHeight="1">
      <c r="AE10027"/>
    </row>
    <row r="10028" spans="31:31" ht="15.75" customHeight="1">
      <c r="AE10028"/>
    </row>
    <row r="10029" spans="31:31" ht="15.75" customHeight="1">
      <c r="AE10029"/>
    </row>
    <row r="10030" spans="31:31" ht="15.75" customHeight="1">
      <c r="AE10030"/>
    </row>
    <row r="10031" spans="31:31" ht="15.75" customHeight="1">
      <c r="AE10031"/>
    </row>
    <row r="10032" spans="31:31" ht="15.75" customHeight="1">
      <c r="AE10032"/>
    </row>
    <row r="10033" spans="31:31" ht="15.75" customHeight="1">
      <c r="AE10033"/>
    </row>
    <row r="10034" spans="31:31" ht="15.75" customHeight="1">
      <c r="AE10034"/>
    </row>
    <row r="10035" spans="31:31" ht="15.75" customHeight="1">
      <c r="AE10035"/>
    </row>
    <row r="10036" spans="31:31" ht="15.75" customHeight="1">
      <c r="AE10036"/>
    </row>
    <row r="10037" spans="31:31" ht="15.75" customHeight="1">
      <c r="AE10037"/>
    </row>
    <row r="10038" spans="31:31" ht="15.75" customHeight="1">
      <c r="AE10038"/>
    </row>
    <row r="10039" spans="31:31" ht="15.75" customHeight="1">
      <c r="AE10039"/>
    </row>
    <row r="10040" spans="31:31" ht="15.75" customHeight="1">
      <c r="AE10040"/>
    </row>
    <row r="10041" spans="31:31" ht="15.75" customHeight="1">
      <c r="AE10041"/>
    </row>
    <row r="10042" spans="31:31" ht="15.75" customHeight="1">
      <c r="AE10042"/>
    </row>
    <row r="10043" spans="31:31" ht="15.75" customHeight="1">
      <c r="AE10043"/>
    </row>
    <row r="10044" spans="31:31" ht="15.75" customHeight="1">
      <c r="AE10044"/>
    </row>
    <row r="10045" spans="31:31" ht="15.75" customHeight="1">
      <c r="AE10045"/>
    </row>
    <row r="10046" spans="31:31" ht="15.75" customHeight="1">
      <c r="AE10046"/>
    </row>
    <row r="10047" spans="31:31" ht="15.75" customHeight="1">
      <c r="AE10047"/>
    </row>
    <row r="10048" spans="31:31" ht="15.75" customHeight="1">
      <c r="AE10048"/>
    </row>
    <row r="10049" spans="31:31" ht="15.75" customHeight="1">
      <c r="AE10049"/>
    </row>
    <row r="10050" spans="31:31" ht="15.75" customHeight="1">
      <c r="AE10050"/>
    </row>
    <row r="10051" spans="31:31" ht="15.75" customHeight="1">
      <c r="AE10051"/>
    </row>
    <row r="10052" spans="31:31" ht="15.75" customHeight="1">
      <c r="AE10052"/>
    </row>
    <row r="10053" spans="31:31" ht="15.75" customHeight="1">
      <c r="AE10053"/>
    </row>
    <row r="10054" spans="31:31" ht="15.75" customHeight="1">
      <c r="AE10054"/>
    </row>
    <row r="10055" spans="31:31" ht="15.75" customHeight="1">
      <c r="AE10055"/>
    </row>
    <row r="10056" spans="31:31" ht="15.75" customHeight="1">
      <c r="AE10056"/>
    </row>
    <row r="10057" spans="31:31" ht="15.75" customHeight="1">
      <c r="AE10057"/>
    </row>
    <row r="10058" spans="31:31" ht="15.75" customHeight="1">
      <c r="AE10058"/>
    </row>
    <row r="10059" spans="31:31" ht="15.75" customHeight="1">
      <c r="AE10059"/>
    </row>
    <row r="10060" spans="31:31" ht="15.75" customHeight="1">
      <c r="AE10060"/>
    </row>
    <row r="10061" spans="31:31" ht="15.75" customHeight="1">
      <c r="AE10061"/>
    </row>
    <row r="10062" spans="31:31" ht="15.75" customHeight="1">
      <c r="AE10062"/>
    </row>
    <row r="10063" spans="31:31" ht="15.75" customHeight="1">
      <c r="AE10063"/>
    </row>
    <row r="10064" spans="31:31" ht="15.75" customHeight="1">
      <c r="AE10064"/>
    </row>
    <row r="10065" spans="31:31" ht="15.75" customHeight="1">
      <c r="AE10065"/>
    </row>
    <row r="10066" spans="31:31" ht="15.75" customHeight="1">
      <c r="AE10066"/>
    </row>
    <row r="10067" spans="31:31" ht="15.75" customHeight="1">
      <c r="AE10067"/>
    </row>
    <row r="10068" spans="31:31" ht="15.75" customHeight="1">
      <c r="AE10068"/>
    </row>
    <row r="10069" spans="31:31" ht="15.75" customHeight="1">
      <c r="AE10069"/>
    </row>
    <row r="10070" spans="31:31" ht="15.75" customHeight="1">
      <c r="AE10070"/>
    </row>
    <row r="10071" spans="31:31" ht="15.75" customHeight="1">
      <c r="AE10071"/>
    </row>
    <row r="10072" spans="31:31" ht="15.75" customHeight="1">
      <c r="AE10072"/>
    </row>
    <row r="10073" spans="31:31" ht="15.75" customHeight="1">
      <c r="AE10073"/>
    </row>
    <row r="10074" spans="31:31" ht="15.75" customHeight="1">
      <c r="AE10074"/>
    </row>
    <row r="10075" spans="31:31" ht="15.75" customHeight="1">
      <c r="AE10075"/>
    </row>
    <row r="10076" spans="31:31" ht="15.75" customHeight="1">
      <c r="AE10076"/>
    </row>
    <row r="10077" spans="31:31" ht="15.75" customHeight="1">
      <c r="AE10077"/>
    </row>
    <row r="10078" spans="31:31" ht="15.75" customHeight="1">
      <c r="AE10078"/>
    </row>
    <row r="10079" spans="31:31" ht="15.75" customHeight="1">
      <c r="AE10079"/>
    </row>
    <row r="10080" spans="31:31" ht="15.75" customHeight="1">
      <c r="AE10080"/>
    </row>
    <row r="10081" spans="31:31" ht="15.75" customHeight="1">
      <c r="AE10081"/>
    </row>
    <row r="10082" spans="31:31" ht="15.75" customHeight="1">
      <c r="AE10082"/>
    </row>
    <row r="10083" spans="31:31" ht="15.75" customHeight="1">
      <c r="AE10083"/>
    </row>
    <row r="10084" spans="31:31" ht="15.75" customHeight="1">
      <c r="AE10084"/>
    </row>
    <row r="10085" spans="31:31" ht="15.75" customHeight="1">
      <c r="AE10085"/>
    </row>
    <row r="10086" spans="31:31" ht="15.75" customHeight="1">
      <c r="AE10086"/>
    </row>
    <row r="10087" spans="31:31" ht="15.75" customHeight="1">
      <c r="AE10087"/>
    </row>
    <row r="10088" spans="31:31" ht="15.75" customHeight="1">
      <c r="AE10088"/>
    </row>
    <row r="10089" spans="31:31" ht="15.75" customHeight="1">
      <c r="AE10089"/>
    </row>
    <row r="10090" spans="31:31" ht="15.75" customHeight="1">
      <c r="AE10090"/>
    </row>
    <row r="10091" spans="31:31" ht="15.75" customHeight="1">
      <c r="AE10091"/>
    </row>
    <row r="10092" spans="31:31" ht="15.75" customHeight="1">
      <c r="AE10092"/>
    </row>
    <row r="10093" spans="31:31" ht="15.75" customHeight="1">
      <c r="AE10093"/>
    </row>
    <row r="10094" spans="31:31" ht="15.75" customHeight="1">
      <c r="AE10094"/>
    </row>
    <row r="10095" spans="31:31" ht="15.75" customHeight="1">
      <c r="AE10095"/>
    </row>
    <row r="10096" spans="31:31" ht="15.75" customHeight="1">
      <c r="AE10096"/>
    </row>
    <row r="10097" spans="31:31" ht="15.75" customHeight="1">
      <c r="AE10097"/>
    </row>
    <row r="10098" spans="31:31" ht="15.75" customHeight="1">
      <c r="AE10098"/>
    </row>
    <row r="10099" spans="31:31" ht="15.75" customHeight="1">
      <c r="AE10099"/>
    </row>
    <row r="10100" spans="31:31" ht="15.75" customHeight="1">
      <c r="AE10100"/>
    </row>
    <row r="10101" spans="31:31" ht="15.75" customHeight="1">
      <c r="AE10101"/>
    </row>
    <row r="10102" spans="31:31" ht="15.75" customHeight="1">
      <c r="AE10102"/>
    </row>
    <row r="10103" spans="31:31" ht="15.75" customHeight="1">
      <c r="AE10103"/>
    </row>
    <row r="10104" spans="31:31" ht="15.75" customHeight="1">
      <c r="AE10104"/>
    </row>
    <row r="10105" spans="31:31" ht="15.75" customHeight="1">
      <c r="AE10105"/>
    </row>
    <row r="10106" spans="31:31" ht="15.75" customHeight="1">
      <c r="AE10106"/>
    </row>
    <row r="10107" spans="31:31" ht="15.75" customHeight="1">
      <c r="AE10107"/>
    </row>
    <row r="10108" spans="31:31" ht="15.75" customHeight="1">
      <c r="AE10108"/>
    </row>
    <row r="10109" spans="31:31" ht="15.75" customHeight="1">
      <c r="AE10109"/>
    </row>
    <row r="10110" spans="31:31" ht="15.75" customHeight="1">
      <c r="AE10110"/>
    </row>
    <row r="10111" spans="31:31" ht="15.75" customHeight="1">
      <c r="AE10111"/>
    </row>
    <row r="10112" spans="31:31" ht="15.75" customHeight="1">
      <c r="AE10112"/>
    </row>
    <row r="10113" spans="31:31" ht="15.75" customHeight="1">
      <c r="AE10113"/>
    </row>
    <row r="10114" spans="31:31" ht="15.75" customHeight="1">
      <c r="AE10114"/>
    </row>
    <row r="10115" spans="31:31" ht="15.75" customHeight="1">
      <c r="AE10115"/>
    </row>
    <row r="10116" spans="31:31" ht="15.75" customHeight="1">
      <c r="AE10116"/>
    </row>
    <row r="10117" spans="31:31" ht="15.75" customHeight="1">
      <c r="AE10117"/>
    </row>
    <row r="10118" spans="31:31" ht="15.75" customHeight="1">
      <c r="AE10118"/>
    </row>
    <row r="10119" spans="31:31" ht="15.75" customHeight="1">
      <c r="AE10119"/>
    </row>
    <row r="10120" spans="31:31" ht="15.75" customHeight="1">
      <c r="AE10120"/>
    </row>
    <row r="10121" spans="31:31" ht="15.75" customHeight="1">
      <c r="AE10121"/>
    </row>
    <row r="10122" spans="31:31" ht="15.75" customHeight="1">
      <c r="AE10122"/>
    </row>
    <row r="10123" spans="31:31" ht="15.75" customHeight="1">
      <c r="AE10123"/>
    </row>
    <row r="10124" spans="31:31" ht="15.75" customHeight="1">
      <c r="AE10124"/>
    </row>
    <row r="10125" spans="31:31" ht="15.75" customHeight="1">
      <c r="AE10125"/>
    </row>
    <row r="10126" spans="31:31" ht="15.75" customHeight="1">
      <c r="AE10126"/>
    </row>
    <row r="10127" spans="31:31" ht="15.75" customHeight="1">
      <c r="AE10127"/>
    </row>
    <row r="10128" spans="31:31" ht="15.75" customHeight="1">
      <c r="AE10128"/>
    </row>
    <row r="10129" spans="31:31" ht="15.75" customHeight="1">
      <c r="AE10129"/>
    </row>
    <row r="10130" spans="31:31" ht="15.75" customHeight="1">
      <c r="AE10130"/>
    </row>
    <row r="10131" spans="31:31" ht="15.75" customHeight="1">
      <c r="AE10131"/>
    </row>
    <row r="10132" spans="31:31" ht="15.75" customHeight="1">
      <c r="AE10132"/>
    </row>
    <row r="10133" spans="31:31" ht="15.75" customHeight="1">
      <c r="AE10133"/>
    </row>
    <row r="10134" spans="31:31" ht="15.75" customHeight="1">
      <c r="AE10134"/>
    </row>
    <row r="10135" spans="31:31" ht="15.75" customHeight="1">
      <c r="AE10135"/>
    </row>
    <row r="10136" spans="31:31" ht="15.75" customHeight="1">
      <c r="AE10136"/>
    </row>
    <row r="10137" spans="31:31" ht="15.75" customHeight="1">
      <c r="AE10137"/>
    </row>
    <row r="10138" spans="31:31" ht="15.75" customHeight="1">
      <c r="AE10138"/>
    </row>
    <row r="10139" spans="31:31" ht="15.75" customHeight="1">
      <c r="AE10139"/>
    </row>
    <row r="10140" spans="31:31" ht="15.75" customHeight="1">
      <c r="AE10140"/>
    </row>
    <row r="10141" spans="31:31" ht="15.75" customHeight="1">
      <c r="AE10141"/>
    </row>
    <row r="10142" spans="31:31" ht="15.75" customHeight="1">
      <c r="AE10142"/>
    </row>
    <row r="10143" spans="31:31" ht="15.75" customHeight="1">
      <c r="AE10143"/>
    </row>
    <row r="10144" spans="31:31" ht="15.75" customHeight="1">
      <c r="AE10144"/>
    </row>
    <row r="10145" spans="31:31" ht="15.75" customHeight="1">
      <c r="AE10145"/>
    </row>
    <row r="10146" spans="31:31" ht="15.75" customHeight="1">
      <c r="AE10146"/>
    </row>
    <row r="10147" spans="31:31" ht="15.75" customHeight="1">
      <c r="AE10147"/>
    </row>
    <row r="10148" spans="31:31" ht="15.75" customHeight="1">
      <c r="AE10148"/>
    </row>
    <row r="10149" spans="31:31" ht="15.75" customHeight="1">
      <c r="AE10149"/>
    </row>
    <row r="10150" spans="31:31" ht="15.75" customHeight="1">
      <c r="AE10150"/>
    </row>
    <row r="10151" spans="31:31" ht="15.75" customHeight="1">
      <c r="AE10151"/>
    </row>
    <row r="10152" spans="31:31" ht="15.75" customHeight="1">
      <c r="AE10152"/>
    </row>
    <row r="10153" spans="31:31" ht="15.75" customHeight="1">
      <c r="AE10153"/>
    </row>
    <row r="10154" spans="31:31" ht="15.75" customHeight="1">
      <c r="AE10154"/>
    </row>
    <row r="10155" spans="31:31" ht="15.75" customHeight="1">
      <c r="AE10155"/>
    </row>
    <row r="10156" spans="31:31" ht="15.75" customHeight="1">
      <c r="AE10156"/>
    </row>
    <row r="10157" spans="31:31" ht="15.75" customHeight="1">
      <c r="AE10157"/>
    </row>
    <row r="10158" spans="31:31" ht="15.75" customHeight="1">
      <c r="AE10158"/>
    </row>
    <row r="10159" spans="31:31" ht="15.75" customHeight="1">
      <c r="AE10159"/>
    </row>
    <row r="10160" spans="31:31" ht="15.75" customHeight="1">
      <c r="AE10160"/>
    </row>
    <row r="10161" spans="31:31" ht="15.75" customHeight="1">
      <c r="AE10161"/>
    </row>
    <row r="10162" spans="31:31" ht="15.75" customHeight="1">
      <c r="AE10162"/>
    </row>
    <row r="10163" spans="31:31" ht="15.75" customHeight="1">
      <c r="AE10163"/>
    </row>
    <row r="10164" spans="31:31" ht="15.75" customHeight="1">
      <c r="AE10164"/>
    </row>
    <row r="10165" spans="31:31" ht="15.75" customHeight="1">
      <c r="AE10165"/>
    </row>
    <row r="10166" spans="31:31" ht="15.75" customHeight="1">
      <c r="AE10166"/>
    </row>
    <row r="10167" spans="31:31" ht="15.75" customHeight="1">
      <c r="AE10167"/>
    </row>
    <row r="10168" spans="31:31" ht="15.75" customHeight="1">
      <c r="AE10168"/>
    </row>
    <row r="10169" spans="31:31" ht="15.75" customHeight="1">
      <c r="AE10169"/>
    </row>
    <row r="10170" spans="31:31" ht="15.75" customHeight="1">
      <c r="AE10170"/>
    </row>
    <row r="10171" spans="31:31" ht="15.75" customHeight="1">
      <c r="AE10171"/>
    </row>
    <row r="10172" spans="31:31" ht="15.75" customHeight="1">
      <c r="AE10172"/>
    </row>
    <row r="10173" spans="31:31" ht="15.75" customHeight="1">
      <c r="AE10173"/>
    </row>
    <row r="10174" spans="31:31" ht="15.75" customHeight="1">
      <c r="AE10174"/>
    </row>
    <row r="10175" spans="31:31" ht="15.75" customHeight="1">
      <c r="AE10175"/>
    </row>
    <row r="10176" spans="31:31" ht="15.75" customHeight="1">
      <c r="AE10176"/>
    </row>
    <row r="10177" spans="31:31" ht="15.75" customHeight="1">
      <c r="AE10177"/>
    </row>
    <row r="10178" spans="31:31" ht="15.75" customHeight="1">
      <c r="AE10178"/>
    </row>
    <row r="10179" spans="31:31" ht="15.75" customHeight="1">
      <c r="AE10179"/>
    </row>
    <row r="10180" spans="31:31" ht="15.75" customHeight="1">
      <c r="AE10180"/>
    </row>
    <row r="10181" spans="31:31" ht="15.75" customHeight="1">
      <c r="AE10181"/>
    </row>
    <row r="10182" spans="31:31" ht="15.75" customHeight="1">
      <c r="AE10182"/>
    </row>
    <row r="10183" spans="31:31" ht="15.75" customHeight="1">
      <c r="AE10183"/>
    </row>
    <row r="10184" spans="31:31" ht="15.75" customHeight="1">
      <c r="AE10184"/>
    </row>
    <row r="10185" spans="31:31" ht="15.75" customHeight="1">
      <c r="AE10185"/>
    </row>
    <row r="10186" spans="31:31" ht="15.75" customHeight="1">
      <c r="AE10186"/>
    </row>
    <row r="10187" spans="31:31" ht="15.75" customHeight="1">
      <c r="AE10187"/>
    </row>
    <row r="10188" spans="31:31" ht="15.75" customHeight="1">
      <c r="AE10188"/>
    </row>
    <row r="10189" spans="31:31" ht="15.75" customHeight="1">
      <c r="AE10189"/>
    </row>
    <row r="10190" spans="31:31" ht="15.75" customHeight="1">
      <c r="AE10190"/>
    </row>
    <row r="10191" spans="31:31" ht="15.75" customHeight="1">
      <c r="AE10191"/>
    </row>
    <row r="10192" spans="31:31" ht="15.75" customHeight="1">
      <c r="AE10192"/>
    </row>
    <row r="10193" spans="31:31" ht="15.75" customHeight="1">
      <c r="AE10193"/>
    </row>
    <row r="10194" spans="31:31" ht="15.75" customHeight="1">
      <c r="AE10194"/>
    </row>
    <row r="10195" spans="31:31" ht="15.75" customHeight="1">
      <c r="AE10195"/>
    </row>
    <row r="10196" spans="31:31" ht="15.75" customHeight="1">
      <c r="AE10196"/>
    </row>
    <row r="10197" spans="31:31" ht="15.75" customHeight="1">
      <c r="AE10197"/>
    </row>
    <row r="10198" spans="31:31" ht="15.75" customHeight="1">
      <c r="AE10198"/>
    </row>
    <row r="10199" spans="31:31" ht="15.75" customHeight="1">
      <c r="AE10199"/>
    </row>
    <row r="10200" spans="31:31" ht="15.75" customHeight="1">
      <c r="AE10200"/>
    </row>
    <row r="10201" spans="31:31" ht="15.75" customHeight="1">
      <c r="AE10201"/>
    </row>
    <row r="10202" spans="31:31" ht="15.75" customHeight="1">
      <c r="AE10202"/>
    </row>
    <row r="10203" spans="31:31" ht="15.75" customHeight="1">
      <c r="AE10203"/>
    </row>
    <row r="10204" spans="31:31" ht="15.75" customHeight="1">
      <c r="AE10204"/>
    </row>
    <row r="10205" spans="31:31" ht="15.75" customHeight="1">
      <c r="AE10205"/>
    </row>
    <row r="10206" spans="31:31" ht="15.75" customHeight="1">
      <c r="AE10206"/>
    </row>
    <row r="10207" spans="31:31" ht="15.75" customHeight="1">
      <c r="AE10207"/>
    </row>
    <row r="10208" spans="31:31" ht="15.75" customHeight="1">
      <c r="AE10208"/>
    </row>
    <row r="10209" spans="31:31" ht="15.75" customHeight="1">
      <c r="AE10209"/>
    </row>
    <row r="10210" spans="31:31" ht="15.75" customHeight="1">
      <c r="AE10210"/>
    </row>
    <row r="10211" spans="31:31" ht="15.75" customHeight="1">
      <c r="AE10211"/>
    </row>
    <row r="10212" spans="31:31" ht="15.75" customHeight="1">
      <c r="AE10212"/>
    </row>
    <row r="10213" spans="31:31" ht="15.75" customHeight="1">
      <c r="AE10213"/>
    </row>
    <row r="10214" spans="31:31" ht="15.75" customHeight="1">
      <c r="AE10214"/>
    </row>
    <row r="10215" spans="31:31" ht="15.75" customHeight="1">
      <c r="AE10215"/>
    </row>
    <row r="10216" spans="31:31" ht="15.75" customHeight="1">
      <c r="AE10216"/>
    </row>
    <row r="10217" spans="31:31" ht="15.75" customHeight="1">
      <c r="AE10217"/>
    </row>
    <row r="10218" spans="31:31" ht="15.75" customHeight="1">
      <c r="AE10218"/>
    </row>
    <row r="10219" spans="31:31" ht="15.75" customHeight="1">
      <c r="AE10219"/>
    </row>
    <row r="10220" spans="31:31" ht="15.75" customHeight="1">
      <c r="AE10220"/>
    </row>
    <row r="10221" spans="31:31" ht="15.75" customHeight="1">
      <c r="AE10221"/>
    </row>
    <row r="10222" spans="31:31" ht="15.75" customHeight="1">
      <c r="AE10222"/>
    </row>
    <row r="10223" spans="31:31" ht="15.75" customHeight="1">
      <c r="AE10223"/>
    </row>
    <row r="10224" spans="31:31" ht="15.75" customHeight="1">
      <c r="AE10224"/>
    </row>
    <row r="10225" spans="31:31" ht="15.75" customHeight="1">
      <c r="AE10225"/>
    </row>
    <row r="10226" spans="31:31" ht="15.75" customHeight="1">
      <c r="AE10226"/>
    </row>
    <row r="10227" spans="31:31" ht="15.75" customHeight="1">
      <c r="AE10227"/>
    </row>
    <row r="10228" spans="31:31" ht="15.75" customHeight="1">
      <c r="AE10228"/>
    </row>
    <row r="10229" spans="31:31" ht="15.75" customHeight="1">
      <c r="AE10229"/>
    </row>
    <row r="10230" spans="31:31" ht="15.75" customHeight="1">
      <c r="AE10230"/>
    </row>
    <row r="10231" spans="31:31" ht="15.75" customHeight="1">
      <c r="AE10231"/>
    </row>
    <row r="10232" spans="31:31" ht="15.75" customHeight="1">
      <c r="AE10232"/>
    </row>
    <row r="10233" spans="31:31" ht="15.75" customHeight="1">
      <c r="AE10233"/>
    </row>
    <row r="10234" spans="31:31" ht="15.75" customHeight="1">
      <c r="AE10234"/>
    </row>
    <row r="10235" spans="31:31" ht="15.75" customHeight="1">
      <c r="AE10235"/>
    </row>
    <row r="10236" spans="31:31" ht="15.75" customHeight="1">
      <c r="AE10236"/>
    </row>
    <row r="10237" spans="31:31" ht="15.75" customHeight="1">
      <c r="AE10237"/>
    </row>
    <row r="10238" spans="31:31" ht="15.75" customHeight="1">
      <c r="AE10238"/>
    </row>
    <row r="10239" spans="31:31" ht="15.75" customHeight="1">
      <c r="AE10239"/>
    </row>
    <row r="10240" spans="31:31" ht="15.75" customHeight="1">
      <c r="AE10240"/>
    </row>
    <row r="10241" spans="31:31" ht="15.75" customHeight="1">
      <c r="AE10241"/>
    </row>
    <row r="10242" spans="31:31" ht="15.75" customHeight="1">
      <c r="AE10242"/>
    </row>
    <row r="10243" spans="31:31" ht="15.75" customHeight="1">
      <c r="AE10243"/>
    </row>
    <row r="10244" spans="31:31" ht="15.75" customHeight="1">
      <c r="AE10244"/>
    </row>
    <row r="10245" spans="31:31" ht="15.75" customHeight="1">
      <c r="AE10245"/>
    </row>
    <row r="10246" spans="31:31" ht="15.75" customHeight="1">
      <c r="AE10246"/>
    </row>
    <row r="10247" spans="31:31" ht="15.75" customHeight="1">
      <c r="AE10247"/>
    </row>
    <row r="10248" spans="31:31" ht="15.75" customHeight="1">
      <c r="AE10248"/>
    </row>
    <row r="10249" spans="31:31" ht="15.75" customHeight="1">
      <c r="AE10249"/>
    </row>
    <row r="10250" spans="31:31" ht="15.75" customHeight="1">
      <c r="AE10250"/>
    </row>
    <row r="10251" spans="31:31" ht="15.75" customHeight="1">
      <c r="AE10251"/>
    </row>
    <row r="10252" spans="31:31" ht="15.75" customHeight="1">
      <c r="AE10252"/>
    </row>
    <row r="10253" spans="31:31" ht="15.75" customHeight="1">
      <c r="AE10253"/>
    </row>
    <row r="10254" spans="31:31" ht="15.75" customHeight="1">
      <c r="AE10254"/>
    </row>
    <row r="10255" spans="31:31" ht="15.75" customHeight="1">
      <c r="AE10255"/>
    </row>
    <row r="10256" spans="31:31" ht="15.75" customHeight="1">
      <c r="AE10256"/>
    </row>
    <row r="10257" spans="31:31" ht="15.75" customHeight="1">
      <c r="AE10257"/>
    </row>
    <row r="10258" spans="31:31" ht="15.75" customHeight="1">
      <c r="AE10258"/>
    </row>
    <row r="10259" spans="31:31" ht="15.75" customHeight="1">
      <c r="AE10259"/>
    </row>
    <row r="10260" spans="31:31" ht="15.75" customHeight="1">
      <c r="AE10260"/>
    </row>
    <row r="10261" spans="31:31" ht="15.75" customHeight="1">
      <c r="AE10261"/>
    </row>
    <row r="10262" spans="31:31" ht="15.75" customHeight="1">
      <c r="AE10262"/>
    </row>
    <row r="10263" spans="31:31" ht="15.75" customHeight="1">
      <c r="AE10263"/>
    </row>
    <row r="10264" spans="31:31" ht="15.75" customHeight="1">
      <c r="AE10264"/>
    </row>
    <row r="10265" spans="31:31" ht="15.75" customHeight="1">
      <c r="AE10265"/>
    </row>
    <row r="10266" spans="31:31" ht="15.75" customHeight="1">
      <c r="AE10266"/>
    </row>
    <row r="10267" spans="31:31" ht="15.75" customHeight="1">
      <c r="AE10267"/>
    </row>
    <row r="10268" spans="31:31" ht="15.75" customHeight="1">
      <c r="AE10268"/>
    </row>
    <row r="10269" spans="31:31" ht="15.75" customHeight="1">
      <c r="AE10269"/>
    </row>
    <row r="10270" spans="31:31" ht="15.75" customHeight="1">
      <c r="AE10270"/>
    </row>
    <row r="10271" spans="31:31" ht="15.75" customHeight="1">
      <c r="AE10271"/>
    </row>
    <row r="10272" spans="31:31" ht="15.75" customHeight="1">
      <c r="AE10272"/>
    </row>
    <row r="10273" spans="31:31" ht="15.75" customHeight="1">
      <c r="AE10273"/>
    </row>
    <row r="10274" spans="31:31" ht="15.75" customHeight="1">
      <c r="AE10274"/>
    </row>
    <row r="10275" spans="31:31" ht="15.75" customHeight="1">
      <c r="AE10275"/>
    </row>
    <row r="10276" spans="31:31" ht="15.75" customHeight="1">
      <c r="AE10276"/>
    </row>
    <row r="10277" spans="31:31" ht="15.75" customHeight="1">
      <c r="AE10277"/>
    </row>
    <row r="10278" spans="31:31" ht="15.75" customHeight="1">
      <c r="AE10278"/>
    </row>
    <row r="10279" spans="31:31" ht="15.75" customHeight="1">
      <c r="AE10279"/>
    </row>
    <row r="10280" spans="31:31" ht="15.75" customHeight="1">
      <c r="AE10280"/>
    </row>
    <row r="10281" spans="31:31" ht="15.75" customHeight="1">
      <c r="AE10281"/>
    </row>
    <row r="10282" spans="31:31" ht="15.75" customHeight="1">
      <c r="AE10282"/>
    </row>
    <row r="10283" spans="31:31" ht="15.75" customHeight="1">
      <c r="AE10283"/>
    </row>
    <row r="10284" spans="31:31" ht="15.75" customHeight="1">
      <c r="AE10284"/>
    </row>
    <row r="10285" spans="31:31" ht="15.75" customHeight="1">
      <c r="AE10285"/>
    </row>
    <row r="10286" spans="31:31" ht="15.75" customHeight="1">
      <c r="AE10286"/>
    </row>
    <row r="10287" spans="31:31" ht="15.75" customHeight="1">
      <c r="AE10287"/>
    </row>
    <row r="10288" spans="31:31" ht="15.75" customHeight="1">
      <c r="AE10288"/>
    </row>
    <row r="10289" spans="31:31" ht="15.75" customHeight="1">
      <c r="AE10289"/>
    </row>
    <row r="10290" spans="31:31" ht="15.75" customHeight="1">
      <c r="AE10290"/>
    </row>
    <row r="10291" spans="31:31" ht="15.75" customHeight="1">
      <c r="AE10291"/>
    </row>
    <row r="10292" spans="31:31" ht="15.75" customHeight="1">
      <c r="AE10292"/>
    </row>
    <row r="10293" spans="31:31" ht="15.75" customHeight="1">
      <c r="AE10293"/>
    </row>
    <row r="10294" spans="31:31" ht="15.75" customHeight="1">
      <c r="AE10294"/>
    </row>
    <row r="10295" spans="31:31" ht="15.75" customHeight="1">
      <c r="AE10295"/>
    </row>
    <row r="10296" spans="31:31" ht="15.75" customHeight="1">
      <c r="AE10296"/>
    </row>
    <row r="10297" spans="31:31" ht="15.75" customHeight="1">
      <c r="AE10297"/>
    </row>
    <row r="10298" spans="31:31" ht="15.75" customHeight="1">
      <c r="AE10298"/>
    </row>
    <row r="10299" spans="31:31" ht="15.75" customHeight="1">
      <c r="AE10299"/>
    </row>
    <row r="10300" spans="31:31" ht="15.75" customHeight="1">
      <c r="AE10300"/>
    </row>
    <row r="10301" spans="31:31" ht="15.75" customHeight="1">
      <c r="AE10301"/>
    </row>
    <row r="10302" spans="31:31" ht="15.75" customHeight="1">
      <c r="AE10302"/>
    </row>
    <row r="10303" spans="31:31" ht="15.75" customHeight="1">
      <c r="AE10303"/>
    </row>
    <row r="10304" spans="31:31" ht="15.75" customHeight="1">
      <c r="AE10304"/>
    </row>
    <row r="10305" spans="31:31" ht="15.75" customHeight="1">
      <c r="AE10305"/>
    </row>
    <row r="10306" spans="31:31" ht="15.75" customHeight="1">
      <c r="AE10306"/>
    </row>
    <row r="10307" spans="31:31" ht="15.75" customHeight="1">
      <c r="AE10307"/>
    </row>
    <row r="10308" spans="31:31" ht="15.75" customHeight="1">
      <c r="AE10308"/>
    </row>
    <row r="10309" spans="31:31" ht="15.75" customHeight="1">
      <c r="AE10309"/>
    </row>
    <row r="10310" spans="31:31" ht="15.75" customHeight="1">
      <c r="AE10310"/>
    </row>
    <row r="10311" spans="31:31" ht="15.75" customHeight="1">
      <c r="AE10311"/>
    </row>
    <row r="10312" spans="31:31" ht="15.75" customHeight="1">
      <c r="AE10312"/>
    </row>
    <row r="10313" spans="31:31" ht="15.75" customHeight="1">
      <c r="AE10313"/>
    </row>
    <row r="10314" spans="31:31" ht="15.75" customHeight="1">
      <c r="AE10314"/>
    </row>
    <row r="10315" spans="31:31" ht="15.75" customHeight="1">
      <c r="AE10315"/>
    </row>
    <row r="10316" spans="31:31" ht="15.75" customHeight="1">
      <c r="AE10316"/>
    </row>
    <row r="10317" spans="31:31" ht="15.75" customHeight="1">
      <c r="AE10317"/>
    </row>
    <row r="10318" spans="31:31" ht="15.75" customHeight="1">
      <c r="AE10318"/>
    </row>
    <row r="10319" spans="31:31" ht="15.75" customHeight="1">
      <c r="AE10319"/>
    </row>
    <row r="10320" spans="31:31" ht="15.75" customHeight="1">
      <c r="AE10320"/>
    </row>
    <row r="10321" spans="31:31" ht="15.75" customHeight="1">
      <c r="AE10321"/>
    </row>
    <row r="10322" spans="31:31" ht="15.75" customHeight="1">
      <c r="AE10322"/>
    </row>
    <row r="10323" spans="31:31" ht="15.75" customHeight="1">
      <c r="AE10323"/>
    </row>
    <row r="10324" spans="31:31" ht="15.75" customHeight="1">
      <c r="AE10324"/>
    </row>
    <row r="10325" spans="31:31" ht="15.75" customHeight="1">
      <c r="AE10325"/>
    </row>
    <row r="10326" spans="31:31" ht="15.75" customHeight="1">
      <c r="AE10326"/>
    </row>
    <row r="10327" spans="31:31" ht="15.75" customHeight="1">
      <c r="AE10327"/>
    </row>
    <row r="10328" spans="31:31" ht="15.75" customHeight="1">
      <c r="AE10328"/>
    </row>
    <row r="10329" spans="31:31" ht="15.75" customHeight="1">
      <c r="AE10329"/>
    </row>
    <row r="10330" spans="31:31" ht="15.75" customHeight="1">
      <c r="AE10330"/>
    </row>
    <row r="10331" spans="31:31" ht="15.75" customHeight="1">
      <c r="AE10331"/>
    </row>
    <row r="10332" spans="31:31" ht="15.75" customHeight="1">
      <c r="AE10332"/>
    </row>
    <row r="10333" spans="31:31" ht="15.75" customHeight="1">
      <c r="AE10333"/>
    </row>
    <row r="10334" spans="31:31" ht="15.75" customHeight="1">
      <c r="AE10334"/>
    </row>
    <row r="10335" spans="31:31" ht="15.75" customHeight="1">
      <c r="AE10335"/>
    </row>
    <row r="10336" spans="31:31" ht="15.75" customHeight="1">
      <c r="AE10336"/>
    </row>
    <row r="10337" spans="31:31" ht="15.75" customHeight="1">
      <c r="AE10337"/>
    </row>
    <row r="10338" spans="31:31" ht="15.75" customHeight="1">
      <c r="AE10338"/>
    </row>
    <row r="10339" spans="31:31" ht="15.75" customHeight="1">
      <c r="AE10339"/>
    </row>
    <row r="10340" spans="31:31" ht="15.75" customHeight="1">
      <c r="AE10340"/>
    </row>
    <row r="10341" spans="31:31" ht="15.75" customHeight="1">
      <c r="AE10341"/>
    </row>
    <row r="10342" spans="31:31" ht="15.75" customHeight="1">
      <c r="AE10342"/>
    </row>
    <row r="10343" spans="31:31" ht="15.75" customHeight="1">
      <c r="AE10343"/>
    </row>
    <row r="10344" spans="31:31" ht="15.75" customHeight="1">
      <c r="AE10344"/>
    </row>
    <row r="10345" spans="31:31" ht="15.75" customHeight="1">
      <c r="AE10345"/>
    </row>
    <row r="10346" spans="31:31" ht="15.75" customHeight="1">
      <c r="AE10346"/>
    </row>
    <row r="10347" spans="31:31" ht="15.75" customHeight="1">
      <c r="AE10347"/>
    </row>
    <row r="10348" spans="31:31" ht="15.75" customHeight="1">
      <c r="AE10348"/>
    </row>
    <row r="10349" spans="31:31" ht="15.75" customHeight="1">
      <c r="AE10349"/>
    </row>
    <row r="10350" spans="31:31" ht="15.75" customHeight="1">
      <c r="AE10350"/>
    </row>
    <row r="10351" spans="31:31" ht="15.75" customHeight="1">
      <c r="AE10351"/>
    </row>
    <row r="10352" spans="31:31" ht="15.75" customHeight="1">
      <c r="AE10352"/>
    </row>
    <row r="10353" spans="31:31" ht="15.75" customHeight="1">
      <c r="AE10353"/>
    </row>
    <row r="10354" spans="31:31" ht="15.75" customHeight="1">
      <c r="AE10354"/>
    </row>
    <row r="10355" spans="31:31" ht="15.75" customHeight="1">
      <c r="AE10355"/>
    </row>
    <row r="10356" spans="31:31" ht="15.75" customHeight="1">
      <c r="AE10356"/>
    </row>
    <row r="10357" spans="31:31" ht="15.75" customHeight="1">
      <c r="AE10357"/>
    </row>
    <row r="10358" spans="31:31" ht="15.75" customHeight="1">
      <c r="AE10358"/>
    </row>
    <row r="10359" spans="31:31" ht="15.75" customHeight="1">
      <c r="AE10359"/>
    </row>
    <row r="10360" spans="31:31" ht="15.75" customHeight="1">
      <c r="AE10360"/>
    </row>
    <row r="10361" spans="31:31" ht="15.75" customHeight="1">
      <c r="AE10361"/>
    </row>
    <row r="10362" spans="31:31" ht="15.75" customHeight="1">
      <c r="AE10362"/>
    </row>
    <row r="10363" spans="31:31" ht="15.75" customHeight="1">
      <c r="AE10363"/>
    </row>
    <row r="10364" spans="31:31" ht="15.75" customHeight="1">
      <c r="AE10364"/>
    </row>
    <row r="10365" spans="31:31" ht="15.75" customHeight="1">
      <c r="AE10365"/>
    </row>
    <row r="10366" spans="31:31" ht="15.75" customHeight="1">
      <c r="AE10366"/>
    </row>
    <row r="10367" spans="31:31" ht="15.75" customHeight="1">
      <c r="AE10367"/>
    </row>
    <row r="10368" spans="31:31" ht="15.75" customHeight="1">
      <c r="AE10368"/>
    </row>
    <row r="10369" spans="31:31" ht="15.75" customHeight="1">
      <c r="AE10369"/>
    </row>
    <row r="10370" spans="31:31" ht="15.75" customHeight="1">
      <c r="AE10370"/>
    </row>
    <row r="10371" spans="31:31" ht="15.75" customHeight="1">
      <c r="AE10371"/>
    </row>
    <row r="10372" spans="31:31" ht="15.75" customHeight="1">
      <c r="AE10372"/>
    </row>
    <row r="10373" spans="31:31" ht="15.75" customHeight="1">
      <c r="AE10373"/>
    </row>
    <row r="10374" spans="31:31" ht="15.75" customHeight="1">
      <c r="AE10374"/>
    </row>
    <row r="10375" spans="31:31" ht="15.75" customHeight="1">
      <c r="AE10375"/>
    </row>
    <row r="10376" spans="31:31" ht="15.75" customHeight="1">
      <c r="AE10376"/>
    </row>
    <row r="10377" spans="31:31" ht="15.75" customHeight="1">
      <c r="AE10377"/>
    </row>
    <row r="10378" spans="31:31" ht="15.75" customHeight="1">
      <c r="AE10378"/>
    </row>
    <row r="10379" spans="31:31" ht="15.75" customHeight="1">
      <c r="AE10379"/>
    </row>
    <row r="10380" spans="31:31" ht="15.75" customHeight="1">
      <c r="AE10380"/>
    </row>
    <row r="10381" spans="31:31" ht="15.75" customHeight="1">
      <c r="AE10381"/>
    </row>
    <row r="10382" spans="31:31" ht="15.75" customHeight="1">
      <c r="AE10382"/>
    </row>
    <row r="10383" spans="31:31" ht="15.75" customHeight="1">
      <c r="AE10383"/>
    </row>
    <row r="10384" spans="31:31" ht="15.75" customHeight="1">
      <c r="AE10384"/>
    </row>
    <row r="10385" spans="31:31" ht="15.75" customHeight="1">
      <c r="AE10385"/>
    </row>
    <row r="10386" spans="31:31" ht="15.75" customHeight="1">
      <c r="AE10386"/>
    </row>
    <row r="10387" spans="31:31" ht="15.75" customHeight="1">
      <c r="AE10387"/>
    </row>
    <row r="10388" spans="31:31" ht="15.75" customHeight="1">
      <c r="AE10388"/>
    </row>
    <row r="10389" spans="31:31" ht="15.75" customHeight="1">
      <c r="AE10389"/>
    </row>
    <row r="10390" spans="31:31" ht="15.75" customHeight="1">
      <c r="AE10390"/>
    </row>
    <row r="10391" spans="31:31" ht="15.75" customHeight="1">
      <c r="AE10391"/>
    </row>
    <row r="10392" spans="31:31" ht="15.75" customHeight="1">
      <c r="AE10392"/>
    </row>
    <row r="10393" spans="31:31" ht="15.75" customHeight="1">
      <c r="AE10393"/>
    </row>
    <row r="10394" spans="31:31" ht="15.75" customHeight="1">
      <c r="AE10394"/>
    </row>
    <row r="10395" spans="31:31" ht="15.75" customHeight="1">
      <c r="AE10395"/>
    </row>
    <row r="10396" spans="31:31" ht="15.75" customHeight="1">
      <c r="AE10396"/>
    </row>
    <row r="10397" spans="31:31" ht="15.75" customHeight="1">
      <c r="AE10397"/>
    </row>
    <row r="10398" spans="31:31" ht="15.75" customHeight="1">
      <c r="AE10398"/>
    </row>
    <row r="10399" spans="31:31" ht="15.75" customHeight="1">
      <c r="AE10399"/>
    </row>
    <row r="10400" spans="31:31" ht="15.75" customHeight="1">
      <c r="AE10400"/>
    </row>
    <row r="10401" spans="31:31" ht="15.75" customHeight="1">
      <c r="AE10401"/>
    </row>
    <row r="10402" spans="31:31" ht="15.75" customHeight="1">
      <c r="AE10402"/>
    </row>
    <row r="10403" spans="31:31" ht="15.75" customHeight="1">
      <c r="AE10403"/>
    </row>
    <row r="10404" spans="31:31" ht="15.75" customHeight="1">
      <c r="AE10404"/>
    </row>
    <row r="10405" spans="31:31" ht="15.75" customHeight="1">
      <c r="AE10405"/>
    </row>
    <row r="10406" spans="31:31" ht="15.75" customHeight="1">
      <c r="AE10406"/>
    </row>
    <row r="10407" spans="31:31" ht="15.75" customHeight="1">
      <c r="AE10407"/>
    </row>
    <row r="10408" spans="31:31" ht="15.75" customHeight="1">
      <c r="AE10408"/>
    </row>
    <row r="10409" spans="31:31" ht="15.75" customHeight="1">
      <c r="AE10409"/>
    </row>
    <row r="10410" spans="31:31" ht="15.75" customHeight="1">
      <c r="AE10410"/>
    </row>
    <row r="10411" spans="31:31" ht="15.75" customHeight="1">
      <c r="AE10411"/>
    </row>
    <row r="10412" spans="31:31" ht="15.75" customHeight="1">
      <c r="AE10412"/>
    </row>
    <row r="10413" spans="31:31" ht="15.75" customHeight="1">
      <c r="AE10413"/>
    </row>
    <row r="10414" spans="31:31" ht="15.75" customHeight="1">
      <c r="AE10414"/>
    </row>
    <row r="10415" spans="31:31" ht="15.75" customHeight="1">
      <c r="AE10415"/>
    </row>
    <row r="10416" spans="31:31" ht="15.75" customHeight="1">
      <c r="AE10416"/>
    </row>
    <row r="10417" spans="31:31" ht="15.75" customHeight="1">
      <c r="AE10417"/>
    </row>
    <row r="10418" spans="31:31" ht="15.75" customHeight="1">
      <c r="AE10418"/>
    </row>
    <row r="10419" spans="31:31" ht="15.75" customHeight="1">
      <c r="AE10419"/>
    </row>
    <row r="10420" spans="31:31" ht="15.75" customHeight="1">
      <c r="AE10420"/>
    </row>
    <row r="10421" spans="31:31" ht="15.75" customHeight="1">
      <c r="AE10421"/>
    </row>
    <row r="10422" spans="31:31" ht="15.75" customHeight="1">
      <c r="AE10422"/>
    </row>
    <row r="10423" spans="31:31" ht="15.75" customHeight="1">
      <c r="AE10423"/>
    </row>
    <row r="10424" spans="31:31" ht="15.75" customHeight="1">
      <c r="AE10424"/>
    </row>
    <row r="10425" spans="31:31" ht="15.75" customHeight="1">
      <c r="AE10425"/>
    </row>
    <row r="10426" spans="31:31" ht="15.75" customHeight="1">
      <c r="AE10426"/>
    </row>
    <row r="10427" spans="31:31" ht="15.75" customHeight="1">
      <c r="AE10427"/>
    </row>
    <row r="10428" spans="31:31" ht="15.75" customHeight="1">
      <c r="AE10428"/>
    </row>
    <row r="10429" spans="31:31" ht="15.75" customHeight="1">
      <c r="AE10429"/>
    </row>
    <row r="10430" spans="31:31" ht="15.75" customHeight="1">
      <c r="AE10430"/>
    </row>
    <row r="10431" spans="31:31" ht="15.75" customHeight="1">
      <c r="AE10431"/>
    </row>
    <row r="10432" spans="31:31" ht="15.75" customHeight="1">
      <c r="AE10432"/>
    </row>
    <row r="10433" spans="31:31" ht="15.75" customHeight="1">
      <c r="AE10433"/>
    </row>
    <row r="10434" spans="31:31" ht="15.75" customHeight="1">
      <c r="AE10434"/>
    </row>
    <row r="10435" spans="31:31" ht="15.75" customHeight="1">
      <c r="AE10435"/>
    </row>
    <row r="10436" spans="31:31" ht="15.75" customHeight="1">
      <c r="AE10436"/>
    </row>
    <row r="10437" spans="31:31" ht="15.75" customHeight="1">
      <c r="AE10437"/>
    </row>
    <row r="10438" spans="31:31" ht="15.75" customHeight="1">
      <c r="AE10438"/>
    </row>
    <row r="10439" spans="31:31" ht="15.75" customHeight="1">
      <c r="AE10439"/>
    </row>
    <row r="10440" spans="31:31" ht="15.75" customHeight="1">
      <c r="AE10440"/>
    </row>
    <row r="10441" spans="31:31" ht="15.75" customHeight="1">
      <c r="AE10441"/>
    </row>
    <row r="10442" spans="31:31" ht="15.75" customHeight="1">
      <c r="AE10442"/>
    </row>
    <row r="10443" spans="31:31" ht="15.75" customHeight="1">
      <c r="AE10443"/>
    </row>
    <row r="10444" spans="31:31" ht="15.75" customHeight="1">
      <c r="AE10444"/>
    </row>
    <row r="10445" spans="31:31" ht="15.75" customHeight="1">
      <c r="AE10445"/>
    </row>
    <row r="10446" spans="31:31" ht="15.75" customHeight="1">
      <c r="AE10446"/>
    </row>
    <row r="10447" spans="31:31" ht="15.75" customHeight="1">
      <c r="AE10447"/>
    </row>
    <row r="10448" spans="31:31" ht="15.75" customHeight="1">
      <c r="AE10448"/>
    </row>
    <row r="10449" spans="31:31" ht="15.75" customHeight="1">
      <c r="AE10449"/>
    </row>
    <row r="10450" spans="31:31" ht="15.75" customHeight="1">
      <c r="AE10450"/>
    </row>
    <row r="10451" spans="31:31" ht="15.75" customHeight="1">
      <c r="AE10451"/>
    </row>
    <row r="10452" spans="31:31" ht="15.75" customHeight="1">
      <c r="AE10452"/>
    </row>
    <row r="10453" spans="31:31" ht="15.75" customHeight="1">
      <c r="AE10453"/>
    </row>
    <row r="10454" spans="31:31" ht="15.75" customHeight="1">
      <c r="AE10454"/>
    </row>
    <row r="10455" spans="31:31" ht="15.75" customHeight="1">
      <c r="AE10455"/>
    </row>
    <row r="10456" spans="31:31" ht="15.75" customHeight="1">
      <c r="AE10456"/>
    </row>
    <row r="10457" spans="31:31" ht="15.75" customHeight="1">
      <c r="AE10457"/>
    </row>
    <row r="10458" spans="31:31" ht="15.75" customHeight="1">
      <c r="AE10458"/>
    </row>
    <row r="10459" spans="31:31" ht="15.75" customHeight="1">
      <c r="AE10459"/>
    </row>
    <row r="10460" spans="31:31" ht="15.75" customHeight="1">
      <c r="AE10460"/>
    </row>
    <row r="10461" spans="31:31" ht="15.75" customHeight="1">
      <c r="AE10461"/>
    </row>
    <row r="10462" spans="31:31" ht="15.75" customHeight="1">
      <c r="AE10462"/>
    </row>
    <row r="10463" spans="31:31" ht="15.75" customHeight="1">
      <c r="AE10463"/>
    </row>
    <row r="10464" spans="31:31" ht="15.75" customHeight="1">
      <c r="AE10464"/>
    </row>
    <row r="10465" spans="31:31" ht="15.75" customHeight="1">
      <c r="AE10465"/>
    </row>
    <row r="10466" spans="31:31" ht="15.75" customHeight="1">
      <c r="AE10466"/>
    </row>
    <row r="10467" spans="31:31" ht="15.75" customHeight="1">
      <c r="AE10467"/>
    </row>
    <row r="10468" spans="31:31" ht="15.75" customHeight="1">
      <c r="AE10468"/>
    </row>
    <row r="10469" spans="31:31" ht="15.75" customHeight="1">
      <c r="AE10469"/>
    </row>
    <row r="10470" spans="31:31" ht="15.75" customHeight="1">
      <c r="AE10470"/>
    </row>
    <row r="10471" spans="31:31" ht="15.75" customHeight="1">
      <c r="AE10471"/>
    </row>
    <row r="10472" spans="31:31" ht="15.75" customHeight="1">
      <c r="AE10472"/>
    </row>
    <row r="10473" spans="31:31" ht="15.75" customHeight="1">
      <c r="AE10473"/>
    </row>
    <row r="10474" spans="31:31" ht="15.75" customHeight="1">
      <c r="AE10474"/>
    </row>
    <row r="10475" spans="31:31" ht="15.75" customHeight="1">
      <c r="AE10475"/>
    </row>
    <row r="10476" spans="31:31" ht="15.75" customHeight="1">
      <c r="AE10476"/>
    </row>
    <row r="10477" spans="31:31" ht="15.75" customHeight="1">
      <c r="AE10477"/>
    </row>
    <row r="10478" spans="31:31" ht="15.75" customHeight="1">
      <c r="AE10478"/>
    </row>
    <row r="10479" spans="31:31" ht="15.75" customHeight="1">
      <c r="AE10479"/>
    </row>
    <row r="10480" spans="31:31" ht="15.75" customHeight="1">
      <c r="AE10480"/>
    </row>
    <row r="10481" spans="31:31" ht="15.75" customHeight="1">
      <c r="AE10481"/>
    </row>
    <row r="10482" spans="31:31" ht="15.75" customHeight="1">
      <c r="AE10482"/>
    </row>
    <row r="10483" spans="31:31" ht="15.75" customHeight="1">
      <c r="AE10483"/>
    </row>
    <row r="10484" spans="31:31" ht="15.75" customHeight="1">
      <c r="AE10484"/>
    </row>
    <row r="10485" spans="31:31" ht="15.75" customHeight="1">
      <c r="AE10485"/>
    </row>
    <row r="10486" spans="31:31" ht="15.75" customHeight="1">
      <c r="AE10486"/>
    </row>
    <row r="10487" spans="31:31" ht="15.75" customHeight="1">
      <c r="AE10487"/>
    </row>
    <row r="10488" spans="31:31" ht="15.75" customHeight="1">
      <c r="AE10488"/>
    </row>
    <row r="10489" spans="31:31" ht="15.75" customHeight="1">
      <c r="AE10489"/>
    </row>
    <row r="10490" spans="31:31" ht="15.75" customHeight="1">
      <c r="AE10490"/>
    </row>
    <row r="10491" spans="31:31" ht="15.75" customHeight="1">
      <c r="AE10491"/>
    </row>
    <row r="10492" spans="31:31" ht="15.75" customHeight="1">
      <c r="AE10492"/>
    </row>
    <row r="10493" spans="31:31" ht="15.75" customHeight="1">
      <c r="AE10493"/>
    </row>
    <row r="10494" spans="31:31" ht="15.75" customHeight="1">
      <c r="AE10494"/>
    </row>
    <row r="10495" spans="31:31" ht="15.75" customHeight="1">
      <c r="AE10495"/>
    </row>
    <row r="10496" spans="31:31" ht="15.75" customHeight="1">
      <c r="AE10496"/>
    </row>
    <row r="10497" spans="31:31" ht="15.75" customHeight="1">
      <c r="AE10497"/>
    </row>
    <row r="10498" spans="31:31" ht="15.75" customHeight="1">
      <c r="AE10498"/>
    </row>
    <row r="10499" spans="31:31" ht="15.75" customHeight="1">
      <c r="AE10499"/>
    </row>
    <row r="10500" spans="31:31" ht="15.75" customHeight="1">
      <c r="AE10500"/>
    </row>
    <row r="10501" spans="31:31" ht="15.75" customHeight="1">
      <c r="AE10501"/>
    </row>
    <row r="10502" spans="31:31" ht="15.75" customHeight="1">
      <c r="AE10502"/>
    </row>
    <row r="10503" spans="31:31" ht="15.75" customHeight="1">
      <c r="AE10503"/>
    </row>
    <row r="10504" spans="31:31" ht="15.75" customHeight="1">
      <c r="AE10504"/>
    </row>
    <row r="10505" spans="31:31" ht="15.75" customHeight="1">
      <c r="AE10505"/>
    </row>
    <row r="10506" spans="31:31" ht="15.75" customHeight="1">
      <c r="AE10506"/>
    </row>
    <row r="10507" spans="31:31" ht="15.75" customHeight="1">
      <c r="AE10507"/>
    </row>
    <row r="10508" spans="31:31" ht="15.75" customHeight="1">
      <c r="AE10508"/>
    </row>
    <row r="10509" spans="31:31" ht="15.75" customHeight="1">
      <c r="AE10509"/>
    </row>
    <row r="10510" spans="31:31" ht="15.75" customHeight="1">
      <c r="AE10510"/>
    </row>
    <row r="10511" spans="31:31" ht="15.75" customHeight="1">
      <c r="AE10511"/>
    </row>
    <row r="10512" spans="31:31" ht="15.75" customHeight="1">
      <c r="AE10512"/>
    </row>
    <row r="10513" spans="31:31" ht="15.75" customHeight="1">
      <c r="AE10513"/>
    </row>
    <row r="10514" spans="31:31" ht="15.75" customHeight="1">
      <c r="AE10514"/>
    </row>
    <row r="10515" spans="31:31" ht="15.75" customHeight="1">
      <c r="AE10515"/>
    </row>
    <row r="10516" spans="31:31" ht="15.75" customHeight="1">
      <c r="AE10516"/>
    </row>
    <row r="10517" spans="31:31" ht="15.75" customHeight="1">
      <c r="AE10517"/>
    </row>
    <row r="10518" spans="31:31" ht="15.75" customHeight="1">
      <c r="AE10518"/>
    </row>
    <row r="10519" spans="31:31" ht="15.75" customHeight="1">
      <c r="AE10519"/>
    </row>
    <row r="10520" spans="31:31" ht="15.75" customHeight="1">
      <c r="AE10520"/>
    </row>
    <row r="10521" spans="31:31" ht="15.75" customHeight="1">
      <c r="AE10521"/>
    </row>
    <row r="10522" spans="31:31" ht="15.75" customHeight="1">
      <c r="AE10522"/>
    </row>
    <row r="10523" spans="31:31" ht="15.75" customHeight="1">
      <c r="AE10523"/>
    </row>
    <row r="10524" spans="31:31" ht="15.75" customHeight="1">
      <c r="AE10524"/>
    </row>
    <row r="10525" spans="31:31" ht="15.75" customHeight="1">
      <c r="AE10525"/>
    </row>
    <row r="10526" spans="31:31" ht="15.75" customHeight="1">
      <c r="AE10526"/>
    </row>
    <row r="10527" spans="31:31" ht="15.75" customHeight="1">
      <c r="AE10527"/>
    </row>
    <row r="10528" spans="31:31" ht="15.75" customHeight="1">
      <c r="AE10528"/>
    </row>
    <row r="10529" spans="31:31" ht="15.75" customHeight="1">
      <c r="AE10529"/>
    </row>
    <row r="10530" spans="31:31" ht="15.75" customHeight="1">
      <c r="AE10530"/>
    </row>
    <row r="10531" spans="31:31" ht="15.75" customHeight="1">
      <c r="AE10531"/>
    </row>
    <row r="10532" spans="31:31" ht="15.75" customHeight="1">
      <c r="AE10532"/>
    </row>
    <row r="10533" spans="31:31" ht="15.75" customHeight="1">
      <c r="AE10533"/>
    </row>
    <row r="10534" spans="31:31" ht="15.75" customHeight="1">
      <c r="AE10534"/>
    </row>
    <row r="10535" spans="31:31" ht="15.75" customHeight="1">
      <c r="AE10535"/>
    </row>
    <row r="10536" spans="31:31" ht="15.75" customHeight="1">
      <c r="AE10536"/>
    </row>
    <row r="10537" spans="31:31" ht="15.75" customHeight="1">
      <c r="AE10537"/>
    </row>
    <row r="10538" spans="31:31" ht="15.75" customHeight="1">
      <c r="AE10538"/>
    </row>
    <row r="10539" spans="31:31" ht="15.75" customHeight="1">
      <c r="AE10539"/>
    </row>
    <row r="10540" spans="31:31" ht="15.75" customHeight="1">
      <c r="AE10540"/>
    </row>
    <row r="10541" spans="31:31" ht="15.75" customHeight="1">
      <c r="AE10541"/>
    </row>
    <row r="10542" spans="31:31" ht="15.75" customHeight="1">
      <c r="AE10542"/>
    </row>
    <row r="10543" spans="31:31" ht="15.75" customHeight="1">
      <c r="AE10543"/>
    </row>
    <row r="10544" spans="31:31" ht="15.75" customHeight="1">
      <c r="AE10544"/>
    </row>
    <row r="10545" spans="31:31" ht="15.75" customHeight="1">
      <c r="AE10545"/>
    </row>
    <row r="10546" spans="31:31" ht="15.75" customHeight="1">
      <c r="AE10546"/>
    </row>
    <row r="10547" spans="31:31" ht="15.75" customHeight="1">
      <c r="AE10547"/>
    </row>
    <row r="10548" spans="31:31" ht="15.75" customHeight="1">
      <c r="AE10548"/>
    </row>
    <row r="10549" spans="31:31" ht="15.75" customHeight="1">
      <c r="AE10549"/>
    </row>
    <row r="10550" spans="31:31" ht="15.75" customHeight="1">
      <c r="AE10550"/>
    </row>
    <row r="10551" spans="31:31" ht="15.75" customHeight="1">
      <c r="AE10551"/>
    </row>
    <row r="10552" spans="31:31" ht="15.75" customHeight="1">
      <c r="AE10552"/>
    </row>
    <row r="10553" spans="31:31" ht="15.75" customHeight="1">
      <c r="AE10553"/>
    </row>
    <row r="10554" spans="31:31" ht="15.75" customHeight="1">
      <c r="AE10554"/>
    </row>
    <row r="10555" spans="31:31" ht="15.75" customHeight="1">
      <c r="AE10555"/>
    </row>
    <row r="10556" spans="31:31" ht="15.75" customHeight="1">
      <c r="AE10556"/>
    </row>
    <row r="10557" spans="31:31" ht="15.75" customHeight="1">
      <c r="AE10557"/>
    </row>
    <row r="10558" spans="31:31" ht="15.75" customHeight="1">
      <c r="AE10558"/>
    </row>
    <row r="10559" spans="31:31" ht="15.75" customHeight="1">
      <c r="AE10559"/>
    </row>
    <row r="10560" spans="31:31" ht="15.75" customHeight="1">
      <c r="AE10560"/>
    </row>
    <row r="10561" spans="31:31" ht="15.75" customHeight="1">
      <c r="AE10561"/>
    </row>
    <row r="10562" spans="31:31" ht="15.75" customHeight="1">
      <c r="AE10562"/>
    </row>
    <row r="10563" spans="31:31" ht="15.75" customHeight="1">
      <c r="AE10563"/>
    </row>
    <row r="10564" spans="31:31" ht="15.75" customHeight="1">
      <c r="AE10564"/>
    </row>
    <row r="10565" spans="31:31" ht="15.75" customHeight="1">
      <c r="AE10565"/>
    </row>
    <row r="10566" spans="31:31" ht="15.75" customHeight="1">
      <c r="AE10566"/>
    </row>
    <row r="10567" spans="31:31" ht="15.75" customHeight="1">
      <c r="AE10567"/>
    </row>
    <row r="10568" spans="31:31" ht="15.75" customHeight="1">
      <c r="AE10568"/>
    </row>
    <row r="10569" spans="31:31" ht="15.75" customHeight="1">
      <c r="AE10569"/>
    </row>
    <row r="10570" spans="31:31" ht="15.75" customHeight="1">
      <c r="AE10570"/>
    </row>
    <row r="10571" spans="31:31" ht="15.75" customHeight="1">
      <c r="AE10571"/>
    </row>
    <row r="10572" spans="31:31" ht="15.75" customHeight="1">
      <c r="AE10572"/>
    </row>
    <row r="10573" spans="31:31" ht="15.75" customHeight="1">
      <c r="AE10573"/>
    </row>
    <row r="10574" spans="31:31" ht="15.75" customHeight="1">
      <c r="AE10574"/>
    </row>
    <row r="10575" spans="31:31" ht="15.75" customHeight="1">
      <c r="AE10575"/>
    </row>
    <row r="10576" spans="31:31" ht="15.75" customHeight="1">
      <c r="AE10576"/>
    </row>
    <row r="10577" spans="31:31" ht="15.75" customHeight="1">
      <c r="AE10577"/>
    </row>
    <row r="10578" spans="31:31" ht="15.75" customHeight="1">
      <c r="AE10578"/>
    </row>
    <row r="10579" spans="31:31" ht="15.75" customHeight="1">
      <c r="AE10579"/>
    </row>
    <row r="10580" spans="31:31" ht="15.75" customHeight="1">
      <c r="AE10580"/>
    </row>
    <row r="10581" spans="31:31" ht="15.75" customHeight="1">
      <c r="AE10581"/>
    </row>
    <row r="10582" spans="31:31" ht="15.75" customHeight="1">
      <c r="AE10582"/>
    </row>
    <row r="10583" spans="31:31" ht="15.75" customHeight="1">
      <c r="AE10583"/>
    </row>
    <row r="10584" spans="31:31" ht="15.75" customHeight="1">
      <c r="AE10584"/>
    </row>
    <row r="10585" spans="31:31" ht="15.75" customHeight="1">
      <c r="AE10585"/>
    </row>
    <row r="10586" spans="31:31" ht="15.75" customHeight="1">
      <c r="AE10586"/>
    </row>
    <row r="10587" spans="31:31" ht="15.75" customHeight="1">
      <c r="AE10587"/>
    </row>
    <row r="10588" spans="31:31" ht="15.75" customHeight="1">
      <c r="AE10588"/>
    </row>
    <row r="10589" spans="31:31" ht="15.75" customHeight="1">
      <c r="AE10589"/>
    </row>
    <row r="10590" spans="31:31" ht="15.75" customHeight="1">
      <c r="AE10590"/>
    </row>
    <row r="10591" spans="31:31" ht="15.75" customHeight="1">
      <c r="AE10591"/>
    </row>
    <row r="10592" spans="31:31" ht="15.75" customHeight="1">
      <c r="AE10592"/>
    </row>
    <row r="10593" spans="31:31" ht="15.75" customHeight="1">
      <c r="AE10593"/>
    </row>
    <row r="10594" spans="31:31" ht="15.75" customHeight="1">
      <c r="AE10594"/>
    </row>
    <row r="10595" spans="31:31" ht="15.75" customHeight="1">
      <c r="AE10595"/>
    </row>
    <row r="10596" spans="31:31" ht="15.75" customHeight="1">
      <c r="AE10596"/>
    </row>
    <row r="10597" spans="31:31" ht="15.75" customHeight="1">
      <c r="AE10597"/>
    </row>
    <row r="10598" spans="31:31" ht="15.75" customHeight="1">
      <c r="AE10598"/>
    </row>
    <row r="10599" spans="31:31" ht="15.75" customHeight="1">
      <c r="AE10599"/>
    </row>
    <row r="10600" spans="31:31" ht="15.75" customHeight="1">
      <c r="AE10600"/>
    </row>
    <row r="10601" spans="31:31" ht="15.75" customHeight="1">
      <c r="AE10601"/>
    </row>
    <row r="10602" spans="31:31" ht="15.75" customHeight="1">
      <c r="AE10602"/>
    </row>
    <row r="10603" spans="31:31" ht="15.75" customHeight="1">
      <c r="AE10603"/>
    </row>
    <row r="10604" spans="31:31" ht="15.75" customHeight="1">
      <c r="AE10604"/>
    </row>
    <row r="10605" spans="31:31" ht="15.75" customHeight="1">
      <c r="AE10605"/>
    </row>
    <row r="10606" spans="31:31" ht="15.75" customHeight="1">
      <c r="AE10606"/>
    </row>
    <row r="10607" spans="31:31" ht="15.75" customHeight="1">
      <c r="AE10607"/>
    </row>
    <row r="10608" spans="31:31" ht="15.75" customHeight="1">
      <c r="AE10608"/>
    </row>
    <row r="10609" spans="31:31" ht="15.75" customHeight="1">
      <c r="AE10609"/>
    </row>
    <row r="10610" spans="31:31" ht="15.75" customHeight="1">
      <c r="AE10610"/>
    </row>
    <row r="10611" spans="31:31" ht="15.75" customHeight="1">
      <c r="AE10611"/>
    </row>
    <row r="10612" spans="31:31" ht="15.75" customHeight="1">
      <c r="AE10612"/>
    </row>
    <row r="10613" spans="31:31" ht="15.75" customHeight="1">
      <c r="AE10613"/>
    </row>
    <row r="10614" spans="31:31" ht="15.75" customHeight="1">
      <c r="AE10614"/>
    </row>
    <row r="10615" spans="31:31" ht="15.75" customHeight="1">
      <c r="AE10615"/>
    </row>
    <row r="10616" spans="31:31" ht="15.75" customHeight="1">
      <c r="AE10616"/>
    </row>
    <row r="10617" spans="31:31" ht="15.75" customHeight="1">
      <c r="AE10617"/>
    </row>
    <row r="10618" spans="31:31" ht="15.75" customHeight="1">
      <c r="AE10618"/>
    </row>
    <row r="10619" spans="31:31" ht="15.75" customHeight="1">
      <c r="AE10619"/>
    </row>
    <row r="10620" spans="31:31" ht="15.75" customHeight="1">
      <c r="AE10620"/>
    </row>
    <row r="10621" spans="31:31" ht="15.75" customHeight="1">
      <c r="AE10621"/>
    </row>
    <row r="10622" spans="31:31" ht="15.75" customHeight="1">
      <c r="AE10622"/>
    </row>
    <row r="10623" spans="31:31" ht="15.75" customHeight="1">
      <c r="AE10623"/>
    </row>
    <row r="10624" spans="31:31" ht="15.75" customHeight="1">
      <c r="AE10624"/>
    </row>
    <row r="10625" spans="31:31" ht="15.75" customHeight="1">
      <c r="AE10625"/>
    </row>
    <row r="10626" spans="31:31" ht="15.75" customHeight="1">
      <c r="AE10626"/>
    </row>
    <row r="10627" spans="31:31" ht="15.75" customHeight="1">
      <c r="AE10627"/>
    </row>
    <row r="10628" spans="31:31" ht="15.75" customHeight="1">
      <c r="AE10628"/>
    </row>
    <row r="10629" spans="31:31" ht="15.75" customHeight="1">
      <c r="AE10629"/>
    </row>
    <row r="10630" spans="31:31" ht="15.75" customHeight="1">
      <c r="AE10630"/>
    </row>
    <row r="10631" spans="31:31" ht="15.75" customHeight="1">
      <c r="AE10631"/>
    </row>
    <row r="10632" spans="31:31" ht="15.75" customHeight="1">
      <c r="AE10632"/>
    </row>
    <row r="10633" spans="31:31" ht="15.75" customHeight="1">
      <c r="AE10633"/>
    </row>
    <row r="10634" spans="31:31" ht="15.75" customHeight="1">
      <c r="AE10634"/>
    </row>
    <row r="10635" spans="31:31" ht="15.75" customHeight="1">
      <c r="AE10635"/>
    </row>
    <row r="10636" spans="31:31" ht="15.75" customHeight="1">
      <c r="AE10636"/>
    </row>
    <row r="10637" spans="31:31" ht="15.75" customHeight="1">
      <c r="AE10637"/>
    </row>
    <row r="10638" spans="31:31" ht="15.75" customHeight="1">
      <c r="AE10638"/>
    </row>
    <row r="10639" spans="31:31" ht="15.75" customHeight="1">
      <c r="AE10639"/>
    </row>
    <row r="10640" spans="31:31" ht="15.75" customHeight="1">
      <c r="AE10640"/>
    </row>
    <row r="10641" spans="31:31" ht="15.75" customHeight="1">
      <c r="AE10641"/>
    </row>
    <row r="10642" spans="31:31" ht="15.75" customHeight="1">
      <c r="AE10642"/>
    </row>
    <row r="10643" spans="31:31" ht="15.75" customHeight="1">
      <c r="AE10643"/>
    </row>
    <row r="10644" spans="31:31" ht="15.75" customHeight="1">
      <c r="AE10644"/>
    </row>
    <row r="10645" spans="31:31" ht="15.75" customHeight="1">
      <c r="AE10645"/>
    </row>
    <row r="10646" spans="31:31" ht="15.75" customHeight="1">
      <c r="AE10646"/>
    </row>
    <row r="10647" spans="31:31" ht="15.75" customHeight="1">
      <c r="AE10647"/>
    </row>
    <row r="10648" spans="31:31" ht="15.75" customHeight="1">
      <c r="AE10648"/>
    </row>
    <row r="10649" spans="31:31" ht="15.75" customHeight="1">
      <c r="AE10649"/>
    </row>
    <row r="10650" spans="31:31" ht="15.75" customHeight="1">
      <c r="AE10650"/>
    </row>
    <row r="10651" spans="31:31" ht="15.75" customHeight="1">
      <c r="AE10651"/>
    </row>
    <row r="10652" spans="31:31" ht="15.75" customHeight="1">
      <c r="AE10652"/>
    </row>
    <row r="10653" spans="31:31" ht="15.75" customHeight="1">
      <c r="AE10653"/>
    </row>
    <row r="10654" spans="31:31" ht="15.75" customHeight="1">
      <c r="AE10654"/>
    </row>
    <row r="10655" spans="31:31" ht="15.75" customHeight="1">
      <c r="AE10655"/>
    </row>
    <row r="10656" spans="31:31" ht="15.75" customHeight="1">
      <c r="AE10656"/>
    </row>
    <row r="10657" spans="31:31" ht="15.75" customHeight="1">
      <c r="AE10657"/>
    </row>
    <row r="10658" spans="31:31" ht="15.75" customHeight="1">
      <c r="AE10658"/>
    </row>
    <row r="10659" spans="31:31" ht="15.75" customHeight="1">
      <c r="AE10659"/>
    </row>
    <row r="10660" spans="31:31" ht="15.75" customHeight="1">
      <c r="AE10660"/>
    </row>
    <row r="10661" spans="31:31" ht="15.75" customHeight="1">
      <c r="AE10661"/>
    </row>
    <row r="10662" spans="31:31" ht="15.75" customHeight="1">
      <c r="AE10662"/>
    </row>
    <row r="10663" spans="31:31" ht="15.75" customHeight="1">
      <c r="AE10663"/>
    </row>
    <row r="10664" spans="31:31" ht="15.75" customHeight="1">
      <c r="AE10664"/>
    </row>
    <row r="10665" spans="31:31" ht="15.75" customHeight="1">
      <c r="AE10665"/>
    </row>
    <row r="10666" spans="31:31" ht="15.75" customHeight="1">
      <c r="AE10666"/>
    </row>
    <row r="10667" spans="31:31" ht="15.75" customHeight="1">
      <c r="AE10667"/>
    </row>
    <row r="10668" spans="31:31" ht="15.75" customHeight="1">
      <c r="AE10668"/>
    </row>
    <row r="10669" spans="31:31" ht="15.75" customHeight="1">
      <c r="AE10669"/>
    </row>
    <row r="10670" spans="31:31" ht="15.75" customHeight="1">
      <c r="AE10670"/>
    </row>
    <row r="10671" spans="31:31" ht="15.75" customHeight="1">
      <c r="AE10671"/>
    </row>
    <row r="10672" spans="31:31" ht="15.75" customHeight="1">
      <c r="AE10672"/>
    </row>
    <row r="10673" spans="31:31" ht="15.75" customHeight="1">
      <c r="AE10673"/>
    </row>
    <row r="10674" spans="31:31" ht="15.75" customHeight="1">
      <c r="AE10674"/>
    </row>
    <row r="10675" spans="31:31" ht="15.75" customHeight="1">
      <c r="AE10675"/>
    </row>
    <row r="10676" spans="31:31" ht="15.75" customHeight="1">
      <c r="AE10676"/>
    </row>
    <row r="10677" spans="31:31" ht="15.75" customHeight="1">
      <c r="AE10677"/>
    </row>
    <row r="10678" spans="31:31" ht="15.75" customHeight="1">
      <c r="AE10678"/>
    </row>
    <row r="10679" spans="31:31" ht="15.75" customHeight="1">
      <c r="AE10679"/>
    </row>
    <row r="10680" spans="31:31" ht="15.75" customHeight="1">
      <c r="AE10680"/>
    </row>
    <row r="10681" spans="31:31" ht="15.75" customHeight="1">
      <c r="AE10681"/>
    </row>
    <row r="10682" spans="31:31" ht="15.75" customHeight="1">
      <c r="AE10682"/>
    </row>
    <row r="10683" spans="31:31" ht="15.75" customHeight="1">
      <c r="AE10683"/>
    </row>
    <row r="10684" spans="31:31" ht="15.75" customHeight="1">
      <c r="AE10684"/>
    </row>
    <row r="10685" spans="31:31" ht="15.75" customHeight="1">
      <c r="AE10685"/>
    </row>
    <row r="10686" spans="31:31" ht="15.75" customHeight="1">
      <c r="AE10686"/>
    </row>
    <row r="10687" spans="31:31" ht="15.75" customHeight="1">
      <c r="AE10687"/>
    </row>
    <row r="10688" spans="31:31" ht="15.75" customHeight="1">
      <c r="AE10688"/>
    </row>
    <row r="10689" spans="31:31" ht="15.75" customHeight="1">
      <c r="AE10689"/>
    </row>
    <row r="10690" spans="31:31" ht="15.75" customHeight="1">
      <c r="AE10690"/>
    </row>
    <row r="10691" spans="31:31" ht="15.75" customHeight="1">
      <c r="AE10691"/>
    </row>
    <row r="10692" spans="31:31" ht="15.75" customHeight="1">
      <c r="AE10692"/>
    </row>
    <row r="10693" spans="31:31" ht="15.75" customHeight="1">
      <c r="AE10693"/>
    </row>
    <row r="10694" spans="31:31" ht="15.75" customHeight="1">
      <c r="AE10694"/>
    </row>
    <row r="10695" spans="31:31" ht="15.75" customHeight="1">
      <c r="AE10695"/>
    </row>
    <row r="10696" spans="31:31" ht="15.75" customHeight="1">
      <c r="AE10696"/>
    </row>
    <row r="10697" spans="31:31" ht="15.75" customHeight="1">
      <c r="AE10697"/>
    </row>
    <row r="10698" spans="31:31" ht="15.75" customHeight="1">
      <c r="AE10698"/>
    </row>
    <row r="10699" spans="31:31" ht="15.75" customHeight="1">
      <c r="AE10699"/>
    </row>
    <row r="10700" spans="31:31" ht="15.75" customHeight="1">
      <c r="AE10700"/>
    </row>
    <row r="10701" spans="31:31" ht="15.75" customHeight="1">
      <c r="AE10701"/>
    </row>
    <row r="10702" spans="31:31" ht="15.75" customHeight="1">
      <c r="AE10702"/>
    </row>
    <row r="10703" spans="31:31" ht="15.75" customHeight="1">
      <c r="AE10703"/>
    </row>
    <row r="10704" spans="31:31" ht="15.75" customHeight="1">
      <c r="AE10704"/>
    </row>
    <row r="10705" spans="31:31" ht="15.75" customHeight="1">
      <c r="AE10705"/>
    </row>
    <row r="10706" spans="31:31" ht="15.75" customHeight="1">
      <c r="AE10706"/>
    </row>
    <row r="10707" spans="31:31" ht="15.75" customHeight="1">
      <c r="AE10707"/>
    </row>
    <row r="10708" spans="31:31" ht="15.75" customHeight="1">
      <c r="AE10708"/>
    </row>
    <row r="10709" spans="31:31" ht="15.75" customHeight="1">
      <c r="AE10709"/>
    </row>
    <row r="10710" spans="31:31" ht="15.75" customHeight="1">
      <c r="AE10710"/>
    </row>
    <row r="10711" spans="31:31" ht="15.75" customHeight="1">
      <c r="AE10711"/>
    </row>
    <row r="10712" spans="31:31" ht="15.75" customHeight="1">
      <c r="AE10712"/>
    </row>
    <row r="10713" spans="31:31" ht="15.75" customHeight="1">
      <c r="AE10713"/>
    </row>
    <row r="10714" spans="31:31" ht="15.75" customHeight="1">
      <c r="AE10714"/>
    </row>
    <row r="10715" spans="31:31" ht="15.75" customHeight="1">
      <c r="AE10715"/>
    </row>
    <row r="10716" spans="31:31" ht="15.75" customHeight="1">
      <c r="AE10716"/>
    </row>
    <row r="10717" spans="31:31" ht="15.75" customHeight="1">
      <c r="AE10717"/>
    </row>
    <row r="10718" spans="31:31" ht="15.75" customHeight="1">
      <c r="AE10718"/>
    </row>
    <row r="10719" spans="31:31" ht="15.75" customHeight="1">
      <c r="AE10719"/>
    </row>
    <row r="10720" spans="31:31" ht="15.75" customHeight="1">
      <c r="AE10720"/>
    </row>
    <row r="10721" spans="31:31" ht="15.75" customHeight="1">
      <c r="AE10721"/>
    </row>
    <row r="10722" spans="31:31" ht="15.75" customHeight="1">
      <c r="AE10722"/>
    </row>
    <row r="10723" spans="31:31" ht="15.75" customHeight="1">
      <c r="AE10723"/>
    </row>
    <row r="10724" spans="31:31" ht="15.75" customHeight="1">
      <c r="AE10724"/>
    </row>
    <row r="10725" spans="31:31" ht="15.75" customHeight="1">
      <c r="AE10725"/>
    </row>
    <row r="10726" spans="31:31" ht="15.75" customHeight="1">
      <c r="AE10726"/>
    </row>
    <row r="10727" spans="31:31" ht="15.75" customHeight="1">
      <c r="AE10727"/>
    </row>
    <row r="10728" spans="31:31" ht="15.75" customHeight="1">
      <c r="AE10728"/>
    </row>
    <row r="10729" spans="31:31" ht="15.75" customHeight="1">
      <c r="AE10729"/>
    </row>
    <row r="10730" spans="31:31" ht="15.75" customHeight="1">
      <c r="AE10730"/>
    </row>
    <row r="10731" spans="31:31" ht="15.75" customHeight="1">
      <c r="AE10731"/>
    </row>
    <row r="10732" spans="31:31" ht="15.75" customHeight="1">
      <c r="AE10732"/>
    </row>
    <row r="10733" spans="31:31" ht="15.75" customHeight="1">
      <c r="AE10733"/>
    </row>
    <row r="10734" spans="31:31" ht="15.75" customHeight="1">
      <c r="AE10734"/>
    </row>
    <row r="10735" spans="31:31" ht="15.75" customHeight="1">
      <c r="AE10735"/>
    </row>
    <row r="10736" spans="31:31" ht="15.75" customHeight="1">
      <c r="AE10736"/>
    </row>
    <row r="10737" spans="31:31" ht="15.75" customHeight="1">
      <c r="AE10737"/>
    </row>
    <row r="10738" spans="31:31" ht="15.75" customHeight="1">
      <c r="AE10738"/>
    </row>
    <row r="10739" spans="31:31" ht="15.75" customHeight="1">
      <c r="AE10739"/>
    </row>
    <row r="10740" spans="31:31" ht="15.75" customHeight="1">
      <c r="AE10740"/>
    </row>
    <row r="10741" spans="31:31" ht="15.75" customHeight="1">
      <c r="AE10741"/>
    </row>
    <row r="10742" spans="31:31" ht="15.75" customHeight="1">
      <c r="AE10742"/>
    </row>
    <row r="10743" spans="31:31" ht="15.75" customHeight="1">
      <c r="AE10743"/>
    </row>
    <row r="10744" spans="31:31" ht="15.75" customHeight="1">
      <c r="AE10744"/>
    </row>
    <row r="10745" spans="31:31" ht="15.75" customHeight="1">
      <c r="AE10745"/>
    </row>
    <row r="10746" spans="31:31" ht="15.75" customHeight="1">
      <c r="AE10746"/>
    </row>
    <row r="10747" spans="31:31" ht="15.75" customHeight="1">
      <c r="AE10747"/>
    </row>
    <row r="10748" spans="31:31" ht="15.75" customHeight="1">
      <c r="AE10748"/>
    </row>
    <row r="10749" spans="31:31" ht="15.75" customHeight="1">
      <c r="AE10749"/>
    </row>
    <row r="10750" spans="31:31" ht="15.75" customHeight="1">
      <c r="AE10750"/>
    </row>
    <row r="10751" spans="31:31" ht="15.75" customHeight="1">
      <c r="AE10751"/>
    </row>
    <row r="10752" spans="31:31" ht="15.75" customHeight="1">
      <c r="AE10752"/>
    </row>
    <row r="10753" spans="31:31" ht="15.75" customHeight="1">
      <c r="AE10753"/>
    </row>
    <row r="10754" spans="31:31" ht="15.75" customHeight="1">
      <c r="AE10754"/>
    </row>
    <row r="10755" spans="31:31" ht="15.75" customHeight="1">
      <c r="AE10755"/>
    </row>
    <row r="10756" spans="31:31" ht="15.75" customHeight="1">
      <c r="AE10756"/>
    </row>
    <row r="10757" spans="31:31" ht="15.75" customHeight="1">
      <c r="AE10757"/>
    </row>
    <row r="10758" spans="31:31" ht="15.75" customHeight="1">
      <c r="AE10758"/>
    </row>
    <row r="10759" spans="31:31" ht="15.75" customHeight="1">
      <c r="AE10759"/>
    </row>
    <row r="10760" spans="31:31" ht="15.75" customHeight="1">
      <c r="AE10760"/>
    </row>
    <row r="10761" spans="31:31" ht="15.75" customHeight="1">
      <c r="AE10761"/>
    </row>
    <row r="10762" spans="31:31" ht="15.75" customHeight="1">
      <c r="AE10762"/>
    </row>
    <row r="10763" spans="31:31" ht="15.75" customHeight="1">
      <c r="AE10763"/>
    </row>
    <row r="10764" spans="31:31" ht="15.75" customHeight="1">
      <c r="AE10764"/>
    </row>
    <row r="10765" spans="31:31" ht="15.75" customHeight="1">
      <c r="AE10765"/>
    </row>
    <row r="10766" spans="31:31" ht="15.75" customHeight="1">
      <c r="AE10766"/>
    </row>
    <row r="10767" spans="31:31" ht="15.75" customHeight="1">
      <c r="AE10767"/>
    </row>
    <row r="10768" spans="31:31" ht="15.75" customHeight="1">
      <c r="AE10768"/>
    </row>
    <row r="10769" spans="31:31" ht="15.75" customHeight="1">
      <c r="AE10769"/>
    </row>
    <row r="10770" spans="31:31" ht="15.75" customHeight="1">
      <c r="AE10770"/>
    </row>
    <row r="10771" spans="31:31" ht="15.75" customHeight="1">
      <c r="AE10771"/>
    </row>
    <row r="10772" spans="31:31" ht="15.75" customHeight="1">
      <c r="AE10772"/>
    </row>
    <row r="10773" spans="31:31" ht="15.75" customHeight="1">
      <c r="AE10773"/>
    </row>
    <row r="10774" spans="31:31" ht="15.75" customHeight="1">
      <c r="AE10774"/>
    </row>
    <row r="10775" spans="31:31" ht="15.75" customHeight="1">
      <c r="AE10775"/>
    </row>
    <row r="10776" spans="31:31" ht="15.75" customHeight="1">
      <c r="AE10776"/>
    </row>
    <row r="10777" spans="31:31" ht="15.75" customHeight="1">
      <c r="AE10777"/>
    </row>
    <row r="10778" spans="31:31" ht="15.75" customHeight="1">
      <c r="AE10778"/>
    </row>
    <row r="10779" spans="31:31" ht="15.75" customHeight="1">
      <c r="AE10779"/>
    </row>
    <row r="10780" spans="31:31" ht="15.75" customHeight="1">
      <c r="AE10780"/>
    </row>
    <row r="10781" spans="31:31" ht="15.75" customHeight="1">
      <c r="AE10781"/>
    </row>
    <row r="10782" spans="31:31" ht="15.75" customHeight="1">
      <c r="AE10782"/>
    </row>
    <row r="10783" spans="31:31" ht="15.75" customHeight="1">
      <c r="AE10783"/>
    </row>
    <row r="10784" spans="31:31" ht="15.75" customHeight="1">
      <c r="AE10784"/>
    </row>
    <row r="10785" spans="31:31" ht="15.75" customHeight="1">
      <c r="AE10785"/>
    </row>
    <row r="10786" spans="31:31" ht="15.75" customHeight="1">
      <c r="AE10786"/>
    </row>
    <row r="10787" spans="31:31" ht="15.75" customHeight="1">
      <c r="AE10787"/>
    </row>
    <row r="10788" spans="31:31" ht="15.75" customHeight="1">
      <c r="AE10788"/>
    </row>
    <row r="10789" spans="31:31" ht="15.75" customHeight="1">
      <c r="AE10789"/>
    </row>
    <row r="10790" spans="31:31" ht="15.75" customHeight="1">
      <c r="AE10790"/>
    </row>
    <row r="10791" spans="31:31" ht="15.75" customHeight="1">
      <c r="AE10791"/>
    </row>
    <row r="10792" spans="31:31" ht="15.75" customHeight="1">
      <c r="AE10792"/>
    </row>
    <row r="10793" spans="31:31" ht="15.75" customHeight="1">
      <c r="AE10793"/>
    </row>
    <row r="10794" spans="31:31" ht="15.75" customHeight="1">
      <c r="AE10794"/>
    </row>
    <row r="10795" spans="31:31" ht="15.75" customHeight="1">
      <c r="AE10795"/>
    </row>
    <row r="10796" spans="31:31" ht="15.75" customHeight="1">
      <c r="AE10796"/>
    </row>
    <row r="10797" spans="31:31" ht="15.75" customHeight="1">
      <c r="AE10797"/>
    </row>
    <row r="10798" spans="31:31" ht="15.75" customHeight="1">
      <c r="AE10798"/>
    </row>
    <row r="10799" spans="31:31" ht="15.75" customHeight="1">
      <c r="AE10799"/>
    </row>
    <row r="10800" spans="31:31" ht="15.75" customHeight="1">
      <c r="AE10800"/>
    </row>
    <row r="10801" spans="31:31" ht="15.75" customHeight="1">
      <c r="AE10801"/>
    </row>
    <row r="10802" spans="31:31" ht="15.75" customHeight="1">
      <c r="AE10802"/>
    </row>
    <row r="10803" spans="31:31" ht="15.75" customHeight="1">
      <c r="AE10803"/>
    </row>
    <row r="10804" spans="31:31" ht="15.75" customHeight="1">
      <c r="AE10804"/>
    </row>
    <row r="10805" spans="31:31" ht="15.75" customHeight="1">
      <c r="AE10805"/>
    </row>
    <row r="10806" spans="31:31" ht="15.75" customHeight="1">
      <c r="AE10806"/>
    </row>
    <row r="10807" spans="31:31" ht="15.75" customHeight="1">
      <c r="AE10807"/>
    </row>
    <row r="10808" spans="31:31" ht="15.75" customHeight="1">
      <c r="AE10808"/>
    </row>
    <row r="10809" spans="31:31" ht="15.75" customHeight="1">
      <c r="AE10809"/>
    </row>
    <row r="10810" spans="31:31" ht="15.75" customHeight="1">
      <c r="AE10810"/>
    </row>
    <row r="10811" spans="31:31" ht="15.75" customHeight="1">
      <c r="AE10811"/>
    </row>
    <row r="10812" spans="31:31" ht="15.75" customHeight="1">
      <c r="AE10812"/>
    </row>
    <row r="10813" spans="31:31" ht="15.75" customHeight="1">
      <c r="AE10813"/>
    </row>
    <row r="10814" spans="31:31" ht="15.75" customHeight="1">
      <c r="AE10814"/>
    </row>
    <row r="10815" spans="31:31" ht="15.75" customHeight="1">
      <c r="AE10815"/>
    </row>
    <row r="10816" spans="31:31" ht="15.75" customHeight="1">
      <c r="AE10816"/>
    </row>
    <row r="10817" spans="31:31" ht="15.75" customHeight="1">
      <c r="AE10817"/>
    </row>
    <row r="10818" spans="31:31" ht="15.75" customHeight="1">
      <c r="AE10818"/>
    </row>
    <row r="10819" spans="31:31" ht="15.75" customHeight="1">
      <c r="AE10819"/>
    </row>
    <row r="10820" spans="31:31" ht="15.75" customHeight="1">
      <c r="AE10820"/>
    </row>
    <row r="10821" spans="31:31" ht="15.75" customHeight="1">
      <c r="AE10821"/>
    </row>
    <row r="10822" spans="31:31" ht="15.75" customHeight="1">
      <c r="AE10822"/>
    </row>
    <row r="10823" spans="31:31" ht="15.75" customHeight="1">
      <c r="AE10823"/>
    </row>
    <row r="10824" spans="31:31" ht="15.75" customHeight="1">
      <c r="AE10824"/>
    </row>
    <row r="10825" spans="31:31" ht="15.75" customHeight="1">
      <c r="AE10825"/>
    </row>
    <row r="10826" spans="31:31" ht="15.75" customHeight="1">
      <c r="AE10826"/>
    </row>
    <row r="10827" spans="31:31" ht="15.75" customHeight="1">
      <c r="AE10827"/>
    </row>
    <row r="10828" spans="31:31" ht="15.75" customHeight="1">
      <c r="AE10828"/>
    </row>
    <row r="10829" spans="31:31" ht="15.75" customHeight="1">
      <c r="AE10829"/>
    </row>
    <row r="10830" spans="31:31" ht="15.75" customHeight="1">
      <c r="AE10830"/>
    </row>
    <row r="10831" spans="31:31" ht="15.75" customHeight="1">
      <c r="AE10831"/>
    </row>
    <row r="10832" spans="31:31" ht="15.75" customHeight="1">
      <c r="AE10832"/>
    </row>
    <row r="10833" spans="31:31" ht="15.75" customHeight="1">
      <c r="AE10833"/>
    </row>
    <row r="10834" spans="31:31" ht="15.75" customHeight="1">
      <c r="AE10834"/>
    </row>
    <row r="10835" spans="31:31" ht="15.75" customHeight="1">
      <c r="AE10835"/>
    </row>
    <row r="10836" spans="31:31" ht="15.75" customHeight="1">
      <c r="AE10836"/>
    </row>
    <row r="10837" spans="31:31" ht="15.75" customHeight="1">
      <c r="AE10837"/>
    </row>
    <row r="10838" spans="31:31" ht="15.75" customHeight="1">
      <c r="AE10838"/>
    </row>
    <row r="10839" spans="31:31" ht="15.75" customHeight="1">
      <c r="AE10839"/>
    </row>
    <row r="10840" spans="31:31" ht="15.75" customHeight="1">
      <c r="AE10840"/>
    </row>
    <row r="10841" spans="31:31" ht="15.75" customHeight="1">
      <c r="AE10841"/>
    </row>
    <row r="10842" spans="31:31" ht="15.75" customHeight="1">
      <c r="AE10842"/>
    </row>
    <row r="10843" spans="31:31" ht="15.75" customHeight="1">
      <c r="AE10843"/>
    </row>
    <row r="10844" spans="31:31" ht="15.75" customHeight="1">
      <c r="AE10844"/>
    </row>
    <row r="10845" spans="31:31" ht="15.75" customHeight="1">
      <c r="AE10845"/>
    </row>
    <row r="10846" spans="31:31" ht="15.75" customHeight="1">
      <c r="AE10846"/>
    </row>
    <row r="10847" spans="31:31" ht="15.75" customHeight="1">
      <c r="AE10847"/>
    </row>
    <row r="10848" spans="31:31" ht="15.75" customHeight="1">
      <c r="AE10848"/>
    </row>
    <row r="10849" spans="31:31" ht="15.75" customHeight="1">
      <c r="AE10849"/>
    </row>
    <row r="10850" spans="31:31" ht="15.75" customHeight="1">
      <c r="AE10850"/>
    </row>
    <row r="10851" spans="31:31" ht="15.75" customHeight="1">
      <c r="AE10851"/>
    </row>
    <row r="10852" spans="31:31" ht="15.75" customHeight="1">
      <c r="AE10852"/>
    </row>
    <row r="10853" spans="31:31" ht="15.75" customHeight="1">
      <c r="AE10853"/>
    </row>
    <row r="10854" spans="31:31" ht="15.75" customHeight="1">
      <c r="AE10854"/>
    </row>
    <row r="10855" spans="31:31" ht="15.75" customHeight="1">
      <c r="AE10855"/>
    </row>
    <row r="10856" spans="31:31" ht="15.75" customHeight="1">
      <c r="AE10856"/>
    </row>
    <row r="10857" spans="31:31" ht="15.75" customHeight="1">
      <c r="AE10857"/>
    </row>
    <row r="10858" spans="31:31" ht="15.75" customHeight="1">
      <c r="AE10858"/>
    </row>
    <row r="10859" spans="31:31" ht="15.75" customHeight="1">
      <c r="AE10859"/>
    </row>
    <row r="10860" spans="31:31" ht="15.75" customHeight="1">
      <c r="AE10860"/>
    </row>
    <row r="10861" spans="31:31" ht="15.75" customHeight="1">
      <c r="AE10861"/>
    </row>
    <row r="10862" spans="31:31" ht="15.75" customHeight="1">
      <c r="AE10862"/>
    </row>
    <row r="10863" spans="31:31" ht="15.75" customHeight="1">
      <c r="AE10863"/>
    </row>
    <row r="10864" spans="31:31" ht="15.75" customHeight="1">
      <c r="AE10864"/>
    </row>
    <row r="10865" spans="31:31" ht="15.75" customHeight="1">
      <c r="AE10865"/>
    </row>
    <row r="10866" spans="31:31" ht="15.75" customHeight="1">
      <c r="AE10866"/>
    </row>
    <row r="10867" spans="31:31" ht="15.75" customHeight="1">
      <c r="AE10867"/>
    </row>
    <row r="10868" spans="31:31" ht="15.75" customHeight="1">
      <c r="AE10868"/>
    </row>
    <row r="10869" spans="31:31" ht="15.75" customHeight="1">
      <c r="AE10869"/>
    </row>
    <row r="10870" spans="31:31" ht="15.75" customHeight="1">
      <c r="AE10870"/>
    </row>
    <row r="10871" spans="31:31" ht="15.75" customHeight="1">
      <c r="AE10871"/>
    </row>
    <row r="10872" spans="31:31" ht="15.75" customHeight="1">
      <c r="AE10872"/>
    </row>
    <row r="10873" spans="31:31" ht="15.75" customHeight="1">
      <c r="AE10873"/>
    </row>
    <row r="10874" spans="31:31" ht="15.75" customHeight="1">
      <c r="AE10874"/>
    </row>
    <row r="10875" spans="31:31" ht="15.75" customHeight="1">
      <c r="AE10875"/>
    </row>
    <row r="10876" spans="31:31" ht="15.75" customHeight="1">
      <c r="AE10876"/>
    </row>
    <row r="10877" spans="31:31" ht="15.75" customHeight="1">
      <c r="AE10877"/>
    </row>
    <row r="10878" spans="31:31" ht="15.75" customHeight="1">
      <c r="AE10878"/>
    </row>
    <row r="10879" spans="31:31" ht="15.75" customHeight="1">
      <c r="AE10879"/>
    </row>
    <row r="10880" spans="31:31" ht="15.75" customHeight="1">
      <c r="AE10880"/>
    </row>
    <row r="10881" spans="31:31" ht="15.75" customHeight="1">
      <c r="AE10881"/>
    </row>
    <row r="10882" spans="31:31" ht="15.75" customHeight="1">
      <c r="AE10882"/>
    </row>
    <row r="10883" spans="31:31" ht="15.75" customHeight="1">
      <c r="AE10883"/>
    </row>
    <row r="10884" spans="31:31" ht="15.75" customHeight="1">
      <c r="AE10884"/>
    </row>
    <row r="10885" spans="31:31" ht="15.75" customHeight="1">
      <c r="AE10885"/>
    </row>
    <row r="10886" spans="31:31" ht="15.75" customHeight="1">
      <c r="AE10886"/>
    </row>
    <row r="10887" spans="31:31" ht="15.75" customHeight="1">
      <c r="AE10887"/>
    </row>
    <row r="10888" spans="31:31" ht="15.75" customHeight="1">
      <c r="AE10888"/>
    </row>
    <row r="10889" spans="31:31" ht="15.75" customHeight="1">
      <c r="AE10889"/>
    </row>
    <row r="10890" spans="31:31" ht="15.75" customHeight="1">
      <c r="AE10890"/>
    </row>
    <row r="10891" spans="31:31" ht="15.75" customHeight="1">
      <c r="AE10891"/>
    </row>
    <row r="10892" spans="31:31" ht="15.75" customHeight="1">
      <c r="AE10892"/>
    </row>
    <row r="10893" spans="31:31" ht="15.75" customHeight="1">
      <c r="AE10893"/>
    </row>
    <row r="10894" spans="31:31" ht="15.75" customHeight="1">
      <c r="AE10894"/>
    </row>
    <row r="10895" spans="31:31" ht="15.75" customHeight="1">
      <c r="AE10895"/>
    </row>
    <row r="10896" spans="31:31" ht="15.75" customHeight="1">
      <c r="AE10896"/>
    </row>
    <row r="10897" spans="31:31" ht="15.75" customHeight="1">
      <c r="AE10897"/>
    </row>
    <row r="10898" spans="31:31" ht="15.75" customHeight="1">
      <c r="AE10898"/>
    </row>
    <row r="10899" spans="31:31" ht="15.75" customHeight="1">
      <c r="AE10899"/>
    </row>
    <row r="10900" spans="31:31" ht="15.75" customHeight="1">
      <c r="AE10900"/>
    </row>
    <row r="10901" spans="31:31" ht="15.75" customHeight="1">
      <c r="AE10901"/>
    </row>
    <row r="10902" spans="31:31" ht="15.75" customHeight="1">
      <c r="AE10902"/>
    </row>
    <row r="10903" spans="31:31" ht="15.75" customHeight="1">
      <c r="AE10903"/>
    </row>
    <row r="10904" spans="31:31" ht="15.75" customHeight="1">
      <c r="AE10904"/>
    </row>
    <row r="10905" spans="31:31" ht="15.75" customHeight="1">
      <c r="AE10905"/>
    </row>
    <row r="10906" spans="31:31" ht="15.75" customHeight="1">
      <c r="AE10906"/>
    </row>
    <row r="10907" spans="31:31" ht="15.75" customHeight="1">
      <c r="AE10907"/>
    </row>
    <row r="10908" spans="31:31" ht="15.75" customHeight="1">
      <c r="AE10908"/>
    </row>
    <row r="10909" spans="31:31" ht="15.75" customHeight="1">
      <c r="AE10909"/>
    </row>
    <row r="10910" spans="31:31" ht="15.75" customHeight="1">
      <c r="AE10910"/>
    </row>
    <row r="10911" spans="31:31" ht="15.75" customHeight="1">
      <c r="AE10911"/>
    </row>
    <row r="10912" spans="31:31" ht="15.75" customHeight="1">
      <c r="AE10912"/>
    </row>
    <row r="10913" spans="31:31" ht="15.75" customHeight="1">
      <c r="AE10913"/>
    </row>
    <row r="10914" spans="31:31" ht="15.75" customHeight="1">
      <c r="AE10914"/>
    </row>
    <row r="10915" spans="31:31" ht="15.75" customHeight="1">
      <c r="AE10915"/>
    </row>
    <row r="10916" spans="31:31" ht="15.75" customHeight="1">
      <c r="AE10916"/>
    </row>
    <row r="10917" spans="31:31" ht="15.75" customHeight="1">
      <c r="AE10917"/>
    </row>
    <row r="10918" spans="31:31" ht="15.75" customHeight="1">
      <c r="AE10918"/>
    </row>
    <row r="10919" spans="31:31" ht="15.75" customHeight="1">
      <c r="AE10919"/>
    </row>
    <row r="10920" spans="31:31" ht="15.75" customHeight="1">
      <c r="AE10920"/>
    </row>
    <row r="10921" spans="31:31" ht="15.75" customHeight="1">
      <c r="AE10921"/>
    </row>
    <row r="10922" spans="31:31" ht="15.75" customHeight="1">
      <c r="AE10922"/>
    </row>
    <row r="10923" spans="31:31" ht="15.75" customHeight="1">
      <c r="AE10923"/>
    </row>
    <row r="10924" spans="31:31" ht="15.75" customHeight="1">
      <c r="AE10924"/>
    </row>
    <row r="10925" spans="31:31" ht="15.75" customHeight="1">
      <c r="AE10925"/>
    </row>
    <row r="10926" spans="31:31" ht="15.75" customHeight="1">
      <c r="AE10926"/>
    </row>
    <row r="10927" spans="31:31" ht="15.75" customHeight="1">
      <c r="AE10927"/>
    </row>
    <row r="10928" spans="31:31" ht="15.75" customHeight="1">
      <c r="AE10928"/>
    </row>
    <row r="10929" spans="31:31" ht="15.75" customHeight="1">
      <c r="AE10929"/>
    </row>
    <row r="10930" spans="31:31" ht="15.75" customHeight="1">
      <c r="AE10930"/>
    </row>
    <row r="10931" spans="31:31" ht="15.75" customHeight="1">
      <c r="AE10931"/>
    </row>
    <row r="10932" spans="31:31" ht="15.75" customHeight="1">
      <c r="AE10932"/>
    </row>
    <row r="10933" spans="31:31" ht="15.75" customHeight="1">
      <c r="AE10933"/>
    </row>
    <row r="10934" spans="31:31" ht="15.75" customHeight="1">
      <c r="AE10934"/>
    </row>
    <row r="10935" spans="31:31" ht="15.75" customHeight="1">
      <c r="AE10935"/>
    </row>
    <row r="10936" spans="31:31" ht="15.75" customHeight="1">
      <c r="AE10936"/>
    </row>
    <row r="10937" spans="31:31" ht="15.75" customHeight="1">
      <c r="AE10937"/>
    </row>
    <row r="10938" spans="31:31" ht="15.75" customHeight="1">
      <c r="AE10938"/>
    </row>
    <row r="10939" spans="31:31" ht="15.75" customHeight="1">
      <c r="AE10939"/>
    </row>
    <row r="10940" spans="31:31" ht="15.75" customHeight="1">
      <c r="AE10940"/>
    </row>
    <row r="10941" spans="31:31" ht="15.75" customHeight="1">
      <c r="AE10941"/>
    </row>
    <row r="10942" spans="31:31" ht="15.75" customHeight="1">
      <c r="AE10942"/>
    </row>
    <row r="10943" spans="31:31" ht="15.75" customHeight="1">
      <c r="AE10943"/>
    </row>
    <row r="10944" spans="31:31" ht="15.75" customHeight="1">
      <c r="AE10944"/>
    </row>
    <row r="10945" spans="31:31" ht="15.75" customHeight="1">
      <c r="AE10945"/>
    </row>
    <row r="10946" spans="31:31" ht="15.75" customHeight="1">
      <c r="AE10946"/>
    </row>
    <row r="10947" spans="31:31" ht="15.75" customHeight="1">
      <c r="AE10947"/>
    </row>
    <row r="10948" spans="31:31" ht="15.75" customHeight="1">
      <c r="AE10948"/>
    </row>
    <row r="10949" spans="31:31" ht="15.75" customHeight="1">
      <c r="AE10949"/>
    </row>
    <row r="10950" spans="31:31" ht="15.75" customHeight="1">
      <c r="AE10950"/>
    </row>
    <row r="10951" spans="31:31" ht="15.75" customHeight="1">
      <c r="AE10951"/>
    </row>
    <row r="10952" spans="31:31" ht="15.75" customHeight="1">
      <c r="AE10952"/>
    </row>
    <row r="10953" spans="31:31" ht="15.75" customHeight="1">
      <c r="AE10953"/>
    </row>
    <row r="10954" spans="31:31" ht="15.75" customHeight="1">
      <c r="AE10954"/>
    </row>
    <row r="10955" spans="31:31" ht="15.75" customHeight="1">
      <c r="AE10955"/>
    </row>
    <row r="10956" spans="31:31" ht="15.75" customHeight="1">
      <c r="AE10956"/>
    </row>
    <row r="10957" spans="31:31" ht="15.75" customHeight="1">
      <c r="AE10957"/>
    </row>
    <row r="10958" spans="31:31" ht="15.75" customHeight="1">
      <c r="AE10958"/>
    </row>
    <row r="10959" spans="31:31" ht="15.75" customHeight="1">
      <c r="AE10959"/>
    </row>
    <row r="10960" spans="31:31" ht="15.75" customHeight="1">
      <c r="AE10960"/>
    </row>
    <row r="10961" spans="31:31" ht="15.75" customHeight="1">
      <c r="AE10961"/>
    </row>
    <row r="10962" spans="31:31" ht="15.75" customHeight="1">
      <c r="AE10962"/>
    </row>
    <row r="10963" spans="31:31" ht="15.75" customHeight="1">
      <c r="AE10963"/>
    </row>
    <row r="10964" spans="31:31" ht="15.75" customHeight="1">
      <c r="AE10964"/>
    </row>
    <row r="10965" spans="31:31" ht="15.75" customHeight="1">
      <c r="AE10965"/>
    </row>
    <row r="10966" spans="31:31" ht="15.75" customHeight="1">
      <c r="AE10966"/>
    </row>
    <row r="10967" spans="31:31" ht="15.75" customHeight="1">
      <c r="AE10967"/>
    </row>
    <row r="10968" spans="31:31" ht="15.75" customHeight="1">
      <c r="AE10968"/>
    </row>
    <row r="10969" spans="31:31" ht="15.75" customHeight="1">
      <c r="AE10969"/>
    </row>
    <row r="10970" spans="31:31" ht="15.75" customHeight="1">
      <c r="AE10970"/>
    </row>
    <row r="10971" spans="31:31" ht="15.75" customHeight="1">
      <c r="AE10971"/>
    </row>
    <row r="10972" spans="31:31" ht="15.75" customHeight="1">
      <c r="AE10972"/>
    </row>
    <row r="10973" spans="31:31" ht="15.75" customHeight="1">
      <c r="AE10973"/>
    </row>
    <row r="10974" spans="31:31" ht="15.75" customHeight="1">
      <c r="AE10974"/>
    </row>
    <row r="10975" spans="31:31" ht="15.75" customHeight="1">
      <c r="AE10975"/>
    </row>
    <row r="10976" spans="31:31" ht="15.75" customHeight="1">
      <c r="AE10976"/>
    </row>
    <row r="10977" spans="31:31" ht="15.75" customHeight="1">
      <c r="AE10977"/>
    </row>
    <row r="10978" spans="31:31" ht="15.75" customHeight="1">
      <c r="AE10978"/>
    </row>
    <row r="10979" spans="31:31" ht="15.75" customHeight="1">
      <c r="AE10979"/>
    </row>
    <row r="10980" spans="31:31" ht="15.75" customHeight="1">
      <c r="AE10980"/>
    </row>
    <row r="10981" spans="31:31" ht="15.75" customHeight="1">
      <c r="AE10981"/>
    </row>
    <row r="10982" spans="31:31" ht="15.75" customHeight="1">
      <c r="AE10982"/>
    </row>
    <row r="10983" spans="31:31" ht="15.75" customHeight="1">
      <c r="AE10983"/>
    </row>
    <row r="10984" spans="31:31" ht="15.75" customHeight="1">
      <c r="AE10984"/>
    </row>
    <row r="10985" spans="31:31" ht="15.75" customHeight="1">
      <c r="AE10985"/>
    </row>
    <row r="10986" spans="31:31" ht="15.75" customHeight="1">
      <c r="AE10986"/>
    </row>
    <row r="10987" spans="31:31" ht="15.75" customHeight="1">
      <c r="AE10987"/>
    </row>
    <row r="10988" spans="31:31" ht="15.75" customHeight="1">
      <c r="AE10988"/>
    </row>
    <row r="10989" spans="31:31" ht="15.75" customHeight="1">
      <c r="AE10989"/>
    </row>
    <row r="10990" spans="31:31" ht="15.75" customHeight="1">
      <c r="AE10990"/>
    </row>
    <row r="10991" spans="31:31" ht="15.75" customHeight="1">
      <c r="AE10991"/>
    </row>
    <row r="10992" spans="31:31" ht="15.75" customHeight="1">
      <c r="AE10992"/>
    </row>
    <row r="10993" spans="31:31" ht="15.75" customHeight="1">
      <c r="AE10993"/>
    </row>
    <row r="10994" spans="31:31" ht="15.75" customHeight="1">
      <c r="AE10994"/>
    </row>
    <row r="10995" spans="31:31" ht="15.75" customHeight="1">
      <c r="AE10995"/>
    </row>
    <row r="10996" spans="31:31" ht="15.75" customHeight="1">
      <c r="AE10996"/>
    </row>
    <row r="10997" spans="31:31" ht="15.75" customHeight="1">
      <c r="AE10997"/>
    </row>
    <row r="10998" spans="31:31" ht="15.75" customHeight="1">
      <c r="AE10998"/>
    </row>
    <row r="10999" spans="31:31" ht="15.75" customHeight="1">
      <c r="AE10999"/>
    </row>
    <row r="11000" spans="31:31" ht="15.75" customHeight="1">
      <c r="AE11000"/>
    </row>
    <row r="11001" spans="31:31" ht="15.75" customHeight="1">
      <c r="AE11001"/>
    </row>
    <row r="11002" spans="31:31" ht="15.75" customHeight="1">
      <c r="AE11002"/>
    </row>
    <row r="11003" spans="31:31" ht="15.75" customHeight="1">
      <c r="AE11003"/>
    </row>
    <row r="11004" spans="31:31" ht="15.75" customHeight="1">
      <c r="AE11004"/>
    </row>
    <row r="11005" spans="31:31" ht="15.75" customHeight="1">
      <c r="AE11005"/>
    </row>
    <row r="11006" spans="31:31" ht="15.75" customHeight="1">
      <c r="AE11006"/>
    </row>
    <row r="11007" spans="31:31" ht="15.75" customHeight="1">
      <c r="AE11007"/>
    </row>
    <row r="11008" spans="31:31" ht="15.75" customHeight="1">
      <c r="AE11008"/>
    </row>
    <row r="11009" spans="31:31" ht="15.75" customHeight="1">
      <c r="AE11009"/>
    </row>
    <row r="11010" spans="31:31" ht="15.75" customHeight="1">
      <c r="AE11010"/>
    </row>
    <row r="11011" spans="31:31" ht="15.75" customHeight="1">
      <c r="AE11011"/>
    </row>
    <row r="11012" spans="31:31" ht="15.75" customHeight="1">
      <c r="AE11012"/>
    </row>
    <row r="11013" spans="31:31" ht="15.75" customHeight="1">
      <c r="AE11013"/>
    </row>
    <row r="11014" spans="31:31" ht="15.75" customHeight="1">
      <c r="AE11014"/>
    </row>
    <row r="11015" spans="31:31" ht="15.75" customHeight="1">
      <c r="AE11015"/>
    </row>
    <row r="11016" spans="31:31" ht="15.75" customHeight="1">
      <c r="AE11016"/>
    </row>
    <row r="11017" spans="31:31" ht="15.75" customHeight="1">
      <c r="AE11017"/>
    </row>
    <row r="11018" spans="31:31" ht="15.75" customHeight="1">
      <c r="AE11018"/>
    </row>
    <row r="11019" spans="31:31" ht="15.75" customHeight="1">
      <c r="AE11019"/>
    </row>
    <row r="11020" spans="31:31" ht="15.75" customHeight="1">
      <c r="AE11020"/>
    </row>
    <row r="11021" spans="31:31" ht="15.75" customHeight="1">
      <c r="AE11021"/>
    </row>
    <row r="11022" spans="31:31" ht="15.75" customHeight="1">
      <c r="AE11022"/>
    </row>
    <row r="11023" spans="31:31" ht="15.75" customHeight="1">
      <c r="AE11023"/>
    </row>
    <row r="11024" spans="31:31" ht="15.75" customHeight="1">
      <c r="AE11024"/>
    </row>
    <row r="11025" spans="31:31" ht="15.75" customHeight="1">
      <c r="AE11025"/>
    </row>
    <row r="11026" spans="31:31" ht="15.75" customHeight="1">
      <c r="AE11026"/>
    </row>
    <row r="11027" spans="31:31" ht="15.75" customHeight="1">
      <c r="AE11027"/>
    </row>
    <row r="11028" spans="31:31" ht="15.75" customHeight="1">
      <c r="AE11028"/>
    </row>
    <row r="11029" spans="31:31" ht="15.75" customHeight="1">
      <c r="AE11029"/>
    </row>
    <row r="11030" spans="31:31" ht="15.75" customHeight="1">
      <c r="AE11030"/>
    </row>
    <row r="11031" spans="31:31" ht="15.75" customHeight="1">
      <c r="AE11031"/>
    </row>
    <row r="11032" spans="31:31" ht="15.75" customHeight="1">
      <c r="AE11032"/>
    </row>
    <row r="11033" spans="31:31" ht="15.75" customHeight="1">
      <c r="AE11033"/>
    </row>
    <row r="11034" spans="31:31" ht="15.75" customHeight="1">
      <c r="AE11034"/>
    </row>
    <row r="11035" spans="31:31" ht="15.75" customHeight="1">
      <c r="AE11035"/>
    </row>
    <row r="11036" spans="31:31" ht="15.75" customHeight="1">
      <c r="AE11036"/>
    </row>
    <row r="11037" spans="31:31" ht="15.75" customHeight="1">
      <c r="AE11037"/>
    </row>
    <row r="11038" spans="31:31" ht="15.75" customHeight="1">
      <c r="AE11038"/>
    </row>
    <row r="11039" spans="31:31" ht="15.75" customHeight="1">
      <c r="AE11039"/>
    </row>
    <row r="11040" spans="31:31" ht="15.75" customHeight="1">
      <c r="AE11040"/>
    </row>
    <row r="11041" spans="31:31" ht="15.75" customHeight="1">
      <c r="AE11041"/>
    </row>
    <row r="11042" spans="31:31" ht="15.75" customHeight="1">
      <c r="AE11042"/>
    </row>
    <row r="11043" spans="31:31" ht="15.75" customHeight="1">
      <c r="AE11043"/>
    </row>
    <row r="11044" spans="31:31" ht="15.75" customHeight="1">
      <c r="AE11044"/>
    </row>
    <row r="11045" spans="31:31" ht="15.75" customHeight="1">
      <c r="AE11045"/>
    </row>
    <row r="11046" spans="31:31" ht="15.75" customHeight="1">
      <c r="AE11046"/>
    </row>
    <row r="11047" spans="31:31" ht="15.75" customHeight="1">
      <c r="AE11047"/>
    </row>
    <row r="11048" spans="31:31" ht="15.75" customHeight="1">
      <c r="AE11048"/>
    </row>
    <row r="11049" spans="31:31" ht="15.75" customHeight="1">
      <c r="AE11049"/>
    </row>
    <row r="11050" spans="31:31" ht="15.75" customHeight="1">
      <c r="AE11050"/>
    </row>
    <row r="11051" spans="31:31" ht="15.75" customHeight="1">
      <c r="AE11051"/>
    </row>
    <row r="11052" spans="31:31" ht="15.75" customHeight="1">
      <c r="AE11052"/>
    </row>
    <row r="11053" spans="31:31" ht="15.75" customHeight="1">
      <c r="AE11053"/>
    </row>
    <row r="11054" spans="31:31" ht="15.75" customHeight="1">
      <c r="AE11054"/>
    </row>
    <row r="11055" spans="31:31" ht="15.75" customHeight="1">
      <c r="AE11055"/>
    </row>
    <row r="11056" spans="31:31" ht="15.75" customHeight="1">
      <c r="AE11056"/>
    </row>
    <row r="11057" spans="31:31" ht="15.75" customHeight="1">
      <c r="AE11057"/>
    </row>
    <row r="11058" spans="31:31" ht="15.75" customHeight="1">
      <c r="AE11058"/>
    </row>
    <row r="11059" spans="31:31" ht="15.75" customHeight="1">
      <c r="AE11059"/>
    </row>
    <row r="11060" spans="31:31" ht="15.75" customHeight="1">
      <c r="AE11060"/>
    </row>
    <row r="11061" spans="31:31" ht="15.75" customHeight="1">
      <c r="AE11061"/>
    </row>
    <row r="11062" spans="31:31" ht="15.75" customHeight="1">
      <c r="AE11062"/>
    </row>
    <row r="11063" spans="31:31" ht="15.75" customHeight="1">
      <c r="AE11063"/>
    </row>
    <row r="11064" spans="31:31" ht="15.75" customHeight="1">
      <c r="AE11064"/>
    </row>
    <row r="11065" spans="31:31" ht="15.75" customHeight="1">
      <c r="AE11065"/>
    </row>
    <row r="11066" spans="31:31" ht="15.75" customHeight="1">
      <c r="AE11066"/>
    </row>
    <row r="11067" spans="31:31" ht="15.75" customHeight="1">
      <c r="AE11067"/>
    </row>
    <row r="11068" spans="31:31" ht="15.75" customHeight="1">
      <c r="AE11068"/>
    </row>
    <row r="11069" spans="31:31" ht="15.75" customHeight="1">
      <c r="AE11069"/>
    </row>
    <row r="11070" spans="31:31" ht="15.75" customHeight="1">
      <c r="AE11070"/>
    </row>
    <row r="11071" spans="31:31" ht="15.75" customHeight="1">
      <c r="AE11071"/>
    </row>
    <row r="11072" spans="31:31" ht="15.75" customHeight="1">
      <c r="AE11072"/>
    </row>
    <row r="11073" spans="31:31" ht="15.75" customHeight="1">
      <c r="AE11073"/>
    </row>
    <row r="11074" spans="31:31" ht="15.75" customHeight="1">
      <c r="AE11074"/>
    </row>
    <row r="11075" spans="31:31" ht="15.75" customHeight="1">
      <c r="AE11075"/>
    </row>
    <row r="11076" spans="31:31" ht="15.75" customHeight="1">
      <c r="AE11076"/>
    </row>
    <row r="11077" spans="31:31" ht="15.75" customHeight="1">
      <c r="AE11077"/>
    </row>
    <row r="11078" spans="31:31" ht="15.75" customHeight="1">
      <c r="AE11078"/>
    </row>
    <row r="11079" spans="31:31" ht="15.75" customHeight="1">
      <c r="AE11079"/>
    </row>
    <row r="11080" spans="31:31" ht="15.75" customHeight="1">
      <c r="AE11080"/>
    </row>
    <row r="11081" spans="31:31" ht="15.75" customHeight="1">
      <c r="AE11081"/>
    </row>
    <row r="11082" spans="31:31" ht="15.75" customHeight="1">
      <c r="AE11082"/>
    </row>
    <row r="11083" spans="31:31" ht="15.75" customHeight="1">
      <c r="AE11083"/>
    </row>
    <row r="11084" spans="31:31" ht="15.75" customHeight="1">
      <c r="AE11084"/>
    </row>
    <row r="11085" spans="31:31" ht="15.75" customHeight="1">
      <c r="AE11085"/>
    </row>
    <row r="11086" spans="31:31" ht="15.75" customHeight="1">
      <c r="AE11086"/>
    </row>
    <row r="11087" spans="31:31" ht="15.75" customHeight="1">
      <c r="AE11087"/>
    </row>
    <row r="11088" spans="31:31" ht="15.75" customHeight="1">
      <c r="AE11088"/>
    </row>
    <row r="11089" spans="31:31" ht="15.75" customHeight="1">
      <c r="AE11089"/>
    </row>
    <row r="11090" spans="31:31" ht="15.75" customHeight="1">
      <c r="AE11090"/>
    </row>
    <row r="11091" spans="31:31" ht="15.75" customHeight="1">
      <c r="AE11091"/>
    </row>
    <row r="11092" spans="31:31" ht="15.75" customHeight="1">
      <c r="AE11092"/>
    </row>
    <row r="11093" spans="31:31" ht="15.75" customHeight="1">
      <c r="AE11093"/>
    </row>
    <row r="11094" spans="31:31" ht="15.75" customHeight="1">
      <c r="AE11094"/>
    </row>
    <row r="11095" spans="31:31" ht="15.75" customHeight="1">
      <c r="AE11095"/>
    </row>
    <row r="11096" spans="31:31" ht="15.75" customHeight="1">
      <c r="AE11096"/>
    </row>
    <row r="11097" spans="31:31" ht="15.75" customHeight="1">
      <c r="AE11097"/>
    </row>
    <row r="11098" spans="31:31" ht="15.75" customHeight="1">
      <c r="AE11098"/>
    </row>
    <row r="11099" spans="31:31" ht="15.75" customHeight="1">
      <c r="AE11099"/>
    </row>
    <row r="11100" spans="31:31" ht="15.75" customHeight="1">
      <c r="AE11100"/>
    </row>
    <row r="11101" spans="31:31" ht="15.75" customHeight="1">
      <c r="AE11101"/>
    </row>
    <row r="11102" spans="31:31" ht="15.75" customHeight="1">
      <c r="AE11102"/>
    </row>
    <row r="11103" spans="31:31" ht="15.75" customHeight="1">
      <c r="AE11103"/>
    </row>
    <row r="11104" spans="31:31" ht="15.75" customHeight="1">
      <c r="AE11104"/>
    </row>
    <row r="11105" spans="31:31" ht="15.75" customHeight="1">
      <c r="AE11105"/>
    </row>
    <row r="11106" spans="31:31" ht="15.75" customHeight="1">
      <c r="AE11106"/>
    </row>
    <row r="11107" spans="31:31" ht="15.75" customHeight="1">
      <c r="AE11107"/>
    </row>
    <row r="11108" spans="31:31" ht="15.75" customHeight="1">
      <c r="AE11108"/>
    </row>
    <row r="11109" spans="31:31" ht="15.75" customHeight="1">
      <c r="AE11109"/>
    </row>
    <row r="11110" spans="31:31" ht="15.75" customHeight="1">
      <c r="AE11110"/>
    </row>
    <row r="11111" spans="31:31" ht="15.75" customHeight="1">
      <c r="AE11111"/>
    </row>
    <row r="11112" spans="31:31" ht="15.75" customHeight="1">
      <c r="AE11112"/>
    </row>
    <row r="11113" spans="31:31" ht="15.75" customHeight="1">
      <c r="AE11113"/>
    </row>
    <row r="11114" spans="31:31" ht="15.75" customHeight="1">
      <c r="AE11114"/>
    </row>
    <row r="11115" spans="31:31" ht="15.75" customHeight="1">
      <c r="AE11115"/>
    </row>
    <row r="11116" spans="31:31" ht="15.75" customHeight="1">
      <c r="AE11116"/>
    </row>
    <row r="11117" spans="31:31" ht="15.75" customHeight="1">
      <c r="AE11117"/>
    </row>
    <row r="11118" spans="31:31" ht="15.75" customHeight="1">
      <c r="AE11118"/>
    </row>
    <row r="11119" spans="31:31" ht="15.75" customHeight="1">
      <c r="AE11119"/>
    </row>
    <row r="11120" spans="31:31" ht="15.75" customHeight="1">
      <c r="AE11120"/>
    </row>
    <row r="11121" spans="31:31" ht="15.75" customHeight="1">
      <c r="AE11121"/>
    </row>
    <row r="11122" spans="31:31" ht="15.75" customHeight="1">
      <c r="AE11122"/>
    </row>
    <row r="11123" spans="31:31" ht="15.75" customHeight="1">
      <c r="AE11123"/>
    </row>
    <row r="11124" spans="31:31" ht="15.75" customHeight="1">
      <c r="AE11124"/>
    </row>
    <row r="11125" spans="31:31" ht="15.75" customHeight="1">
      <c r="AE11125"/>
    </row>
    <row r="11126" spans="31:31" ht="15.75" customHeight="1">
      <c r="AE11126"/>
    </row>
    <row r="11127" spans="31:31" ht="15.75" customHeight="1">
      <c r="AE11127"/>
    </row>
    <row r="11128" spans="31:31" ht="15.75" customHeight="1">
      <c r="AE11128"/>
    </row>
    <row r="11129" spans="31:31" ht="15.75" customHeight="1">
      <c r="AE11129"/>
    </row>
    <row r="11130" spans="31:31" ht="15.75" customHeight="1">
      <c r="AE11130"/>
    </row>
    <row r="11131" spans="31:31" ht="15.75" customHeight="1">
      <c r="AE11131"/>
    </row>
    <row r="11132" spans="31:31" ht="15.75" customHeight="1">
      <c r="AE11132"/>
    </row>
    <row r="11133" spans="31:31" ht="15.75" customHeight="1">
      <c r="AE11133"/>
    </row>
    <row r="11134" spans="31:31" ht="15.75" customHeight="1">
      <c r="AE11134"/>
    </row>
    <row r="11135" spans="31:31" ht="15.75" customHeight="1">
      <c r="AE11135"/>
    </row>
    <row r="11136" spans="31:31" ht="15.75" customHeight="1">
      <c r="AE11136"/>
    </row>
    <row r="11137" spans="31:31" ht="15.75" customHeight="1">
      <c r="AE11137"/>
    </row>
    <row r="11138" spans="31:31" ht="15.75" customHeight="1">
      <c r="AE11138"/>
    </row>
    <row r="11139" spans="31:31" ht="15.75" customHeight="1">
      <c r="AE11139"/>
    </row>
    <row r="11140" spans="31:31" ht="15.75" customHeight="1">
      <c r="AE11140"/>
    </row>
    <row r="11141" spans="31:31" ht="15.75" customHeight="1">
      <c r="AE11141"/>
    </row>
    <row r="11142" spans="31:31" ht="15.75" customHeight="1">
      <c r="AE11142"/>
    </row>
    <row r="11143" spans="31:31" ht="15.75" customHeight="1">
      <c r="AE11143"/>
    </row>
    <row r="11144" spans="31:31" ht="15.75" customHeight="1">
      <c r="AE11144"/>
    </row>
    <row r="11145" spans="31:31" ht="15.75" customHeight="1">
      <c r="AE11145"/>
    </row>
    <row r="11146" spans="31:31" ht="15.75" customHeight="1">
      <c r="AE11146"/>
    </row>
    <row r="11147" spans="31:31" ht="15.75" customHeight="1">
      <c r="AE11147"/>
    </row>
    <row r="11148" spans="31:31" ht="15.75" customHeight="1">
      <c r="AE11148"/>
    </row>
    <row r="11149" spans="31:31" ht="15.75" customHeight="1">
      <c r="AE11149"/>
    </row>
    <row r="11150" spans="31:31" ht="15.75" customHeight="1">
      <c r="AE11150"/>
    </row>
    <row r="11151" spans="31:31" ht="15.75" customHeight="1">
      <c r="AE11151"/>
    </row>
    <row r="11152" spans="31:31" ht="15.75" customHeight="1">
      <c r="AE11152"/>
    </row>
    <row r="11153" spans="31:31" ht="15.75" customHeight="1">
      <c r="AE11153"/>
    </row>
    <row r="11154" spans="31:31" ht="15.75" customHeight="1">
      <c r="AE11154"/>
    </row>
    <row r="11155" spans="31:31" ht="15.75" customHeight="1">
      <c r="AE11155"/>
    </row>
    <row r="11156" spans="31:31" ht="15.75" customHeight="1">
      <c r="AE11156"/>
    </row>
    <row r="11157" spans="31:31" ht="15.75" customHeight="1">
      <c r="AE11157"/>
    </row>
    <row r="11158" spans="31:31" ht="15.75" customHeight="1">
      <c r="AE11158"/>
    </row>
    <row r="11159" spans="31:31" ht="15.75" customHeight="1">
      <c r="AE11159"/>
    </row>
    <row r="11160" spans="31:31" ht="15.75" customHeight="1">
      <c r="AE11160"/>
    </row>
    <row r="11161" spans="31:31" ht="15.75" customHeight="1">
      <c r="AE11161"/>
    </row>
    <row r="11162" spans="31:31" ht="15.75" customHeight="1">
      <c r="AE11162"/>
    </row>
    <row r="11163" spans="31:31" ht="15.75" customHeight="1">
      <c r="AE11163"/>
    </row>
    <row r="11164" spans="31:31" ht="15.75" customHeight="1">
      <c r="AE11164"/>
    </row>
    <row r="11165" spans="31:31" ht="15.75" customHeight="1">
      <c r="AE11165"/>
    </row>
    <row r="11166" spans="31:31" ht="15.75" customHeight="1">
      <c r="AE11166"/>
    </row>
    <row r="11167" spans="31:31" ht="15.75" customHeight="1">
      <c r="AE11167"/>
    </row>
    <row r="11168" spans="31:31" ht="15.75" customHeight="1">
      <c r="AE11168"/>
    </row>
    <row r="11169" spans="31:31" ht="15.75" customHeight="1">
      <c r="AE11169"/>
    </row>
    <row r="11170" spans="31:31" ht="15.75" customHeight="1">
      <c r="AE11170"/>
    </row>
    <row r="11171" spans="31:31" ht="15.75" customHeight="1">
      <c r="AE11171"/>
    </row>
    <row r="11172" spans="31:31" ht="15.75" customHeight="1">
      <c r="AE11172"/>
    </row>
    <row r="11173" spans="31:31" ht="15.75" customHeight="1">
      <c r="AE11173"/>
    </row>
    <row r="11174" spans="31:31" ht="15.75" customHeight="1">
      <c r="AE11174"/>
    </row>
    <row r="11175" spans="31:31" ht="15.75" customHeight="1">
      <c r="AE11175"/>
    </row>
    <row r="11176" spans="31:31" ht="15.75" customHeight="1">
      <c r="AE11176"/>
    </row>
    <row r="11177" spans="31:31" ht="15.75" customHeight="1">
      <c r="AE11177"/>
    </row>
    <row r="11178" spans="31:31" ht="15.75" customHeight="1">
      <c r="AE11178"/>
    </row>
    <row r="11179" spans="31:31" ht="15.75" customHeight="1">
      <c r="AE11179"/>
    </row>
    <row r="11180" spans="31:31" ht="15.75" customHeight="1">
      <c r="AE11180"/>
    </row>
    <row r="11181" spans="31:31" ht="15.75" customHeight="1">
      <c r="AE11181"/>
    </row>
    <row r="11182" spans="31:31" ht="15.75" customHeight="1">
      <c r="AE11182"/>
    </row>
    <row r="11183" spans="31:31" ht="15.75" customHeight="1">
      <c r="AE11183"/>
    </row>
    <row r="11184" spans="31:31" ht="15.75" customHeight="1">
      <c r="AE11184"/>
    </row>
    <row r="11185" spans="31:31" ht="15.75" customHeight="1">
      <c r="AE11185"/>
    </row>
    <row r="11186" spans="31:31" ht="15.75" customHeight="1">
      <c r="AE11186"/>
    </row>
    <row r="11187" spans="31:31" ht="15.75" customHeight="1">
      <c r="AE11187"/>
    </row>
    <row r="11188" spans="31:31" ht="15.75" customHeight="1">
      <c r="AE11188"/>
    </row>
    <row r="11189" spans="31:31" ht="15.75" customHeight="1">
      <c r="AE11189"/>
    </row>
    <row r="11190" spans="31:31" ht="15.75" customHeight="1">
      <c r="AE11190"/>
    </row>
    <row r="11191" spans="31:31" ht="15.75" customHeight="1">
      <c r="AE11191"/>
    </row>
    <row r="11192" spans="31:31" ht="15.75" customHeight="1">
      <c r="AE11192"/>
    </row>
    <row r="11193" spans="31:31" ht="15.75" customHeight="1">
      <c r="AE11193"/>
    </row>
    <row r="11194" spans="31:31" ht="15.75" customHeight="1">
      <c r="AE11194"/>
    </row>
    <row r="11195" spans="31:31" ht="15.75" customHeight="1">
      <c r="AE11195"/>
    </row>
    <row r="11196" spans="31:31" ht="15.75" customHeight="1">
      <c r="AE11196"/>
    </row>
    <row r="11197" spans="31:31" ht="15.75" customHeight="1">
      <c r="AE11197"/>
    </row>
    <row r="11198" spans="31:31" ht="15.75" customHeight="1">
      <c r="AE11198"/>
    </row>
    <row r="11199" spans="31:31" ht="15.75" customHeight="1">
      <c r="AE11199"/>
    </row>
    <row r="11200" spans="31:31" ht="15.75" customHeight="1">
      <c r="AE11200"/>
    </row>
    <row r="11201" spans="31:31" ht="15.75" customHeight="1">
      <c r="AE11201"/>
    </row>
    <row r="11202" spans="31:31" ht="15.75" customHeight="1">
      <c r="AE11202"/>
    </row>
    <row r="11203" spans="31:31" ht="15.75" customHeight="1">
      <c r="AE11203"/>
    </row>
    <row r="11204" spans="31:31" ht="15.75" customHeight="1">
      <c r="AE11204"/>
    </row>
    <row r="11205" spans="31:31" ht="15.75" customHeight="1">
      <c r="AE11205"/>
    </row>
    <row r="11206" spans="31:31" ht="15.75" customHeight="1">
      <c r="AE11206"/>
    </row>
    <row r="11207" spans="31:31" ht="15.75" customHeight="1">
      <c r="AE11207"/>
    </row>
    <row r="11208" spans="31:31" ht="15.75" customHeight="1">
      <c r="AE11208"/>
    </row>
    <row r="11209" spans="31:31" ht="15.75" customHeight="1">
      <c r="AE11209"/>
    </row>
    <row r="11210" spans="31:31" ht="15.75" customHeight="1">
      <c r="AE11210"/>
    </row>
    <row r="11211" spans="31:31" ht="15.75" customHeight="1">
      <c r="AE11211"/>
    </row>
    <row r="11212" spans="31:31" ht="15.75" customHeight="1">
      <c r="AE11212"/>
    </row>
    <row r="11213" spans="31:31" ht="15.75" customHeight="1">
      <c r="AE11213"/>
    </row>
    <row r="11214" spans="31:31" ht="15.75" customHeight="1">
      <c r="AE11214"/>
    </row>
    <row r="11215" spans="31:31" ht="15.75" customHeight="1">
      <c r="AE11215"/>
    </row>
    <row r="11216" spans="31:31" ht="15.75" customHeight="1">
      <c r="AE11216"/>
    </row>
    <row r="11217" spans="31:31" ht="15.75" customHeight="1">
      <c r="AE11217"/>
    </row>
    <row r="11218" spans="31:31" ht="15.75" customHeight="1">
      <c r="AE11218"/>
    </row>
    <row r="11219" spans="31:31" ht="15.75" customHeight="1">
      <c r="AE11219"/>
    </row>
    <row r="11220" spans="31:31" ht="15.75" customHeight="1">
      <c r="AE11220"/>
    </row>
    <row r="11221" spans="31:31" ht="15.75" customHeight="1">
      <c r="AE11221"/>
    </row>
    <row r="11222" spans="31:31" ht="15.75" customHeight="1">
      <c r="AE11222"/>
    </row>
    <row r="11223" spans="31:31" ht="15.75" customHeight="1">
      <c r="AE11223"/>
    </row>
    <row r="11224" spans="31:31" ht="15.75" customHeight="1">
      <c r="AE11224"/>
    </row>
    <row r="11225" spans="31:31" ht="15.75" customHeight="1">
      <c r="AE11225"/>
    </row>
    <row r="11226" spans="31:31" ht="15.75" customHeight="1">
      <c r="AE11226"/>
    </row>
    <row r="11227" spans="31:31" ht="15.75" customHeight="1">
      <c r="AE11227"/>
    </row>
    <row r="11228" spans="31:31" ht="15.75" customHeight="1">
      <c r="AE11228"/>
    </row>
    <row r="11229" spans="31:31" ht="15.75" customHeight="1">
      <c r="AE11229"/>
    </row>
    <row r="11230" spans="31:31" ht="15.75" customHeight="1">
      <c r="AE11230"/>
    </row>
    <row r="11231" spans="31:31" ht="15.75" customHeight="1">
      <c r="AE11231"/>
    </row>
    <row r="11232" spans="31:31" ht="15.75" customHeight="1">
      <c r="AE11232"/>
    </row>
    <row r="11233" spans="31:31" ht="15.75" customHeight="1">
      <c r="AE11233"/>
    </row>
    <row r="11234" spans="31:31" ht="15.75" customHeight="1">
      <c r="AE11234"/>
    </row>
    <row r="11235" spans="31:31" ht="15.75" customHeight="1">
      <c r="AE11235"/>
    </row>
    <row r="11236" spans="31:31" ht="15.75" customHeight="1">
      <c r="AE11236"/>
    </row>
    <row r="11237" spans="31:31" ht="15.75" customHeight="1">
      <c r="AE11237"/>
    </row>
    <row r="11238" spans="31:31" ht="15.75" customHeight="1">
      <c r="AE11238"/>
    </row>
    <row r="11239" spans="31:31" ht="15.75" customHeight="1">
      <c r="AE11239"/>
    </row>
    <row r="11240" spans="31:31" ht="15.75" customHeight="1">
      <c r="AE11240"/>
    </row>
    <row r="11241" spans="31:31" ht="15.75" customHeight="1">
      <c r="AE11241"/>
    </row>
    <row r="11242" spans="31:31" ht="15.75" customHeight="1">
      <c r="AE11242"/>
    </row>
    <row r="11243" spans="31:31" ht="15.75" customHeight="1">
      <c r="AE11243"/>
    </row>
    <row r="11244" spans="31:31" ht="15.75" customHeight="1">
      <c r="AE11244"/>
    </row>
    <row r="11245" spans="31:31" ht="15.75" customHeight="1">
      <c r="AE11245"/>
    </row>
    <row r="11246" spans="31:31" ht="15.75" customHeight="1">
      <c r="AE11246"/>
    </row>
    <row r="11247" spans="31:31" ht="15.75" customHeight="1">
      <c r="AE11247"/>
    </row>
    <row r="11248" spans="31:31" ht="15.75" customHeight="1">
      <c r="AE11248"/>
    </row>
    <row r="11249" spans="31:31" ht="15.75" customHeight="1">
      <c r="AE11249"/>
    </row>
    <row r="11250" spans="31:31" ht="15.75" customHeight="1">
      <c r="AE11250"/>
    </row>
    <row r="11251" spans="31:31" ht="15.75" customHeight="1">
      <c r="AE11251"/>
    </row>
    <row r="11252" spans="31:31" ht="15.75" customHeight="1">
      <c r="AE11252"/>
    </row>
    <row r="11253" spans="31:31" ht="15.75" customHeight="1">
      <c r="AE11253"/>
    </row>
    <row r="11254" spans="31:31" ht="15.75" customHeight="1">
      <c r="AE11254"/>
    </row>
    <row r="11255" spans="31:31" ht="15.75" customHeight="1">
      <c r="AE11255"/>
    </row>
    <row r="11256" spans="31:31" ht="15.75" customHeight="1">
      <c r="AE11256"/>
    </row>
    <row r="11257" spans="31:31" ht="15.75" customHeight="1">
      <c r="AE11257"/>
    </row>
    <row r="11258" spans="31:31" ht="15.75" customHeight="1">
      <c r="AE11258"/>
    </row>
    <row r="11259" spans="31:31" ht="15.75" customHeight="1">
      <c r="AE11259"/>
    </row>
    <row r="11260" spans="31:31" ht="15.75" customHeight="1">
      <c r="AE11260"/>
    </row>
    <row r="11261" spans="31:31" ht="15.75" customHeight="1">
      <c r="AE11261"/>
    </row>
    <row r="11262" spans="31:31" ht="15.75" customHeight="1">
      <c r="AE11262"/>
    </row>
    <row r="11263" spans="31:31" ht="15.75" customHeight="1">
      <c r="AE11263"/>
    </row>
    <row r="11264" spans="31:31" ht="15.75" customHeight="1">
      <c r="AE11264"/>
    </row>
    <row r="11265" spans="31:31" ht="15.75" customHeight="1">
      <c r="AE11265"/>
    </row>
    <row r="11266" spans="31:31" ht="15.75" customHeight="1">
      <c r="AE11266"/>
    </row>
    <row r="11267" spans="31:31" ht="15.75" customHeight="1">
      <c r="AE11267"/>
    </row>
    <row r="11268" spans="31:31" ht="15.75" customHeight="1">
      <c r="AE11268"/>
    </row>
    <row r="11269" spans="31:31" ht="15.75" customHeight="1">
      <c r="AE11269"/>
    </row>
    <row r="11270" spans="31:31" ht="15.75" customHeight="1">
      <c r="AE11270"/>
    </row>
    <row r="11271" spans="31:31" ht="15.75" customHeight="1">
      <c r="AE11271"/>
    </row>
    <row r="11272" spans="31:31" ht="15.75" customHeight="1">
      <c r="AE11272"/>
    </row>
    <row r="11273" spans="31:31" ht="15.75" customHeight="1">
      <c r="AE11273"/>
    </row>
    <row r="11274" spans="31:31" ht="15.75" customHeight="1">
      <c r="AE11274"/>
    </row>
    <row r="11275" spans="31:31" ht="15.75" customHeight="1">
      <c r="AE11275"/>
    </row>
    <row r="11276" spans="31:31" ht="15.75" customHeight="1">
      <c r="AE11276"/>
    </row>
    <row r="11277" spans="31:31" ht="15.75" customHeight="1">
      <c r="AE11277"/>
    </row>
    <row r="11278" spans="31:31" ht="15.75" customHeight="1">
      <c r="AE11278"/>
    </row>
    <row r="11279" spans="31:31" ht="15.75" customHeight="1">
      <c r="AE11279"/>
    </row>
    <row r="11280" spans="31:31" ht="15.75" customHeight="1">
      <c r="AE11280"/>
    </row>
    <row r="11281" spans="31:31" ht="15.75" customHeight="1">
      <c r="AE11281"/>
    </row>
    <row r="11282" spans="31:31" ht="15.75" customHeight="1">
      <c r="AE11282"/>
    </row>
    <row r="11283" spans="31:31" ht="15.75" customHeight="1">
      <c r="AE11283"/>
    </row>
    <row r="11284" spans="31:31" ht="15.75" customHeight="1">
      <c r="AE11284"/>
    </row>
    <row r="11285" spans="31:31" ht="15.75" customHeight="1">
      <c r="AE11285"/>
    </row>
    <row r="11286" spans="31:31" ht="15.75" customHeight="1">
      <c r="AE11286"/>
    </row>
    <row r="11287" spans="31:31" ht="15.75" customHeight="1">
      <c r="AE11287"/>
    </row>
    <row r="11288" spans="31:31" ht="15.75" customHeight="1">
      <c r="AE11288"/>
    </row>
    <row r="11289" spans="31:31" ht="15.75" customHeight="1">
      <c r="AE11289"/>
    </row>
    <row r="11290" spans="31:31" ht="15.75" customHeight="1">
      <c r="AE11290"/>
    </row>
    <row r="11291" spans="31:31" ht="15.75" customHeight="1">
      <c r="AE11291"/>
    </row>
    <row r="11292" spans="31:31" ht="15.75" customHeight="1">
      <c r="AE11292"/>
    </row>
    <row r="11293" spans="31:31" ht="15.75" customHeight="1">
      <c r="AE11293"/>
    </row>
    <row r="11294" spans="31:31" ht="15.75" customHeight="1">
      <c r="AE11294"/>
    </row>
    <row r="11295" spans="31:31" ht="15.75" customHeight="1">
      <c r="AE11295"/>
    </row>
    <row r="11296" spans="31:31" ht="15.75" customHeight="1">
      <c r="AE11296"/>
    </row>
    <row r="11297" spans="31:31" ht="15.75" customHeight="1">
      <c r="AE11297"/>
    </row>
    <row r="11298" spans="31:31" ht="15.75" customHeight="1">
      <c r="AE11298"/>
    </row>
    <row r="11299" spans="31:31" ht="15.75" customHeight="1">
      <c r="AE11299"/>
    </row>
    <row r="11300" spans="31:31" ht="15.75" customHeight="1">
      <c r="AE11300"/>
    </row>
    <row r="11301" spans="31:31" ht="15.75" customHeight="1">
      <c r="AE11301"/>
    </row>
    <row r="11302" spans="31:31" ht="15.75" customHeight="1">
      <c r="AE11302"/>
    </row>
    <row r="11303" spans="31:31" ht="15.75" customHeight="1">
      <c r="AE11303"/>
    </row>
    <row r="11304" spans="31:31" ht="15.75" customHeight="1">
      <c r="AE11304"/>
    </row>
    <row r="11305" spans="31:31" ht="15.75" customHeight="1">
      <c r="AE11305"/>
    </row>
    <row r="11306" spans="31:31" ht="15.75" customHeight="1">
      <c r="AE11306"/>
    </row>
    <row r="11307" spans="31:31" ht="15.75" customHeight="1">
      <c r="AE11307"/>
    </row>
    <row r="11308" spans="31:31" ht="15.75" customHeight="1">
      <c r="AE11308"/>
    </row>
    <row r="11309" spans="31:31" ht="15.75" customHeight="1">
      <c r="AE11309"/>
    </row>
    <row r="11310" spans="31:31" ht="15.75" customHeight="1">
      <c r="AE11310"/>
    </row>
    <row r="11311" spans="31:31" ht="15.75" customHeight="1">
      <c r="AE11311"/>
    </row>
    <row r="11312" spans="31:31" ht="15.75" customHeight="1">
      <c r="AE11312"/>
    </row>
    <row r="11313" spans="31:31" ht="15.75" customHeight="1">
      <c r="AE11313"/>
    </row>
    <row r="11314" spans="31:31" ht="15.75" customHeight="1">
      <c r="AE11314"/>
    </row>
    <row r="11315" spans="31:31" ht="15.75" customHeight="1">
      <c r="AE11315"/>
    </row>
    <row r="11316" spans="31:31" ht="15.75" customHeight="1">
      <c r="AE11316"/>
    </row>
    <row r="11317" spans="31:31" ht="15.75" customHeight="1">
      <c r="AE11317"/>
    </row>
    <row r="11318" spans="31:31" ht="15.75" customHeight="1">
      <c r="AE11318"/>
    </row>
    <row r="11319" spans="31:31" ht="15.75" customHeight="1">
      <c r="AE11319"/>
    </row>
    <row r="11320" spans="31:31" ht="15.75" customHeight="1">
      <c r="AE11320"/>
    </row>
    <row r="11321" spans="31:31" ht="15.75" customHeight="1">
      <c r="AE11321"/>
    </row>
    <row r="11322" spans="31:31" ht="15.75" customHeight="1">
      <c r="AE11322"/>
    </row>
    <row r="11323" spans="31:31" ht="15.75" customHeight="1">
      <c r="AE11323"/>
    </row>
    <row r="11324" spans="31:31" ht="15.75" customHeight="1">
      <c r="AE11324"/>
    </row>
    <row r="11325" spans="31:31" ht="15.75" customHeight="1">
      <c r="AE11325"/>
    </row>
    <row r="11326" spans="31:31" ht="15.75" customHeight="1">
      <c r="AE11326"/>
    </row>
    <row r="11327" spans="31:31" ht="15.75" customHeight="1">
      <c r="AE11327"/>
    </row>
    <row r="11328" spans="31:31" ht="15.75" customHeight="1">
      <c r="AE11328"/>
    </row>
    <row r="11329" spans="31:31" ht="15.75" customHeight="1">
      <c r="AE11329"/>
    </row>
    <row r="11330" spans="31:31" ht="15.75" customHeight="1">
      <c r="AE11330"/>
    </row>
    <row r="11331" spans="31:31" ht="15.75" customHeight="1">
      <c r="AE11331"/>
    </row>
    <row r="11332" spans="31:31" ht="15.75" customHeight="1">
      <c r="AE11332"/>
    </row>
    <row r="11333" spans="31:31" ht="15.75" customHeight="1">
      <c r="AE11333"/>
    </row>
    <row r="11334" spans="31:31" ht="15.75" customHeight="1">
      <c r="AE11334"/>
    </row>
    <row r="11335" spans="31:31" ht="15.75" customHeight="1">
      <c r="AE11335"/>
    </row>
    <row r="11336" spans="31:31" ht="15.75" customHeight="1">
      <c r="AE11336"/>
    </row>
    <row r="11337" spans="31:31" ht="15.75" customHeight="1">
      <c r="AE11337"/>
    </row>
    <row r="11338" spans="31:31" ht="15.75" customHeight="1">
      <c r="AE11338"/>
    </row>
    <row r="11339" spans="31:31" ht="15.75" customHeight="1">
      <c r="AE11339"/>
    </row>
    <row r="11340" spans="31:31" ht="15.75" customHeight="1">
      <c r="AE11340"/>
    </row>
    <row r="11341" spans="31:31" ht="15.75" customHeight="1">
      <c r="AE11341"/>
    </row>
    <row r="11342" spans="31:31" ht="15.75" customHeight="1">
      <c r="AE11342"/>
    </row>
    <row r="11343" spans="31:31" ht="15.75" customHeight="1">
      <c r="AE11343"/>
    </row>
    <row r="11344" spans="31:31" ht="15.75" customHeight="1">
      <c r="AE11344"/>
    </row>
    <row r="11345" spans="31:31" ht="15.75" customHeight="1">
      <c r="AE11345"/>
    </row>
    <row r="11346" spans="31:31" ht="15.75" customHeight="1">
      <c r="AE11346"/>
    </row>
    <row r="11347" spans="31:31" ht="15.75" customHeight="1">
      <c r="AE11347"/>
    </row>
    <row r="11348" spans="31:31" ht="15.75" customHeight="1">
      <c r="AE11348"/>
    </row>
    <row r="11349" spans="31:31" ht="15.75" customHeight="1">
      <c r="AE11349"/>
    </row>
    <row r="11350" spans="31:31" ht="15.75" customHeight="1">
      <c r="AE11350"/>
    </row>
    <row r="11351" spans="31:31" ht="15.75" customHeight="1">
      <c r="AE11351"/>
    </row>
    <row r="11352" spans="31:31" ht="15.75" customHeight="1">
      <c r="AE11352"/>
    </row>
    <row r="11353" spans="31:31" ht="15.75" customHeight="1">
      <c r="AE11353"/>
    </row>
    <row r="11354" spans="31:31" ht="15.75" customHeight="1">
      <c r="AE11354"/>
    </row>
    <row r="11355" spans="31:31" ht="15.75" customHeight="1">
      <c r="AE11355"/>
    </row>
    <row r="11356" spans="31:31" ht="15.75" customHeight="1">
      <c r="AE11356"/>
    </row>
    <row r="11357" spans="31:31" ht="15.75" customHeight="1">
      <c r="AE11357"/>
    </row>
    <row r="11358" spans="31:31" ht="15.75" customHeight="1">
      <c r="AE11358"/>
    </row>
    <row r="11359" spans="31:31" ht="15.75" customHeight="1">
      <c r="AE11359"/>
    </row>
    <row r="11360" spans="31:31" ht="15.75" customHeight="1">
      <c r="AE11360"/>
    </row>
    <row r="11361" spans="31:31" ht="15.75" customHeight="1">
      <c r="AE11361"/>
    </row>
    <row r="11362" spans="31:31" ht="15.75" customHeight="1">
      <c r="AE11362"/>
    </row>
    <row r="11363" spans="31:31" ht="15.75" customHeight="1">
      <c r="AE11363"/>
    </row>
    <row r="11364" spans="31:31" ht="15.75" customHeight="1">
      <c r="AE11364"/>
    </row>
    <row r="11365" spans="31:31" ht="15.75" customHeight="1">
      <c r="AE11365"/>
    </row>
    <row r="11366" spans="31:31" ht="15.75" customHeight="1">
      <c r="AE11366"/>
    </row>
    <row r="11367" spans="31:31" ht="15.75" customHeight="1">
      <c r="AE11367"/>
    </row>
    <row r="11368" spans="31:31" ht="15.75" customHeight="1">
      <c r="AE11368"/>
    </row>
    <row r="11369" spans="31:31" ht="15.75" customHeight="1">
      <c r="AE11369"/>
    </row>
    <row r="11370" spans="31:31" ht="15.75" customHeight="1">
      <c r="AE11370"/>
    </row>
    <row r="11371" spans="31:31" ht="15.75" customHeight="1">
      <c r="AE11371"/>
    </row>
    <row r="11372" spans="31:31" ht="15.75" customHeight="1">
      <c r="AE11372"/>
    </row>
    <row r="11373" spans="31:31" ht="15.75" customHeight="1">
      <c r="AE11373"/>
    </row>
    <row r="11374" spans="31:31" ht="15.75" customHeight="1">
      <c r="AE11374"/>
    </row>
    <row r="11375" spans="31:31" ht="15.75" customHeight="1">
      <c r="AE11375"/>
    </row>
    <row r="11376" spans="31:31" ht="15.75" customHeight="1">
      <c r="AE11376"/>
    </row>
    <row r="11377" spans="31:31" ht="15.75" customHeight="1">
      <c r="AE11377"/>
    </row>
    <row r="11378" spans="31:31" ht="15.75" customHeight="1">
      <c r="AE11378"/>
    </row>
    <row r="11379" spans="31:31" ht="15.75" customHeight="1">
      <c r="AE11379"/>
    </row>
    <row r="11380" spans="31:31" ht="15.75" customHeight="1">
      <c r="AE11380"/>
    </row>
    <row r="11381" spans="31:31" ht="15.75" customHeight="1">
      <c r="AE11381"/>
    </row>
    <row r="11382" spans="31:31" ht="15.75" customHeight="1">
      <c r="AE11382"/>
    </row>
    <row r="11383" spans="31:31" ht="15.75" customHeight="1">
      <c r="AE11383"/>
    </row>
    <row r="11384" spans="31:31" ht="15.75" customHeight="1">
      <c r="AE11384"/>
    </row>
    <row r="11385" spans="31:31" ht="15.75" customHeight="1">
      <c r="AE11385"/>
    </row>
    <row r="11386" spans="31:31" ht="15.75" customHeight="1">
      <c r="AE11386"/>
    </row>
    <row r="11387" spans="31:31" ht="15.75" customHeight="1">
      <c r="AE11387"/>
    </row>
    <row r="11388" spans="31:31" ht="15.75" customHeight="1">
      <c r="AE11388"/>
    </row>
    <row r="11389" spans="31:31" ht="15.75" customHeight="1">
      <c r="AE11389"/>
    </row>
    <row r="11390" spans="31:31" ht="15.75" customHeight="1">
      <c r="AE11390"/>
    </row>
    <row r="11391" spans="31:31" ht="15.75" customHeight="1">
      <c r="AE11391"/>
    </row>
    <row r="11392" spans="31:31" ht="15.75" customHeight="1">
      <c r="AE11392"/>
    </row>
    <row r="11393" spans="31:31" ht="15.75" customHeight="1">
      <c r="AE11393"/>
    </row>
    <row r="11394" spans="31:31" ht="15.75" customHeight="1">
      <c r="AE11394"/>
    </row>
    <row r="11395" spans="31:31" ht="15.75" customHeight="1">
      <c r="AE11395"/>
    </row>
    <row r="11396" spans="31:31" ht="15.75" customHeight="1">
      <c r="AE11396"/>
    </row>
    <row r="11397" spans="31:31" ht="15.75" customHeight="1">
      <c r="AE11397"/>
    </row>
    <row r="11398" spans="31:31" ht="15.75" customHeight="1">
      <c r="AE11398"/>
    </row>
    <row r="11399" spans="31:31" ht="15.75" customHeight="1">
      <c r="AE11399"/>
    </row>
    <row r="11400" spans="31:31" ht="15.75" customHeight="1">
      <c r="AE11400"/>
    </row>
    <row r="11401" spans="31:31" ht="15.75" customHeight="1">
      <c r="AE11401"/>
    </row>
    <row r="11402" spans="31:31" ht="15.75" customHeight="1">
      <c r="AE11402"/>
    </row>
    <row r="11403" spans="31:31" ht="15.75" customHeight="1">
      <c r="AE11403"/>
    </row>
    <row r="11404" spans="31:31" ht="15.75" customHeight="1">
      <c r="AE11404"/>
    </row>
    <row r="11405" spans="31:31" ht="15.75" customHeight="1">
      <c r="AE11405"/>
    </row>
    <row r="11406" spans="31:31" ht="15.75" customHeight="1">
      <c r="AE11406"/>
    </row>
    <row r="11407" spans="31:31" ht="15.75" customHeight="1">
      <c r="AE11407"/>
    </row>
    <row r="11408" spans="31:31" ht="15.75" customHeight="1">
      <c r="AE11408"/>
    </row>
    <row r="11409" spans="31:31" ht="15.75" customHeight="1">
      <c r="AE11409"/>
    </row>
    <row r="11410" spans="31:31" ht="15.75" customHeight="1">
      <c r="AE11410"/>
    </row>
    <row r="11411" spans="31:31" ht="15.75" customHeight="1">
      <c r="AE11411"/>
    </row>
    <row r="11412" spans="31:31" ht="15.75" customHeight="1">
      <c r="AE11412"/>
    </row>
    <row r="11413" spans="31:31" ht="15.75" customHeight="1">
      <c r="AE11413"/>
    </row>
    <row r="11414" spans="31:31" ht="15.75" customHeight="1">
      <c r="AE11414"/>
    </row>
    <row r="11415" spans="31:31" ht="15.75" customHeight="1">
      <c r="AE11415"/>
    </row>
    <row r="11416" spans="31:31" ht="15.75" customHeight="1">
      <c r="AE11416"/>
    </row>
    <row r="11417" spans="31:31" ht="15.75" customHeight="1">
      <c r="AE11417"/>
    </row>
    <row r="11418" spans="31:31" ht="15.75" customHeight="1">
      <c r="AE11418"/>
    </row>
    <row r="11419" spans="31:31" ht="15.75" customHeight="1">
      <c r="AE11419"/>
    </row>
    <row r="11420" spans="31:31" ht="15.75" customHeight="1">
      <c r="AE11420"/>
    </row>
    <row r="11421" spans="31:31" ht="15.75" customHeight="1">
      <c r="AE11421"/>
    </row>
    <row r="11422" spans="31:31" ht="15.75" customHeight="1">
      <c r="AE11422"/>
    </row>
    <row r="11423" spans="31:31" ht="15.75" customHeight="1">
      <c r="AE11423"/>
    </row>
    <row r="11424" spans="31:31" ht="15.75" customHeight="1">
      <c r="AE11424"/>
    </row>
    <row r="11425" spans="31:31" ht="15.75" customHeight="1">
      <c r="AE11425"/>
    </row>
    <row r="11426" spans="31:31" ht="15.75" customHeight="1">
      <c r="AE11426"/>
    </row>
    <row r="11427" spans="31:31" ht="15.75" customHeight="1">
      <c r="AE11427"/>
    </row>
    <row r="11428" spans="31:31" ht="15.75" customHeight="1">
      <c r="AE11428"/>
    </row>
    <row r="11429" spans="31:31" ht="15.75" customHeight="1">
      <c r="AE11429"/>
    </row>
    <row r="11430" spans="31:31" ht="15.75" customHeight="1">
      <c r="AE11430"/>
    </row>
    <row r="11431" spans="31:31" ht="15.75" customHeight="1">
      <c r="AE11431"/>
    </row>
    <row r="11432" spans="31:31" ht="15.75" customHeight="1">
      <c r="AE11432"/>
    </row>
    <row r="11433" spans="31:31" ht="15.75" customHeight="1">
      <c r="AE11433"/>
    </row>
    <row r="11434" spans="31:31" ht="15.75" customHeight="1">
      <c r="AE11434"/>
    </row>
    <row r="11435" spans="31:31" ht="15.75" customHeight="1">
      <c r="AE11435"/>
    </row>
    <row r="11436" spans="31:31" ht="15.75" customHeight="1">
      <c r="AE11436"/>
    </row>
    <row r="11437" spans="31:31" ht="15.75" customHeight="1">
      <c r="AE11437"/>
    </row>
    <row r="11438" spans="31:31" ht="15.75" customHeight="1">
      <c r="AE11438"/>
    </row>
    <row r="11439" spans="31:31" ht="15.75" customHeight="1">
      <c r="AE11439"/>
    </row>
    <row r="11440" spans="31:31" ht="15.75" customHeight="1">
      <c r="AE11440"/>
    </row>
    <row r="11441" spans="31:31" ht="15.75" customHeight="1">
      <c r="AE11441"/>
    </row>
    <row r="11442" spans="31:31" ht="15.75" customHeight="1">
      <c r="AE11442"/>
    </row>
    <row r="11443" spans="31:31" ht="15.75" customHeight="1">
      <c r="AE11443"/>
    </row>
    <row r="11444" spans="31:31" ht="15.75" customHeight="1">
      <c r="AE11444"/>
    </row>
    <row r="11445" spans="31:31" ht="15.75" customHeight="1">
      <c r="AE11445"/>
    </row>
    <row r="11446" spans="31:31" ht="15.75" customHeight="1">
      <c r="AE11446"/>
    </row>
    <row r="11447" spans="31:31" ht="15.75" customHeight="1">
      <c r="AE11447"/>
    </row>
    <row r="11448" spans="31:31" ht="15.75" customHeight="1">
      <c r="AE11448"/>
    </row>
    <row r="11449" spans="31:31" ht="15.75" customHeight="1">
      <c r="AE11449"/>
    </row>
    <row r="11450" spans="31:31" ht="15.75" customHeight="1">
      <c r="AE11450"/>
    </row>
    <row r="11451" spans="31:31" ht="15.75" customHeight="1">
      <c r="AE11451"/>
    </row>
    <row r="11452" spans="31:31" ht="15.75" customHeight="1">
      <c r="AE11452"/>
    </row>
    <row r="11453" spans="31:31" ht="15.75" customHeight="1">
      <c r="AE11453"/>
    </row>
    <row r="11454" spans="31:31" ht="15.75" customHeight="1">
      <c r="AE11454"/>
    </row>
    <row r="11455" spans="31:31" ht="15.75" customHeight="1">
      <c r="AE11455"/>
    </row>
    <row r="11456" spans="31:31" ht="15.75" customHeight="1">
      <c r="AE11456"/>
    </row>
    <row r="11457" spans="31:31" ht="15.75" customHeight="1">
      <c r="AE11457"/>
    </row>
    <row r="11458" spans="31:31" ht="15.75" customHeight="1">
      <c r="AE11458"/>
    </row>
    <row r="11459" spans="31:31" ht="15.75" customHeight="1">
      <c r="AE11459"/>
    </row>
    <row r="11460" spans="31:31" ht="15.75" customHeight="1">
      <c r="AE11460"/>
    </row>
    <row r="11461" spans="31:31" ht="15.75" customHeight="1">
      <c r="AE11461"/>
    </row>
    <row r="11462" spans="31:31" ht="15.75" customHeight="1">
      <c r="AE11462"/>
    </row>
    <row r="11463" spans="31:31" ht="15.75" customHeight="1">
      <c r="AE11463"/>
    </row>
    <row r="11464" spans="31:31" ht="15.75" customHeight="1">
      <c r="AE11464"/>
    </row>
    <row r="11465" spans="31:31" ht="15.75" customHeight="1">
      <c r="AE11465"/>
    </row>
    <row r="11466" spans="31:31" ht="15.75" customHeight="1">
      <c r="AE11466"/>
    </row>
    <row r="11467" spans="31:31" ht="15.75" customHeight="1">
      <c r="AE11467"/>
    </row>
    <row r="11468" spans="31:31" ht="15.75" customHeight="1">
      <c r="AE11468"/>
    </row>
    <row r="11469" spans="31:31" ht="15.75" customHeight="1">
      <c r="AE11469"/>
    </row>
    <row r="11470" spans="31:31" ht="15.75" customHeight="1">
      <c r="AE11470"/>
    </row>
    <row r="11471" spans="31:31" ht="15.75" customHeight="1">
      <c r="AE11471"/>
    </row>
    <row r="11472" spans="31:31" ht="15.75" customHeight="1">
      <c r="AE11472"/>
    </row>
    <row r="11473" spans="31:31" ht="15.75" customHeight="1">
      <c r="AE11473"/>
    </row>
    <row r="11474" spans="31:31" ht="15.75" customHeight="1">
      <c r="AE11474"/>
    </row>
    <row r="11475" spans="31:31" ht="15.75" customHeight="1">
      <c r="AE11475"/>
    </row>
    <row r="11476" spans="31:31" ht="15.75" customHeight="1">
      <c r="AE11476"/>
    </row>
    <row r="11477" spans="31:31" ht="15.75" customHeight="1">
      <c r="AE11477"/>
    </row>
    <row r="11478" spans="31:31" ht="15.75" customHeight="1">
      <c r="AE11478"/>
    </row>
    <row r="11479" spans="31:31" ht="15.75" customHeight="1">
      <c r="AE11479"/>
    </row>
    <row r="11480" spans="31:31" ht="15.75" customHeight="1">
      <c r="AE11480"/>
    </row>
    <row r="11481" spans="31:31" ht="15.75" customHeight="1">
      <c r="AE11481"/>
    </row>
    <row r="11482" spans="31:31" ht="15.75" customHeight="1">
      <c r="AE11482"/>
    </row>
    <row r="11483" spans="31:31" ht="15.75" customHeight="1">
      <c r="AE11483"/>
    </row>
    <row r="11484" spans="31:31" ht="15.75" customHeight="1">
      <c r="AE11484"/>
    </row>
    <row r="11485" spans="31:31" ht="15.75" customHeight="1">
      <c r="AE11485"/>
    </row>
    <row r="11486" spans="31:31" ht="15.75" customHeight="1">
      <c r="AE11486"/>
    </row>
    <row r="11487" spans="31:31" ht="15.75" customHeight="1">
      <c r="AE11487"/>
    </row>
    <row r="11488" spans="31:31" ht="15.75" customHeight="1">
      <c r="AE11488"/>
    </row>
    <row r="11489" spans="31:31" ht="15.75" customHeight="1">
      <c r="AE11489"/>
    </row>
    <row r="11490" spans="31:31" ht="15.75" customHeight="1">
      <c r="AE11490"/>
    </row>
    <row r="11491" spans="31:31" ht="15.75" customHeight="1">
      <c r="AE11491"/>
    </row>
    <row r="11492" spans="31:31" ht="15.75" customHeight="1">
      <c r="AE11492"/>
    </row>
    <row r="11493" spans="31:31" ht="15.75" customHeight="1">
      <c r="AE11493"/>
    </row>
    <row r="11494" spans="31:31" ht="15.75" customHeight="1">
      <c r="AE11494"/>
    </row>
    <row r="11495" spans="31:31" ht="15.75" customHeight="1">
      <c r="AE11495"/>
    </row>
    <row r="11496" spans="31:31" ht="15.75" customHeight="1">
      <c r="AE11496"/>
    </row>
    <row r="11497" spans="31:31" ht="15.75" customHeight="1">
      <c r="AE11497"/>
    </row>
    <row r="11498" spans="31:31" ht="15.75" customHeight="1">
      <c r="AE11498"/>
    </row>
    <row r="11499" spans="31:31" ht="15.75" customHeight="1">
      <c r="AE11499"/>
    </row>
    <row r="11500" spans="31:31" ht="15.75" customHeight="1">
      <c r="AE11500"/>
    </row>
    <row r="11501" spans="31:31" ht="15.75" customHeight="1">
      <c r="AE11501"/>
    </row>
    <row r="11502" spans="31:31" ht="15.75" customHeight="1">
      <c r="AE11502"/>
    </row>
    <row r="11503" spans="31:31" ht="15.75" customHeight="1">
      <c r="AE11503"/>
    </row>
    <row r="11504" spans="31:31" ht="15.75" customHeight="1">
      <c r="AE11504"/>
    </row>
    <row r="11505" spans="31:31" ht="15.75" customHeight="1">
      <c r="AE11505"/>
    </row>
    <row r="11506" spans="31:31" ht="15.75" customHeight="1">
      <c r="AE11506"/>
    </row>
    <row r="11507" spans="31:31" ht="15.75" customHeight="1">
      <c r="AE11507"/>
    </row>
    <row r="11508" spans="31:31" ht="15.75" customHeight="1">
      <c r="AE11508"/>
    </row>
    <row r="11509" spans="31:31" ht="15.75" customHeight="1">
      <c r="AE11509"/>
    </row>
    <row r="11510" spans="31:31" ht="15.75" customHeight="1">
      <c r="AE11510"/>
    </row>
    <row r="11511" spans="31:31" ht="15.75" customHeight="1">
      <c r="AE11511"/>
    </row>
    <row r="11512" spans="31:31" ht="15.75" customHeight="1">
      <c r="AE11512"/>
    </row>
    <row r="11513" spans="31:31" ht="15.75" customHeight="1">
      <c r="AE11513"/>
    </row>
    <row r="11514" spans="31:31" ht="15.75" customHeight="1">
      <c r="AE11514"/>
    </row>
    <row r="11515" spans="31:31" ht="15.75" customHeight="1">
      <c r="AE11515"/>
    </row>
    <row r="11516" spans="31:31" ht="15.75" customHeight="1">
      <c r="AE11516"/>
    </row>
    <row r="11517" spans="31:31" ht="15.75" customHeight="1">
      <c r="AE11517"/>
    </row>
    <row r="11518" spans="31:31" ht="15.75" customHeight="1">
      <c r="AE11518"/>
    </row>
    <row r="11519" spans="31:31" ht="15.75" customHeight="1">
      <c r="AE11519"/>
    </row>
    <row r="11520" spans="31:31" ht="15.75" customHeight="1">
      <c r="AE11520"/>
    </row>
    <row r="11521" spans="31:31" ht="15.75" customHeight="1">
      <c r="AE11521"/>
    </row>
    <row r="11522" spans="31:31" ht="15.75" customHeight="1">
      <c r="AE11522"/>
    </row>
    <row r="11523" spans="31:31" ht="15.75" customHeight="1">
      <c r="AE11523"/>
    </row>
    <row r="11524" spans="31:31" ht="15.75" customHeight="1">
      <c r="AE11524"/>
    </row>
    <row r="11525" spans="31:31" ht="15.75" customHeight="1">
      <c r="AE11525"/>
    </row>
    <row r="11526" spans="31:31" ht="15.75" customHeight="1">
      <c r="AE11526"/>
    </row>
    <row r="11527" spans="31:31" ht="15.75" customHeight="1">
      <c r="AE11527"/>
    </row>
    <row r="11528" spans="31:31" ht="15.75" customHeight="1">
      <c r="AE11528"/>
    </row>
    <row r="11529" spans="31:31" ht="15.75" customHeight="1">
      <c r="AE11529"/>
    </row>
    <row r="11530" spans="31:31" ht="15.75" customHeight="1">
      <c r="AE11530"/>
    </row>
    <row r="11531" spans="31:31" ht="15.75" customHeight="1">
      <c r="AE11531"/>
    </row>
    <row r="11532" spans="31:31" ht="15.75" customHeight="1">
      <c r="AE11532"/>
    </row>
    <row r="11533" spans="31:31" ht="15.75" customHeight="1">
      <c r="AE11533"/>
    </row>
    <row r="11534" spans="31:31" ht="15.75" customHeight="1">
      <c r="AE11534"/>
    </row>
    <row r="11535" spans="31:31" ht="15.75" customHeight="1">
      <c r="AE11535"/>
    </row>
    <row r="11536" spans="31:31" ht="15.75" customHeight="1">
      <c r="AE11536"/>
    </row>
    <row r="11537" spans="31:31" ht="15.75" customHeight="1">
      <c r="AE11537"/>
    </row>
    <row r="11538" spans="31:31" ht="15.75" customHeight="1">
      <c r="AE11538"/>
    </row>
    <row r="11539" spans="31:31" ht="15.75" customHeight="1">
      <c r="AE11539"/>
    </row>
    <row r="11540" spans="31:31" ht="15.75" customHeight="1">
      <c r="AE11540"/>
    </row>
    <row r="11541" spans="31:31" ht="15.75" customHeight="1">
      <c r="AE11541"/>
    </row>
    <row r="11542" spans="31:31" ht="15.75" customHeight="1">
      <c r="AE11542"/>
    </row>
    <row r="11543" spans="31:31" ht="15.75" customHeight="1">
      <c r="AE11543"/>
    </row>
    <row r="11544" spans="31:31" ht="15.75" customHeight="1">
      <c r="AE11544"/>
    </row>
    <row r="11545" spans="31:31" ht="15.75" customHeight="1">
      <c r="AE11545"/>
    </row>
    <row r="11546" spans="31:31" ht="15.75" customHeight="1">
      <c r="AE11546"/>
    </row>
    <row r="11547" spans="31:31" ht="15.75" customHeight="1">
      <c r="AE11547"/>
    </row>
    <row r="11548" spans="31:31" ht="15.75" customHeight="1">
      <c r="AE11548"/>
    </row>
    <row r="11549" spans="31:31" ht="15.75" customHeight="1">
      <c r="AE11549"/>
    </row>
    <row r="11550" spans="31:31" ht="15.75" customHeight="1">
      <c r="AE11550"/>
    </row>
    <row r="11551" spans="31:31" ht="15.75" customHeight="1">
      <c r="AE11551"/>
    </row>
    <row r="11552" spans="31:31" ht="15.75" customHeight="1">
      <c r="AE11552"/>
    </row>
    <row r="11553" spans="31:31" ht="15.75" customHeight="1">
      <c r="AE11553"/>
    </row>
    <row r="11554" spans="31:31" ht="15.75" customHeight="1">
      <c r="AE11554"/>
    </row>
    <row r="11555" spans="31:31" ht="15.75" customHeight="1">
      <c r="AE11555"/>
    </row>
    <row r="11556" spans="31:31" ht="15.75" customHeight="1">
      <c r="AE11556"/>
    </row>
    <row r="11557" spans="31:31" ht="15.75" customHeight="1">
      <c r="AE11557"/>
    </row>
    <row r="11558" spans="31:31" ht="15.75" customHeight="1">
      <c r="AE11558"/>
    </row>
    <row r="11559" spans="31:31" ht="15.75" customHeight="1">
      <c r="AE11559"/>
    </row>
    <row r="11560" spans="31:31" ht="15.75" customHeight="1">
      <c r="AE11560"/>
    </row>
    <row r="11561" spans="31:31" ht="15.75" customHeight="1">
      <c r="AE11561"/>
    </row>
    <row r="11562" spans="31:31" ht="15.75" customHeight="1">
      <c r="AE11562"/>
    </row>
    <row r="11563" spans="31:31" ht="15.75" customHeight="1">
      <c r="AE11563"/>
    </row>
    <row r="11564" spans="31:31" ht="15.75" customHeight="1">
      <c r="AE11564"/>
    </row>
    <row r="11565" spans="31:31" ht="15.75" customHeight="1">
      <c r="AE11565"/>
    </row>
    <row r="11566" spans="31:31" ht="15.75" customHeight="1">
      <c r="AE11566"/>
    </row>
    <row r="11567" spans="31:31" ht="15.75" customHeight="1">
      <c r="AE11567"/>
    </row>
    <row r="11568" spans="31:31" ht="15.75" customHeight="1">
      <c r="AE11568"/>
    </row>
    <row r="11569" spans="31:31" ht="15.75" customHeight="1">
      <c r="AE11569"/>
    </row>
    <row r="11570" spans="31:31" ht="15.75" customHeight="1">
      <c r="AE11570"/>
    </row>
    <row r="11571" spans="31:31" ht="15.75" customHeight="1">
      <c r="AE11571"/>
    </row>
    <row r="11572" spans="31:31" ht="15.75" customHeight="1">
      <c r="AE11572"/>
    </row>
    <row r="11573" spans="31:31" ht="15.75" customHeight="1">
      <c r="AE11573"/>
    </row>
    <row r="11574" spans="31:31" ht="15.75" customHeight="1">
      <c r="AE11574"/>
    </row>
    <row r="11575" spans="31:31" ht="15.75" customHeight="1">
      <c r="AE11575"/>
    </row>
    <row r="11576" spans="31:31" ht="15.75" customHeight="1">
      <c r="AE11576"/>
    </row>
    <row r="11577" spans="31:31" ht="15.75" customHeight="1">
      <c r="AE11577"/>
    </row>
    <row r="11578" spans="31:31" ht="15.75" customHeight="1">
      <c r="AE11578"/>
    </row>
    <row r="11579" spans="31:31" ht="15.75" customHeight="1">
      <c r="AE11579"/>
    </row>
    <row r="11580" spans="31:31" ht="15.75" customHeight="1">
      <c r="AE11580"/>
    </row>
    <row r="11581" spans="31:31" ht="15.75" customHeight="1">
      <c r="AE11581"/>
    </row>
    <row r="11582" spans="31:31" ht="15.75" customHeight="1">
      <c r="AE11582"/>
    </row>
    <row r="11583" spans="31:31" ht="15.75" customHeight="1">
      <c r="AE11583"/>
    </row>
    <row r="11584" spans="31:31" ht="15.75" customHeight="1">
      <c r="AE11584"/>
    </row>
    <row r="11585" spans="31:31" ht="15.75" customHeight="1">
      <c r="AE11585"/>
    </row>
    <row r="11586" spans="31:31" ht="15.75" customHeight="1">
      <c r="AE11586"/>
    </row>
    <row r="11587" spans="31:31" ht="15.75" customHeight="1">
      <c r="AE11587"/>
    </row>
    <row r="11588" spans="31:31" ht="15.75" customHeight="1">
      <c r="AE11588"/>
    </row>
    <row r="11589" spans="31:31" ht="15.75" customHeight="1">
      <c r="AE11589"/>
    </row>
    <row r="11590" spans="31:31" ht="15.75" customHeight="1">
      <c r="AE11590"/>
    </row>
    <row r="11591" spans="31:31" ht="15.75" customHeight="1">
      <c r="AE11591"/>
    </row>
    <row r="11592" spans="31:31" ht="15.75" customHeight="1">
      <c r="AE11592"/>
    </row>
    <row r="11593" spans="31:31" ht="15.75" customHeight="1">
      <c r="AE11593"/>
    </row>
    <row r="11594" spans="31:31" ht="15.75" customHeight="1">
      <c r="AE11594"/>
    </row>
    <row r="11595" spans="31:31" ht="15.75" customHeight="1">
      <c r="AE11595"/>
    </row>
    <row r="11596" spans="31:31" ht="15.75" customHeight="1">
      <c r="AE11596"/>
    </row>
    <row r="11597" spans="31:31" ht="15.75" customHeight="1">
      <c r="AE11597"/>
    </row>
    <row r="11598" spans="31:31" ht="15.75" customHeight="1">
      <c r="AE11598"/>
    </row>
    <row r="11599" spans="31:31" ht="15.75" customHeight="1">
      <c r="AE11599"/>
    </row>
    <row r="11600" spans="31:31" ht="15.75" customHeight="1">
      <c r="AE11600"/>
    </row>
    <row r="11601" spans="31:31" ht="15.75" customHeight="1">
      <c r="AE11601"/>
    </row>
    <row r="11602" spans="31:31" ht="15.75" customHeight="1">
      <c r="AE11602"/>
    </row>
    <row r="11603" spans="31:31" ht="15.75" customHeight="1">
      <c r="AE11603"/>
    </row>
    <row r="11604" spans="31:31" ht="15.75" customHeight="1">
      <c r="AE11604"/>
    </row>
    <row r="11605" spans="31:31" ht="15.75" customHeight="1">
      <c r="AE11605"/>
    </row>
    <row r="11606" spans="31:31" ht="15.75" customHeight="1">
      <c r="AE11606"/>
    </row>
    <row r="11607" spans="31:31" ht="15.75" customHeight="1">
      <c r="AE11607"/>
    </row>
    <row r="11608" spans="31:31" ht="15.75" customHeight="1">
      <c r="AE11608"/>
    </row>
    <row r="11609" spans="31:31" ht="15.75" customHeight="1">
      <c r="AE11609"/>
    </row>
    <row r="11610" spans="31:31" ht="15.75" customHeight="1">
      <c r="AE11610"/>
    </row>
    <row r="11611" spans="31:31" ht="15.75" customHeight="1">
      <c r="AE11611"/>
    </row>
    <row r="11612" spans="31:31" ht="15.75" customHeight="1">
      <c r="AE11612"/>
    </row>
    <row r="11613" spans="31:31" ht="15.75" customHeight="1">
      <c r="AE11613"/>
    </row>
    <row r="11614" spans="31:31" ht="15.75" customHeight="1">
      <c r="AE11614"/>
    </row>
    <row r="11615" spans="31:31" ht="15.75" customHeight="1">
      <c r="AE11615"/>
    </row>
    <row r="11616" spans="31:31" ht="15.75" customHeight="1">
      <c r="AE11616"/>
    </row>
    <row r="11617" spans="31:31" ht="15.75" customHeight="1">
      <c r="AE11617"/>
    </row>
    <row r="11618" spans="31:31" ht="15.75" customHeight="1">
      <c r="AE11618"/>
    </row>
    <row r="11619" spans="31:31" ht="15.75" customHeight="1">
      <c r="AE11619"/>
    </row>
    <row r="11620" spans="31:31" ht="15.75" customHeight="1">
      <c r="AE11620"/>
    </row>
    <row r="11621" spans="31:31" ht="15.75" customHeight="1">
      <c r="AE11621"/>
    </row>
    <row r="11622" spans="31:31" ht="15.75" customHeight="1">
      <c r="AE11622"/>
    </row>
    <row r="11623" spans="31:31" ht="15.75" customHeight="1">
      <c r="AE11623"/>
    </row>
    <row r="11624" spans="31:31" ht="15.75" customHeight="1">
      <c r="AE11624"/>
    </row>
    <row r="11625" spans="31:31" ht="15.75" customHeight="1">
      <c r="AE11625"/>
    </row>
    <row r="11626" spans="31:31" ht="15.75" customHeight="1">
      <c r="AE11626"/>
    </row>
    <row r="11627" spans="31:31" ht="15.75" customHeight="1">
      <c r="AE11627"/>
    </row>
    <row r="11628" spans="31:31" ht="15.75" customHeight="1">
      <c r="AE11628"/>
    </row>
    <row r="11629" spans="31:31" ht="15.75" customHeight="1">
      <c r="AE11629"/>
    </row>
    <row r="11630" spans="31:31" ht="15.75" customHeight="1">
      <c r="AE11630"/>
    </row>
    <row r="11631" spans="31:31" ht="15.75" customHeight="1">
      <c r="AE11631"/>
    </row>
    <row r="11632" spans="31:31" ht="15.75" customHeight="1">
      <c r="AE11632"/>
    </row>
    <row r="11633" spans="31:31" ht="15.75" customHeight="1">
      <c r="AE11633"/>
    </row>
    <row r="11634" spans="31:31" ht="15.75" customHeight="1">
      <c r="AE11634"/>
    </row>
    <row r="11635" spans="31:31" ht="15.75" customHeight="1">
      <c r="AE11635"/>
    </row>
    <row r="11636" spans="31:31" ht="15.75" customHeight="1">
      <c r="AE11636"/>
    </row>
    <row r="11637" spans="31:31" ht="15.75" customHeight="1">
      <c r="AE11637"/>
    </row>
    <row r="11638" spans="31:31" ht="15.75" customHeight="1">
      <c r="AE11638"/>
    </row>
    <row r="11639" spans="31:31" ht="15.75" customHeight="1">
      <c r="AE11639"/>
    </row>
    <row r="11640" spans="31:31" ht="15.75" customHeight="1">
      <c r="AE11640"/>
    </row>
    <row r="11641" spans="31:31" ht="15.75" customHeight="1">
      <c r="AE11641"/>
    </row>
    <row r="11642" spans="31:31" ht="15.75" customHeight="1">
      <c r="AE11642"/>
    </row>
    <row r="11643" spans="31:31" ht="15.75" customHeight="1">
      <c r="AE11643"/>
    </row>
    <row r="11644" spans="31:31" ht="15.75" customHeight="1">
      <c r="AE11644"/>
    </row>
    <row r="11645" spans="31:31" ht="15.75" customHeight="1">
      <c r="AE11645"/>
    </row>
    <row r="11646" spans="31:31" ht="15.75" customHeight="1">
      <c r="AE11646"/>
    </row>
    <row r="11647" spans="31:31" ht="15.75" customHeight="1">
      <c r="AE11647"/>
    </row>
    <row r="11648" spans="31:31" ht="15.75" customHeight="1">
      <c r="AE11648"/>
    </row>
    <row r="11649" spans="31:31" ht="15.75" customHeight="1">
      <c r="AE11649"/>
    </row>
    <row r="11650" spans="31:31" ht="15.75" customHeight="1">
      <c r="AE11650"/>
    </row>
    <row r="11651" spans="31:31" ht="15.75" customHeight="1">
      <c r="AE11651"/>
    </row>
    <row r="11652" spans="31:31" ht="15.75" customHeight="1">
      <c r="AE11652"/>
    </row>
    <row r="11653" spans="31:31" ht="15.75" customHeight="1">
      <c r="AE11653"/>
    </row>
    <row r="11654" spans="31:31" ht="15.75" customHeight="1">
      <c r="AE11654"/>
    </row>
    <row r="11655" spans="31:31" ht="15.75" customHeight="1">
      <c r="AE11655"/>
    </row>
    <row r="11656" spans="31:31" ht="15.75" customHeight="1">
      <c r="AE11656"/>
    </row>
    <row r="11657" spans="31:31" ht="15.75" customHeight="1">
      <c r="AE11657"/>
    </row>
    <row r="11658" spans="31:31" ht="15.75" customHeight="1">
      <c r="AE11658"/>
    </row>
    <row r="11659" spans="31:31" ht="15.75" customHeight="1">
      <c r="AE11659"/>
    </row>
    <row r="11660" spans="31:31" ht="15.75" customHeight="1">
      <c r="AE11660"/>
    </row>
    <row r="11661" spans="31:31" ht="15.75" customHeight="1">
      <c r="AE11661"/>
    </row>
    <row r="11662" spans="31:31" ht="15.75" customHeight="1">
      <c r="AE11662"/>
    </row>
    <row r="11663" spans="31:31" ht="15.75" customHeight="1">
      <c r="AE11663"/>
    </row>
    <row r="11664" spans="31:31" ht="15.75" customHeight="1">
      <c r="AE11664"/>
    </row>
    <row r="11665" spans="31:31" ht="15.75" customHeight="1">
      <c r="AE11665"/>
    </row>
    <row r="11666" spans="31:31" ht="15.75" customHeight="1">
      <c r="AE11666"/>
    </row>
    <row r="11667" spans="31:31" ht="15.75" customHeight="1">
      <c r="AE11667"/>
    </row>
    <row r="11668" spans="31:31" ht="15.75" customHeight="1">
      <c r="AE11668"/>
    </row>
    <row r="11669" spans="31:31" ht="15.75" customHeight="1">
      <c r="AE11669"/>
    </row>
    <row r="11670" spans="31:31" ht="15.75" customHeight="1">
      <c r="AE11670"/>
    </row>
    <row r="11671" spans="31:31" ht="15.75" customHeight="1">
      <c r="AE11671"/>
    </row>
    <row r="11672" spans="31:31" ht="15.75" customHeight="1">
      <c r="AE11672"/>
    </row>
    <row r="11673" spans="31:31" ht="15.75" customHeight="1">
      <c r="AE11673"/>
    </row>
    <row r="11674" spans="31:31" ht="15.75" customHeight="1">
      <c r="AE11674"/>
    </row>
    <row r="11675" spans="31:31" ht="15.75" customHeight="1">
      <c r="AE11675"/>
    </row>
    <row r="11676" spans="31:31" ht="15.75" customHeight="1">
      <c r="AE11676"/>
    </row>
    <row r="11677" spans="31:31" ht="15.75" customHeight="1">
      <c r="AE11677"/>
    </row>
    <row r="11678" spans="31:31" ht="15.75" customHeight="1">
      <c r="AE11678"/>
    </row>
    <row r="11679" spans="31:31" ht="15.75" customHeight="1">
      <c r="AE11679"/>
    </row>
    <row r="11680" spans="31:31" ht="15.75" customHeight="1">
      <c r="AE11680"/>
    </row>
    <row r="11681" spans="31:31" ht="15.75" customHeight="1">
      <c r="AE11681"/>
    </row>
    <row r="11682" spans="31:31" ht="15.75" customHeight="1">
      <c r="AE11682"/>
    </row>
    <row r="11683" spans="31:31" ht="15.75" customHeight="1">
      <c r="AE11683"/>
    </row>
    <row r="11684" spans="31:31" ht="15.75" customHeight="1">
      <c r="AE11684"/>
    </row>
    <row r="11685" spans="31:31" ht="15.75" customHeight="1">
      <c r="AE11685"/>
    </row>
    <row r="11686" spans="31:31" ht="15.75" customHeight="1">
      <c r="AE11686"/>
    </row>
    <row r="11687" spans="31:31" ht="15.75" customHeight="1">
      <c r="AE11687"/>
    </row>
    <row r="11688" spans="31:31" ht="15.75" customHeight="1">
      <c r="AE11688"/>
    </row>
    <row r="11689" spans="31:31" ht="15.75" customHeight="1">
      <c r="AE11689"/>
    </row>
    <row r="11690" spans="31:31" ht="15.75" customHeight="1">
      <c r="AE11690"/>
    </row>
    <row r="11691" spans="31:31" ht="15.75" customHeight="1">
      <c r="AE11691"/>
    </row>
    <row r="11692" spans="31:31" ht="15.75" customHeight="1">
      <c r="AE11692"/>
    </row>
    <row r="11693" spans="31:31" ht="15.75" customHeight="1">
      <c r="AE11693"/>
    </row>
    <row r="11694" spans="31:31" ht="15.75" customHeight="1">
      <c r="AE11694"/>
    </row>
    <row r="11695" spans="31:31" ht="15.75" customHeight="1">
      <c r="AE11695"/>
    </row>
    <row r="11696" spans="31:31" ht="15.75" customHeight="1">
      <c r="AE11696"/>
    </row>
    <row r="11697" spans="31:31" ht="15.75" customHeight="1">
      <c r="AE11697"/>
    </row>
    <row r="11698" spans="31:31" ht="15.75" customHeight="1">
      <c r="AE11698"/>
    </row>
    <row r="11699" spans="31:31" ht="15.75" customHeight="1">
      <c r="AE11699"/>
    </row>
    <row r="11700" spans="31:31" ht="15.75" customHeight="1">
      <c r="AE11700"/>
    </row>
    <row r="11701" spans="31:31" ht="15.75" customHeight="1">
      <c r="AE11701"/>
    </row>
    <row r="11702" spans="31:31" ht="15.75" customHeight="1">
      <c r="AE11702"/>
    </row>
    <row r="11703" spans="31:31" ht="15.75" customHeight="1">
      <c r="AE11703"/>
    </row>
    <row r="11704" spans="31:31" ht="15.75" customHeight="1">
      <c r="AE11704"/>
    </row>
    <row r="11705" spans="31:31" ht="15.75" customHeight="1">
      <c r="AE11705"/>
    </row>
    <row r="11706" spans="31:31" ht="15.75" customHeight="1">
      <c r="AE11706"/>
    </row>
    <row r="11707" spans="31:31" ht="15.75" customHeight="1">
      <c r="AE11707"/>
    </row>
    <row r="11708" spans="31:31" ht="15.75" customHeight="1">
      <c r="AE11708"/>
    </row>
    <row r="11709" spans="31:31" ht="15.75" customHeight="1">
      <c r="AE11709"/>
    </row>
    <row r="11710" spans="31:31" ht="15.75" customHeight="1">
      <c r="AE11710"/>
    </row>
    <row r="11711" spans="31:31" ht="15.75" customHeight="1">
      <c r="AE11711"/>
    </row>
    <row r="11712" spans="31:31" ht="15.75" customHeight="1">
      <c r="AE11712"/>
    </row>
    <row r="11713" spans="31:31" ht="15.75" customHeight="1">
      <c r="AE11713"/>
    </row>
    <row r="11714" spans="31:31" ht="15.75" customHeight="1">
      <c r="AE11714"/>
    </row>
    <row r="11715" spans="31:31" ht="15.75" customHeight="1">
      <c r="AE11715"/>
    </row>
    <row r="11716" spans="31:31" ht="15.75" customHeight="1">
      <c r="AE11716"/>
    </row>
    <row r="11717" spans="31:31" ht="15.75" customHeight="1">
      <c r="AE11717"/>
    </row>
    <row r="11718" spans="31:31" ht="15.75" customHeight="1">
      <c r="AE11718"/>
    </row>
    <row r="11719" spans="31:31" ht="15.75" customHeight="1">
      <c r="AE11719"/>
    </row>
    <row r="11720" spans="31:31" ht="15.75" customHeight="1">
      <c r="AE11720"/>
    </row>
    <row r="11721" spans="31:31" ht="15.75" customHeight="1">
      <c r="AE11721"/>
    </row>
    <row r="11722" spans="31:31" ht="15.75" customHeight="1">
      <c r="AE11722"/>
    </row>
    <row r="11723" spans="31:31" ht="15.75" customHeight="1">
      <c r="AE11723"/>
    </row>
    <row r="11724" spans="31:31" ht="15.75" customHeight="1">
      <c r="AE11724"/>
    </row>
    <row r="11725" spans="31:31" ht="15.75" customHeight="1">
      <c r="AE11725"/>
    </row>
    <row r="11726" spans="31:31" ht="15.75" customHeight="1">
      <c r="AE11726"/>
    </row>
    <row r="11727" spans="31:31" ht="15.75" customHeight="1">
      <c r="AE11727"/>
    </row>
    <row r="11728" spans="31:31" ht="15.75" customHeight="1">
      <c r="AE11728"/>
    </row>
    <row r="11729" spans="31:31" ht="15.75" customHeight="1">
      <c r="AE11729"/>
    </row>
    <row r="11730" spans="31:31" ht="15.75" customHeight="1">
      <c r="AE11730"/>
    </row>
    <row r="11731" spans="31:31" ht="15.75" customHeight="1">
      <c r="AE11731"/>
    </row>
    <row r="11732" spans="31:31" ht="15.75" customHeight="1">
      <c r="AE11732"/>
    </row>
    <row r="11733" spans="31:31" ht="15.75" customHeight="1">
      <c r="AE11733"/>
    </row>
    <row r="11734" spans="31:31" ht="15.75" customHeight="1">
      <c r="AE11734"/>
    </row>
    <row r="11735" spans="31:31" ht="15.75" customHeight="1">
      <c r="AE11735"/>
    </row>
    <row r="11736" spans="31:31" ht="15.75" customHeight="1">
      <c r="AE11736"/>
    </row>
    <row r="11737" spans="31:31" ht="15.75" customHeight="1">
      <c r="AE11737"/>
    </row>
    <row r="11738" spans="31:31" ht="15.75" customHeight="1">
      <c r="AE11738"/>
    </row>
    <row r="11739" spans="31:31" ht="15.75" customHeight="1">
      <c r="AE11739"/>
    </row>
    <row r="11740" spans="31:31" ht="15.75" customHeight="1">
      <c r="AE11740"/>
    </row>
    <row r="11741" spans="31:31" ht="15.75" customHeight="1">
      <c r="AE11741"/>
    </row>
    <row r="11742" spans="31:31" ht="15.75" customHeight="1">
      <c r="AE11742"/>
    </row>
    <row r="11743" spans="31:31" ht="15.75" customHeight="1">
      <c r="AE11743"/>
    </row>
    <row r="11744" spans="31:31" ht="15.75" customHeight="1">
      <c r="AE11744"/>
    </row>
    <row r="11745" spans="31:31" ht="15.75" customHeight="1">
      <c r="AE11745"/>
    </row>
    <row r="11746" spans="31:31" ht="15.75" customHeight="1">
      <c r="AE11746"/>
    </row>
    <row r="11747" spans="31:31" ht="15.75" customHeight="1">
      <c r="AE11747"/>
    </row>
    <row r="11748" spans="31:31" ht="15.75" customHeight="1">
      <c r="AE11748"/>
    </row>
    <row r="11749" spans="31:31" ht="15.75" customHeight="1">
      <c r="AE11749"/>
    </row>
    <row r="11750" spans="31:31" ht="15.75" customHeight="1">
      <c r="AE11750"/>
    </row>
    <row r="11751" spans="31:31" ht="15.75" customHeight="1">
      <c r="AE11751"/>
    </row>
    <row r="11752" spans="31:31" ht="15.75" customHeight="1">
      <c r="AE11752"/>
    </row>
    <row r="11753" spans="31:31" ht="15.75" customHeight="1">
      <c r="AE11753"/>
    </row>
    <row r="11754" spans="31:31" ht="15.75" customHeight="1">
      <c r="AE11754"/>
    </row>
    <row r="11755" spans="31:31" ht="15.75" customHeight="1">
      <c r="AE11755"/>
    </row>
    <row r="11756" spans="31:31" ht="15.75" customHeight="1">
      <c r="AE11756"/>
    </row>
    <row r="11757" spans="31:31" ht="15.75" customHeight="1">
      <c r="AE11757"/>
    </row>
    <row r="11758" spans="31:31" ht="15.75" customHeight="1">
      <c r="AE11758"/>
    </row>
    <row r="11759" spans="31:31" ht="15.75" customHeight="1">
      <c r="AE11759"/>
    </row>
    <row r="11760" spans="31:31" ht="15.75" customHeight="1">
      <c r="AE11760"/>
    </row>
    <row r="11761" spans="31:31" ht="15.75" customHeight="1">
      <c r="AE11761"/>
    </row>
    <row r="11762" spans="31:31" ht="15.75" customHeight="1">
      <c r="AE11762"/>
    </row>
    <row r="11763" spans="31:31" ht="15.75" customHeight="1">
      <c r="AE11763"/>
    </row>
    <row r="11764" spans="31:31" ht="15.75" customHeight="1">
      <c r="AE11764"/>
    </row>
    <row r="11765" spans="31:31" ht="15.75" customHeight="1">
      <c r="AE11765"/>
    </row>
    <row r="11766" spans="31:31" ht="15.75" customHeight="1">
      <c r="AE11766"/>
    </row>
    <row r="11767" spans="31:31" ht="15.75" customHeight="1">
      <c r="AE11767"/>
    </row>
    <row r="11768" spans="31:31" ht="15.75" customHeight="1">
      <c r="AE11768"/>
    </row>
    <row r="11769" spans="31:31" ht="15.75" customHeight="1">
      <c r="AE11769"/>
    </row>
    <row r="11770" spans="31:31" ht="15.75" customHeight="1">
      <c r="AE11770"/>
    </row>
    <row r="11771" spans="31:31" ht="15.75" customHeight="1">
      <c r="AE11771"/>
    </row>
    <row r="11772" spans="31:31" ht="15.75" customHeight="1">
      <c r="AE11772"/>
    </row>
    <row r="11773" spans="31:31" ht="15.75" customHeight="1">
      <c r="AE11773"/>
    </row>
    <row r="11774" spans="31:31" ht="15.75" customHeight="1">
      <c r="AE11774"/>
    </row>
    <row r="11775" spans="31:31" ht="15.75" customHeight="1">
      <c r="AE11775"/>
    </row>
    <row r="11776" spans="31:31" ht="15.75" customHeight="1">
      <c r="AE11776"/>
    </row>
    <row r="11777" spans="31:31" ht="15.75" customHeight="1">
      <c r="AE11777"/>
    </row>
    <row r="11778" spans="31:31" ht="15.75" customHeight="1">
      <c r="AE11778"/>
    </row>
    <row r="11779" spans="31:31" ht="15.75" customHeight="1">
      <c r="AE11779"/>
    </row>
    <row r="11780" spans="31:31" ht="15.75" customHeight="1">
      <c r="AE11780"/>
    </row>
    <row r="11781" spans="31:31" ht="15.75" customHeight="1">
      <c r="AE11781"/>
    </row>
    <row r="11782" spans="31:31" ht="15.75" customHeight="1">
      <c r="AE11782"/>
    </row>
    <row r="11783" spans="31:31" ht="15.75" customHeight="1">
      <c r="AE11783"/>
    </row>
    <row r="11784" spans="31:31" ht="15.75" customHeight="1">
      <c r="AE11784"/>
    </row>
    <row r="11785" spans="31:31" ht="15.75" customHeight="1">
      <c r="AE11785"/>
    </row>
    <row r="11786" spans="31:31" ht="15.75" customHeight="1">
      <c r="AE11786"/>
    </row>
    <row r="11787" spans="31:31" ht="15.75" customHeight="1">
      <c r="AE11787"/>
    </row>
    <row r="11788" spans="31:31" ht="15.75" customHeight="1">
      <c r="AE11788"/>
    </row>
    <row r="11789" spans="31:31" ht="15.75" customHeight="1">
      <c r="AE11789"/>
    </row>
    <row r="11790" spans="31:31" ht="15.75" customHeight="1">
      <c r="AE11790"/>
    </row>
    <row r="11791" spans="31:31" ht="15.75" customHeight="1">
      <c r="AE11791"/>
    </row>
    <row r="11792" spans="31:31" ht="15.75" customHeight="1">
      <c r="AE11792"/>
    </row>
    <row r="11793" spans="31:31" ht="15.75" customHeight="1">
      <c r="AE11793"/>
    </row>
    <row r="11794" spans="31:31" ht="15.75" customHeight="1">
      <c r="AE11794"/>
    </row>
    <row r="11795" spans="31:31" ht="15.75" customHeight="1">
      <c r="AE11795"/>
    </row>
    <row r="11796" spans="31:31" ht="15.75" customHeight="1">
      <c r="AE11796"/>
    </row>
    <row r="11797" spans="31:31" ht="15.75" customHeight="1">
      <c r="AE11797"/>
    </row>
    <row r="11798" spans="31:31" ht="15.75" customHeight="1">
      <c r="AE11798"/>
    </row>
    <row r="11799" spans="31:31" ht="15.75" customHeight="1">
      <c r="AE11799"/>
    </row>
    <row r="11800" spans="31:31" ht="15.75" customHeight="1">
      <c r="AE11800"/>
    </row>
    <row r="11801" spans="31:31" ht="15.75" customHeight="1">
      <c r="AE11801"/>
    </row>
    <row r="11802" spans="31:31" ht="15.75" customHeight="1">
      <c r="AE11802"/>
    </row>
    <row r="11803" spans="31:31" ht="15.75" customHeight="1">
      <c r="AE11803"/>
    </row>
    <row r="11804" spans="31:31" ht="15.75" customHeight="1">
      <c r="AE11804"/>
    </row>
    <row r="11805" spans="31:31" ht="15.75" customHeight="1">
      <c r="AE11805"/>
    </row>
    <row r="11806" spans="31:31" ht="15.75" customHeight="1">
      <c r="AE11806"/>
    </row>
    <row r="11807" spans="31:31" ht="15.75" customHeight="1">
      <c r="AE11807"/>
    </row>
    <row r="11808" spans="31:31" ht="15.75" customHeight="1">
      <c r="AE11808"/>
    </row>
    <row r="11809" spans="31:31" ht="15.75" customHeight="1">
      <c r="AE11809"/>
    </row>
    <row r="11810" spans="31:31" ht="15.75" customHeight="1">
      <c r="AE11810"/>
    </row>
    <row r="11811" spans="31:31" ht="15.75" customHeight="1">
      <c r="AE11811"/>
    </row>
    <row r="11812" spans="31:31" ht="15.75" customHeight="1">
      <c r="AE11812"/>
    </row>
    <row r="11813" spans="31:31" ht="15.75" customHeight="1">
      <c r="AE11813"/>
    </row>
    <row r="11814" spans="31:31" ht="15.75" customHeight="1">
      <c r="AE11814"/>
    </row>
    <row r="11815" spans="31:31" ht="15.75" customHeight="1">
      <c r="AE11815"/>
    </row>
    <row r="11816" spans="31:31" ht="15.75" customHeight="1">
      <c r="AE11816"/>
    </row>
    <row r="11817" spans="31:31" ht="15.75" customHeight="1">
      <c r="AE11817"/>
    </row>
    <row r="11818" spans="31:31" ht="15.75" customHeight="1">
      <c r="AE11818"/>
    </row>
    <row r="11819" spans="31:31" ht="15.75" customHeight="1">
      <c r="AE11819"/>
    </row>
    <row r="11820" spans="31:31" ht="15.75" customHeight="1">
      <c r="AE11820"/>
    </row>
    <row r="11821" spans="31:31" ht="15.75" customHeight="1">
      <c r="AE11821"/>
    </row>
    <row r="11822" spans="31:31" ht="15.75" customHeight="1">
      <c r="AE11822"/>
    </row>
    <row r="11823" spans="31:31" ht="15.75" customHeight="1">
      <c r="AE11823"/>
    </row>
    <row r="11824" spans="31:31" ht="15.75" customHeight="1">
      <c r="AE11824"/>
    </row>
    <row r="11825" spans="31:31" ht="15.75" customHeight="1">
      <c r="AE11825"/>
    </row>
    <row r="11826" spans="31:31" ht="15.75" customHeight="1">
      <c r="AE11826"/>
    </row>
    <row r="11827" spans="31:31" ht="15.75" customHeight="1">
      <c r="AE11827"/>
    </row>
    <row r="11828" spans="31:31" ht="15.75" customHeight="1">
      <c r="AE11828"/>
    </row>
    <row r="11829" spans="31:31" ht="15.75" customHeight="1">
      <c r="AE11829"/>
    </row>
    <row r="11830" spans="31:31" ht="15.75" customHeight="1">
      <c r="AE11830"/>
    </row>
    <row r="11831" spans="31:31" ht="15.75" customHeight="1">
      <c r="AE11831"/>
    </row>
    <row r="11832" spans="31:31" ht="15.75" customHeight="1">
      <c r="AE11832"/>
    </row>
    <row r="11833" spans="31:31" ht="15.75" customHeight="1">
      <c r="AE11833"/>
    </row>
    <row r="11834" spans="31:31" ht="15.75" customHeight="1">
      <c r="AE11834"/>
    </row>
    <row r="11835" spans="31:31" ht="15.75" customHeight="1">
      <c r="AE11835"/>
    </row>
    <row r="11836" spans="31:31" ht="15.75" customHeight="1">
      <c r="AE11836"/>
    </row>
    <row r="11837" spans="31:31" ht="15.75" customHeight="1">
      <c r="AE11837"/>
    </row>
    <row r="11838" spans="31:31" ht="15.75" customHeight="1">
      <c r="AE11838"/>
    </row>
    <row r="11839" spans="31:31" ht="15.75" customHeight="1">
      <c r="AE11839"/>
    </row>
    <row r="11840" spans="31:31" ht="15.75" customHeight="1">
      <c r="AE11840"/>
    </row>
    <row r="11841" spans="31:31" ht="15.75" customHeight="1">
      <c r="AE11841"/>
    </row>
    <row r="11842" spans="31:31" ht="15.75" customHeight="1">
      <c r="AE11842"/>
    </row>
    <row r="11843" spans="31:31" ht="15.75" customHeight="1">
      <c r="AE11843"/>
    </row>
    <row r="11844" spans="31:31" ht="15.75" customHeight="1">
      <c r="AE11844"/>
    </row>
    <row r="11845" spans="31:31" ht="15.75" customHeight="1">
      <c r="AE11845"/>
    </row>
    <row r="11846" spans="31:31" ht="15.75" customHeight="1">
      <c r="AE11846"/>
    </row>
    <row r="11847" spans="31:31" ht="15.75" customHeight="1">
      <c r="AE11847"/>
    </row>
    <row r="11848" spans="31:31" ht="15.75" customHeight="1">
      <c r="AE11848"/>
    </row>
    <row r="11849" spans="31:31" ht="15.75" customHeight="1">
      <c r="AE11849"/>
    </row>
    <row r="11850" spans="31:31" ht="15.75" customHeight="1">
      <c r="AE11850"/>
    </row>
    <row r="11851" spans="31:31" ht="15.75" customHeight="1">
      <c r="AE11851"/>
    </row>
    <row r="11852" spans="31:31" ht="15.75" customHeight="1">
      <c r="AE11852"/>
    </row>
    <row r="11853" spans="31:31" ht="15.75" customHeight="1">
      <c r="AE11853"/>
    </row>
    <row r="11854" spans="31:31" ht="15.75" customHeight="1">
      <c r="AE11854"/>
    </row>
    <row r="11855" spans="31:31" ht="15.75" customHeight="1">
      <c r="AE11855"/>
    </row>
    <row r="11856" spans="31:31" ht="15.75" customHeight="1">
      <c r="AE11856"/>
    </row>
    <row r="11857" spans="31:31" ht="15.75" customHeight="1">
      <c r="AE11857"/>
    </row>
    <row r="11858" spans="31:31" ht="15.75" customHeight="1">
      <c r="AE11858"/>
    </row>
    <row r="11859" spans="31:31" ht="15.75" customHeight="1">
      <c r="AE11859"/>
    </row>
    <row r="11860" spans="31:31" ht="15.75" customHeight="1">
      <c r="AE11860"/>
    </row>
    <row r="11861" spans="31:31" ht="15.75" customHeight="1">
      <c r="AE11861"/>
    </row>
    <row r="11862" spans="31:31" ht="15.75" customHeight="1">
      <c r="AE11862"/>
    </row>
    <row r="11863" spans="31:31" ht="15.75" customHeight="1">
      <c r="AE11863"/>
    </row>
    <row r="11864" spans="31:31" ht="15.75" customHeight="1">
      <c r="AE11864"/>
    </row>
    <row r="11865" spans="31:31" ht="15.75" customHeight="1">
      <c r="AE11865"/>
    </row>
    <row r="11866" spans="31:31" ht="15.75" customHeight="1">
      <c r="AE11866"/>
    </row>
    <row r="11867" spans="31:31" ht="15.75" customHeight="1">
      <c r="AE11867"/>
    </row>
    <row r="11868" spans="31:31" ht="15.75" customHeight="1">
      <c r="AE11868"/>
    </row>
    <row r="11869" spans="31:31" ht="15.75" customHeight="1">
      <c r="AE11869"/>
    </row>
    <row r="11870" spans="31:31" ht="15.75" customHeight="1">
      <c r="AE11870"/>
    </row>
    <row r="11871" spans="31:31" ht="15.75" customHeight="1">
      <c r="AE11871"/>
    </row>
    <row r="11872" spans="31:31" ht="15.75" customHeight="1">
      <c r="AE11872"/>
    </row>
    <row r="11873" spans="31:31" ht="15.75" customHeight="1">
      <c r="AE11873"/>
    </row>
    <row r="11874" spans="31:31" ht="15.75" customHeight="1">
      <c r="AE11874"/>
    </row>
    <row r="11875" spans="31:31" ht="15.75" customHeight="1">
      <c r="AE11875"/>
    </row>
    <row r="11876" spans="31:31" ht="15.75" customHeight="1">
      <c r="AE11876"/>
    </row>
    <row r="11877" spans="31:31" ht="15.75" customHeight="1">
      <c r="AE11877"/>
    </row>
    <row r="11878" spans="31:31" ht="15.75" customHeight="1">
      <c r="AE11878"/>
    </row>
    <row r="11879" spans="31:31" ht="15.75" customHeight="1">
      <c r="AE11879"/>
    </row>
    <row r="11880" spans="31:31" ht="15.75" customHeight="1">
      <c r="AE11880"/>
    </row>
    <row r="11881" spans="31:31" ht="15.75" customHeight="1">
      <c r="AE11881"/>
    </row>
    <row r="11882" spans="31:31" ht="15.75" customHeight="1">
      <c r="AE11882"/>
    </row>
    <row r="11883" spans="31:31" ht="15.75" customHeight="1">
      <c r="AE11883"/>
    </row>
    <row r="11884" spans="31:31" ht="15.75" customHeight="1">
      <c r="AE11884"/>
    </row>
    <row r="11885" spans="31:31" ht="15.75" customHeight="1">
      <c r="AE11885"/>
    </row>
    <row r="11886" spans="31:31" ht="15.75" customHeight="1">
      <c r="AE11886"/>
    </row>
    <row r="11887" spans="31:31" ht="15.75" customHeight="1">
      <c r="AE11887"/>
    </row>
    <row r="11888" spans="31:31" ht="15.75" customHeight="1">
      <c r="AE11888"/>
    </row>
    <row r="11889" spans="31:31" ht="15.75" customHeight="1">
      <c r="AE11889"/>
    </row>
    <row r="11890" spans="31:31" ht="15.75" customHeight="1">
      <c r="AE11890"/>
    </row>
    <row r="11891" spans="31:31" ht="15.75" customHeight="1">
      <c r="AE11891"/>
    </row>
    <row r="11892" spans="31:31" ht="15.75" customHeight="1">
      <c r="AE11892"/>
    </row>
    <row r="11893" spans="31:31" ht="15.75" customHeight="1">
      <c r="AE11893"/>
    </row>
    <row r="11894" spans="31:31" ht="15.75" customHeight="1">
      <c r="AE11894"/>
    </row>
    <row r="11895" spans="31:31" ht="15.75" customHeight="1">
      <c r="AE11895"/>
    </row>
    <row r="11896" spans="31:31" ht="15.75" customHeight="1">
      <c r="AE11896"/>
    </row>
    <row r="11897" spans="31:31" ht="15.75" customHeight="1">
      <c r="AE11897"/>
    </row>
    <row r="11898" spans="31:31" ht="15.75" customHeight="1">
      <c r="AE11898"/>
    </row>
    <row r="11899" spans="31:31" ht="15.75" customHeight="1">
      <c r="AE11899"/>
    </row>
    <row r="11900" spans="31:31" ht="15.75" customHeight="1">
      <c r="AE11900"/>
    </row>
    <row r="11901" spans="31:31" ht="15.75" customHeight="1">
      <c r="AE11901"/>
    </row>
    <row r="11902" spans="31:31" ht="15.75" customHeight="1">
      <c r="AE11902"/>
    </row>
    <row r="11903" spans="31:31" ht="15.75" customHeight="1">
      <c r="AE11903"/>
    </row>
    <row r="11904" spans="31:31" ht="15.75" customHeight="1">
      <c r="AE11904"/>
    </row>
    <row r="11905" spans="31:31" ht="15.75" customHeight="1">
      <c r="AE11905"/>
    </row>
    <row r="11906" spans="31:31" ht="15.75" customHeight="1">
      <c r="AE11906"/>
    </row>
    <row r="11907" spans="31:31" ht="15.75" customHeight="1">
      <c r="AE11907"/>
    </row>
    <row r="11908" spans="31:31" ht="15.75" customHeight="1">
      <c r="AE11908"/>
    </row>
    <row r="11909" spans="31:31" ht="15.75" customHeight="1">
      <c r="AE11909"/>
    </row>
    <row r="11910" spans="31:31" ht="15.75" customHeight="1">
      <c r="AE11910"/>
    </row>
    <row r="11911" spans="31:31" ht="15.75" customHeight="1">
      <c r="AE11911"/>
    </row>
    <row r="11912" spans="31:31" ht="15.75" customHeight="1">
      <c r="AE11912"/>
    </row>
    <row r="11913" spans="31:31" ht="15.75" customHeight="1">
      <c r="AE11913"/>
    </row>
    <row r="11914" spans="31:31" ht="15.75" customHeight="1">
      <c r="AE11914"/>
    </row>
    <row r="11915" spans="31:31" ht="15.75" customHeight="1">
      <c r="AE11915"/>
    </row>
    <row r="11916" spans="31:31" ht="15.75" customHeight="1">
      <c r="AE11916"/>
    </row>
    <row r="11917" spans="31:31" ht="15.75" customHeight="1">
      <c r="AE11917"/>
    </row>
    <row r="11918" spans="31:31" ht="15.75" customHeight="1">
      <c r="AE11918"/>
    </row>
    <row r="11919" spans="31:31" ht="15.75" customHeight="1">
      <c r="AE11919"/>
    </row>
    <row r="11920" spans="31:31" ht="15.75" customHeight="1">
      <c r="AE11920"/>
    </row>
    <row r="11921" spans="31:31" ht="15.75" customHeight="1">
      <c r="AE11921"/>
    </row>
    <row r="11922" spans="31:31" ht="15.75" customHeight="1">
      <c r="AE11922"/>
    </row>
    <row r="11923" spans="31:31" ht="15.75" customHeight="1">
      <c r="AE11923"/>
    </row>
    <row r="11924" spans="31:31" ht="15.75" customHeight="1">
      <c r="AE11924"/>
    </row>
    <row r="11925" spans="31:31" ht="15.75" customHeight="1">
      <c r="AE11925"/>
    </row>
    <row r="11926" spans="31:31" ht="15.75" customHeight="1">
      <c r="AE11926"/>
    </row>
    <row r="11927" spans="31:31" ht="15.75" customHeight="1">
      <c r="AE11927"/>
    </row>
    <row r="11928" spans="31:31" ht="15.75" customHeight="1">
      <c r="AE11928"/>
    </row>
    <row r="11929" spans="31:31" ht="15.75" customHeight="1">
      <c r="AE11929"/>
    </row>
    <row r="11930" spans="31:31" ht="15.75" customHeight="1">
      <c r="AE11930"/>
    </row>
    <row r="11931" spans="31:31" ht="15.75" customHeight="1">
      <c r="AE11931"/>
    </row>
    <row r="11932" spans="31:31" ht="15.75" customHeight="1">
      <c r="AE11932"/>
    </row>
    <row r="11933" spans="31:31" ht="15.75" customHeight="1">
      <c r="AE11933"/>
    </row>
    <row r="11934" spans="31:31" ht="15.75" customHeight="1">
      <c r="AE11934"/>
    </row>
    <row r="11935" spans="31:31" ht="15.75" customHeight="1">
      <c r="AE11935"/>
    </row>
    <row r="11936" spans="31:31" ht="15.75" customHeight="1">
      <c r="AE11936"/>
    </row>
    <row r="11937" spans="31:31" ht="15.75" customHeight="1">
      <c r="AE11937"/>
    </row>
    <row r="11938" spans="31:31" ht="15.75" customHeight="1">
      <c r="AE11938"/>
    </row>
    <row r="11939" spans="31:31" ht="15.75" customHeight="1">
      <c r="AE11939"/>
    </row>
    <row r="11940" spans="31:31" ht="15.75" customHeight="1">
      <c r="AE11940"/>
    </row>
    <row r="11941" spans="31:31" ht="15.75" customHeight="1">
      <c r="AE11941"/>
    </row>
    <row r="11942" spans="31:31" ht="15.75" customHeight="1">
      <c r="AE11942"/>
    </row>
    <row r="11943" spans="31:31" ht="15.75" customHeight="1">
      <c r="AE11943"/>
    </row>
    <row r="11944" spans="31:31" ht="15.75" customHeight="1">
      <c r="AE11944"/>
    </row>
    <row r="11945" spans="31:31" ht="15.75" customHeight="1">
      <c r="AE11945"/>
    </row>
    <row r="11946" spans="31:31" ht="15.75" customHeight="1">
      <c r="AE11946"/>
    </row>
    <row r="11947" spans="31:31" ht="15.75" customHeight="1">
      <c r="AE11947"/>
    </row>
    <row r="11948" spans="31:31" ht="15.75" customHeight="1">
      <c r="AE11948"/>
    </row>
    <row r="11949" spans="31:31" ht="15.75" customHeight="1">
      <c r="AE11949"/>
    </row>
    <row r="11950" spans="31:31" ht="15.75" customHeight="1">
      <c r="AE11950"/>
    </row>
    <row r="11951" spans="31:31" ht="15.75" customHeight="1">
      <c r="AE11951"/>
    </row>
    <row r="11952" spans="31:31" ht="15.75" customHeight="1">
      <c r="AE11952"/>
    </row>
    <row r="11953" spans="31:31" ht="15.75" customHeight="1">
      <c r="AE11953"/>
    </row>
    <row r="11954" spans="31:31" ht="15.75" customHeight="1">
      <c r="AE11954"/>
    </row>
    <row r="11955" spans="31:31" ht="15.75" customHeight="1">
      <c r="AE11955"/>
    </row>
    <row r="11956" spans="31:31" ht="15.75" customHeight="1">
      <c r="AE11956"/>
    </row>
    <row r="11957" spans="31:31" ht="15.75" customHeight="1">
      <c r="AE11957"/>
    </row>
    <row r="11958" spans="31:31" ht="15.75" customHeight="1">
      <c r="AE11958"/>
    </row>
    <row r="11959" spans="31:31" ht="15.75" customHeight="1">
      <c r="AE11959"/>
    </row>
    <row r="11960" spans="31:31" ht="15.75" customHeight="1">
      <c r="AE11960"/>
    </row>
    <row r="11961" spans="31:31" ht="15.75" customHeight="1">
      <c r="AE11961"/>
    </row>
    <row r="11962" spans="31:31" ht="15.75" customHeight="1">
      <c r="AE11962"/>
    </row>
    <row r="11963" spans="31:31" ht="15.75" customHeight="1">
      <c r="AE11963"/>
    </row>
    <row r="11964" spans="31:31" ht="15.75" customHeight="1">
      <c r="AE11964"/>
    </row>
    <row r="11965" spans="31:31" ht="15.75" customHeight="1">
      <c r="AE11965"/>
    </row>
    <row r="11966" spans="31:31" ht="15.75" customHeight="1">
      <c r="AE11966"/>
    </row>
    <row r="11967" spans="31:31" ht="15.75" customHeight="1">
      <c r="AE11967"/>
    </row>
    <row r="11968" spans="31:31" ht="15.75" customHeight="1">
      <c r="AE11968"/>
    </row>
    <row r="11969" spans="31:31" ht="15.75" customHeight="1">
      <c r="AE11969"/>
    </row>
    <row r="11970" spans="31:31" ht="15.75" customHeight="1">
      <c r="AE11970"/>
    </row>
    <row r="11971" spans="31:31" ht="15.75" customHeight="1">
      <c r="AE11971"/>
    </row>
    <row r="11972" spans="31:31" ht="15.75" customHeight="1">
      <c r="AE11972"/>
    </row>
    <row r="11973" spans="31:31" ht="15.75" customHeight="1">
      <c r="AE11973"/>
    </row>
    <row r="11974" spans="31:31" ht="15.75" customHeight="1">
      <c r="AE11974"/>
    </row>
    <row r="11975" spans="31:31" ht="15.75" customHeight="1">
      <c r="AE11975"/>
    </row>
    <row r="11976" spans="31:31" ht="15.75" customHeight="1">
      <c r="AE11976"/>
    </row>
    <row r="11977" spans="31:31" ht="15.75" customHeight="1">
      <c r="AE11977"/>
    </row>
    <row r="11978" spans="31:31" ht="15.75" customHeight="1">
      <c r="AE11978"/>
    </row>
    <row r="11979" spans="31:31" ht="15.75" customHeight="1">
      <c r="AE11979"/>
    </row>
    <row r="11980" spans="31:31" ht="15.75" customHeight="1">
      <c r="AE11980"/>
    </row>
    <row r="11981" spans="31:31" ht="15.75" customHeight="1">
      <c r="AE11981"/>
    </row>
    <row r="11982" spans="31:31" ht="15.75" customHeight="1">
      <c r="AE11982"/>
    </row>
    <row r="11983" spans="31:31" ht="15.75" customHeight="1">
      <c r="AE11983"/>
    </row>
    <row r="11984" spans="31:31" ht="15.75" customHeight="1">
      <c r="AE11984"/>
    </row>
    <row r="11985" spans="31:31" ht="15.75" customHeight="1">
      <c r="AE11985"/>
    </row>
    <row r="11986" spans="31:31" ht="15.75" customHeight="1">
      <c r="AE11986"/>
    </row>
    <row r="11987" spans="31:31" ht="15.75" customHeight="1">
      <c r="AE11987"/>
    </row>
    <row r="11988" spans="31:31" ht="15.75" customHeight="1">
      <c r="AE11988"/>
    </row>
    <row r="11989" spans="31:31" ht="15.75" customHeight="1">
      <c r="AE11989"/>
    </row>
    <row r="11990" spans="31:31" ht="15.75" customHeight="1">
      <c r="AE11990"/>
    </row>
    <row r="11991" spans="31:31" ht="15.75" customHeight="1">
      <c r="AE11991"/>
    </row>
    <row r="11992" spans="31:31" ht="15.75" customHeight="1">
      <c r="AE11992"/>
    </row>
    <row r="11993" spans="31:31" ht="15.75" customHeight="1">
      <c r="AE11993"/>
    </row>
    <row r="11994" spans="31:31" ht="15.75" customHeight="1">
      <c r="AE11994"/>
    </row>
    <row r="11995" spans="31:31" ht="15.75" customHeight="1">
      <c r="AE11995"/>
    </row>
    <row r="11996" spans="31:31" ht="15.75" customHeight="1">
      <c r="AE11996"/>
    </row>
    <row r="11997" spans="31:31" ht="15.75" customHeight="1">
      <c r="AE11997"/>
    </row>
    <row r="11998" spans="31:31" ht="15.75" customHeight="1">
      <c r="AE11998"/>
    </row>
    <row r="11999" spans="31:31" ht="15.75" customHeight="1">
      <c r="AE11999"/>
    </row>
    <row r="12000" spans="31:31" ht="15.75" customHeight="1">
      <c r="AE12000"/>
    </row>
    <row r="12001" spans="31:31" ht="15.75" customHeight="1">
      <c r="AE12001"/>
    </row>
    <row r="12002" spans="31:31" ht="15.75" customHeight="1">
      <c r="AE12002"/>
    </row>
    <row r="12003" spans="31:31" ht="15.75" customHeight="1">
      <c r="AE12003"/>
    </row>
    <row r="12004" spans="31:31" ht="15.75" customHeight="1">
      <c r="AE12004"/>
    </row>
    <row r="12005" spans="31:31" ht="15.75" customHeight="1">
      <c r="AE12005"/>
    </row>
    <row r="12006" spans="31:31" ht="15.75" customHeight="1">
      <c r="AE12006"/>
    </row>
    <row r="12007" spans="31:31" ht="15.75" customHeight="1">
      <c r="AE12007"/>
    </row>
    <row r="12008" spans="31:31" ht="15.75" customHeight="1">
      <c r="AE12008"/>
    </row>
    <row r="12009" spans="31:31" ht="15.75" customHeight="1">
      <c r="AE12009"/>
    </row>
    <row r="12010" spans="31:31" ht="15.75" customHeight="1">
      <c r="AE12010"/>
    </row>
    <row r="12011" spans="31:31" ht="15.75" customHeight="1">
      <c r="AE12011"/>
    </row>
    <row r="12012" spans="31:31" ht="15.75" customHeight="1">
      <c r="AE12012"/>
    </row>
    <row r="12013" spans="31:31" ht="15.75" customHeight="1">
      <c r="AE12013"/>
    </row>
    <row r="12014" spans="31:31" ht="15.75" customHeight="1">
      <c r="AE12014"/>
    </row>
    <row r="12015" spans="31:31" ht="15.75" customHeight="1">
      <c r="AE12015"/>
    </row>
    <row r="12016" spans="31:31" ht="15.75" customHeight="1">
      <c r="AE12016"/>
    </row>
    <row r="12017" spans="31:31" ht="15.75" customHeight="1">
      <c r="AE12017"/>
    </row>
    <row r="12018" spans="31:31" ht="15.75" customHeight="1">
      <c r="AE12018"/>
    </row>
    <row r="12019" spans="31:31" ht="15.75" customHeight="1">
      <c r="AE12019"/>
    </row>
    <row r="12020" spans="31:31" ht="15.75" customHeight="1">
      <c r="AE12020"/>
    </row>
    <row r="12021" spans="31:31" ht="15.75" customHeight="1">
      <c r="AE12021"/>
    </row>
    <row r="12022" spans="31:31" ht="15.75" customHeight="1">
      <c r="AE12022"/>
    </row>
    <row r="12023" spans="31:31" ht="15.75" customHeight="1">
      <c r="AE12023"/>
    </row>
    <row r="12024" spans="31:31" ht="15.75" customHeight="1">
      <c r="AE12024"/>
    </row>
    <row r="12025" spans="31:31" ht="15.75" customHeight="1">
      <c r="AE12025"/>
    </row>
    <row r="12026" spans="31:31" ht="15.75" customHeight="1">
      <c r="AE12026"/>
    </row>
    <row r="12027" spans="31:31" ht="15.75" customHeight="1">
      <c r="AE12027"/>
    </row>
    <row r="12028" spans="31:31" ht="15.75" customHeight="1">
      <c r="AE12028"/>
    </row>
    <row r="12029" spans="31:31" ht="15.75" customHeight="1">
      <c r="AE12029"/>
    </row>
    <row r="12030" spans="31:31" ht="15.75" customHeight="1">
      <c r="AE12030"/>
    </row>
    <row r="12031" spans="31:31" ht="15.75" customHeight="1">
      <c r="AE12031"/>
    </row>
    <row r="12032" spans="31:31" ht="15.75" customHeight="1">
      <c r="AE12032"/>
    </row>
    <row r="12033" spans="31:31" ht="15.75" customHeight="1">
      <c r="AE12033"/>
    </row>
    <row r="12034" spans="31:31" ht="15.75" customHeight="1">
      <c r="AE12034"/>
    </row>
    <row r="12035" spans="31:31" ht="15.75" customHeight="1">
      <c r="AE12035"/>
    </row>
    <row r="12036" spans="31:31" ht="15.75" customHeight="1">
      <c r="AE12036"/>
    </row>
    <row r="12037" spans="31:31" ht="15.75" customHeight="1">
      <c r="AE12037"/>
    </row>
    <row r="12038" spans="31:31" ht="15.75" customHeight="1">
      <c r="AE12038"/>
    </row>
    <row r="12039" spans="31:31" ht="15.75" customHeight="1">
      <c r="AE12039"/>
    </row>
    <row r="12040" spans="31:31" ht="15.75" customHeight="1">
      <c r="AE12040"/>
    </row>
    <row r="12041" spans="31:31" ht="15.75" customHeight="1">
      <c r="AE12041"/>
    </row>
    <row r="12042" spans="31:31" ht="15.75" customHeight="1">
      <c r="AE12042"/>
    </row>
    <row r="12043" spans="31:31" ht="15.75" customHeight="1">
      <c r="AE12043"/>
    </row>
    <row r="12044" spans="31:31" ht="15.75" customHeight="1">
      <c r="AE12044"/>
    </row>
    <row r="12045" spans="31:31" ht="15.75" customHeight="1">
      <c r="AE12045"/>
    </row>
    <row r="12046" spans="31:31" ht="15.75" customHeight="1">
      <c r="AE12046"/>
    </row>
    <row r="12047" spans="31:31" ht="15.75" customHeight="1">
      <c r="AE12047"/>
    </row>
    <row r="12048" spans="31:31" ht="15.75" customHeight="1">
      <c r="AE12048"/>
    </row>
    <row r="12049" spans="31:31" ht="15.75" customHeight="1">
      <c r="AE12049"/>
    </row>
    <row r="12050" spans="31:31" ht="15.75" customHeight="1">
      <c r="AE12050"/>
    </row>
    <row r="12051" spans="31:31" ht="15.75" customHeight="1">
      <c r="AE12051"/>
    </row>
    <row r="12052" spans="31:31" ht="15.75" customHeight="1">
      <c r="AE12052"/>
    </row>
    <row r="12053" spans="31:31" ht="15.75" customHeight="1">
      <c r="AE12053"/>
    </row>
    <row r="12054" spans="31:31" ht="15.75" customHeight="1">
      <c r="AE12054"/>
    </row>
    <row r="12055" spans="31:31" ht="15.75" customHeight="1">
      <c r="AE12055"/>
    </row>
    <row r="12056" spans="31:31" ht="15.75" customHeight="1">
      <c r="AE12056"/>
    </row>
    <row r="12057" spans="31:31" ht="15.75" customHeight="1">
      <c r="AE12057"/>
    </row>
    <row r="12058" spans="31:31" ht="15.75" customHeight="1">
      <c r="AE12058"/>
    </row>
    <row r="12059" spans="31:31" ht="15.75" customHeight="1">
      <c r="AE12059"/>
    </row>
    <row r="12060" spans="31:31" ht="15.75" customHeight="1">
      <c r="AE12060"/>
    </row>
    <row r="12061" spans="31:31" ht="15.75" customHeight="1">
      <c r="AE12061"/>
    </row>
    <row r="12062" spans="31:31" ht="15.75" customHeight="1">
      <c r="AE12062"/>
    </row>
    <row r="12063" spans="31:31" ht="15.75" customHeight="1">
      <c r="AE12063"/>
    </row>
    <row r="12064" spans="31:31" ht="15.75" customHeight="1">
      <c r="AE12064"/>
    </row>
    <row r="12065" spans="31:31" ht="15.75" customHeight="1">
      <c r="AE12065"/>
    </row>
    <row r="12066" spans="31:31" ht="15.75" customHeight="1">
      <c r="AE12066"/>
    </row>
    <row r="12067" spans="31:31" ht="15.75" customHeight="1">
      <c r="AE12067"/>
    </row>
    <row r="12068" spans="31:31" ht="15.75" customHeight="1">
      <c r="AE12068"/>
    </row>
    <row r="12069" spans="31:31" ht="15.75" customHeight="1">
      <c r="AE12069"/>
    </row>
    <row r="12070" spans="31:31" ht="15.75" customHeight="1">
      <c r="AE12070"/>
    </row>
    <row r="12071" spans="31:31" ht="15.75" customHeight="1">
      <c r="AE12071"/>
    </row>
    <row r="12072" spans="31:31" ht="15.75" customHeight="1">
      <c r="AE12072"/>
    </row>
    <row r="12073" spans="31:31" ht="15.75" customHeight="1">
      <c r="AE12073"/>
    </row>
    <row r="12074" spans="31:31" ht="15.75" customHeight="1">
      <c r="AE12074"/>
    </row>
    <row r="12075" spans="31:31" ht="15.75" customHeight="1">
      <c r="AE12075"/>
    </row>
    <row r="12076" spans="31:31" ht="15.75" customHeight="1">
      <c r="AE12076"/>
    </row>
    <row r="12077" spans="31:31" ht="15.75" customHeight="1">
      <c r="AE12077"/>
    </row>
    <row r="12078" spans="31:31" ht="15.75" customHeight="1">
      <c r="AE12078"/>
    </row>
    <row r="12079" spans="31:31" ht="15.75" customHeight="1">
      <c r="AE12079"/>
    </row>
    <row r="12080" spans="31:31" ht="15.75" customHeight="1">
      <c r="AE12080"/>
    </row>
    <row r="12081" spans="31:31" ht="15.75" customHeight="1">
      <c r="AE12081"/>
    </row>
    <row r="12082" spans="31:31" ht="15.75" customHeight="1">
      <c r="AE12082"/>
    </row>
    <row r="12083" spans="31:31" ht="15.75" customHeight="1">
      <c r="AE12083"/>
    </row>
    <row r="12084" spans="31:31" ht="15.75" customHeight="1">
      <c r="AE12084"/>
    </row>
    <row r="12085" spans="31:31" ht="15.75" customHeight="1">
      <c r="AE12085"/>
    </row>
    <row r="12086" spans="31:31" ht="15.75" customHeight="1">
      <c r="AE12086"/>
    </row>
    <row r="12087" spans="31:31" ht="15.75" customHeight="1">
      <c r="AE12087"/>
    </row>
    <row r="12088" spans="31:31" ht="15.75" customHeight="1">
      <c r="AE12088"/>
    </row>
    <row r="12089" spans="31:31" ht="15.75" customHeight="1">
      <c r="AE12089"/>
    </row>
    <row r="12090" spans="31:31" ht="15.75" customHeight="1">
      <c r="AE12090"/>
    </row>
    <row r="12091" spans="31:31" ht="15.75" customHeight="1">
      <c r="AE12091"/>
    </row>
    <row r="12092" spans="31:31" ht="15.75" customHeight="1">
      <c r="AE12092"/>
    </row>
    <row r="12093" spans="31:31" ht="15.75" customHeight="1">
      <c r="AE12093"/>
    </row>
    <row r="12094" spans="31:31" ht="15.75" customHeight="1">
      <c r="AE12094"/>
    </row>
    <row r="12095" spans="31:31" ht="15.75" customHeight="1">
      <c r="AE12095"/>
    </row>
    <row r="12096" spans="31:31" ht="15.75" customHeight="1">
      <c r="AE12096"/>
    </row>
    <row r="12097" spans="31:31" ht="15.75" customHeight="1">
      <c r="AE12097"/>
    </row>
    <row r="12098" spans="31:31" ht="15.75" customHeight="1">
      <c r="AE12098"/>
    </row>
    <row r="12099" spans="31:31" ht="15.75" customHeight="1">
      <c r="AE12099"/>
    </row>
    <row r="12100" spans="31:31" ht="15.75" customHeight="1">
      <c r="AE12100"/>
    </row>
    <row r="12101" spans="31:31" ht="15.75" customHeight="1">
      <c r="AE12101"/>
    </row>
    <row r="12102" spans="31:31" ht="15.75" customHeight="1">
      <c r="AE12102"/>
    </row>
    <row r="12103" spans="31:31" ht="15.75" customHeight="1">
      <c r="AE12103"/>
    </row>
    <row r="12104" spans="31:31" ht="15.75" customHeight="1">
      <c r="AE12104"/>
    </row>
    <row r="12105" spans="31:31" ht="15.75" customHeight="1">
      <c r="AE12105"/>
    </row>
    <row r="12106" spans="31:31" ht="15.75" customHeight="1">
      <c r="AE12106"/>
    </row>
    <row r="12107" spans="31:31" ht="15.75" customHeight="1">
      <c r="AE12107"/>
    </row>
    <row r="12108" spans="31:31" ht="15.75" customHeight="1">
      <c r="AE12108"/>
    </row>
    <row r="12109" spans="31:31" ht="15.75" customHeight="1">
      <c r="AE12109"/>
    </row>
    <row r="12110" spans="31:31" ht="15.75" customHeight="1">
      <c r="AE12110"/>
    </row>
    <row r="12111" spans="31:31" ht="15.75" customHeight="1">
      <c r="AE12111"/>
    </row>
    <row r="12112" spans="31:31" ht="15.75" customHeight="1">
      <c r="AE12112"/>
    </row>
    <row r="12113" spans="31:31" ht="15.75" customHeight="1">
      <c r="AE12113"/>
    </row>
    <row r="12114" spans="31:31" ht="15.75" customHeight="1">
      <c r="AE12114"/>
    </row>
    <row r="12115" spans="31:31" ht="15.75" customHeight="1">
      <c r="AE12115"/>
    </row>
    <row r="12116" spans="31:31" ht="15.75" customHeight="1">
      <c r="AE12116"/>
    </row>
    <row r="12117" spans="31:31" ht="15.75" customHeight="1">
      <c r="AE12117"/>
    </row>
    <row r="12118" spans="31:31" ht="15.75" customHeight="1">
      <c r="AE12118"/>
    </row>
    <row r="12119" spans="31:31" ht="15.75" customHeight="1">
      <c r="AE12119"/>
    </row>
    <row r="12120" spans="31:31" ht="15.75" customHeight="1">
      <c r="AE12120"/>
    </row>
    <row r="12121" spans="31:31" ht="15.75" customHeight="1">
      <c r="AE12121"/>
    </row>
    <row r="12122" spans="31:31" ht="15.75" customHeight="1">
      <c r="AE12122"/>
    </row>
    <row r="12123" spans="31:31" ht="15.75" customHeight="1">
      <c r="AE12123"/>
    </row>
    <row r="12124" spans="31:31" ht="15.75" customHeight="1">
      <c r="AE12124"/>
    </row>
    <row r="12125" spans="31:31" ht="15.75" customHeight="1">
      <c r="AE12125"/>
    </row>
    <row r="12126" spans="31:31" ht="15.75" customHeight="1">
      <c r="AE12126"/>
    </row>
    <row r="12127" spans="31:31" ht="15.75" customHeight="1">
      <c r="AE12127"/>
    </row>
    <row r="12128" spans="31:31" ht="15.75" customHeight="1">
      <c r="AE12128"/>
    </row>
    <row r="12129" spans="31:31" ht="15.75" customHeight="1">
      <c r="AE12129"/>
    </row>
    <row r="12130" spans="31:31" ht="15.75" customHeight="1">
      <c r="AE12130"/>
    </row>
    <row r="12131" spans="31:31" ht="15.75" customHeight="1">
      <c r="AE12131"/>
    </row>
    <row r="12132" spans="31:31" ht="15.75" customHeight="1">
      <c r="AE12132"/>
    </row>
    <row r="12133" spans="31:31" ht="15.75" customHeight="1">
      <c r="AE12133"/>
    </row>
    <row r="12134" spans="31:31" ht="15.75" customHeight="1">
      <c r="AE12134"/>
    </row>
    <row r="12135" spans="31:31" ht="15.75" customHeight="1">
      <c r="AE12135"/>
    </row>
    <row r="12136" spans="31:31" ht="15.75" customHeight="1">
      <c r="AE12136"/>
    </row>
    <row r="12137" spans="31:31" ht="15.75" customHeight="1">
      <c r="AE12137"/>
    </row>
    <row r="12138" spans="31:31" ht="15.75" customHeight="1">
      <c r="AE12138"/>
    </row>
    <row r="12139" spans="31:31" ht="15.75" customHeight="1">
      <c r="AE12139"/>
    </row>
    <row r="12140" spans="31:31" ht="15.75" customHeight="1">
      <c r="AE12140"/>
    </row>
    <row r="12141" spans="31:31" ht="15.75" customHeight="1">
      <c r="AE12141"/>
    </row>
    <row r="12142" spans="31:31" ht="15.75" customHeight="1">
      <c r="AE12142"/>
    </row>
    <row r="12143" spans="31:31" ht="15.75" customHeight="1">
      <c r="AE12143"/>
    </row>
    <row r="12144" spans="31:31" ht="15.75" customHeight="1">
      <c r="AE12144"/>
    </row>
    <row r="12145" spans="31:31" ht="15.75" customHeight="1">
      <c r="AE12145"/>
    </row>
    <row r="12146" spans="31:31" ht="15.75" customHeight="1">
      <c r="AE12146"/>
    </row>
    <row r="12147" spans="31:31" ht="15.75" customHeight="1">
      <c r="AE12147"/>
    </row>
    <row r="12148" spans="31:31" ht="15.75" customHeight="1">
      <c r="AE12148"/>
    </row>
    <row r="12149" spans="31:31" ht="15.75" customHeight="1">
      <c r="AE12149"/>
    </row>
    <row r="12150" spans="31:31" ht="15.75" customHeight="1">
      <c r="AE12150"/>
    </row>
    <row r="12151" spans="31:31" ht="15.75" customHeight="1">
      <c r="AE12151"/>
    </row>
    <row r="12152" spans="31:31" ht="15.75" customHeight="1">
      <c r="AE12152"/>
    </row>
    <row r="12153" spans="31:31" ht="15.75" customHeight="1">
      <c r="AE12153"/>
    </row>
    <row r="12154" spans="31:31" ht="15.75" customHeight="1">
      <c r="AE12154"/>
    </row>
    <row r="12155" spans="31:31" ht="15.75" customHeight="1">
      <c r="AE12155"/>
    </row>
    <row r="12156" spans="31:31" ht="15.75" customHeight="1">
      <c r="AE12156"/>
    </row>
    <row r="12157" spans="31:31" ht="15.75" customHeight="1">
      <c r="AE12157"/>
    </row>
    <row r="12158" spans="31:31" ht="15.75" customHeight="1">
      <c r="AE12158"/>
    </row>
    <row r="12159" spans="31:31" ht="15.75" customHeight="1">
      <c r="AE12159"/>
    </row>
    <row r="12160" spans="31:31" ht="15.75" customHeight="1">
      <c r="AE12160"/>
    </row>
    <row r="12161" spans="31:31" ht="15.75" customHeight="1">
      <c r="AE12161"/>
    </row>
    <row r="12162" spans="31:31" ht="15.75" customHeight="1">
      <c r="AE12162"/>
    </row>
    <row r="12163" spans="31:31" ht="15.75" customHeight="1">
      <c r="AE12163"/>
    </row>
    <row r="12164" spans="31:31" ht="15.75" customHeight="1">
      <c r="AE12164"/>
    </row>
    <row r="12165" spans="31:31" ht="15.75" customHeight="1">
      <c r="AE12165"/>
    </row>
    <row r="12166" spans="31:31" ht="15.75" customHeight="1">
      <c r="AE12166"/>
    </row>
    <row r="12167" spans="31:31" ht="15.75" customHeight="1">
      <c r="AE12167"/>
    </row>
    <row r="12168" spans="31:31" ht="15.75" customHeight="1">
      <c r="AE12168"/>
    </row>
    <row r="12169" spans="31:31" ht="15.75" customHeight="1">
      <c r="AE12169"/>
    </row>
    <row r="12170" spans="31:31" ht="15.75" customHeight="1">
      <c r="AE12170"/>
    </row>
    <row r="12171" spans="31:31" ht="15.75" customHeight="1">
      <c r="AE12171"/>
    </row>
    <row r="12172" spans="31:31" ht="15.75" customHeight="1">
      <c r="AE12172"/>
    </row>
    <row r="12173" spans="31:31" ht="15.75" customHeight="1">
      <c r="AE12173"/>
    </row>
    <row r="12174" spans="31:31" ht="15.75" customHeight="1">
      <c r="AE12174"/>
    </row>
    <row r="12175" spans="31:31" ht="15.75" customHeight="1">
      <c r="AE12175"/>
    </row>
    <row r="12176" spans="31:31" ht="15.75" customHeight="1">
      <c r="AE12176"/>
    </row>
    <row r="12177" spans="31:31" ht="15.75" customHeight="1">
      <c r="AE12177"/>
    </row>
    <row r="12178" spans="31:31" ht="15.75" customHeight="1">
      <c r="AE12178"/>
    </row>
    <row r="12179" spans="31:31" ht="15.75" customHeight="1">
      <c r="AE12179"/>
    </row>
    <row r="12180" spans="31:31" ht="15.75" customHeight="1">
      <c r="AE12180"/>
    </row>
    <row r="12181" spans="31:31" ht="15.75" customHeight="1">
      <c r="AE12181"/>
    </row>
    <row r="12182" spans="31:31" ht="15.75" customHeight="1">
      <c r="AE12182"/>
    </row>
    <row r="12183" spans="31:31" ht="15.75" customHeight="1">
      <c r="AE12183"/>
    </row>
    <row r="12184" spans="31:31" ht="15.75" customHeight="1">
      <c r="AE12184"/>
    </row>
    <row r="12185" spans="31:31" ht="15.75" customHeight="1">
      <c r="AE12185"/>
    </row>
    <row r="12186" spans="31:31" ht="15.75" customHeight="1">
      <c r="AE12186"/>
    </row>
    <row r="12187" spans="31:31" ht="15.75" customHeight="1">
      <c r="AE12187"/>
    </row>
    <row r="12188" spans="31:31" ht="15.75" customHeight="1">
      <c r="AE12188"/>
    </row>
    <row r="12189" spans="31:31" ht="15.75" customHeight="1">
      <c r="AE12189"/>
    </row>
    <row r="12190" spans="31:31" ht="15.75" customHeight="1">
      <c r="AE12190"/>
    </row>
    <row r="12191" spans="31:31" ht="15.75" customHeight="1">
      <c r="AE12191"/>
    </row>
    <row r="12192" spans="31:31" ht="15.75" customHeight="1">
      <c r="AE12192"/>
    </row>
    <row r="12193" spans="31:31" ht="15.75" customHeight="1">
      <c r="AE12193"/>
    </row>
    <row r="12194" spans="31:31" ht="15.75" customHeight="1">
      <c r="AE12194"/>
    </row>
    <row r="12195" spans="31:31" ht="15.75" customHeight="1">
      <c r="AE12195"/>
    </row>
    <row r="12196" spans="31:31" ht="15.75" customHeight="1">
      <c r="AE12196"/>
    </row>
    <row r="12197" spans="31:31" ht="15.75" customHeight="1">
      <c r="AE12197"/>
    </row>
    <row r="12198" spans="31:31" ht="15.75" customHeight="1">
      <c r="AE12198"/>
    </row>
    <row r="12199" spans="31:31" ht="15.75" customHeight="1">
      <c r="AE12199"/>
    </row>
    <row r="12200" spans="31:31" ht="15.75" customHeight="1">
      <c r="AE12200"/>
    </row>
    <row r="12201" spans="31:31" ht="15.75" customHeight="1">
      <c r="AE12201"/>
    </row>
    <row r="12202" spans="31:31" ht="15.75" customHeight="1">
      <c r="AE12202"/>
    </row>
    <row r="12203" spans="31:31" ht="15.75" customHeight="1">
      <c r="AE12203"/>
    </row>
    <row r="12204" spans="31:31" ht="15.75" customHeight="1">
      <c r="AE12204"/>
    </row>
    <row r="12205" spans="31:31" ht="15.75" customHeight="1">
      <c r="AE12205"/>
    </row>
    <row r="12206" spans="31:31" ht="15.75" customHeight="1">
      <c r="AE12206"/>
    </row>
    <row r="12207" spans="31:31" ht="15.75" customHeight="1">
      <c r="AE12207"/>
    </row>
    <row r="12208" spans="31:31" ht="15.75" customHeight="1">
      <c r="AE12208"/>
    </row>
    <row r="12209" spans="31:31" ht="15.75" customHeight="1">
      <c r="AE12209"/>
    </row>
    <row r="12210" spans="31:31" ht="15.75" customHeight="1">
      <c r="AE12210"/>
    </row>
    <row r="12211" spans="31:31" ht="15.75" customHeight="1">
      <c r="AE12211"/>
    </row>
    <row r="12212" spans="31:31" ht="15.75" customHeight="1">
      <c r="AE12212"/>
    </row>
    <row r="12213" spans="31:31" ht="15.75" customHeight="1">
      <c r="AE12213"/>
    </row>
    <row r="12214" spans="31:31" ht="15.75" customHeight="1">
      <c r="AE12214"/>
    </row>
    <row r="12215" spans="31:31" ht="15.75" customHeight="1">
      <c r="AE12215"/>
    </row>
    <row r="12216" spans="31:31" ht="15.75" customHeight="1">
      <c r="AE12216"/>
    </row>
    <row r="12217" spans="31:31" ht="15.75" customHeight="1">
      <c r="AE12217"/>
    </row>
    <row r="12218" spans="31:31" ht="15.75" customHeight="1">
      <c r="AE12218"/>
    </row>
    <row r="12219" spans="31:31" ht="15.75" customHeight="1">
      <c r="AE12219"/>
    </row>
    <row r="12220" spans="31:31" ht="15.75" customHeight="1">
      <c r="AE12220"/>
    </row>
    <row r="12221" spans="31:31" ht="15.75" customHeight="1">
      <c r="AE12221"/>
    </row>
    <row r="12222" spans="31:31" ht="15.75" customHeight="1">
      <c r="AE12222"/>
    </row>
    <row r="12223" spans="31:31" ht="15.75" customHeight="1">
      <c r="AE12223"/>
    </row>
    <row r="12224" spans="31:31" ht="15.75" customHeight="1">
      <c r="AE12224"/>
    </row>
    <row r="12225" spans="31:31" ht="15.75" customHeight="1">
      <c r="AE12225"/>
    </row>
    <row r="12226" spans="31:31" ht="15.75" customHeight="1">
      <c r="AE12226"/>
    </row>
    <row r="12227" spans="31:31" ht="15.75" customHeight="1">
      <c r="AE12227"/>
    </row>
    <row r="12228" spans="31:31" ht="15.75" customHeight="1">
      <c r="AE12228"/>
    </row>
    <row r="12229" spans="31:31" ht="15.75" customHeight="1">
      <c r="AE12229"/>
    </row>
    <row r="12230" spans="31:31" ht="15.75" customHeight="1">
      <c r="AE12230"/>
    </row>
    <row r="12231" spans="31:31" ht="15.75" customHeight="1">
      <c r="AE12231"/>
    </row>
    <row r="12232" spans="31:31" ht="15.75" customHeight="1">
      <c r="AE12232"/>
    </row>
    <row r="12233" spans="31:31" ht="15.75" customHeight="1">
      <c r="AE12233"/>
    </row>
    <row r="12234" spans="31:31" ht="15.75" customHeight="1">
      <c r="AE12234"/>
    </row>
    <row r="12235" spans="31:31" ht="15.75" customHeight="1">
      <c r="AE12235"/>
    </row>
    <row r="12236" spans="31:31" ht="15.75" customHeight="1">
      <c r="AE12236"/>
    </row>
    <row r="12237" spans="31:31" ht="15.75" customHeight="1">
      <c r="AE12237"/>
    </row>
    <row r="12238" spans="31:31" ht="15.75" customHeight="1">
      <c r="AE12238"/>
    </row>
    <row r="12239" spans="31:31" ht="15.75" customHeight="1">
      <c r="AE12239"/>
    </row>
    <row r="12240" spans="31:31" ht="15.75" customHeight="1">
      <c r="AE12240"/>
    </row>
    <row r="12241" spans="31:31" ht="15.75" customHeight="1">
      <c r="AE12241"/>
    </row>
    <row r="12242" spans="31:31" ht="15.75" customHeight="1">
      <c r="AE12242"/>
    </row>
    <row r="12243" spans="31:31" ht="15.75" customHeight="1">
      <c r="AE12243"/>
    </row>
    <row r="12244" spans="31:31" ht="15.75" customHeight="1">
      <c r="AE12244"/>
    </row>
    <row r="12245" spans="31:31" ht="15.75" customHeight="1">
      <c r="AE12245"/>
    </row>
    <row r="12246" spans="31:31" ht="15.75" customHeight="1">
      <c r="AE12246"/>
    </row>
    <row r="12247" spans="31:31" ht="15.75" customHeight="1">
      <c r="AE12247"/>
    </row>
    <row r="12248" spans="31:31" ht="15.75" customHeight="1">
      <c r="AE12248"/>
    </row>
    <row r="12249" spans="31:31" ht="15.75" customHeight="1">
      <c r="AE12249"/>
    </row>
    <row r="12250" spans="31:31" ht="15.75" customHeight="1">
      <c r="AE12250"/>
    </row>
    <row r="12251" spans="31:31" ht="15.75" customHeight="1">
      <c r="AE12251"/>
    </row>
    <row r="12252" spans="31:31" ht="15.75" customHeight="1">
      <c r="AE12252"/>
    </row>
    <row r="12253" spans="31:31" ht="15.75" customHeight="1">
      <c r="AE12253"/>
    </row>
    <row r="12254" spans="31:31" ht="15.75" customHeight="1">
      <c r="AE12254"/>
    </row>
    <row r="12255" spans="31:31" ht="15.75" customHeight="1">
      <c r="AE12255"/>
    </row>
    <row r="12256" spans="31:31" ht="15.75" customHeight="1">
      <c r="AE12256"/>
    </row>
    <row r="12257" spans="31:31" ht="15.75" customHeight="1">
      <c r="AE12257"/>
    </row>
    <row r="12258" spans="31:31" ht="15.75" customHeight="1">
      <c r="AE12258"/>
    </row>
    <row r="12259" spans="31:31" ht="15.75" customHeight="1">
      <c r="AE12259"/>
    </row>
    <row r="12260" spans="31:31" ht="15.75" customHeight="1">
      <c r="AE12260"/>
    </row>
    <row r="12261" spans="31:31" ht="15.75" customHeight="1">
      <c r="AE12261"/>
    </row>
    <row r="12262" spans="31:31" ht="15.75" customHeight="1">
      <c r="AE12262"/>
    </row>
    <row r="12263" spans="31:31" ht="15.75" customHeight="1">
      <c r="AE12263"/>
    </row>
    <row r="12264" spans="31:31" ht="15.75" customHeight="1">
      <c r="AE12264"/>
    </row>
    <row r="12265" spans="31:31" ht="15.75" customHeight="1">
      <c r="AE12265"/>
    </row>
    <row r="12266" spans="31:31" ht="15.75" customHeight="1">
      <c r="AE12266"/>
    </row>
    <row r="12267" spans="31:31" ht="15.75" customHeight="1">
      <c r="AE12267"/>
    </row>
    <row r="12268" spans="31:31" ht="15.75" customHeight="1">
      <c r="AE12268"/>
    </row>
    <row r="12269" spans="31:31" ht="15.75" customHeight="1">
      <c r="AE12269"/>
    </row>
    <row r="12270" spans="31:31" ht="15.75" customHeight="1">
      <c r="AE12270"/>
    </row>
    <row r="12271" spans="31:31" ht="15.75" customHeight="1">
      <c r="AE12271"/>
    </row>
    <row r="12272" spans="31:31" ht="15.75" customHeight="1">
      <c r="AE12272"/>
    </row>
    <row r="12273" spans="31:31" ht="15.75" customHeight="1">
      <c r="AE12273"/>
    </row>
    <row r="12274" spans="31:31" ht="15.75" customHeight="1">
      <c r="AE12274"/>
    </row>
    <row r="12275" spans="31:31" ht="15.75" customHeight="1">
      <c r="AE12275"/>
    </row>
    <row r="12276" spans="31:31" ht="15.75" customHeight="1">
      <c r="AE12276"/>
    </row>
    <row r="12277" spans="31:31" ht="15.75" customHeight="1">
      <c r="AE12277"/>
    </row>
    <row r="12278" spans="31:31" ht="15.75" customHeight="1">
      <c r="AE12278"/>
    </row>
    <row r="12279" spans="31:31" ht="15.75" customHeight="1">
      <c r="AE12279"/>
    </row>
    <row r="12280" spans="31:31" ht="15.75" customHeight="1">
      <c r="AE12280"/>
    </row>
    <row r="12281" spans="31:31" ht="15.75" customHeight="1">
      <c r="AE12281"/>
    </row>
    <row r="12282" spans="31:31" ht="15.75" customHeight="1">
      <c r="AE12282"/>
    </row>
    <row r="12283" spans="31:31" ht="15.75" customHeight="1">
      <c r="AE12283"/>
    </row>
    <row r="12284" spans="31:31" ht="15.75" customHeight="1">
      <c r="AE12284"/>
    </row>
    <row r="12285" spans="31:31" ht="15.75" customHeight="1">
      <c r="AE12285"/>
    </row>
    <row r="12286" spans="31:31" ht="15.75" customHeight="1">
      <c r="AE12286"/>
    </row>
    <row r="12287" spans="31:31" ht="15.75" customHeight="1">
      <c r="AE12287"/>
    </row>
    <row r="12288" spans="31:31" ht="15.75" customHeight="1">
      <c r="AE12288"/>
    </row>
    <row r="12289" spans="31:31" ht="15.75" customHeight="1">
      <c r="AE12289"/>
    </row>
    <row r="12290" spans="31:31" ht="15.75" customHeight="1">
      <c r="AE12290"/>
    </row>
    <row r="12291" spans="31:31" ht="15.75" customHeight="1">
      <c r="AE12291"/>
    </row>
    <row r="12292" spans="31:31" ht="15.75" customHeight="1">
      <c r="AE12292"/>
    </row>
    <row r="12293" spans="31:31" ht="15.75" customHeight="1">
      <c r="AE12293"/>
    </row>
    <row r="12294" spans="31:31" ht="15.75" customHeight="1">
      <c r="AE12294"/>
    </row>
    <row r="12295" spans="31:31" ht="15.75" customHeight="1">
      <c r="AE12295"/>
    </row>
    <row r="12296" spans="31:31" ht="15.75" customHeight="1">
      <c r="AE12296"/>
    </row>
    <row r="12297" spans="31:31" ht="15.75" customHeight="1">
      <c r="AE12297"/>
    </row>
    <row r="12298" spans="31:31" ht="15.75" customHeight="1">
      <c r="AE12298"/>
    </row>
    <row r="12299" spans="31:31" ht="15.75" customHeight="1">
      <c r="AE12299"/>
    </row>
    <row r="12300" spans="31:31" ht="15.75" customHeight="1">
      <c r="AE12300"/>
    </row>
    <row r="12301" spans="31:31" ht="15.75" customHeight="1">
      <c r="AE12301"/>
    </row>
    <row r="12302" spans="31:31" ht="15.75" customHeight="1">
      <c r="AE12302"/>
    </row>
    <row r="12303" spans="31:31" ht="15.75" customHeight="1">
      <c r="AE12303"/>
    </row>
    <row r="12304" spans="31:31" ht="15.75" customHeight="1">
      <c r="AE12304"/>
    </row>
    <row r="12305" spans="31:31" ht="15.75" customHeight="1">
      <c r="AE12305"/>
    </row>
    <row r="12306" spans="31:31" ht="15.75" customHeight="1">
      <c r="AE12306"/>
    </row>
    <row r="12307" spans="31:31" ht="15.75" customHeight="1">
      <c r="AE12307"/>
    </row>
    <row r="12308" spans="31:31" ht="15.75" customHeight="1">
      <c r="AE12308"/>
    </row>
    <row r="12309" spans="31:31" ht="15.75" customHeight="1">
      <c r="AE12309"/>
    </row>
    <row r="12310" spans="31:31" ht="15.75" customHeight="1">
      <c r="AE12310"/>
    </row>
    <row r="12311" spans="31:31" ht="15.75" customHeight="1">
      <c r="AE12311"/>
    </row>
    <row r="12312" spans="31:31" ht="15.75" customHeight="1">
      <c r="AE12312"/>
    </row>
    <row r="12313" spans="31:31" ht="15.75" customHeight="1">
      <c r="AE12313"/>
    </row>
    <row r="12314" spans="31:31" ht="15.75" customHeight="1">
      <c r="AE12314"/>
    </row>
    <row r="12315" spans="31:31" ht="15.75" customHeight="1">
      <c r="AE12315"/>
    </row>
    <row r="12316" spans="31:31" ht="15.75" customHeight="1">
      <c r="AE12316"/>
    </row>
    <row r="12317" spans="31:31" ht="15.75" customHeight="1">
      <c r="AE12317"/>
    </row>
    <row r="12318" spans="31:31" ht="15.75" customHeight="1">
      <c r="AE12318"/>
    </row>
    <row r="12319" spans="31:31" ht="15.75" customHeight="1">
      <c r="AE12319"/>
    </row>
    <row r="12320" spans="31:31" ht="15.75" customHeight="1">
      <c r="AE12320"/>
    </row>
    <row r="12321" spans="31:31" ht="15.75" customHeight="1">
      <c r="AE12321"/>
    </row>
    <row r="12322" spans="31:31" ht="15.75" customHeight="1">
      <c r="AE12322"/>
    </row>
    <row r="12323" spans="31:31" ht="15.75" customHeight="1">
      <c r="AE12323"/>
    </row>
    <row r="12324" spans="31:31" ht="15.75" customHeight="1">
      <c r="AE12324"/>
    </row>
    <row r="12325" spans="31:31" ht="15.75" customHeight="1">
      <c r="AE12325"/>
    </row>
    <row r="12326" spans="31:31" ht="15.75" customHeight="1">
      <c r="AE12326"/>
    </row>
    <row r="12327" spans="31:31" ht="15.75" customHeight="1">
      <c r="AE12327"/>
    </row>
    <row r="12328" spans="31:31" ht="15.75" customHeight="1">
      <c r="AE12328"/>
    </row>
    <row r="12329" spans="31:31" ht="15.75" customHeight="1">
      <c r="AE12329"/>
    </row>
    <row r="12330" spans="31:31" ht="15.75" customHeight="1">
      <c r="AE12330"/>
    </row>
    <row r="12331" spans="31:31" ht="15.75" customHeight="1">
      <c r="AE12331"/>
    </row>
    <row r="12332" spans="31:31" ht="15.75" customHeight="1">
      <c r="AE12332"/>
    </row>
    <row r="12333" spans="31:31" ht="15.75" customHeight="1">
      <c r="AE12333"/>
    </row>
    <row r="12334" spans="31:31" ht="15.75" customHeight="1">
      <c r="AE12334"/>
    </row>
    <row r="12335" spans="31:31" ht="15.75" customHeight="1">
      <c r="AE12335"/>
    </row>
    <row r="12336" spans="31:31" ht="15.75" customHeight="1">
      <c r="AE12336"/>
    </row>
    <row r="12337" spans="31:31" ht="15.75" customHeight="1">
      <c r="AE12337"/>
    </row>
    <row r="12338" spans="31:31" ht="15.75" customHeight="1">
      <c r="AE12338"/>
    </row>
    <row r="12339" spans="31:31" ht="15.75" customHeight="1">
      <c r="AE12339"/>
    </row>
    <row r="12340" spans="31:31" ht="15.75" customHeight="1">
      <c r="AE12340"/>
    </row>
    <row r="12341" spans="31:31" ht="15.75" customHeight="1">
      <c r="AE12341"/>
    </row>
    <row r="12342" spans="31:31" ht="15.75" customHeight="1">
      <c r="AE12342"/>
    </row>
    <row r="12343" spans="31:31" ht="15.75" customHeight="1">
      <c r="AE12343"/>
    </row>
    <row r="12344" spans="31:31" ht="15.75" customHeight="1">
      <c r="AE12344"/>
    </row>
    <row r="12345" spans="31:31" ht="15.75" customHeight="1">
      <c r="AE12345"/>
    </row>
    <row r="12346" spans="31:31" ht="15.75" customHeight="1">
      <c r="AE12346"/>
    </row>
    <row r="12347" spans="31:31" ht="15.75" customHeight="1">
      <c r="AE12347"/>
    </row>
    <row r="12348" spans="31:31" ht="15.75" customHeight="1">
      <c r="AE12348"/>
    </row>
    <row r="12349" spans="31:31" ht="15.75" customHeight="1">
      <c r="AE12349"/>
    </row>
    <row r="12350" spans="31:31" ht="15.75" customHeight="1">
      <c r="AE12350"/>
    </row>
    <row r="12351" spans="31:31" ht="15.75" customHeight="1">
      <c r="AE12351"/>
    </row>
    <row r="12352" spans="31:31" ht="15.75" customHeight="1">
      <c r="AE12352"/>
    </row>
    <row r="12353" spans="31:31" ht="15.75" customHeight="1">
      <c r="AE12353"/>
    </row>
    <row r="12354" spans="31:31" ht="15.75" customHeight="1">
      <c r="AE12354"/>
    </row>
    <row r="12355" spans="31:31" ht="15.75" customHeight="1">
      <c r="AE12355"/>
    </row>
    <row r="12356" spans="31:31" ht="15.75" customHeight="1">
      <c r="AE12356"/>
    </row>
    <row r="12357" spans="31:31" ht="15.75" customHeight="1">
      <c r="AE12357"/>
    </row>
    <row r="12358" spans="31:31" ht="15.75" customHeight="1">
      <c r="AE12358"/>
    </row>
    <row r="12359" spans="31:31" ht="15.75" customHeight="1">
      <c r="AE12359"/>
    </row>
    <row r="12360" spans="31:31" ht="15.75" customHeight="1">
      <c r="AE12360"/>
    </row>
    <row r="12361" spans="31:31" ht="15.75" customHeight="1">
      <c r="AE12361"/>
    </row>
    <row r="12362" spans="31:31" ht="15.75" customHeight="1">
      <c r="AE12362"/>
    </row>
    <row r="12363" spans="31:31" ht="15.75" customHeight="1">
      <c r="AE12363"/>
    </row>
    <row r="12364" spans="31:31" ht="15.75" customHeight="1">
      <c r="AE12364"/>
    </row>
    <row r="12365" spans="31:31" ht="15.75" customHeight="1">
      <c r="AE12365"/>
    </row>
    <row r="12366" spans="31:31" ht="15.75" customHeight="1">
      <c r="AE12366"/>
    </row>
    <row r="12367" spans="31:31" ht="15.75" customHeight="1">
      <c r="AE12367"/>
    </row>
    <row r="12368" spans="31:31" ht="15.75" customHeight="1">
      <c r="AE12368"/>
    </row>
    <row r="12369" spans="31:31" ht="15.75" customHeight="1">
      <c r="AE12369"/>
    </row>
    <row r="12370" spans="31:31" ht="15.75" customHeight="1">
      <c r="AE12370"/>
    </row>
    <row r="12371" spans="31:31" ht="15.75" customHeight="1">
      <c r="AE12371"/>
    </row>
    <row r="12372" spans="31:31" ht="15.75" customHeight="1">
      <c r="AE12372"/>
    </row>
    <row r="12373" spans="31:31" ht="15.75" customHeight="1">
      <c r="AE12373"/>
    </row>
    <row r="12374" spans="31:31" ht="15.75" customHeight="1">
      <c r="AE12374"/>
    </row>
    <row r="12375" spans="31:31" ht="15.75" customHeight="1">
      <c r="AE12375"/>
    </row>
    <row r="12376" spans="31:31" ht="15.75" customHeight="1">
      <c r="AE12376"/>
    </row>
    <row r="12377" spans="31:31" ht="15.75" customHeight="1">
      <c r="AE12377"/>
    </row>
    <row r="12378" spans="31:31" ht="15.75" customHeight="1">
      <c r="AE12378"/>
    </row>
    <row r="12379" spans="31:31" ht="15.75" customHeight="1">
      <c r="AE12379"/>
    </row>
    <row r="12380" spans="31:31" ht="15.75" customHeight="1">
      <c r="AE12380"/>
    </row>
    <row r="12381" spans="31:31" ht="15.75" customHeight="1">
      <c r="AE12381"/>
    </row>
    <row r="12382" spans="31:31" ht="15.75" customHeight="1">
      <c r="AE12382"/>
    </row>
    <row r="12383" spans="31:31" ht="15.75" customHeight="1">
      <c r="AE12383"/>
    </row>
    <row r="12384" spans="31:31" ht="15.75" customHeight="1">
      <c r="AE12384"/>
    </row>
    <row r="12385" spans="31:31" ht="15.75" customHeight="1">
      <c r="AE12385"/>
    </row>
    <row r="12386" spans="31:31" ht="15.75" customHeight="1">
      <c r="AE12386"/>
    </row>
    <row r="12387" spans="31:31" ht="15.75" customHeight="1">
      <c r="AE12387"/>
    </row>
    <row r="12388" spans="31:31" ht="15.75" customHeight="1">
      <c r="AE12388"/>
    </row>
    <row r="12389" spans="31:31" ht="15.75" customHeight="1">
      <c r="AE12389"/>
    </row>
    <row r="12390" spans="31:31" ht="15.75" customHeight="1">
      <c r="AE12390"/>
    </row>
    <row r="12391" spans="31:31" ht="15.75" customHeight="1">
      <c r="AE12391"/>
    </row>
    <row r="12392" spans="31:31" ht="15.75" customHeight="1">
      <c r="AE12392"/>
    </row>
    <row r="12393" spans="31:31" ht="15.75" customHeight="1">
      <c r="AE12393"/>
    </row>
    <row r="12394" spans="31:31" ht="15.75" customHeight="1">
      <c r="AE12394"/>
    </row>
    <row r="12395" spans="31:31" ht="15.75" customHeight="1">
      <c r="AE12395"/>
    </row>
    <row r="12396" spans="31:31" ht="15.75" customHeight="1">
      <c r="AE12396"/>
    </row>
    <row r="12397" spans="31:31" ht="15.75" customHeight="1">
      <c r="AE12397"/>
    </row>
    <row r="12398" spans="31:31" ht="15.75" customHeight="1">
      <c r="AE12398"/>
    </row>
    <row r="12399" spans="31:31" ht="15.75" customHeight="1">
      <c r="AE12399"/>
    </row>
    <row r="12400" spans="31:31" ht="15.75" customHeight="1">
      <c r="AE12400"/>
    </row>
    <row r="12401" spans="31:31" ht="15.75" customHeight="1">
      <c r="AE12401"/>
    </row>
    <row r="12402" spans="31:31" ht="15.75" customHeight="1">
      <c r="AE12402"/>
    </row>
    <row r="12403" spans="31:31" ht="15.75" customHeight="1">
      <c r="AE12403"/>
    </row>
    <row r="12404" spans="31:31" ht="15.75" customHeight="1">
      <c r="AE12404"/>
    </row>
    <row r="12405" spans="31:31" ht="15.75" customHeight="1">
      <c r="AE12405"/>
    </row>
    <row r="12406" spans="31:31" ht="15.75" customHeight="1">
      <c r="AE12406"/>
    </row>
    <row r="12407" spans="31:31" ht="15.75" customHeight="1">
      <c r="AE12407"/>
    </row>
    <row r="12408" spans="31:31" ht="15.75" customHeight="1">
      <c r="AE12408"/>
    </row>
    <row r="12409" spans="31:31" ht="15.75" customHeight="1">
      <c r="AE12409"/>
    </row>
    <row r="12410" spans="31:31" ht="15.75" customHeight="1">
      <c r="AE12410"/>
    </row>
    <row r="12411" spans="31:31" ht="15.75" customHeight="1">
      <c r="AE12411"/>
    </row>
    <row r="12412" spans="31:31" ht="15.75" customHeight="1">
      <c r="AE12412"/>
    </row>
    <row r="12413" spans="31:31" ht="15.75" customHeight="1">
      <c r="AE12413"/>
    </row>
    <row r="12414" spans="31:31" ht="15.75" customHeight="1">
      <c r="AE12414"/>
    </row>
    <row r="12415" spans="31:31" ht="15.75" customHeight="1">
      <c r="AE12415"/>
    </row>
    <row r="12416" spans="31:31" ht="15.75" customHeight="1">
      <c r="AE12416"/>
    </row>
    <row r="12417" spans="31:31" ht="15.75" customHeight="1">
      <c r="AE12417"/>
    </row>
    <row r="12418" spans="31:31" ht="15.75" customHeight="1">
      <c r="AE12418"/>
    </row>
    <row r="12419" spans="31:31" ht="15.75" customHeight="1">
      <c r="AE12419"/>
    </row>
    <row r="12420" spans="31:31" ht="15.75" customHeight="1">
      <c r="AE12420"/>
    </row>
    <row r="12421" spans="31:31" ht="15.75" customHeight="1">
      <c r="AE12421"/>
    </row>
    <row r="12422" spans="31:31" ht="15.75" customHeight="1">
      <c r="AE12422"/>
    </row>
    <row r="12423" spans="31:31" ht="15.75" customHeight="1">
      <c r="AE12423"/>
    </row>
    <row r="12424" spans="31:31" ht="15.75" customHeight="1">
      <c r="AE12424"/>
    </row>
    <row r="12425" spans="31:31" ht="15.75" customHeight="1">
      <c r="AE12425"/>
    </row>
    <row r="12426" spans="31:31" ht="15.75" customHeight="1">
      <c r="AE12426"/>
    </row>
    <row r="12427" spans="31:31" ht="15.75" customHeight="1">
      <c r="AE12427"/>
    </row>
    <row r="12428" spans="31:31" ht="15.75" customHeight="1">
      <c r="AE12428"/>
    </row>
    <row r="12429" spans="31:31" ht="15.75" customHeight="1">
      <c r="AE12429"/>
    </row>
    <row r="12430" spans="31:31" ht="15.75" customHeight="1">
      <c r="AE12430"/>
    </row>
    <row r="12431" spans="31:31" ht="15.75" customHeight="1">
      <c r="AE12431"/>
    </row>
    <row r="12432" spans="31:31" ht="15.75" customHeight="1">
      <c r="AE12432"/>
    </row>
    <row r="12433" spans="31:31" ht="15.75" customHeight="1">
      <c r="AE12433"/>
    </row>
    <row r="12434" spans="31:31" ht="15.75" customHeight="1">
      <c r="AE12434"/>
    </row>
    <row r="12435" spans="31:31" ht="15.75" customHeight="1">
      <c r="AE12435"/>
    </row>
    <row r="12436" spans="31:31" ht="15.75" customHeight="1">
      <c r="AE12436"/>
    </row>
    <row r="12437" spans="31:31" ht="15.75" customHeight="1">
      <c r="AE12437"/>
    </row>
    <row r="12438" spans="31:31" ht="15.75" customHeight="1">
      <c r="AE12438"/>
    </row>
    <row r="12439" spans="31:31" ht="15.75" customHeight="1">
      <c r="AE12439"/>
    </row>
    <row r="12440" spans="31:31" ht="15.75" customHeight="1">
      <c r="AE12440"/>
    </row>
    <row r="12441" spans="31:31" ht="15.75" customHeight="1">
      <c r="AE12441"/>
    </row>
    <row r="12442" spans="31:31" ht="15.75" customHeight="1">
      <c r="AE12442"/>
    </row>
    <row r="12443" spans="31:31" ht="15.75" customHeight="1">
      <c r="AE12443"/>
    </row>
    <row r="12444" spans="31:31" ht="15.75" customHeight="1">
      <c r="AE12444"/>
    </row>
    <row r="12445" spans="31:31" ht="15.75" customHeight="1">
      <c r="AE12445"/>
    </row>
    <row r="12446" spans="31:31" ht="15.75" customHeight="1">
      <c r="AE12446"/>
    </row>
    <row r="12447" spans="31:31" ht="15.75" customHeight="1">
      <c r="AE12447"/>
    </row>
    <row r="12448" spans="31:31" ht="15.75" customHeight="1">
      <c r="AE12448"/>
    </row>
    <row r="12449" spans="31:31" ht="15.75" customHeight="1">
      <c r="AE12449"/>
    </row>
    <row r="12450" spans="31:31" ht="15.75" customHeight="1">
      <c r="AE12450"/>
    </row>
    <row r="12451" spans="31:31" ht="15.75" customHeight="1">
      <c r="AE12451"/>
    </row>
    <row r="12452" spans="31:31" ht="15.75" customHeight="1">
      <c r="AE12452"/>
    </row>
    <row r="12453" spans="31:31" ht="15.75" customHeight="1">
      <c r="AE12453"/>
    </row>
    <row r="12454" spans="31:31" ht="15.75" customHeight="1">
      <c r="AE12454"/>
    </row>
    <row r="12455" spans="31:31" ht="15.75" customHeight="1">
      <c r="AE12455"/>
    </row>
    <row r="12456" spans="31:31" ht="15.75" customHeight="1">
      <c r="AE12456"/>
    </row>
    <row r="12457" spans="31:31" ht="15.75" customHeight="1">
      <c r="AE12457"/>
    </row>
    <row r="12458" spans="31:31" ht="15.75" customHeight="1">
      <c r="AE12458"/>
    </row>
    <row r="12459" spans="31:31" ht="15.75" customHeight="1">
      <c r="AE12459"/>
    </row>
    <row r="12460" spans="31:31" ht="15.75" customHeight="1">
      <c r="AE12460"/>
    </row>
    <row r="12461" spans="31:31" ht="15.75" customHeight="1">
      <c r="AE12461"/>
    </row>
    <row r="12462" spans="31:31" ht="15.75" customHeight="1">
      <c r="AE12462"/>
    </row>
    <row r="12463" spans="31:31" ht="15.75" customHeight="1">
      <c r="AE12463"/>
    </row>
    <row r="12464" spans="31:31" ht="15.75" customHeight="1">
      <c r="AE12464"/>
    </row>
    <row r="12465" spans="31:31" ht="15.75" customHeight="1">
      <c r="AE12465"/>
    </row>
    <row r="12466" spans="31:31" ht="15.75" customHeight="1">
      <c r="AE12466"/>
    </row>
    <row r="12467" spans="31:31" ht="15.75" customHeight="1">
      <c r="AE12467"/>
    </row>
    <row r="12468" spans="31:31" ht="15.75" customHeight="1">
      <c r="AE12468"/>
    </row>
    <row r="12469" spans="31:31" ht="15.75" customHeight="1">
      <c r="AE12469"/>
    </row>
    <row r="12470" spans="31:31" ht="15.75" customHeight="1">
      <c r="AE12470"/>
    </row>
    <row r="12471" spans="31:31" ht="15.75" customHeight="1">
      <c r="AE12471"/>
    </row>
    <row r="12472" spans="31:31" ht="15.75" customHeight="1">
      <c r="AE12472"/>
    </row>
    <row r="12473" spans="31:31" ht="15.75" customHeight="1">
      <c r="AE12473"/>
    </row>
    <row r="12474" spans="31:31" ht="15.75" customHeight="1">
      <c r="AE12474"/>
    </row>
    <row r="12475" spans="31:31" ht="15.75" customHeight="1">
      <c r="AE12475"/>
    </row>
    <row r="12476" spans="31:31" ht="15.75" customHeight="1">
      <c r="AE12476"/>
    </row>
    <row r="12477" spans="31:31" ht="15.75" customHeight="1">
      <c r="AE12477"/>
    </row>
    <row r="12478" spans="31:31" ht="15.75" customHeight="1">
      <c r="AE12478"/>
    </row>
    <row r="12479" spans="31:31" ht="15.75" customHeight="1">
      <c r="AE12479"/>
    </row>
    <row r="12480" spans="31:31" ht="15.75" customHeight="1">
      <c r="AE12480"/>
    </row>
    <row r="12481" spans="31:31" ht="15.75" customHeight="1">
      <c r="AE12481"/>
    </row>
    <row r="12482" spans="31:31" ht="15.75" customHeight="1">
      <c r="AE12482"/>
    </row>
    <row r="12483" spans="31:31" ht="15.75" customHeight="1">
      <c r="AE12483"/>
    </row>
    <row r="12484" spans="31:31" ht="15.75" customHeight="1">
      <c r="AE12484"/>
    </row>
    <row r="12485" spans="31:31" ht="15.75" customHeight="1">
      <c r="AE12485"/>
    </row>
    <row r="12486" spans="31:31" ht="15.75" customHeight="1">
      <c r="AE12486"/>
    </row>
    <row r="12487" spans="31:31" ht="15.75" customHeight="1">
      <c r="AE12487"/>
    </row>
    <row r="12488" spans="31:31" ht="15.75" customHeight="1">
      <c r="AE12488"/>
    </row>
    <row r="12489" spans="31:31" ht="15.75" customHeight="1">
      <c r="AE12489"/>
    </row>
    <row r="12490" spans="31:31" ht="15.75" customHeight="1">
      <c r="AE12490"/>
    </row>
    <row r="12491" spans="31:31" ht="15.75" customHeight="1">
      <c r="AE12491"/>
    </row>
    <row r="12492" spans="31:31" ht="15.75" customHeight="1">
      <c r="AE12492"/>
    </row>
    <row r="12493" spans="31:31" ht="15.75" customHeight="1">
      <c r="AE12493"/>
    </row>
    <row r="12494" spans="31:31" ht="15.75" customHeight="1">
      <c r="AE12494"/>
    </row>
    <row r="12495" spans="31:31" ht="15.75" customHeight="1">
      <c r="AE12495"/>
    </row>
    <row r="12496" spans="31:31" ht="15.75" customHeight="1">
      <c r="AE12496"/>
    </row>
    <row r="12497" spans="31:31" ht="15.75" customHeight="1">
      <c r="AE12497"/>
    </row>
    <row r="12498" spans="31:31" ht="15.75" customHeight="1">
      <c r="AE12498"/>
    </row>
    <row r="12499" spans="31:31" ht="15.75" customHeight="1">
      <c r="AE12499"/>
    </row>
    <row r="12500" spans="31:31" ht="15.75" customHeight="1">
      <c r="AE12500"/>
    </row>
    <row r="12501" spans="31:31" ht="15.75" customHeight="1">
      <c r="AE12501"/>
    </row>
    <row r="12502" spans="31:31" ht="15.75" customHeight="1">
      <c r="AE12502"/>
    </row>
    <row r="12503" spans="31:31" ht="15.75" customHeight="1">
      <c r="AE12503"/>
    </row>
    <row r="12504" spans="31:31" ht="15.75" customHeight="1">
      <c r="AE12504"/>
    </row>
    <row r="12505" spans="31:31" ht="15.75" customHeight="1">
      <c r="AE12505"/>
    </row>
    <row r="12506" spans="31:31" ht="15.75" customHeight="1">
      <c r="AE12506"/>
    </row>
    <row r="12507" spans="31:31" ht="15.75" customHeight="1">
      <c r="AE12507"/>
    </row>
    <row r="12508" spans="31:31" ht="15.75" customHeight="1">
      <c r="AE12508"/>
    </row>
    <row r="12509" spans="31:31" ht="15.75" customHeight="1">
      <c r="AE12509"/>
    </row>
    <row r="12510" spans="31:31" ht="15.75" customHeight="1">
      <c r="AE12510"/>
    </row>
    <row r="12511" spans="31:31" ht="15.75" customHeight="1">
      <c r="AE12511"/>
    </row>
    <row r="12512" spans="31:31" ht="15.75" customHeight="1">
      <c r="AE12512"/>
    </row>
    <row r="12513" spans="31:31" ht="15.75" customHeight="1">
      <c r="AE12513"/>
    </row>
    <row r="12514" spans="31:31" ht="15.75" customHeight="1">
      <c r="AE12514"/>
    </row>
    <row r="12515" spans="31:31" ht="15.75" customHeight="1">
      <c r="AE12515"/>
    </row>
    <row r="12516" spans="31:31" ht="15.75" customHeight="1">
      <c r="AE12516"/>
    </row>
    <row r="12517" spans="31:31" ht="15.75" customHeight="1">
      <c r="AE12517"/>
    </row>
    <row r="12518" spans="31:31" ht="15.75" customHeight="1">
      <c r="AE12518"/>
    </row>
    <row r="12519" spans="31:31" ht="15.75" customHeight="1">
      <c r="AE12519"/>
    </row>
    <row r="12520" spans="31:31" ht="15.75" customHeight="1">
      <c r="AE12520"/>
    </row>
    <row r="12521" spans="31:31" ht="15.75" customHeight="1">
      <c r="AE12521"/>
    </row>
    <row r="12522" spans="31:31" ht="15.75" customHeight="1">
      <c r="AE12522"/>
    </row>
    <row r="12523" spans="31:31" ht="15.75" customHeight="1">
      <c r="AE12523"/>
    </row>
    <row r="12524" spans="31:31" ht="15.75" customHeight="1">
      <c r="AE12524"/>
    </row>
    <row r="12525" spans="31:31" ht="15.75" customHeight="1">
      <c r="AE12525"/>
    </row>
    <row r="12526" spans="31:31" ht="15.75" customHeight="1">
      <c r="AE12526"/>
    </row>
    <row r="12527" spans="31:31" ht="15.75" customHeight="1">
      <c r="AE12527"/>
    </row>
    <row r="12528" spans="31:31" ht="15.75" customHeight="1">
      <c r="AE12528"/>
    </row>
    <row r="12529" spans="31:31" ht="15.75" customHeight="1">
      <c r="AE12529"/>
    </row>
    <row r="12530" spans="31:31" ht="15.75" customHeight="1">
      <c r="AE12530"/>
    </row>
    <row r="12531" spans="31:31" ht="15.75" customHeight="1">
      <c r="AE12531"/>
    </row>
    <row r="12532" spans="31:31" ht="15.75" customHeight="1">
      <c r="AE12532"/>
    </row>
    <row r="12533" spans="31:31" ht="15.75" customHeight="1">
      <c r="AE12533"/>
    </row>
    <row r="12534" spans="31:31" ht="15.75" customHeight="1">
      <c r="AE12534"/>
    </row>
    <row r="12535" spans="31:31" ht="15.75" customHeight="1">
      <c r="AE12535"/>
    </row>
    <row r="12536" spans="31:31" ht="15.75" customHeight="1">
      <c r="AE12536"/>
    </row>
    <row r="12537" spans="31:31" ht="15.75" customHeight="1">
      <c r="AE12537"/>
    </row>
    <row r="12538" spans="31:31" ht="15.75" customHeight="1">
      <c r="AE12538"/>
    </row>
    <row r="12539" spans="31:31" ht="15.75" customHeight="1">
      <c r="AE12539"/>
    </row>
    <row r="12540" spans="31:31" ht="15.75" customHeight="1">
      <c r="AE12540"/>
    </row>
    <row r="12541" spans="31:31" ht="15.75" customHeight="1">
      <c r="AE12541"/>
    </row>
    <row r="12542" spans="31:31" ht="15.75" customHeight="1">
      <c r="AE12542"/>
    </row>
    <row r="12543" spans="31:31" ht="15.75" customHeight="1">
      <c r="AE12543"/>
    </row>
    <row r="12544" spans="31:31" ht="15.75" customHeight="1">
      <c r="AE12544"/>
    </row>
    <row r="12545" spans="31:31" ht="15.75" customHeight="1">
      <c r="AE12545"/>
    </row>
    <row r="12546" spans="31:31" ht="15.75" customHeight="1">
      <c r="AE12546"/>
    </row>
    <row r="12547" spans="31:31" ht="15.75" customHeight="1">
      <c r="AE12547"/>
    </row>
    <row r="12548" spans="31:31" ht="15.75" customHeight="1">
      <c r="AE12548"/>
    </row>
    <row r="12549" spans="31:31" ht="15.75" customHeight="1">
      <c r="AE12549"/>
    </row>
    <row r="12550" spans="31:31" ht="15.75" customHeight="1">
      <c r="AE12550"/>
    </row>
    <row r="12551" spans="31:31" ht="15.75" customHeight="1">
      <c r="AE12551"/>
    </row>
    <row r="12552" spans="31:31" ht="15.75" customHeight="1">
      <c r="AE12552"/>
    </row>
    <row r="12553" spans="31:31" ht="15.75" customHeight="1">
      <c r="AE12553"/>
    </row>
    <row r="12554" spans="31:31" ht="15.75" customHeight="1">
      <c r="AE12554"/>
    </row>
    <row r="12555" spans="31:31" ht="15.75" customHeight="1">
      <c r="AE12555"/>
    </row>
    <row r="12556" spans="31:31" ht="15.75" customHeight="1">
      <c r="AE12556"/>
    </row>
    <row r="12557" spans="31:31" ht="15.75" customHeight="1">
      <c r="AE12557"/>
    </row>
    <row r="12558" spans="31:31" ht="15.75" customHeight="1">
      <c r="AE12558"/>
    </row>
    <row r="12559" spans="31:31" ht="15.75" customHeight="1">
      <c r="AE12559"/>
    </row>
    <row r="12560" spans="31:31" ht="15.75" customHeight="1">
      <c r="AE12560"/>
    </row>
    <row r="12561" spans="31:31" ht="15.75" customHeight="1">
      <c r="AE12561"/>
    </row>
    <row r="12562" spans="31:31" ht="15.75" customHeight="1">
      <c r="AE12562"/>
    </row>
    <row r="12563" spans="31:31" ht="15.75" customHeight="1">
      <c r="AE12563"/>
    </row>
    <row r="12564" spans="31:31" ht="15.75" customHeight="1">
      <c r="AE12564"/>
    </row>
    <row r="12565" spans="31:31" ht="15.75" customHeight="1">
      <c r="AE12565"/>
    </row>
    <row r="12566" spans="31:31" ht="15.75" customHeight="1">
      <c r="AE12566"/>
    </row>
    <row r="12567" spans="31:31" ht="15.75" customHeight="1">
      <c r="AE12567"/>
    </row>
    <row r="12568" spans="31:31" ht="15.75" customHeight="1">
      <c r="AE12568"/>
    </row>
    <row r="12569" spans="31:31" ht="15.75" customHeight="1">
      <c r="AE12569"/>
    </row>
    <row r="12570" spans="31:31" ht="15.75" customHeight="1">
      <c r="AE12570"/>
    </row>
    <row r="12571" spans="31:31" ht="15.75" customHeight="1">
      <c r="AE12571"/>
    </row>
    <row r="12572" spans="31:31" ht="15.75" customHeight="1">
      <c r="AE12572"/>
    </row>
    <row r="12573" spans="31:31" ht="15.75" customHeight="1">
      <c r="AE12573"/>
    </row>
    <row r="12574" spans="31:31" ht="15.75" customHeight="1">
      <c r="AE12574"/>
    </row>
    <row r="12575" spans="31:31" ht="15.75" customHeight="1">
      <c r="AE12575"/>
    </row>
    <row r="12576" spans="31:31" ht="15.75" customHeight="1">
      <c r="AE12576"/>
    </row>
    <row r="12577" spans="31:31" ht="15.75" customHeight="1">
      <c r="AE12577"/>
    </row>
    <row r="12578" spans="31:31" ht="15.75" customHeight="1">
      <c r="AE12578"/>
    </row>
    <row r="12579" spans="31:31" ht="15.75" customHeight="1">
      <c r="AE12579"/>
    </row>
    <row r="12580" spans="31:31" ht="15.75" customHeight="1">
      <c r="AE12580"/>
    </row>
    <row r="12581" spans="31:31" ht="15.75" customHeight="1">
      <c r="AE12581"/>
    </row>
    <row r="12582" spans="31:31" ht="15.75" customHeight="1">
      <c r="AE12582"/>
    </row>
    <row r="12583" spans="31:31" ht="15.75" customHeight="1">
      <c r="AE12583"/>
    </row>
    <row r="12584" spans="31:31" ht="15.75" customHeight="1">
      <c r="AE12584"/>
    </row>
    <row r="12585" spans="31:31" ht="15.75" customHeight="1">
      <c r="AE12585"/>
    </row>
    <row r="12586" spans="31:31" ht="15.75" customHeight="1">
      <c r="AE12586"/>
    </row>
    <row r="12587" spans="31:31" ht="15.75" customHeight="1">
      <c r="AE12587"/>
    </row>
    <row r="12588" spans="31:31" ht="15.75" customHeight="1">
      <c r="AE12588"/>
    </row>
    <row r="12589" spans="31:31" ht="15.75" customHeight="1">
      <c r="AE12589"/>
    </row>
    <row r="12590" spans="31:31" ht="15.75" customHeight="1">
      <c r="AE12590"/>
    </row>
    <row r="12591" spans="31:31" ht="15.75" customHeight="1">
      <c r="AE12591"/>
    </row>
    <row r="12592" spans="31:31" ht="15.75" customHeight="1">
      <c r="AE12592"/>
    </row>
    <row r="12593" spans="31:31" ht="15.75" customHeight="1">
      <c r="AE12593"/>
    </row>
    <row r="12594" spans="31:31" ht="15.75" customHeight="1">
      <c r="AE12594"/>
    </row>
    <row r="12595" spans="31:31" ht="15.75" customHeight="1">
      <c r="AE12595"/>
    </row>
    <row r="12596" spans="31:31" ht="15.75" customHeight="1">
      <c r="AE12596"/>
    </row>
    <row r="12597" spans="31:31" ht="15.75" customHeight="1">
      <c r="AE12597"/>
    </row>
    <row r="12598" spans="31:31" ht="15.75" customHeight="1">
      <c r="AE12598"/>
    </row>
    <row r="12599" spans="31:31" ht="15.75" customHeight="1">
      <c r="AE12599"/>
    </row>
    <row r="12600" spans="31:31" ht="15.75" customHeight="1">
      <c r="AE12600"/>
    </row>
    <row r="12601" spans="31:31" ht="15.75" customHeight="1">
      <c r="AE12601"/>
    </row>
    <row r="12602" spans="31:31" ht="15.75" customHeight="1">
      <c r="AE12602"/>
    </row>
    <row r="12603" spans="31:31" ht="15.75" customHeight="1">
      <c r="AE12603"/>
    </row>
    <row r="12604" spans="31:31" ht="15.75" customHeight="1">
      <c r="AE12604"/>
    </row>
    <row r="12605" spans="31:31" ht="15.75" customHeight="1">
      <c r="AE12605"/>
    </row>
    <row r="12606" spans="31:31" ht="15.75" customHeight="1">
      <c r="AE12606"/>
    </row>
    <row r="12607" spans="31:31" ht="15.75" customHeight="1">
      <c r="AE12607"/>
    </row>
    <row r="12608" spans="31:31" ht="15.75" customHeight="1">
      <c r="AE12608"/>
    </row>
    <row r="12609" spans="31:31" ht="15.75" customHeight="1">
      <c r="AE12609"/>
    </row>
    <row r="12610" spans="31:31" ht="15.75" customHeight="1">
      <c r="AE12610"/>
    </row>
    <row r="12611" spans="31:31" ht="15.75" customHeight="1">
      <c r="AE12611"/>
    </row>
    <row r="12612" spans="31:31" ht="15.75" customHeight="1">
      <c r="AE12612"/>
    </row>
    <row r="12613" spans="31:31" ht="15.75" customHeight="1">
      <c r="AE12613"/>
    </row>
    <row r="12614" spans="31:31" ht="15.75" customHeight="1">
      <c r="AE12614"/>
    </row>
    <row r="12615" spans="31:31" ht="15.75" customHeight="1">
      <c r="AE12615"/>
    </row>
    <row r="12616" spans="31:31" ht="15.75" customHeight="1">
      <c r="AE12616"/>
    </row>
    <row r="12617" spans="31:31" ht="15.75" customHeight="1">
      <c r="AE12617"/>
    </row>
    <row r="12618" spans="31:31" ht="15.75" customHeight="1">
      <c r="AE12618"/>
    </row>
    <row r="12619" spans="31:31" ht="15.75" customHeight="1">
      <c r="AE12619"/>
    </row>
    <row r="12620" spans="31:31" ht="15.75" customHeight="1">
      <c r="AE12620"/>
    </row>
    <row r="12621" spans="31:31" ht="15.75" customHeight="1">
      <c r="AE12621"/>
    </row>
    <row r="12622" spans="31:31" ht="15.75" customHeight="1">
      <c r="AE12622"/>
    </row>
    <row r="12623" spans="31:31" ht="15.75" customHeight="1">
      <c r="AE12623"/>
    </row>
    <row r="12624" spans="31:31" ht="15.75" customHeight="1">
      <c r="AE12624"/>
    </row>
    <row r="12625" spans="31:31" ht="15.75" customHeight="1">
      <c r="AE12625"/>
    </row>
    <row r="12626" spans="31:31" ht="15.75" customHeight="1">
      <c r="AE12626"/>
    </row>
    <row r="12627" spans="31:31" ht="15.75" customHeight="1">
      <c r="AE12627"/>
    </row>
    <row r="12628" spans="31:31" ht="15.75" customHeight="1">
      <c r="AE12628"/>
    </row>
    <row r="12629" spans="31:31" ht="15.75" customHeight="1">
      <c r="AE12629"/>
    </row>
    <row r="12630" spans="31:31" ht="15.75" customHeight="1">
      <c r="AE12630"/>
    </row>
    <row r="12631" spans="31:31" ht="15.75" customHeight="1">
      <c r="AE12631"/>
    </row>
    <row r="12632" spans="31:31" ht="15.75" customHeight="1">
      <c r="AE12632"/>
    </row>
    <row r="12633" spans="31:31" ht="15.75" customHeight="1">
      <c r="AE12633"/>
    </row>
    <row r="12634" spans="31:31" ht="15.75" customHeight="1">
      <c r="AE12634"/>
    </row>
    <row r="12635" spans="31:31" ht="15.75" customHeight="1">
      <c r="AE12635"/>
    </row>
    <row r="12636" spans="31:31" ht="15.75" customHeight="1">
      <c r="AE12636"/>
    </row>
    <row r="12637" spans="31:31" ht="15.75" customHeight="1">
      <c r="AE12637"/>
    </row>
    <row r="12638" spans="31:31" ht="15.75" customHeight="1">
      <c r="AE12638"/>
    </row>
    <row r="12639" spans="31:31" ht="15.75" customHeight="1">
      <c r="AE12639"/>
    </row>
    <row r="12640" spans="31:31" ht="15.75" customHeight="1">
      <c r="AE12640"/>
    </row>
    <row r="12641" spans="31:31" ht="15.75" customHeight="1">
      <c r="AE12641"/>
    </row>
    <row r="12642" spans="31:31" ht="15.75" customHeight="1">
      <c r="AE12642"/>
    </row>
    <row r="12643" spans="31:31" ht="15.75" customHeight="1">
      <c r="AE12643"/>
    </row>
    <row r="12644" spans="31:31" ht="15.75" customHeight="1">
      <c r="AE12644"/>
    </row>
    <row r="12645" spans="31:31" ht="15.75" customHeight="1">
      <c r="AE12645"/>
    </row>
    <row r="12646" spans="31:31" ht="15.75" customHeight="1">
      <c r="AE12646"/>
    </row>
    <row r="12647" spans="31:31" ht="15.75" customHeight="1">
      <c r="AE12647"/>
    </row>
    <row r="12648" spans="31:31" ht="15.75" customHeight="1">
      <c r="AE12648"/>
    </row>
    <row r="12649" spans="31:31" ht="15.75" customHeight="1">
      <c r="AE12649"/>
    </row>
    <row r="12650" spans="31:31" ht="15.75" customHeight="1">
      <c r="AE12650"/>
    </row>
    <row r="12651" spans="31:31" ht="15.75" customHeight="1">
      <c r="AE12651"/>
    </row>
    <row r="12652" spans="31:31" ht="15.75" customHeight="1">
      <c r="AE12652"/>
    </row>
    <row r="12653" spans="31:31" ht="15.75" customHeight="1">
      <c r="AE12653"/>
    </row>
    <row r="12654" spans="31:31" ht="15.75" customHeight="1">
      <c r="AE12654"/>
    </row>
    <row r="12655" spans="31:31" ht="15.75" customHeight="1">
      <c r="AE12655"/>
    </row>
    <row r="12656" spans="31:31" ht="15.75" customHeight="1">
      <c r="AE12656"/>
    </row>
    <row r="12657" spans="31:31" ht="15.75" customHeight="1">
      <c r="AE12657"/>
    </row>
    <row r="12658" spans="31:31" ht="15.75" customHeight="1">
      <c r="AE12658"/>
    </row>
    <row r="12659" spans="31:31" ht="15.75" customHeight="1">
      <c r="AE12659"/>
    </row>
    <row r="12660" spans="31:31" ht="15.75" customHeight="1">
      <c r="AE12660"/>
    </row>
    <row r="12661" spans="31:31" ht="15.75" customHeight="1">
      <c r="AE12661"/>
    </row>
    <row r="12662" spans="31:31" ht="15.75" customHeight="1">
      <c r="AE12662"/>
    </row>
    <row r="12663" spans="31:31" ht="15.75" customHeight="1">
      <c r="AE12663"/>
    </row>
    <row r="12664" spans="31:31" ht="15.75" customHeight="1">
      <c r="AE12664"/>
    </row>
    <row r="12665" spans="31:31" ht="15.75" customHeight="1">
      <c r="AE12665"/>
    </row>
    <row r="12666" spans="31:31" ht="15.75" customHeight="1">
      <c r="AE12666"/>
    </row>
    <row r="12667" spans="31:31" ht="15.75" customHeight="1">
      <c r="AE12667"/>
    </row>
    <row r="12668" spans="31:31" ht="15.75" customHeight="1">
      <c r="AE12668"/>
    </row>
    <row r="12669" spans="31:31" ht="15.75" customHeight="1">
      <c r="AE12669"/>
    </row>
    <row r="12670" spans="31:31" ht="15.75" customHeight="1">
      <c r="AE12670"/>
    </row>
    <row r="12671" spans="31:31" ht="15.75" customHeight="1">
      <c r="AE12671"/>
    </row>
    <row r="12672" spans="31:31" ht="15.75" customHeight="1">
      <c r="AE12672"/>
    </row>
    <row r="12673" spans="31:31" ht="15.75" customHeight="1">
      <c r="AE12673"/>
    </row>
    <row r="12674" spans="31:31" ht="15.75" customHeight="1">
      <c r="AE12674"/>
    </row>
    <row r="12675" spans="31:31" ht="15.75" customHeight="1">
      <c r="AE12675"/>
    </row>
    <row r="12676" spans="31:31" ht="15.75" customHeight="1">
      <c r="AE12676"/>
    </row>
    <row r="12677" spans="31:31" ht="15.75" customHeight="1">
      <c r="AE12677"/>
    </row>
    <row r="12678" spans="31:31" ht="15.75" customHeight="1">
      <c r="AE12678"/>
    </row>
    <row r="12679" spans="31:31" ht="15.75" customHeight="1">
      <c r="AE12679"/>
    </row>
    <row r="12680" spans="31:31" ht="15.75" customHeight="1">
      <c r="AE12680"/>
    </row>
    <row r="12681" spans="31:31" ht="15.75" customHeight="1">
      <c r="AE12681"/>
    </row>
    <row r="12682" spans="31:31" ht="15.75" customHeight="1">
      <c r="AE12682"/>
    </row>
    <row r="12683" spans="31:31" ht="15.75" customHeight="1">
      <c r="AE12683"/>
    </row>
    <row r="12684" spans="31:31" ht="15.75" customHeight="1">
      <c r="AE12684"/>
    </row>
    <row r="12685" spans="31:31" ht="15.75" customHeight="1">
      <c r="AE12685"/>
    </row>
    <row r="12686" spans="31:31" ht="15.75" customHeight="1">
      <c r="AE12686"/>
    </row>
    <row r="12687" spans="31:31" ht="15.75" customHeight="1">
      <c r="AE12687"/>
    </row>
    <row r="12688" spans="31:31" ht="15.75" customHeight="1">
      <c r="AE12688"/>
    </row>
    <row r="12689" spans="31:31" ht="15.75" customHeight="1">
      <c r="AE12689"/>
    </row>
    <row r="12690" spans="31:31" ht="15.75" customHeight="1">
      <c r="AE12690"/>
    </row>
    <row r="12691" spans="31:31" ht="15.75" customHeight="1">
      <c r="AE12691"/>
    </row>
    <row r="12692" spans="31:31" ht="15.75" customHeight="1">
      <c r="AE12692"/>
    </row>
    <row r="12693" spans="31:31" ht="15.75" customHeight="1">
      <c r="AE12693"/>
    </row>
    <row r="12694" spans="31:31" ht="15.75" customHeight="1">
      <c r="AE12694"/>
    </row>
    <row r="12695" spans="31:31" ht="15.75" customHeight="1">
      <c r="AE12695"/>
    </row>
    <row r="12696" spans="31:31" ht="15.75" customHeight="1">
      <c r="AE12696"/>
    </row>
    <row r="12697" spans="31:31" ht="15.75" customHeight="1">
      <c r="AE12697"/>
    </row>
    <row r="12698" spans="31:31" ht="15.75" customHeight="1">
      <c r="AE12698"/>
    </row>
    <row r="12699" spans="31:31" ht="15.75" customHeight="1">
      <c r="AE12699"/>
    </row>
    <row r="12700" spans="31:31" ht="15.75" customHeight="1">
      <c r="AE12700"/>
    </row>
    <row r="12701" spans="31:31" ht="15.75" customHeight="1">
      <c r="AE12701"/>
    </row>
    <row r="12702" spans="31:31" ht="15.75" customHeight="1">
      <c r="AE12702"/>
    </row>
    <row r="12703" spans="31:31" ht="15.75" customHeight="1">
      <c r="AE12703"/>
    </row>
    <row r="12704" spans="31:31" ht="15.75" customHeight="1">
      <c r="AE12704"/>
    </row>
    <row r="12705" spans="31:31" ht="15.75" customHeight="1">
      <c r="AE12705"/>
    </row>
    <row r="12706" spans="31:31" ht="15.75" customHeight="1">
      <c r="AE12706"/>
    </row>
    <row r="12707" spans="31:31" ht="15.75" customHeight="1">
      <c r="AE12707"/>
    </row>
    <row r="12708" spans="31:31" ht="15.75" customHeight="1">
      <c r="AE12708"/>
    </row>
    <row r="12709" spans="31:31" ht="15.75" customHeight="1">
      <c r="AE12709"/>
    </row>
    <row r="12710" spans="31:31" ht="15.75" customHeight="1">
      <c r="AE12710"/>
    </row>
    <row r="12711" spans="31:31" ht="15.75" customHeight="1">
      <c r="AE12711"/>
    </row>
    <row r="12712" spans="31:31" ht="15.75" customHeight="1">
      <c r="AE12712"/>
    </row>
    <row r="12713" spans="31:31" ht="15.75" customHeight="1">
      <c r="AE12713"/>
    </row>
    <row r="12714" spans="31:31" ht="15.75" customHeight="1">
      <c r="AE12714"/>
    </row>
    <row r="12715" spans="31:31" ht="15.75" customHeight="1">
      <c r="AE12715"/>
    </row>
    <row r="12716" spans="31:31" ht="15.75" customHeight="1">
      <c r="AE12716"/>
    </row>
    <row r="12717" spans="31:31" ht="15.75" customHeight="1">
      <c r="AE12717"/>
    </row>
    <row r="12718" spans="31:31" ht="15.75" customHeight="1">
      <c r="AE12718"/>
    </row>
    <row r="12719" spans="31:31" ht="15.75" customHeight="1">
      <c r="AE12719"/>
    </row>
    <row r="12720" spans="31:31" ht="15.75" customHeight="1">
      <c r="AE12720"/>
    </row>
    <row r="12721" spans="31:31" ht="15.75" customHeight="1">
      <c r="AE12721"/>
    </row>
    <row r="12722" spans="31:31" ht="15.75" customHeight="1">
      <c r="AE12722"/>
    </row>
    <row r="12723" spans="31:31" ht="15.75" customHeight="1">
      <c r="AE12723"/>
    </row>
    <row r="12724" spans="31:31" ht="15.75" customHeight="1">
      <c r="AE12724"/>
    </row>
    <row r="12725" spans="31:31" ht="15.75" customHeight="1">
      <c r="AE12725"/>
    </row>
    <row r="12726" spans="31:31" ht="15.75" customHeight="1">
      <c r="AE12726"/>
    </row>
    <row r="12727" spans="31:31" ht="15.75" customHeight="1">
      <c r="AE12727"/>
    </row>
    <row r="12728" spans="31:31" ht="15.75" customHeight="1">
      <c r="AE12728"/>
    </row>
    <row r="12729" spans="31:31" ht="15.75" customHeight="1">
      <c r="AE12729"/>
    </row>
    <row r="12730" spans="31:31" ht="15.75" customHeight="1">
      <c r="AE12730"/>
    </row>
    <row r="12731" spans="31:31" ht="15.75" customHeight="1">
      <c r="AE12731"/>
    </row>
    <row r="12732" spans="31:31" ht="15.75" customHeight="1">
      <c r="AE12732"/>
    </row>
    <row r="12733" spans="31:31" ht="15.75" customHeight="1">
      <c r="AE12733"/>
    </row>
    <row r="12734" spans="31:31" ht="15.75" customHeight="1">
      <c r="AE12734"/>
    </row>
    <row r="12735" spans="31:31" ht="15.75" customHeight="1">
      <c r="AE12735"/>
    </row>
    <row r="12736" spans="31:31" ht="15.75" customHeight="1">
      <c r="AE12736"/>
    </row>
    <row r="12737" spans="31:31" ht="15.75" customHeight="1">
      <c r="AE12737"/>
    </row>
    <row r="12738" spans="31:31" ht="15.75" customHeight="1">
      <c r="AE12738"/>
    </row>
    <row r="12739" spans="31:31" ht="15.75" customHeight="1">
      <c r="AE12739"/>
    </row>
    <row r="12740" spans="31:31" ht="15.75" customHeight="1">
      <c r="AE12740"/>
    </row>
    <row r="12741" spans="31:31" ht="15.75" customHeight="1">
      <c r="AE12741"/>
    </row>
    <row r="12742" spans="31:31" ht="15.75" customHeight="1">
      <c r="AE12742"/>
    </row>
    <row r="12743" spans="31:31" ht="15.75" customHeight="1">
      <c r="AE12743"/>
    </row>
    <row r="12744" spans="31:31" ht="15.75" customHeight="1">
      <c r="AE12744"/>
    </row>
    <row r="12745" spans="31:31" ht="15.75" customHeight="1">
      <c r="AE12745"/>
    </row>
    <row r="12746" spans="31:31" ht="15.75" customHeight="1">
      <c r="AE12746"/>
    </row>
    <row r="12747" spans="31:31" ht="15.75" customHeight="1">
      <c r="AE12747"/>
    </row>
    <row r="12748" spans="31:31" ht="15.75" customHeight="1">
      <c r="AE12748"/>
    </row>
    <row r="12749" spans="31:31" ht="15.75" customHeight="1">
      <c r="AE12749"/>
    </row>
    <row r="12750" spans="31:31" ht="15.75" customHeight="1">
      <c r="AE12750"/>
    </row>
    <row r="12751" spans="31:31" ht="15.75" customHeight="1">
      <c r="AE12751"/>
    </row>
    <row r="12752" spans="31:31" ht="15.75" customHeight="1">
      <c r="AE12752"/>
    </row>
    <row r="12753" spans="31:31" ht="15.75" customHeight="1">
      <c r="AE12753"/>
    </row>
    <row r="12754" spans="31:31" ht="15.75" customHeight="1">
      <c r="AE12754"/>
    </row>
    <row r="12755" spans="31:31" ht="15.75" customHeight="1">
      <c r="AE12755"/>
    </row>
    <row r="12756" spans="31:31" ht="15.75" customHeight="1">
      <c r="AE12756"/>
    </row>
    <row r="12757" spans="31:31" ht="15.75" customHeight="1">
      <c r="AE12757"/>
    </row>
    <row r="12758" spans="31:31" ht="15.75" customHeight="1">
      <c r="AE12758"/>
    </row>
    <row r="12759" spans="31:31" ht="15.75" customHeight="1">
      <c r="AE12759"/>
    </row>
    <row r="12760" spans="31:31" ht="15.75" customHeight="1">
      <c r="AE12760"/>
    </row>
    <row r="12761" spans="31:31" ht="15.75" customHeight="1">
      <c r="AE12761"/>
    </row>
    <row r="12762" spans="31:31" ht="15.75" customHeight="1">
      <c r="AE12762"/>
    </row>
    <row r="12763" spans="31:31" ht="15.75" customHeight="1">
      <c r="AE12763"/>
    </row>
    <row r="12764" spans="31:31" ht="15.75" customHeight="1">
      <c r="AE12764"/>
    </row>
    <row r="12765" spans="31:31" ht="15.75" customHeight="1">
      <c r="AE12765"/>
    </row>
    <row r="12766" spans="31:31" ht="15.75" customHeight="1">
      <c r="AE12766"/>
    </row>
    <row r="12767" spans="31:31" ht="15.75" customHeight="1">
      <c r="AE12767"/>
    </row>
    <row r="12768" spans="31:31" ht="15.75" customHeight="1">
      <c r="AE12768"/>
    </row>
    <row r="12769" spans="31:31" ht="15.75" customHeight="1">
      <c r="AE12769"/>
    </row>
    <row r="12770" spans="31:31" ht="15.75" customHeight="1">
      <c r="AE12770"/>
    </row>
    <row r="12771" spans="31:31" ht="15.75" customHeight="1">
      <c r="AE12771"/>
    </row>
    <row r="12772" spans="31:31" ht="15.75" customHeight="1">
      <c r="AE12772"/>
    </row>
    <row r="12773" spans="31:31" ht="15.75" customHeight="1">
      <c r="AE12773"/>
    </row>
    <row r="12774" spans="31:31" ht="15.75" customHeight="1">
      <c r="AE12774"/>
    </row>
    <row r="12775" spans="31:31" ht="15.75" customHeight="1">
      <c r="AE12775"/>
    </row>
    <row r="12776" spans="31:31" ht="15.75" customHeight="1">
      <c r="AE12776"/>
    </row>
    <row r="12777" spans="31:31" ht="15.75" customHeight="1">
      <c r="AE12777"/>
    </row>
    <row r="12778" spans="31:31" ht="15.75" customHeight="1">
      <c r="AE12778"/>
    </row>
    <row r="12779" spans="31:31" ht="15.75" customHeight="1">
      <c r="AE12779"/>
    </row>
    <row r="12780" spans="31:31" ht="15.75" customHeight="1">
      <c r="AE12780"/>
    </row>
    <row r="12781" spans="31:31" ht="15.75" customHeight="1">
      <c r="AE12781"/>
    </row>
    <row r="12782" spans="31:31" ht="15.75" customHeight="1">
      <c r="AE12782"/>
    </row>
    <row r="12783" spans="31:31" ht="15.75" customHeight="1">
      <c r="AE12783"/>
    </row>
    <row r="12784" spans="31:31" ht="15.75" customHeight="1">
      <c r="AE12784"/>
    </row>
    <row r="12785" spans="31:31" ht="15.75" customHeight="1">
      <c r="AE12785"/>
    </row>
    <row r="12786" spans="31:31" ht="15.75" customHeight="1">
      <c r="AE12786"/>
    </row>
    <row r="12787" spans="31:31" ht="15.75" customHeight="1">
      <c r="AE12787"/>
    </row>
    <row r="12788" spans="31:31" ht="15.75" customHeight="1">
      <c r="AE12788"/>
    </row>
    <row r="12789" spans="31:31" ht="15.75" customHeight="1">
      <c r="AE12789"/>
    </row>
    <row r="12790" spans="31:31" ht="15.75" customHeight="1">
      <c r="AE12790"/>
    </row>
    <row r="12791" spans="31:31" ht="15.75" customHeight="1">
      <c r="AE12791"/>
    </row>
    <row r="12792" spans="31:31" ht="15.75" customHeight="1">
      <c r="AE12792"/>
    </row>
    <row r="12793" spans="31:31" ht="15.75" customHeight="1">
      <c r="AE12793"/>
    </row>
    <row r="12794" spans="31:31" ht="15.75" customHeight="1">
      <c r="AE12794"/>
    </row>
    <row r="12795" spans="31:31" ht="15.75" customHeight="1">
      <c r="AE12795"/>
    </row>
    <row r="12796" spans="31:31" ht="15.75" customHeight="1">
      <c r="AE12796"/>
    </row>
    <row r="12797" spans="31:31" ht="15.75" customHeight="1">
      <c r="AE12797"/>
    </row>
    <row r="12798" spans="31:31" ht="15.75" customHeight="1">
      <c r="AE12798"/>
    </row>
    <row r="12799" spans="31:31" ht="15.75" customHeight="1">
      <c r="AE12799"/>
    </row>
    <row r="12800" spans="31:31" ht="15.75" customHeight="1">
      <c r="AE12800"/>
    </row>
    <row r="12801" spans="31:31" ht="15.75" customHeight="1">
      <c r="AE12801"/>
    </row>
    <row r="12802" spans="31:31" ht="15.75" customHeight="1">
      <c r="AE12802"/>
    </row>
    <row r="12803" spans="31:31" ht="15.75" customHeight="1">
      <c r="AE12803"/>
    </row>
    <row r="12804" spans="31:31" ht="15.75" customHeight="1">
      <c r="AE12804"/>
    </row>
    <row r="12805" spans="31:31" ht="15.75" customHeight="1">
      <c r="AE12805"/>
    </row>
    <row r="12806" spans="31:31" ht="15.75" customHeight="1">
      <c r="AE12806"/>
    </row>
    <row r="12807" spans="31:31" ht="15.75" customHeight="1">
      <c r="AE12807"/>
    </row>
    <row r="12808" spans="31:31" ht="15.75" customHeight="1">
      <c r="AE12808"/>
    </row>
    <row r="12809" spans="31:31" ht="15.75" customHeight="1">
      <c r="AE12809"/>
    </row>
    <row r="12810" spans="31:31" ht="15.75" customHeight="1">
      <c r="AE12810"/>
    </row>
    <row r="12811" spans="31:31" ht="15.75" customHeight="1">
      <c r="AE12811"/>
    </row>
    <row r="12812" spans="31:31" ht="15.75" customHeight="1">
      <c r="AE12812"/>
    </row>
    <row r="12813" spans="31:31" ht="15.75" customHeight="1">
      <c r="AE12813"/>
    </row>
    <row r="12814" spans="31:31" ht="15.75" customHeight="1">
      <c r="AE12814"/>
    </row>
    <row r="12815" spans="31:31" ht="15.75" customHeight="1">
      <c r="AE12815"/>
    </row>
    <row r="12816" spans="31:31" ht="15.75" customHeight="1">
      <c r="AE12816"/>
    </row>
    <row r="12817" spans="31:31" ht="15.75" customHeight="1">
      <c r="AE12817"/>
    </row>
    <row r="12818" spans="31:31" ht="15.75" customHeight="1">
      <c r="AE12818"/>
    </row>
    <row r="12819" spans="31:31" ht="15.75" customHeight="1">
      <c r="AE12819"/>
    </row>
    <row r="12820" spans="31:31" ht="15.75" customHeight="1">
      <c r="AE12820"/>
    </row>
    <row r="12821" spans="31:31" ht="15.75" customHeight="1">
      <c r="AE12821"/>
    </row>
    <row r="12822" spans="31:31" ht="15.75" customHeight="1">
      <c r="AE12822"/>
    </row>
    <row r="12823" spans="31:31" ht="15.75" customHeight="1">
      <c r="AE12823"/>
    </row>
    <row r="12824" spans="31:31" ht="15.75" customHeight="1">
      <c r="AE12824"/>
    </row>
    <row r="12825" spans="31:31" ht="15.75" customHeight="1">
      <c r="AE12825"/>
    </row>
    <row r="12826" spans="31:31" ht="15.75" customHeight="1">
      <c r="AE12826"/>
    </row>
    <row r="12827" spans="31:31" ht="15.75" customHeight="1">
      <c r="AE12827"/>
    </row>
    <row r="12828" spans="31:31" ht="15.75" customHeight="1">
      <c r="AE12828"/>
    </row>
    <row r="12829" spans="31:31" ht="15.75" customHeight="1">
      <c r="AE12829"/>
    </row>
    <row r="12830" spans="31:31" ht="15.75" customHeight="1">
      <c r="AE12830"/>
    </row>
    <row r="12831" spans="31:31" ht="15.75" customHeight="1">
      <c r="AE12831"/>
    </row>
    <row r="12832" spans="31:31" ht="15.75" customHeight="1">
      <c r="AE12832"/>
    </row>
    <row r="12833" spans="31:31" ht="15.75" customHeight="1">
      <c r="AE12833"/>
    </row>
    <row r="12834" spans="31:31" ht="15.75" customHeight="1">
      <c r="AE12834"/>
    </row>
    <row r="12835" spans="31:31" ht="15.75" customHeight="1">
      <c r="AE12835"/>
    </row>
    <row r="12836" spans="31:31" ht="15.75" customHeight="1">
      <c r="AE12836"/>
    </row>
    <row r="12837" spans="31:31" ht="15.75" customHeight="1">
      <c r="AE12837"/>
    </row>
    <row r="12838" spans="31:31" ht="15.75" customHeight="1">
      <c r="AE12838"/>
    </row>
    <row r="12839" spans="31:31" ht="15.75" customHeight="1">
      <c r="AE12839"/>
    </row>
    <row r="12840" spans="31:31" ht="15.75" customHeight="1">
      <c r="AE12840"/>
    </row>
    <row r="12841" spans="31:31" ht="15.75" customHeight="1">
      <c r="AE12841"/>
    </row>
    <row r="12842" spans="31:31" ht="15.75" customHeight="1">
      <c r="AE12842"/>
    </row>
    <row r="12843" spans="31:31" ht="15.75" customHeight="1">
      <c r="AE12843"/>
    </row>
    <row r="12844" spans="31:31" ht="15.75" customHeight="1">
      <c r="AE12844"/>
    </row>
    <row r="12845" spans="31:31" ht="15.75" customHeight="1">
      <c r="AE12845"/>
    </row>
    <row r="12846" spans="31:31" ht="15.75" customHeight="1">
      <c r="AE12846"/>
    </row>
    <row r="12847" spans="31:31" ht="15.75" customHeight="1">
      <c r="AE12847"/>
    </row>
    <row r="12848" spans="31:31" ht="15.75" customHeight="1">
      <c r="AE12848"/>
    </row>
    <row r="12849" spans="31:31" ht="15.75" customHeight="1">
      <c r="AE12849"/>
    </row>
    <row r="12850" spans="31:31" ht="15.75" customHeight="1">
      <c r="AE12850"/>
    </row>
    <row r="12851" spans="31:31" ht="15.75" customHeight="1">
      <c r="AE12851"/>
    </row>
    <row r="12852" spans="31:31" ht="15.75" customHeight="1">
      <c r="AE12852"/>
    </row>
    <row r="12853" spans="31:31" ht="15.75" customHeight="1">
      <c r="AE12853"/>
    </row>
    <row r="12854" spans="31:31" ht="15.75" customHeight="1">
      <c r="AE12854"/>
    </row>
    <row r="12855" spans="31:31" ht="15.75" customHeight="1">
      <c r="AE12855"/>
    </row>
    <row r="12856" spans="31:31" ht="15.75" customHeight="1">
      <c r="AE12856"/>
    </row>
    <row r="12857" spans="31:31" ht="15.75" customHeight="1">
      <c r="AE12857"/>
    </row>
    <row r="12858" spans="31:31" ht="15.75" customHeight="1">
      <c r="AE12858"/>
    </row>
    <row r="12859" spans="31:31" ht="15.75" customHeight="1">
      <c r="AE12859"/>
    </row>
    <row r="12860" spans="31:31" ht="15.75" customHeight="1">
      <c r="AE12860"/>
    </row>
    <row r="12861" spans="31:31" ht="15.75" customHeight="1">
      <c r="AE12861"/>
    </row>
    <row r="12862" spans="31:31" ht="15.75" customHeight="1">
      <c r="AE12862"/>
    </row>
    <row r="12863" spans="31:31" ht="15.75" customHeight="1">
      <c r="AE12863"/>
    </row>
    <row r="12864" spans="31:31" ht="15.75" customHeight="1">
      <c r="AE12864"/>
    </row>
    <row r="12865" spans="31:31" ht="15.75" customHeight="1">
      <c r="AE12865"/>
    </row>
    <row r="12866" spans="31:31" ht="15.75" customHeight="1">
      <c r="AE12866"/>
    </row>
    <row r="12867" spans="31:31" ht="15.75" customHeight="1">
      <c r="AE12867"/>
    </row>
    <row r="12868" spans="31:31" ht="15.75" customHeight="1">
      <c r="AE12868"/>
    </row>
    <row r="12869" spans="31:31" ht="15.75" customHeight="1">
      <c r="AE12869"/>
    </row>
    <row r="12870" spans="31:31" ht="15.75" customHeight="1">
      <c r="AE12870"/>
    </row>
    <row r="12871" spans="31:31" ht="15.75" customHeight="1">
      <c r="AE12871"/>
    </row>
    <row r="12872" spans="31:31" ht="15.75" customHeight="1">
      <c r="AE12872"/>
    </row>
    <row r="12873" spans="31:31" ht="15.75" customHeight="1">
      <c r="AE12873"/>
    </row>
    <row r="12874" spans="31:31" ht="15.75" customHeight="1">
      <c r="AE12874"/>
    </row>
    <row r="12875" spans="31:31" ht="15.75" customHeight="1">
      <c r="AE12875"/>
    </row>
    <row r="12876" spans="31:31" ht="15.75" customHeight="1">
      <c r="AE12876"/>
    </row>
    <row r="12877" spans="31:31" ht="15.75" customHeight="1">
      <c r="AE12877"/>
    </row>
    <row r="12878" spans="31:31" ht="15.75" customHeight="1">
      <c r="AE12878"/>
    </row>
    <row r="12879" spans="31:31" ht="15.75" customHeight="1">
      <c r="AE12879"/>
    </row>
    <row r="12880" spans="31:31" ht="15.75" customHeight="1">
      <c r="AE12880"/>
    </row>
    <row r="12881" spans="31:31" ht="15.75" customHeight="1">
      <c r="AE12881"/>
    </row>
    <row r="12882" spans="31:31" ht="15.75" customHeight="1">
      <c r="AE12882"/>
    </row>
    <row r="12883" spans="31:31" ht="15.75" customHeight="1">
      <c r="AE12883"/>
    </row>
    <row r="12884" spans="31:31" ht="15.75" customHeight="1">
      <c r="AE12884"/>
    </row>
    <row r="12885" spans="31:31" ht="15.75" customHeight="1">
      <c r="AE12885"/>
    </row>
    <row r="12886" spans="31:31" ht="15.75" customHeight="1">
      <c r="AE12886"/>
    </row>
    <row r="12887" spans="31:31" ht="15.75" customHeight="1">
      <c r="AE12887"/>
    </row>
    <row r="12888" spans="31:31" ht="15.75" customHeight="1">
      <c r="AE12888"/>
    </row>
    <row r="12889" spans="31:31" ht="15.75" customHeight="1">
      <c r="AE12889"/>
    </row>
    <row r="12890" spans="31:31" ht="15.75" customHeight="1">
      <c r="AE12890"/>
    </row>
    <row r="12891" spans="31:31" ht="15.75" customHeight="1">
      <c r="AE12891"/>
    </row>
    <row r="12892" spans="31:31" ht="15.75" customHeight="1">
      <c r="AE12892"/>
    </row>
    <row r="12893" spans="31:31" ht="15.75" customHeight="1">
      <c r="AE12893"/>
    </row>
    <row r="12894" spans="31:31" ht="15.75" customHeight="1">
      <c r="AE12894"/>
    </row>
    <row r="12895" spans="31:31" ht="15.75" customHeight="1">
      <c r="AE12895"/>
    </row>
    <row r="12896" spans="31:31" ht="15.75" customHeight="1">
      <c r="AE12896"/>
    </row>
    <row r="12897" spans="31:31" ht="15.75" customHeight="1">
      <c r="AE12897"/>
    </row>
    <row r="12898" spans="31:31" ht="15.75" customHeight="1">
      <c r="AE12898"/>
    </row>
    <row r="12899" spans="31:31" ht="15.75" customHeight="1">
      <c r="AE12899"/>
    </row>
    <row r="12900" spans="31:31" ht="15.75" customHeight="1">
      <c r="AE12900"/>
    </row>
    <row r="12901" spans="31:31" ht="15.75" customHeight="1">
      <c r="AE12901"/>
    </row>
    <row r="12902" spans="31:31" ht="15.75" customHeight="1">
      <c r="AE12902"/>
    </row>
    <row r="12903" spans="31:31" ht="15.75" customHeight="1">
      <c r="AE12903"/>
    </row>
    <row r="12904" spans="31:31" ht="15.75" customHeight="1">
      <c r="AE12904"/>
    </row>
    <row r="12905" spans="31:31" ht="15.75" customHeight="1">
      <c r="AE12905"/>
    </row>
    <row r="12906" spans="31:31" ht="15.75" customHeight="1">
      <c r="AE12906"/>
    </row>
    <row r="12907" spans="31:31" ht="15.75" customHeight="1">
      <c r="AE12907"/>
    </row>
    <row r="12908" spans="31:31" ht="15.75" customHeight="1">
      <c r="AE12908"/>
    </row>
    <row r="12909" spans="31:31" ht="15.75" customHeight="1">
      <c r="AE12909"/>
    </row>
    <row r="12910" spans="31:31" ht="15.75" customHeight="1">
      <c r="AE12910"/>
    </row>
    <row r="12911" spans="31:31" ht="15.75" customHeight="1">
      <c r="AE12911"/>
    </row>
    <row r="12912" spans="31:31" ht="15.75" customHeight="1">
      <c r="AE12912"/>
    </row>
    <row r="12913" spans="31:31" ht="15.75" customHeight="1">
      <c r="AE12913"/>
    </row>
    <row r="12914" spans="31:31" ht="15.75" customHeight="1">
      <c r="AE12914"/>
    </row>
    <row r="12915" spans="31:31" ht="15.75" customHeight="1">
      <c r="AE12915"/>
    </row>
    <row r="12916" spans="31:31" ht="15.75" customHeight="1">
      <c r="AE12916"/>
    </row>
    <row r="12917" spans="31:31" ht="15.75" customHeight="1">
      <c r="AE12917"/>
    </row>
    <row r="12918" spans="31:31" ht="15.75" customHeight="1">
      <c r="AE12918"/>
    </row>
    <row r="12919" spans="31:31" ht="15.75" customHeight="1">
      <c r="AE12919"/>
    </row>
    <row r="12920" spans="31:31" ht="15.75" customHeight="1">
      <c r="AE12920"/>
    </row>
    <row r="12921" spans="31:31" ht="15.75" customHeight="1">
      <c r="AE12921"/>
    </row>
    <row r="12922" spans="31:31" ht="15.75" customHeight="1">
      <c r="AE12922"/>
    </row>
    <row r="12923" spans="31:31" ht="15.75" customHeight="1">
      <c r="AE12923"/>
    </row>
    <row r="12924" spans="31:31" ht="15.75" customHeight="1">
      <c r="AE12924"/>
    </row>
    <row r="12925" spans="31:31" ht="15.75" customHeight="1">
      <c r="AE12925"/>
    </row>
    <row r="12926" spans="31:31" ht="15.75" customHeight="1">
      <c r="AE12926"/>
    </row>
    <row r="12927" spans="31:31" ht="15.75" customHeight="1">
      <c r="AE12927"/>
    </row>
    <row r="12928" spans="31:31" ht="15.75" customHeight="1">
      <c r="AE12928"/>
    </row>
    <row r="12929" spans="31:31" ht="15.75" customHeight="1">
      <c r="AE12929"/>
    </row>
    <row r="12930" spans="31:31" ht="15.75" customHeight="1">
      <c r="AE12930"/>
    </row>
    <row r="12931" spans="31:31" ht="15.75" customHeight="1">
      <c r="AE12931"/>
    </row>
    <row r="12932" spans="31:31" ht="15.75" customHeight="1">
      <c r="AE12932"/>
    </row>
    <row r="12933" spans="31:31" ht="15.75" customHeight="1">
      <c r="AE12933"/>
    </row>
    <row r="12934" spans="31:31" ht="15.75" customHeight="1">
      <c r="AE12934"/>
    </row>
    <row r="12935" spans="31:31" ht="15.75" customHeight="1">
      <c r="AE12935"/>
    </row>
    <row r="12936" spans="31:31" ht="15.75" customHeight="1">
      <c r="AE12936"/>
    </row>
    <row r="12937" spans="31:31" ht="15.75" customHeight="1">
      <c r="AE12937"/>
    </row>
    <row r="12938" spans="31:31" ht="15.75" customHeight="1">
      <c r="AE12938"/>
    </row>
    <row r="12939" spans="31:31" ht="15.75" customHeight="1">
      <c r="AE12939"/>
    </row>
    <row r="12940" spans="31:31" ht="15.75" customHeight="1">
      <c r="AE12940"/>
    </row>
    <row r="12941" spans="31:31" ht="15.75" customHeight="1">
      <c r="AE12941"/>
    </row>
    <row r="12942" spans="31:31" ht="15.75" customHeight="1">
      <c r="AE12942"/>
    </row>
    <row r="12943" spans="31:31" ht="15.75" customHeight="1">
      <c r="AE12943"/>
    </row>
    <row r="12944" spans="31:31" ht="15.75" customHeight="1">
      <c r="AE12944"/>
    </row>
    <row r="12945" spans="31:31" ht="15.75" customHeight="1">
      <c r="AE12945"/>
    </row>
    <row r="12946" spans="31:31" ht="15.75" customHeight="1">
      <c r="AE12946"/>
    </row>
    <row r="12947" spans="31:31" ht="15.75" customHeight="1">
      <c r="AE12947"/>
    </row>
    <row r="12948" spans="31:31" ht="15.75" customHeight="1">
      <c r="AE12948"/>
    </row>
    <row r="12949" spans="31:31" ht="15.75" customHeight="1">
      <c r="AE12949"/>
    </row>
    <row r="12950" spans="31:31" ht="15.75" customHeight="1">
      <c r="AE12950"/>
    </row>
    <row r="12951" spans="31:31" ht="15.75" customHeight="1">
      <c r="AE12951"/>
    </row>
    <row r="12952" spans="31:31" ht="15.75" customHeight="1">
      <c r="AE12952"/>
    </row>
    <row r="12953" spans="31:31" ht="15.75" customHeight="1">
      <c r="AE12953"/>
    </row>
    <row r="12954" spans="31:31" ht="15.75" customHeight="1">
      <c r="AE12954"/>
    </row>
    <row r="12955" spans="31:31" ht="15.75" customHeight="1">
      <c r="AE12955"/>
    </row>
    <row r="12956" spans="31:31" ht="15.75" customHeight="1">
      <c r="AE12956"/>
    </row>
    <row r="12957" spans="31:31" ht="15.75" customHeight="1">
      <c r="AE12957"/>
    </row>
    <row r="12958" spans="31:31" ht="15.75" customHeight="1">
      <c r="AE12958"/>
    </row>
    <row r="12959" spans="31:31" ht="15.75" customHeight="1">
      <c r="AE12959"/>
    </row>
    <row r="12960" spans="31:31" ht="15.75" customHeight="1">
      <c r="AE12960"/>
    </row>
    <row r="12961" spans="31:31" ht="15.75" customHeight="1">
      <c r="AE12961"/>
    </row>
    <row r="12962" spans="31:31" ht="15.75" customHeight="1">
      <c r="AE12962"/>
    </row>
    <row r="12963" spans="31:31" ht="15.75" customHeight="1">
      <c r="AE12963"/>
    </row>
    <row r="12964" spans="31:31" ht="15.75" customHeight="1">
      <c r="AE12964"/>
    </row>
    <row r="12965" spans="31:31" ht="15.75" customHeight="1">
      <c r="AE12965"/>
    </row>
    <row r="12966" spans="31:31" ht="15.75" customHeight="1">
      <c r="AE12966"/>
    </row>
    <row r="12967" spans="31:31" ht="15.75" customHeight="1">
      <c r="AE12967"/>
    </row>
    <row r="12968" spans="31:31" ht="15.75" customHeight="1">
      <c r="AE12968"/>
    </row>
    <row r="12969" spans="31:31" ht="15.75" customHeight="1">
      <c r="AE12969"/>
    </row>
    <row r="12970" spans="31:31" ht="15.75" customHeight="1">
      <c r="AE12970"/>
    </row>
    <row r="12971" spans="31:31" ht="15.75" customHeight="1">
      <c r="AE12971"/>
    </row>
    <row r="12972" spans="31:31" ht="15.75" customHeight="1">
      <c r="AE12972"/>
    </row>
    <row r="12973" spans="31:31" ht="15.75" customHeight="1">
      <c r="AE12973"/>
    </row>
    <row r="12974" spans="31:31" ht="15.75" customHeight="1">
      <c r="AE12974"/>
    </row>
    <row r="12975" spans="31:31" ht="15.75" customHeight="1">
      <c r="AE12975"/>
    </row>
    <row r="12976" spans="31:31" ht="15.75" customHeight="1">
      <c r="AE12976"/>
    </row>
    <row r="12977" spans="31:31" ht="15.75" customHeight="1">
      <c r="AE12977"/>
    </row>
    <row r="12978" spans="31:31" ht="15.75" customHeight="1">
      <c r="AE12978"/>
    </row>
    <row r="12979" spans="31:31" ht="15.75" customHeight="1">
      <c r="AE12979"/>
    </row>
    <row r="12980" spans="31:31" ht="15.75" customHeight="1">
      <c r="AE12980"/>
    </row>
    <row r="12981" spans="31:31" ht="15.75" customHeight="1">
      <c r="AE12981"/>
    </row>
    <row r="12982" spans="31:31" ht="15.75" customHeight="1">
      <c r="AE12982"/>
    </row>
    <row r="12983" spans="31:31" ht="15.75" customHeight="1">
      <c r="AE12983"/>
    </row>
    <row r="12984" spans="31:31" ht="15.75" customHeight="1">
      <c r="AE12984"/>
    </row>
    <row r="12985" spans="31:31" ht="15.75" customHeight="1">
      <c r="AE12985"/>
    </row>
    <row r="12986" spans="31:31" ht="15.75" customHeight="1">
      <c r="AE12986"/>
    </row>
    <row r="12987" spans="31:31" ht="15.75" customHeight="1">
      <c r="AE12987"/>
    </row>
    <row r="12988" spans="31:31" ht="15.75" customHeight="1">
      <c r="AE12988"/>
    </row>
    <row r="12989" spans="31:31" ht="15.75" customHeight="1">
      <c r="AE12989"/>
    </row>
    <row r="12990" spans="31:31" ht="15.75" customHeight="1">
      <c r="AE12990"/>
    </row>
    <row r="12991" spans="31:31" ht="15.75" customHeight="1">
      <c r="AE12991"/>
    </row>
    <row r="12992" spans="31:31" ht="15.75" customHeight="1">
      <c r="AE12992"/>
    </row>
    <row r="12993" spans="31:31" ht="15.75" customHeight="1">
      <c r="AE12993"/>
    </row>
    <row r="12994" spans="31:31" ht="15.75" customHeight="1">
      <c r="AE12994"/>
    </row>
    <row r="12995" spans="31:31" ht="15.75" customHeight="1">
      <c r="AE12995"/>
    </row>
    <row r="12996" spans="31:31" ht="15.75" customHeight="1">
      <c r="AE12996"/>
    </row>
    <row r="12997" spans="31:31" ht="15.75" customHeight="1">
      <c r="AE12997"/>
    </row>
    <row r="12998" spans="31:31" ht="15.75" customHeight="1">
      <c r="AE12998"/>
    </row>
    <row r="12999" spans="31:31" ht="15.75" customHeight="1">
      <c r="AE12999"/>
    </row>
    <row r="13000" spans="31:31" ht="15.75" customHeight="1">
      <c r="AE13000"/>
    </row>
    <row r="13001" spans="31:31" ht="15.75" customHeight="1">
      <c r="AE13001"/>
    </row>
    <row r="13002" spans="31:31" ht="15.75" customHeight="1">
      <c r="AE13002"/>
    </row>
    <row r="13003" spans="31:31" ht="15.75" customHeight="1">
      <c r="AE13003"/>
    </row>
    <row r="13004" spans="31:31" ht="15.75" customHeight="1">
      <c r="AE13004"/>
    </row>
    <row r="13005" spans="31:31" ht="15.75" customHeight="1">
      <c r="AE13005"/>
    </row>
    <row r="13006" spans="31:31" ht="15.75" customHeight="1">
      <c r="AE13006"/>
    </row>
    <row r="13007" spans="31:31" ht="15.75" customHeight="1">
      <c r="AE13007"/>
    </row>
    <row r="13008" spans="31:31" ht="15.75" customHeight="1">
      <c r="AE13008"/>
    </row>
    <row r="13009" spans="31:31" ht="15.75" customHeight="1">
      <c r="AE13009"/>
    </row>
    <row r="13010" spans="31:31" ht="15.75" customHeight="1">
      <c r="AE13010"/>
    </row>
    <row r="13011" spans="31:31" ht="15.75" customHeight="1">
      <c r="AE13011"/>
    </row>
    <row r="13012" spans="31:31" ht="15.75" customHeight="1">
      <c r="AE13012"/>
    </row>
    <row r="13013" spans="31:31" ht="15.75" customHeight="1">
      <c r="AE13013"/>
    </row>
    <row r="13014" spans="31:31" ht="15.75" customHeight="1">
      <c r="AE13014"/>
    </row>
    <row r="13015" spans="31:31" ht="15.75" customHeight="1">
      <c r="AE13015"/>
    </row>
    <row r="13016" spans="31:31" ht="15.75" customHeight="1">
      <c r="AE13016"/>
    </row>
    <row r="13017" spans="31:31" ht="15.75" customHeight="1">
      <c r="AE13017"/>
    </row>
    <row r="13018" spans="31:31" ht="15.75" customHeight="1">
      <c r="AE13018"/>
    </row>
    <row r="13019" spans="31:31" ht="15.75" customHeight="1">
      <c r="AE13019"/>
    </row>
    <row r="13020" spans="31:31" ht="15.75" customHeight="1">
      <c r="AE13020"/>
    </row>
    <row r="13021" spans="31:31" ht="15.75" customHeight="1">
      <c r="AE13021"/>
    </row>
    <row r="13022" spans="31:31" ht="15.75" customHeight="1">
      <c r="AE13022"/>
    </row>
    <row r="13023" spans="31:31" ht="15.75" customHeight="1">
      <c r="AE13023"/>
    </row>
    <row r="13024" spans="31:31" ht="15.75" customHeight="1">
      <c r="AE13024"/>
    </row>
    <row r="13025" spans="31:31" ht="15.75" customHeight="1">
      <c r="AE13025"/>
    </row>
    <row r="13026" spans="31:31" ht="15.75" customHeight="1">
      <c r="AE13026"/>
    </row>
    <row r="13027" spans="31:31" ht="15.75" customHeight="1">
      <c r="AE13027"/>
    </row>
    <row r="13028" spans="31:31" ht="15.75" customHeight="1">
      <c r="AE13028"/>
    </row>
    <row r="13029" spans="31:31" ht="15.75" customHeight="1">
      <c r="AE13029"/>
    </row>
    <row r="13030" spans="31:31" ht="15.75" customHeight="1">
      <c r="AE13030"/>
    </row>
    <row r="13031" spans="31:31" ht="15.75" customHeight="1">
      <c r="AE13031"/>
    </row>
    <row r="13032" spans="31:31" ht="15.75" customHeight="1">
      <c r="AE13032"/>
    </row>
    <row r="13033" spans="31:31" ht="15.75" customHeight="1">
      <c r="AE13033"/>
    </row>
    <row r="13034" spans="31:31" ht="15.75" customHeight="1">
      <c r="AE13034"/>
    </row>
    <row r="13035" spans="31:31" ht="15.75" customHeight="1">
      <c r="AE13035"/>
    </row>
    <row r="13036" spans="31:31" ht="15.75" customHeight="1">
      <c r="AE13036"/>
    </row>
    <row r="13037" spans="31:31" ht="15.75" customHeight="1">
      <c r="AE13037"/>
    </row>
    <row r="13038" spans="31:31" ht="15.75" customHeight="1">
      <c r="AE13038"/>
    </row>
    <row r="13039" spans="31:31" ht="15.75" customHeight="1">
      <c r="AE13039"/>
    </row>
    <row r="13040" spans="31:31" ht="15.75" customHeight="1">
      <c r="AE13040"/>
    </row>
    <row r="13041" spans="31:31" ht="15.75" customHeight="1">
      <c r="AE13041"/>
    </row>
    <row r="13042" spans="31:31" ht="15.75" customHeight="1">
      <c r="AE13042"/>
    </row>
    <row r="13043" spans="31:31" ht="15.75" customHeight="1">
      <c r="AE13043"/>
    </row>
    <row r="13044" spans="31:31" ht="15.75" customHeight="1">
      <c r="AE13044"/>
    </row>
    <row r="13045" spans="31:31" ht="15.75" customHeight="1">
      <c r="AE13045"/>
    </row>
    <row r="13046" spans="31:31" ht="15.75" customHeight="1">
      <c r="AE13046"/>
    </row>
    <row r="13047" spans="31:31" ht="15.75" customHeight="1">
      <c r="AE13047"/>
    </row>
    <row r="13048" spans="31:31" ht="15.75" customHeight="1">
      <c r="AE13048"/>
    </row>
    <row r="13049" spans="31:31" ht="15.75" customHeight="1">
      <c r="AE13049"/>
    </row>
    <row r="13050" spans="31:31" ht="15.75" customHeight="1">
      <c r="AE13050"/>
    </row>
    <row r="13051" spans="31:31" ht="15.75" customHeight="1">
      <c r="AE13051"/>
    </row>
    <row r="13052" spans="31:31" ht="15.75" customHeight="1">
      <c r="AE13052"/>
    </row>
    <row r="13053" spans="31:31" ht="15.75" customHeight="1">
      <c r="AE13053"/>
    </row>
    <row r="13054" spans="31:31" ht="15.75" customHeight="1">
      <c r="AE13054"/>
    </row>
    <row r="13055" spans="31:31" ht="15.75" customHeight="1">
      <c r="AE13055"/>
    </row>
    <row r="13056" spans="31:31" ht="15.75" customHeight="1">
      <c r="AE13056"/>
    </row>
    <row r="13057" spans="31:31" ht="15.75" customHeight="1">
      <c r="AE13057"/>
    </row>
    <row r="13058" spans="31:31" ht="15.75" customHeight="1">
      <c r="AE13058"/>
    </row>
    <row r="13059" spans="31:31" ht="15.75" customHeight="1">
      <c r="AE13059"/>
    </row>
    <row r="13060" spans="31:31" ht="15.75" customHeight="1">
      <c r="AE13060"/>
    </row>
    <row r="13061" spans="31:31" ht="15.75" customHeight="1">
      <c r="AE13061"/>
    </row>
    <row r="13062" spans="31:31" ht="15.75" customHeight="1">
      <c r="AE13062"/>
    </row>
    <row r="13063" spans="31:31" ht="15.75" customHeight="1">
      <c r="AE13063"/>
    </row>
    <row r="13064" spans="31:31" ht="15.75" customHeight="1">
      <c r="AE13064"/>
    </row>
    <row r="13065" spans="31:31" ht="15.75" customHeight="1">
      <c r="AE13065"/>
    </row>
    <row r="13066" spans="31:31" ht="15.75" customHeight="1">
      <c r="AE13066"/>
    </row>
    <row r="13067" spans="31:31" ht="15.75" customHeight="1">
      <c r="AE13067"/>
    </row>
    <row r="13068" spans="31:31" ht="15.75" customHeight="1">
      <c r="AE13068"/>
    </row>
    <row r="13069" spans="31:31" ht="15.75" customHeight="1">
      <c r="AE13069"/>
    </row>
    <row r="13070" spans="31:31" ht="15.75" customHeight="1">
      <c r="AE13070"/>
    </row>
    <row r="13071" spans="31:31" ht="15.75" customHeight="1">
      <c r="AE13071"/>
    </row>
    <row r="13072" spans="31:31" ht="15.75" customHeight="1">
      <c r="AE13072"/>
    </row>
    <row r="13073" spans="31:31" ht="15.75" customHeight="1">
      <c r="AE13073"/>
    </row>
    <row r="13074" spans="31:31" ht="15.75" customHeight="1">
      <c r="AE13074"/>
    </row>
    <row r="13075" spans="31:31" ht="15.75" customHeight="1">
      <c r="AE13075"/>
    </row>
    <row r="13076" spans="31:31" ht="15.75" customHeight="1">
      <c r="AE13076"/>
    </row>
    <row r="13077" spans="31:31" ht="15.75" customHeight="1">
      <c r="AE13077"/>
    </row>
    <row r="13078" spans="31:31" ht="15.75" customHeight="1">
      <c r="AE13078"/>
    </row>
    <row r="13079" spans="31:31" ht="15.75" customHeight="1">
      <c r="AE13079"/>
    </row>
    <row r="13080" spans="31:31" ht="15.75" customHeight="1">
      <c r="AE13080"/>
    </row>
    <row r="13081" spans="31:31" ht="15.75" customHeight="1">
      <c r="AE13081"/>
    </row>
    <row r="13082" spans="31:31" ht="15.75" customHeight="1">
      <c r="AE13082"/>
    </row>
    <row r="13083" spans="31:31" ht="15.75" customHeight="1">
      <c r="AE13083"/>
    </row>
    <row r="13084" spans="31:31" ht="15.75" customHeight="1">
      <c r="AE13084"/>
    </row>
    <row r="13085" spans="31:31" ht="15.75" customHeight="1">
      <c r="AE13085"/>
    </row>
    <row r="13086" spans="31:31" ht="15.75" customHeight="1">
      <c r="AE13086"/>
    </row>
    <row r="13087" spans="31:31" ht="15.75" customHeight="1">
      <c r="AE13087"/>
    </row>
    <row r="13088" spans="31:31" ht="15.75" customHeight="1">
      <c r="AE13088"/>
    </row>
    <row r="13089" spans="31:31" ht="15.75" customHeight="1">
      <c r="AE13089"/>
    </row>
    <row r="13090" spans="31:31" ht="15.75" customHeight="1">
      <c r="AE13090"/>
    </row>
    <row r="13091" spans="31:31" ht="15.75" customHeight="1">
      <c r="AE13091"/>
    </row>
    <row r="13092" spans="31:31" ht="15.75" customHeight="1">
      <c r="AE13092"/>
    </row>
    <row r="13093" spans="31:31" ht="15.75" customHeight="1">
      <c r="AE13093"/>
    </row>
    <row r="13094" spans="31:31" ht="15.75" customHeight="1">
      <c r="AE13094"/>
    </row>
    <row r="13095" spans="31:31" ht="15.75" customHeight="1">
      <c r="AE13095"/>
    </row>
    <row r="13096" spans="31:31" ht="15.75" customHeight="1">
      <c r="AE13096"/>
    </row>
    <row r="13097" spans="31:31" ht="15.75" customHeight="1">
      <c r="AE13097"/>
    </row>
    <row r="13098" spans="31:31" ht="15.75" customHeight="1">
      <c r="AE13098"/>
    </row>
    <row r="13099" spans="31:31" ht="15.75" customHeight="1">
      <c r="AE13099"/>
    </row>
    <row r="13100" spans="31:31" ht="15.75" customHeight="1">
      <c r="AE13100"/>
    </row>
    <row r="13101" spans="31:31" ht="15.75" customHeight="1">
      <c r="AE13101"/>
    </row>
    <row r="13102" spans="31:31" ht="15.75" customHeight="1">
      <c r="AE13102"/>
    </row>
    <row r="13103" spans="31:31" ht="15.75" customHeight="1">
      <c r="AE13103"/>
    </row>
    <row r="13104" spans="31:31" ht="15.75" customHeight="1">
      <c r="AE13104"/>
    </row>
    <row r="13105" spans="31:31" ht="15.75" customHeight="1">
      <c r="AE13105"/>
    </row>
    <row r="13106" spans="31:31" ht="15.75" customHeight="1">
      <c r="AE13106"/>
    </row>
    <row r="13107" spans="31:31" ht="15.75" customHeight="1">
      <c r="AE13107"/>
    </row>
    <row r="13108" spans="31:31" ht="15.75" customHeight="1">
      <c r="AE13108"/>
    </row>
    <row r="13109" spans="31:31" ht="15.75" customHeight="1">
      <c r="AE13109"/>
    </row>
    <row r="13110" spans="31:31" ht="15.75" customHeight="1">
      <c r="AE13110"/>
    </row>
    <row r="13111" spans="31:31" ht="15.75" customHeight="1">
      <c r="AE13111"/>
    </row>
    <row r="13112" spans="31:31" ht="15.75" customHeight="1">
      <c r="AE13112"/>
    </row>
    <row r="13113" spans="31:31" ht="15.75" customHeight="1">
      <c r="AE13113"/>
    </row>
    <row r="13114" spans="31:31" ht="15.75" customHeight="1">
      <c r="AE13114"/>
    </row>
    <row r="13115" spans="31:31" ht="15.75" customHeight="1">
      <c r="AE13115"/>
    </row>
    <row r="13116" spans="31:31" ht="15.75" customHeight="1">
      <c r="AE13116"/>
    </row>
    <row r="13117" spans="31:31" ht="15.75" customHeight="1">
      <c r="AE13117"/>
    </row>
    <row r="13118" spans="31:31" ht="15.75" customHeight="1">
      <c r="AE13118"/>
    </row>
    <row r="13119" spans="31:31" ht="15.75" customHeight="1">
      <c r="AE13119"/>
    </row>
    <row r="13120" spans="31:31" ht="15.75" customHeight="1">
      <c r="AE13120"/>
    </row>
    <row r="13121" spans="31:31" ht="15.75" customHeight="1">
      <c r="AE13121"/>
    </row>
    <row r="13122" spans="31:31" ht="15.75" customHeight="1">
      <c r="AE13122"/>
    </row>
    <row r="13123" spans="31:31" ht="15.75" customHeight="1">
      <c r="AE13123"/>
    </row>
    <row r="13124" spans="31:31" ht="15.75" customHeight="1">
      <c r="AE13124"/>
    </row>
    <row r="13125" spans="31:31" ht="15.75" customHeight="1">
      <c r="AE13125"/>
    </row>
    <row r="13126" spans="31:31" ht="15.75" customHeight="1">
      <c r="AE13126"/>
    </row>
    <row r="13127" spans="31:31" ht="15.75" customHeight="1">
      <c r="AE13127"/>
    </row>
    <row r="13128" spans="31:31" ht="15.75" customHeight="1">
      <c r="AE13128"/>
    </row>
    <row r="13129" spans="31:31" ht="15.75" customHeight="1">
      <c r="AE13129"/>
    </row>
    <row r="13130" spans="31:31" ht="15.75" customHeight="1">
      <c r="AE13130"/>
    </row>
    <row r="13131" spans="31:31" ht="15.75" customHeight="1">
      <c r="AE13131"/>
    </row>
    <row r="13132" spans="31:31" ht="15.75" customHeight="1">
      <c r="AE13132"/>
    </row>
    <row r="13133" spans="31:31" ht="15.75" customHeight="1">
      <c r="AE13133"/>
    </row>
    <row r="13134" spans="31:31" ht="15.75" customHeight="1">
      <c r="AE13134"/>
    </row>
    <row r="13135" spans="31:31" ht="15.75" customHeight="1">
      <c r="AE13135"/>
    </row>
    <row r="13136" spans="31:31" ht="15.75" customHeight="1">
      <c r="AE13136"/>
    </row>
    <row r="13137" spans="31:31" ht="15.75" customHeight="1">
      <c r="AE13137"/>
    </row>
    <row r="13138" spans="31:31" ht="15.75" customHeight="1">
      <c r="AE13138"/>
    </row>
    <row r="13139" spans="31:31" ht="15.75" customHeight="1">
      <c r="AE13139"/>
    </row>
    <row r="13140" spans="31:31" ht="15.75" customHeight="1">
      <c r="AE13140"/>
    </row>
    <row r="13141" spans="31:31" ht="15.75" customHeight="1">
      <c r="AE13141"/>
    </row>
    <row r="13142" spans="31:31" ht="15.75" customHeight="1">
      <c r="AE13142"/>
    </row>
    <row r="13143" spans="31:31" ht="15.75" customHeight="1">
      <c r="AE13143"/>
    </row>
    <row r="13144" spans="31:31" ht="15.75" customHeight="1">
      <c r="AE13144"/>
    </row>
    <row r="13145" spans="31:31" ht="15.75" customHeight="1">
      <c r="AE13145"/>
    </row>
    <row r="13146" spans="31:31" ht="15.75" customHeight="1">
      <c r="AE13146"/>
    </row>
    <row r="13147" spans="31:31" ht="15.75" customHeight="1">
      <c r="AE13147"/>
    </row>
    <row r="13148" spans="31:31" ht="15.75" customHeight="1">
      <c r="AE13148"/>
    </row>
    <row r="13149" spans="31:31" ht="15.75" customHeight="1">
      <c r="AE13149"/>
    </row>
    <row r="13150" spans="31:31" ht="15.75" customHeight="1">
      <c r="AE13150"/>
    </row>
    <row r="13151" spans="31:31" ht="15.75" customHeight="1">
      <c r="AE13151"/>
    </row>
    <row r="13152" spans="31:31" ht="15.75" customHeight="1">
      <c r="AE13152"/>
    </row>
    <row r="13153" spans="31:31" ht="15.75" customHeight="1">
      <c r="AE13153"/>
    </row>
    <row r="13154" spans="31:31" ht="15.75" customHeight="1">
      <c r="AE13154"/>
    </row>
    <row r="13155" spans="31:31" ht="15.75" customHeight="1">
      <c r="AE13155"/>
    </row>
    <row r="13156" spans="31:31" ht="15.75" customHeight="1">
      <c r="AE13156"/>
    </row>
    <row r="13157" spans="31:31" ht="15.75" customHeight="1">
      <c r="AE13157"/>
    </row>
    <row r="13158" spans="31:31" ht="15.75" customHeight="1">
      <c r="AE13158"/>
    </row>
    <row r="13159" spans="31:31" ht="15.75" customHeight="1">
      <c r="AE13159"/>
    </row>
    <row r="13160" spans="31:31" ht="15.75" customHeight="1">
      <c r="AE13160"/>
    </row>
    <row r="13161" spans="31:31" ht="15.75" customHeight="1">
      <c r="AE13161"/>
    </row>
    <row r="13162" spans="31:31" ht="15.75" customHeight="1">
      <c r="AE13162"/>
    </row>
    <row r="13163" spans="31:31" ht="15.75" customHeight="1">
      <c r="AE13163"/>
    </row>
    <row r="13164" spans="31:31" ht="15.75" customHeight="1">
      <c r="AE13164"/>
    </row>
    <row r="13165" spans="31:31" ht="15.75" customHeight="1">
      <c r="AE13165"/>
    </row>
    <row r="13166" spans="31:31" ht="15.75" customHeight="1">
      <c r="AE13166"/>
    </row>
    <row r="13167" spans="31:31" ht="15.75" customHeight="1">
      <c r="AE13167"/>
    </row>
    <row r="13168" spans="31:31" ht="15.75" customHeight="1">
      <c r="AE13168"/>
    </row>
    <row r="13169" spans="31:31" ht="15.75" customHeight="1">
      <c r="AE13169"/>
    </row>
    <row r="13170" spans="31:31" ht="15.75" customHeight="1">
      <c r="AE13170"/>
    </row>
    <row r="13171" spans="31:31" ht="15.75" customHeight="1">
      <c r="AE13171"/>
    </row>
    <row r="13172" spans="31:31" ht="15.75" customHeight="1">
      <c r="AE13172"/>
    </row>
    <row r="13173" spans="31:31" ht="15.75" customHeight="1">
      <c r="AE13173"/>
    </row>
    <row r="13174" spans="31:31" ht="15.75" customHeight="1">
      <c r="AE13174"/>
    </row>
    <row r="13175" spans="31:31" ht="15.75" customHeight="1">
      <c r="AE13175"/>
    </row>
    <row r="13176" spans="31:31" ht="15.75" customHeight="1">
      <c r="AE13176"/>
    </row>
    <row r="13177" spans="31:31" ht="15.75" customHeight="1">
      <c r="AE13177"/>
    </row>
    <row r="13178" spans="31:31" ht="15.75" customHeight="1">
      <c r="AE13178"/>
    </row>
    <row r="13179" spans="31:31" ht="15.75" customHeight="1">
      <c r="AE13179"/>
    </row>
    <row r="13180" spans="31:31" ht="15.75" customHeight="1">
      <c r="AE13180"/>
    </row>
    <row r="13181" spans="31:31" ht="15.75" customHeight="1">
      <c r="AE13181"/>
    </row>
    <row r="13182" spans="31:31" ht="15.75" customHeight="1">
      <c r="AE13182"/>
    </row>
    <row r="13183" spans="31:31" ht="15.75" customHeight="1">
      <c r="AE13183"/>
    </row>
    <row r="13184" spans="31:31" ht="15.75" customHeight="1">
      <c r="AE13184"/>
    </row>
    <row r="13185" spans="31:31" ht="15.75" customHeight="1">
      <c r="AE13185"/>
    </row>
    <row r="13186" spans="31:31" ht="15.75" customHeight="1">
      <c r="AE13186"/>
    </row>
    <row r="13187" spans="31:31" ht="15.75" customHeight="1">
      <c r="AE13187"/>
    </row>
    <row r="13188" spans="31:31" ht="15.75" customHeight="1">
      <c r="AE13188"/>
    </row>
    <row r="13189" spans="31:31" ht="15.75" customHeight="1">
      <c r="AE13189"/>
    </row>
    <row r="13190" spans="31:31" ht="15.75" customHeight="1">
      <c r="AE13190"/>
    </row>
    <row r="13191" spans="31:31" ht="15.75" customHeight="1">
      <c r="AE13191"/>
    </row>
    <row r="13192" spans="31:31" ht="15.75" customHeight="1">
      <c r="AE13192"/>
    </row>
    <row r="13193" spans="31:31" ht="15.75" customHeight="1">
      <c r="AE13193"/>
    </row>
    <row r="13194" spans="31:31" ht="15.75" customHeight="1">
      <c r="AE13194"/>
    </row>
    <row r="13195" spans="31:31" ht="15.75" customHeight="1">
      <c r="AE13195"/>
    </row>
    <row r="13196" spans="31:31" ht="15.75" customHeight="1">
      <c r="AE13196"/>
    </row>
    <row r="13197" spans="31:31" ht="15.75" customHeight="1">
      <c r="AE13197"/>
    </row>
    <row r="13198" spans="31:31" ht="15.75" customHeight="1">
      <c r="AE13198"/>
    </row>
    <row r="13199" spans="31:31" ht="15.75" customHeight="1">
      <c r="AE13199"/>
    </row>
    <row r="13200" spans="31:31" ht="15.75" customHeight="1">
      <c r="AE13200"/>
    </row>
    <row r="13201" spans="31:31" ht="15.75" customHeight="1">
      <c r="AE13201"/>
    </row>
    <row r="13202" spans="31:31" ht="15.75" customHeight="1">
      <c r="AE13202"/>
    </row>
    <row r="13203" spans="31:31" ht="15.75" customHeight="1">
      <c r="AE13203"/>
    </row>
    <row r="13204" spans="31:31" ht="15.75" customHeight="1">
      <c r="AE13204"/>
    </row>
    <row r="13205" spans="31:31" ht="15.75" customHeight="1">
      <c r="AE13205"/>
    </row>
    <row r="13206" spans="31:31" ht="15.75" customHeight="1">
      <c r="AE13206"/>
    </row>
    <row r="13207" spans="31:31" ht="15.75" customHeight="1">
      <c r="AE13207"/>
    </row>
    <row r="13208" spans="31:31" ht="15.75" customHeight="1">
      <c r="AE13208"/>
    </row>
    <row r="13209" spans="31:31" ht="15.75" customHeight="1">
      <c r="AE13209"/>
    </row>
    <row r="13210" spans="31:31" ht="15.75" customHeight="1">
      <c r="AE13210"/>
    </row>
    <row r="13211" spans="31:31" ht="15.75" customHeight="1">
      <c r="AE13211"/>
    </row>
    <row r="13212" spans="31:31" ht="15.75" customHeight="1">
      <c r="AE13212"/>
    </row>
    <row r="13213" spans="31:31" ht="15.75" customHeight="1">
      <c r="AE13213"/>
    </row>
    <row r="13214" spans="31:31" ht="15.75" customHeight="1">
      <c r="AE13214"/>
    </row>
    <row r="13215" spans="31:31" ht="15.75" customHeight="1">
      <c r="AE13215"/>
    </row>
    <row r="13216" spans="31:31" ht="15.75" customHeight="1">
      <c r="AE13216"/>
    </row>
    <row r="13217" spans="31:31" ht="15.75" customHeight="1">
      <c r="AE13217"/>
    </row>
    <row r="13218" spans="31:31" ht="15.75" customHeight="1">
      <c r="AE13218"/>
    </row>
    <row r="13219" spans="31:31" ht="15.75" customHeight="1">
      <c r="AE13219"/>
    </row>
    <row r="13220" spans="31:31" ht="15.75" customHeight="1">
      <c r="AE13220"/>
    </row>
    <row r="13221" spans="31:31" ht="15.75" customHeight="1">
      <c r="AE13221"/>
    </row>
    <row r="13222" spans="31:31" ht="15.75" customHeight="1">
      <c r="AE13222"/>
    </row>
    <row r="13223" spans="31:31" ht="15.75" customHeight="1">
      <c r="AE13223"/>
    </row>
    <row r="13224" spans="31:31" ht="15.75" customHeight="1">
      <c r="AE13224"/>
    </row>
    <row r="13225" spans="31:31" ht="15.75" customHeight="1">
      <c r="AE13225"/>
    </row>
    <row r="13226" spans="31:31" ht="15.75" customHeight="1">
      <c r="AE13226"/>
    </row>
    <row r="13227" spans="31:31" ht="15.75" customHeight="1">
      <c r="AE13227"/>
    </row>
    <row r="13228" spans="31:31" ht="15.75" customHeight="1">
      <c r="AE13228"/>
    </row>
    <row r="13229" spans="31:31" ht="15.75" customHeight="1">
      <c r="AE13229"/>
    </row>
    <row r="13230" spans="31:31" ht="15.75" customHeight="1">
      <c r="AE13230"/>
    </row>
    <row r="13231" spans="31:31" ht="15.75" customHeight="1">
      <c r="AE13231"/>
    </row>
    <row r="13232" spans="31:31" ht="15.75" customHeight="1">
      <c r="AE13232"/>
    </row>
    <row r="13233" spans="31:31" ht="15.75" customHeight="1">
      <c r="AE13233"/>
    </row>
    <row r="13234" spans="31:31" ht="15.75" customHeight="1">
      <c r="AE13234"/>
    </row>
    <row r="13235" spans="31:31" ht="15.75" customHeight="1">
      <c r="AE13235"/>
    </row>
    <row r="13236" spans="31:31" ht="15.75" customHeight="1">
      <c r="AE13236"/>
    </row>
    <row r="13237" spans="31:31" ht="15.75" customHeight="1">
      <c r="AE13237"/>
    </row>
    <row r="13238" spans="31:31" ht="15.75" customHeight="1">
      <c r="AE13238"/>
    </row>
    <row r="13239" spans="31:31" ht="15.75" customHeight="1">
      <c r="AE13239"/>
    </row>
    <row r="13240" spans="31:31" ht="15.75" customHeight="1">
      <c r="AE13240"/>
    </row>
    <row r="13241" spans="31:31" ht="15.75" customHeight="1">
      <c r="AE13241"/>
    </row>
    <row r="13242" spans="31:31" ht="15.75" customHeight="1">
      <c r="AE13242"/>
    </row>
    <row r="13243" spans="31:31" ht="15.75" customHeight="1">
      <c r="AE13243"/>
    </row>
    <row r="13244" spans="31:31" ht="15.75" customHeight="1">
      <c r="AE13244"/>
    </row>
    <row r="13245" spans="31:31" ht="15.75" customHeight="1">
      <c r="AE13245"/>
    </row>
    <row r="13246" spans="31:31" ht="15.75" customHeight="1">
      <c r="AE13246"/>
    </row>
    <row r="13247" spans="31:31" ht="15.75" customHeight="1">
      <c r="AE13247"/>
    </row>
    <row r="13248" spans="31:31" ht="15.75" customHeight="1">
      <c r="AE13248"/>
    </row>
    <row r="13249" spans="31:31" ht="15.75" customHeight="1">
      <c r="AE13249"/>
    </row>
    <row r="13250" spans="31:31" ht="15.75" customHeight="1">
      <c r="AE13250"/>
    </row>
    <row r="13251" spans="31:31" ht="15.75" customHeight="1">
      <c r="AE13251"/>
    </row>
    <row r="13252" spans="31:31" ht="15.75" customHeight="1">
      <c r="AE13252"/>
    </row>
    <row r="13253" spans="31:31" ht="15.75" customHeight="1">
      <c r="AE13253"/>
    </row>
    <row r="13254" spans="31:31" ht="15.75" customHeight="1">
      <c r="AE13254"/>
    </row>
    <row r="13255" spans="31:31" ht="15.75" customHeight="1">
      <c r="AE13255"/>
    </row>
    <row r="13256" spans="31:31" ht="15.75" customHeight="1">
      <c r="AE13256"/>
    </row>
    <row r="13257" spans="31:31" ht="15.75" customHeight="1">
      <c r="AE13257"/>
    </row>
    <row r="13258" spans="31:31" ht="15.75" customHeight="1">
      <c r="AE13258"/>
    </row>
    <row r="13259" spans="31:31" ht="15.75" customHeight="1">
      <c r="AE13259"/>
    </row>
    <row r="13260" spans="31:31" ht="15.75" customHeight="1">
      <c r="AE13260"/>
    </row>
    <row r="13261" spans="31:31" ht="15.75" customHeight="1">
      <c r="AE13261"/>
    </row>
    <row r="13262" spans="31:31" ht="15.75" customHeight="1">
      <c r="AE13262"/>
    </row>
    <row r="13263" spans="31:31" ht="15.75" customHeight="1">
      <c r="AE13263"/>
    </row>
    <row r="13264" spans="31:31" ht="15.75" customHeight="1">
      <c r="AE13264"/>
    </row>
    <row r="13265" spans="31:31" ht="15.75" customHeight="1">
      <c r="AE13265"/>
    </row>
    <row r="13266" spans="31:31" ht="15.75" customHeight="1">
      <c r="AE13266"/>
    </row>
    <row r="13267" spans="31:31" ht="15.75" customHeight="1">
      <c r="AE13267"/>
    </row>
    <row r="13268" spans="31:31" ht="15.75" customHeight="1">
      <c r="AE13268"/>
    </row>
    <row r="13269" spans="31:31" ht="15.75" customHeight="1">
      <c r="AE13269"/>
    </row>
    <row r="13270" spans="31:31" ht="15.75" customHeight="1">
      <c r="AE13270"/>
    </row>
    <row r="13271" spans="31:31" ht="15.75" customHeight="1">
      <c r="AE13271"/>
    </row>
    <row r="13272" spans="31:31" ht="15.75" customHeight="1">
      <c r="AE13272"/>
    </row>
    <row r="13273" spans="31:31" ht="15.75" customHeight="1">
      <c r="AE13273"/>
    </row>
    <row r="13274" spans="31:31" ht="15.75" customHeight="1">
      <c r="AE13274"/>
    </row>
    <row r="13275" spans="31:31" ht="15.75" customHeight="1">
      <c r="AE13275"/>
    </row>
    <row r="13276" spans="31:31" ht="15.75" customHeight="1">
      <c r="AE13276"/>
    </row>
    <row r="13277" spans="31:31" ht="15.75" customHeight="1">
      <c r="AE13277"/>
    </row>
    <row r="13278" spans="31:31" ht="15.75" customHeight="1">
      <c r="AE13278"/>
    </row>
    <row r="13279" spans="31:31" ht="15.75" customHeight="1">
      <c r="AE13279"/>
    </row>
    <row r="13280" spans="31:31" ht="15.75" customHeight="1">
      <c r="AE13280"/>
    </row>
    <row r="13281" spans="31:31" ht="15.75" customHeight="1">
      <c r="AE13281"/>
    </row>
    <row r="13282" spans="31:31" ht="15.75" customHeight="1">
      <c r="AE13282"/>
    </row>
    <row r="13283" spans="31:31" ht="15.75" customHeight="1">
      <c r="AE13283"/>
    </row>
    <row r="13284" spans="31:31" ht="15.75" customHeight="1">
      <c r="AE13284"/>
    </row>
    <row r="13285" spans="31:31" ht="15.75" customHeight="1">
      <c r="AE13285"/>
    </row>
    <row r="13286" spans="31:31" ht="15.75" customHeight="1">
      <c r="AE13286"/>
    </row>
    <row r="13287" spans="31:31" ht="15.75" customHeight="1">
      <c r="AE13287"/>
    </row>
    <row r="13288" spans="31:31" ht="15.75" customHeight="1">
      <c r="AE13288"/>
    </row>
    <row r="13289" spans="31:31" ht="15.75" customHeight="1">
      <c r="AE13289"/>
    </row>
    <row r="13290" spans="31:31" ht="15.75" customHeight="1">
      <c r="AE13290"/>
    </row>
    <row r="13291" spans="31:31" ht="15.75" customHeight="1">
      <c r="AE13291"/>
    </row>
    <row r="13292" spans="31:31" ht="15.75" customHeight="1">
      <c r="AE13292"/>
    </row>
    <row r="13293" spans="31:31" ht="15.75" customHeight="1">
      <c r="AE13293"/>
    </row>
    <row r="13294" spans="31:31" ht="15.75" customHeight="1">
      <c r="AE13294"/>
    </row>
    <row r="13295" spans="31:31" ht="15.75" customHeight="1">
      <c r="AE13295"/>
    </row>
    <row r="13296" spans="31:31" ht="15.75" customHeight="1">
      <c r="AE13296"/>
    </row>
    <row r="13297" spans="31:31" ht="15.75" customHeight="1">
      <c r="AE13297"/>
    </row>
    <row r="13298" spans="31:31" ht="15.75" customHeight="1">
      <c r="AE13298"/>
    </row>
    <row r="13299" spans="31:31" ht="15.75" customHeight="1">
      <c r="AE13299"/>
    </row>
    <row r="13300" spans="31:31" ht="15.75" customHeight="1">
      <c r="AE13300"/>
    </row>
    <row r="13301" spans="31:31" ht="15.75" customHeight="1">
      <c r="AE13301"/>
    </row>
    <row r="13302" spans="31:31" ht="15.75" customHeight="1">
      <c r="AE13302"/>
    </row>
    <row r="13303" spans="31:31" ht="15.75" customHeight="1">
      <c r="AE13303"/>
    </row>
    <row r="13304" spans="31:31" ht="15.75" customHeight="1">
      <c r="AE13304"/>
    </row>
    <row r="13305" spans="31:31" ht="15.75" customHeight="1">
      <c r="AE13305"/>
    </row>
    <row r="13306" spans="31:31" ht="15.75" customHeight="1">
      <c r="AE13306"/>
    </row>
    <row r="13307" spans="31:31" ht="15.75" customHeight="1">
      <c r="AE13307"/>
    </row>
    <row r="13308" spans="31:31" ht="15.75" customHeight="1">
      <c r="AE13308"/>
    </row>
    <row r="13309" spans="31:31" ht="15.75" customHeight="1">
      <c r="AE13309"/>
    </row>
    <row r="13310" spans="31:31" ht="15.75" customHeight="1">
      <c r="AE13310"/>
    </row>
    <row r="13311" spans="31:31" ht="15.75" customHeight="1">
      <c r="AE13311"/>
    </row>
    <row r="13312" spans="31:31" ht="15.75" customHeight="1">
      <c r="AE13312"/>
    </row>
    <row r="13313" spans="31:31" ht="15.75" customHeight="1">
      <c r="AE13313"/>
    </row>
    <row r="13314" spans="31:31" ht="15.75" customHeight="1">
      <c r="AE13314"/>
    </row>
    <row r="13315" spans="31:31" ht="15.75" customHeight="1">
      <c r="AE13315"/>
    </row>
    <row r="13316" spans="31:31" ht="15.75" customHeight="1">
      <c r="AE13316"/>
    </row>
    <row r="13317" spans="31:31" ht="15.75" customHeight="1">
      <c r="AE13317"/>
    </row>
    <row r="13318" spans="31:31" ht="15.75" customHeight="1">
      <c r="AE13318"/>
    </row>
    <row r="13319" spans="31:31" ht="15.75" customHeight="1">
      <c r="AE13319"/>
    </row>
    <row r="13320" spans="31:31" ht="15.75" customHeight="1">
      <c r="AE13320"/>
    </row>
    <row r="13321" spans="31:31" ht="15.75" customHeight="1">
      <c r="AE13321"/>
    </row>
    <row r="13322" spans="31:31" ht="15.75" customHeight="1">
      <c r="AE13322"/>
    </row>
    <row r="13323" spans="31:31" ht="15.75" customHeight="1">
      <c r="AE13323"/>
    </row>
    <row r="13324" spans="31:31" ht="15.75" customHeight="1">
      <c r="AE13324"/>
    </row>
    <row r="13325" spans="31:31" ht="15.75" customHeight="1">
      <c r="AE13325"/>
    </row>
    <row r="13326" spans="31:31" ht="15.75" customHeight="1">
      <c r="AE13326"/>
    </row>
    <row r="13327" spans="31:31" ht="15.75" customHeight="1">
      <c r="AE13327"/>
    </row>
    <row r="13328" spans="31:31" ht="15.75" customHeight="1">
      <c r="AE13328"/>
    </row>
    <row r="13329" spans="31:31" ht="15.75" customHeight="1">
      <c r="AE13329"/>
    </row>
    <row r="13330" spans="31:31" ht="15.75" customHeight="1">
      <c r="AE13330"/>
    </row>
    <row r="13331" spans="31:31" ht="15.75" customHeight="1">
      <c r="AE13331"/>
    </row>
    <row r="13332" spans="31:31" ht="15.75" customHeight="1">
      <c r="AE13332"/>
    </row>
    <row r="13333" spans="31:31" ht="15.75" customHeight="1">
      <c r="AE13333"/>
    </row>
    <row r="13334" spans="31:31" ht="15.75" customHeight="1">
      <c r="AE13334"/>
    </row>
    <row r="13335" spans="31:31" ht="15.75" customHeight="1">
      <c r="AE13335"/>
    </row>
    <row r="13336" spans="31:31" ht="15.75" customHeight="1">
      <c r="AE13336"/>
    </row>
    <row r="13337" spans="31:31" ht="15.75" customHeight="1">
      <c r="AE13337"/>
    </row>
    <row r="13338" spans="31:31" ht="15.75" customHeight="1">
      <c r="AE13338"/>
    </row>
    <row r="13339" spans="31:31" ht="15.75" customHeight="1">
      <c r="AE13339"/>
    </row>
    <row r="13340" spans="31:31" ht="15.75" customHeight="1">
      <c r="AE13340"/>
    </row>
    <row r="13341" spans="31:31" ht="15.75" customHeight="1">
      <c r="AE13341"/>
    </row>
    <row r="13342" spans="31:31" ht="15.75" customHeight="1">
      <c r="AE13342"/>
    </row>
    <row r="13343" spans="31:31" ht="15.75" customHeight="1">
      <c r="AE13343"/>
    </row>
    <row r="13344" spans="31:31" ht="15.75" customHeight="1">
      <c r="AE13344"/>
    </row>
    <row r="13345" spans="31:31" ht="15.75" customHeight="1">
      <c r="AE13345"/>
    </row>
    <row r="13346" spans="31:31" ht="15.75" customHeight="1">
      <c r="AE13346"/>
    </row>
    <row r="13347" spans="31:31" ht="15.75" customHeight="1">
      <c r="AE13347"/>
    </row>
    <row r="13348" spans="31:31" ht="15.75" customHeight="1">
      <c r="AE13348"/>
    </row>
    <row r="13349" spans="31:31" ht="15.75" customHeight="1">
      <c r="AE13349"/>
    </row>
    <row r="13350" spans="31:31" ht="15.75" customHeight="1">
      <c r="AE13350"/>
    </row>
    <row r="13351" spans="31:31" ht="15.75" customHeight="1">
      <c r="AE13351"/>
    </row>
    <row r="13352" spans="31:31" ht="15.75" customHeight="1">
      <c r="AE13352"/>
    </row>
    <row r="13353" spans="31:31" ht="15.75" customHeight="1">
      <c r="AE13353"/>
    </row>
    <row r="13354" spans="31:31" ht="15.75" customHeight="1">
      <c r="AE13354"/>
    </row>
    <row r="13355" spans="31:31" ht="15.75" customHeight="1">
      <c r="AE13355"/>
    </row>
    <row r="13356" spans="31:31" ht="15.75" customHeight="1">
      <c r="AE13356"/>
    </row>
    <row r="13357" spans="31:31" ht="15.75" customHeight="1">
      <c r="AE13357"/>
    </row>
    <row r="13358" spans="31:31" ht="15.75" customHeight="1">
      <c r="AE13358"/>
    </row>
    <row r="13359" spans="31:31" ht="15.75" customHeight="1">
      <c r="AE13359"/>
    </row>
    <row r="13360" spans="31:31" ht="15.75" customHeight="1">
      <c r="AE13360"/>
    </row>
    <row r="13361" spans="31:31" ht="15.75" customHeight="1">
      <c r="AE13361"/>
    </row>
    <row r="13362" spans="31:31" ht="15.75" customHeight="1">
      <c r="AE13362"/>
    </row>
    <row r="13363" spans="31:31" ht="15.75" customHeight="1">
      <c r="AE13363"/>
    </row>
    <row r="13364" spans="31:31" ht="15.75" customHeight="1">
      <c r="AE13364"/>
    </row>
    <row r="13365" spans="31:31" ht="15.75" customHeight="1">
      <c r="AE13365"/>
    </row>
    <row r="13366" spans="31:31" ht="15.75" customHeight="1">
      <c r="AE13366"/>
    </row>
    <row r="13367" spans="31:31" ht="15.75" customHeight="1">
      <c r="AE13367"/>
    </row>
    <row r="13368" spans="31:31" ht="15.75" customHeight="1">
      <c r="AE13368"/>
    </row>
    <row r="13369" spans="31:31" ht="15.75" customHeight="1">
      <c r="AE13369"/>
    </row>
    <row r="13370" spans="31:31" ht="15.75" customHeight="1">
      <c r="AE13370"/>
    </row>
    <row r="13371" spans="31:31" ht="15.75" customHeight="1">
      <c r="AE13371"/>
    </row>
    <row r="13372" spans="31:31" ht="15.75" customHeight="1">
      <c r="AE13372"/>
    </row>
    <row r="13373" spans="31:31" ht="15.75" customHeight="1">
      <c r="AE13373"/>
    </row>
    <row r="13374" spans="31:31" ht="15.75" customHeight="1">
      <c r="AE13374"/>
    </row>
    <row r="13375" spans="31:31" ht="15.75" customHeight="1">
      <c r="AE13375"/>
    </row>
    <row r="13376" spans="31:31" ht="15.75" customHeight="1">
      <c r="AE13376"/>
    </row>
    <row r="13377" spans="31:31" ht="15.75" customHeight="1">
      <c r="AE13377"/>
    </row>
    <row r="13378" spans="31:31" ht="15.75" customHeight="1">
      <c r="AE13378"/>
    </row>
    <row r="13379" spans="31:31" ht="15.75" customHeight="1">
      <c r="AE13379"/>
    </row>
    <row r="13380" spans="31:31" ht="15.75" customHeight="1">
      <c r="AE13380"/>
    </row>
    <row r="13381" spans="31:31" ht="15.75" customHeight="1">
      <c r="AE13381"/>
    </row>
    <row r="13382" spans="31:31" ht="15.75" customHeight="1">
      <c r="AE13382"/>
    </row>
    <row r="13383" spans="31:31" ht="15.75" customHeight="1">
      <c r="AE13383"/>
    </row>
    <row r="13384" spans="31:31" ht="15.75" customHeight="1">
      <c r="AE13384"/>
    </row>
    <row r="13385" spans="31:31" ht="15.75" customHeight="1">
      <c r="AE13385"/>
    </row>
    <row r="13386" spans="31:31" ht="15.75" customHeight="1">
      <c r="AE13386"/>
    </row>
    <row r="13387" spans="31:31" ht="15.75" customHeight="1">
      <c r="AE13387"/>
    </row>
    <row r="13388" spans="31:31" ht="15.75" customHeight="1">
      <c r="AE13388"/>
    </row>
    <row r="13389" spans="31:31" ht="15.75" customHeight="1">
      <c r="AE13389"/>
    </row>
    <row r="13390" spans="31:31" ht="15.75" customHeight="1">
      <c r="AE13390"/>
    </row>
    <row r="13391" spans="31:31" ht="15.75" customHeight="1">
      <c r="AE13391"/>
    </row>
    <row r="13392" spans="31:31" ht="15.75" customHeight="1">
      <c r="AE13392"/>
    </row>
    <row r="13393" spans="31:31" ht="15.75" customHeight="1">
      <c r="AE13393"/>
    </row>
    <row r="13394" spans="31:31" ht="15.75" customHeight="1">
      <c r="AE13394"/>
    </row>
    <row r="13395" spans="31:31" ht="15.75" customHeight="1">
      <c r="AE13395"/>
    </row>
    <row r="13396" spans="31:31" ht="15.75" customHeight="1">
      <c r="AE13396"/>
    </row>
    <row r="13397" spans="31:31" ht="15.75" customHeight="1">
      <c r="AE13397"/>
    </row>
    <row r="13398" spans="31:31" ht="15.75" customHeight="1">
      <c r="AE13398"/>
    </row>
    <row r="13399" spans="31:31" ht="15.75" customHeight="1">
      <c r="AE13399"/>
    </row>
    <row r="13400" spans="31:31" ht="15.75" customHeight="1">
      <c r="AE13400"/>
    </row>
    <row r="13401" spans="31:31" ht="15.75" customHeight="1">
      <c r="AE13401"/>
    </row>
    <row r="13402" spans="31:31" ht="15.75" customHeight="1">
      <c r="AE13402"/>
    </row>
    <row r="13403" spans="31:31" ht="15.75" customHeight="1">
      <c r="AE13403"/>
    </row>
    <row r="13404" spans="31:31" ht="15.75" customHeight="1">
      <c r="AE13404"/>
    </row>
    <row r="13405" spans="31:31" ht="15.75" customHeight="1">
      <c r="AE13405"/>
    </row>
    <row r="13406" spans="31:31" ht="15.75" customHeight="1">
      <c r="AE13406"/>
    </row>
    <row r="13407" spans="31:31" ht="15.75" customHeight="1">
      <c r="AE13407"/>
    </row>
    <row r="13408" spans="31:31" ht="15.75" customHeight="1">
      <c r="AE13408"/>
    </row>
    <row r="13409" spans="31:31" ht="15.75" customHeight="1">
      <c r="AE13409"/>
    </row>
    <row r="13410" spans="31:31" ht="15.75" customHeight="1">
      <c r="AE13410"/>
    </row>
    <row r="13411" spans="31:31" ht="15.75" customHeight="1">
      <c r="AE13411"/>
    </row>
    <row r="13412" spans="31:31" ht="15.75" customHeight="1">
      <c r="AE13412"/>
    </row>
    <row r="13413" spans="31:31" ht="15.75" customHeight="1">
      <c r="AE13413"/>
    </row>
    <row r="13414" spans="31:31" ht="15.75" customHeight="1">
      <c r="AE13414"/>
    </row>
    <row r="13415" spans="31:31" ht="15.75" customHeight="1">
      <c r="AE13415"/>
    </row>
    <row r="13416" spans="31:31" ht="15.75" customHeight="1">
      <c r="AE13416"/>
    </row>
    <row r="13417" spans="31:31" ht="15.75" customHeight="1">
      <c r="AE13417"/>
    </row>
    <row r="13418" spans="31:31" ht="15.75" customHeight="1">
      <c r="AE13418"/>
    </row>
    <row r="13419" spans="31:31" ht="15.75" customHeight="1">
      <c r="AE13419"/>
    </row>
    <row r="13420" spans="31:31" ht="15.75" customHeight="1">
      <c r="AE13420"/>
    </row>
    <row r="13421" spans="31:31" ht="15.75" customHeight="1">
      <c r="AE13421"/>
    </row>
    <row r="13422" spans="31:31" ht="15.75" customHeight="1">
      <c r="AE13422"/>
    </row>
    <row r="13423" spans="31:31" ht="15.75" customHeight="1">
      <c r="AE13423"/>
    </row>
    <row r="13424" spans="31:31" ht="15.75" customHeight="1">
      <c r="AE13424"/>
    </row>
    <row r="13425" spans="31:31" ht="15.75" customHeight="1">
      <c r="AE13425"/>
    </row>
    <row r="13426" spans="31:31" ht="15.75" customHeight="1">
      <c r="AE13426"/>
    </row>
    <row r="13427" spans="31:31" ht="15.75" customHeight="1">
      <c r="AE13427"/>
    </row>
    <row r="13428" spans="31:31" ht="15.75" customHeight="1">
      <c r="AE13428"/>
    </row>
    <row r="13429" spans="31:31" ht="15.75" customHeight="1">
      <c r="AE13429"/>
    </row>
    <row r="13430" spans="31:31" ht="15.75" customHeight="1">
      <c r="AE13430"/>
    </row>
    <row r="13431" spans="31:31" ht="15.75" customHeight="1">
      <c r="AE13431"/>
    </row>
    <row r="13432" spans="31:31" ht="15.75" customHeight="1">
      <c r="AE13432"/>
    </row>
    <row r="13433" spans="31:31" ht="15.75" customHeight="1">
      <c r="AE13433"/>
    </row>
    <row r="13434" spans="31:31" ht="15.75" customHeight="1">
      <c r="AE13434"/>
    </row>
    <row r="13435" spans="31:31" ht="15.75" customHeight="1">
      <c r="AE13435"/>
    </row>
    <row r="13436" spans="31:31" ht="15.75" customHeight="1">
      <c r="AE13436"/>
    </row>
    <row r="13437" spans="31:31" ht="15.75" customHeight="1">
      <c r="AE13437"/>
    </row>
    <row r="13438" spans="31:31" ht="15.75" customHeight="1">
      <c r="AE13438"/>
    </row>
    <row r="13439" spans="31:31" ht="15.75" customHeight="1">
      <c r="AE13439"/>
    </row>
    <row r="13440" spans="31:31" ht="15.75" customHeight="1">
      <c r="AE13440"/>
    </row>
    <row r="13441" spans="31:31" ht="15.75" customHeight="1">
      <c r="AE13441"/>
    </row>
    <row r="13442" spans="31:31" ht="15.75" customHeight="1">
      <c r="AE13442"/>
    </row>
    <row r="13443" spans="31:31" ht="15.75" customHeight="1">
      <c r="AE13443"/>
    </row>
    <row r="13444" spans="31:31" ht="15.75" customHeight="1">
      <c r="AE13444"/>
    </row>
    <row r="13445" spans="31:31" ht="15.75" customHeight="1">
      <c r="AE13445"/>
    </row>
    <row r="13446" spans="31:31" ht="15.75" customHeight="1">
      <c r="AE13446"/>
    </row>
    <row r="13447" spans="31:31" ht="15.75" customHeight="1">
      <c r="AE13447"/>
    </row>
    <row r="13448" spans="31:31" ht="15.75" customHeight="1">
      <c r="AE13448"/>
    </row>
    <row r="13449" spans="31:31" ht="15.75" customHeight="1">
      <c r="AE13449"/>
    </row>
    <row r="13450" spans="31:31" ht="15.75" customHeight="1">
      <c r="AE13450"/>
    </row>
    <row r="13451" spans="31:31" ht="15.75" customHeight="1">
      <c r="AE13451"/>
    </row>
    <row r="13452" spans="31:31" ht="15.75" customHeight="1">
      <c r="AE13452"/>
    </row>
    <row r="13453" spans="31:31" ht="15.75" customHeight="1">
      <c r="AE13453"/>
    </row>
    <row r="13454" spans="31:31" ht="15.75" customHeight="1">
      <c r="AE13454"/>
    </row>
    <row r="13455" spans="31:31" ht="15.75" customHeight="1">
      <c r="AE13455"/>
    </row>
    <row r="13456" spans="31:31" ht="15.75" customHeight="1">
      <c r="AE13456"/>
    </row>
    <row r="13457" spans="31:31" ht="15.75" customHeight="1">
      <c r="AE13457"/>
    </row>
    <row r="13458" spans="31:31" ht="15.75" customHeight="1">
      <c r="AE13458"/>
    </row>
    <row r="13459" spans="31:31" ht="15.75" customHeight="1">
      <c r="AE13459"/>
    </row>
    <row r="13460" spans="31:31" ht="15.75" customHeight="1">
      <c r="AE13460"/>
    </row>
    <row r="13461" spans="31:31" ht="15.75" customHeight="1">
      <c r="AE13461"/>
    </row>
    <row r="13462" spans="31:31" ht="15.75" customHeight="1">
      <c r="AE13462"/>
    </row>
    <row r="13463" spans="31:31" ht="15.75" customHeight="1">
      <c r="AE13463"/>
    </row>
    <row r="13464" spans="31:31" ht="15.75" customHeight="1">
      <c r="AE13464"/>
    </row>
    <row r="13465" spans="31:31" ht="15.75" customHeight="1">
      <c r="AE13465"/>
    </row>
    <row r="13466" spans="31:31" ht="15.75" customHeight="1">
      <c r="AE13466"/>
    </row>
    <row r="13467" spans="31:31" ht="15.75" customHeight="1">
      <c r="AE13467"/>
    </row>
    <row r="13468" spans="31:31" ht="15.75" customHeight="1">
      <c r="AE13468"/>
    </row>
    <row r="13469" spans="31:31" ht="15.75" customHeight="1">
      <c r="AE13469"/>
    </row>
    <row r="13470" spans="31:31" ht="15.75" customHeight="1">
      <c r="AE13470"/>
    </row>
    <row r="13471" spans="31:31" ht="15.75" customHeight="1">
      <c r="AE13471"/>
    </row>
    <row r="13472" spans="31:31" ht="15.75" customHeight="1">
      <c r="AE13472"/>
    </row>
    <row r="13473" spans="31:31" ht="15.75" customHeight="1">
      <c r="AE13473"/>
    </row>
    <row r="13474" spans="31:31" ht="15.75" customHeight="1">
      <c r="AE13474"/>
    </row>
    <row r="13475" spans="31:31" ht="15.75" customHeight="1">
      <c r="AE13475"/>
    </row>
    <row r="13476" spans="31:31" ht="15.75" customHeight="1">
      <c r="AE13476"/>
    </row>
    <row r="13477" spans="31:31" ht="15.75" customHeight="1">
      <c r="AE13477"/>
    </row>
    <row r="13478" spans="31:31" ht="15.75" customHeight="1">
      <c r="AE13478"/>
    </row>
    <row r="13479" spans="31:31" ht="15.75" customHeight="1">
      <c r="AE13479"/>
    </row>
    <row r="13480" spans="31:31" ht="15.75" customHeight="1">
      <c r="AE13480"/>
    </row>
    <row r="13481" spans="31:31" ht="15.75" customHeight="1">
      <c r="AE13481"/>
    </row>
    <row r="13482" spans="31:31" ht="15.75" customHeight="1">
      <c r="AE13482"/>
    </row>
    <row r="13483" spans="31:31" ht="15.75" customHeight="1">
      <c r="AE13483"/>
    </row>
    <row r="13484" spans="31:31" ht="15.75" customHeight="1">
      <c r="AE13484"/>
    </row>
    <row r="13485" spans="31:31" ht="15.75" customHeight="1">
      <c r="AE13485"/>
    </row>
    <row r="13486" spans="31:31" ht="15.75" customHeight="1">
      <c r="AE13486"/>
    </row>
    <row r="13487" spans="31:31" ht="15.75" customHeight="1">
      <c r="AE13487"/>
    </row>
    <row r="13488" spans="31:31" ht="15.75" customHeight="1">
      <c r="AE13488"/>
    </row>
    <row r="13489" spans="31:31" ht="15.75" customHeight="1">
      <c r="AE13489"/>
    </row>
    <row r="13490" spans="31:31" ht="15.75" customHeight="1">
      <c r="AE13490"/>
    </row>
    <row r="13491" spans="31:31" ht="15.75" customHeight="1">
      <c r="AE13491"/>
    </row>
    <row r="13492" spans="31:31" ht="15.75" customHeight="1">
      <c r="AE13492"/>
    </row>
    <row r="13493" spans="31:31" ht="15.75" customHeight="1">
      <c r="AE13493"/>
    </row>
    <row r="13494" spans="31:31" ht="15.75" customHeight="1">
      <c r="AE13494"/>
    </row>
    <row r="13495" spans="31:31" ht="15.75" customHeight="1">
      <c r="AE13495"/>
    </row>
    <row r="13496" spans="31:31" ht="15.75" customHeight="1">
      <c r="AE13496"/>
    </row>
    <row r="13497" spans="31:31" ht="15.75" customHeight="1">
      <c r="AE13497"/>
    </row>
    <row r="13498" spans="31:31" ht="15.75" customHeight="1">
      <c r="AE13498"/>
    </row>
    <row r="13499" spans="31:31" ht="15.75" customHeight="1">
      <c r="AE13499"/>
    </row>
    <row r="13500" spans="31:31" ht="15.75" customHeight="1">
      <c r="AE13500"/>
    </row>
    <row r="13501" spans="31:31" ht="15.75" customHeight="1">
      <c r="AE13501"/>
    </row>
    <row r="13502" spans="31:31" ht="15.75" customHeight="1">
      <c r="AE13502"/>
    </row>
    <row r="13503" spans="31:31" ht="15.75" customHeight="1">
      <c r="AE13503"/>
    </row>
    <row r="13504" spans="31:31" ht="15.75" customHeight="1">
      <c r="AE13504"/>
    </row>
    <row r="13505" spans="31:31" ht="15.75" customHeight="1">
      <c r="AE13505"/>
    </row>
    <row r="13506" spans="31:31" ht="15.75" customHeight="1">
      <c r="AE13506"/>
    </row>
    <row r="13507" spans="31:31" ht="15.75" customHeight="1">
      <c r="AE13507"/>
    </row>
    <row r="13508" spans="31:31" ht="15.75" customHeight="1">
      <c r="AE13508"/>
    </row>
    <row r="13509" spans="31:31" ht="15.75" customHeight="1">
      <c r="AE13509"/>
    </row>
    <row r="13510" spans="31:31" ht="15.75" customHeight="1">
      <c r="AE13510"/>
    </row>
    <row r="13511" spans="31:31" ht="15.75" customHeight="1">
      <c r="AE13511"/>
    </row>
    <row r="13512" spans="31:31" ht="15.75" customHeight="1">
      <c r="AE13512"/>
    </row>
    <row r="13513" spans="31:31" ht="15.75" customHeight="1">
      <c r="AE13513"/>
    </row>
    <row r="13514" spans="31:31" ht="15.75" customHeight="1">
      <c r="AE13514"/>
    </row>
    <row r="13515" spans="31:31" ht="15.75" customHeight="1">
      <c r="AE13515"/>
    </row>
    <row r="13516" spans="31:31" ht="15.75" customHeight="1">
      <c r="AE13516"/>
    </row>
    <row r="13517" spans="31:31" ht="15.75" customHeight="1">
      <c r="AE13517"/>
    </row>
    <row r="13518" spans="31:31" ht="15.75" customHeight="1">
      <c r="AE13518"/>
    </row>
    <row r="13519" spans="31:31" ht="15.75" customHeight="1">
      <c r="AE13519"/>
    </row>
    <row r="13520" spans="31:31" ht="15.75" customHeight="1">
      <c r="AE13520"/>
    </row>
    <row r="13521" spans="31:31" ht="15.75" customHeight="1">
      <c r="AE13521"/>
    </row>
    <row r="13522" spans="31:31" ht="15.75" customHeight="1">
      <c r="AE13522"/>
    </row>
    <row r="13523" spans="31:31" ht="15.75" customHeight="1">
      <c r="AE13523"/>
    </row>
    <row r="13524" spans="31:31" ht="15.75" customHeight="1">
      <c r="AE13524"/>
    </row>
    <row r="13525" spans="31:31" ht="15.75" customHeight="1">
      <c r="AE13525"/>
    </row>
    <row r="13526" spans="31:31" ht="15.75" customHeight="1">
      <c r="AE13526"/>
    </row>
    <row r="13527" spans="31:31" ht="15.75" customHeight="1">
      <c r="AE13527"/>
    </row>
    <row r="13528" spans="31:31" ht="15.75" customHeight="1">
      <c r="AE13528"/>
    </row>
    <row r="13529" spans="31:31" ht="15.75" customHeight="1">
      <c r="AE13529"/>
    </row>
    <row r="13530" spans="31:31" ht="15.75" customHeight="1">
      <c r="AE13530"/>
    </row>
    <row r="13531" spans="31:31" ht="15.75" customHeight="1">
      <c r="AE13531"/>
    </row>
    <row r="13532" spans="31:31" ht="15.75" customHeight="1">
      <c r="AE13532"/>
    </row>
    <row r="13533" spans="31:31" ht="15.75" customHeight="1">
      <c r="AE13533"/>
    </row>
    <row r="13534" spans="31:31" ht="15.75" customHeight="1">
      <c r="AE13534"/>
    </row>
    <row r="13535" spans="31:31" ht="15.75" customHeight="1">
      <c r="AE13535"/>
    </row>
    <row r="13536" spans="31:31" ht="15.75" customHeight="1">
      <c r="AE13536"/>
    </row>
    <row r="13537" spans="31:31" ht="15.75" customHeight="1">
      <c r="AE13537"/>
    </row>
    <row r="13538" spans="31:31" ht="15.75" customHeight="1">
      <c r="AE13538"/>
    </row>
    <row r="13539" spans="31:31" ht="15.75" customHeight="1">
      <c r="AE13539"/>
    </row>
    <row r="13540" spans="31:31" ht="15.75" customHeight="1">
      <c r="AE13540"/>
    </row>
    <row r="13541" spans="31:31" ht="15.75" customHeight="1">
      <c r="AE13541"/>
    </row>
    <row r="13542" spans="31:31" ht="15.75" customHeight="1">
      <c r="AE13542"/>
    </row>
    <row r="13543" spans="31:31" ht="15.75" customHeight="1">
      <c r="AE13543"/>
    </row>
    <row r="13544" spans="31:31" ht="15.75" customHeight="1">
      <c r="AE13544"/>
    </row>
    <row r="13545" spans="31:31" ht="15.75" customHeight="1">
      <c r="AE13545"/>
    </row>
    <row r="13546" spans="31:31" ht="15.75" customHeight="1">
      <c r="AE13546"/>
    </row>
    <row r="13547" spans="31:31" ht="15.75" customHeight="1">
      <c r="AE13547"/>
    </row>
    <row r="13548" spans="31:31" ht="15.75" customHeight="1">
      <c r="AE13548"/>
    </row>
    <row r="13549" spans="31:31" ht="15.75" customHeight="1">
      <c r="AE13549"/>
    </row>
    <row r="13550" spans="31:31" ht="15.75" customHeight="1">
      <c r="AE13550"/>
    </row>
    <row r="13551" spans="31:31" ht="15.75" customHeight="1">
      <c r="AE13551"/>
    </row>
    <row r="13552" spans="31:31" ht="15.75" customHeight="1">
      <c r="AE13552"/>
    </row>
    <row r="13553" spans="31:31" ht="15.75" customHeight="1">
      <c r="AE13553"/>
    </row>
    <row r="13554" spans="31:31" ht="15.75" customHeight="1">
      <c r="AE13554"/>
    </row>
    <row r="13555" spans="31:31" ht="15.75" customHeight="1">
      <c r="AE13555"/>
    </row>
    <row r="13556" spans="31:31" ht="15.75" customHeight="1">
      <c r="AE13556"/>
    </row>
    <row r="13557" spans="31:31" ht="15.75" customHeight="1">
      <c r="AE13557"/>
    </row>
    <row r="13558" spans="31:31" ht="15.75" customHeight="1">
      <c r="AE13558"/>
    </row>
    <row r="13559" spans="31:31" ht="15.75" customHeight="1">
      <c r="AE13559"/>
    </row>
    <row r="13560" spans="31:31" ht="15.75" customHeight="1">
      <c r="AE13560"/>
    </row>
    <row r="13561" spans="31:31" ht="15.75" customHeight="1">
      <c r="AE13561"/>
    </row>
    <row r="13562" spans="31:31" ht="15.75" customHeight="1">
      <c r="AE13562"/>
    </row>
    <row r="13563" spans="31:31" ht="15.75" customHeight="1">
      <c r="AE13563"/>
    </row>
    <row r="13564" spans="31:31" ht="15.75" customHeight="1">
      <c r="AE13564"/>
    </row>
    <row r="13565" spans="31:31" ht="15.75" customHeight="1">
      <c r="AE13565"/>
    </row>
    <row r="13566" spans="31:31" ht="15.75" customHeight="1">
      <c r="AE13566"/>
    </row>
    <row r="13567" spans="31:31" ht="15.75" customHeight="1">
      <c r="AE13567"/>
    </row>
    <row r="13568" spans="31:31" ht="15.75" customHeight="1">
      <c r="AE13568"/>
    </row>
    <row r="13569" spans="31:31" ht="15.75" customHeight="1">
      <c r="AE13569"/>
    </row>
    <row r="13570" spans="31:31" ht="15.75" customHeight="1">
      <c r="AE13570"/>
    </row>
    <row r="13571" spans="31:31" ht="15.75" customHeight="1">
      <c r="AE13571"/>
    </row>
    <row r="13572" spans="31:31" ht="15.75" customHeight="1">
      <c r="AE13572"/>
    </row>
    <row r="13573" spans="31:31" ht="15.75" customHeight="1">
      <c r="AE13573"/>
    </row>
    <row r="13574" spans="31:31" ht="15.75" customHeight="1">
      <c r="AE13574"/>
    </row>
    <row r="13575" spans="31:31" ht="15.75" customHeight="1">
      <c r="AE13575"/>
    </row>
    <row r="13576" spans="31:31" ht="15.75" customHeight="1">
      <c r="AE13576"/>
    </row>
    <row r="13577" spans="31:31" ht="15.75" customHeight="1">
      <c r="AE13577"/>
    </row>
    <row r="13578" spans="31:31" ht="15.75" customHeight="1">
      <c r="AE13578"/>
    </row>
    <row r="13579" spans="31:31" ht="15.75" customHeight="1">
      <c r="AE13579"/>
    </row>
    <row r="13580" spans="31:31" ht="15.75" customHeight="1">
      <c r="AE13580"/>
    </row>
    <row r="13581" spans="31:31" ht="15.75" customHeight="1">
      <c r="AE13581"/>
    </row>
    <row r="13582" spans="31:31" ht="15.75" customHeight="1">
      <c r="AE13582"/>
    </row>
    <row r="13583" spans="31:31" ht="15.75" customHeight="1">
      <c r="AE13583"/>
    </row>
    <row r="13584" spans="31:31" ht="15.75" customHeight="1">
      <c r="AE13584"/>
    </row>
    <row r="13585" spans="31:31" ht="15.75" customHeight="1">
      <c r="AE13585"/>
    </row>
    <row r="13586" spans="31:31" ht="15.75" customHeight="1">
      <c r="AE13586"/>
    </row>
    <row r="13587" spans="31:31" ht="15.75" customHeight="1">
      <c r="AE13587"/>
    </row>
    <row r="13588" spans="31:31" ht="15.75" customHeight="1">
      <c r="AE13588"/>
    </row>
    <row r="13589" spans="31:31" ht="15.75" customHeight="1">
      <c r="AE13589"/>
    </row>
    <row r="13590" spans="31:31" ht="15.75" customHeight="1">
      <c r="AE13590"/>
    </row>
    <row r="13591" spans="31:31" ht="15.75" customHeight="1">
      <c r="AE13591"/>
    </row>
    <row r="13592" spans="31:31" ht="15.75" customHeight="1">
      <c r="AE13592"/>
    </row>
    <row r="13593" spans="31:31" ht="15.75" customHeight="1">
      <c r="AE13593"/>
    </row>
    <row r="13594" spans="31:31" ht="15.75" customHeight="1">
      <c r="AE13594"/>
    </row>
    <row r="13595" spans="31:31" ht="15.75" customHeight="1">
      <c r="AE13595"/>
    </row>
    <row r="13596" spans="31:31" ht="15.75" customHeight="1">
      <c r="AE13596"/>
    </row>
    <row r="13597" spans="31:31" ht="15.75" customHeight="1">
      <c r="AE13597"/>
    </row>
    <row r="13598" spans="31:31" ht="15.75" customHeight="1">
      <c r="AE13598"/>
    </row>
    <row r="13599" spans="31:31" ht="15.75" customHeight="1">
      <c r="AE13599"/>
    </row>
    <row r="13600" spans="31:31" ht="15.75" customHeight="1">
      <c r="AE13600"/>
    </row>
    <row r="13601" spans="31:31" ht="15.75" customHeight="1">
      <c r="AE13601"/>
    </row>
    <row r="13602" spans="31:31" ht="15.75" customHeight="1">
      <c r="AE13602"/>
    </row>
    <row r="13603" spans="31:31" ht="15.75" customHeight="1">
      <c r="AE13603"/>
    </row>
    <row r="13604" spans="31:31" ht="15.75" customHeight="1">
      <c r="AE13604"/>
    </row>
    <row r="13605" spans="31:31" ht="15.75" customHeight="1">
      <c r="AE13605"/>
    </row>
    <row r="13606" spans="31:31" ht="15.75" customHeight="1">
      <c r="AE13606"/>
    </row>
    <row r="13607" spans="31:31" ht="15.75" customHeight="1">
      <c r="AE13607"/>
    </row>
    <row r="13608" spans="31:31" ht="15.75" customHeight="1">
      <c r="AE13608"/>
    </row>
    <row r="13609" spans="31:31" ht="15.75" customHeight="1">
      <c r="AE13609"/>
    </row>
    <row r="13610" spans="31:31" ht="15.75" customHeight="1">
      <c r="AE13610"/>
    </row>
    <row r="13611" spans="31:31" ht="15.75" customHeight="1">
      <c r="AE13611"/>
    </row>
    <row r="13612" spans="31:31" ht="15.75" customHeight="1">
      <c r="AE13612"/>
    </row>
    <row r="13613" spans="31:31" ht="15.75" customHeight="1">
      <c r="AE13613"/>
    </row>
    <row r="13614" spans="31:31" ht="15.75" customHeight="1">
      <c r="AE13614"/>
    </row>
    <row r="13615" spans="31:31" ht="15.75" customHeight="1">
      <c r="AE13615"/>
    </row>
    <row r="13616" spans="31:31" ht="15.75" customHeight="1">
      <c r="AE13616"/>
    </row>
    <row r="13617" spans="31:31" ht="15.75" customHeight="1">
      <c r="AE13617"/>
    </row>
    <row r="13618" spans="31:31" ht="15.75" customHeight="1">
      <c r="AE13618"/>
    </row>
    <row r="13619" spans="31:31" ht="15.75" customHeight="1">
      <c r="AE13619"/>
    </row>
    <row r="13620" spans="31:31" ht="15.75" customHeight="1">
      <c r="AE13620"/>
    </row>
    <row r="13621" spans="31:31" ht="15.75" customHeight="1">
      <c r="AE13621"/>
    </row>
    <row r="13622" spans="31:31" ht="15.75" customHeight="1">
      <c r="AE13622"/>
    </row>
    <row r="13623" spans="31:31" ht="15.75" customHeight="1">
      <c r="AE13623"/>
    </row>
    <row r="13624" spans="31:31" ht="15.75" customHeight="1">
      <c r="AE13624"/>
    </row>
    <row r="13625" spans="31:31" ht="15.75" customHeight="1">
      <c r="AE13625"/>
    </row>
    <row r="13626" spans="31:31" ht="15.75" customHeight="1">
      <c r="AE13626"/>
    </row>
    <row r="13627" spans="31:31" ht="15.75" customHeight="1">
      <c r="AE13627"/>
    </row>
  </sheetData>
  <autoFilter ref="O1:Q1006" xr:uid="{CE6B00FF-E3A1-4DA7-921D-C254CD92E615}"/>
  <mergeCells count="4">
    <mergeCell ref="N6:R6"/>
    <mergeCell ref="T6:X6"/>
    <mergeCell ref="Z7:AD7"/>
    <mergeCell ref="T21:X21"/>
  </mergeCells>
  <conditionalFormatting sqref="O1">
    <cfRule type="duplicateValues" dxfId="52" priority="43"/>
    <cfRule type="duplicateValues" dxfId="51" priority="44"/>
    <cfRule type="duplicateValues" dxfId="50" priority="45"/>
    <cfRule type="duplicateValues" dxfId="49" priority="46"/>
    <cfRule type="duplicateValues" dxfId="48" priority="47"/>
  </conditionalFormatting>
  <conditionalFormatting sqref="O2">
    <cfRule type="duplicateValues" dxfId="47" priority="42"/>
  </conditionalFormatting>
  <conditionalFormatting sqref="O54:P54">
    <cfRule type="cellIs" dxfId="46" priority="38" operator="equal">
      <formula>0</formula>
    </cfRule>
  </conditionalFormatting>
  <conditionalFormatting sqref="O56:P56">
    <cfRule type="cellIs" dxfId="45" priority="24" operator="equal">
      <formula>0</formula>
    </cfRule>
  </conditionalFormatting>
  <conditionalFormatting sqref="O66:P66">
    <cfRule type="cellIs" dxfId="44" priority="12" operator="equal">
      <formula>0</formula>
    </cfRule>
  </conditionalFormatting>
  <conditionalFormatting sqref="Q5 Q94:Q1048576">
    <cfRule type="duplicateValues" dxfId="43" priority="49"/>
    <cfRule type="duplicateValues" dxfId="42" priority="50"/>
    <cfRule type="duplicateValues" dxfId="41" priority="51"/>
    <cfRule type="duplicateValues" dxfId="40" priority="52"/>
    <cfRule type="duplicateValues" dxfId="39" priority="53"/>
  </conditionalFormatting>
  <conditionalFormatting sqref="Q6:Q77 Q79:Q91">
    <cfRule type="duplicateValues" dxfId="38" priority="36"/>
    <cfRule type="duplicateValues" dxfId="37" priority="37"/>
    <cfRule type="duplicateValues" dxfId="36" priority="39"/>
    <cfRule type="duplicateValues" dxfId="35" priority="40"/>
    <cfRule type="duplicateValues" dxfId="34" priority="41"/>
  </conditionalFormatting>
  <conditionalFormatting sqref="Q78">
    <cfRule type="duplicateValues" dxfId="33" priority="7"/>
    <cfRule type="duplicateValues" dxfId="32" priority="8"/>
    <cfRule type="duplicateValues" dxfId="31" priority="9"/>
    <cfRule type="duplicateValues" dxfId="30" priority="10"/>
    <cfRule type="duplicateValues" dxfId="29" priority="11"/>
  </conditionalFormatting>
  <conditionalFormatting sqref="Q92:Q93">
    <cfRule type="duplicateValues" dxfId="28" priority="1"/>
    <cfRule type="duplicateValues" dxfId="27" priority="2"/>
    <cfRule type="duplicateValues" dxfId="26" priority="3"/>
    <cfRule type="duplicateValues" dxfId="25" priority="4"/>
    <cfRule type="duplicateValues" dxfId="24" priority="5"/>
  </conditionalFormatting>
  <conditionalFormatting sqref="R29:R31">
    <cfRule type="duplicateValues" dxfId="23" priority="30"/>
    <cfRule type="duplicateValues" dxfId="22" priority="31"/>
    <cfRule type="duplicateValues" dxfId="21" priority="32"/>
    <cfRule type="duplicateValues" dxfId="20" priority="33"/>
    <cfRule type="duplicateValues" dxfId="19" priority="34"/>
  </conditionalFormatting>
  <conditionalFormatting sqref="R32:R37">
    <cfRule type="duplicateValues" dxfId="18" priority="25"/>
    <cfRule type="duplicateValues" dxfId="17" priority="26"/>
    <cfRule type="duplicateValues" dxfId="16" priority="27"/>
    <cfRule type="duplicateValues" dxfId="15" priority="28"/>
    <cfRule type="duplicateValues" dxfId="14" priority="29"/>
  </conditionalFormatting>
  <conditionalFormatting sqref="R39:R40">
    <cfRule type="duplicateValues" dxfId="13" priority="14"/>
    <cfRule type="duplicateValues" dxfId="12" priority="15"/>
    <cfRule type="duplicateValues" dxfId="11" priority="16"/>
    <cfRule type="duplicateValues" dxfId="10" priority="17"/>
    <cfRule type="duplicateValues" dxfId="9" priority="18"/>
  </conditionalFormatting>
  <conditionalFormatting sqref="R51:R56">
    <cfRule type="duplicateValues" dxfId="8" priority="19"/>
    <cfRule type="duplicateValues" dxfId="7" priority="20"/>
    <cfRule type="duplicateValues" dxfId="6" priority="21"/>
    <cfRule type="duplicateValues" dxfId="5" priority="22"/>
    <cfRule type="duplicateValues" dxfId="4" priority="23"/>
  </conditionalFormatting>
  <conditionalFormatting sqref="R68:R91 R6:R60">
    <cfRule type="duplicateValues" dxfId="3" priority="13"/>
  </conditionalFormatting>
  <conditionalFormatting sqref="R92:R1048576 R5">
    <cfRule type="duplicateValues" dxfId="2" priority="48"/>
  </conditionalFormatting>
  <conditionalFormatting sqref="U26:V26">
    <cfRule type="cellIs" dxfId="1" priority="35" operator="equal">
      <formula>0</formula>
    </cfRule>
  </conditionalFormatting>
  <conditionalFormatting sqref="AE38:AE58">
    <cfRule type="cellIs" dxfId="0" priority="6" operator="equal">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Thanh Thanh</dc:creator>
  <cp:keywords/>
  <dc:description/>
  <cp:lastModifiedBy/>
  <cp:revision/>
  <dcterms:created xsi:type="dcterms:W3CDTF">2025-07-16T04:20:10Z</dcterms:created>
  <dcterms:modified xsi:type="dcterms:W3CDTF">2026-07-10T02:06:36Z</dcterms:modified>
  <cp:category/>
  <cp:contentStatus/>
</cp:coreProperties>
</file>